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mc:AlternateContent xmlns:mc="http://schemas.openxmlformats.org/markup-compatibility/2006">
    <mc:Choice Requires="x15">
      <x15ac:absPath xmlns:x15ac="http://schemas.microsoft.com/office/spreadsheetml/2010/11/ac" url="/Users/jordanmalara/Downloads/"/>
    </mc:Choice>
  </mc:AlternateContent>
  <xr:revisionPtr revIDLastSave="0" documentId="13_ncr:1_{1A30CB91-5523-6E4D-A981-B911D9F1030E}" xr6:coauthVersionLast="47" xr6:coauthVersionMax="47" xr10:uidLastSave="{00000000-0000-0000-0000-000000000000}"/>
  <bookViews>
    <workbookView xWindow="0" yWindow="660" windowWidth="29400" windowHeight="184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C9723" i="1" l="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alcChain>
</file>

<file path=xl/sharedStrings.xml><?xml version="1.0" encoding="utf-8"?>
<sst xmlns="http://schemas.openxmlformats.org/spreadsheetml/2006/main" count="192439" uniqueCount="18692">
  <si>
    <t>Reservations with Financials</t>
  </si>
  <si>
    <t>Generated at 2026-07-23 02:03:36 UTC</t>
  </si>
  <si>
    <t>Success! All of the records are displayed.</t>
  </si>
  <si>
    <t>Property Name</t>
  </si>
  <si>
    <t>Reservation Number</t>
  </si>
  <si>
    <t>Reservation Status</t>
  </si>
  <si>
    <t>Room Numbers</t>
  </si>
  <si>
    <t>Room Types</t>
  </si>
  <si>
    <t>Rate Plans - Public Names</t>
  </si>
  <si>
    <t>Reservation Source Category</t>
  </si>
  <si>
    <t>Reservation Source</t>
  </si>
  <si>
    <t>Check-In Date</t>
  </si>
  <si>
    <t>Check-Out Date</t>
  </si>
  <si>
    <t>Group Profile Name</t>
  </si>
  <si>
    <t>Guest Tax ID Number</t>
  </si>
  <si>
    <t>Third Party Confirmation Number</t>
  </si>
  <si>
    <t>Primary Guest Mobile Phone Number</t>
  </si>
  <si>
    <t>Repeat Guest Flag</t>
  </si>
  <si>
    <t>Primary Guest Status Level</t>
  </si>
  <si>
    <t>Primary Guest Residence Country Name</t>
  </si>
  <si>
    <t>Company Name</t>
  </si>
  <si>
    <t>Booking Date Time - UTC</t>
  </si>
  <si>
    <t>Hotel Collect Booking Flag</t>
  </si>
  <si>
    <t>Room Nights</t>
  </si>
  <si>
    <t>Room Count</t>
  </si>
  <si>
    <t>Adults</t>
  </si>
  <si>
    <t>Children</t>
  </si>
  <si>
    <t>Guest Count</t>
  </si>
  <si>
    <t>Suggested Deposit</t>
  </si>
  <si>
    <t>Reservation Paid Amount</t>
  </si>
  <si>
    <t>Room Revenue Total</t>
  </si>
  <si>
    <t>Additional Items Amount</t>
  </si>
  <si>
    <t>Total Reservation Taxes</t>
  </si>
  <si>
    <t>Total Reservations Fees</t>
  </si>
  <si>
    <t>Cancellation Fee</t>
  </si>
  <si>
    <t>No-Show Fee</t>
  </si>
  <si>
    <t>Estimated Commission</t>
  </si>
  <si>
    <t>Grand Total</t>
  </si>
  <si>
    <t>Reservation Balance Due</t>
  </si>
  <si>
    <t>Original Room Revenue Total</t>
  </si>
  <si>
    <t>Original Grand Total</t>
  </si>
  <si>
    <t>Active Reservation Notes</t>
  </si>
  <si>
    <t>Active Guest Notes</t>
  </si>
  <si>
    <t>Active Group Profile Notes</t>
  </si>
  <si>
    <t>Adventure Inn Durango</t>
  </si>
  <si>
    <t>Checked Out</t>
  </si>
  <si>
    <t>118 (STQ)</t>
  </si>
  <si>
    <t>Standard Queen</t>
  </si>
  <si>
    <t>Base Rate</t>
  </si>
  <si>
    <t>OTA</t>
  </si>
  <si>
    <t>Expedia</t>
  </si>
  <si>
    <t>2024-01-04</t>
  </si>
  <si>
    <t>2024-01-05</t>
  </si>
  <si>
    <t>-</t>
  </si>
  <si>
    <t>71350692</t>
  </si>
  <si>
    <t>No</t>
  </si>
  <si>
    <t>United States of America</t>
  </si>
  <si>
    <t>2023-08-19 06:00:01</t>
  </si>
  <si>
    <t>Yes</t>
  </si>
  <si>
    <t>FOLIO COMMENTS:, GUEST COMMENTS: , RESERVATION COMMENTS: , RATE PLAN: OTA r</t>
  </si>
  <si>
    <t>104 (STK), 103 (STK)</t>
  </si>
  <si>
    <t>Standard King</t>
  </si>
  <si>
    <t>Booking.com</t>
  </si>
  <si>
    <t>2024-01-01</t>
  </si>
  <si>
    <t>2024-01-02</t>
  </si>
  <si>
    <t>4132120097</t>
  </si>
  <si>
    <t>Mexico</t>
  </si>
  <si>
    <t>2023-09-10 06:00:01</t>
  </si>
  <si>
    <t xml:space="preserve">RESERVATION COMMENTS: , FOLIO COMMENTS:, RATE PLAN: OTA r, GUEST COMMENTS: </t>
  </si>
  <si>
    <t>111 (SMQ)</t>
  </si>
  <si>
    <t>Small Queen</t>
  </si>
  <si>
    <t>Travel Agent</t>
  </si>
  <si>
    <t>Reservation Import</t>
  </si>
  <si>
    <t>2024-02-04</t>
  </si>
  <si>
    <t>2024-02-05</t>
  </si>
  <si>
    <t>AI00340743236</t>
  </si>
  <si>
    <t>2023-10-13 06:00:01</t>
  </si>
  <si>
    <t xml:space="preserve">FOLIO COMMENTS:, GUEST COMMENTS: , RATE PLAN: Refun / PHONE NUMBER2: 303 733 7360, RESERVATION COMMENTS: </t>
  </si>
  <si>
    <t>108 (STK)</t>
  </si>
  <si>
    <t>Hotels.com</t>
  </si>
  <si>
    <t>2024-01-06</t>
  </si>
  <si>
    <t>2024-01-08</t>
  </si>
  <si>
    <t>105548141</t>
  </si>
  <si>
    <t>2023-10-15 06:00:01</t>
  </si>
  <si>
    <t xml:space="preserve">FOLIO COMMENTS:, RESERVATION COMMENTS: , RATE PLAN: OTA r, GUEST COMMENTS: </t>
  </si>
  <si>
    <t>102 (DQ)</t>
  </si>
  <si>
    <t>Double Queen</t>
  </si>
  <si>
    <t>2024-06-13</t>
  </si>
  <si>
    <t>2024-06-14</t>
  </si>
  <si>
    <t>107235672</t>
  </si>
  <si>
    <t>2023-10-18 06:00:01</t>
  </si>
  <si>
    <t xml:space="preserve">FOLIO COMMENTS:, RATE PLAN: OTA r, GUEST COMMENTS: , RESERVATION COMMENTS: </t>
  </si>
  <si>
    <t>202 (DQ)</t>
  </si>
  <si>
    <t>2024-07-06</t>
  </si>
  <si>
    <t>2024-07-08</t>
  </si>
  <si>
    <t>108734986</t>
  </si>
  <si>
    <t>2023-10-21 06:00:01</t>
  </si>
  <si>
    <t>RESERVATION COMMENTS: , GUEST COMMENTS: , RATE PLAN: OTA r, FOLIO COMMENTS:</t>
  </si>
  <si>
    <t>116 (DQ)</t>
  </si>
  <si>
    <t>2024-07-27</t>
  </si>
  <si>
    <t>2024-07-29</t>
  </si>
  <si>
    <t>4083135636</t>
  </si>
  <si>
    <t>Netherlands</t>
  </si>
  <si>
    <t>2023-10-22 06:00:01</t>
  </si>
  <si>
    <t>RESERVATION COMMENTS: , RATE PLAN: OTA r, GUEST COMMENTS: , FOLIO COMMENTS:</t>
  </si>
  <si>
    <t>110 (STQ)</t>
  </si>
  <si>
    <t>2024-05-10</t>
  </si>
  <si>
    <t>2024-05-12</t>
  </si>
  <si>
    <t>110747751</t>
  </si>
  <si>
    <t>2023-10-24 06:00:01</t>
  </si>
  <si>
    <t>106 (STQ)</t>
  </si>
  <si>
    <t>110747750</t>
  </si>
  <si>
    <t xml:space="preserve">RATE PLAN: OTA r, FOLIO COMMENTS:, RESERVATION COMMENTS: , GUEST COMMENTS: </t>
  </si>
  <si>
    <t>104 (STK)</t>
  </si>
  <si>
    <t>Google (Ads Hotel)</t>
  </si>
  <si>
    <t>2024-03-15</t>
  </si>
  <si>
    <t>2024-03-16</t>
  </si>
  <si>
    <t>AI00341035949</t>
  </si>
  <si>
    <t>Germany</t>
  </si>
  <si>
    <t>2023-10-25 06:00:01</t>
  </si>
  <si>
    <t xml:space="preserve">FOLIO COMMENTS:, RESERVATION COMMENTS: , RATE PLAN: Rack / PHONE NUMBER2: +491727136072, GUEST COMMENTS: </t>
  </si>
  <si>
    <t>201 (DQ)</t>
  </si>
  <si>
    <t>2024-06-22</t>
  </si>
  <si>
    <t>2024-06-23</t>
  </si>
  <si>
    <t>112132324</t>
  </si>
  <si>
    <t>France</t>
  </si>
  <si>
    <t>2023-10-27 06:00:01</t>
  </si>
  <si>
    <t xml:space="preserve">RESERVATION COMMENTS: , RATE PLAN: OTA r, FOLIO COMMENTS:, GUEST COMMENTS: </t>
  </si>
  <si>
    <t>101 (DQ)</t>
  </si>
  <si>
    <t>2024-06-10</t>
  </si>
  <si>
    <t>2024-06-12</t>
  </si>
  <si>
    <t>4142899444</t>
  </si>
  <si>
    <t xml:space="preserve">RATE PLAN: OTA r, GUEST COMMENTS: , FOLIO COMMENTS:, RESERVATION COMMENTS: </t>
  </si>
  <si>
    <t>2024-06-06</t>
  </si>
  <si>
    <t>2024-06-08</t>
  </si>
  <si>
    <t>4175913522</t>
  </si>
  <si>
    <t>2023-10-29 06:00:01</t>
  </si>
  <si>
    <t xml:space="preserve">GUEST COMMENTS: , FOLIO COMMENTS:, RATE PLAN: OTA r, RESERVATION COMMENTS: </t>
  </si>
  <si>
    <t>109 (SMQ)</t>
  </si>
  <si>
    <t>2024-01-03</t>
  </si>
  <si>
    <t>117173904</t>
  </si>
  <si>
    <t>2023-11-05 06:00:01</t>
  </si>
  <si>
    <t>GUEST COMMENTS: , FOLIO COMMENTS:, RESERVATION COMMENTS: , RATE PLAN: OTA r</t>
  </si>
  <si>
    <t>2024-05-24</t>
  </si>
  <si>
    <t>2024-05-25</t>
  </si>
  <si>
    <t>4177133780</t>
  </si>
  <si>
    <t xml:space="preserve">GUEST COMMENTS: , RATE PLAN: OTA r, FOLIO COMMENTS:, RESERVATION COMMENTS: </t>
  </si>
  <si>
    <t>2024-01-31</t>
  </si>
  <si>
    <t>2024-02-01</t>
  </si>
  <si>
    <t>117918756</t>
  </si>
  <si>
    <t>2023-11-06 07:00:01</t>
  </si>
  <si>
    <t>RESERVATION COMMENTS: , FOLIO COMMENTS:, GUEST COMMENTS: late arrival left voice mail with, RATE PLAN: OTA r</t>
  </si>
  <si>
    <t>2024-07-09</t>
  </si>
  <si>
    <t>119139365</t>
  </si>
  <si>
    <t>2023-11-08 07:00:01</t>
  </si>
  <si>
    <t>107 (DQ)</t>
  </si>
  <si>
    <t>119139363</t>
  </si>
  <si>
    <t>119139371</t>
  </si>
  <si>
    <t>119139366</t>
  </si>
  <si>
    <t>RESERVATION COMMENTS: , FOLIO COMMENTS:, GUEST COMMENTS: , RATE PLAN: OTA r</t>
  </si>
  <si>
    <t>2024-01-10</t>
  </si>
  <si>
    <t>2024-01-11</t>
  </si>
  <si>
    <t>120206898</t>
  </si>
  <si>
    <t>2023-11-10 07:00:01</t>
  </si>
  <si>
    <t>120206899</t>
  </si>
  <si>
    <t>103 (STK)</t>
  </si>
  <si>
    <t>2024-04-11</t>
  </si>
  <si>
    <t>2024-04-12</t>
  </si>
  <si>
    <t>AI00341425841</t>
  </si>
  <si>
    <t>2023-11-11 07:00:01</t>
  </si>
  <si>
    <t xml:space="preserve">FOLIO COMMENTS:, GUEST COMMENTS: , RATE PLAN: Refun / PHONE NUMBER2: +4965932670033, RESERVATION COMMENTS: </t>
  </si>
  <si>
    <t>4253576020</t>
  </si>
  <si>
    <t>Japan</t>
  </si>
  <si>
    <t>2023-11-12 07:00:01</t>
  </si>
  <si>
    <t>2024-02-09</t>
  </si>
  <si>
    <t>2024-02-10</t>
  </si>
  <si>
    <t>121620557</t>
  </si>
  <si>
    <t>2023-11-13 07:00:01</t>
  </si>
  <si>
    <t>GUEST COMMENTS: , RESERVATION COMMENTS: , RATE PLAN: OTA r, FOLIO COMMENTS:</t>
  </si>
  <si>
    <t>115 (STQ)</t>
  </si>
  <si>
    <t>2024-06-20</t>
  </si>
  <si>
    <t>2024-06-21</t>
  </si>
  <si>
    <t>AI00341612669</t>
  </si>
  <si>
    <t>2023-11-19 07:00:01</t>
  </si>
  <si>
    <t>FOLIO COMMENTS:, GUEST COMMENTS: , RESERVATION COMMENTS: , RATE PLAN: Refun / PHONE NUMBER2: 2059797692</t>
  </si>
  <si>
    <t>112 (STQ)</t>
  </si>
  <si>
    <t>2024-03-18</t>
  </si>
  <si>
    <t>2024-03-19</t>
  </si>
  <si>
    <t>126428468</t>
  </si>
  <si>
    <t>2023-11-21 07:00:01</t>
  </si>
  <si>
    <t>114 (STK)</t>
  </si>
  <si>
    <t>2024-05-13</t>
  </si>
  <si>
    <t>2024-05-14</t>
  </si>
  <si>
    <t>AI00341667063</t>
  </si>
  <si>
    <t>2023-11-22 07:00:01</t>
  </si>
  <si>
    <t xml:space="preserve">RATE PLAN: Refun / PHONE NUMBER2: 31725339364, GUEST COMMENTS: , FOLIO COMMENTS:, RESERVATION COMMENTS: </t>
  </si>
  <si>
    <t>2024-05-27</t>
  </si>
  <si>
    <t>4222436470</t>
  </si>
  <si>
    <t>RESERVATION COMMENTS: , GUEST COMMENTS: , FOLIO COMMENTS:, RATE PLAN: OTA r</t>
  </si>
  <si>
    <t>2024-03-20</t>
  </si>
  <si>
    <t>4080965894</t>
  </si>
  <si>
    <t>United Kingdom</t>
  </si>
  <si>
    <t>2024-04-25</t>
  </si>
  <si>
    <t>2024-04-27</t>
  </si>
  <si>
    <t>4036524705</t>
  </si>
  <si>
    <t>Italy</t>
  </si>
  <si>
    <t>2023-11-23 07:00:01</t>
  </si>
  <si>
    <t>RESERVATION COMMENTS: You have received a virtual credit, RATE PLAN: OTA r, FOLIO COMMENTS: ** YOU WILL HAVE TO WRITE OFF, GUEST COMMENTS: PLEASE DO NOT PROVIDE ANY</t>
  </si>
  <si>
    <t>2024-03-22</t>
  </si>
  <si>
    <t>127643106</t>
  </si>
  <si>
    <t>RESERVATION COMMENTS: , FOLIO COMMENTS: use master card, GUEST COMMENTS: , RATE PLAN: OTA r</t>
  </si>
  <si>
    <t>129050664</t>
  </si>
  <si>
    <t>2023-11-26 07:00:01</t>
  </si>
  <si>
    <t>105 (DQ)</t>
  </si>
  <si>
    <t>2024-07-16</t>
  </si>
  <si>
    <t>2024-07-17</t>
  </si>
  <si>
    <t>AI00341768885</t>
  </si>
  <si>
    <t>2023-11-27 07:00:01</t>
  </si>
  <si>
    <t xml:space="preserve">RATE PLAN: Refun / PHONE NUMBER2: 6366983442, RESERVATION COMMENTS: , FOLIO COMMENTS:, GUEST COMMENTS: </t>
  </si>
  <si>
    <t>AI00341768852</t>
  </si>
  <si>
    <t>RESERVATION COMMENTS: , RATE PLAN: Refun / PHONE NUMBER2: 6366983442, GUEST COMMENTS: , FOLIO COMMENTS:</t>
  </si>
  <si>
    <t>AI00341760696</t>
  </si>
  <si>
    <t xml:space="preserve">GUEST COMMENTS: , RATE PLAN: Refun / PHONE NUMBER2: 7247669301, FOLIO COMMENTS:, RESERVATION COMMENTS: </t>
  </si>
  <si>
    <t>117 (STQ)</t>
  </si>
  <si>
    <t>129549296</t>
  </si>
  <si>
    <t>FOLIO COMMENTS:, RESERVATION COMMENTS: , GUEST COMMENTS: , RATE PLAN: OTA r</t>
  </si>
  <si>
    <t>AI00341768874</t>
  </si>
  <si>
    <t>RATE PLAN: Refun / PHONE NUMBER2: 6366983442, GUEST COMMENTS: , RESERVATION COMMENTS: , FOLIO COMMENTS:</t>
  </si>
  <si>
    <t>2024-02-12</t>
  </si>
  <si>
    <t>AI00341778415</t>
  </si>
  <si>
    <t>2023-11-28 07:00:01</t>
  </si>
  <si>
    <t>GUEST COMMENTS: , FOLIO COMMENTS:, RESERVATION COMMENTS: , RATE PLAN: Refun / PHONE NUMBER2: 6233085975</t>
  </si>
  <si>
    <t>2024-03-24</t>
  </si>
  <si>
    <t>2024-03-25</t>
  </si>
  <si>
    <t>130935347</t>
  </si>
  <si>
    <t>2023-11-29 07:00:01</t>
  </si>
  <si>
    <t>2024-06-28</t>
  </si>
  <si>
    <t>2024-06-29</t>
  </si>
  <si>
    <t>4035840790</t>
  </si>
  <si>
    <t>2024-01-13</t>
  </si>
  <si>
    <t>2024-01-16</t>
  </si>
  <si>
    <t>130976565</t>
  </si>
  <si>
    <t>2024-04-15</t>
  </si>
  <si>
    <t>2024-04-17</t>
  </si>
  <si>
    <t>4077943140</t>
  </si>
  <si>
    <t xml:space="preserve">RATE PLAN: OTA r, FOLIO COMMENTS:, GUEST COMMENTS: , RESERVATION COMMENTS: </t>
  </si>
  <si>
    <t>2024-02-02</t>
  </si>
  <si>
    <t>133017911</t>
  </si>
  <si>
    <t>2023-12-03 07:00:01</t>
  </si>
  <si>
    <t>2024-02-11</t>
  </si>
  <si>
    <t>133605529</t>
  </si>
  <si>
    <t>2023-12-04 07:00:01</t>
  </si>
  <si>
    <t>RATE PLAN: OTA r, RESERVATION COMMENTS: , GUEST COMMENTS: , FOLIO COMMENTS:</t>
  </si>
  <si>
    <t>2024-05-16</t>
  </si>
  <si>
    <t>136216710</t>
  </si>
  <si>
    <t>2023-12-09 07:00:01</t>
  </si>
  <si>
    <t>AI00342089107</t>
  </si>
  <si>
    <t>2023-12-12 07:00:01</t>
  </si>
  <si>
    <t xml:space="preserve">RESERVATION COMMENTS: , FOLIO COMMENTS:, RATE PLAN: Refun / PHONE NUMBER2: 4145079651, GUEST COMMENTS: </t>
  </si>
  <si>
    <t>2024-05-31</t>
  </si>
  <si>
    <t>2024-06-03</t>
  </si>
  <si>
    <t>137605616</t>
  </si>
  <si>
    <t>2024-01-15</t>
  </si>
  <si>
    <t>4030792789</t>
  </si>
  <si>
    <t>2023-12-13 07:00:01</t>
  </si>
  <si>
    <t>206 (STK)</t>
  </si>
  <si>
    <t>Orbitz</t>
  </si>
  <si>
    <t>2024-04-02</t>
  </si>
  <si>
    <t>2024-04-03</t>
  </si>
  <si>
    <t>138793483</t>
  </si>
  <si>
    <t>2023-12-14 07:00:01</t>
  </si>
  <si>
    <t>RESERVATION COMMENTS: , FOLIO COMMENTS:, GUEST COMMENTS: 1/5* via Expedia the property, RATE PLAN: OTA r</t>
  </si>
  <si>
    <t>2024-01-29</t>
  </si>
  <si>
    <t>2024-01-30</t>
  </si>
  <si>
    <t>AI00342148473</t>
  </si>
  <si>
    <t>2023-12-15 07:00:01</t>
  </si>
  <si>
    <t>GUEST COMMENTS: , FOLIO COMMENTS:, RESERVATION COMMENTS: , RATE PLAN: Refun / PHONE NUMBER2: 832-640-2185</t>
  </si>
  <si>
    <t>2024-01-19</t>
  </si>
  <si>
    <t>139716966</t>
  </si>
  <si>
    <t>2023-12-16 07:00:01</t>
  </si>
  <si>
    <t xml:space="preserve">FOLIO COMMENTS:, RATE PLAN: OTA r, RESERVATION COMMENTS: , GUEST COMMENTS: </t>
  </si>
  <si>
    <t>2024-05-01</t>
  </si>
  <si>
    <t>2024-05-03</t>
  </si>
  <si>
    <t>140811310</t>
  </si>
  <si>
    <t>2023-12-18 07:00:01</t>
  </si>
  <si>
    <t>4203870765</t>
  </si>
  <si>
    <t>2023-12-19 07:00:01</t>
  </si>
  <si>
    <t>RESERVATION COMMENTS: , FOLIO COMMENTS:, RATE PLAN: OTA r, GUEST COMMENTS: *I’m staying the night of the</t>
  </si>
  <si>
    <t>2024-06-17</t>
  </si>
  <si>
    <t>2024-06-18</t>
  </si>
  <si>
    <t>4051039013</t>
  </si>
  <si>
    <t>2023-12-20 07:00:01</t>
  </si>
  <si>
    <t>2024-06-02</t>
  </si>
  <si>
    <t>4000380991</t>
  </si>
  <si>
    <t>RATE PLAN: OTA r, RESERVATION COMMENTS: , GUEST COMMENTS: JIM AND TERRY SMELTZER here, FOLIO COMMENTS:</t>
  </si>
  <si>
    <t>2024-06-01</t>
  </si>
  <si>
    <t>4131735782</t>
  </si>
  <si>
    <t>FOLIO COMMENTS: The guest informed us that they, RESERVATION COMMENTS: , RATE PLAN: OTA r, GUEST COMMENTS: JULIE AND DAVE REYNOLDS</t>
  </si>
  <si>
    <t>2024-03-17</t>
  </si>
  <si>
    <t>AI00342261086</t>
  </si>
  <si>
    <t>2023-12-21 07:00:01</t>
  </si>
  <si>
    <t xml:space="preserve">RATE PLAN: Refun / PHONE NUMBER2: 3039608180, RESERVATION COMMENTS: , FOLIO COMMENTS:, GUEST COMMENTS: </t>
  </si>
  <si>
    <t>2024-02-14</t>
  </si>
  <si>
    <t>AI00342252334</t>
  </si>
  <si>
    <t>GUEST COMMENTS: upgraded to NQ2 at same price., FOLIO COMMENTS: 64 62 62 62, RESERVATION COMMENTS: , RATE PLAN: Rack / PHONE NUMBER2: 8173726319</t>
  </si>
  <si>
    <t>205 (STK)</t>
  </si>
  <si>
    <t>2024-02-06</t>
  </si>
  <si>
    <t>142198452</t>
  </si>
  <si>
    <t>RESERVATION COMMENTS: Extension - Rate Plan changed to, RATE PLAN: OTA r, GUEST COMMENTS: , FOLIO COMMENTS:</t>
  </si>
  <si>
    <t>2024-06-05</t>
  </si>
  <si>
    <t>142679194</t>
  </si>
  <si>
    <t>2023-12-22 07:00:01</t>
  </si>
  <si>
    <t>2024-01-14</t>
  </si>
  <si>
    <t>143208001</t>
  </si>
  <si>
    <t>2023-12-23 07:00:01</t>
  </si>
  <si>
    <t>143208003</t>
  </si>
  <si>
    <t xml:space="preserve">RATE PLAN: OTA r, RESERVATION COMMENTS: , FOLIO COMMENTS:, GUEST COMMENTS: </t>
  </si>
  <si>
    <t>2024-01-22</t>
  </si>
  <si>
    <t>2024-01-26</t>
  </si>
  <si>
    <t>4099405502</t>
  </si>
  <si>
    <t>2023-12-29 07:00:01</t>
  </si>
  <si>
    <t>GUEST COMMENTS: , RESERVATION COMMENTS: , RATE PLAN: Booki, FOLIO COMMENTS:</t>
  </si>
  <si>
    <t>2024-07-25</t>
  </si>
  <si>
    <t>2024-07-28</t>
  </si>
  <si>
    <t>146368158</t>
  </si>
  <si>
    <t>2023-12-30 07:00:01</t>
  </si>
  <si>
    <t>GUEST COMMENTS: "OH MAYBE A SWITCH AND BAIT!, FOLIO COMMENTS: Refunded last 2 nights via, RESERVATION COMMENTS: Source: ExpediaPayment: Hotel, RATE PLAN: OTA r</t>
  </si>
  <si>
    <t>2024-06-15</t>
  </si>
  <si>
    <t>4132414542</t>
  </si>
  <si>
    <t>Switzerland</t>
  </si>
  <si>
    <t>147039596</t>
  </si>
  <si>
    <t>2023-12-31 07:00:01</t>
  </si>
  <si>
    <t xml:space="preserve">FOLIO COMMENTS:, GUEST COMMENTS: , RATE PLAN: OTA r, RESERVATION COMMENTS: </t>
  </si>
  <si>
    <t>2024-05-28</t>
  </si>
  <si>
    <t>2024-05-29</t>
  </si>
  <si>
    <t>4016015324</t>
  </si>
  <si>
    <t>2024-01-20</t>
  </si>
  <si>
    <t>2024-01-21</t>
  </si>
  <si>
    <t>AI00342476815</t>
  </si>
  <si>
    <t>2024-01-01 07:00:01</t>
  </si>
  <si>
    <t>RATE PLAN: Refun / PHONE NUMBER2: 5057302963, GUEST COMMENTS: , RESERVATION COMMENTS: , FOLIO COMMENTS:</t>
  </si>
  <si>
    <t>2024-06-09</t>
  </si>
  <si>
    <t>4006357270</t>
  </si>
  <si>
    <t>AI00342463181</t>
  </si>
  <si>
    <t>GUEST COMMENTS: , FOLIO COMMENTS:, RESERVATION COMMENTS: , RATE PLAN: Refun / PHONE NUMBER2: 3036888679</t>
  </si>
  <si>
    <t>2024-03-31</t>
  </si>
  <si>
    <t>2024-04-01</t>
  </si>
  <si>
    <t>4087993348</t>
  </si>
  <si>
    <t>2024-01-02 07:00:01</t>
  </si>
  <si>
    <t>GUEST COMMENTS: , RESERVATION COMMENTS: , FOLIO COMMENTS:, RATE PLAN: OTA r</t>
  </si>
  <si>
    <t>148089854</t>
  </si>
  <si>
    <t>2024-07-26</t>
  </si>
  <si>
    <t>AI00342480405</t>
  </si>
  <si>
    <t>RESERVATION COMMENTS: Extended - Rate Plan changed to, RATE PLAN: Rack / PHONE NUMBER2: 16164983327, GUEST COMMENTS: , FOLIO COMMENTS:</t>
  </si>
  <si>
    <t>2024-05-17</t>
  </si>
  <si>
    <t>147842136</t>
  </si>
  <si>
    <t>2024-06-26</t>
  </si>
  <si>
    <t>147805850</t>
  </si>
  <si>
    <t>RESERVATION COMMENTS: , RATE PLAN: OTA r, GUEST COMMENTS: Ask lady in the room multiple, FOLIO COMMENTS:</t>
  </si>
  <si>
    <t>2024-05-19</t>
  </si>
  <si>
    <t>2024-05-20</t>
  </si>
  <si>
    <t>147843143</t>
  </si>
  <si>
    <t>AI00342518182</t>
  </si>
  <si>
    <t>2024-01-03 07:00:01</t>
  </si>
  <si>
    <t xml:space="preserve">RESERVATION COMMENTS: , RATE PLAN: Refun / PHONE NUMBER2: 5209404597, FOLIO COMMENTS:, GUEST COMMENTS: </t>
  </si>
  <si>
    <t>AI00342526103</t>
  </si>
  <si>
    <t xml:space="preserve">RATE PLAN: Refun / PHONE NUMBER2: 5204448517, GUEST COMMENTS: , FOLIO COMMENTS:, RESERVATION COMMENTS: </t>
  </si>
  <si>
    <t>AI00342512579</t>
  </si>
  <si>
    <t>RESERVATION COMMENTS: , GUEST COMMENTS: , FOLIO COMMENTS:, RATE PLAN: Refun / PHONE NUMBER2: 5203360009</t>
  </si>
  <si>
    <t>148253812</t>
  </si>
  <si>
    <t>AI00342528622</t>
  </si>
  <si>
    <t xml:space="preserve">RATE PLAN: Milit / PHONE NUMBER2: 520-461-8709, FOLIO COMMENTS:, GUEST COMMENTS: , RESERVATION COMMENTS: </t>
  </si>
  <si>
    <t>148622900</t>
  </si>
  <si>
    <t>119 (STQ)</t>
  </si>
  <si>
    <t>2024-01-24</t>
  </si>
  <si>
    <t>2024-01-27</t>
  </si>
  <si>
    <t>AI00342546486</t>
  </si>
  <si>
    <t>2024-01-04 07:00:01</t>
  </si>
  <si>
    <t>RATE PLAN: Rack</t>
  </si>
  <si>
    <t>AI00342551561</t>
  </si>
  <si>
    <t>AI00342551279</t>
  </si>
  <si>
    <t>120 (STQ)</t>
  </si>
  <si>
    <t>AI00342546587</t>
  </si>
  <si>
    <t>4206568796</t>
  </si>
  <si>
    <t>2024-01-07</t>
  </si>
  <si>
    <t>4071975598</t>
  </si>
  <si>
    <t xml:space="preserve">RESERVATION COMMENTS: , RATE PLAN: Booki, FOLIO COMMENTS:, GUEST COMMENTS: </t>
  </si>
  <si>
    <t>2024-07-13</t>
  </si>
  <si>
    <t>2024-07-14</t>
  </si>
  <si>
    <t>AI00342568097</t>
  </si>
  <si>
    <t>2024-01-05 07:00:01</t>
  </si>
  <si>
    <t xml:space="preserve">FOLIO COMMENTS:, RATE PLAN: Refun / PHONE NUMBER2: 254-214-8686, RESERVATION COMMENTS: , GUEST COMMENTS: </t>
  </si>
  <si>
    <t>150133254</t>
  </si>
  <si>
    <t>149959128</t>
  </si>
  <si>
    <t>AI00342563395</t>
  </si>
  <si>
    <t>RATE PLAN: Refun / PHONE NUMBER2: 6155164804, GUEST COMMENTS: , RESERVATION COMMENTS: , FOLIO COMMENTS:</t>
  </si>
  <si>
    <t>AI00342563362</t>
  </si>
  <si>
    <t>GUEST COMMENTS: , RESERVATION COMMENTS: , FOLIO COMMENTS:, RATE PLAN: Refun / PHONE NUMBER2: 6155164804</t>
  </si>
  <si>
    <t>149856615</t>
  </si>
  <si>
    <t>GUEST COMMENTS: *Bottom floor if possible, One, RESERVATION COMMENTS: , RATE PLAN: OTA r, FOLIO COMMENTS:</t>
  </si>
  <si>
    <t>149885481</t>
  </si>
  <si>
    <t>AI00342579516</t>
  </si>
  <si>
    <t xml:space="preserve">RATE PLAN: Refun / PHONE NUMBER2: 9513100988, GUEST COMMENTS: , FOLIO COMMENTS:, RESERVATION COMMENTS: </t>
  </si>
  <si>
    <t>2024-02-17</t>
  </si>
  <si>
    <t>2024-02-19</t>
  </si>
  <si>
    <t>4197842642</t>
  </si>
  <si>
    <t>204 (STK)</t>
  </si>
  <si>
    <t>AI00342567614</t>
  </si>
  <si>
    <t>FOLIO COMMENTS:, GUEST COMMENTS: , RESERVATION COMMENTS: , RATE PLAN: Refun / PHONE NUMBER2: 7162071671</t>
  </si>
  <si>
    <t>2024-01-12</t>
  </si>
  <si>
    <t>150028379</t>
  </si>
  <si>
    <t>149822147</t>
  </si>
  <si>
    <t>149775091</t>
  </si>
  <si>
    <t>GUEST COMMENTS: , RATE PLAN: OTA r, RESERVATION COMMENTS: , FOLIO COMMENTS:</t>
  </si>
  <si>
    <t>149856713</t>
  </si>
  <si>
    <t>RATE PLAN: OTA r, RESERVATION COMMENTS: , GUEST COMMENTS: , FOLIO COMMENTS: paid cash at check in</t>
  </si>
  <si>
    <t>149971571</t>
  </si>
  <si>
    <t>149875040</t>
  </si>
  <si>
    <t>149856714</t>
  </si>
  <si>
    <t>2024-04-29</t>
  </si>
  <si>
    <t>149857740</t>
  </si>
  <si>
    <t>2024-02-03</t>
  </si>
  <si>
    <t>4269717085</t>
  </si>
  <si>
    <t>2024-01-06 07:00:01</t>
  </si>
  <si>
    <t>4211264728</t>
  </si>
  <si>
    <t>RESERVATION COMMENTS: , FOLIO COMMENTS:, GUEST COMMENTS: *Please provide two blankets /, RATE PLAN: OTA r</t>
  </si>
  <si>
    <t>2024-06-11</t>
  </si>
  <si>
    <t>AI00342585759</t>
  </si>
  <si>
    <t>GUEST COMMENTS: , RATE PLAN: Refun / PHONE NUMBER2: 3308421919, RESERVATION COMMENTS: , FOLIO COMMENTS:</t>
  </si>
  <si>
    <t>AI00342591127</t>
  </si>
  <si>
    <t xml:space="preserve">GUEST COMMENTS: , RATE PLAN: Refun / PHONE NUMBER2: 580-221-1714, FOLIO COMMENTS: guest reserved a k bed. our staff, RESERVATION COMMENTS: </t>
  </si>
  <si>
    <t>4138229225</t>
  </si>
  <si>
    <t>150244469</t>
  </si>
  <si>
    <t>GUEST COMMENTS: , RATE PLAN: OTA r, RESERVATION COMMENTS: None - Rate Plan changed to :, FOLIO COMMENTS:</t>
  </si>
  <si>
    <t>150534284</t>
  </si>
  <si>
    <t>RATE PLAN: OTA r, RESERVATION COMMENTS: Original booking not found, GUEST COMMENTS: , FOLIO COMMENTS:</t>
  </si>
  <si>
    <t>150962381</t>
  </si>
  <si>
    <t>2024-01-07 07:00:01</t>
  </si>
  <si>
    <t>4159836642</t>
  </si>
  <si>
    <t>150817495</t>
  </si>
  <si>
    <t>117 (STQ), 118 (STQ)</t>
  </si>
  <si>
    <t>4224215431</t>
  </si>
  <si>
    <t xml:space="preserve">RESERVATION COMMENTS: , FOLIO COMMENTS:, RATE PLAN: Booki, GUEST COMMENTS: </t>
  </si>
  <si>
    <t>2024-02-16</t>
  </si>
  <si>
    <t>150838779</t>
  </si>
  <si>
    <t>FOLIO COMMENTS: paid cash at check in, RESERVATION COMMENTS: , GUEST COMMENTS: , RATE PLAN: OTA r</t>
  </si>
  <si>
    <t>2024-07-18</t>
  </si>
  <si>
    <t>2024-07-21</t>
  </si>
  <si>
    <t>150811892</t>
  </si>
  <si>
    <t>RESERVATION COMMENTS: , FOLIO COMMENTS:, GUEST COMMENTS: **Stated at check-in date the, RATE PLAN: OTA r</t>
  </si>
  <si>
    <t>150867022</t>
  </si>
  <si>
    <t>4264841489</t>
  </si>
  <si>
    <t>2024-01-08 07:00:01</t>
  </si>
  <si>
    <t>RESERVATION COMMENTS: original rate - Rate Plan changed, FOLIO COMMENTS: cc declining 3rd party card. looks, RATE PLAN: Rack, GUEST COMMENTS: *I'd like to request check-in at</t>
  </si>
  <si>
    <t>2024-04-05</t>
  </si>
  <si>
    <t>2024-04-06</t>
  </si>
  <si>
    <t>4159813367</t>
  </si>
  <si>
    <t>AI00342638220</t>
  </si>
  <si>
    <t>GUEST COMMENTS: , RESERVATION COMMENTS: , FOLIO COMMENTS:, RATE PLAN: Rack / PHONE NUMBER2: 3032506026</t>
  </si>
  <si>
    <t>AI00342641763</t>
  </si>
  <si>
    <t xml:space="preserve">RESERVATION COMMENTS: , FOLIO COMMENTS:, RATE PLAN: Refun / PHONE NUMBER2: 5052637885, GUEST COMMENTS: </t>
  </si>
  <si>
    <t>2024-01-23</t>
  </si>
  <si>
    <t>2024-01-25</t>
  </si>
  <si>
    <t>151603853</t>
  </si>
  <si>
    <t>2024-01-18</t>
  </si>
  <si>
    <t>152524489</t>
  </si>
  <si>
    <t>2024-01-09 07:00:01</t>
  </si>
  <si>
    <t>152074328</t>
  </si>
  <si>
    <t>AI00342669684</t>
  </si>
  <si>
    <t xml:space="preserve">FOLIO COMMENTS:, RATE PLAN: Refun / PHONE NUMBER2: 8013693869, GUEST COMMENTS: , RESERVATION COMMENTS: </t>
  </si>
  <si>
    <t>2024-01-09</t>
  </si>
  <si>
    <t>4000510496</t>
  </si>
  <si>
    <t>2024-02-27</t>
  </si>
  <si>
    <t>2024-03-02</t>
  </si>
  <si>
    <t>4017039806</t>
  </si>
  <si>
    <t>2024-06-24</t>
  </si>
  <si>
    <t>4002976099</t>
  </si>
  <si>
    <t>152114862</t>
  </si>
  <si>
    <t>2024-06-27</t>
  </si>
  <si>
    <t>AI00342657085</t>
  </si>
  <si>
    <t>GUEST COMMENTS: , RATE PLAN: Refun / PHONE NUMBER2: 720-840-8048, RESERVATION COMMENTS: , FOLIO COMMENTS:</t>
  </si>
  <si>
    <t>AI00342697203</t>
  </si>
  <si>
    <t>2024-01-10 07:00:01</t>
  </si>
  <si>
    <t>RATE PLAN: Rack / PHONE NUMBER2: 9288532334, RESERVATION COMMENTS: , GUEST COMMENTS: , FOLIO COMMENTS:</t>
  </si>
  <si>
    <t>153086594</t>
  </si>
  <si>
    <t>AI00342697225</t>
  </si>
  <si>
    <t>FOLIO COMMENTS:, GUEST COMMENTS: , RESERVATION COMMENTS: , RATE PLAN: Rack / PHONE NUMBER2: 9288532334</t>
  </si>
  <si>
    <t>203 (STK)</t>
  </si>
  <si>
    <t>2024-07-03</t>
  </si>
  <si>
    <t>2024-07-04</t>
  </si>
  <si>
    <t>153664719</t>
  </si>
  <si>
    <t>2024-01-11 07:00:01</t>
  </si>
  <si>
    <t>153546831</t>
  </si>
  <si>
    <t>154513924</t>
  </si>
  <si>
    <t>2024-01-12 07:00:01</t>
  </si>
  <si>
    <t>2024-02-18</t>
  </si>
  <si>
    <t>AI00342749559</t>
  </si>
  <si>
    <t xml:space="preserve">RATE PLAN: Refun / PHONE NUMBER2: 8603246812, RESERVATION COMMENTS: , FOLIO COMMENTS:, GUEST COMMENTS: </t>
  </si>
  <si>
    <t>4085667386</t>
  </si>
  <si>
    <t>2024-01-17</t>
  </si>
  <si>
    <t>AI00342745757</t>
  </si>
  <si>
    <t xml:space="preserve">RATE PLAN: Refun / PHONE NUMBER2: 9289254376, RESERVATION COMMENTS: , FOLIO COMMENTS:, GUEST COMMENTS: </t>
  </si>
  <si>
    <t>4212213621</t>
  </si>
  <si>
    <t>2024-01-13 07:00:01</t>
  </si>
  <si>
    <t>2024-07-30</t>
  </si>
  <si>
    <t>2024-07-31</t>
  </si>
  <si>
    <t>4111007420</t>
  </si>
  <si>
    <t>154993069</t>
  </si>
  <si>
    <t>155347755</t>
  </si>
  <si>
    <t>2024-01-14 07:00:01</t>
  </si>
  <si>
    <t>119 (STQ), 118 (STQ), 116 (DQ)</t>
  </si>
  <si>
    <t>Standard Queen, Double Queen</t>
  </si>
  <si>
    <t>4152184517</t>
  </si>
  <si>
    <t>Poland</t>
  </si>
  <si>
    <t>FOLIO COMMENTS:  / RATE PLAN: OTA r, FOLIO COMMENTS:  / RATE PLAN: OTA r, RESERVATION COMMENTS: , GUEST COMMENTS: upgrade to NQ2 at same booking, RESERVATION COMMENTS: , GUEST COMMENTS: Free upgrade to NQ2 per T room, GUEST COMMENTS: , RESERVATION COMMENTS: , RATE PLAN: OTA r, FOLIO COMMENTS:</t>
  </si>
  <si>
    <t>155347761</t>
  </si>
  <si>
    <t>155347757</t>
  </si>
  <si>
    <t>155496860</t>
  </si>
  <si>
    <t>155620744</t>
  </si>
  <si>
    <t>155317311</t>
  </si>
  <si>
    <t>AI00342800210</t>
  </si>
  <si>
    <t>2024-01-15 07:00:01</t>
  </si>
  <si>
    <t>RESERVATION COMMENTS: , FOLIO COMMENTS:, GUEST COMMENTS: , RATE PLAN: Refun / PHONE NUMBER2: 501-352-5915</t>
  </si>
  <si>
    <t>4115356003</t>
  </si>
  <si>
    <t>GUEST COMMENTS: , RATE PLAN: Booki, RESERVATION COMMENTS: , FOLIO COMMENTS:</t>
  </si>
  <si>
    <t>2024-06-30</t>
  </si>
  <si>
    <t>156044139</t>
  </si>
  <si>
    <t>GUEST COMMENTS: Room was clean enough, but the, RESERVATION COMMENTS: , FOLIO COMMENTS: Google 2*, RATE PLAN: OTA r</t>
  </si>
  <si>
    <t>4002039069</t>
  </si>
  <si>
    <t>RESERVATION COMMENTS: , FOLIO COMMENTS:, GUEST COMMENTS: , RATE PLAN: Booki</t>
  </si>
  <si>
    <t>155643176</t>
  </si>
  <si>
    <t>156106577</t>
  </si>
  <si>
    <t>AI00342803077</t>
  </si>
  <si>
    <t xml:space="preserve">GUEST COMMENTS: , RATE PLAN: AARP / PHONE NUMBER2: 9702740899, FOLIO COMMENTS:, RESERVATION COMMENTS: </t>
  </si>
  <si>
    <t>4280837793</t>
  </si>
  <si>
    <t>AI00342803370</t>
  </si>
  <si>
    <t xml:space="preserve">FOLIO COMMENTS:, RATE PLAN: Refun / PHONE NUMBER2: 9728240166, RESERVATION COMMENTS: , GUEST COMMENTS: </t>
  </si>
  <si>
    <t>155642895</t>
  </si>
  <si>
    <t>2024-05-30</t>
  </si>
  <si>
    <t>156710588</t>
  </si>
  <si>
    <t>2024-01-16 07:00:01</t>
  </si>
  <si>
    <t>AI00342830538</t>
  </si>
  <si>
    <t>AI00342839504</t>
  </si>
  <si>
    <t>4281959457</t>
  </si>
  <si>
    <t>Andorra</t>
  </si>
  <si>
    <t>RATE PLAN: OTA r, GUEST COMMENTS: , RESERVATION COMMENTS: , FOLIO COMMENTS:</t>
  </si>
  <si>
    <t>AI00342822764</t>
  </si>
  <si>
    <t>156786996</t>
  </si>
  <si>
    <t>RESERVATION COMMENTS: , RATE PLAN: OTA r, FOLIO COMMENTS:, GUEST COMMENTS: late arrival spoke with guest</t>
  </si>
  <si>
    <t>2024-06-07</t>
  </si>
  <si>
    <t>156836904</t>
  </si>
  <si>
    <t>AI00342819894</t>
  </si>
  <si>
    <t>RATE PLAN: Refun / PHONE NUMBER2: 2813897342, GUEST COMMENTS: , RESERVATION COMMENTS: , FOLIO COMMENTS:</t>
  </si>
  <si>
    <t>2024-04-20</t>
  </si>
  <si>
    <t>2024-04-21</t>
  </si>
  <si>
    <t>156921690</t>
  </si>
  <si>
    <t>2024-02-29</t>
  </si>
  <si>
    <t>2024-03-03</t>
  </si>
  <si>
    <t>157227756</t>
  </si>
  <si>
    <t>2024-01-17 07:00:01</t>
  </si>
  <si>
    <t>2024-04-07</t>
  </si>
  <si>
    <t>157534215</t>
  </si>
  <si>
    <t>FOLIO COMMENTS:, GUEST COMMENTS: T moved from 111 to 112 at, RATE PLAN: OTA r, RESERVATION COMMENTS: rm 111 out of order moved to</t>
  </si>
  <si>
    <t>AI00342859180</t>
  </si>
  <si>
    <t xml:space="preserve">GUEST COMMENTS: late arrival spoke with guest, FOLIO COMMENTS:, RATE PLAN: Rack, RESERVATION COMMENTS: </t>
  </si>
  <si>
    <t>2024-04-09</t>
  </si>
  <si>
    <t>2024-04-10</t>
  </si>
  <si>
    <t>157536177</t>
  </si>
  <si>
    <t>2024-06-19</t>
  </si>
  <si>
    <t>4262684917</t>
  </si>
  <si>
    <t>157300786</t>
  </si>
  <si>
    <t>157531197</t>
  </si>
  <si>
    <t>AI00342860137</t>
  </si>
  <si>
    <t>RESERVATION COMMENTS: Joel and Mary Lou Dodson are, FOLIO COMMENTS: My parents are looking forward to, RATE PLAN: Refun / PHONE NUMBER2: 8659775841, GUEST COMMENTS: Sarah booked this for her parents</t>
  </si>
  <si>
    <t>158128029</t>
  </si>
  <si>
    <t>2024-01-18 07:00:01</t>
  </si>
  <si>
    <t>158071222</t>
  </si>
  <si>
    <t>AI00342882502</t>
  </si>
  <si>
    <t>AI00342879766</t>
  </si>
  <si>
    <t>158101971</t>
  </si>
  <si>
    <t>158076855</t>
  </si>
  <si>
    <t>158892161</t>
  </si>
  <si>
    <t>2024-01-19 07:00:01</t>
  </si>
  <si>
    <t>AI00342890387</t>
  </si>
  <si>
    <t>RESERVATION COMMENTS: , FOLIO COMMENTS:, GUEST COMMENTS: Zacs Family, RATE PLAN: Rack</t>
  </si>
  <si>
    <t>2024-03-06</t>
  </si>
  <si>
    <t>2024-03-07</t>
  </si>
  <si>
    <t>158758453</t>
  </si>
  <si>
    <t>AI00342915497</t>
  </si>
  <si>
    <t>2024-01-20 07:00:01</t>
  </si>
  <si>
    <t xml:space="preserve">RESERVATION COMMENTS: , RATE PLAN: Refun / PHONE NUMBER2: 3022759721, FOLIO COMMENTS:, GUEST COMMENTS: </t>
  </si>
  <si>
    <t>159393960</t>
  </si>
  <si>
    <t>AI00342916421</t>
  </si>
  <si>
    <t>RESERVATION COMMENTS: , RATE PLAN: Rack / PHONE NUMBER2: 2103252543, GUEST COMMENTS: , FOLIO COMMENTS:</t>
  </si>
  <si>
    <t>159393959</t>
  </si>
  <si>
    <t>2024-01-28</t>
  </si>
  <si>
    <t>AI00342918603</t>
  </si>
  <si>
    <t>RESERVATION COMMENTS: , FOLIO COMMENTS:, GUEST COMMENTS: , RATE PLAN: Refun / PHONE NUMBER2: 2184915354</t>
  </si>
  <si>
    <t>AI00342917769</t>
  </si>
  <si>
    <t xml:space="preserve">FOLIO COMMENTS:, RESERVATION COMMENTS: , RATE PLAN: Rack / PHONE NUMBER2: 4352602327, GUEST COMMENTS: </t>
  </si>
  <si>
    <t>2024-05-09</t>
  </si>
  <si>
    <t>159302315</t>
  </si>
  <si>
    <t>No Show</t>
  </si>
  <si>
    <t>2024-08-01</t>
  </si>
  <si>
    <t>159242108</t>
  </si>
  <si>
    <t>RATE PLAN: OTA r</t>
  </si>
  <si>
    <t>AI00342943577</t>
  </si>
  <si>
    <t>2024-01-21 07:00:01</t>
  </si>
  <si>
    <t>159761913</t>
  </si>
  <si>
    <t>2024-02-08</t>
  </si>
  <si>
    <t>159864137</t>
  </si>
  <si>
    <t>2024-05-21</t>
  </si>
  <si>
    <t>160688439</t>
  </si>
  <si>
    <t>2024-01-22 07:00:01</t>
  </si>
  <si>
    <t>160553474</t>
  </si>
  <si>
    <t>161341840</t>
  </si>
  <si>
    <t>2024-01-23 07:00:01</t>
  </si>
  <si>
    <t>102 (DQ), 105 (DQ)</t>
  </si>
  <si>
    <t>2024-05-08</t>
  </si>
  <si>
    <t>4202064456</t>
  </si>
  <si>
    <t xml:space="preserve">FOLIO COMMENTS: Booking.com cc was three eight / RATE PLAN: OTA r, FOLIO COMMENTS: Booking.com cc was three eight, RESERVATION COMMENTS: , RESERVATION COMMENTS: , RATE PLAN: OTA r, GUEST COMMENTS: LEAVE IN 105, GUEST COMMENTS: </t>
  </si>
  <si>
    <t>160972496</t>
  </si>
  <si>
    <t>AI00342991491</t>
  </si>
  <si>
    <t>2024-03-30</t>
  </si>
  <si>
    <t>4162141104</t>
  </si>
  <si>
    <t>AI00342993954</t>
  </si>
  <si>
    <t xml:space="preserve">GUEST COMMENTS: *Moved guest from 104 to 108,, FOLIO COMMENTS:, RATE PLAN: Rack / PHONE NUMBER2: +33687517721, RESERVATION COMMENTS: </t>
  </si>
  <si>
    <t>161341027</t>
  </si>
  <si>
    <t>160991761</t>
  </si>
  <si>
    <t>AI00342990120</t>
  </si>
  <si>
    <t>RESERVATION COMMENTS: , GUEST COMMENTS: , RATE PLAN: Rack / PHONE NUMBER2: +491727136072, FOLIO COMMENTS:</t>
  </si>
  <si>
    <t>161312471</t>
  </si>
  <si>
    <t>4015002610</t>
  </si>
  <si>
    <t>2024-01-24 07:00:01</t>
  </si>
  <si>
    <t>FOLIO COMMENTS:, RESERVATION COMMENTS: , GUEST COMMENTS: , RATE PLAN: Booki</t>
  </si>
  <si>
    <t>AI00343022048</t>
  </si>
  <si>
    <t xml:space="preserve">GUEST COMMENTS: , RATE PLAN: Rack / PHONE NUMBER2: 9287146837, FOLIO COMMENTS:, RESERVATION COMMENTS: </t>
  </si>
  <si>
    <t>162060595</t>
  </si>
  <si>
    <t>4185399559</t>
  </si>
  <si>
    <t xml:space="preserve">GUEST COMMENTS: moved from 111 to 109 "hair in, RATE PLAN: Booki, FOLIO COMMENTS:, RESERVATION COMMENTS: </t>
  </si>
  <si>
    <t>2024-06-04</t>
  </si>
  <si>
    <t>162558960</t>
  </si>
  <si>
    <t>2024-01-25 07:00:01</t>
  </si>
  <si>
    <t>4068649122</t>
  </si>
  <si>
    <t>AI00343036986</t>
  </si>
  <si>
    <t>RATE PLAN: Rack / PHONE NUMBER2: 3104879101</t>
  </si>
  <si>
    <t>162196343</t>
  </si>
  <si>
    <t>2024-07-15</t>
  </si>
  <si>
    <t>162435616</t>
  </si>
  <si>
    <t>162589797</t>
  </si>
  <si>
    <t>2024-02-23</t>
  </si>
  <si>
    <t>2024-02-24</t>
  </si>
  <si>
    <t>AI00343064202</t>
  </si>
  <si>
    <t>2024-01-26 07:00:01</t>
  </si>
  <si>
    <t xml:space="preserve">FOLIO COMMENTS:, RATE PLAN: Rack, GUEST COMMENTS: late, RESERVATION COMMENTS: </t>
  </si>
  <si>
    <t>2024-03-01</t>
  </si>
  <si>
    <t>163057697</t>
  </si>
  <si>
    <t>AI00343064156</t>
  </si>
  <si>
    <t>4288604742</t>
  </si>
  <si>
    <t>RESERVATION COMMENTS: , RATE PLAN: Booki, GUEST COMMENTS: , FOLIO COMMENTS:</t>
  </si>
  <si>
    <t>AI00343087825</t>
  </si>
  <si>
    <t>2024-01-27 07:00:01</t>
  </si>
  <si>
    <t>164058760</t>
  </si>
  <si>
    <t>2024-01-28 07:00:01</t>
  </si>
  <si>
    <t>AI00343102182</t>
  </si>
  <si>
    <t>RESERVATION COMMENTS: , RATE PLAN: Refun / PHONE NUMBER2: 5052637885, GUEST COMMENTS: , FOLIO COMMENTS:</t>
  </si>
  <si>
    <t>AI00343110181</t>
  </si>
  <si>
    <t xml:space="preserve">FOLIO COMMENTS:, RATE PLAN: AARP / PHONE NUMBER2: 9706312671, GUEST COMMENTS: , RESERVATION COMMENTS: </t>
  </si>
  <si>
    <t>164110984</t>
  </si>
  <si>
    <t>AI00343105444</t>
  </si>
  <si>
    <t>4219236050</t>
  </si>
  <si>
    <t xml:space="preserve">RATE PLAN: Booki, GUEST COMMENTS: Wanted to move rooms, unhappy, FOLIO COMMENTS:, RESERVATION COMMENTS: </t>
  </si>
  <si>
    <t>AI00343095565</t>
  </si>
  <si>
    <t>RATE PLAN: Rack / PHONE NUMBER2: 9702272383, GUEST COMMENTS: , RESERVATION COMMENTS: , FOLIO COMMENTS:</t>
  </si>
  <si>
    <t>AI00343095790</t>
  </si>
  <si>
    <t xml:space="preserve">GUEST COMMENTS: , RATE PLAN: Refun / PHONE NUMBER2: 7155733896, FOLIO COMMENTS:, RESERVATION COMMENTS: </t>
  </si>
  <si>
    <t>4218064048</t>
  </si>
  <si>
    <t>GUEST COMMENTS: called # and left message about, RATE PLAN: Booki, RESERVATION COMMENTS: , FOLIO COMMENTS:</t>
  </si>
  <si>
    <t>AI00343115928</t>
  </si>
  <si>
    <t>2024-01-29 07:00:01</t>
  </si>
  <si>
    <t>RESERVATION COMMENTS: , GUEST COMMENTS: , RATE PLAN: Refun / PHONE NUMBER2: 7195884473, FOLIO COMMENTS:</t>
  </si>
  <si>
    <t>AI00343160861</t>
  </si>
  <si>
    <t>2024-01-30 07:00:01</t>
  </si>
  <si>
    <t>RATE PLAN: Manua</t>
  </si>
  <si>
    <t>AI00343149868</t>
  </si>
  <si>
    <t xml:space="preserve">RESERVATION COMMENTS: , FOLIO COMMENTS:, RATE PLAN: Rack / PHONE NUMBER2: 6147457693, GUEST COMMENTS: </t>
  </si>
  <si>
    <t>AI00343144177</t>
  </si>
  <si>
    <t>AI00343151816</t>
  </si>
  <si>
    <t>RATE PLAN: Refun / PHONE NUMBER2: 4434650514, GUEST COMMENTS: , RESERVATION COMMENTS: , FOLIO COMMENTS:</t>
  </si>
  <si>
    <t>165981961</t>
  </si>
  <si>
    <t>2024-01-31 07:00:01</t>
  </si>
  <si>
    <t>GUEST COMMENTS: 5/5*, RATE PLAN: OTA r, RESERVATION COMMENTS: , FOLIO COMMENTS:</t>
  </si>
  <si>
    <t>166473658</t>
  </si>
  <si>
    <t>166334835</t>
  </si>
  <si>
    <t>4208423678</t>
  </si>
  <si>
    <t>2024-02-01 07:00:01</t>
  </si>
  <si>
    <t>AI00343195982</t>
  </si>
  <si>
    <t xml:space="preserve">RATE PLAN: Rack / PHONE NUMBER2: 5053335460, FOLIO COMMENTS: left message about late check in, RESERVATION COMMENTS: , GUEST COMMENTS: </t>
  </si>
  <si>
    <t>AI00343205861</t>
  </si>
  <si>
    <t>2024-05-23</t>
  </si>
  <si>
    <t>168205917</t>
  </si>
  <si>
    <t>2024-02-03 07:00:01</t>
  </si>
  <si>
    <t>168168929</t>
  </si>
  <si>
    <t>168337543</t>
  </si>
  <si>
    <t>AI00343251952</t>
  </si>
  <si>
    <t>2024-03-10</t>
  </si>
  <si>
    <t>2024-03-11</t>
  </si>
  <si>
    <t>168156959</t>
  </si>
  <si>
    <t>FOLIO COMMENTS:, RATE PLAN: OTA r, RESERVATION COMMENTS: , GUEST COMMENTS: left message about late check in</t>
  </si>
  <si>
    <t>2024-05-05</t>
  </si>
  <si>
    <t>168351495</t>
  </si>
  <si>
    <t>AI00343257543</t>
  </si>
  <si>
    <t>AI00343249454</t>
  </si>
  <si>
    <t>AI00343254247</t>
  </si>
  <si>
    <t>2024-03-09</t>
  </si>
  <si>
    <t>168872484</t>
  </si>
  <si>
    <t>2024-02-04 07:00:01</t>
  </si>
  <si>
    <t>168881235</t>
  </si>
  <si>
    <t>168950378</t>
  </si>
  <si>
    <t>2024-02-21</t>
  </si>
  <si>
    <t>AI00343267623</t>
  </si>
  <si>
    <t xml:space="preserve">GUEST COMMENTS: late arrival explained to guest, FOLIO COMMENTS:, RATE PLAN: Rack, RESERVATION COMMENTS: </t>
  </si>
  <si>
    <t>AI00343284532</t>
  </si>
  <si>
    <t>2024-02-05 07:00:01</t>
  </si>
  <si>
    <t>GUEST COMMENTS: , RESERVATION COMMENTS: , FOLIO COMMENTS:, RATE PLAN: Refun / PHONE NUMBER2: 9033669364</t>
  </si>
  <si>
    <t>AI00343299527</t>
  </si>
  <si>
    <t xml:space="preserve">GUEST COMMENTS: , FOLIO COMMENTS:, RATE PLAN: Rack / PHONE NUMBER2: 3089913504, RESERVATION COMMENTS: </t>
  </si>
  <si>
    <t>AI00343284239</t>
  </si>
  <si>
    <t>AI00343292340</t>
  </si>
  <si>
    <t xml:space="preserve">FOLIO COMMENTS:, RESERVATION COMMENTS: late arrival explained how to get, RATE PLAN: Rack / PHONE NUMBER2: 4057618445, GUEST COMMENTS: </t>
  </si>
  <si>
    <t>169321920</t>
  </si>
  <si>
    <t>169939162</t>
  </si>
  <si>
    <t>2024-02-06 07:00:01</t>
  </si>
  <si>
    <t>2024-02-07</t>
  </si>
  <si>
    <t>AI00343321477</t>
  </si>
  <si>
    <t>169973307</t>
  </si>
  <si>
    <t>170919104</t>
  </si>
  <si>
    <t>2024-02-07 07:00:01</t>
  </si>
  <si>
    <t>AI00343345057</t>
  </si>
  <si>
    <t>2024-02-15</t>
  </si>
  <si>
    <t>4147132492</t>
  </si>
  <si>
    <t>2024-02-08 07:00:01</t>
  </si>
  <si>
    <t xml:space="preserve">RATE PLAN: Booki, FOLIO COMMENTS:, RESERVATION COMMENTS: , GUEST COMMENTS: </t>
  </si>
  <si>
    <t>2024-03-28</t>
  </si>
  <si>
    <t>2024-03-29</t>
  </si>
  <si>
    <t>171343777</t>
  </si>
  <si>
    <t>2024-04-14</t>
  </si>
  <si>
    <t>AI00343370471</t>
  </si>
  <si>
    <t xml:space="preserve">RESERVATION COMMENTS: , FOLIO COMMENTS:, RATE PLAN: Refun / PHONE NUMBER2: 9706312671, GUEST COMMENTS: </t>
  </si>
  <si>
    <t>AI00343370460</t>
  </si>
  <si>
    <t>RESERVATION COMMENTS: , FOLIO COMMENTS:, GUEST COMMENTS: , RATE PLAN: Refun / PHONE NUMBER2: 6037174433</t>
  </si>
  <si>
    <t>171930477</t>
  </si>
  <si>
    <t>2024-02-09 07:00:01</t>
  </si>
  <si>
    <t>2024-02-13</t>
  </si>
  <si>
    <t>AI00343396974</t>
  </si>
  <si>
    <t>2024-04-04</t>
  </si>
  <si>
    <t>172816531</t>
  </si>
  <si>
    <t>2024-02-10 07:00:01</t>
  </si>
  <si>
    <t>RESERVATION COMMENTS: , GUEST COMMENTS: ***DISCOUNT PRICE OR offer to, FOLIO COMMENTS: carpet need cleaned., RATE PLAN: OTA r</t>
  </si>
  <si>
    <t>4162220850</t>
  </si>
  <si>
    <t xml:space="preserve">RATE PLAN: Booki, RESERVATION COMMENTS: , FOLIO COMMENTS:, GUEST COMMENTS: </t>
  </si>
  <si>
    <t>AI00343418801</t>
  </si>
  <si>
    <t>2024-06-25</t>
  </si>
  <si>
    <t>4228756829</t>
  </si>
  <si>
    <t>New Zealand</t>
  </si>
  <si>
    <t>4058989919</t>
  </si>
  <si>
    <t>2024-02-11 07:00:01</t>
  </si>
  <si>
    <t xml:space="preserve">FOLIO COMMENTS:, GUEST COMMENTS: , RATE PLAN: Booki, RESERVATION COMMENTS: </t>
  </si>
  <si>
    <t>2024-07-02</t>
  </si>
  <si>
    <t>AI00343430243</t>
  </si>
  <si>
    <t>GUEST COMMENTS: , RESERVATION COMMENTS: , FOLIO COMMENTS:, RATE PLAN: Refun / PHONE NUMBER2: 8172298182</t>
  </si>
  <si>
    <t>173107071</t>
  </si>
  <si>
    <t>RESERVATION COMMENTS: , RATE PLAN: OTA r, FOLIO COMMENTS: CC Did not come across CRS, GUEST COMMENTS: *I need to have a ground floor</t>
  </si>
  <si>
    <t>173243997</t>
  </si>
  <si>
    <t>119 (STQ), 118 (STQ)</t>
  </si>
  <si>
    <t>4208879353</t>
  </si>
  <si>
    <t>173912903</t>
  </si>
  <si>
    <t>2024-02-12 07:00:01</t>
  </si>
  <si>
    <t>FOLIO COMMENTS:, GUEST COMMENTS: late arrival got key from lock 102, RESERVATION COMMENTS: , RATE PLAN: OTA r</t>
  </si>
  <si>
    <t>4247414078</t>
  </si>
  <si>
    <t>GUEST COMMENTS: , FOLIO COMMENTS:, RESERVATION COMMENTS: , RATE PLAN: Booki</t>
  </si>
  <si>
    <t>AI00343467423</t>
  </si>
  <si>
    <t xml:space="preserve">FOLIO COMMENTS:, RATE PLAN: AARP / PHONE NUMBER2: 9099852605, GUEST COMMENTS: , RESERVATION COMMENTS: </t>
  </si>
  <si>
    <t>2024-05-26</t>
  </si>
  <si>
    <t>173591170</t>
  </si>
  <si>
    <t>AI00343467322</t>
  </si>
  <si>
    <t>RATE PLAN: AARP / PHONE NUMBER2: 9099852605, GUEST COMMENTS: , RESERVATION COMMENTS: , FOLIO COMMENTS:</t>
  </si>
  <si>
    <t>AI00343449164</t>
  </si>
  <si>
    <t>RATE PLAN: Refun / PHONE NUMBER2: 9702167364, RESERVATION COMMENTS: , GUEST COMMENTS: , FOLIO COMMENTS:</t>
  </si>
  <si>
    <t>174401131</t>
  </si>
  <si>
    <t>2024-02-13 07:00:01</t>
  </si>
  <si>
    <t>2024-04-13</t>
  </si>
  <si>
    <t>174381331</t>
  </si>
  <si>
    <t>174661001</t>
  </si>
  <si>
    <t>174382300</t>
  </si>
  <si>
    <t>175175426</t>
  </si>
  <si>
    <t>2024-02-14 07:00:01</t>
  </si>
  <si>
    <t>AI00343512671</t>
  </si>
  <si>
    <t>2024-03-04</t>
  </si>
  <si>
    <t>AI00343502670</t>
  </si>
  <si>
    <t>RESERVATION COMMENTS: , FOLIO COMMENTS:, GUEST COMMENTS: , RATE PLAN: Refun / PHONE NUMBER2: 6082342420</t>
  </si>
  <si>
    <t>2024-04-24</t>
  </si>
  <si>
    <t>AI00343537061</t>
  </si>
  <si>
    <t>2024-02-15 07:00:01</t>
  </si>
  <si>
    <t xml:space="preserve">RATE PLAN: Refun / PHONE NUMBER2: 847-404-0838, FOLIO COMMENTS:, RESERVATION COMMENTS: , GUEST COMMENTS: </t>
  </si>
  <si>
    <t>175921702</t>
  </si>
  <si>
    <t>175971074</t>
  </si>
  <si>
    <t>AI00343540953</t>
  </si>
  <si>
    <t>FOLIO COMMENTS:, GUEST COMMENTS: , RESERVATION COMMENTS: , RATE PLAN: Refun / PHONE NUMBER2: 701-330-9429</t>
  </si>
  <si>
    <t>176115403</t>
  </si>
  <si>
    <t>AI00343544306</t>
  </si>
  <si>
    <t>AI00343536857</t>
  </si>
  <si>
    <t xml:space="preserve">FOLIO COMMENTS:, RATE PLAN: Refun / PHONE NUMBER2: 847-404-0838, GUEST COMMENTS: , RESERVATION COMMENTS: </t>
  </si>
  <si>
    <t>175813333</t>
  </si>
  <si>
    <t>176134601</t>
  </si>
  <si>
    <t>176576336</t>
  </si>
  <si>
    <t>2024-02-16 07:00:01</t>
  </si>
  <si>
    <t>4225469500</t>
  </si>
  <si>
    <t>AI00343568616</t>
  </si>
  <si>
    <t>176219850</t>
  </si>
  <si>
    <t>176686386</t>
  </si>
  <si>
    <t>176679809</t>
  </si>
  <si>
    <t>4252076930</t>
  </si>
  <si>
    <t>RESERVATION COMMENTS: , RATE PLAN: OTA r, FOLIO COMMENTS:, GUEST COMMENTS: late arrival left envelope for</t>
  </si>
  <si>
    <t>176604400</t>
  </si>
  <si>
    <t>4107711333</t>
  </si>
  <si>
    <t>176244411</t>
  </si>
  <si>
    <t>GUEST COMMENTS: Changed from 4 days to 3, RATE PLAN: OTA r, RESERVATION COMMENTS: , FOLIO COMMENTS: "A/C not cold, room is hot" -I</t>
  </si>
  <si>
    <t>AI00343574062</t>
  </si>
  <si>
    <t>GUEST COMMENTS: , RESERVATION COMMENTS: , RATE PLAN: Refun / PHONE NUMBER2: 8322799465, FOLIO COMMENTS:</t>
  </si>
  <si>
    <t>AI00343574253</t>
  </si>
  <si>
    <t xml:space="preserve">FOLIO COMMENTS:, GUEST COMMENTS: left message about late check in, RATE PLAN: Refun / PHONE NUMBER2: 8322799465, RESERVATION COMMENTS: </t>
  </si>
  <si>
    <t>176351328</t>
  </si>
  <si>
    <t>2024-03-08</t>
  </si>
  <si>
    <t>176816014</t>
  </si>
  <si>
    <t>176528763</t>
  </si>
  <si>
    <t>177233275</t>
  </si>
  <si>
    <t>2024-02-17 07:00:01</t>
  </si>
  <si>
    <t>176964547</t>
  </si>
  <si>
    <t>2024-02-26</t>
  </si>
  <si>
    <t>177367583</t>
  </si>
  <si>
    <t>2024-02-25</t>
  </si>
  <si>
    <t>AI00343600309</t>
  </si>
  <si>
    <t>GUEST COMMENTS: , RATE PLAN: Refun / PHONE NUMBER2: 9706727263, RESERVATION COMMENTS: , FOLIO COMMENTS:</t>
  </si>
  <si>
    <t>2024-03-14</t>
  </si>
  <si>
    <t>177325905</t>
  </si>
  <si>
    <t>4239886527</t>
  </si>
  <si>
    <t>RATE PLAN: Booki, GUEST COMMENTS: , RESERVATION COMMENTS: , FOLIO COMMENTS:</t>
  </si>
  <si>
    <t>AI00343593647</t>
  </si>
  <si>
    <t xml:space="preserve">RATE PLAN: AARP / PHONE NUMBER2: 5057952277, GUEST COMMENTS: , FOLIO COMMENTS:, RESERVATION COMMENTS: </t>
  </si>
  <si>
    <t>2024-03-13</t>
  </si>
  <si>
    <t>177021108</t>
  </si>
  <si>
    <t>177257635</t>
  </si>
  <si>
    <t>RATE PLAN: OTA r, GUEST COMMENTS: *guest still owes for last night, FOLIO COMMENTS: Expedia stay (1st night was paid), RESERVATION COMMENTS: extension - Rate Plan changed to</t>
  </si>
  <si>
    <t>176960161</t>
  </si>
  <si>
    <t>4230279268</t>
  </si>
  <si>
    <t>177902896</t>
  </si>
  <si>
    <t>2024-02-18 07:00:01</t>
  </si>
  <si>
    <t>177956332</t>
  </si>
  <si>
    <t xml:space="preserve">RATE PLAN: OTA r, GUEST COMMENTS: , FOLIO COMMENTS: left message about late check in, RESERVATION COMMENTS: </t>
  </si>
  <si>
    <t>AI00343619365</t>
  </si>
  <si>
    <t xml:space="preserve">FOLIO COMMENTS:, RATE PLAN: Refun / PHONE NUMBER2: 5052594683, GUEST COMMENTS: , RESERVATION COMMENTS: </t>
  </si>
  <si>
    <t>177683325</t>
  </si>
  <si>
    <t>177956330</t>
  </si>
  <si>
    <t xml:space="preserve">GUEST COMMENTS: , FOLIO COMMENTS: left message about late check in, RATE PLAN: OTA r, RESERVATION COMMENTS: </t>
  </si>
  <si>
    <t>178518717</t>
  </si>
  <si>
    <t>2024-02-19 07:00:01</t>
  </si>
  <si>
    <t>4001189475</t>
  </si>
  <si>
    <t>178547859</t>
  </si>
  <si>
    <t>GUEST COMMENTS: 1/5* Old and dirty facility Of note:, RESERVATION COMMENTS: , RATE PLAN: OTA r, FOLIO COMMENTS:</t>
  </si>
  <si>
    <t>4237826282</t>
  </si>
  <si>
    <t>Spain</t>
  </si>
  <si>
    <t>4083869003</t>
  </si>
  <si>
    <t>2024-02-22</t>
  </si>
  <si>
    <t>AI00343629287</t>
  </si>
  <si>
    <t>2024-02-20</t>
  </si>
  <si>
    <t>4290739496</t>
  </si>
  <si>
    <t xml:space="preserve">FOLIO COMMENTS:, RESERVATION COMMENTS: , RATE PLAN: Booki, GUEST COMMENTS: </t>
  </si>
  <si>
    <t>178647705</t>
  </si>
  <si>
    <t>AI00343633204</t>
  </si>
  <si>
    <t>RESERVATION COMMENTS: , GUEST COMMENTS: , FOLIO COMMENTS:, RATE PLAN: Refun / PHONE NUMBER2: 3466617064</t>
  </si>
  <si>
    <t>2024-04-22</t>
  </si>
  <si>
    <t>2024-04-23</t>
  </si>
  <si>
    <t>AI00343664152</t>
  </si>
  <si>
    <t>2024-02-20 07:00:01</t>
  </si>
  <si>
    <t xml:space="preserve">RATE PLAN: Refun / PHONE NUMBER2: 2102327689, RESERVATION COMMENTS: , FOLIO COMMENTS:, GUEST COMMENTS: </t>
  </si>
  <si>
    <t>AI00343651833</t>
  </si>
  <si>
    <t xml:space="preserve">RATE PLAN: Refun / PHONE NUMBER2: 720934187j, FOLIO COMMENTS:, GUEST COMMENTS: , RESERVATION COMMENTS: </t>
  </si>
  <si>
    <t>179296986</t>
  </si>
  <si>
    <t>179410661</t>
  </si>
  <si>
    <t>RATE PLAN: OTA r, GUEST COMMENTS: , RESERVATION COMMENTS: , FOLIO COMMENTS: *Moved from 204 to 108 due to a</t>
  </si>
  <si>
    <t>AI00343666468</t>
  </si>
  <si>
    <t>RESERVATION COMMENTS: , RATE PLAN: Refun / PHONE NUMBER2: 3376037277, GUEST COMMENTS: , FOLIO COMMENTS:</t>
  </si>
  <si>
    <t>4180900504</t>
  </si>
  <si>
    <t>4063304499</t>
  </si>
  <si>
    <t>2024-02-21 07:00:01</t>
  </si>
  <si>
    <t>179826865</t>
  </si>
  <si>
    <t>179896545</t>
  </si>
  <si>
    <t>180102526</t>
  </si>
  <si>
    <t>AI00343692287</t>
  </si>
  <si>
    <t>179882661</t>
  </si>
  <si>
    <t>2024-03-12</t>
  </si>
  <si>
    <t>179768506</t>
  </si>
  <si>
    <t>180862429</t>
  </si>
  <si>
    <t>2024-02-22 07:00:01</t>
  </si>
  <si>
    <t>180638487</t>
  </si>
  <si>
    <t>AI00343718174</t>
  </si>
  <si>
    <t>FOLIO COMMENTS:, RESERVATION COMMENTS: , GUEST COMMENTS: , RATE PLAN: AARP / PHONE NUMBER2: 8174879975</t>
  </si>
  <si>
    <t>180394783</t>
  </si>
  <si>
    <t>180791116</t>
  </si>
  <si>
    <t>AI00343714901</t>
  </si>
  <si>
    <t xml:space="preserve">RATE PLAN: Refun / PHONE NUMBER2: 970-901-6105, FOLIO COMMENTS:, RESERVATION COMMENTS: , GUEST COMMENTS: </t>
  </si>
  <si>
    <t>AI00343712516</t>
  </si>
  <si>
    <t>181510989</t>
  </si>
  <si>
    <t>2024-02-23 07:00:01</t>
  </si>
  <si>
    <t>2024-03-23</t>
  </si>
  <si>
    <t>4224199522</t>
  </si>
  <si>
    <t xml:space="preserve">GUEST COMMENTS: no show key still in box ZAC, FOLIO COMMENTS:, RATE PLAN: Booki, RESERVATION COMMENTS: </t>
  </si>
  <si>
    <t>AI00343746018</t>
  </si>
  <si>
    <t xml:space="preserve">RATE PLAN: Refun / PHONE NUMBER2: 7192015443, FOLIO COMMENTS:, RESERVATION COMMENTS: , GUEST COMMENTS: </t>
  </si>
  <si>
    <t>AI00343729390</t>
  </si>
  <si>
    <t>FOLIO COMMENTS:, RESERVATION COMMENTS: , GUEST COMMENTS: , RATE PLAN: Refun / PHONE NUMBER2: 9705960261</t>
  </si>
  <si>
    <t>2024-05-11</t>
  </si>
  <si>
    <t>4060675912</t>
  </si>
  <si>
    <t>AI00343732114</t>
  </si>
  <si>
    <t>AI00343737771</t>
  </si>
  <si>
    <t>181139800</t>
  </si>
  <si>
    <t>GUEST COMMENTS: 3/5*, RESERVATION COMMENTS: , RATE PLAN: OTA r, FOLIO COMMENTS:</t>
  </si>
  <si>
    <t>181443137</t>
  </si>
  <si>
    <t>AI00343742777</t>
  </si>
  <si>
    <t xml:space="preserve">FOLIO COMMENTS:, RATE PLAN: Refun / PHONE NUMBER2: 6263203686, RESERVATION COMMENTS: , GUEST COMMENTS: </t>
  </si>
  <si>
    <t>181251470</t>
  </si>
  <si>
    <t>AI00343732215</t>
  </si>
  <si>
    <t>181407941</t>
  </si>
  <si>
    <t>181416908</t>
  </si>
  <si>
    <t>RESERVATION COMMENTS: , RATE PLAN: OTA r, GUEST COMMENTS: , FOLIO COMMENTS: 3/5* Its just a modest motel.</t>
  </si>
  <si>
    <t>181127989</t>
  </si>
  <si>
    <t>181468818</t>
  </si>
  <si>
    <t>2024-05-18</t>
  </si>
  <si>
    <t>181899504</t>
  </si>
  <si>
    <t>2024-02-24 07:00:01</t>
  </si>
  <si>
    <t>AI00343761510</t>
  </si>
  <si>
    <t>181831801</t>
  </si>
  <si>
    <t>181970306</t>
  </si>
  <si>
    <t>AI00343761587</t>
  </si>
  <si>
    <t>AI00343762274</t>
  </si>
  <si>
    <t>Canada</t>
  </si>
  <si>
    <t>GUEST COMMENTS: , RESERVATION COMMENTS: , FOLIO COMMENTS:, RATE PLAN: Refun / PHONE NUMBER2: 2049155765</t>
  </si>
  <si>
    <t>181683871</t>
  </si>
  <si>
    <t>181970309</t>
  </si>
  <si>
    <t>181782003</t>
  </si>
  <si>
    <t>182013446</t>
  </si>
  <si>
    <t>181692046</t>
  </si>
  <si>
    <t>RESERVATION COMMENTS: , RATE PLAN: OTA r, FOLIO COMMENTS:, GUEST COMMENTS: 3/5* Very noisy neighbors doors</t>
  </si>
  <si>
    <t>AI00343749101</t>
  </si>
  <si>
    <t xml:space="preserve">RESERVATION COMMENTS: , RATE PLAN: Refun / PHONE NUMBER2: 5074526271, FOLIO COMMENTS:, GUEST COMMENTS: </t>
  </si>
  <si>
    <t>2024-03-27</t>
  </si>
  <si>
    <t>4270497978</t>
  </si>
  <si>
    <t>182493046</t>
  </si>
  <si>
    <t>2024-02-25 07:00:01</t>
  </si>
  <si>
    <t>182396124</t>
  </si>
  <si>
    <t>2024-03-21</t>
  </si>
  <si>
    <t>182268995</t>
  </si>
  <si>
    <t>182571861</t>
  </si>
  <si>
    <t>182435456</t>
  </si>
  <si>
    <t>AI00343774345</t>
  </si>
  <si>
    <t>RESERVATION COMMENTS: , GUEST COMMENTS: , RATE PLAN: AARP / PHONE NUMBER2: 4695805171, FOLIO COMMENTS:</t>
  </si>
  <si>
    <t>182388725</t>
  </si>
  <si>
    <t>183244657</t>
  </si>
  <si>
    <t>2024-02-26 07:00:01</t>
  </si>
  <si>
    <t>2024-06-16</t>
  </si>
  <si>
    <t>4070680784</t>
  </si>
  <si>
    <t>4083539049</t>
  </si>
  <si>
    <t>RESERVATION COMMENTS: , FOLIO COMMENTS:, GUEST COMMENTS: spoke with guest going to be a, RATE PLAN: Booki</t>
  </si>
  <si>
    <t>182898797</t>
  </si>
  <si>
    <t>2024-02-28</t>
  </si>
  <si>
    <t>183177196</t>
  </si>
  <si>
    <t>4083560273</t>
  </si>
  <si>
    <t>AI00343805698</t>
  </si>
  <si>
    <t xml:space="preserve">GUEST COMMENTS: , RATE PLAN: Refun / PHONE NUMBER2: 9283106619, FOLIO COMMENTS:, RESERVATION COMMENTS: </t>
  </si>
  <si>
    <t>183424524</t>
  </si>
  <si>
    <t>183303138</t>
  </si>
  <si>
    <t>183324547</t>
  </si>
  <si>
    <t>183339230</t>
  </si>
  <si>
    <t>AI00343839224</t>
  </si>
  <si>
    <t>2024-02-27 07:00:01</t>
  </si>
  <si>
    <t xml:space="preserve">RATE PLAN: Refun / PHONE NUMBER2: 8562659588, GUEST COMMENTS: , FOLIO COMMENTS:, RESERVATION COMMENTS: </t>
  </si>
  <si>
    <t>AI00343835747</t>
  </si>
  <si>
    <t>2024-07-23</t>
  </si>
  <si>
    <t>184140282</t>
  </si>
  <si>
    <t>4064034805</t>
  </si>
  <si>
    <t>4054470674</t>
  </si>
  <si>
    <t>4221167135</t>
  </si>
  <si>
    <t>AI00343835826</t>
  </si>
  <si>
    <t>183612003</t>
  </si>
  <si>
    <t>4253613061</t>
  </si>
  <si>
    <t>AI00343834320</t>
  </si>
  <si>
    <t>4221178486</t>
  </si>
  <si>
    <t>183818428</t>
  </si>
  <si>
    <t>RESERVATION COMMENTS: added 1 night, GUEST COMMENTS: , RATE PLAN: OTA r, FOLIO COMMENTS:</t>
  </si>
  <si>
    <t>184178323</t>
  </si>
  <si>
    <t>184890757</t>
  </si>
  <si>
    <t>2024-02-28 07:00:01</t>
  </si>
  <si>
    <t>AI00343866000</t>
  </si>
  <si>
    <t>AI00343862871</t>
  </si>
  <si>
    <t>RATE PLAN: Milit</t>
  </si>
  <si>
    <t>4257279785</t>
  </si>
  <si>
    <t>AI00343851194</t>
  </si>
  <si>
    <t>184604925</t>
  </si>
  <si>
    <t>AI00343850261</t>
  </si>
  <si>
    <t>185444334</t>
  </si>
  <si>
    <t>2024-02-29 07:00:01</t>
  </si>
  <si>
    <t>RATE PLAN: OTA r, GUEST COMMENTS: "Special requestaway from, RESERVATION COMMENTS: , FOLIO COMMENTS:</t>
  </si>
  <si>
    <t>185423359</t>
  </si>
  <si>
    <t>4225918039</t>
  </si>
  <si>
    <t>185573655</t>
  </si>
  <si>
    <t>4056200691</t>
  </si>
  <si>
    <t>2024-04-19</t>
  </si>
  <si>
    <t>AI00343885304</t>
  </si>
  <si>
    <t>FOLIO COMMENTS:, GUEST COMMENTS: , RESERVATION COMMENTS: , RATE PLAN: Refun / PHONE NUMBER2: 5419774329</t>
  </si>
  <si>
    <t>AI00343890995</t>
  </si>
  <si>
    <t>RESERVATION COMMENTS: , FOLIO COMMENTS:, GUEST COMMENTS: , RATE PLAN: Refun / PHONE NUMBER2: 9512357291</t>
  </si>
  <si>
    <t>185377259</t>
  </si>
  <si>
    <t>185116221</t>
  </si>
  <si>
    <t>186109850</t>
  </si>
  <si>
    <t>2024-03-01 07:00:01</t>
  </si>
  <si>
    <t>RESERVATION COMMENTS: , GUEST COMMENTS: 12pm late check out, RATE PLAN: OTA r, FOLIO COMMENTS:</t>
  </si>
  <si>
    <t>2024-05-04</t>
  </si>
  <si>
    <t>4280785210</t>
  </si>
  <si>
    <t>AI00343923587</t>
  </si>
  <si>
    <t>185990441</t>
  </si>
  <si>
    <t>AI00343906904</t>
  </si>
  <si>
    <t>FOLIO COMMENTS:, RESERVATION COMMENTS: , GUEST COMMENTS: , RATE PLAN: Rack / PHONE NUMBER2: 7199636356</t>
  </si>
  <si>
    <t>AI00343921361</t>
  </si>
  <si>
    <t>186045979</t>
  </si>
  <si>
    <t>AI00343938886</t>
  </si>
  <si>
    <t>2024-03-02 07:00:01</t>
  </si>
  <si>
    <t>186700616</t>
  </si>
  <si>
    <t>186514997</t>
  </si>
  <si>
    <t>2024-03-05</t>
  </si>
  <si>
    <t>4079942535</t>
  </si>
  <si>
    <t xml:space="preserve">RATE PLAN: Booki, GUEST COMMENTS: , FOLIO COMMENTS:, RESERVATION COMMENTS: </t>
  </si>
  <si>
    <t>AI00343950914</t>
  </si>
  <si>
    <t>4079984409</t>
  </si>
  <si>
    <t>186699195</t>
  </si>
  <si>
    <t>186670446</t>
  </si>
  <si>
    <t>AI00343933229</t>
  </si>
  <si>
    <t>RATE PLAN: Refun / PHONE NUMBER2: 9704037363, GUEST COMMENTS: , RESERVATION COMMENTS: , FOLIO COMMENTS:</t>
  </si>
  <si>
    <t>AI00343945378</t>
  </si>
  <si>
    <t xml:space="preserve">RESERVATION COMMENTS: , RATE PLAN: Refun / PHONE NUMBER2: 8174080326, FOLIO COMMENTS:, GUEST COMMENTS: </t>
  </si>
  <si>
    <t>186484371</t>
  </si>
  <si>
    <t>AI00343944423</t>
  </si>
  <si>
    <t xml:space="preserve">RATE PLAN: Refun / PHONE NUMBER2: 970-975-0562, FOLIO COMMENTS:, GUEST COMMENTS: , RESERVATION COMMENTS: </t>
  </si>
  <si>
    <t>186704911</t>
  </si>
  <si>
    <t>186780147</t>
  </si>
  <si>
    <t>187178916</t>
  </si>
  <si>
    <t>2024-03-03 07:00:01</t>
  </si>
  <si>
    <t>AI00343972479</t>
  </si>
  <si>
    <t>187532041</t>
  </si>
  <si>
    <t>187256277</t>
  </si>
  <si>
    <t>187256276</t>
  </si>
  <si>
    <t>187380799</t>
  </si>
  <si>
    <t>4279144610</t>
  </si>
  <si>
    <t>AI00343975506</t>
  </si>
  <si>
    <t>4263103541</t>
  </si>
  <si>
    <t>2024-03-04 07:00:01</t>
  </si>
  <si>
    <t>187767173</t>
  </si>
  <si>
    <t>188219432</t>
  </si>
  <si>
    <t>2024-05-15</t>
  </si>
  <si>
    <t>AI00344007367</t>
  </si>
  <si>
    <t xml:space="preserve">FOLIO COMMENTS:, RATE PLAN: Rack / PHONE NUMBER2: 5304005040, GUEST COMMENTS: , RESERVATION COMMENTS: </t>
  </si>
  <si>
    <t>187824434</t>
  </si>
  <si>
    <t>RESERVATION COMMENTS: , FOLIO COMMENTS:, GUEST COMMENTS: late arrival, RATE PLAN: OTA r</t>
  </si>
  <si>
    <t>AI00344006546</t>
  </si>
  <si>
    <t>RESERVATION COMMENTS: , GUEST COMMENTS: , RATE PLAN: Refun / PHONE NUMBER2: 7208915153, FOLIO COMMENTS:</t>
  </si>
  <si>
    <t>109 (SMQ), 108 (STK)</t>
  </si>
  <si>
    <t>Small Queen, Standard King</t>
  </si>
  <si>
    <t>4007686434</t>
  </si>
  <si>
    <t>AI00343992336</t>
  </si>
  <si>
    <t>4157554116</t>
  </si>
  <si>
    <t>RATE PLAN: OTA r, RESERVATION COMMENTS: , FOLIO COMMENTS:, GUEST COMMENTS: upgraded to a king had them on</t>
  </si>
  <si>
    <t>187767073</t>
  </si>
  <si>
    <t>4053765259</t>
  </si>
  <si>
    <t>187817245</t>
  </si>
  <si>
    <t>4209575453</t>
  </si>
  <si>
    <t>188041869</t>
  </si>
  <si>
    <t>188146815</t>
  </si>
  <si>
    <t>FOLIO COMMENTS: Direct Booking was set up as a, RESERVATION COMMENTS: , GUEST COMMENTS: late arrival guest arriving after, RATE PLAN: OTA r</t>
  </si>
  <si>
    <t>AI00344036044</t>
  </si>
  <si>
    <t>2024-03-05 07:00:01</t>
  </si>
  <si>
    <t xml:space="preserve">RATE PLAN: Refun / PHONE NUMBER2: 3108044632, FOLIO COMMENTS:, RESERVATION COMMENTS: , GUEST COMMENTS: </t>
  </si>
  <si>
    <t>188990334</t>
  </si>
  <si>
    <t>2024-04-28</t>
  </si>
  <si>
    <t>4162482614</t>
  </si>
  <si>
    <t>188991153</t>
  </si>
  <si>
    <t xml:space="preserve">RATE PLAN: OTA r, GUEST COMMENTS: Special requestWe need, FOLIO COMMENTS:, RESERVATION COMMENTS: </t>
  </si>
  <si>
    <t>188690286</t>
  </si>
  <si>
    <t>4215705155</t>
  </si>
  <si>
    <t>188820149</t>
  </si>
  <si>
    <t>188816723</t>
  </si>
  <si>
    <t>4239531077</t>
  </si>
  <si>
    <t xml:space="preserve">FOLIO COMMENTS:, RATE PLAN: Booki, GUEST COMMENTS: , RESERVATION COMMENTS: </t>
  </si>
  <si>
    <t>188991156</t>
  </si>
  <si>
    <t>GUEST COMMENTS: Special requestWe need, RESERVATION COMMENTS: , FOLIO COMMENTS:, RATE PLAN: OTA r</t>
  </si>
  <si>
    <t>4162482639</t>
  </si>
  <si>
    <t>AI00344046797</t>
  </si>
  <si>
    <t>2024-03-06 07:00:01</t>
  </si>
  <si>
    <t>GUEST COMMENTS: , RESERVATION COMMENTS: , FOLIO COMMENTS:, RATE PLAN: Rack / PHONE NUMBER2: 2017100188</t>
  </si>
  <si>
    <t>189564467</t>
  </si>
  <si>
    <t>AI00344057148</t>
  </si>
  <si>
    <t xml:space="preserve">FOLIO COMMENTS:, RESERVATION COMMENTS: , RATE PLAN: Refun / PHONE NUMBER2: 4084066178, GUEST COMMENTS: </t>
  </si>
  <si>
    <t>AI00344058857</t>
  </si>
  <si>
    <t xml:space="preserve">RATE PLAN: Refun / PHONE NUMBER2: 8018609732, GUEST COMMENTS: , FOLIO COMMENTS:, RESERVATION COMMENTS: </t>
  </si>
  <si>
    <t>2024-04-16</t>
  </si>
  <si>
    <t>189498723</t>
  </si>
  <si>
    <t>189746208</t>
  </si>
  <si>
    <t>RESERVATION COMMENTS: , GUEST COMMENTS: late arrival, FOLIO COMMENTS:, RATE PLAN: OTA r</t>
  </si>
  <si>
    <t>2024-05-22</t>
  </si>
  <si>
    <t>AI00344051748</t>
  </si>
  <si>
    <t xml:space="preserve">FOLIO COMMENTS:, RATE PLAN: Refun / PHONE NUMBER2: 510-541-5104, RESERVATION COMMENTS: , GUEST COMMENTS: </t>
  </si>
  <si>
    <t>AI00344049385</t>
  </si>
  <si>
    <t>RESERVATION COMMENTS: , GUEST COMMENTS: , RATE PLAN: Refun / PHONE NUMBER2: 9707089592, FOLIO COMMENTS:</t>
  </si>
  <si>
    <t>AI00344054819</t>
  </si>
  <si>
    <t xml:space="preserve">GUEST COMMENTS: , FOLIO COMMENTS:, RATE PLAN: Rack / PHONE NUMBER2: 720934187j, RESERVATION COMMENTS: </t>
  </si>
  <si>
    <t>2024-03-26</t>
  </si>
  <si>
    <t>189648542</t>
  </si>
  <si>
    <t>189231675</t>
  </si>
  <si>
    <t>AI00344071313</t>
  </si>
  <si>
    <t>2024-03-07 07:00:01</t>
  </si>
  <si>
    <t>RESERVATION COMMENTS: , GUEST COMMENTS: , RATE PLAN: Refun / PHONE NUMBER2: 4109485110, FOLIO COMMENTS:</t>
  </si>
  <si>
    <t>AI00344083046</t>
  </si>
  <si>
    <t>RATE PLAN: Refun / PHONE NUMBER2: 505-919-8775, RESERVATION COMMENTS: , GUEST COMMENTS: , FOLIO COMMENTS:</t>
  </si>
  <si>
    <t>190048604</t>
  </si>
  <si>
    <t>190240279</t>
  </si>
  <si>
    <t xml:space="preserve">FOLIO COMMENTS: Will Mail 2 Keys Back to us-JF, RATE PLAN: OTA r, RESERVATION COMMENTS: , GUEST COMMENTS: </t>
  </si>
  <si>
    <t>190241041</t>
  </si>
  <si>
    <t>AI00344080076</t>
  </si>
  <si>
    <t xml:space="preserve">RATE PLAN: Rack / PHONE NUMBER2: 7272711521, GUEST COMMENTS: , FOLIO COMMENTS:, RESERVATION COMMENTS: </t>
  </si>
  <si>
    <t>4254527919</t>
  </si>
  <si>
    <t>AI00344080212</t>
  </si>
  <si>
    <t>2024-08-14</t>
  </si>
  <si>
    <t>2024-08-16</t>
  </si>
  <si>
    <t>190183412</t>
  </si>
  <si>
    <t>2024-04-08</t>
  </si>
  <si>
    <t>190101392</t>
  </si>
  <si>
    <t>190240281</t>
  </si>
  <si>
    <t>AI00344089806</t>
  </si>
  <si>
    <t xml:space="preserve">RATE PLAN: Refun / PHONE NUMBER2: 479-685-4597, FOLIO COMMENTS:, RESERVATION COMMENTS: , GUEST COMMENTS: </t>
  </si>
  <si>
    <t>190240278</t>
  </si>
  <si>
    <t>190240284</t>
  </si>
  <si>
    <t>AI00344089772</t>
  </si>
  <si>
    <t>RESERVATION COMMENTS: , FOLIO COMMENTS: left message about late check in, GUEST COMMENTS: , RATE PLAN: Refun / PHONE NUMBER2: 479-685-4597</t>
  </si>
  <si>
    <t>189808988</t>
  </si>
  <si>
    <t>190183489</t>
  </si>
  <si>
    <t>190177552</t>
  </si>
  <si>
    <t>190462112</t>
  </si>
  <si>
    <t>RESERVATION COMMENTS: , GUEST COMMENTS: info email - 4/3 @4:53am Name:, FOLIO COMMENTS: left message about late check, RATE PLAN: OTA r</t>
  </si>
  <si>
    <t>190337923</t>
  </si>
  <si>
    <t>190048607</t>
  </si>
  <si>
    <t>AI00344088692</t>
  </si>
  <si>
    <t>190313339</t>
  </si>
  <si>
    <t>2024-10-12</t>
  </si>
  <si>
    <t>2024-10-14</t>
  </si>
  <si>
    <t>191029453</t>
  </si>
  <si>
    <t>2024-03-08 07:00:01</t>
  </si>
  <si>
    <t>191029452</t>
  </si>
  <si>
    <t>191139574</t>
  </si>
  <si>
    <t xml:space="preserve">FOLIO COMMENTS:, RATE PLAN: OTA r, GUEST COMMENTS: already in house, RESERVATION COMMENTS: </t>
  </si>
  <si>
    <t>191076564</t>
  </si>
  <si>
    <t>191147402</t>
  </si>
  <si>
    <t>191076565</t>
  </si>
  <si>
    <t>190982032</t>
  </si>
  <si>
    <t>191063327</t>
  </si>
  <si>
    <t>191000639</t>
  </si>
  <si>
    <t>AI00344101092</t>
  </si>
  <si>
    <t>GUEST COMMENTS: , FOLIO COMMENTS:, RATE PLAN: Rack, RESERVATION COMMENTS: no phone number to call for late</t>
  </si>
  <si>
    <t>191181162</t>
  </si>
  <si>
    <t>190946839</t>
  </si>
  <si>
    <t>4110577312</t>
  </si>
  <si>
    <t>2024-03-09 07:00:01</t>
  </si>
  <si>
    <t>191365370</t>
  </si>
  <si>
    <t>4160539278</t>
  </si>
  <si>
    <t>FOLIO COMMENTS:, GUEST COMMENTS: , RESERVATION COMMENTS: extension - Rate Plan changed to, RATE PLAN: Booki</t>
  </si>
  <si>
    <t>AI00344141940</t>
  </si>
  <si>
    <t xml:space="preserve">FOLIO COMMENTS:, RATE PLAN: Refun / PHONE NUMBER2: 4803941282, GUEST COMMENTS: , RESERVATION COMMENTS: </t>
  </si>
  <si>
    <t>AI00344136696</t>
  </si>
  <si>
    <t>RATE PLAN: Rack / PHONE NUMBER2: 720934187j</t>
  </si>
  <si>
    <t>4056114765</t>
  </si>
  <si>
    <t xml:space="preserve">GUEST COMMENTS: incomplete phone number, FOLIO COMMENTS:, RATE PLAN: Booki, RESERVATION COMMENTS: </t>
  </si>
  <si>
    <t>4196241572</t>
  </si>
  <si>
    <t>AI00344139891</t>
  </si>
  <si>
    <t>191731945</t>
  </si>
  <si>
    <t>4000687961</t>
  </si>
  <si>
    <t>India</t>
  </si>
  <si>
    <t>2024-03-10 07:00:01</t>
  </si>
  <si>
    <t>4139077793</t>
  </si>
  <si>
    <t>AI00344163630</t>
  </si>
  <si>
    <t>4098034907</t>
  </si>
  <si>
    <t>AI00344161616</t>
  </si>
  <si>
    <t>AI00344161548</t>
  </si>
  <si>
    <t xml:space="preserve">RESERVATION COMMENTS: , RATE PLAN: Rack / PHONE NUMBER2: 9038149631, FOLIO COMMENTS:, GUEST COMMENTS: </t>
  </si>
  <si>
    <t>191972869</t>
  </si>
  <si>
    <t>4098081467</t>
  </si>
  <si>
    <t xml:space="preserve">FOLIO COMMENTS:, RATE PLAN: Booki, RESERVATION COMMENTS: , GUEST COMMENTS: </t>
  </si>
  <si>
    <t>AI00344160457</t>
  </si>
  <si>
    <t>AI00344151031</t>
  </si>
  <si>
    <t>RATE PLAN: Refun / PHONE NUMBER2: 978-979-4257, RESERVATION COMMENTS: , GUEST COMMENTS: , FOLIO COMMENTS:</t>
  </si>
  <si>
    <t>AI00344163034</t>
  </si>
  <si>
    <t>AI00344164057</t>
  </si>
  <si>
    <t>RATE PLAN: Rack / PHONE NUMBER2: 1 805 290 0283</t>
  </si>
  <si>
    <t>4251583712</t>
  </si>
  <si>
    <t>AI00344180358</t>
  </si>
  <si>
    <t>2024-03-11 06:00:01</t>
  </si>
  <si>
    <t>192583142</t>
  </si>
  <si>
    <t>192583140</t>
  </si>
  <si>
    <t>193049003</t>
  </si>
  <si>
    <t>RESERVATION COMMENTS: , RATE PLAN: OTA r, GUEST COMMENTS: , FOLIO COMMENTS: left message about late check in</t>
  </si>
  <si>
    <t>193040901</t>
  </si>
  <si>
    <t>193104826</t>
  </si>
  <si>
    <t>4108817183</t>
  </si>
  <si>
    <t>AI00344175385</t>
  </si>
  <si>
    <t>192534923</t>
  </si>
  <si>
    <t>192935447</t>
  </si>
  <si>
    <t>4150678488</t>
  </si>
  <si>
    <t>192735337</t>
  </si>
  <si>
    <t>193060807</t>
  </si>
  <si>
    <t>4040104629</t>
  </si>
  <si>
    <t>2024-03-12 06:00:01</t>
  </si>
  <si>
    <t>GUEST COMMENTS: *I did place you on the main floor, RESERVATION COMMENTS: , RATE PLAN: OTA r, FOLIO COMMENTS: Do not discount further please. T</t>
  </si>
  <si>
    <t>AI00344217269</t>
  </si>
  <si>
    <t xml:space="preserve">RATE PLAN: Refun / PHONE NUMBER2: 5052637885, RESERVATION COMMENTS: , FOLIO COMMENTS:, GUEST COMMENTS: </t>
  </si>
  <si>
    <t>193561320</t>
  </si>
  <si>
    <t>193745915</t>
  </si>
  <si>
    <t>116 (DQ), 102 (DQ)</t>
  </si>
  <si>
    <t>4018184836</t>
  </si>
  <si>
    <t>AI00344252145</t>
  </si>
  <si>
    <t xml:space="preserve">RATE PLAN: Rack, FOLIO COMMENTS: paid 150.00 in cash and rest on, RESERVATION COMMENTS: , GUEST COMMENTS: </t>
  </si>
  <si>
    <t>193303431</t>
  </si>
  <si>
    <t>193579993</t>
  </si>
  <si>
    <t>4214658097</t>
  </si>
  <si>
    <t>RESERVATION COMMENTS: , GUEST COMMENTS: , RATE PLAN: Booki, FOLIO COMMENTS:</t>
  </si>
  <si>
    <t>193746527</t>
  </si>
  <si>
    <t>AI00344268119</t>
  </si>
  <si>
    <t>193592974</t>
  </si>
  <si>
    <t>2024-05-07</t>
  </si>
  <si>
    <t>193815874</t>
  </si>
  <si>
    <t>4093094072</t>
  </si>
  <si>
    <t>193562163</t>
  </si>
  <si>
    <t>193564866</t>
  </si>
  <si>
    <t>193515604</t>
  </si>
  <si>
    <t>FOLIO COMMENTS:, GUEST COMMENTS: "We will be arriving after 9pm.", RESERVATION COMMENTS: , RATE PLAN: OTA r</t>
  </si>
  <si>
    <t>AI00344210363</t>
  </si>
  <si>
    <t>RESERVATION COMMENTS: , RATE PLAN: Refun / PHONE NUMBER2: 5125938965, GUEST COMMENTS: , FOLIO COMMENTS:</t>
  </si>
  <si>
    <t>193529122</t>
  </si>
  <si>
    <t>193729424</t>
  </si>
  <si>
    <t>AI00344287266</t>
  </si>
  <si>
    <t>2024-03-13 06:00:01</t>
  </si>
  <si>
    <t>194141967</t>
  </si>
  <si>
    <t>2024-10-17</t>
  </si>
  <si>
    <t>2024-10-19</t>
  </si>
  <si>
    <t>16944LB21527|21527</t>
  </si>
  <si>
    <t>RESERVATION COMMENTS: , GUEST COMMENTS: , RATE PLAN: Refun / PHONE NUMBER2: 5308361944, FOLIO COMMENTS:</t>
  </si>
  <si>
    <t>AI00344286311</t>
  </si>
  <si>
    <t>AI00344281899</t>
  </si>
  <si>
    <t>16944HR21524|21524</t>
  </si>
  <si>
    <t xml:space="preserve">GUEST COMMENTS: , RATE PLAN: Refun / PHONE NUMBER2: 5308361944, FOLIO COMMENTS:, RESERVATION COMMENTS: </t>
  </si>
  <si>
    <t>AI00344282542</t>
  </si>
  <si>
    <t>RESERVATION COMMENTS: , GUEST COMMENTS: , RATE PLAN: Refun / PHONE NUMBER2: +48534366200, FOLIO COMMENTS:</t>
  </si>
  <si>
    <t>AI00344286142</t>
  </si>
  <si>
    <t>2024-07-12</t>
  </si>
  <si>
    <t>194103268</t>
  </si>
  <si>
    <t>AI00344289640</t>
  </si>
  <si>
    <t>193964031</t>
  </si>
  <si>
    <t>AI00344282564</t>
  </si>
  <si>
    <t>GUEST COMMENTS: , FOLIO COMMENTS:, RESERVATION COMMENTS: , RATE PLAN: Refun / PHONE NUMBER2: +48534366200</t>
  </si>
  <si>
    <t>16944MC21526|21526</t>
  </si>
  <si>
    <t xml:space="preserve">RESERVATION COMMENTS: , RATE PLAN: Refun / PHONE NUMBER2: 5308361944, FOLIO COMMENTS:, GUEST COMMENTS: </t>
  </si>
  <si>
    <t>4063184468</t>
  </si>
  <si>
    <t>Austria</t>
  </si>
  <si>
    <t>AI00344288694</t>
  </si>
  <si>
    <t xml:space="preserve">FOLIO COMMENTS:, RATE PLAN: OTA r, GUEST COMMENTS: Late arrival explained to guest, RESERVATION COMMENTS: </t>
  </si>
  <si>
    <t>194314147</t>
  </si>
  <si>
    <t>16944VM21523|21523</t>
  </si>
  <si>
    <t xml:space="preserve">FOLIO COMMENTS:, RESERVATION COMMENTS: , RATE PLAN: Refun / PHONE NUMBER2: 5308361944, GUEST COMMENTS: </t>
  </si>
  <si>
    <t>16944IX21521|21521</t>
  </si>
  <si>
    <t>RATE PLAN: Refun / PHONE NUMBER2: 5308361944, GUEST COMMENTS: , RESERVATION COMMENTS: , FOLIO COMMENTS:</t>
  </si>
  <si>
    <t>16944QO21525|21525</t>
  </si>
  <si>
    <t xml:space="preserve">FOLIO COMMENTS:, RATE PLAN: Refun / PHONE NUMBER2: 5308361944, RESERVATION COMMENTS: , GUEST COMMENTS: </t>
  </si>
  <si>
    <t>16944GJ21522|21522</t>
  </si>
  <si>
    <t>RESERVATION COMMENTS: , RATE PLAN: Refun / PHONE NUMBER2: 5308361944, GUEST COMMENTS: , FOLIO COMMENTS:</t>
  </si>
  <si>
    <t>AI00344301465</t>
  </si>
  <si>
    <t>2024-03-14 06:00:01</t>
  </si>
  <si>
    <t>RESERVATION COMMENTS: , RATE PLAN: Rack / PHONE NUMBER2: 2144979657, GUEST COMMENTS: , FOLIO COMMENTS:</t>
  </si>
  <si>
    <t>AI00344307630</t>
  </si>
  <si>
    <t>FOLIO COMMENTS:, GUEST COMMENTS: , RESERVATION COMMENTS: , RATE PLAN: Refun / PHONE NUMBER2: 9782013859</t>
  </si>
  <si>
    <t>2024-08-07</t>
  </si>
  <si>
    <t>2024-08-10</t>
  </si>
  <si>
    <t>16944QX21533|21533</t>
  </si>
  <si>
    <t xml:space="preserve">RATE PLAN: Refun / PHONE NUMBER2: 8168051969, GUEST COMMENTS: , FOLIO COMMENTS:, RESERVATION COMMENTS: </t>
  </si>
  <si>
    <t>AI00344319879</t>
  </si>
  <si>
    <t>195060863</t>
  </si>
  <si>
    <t>AI00344313558</t>
  </si>
  <si>
    <t>RESERVATION COMMENTS: , GUEST COMMENTS: , FOLIO COMMENTS:, RATE PLAN: Refun / PHONE NUMBER2: 2103252543</t>
  </si>
  <si>
    <t>AI00344302837</t>
  </si>
  <si>
    <t xml:space="preserve">RATE PLAN: Refun / PHONE NUMBER2: 5702292713, GUEST COMMENTS: , FOLIO COMMENTS:, RESERVATION COMMENTS: </t>
  </si>
  <si>
    <t>AI00344309261</t>
  </si>
  <si>
    <t>RESERVATION COMMENTS: , GUEST COMMENTS: left message about late check in, FOLIO COMMENTS:, RATE PLAN: Refun / PHONE NUMBER2: 4354293162</t>
  </si>
  <si>
    <t>AI00344308327</t>
  </si>
  <si>
    <t>AI00344320163</t>
  </si>
  <si>
    <t>195161496</t>
  </si>
  <si>
    <t>195218224</t>
  </si>
  <si>
    <t>AI00344313569</t>
  </si>
  <si>
    <t>RESERVATION COMMENTS: , RATE PLAN: Refun / PHONE NUMBER2: 2103252543, GUEST COMMENTS: , FOLIO COMMENTS:</t>
  </si>
  <si>
    <t>AI00344314458</t>
  </si>
  <si>
    <t xml:space="preserve">FOLIO COMMENTS: Chris kopren, RATE PLAN: Rack / PHONE NUMBER2: 5054698353, RESERVATION COMMENTS: , GUEST COMMENTS: </t>
  </si>
  <si>
    <t>AI00344301454</t>
  </si>
  <si>
    <t>RATE PLAN: Rack / PHONE NUMBER2: 2144979657, RESERVATION COMMENTS: , GUEST COMMENTS: , FOLIO COMMENTS:</t>
  </si>
  <si>
    <t>195858087</t>
  </si>
  <si>
    <t>2024-03-15 06:00:01</t>
  </si>
  <si>
    <t>AI00344343876</t>
  </si>
  <si>
    <t>196009774</t>
  </si>
  <si>
    <t>AI00344335507</t>
  </si>
  <si>
    <t>RESERVATION COMMENTS: , FOLIO COMMENTS:, GUEST COMMENTS: , RATE PLAN: Refun / PHONE NUMBER2: 5059206120</t>
  </si>
  <si>
    <t>AI00344330939</t>
  </si>
  <si>
    <t xml:space="preserve">FOLIO COMMENTS:, RATE PLAN: Rack / PHONE NUMBER2: 5054698353, RESERVATION COMMENTS: , GUEST COMMENTS: </t>
  </si>
  <si>
    <t>AI00344335530</t>
  </si>
  <si>
    <t xml:space="preserve">RESERVATION COMMENTS: , FOLIO COMMENTS:, RATE PLAN: Refun / PHONE NUMBER2: 5059206120, GUEST COMMENTS: </t>
  </si>
  <si>
    <t>195485148</t>
  </si>
  <si>
    <t>AI00344343764</t>
  </si>
  <si>
    <t>195936736</t>
  </si>
  <si>
    <t>AI00344347061</t>
  </si>
  <si>
    <t xml:space="preserve">RATE PLAN: Refun / PHONE NUMBER2: 5752090049, RESERVATION COMMENTS: , FOLIO COMMENTS:, GUEST COMMENTS: </t>
  </si>
  <si>
    <t>2024-09-13</t>
  </si>
  <si>
    <t>2024-09-14</t>
  </si>
  <si>
    <t>195820231</t>
  </si>
  <si>
    <t>195820232</t>
  </si>
  <si>
    <t>2024-10-04</t>
  </si>
  <si>
    <t>2024-10-05</t>
  </si>
  <si>
    <t>4213074497</t>
  </si>
  <si>
    <t>4259681010</t>
  </si>
  <si>
    <t>2024-03-16 06:00:01</t>
  </si>
  <si>
    <t>196478823</t>
  </si>
  <si>
    <t>4195781269</t>
  </si>
  <si>
    <t>4279569937</t>
  </si>
  <si>
    <t>4152018966</t>
  </si>
  <si>
    <t>196437518</t>
  </si>
  <si>
    <t>4227947623</t>
  </si>
  <si>
    <t>196389077</t>
  </si>
  <si>
    <t>196386064</t>
  </si>
  <si>
    <t>2024-04-18</t>
  </si>
  <si>
    <t>4227968871</t>
  </si>
  <si>
    <t>GUEST COMMENTS: couldn't call guest due to the out, RATE PLAN: OTA r, RESERVATION COMMENTS: , FOLIO COMMENTS:</t>
  </si>
  <si>
    <t>4188222742</t>
  </si>
  <si>
    <t>RESERVATION COMMENTS: , FOLIO COMMENTS:, GUEST COMMENTS: arrive 2-3 pm, RATE PLAN: Booki</t>
  </si>
  <si>
    <t>AI00344375310</t>
  </si>
  <si>
    <t xml:space="preserve">FOLIO COMMENTS:, RATE PLAN: Refun / PHONE NUMBER2: 6087515755, RESERVATION COMMENTS: , GUEST COMMENTS: </t>
  </si>
  <si>
    <t>196348544</t>
  </si>
  <si>
    <t>197042313</t>
  </si>
  <si>
    <t>2024-03-17 06:00:01</t>
  </si>
  <si>
    <t>197018433</t>
  </si>
  <si>
    <t>196957374</t>
  </si>
  <si>
    <t>4136437217</t>
  </si>
  <si>
    <t>AI00344393871</t>
  </si>
  <si>
    <t>RESERVATION COMMENTS: , RATE PLAN: Rack / PHONE NUMBER2: 3038862392, GUEST COMMENTS: , FOLIO COMMENTS:</t>
  </si>
  <si>
    <t>197147253</t>
  </si>
  <si>
    <t>197147183</t>
  </si>
  <si>
    <t>RATE PLAN: OTA r, GUEST COMMENTS: , RESERVATION COMMENTS: , FOLIO COMMENTS: Didnt arrive on first night as a</t>
  </si>
  <si>
    <t>2024-08-02</t>
  </si>
  <si>
    <t>4033360694</t>
  </si>
  <si>
    <t>196842192</t>
  </si>
  <si>
    <t>AI00344399945</t>
  </si>
  <si>
    <t>4173267104</t>
  </si>
  <si>
    <t>RESERVATION COMMENTS: , RATE PLAN: OTA r, FOLIO COMMENTS:, GUEST COMMENTS: guest stated it was hot in room</t>
  </si>
  <si>
    <t>4180824180</t>
  </si>
  <si>
    <t>AI00344388965</t>
  </si>
  <si>
    <t xml:space="preserve">RATE PLAN: Refun / PHONE NUMBER2: 7404084293, RESERVATION COMMENTS: , FOLIO COMMENTS:, GUEST COMMENTS: </t>
  </si>
  <si>
    <t>196567419</t>
  </si>
  <si>
    <t>196730710</t>
  </si>
  <si>
    <t>196730158</t>
  </si>
  <si>
    <t>4082861364</t>
  </si>
  <si>
    <t>2024-10-07</t>
  </si>
  <si>
    <t>2024-10-09</t>
  </si>
  <si>
    <t>197769543</t>
  </si>
  <si>
    <t>2024-03-18 06:00:01</t>
  </si>
  <si>
    <t>197763138</t>
  </si>
  <si>
    <t>AI00344435643</t>
  </si>
  <si>
    <t>RATE PLAN: Refun / PHONE NUMBER2: 9705682225, GUEST COMMENTS: , FOLIO COMMENTS:, RESERVATION COMMENTS: Full Refund, didnts stay due to</t>
  </si>
  <si>
    <t>197824474</t>
  </si>
  <si>
    <t>RESERVATION COMMENTS: , FOLIO COMMENTS:, GUEST COMMENTS: Late arrival spoke with guest will, RATE PLAN: OTA r</t>
  </si>
  <si>
    <t>197395252</t>
  </si>
  <si>
    <t>197358154</t>
  </si>
  <si>
    <t>4075555864</t>
  </si>
  <si>
    <t>4011686624</t>
  </si>
  <si>
    <t>197291253</t>
  </si>
  <si>
    <t>RESERVATION COMMENTS: , GUEST COMMENTS: NQ1 to NQ2 TLate arrival called, FOLIO COMMENTS:, RATE PLAN: OTA r</t>
  </si>
  <si>
    <t>197803459</t>
  </si>
  <si>
    <t>197512172</t>
  </si>
  <si>
    <t>197603625</t>
  </si>
  <si>
    <t>RATE PLAN: OTA r, FOLIO COMMENTS:, GUEST COMMENTS: , RESERVATION COMMENTS: Guest upset about internet</t>
  </si>
  <si>
    <t>AI00344429848</t>
  </si>
  <si>
    <t xml:space="preserve">RATE PLAN: Refun / PHONE NUMBER2: 8179920037, RESERVATION COMMENTS: , FOLIO COMMENTS:, GUEST COMMENTS: </t>
  </si>
  <si>
    <t>4059585622</t>
  </si>
  <si>
    <t xml:space="preserve">FOLIO COMMENTS:, GUEST COMMENTS: guest called and let me know, RATE PLAN: OTA r, RESERVATION COMMENTS: </t>
  </si>
  <si>
    <t>4002652660</t>
  </si>
  <si>
    <t>197533669</t>
  </si>
  <si>
    <t>2024-09-23</t>
  </si>
  <si>
    <t>2024-09-26</t>
  </si>
  <si>
    <t>16944KH21617|21617</t>
  </si>
  <si>
    <t xml:space="preserve">RATE PLAN: Refun / PHONE NUMBER2: 403-443-7006, RESERVATION COMMENTS: , FOLIO COMMENTS:, GUEST COMMENTS: </t>
  </si>
  <si>
    <t>AI00344429130</t>
  </si>
  <si>
    <t>197822465</t>
  </si>
  <si>
    <t>AI00344429400</t>
  </si>
  <si>
    <t>197418908</t>
  </si>
  <si>
    <t>4053387948</t>
  </si>
  <si>
    <t>Thailand</t>
  </si>
  <si>
    <t>RESERVATION COMMENTS: , FOLIO COMMENTS: I'm sorry, we do not have any, GUEST COMMENTS: We are wondering if you have, RATE PLAN: OTA r</t>
  </si>
  <si>
    <t>197579072</t>
  </si>
  <si>
    <t>198601393</t>
  </si>
  <si>
    <t>2024-03-19 06:00:01</t>
  </si>
  <si>
    <t>101 (DQ), 102 (DQ)</t>
  </si>
  <si>
    <t>4249446073</t>
  </si>
  <si>
    <t>RESERVATION COMMENTS: , RATE PLAN: OTA r, GUEST COMMENTS: First floor, GUEST COMMENTS: First floor, FOLIO COMMENTS:  / RATE PLAN: OTA r, FOLIO COMMENTS:, RESERVATION COMMENTS: You have received a virtual credit</t>
  </si>
  <si>
    <t>AI00344442999</t>
  </si>
  <si>
    <t>198369359</t>
  </si>
  <si>
    <t>198354804</t>
  </si>
  <si>
    <t>AI00344453238</t>
  </si>
  <si>
    <t>RESERVATION COMMENTS: , GUEST COMMENTS: Use 3241 Travels to Durango, FOLIO COMMENTS:, RATE PLAN: Rack / PHONE NUMBER2: 505 660 1672</t>
  </si>
  <si>
    <t>AI00344447286</t>
  </si>
  <si>
    <t>RATE PLAN: Refun / PHONE NUMBER2: 8319025353, FOLIO COMMENTS:, GUEST COMMENTS: informed guest via email that this, RESERVATION COMMENTS: *Looking forward to our visit. We</t>
  </si>
  <si>
    <t>198377650</t>
  </si>
  <si>
    <t>2024-04-26</t>
  </si>
  <si>
    <t>199116421</t>
  </si>
  <si>
    <t>2024-03-20 06:00:01</t>
  </si>
  <si>
    <t>AI00344478886</t>
  </si>
  <si>
    <t>AI00344479988</t>
  </si>
  <si>
    <t>RATE PLAN: Refun / PHONE NUMBER2: 7162556416</t>
  </si>
  <si>
    <t>2024-09-12</t>
  </si>
  <si>
    <t>16944VY21642|21642</t>
  </si>
  <si>
    <t xml:space="preserve">FOLIO COMMENTS:, RATE PLAN: Refun / PHONE NUMBER2: 602-615-6983, RESERVATION COMMENTS: , GUEST COMMENTS: </t>
  </si>
  <si>
    <t>2024-07-24</t>
  </si>
  <si>
    <t>199309294</t>
  </si>
  <si>
    <t>4102136121</t>
  </si>
  <si>
    <t xml:space="preserve">GUEST COMMENTS: late, FOLIO COMMENTS:, RESERVATION COMMENTS: , RATE PLAN: Booki, FOLIO COMMENTS:  / RATE PLAN: Booki, RESERVATION COMMENTS: , GUEST COMMENTS: </t>
  </si>
  <si>
    <t>4081570560</t>
  </si>
  <si>
    <t>4200621144</t>
  </si>
  <si>
    <t>Australia</t>
  </si>
  <si>
    <t>GUEST COMMENTS: , RESERVATION COMMENTS: , FOLIO COMMENTS:, RATE PLAN: Booki</t>
  </si>
  <si>
    <t>199100104</t>
  </si>
  <si>
    <t>198814797</t>
  </si>
  <si>
    <t>4256116985</t>
  </si>
  <si>
    <t>2024-08-17</t>
  </si>
  <si>
    <t>2024-08-18</t>
  </si>
  <si>
    <t>199632334</t>
  </si>
  <si>
    <t>2024-03-21 06:00:01</t>
  </si>
  <si>
    <t>AI00344507564</t>
  </si>
  <si>
    <t xml:space="preserve">GUEST COMMENTS: , RATE PLAN: Refun / PHONE NUMBER2: 9792199137, FOLIO COMMENTS:, RESERVATION COMMENTS: </t>
  </si>
  <si>
    <t>AI00344518409</t>
  </si>
  <si>
    <t>FOLIO COMMENTS:, RESERVATION COMMENTS: , GUEST COMMENTS: , RATE PLAN: Rack / PHONE NUMBER2: 3035905520</t>
  </si>
  <si>
    <t>2024-10-03</t>
  </si>
  <si>
    <t>4030554881</t>
  </si>
  <si>
    <t>199716392</t>
  </si>
  <si>
    <t>199881990</t>
  </si>
  <si>
    <t>199773008</t>
  </si>
  <si>
    <t>4842034081</t>
  </si>
  <si>
    <t>199755149</t>
  </si>
  <si>
    <t>199388602</t>
  </si>
  <si>
    <t>200501009</t>
  </si>
  <si>
    <t>2024-03-22 06:00:01</t>
  </si>
  <si>
    <t>4752584808</t>
  </si>
  <si>
    <t>GUEST COMMENTS: left message about late check in, FOLIO COMMENTS:, RESERVATION COMMENTS: , RATE PLAN: Booki</t>
  </si>
  <si>
    <t>4179009573</t>
  </si>
  <si>
    <t>109 (SMQ), 101 (DQ)</t>
  </si>
  <si>
    <t>Small Queen, Double Queen</t>
  </si>
  <si>
    <t>2024-07-10</t>
  </si>
  <si>
    <t>4151000638</t>
  </si>
  <si>
    <t>Belgium</t>
  </si>
  <si>
    <t>AI00344523348</t>
  </si>
  <si>
    <t>2024-08-30</t>
  </si>
  <si>
    <t>2024-09-02</t>
  </si>
  <si>
    <t>200432180</t>
  </si>
  <si>
    <t>2024-07-01</t>
  </si>
  <si>
    <t>AI00344535789</t>
  </si>
  <si>
    <t>GUEST COMMENTS: , FOLIO COMMENTS:, RESERVATION COMMENTS: , RATE PLAN: Refun / PHONE NUMBER2: 7970685498</t>
  </si>
  <si>
    <t>4226414100</t>
  </si>
  <si>
    <t>4226488323</t>
  </si>
  <si>
    <t>200612950</t>
  </si>
  <si>
    <t>200309889</t>
  </si>
  <si>
    <t>201146415</t>
  </si>
  <si>
    <t>2024-03-23 06:00:01</t>
  </si>
  <si>
    <t>AI00344568471</t>
  </si>
  <si>
    <t>4412649160</t>
  </si>
  <si>
    <t>AI00344566570</t>
  </si>
  <si>
    <t>201117807</t>
  </si>
  <si>
    <t>AI00344561429</t>
  </si>
  <si>
    <t xml:space="preserve">FOLIO COMMENTS: left message about late check in, RATE PLAN: Refun / PHONE NUMBER2: 2104221365, GUEST COMMENTS: , RESERVATION COMMENTS: </t>
  </si>
  <si>
    <t>201031286</t>
  </si>
  <si>
    <t>4978152000</t>
  </si>
  <si>
    <t>200892884</t>
  </si>
  <si>
    <t>RESERVATION COMMENTS: extension - Rate Plan changed to, FOLIO COMMENTS:, GUEST COMMENTS: , RATE PLAN: OTA r</t>
  </si>
  <si>
    <t>AI00344570182</t>
  </si>
  <si>
    <t>RATE PLAN: Rack / PHONE NUMBER2: 717-793-7300, FOLIO COMMENTS:, GUEST COMMENTS: , RESERVATION COMMENTS: Late arrival spoke with guest</t>
  </si>
  <si>
    <t>2024-09-07</t>
  </si>
  <si>
    <t>2024-09-11</t>
  </si>
  <si>
    <t>201263731</t>
  </si>
  <si>
    <t>4928285527</t>
  </si>
  <si>
    <t>2024-03-24 06:00:01</t>
  </si>
  <si>
    <t>201285078</t>
  </si>
  <si>
    <t xml:space="preserve">RATE PLAN: OTA r, GUEST COMMENTS: Special requestRequesting top, FOLIO COMMENTS:, RESERVATION COMMENTS: </t>
  </si>
  <si>
    <t>4521683104</t>
  </si>
  <si>
    <t xml:space="preserve">GUEST COMMENTS: , FOLIO COMMENTS:, RATE PLAN: Booki, RESERVATION COMMENTS: </t>
  </si>
  <si>
    <t>201700346</t>
  </si>
  <si>
    <t>201530918</t>
  </si>
  <si>
    <t>201722896</t>
  </si>
  <si>
    <t>111 (SMQ), 117 (STQ)</t>
  </si>
  <si>
    <t>Small Queen, Standard Queen</t>
  </si>
  <si>
    <t>2024-08-19</t>
  </si>
  <si>
    <t>4904203381</t>
  </si>
  <si>
    <t>201699182</t>
  </si>
  <si>
    <t>AI00344585425</t>
  </si>
  <si>
    <t xml:space="preserve">FOLIO COMMENTS:, RESERVATION COMMENTS: , RATE PLAN: Refun / PHONE NUMBER2: 15624723524, GUEST COMMENTS: </t>
  </si>
  <si>
    <t>4298706779</t>
  </si>
  <si>
    <t>4772450676</t>
  </si>
  <si>
    <t>201370075</t>
  </si>
  <si>
    <t>2024-10-10</t>
  </si>
  <si>
    <t>4738507596</t>
  </si>
  <si>
    <t>FOLIO COMMENTS:, RATE PLAN: OTA r, RESERVATION COMMENTS: , GUEST COMMENTS: east facing room away from</t>
  </si>
  <si>
    <t>202582018</t>
  </si>
  <si>
    <t>2024-03-25 06:00:01</t>
  </si>
  <si>
    <t>202110994</t>
  </si>
  <si>
    <t>AI00344607431</t>
  </si>
  <si>
    <t>GUEST COMMENTS: use 8047, RESERVATION COMMENTS: , FOLIO COMMENTS:, RATE PLAN: Rack</t>
  </si>
  <si>
    <t>202116340</t>
  </si>
  <si>
    <t>4609387760</t>
  </si>
  <si>
    <t>4738528060</t>
  </si>
  <si>
    <t>FOLIO COMMENTS:, RESERVATION COMMENTS: , GUEST COMMENTS: PLEASE DO NOT PROVIDE ANY, RATE PLAN: OTA r</t>
  </si>
  <si>
    <t>202456202</t>
  </si>
  <si>
    <t>AI00344616015</t>
  </si>
  <si>
    <t>AI00344601233</t>
  </si>
  <si>
    <t>GUEST COMMENTS: , RESERVATION COMMENTS: , FOLIO COMMENTS:, RATE PLAN: Refun / PHONE NUMBER2: 2089690303</t>
  </si>
  <si>
    <t>AI00344637894</t>
  </si>
  <si>
    <t>2024-03-26 06:00:01</t>
  </si>
  <si>
    <t>FOLIO COMMENTS: No Show for first night-jf, RESERVATION COMMENTS: , GUEST COMMENTS: , RATE PLAN: Rack</t>
  </si>
  <si>
    <t>AI00344647738</t>
  </si>
  <si>
    <t>AI00344635409</t>
  </si>
  <si>
    <t>4399914624</t>
  </si>
  <si>
    <t>4396126881</t>
  </si>
  <si>
    <t>4451988641</t>
  </si>
  <si>
    <t>AI00344632440</t>
  </si>
  <si>
    <t>GUEST COMMENTS: , RATE PLAN: Rack / PHONE NUMBER2: 14802582746, RESERVATION COMMENTS: , FOLIO COMMENTS:</t>
  </si>
  <si>
    <t>AI00344635364</t>
  </si>
  <si>
    <t>202821810</t>
  </si>
  <si>
    <t>RATE PLAN: OTA r, GUEST COMMENTS: **Hello, We have tried multiple, RESERVATION COMMENTS: , FOLIO COMMENTS:</t>
  </si>
  <si>
    <t>202924817</t>
  </si>
  <si>
    <t>RESERVATION COMMENTS: , FOLIO COMMENTS:, GUEST COMMENTS: 10/10*, RATE PLAN: OTA r</t>
  </si>
  <si>
    <t>4497082426</t>
  </si>
  <si>
    <t>2024-09-25</t>
  </si>
  <si>
    <t>2024-09-27</t>
  </si>
  <si>
    <t>4436997064</t>
  </si>
  <si>
    <t>RATE PLAN: OTA r, FOLIO COMMENTS:, RESERVATION COMMENTS: , GUEST COMMENTS: , late arrival tried calling guest three time was able to run cc for payment did leave envelope with key and reg card
ZAC</t>
  </si>
  <si>
    <t>203611944</t>
  </si>
  <si>
    <t>2024-03-27 06:00:01</t>
  </si>
  <si>
    <t>4889403370</t>
  </si>
  <si>
    <t>RATE PLAN: Booki, RESERVATION COMMENTS: , FOLIO COMMENTS:, GUEST COMMENTS: I'd like to request check-in at 12:</t>
  </si>
  <si>
    <t>203804920</t>
  </si>
  <si>
    <t>4897201662</t>
  </si>
  <si>
    <t>FOLIO COMMENTS:, GUEST COMMENTS: , RESERVATION COMMENTS: , RATE PLAN: Booki</t>
  </si>
  <si>
    <t>4516541821</t>
  </si>
  <si>
    <t>203447441</t>
  </si>
  <si>
    <t>2024-07-05</t>
  </si>
  <si>
    <t>203523289</t>
  </si>
  <si>
    <t>203839298</t>
  </si>
  <si>
    <t>203825972</t>
  </si>
  <si>
    <t xml:space="preserve">RATE PLAN: OTA r, GUEST COMMENTS: "Will be arriving at around 10, FOLIO COMMENTS:, RESERVATION COMMENTS: </t>
  </si>
  <si>
    <t>203629890</t>
  </si>
  <si>
    <t>4678915871</t>
  </si>
  <si>
    <t xml:space="preserve">RATE PLAN: Booki, FOLIO COMMENTS:, GUEST COMMENTS: , RESERVATION COMMENTS: </t>
  </si>
  <si>
    <t>AI00344658640</t>
  </si>
  <si>
    <t xml:space="preserve">GUEST COMMENTS: late check in spoke with guest, RATE PLAN: Rack, FOLIO COMMENTS:, RESERVATION COMMENTS: </t>
  </si>
  <si>
    <t>203892295</t>
  </si>
  <si>
    <t>203611947</t>
  </si>
  <si>
    <t xml:space="preserve">RATE PLAN: OTA r, GUEST COMMENTS: late arrival left VM explaining, FOLIO COMMENTS:, RESERVATION COMMENTS: </t>
  </si>
  <si>
    <t>204020072</t>
  </si>
  <si>
    <t>AI00344698554</t>
  </si>
  <si>
    <t>2024-03-28 06:00:01</t>
  </si>
  <si>
    <t xml:space="preserve">RESERVATION COMMENTS: , FOLIO COMMENTS:, RATE PLAN: Refun / PHONE NUMBER2: 2066600981, GUEST COMMENTS: </t>
  </si>
  <si>
    <t>4991897322</t>
  </si>
  <si>
    <t>GUEST COMMENTS: **room 115 posted: "Had very, FOLIO COMMENTS:, RESERVATION COMMENTS: , RATE PLAN: Booki</t>
  </si>
  <si>
    <t>204587953</t>
  </si>
  <si>
    <t xml:space="preserve">RATE PLAN: OTA r, GUEST COMMENTS: , FOLIO COMMENTS: 5/5* The value of this place, RESERVATION COMMENTS: </t>
  </si>
  <si>
    <t>204633424</t>
  </si>
  <si>
    <t>4886857105</t>
  </si>
  <si>
    <t>204290233</t>
  </si>
  <si>
    <t>RATE PLAN: OTA r, GUEST COMMENTS: , RESERVATION COMMENTS: , FOLIO COMMENTS: late arrival</t>
  </si>
  <si>
    <t>4991895765</t>
  </si>
  <si>
    <t>GUEST COMMENTS: *informed 4/5pm of, RATE PLAN: OTA r, RESERVATION COMMENTS: , FOLIO COMMENTS: Demanded a refund for a night-JF</t>
  </si>
  <si>
    <t>204355201</t>
  </si>
  <si>
    <t>AI00344689442</t>
  </si>
  <si>
    <t>204633426</t>
  </si>
  <si>
    <t>204298703</t>
  </si>
  <si>
    <t>205310083</t>
  </si>
  <si>
    <t>2024-03-29 06:00:01</t>
  </si>
  <si>
    <t>AI00344727388</t>
  </si>
  <si>
    <t xml:space="preserve">RATE PLAN: Refun / PHONE NUMBER2: 17404859194, FOLIO COMMENTS:, GUEST COMMENTS: , RESERVATION COMMENTS: </t>
  </si>
  <si>
    <t>205211767</t>
  </si>
  <si>
    <t>AI00344727401</t>
  </si>
  <si>
    <t>RATE PLAN: Refun / PHONE NUMBER2: 9376891189, RESERVATION COMMENTS: , GUEST COMMENTS: , FOLIO COMMENTS:</t>
  </si>
  <si>
    <t>AI00344729571</t>
  </si>
  <si>
    <t>FOLIO COMMENTS:, GUEST COMMENTS: , RESERVATION COMMENTS: , RATE PLAN: Refun / PHONE NUMBER2: 3304647316</t>
  </si>
  <si>
    <t>205245304</t>
  </si>
  <si>
    <t>FOLIO COMMENTS:, GUEST COMMENTS: Special requestGround floor, RESERVATION COMMENTS: , RATE PLAN: OTA r</t>
  </si>
  <si>
    <t>2024-09-06</t>
  </si>
  <si>
    <t>2024-09-08</t>
  </si>
  <si>
    <t>4488097103</t>
  </si>
  <si>
    <t xml:space="preserve">RATE PLAN: OTA r, GUEST COMMENTS: We would prefer a ground floor, FOLIO COMMENTS:, RESERVATION COMMENTS: </t>
  </si>
  <si>
    <t>205173489</t>
  </si>
  <si>
    <t>205128508</t>
  </si>
  <si>
    <t>205248473</t>
  </si>
  <si>
    <t>RATE PLAN: OTA r, GUEST COMMENTS: Special requestGround floor, RESERVATION COMMENTS: , FOLIO COMMENTS:</t>
  </si>
  <si>
    <t>107 (DQ), 105 (DQ), 101 (DQ)</t>
  </si>
  <si>
    <t>4922283065</t>
  </si>
  <si>
    <t>204887952</t>
  </si>
  <si>
    <t>AI00344716320</t>
  </si>
  <si>
    <t>204742017</t>
  </si>
  <si>
    <t>205153245</t>
  </si>
  <si>
    <t>4425996663</t>
  </si>
  <si>
    <t>2024-03-30 06:00:01</t>
  </si>
  <si>
    <t>205620165</t>
  </si>
  <si>
    <t>AI00344747627</t>
  </si>
  <si>
    <t xml:space="preserve">RATE PLAN: Rack, FOLIO COMMENTS: paid cash at check in, GUEST COMMENTS: , RESERVATION COMMENTS: </t>
  </si>
  <si>
    <t>205700177</t>
  </si>
  <si>
    <t xml:space="preserve">FOLIO COMMENTS: We booked this and I realized I, GUEST COMMENTS: *Encouraged to call, I have 112, RATE PLAN: OTA r, RESERVATION COMMENTS: </t>
  </si>
  <si>
    <t>AI00344743702</t>
  </si>
  <si>
    <t>4750978271</t>
  </si>
  <si>
    <t>2024-07-20</t>
  </si>
  <si>
    <t>AI00344741700</t>
  </si>
  <si>
    <t xml:space="preserve">RATE PLAN: Refun / PHONE NUMBER2: 281-220-9355, RESERVATION COMMENTS: , FOLIO COMMENTS:, GUEST COMMENTS: </t>
  </si>
  <si>
    <t>AI00344742497</t>
  </si>
  <si>
    <t>FOLIO COMMENTS:, RESERVATION COMMENTS: , GUEST COMMENTS: , RATE PLAN: Refun / PHONE NUMBER2: 8645679543</t>
  </si>
  <si>
    <t>205805236</t>
  </si>
  <si>
    <t xml:space="preserve">FOLIO COMMENTS: Full Refund didnt stay due to, RATE PLAN: OTA r, GUEST COMMENTS: I will be there this Friday, RESERVATION COMMENTS: </t>
  </si>
  <si>
    <t>205647461</t>
  </si>
  <si>
    <t>4492830865</t>
  </si>
  <si>
    <t>GUEST COMMENTS: Would prefer a room on first floor, RESERVATION COMMENTS: , FOLIO COMMENTS:, RATE PLAN: OTA r</t>
  </si>
  <si>
    <t>AI00344743511</t>
  </si>
  <si>
    <t>205756673</t>
  </si>
  <si>
    <t>4960289429</t>
  </si>
  <si>
    <t>4822567082</t>
  </si>
  <si>
    <t>2024-03-31 06:00:01</t>
  </si>
  <si>
    <t>205985979</t>
  </si>
  <si>
    <t>AI00344764031</t>
  </si>
  <si>
    <t>FOLIO COMMENTS:, RESERVATION COMMENTS: , GUEST COMMENTS: , RATE PLAN: Refun / PHONE NUMBER2: 9785053414</t>
  </si>
  <si>
    <t>AI00344766550</t>
  </si>
  <si>
    <t>206261540</t>
  </si>
  <si>
    <t>AI00344762040</t>
  </si>
  <si>
    <t xml:space="preserve">RATE PLAN: Rack / PHONE NUMBER2: 6233376899, RESERVATION COMMENTS: , FOLIO COMMENTS:, GUEST COMMENTS: </t>
  </si>
  <si>
    <t>4845974642</t>
  </si>
  <si>
    <t>4883934993</t>
  </si>
  <si>
    <t>RESERVATION COMMENTS: , GUEST COMMENTS: , FOLIO COMMENTS:, RATE PLAN: Booki</t>
  </si>
  <si>
    <t>4951079403</t>
  </si>
  <si>
    <t>RESERVATION COMMENTS: , GUEST COMMENTS: left guest message about late, FOLIO COMMENTS:, RATE PLAN: OTA r</t>
  </si>
  <si>
    <t>2024-08-11</t>
  </si>
  <si>
    <t>206188083</t>
  </si>
  <si>
    <t>205879464</t>
  </si>
  <si>
    <t>4951022972</t>
  </si>
  <si>
    <t>2024-08-31</t>
  </si>
  <si>
    <t>2024-09-01</t>
  </si>
  <si>
    <t>4749521338</t>
  </si>
  <si>
    <t>206094331</t>
  </si>
  <si>
    <t>206828035</t>
  </si>
  <si>
    <t>2024-04-01 06:00:01</t>
  </si>
  <si>
    <t>AI00344800739</t>
  </si>
  <si>
    <t>AI00344791323</t>
  </si>
  <si>
    <t xml:space="preserve">GUEST COMMENTS: , RATE PLAN: AARP / PHONE NUMBER2: 8014403611, FOLIO COMMENTS:, RESERVATION COMMENTS: </t>
  </si>
  <si>
    <t>4668154274</t>
  </si>
  <si>
    <t xml:space="preserve">GUEST COMMENTS: Temperature is set to 65 degrees, FOLIO COMMENTS:, RATE PLAN: Booki, RESERVATION COMMENTS: </t>
  </si>
  <si>
    <t>206828032</t>
  </si>
  <si>
    <t>206731720</t>
  </si>
  <si>
    <t>206828033</t>
  </si>
  <si>
    <t>206827716</t>
  </si>
  <si>
    <t>AI00344785753</t>
  </si>
  <si>
    <t>U.S. Outlying Islands</t>
  </si>
  <si>
    <t xml:space="preserve">GUEST COMMENTS: , FOLIO COMMENTS:, RATE PLAN: Refun / PHONE NUMBER2: 7155361459, RESERVATION COMMENTS: </t>
  </si>
  <si>
    <t>AI00344801831</t>
  </si>
  <si>
    <t xml:space="preserve">FOLIO COMMENTS:, GUEST COMMENTS: , RATE PLAN: Refun / PHONE NUMBER2: 6518953585, RESERVATION COMMENTS: </t>
  </si>
  <si>
    <t>4975668712</t>
  </si>
  <si>
    <t>AI00344791873</t>
  </si>
  <si>
    <t>RESERVATION COMMENTS: , GUEST COMMENTS: , FOLIO COMMENTS:, RATE PLAN: Refun / PHONE NUMBER2: 5057302963</t>
  </si>
  <si>
    <t>207754633</t>
  </si>
  <si>
    <t>2024-04-02 06:00:01</t>
  </si>
  <si>
    <t>AI00344821631</t>
  </si>
  <si>
    <t>207330366</t>
  </si>
  <si>
    <t xml:space="preserve">FOLIO COMMENTS:, RATE PLAN: OTA r, GUEST COMMENTS: "Good morning, I will be arriving, RESERVATION COMMENTS: </t>
  </si>
  <si>
    <t>207703842</t>
  </si>
  <si>
    <t>207703844</t>
  </si>
  <si>
    <t>AI00344822115</t>
  </si>
  <si>
    <t>AI00344824601</t>
  </si>
  <si>
    <t xml:space="preserve">RATE PLAN: Refun / PHONE NUMBER2: 8286061991, FOLIO COMMENTS:, GUEST COMMENTS: , RESERVATION COMMENTS: </t>
  </si>
  <si>
    <t>207613914</t>
  </si>
  <si>
    <t>AI00344822553</t>
  </si>
  <si>
    <t>GUEST COMMENTS: , RATE PLAN: Rack / PHONE NUMBER2: 402 9924361, RESERVATION COMMENTS: , FOLIO COMMENTS:</t>
  </si>
  <si>
    <t>207469706</t>
  </si>
  <si>
    <t>207756779</t>
  </si>
  <si>
    <t>RESERVATION COMMENTS: , RATE PLAN: OTA r, FOLIO COMMENTS: Shortened stay by one day,, GUEST COMMENTS: Invalid Phone number with local</t>
  </si>
  <si>
    <t>207413937</t>
  </si>
  <si>
    <t>4620565724</t>
  </si>
  <si>
    <t>Singapore</t>
  </si>
  <si>
    <t>RATE PLAN: OTA r, RESERVATION COMMENTS: , GUEST COMMENTS: Would be grateful if we could be, FOLIO COMMENTS:</t>
  </si>
  <si>
    <t>AI00344816040</t>
  </si>
  <si>
    <t>AI00344812305</t>
  </si>
  <si>
    <t>RATE PLAN: Refun / PHONE NUMBER2: 2487650929, RESERVATION COMMENTS: , FOLIO COMMENTS:, GUEST COMMENTS: upgraded to NQQ2 to make room</t>
  </si>
  <si>
    <t>4384905345</t>
  </si>
  <si>
    <t>RESERVATION COMMENTS: , FOLIO COMMENTS:, GUEST COMMENTS: upgraded to double queen cant, RATE PLAN: Booki</t>
  </si>
  <si>
    <t>AI00344824678</t>
  </si>
  <si>
    <t>207233262</t>
  </si>
  <si>
    <t>207715283</t>
  </si>
  <si>
    <t>4977831213</t>
  </si>
  <si>
    <t>2024-10-16</t>
  </si>
  <si>
    <t>207484290</t>
  </si>
  <si>
    <t>AI00344860375</t>
  </si>
  <si>
    <t>2024-04-03 06:00:01</t>
  </si>
  <si>
    <t>GUEST COMMENTS: , FOLIO COMMENTS:, RESERVATION COMMENTS: , RATE PLAN: Rack / PHONE NUMBER2: 6613098986</t>
  </si>
  <si>
    <t>4307906938</t>
  </si>
  <si>
    <t>4427987286</t>
  </si>
  <si>
    <t>AI00344863008</t>
  </si>
  <si>
    <t>GUEST COMMENTS: , RATE PLAN: Rack / PHONE NUMBER2: 9096316326, RESERVATION COMMENTS: , FOLIO COMMENTS:</t>
  </si>
  <si>
    <t>4427963075</t>
  </si>
  <si>
    <t>208324615</t>
  </si>
  <si>
    <t>4307952201</t>
  </si>
  <si>
    <t>AI00344857821</t>
  </si>
  <si>
    <t>GUEST COMMENTS: 980012233 tax exempt number-, FOLIO COMMENTS:, RESERVATION COMMENTS: , RATE PLAN: Rack / PHONE NUMBER2: 7194849184</t>
  </si>
  <si>
    <t>AI00344847280</t>
  </si>
  <si>
    <t>RESERVATION COMMENTS: , RATE PLAN: AARP / PHONE NUMBER2: 8134311330, GUEST COMMENTS: , FOLIO COMMENTS:</t>
  </si>
  <si>
    <t>4545106103</t>
  </si>
  <si>
    <t>AI00344856123</t>
  </si>
  <si>
    <t>AI00344851353</t>
  </si>
  <si>
    <t>RATE PLAN: Refun</t>
  </si>
  <si>
    <t>16944ZX21891|21891</t>
  </si>
  <si>
    <t>FOLIO COMMENTS:, RESERVATION COMMENTS: , GUEST COMMENTS: , RATE PLAN: Refun / PHONE NUMBER2: 520-307-2455</t>
  </si>
  <si>
    <t>AI00344848719</t>
  </si>
  <si>
    <t xml:space="preserve">FOLIO COMMENTS:, GUEST COMMENTS: use this one Get Michaels cell, RATE PLAN: Rack, RESERVATION COMMENTS: </t>
  </si>
  <si>
    <t>207961147</t>
  </si>
  <si>
    <t>208087078</t>
  </si>
  <si>
    <t>208288195</t>
  </si>
  <si>
    <t>208639832</t>
  </si>
  <si>
    <t>2024-04-04 06:00:01</t>
  </si>
  <si>
    <t>2024-08-28</t>
  </si>
  <si>
    <t>4661761034</t>
  </si>
  <si>
    <t>RESERVATION COMMENTS: , FOLIO COMMENTS: T response via Booking msg We, GUEST COMMENTS: Message: Hello, We just booked 5, RATE PLAN: OTA r</t>
  </si>
  <si>
    <t>4467039833</t>
  </si>
  <si>
    <t>4511277622</t>
  </si>
  <si>
    <t>2024-07-11</t>
  </si>
  <si>
    <t>208733037</t>
  </si>
  <si>
    <t>4570880163</t>
  </si>
  <si>
    <t>AI00344879454</t>
  </si>
  <si>
    <t>AI00344870028</t>
  </si>
  <si>
    <t>RESERVATION COMMENTS: , FOLIO COMMENTS:, GUEST COMMENTS: , RATE PLAN: Manua / PHONE NUMBER2: 2502197939</t>
  </si>
  <si>
    <t>AI00344868924</t>
  </si>
  <si>
    <t>2024-04-30</t>
  </si>
  <si>
    <t>209132491</t>
  </si>
  <si>
    <t>AI00344880849</t>
  </si>
  <si>
    <t>4744172080</t>
  </si>
  <si>
    <t>209230736</t>
  </si>
  <si>
    <t>AI00344880603</t>
  </si>
  <si>
    <t xml:space="preserve">FOLIO COMMENTS: 3/10* Booking.com "nothing was, GUEST COMMENTS: I'd like to request check-in at 12:, RATE PLAN: Rack, RESERVATION COMMENTS: </t>
  </si>
  <si>
    <t>209591037</t>
  </si>
  <si>
    <t>2024-04-05 06:00:01</t>
  </si>
  <si>
    <t>209591039</t>
  </si>
  <si>
    <t>2024-08-29</t>
  </si>
  <si>
    <t>4995907816</t>
  </si>
  <si>
    <t>209591040</t>
  </si>
  <si>
    <t>209908741</t>
  </si>
  <si>
    <t>209591034</t>
  </si>
  <si>
    <t>209688171</t>
  </si>
  <si>
    <t>209950684</t>
  </si>
  <si>
    <t>AI00344907513</t>
  </si>
  <si>
    <t>FOLIO COMMENTS:, RESERVATION COMMENTS: , RATE PLAN: Refun / PHONE NUMBER2: 619 572 3736, GUEST COMMENTS: keep on bottom floor</t>
  </si>
  <si>
    <t>4805926143</t>
  </si>
  <si>
    <t>209591041</t>
  </si>
  <si>
    <t>2024-10-22</t>
  </si>
  <si>
    <t>2024-10-24</t>
  </si>
  <si>
    <t>210361749</t>
  </si>
  <si>
    <t>2024-04-06 06:00:01</t>
  </si>
  <si>
    <t>2024-05-06</t>
  </si>
  <si>
    <t>210215832</t>
  </si>
  <si>
    <t>AI00344938911</t>
  </si>
  <si>
    <t>210472402</t>
  </si>
  <si>
    <t>4687791436</t>
  </si>
  <si>
    <t>210211362</t>
  </si>
  <si>
    <t>FOLIO COMMENTS:, GUEST COMMENTS: , RESERVATION COMMENTS: Original booking not found, RATE PLAN: OTA r</t>
  </si>
  <si>
    <t>AI00344938472</t>
  </si>
  <si>
    <t>210391585</t>
  </si>
  <si>
    <t>4328090936</t>
  </si>
  <si>
    <t>2024-07-19</t>
  </si>
  <si>
    <t>210224375</t>
  </si>
  <si>
    <t>211023126</t>
  </si>
  <si>
    <t>2024-04-07 06:00:01</t>
  </si>
  <si>
    <t>RESERVATION COMMENTS: , FOLIO COMMENTS:, RATE PLAN: OTA r, GUEST COMMENTS: late arrival explained how to get</t>
  </si>
  <si>
    <t>210782887</t>
  </si>
  <si>
    <t>AI00344953143</t>
  </si>
  <si>
    <t>RATE PLAN: Rack / PHONE NUMBER2: 8586251725</t>
  </si>
  <si>
    <t>4906434574</t>
  </si>
  <si>
    <t>2024-04-08 06:00:01</t>
  </si>
  <si>
    <t xml:space="preserve">FOLIO COMMENTS:, GUEST COMMENTS: free upgrade to NQ2 T, RATE PLAN: Booki, RESERVATION COMMENTS: </t>
  </si>
  <si>
    <t>AI00344985092</t>
  </si>
  <si>
    <t>RESERVATION COMMENTS: , RATE PLAN: Refun / PHONE NUMBER2: 8474772359, GUEST COMMENTS: , FOLIO COMMENTS:</t>
  </si>
  <si>
    <t>211416403</t>
  </si>
  <si>
    <t>4420840097</t>
  </si>
  <si>
    <t>211643368</t>
  </si>
  <si>
    <t>211643081</t>
  </si>
  <si>
    <t>16944YY21946|21946</t>
  </si>
  <si>
    <t>RATE PLAN: Rack  / PHONE NUMBER2: 9365240939</t>
  </si>
  <si>
    <t>AI00345009618</t>
  </si>
  <si>
    <t>2024-04-09 06:00:01</t>
  </si>
  <si>
    <t>RATE PLAN: Refun / PHONE NUMBER2: 7205300212, GUEST COMMENTS: , RESERVATION COMMENTS: , FOLIO COMMENTS:</t>
  </si>
  <si>
    <t>AI00345010351</t>
  </si>
  <si>
    <t xml:space="preserve">FOLIO COMMENTS:, RESERVATION COMMENTS: , RATE PLAN: Refun / PHONE NUMBER2: 5052342828, GUEST COMMENTS: </t>
  </si>
  <si>
    <t>AI00345002891</t>
  </si>
  <si>
    <t xml:space="preserve">RATE PLAN: Rack / PHONE NUMBER2: 5043304424, RESERVATION COMMENTS: , FOLIO COMMENTS:, GUEST COMMENTS: </t>
  </si>
  <si>
    <t>211957169</t>
  </si>
  <si>
    <t>212353156</t>
  </si>
  <si>
    <t>212099916</t>
  </si>
  <si>
    <t>212312446</t>
  </si>
  <si>
    <t>2024-07-07</t>
  </si>
  <si>
    <t>212269724</t>
  </si>
  <si>
    <t>AI00345000495</t>
  </si>
  <si>
    <t xml:space="preserve">FOLIO COMMENTS:, RATE PLAN: AARP / PHONE NUMBER2: 14026435987, GUEST COMMENTS: , RESERVATION COMMENTS: </t>
  </si>
  <si>
    <t>212165972</t>
  </si>
  <si>
    <t>AI00345036528</t>
  </si>
  <si>
    <t>2024-04-10 06:00:01</t>
  </si>
  <si>
    <t xml:space="preserve">RATE PLAN: Refun / PHONE NUMBER2: 6052019855, FOLIO COMMENTS:, RESERVATION COMMENTS: , GUEST COMMENTS: </t>
  </si>
  <si>
    <t>AI00345035000</t>
  </si>
  <si>
    <t xml:space="preserve">GUEST COMMENTS: Late arrival. Spoke with guest, RATE PLAN: Refun / PHONE NUMBER2: 6029040761, FOLIO COMMENTS:, RESERVATION COMMENTS: </t>
  </si>
  <si>
    <t>AI00345037215</t>
  </si>
  <si>
    <t xml:space="preserve">FOLIO COMMENTS:, RATE PLAN: Refun / PHONE NUMBER2: 713-248-1280, RESERVATION COMMENTS: , GUEST COMMENTS: </t>
  </si>
  <si>
    <t>212968273</t>
  </si>
  <si>
    <t>212832202</t>
  </si>
  <si>
    <t>4694890206</t>
  </si>
  <si>
    <t>4844748367</t>
  </si>
  <si>
    <t>AI00345070256</t>
  </si>
  <si>
    <t>2024-04-11 06:00:01</t>
  </si>
  <si>
    <t>GUEST COMMENTS: , FOLIO COMMENTS:, RESERVATION COMMENTS: , RATE PLAN: Refun / PHONE NUMBER2: 5057874267</t>
  </si>
  <si>
    <t>213635181</t>
  </si>
  <si>
    <t>4774344524</t>
  </si>
  <si>
    <t>RATE PLAN: OTA r, GUEST COMMENTS: We prefer a quiet room. Thanks., RESERVATION COMMENTS: , FOLIO COMMENTS:</t>
  </si>
  <si>
    <t>213568370</t>
  </si>
  <si>
    <t>213524960</t>
  </si>
  <si>
    <t>213954881</t>
  </si>
  <si>
    <t>RATE PLAN: OTA r, FOLIO COMMENTS: Good morning, our property, RESERVATION COMMENTS: , GUEST COMMENTS: **1st floor, please with no stairs</t>
  </si>
  <si>
    <t>213819674</t>
  </si>
  <si>
    <t>214471959</t>
  </si>
  <si>
    <t>2024-04-12 06:00:01</t>
  </si>
  <si>
    <t>214530573</t>
  </si>
  <si>
    <t>214671708</t>
  </si>
  <si>
    <t>214473354</t>
  </si>
  <si>
    <t>AI00345078333</t>
  </si>
  <si>
    <t xml:space="preserve">RESERVATION COMMENTS: , FOLIO COMMENTS:, RATE PLAN: Rack / PHONE NUMBER2: 9709031084, GUEST COMMENTS: </t>
  </si>
  <si>
    <t>AI00345088941</t>
  </si>
  <si>
    <t>FOLIO COMMENTS:, GUEST COMMENTS: , RESERVATION COMMENTS: , RATE PLAN: Refun / PHONE NUMBER2: 5304101682</t>
  </si>
  <si>
    <t>2024-09-04</t>
  </si>
  <si>
    <t>4865663028</t>
  </si>
  <si>
    <t>16944YT22000|22000</t>
  </si>
  <si>
    <t>RATE PLAN: Refun / PHONE NUMBER2: 7202711553</t>
  </si>
  <si>
    <t>2024-08-24</t>
  </si>
  <si>
    <t>2024-08-26</t>
  </si>
  <si>
    <t>214866400</t>
  </si>
  <si>
    <t>2024-04-13 06:00:01</t>
  </si>
  <si>
    <t>214821547</t>
  </si>
  <si>
    <t>AI00345108753</t>
  </si>
  <si>
    <t>4461395384</t>
  </si>
  <si>
    <t>RATE PLAN: OTA r, RESERVATION COMMENTS: , GUEST COMMENTS: *I would prefer a ground floor, FOLIO COMMENTS: We have 2 Small Queen room</t>
  </si>
  <si>
    <t>AI00345111421</t>
  </si>
  <si>
    <t>AI00345115526</t>
  </si>
  <si>
    <t xml:space="preserve">FOLIO COMMENTS:, RESERVATION COMMENTS: , RATE PLAN: AARP / PHONE NUMBER2: 4152188369, GUEST COMMENTS: </t>
  </si>
  <si>
    <t>AI00345106289</t>
  </si>
  <si>
    <t xml:space="preserve">FOLIO COMMENTS:, GUEST COMMENTS: , RATE PLAN: Refun / PHONE NUMBER2: 5204403559, RESERVATION COMMENTS: </t>
  </si>
  <si>
    <t>215096092</t>
  </si>
  <si>
    <t>214897680</t>
  </si>
  <si>
    <t>RATE PLAN: OTA r, GUEST COMMENTS: , RESERVATION COMMENTS: Original booking not found, FOLIO COMMENTS:</t>
  </si>
  <si>
    <t>AI00345141761</t>
  </si>
  <si>
    <t>2024-04-14 06:00:01</t>
  </si>
  <si>
    <t>RESERVATION COMMENTS: late check out 12pm, RATE PLAN: Rack, FOLIO COMMENTS:, GUEST COMMENTS: gave a discount for the week</t>
  </si>
  <si>
    <t>215455830</t>
  </si>
  <si>
    <t>AI00345131962</t>
  </si>
  <si>
    <t>RESERVATION COMMENTS: , GUEST COMMENTS: , RATE PLAN: Refun / PHONE NUMBER2: 2146823499, FOLIO COMMENTS:</t>
  </si>
  <si>
    <t>16944XF22018|22018</t>
  </si>
  <si>
    <t xml:space="preserve">FOLIO COMMENTS:, GUEST COMMENTS: , RATE PLAN: Refun / PHONE NUMBER2: 720-582-1547, RESERVATION COMMENTS: </t>
  </si>
  <si>
    <t>215390972</t>
  </si>
  <si>
    <t>AI00345131096</t>
  </si>
  <si>
    <t>215620926</t>
  </si>
  <si>
    <t>215235679</t>
  </si>
  <si>
    <t>AI00345136721</t>
  </si>
  <si>
    <t>RATE PLAN: AARP</t>
  </si>
  <si>
    <t>AI00345143808</t>
  </si>
  <si>
    <t>AI00345140119</t>
  </si>
  <si>
    <t xml:space="preserve">RATE PLAN: Rack, GUEST COMMENTS: no info other than email from the, FOLIO COMMENTS:, RESERVATION COMMENTS: </t>
  </si>
  <si>
    <t>AI00345131052</t>
  </si>
  <si>
    <t>4337683975</t>
  </si>
  <si>
    <t>RATE PLAN: Booki, FOLIO COMMENTS:, RESERVATION COMMENTS: , GUEST COMMENTS: shortened stay via Booking.com</t>
  </si>
  <si>
    <t>2024-10-02</t>
  </si>
  <si>
    <t>AI00345135023</t>
  </si>
  <si>
    <t>2024-08-09</t>
  </si>
  <si>
    <t>4371363555</t>
  </si>
  <si>
    <t>2024-09-18</t>
  </si>
  <si>
    <t>2024-09-19</t>
  </si>
  <si>
    <t>215389198</t>
  </si>
  <si>
    <t>AI00345171168</t>
  </si>
  <si>
    <t>2024-04-15 06:00:01</t>
  </si>
  <si>
    <t>4914762825</t>
  </si>
  <si>
    <t>AI00345170145</t>
  </si>
  <si>
    <t>RESERVATION COMMENTS: , GUEST COMMENTS: , RATE PLAN: Refun / PHONE NUMBER2: 3142770298, FOLIO COMMENTS:</t>
  </si>
  <si>
    <t>216413154</t>
  </si>
  <si>
    <t>AI00345155014</t>
  </si>
  <si>
    <t>AI00345167545</t>
  </si>
  <si>
    <t>216274293</t>
  </si>
  <si>
    <t xml:space="preserve">FOLIO COMMENTS: Please know we are a historic 25, RATE PLAN: OTA r, GUEST COMMENTS: * No steps, no rooms above, RESERVATION COMMENTS: </t>
  </si>
  <si>
    <t>215891699</t>
  </si>
  <si>
    <t>217117624</t>
  </si>
  <si>
    <t>2024-04-16 06:00:01</t>
  </si>
  <si>
    <t>4727440967</t>
  </si>
  <si>
    <t>AI00345188133</t>
  </si>
  <si>
    <t>217014050</t>
  </si>
  <si>
    <t>4574194291</t>
  </si>
  <si>
    <t>216980490</t>
  </si>
  <si>
    <t>217105172</t>
  </si>
  <si>
    <t>216756906</t>
  </si>
  <si>
    <t>216752134</t>
  </si>
  <si>
    <t>AI00345182913</t>
  </si>
  <si>
    <t xml:space="preserve">RATE PLAN: Refun / PHONE NUMBER2: 7252163221, FOLIO COMMENTS:, GUEST COMMENTS: , RESERVATION COMMENTS: </t>
  </si>
  <si>
    <t>216966049</t>
  </si>
  <si>
    <t>4998618306</t>
  </si>
  <si>
    <t>216924238</t>
  </si>
  <si>
    <t>AI00345181822</t>
  </si>
  <si>
    <t>RESERVATION COMMENTS: , RATE PLAN: Refun / PHONE NUMBER2: 5206647695, GUEST COMMENTS: , FOLIO COMMENTS:</t>
  </si>
  <si>
    <t>2024-09-15</t>
  </si>
  <si>
    <t>217865144</t>
  </si>
  <si>
    <t>2024-04-17 06:00:01</t>
  </si>
  <si>
    <t>217440454</t>
  </si>
  <si>
    <t>AI00345212265</t>
  </si>
  <si>
    <t>217574589</t>
  </si>
  <si>
    <t>RESERVATION COMMENTS: , RATE PLAN: OTA r, GUEST COMMENTS: called guest to leave message, FOLIO COMMENTS:</t>
  </si>
  <si>
    <t>AI00345209081</t>
  </si>
  <si>
    <t>RESERVATION COMMENTS: , GUEST COMMENTS: Guest had canceled over a week, FOLIO COMMENTS:, RATE PLAN: Rack</t>
  </si>
  <si>
    <t>4546822397</t>
  </si>
  <si>
    <t>4857255164</t>
  </si>
  <si>
    <t>AI00345228183</t>
  </si>
  <si>
    <t xml:space="preserve">RATE PLAN: Refun / PHONE NUMBER2: 1(250)517-7057, FOLIO COMMENTS:, GUEST COMMENTS: , RESERVATION COMMENTS: </t>
  </si>
  <si>
    <t>AI00345212232</t>
  </si>
  <si>
    <t>AI00345205751</t>
  </si>
  <si>
    <t>RESERVATION COMMENTS: , RATE PLAN: Refun / PHONE NUMBER2: 7086384817, GUEST COMMENTS: , FOLIO COMMENTS:</t>
  </si>
  <si>
    <t>217565627</t>
  </si>
  <si>
    <t>AI00345248905</t>
  </si>
  <si>
    <t>2024-04-18 06:00:01</t>
  </si>
  <si>
    <t>4421487204</t>
  </si>
  <si>
    <t>4857872589</t>
  </si>
  <si>
    <t>4951113528</t>
  </si>
  <si>
    <t>Slovenia</t>
  </si>
  <si>
    <t>218507552</t>
  </si>
  <si>
    <t>AI00345245586</t>
  </si>
  <si>
    <t>218500285</t>
  </si>
  <si>
    <t>AI00345252810</t>
  </si>
  <si>
    <t xml:space="preserve">RATE PLAN: Rack, FOLIO COMMENTS:, GUEST COMMENTS: shortened stay via Booking.com, RESERVATION COMMENTS: </t>
  </si>
  <si>
    <t>218235101</t>
  </si>
  <si>
    <t>4996219135</t>
  </si>
  <si>
    <t>AI00345278278</t>
  </si>
  <si>
    <t>2024-04-19 06:00:01</t>
  </si>
  <si>
    <t>218998464</t>
  </si>
  <si>
    <t>AI00345276669</t>
  </si>
  <si>
    <t>GUEST COMMENTS: , RATE PLAN: Refun / PHONE NUMBER2: 8582436416, RESERVATION COMMENTS: , FOLIO COMMENTS:</t>
  </si>
  <si>
    <t>AI00345271293</t>
  </si>
  <si>
    <t>RESERVATION COMMENTS: , GUEST COMMENTS: , RATE PLAN: Refun / PHONE NUMBER2: 4056265513, FOLIO COMMENTS:</t>
  </si>
  <si>
    <t>AI00345275736</t>
  </si>
  <si>
    <t>219086205</t>
  </si>
  <si>
    <t>4368570799</t>
  </si>
  <si>
    <t>AI00345261427</t>
  </si>
  <si>
    <t xml:space="preserve">FOLIO COMMENTS:, RATE PLAN: Refun / PHONE NUMBER2: 9185101408, RESERVATION COMMENTS: , GUEST COMMENTS: </t>
  </si>
  <si>
    <t>219330526</t>
  </si>
  <si>
    <t>AI00345281283</t>
  </si>
  <si>
    <t>218988192</t>
  </si>
  <si>
    <t>AI00345271316</t>
  </si>
  <si>
    <t xml:space="preserve">RATE PLAN: Refun / PHONE NUMBER2: 4056265513, RESERVATION COMMENTS: , FOLIO COMMENTS:, GUEST COMMENTS: </t>
  </si>
  <si>
    <t>218998465</t>
  </si>
  <si>
    <t>16944XG22084|22084</t>
  </si>
  <si>
    <t>2024-04-20 06:00:01</t>
  </si>
  <si>
    <t xml:space="preserve">GUEST COMMENTS: , RATE PLAN: Refun / PHONE NUMBER2: 3146402205, FOLIO COMMENTS:, RESERVATION COMMENTS: </t>
  </si>
  <si>
    <t>219673571</t>
  </si>
  <si>
    <t>2024-08-03</t>
  </si>
  <si>
    <t>219831361</t>
  </si>
  <si>
    <t>4866206451</t>
  </si>
  <si>
    <t>2024-05-02</t>
  </si>
  <si>
    <t>AI00345287874</t>
  </si>
  <si>
    <t>FOLIO COMMENTS:, RESERVATION COMMENTS: , GUEST COMMENTS: , RATE PLAN: Rack / PHONE NUMBER2: 4016475800</t>
  </si>
  <si>
    <t>219691585</t>
  </si>
  <si>
    <t>4480076403</t>
  </si>
  <si>
    <t>4443943846</t>
  </si>
  <si>
    <t>219727564</t>
  </si>
  <si>
    <t>219615113</t>
  </si>
  <si>
    <t>219702480</t>
  </si>
  <si>
    <t>AI00345287885</t>
  </si>
  <si>
    <t xml:space="preserve">FOLIO COMMENTS:, RATE PLAN: AARP / PHONE NUMBER2: 4016475800, RESERVATION COMMENTS: , GUEST COMMENTS: </t>
  </si>
  <si>
    <t>219756983</t>
  </si>
  <si>
    <t>219827831</t>
  </si>
  <si>
    <t>219896114</t>
  </si>
  <si>
    <t>219785418</t>
  </si>
  <si>
    <t>219646628</t>
  </si>
  <si>
    <t>219762041</t>
  </si>
  <si>
    <t>219616117</t>
  </si>
  <si>
    <t>219613063</t>
  </si>
  <si>
    <t>219731752</t>
  </si>
  <si>
    <t>220214810</t>
  </si>
  <si>
    <t>2024-04-21 06:00:01</t>
  </si>
  <si>
    <t>FOLIO COMMENTS:, RESERVATION COMMENTS: , RATE PLAN: OTA r, GUEST COMMENTS: tried to call guest at 9 phone</t>
  </si>
  <si>
    <t>4822682991</t>
  </si>
  <si>
    <t>220057949</t>
  </si>
  <si>
    <t>2024-10-11</t>
  </si>
  <si>
    <t>2024-10-13</t>
  </si>
  <si>
    <t>4582055066</t>
  </si>
  <si>
    <t>220277124</t>
  </si>
  <si>
    <t>220483003</t>
  </si>
  <si>
    <t>AI00345327767</t>
  </si>
  <si>
    <t>4433817465</t>
  </si>
  <si>
    <t>117 (STQ), 115 (STQ)</t>
  </si>
  <si>
    <t>4886178299</t>
  </si>
  <si>
    <t>2024-08-04</t>
  </si>
  <si>
    <t>2024-08-05</t>
  </si>
  <si>
    <t>16944GA22115|22115</t>
  </si>
  <si>
    <t>FOLIO COMMENTS:, GUEST COMMENTS: , RESERVATION COMMENTS: , RATE PLAN: Refun / PHONE NUMBER2: 9792182361</t>
  </si>
  <si>
    <t>220252899</t>
  </si>
  <si>
    <t>AI00345328229</t>
  </si>
  <si>
    <t>GUEST COMMENTS: , RATE PLAN: Refun / PHONE NUMBER2: 2103790594, RESERVATION COMMENTS: , FOLIO COMMENTS:</t>
  </si>
  <si>
    <t>AI00345323482</t>
  </si>
  <si>
    <t>RATE PLAN: Refun / PHONE NUMBER2: 6608859156, RESERVATION COMMENTS: , GUEST COMMENTS: , FOLIO COMMENTS:</t>
  </si>
  <si>
    <t>4793180057</t>
  </si>
  <si>
    <t>220191756</t>
  </si>
  <si>
    <t>220058531</t>
  </si>
  <si>
    <t>220411548</t>
  </si>
  <si>
    <t>220692514</t>
  </si>
  <si>
    <t>2024-04-22 06:00:01</t>
  </si>
  <si>
    <t>AI00345346061</t>
  </si>
  <si>
    <t xml:space="preserve">RESERVATION COMMENTS: , FOLIO COMMENTS:, RATE PLAN: Refun / PHONE NUMBER2: 8187311101, GUEST COMMENTS: </t>
  </si>
  <si>
    <t>2024-08-15</t>
  </si>
  <si>
    <t>220826577</t>
  </si>
  <si>
    <t>220827796</t>
  </si>
  <si>
    <t>220853418</t>
  </si>
  <si>
    <t>221026222</t>
  </si>
  <si>
    <t>AI00345346511</t>
  </si>
  <si>
    <t xml:space="preserve">RESERVATION COMMENTS: , FOLIO COMMENTS:, RATE PLAN: Rack / PHONE NUMBER2: 310-994-8474, GUEST COMMENTS: </t>
  </si>
  <si>
    <t>221250075</t>
  </si>
  <si>
    <t>4586714547</t>
  </si>
  <si>
    <t>RESERVATION COMMENTS: You have received a virtual credit, RATE PLAN: Booki, GUEST COMMENTS: , FOLIO COMMENTS:</t>
  </si>
  <si>
    <t>221250076</t>
  </si>
  <si>
    <t>203 (STK), 114 (STK)</t>
  </si>
  <si>
    <t>4877684946</t>
  </si>
  <si>
    <t>221121455</t>
  </si>
  <si>
    <t>AI00345341460</t>
  </si>
  <si>
    <t>4923565906</t>
  </si>
  <si>
    <t>221148547</t>
  </si>
  <si>
    <t>4771925842</t>
  </si>
  <si>
    <t>117 (STQ), 119 (STQ), 118 (STQ)</t>
  </si>
  <si>
    <t>2024-09-20</t>
  </si>
  <si>
    <t>4944289504</t>
  </si>
  <si>
    <t>221477025</t>
  </si>
  <si>
    <t>2024-04-23 06:00:01</t>
  </si>
  <si>
    <t>2024-10-06</t>
  </si>
  <si>
    <t>221729221</t>
  </si>
  <si>
    <t>221859003</t>
  </si>
  <si>
    <t xml:space="preserve">RATE PLAN: OTA r, FOLIO COMMENTS:, GUEST COMMENTS: late arrival has same room, RESERVATION COMMENTS: </t>
  </si>
  <si>
    <t>AI00345377672</t>
  </si>
  <si>
    <t>16944RO22145|22145</t>
  </si>
  <si>
    <t>RATE PLAN: Refun / PHONE NUMBER2: 3038841606, RESERVATION COMMENTS: , GUEST COMMENTS: , FOLIO COMMENTS:</t>
  </si>
  <si>
    <t>221731525</t>
  </si>
  <si>
    <t>221731523</t>
  </si>
  <si>
    <t>16944RD22146|22146</t>
  </si>
  <si>
    <t xml:space="preserve">RATE PLAN: Refun / PHONE NUMBER2: 3038841606, FOLIO COMMENTS:, GUEST COMMENTS: , RESERVATION COMMENTS: </t>
  </si>
  <si>
    <t>221663028</t>
  </si>
  <si>
    <t xml:space="preserve">RATE PLAN: OTA r, FOLIO COMMENTS:, GUEST COMMENTS: The tissue box was empty and, RESERVATION COMMENTS: </t>
  </si>
  <si>
    <t>221500342</t>
  </si>
  <si>
    <t>AI00345377414</t>
  </si>
  <si>
    <t>RATE PLAN: Rack / PHONE NUMBER2: 9703495092</t>
  </si>
  <si>
    <t>AI00345366782</t>
  </si>
  <si>
    <t>4429823264</t>
  </si>
  <si>
    <t>RATE PLAN: OTA r, FOLIO COMMENTS:, RESERVATION COMMENTS: , GUEST COMMENTS: left message about late check in</t>
  </si>
  <si>
    <t>221871304</t>
  </si>
  <si>
    <t>221500339</t>
  </si>
  <si>
    <t>221555934</t>
  </si>
  <si>
    <t>AI00345385840</t>
  </si>
  <si>
    <t xml:space="preserve">FOLIO COMMENTS:, RESERVATION COMMENTS: , RATE PLAN: Refun / PHONE NUMBER2: 9702103116, GUEST COMMENTS: </t>
  </si>
  <si>
    <t>221500344</t>
  </si>
  <si>
    <t>AI00345386436</t>
  </si>
  <si>
    <t>RESERVATION COMMENTS: , RATE PLAN: Refun / PHONE NUMBER2: 5752240069, GUEST COMMENTS: , FOLIO COMMENTS:</t>
  </si>
  <si>
    <t>AI00345391690</t>
  </si>
  <si>
    <t>2024-04-24 06:00:01</t>
  </si>
  <si>
    <t>222319985</t>
  </si>
  <si>
    <t>222371844</t>
  </si>
  <si>
    <t>AI00345392602</t>
  </si>
  <si>
    <t>AI00345389675</t>
  </si>
  <si>
    <t>FOLIO COMMENTS:, RESERVATION COMMENTS: , GUEST COMMENTS: , RATE PLAN: Refun / PHONE NUMBER2: 3038428711</t>
  </si>
  <si>
    <t>222051642</t>
  </si>
  <si>
    <t>222128110</t>
  </si>
  <si>
    <t>222144564</t>
  </si>
  <si>
    <t>FOLIO COMMENTS:, GUEST COMMENTS: , RESERVATION COMMENTS: l - Rate Plan changed to :Refund, RATE PLAN: OTA r</t>
  </si>
  <si>
    <t>222440408</t>
  </si>
  <si>
    <t>222347942</t>
  </si>
  <si>
    <t>2024-07-22</t>
  </si>
  <si>
    <t>222378952</t>
  </si>
  <si>
    <t>222592342</t>
  </si>
  <si>
    <t>222378950</t>
  </si>
  <si>
    <t>222457209</t>
  </si>
  <si>
    <t>223055151</t>
  </si>
  <si>
    <t>2024-04-25 06:00:01</t>
  </si>
  <si>
    <t>4313855923</t>
  </si>
  <si>
    <t>RATE PLAN: Booki, GUEST COMMENTS: Two extra pillows, please., RESERVATION COMMENTS: You have received a virtual credit, FOLIO COMMENTS:</t>
  </si>
  <si>
    <t>AI00345437602</t>
  </si>
  <si>
    <t xml:space="preserve">FOLIO COMMENTS:, RATE PLAN: Refun / PHONE NUMBER2: 503-635-7058, RESERVATION COMMENTS: , GUEST COMMENTS: </t>
  </si>
  <si>
    <t>AI00345429546</t>
  </si>
  <si>
    <t>AI00345415912</t>
  </si>
  <si>
    <t>RESERVATION COMMENTS: , GUEST COMMENTS: , FOLIO COMMENTS:, RATE PLAN: Refun / PHONE NUMBER2: 7654379732</t>
  </si>
  <si>
    <t>AI00345415136</t>
  </si>
  <si>
    <t>223317152</t>
  </si>
  <si>
    <t>AI00345431831</t>
  </si>
  <si>
    <t>AI00345416193</t>
  </si>
  <si>
    <t>GUEST COMMENTS: , FOLIO COMMENTS:, RESERVATION COMMENTS: , RATE PLAN: Refun / PHONE NUMBER2: 2487650929</t>
  </si>
  <si>
    <t>AI00345421076</t>
  </si>
  <si>
    <t>AI00345435059</t>
  </si>
  <si>
    <t>223221203</t>
  </si>
  <si>
    <t>GUEST COMMENTS: "Hi. I'm not sure if I'm too late, RESERVATION COMMENTS: , FOLIO COMMENTS:, RATE PLAN: OTA r</t>
  </si>
  <si>
    <t>223860017</t>
  </si>
  <si>
    <t>2024-04-26 06:00:01</t>
  </si>
  <si>
    <t>223731838</t>
  </si>
  <si>
    <t>FOLIO COMMENTS:, RESERVATION COMMENTS: , GUEST COMMENTS: **We have to be at a wedding up, RATE PLAN: OTA r</t>
  </si>
  <si>
    <t>4664752062</t>
  </si>
  <si>
    <t>4315104055</t>
  </si>
  <si>
    <t>AI00345454960</t>
  </si>
  <si>
    <t>RATE PLAN: Refun / PHONE NUMBER2: 6789531859, GUEST COMMENTS: , RESERVATION COMMENTS: , FOLIO COMMENTS:</t>
  </si>
  <si>
    <t>223577673</t>
  </si>
  <si>
    <t>GUEST COMMENTS: *The air conditioning is not, RATE PLAN: OTA r, RESERVATION COMMENTS: , FOLIO COMMENTS:</t>
  </si>
  <si>
    <t>223867939</t>
  </si>
  <si>
    <t>223599246</t>
  </si>
  <si>
    <t xml:space="preserve">FOLIO COMMENTS:, RATE PLAN: OTA r, GUEST COMMENTS: late check in spoke with guest to, RESERVATION COMMENTS: </t>
  </si>
  <si>
    <t>4818947614</t>
  </si>
  <si>
    <t>AI00345455714</t>
  </si>
  <si>
    <t xml:space="preserve">RESERVATION COMMENTS: , RATE PLAN: AARP / PHONE NUMBER2: 9703061383, FOLIO COMMENTS:, GUEST COMMENTS: </t>
  </si>
  <si>
    <t>4363213416</t>
  </si>
  <si>
    <t>223837618</t>
  </si>
  <si>
    <t>FOLIO COMMENTS:, GUEST COMMENTS: 12 pm late check out, RESERVATION COMMENTS: , RATE PLAN: OTA r</t>
  </si>
  <si>
    <t>202 (DQ), 203 (STK)</t>
  </si>
  <si>
    <t>Double Queen, Standard King</t>
  </si>
  <si>
    <t>4958976724</t>
  </si>
  <si>
    <t xml:space="preserve">GUEST COMMENTS: 2 guests, RATE PLAN: OTA r, FOLIO COMMENTS:, RESERVATION COMMENTS: </t>
  </si>
  <si>
    <t>AI00345485380</t>
  </si>
  <si>
    <t>2024-04-27 06:00:01</t>
  </si>
  <si>
    <t xml:space="preserve">RESERVATION COMMENTS: , RATE PLAN: Refun / PHONE NUMBER2: 9709462029, FOLIO COMMENTS:, GUEST COMMENTS: </t>
  </si>
  <si>
    <t>224218196</t>
  </si>
  <si>
    <t>4340824471</t>
  </si>
  <si>
    <t>224313486</t>
  </si>
  <si>
    <t>224362700</t>
  </si>
  <si>
    <t>224049176</t>
  </si>
  <si>
    <t>FOLIO COMMENTS:, RESERVATION COMMENTS: The Economy "Small Queen, RATE PLAN: OTA r, GUEST COMMENTS: This motel is a very old property</t>
  </si>
  <si>
    <t>AI00345484121</t>
  </si>
  <si>
    <t xml:space="preserve">GUEST COMMENTS: I will be traveling from Oklahoma, RATE PLAN: Rack / PHONE NUMBER2: 4056270642, FOLIO COMMENTS:, RESERVATION COMMENTS: </t>
  </si>
  <si>
    <t>224248579</t>
  </si>
  <si>
    <t>224219189</t>
  </si>
  <si>
    <t>4815441720</t>
  </si>
  <si>
    <t>2024-08-20</t>
  </si>
  <si>
    <t>2024-08-22</t>
  </si>
  <si>
    <t>224270502</t>
  </si>
  <si>
    <t>4610854178</t>
  </si>
  <si>
    <t>2024-04-28 06:00:01</t>
  </si>
  <si>
    <t>AI00345502717</t>
  </si>
  <si>
    <t>RATE PLAN: Rack, RESERVATION COMMENTS: moved to 101 due to no heat in, GUEST COMMENTS: , FOLIO COMMENTS:</t>
  </si>
  <si>
    <t>225040009</t>
  </si>
  <si>
    <t>225060901</t>
  </si>
  <si>
    <t>AI00345502953</t>
  </si>
  <si>
    <t>225047088</t>
  </si>
  <si>
    <t>RATE PLAN: OTA r, GUEST COMMENTS: , RESERVATION COMMENTS: , FOLIO COMMENTS: Son will be checking in for her-Jf</t>
  </si>
  <si>
    <t>224694233</t>
  </si>
  <si>
    <t>AI00345498823</t>
  </si>
  <si>
    <t xml:space="preserve">FOLIO COMMENTS:, RATE PLAN: Refun / PHONE NUMBER2: 6025104321, GUEST COMMENTS: , RESERVATION COMMENTS: </t>
  </si>
  <si>
    <t>4451226665</t>
  </si>
  <si>
    <t>224627514</t>
  </si>
  <si>
    <t>224796536</t>
  </si>
  <si>
    <t>224725055</t>
  </si>
  <si>
    <t>GUEST COMMENTS: 2 yr old child, RATE PLAN: OTA r, RESERVATION COMMENTS: , FOLIO COMMENTS:</t>
  </si>
  <si>
    <t>AI00345507790</t>
  </si>
  <si>
    <t>224808555</t>
  </si>
  <si>
    <t>4404913801</t>
  </si>
  <si>
    <t>224796530</t>
  </si>
  <si>
    <t>4343151273</t>
  </si>
  <si>
    <t>4532196182</t>
  </si>
  <si>
    <t>225663855</t>
  </si>
  <si>
    <t>2024-04-29 06:00:01</t>
  </si>
  <si>
    <t>4631980923</t>
  </si>
  <si>
    <t>16944SX22253|22253</t>
  </si>
  <si>
    <t xml:space="preserve">FOLIO COMMENTS:, RATE PLAN: Refun / PHONE NUMBER2: 3202493311, GUEST COMMENTS: , RESERVATION COMMENTS: </t>
  </si>
  <si>
    <t>225568426</t>
  </si>
  <si>
    <t>225763207</t>
  </si>
  <si>
    <t>AI00345529963</t>
  </si>
  <si>
    <t>RESERVATION COMMENTS: , FOLIO COMMENTS:, GUEST COMMENTS: , RATE PLAN: Rack / PHONE NUMBER2: 9079036023</t>
  </si>
  <si>
    <t>225610790</t>
  </si>
  <si>
    <t>225466071</t>
  </si>
  <si>
    <t>225389770</t>
  </si>
  <si>
    <t>AI00345532541</t>
  </si>
  <si>
    <t>RESERVATION COMMENTS: , GUEST COMMENTS: , FOLIO COMMENTS:, RATE PLAN: Refun / PHONE NUMBER2: 8018153404</t>
  </si>
  <si>
    <t>225575976</t>
  </si>
  <si>
    <t>225774872</t>
  </si>
  <si>
    <t>4812569286</t>
  </si>
  <si>
    <t>225683789</t>
  </si>
  <si>
    <t>2024-09-17</t>
  </si>
  <si>
    <t>16944BB22257|22257</t>
  </si>
  <si>
    <t>RESERVATION COMMENTS: , GUEST COMMENTS: , RATE PLAN: Refun / PHONE NUMBER2: 2502175910, FOLIO COMMENTS:</t>
  </si>
  <si>
    <t>225683787</t>
  </si>
  <si>
    <t>AI00345561497</t>
  </si>
  <si>
    <t>2024-04-30 06:00:01</t>
  </si>
  <si>
    <t>AI00345553162</t>
  </si>
  <si>
    <t>AI00345542351</t>
  </si>
  <si>
    <t xml:space="preserve">RATE PLAN: Rack, GUEST COMMENTS: vet tank driver remembers jordan, FOLIO COMMENTS:, RESERVATION COMMENTS: </t>
  </si>
  <si>
    <t>AI00345553061</t>
  </si>
  <si>
    <t>226437449</t>
  </si>
  <si>
    <t>AI00345557458</t>
  </si>
  <si>
    <t>226347162</t>
  </si>
  <si>
    <t>AI00345564782</t>
  </si>
  <si>
    <t>RESERVATION COMMENTS: , GUEST COMMENTS: , FOLIO COMMENTS:, RATE PLAN: Refun / PHONE NUMBER2: 5055143845</t>
  </si>
  <si>
    <t>AI00345561510</t>
  </si>
  <si>
    <t>GUEST COMMENTS: , FOLIO COMMENTS:, RESERVATION COMMENTS: , RATE PLAN: Refun / PHONE NUMBER2: 7202407091</t>
  </si>
  <si>
    <t>4869711106</t>
  </si>
  <si>
    <t>4719245824</t>
  </si>
  <si>
    <t>226203967</t>
  </si>
  <si>
    <t>226462619</t>
  </si>
  <si>
    <t>226364942</t>
  </si>
  <si>
    <t>226340028</t>
  </si>
  <si>
    <t>RESERVATION COMMENTS: , RATE PLAN: OTA r, GUEST COMMENTS: late arrival explained how to get, FOLIO COMMENTS:</t>
  </si>
  <si>
    <t>4719245103</t>
  </si>
  <si>
    <t>GUEST COMMENTS: Quiet room, please away from, FOLIO COMMENTS:, RESERVATION COMMENTS: , RATE PLAN: OTA r</t>
  </si>
  <si>
    <t>226375166</t>
  </si>
  <si>
    <t>226421550</t>
  </si>
  <si>
    <t>4611363714</t>
  </si>
  <si>
    <t>AI00345554837</t>
  </si>
  <si>
    <t xml:space="preserve">RESERVATION COMMENTS: , RATE PLAN: Rack / PHONE NUMBER2: 8506660801, FOLIO COMMENTS:, GUEST COMMENTS: </t>
  </si>
  <si>
    <t>226270807</t>
  </si>
  <si>
    <t>AI00345560676</t>
  </si>
  <si>
    <t xml:space="preserve">RATE PLAN: Rack, RESERVATION COMMENTS: , FOLIO COMMENTS: Comped room, originally booked, GUEST COMMENTS: </t>
  </si>
  <si>
    <t>226366746</t>
  </si>
  <si>
    <t>AI00345564210</t>
  </si>
  <si>
    <t>RATE PLAN: Refun / PHONE NUMBER2: 832-561-2059, RESERVATION COMMENTS: , GUEST COMMENTS: , FOLIO COMMENTS:</t>
  </si>
  <si>
    <t>226358686</t>
  </si>
  <si>
    <t>226759449</t>
  </si>
  <si>
    <t>2024-05-01 06:00:01</t>
  </si>
  <si>
    <t>4473036233</t>
  </si>
  <si>
    <t>226828494</t>
  </si>
  <si>
    <t>226915403</t>
  </si>
  <si>
    <t>AI00345581062</t>
  </si>
  <si>
    <t>FOLIO COMMENTS:, RESERVATION COMMENTS: , GUEST COMMENTS: , RATE PLAN: Rack / PHONE NUMBER2: 9704813884</t>
  </si>
  <si>
    <t>AI00345587653</t>
  </si>
  <si>
    <t>226730841</t>
  </si>
  <si>
    <t>227189028</t>
  </si>
  <si>
    <t>4915907586</t>
  </si>
  <si>
    <t>227231041</t>
  </si>
  <si>
    <t>226953027</t>
  </si>
  <si>
    <t>227136315</t>
  </si>
  <si>
    <t>AI00345581455</t>
  </si>
  <si>
    <t>4933350675</t>
  </si>
  <si>
    <t>226892681</t>
  </si>
  <si>
    <t>226883642</t>
  </si>
  <si>
    <t>4500798808</t>
  </si>
  <si>
    <t>227957304</t>
  </si>
  <si>
    <t>2024-05-02 06:00:01</t>
  </si>
  <si>
    <t>4933355125</t>
  </si>
  <si>
    <t>227518491</t>
  </si>
  <si>
    <t>AI00345604484</t>
  </si>
  <si>
    <t xml:space="preserve">RESERVATION COMMENTS: , FOLIO COMMENTS:, RATE PLAN: Refun / PHONE NUMBER2: 6512617409, GUEST COMMENTS: </t>
  </si>
  <si>
    <t>AI00345600121</t>
  </si>
  <si>
    <t>AI00345610335</t>
  </si>
  <si>
    <t>227561659</t>
  </si>
  <si>
    <t>227766868</t>
  </si>
  <si>
    <t>227798428</t>
  </si>
  <si>
    <t>227798430</t>
  </si>
  <si>
    <t>227910634</t>
  </si>
  <si>
    <t>AI00345613664</t>
  </si>
  <si>
    <t>227937982</t>
  </si>
  <si>
    <t>227585265</t>
  </si>
  <si>
    <t>4365171448</t>
  </si>
  <si>
    <t>4980054579</t>
  </si>
  <si>
    <t>AI00345601728</t>
  </si>
  <si>
    <t>227722614</t>
  </si>
  <si>
    <t>2024-12-25</t>
  </si>
  <si>
    <t>2024-12-28</t>
  </si>
  <si>
    <t>16944UT22321|22321</t>
  </si>
  <si>
    <t>2024-05-03 06:00:01</t>
  </si>
  <si>
    <t xml:space="preserve">GUEST COMMENTS: , RATE PLAN: Refun / PHONE NUMBER2: 7024232626, FOLIO COMMENTS:, RESERVATION COMMENTS: </t>
  </si>
  <si>
    <t>228374714</t>
  </si>
  <si>
    <t>AI00345629919</t>
  </si>
  <si>
    <t>GUEST COMMENTS: , RESERVATION COMMENTS: , RATE PLAN: Refun / PHONE NUMBER2: 9709462029, FOLIO COMMENTS:</t>
  </si>
  <si>
    <t>228387391</t>
  </si>
  <si>
    <t>228281758</t>
  </si>
  <si>
    <t>228202343</t>
  </si>
  <si>
    <t>228451292</t>
  </si>
  <si>
    <t>AI00345635545</t>
  </si>
  <si>
    <t>228649498</t>
  </si>
  <si>
    <t>228218858</t>
  </si>
  <si>
    <t>228223765</t>
  </si>
  <si>
    <t>229067341</t>
  </si>
  <si>
    <t>2024-05-04 06:00:01</t>
  </si>
  <si>
    <t>228879468</t>
  </si>
  <si>
    <t>228955289</t>
  </si>
  <si>
    <t>228886060</t>
  </si>
  <si>
    <t>AI00345663142</t>
  </si>
  <si>
    <t>GUEST COMMENTS: , FOLIO COMMENTS:, RESERVATION COMMENTS: , RATE PLAN: Refun / PHONE NUMBER2: 5055079282</t>
  </si>
  <si>
    <t>AI00345663793</t>
  </si>
  <si>
    <t>228886058</t>
  </si>
  <si>
    <t>4508253517</t>
  </si>
  <si>
    <t>AI00345661397</t>
  </si>
  <si>
    <t>FOLIO COMMENTS:, GUEST COMMENTS: , RESERVATION COMMENTS: , RATE PLAN: Refun / PHONE NUMBER2: 4806190235</t>
  </si>
  <si>
    <t>229081015</t>
  </si>
  <si>
    <t>228847312</t>
  </si>
  <si>
    <t>RESERVATION COMMENTS: , FOLIO COMMENTS:, GUEST COMMENTS: Special requestQuiet room please, RATE PLAN: OTA r, Wants to split cost with her friend. DO NOT RUN CARDS TILL WE GET THEM BOTH-JF</t>
  </si>
  <si>
    <t>2024-09-24</t>
  </si>
  <si>
    <t>2024-09-29</t>
  </si>
  <si>
    <t>AI00345656043</t>
  </si>
  <si>
    <t>RATE PLAN: Rack , RESERVATION COMMENTS: , FOLIO COMMENTS:, GUEST COMMENTS: I booked a room with you today</t>
  </si>
  <si>
    <t>229457066</t>
  </si>
  <si>
    <t>2024-05-05 06:00:01</t>
  </si>
  <si>
    <t>AI00345685168</t>
  </si>
  <si>
    <t>AI00345688699</t>
  </si>
  <si>
    <t xml:space="preserve">GUEST COMMENTS: , RATE PLAN: Refun / PHONE NUMBER2: 6109527181, FOLIO COMMENTS:, RESERVATION COMMENTS: </t>
  </si>
  <si>
    <t>229425590</t>
  </si>
  <si>
    <t>229367187</t>
  </si>
  <si>
    <t>4867340326</t>
  </si>
  <si>
    <t>FOLIO COMMENTS:, RESERVATION COMMENTS: , GUEST COMMENTS: *asking for a 2-3 pm check in, RATE PLAN: OTA r</t>
  </si>
  <si>
    <t>112 (STQ), 107 (DQ), 111 (SMQ)</t>
  </si>
  <si>
    <t>Standard Queen, Small Queen, Double Queen</t>
  </si>
  <si>
    <t>4498966964</t>
  </si>
  <si>
    <t>Lithuania</t>
  </si>
  <si>
    <t>229568064</t>
  </si>
  <si>
    <t>229425585</t>
  </si>
  <si>
    <t>4892114205</t>
  </si>
  <si>
    <t>229540467</t>
  </si>
  <si>
    <t>4735774589</t>
  </si>
  <si>
    <t>229507668</t>
  </si>
  <si>
    <t>4940941218</t>
  </si>
  <si>
    <t>AI00345681085</t>
  </si>
  <si>
    <t>RESERVATION COMMENTS: , RATE PLAN: Rack, GUEST COMMENTS: , FOLIO COMMENTS: Friends and Family</t>
  </si>
  <si>
    <t>AI00345686237</t>
  </si>
  <si>
    <t>230042714</t>
  </si>
  <si>
    <t>2024-05-06 06:00:01</t>
  </si>
  <si>
    <t>AI00345701640</t>
  </si>
  <si>
    <t xml:space="preserve">RATE PLAN: Rack / PHONE NUMBER2: 6026977305, FOLIO COMMENTS:, GUEST COMMENTS: , RESERVATION COMMENTS: </t>
  </si>
  <si>
    <t>4857572221</t>
  </si>
  <si>
    <t>230190957</t>
  </si>
  <si>
    <t>FOLIO COMMENTS: We love your City - And so, RESERVATION COMMENTS: , GUEST COMMENTS: , RATE PLAN: OTA r</t>
  </si>
  <si>
    <t>4381250706</t>
  </si>
  <si>
    <t>230239917</t>
  </si>
  <si>
    <t>230211115</t>
  </si>
  <si>
    <t>229941660</t>
  </si>
  <si>
    <t>AI00345714644</t>
  </si>
  <si>
    <t>4543487864</t>
  </si>
  <si>
    <t>230418671</t>
  </si>
  <si>
    <t>229882710</t>
  </si>
  <si>
    <t>230425698</t>
  </si>
  <si>
    <t>4735747547</t>
  </si>
  <si>
    <t>230212831</t>
  </si>
  <si>
    <t>4624292401</t>
  </si>
  <si>
    <t>4612687100</t>
  </si>
  <si>
    <t xml:space="preserve">FOLIO COMMENTS:, GUEST COMMENTS: *I'd like to request check-in at, RATE PLAN: OTA r, RESERVATION COMMENTS: </t>
  </si>
  <si>
    <t>AI00345706780</t>
  </si>
  <si>
    <t>16944BZ22381|22381</t>
  </si>
  <si>
    <t>GUEST COMMENTS: , RESERVATION COMMENTS: , RATE PLAN: Refun / PHONE NUMBER2: 3143699483, FOLIO COMMENTS:</t>
  </si>
  <si>
    <t>230902750</t>
  </si>
  <si>
    <t>2024-05-07 06:00:01</t>
  </si>
  <si>
    <t>AI00345735962</t>
  </si>
  <si>
    <t>230856531</t>
  </si>
  <si>
    <t>AI00345732183</t>
  </si>
  <si>
    <t>RATE PLAN: Rack / PHONE NUMBER2: 7192012377, RESERVATION COMMENTS: , GUEST COMMENTS: , FOLIO COMMENTS:</t>
  </si>
  <si>
    <t>230740077</t>
  </si>
  <si>
    <t>AI00345735872</t>
  </si>
  <si>
    <t>AI00345735805</t>
  </si>
  <si>
    <t>AI00345728559</t>
  </si>
  <si>
    <t>GUEST COMMENTS: , RESERVATION COMMENTS: , FOLIO COMMENTS:, RATE PLAN: Refun / PHONE NUMBER2: 2069495388</t>
  </si>
  <si>
    <t>230740080</t>
  </si>
  <si>
    <t>231036587</t>
  </si>
  <si>
    <t>230959057</t>
  </si>
  <si>
    <t>AI00345760555</t>
  </si>
  <si>
    <t>2024-05-08 06:00:01</t>
  </si>
  <si>
    <t>AI00345771614</t>
  </si>
  <si>
    <t>231543150</t>
  </si>
  <si>
    <t>AI00345773481</t>
  </si>
  <si>
    <t>2024-08-21</t>
  </si>
  <si>
    <t>231395881</t>
  </si>
  <si>
    <t>AI00345772299</t>
  </si>
  <si>
    <t>RESERVATION COMMENTS: , RATE PLAN: Rack, FOLIO COMMENTS:, GUEST COMMENTS: staying two nights instead of one</t>
  </si>
  <si>
    <t>231798582</t>
  </si>
  <si>
    <t>231512474</t>
  </si>
  <si>
    <t>231509501</t>
  </si>
  <si>
    <t>231509500</t>
  </si>
  <si>
    <t>16944NY22414|22414</t>
  </si>
  <si>
    <t>FOLIO COMMENTS:, GUEST COMMENTS: , RESERVATION COMMENTS: , RATE PLAN: Refun / PHONE NUMBER2: 3073218933</t>
  </si>
  <si>
    <t>4431400140</t>
  </si>
  <si>
    <t>AI00345765123</t>
  </si>
  <si>
    <t>RESERVATION COMMENTS: , RATE PLAN: Refun / PHONE NUMBER2: 5402505872, GUEST COMMENTS: , FOLIO COMMENTS:</t>
  </si>
  <si>
    <t>231512472</t>
  </si>
  <si>
    <t>AI00345757630</t>
  </si>
  <si>
    <t xml:space="preserve">RESERVATION COMMENTS: , FOLIO COMMENTS:, RATE PLAN: Rack / PHONE NUMBER2: 8055702284, GUEST COMMENTS: </t>
  </si>
  <si>
    <t>AI00345756527</t>
  </si>
  <si>
    <t xml:space="preserve">FOLIO COMMENTS:, RESERVATION COMMENTS: , RATE PLAN: Refun / PHONE NUMBER2: 5402505872, GUEST COMMENTS: </t>
  </si>
  <si>
    <t>231759909</t>
  </si>
  <si>
    <t>231564238</t>
  </si>
  <si>
    <t>AI00345798444</t>
  </si>
  <si>
    <t>2024-05-09 06:00:01</t>
  </si>
  <si>
    <t>4545668842</t>
  </si>
  <si>
    <t>232461053</t>
  </si>
  <si>
    <t>232536521</t>
  </si>
  <si>
    <t>232198707</t>
  </si>
  <si>
    <t>232347321</t>
  </si>
  <si>
    <t>RATE PLAN: OTA r, FOLIO COMMENTS: Booked under Jeph H MAKE, RESERVATION COMMENTS: , GUEST COMMENTS: *correct name Jeffrey Hansel on</t>
  </si>
  <si>
    <t>2024-09-16</t>
  </si>
  <si>
    <t>4681224803</t>
  </si>
  <si>
    <t>232389388</t>
  </si>
  <si>
    <t>AI00345792943</t>
  </si>
  <si>
    <t>AI00345803979</t>
  </si>
  <si>
    <t>232454955</t>
  </si>
  <si>
    <t>232516674</t>
  </si>
  <si>
    <t>232438352</t>
  </si>
  <si>
    <t>232447969</t>
  </si>
  <si>
    <t>RATE PLAN: OTA r, RESERVATION COMMENTS: , GUEST COMMENTS: Our room is clean, except for the, FOLIO COMMENTS:</t>
  </si>
  <si>
    <t>232384722</t>
  </si>
  <si>
    <t>AI00345795025</t>
  </si>
  <si>
    <t>FOLIO COMMENTS:, GUEST COMMENTS: , RATE PLAN: Rack / PHONE NUMBER2: 5517954740, RESERVATION COMMENTS: staying extra night - Rate Plan</t>
  </si>
  <si>
    <t>AI00345793270</t>
  </si>
  <si>
    <t xml:space="preserve">RATE PLAN: Rack, FOLIO COMMENTS: use AMEX card, RESERVATION COMMENTS: , GUEST COMMENTS: </t>
  </si>
  <si>
    <t>232240934</t>
  </si>
  <si>
    <t>AI00345797690</t>
  </si>
  <si>
    <t xml:space="preserve">RESERVATION COMMENTS: , FOLIO COMMENTS:, RATE PLAN: Rack / PHONE NUMBER2: 5055143845, GUEST COMMENTS: </t>
  </si>
  <si>
    <t>AI00345804846</t>
  </si>
  <si>
    <t>4665642790</t>
  </si>
  <si>
    <t>16944HG22428|22428</t>
  </si>
  <si>
    <t xml:space="preserve">GUEST COMMENTS: , FOLIO COMMENTS:, RATE PLAN: Refun / PHONE NUMBER2: 6156425126, RESERVATION COMMENTS: </t>
  </si>
  <si>
    <t>232232583</t>
  </si>
  <si>
    <t>233119323</t>
  </si>
  <si>
    <t>2024-05-10 06:00:01</t>
  </si>
  <si>
    <t>AI00345826053</t>
  </si>
  <si>
    <t>4432379554</t>
  </si>
  <si>
    <t xml:space="preserve">RESERVATION COMMENTS: extended, FOLIO COMMENTS:, RATE PLAN: Booki, GUEST COMMENTS: </t>
  </si>
  <si>
    <t>AI00345829461</t>
  </si>
  <si>
    <t xml:space="preserve">RATE PLAN: Refun / PHONE NUMBER2: 7134716665, RESERVATION COMMENTS: , FOLIO COMMENTS:, GUEST COMMENTS: </t>
  </si>
  <si>
    <t>232615359</t>
  </si>
  <si>
    <t>232910515</t>
  </si>
  <si>
    <t xml:space="preserve">GUEST COMMENTS: Special requestQuiet room away, FOLIO COMMENTS:, RATE PLAN: OTA r, RESERVATION COMMENTS: </t>
  </si>
  <si>
    <t>232871799</t>
  </si>
  <si>
    <t>AI00345831341</t>
  </si>
  <si>
    <t>RATE PLAN: Refun / PHONE NUMBER2: 5082771458, RESERVATION COMMENTS: , GUEST COMMENTS: , FOLIO COMMENTS:</t>
  </si>
  <si>
    <t>233118837</t>
  </si>
  <si>
    <t>2024-10-15</t>
  </si>
  <si>
    <t>4870879526</t>
  </si>
  <si>
    <t>233418452</t>
  </si>
  <si>
    <t>2024-05-11 06:00:01</t>
  </si>
  <si>
    <t>233418450</t>
  </si>
  <si>
    <t>233388819</t>
  </si>
  <si>
    <t xml:space="preserve">FOLIO COMMENTS:, RATE PLAN: OTA r, GUEST COMMENTS: 4/10* No coffee pot in room, RESERVATION COMMENTS: </t>
  </si>
  <si>
    <t>4925659232</t>
  </si>
  <si>
    <t>RATE PLAN: Booki, RESERVATION COMMENTS: , GUEST COMMENTS: , FOLIO COMMENTS:</t>
  </si>
  <si>
    <t>AI00345858249</t>
  </si>
  <si>
    <t xml:space="preserve">FOLIO COMMENTS:, GUEST COMMENTS: , RATE PLAN: Refun / PHONE NUMBER2: 3038185824, RESERVATION COMMENTS: </t>
  </si>
  <si>
    <t>233543194</t>
  </si>
  <si>
    <t>AI00345842376</t>
  </si>
  <si>
    <t>FOLIO COMMENTS:, GUEST COMMENTS: , RESERVATION COMMENTS: , RATE PLAN: Refun / PHONE NUMBER2: 5054264926</t>
  </si>
  <si>
    <t>4852486711</t>
  </si>
  <si>
    <t>4778117179</t>
  </si>
  <si>
    <t>AI00345878612</t>
  </si>
  <si>
    <t>2024-05-12 06:00:01</t>
  </si>
  <si>
    <t xml:space="preserve">RATE PLAN: Rack / PHONE NUMBER2: 6026977305, FOLIO COMMENTS:, RESERVATION COMMENTS: no answer on phone at 9pm, GUEST COMMENTS: </t>
  </si>
  <si>
    <t>202 (DQ), 201 (DQ)</t>
  </si>
  <si>
    <t>2024-08-13</t>
  </si>
  <si>
    <t>4649066351</t>
  </si>
  <si>
    <t>GUEST COMMENTS: 1 room - 2 adults and 2 child 14, FOLIO COMMENTS:, RESERVATION COMMENTS: , RATE PLAN: OTA r</t>
  </si>
  <si>
    <t>16944AG22485|22485</t>
  </si>
  <si>
    <t>RATE PLAN: Refun / PHONE NUMBER2: 3038185824, RESERVATION COMMENTS: , GUEST COMMENTS: , FOLIO COMMENTS:</t>
  </si>
  <si>
    <t>234234387</t>
  </si>
  <si>
    <t>AI00345880491</t>
  </si>
  <si>
    <t xml:space="preserve">FOLIO COMMENTS:, RATE PLAN: Rack / PHONE NUMBER2: 505 660 1672, GUEST COMMENTS: Use 3241 Travels to Durango, RESERVATION COMMENTS: </t>
  </si>
  <si>
    <t>234028852</t>
  </si>
  <si>
    <t>AI00345880659</t>
  </si>
  <si>
    <t>4649028194</t>
  </si>
  <si>
    <t>4925621903</t>
  </si>
  <si>
    <t>AI00345876979</t>
  </si>
  <si>
    <t>233889381</t>
  </si>
  <si>
    <t>AI00345871828</t>
  </si>
  <si>
    <t>GUEST COMMENTS: , RESERVATION COMMENTS: , FOLIO COMMENTS:, RATE PLAN: Refun / PHONE NUMBER2: 7202994678</t>
  </si>
  <si>
    <t>AI00345865517</t>
  </si>
  <si>
    <t>234154713</t>
  </si>
  <si>
    <t>AI00345868419</t>
  </si>
  <si>
    <t xml:space="preserve">FOLIO COMMENTS:, GUEST COMMENTS: , RATE PLAN: Rack / PHONE NUMBER2: 3073319762, RESERVATION COMMENTS: </t>
  </si>
  <si>
    <t>4370465164</t>
  </si>
  <si>
    <t>16944HS22486|22486</t>
  </si>
  <si>
    <t>RESERVATION COMMENTS: , GUEST COMMENTS: , FOLIO COMMENTS:, RATE PLAN: Refun / PHONE NUMBER2: 3025840059</t>
  </si>
  <si>
    <t>234174974</t>
  </si>
  <si>
    <t>4370461953</t>
  </si>
  <si>
    <t>2024-09-21</t>
  </si>
  <si>
    <t>234143196</t>
  </si>
  <si>
    <t>AI00345867902</t>
  </si>
  <si>
    <t xml:space="preserve">RESERVATION COMMENTS: , FOLIO COMMENTS:, RATE PLAN: Refun / PHONE NUMBER2: 2152909091, GUEST COMMENTS: </t>
  </si>
  <si>
    <t>16944GW22479|22479</t>
  </si>
  <si>
    <t xml:space="preserve">RATE PLAN: Refun / PHONE NUMBER2: 5158173270, FOLIO COMMENTS:, GUEST COMMENTS: , RESERVATION COMMENTS: </t>
  </si>
  <si>
    <t>234457883</t>
  </si>
  <si>
    <t>2024-05-13 06:00:01</t>
  </si>
  <si>
    <t>235012646</t>
  </si>
  <si>
    <t>FOLIO COMMENTS:, RESERVATION COMMENTS: , RATE PLAN: OTA r, GUEST COMMENTS: SERVICE DOG ZAC</t>
  </si>
  <si>
    <t>234601213</t>
  </si>
  <si>
    <t>AI00345903183</t>
  </si>
  <si>
    <t>234506526</t>
  </si>
  <si>
    <t>GUEST COMMENTS: , RESERVATION COMMENTS: , FOLIO COMMENTS: left message about late check in, RATE PLAN: OTA r</t>
  </si>
  <si>
    <t>AI00345896948</t>
  </si>
  <si>
    <t xml:space="preserve">GUEST COMMENTS: , FOLIO COMMENTS:, RATE PLAN: Refun / PHONE NUMBER2: 3167962497, RESERVATION COMMENTS: </t>
  </si>
  <si>
    <t>AI00345902654</t>
  </si>
  <si>
    <t>GUEST COMMENTS: , RESERVATION COMMENTS: , FOLIO COMMENTS:, RATE PLAN: Refun / PHONE NUMBER2: 6786544706</t>
  </si>
  <si>
    <t>AI00345903307</t>
  </si>
  <si>
    <t>AI00345890605</t>
  </si>
  <si>
    <t xml:space="preserve">FOLIO COMMENTS:, RATE PLAN: Refun / PHONE NUMBER2: 9513125022, RESERVATION COMMENTS: , GUEST COMMENTS: </t>
  </si>
  <si>
    <t>234612979</t>
  </si>
  <si>
    <t>234821792</t>
  </si>
  <si>
    <t>234944507</t>
  </si>
  <si>
    <t>AI00345894126</t>
  </si>
  <si>
    <t>234815763</t>
  </si>
  <si>
    <t>AI00345903060</t>
  </si>
  <si>
    <t>AI00345906793</t>
  </si>
  <si>
    <t>AI00345890795</t>
  </si>
  <si>
    <t>FOLIO COMMENTS:, GUEST COMMENTS: , RESERVATION COMMENTS: , RATE PLAN: Refun / PHONE NUMBER2: 6192509938</t>
  </si>
  <si>
    <t>235597627</t>
  </si>
  <si>
    <t>2024-05-14 06:00:01</t>
  </si>
  <si>
    <t>235762830</t>
  </si>
  <si>
    <t>235692590</t>
  </si>
  <si>
    <t>AI00345934288</t>
  </si>
  <si>
    <t>AI00345922702</t>
  </si>
  <si>
    <t>GUEST COMMENTS: , FOLIO COMMENTS:, RESERVATION COMMENTS: , RATE PLAN: AARP / PHONE NUMBER2: 9048605437</t>
  </si>
  <si>
    <t>AI00345915423</t>
  </si>
  <si>
    <t xml:space="preserve">RESERVATION COMMENTS: , RATE PLAN: AARP / PHONE NUMBER2: 4042908967, FOLIO COMMENTS:, GUEST COMMENTS: </t>
  </si>
  <si>
    <t>4613693983</t>
  </si>
  <si>
    <t>AI00345941769</t>
  </si>
  <si>
    <t xml:space="preserve">RESERVATION COMMENTS: , RATE PLAN: Refun / PHONE NUMBER2: 4409355471, FOLIO COMMENTS:, GUEST COMMENTS: </t>
  </si>
  <si>
    <t>235108413</t>
  </si>
  <si>
    <t>AI00345937258</t>
  </si>
  <si>
    <t>235510884</t>
  </si>
  <si>
    <t>4751742362</t>
  </si>
  <si>
    <t>AI00345931915</t>
  </si>
  <si>
    <t>2024-09-10</t>
  </si>
  <si>
    <t>235344112</t>
  </si>
  <si>
    <t>4737680122</t>
  </si>
  <si>
    <t>235344107</t>
  </si>
  <si>
    <t>2024-09-22</t>
  </si>
  <si>
    <t>235604373</t>
  </si>
  <si>
    <t>236170089</t>
  </si>
  <si>
    <t>2024-05-15 06:00:01</t>
  </si>
  <si>
    <t>236012438</t>
  </si>
  <si>
    <t>4620663687</t>
  </si>
  <si>
    <t>AI00345953964</t>
  </si>
  <si>
    <t>236182185</t>
  </si>
  <si>
    <t>AI00345966755</t>
  </si>
  <si>
    <t>AI00345971098</t>
  </si>
  <si>
    <t>GUEST COMMENTS: , RESERVATION COMMENTS: , FOLIO COMMENTS:, RATE PLAN: AARP / PHONE NUMBER2: 5038870143</t>
  </si>
  <si>
    <t>236332653</t>
  </si>
  <si>
    <t>236582467</t>
  </si>
  <si>
    <t>236570562</t>
  </si>
  <si>
    <t>AI00345959500</t>
  </si>
  <si>
    <t>AI00345967891</t>
  </si>
  <si>
    <t>RESERVATION COMMENTS: , RATE PLAN: Rack, GUEST COMMENTS: Called guest At 245pm 5/15 left, FOLIO COMMENTS: 2 people</t>
  </si>
  <si>
    <t>AI00345958981</t>
  </si>
  <si>
    <t>RATE PLAN: Rack / PHONE NUMBER2: 202-270-5550, RESERVATION COMMENTS: , GUEST COMMENTS: , FOLIO COMMENTS:</t>
  </si>
  <si>
    <t>236257456</t>
  </si>
  <si>
    <t>AI00345947844</t>
  </si>
  <si>
    <t xml:space="preserve">FOLIO COMMENTS:, RATE PLAN: Refun / PHONE NUMBER2: 9704855465, RESERVATION COMMENTS: , GUEST COMMENTS: </t>
  </si>
  <si>
    <t>AI00345945943</t>
  </si>
  <si>
    <t>GUEST COMMENTS: , FOLIO COMMENTS:, RESERVATION COMMENTS: , RATE PLAN: AARP / PHONE NUMBER2: 8608766326</t>
  </si>
  <si>
    <t>AI00345967778</t>
  </si>
  <si>
    <t xml:space="preserve">RESERVATION COMMENTS: , RATE PLAN: Refun / PHONE NUMBER2: 858-531-9789, FOLIO COMMENTS:, GUEST COMMENTS: </t>
  </si>
  <si>
    <t>236177925</t>
  </si>
  <si>
    <t>AI00345958150</t>
  </si>
  <si>
    <t>AI00345967004</t>
  </si>
  <si>
    <t>236177926</t>
  </si>
  <si>
    <t>4934919014</t>
  </si>
  <si>
    <t>GUEST COMMENTS: late arrival spoke with guest, RESERVATION COMMENTS: , RATE PLAN: Booki, FOLIO COMMENTS:</t>
  </si>
  <si>
    <t>236445185</t>
  </si>
  <si>
    <t>AI00345985532</t>
  </si>
  <si>
    <t>2024-05-16 06:00:01</t>
  </si>
  <si>
    <t xml:space="preserve">RATE PLAN: Rack, RESERVATION COMMENTS: Did a Full Hair dye job in our, FOLIO COMMENTS:, GUEST COMMENTS: </t>
  </si>
  <si>
    <t>AI00345983428</t>
  </si>
  <si>
    <t xml:space="preserve">RESERVATION COMMENTS: , FOLIO COMMENTS:, RATE PLAN: AARP / PHONE NUMBER2: 3032043023, GUEST COMMENTS: </t>
  </si>
  <si>
    <t>AI00345979142</t>
  </si>
  <si>
    <t>237050051</t>
  </si>
  <si>
    <t>AI00345979647</t>
  </si>
  <si>
    <t>4737206541</t>
  </si>
  <si>
    <t>4344379051</t>
  </si>
  <si>
    <t xml:space="preserve">RESERVATION COMMENTS: , FOLIO COMMENTS: left message about late check in, RATE PLAN: OTA r, GUEST COMMENTS: </t>
  </si>
  <si>
    <t>237211885</t>
  </si>
  <si>
    <t>AI00345975766</t>
  </si>
  <si>
    <t>AI00345975711</t>
  </si>
  <si>
    <t>236781573</t>
  </si>
  <si>
    <t>4670159119</t>
  </si>
  <si>
    <t>237233418</t>
  </si>
  <si>
    <t>Brazil</t>
  </si>
  <si>
    <t>RATE PLAN: OTA r, FOLIO COMMENTS: We have released the, RESERVATION COMMENTS: , GUEST COMMENTS: Hi Tammy Peck, thanks you very</t>
  </si>
  <si>
    <t>236985057</t>
  </si>
  <si>
    <t>237970517</t>
  </si>
  <si>
    <t>2024-05-17 06:00:01</t>
  </si>
  <si>
    <t>237893250</t>
  </si>
  <si>
    <t>237511952</t>
  </si>
  <si>
    <t>237999879</t>
  </si>
  <si>
    <t>237511954</t>
  </si>
  <si>
    <t>AI00346001880</t>
  </si>
  <si>
    <t xml:space="preserve">FOLIO COMMENTS:, GUEST COMMENTS: , RATE PLAN: Refun / PHONE NUMBER2: 5742531525, RESERVATION COMMENTS: </t>
  </si>
  <si>
    <t>4324039067</t>
  </si>
  <si>
    <t>4455123961</t>
  </si>
  <si>
    <t>2024-05-18 06:00:01</t>
  </si>
  <si>
    <t>238251533</t>
  </si>
  <si>
    <t>238175230</t>
  </si>
  <si>
    <t>238324875</t>
  </si>
  <si>
    <t>238490934</t>
  </si>
  <si>
    <t>238470702</t>
  </si>
  <si>
    <t>AI00346065307</t>
  </si>
  <si>
    <t>2024-05-19 06:00:01</t>
  </si>
  <si>
    <t xml:space="preserve">RATE PLAN: Refun / PHONE NUMBER2: 9076319271, FOLIO COMMENTS:, GUEST COMMENTS: , RESERVATION COMMENTS: </t>
  </si>
  <si>
    <t>238981815</t>
  </si>
  <si>
    <t>239060718</t>
  </si>
  <si>
    <t>AI00346062719</t>
  </si>
  <si>
    <t>AI00346068502</t>
  </si>
  <si>
    <t>238886782</t>
  </si>
  <si>
    <t>4736690837</t>
  </si>
  <si>
    <t xml:space="preserve">GUEST COMMENTS: called at 9pm and got a voice, RATE PLAN: Booki, FOLIO COMMENTS:, RESERVATION COMMENTS: </t>
  </si>
  <si>
    <t>AI00346062821</t>
  </si>
  <si>
    <t>AI00346066533</t>
  </si>
  <si>
    <t>AI00346068535</t>
  </si>
  <si>
    <t xml:space="preserve">RATE PLAN: Milit / PHONE NUMBER2: 7637101911, FOLIO COMMENTS:, GUEST COMMENTS: , RESERVATION COMMENTS: </t>
  </si>
  <si>
    <t>AI00346059119</t>
  </si>
  <si>
    <t xml:space="preserve">FOLIO COMMENTS:, GUEST COMMENTS: , RATE PLAN: Refun / PHONE NUMBER2: 5058148901, RESERVATION COMMENTS: </t>
  </si>
  <si>
    <t>238935149</t>
  </si>
  <si>
    <t>238938201</t>
  </si>
  <si>
    <t>239108405</t>
  </si>
  <si>
    <t>239094601</t>
  </si>
  <si>
    <t>2024-09-28</t>
  </si>
  <si>
    <t>16944SH22580|22580</t>
  </si>
  <si>
    <t xml:space="preserve">RATE PLAN: Refun / PHONE NUMBER2: 3022421926, FOLIO COMMENTS:, RESERVATION COMMENTS: , GUEST COMMENTS: </t>
  </si>
  <si>
    <t>239727468</t>
  </si>
  <si>
    <t>2024-05-20 06:00:01</t>
  </si>
  <si>
    <t>2024-08-06</t>
  </si>
  <si>
    <t>239305983</t>
  </si>
  <si>
    <t>239305985</t>
  </si>
  <si>
    <t>239727464</t>
  </si>
  <si>
    <t>2024-08-23</t>
  </si>
  <si>
    <t>239315908</t>
  </si>
  <si>
    <t>239914657</t>
  </si>
  <si>
    <t>AI00346105986</t>
  </si>
  <si>
    <t xml:space="preserve">FOLIO COMMENTS:, RATE PLAN: Milit / PHONE NUMBER2: 7196483124, GUEST COMMENTS: , RESERVATION COMMENTS: </t>
  </si>
  <si>
    <t>239509198</t>
  </si>
  <si>
    <t>AI00346098910</t>
  </si>
  <si>
    <t xml:space="preserve">RATE PLAN: Rack / PHONE NUMBER2: 2087438145, FOLIO COMMENTS:, GUEST COMMENTS: , RESERVATION COMMENTS: </t>
  </si>
  <si>
    <t>239687446</t>
  </si>
  <si>
    <t>239509197</t>
  </si>
  <si>
    <t>AI00346097470</t>
  </si>
  <si>
    <t>239411302</t>
  </si>
  <si>
    <t>239737058</t>
  </si>
  <si>
    <t>AI00346079807</t>
  </si>
  <si>
    <t xml:space="preserve">RESERVATION COMMENTS: , FOLIO COMMENTS:, RATE PLAN: Rack / PHONE NUMBER2: 8652549692, GUEST COMMENTS: </t>
  </si>
  <si>
    <t>4429014301</t>
  </si>
  <si>
    <t>239806151</t>
  </si>
  <si>
    <t>239924162</t>
  </si>
  <si>
    <t>240407194</t>
  </si>
  <si>
    <t>2024-05-21 06:00:01</t>
  </si>
  <si>
    <t>240205339</t>
  </si>
  <si>
    <t>2024-12-26</t>
  </si>
  <si>
    <t>240689367</t>
  </si>
  <si>
    <t>4424424273</t>
  </si>
  <si>
    <t>240414550</t>
  </si>
  <si>
    <t>240473995</t>
  </si>
  <si>
    <t>240668540</t>
  </si>
  <si>
    <t xml:space="preserve">FOLIO COMMENTS:, RATE PLAN: OTA r, GUEST COMMENTS: card on file is expired i called, RESERVATION COMMENTS: </t>
  </si>
  <si>
    <t>240594408</t>
  </si>
  <si>
    <t>AI00346117642</t>
  </si>
  <si>
    <t>240314667</t>
  </si>
  <si>
    <t>240226317</t>
  </si>
  <si>
    <t>240281807</t>
  </si>
  <si>
    <t>AI00346125832</t>
  </si>
  <si>
    <t>AI00346122468</t>
  </si>
  <si>
    <t>GUEST COMMENTS: , RATE PLAN: Refun / PHONE NUMBER2: 5054533573, RESERVATION COMMENTS: , FOLIO COMMENTS:</t>
  </si>
  <si>
    <t>240489437</t>
  </si>
  <si>
    <t>240312903</t>
  </si>
  <si>
    <t>240298224</t>
  </si>
  <si>
    <t>241229463</t>
  </si>
  <si>
    <t>2024-05-22 06:00:01</t>
  </si>
  <si>
    <t>4347377268</t>
  </si>
  <si>
    <t>AI00346147926</t>
  </si>
  <si>
    <t>AI00346154621</t>
  </si>
  <si>
    <t xml:space="preserve">RATE PLAN: Rack / PHONE NUMBER2: 8327588920, FOLIO COMMENTS:, RESERVATION COMMENTS: , GUEST COMMENTS: </t>
  </si>
  <si>
    <t>241265824</t>
  </si>
  <si>
    <t>241232940</t>
  </si>
  <si>
    <t>240927930</t>
  </si>
  <si>
    <t>241178631</t>
  </si>
  <si>
    <t>240989735</t>
  </si>
  <si>
    <t>AI00346150380</t>
  </si>
  <si>
    <t>241018679</t>
  </si>
  <si>
    <t>241136989</t>
  </si>
  <si>
    <t>241432091</t>
  </si>
  <si>
    <t>241203331</t>
  </si>
  <si>
    <t>241098339</t>
  </si>
  <si>
    <t>4440974159</t>
  </si>
  <si>
    <t>4840397037</t>
  </si>
  <si>
    <t>241191712</t>
  </si>
  <si>
    <t>240721178</t>
  </si>
  <si>
    <t>241118056</t>
  </si>
  <si>
    <t>242189729</t>
  </si>
  <si>
    <t>2024-05-23 06:00:01</t>
  </si>
  <si>
    <t>AI00346165904</t>
  </si>
  <si>
    <t>4806185125</t>
  </si>
  <si>
    <t>FOLIO COMMENTS:, RESERVATION COMMENTS: , RATE PLAN: OTA r, GUEST COMMENTS: gave three dollars in quarters</t>
  </si>
  <si>
    <t>241679990</t>
  </si>
  <si>
    <t>AI00346165926</t>
  </si>
  <si>
    <t>4365959517</t>
  </si>
  <si>
    <t>GUEST COMMENTS: 7/10* Not comfortable- The room, FOLIO COMMENTS:, RESERVATION COMMENTS: , RATE PLAN: OTA r</t>
  </si>
  <si>
    <t>102 (DQ), 101 (DQ)</t>
  </si>
  <si>
    <t>4806167846</t>
  </si>
  <si>
    <t>242184390</t>
  </si>
  <si>
    <t>241548070</t>
  </si>
  <si>
    <t>RESERVATION COMMENTS: , RATE PLAN: OTA r, GUEST COMMENTS: Special requestQuiet location, FOLIO COMMENTS:</t>
  </si>
  <si>
    <t>241484922</t>
  </si>
  <si>
    <t>241876759</t>
  </si>
  <si>
    <t>242442238</t>
  </si>
  <si>
    <t>2024-05-24 06:00:01</t>
  </si>
  <si>
    <t>AI00346213009</t>
  </si>
  <si>
    <t xml:space="preserve">FOLIO COMMENTS:, RATE PLAN: Refun / PHONE NUMBER2: 5099632701, RESERVATION COMMENTS: , GUEST COMMENTS: </t>
  </si>
  <si>
    <t>242713796</t>
  </si>
  <si>
    <t>RESERVATION COMMENTS: , RATE PLAN: OTA r, GUEST COMMENTS: guest want to cancel explained, FOLIO COMMENTS:</t>
  </si>
  <si>
    <t>242663741</t>
  </si>
  <si>
    <t>242908539</t>
  </si>
  <si>
    <t>242333455</t>
  </si>
  <si>
    <t>243431426</t>
  </si>
  <si>
    <t>2024-05-25 06:00:01</t>
  </si>
  <si>
    <t>243072433</t>
  </si>
  <si>
    <t>243427612</t>
  </si>
  <si>
    <t>16944DI22675|22675</t>
  </si>
  <si>
    <t xml:space="preserve">RESERVATION COMMENTS: , RATE PLAN: Rack  / PHONE NUMBER2: (505)458-8391, FOLIO COMMENTS:, GUEST COMMENTS: </t>
  </si>
  <si>
    <t>243324543</t>
  </si>
  <si>
    <t>RATE PLAN: OTA r, RESERVATION COMMENTS: , GUEST COMMENTS: late, FOLIO COMMENTS:</t>
  </si>
  <si>
    <t>243369632</t>
  </si>
  <si>
    <t>243368576</t>
  </si>
  <si>
    <t>243242466</t>
  </si>
  <si>
    <t>243855930</t>
  </si>
  <si>
    <t>2024-05-26 06:00:01</t>
  </si>
  <si>
    <t>243841829</t>
  </si>
  <si>
    <t>AI00346246746</t>
  </si>
  <si>
    <t>243783406</t>
  </si>
  <si>
    <t>243792635</t>
  </si>
  <si>
    <t>RESERVATION COMMENTS: , FOLIO COMMENTS:, RATE PLAN: OTA r, GUEST COMMENTS: 14,17</t>
  </si>
  <si>
    <t>4611737063</t>
  </si>
  <si>
    <t>243654527</t>
  </si>
  <si>
    <t>243652970</t>
  </si>
  <si>
    <t>AI00346247174</t>
  </si>
  <si>
    <t xml:space="preserve">GUEST COMMENTS: , RATE PLAN: Refun / PHONE NUMBER2: 8189195316, FOLIO COMMENTS:, RESERVATION COMMENTS: </t>
  </si>
  <si>
    <t>243652969</t>
  </si>
  <si>
    <t>243785473</t>
  </si>
  <si>
    <t>AI00346250415</t>
  </si>
  <si>
    <t>GUEST COMMENTS: , RATE PLAN: Refun / PHONE NUMBER2: 9145880958, RESERVATION COMMENTS: , FOLIO COMMENTS:</t>
  </si>
  <si>
    <t>AI00346246487</t>
  </si>
  <si>
    <t>4462095574</t>
  </si>
  <si>
    <t>2024-05-27 06:00:01</t>
  </si>
  <si>
    <t>244318460</t>
  </si>
  <si>
    <t>244473796</t>
  </si>
  <si>
    <t>244544314</t>
  </si>
  <si>
    <t>244674100</t>
  </si>
  <si>
    <t>AI00346272059</t>
  </si>
  <si>
    <t>RATE PLAN: Milit / PHONE NUMBER2: 5134641400, GUEST COMMENTS: , RESERVATION COMMENTS: , FOLIO COMMENTS:</t>
  </si>
  <si>
    <t>AI00346269022</t>
  </si>
  <si>
    <t xml:space="preserve">FOLIO COMMENTS:, RATE PLAN: AARP / PHONE NUMBER2: 7192914606, RESERVATION COMMENTS: , GUEST COMMENTS: </t>
  </si>
  <si>
    <t>244675689</t>
  </si>
  <si>
    <t>244576162</t>
  </si>
  <si>
    <t>244375862</t>
  </si>
  <si>
    <t>AI00346280148</t>
  </si>
  <si>
    <t>RATE PLAN: Rack, RESERVATION COMMENTS: , FOLIO COMMENTS:, GUEST COMMENTS: out of country</t>
  </si>
  <si>
    <t>AI00346314034</t>
  </si>
  <si>
    <t>2024-05-28 06:00:01</t>
  </si>
  <si>
    <t>RATE PLAN: Refun / PHONE NUMBER2: 865-388-9877, GUEST COMMENTS: , RESERVATION COMMENTS: , FOLIO COMMENTS:</t>
  </si>
  <si>
    <t>245283946</t>
  </si>
  <si>
    <t>AI00346297483</t>
  </si>
  <si>
    <t xml:space="preserve">RATE PLAN: Refun / PHONE NUMBER2: 7195883969, FOLIO COMMENTS:, GUEST COMMENTS: , RESERVATION COMMENTS: </t>
  </si>
  <si>
    <t>245033348</t>
  </si>
  <si>
    <t>244747366</t>
  </si>
  <si>
    <t>245166144</t>
  </si>
  <si>
    <t>245495509</t>
  </si>
  <si>
    <t>4298849707</t>
  </si>
  <si>
    <t>245140192</t>
  </si>
  <si>
    <t>245008879</t>
  </si>
  <si>
    <t>246222409</t>
  </si>
  <si>
    <t>2024-05-29 06:00:01</t>
  </si>
  <si>
    <t>246142874</t>
  </si>
  <si>
    <t>245713133</t>
  </si>
  <si>
    <t>4680069660</t>
  </si>
  <si>
    <t>2024-08-25</t>
  </si>
  <si>
    <t>246067168</t>
  </si>
  <si>
    <t>246156484</t>
  </si>
  <si>
    <t>245878815</t>
  </si>
  <si>
    <t>245997959</t>
  </si>
  <si>
    <t>245997957</t>
  </si>
  <si>
    <t>AI00346339873</t>
  </si>
  <si>
    <t>245711441</t>
  </si>
  <si>
    <t>246853460</t>
  </si>
  <si>
    <t>2024-05-30 06:00:01</t>
  </si>
  <si>
    <t>AI00346369225</t>
  </si>
  <si>
    <t>GUEST COMMENTS: , RATE PLAN: Refun / PHONE NUMBER2: 4805228833, RESERVATION COMMENTS: , FOLIO COMMENTS:</t>
  </si>
  <si>
    <t>246697349</t>
  </si>
  <si>
    <t>246930887</t>
  </si>
  <si>
    <t>246710310</t>
  </si>
  <si>
    <t>246503549</t>
  </si>
  <si>
    <t>4937772870</t>
  </si>
  <si>
    <t>FOLIO COMMENTS: Leave in 116-jf, GUEST COMMENTS: , RESERVATION COMMENTS: , RATE PLAN: OTA r</t>
  </si>
  <si>
    <t>AI00346350281</t>
  </si>
  <si>
    <t xml:space="preserve">RATE PLAN: Refun / PHONE NUMBER2: 7204043001, RESERVATION COMMENTS: , FOLIO COMMENTS:, GUEST COMMENTS: </t>
  </si>
  <si>
    <t>16944BG22735|22735</t>
  </si>
  <si>
    <t xml:space="preserve">GUEST COMMENTS: , FOLIO COMMENTS:, RATE PLAN: Refun / PHONE NUMBER2: 7196007857, RESERVATION COMMENTS: </t>
  </si>
  <si>
    <t>246695600</t>
  </si>
  <si>
    <t>AI00346394953</t>
  </si>
  <si>
    <t>2024-05-31 06:00:01</t>
  </si>
  <si>
    <t>RESERVATION COMMENTS: , GUEST COMMENTS: , FOLIO COMMENTS:, RATE PLAN: Refun / PHONE NUMBER2: 5202297718</t>
  </si>
  <si>
    <t>247167098</t>
  </si>
  <si>
    <t>247369752</t>
  </si>
  <si>
    <t>247411836</t>
  </si>
  <si>
    <t>247503196</t>
  </si>
  <si>
    <t>247251793</t>
  </si>
  <si>
    <t>247242253</t>
  </si>
  <si>
    <t>247545047</t>
  </si>
  <si>
    <t>FOLIO COMMENTS:, GUEST COMMENTS: *"Preferably a room on the first, RESERVATION COMMENTS: , RATE PLAN: OTA r</t>
  </si>
  <si>
    <t>247493464</t>
  </si>
  <si>
    <t>247285090</t>
  </si>
  <si>
    <t>247411839</t>
  </si>
  <si>
    <t>AI00346405204</t>
  </si>
  <si>
    <t xml:space="preserve">RESERVATION COMMENTS: , RATE PLAN: Refun / PHONE NUMBER2: 8065709648, FOLIO COMMENTS:, GUEST COMMENTS: </t>
  </si>
  <si>
    <t>247966618</t>
  </si>
  <si>
    <t>2024-06-01 06:00:01</t>
  </si>
  <si>
    <t>247741252</t>
  </si>
  <si>
    <t>247826815</t>
  </si>
  <si>
    <t xml:space="preserve">FOLIO COMMENTS:, RATE PLAN: OTA r, GUEST COMMENTS: *We are staying at your hotel, RESERVATION COMMENTS: </t>
  </si>
  <si>
    <t>4404749506</t>
  </si>
  <si>
    <t>4813218013</t>
  </si>
  <si>
    <t>South Korea</t>
  </si>
  <si>
    <t>AI00346417678</t>
  </si>
  <si>
    <t>247754736</t>
  </si>
  <si>
    <t xml:space="preserve">GUEST COMMENTS: *Ground floor if possible, thank, RATE PLAN: OTA r, FOLIO COMMENTS:, RESERVATION COMMENTS: </t>
  </si>
  <si>
    <t>248051600</t>
  </si>
  <si>
    <t>AI00346424621</t>
  </si>
  <si>
    <t>RATE PLAN: Refun / PHONE NUMBER2: 970-227-9765, RESERVATION COMMENTS: , GUEST COMMENTS: , FOLIO COMMENTS:</t>
  </si>
  <si>
    <t>4813229058</t>
  </si>
  <si>
    <t>4998876821</t>
  </si>
  <si>
    <t>247884502</t>
  </si>
  <si>
    <t>AI00346417634</t>
  </si>
  <si>
    <t>4990793098</t>
  </si>
  <si>
    <t>AI00346417555</t>
  </si>
  <si>
    <t>248676395</t>
  </si>
  <si>
    <t>2024-06-02 06:00:01</t>
  </si>
  <si>
    <t>248375526</t>
  </si>
  <si>
    <t>4927851500</t>
  </si>
  <si>
    <t>4700481572</t>
  </si>
  <si>
    <t>AI00346438828</t>
  </si>
  <si>
    <t>GUEST COMMENTS: , RESERVATION COMMENTS: , RATE PLAN: Refun / PHONE NUMBER2: 7736291844, FOLIO COMMENTS:</t>
  </si>
  <si>
    <t>4425637731</t>
  </si>
  <si>
    <t>4494160736</t>
  </si>
  <si>
    <t>AI00346454196</t>
  </si>
  <si>
    <t>248374456</t>
  </si>
  <si>
    <t>248377982</t>
  </si>
  <si>
    <t>248741724</t>
  </si>
  <si>
    <t>AI00346446805</t>
  </si>
  <si>
    <t>FOLIO COMMENTS:, RESERVATION COMMENTS: , GUEST COMMENTS: per T new housekeeper, RATE PLAN: Rack</t>
  </si>
  <si>
    <t>248585527</t>
  </si>
  <si>
    <t>GUEST COMMENTS: Shortened stay by 1 day due to, RESERVATION COMMENTS: , RATE PLAN: OTA r, FOLIO COMMENTS:</t>
  </si>
  <si>
    <t>AI00346437939</t>
  </si>
  <si>
    <t>248408124</t>
  </si>
  <si>
    <t>AI00346438019</t>
  </si>
  <si>
    <t>248417209</t>
  </si>
  <si>
    <t>248682882</t>
  </si>
  <si>
    <t>248251141</t>
  </si>
  <si>
    <t>4688164330</t>
  </si>
  <si>
    <t>2024-06-03 06:00:01</t>
  </si>
  <si>
    <t>249539975</t>
  </si>
  <si>
    <t>249196894</t>
  </si>
  <si>
    <t>AI00346481376</t>
  </si>
  <si>
    <t>GUEST COMMENTS: , RESERVATION COMMENTS: , FOLIO COMMENTS:, RATE PLAN: Rack / PHONE NUMBER2: 7192481069</t>
  </si>
  <si>
    <t>249132799</t>
  </si>
  <si>
    <t>AI00346479395</t>
  </si>
  <si>
    <t>AI00346482603</t>
  </si>
  <si>
    <t>249103310</t>
  </si>
  <si>
    <t>4651262947</t>
  </si>
  <si>
    <t>249318672</t>
  </si>
  <si>
    <t>AI00346462353</t>
  </si>
  <si>
    <t>AI00346462061</t>
  </si>
  <si>
    <t>4515183009</t>
  </si>
  <si>
    <t>249110481</t>
  </si>
  <si>
    <t>4344018175</t>
  </si>
  <si>
    <t>249193592</t>
  </si>
  <si>
    <t>AI00346479687</t>
  </si>
  <si>
    <t xml:space="preserve">GUEST COMMENTS: per T new housekeeper, RATE PLAN: Rack, FOLIO COMMENTS:, RESERVATION COMMENTS: </t>
  </si>
  <si>
    <t>AI00346474121</t>
  </si>
  <si>
    <t>RESERVATION COMMENTS: , RATE PLAN: Rack, GUEST COMMENTS: , FOLIO COMMENTS: Verbal auth for use of card</t>
  </si>
  <si>
    <t>249318666</t>
  </si>
  <si>
    <t>250116713</t>
  </si>
  <si>
    <t>2024-06-04 06:00:01</t>
  </si>
  <si>
    <t>4318113131</t>
  </si>
  <si>
    <t>AI00346504282</t>
  </si>
  <si>
    <t>AI00346492008</t>
  </si>
  <si>
    <t>GUEST COMMENTS: , RESERVATION COMMENTS: , RATE PLAN: Rack / PHONE NUMBER2: 6788657630, FOLIO COMMENTS:</t>
  </si>
  <si>
    <t>AI00346514407</t>
  </si>
  <si>
    <t>249927629</t>
  </si>
  <si>
    <t>250054607</t>
  </si>
  <si>
    <t>AI00346492109</t>
  </si>
  <si>
    <t xml:space="preserve">RESERVATION COMMENTS: , RATE PLAN: Refun / PHONE NUMBER2: 7702805963, FOLIO COMMENTS:, GUEST COMMENTS: </t>
  </si>
  <si>
    <t>4512292850</t>
  </si>
  <si>
    <t>AI00346535411</t>
  </si>
  <si>
    <t>2024-06-05 06:00:01</t>
  </si>
  <si>
    <t>RATE PLAN: Rack, RESERVATION COMMENTS: , FOLIO COMMENTS:, GUEST COMMENTS: per T new housekeeper</t>
  </si>
  <si>
    <t>AI00346535534</t>
  </si>
  <si>
    <t>250959772</t>
  </si>
  <si>
    <t>AI00346540428</t>
  </si>
  <si>
    <t xml:space="preserve">FOLIO COMMENTS:, RESERVATION COMMENTS: , RATE PLAN: Refun / PHONE NUMBER2: 9202643669, GUEST COMMENTS: </t>
  </si>
  <si>
    <t>4782158472</t>
  </si>
  <si>
    <t>RESERVATION COMMENTS: , GUEST COMMENTS: moved to 101 wife hurt leg hiking, RATE PLAN: OTA r, FOLIO COMMENTS:</t>
  </si>
  <si>
    <t>250485770</t>
  </si>
  <si>
    <t>250836576</t>
  </si>
  <si>
    <t>250990568</t>
  </si>
  <si>
    <t>250370320</t>
  </si>
  <si>
    <t>250696902</t>
  </si>
  <si>
    <t>AI00346537817</t>
  </si>
  <si>
    <t>RESERVATION COMMENTS: , RATE PLAN: AARP / PHONE NUMBER2: 214-514-1943, GUEST COMMENTS: , FOLIO COMMENTS:</t>
  </si>
  <si>
    <t>250370323</t>
  </si>
  <si>
    <t>AI00346527186</t>
  </si>
  <si>
    <t>AI00346532216</t>
  </si>
  <si>
    <t xml:space="preserve">GUEST COMMENTS: , FOLIO COMMENTS:, RATE PLAN: Refun / PHONE NUMBER2: 5124665354, RESERVATION COMMENTS: </t>
  </si>
  <si>
    <t>AI00346537828</t>
  </si>
  <si>
    <t>RESERVATION COMMENTS: , FOLIO COMMENTS:, GUEST COMMENTS: , RATE PLAN: AARP / PHONE NUMBER2: 214-514-1943</t>
  </si>
  <si>
    <t>250706200</t>
  </si>
  <si>
    <t>251471744</t>
  </si>
  <si>
    <t>2024-06-06 06:00:01</t>
  </si>
  <si>
    <t>AI00346572399</t>
  </si>
  <si>
    <t>251559166</t>
  </si>
  <si>
    <t>251824236</t>
  </si>
  <si>
    <t>251342732</t>
  </si>
  <si>
    <t>251669367</t>
  </si>
  <si>
    <t>FOLIO COMMENTS: Extended, GUEST COMMENTS: , RESERVATION COMMENTS: , RATE PLAN: OTA r</t>
  </si>
  <si>
    <t>251471745</t>
  </si>
  <si>
    <t>AI00346563108</t>
  </si>
  <si>
    <t>AI00346572524</t>
  </si>
  <si>
    <t>RESERVATION COMMENTS: , GUEST COMMENTS: per T new housekeeper, FOLIO COMMENTS:, RATE PLAN: Rack</t>
  </si>
  <si>
    <t>251780030</t>
  </si>
  <si>
    <t>4642874450</t>
  </si>
  <si>
    <t>AI00346578654</t>
  </si>
  <si>
    <t>RESERVATION COMMENTS: , FOLIO COMMENTS:, GUEST COMMENTS: , RATE PLAN: Refun / PHONE NUMBER2: 9709462029</t>
  </si>
  <si>
    <t>AI00346600335</t>
  </si>
  <si>
    <t>2024-06-07 06:00:01</t>
  </si>
  <si>
    <t>GUEST COMMENTS: , FOLIO COMMENTS:, RESERVATION COMMENTS: , RATE PLAN: Rack / PHONE NUMBER2: 5209791439</t>
  </si>
  <si>
    <t>AI00346598443</t>
  </si>
  <si>
    <t xml:space="preserve">FOLIO COMMENTS:, GUEST COMMENTS: , RATE PLAN: Milit / PHONE NUMBER2: 8063333529, RESERVATION COMMENTS: </t>
  </si>
  <si>
    <t>252246142</t>
  </si>
  <si>
    <t>AI00346590085</t>
  </si>
  <si>
    <t>RATE PLAN: Refun / PHONE NUMBER2: 719-351-8697, GUEST COMMENTS: , RESERVATION COMMENTS: , FOLIO COMMENTS:</t>
  </si>
  <si>
    <t>16944VM22857|22857</t>
  </si>
  <si>
    <t xml:space="preserve">FOLIO COMMENTS:, RATE PLAN: Rack  / PHONE NUMBER2: 5019523807, GUEST COMMENTS: , RESERVATION COMMENTS: </t>
  </si>
  <si>
    <t>16944CG22860|22860</t>
  </si>
  <si>
    <t xml:space="preserve">RATE PLAN: Refun / PHONE NUMBER2: 720-238-3601, FOLIO COMMENTS:, GUEST COMMENTS: , RESERVATION COMMENTS: </t>
  </si>
  <si>
    <t>252166609</t>
  </si>
  <si>
    <t>252174907</t>
  </si>
  <si>
    <t>2024-10-08</t>
  </si>
  <si>
    <t>252879066</t>
  </si>
  <si>
    <t>2024-06-08 06:00:01</t>
  </si>
  <si>
    <t>252989567</t>
  </si>
  <si>
    <t>16944LF22865|22865</t>
  </si>
  <si>
    <t>FOLIO COMMENTS:, RESERVATION COMMENTS: , GUEST COMMENTS: , RATE PLAN: Refun / PHONE NUMBER2: 8168961020</t>
  </si>
  <si>
    <t>252943744</t>
  </si>
  <si>
    <t>252934669</t>
  </si>
  <si>
    <t>252708853</t>
  </si>
  <si>
    <t>AI00346625512</t>
  </si>
  <si>
    <t>252962172</t>
  </si>
  <si>
    <t>253085405</t>
  </si>
  <si>
    <t>GUEST COMMENTS: , RESERVATION COMMENTS: , FOLIO COMMENTS:, RATE PLAN: OTA r, No Show with No credit card, one of the transfer reservations, Zac called for late arrival but no answer or call back-JF</t>
  </si>
  <si>
    <t>253599485</t>
  </si>
  <si>
    <t>2024-06-09 06:00:01</t>
  </si>
  <si>
    <t>2024-12-15</t>
  </si>
  <si>
    <t>2024-12-18</t>
  </si>
  <si>
    <t>253631688</t>
  </si>
  <si>
    <t>16944UL22886|22886</t>
  </si>
  <si>
    <t xml:space="preserve">RATE PLAN: Refun / PHONE NUMBER2: 214-676-1060, RESERVATION COMMENTS: , FOLIO COMMENTS:, GUEST COMMENTS: </t>
  </si>
  <si>
    <t>AI00346642331</t>
  </si>
  <si>
    <t>RESERVATION COMMENTS: , FOLIO COMMENTS: left message about late check in, GUEST COMMENTS: , RATE PLAN: Rack</t>
  </si>
  <si>
    <t>253275956</t>
  </si>
  <si>
    <t>253438441</t>
  </si>
  <si>
    <t>253512445</t>
  </si>
  <si>
    <t>253479738</t>
  </si>
  <si>
    <t>253699681</t>
  </si>
  <si>
    <t>253567369</t>
  </si>
  <si>
    <t>253337685</t>
  </si>
  <si>
    <t>253365454</t>
  </si>
  <si>
    <t>253365457</t>
  </si>
  <si>
    <t>253491361</t>
  </si>
  <si>
    <t>253367441</t>
  </si>
  <si>
    <t>AI00346642106</t>
  </si>
  <si>
    <t>254425010</t>
  </si>
  <si>
    <t>2024-06-10 06:00:01</t>
  </si>
  <si>
    <t>AI00346668878</t>
  </si>
  <si>
    <t xml:space="preserve">FOLIO COMMENTS:, GUEST COMMENTS: , RATE PLAN: Refun / PHONE NUMBER2: 7032983235, RESERVATION COMMENTS: </t>
  </si>
  <si>
    <t>254125307</t>
  </si>
  <si>
    <t>254285627</t>
  </si>
  <si>
    <t>2024-10-01</t>
  </si>
  <si>
    <t>4521842675</t>
  </si>
  <si>
    <t>GUEST COMMENTS: *Because of difficulty in climbing, RESERVATION COMMENTS: , FOLIO COMMENTS: request via booking.com sent 3, RATE PLAN: OTA r</t>
  </si>
  <si>
    <t>254307295</t>
  </si>
  <si>
    <t>GUEST COMMENTS: Guest wanted to arrive on sat jun, FOLIO COMMENTS:, RESERVATION COMMENTS: , RATE PLAN: OTA r</t>
  </si>
  <si>
    <t>AI00346679397</t>
  </si>
  <si>
    <t>AI00346663479</t>
  </si>
  <si>
    <t xml:space="preserve">RATE PLAN: Milit / PHONE NUMBER2: 7204419366, RESERVATION COMMENTS: , FOLIO COMMENTS:, GUEST COMMENTS: </t>
  </si>
  <si>
    <t>AI00346705454</t>
  </si>
  <si>
    <t>2024-06-11 06:00:01</t>
  </si>
  <si>
    <t>255003269</t>
  </si>
  <si>
    <t>255230942</t>
  </si>
  <si>
    <t>254780883</t>
  </si>
  <si>
    <t>255095433</t>
  </si>
  <si>
    <t>255223280</t>
  </si>
  <si>
    <t>AI00346693887</t>
  </si>
  <si>
    <t>AI00346693911</t>
  </si>
  <si>
    <t>4936347506</t>
  </si>
  <si>
    <t>Israel</t>
  </si>
  <si>
    <t>255156631</t>
  </si>
  <si>
    <t>16944XQ22922|22922</t>
  </si>
  <si>
    <t xml:space="preserve">RATE PLAN: Refun / PHONE NUMBER2: 7203394158, GUEST COMMENTS: , FOLIO COMMENTS:, RESERVATION COMMENTS: </t>
  </si>
  <si>
    <t>4765848965</t>
  </si>
  <si>
    <t>254912948</t>
  </si>
  <si>
    <t>AI00346692606</t>
  </si>
  <si>
    <t>RATE PLAN: Rack  / PHONE NUMBER2: 8168961020</t>
  </si>
  <si>
    <t>255018558</t>
  </si>
  <si>
    <t>255188798</t>
  </si>
  <si>
    <t>254804642</t>
  </si>
  <si>
    <t>255750263</t>
  </si>
  <si>
    <t>2024-06-12 06:00:01</t>
  </si>
  <si>
    <t>2024-08-08</t>
  </si>
  <si>
    <t>16944IO22925|22925</t>
  </si>
  <si>
    <t xml:space="preserve">RATE PLAN: Refun / PHONE NUMBER2: 6027404820, FOLIO COMMENTS:, RESERVATION COMMENTS: , GUEST COMMENTS: </t>
  </si>
  <si>
    <t>4318079804</t>
  </si>
  <si>
    <t>255854521</t>
  </si>
  <si>
    <t>255884148</t>
  </si>
  <si>
    <t>16944TJ22924|22924</t>
  </si>
  <si>
    <t>GUEST COMMENTS: , FOLIO COMMENTS:, RESERVATION COMMENTS: , RATE PLAN: Refun / PHONE NUMBER2: 5125775969</t>
  </si>
  <si>
    <t>4463884119</t>
  </si>
  <si>
    <t>4406835373</t>
  </si>
  <si>
    <t>256725246</t>
  </si>
  <si>
    <t>2024-06-13 06:00:01</t>
  </si>
  <si>
    <t>2024-08-12</t>
  </si>
  <si>
    <t>256488264</t>
  </si>
  <si>
    <t>4827727935</t>
  </si>
  <si>
    <t>FOLIO COMMENTS:, RESERVATION COMMENTS: , RATE PLAN: OTA r, GUEST COMMENTS: No smoking room and preferably</t>
  </si>
  <si>
    <t>256533397</t>
  </si>
  <si>
    <t>AI00346767047</t>
  </si>
  <si>
    <t xml:space="preserve">RATE PLAN: Refun / PHONE NUMBER2: 7167999148, RESERVATION COMMENTS: , FOLIO COMMENTS:, GUEST COMMENTS: </t>
  </si>
  <si>
    <t>256249425</t>
  </si>
  <si>
    <t>256494547</t>
  </si>
  <si>
    <t>256305808</t>
  </si>
  <si>
    <t>GUEST COMMENTS: , RATE PLAN: OTA r, FOLIO COMMENTS:, RESERVATION COMMENTS: , Charge on folio for 8/16-8/17. Both reservations were from HMS only got card for first reservation - DJHH7156</t>
  </si>
  <si>
    <t>256642563</t>
  </si>
  <si>
    <t>AI00346753985</t>
  </si>
  <si>
    <t>256395736</t>
  </si>
  <si>
    <t>256778715</t>
  </si>
  <si>
    <t>257482266</t>
  </si>
  <si>
    <t>2024-06-14 06:00:01</t>
  </si>
  <si>
    <t>257198097</t>
  </si>
  <si>
    <t>AI00346773707</t>
  </si>
  <si>
    <t>FOLIO COMMENTS:, RESERVATION COMMENTS: , GUEST COMMENTS: , RATE PLAN: Rack / PHONE NUMBER2: 7208770232</t>
  </si>
  <si>
    <t>257067311</t>
  </si>
  <si>
    <t>257504081</t>
  </si>
  <si>
    <t>257190957</t>
  </si>
  <si>
    <t>257196643</t>
  </si>
  <si>
    <t>4459792316</t>
  </si>
  <si>
    <t>4427150900</t>
  </si>
  <si>
    <t>AI00346788499</t>
  </si>
  <si>
    <t>257106956</t>
  </si>
  <si>
    <t>257447867</t>
  </si>
  <si>
    <t>257190520</t>
  </si>
  <si>
    <t>AI00346781582</t>
  </si>
  <si>
    <t>AI00346787386</t>
  </si>
  <si>
    <t>GUEST COMMENTS: , RESERVATION COMMENTS: , RATE PLAN: Refun / PHONE NUMBER2: 6897667404, FOLIO COMMENTS:</t>
  </si>
  <si>
    <t>257194963</t>
  </si>
  <si>
    <t>AI00346810631</t>
  </si>
  <si>
    <t>2024-06-15 06:00:01</t>
  </si>
  <si>
    <t>257709432</t>
  </si>
  <si>
    <t>2024-08-27</t>
  </si>
  <si>
    <t>4561268169</t>
  </si>
  <si>
    <t>257786992</t>
  </si>
  <si>
    <t>AI00346813735</t>
  </si>
  <si>
    <t xml:space="preserve">GUEST COMMENTS: , RATE PLAN: Refun / PHONE NUMBER2: 2103651255, FOLIO COMMENTS:, RESERVATION COMMENTS: </t>
  </si>
  <si>
    <t>4709275504</t>
  </si>
  <si>
    <t>258068248</t>
  </si>
  <si>
    <t>258012208</t>
  </si>
  <si>
    <t>257742584</t>
  </si>
  <si>
    <t xml:space="preserve">FOLIO COMMENTS:, RATE PLAN: OTA r, GUEST COMMENTS: late arrival left voice mail, RESERVATION COMMENTS: </t>
  </si>
  <si>
    <t>257812072</t>
  </si>
  <si>
    <t>AI00346817469</t>
  </si>
  <si>
    <t>257813735</t>
  </si>
  <si>
    <t>RESERVATION COMMENTS: , RATE PLAN: OTA r, FOLIO COMMENTS:, GUEST COMMENTS: , No SHow-JF</t>
  </si>
  <si>
    <t>16944TW22974|22974</t>
  </si>
  <si>
    <t>GUEST COMMENTS: , RATE PLAN: Refun / PHONE NUMBER2: 5078845887, RESERVATION COMMENTS: , FOLIO COMMENTS:</t>
  </si>
  <si>
    <t>4706465958</t>
  </si>
  <si>
    <t>2024-06-16 06:00:01</t>
  </si>
  <si>
    <t>258495560</t>
  </si>
  <si>
    <t>AI00346840487</t>
  </si>
  <si>
    <t>RATE PLAN: Refun / PHONE NUMBER2: 5129225949, GUEST COMMENTS: , RESERVATION COMMENTS: , FOLIO COMMENTS:</t>
  </si>
  <si>
    <t>258411253</t>
  </si>
  <si>
    <t>RESERVATION COMMENTS: , GUEST COMMENTS: 2 "service Dogs"-JF, RATE PLAN: OTA r, FOLIO COMMENTS:</t>
  </si>
  <si>
    <t>258244633</t>
  </si>
  <si>
    <t>2024-09-05</t>
  </si>
  <si>
    <t>258666566</t>
  </si>
  <si>
    <t>4466037151</t>
  </si>
  <si>
    <t>FOLIO COMMENTS:, RESERVATION COMMENTS: , RATE PLAN: OTA r, GUEST COMMENTS: requested ground floor ZAC, Ground floor room.</t>
  </si>
  <si>
    <t>258639707</t>
  </si>
  <si>
    <t>258292189</t>
  </si>
  <si>
    <t>258268165</t>
  </si>
  <si>
    <t>4467805666</t>
  </si>
  <si>
    <t>258344277</t>
  </si>
  <si>
    <t>FOLIO COMMENTS:, GUEST COMMENTS: 10/10*, RESERVATION COMMENTS: , RATE PLAN: OTA r</t>
  </si>
  <si>
    <t>259121036</t>
  </si>
  <si>
    <t>2024-06-17 06:00:01</t>
  </si>
  <si>
    <t>259442328</t>
  </si>
  <si>
    <t>259243544</t>
  </si>
  <si>
    <t>259146071</t>
  </si>
  <si>
    <t>259231745</t>
  </si>
  <si>
    <t>259351299</t>
  </si>
  <si>
    <t>AI00346868678</t>
  </si>
  <si>
    <t>259101268</t>
  </si>
  <si>
    <t xml:space="preserve">RESERVATION COMMENTS: Original booking not found, FOLIO COMMENTS:, RATE PLAN: OTA r, GUEST COMMENTS: </t>
  </si>
  <si>
    <t>2024-12-20</t>
  </si>
  <si>
    <t>2024-12-22</t>
  </si>
  <si>
    <t>AI00346862009</t>
  </si>
  <si>
    <t>259268102</t>
  </si>
  <si>
    <t>4466018023</t>
  </si>
  <si>
    <t>258936748</t>
  </si>
  <si>
    <t>259069940</t>
  </si>
  <si>
    <t>16944BG23008|23008</t>
  </si>
  <si>
    <t xml:space="preserve">GUEST COMMENTS: , RATE PLAN: Refun / PHONE NUMBER2: 5308361083, FOLIO COMMENTS:, RESERVATION COMMENTS: </t>
  </si>
  <si>
    <t>2024-12-24</t>
  </si>
  <si>
    <t>4491697217</t>
  </si>
  <si>
    <t>16944DK23022|23022</t>
  </si>
  <si>
    <t>2024-06-18 06:00:01</t>
  </si>
  <si>
    <t>RESERVATION COMMENTS: , RATE PLAN: Refun / PHONE NUMBER2: 8609300522, GUEST COMMENTS: , FOLIO COMMENTS:</t>
  </si>
  <si>
    <t>AI00346901508</t>
  </si>
  <si>
    <t>RATE PLAN: Rack  / PHONE NUMBER2: 9706269893</t>
  </si>
  <si>
    <t>259916955</t>
  </si>
  <si>
    <t>GUEST COMMENTS: want two queens put 102 out of, RESERVATION COMMENTS: , FOLIO COMMENTS: upgraded guest to NQQ2 per, RATE PLAN: Rack</t>
  </si>
  <si>
    <t>AI00346889042</t>
  </si>
  <si>
    <t>GUEST COMMENTS: , FOLIO COMMENTS:, RESERVATION COMMENTS: , RATE PLAN: Refun / PHONE NUMBER2: (812) 748-9060</t>
  </si>
  <si>
    <t>16944RZ23026|23026</t>
  </si>
  <si>
    <t xml:space="preserve">FOLIO COMMENTS:, RATE PLAN: Refun / PHONE NUMBER2: 7602129390, GUEST COMMENTS: , RESERVATION COMMENTS: </t>
  </si>
  <si>
    <t>259825160</t>
  </si>
  <si>
    <t>AI00346896219</t>
  </si>
  <si>
    <t xml:space="preserve">GUEST COMMENTS: , FOLIO COMMENTS:, RATE PLAN: Refun / PHONE NUMBER2: 8312340364, RESERVATION COMMENTS: </t>
  </si>
  <si>
    <t>4892537408</t>
  </si>
  <si>
    <t>AI00346896208</t>
  </si>
  <si>
    <t xml:space="preserve">RATE PLAN: Refun / PHONE NUMBER2: 8312340364, FOLIO COMMENTS:, GUEST COMMENTS: , RESERVATION COMMENTS: </t>
  </si>
  <si>
    <t>259946170</t>
  </si>
  <si>
    <t>4941051841</t>
  </si>
  <si>
    <t>4399091918</t>
  </si>
  <si>
    <t>16944RU23021|23021</t>
  </si>
  <si>
    <t>GUEST COMMENTS: , FOLIO COMMENTS:, RESERVATION COMMENTS: , RATE PLAN: Refun / PHONE NUMBER2: 8609300522</t>
  </si>
  <si>
    <t>260180095</t>
  </si>
  <si>
    <t>4942347982</t>
  </si>
  <si>
    <t>2024-06-19 06:00:01</t>
  </si>
  <si>
    <t>260654345</t>
  </si>
  <si>
    <t>260867931</t>
  </si>
  <si>
    <t>260615726</t>
  </si>
  <si>
    <t>Sweden</t>
  </si>
  <si>
    <t>260915861</t>
  </si>
  <si>
    <t>AI00346929777</t>
  </si>
  <si>
    <t>AI00346919620</t>
  </si>
  <si>
    <t>260479652</t>
  </si>
  <si>
    <t>4306289045</t>
  </si>
  <si>
    <t>260624374</t>
  </si>
  <si>
    <t>4547688217</t>
  </si>
  <si>
    <t>260914612</t>
  </si>
  <si>
    <t>261406234</t>
  </si>
  <si>
    <t>2024-06-20 06:00:01</t>
  </si>
  <si>
    <t>AI00346945124</t>
  </si>
  <si>
    <t>RATE PLAN: Refun / PHONE NUMBER2: 9707599588, GUEST COMMENTS: , RESERVATION COMMENTS: , FOLIO COMMENTS:</t>
  </si>
  <si>
    <t>261333203</t>
  </si>
  <si>
    <t>261542515</t>
  </si>
  <si>
    <t>261281934</t>
  </si>
  <si>
    <t>AI00346953673</t>
  </si>
  <si>
    <t xml:space="preserve">RESERVATION COMMENTS: , RATE PLAN: Refun / PHONE NUMBER2: 7187101089, FOLIO COMMENTS:, GUEST COMMENTS: </t>
  </si>
  <si>
    <t>4888584045</t>
  </si>
  <si>
    <t>261582076</t>
  </si>
  <si>
    <t>AI00346955226</t>
  </si>
  <si>
    <t>261552255</t>
  </si>
  <si>
    <t>261550138</t>
  </si>
  <si>
    <t>AI00346951211</t>
  </si>
  <si>
    <t xml:space="preserve">FOLIO COMMENTS:, RATE PLAN: Rack / PHONE NUMBER2: 6234350697, GUEST COMMENTS: , RESERVATION COMMENTS: </t>
  </si>
  <si>
    <t>16944VY23053|23053</t>
  </si>
  <si>
    <t>FOLIO COMMENTS:, GUEST COMMENTS: , RESERVATION COMMENTS: , RATE PLAN: Refun / PHONE NUMBER2: 2016698964</t>
  </si>
  <si>
    <t>261281935</t>
  </si>
  <si>
    <t>261452897</t>
  </si>
  <si>
    <t>261425880</t>
  </si>
  <si>
    <t>261604418</t>
  </si>
  <si>
    <t>261575821</t>
  </si>
  <si>
    <t>261294845</t>
  </si>
  <si>
    <t>2024-09-30</t>
  </si>
  <si>
    <t>16944HG23067|23067</t>
  </si>
  <si>
    <t>2024-06-21 06:00:01</t>
  </si>
  <si>
    <t xml:space="preserve">GUEST COMMENTS: , RATE PLAN: Refun / PHONE NUMBER2: 303-909-9379, FOLIO COMMENTS:, RESERVATION COMMENTS: </t>
  </si>
  <si>
    <t>262386584</t>
  </si>
  <si>
    <t>16944EC23068|23068</t>
  </si>
  <si>
    <t>GUEST COMMENTS: , RESERVATION COMMENTS: , FOLIO COMMENTS:, RATE PLAN: Refun / PHONE NUMBER2: 303-909-9379</t>
  </si>
  <si>
    <t>262228573</t>
  </si>
  <si>
    <t>262356183</t>
  </si>
  <si>
    <t>262355293</t>
  </si>
  <si>
    <t>AI00346972023</t>
  </si>
  <si>
    <t>RESERVATION COMMENTS: , GUEST COMMENTS: , RATE PLAN: Rack / PHONE NUMBER2: 6054845984, FOLIO COMMENTS:</t>
  </si>
  <si>
    <t>262091010</t>
  </si>
  <si>
    <t>RESERVATION COMMENTS: , FOLIO COMMENTS: 4/10* I know the prices in, GUEST COMMENTS: , RATE PLAN: OTA r</t>
  </si>
  <si>
    <t>262070300</t>
  </si>
  <si>
    <t>4820754381</t>
  </si>
  <si>
    <t>AI00346974474</t>
  </si>
  <si>
    <t xml:space="preserve">FOLIO COMMENTS:, RATE PLAN: Refun / PHONE NUMBER2: 4046446719, RESERVATION COMMENTS: , GUEST COMMENTS: </t>
  </si>
  <si>
    <t>262374767</t>
  </si>
  <si>
    <t>AI00346975408</t>
  </si>
  <si>
    <t>262154981</t>
  </si>
  <si>
    <t>AI00347020624</t>
  </si>
  <si>
    <t>2024-06-22 06:00:01</t>
  </si>
  <si>
    <t>262780305</t>
  </si>
  <si>
    <t>AI00347003591</t>
  </si>
  <si>
    <t xml:space="preserve">RATE PLAN: Rack / PHONE NUMBER2: 9405956861, FOLIO COMMENTS:, RESERVATION COMMENTS: , GUEST COMMENTS: </t>
  </si>
  <si>
    <t>262870895</t>
  </si>
  <si>
    <t>263012356</t>
  </si>
  <si>
    <t>262684644</t>
  </si>
  <si>
    <t>262768555</t>
  </si>
  <si>
    <t>16944BI23086|23086</t>
  </si>
  <si>
    <t>FOLIO COMMENTS:, GUEST COMMENTS: , RESERVATION COMMENTS: , RATE PLAN: Refun / PHONE NUMBER2: 9702701737</t>
  </si>
  <si>
    <t>16944YQ23084|23084</t>
  </si>
  <si>
    <t xml:space="preserve">RATE PLAN: AARP  / PHONE NUMBER2: 6185584228, RESERVATION COMMENTS: , FOLIO COMMENTS:, GUEST COMMENTS: </t>
  </si>
  <si>
    <t>16944OL23083|23083</t>
  </si>
  <si>
    <t>RESERVATION COMMENTS: , FOLIO COMMENTS:, GUEST COMMENTS: , RATE PLAN: AARP  / PHONE NUMBER2: 6185674983</t>
  </si>
  <si>
    <t>2024-10-21</t>
  </si>
  <si>
    <t>2024-10-23</t>
  </si>
  <si>
    <t>4810916859</t>
  </si>
  <si>
    <t>263709647</t>
  </si>
  <si>
    <t>2024-06-23 06:00:01</t>
  </si>
  <si>
    <t>263524719</t>
  </si>
  <si>
    <t>4530761174</t>
  </si>
  <si>
    <t>AI00347043472</t>
  </si>
  <si>
    <t>AI00347039264</t>
  </si>
  <si>
    <t>4805176350</t>
  </si>
  <si>
    <t>263646807</t>
  </si>
  <si>
    <t>263346234</t>
  </si>
  <si>
    <t>263569824</t>
  </si>
  <si>
    <t>263435915</t>
  </si>
  <si>
    <t>AI00347031873</t>
  </si>
  <si>
    <t xml:space="preserve">FOLIO COMMENTS:, RESERVATION COMMENTS: , RATE PLAN: AARP / PHONE NUMBER2: 4802775672, GUEST COMMENTS: </t>
  </si>
  <si>
    <t>AI00347040097</t>
  </si>
  <si>
    <t>AI00347039534</t>
  </si>
  <si>
    <t>4965592699</t>
  </si>
  <si>
    <t>2024-06-24 06:00:01</t>
  </si>
  <si>
    <t>263756010</t>
  </si>
  <si>
    <t>263997327</t>
  </si>
  <si>
    <t>264327482</t>
  </si>
  <si>
    <t>AI00347059514</t>
  </si>
  <si>
    <t xml:space="preserve">FOLIO COMMENTS:, RATE PLAN: Refun / PHONE NUMBER2: 7204159501, GUEST COMMENTS: , RESERVATION COMMENTS: </t>
  </si>
  <si>
    <t>AI00347077165</t>
  </si>
  <si>
    <t>264388547</t>
  </si>
  <si>
    <t xml:space="preserve">RATE PLAN: OTA r, GUEST COMMENTS: Late arrival guest arriving after, FOLIO COMMENTS:, RESERVATION COMMENTS: </t>
  </si>
  <si>
    <t>AI00347056241</t>
  </si>
  <si>
    <t>264147574</t>
  </si>
  <si>
    <t>264252792</t>
  </si>
  <si>
    <t>263907151</t>
  </si>
  <si>
    <t>264427776</t>
  </si>
  <si>
    <t>4782075973</t>
  </si>
  <si>
    <t>2024-06-25 06:00:01</t>
  </si>
  <si>
    <t>4897460083</t>
  </si>
  <si>
    <t>264887594</t>
  </si>
  <si>
    <t>264987044</t>
  </si>
  <si>
    <t>265068406</t>
  </si>
  <si>
    <t>AI00347095659</t>
  </si>
  <si>
    <t>264625328</t>
  </si>
  <si>
    <t>4967218181</t>
  </si>
  <si>
    <t>264880845</t>
  </si>
  <si>
    <t>4302124273</t>
  </si>
  <si>
    <t>264906104</t>
  </si>
  <si>
    <t>265260522</t>
  </si>
  <si>
    <t>GUEST COMMENTS: , RESERVATION COMMENTS: , FOLIO COMMENTS:, RATE PLAN: Milit</t>
  </si>
  <si>
    <t>265454343</t>
  </si>
  <si>
    <t>2024-06-26 06:00:01</t>
  </si>
  <si>
    <t>265837482</t>
  </si>
  <si>
    <t>AI00347135957</t>
  </si>
  <si>
    <t>FOLIO COMMENTS:, RESERVATION COMMENTS: , GUEST COMMENTS: , RATE PLAN: Refun / PHONE NUMBER2: 5672250078</t>
  </si>
  <si>
    <t>AI00347127026</t>
  </si>
  <si>
    <t>RATE PLAN: Refun / PHONE NUMBER2: 6025616237, RESERVATION COMMENTS: , GUEST COMMENTS: , FOLIO COMMENTS:</t>
  </si>
  <si>
    <t>265707618</t>
  </si>
  <si>
    <t>AI00347136251</t>
  </si>
  <si>
    <t>265946160</t>
  </si>
  <si>
    <t>266005852</t>
  </si>
  <si>
    <t>4817174513</t>
  </si>
  <si>
    <t>266017559</t>
  </si>
  <si>
    <t>266036248</t>
  </si>
  <si>
    <t>4599097154</t>
  </si>
  <si>
    <t>AI00347116798</t>
  </si>
  <si>
    <t>RESERVATION COMMENTS: , GUEST COMMENTS: Colorado Document security, FOLIO COMMENTS:, RATE PLAN: Rack</t>
  </si>
  <si>
    <t>265828857</t>
  </si>
  <si>
    <t>265953079</t>
  </si>
  <si>
    <t>4485962234</t>
  </si>
  <si>
    <t>265501908</t>
  </si>
  <si>
    <t>266017560</t>
  </si>
  <si>
    <t>265953084</t>
  </si>
  <si>
    <t>265713362</t>
  </si>
  <si>
    <t>266734231</t>
  </si>
  <si>
    <t>2024-06-27 06:00:01</t>
  </si>
  <si>
    <t>266379612</t>
  </si>
  <si>
    <t>16944RY23153|23153</t>
  </si>
  <si>
    <t>GUEST COMMENTS: , RESERVATION COMMENTS: , RATE PLAN: Refun / PHONE NUMBER2: 3038426992, FOLIO COMMENTS:</t>
  </si>
  <si>
    <t>AI00347144597</t>
  </si>
  <si>
    <t>RATE PLAN: Refun / PHONE NUMBER2: 7155332717, GUEST COMMENTS: , RESERVATION COMMENTS: , FOLIO COMMENTS:</t>
  </si>
  <si>
    <t>AI00347161237</t>
  </si>
  <si>
    <t>AI00347165107</t>
  </si>
  <si>
    <t xml:space="preserve">RATE PLAN: AARP / PHONE NUMBER2: 2106196831, FOLIO COMMENTS:, GUEST COMMENTS: , RESERVATION COMMENTS: </t>
  </si>
  <si>
    <t>4770032272</t>
  </si>
  <si>
    <t>16944DU23154|23154</t>
  </si>
  <si>
    <t xml:space="preserve">FOLIO COMMENTS:, RATE PLAN: Refun / PHONE NUMBER2: 3038426992, GUEST COMMENTS: , RESERVATION COMMENTS: </t>
  </si>
  <si>
    <t>267465996</t>
  </si>
  <si>
    <t>2024-06-28 06:00:01</t>
  </si>
  <si>
    <t>4661269500</t>
  </si>
  <si>
    <t>267337016</t>
  </si>
  <si>
    <t>267272392</t>
  </si>
  <si>
    <t>AI00347176952</t>
  </si>
  <si>
    <t>GUEST COMMENTS: , RESERVATION COMMENTS: , RATE PLAN: AARP / PHONE NUMBER2: 9709869972, FOLIO COMMENTS:</t>
  </si>
  <si>
    <t>266942434</t>
  </si>
  <si>
    <t>267245014</t>
  </si>
  <si>
    <t>267479698</t>
  </si>
  <si>
    <t>267200647</t>
  </si>
  <si>
    <t>267770232</t>
  </si>
  <si>
    <t>2024-06-29 06:00:01</t>
  </si>
  <si>
    <t>GUEST COMMENTS: late arrival, RATE PLAN: OTA r, RESERVATION COMMENTS: , FOLIO COMMENTS:</t>
  </si>
  <si>
    <t>267636264</t>
  </si>
  <si>
    <t>FOLIO COMMENTS:, GUEST COMMENTS: , RESERVATION COMMENTS: , RATE PLAN: OTA r, Carpet under sink soaked from heavy rain, leaking through foundation</t>
  </si>
  <si>
    <t>268091702</t>
  </si>
  <si>
    <t>AI00347221504</t>
  </si>
  <si>
    <t>AI00347221447</t>
  </si>
  <si>
    <t>267988901</t>
  </si>
  <si>
    <t>4562942681</t>
  </si>
  <si>
    <t>4295349399</t>
  </si>
  <si>
    <t>4978880652</t>
  </si>
  <si>
    <t>2024-10-20</t>
  </si>
  <si>
    <t>267968885</t>
  </si>
  <si>
    <t>268354009</t>
  </si>
  <si>
    <t>2024-06-30 06:00:01</t>
  </si>
  <si>
    <t>RESERVATION COMMENTS: , GUEST COMMENTS: , RATE PLAN: OTA r, FOLIO COMMENTS: NO show-JF</t>
  </si>
  <si>
    <t>268352092</t>
  </si>
  <si>
    <t>FOLIO COMMENTS: left message about late check in, GUEST COMMENTS: NO Show-JF, RESERVATION COMMENTS: , RATE PLAN: OTA r</t>
  </si>
  <si>
    <t>268598353</t>
  </si>
  <si>
    <t>4702719242</t>
  </si>
  <si>
    <t xml:space="preserve">FOLIO COMMENTS:, GUEST COMMENTS: * Not very secure- Doors opened, RATE PLAN: OTA r, RESERVATION COMMENTS: </t>
  </si>
  <si>
    <t>AI00347254285</t>
  </si>
  <si>
    <t xml:space="preserve">RESERVATION COMMENTS: , FOLIO COMMENTS:, RATE PLAN: Refun / PHONE NUMBER2: 8087650986, GUEST COMMENTS: </t>
  </si>
  <si>
    <t>268401912</t>
  </si>
  <si>
    <t>4620700754</t>
  </si>
  <si>
    <t>4645897895</t>
  </si>
  <si>
    <t>AI00347239019</t>
  </si>
  <si>
    <t>4415574427</t>
  </si>
  <si>
    <t>AI00347254342</t>
  </si>
  <si>
    <t>RATE PLAN: Refun / PHONE NUMBER2: 8439063740, GUEST COMMENTS: , RESERVATION COMMENTS: , FOLIO COMMENTS:</t>
  </si>
  <si>
    <t>4378411285</t>
  </si>
  <si>
    <t>AI00347240202</t>
  </si>
  <si>
    <t xml:space="preserve">FOLIO COMMENTS:, RESERVATION COMMENTS: , RATE PLAN: AARP / PHONE NUMBER2: 4075795990, GUEST COMMENTS: </t>
  </si>
  <si>
    <t>268551472</t>
  </si>
  <si>
    <t>4620792978</t>
  </si>
  <si>
    <t>2024-07-01 06:00:01</t>
  </si>
  <si>
    <t>269535558</t>
  </si>
  <si>
    <t>AI00347278191</t>
  </si>
  <si>
    <t>GUEST COMMENTS: , RESERVATION COMMENTS: , RATE PLAN: Refun / PHONE NUMBER2: 9099578535, FOLIO COMMENTS:</t>
  </si>
  <si>
    <t>4529709331</t>
  </si>
  <si>
    <t>16944FJ23203|23203</t>
  </si>
  <si>
    <t xml:space="preserve">FOLIO COMMENTS:, RATE PLAN: Refun / PHONE NUMBER2: 4803317199, RESERVATION COMMENTS: , GUEST COMMENTS: </t>
  </si>
  <si>
    <t>4378490530</t>
  </si>
  <si>
    <t>4805613266</t>
  </si>
  <si>
    <t>269530454</t>
  </si>
  <si>
    <t>269279980</t>
  </si>
  <si>
    <t>4782302435</t>
  </si>
  <si>
    <t>269363272</t>
  </si>
  <si>
    <t>4910070034</t>
  </si>
  <si>
    <t>16944PD23207|23207</t>
  </si>
  <si>
    <t xml:space="preserve">RATE PLAN: Refun / PHONE NUMBER2: 6306242311, FOLIO COMMENTS:, RESERVATION COMMENTS: , GUEST COMMENTS: </t>
  </si>
  <si>
    <t>16944ZY23200|23200</t>
  </si>
  <si>
    <t>RESERVATION COMMENTS: , GUEST COMMENTS: , RATE PLAN: Refun / PHONE NUMBER2: 2565580238, FOLIO COMMENTS:</t>
  </si>
  <si>
    <t>269429032</t>
  </si>
  <si>
    <t>4963465135</t>
  </si>
  <si>
    <t>2024-07-02 06:00:01</t>
  </si>
  <si>
    <t>269927837</t>
  </si>
  <si>
    <t>270175191</t>
  </si>
  <si>
    <t>269840391</t>
  </si>
  <si>
    <t>AI00347298418</t>
  </si>
  <si>
    <t xml:space="preserve">GUEST COMMENTS: , RATE PLAN: Rack / PHONE NUMBER2: 5054144147, FOLIO COMMENTS:, RESERVATION COMMENTS: </t>
  </si>
  <si>
    <t>270001753</t>
  </si>
  <si>
    <t>4405235964</t>
  </si>
  <si>
    <t>AI00347306205</t>
  </si>
  <si>
    <t>GUEST COMMENTS: , FOLIO COMMENTS:, RESERVATION COMMENTS: , RATE PLAN: Refun / PHONE NUMBER2: 8148801655</t>
  </si>
  <si>
    <t>AI00347307947</t>
  </si>
  <si>
    <t>16944OA23223|23223</t>
  </si>
  <si>
    <t>RESERVATION COMMENTS: , RATE PLAN: Rack  / PHONE NUMBER2: 4192359303, GUEST COMMENTS: , FOLIO COMMENTS:, No Show with No credit card, one of the transfer reservations, Zac called for late arrival but no answer or call back-JF</t>
  </si>
  <si>
    <t>4461860629</t>
  </si>
  <si>
    <t>269927839</t>
  </si>
  <si>
    <t>269789566</t>
  </si>
  <si>
    <t>AI00347307868</t>
  </si>
  <si>
    <t>270851491</t>
  </si>
  <si>
    <t>2024-07-03 06:00:01</t>
  </si>
  <si>
    <t>270761771</t>
  </si>
  <si>
    <t>AI00347330156</t>
  </si>
  <si>
    <t>AI00347339111</t>
  </si>
  <si>
    <t xml:space="preserve">GUEST COMMENTS: , FOLIO COMMENTS:, RESERVATION COMMENTS: DO NOT MOVE FROM 101 needs, RATE PLAN: Rack </t>
  </si>
  <si>
    <t>4760677871</t>
  </si>
  <si>
    <t>270907620</t>
  </si>
  <si>
    <t>AI00347351632</t>
  </si>
  <si>
    <t>2024-07-04 06:00:01</t>
  </si>
  <si>
    <t>271828137</t>
  </si>
  <si>
    <t>AI00347363747</t>
  </si>
  <si>
    <t>RATE PLAN: Refun / PHONE NUMBER2: 8053771098, RESERVATION COMMENTS: , GUEST COMMENTS: , FOLIO COMMENTS:</t>
  </si>
  <si>
    <t>2024-11-28</t>
  </si>
  <si>
    <t>2024-12-01</t>
  </si>
  <si>
    <t>16944LW23234|23234</t>
  </si>
  <si>
    <t>GUEST COMMENTS: , RATE PLAN: Refun / PHONE NUMBER2: 6057602248, FOLIO COMMENTS:, RESERVATION COMMENTS: , called guest at 830pm and got the voicemail i left instructions about late check inn and let them know we still need payment info</t>
  </si>
  <si>
    <t>114 (STK), 103 (STK)</t>
  </si>
  <si>
    <t>4930039159</t>
  </si>
  <si>
    <t>GUEST COMMENTS: , FOLIO COMMENTS:, RESERVATION COMMENTS: , RATE PLAN: OTA r, Duplicate Reservations, System error, Same Source reservation ID. Cancelling 1 of 2 of the same reservation-JF</t>
  </si>
  <si>
    <t>272372490</t>
  </si>
  <si>
    <t>2024-07-05 06:00:01</t>
  </si>
  <si>
    <t>272230551</t>
  </si>
  <si>
    <t>272445027</t>
  </si>
  <si>
    <t>RESERVATION COMMENTS: , GUEST COMMENTS: i called to let guest know about, RATE PLAN: OTA r, FOLIO COMMENTS: NO SHOW-JF</t>
  </si>
  <si>
    <t>272602867</t>
  </si>
  <si>
    <t>272592223</t>
  </si>
  <si>
    <t>FOLIO COMMENTS: room 120, RATE PLAN: OTA r, RESERVATION COMMENTS: , GUEST COMMENTS: "Room needs to be Accessible -</t>
  </si>
  <si>
    <t>272175112</t>
  </si>
  <si>
    <t>272238036</t>
  </si>
  <si>
    <t>272161104</t>
  </si>
  <si>
    <t>FOLIO COMMENTS:, RESERVATION COMMENTS: , RATE PLAN: OTA r, GUEST COMMENTS: , Josh made Mistake assuming card would be added to 8/18 reservation when made, adding 8/18 charge to this folio, card didn't transfer to folio. JF</t>
  </si>
  <si>
    <t>272100537</t>
  </si>
  <si>
    <t>272210298</t>
  </si>
  <si>
    <t>272101482</t>
  </si>
  <si>
    <t>272562214</t>
  </si>
  <si>
    <t>271923788</t>
  </si>
  <si>
    <t>AI00347413170</t>
  </si>
  <si>
    <t>2024-07-06 06:00:01</t>
  </si>
  <si>
    <t>GUEST COMMENTS: , RATE PLAN: Rack / PHONE NUMBER2: 6175842091, RESERVATION COMMENTS: , FOLIO COMMENTS:</t>
  </si>
  <si>
    <t>4878733906</t>
  </si>
  <si>
    <t>272927275</t>
  </si>
  <si>
    <t>273194020</t>
  </si>
  <si>
    <t>4336889984</t>
  </si>
  <si>
    <t>16944LU23257|23257</t>
  </si>
  <si>
    <t xml:space="preserve">RATE PLAN: Refun / PHONE NUMBER2: 6019161081, FOLIO COMMENTS:, RESERVATION COMMENTS: , GUEST COMMENTS: </t>
  </si>
  <si>
    <t>4979952194</t>
  </si>
  <si>
    <t>272788612</t>
  </si>
  <si>
    <t>272842860</t>
  </si>
  <si>
    <t>273652599</t>
  </si>
  <si>
    <t>2024-07-07 06:00:01</t>
  </si>
  <si>
    <t>273338482</t>
  </si>
  <si>
    <t>AI00347443016</t>
  </si>
  <si>
    <t>273472545</t>
  </si>
  <si>
    <t>273592270</t>
  </si>
  <si>
    <t>273652603</t>
  </si>
  <si>
    <t>273677241</t>
  </si>
  <si>
    <t>273737953</t>
  </si>
  <si>
    <t xml:space="preserve">GUEST COMMENTS: , RATE PLAN: OTA r, FOLIO COMMENTS: res came in overbooked i up, RESERVATION COMMENTS: </t>
  </si>
  <si>
    <t>273583349</t>
  </si>
  <si>
    <t>AI00347434218</t>
  </si>
  <si>
    <t xml:space="preserve">RATE PLAN: Rack / PHONE NUMBER2: 2065950403, RESERVATION COMMENTS: , FOLIO COMMENTS:, GUEST COMMENTS: </t>
  </si>
  <si>
    <t>273534340</t>
  </si>
  <si>
    <t>4821479340</t>
  </si>
  <si>
    <t>273765412</t>
  </si>
  <si>
    <t>273691593</t>
  </si>
  <si>
    <t>273630133</t>
  </si>
  <si>
    <t>273539024</t>
  </si>
  <si>
    <t>273871610</t>
  </si>
  <si>
    <t>2024-07-08 06:00:01</t>
  </si>
  <si>
    <t>274555206</t>
  </si>
  <si>
    <t>FOLIO COMMENTS:, GUEST COMMENTS: , RESERVATION COMMENTS: , RATE PLAN: OTA r, Charge for this room is on previous reservation from reservation on the 8th	- DJJH1ASZ</t>
  </si>
  <si>
    <t>AI00347474616</t>
  </si>
  <si>
    <t xml:space="preserve">RATE PLAN: Rack, FOLIO COMMENTS:, RESERVATION COMMENTS: , GUEST COMMENTS: </t>
  </si>
  <si>
    <t>274456404</t>
  </si>
  <si>
    <t>274490312</t>
  </si>
  <si>
    <t>4745524909</t>
  </si>
  <si>
    <t xml:space="preserve">FOLIO COMMENTS: Whiney old folks-JF, RATE PLAN: OTA r, GUEST COMMENTS: , RESERVATION COMMENTS: </t>
  </si>
  <si>
    <t>274071910</t>
  </si>
  <si>
    <t>273981735</t>
  </si>
  <si>
    <t>16944YB23285|23285</t>
  </si>
  <si>
    <t>FOLIO COMMENTS:, RESERVATION COMMENTS: , GUEST COMMENTS: , RATE PLAN: Refun / PHONE NUMBER2: 3034385608</t>
  </si>
  <si>
    <t>16944XP23303|23303</t>
  </si>
  <si>
    <t>2024-07-09 06:00:01</t>
  </si>
  <si>
    <t xml:space="preserve">RESERVATION COMMENTS: , RATE PLAN: Refun / PHONE NUMBER2: 7602141111, FOLIO COMMENTS:, GUEST COMMENTS: </t>
  </si>
  <si>
    <t>275332433</t>
  </si>
  <si>
    <t>AI00347519447</t>
  </si>
  <si>
    <t xml:space="preserve">FOLIO COMMENTS:, GUEST COMMENTS: , RATE PLAN: AARP / PHONE NUMBER2: 3174963870, RESERVATION COMMENTS: </t>
  </si>
  <si>
    <t>AI00347507927</t>
  </si>
  <si>
    <t>274696557</t>
  </si>
  <si>
    <t>275192361</t>
  </si>
  <si>
    <t>275364168</t>
  </si>
  <si>
    <t>275159095</t>
  </si>
  <si>
    <t>274871547</t>
  </si>
  <si>
    <t>AI00347507736</t>
  </si>
  <si>
    <t>109 (SMQ), 104 (STK)</t>
  </si>
  <si>
    <t>4342131695</t>
  </si>
  <si>
    <t>AI00347507680</t>
  </si>
  <si>
    <t>RESERVATION COMMENTS: , RATE PLAN: Milit / PHONE NUMBER2: 5027791949, GUEST COMMENTS: , FOLIO COMMENTS:</t>
  </si>
  <si>
    <t>AI00347518963</t>
  </si>
  <si>
    <t xml:space="preserve">GUEST COMMENTS: , FOLIO COMMENTS:, RATE PLAN: Rack / PHONE NUMBER2: 9156303072, RESERVATION COMMENTS: </t>
  </si>
  <si>
    <t>AI00347506106</t>
  </si>
  <si>
    <t>4830409508</t>
  </si>
  <si>
    <t>275164054</t>
  </si>
  <si>
    <t>274995827</t>
  </si>
  <si>
    <t>AI00347542757</t>
  </si>
  <si>
    <t>2024-07-10 06:00:01</t>
  </si>
  <si>
    <t xml:space="preserve">FOLIO COMMENTS:, GUEST COMMENTS: , RATE PLAN: Rack / PHONE NUMBER2: 7025287783, RESERVATION COMMENTS: </t>
  </si>
  <si>
    <t>276150890</t>
  </si>
  <si>
    <t>AI00347537650</t>
  </si>
  <si>
    <t>RESERVATION COMMENTS: , RATE PLAN: AARP / PHONE NUMBER2: 4056309323, GUEST COMMENTS: , FOLIO COMMENTS:</t>
  </si>
  <si>
    <t>AI00347528559</t>
  </si>
  <si>
    <t xml:space="preserve">RATE PLAN: Rack / PHONE NUMBER2: 5135099582, FOLIO COMMENTS:, GUEST COMMENTS: , RESERVATION COMMENTS: </t>
  </si>
  <si>
    <t>276026812</t>
  </si>
  <si>
    <t>2024-09-03</t>
  </si>
  <si>
    <t>4777983621</t>
  </si>
  <si>
    <t>276192862</t>
  </si>
  <si>
    <t>16944VD23314|23314</t>
  </si>
  <si>
    <t>FOLIO COMMENTS:, RESERVATION COMMENTS: , GUEST COMMENTS: , RATE PLAN: Refun / PHONE NUMBER2: 6084455547</t>
  </si>
  <si>
    <t>4993518760</t>
  </si>
  <si>
    <t>276209195</t>
  </si>
  <si>
    <t>16944CD23313|23313</t>
  </si>
  <si>
    <t>RESERVATION COMMENTS: , FOLIO COMMENTS:, RATE PLAN: Refun / PHONE NUMBER2: 6084455547, GUEST COMMENTS: , 102s carpet stinks too much to rent room, giving up a single king and single queen to accommodate guests-JF</t>
  </si>
  <si>
    <t>4558318600</t>
  </si>
  <si>
    <t>2024-07-11 06:00:01</t>
  </si>
  <si>
    <t>276919210</t>
  </si>
  <si>
    <t>AI00347573290</t>
  </si>
  <si>
    <t>GUEST COMMENTS: LOCAL -JH, RESERVATION COMMENTS: , RATE PLAN: Rack, FOLIO COMMENTS:</t>
  </si>
  <si>
    <t>AI00347567833</t>
  </si>
  <si>
    <t>RATE PLAN: Rack  / PHONE NUMBER2: 608 742 5209</t>
  </si>
  <si>
    <t>276713673</t>
  </si>
  <si>
    <t>276517417</t>
  </si>
  <si>
    <t>276919208</t>
  </si>
  <si>
    <t>276795681</t>
  </si>
  <si>
    <t>276924953</t>
  </si>
  <si>
    <t>276698623</t>
  </si>
  <si>
    <t>4909057510</t>
  </si>
  <si>
    <t>RESERVATION COMMENTS: , FOLIO COMMENTS:, RATE PLAN: OTA r, GUEST COMMENTS: Our arrival may be closer to 9.</t>
  </si>
  <si>
    <t>AI00347557786</t>
  </si>
  <si>
    <t>AI00347569947</t>
  </si>
  <si>
    <t>277032990</t>
  </si>
  <si>
    <t>4677651271</t>
  </si>
  <si>
    <t>2024-07-12 06:00:01</t>
  </si>
  <si>
    <t>AI00347602057</t>
  </si>
  <si>
    <t>RATE PLAN: Rack, No Show, Called again in morning went to VM 8:54 AM-JF</t>
  </si>
  <si>
    <t>277405415</t>
  </si>
  <si>
    <t>277417080</t>
  </si>
  <si>
    <t>278195487</t>
  </si>
  <si>
    <t>2024-07-13 06:00:01</t>
  </si>
  <si>
    <t>FOLIO COMMENTS:, RESERVATION COMMENTS: , RATE PLAN: OTA r, GUEST COMMENTS: , Card was accidently added to different reservation, Kelly Conley. The 363.68 was charged to Joels card on Kellys reservation. Payment has been collected see Kelly Conley-JF</t>
  </si>
  <si>
    <t>277919444</t>
  </si>
  <si>
    <t>2024-09-09</t>
  </si>
  <si>
    <t>AI00347628460</t>
  </si>
  <si>
    <t>278119464</t>
  </si>
  <si>
    <t>278135409</t>
  </si>
  <si>
    <t>AI00347642635</t>
  </si>
  <si>
    <t>2024-07-14 06:00:01</t>
  </si>
  <si>
    <t>278564213</t>
  </si>
  <si>
    <t>AI00347648776</t>
  </si>
  <si>
    <t>278836883</t>
  </si>
  <si>
    <t>16944QN23357|23357</t>
  </si>
  <si>
    <t xml:space="preserve">FOLIO COMMENTS:, RATE PLAN: Rack  / PHONE NUMBER2: 5202297718, GUEST COMMENTS: , RESERVATION COMMENTS: </t>
  </si>
  <si>
    <t>278483524</t>
  </si>
  <si>
    <t>AI00347654199</t>
  </si>
  <si>
    <t>278990629</t>
  </si>
  <si>
    <t>AI00347654100</t>
  </si>
  <si>
    <t>16944TT23356|23356</t>
  </si>
  <si>
    <t xml:space="preserve">GUEST COMMENTS: , FOLIO COMMENTS:, RATE PLAN: Refun / PHONE NUMBER2: 6236803697, RESERVATION COMMENTS: </t>
  </si>
  <si>
    <t>AI00347651646</t>
  </si>
  <si>
    <t>278659800</t>
  </si>
  <si>
    <t>16944BV23354|23354</t>
  </si>
  <si>
    <t xml:space="preserve">RATE PLAN: Refun / PHONE NUMBER2: 3863340624, FOLIO COMMENTS:, GUEST COMMENTS: , RESERVATION COMMENTS: </t>
  </si>
  <si>
    <t>AI00347656292</t>
  </si>
  <si>
    <t>AI00347655022</t>
  </si>
  <si>
    <t>2024-11-02</t>
  </si>
  <si>
    <t>2024-11-03</t>
  </si>
  <si>
    <t>278622867</t>
  </si>
  <si>
    <t>279621025</t>
  </si>
  <si>
    <t>2024-07-15 06:00:01</t>
  </si>
  <si>
    <t>279619693</t>
  </si>
  <si>
    <t>AI00347684675</t>
  </si>
  <si>
    <t>4477259022</t>
  </si>
  <si>
    <t>RESERVATION COMMENTS: , RATE PLAN: OTA r, FOLIO COMMENTS:, GUEST COMMENTS: Guest arriving a day late.</t>
  </si>
  <si>
    <t>279251424</t>
  </si>
  <si>
    <t>279716136</t>
  </si>
  <si>
    <t>279544272</t>
  </si>
  <si>
    <t>AI00347690380</t>
  </si>
  <si>
    <t>GUEST COMMENTS: , RESERVATION COMMENTS: , RATE PLAN: Refun / PHONE NUMBER2: 9148416209, FOLIO COMMENTS:</t>
  </si>
  <si>
    <t>279627490</t>
  </si>
  <si>
    <t>279688170</t>
  </si>
  <si>
    <t>AI00347705501</t>
  </si>
  <si>
    <t>2024-07-16 06:00:01</t>
  </si>
  <si>
    <t>280392925</t>
  </si>
  <si>
    <t>4486814578</t>
  </si>
  <si>
    <t>GUEST COMMENTS: Late Arrival., RESERVATION COMMENTS: , FOLIO COMMENTS:, RATE PLAN: OTA r</t>
  </si>
  <si>
    <t>4423649401</t>
  </si>
  <si>
    <t>AI00347702430</t>
  </si>
  <si>
    <t xml:space="preserve">FOLIO COMMENTS:, RATE PLAN: Refun / PHONE NUMBER2: 3148822849, GUEST COMMENTS: , RESERVATION COMMENTS: </t>
  </si>
  <si>
    <t>AI00347695453</t>
  </si>
  <si>
    <t>4407342079</t>
  </si>
  <si>
    <t>4486806500</t>
  </si>
  <si>
    <t>280078360</t>
  </si>
  <si>
    <t>AI00347715805</t>
  </si>
  <si>
    <t>280476896</t>
  </si>
  <si>
    <t>280459453</t>
  </si>
  <si>
    <t>RESERVATION COMMENTS: , FOLIO COMMENTS:, GUEST COMMENTS: left message about late check in, RATE PLAN: OTA r</t>
  </si>
  <si>
    <t>280279187</t>
  </si>
  <si>
    <t>4972560937</t>
  </si>
  <si>
    <t xml:space="preserve">RATE PLAN: OTA r, FOLIO COMMENTS:, GUEST COMMENTS: **We have two very small service, RESERVATION COMMENTS: </t>
  </si>
  <si>
    <t>280260691</t>
  </si>
  <si>
    <t>GUEST COMMENTS: guest may not make it till, RESERVATION COMMENTS: , RATE PLAN: OTA r, FOLIO COMMENTS:</t>
  </si>
  <si>
    <t>AI00347703295</t>
  </si>
  <si>
    <t>2024-11-10</t>
  </si>
  <si>
    <t>2024-11-11</t>
  </si>
  <si>
    <t>16944PX23409|23409</t>
  </si>
  <si>
    <t>2024-07-17 06:00:01</t>
  </si>
  <si>
    <t>FOLIO COMMENTS:, GUEST COMMENTS: , RESERVATION COMMENTS: , RATE PLAN: Milit / PHONE NUMBER2: 4073407265</t>
  </si>
  <si>
    <t>2024-11-13</t>
  </si>
  <si>
    <t>2024-11-14</t>
  </si>
  <si>
    <t>281134104</t>
  </si>
  <si>
    <t>RESERVATION COMMENTS: , RATE PLAN: OTA r, GUEST COMMENTS: , FOLIO COMMENTS:, Invalid card, no response when called last night-JF No Show</t>
  </si>
  <si>
    <t>281028531</t>
  </si>
  <si>
    <t>281059430</t>
  </si>
  <si>
    <t>281028538</t>
  </si>
  <si>
    <t>AI00347740487</t>
  </si>
  <si>
    <t>RATE PLAN: Rack / PHONE NUMBER2: 7203142824, GUEST COMMENTS: , RESERVATION COMMENTS: , FOLIO COMMENTS:</t>
  </si>
  <si>
    <t>16944VI23397|23397</t>
  </si>
  <si>
    <t xml:space="preserve">RATE PLAN: Refun / PHONE NUMBER2: 3163474469, FOLIO COMMENTS:, GUEST COMMENTS: , RESERVATION COMMENTS: </t>
  </si>
  <si>
    <t>281142792</t>
  </si>
  <si>
    <t>AI00347747361</t>
  </si>
  <si>
    <t>RESERVATION COMMENTS: , RATE PLAN: Refun / PHONE NUMBER2: 9706992274, GUEST COMMENTS: , FOLIO COMMENTS:</t>
  </si>
  <si>
    <t>281283494</t>
  </si>
  <si>
    <t>280906756</t>
  </si>
  <si>
    <t>280812255</t>
  </si>
  <si>
    <t>280825123</t>
  </si>
  <si>
    <t>281060151</t>
  </si>
  <si>
    <t>280843945</t>
  </si>
  <si>
    <t>281219737</t>
  </si>
  <si>
    <t>281066398</t>
  </si>
  <si>
    <t>280954587</t>
  </si>
  <si>
    <t>281690176</t>
  </si>
  <si>
    <t>2024-07-18 06:00:01</t>
  </si>
  <si>
    <t>281703683</t>
  </si>
  <si>
    <t>281749281</t>
  </si>
  <si>
    <t>281846703</t>
  </si>
  <si>
    <t>281659946</t>
  </si>
  <si>
    <t>AI00347760670</t>
  </si>
  <si>
    <t>RATE PLAN: Refun / PHONE NUMBER2: 9083705534, GUEST COMMENTS: Late arrival explained how to get, RESERVATION COMMENTS: , FOLIO COMMENTS:</t>
  </si>
  <si>
    <t>AI00347776565</t>
  </si>
  <si>
    <t>AI00347773450</t>
  </si>
  <si>
    <t>281988022</t>
  </si>
  <si>
    <t>281761158</t>
  </si>
  <si>
    <t>281866678</t>
  </si>
  <si>
    <t>281526933</t>
  </si>
  <si>
    <t>282279068</t>
  </si>
  <si>
    <t>2024-07-19 06:00:01</t>
  </si>
  <si>
    <t>282602934</t>
  </si>
  <si>
    <t>283075984</t>
  </si>
  <si>
    <t>2024-07-20 06:00:01</t>
  </si>
  <si>
    <t>16944DN23438|23438</t>
  </si>
  <si>
    <t xml:space="preserve">RATE PLAN: Refun / PHONE NUMBER2: 7209330587, FOLIO COMMENTS:, RESERVATION COMMENTS: , GUEST COMMENTS: </t>
  </si>
  <si>
    <t>AI00347836607</t>
  </si>
  <si>
    <t xml:space="preserve">GUEST COMMENTS: repeat customer late time, FOLIO COMMENTS:, RATE PLAN: Rack , RESERVATION COMMENTS: </t>
  </si>
  <si>
    <t>283224337</t>
  </si>
  <si>
    <t>16944GS23433|23433</t>
  </si>
  <si>
    <t xml:space="preserve">RESERVATION COMMENTS: , RATE PLAN: Refun / PHONE NUMBER2: 8188313772, FOLIO COMMENTS:, GUEST COMMENTS: </t>
  </si>
  <si>
    <t>283138164</t>
  </si>
  <si>
    <t>283226109</t>
  </si>
  <si>
    <t>283029276</t>
  </si>
  <si>
    <t>283076144</t>
  </si>
  <si>
    <t>283301245</t>
  </si>
  <si>
    <t>283243180</t>
  </si>
  <si>
    <t>283243183</t>
  </si>
  <si>
    <t>283661223</t>
  </si>
  <si>
    <t>2024-07-21 06:00:01</t>
  </si>
  <si>
    <t>283653684</t>
  </si>
  <si>
    <t>283856206</t>
  </si>
  <si>
    <t>AI00347851536</t>
  </si>
  <si>
    <t>RESERVATION COMMENTS: , RATE PLAN: Rack / PHONE NUMBER2: 795829006, GUEST COMMENTS: , FOLIO COMMENTS:</t>
  </si>
  <si>
    <t>283858572</t>
  </si>
  <si>
    <t>RATE PLAN: OTA r, RESERVATION COMMENTS: , GUEST COMMENTS: Occupant will be my brother in, FOLIO COMMENTS:</t>
  </si>
  <si>
    <t>283891500</t>
  </si>
  <si>
    <t>283852725</t>
  </si>
  <si>
    <t>RESERVATION COMMENTS: , RATE PLAN: OTA r, GUEST COMMENTS: , FOLIO COMMENTS: Special requestCan I please</t>
  </si>
  <si>
    <t>AI00347849892</t>
  </si>
  <si>
    <t>16944LE23464|23464</t>
  </si>
  <si>
    <t>2024-07-22 06:00:01</t>
  </si>
  <si>
    <t xml:space="preserve">RATE PLAN: Refun / PHONE NUMBER2: 6147471600, FOLIO COMMENTS:, RESERVATION COMMENTS: , GUEST COMMENTS: </t>
  </si>
  <si>
    <t>284228674</t>
  </si>
  <si>
    <t>16944DQ23457|23457</t>
  </si>
  <si>
    <t>RATE PLAN: Milit / PHONE NUMBER2: 6198389406, GUEST COMMENTS: , RESERVATION COMMENTS: , FOLIO COMMENTS:</t>
  </si>
  <si>
    <t>AI00347887850</t>
  </si>
  <si>
    <t>284411219</t>
  </si>
  <si>
    <t>16944QL23463|23463</t>
  </si>
  <si>
    <t xml:space="preserve">GUEST COMMENTS: , FOLIO COMMENTS:, RATE PLAN: Refun / PHONE NUMBER2: 6024100585, RESERVATION COMMENTS: </t>
  </si>
  <si>
    <t>284536169</t>
  </si>
  <si>
    <t>284576232</t>
  </si>
  <si>
    <t>RATE PLAN: OTA r, GUEST COMMENTS: , RESERVATION COMMENTS: none - Rate Plan changed to :, FOLIO COMMENTS:</t>
  </si>
  <si>
    <t>AI00347883193</t>
  </si>
  <si>
    <t>AI00347880831</t>
  </si>
  <si>
    <t>284569515</t>
  </si>
  <si>
    <t>RESERVATION COMMENTS: , RATE PLAN: OTA r, GUEST COMMENTS: , FOLIO COMMENTS: *Highly recommend, clean and</t>
  </si>
  <si>
    <t>284533969</t>
  </si>
  <si>
    <t>284459330</t>
  </si>
  <si>
    <t>284549919</t>
  </si>
  <si>
    <t>284728798</t>
  </si>
  <si>
    <t>16944KX23465|23465</t>
  </si>
  <si>
    <t>RESERVATION COMMENTS: , FOLIO COMMENTS:, GUEST COMMENTS: , RATE PLAN: Refun / PHONE NUMBER2: 9285645305</t>
  </si>
  <si>
    <t>AI00347866880</t>
  </si>
  <si>
    <t>AI00347884543</t>
  </si>
  <si>
    <t>16944AR23477|23477</t>
  </si>
  <si>
    <t>2024-07-23 06:00:01</t>
  </si>
  <si>
    <t xml:space="preserve">RATE PLAN: Refun / PHONE NUMBER2: 6179475187, FOLIO COMMENTS:, GUEST COMMENTS: , RESERVATION COMMENTS: </t>
  </si>
  <si>
    <t>284960874</t>
  </si>
  <si>
    <t>285499308</t>
  </si>
  <si>
    <t>AI00347915469</t>
  </si>
  <si>
    <t>285399735</t>
  </si>
  <si>
    <t>285350599</t>
  </si>
  <si>
    <t>285144615</t>
  </si>
  <si>
    <t>284960473</t>
  </si>
  <si>
    <t>AI00347901138</t>
  </si>
  <si>
    <t>RESERVATION COMMENTS: , FOLIO COMMENTS:, GUEST COMMENTS: , RATE PLAN: Rack / PHONE NUMBER2: 7033387317</t>
  </si>
  <si>
    <t>16944MB23470|23470</t>
  </si>
  <si>
    <t>RESERVATION COMMENTS: , RATE PLAN: Refun / PHONE NUMBER2: +34659486350, GUEST COMMENTS: , FOLIO COMMENTS:</t>
  </si>
  <si>
    <t>285377050</t>
  </si>
  <si>
    <t>16944HM23480|23480</t>
  </si>
  <si>
    <t xml:space="preserve">RATE PLAN: Refun / PHONE NUMBER2: 734-837-1076, GUEST COMMENTS: , FOLIO COMMENTS:, RESERVATION COMMENTS: </t>
  </si>
  <si>
    <t>285076974</t>
  </si>
  <si>
    <t>16944DG23478|23478</t>
  </si>
  <si>
    <t xml:space="preserve">RATE PLAN: Refun / PHONE NUMBER2: 6179475187, RESERVATION COMMENTS: , FOLIO COMMENTS:, GUEST COMMENTS: </t>
  </si>
  <si>
    <t>16944KE23476|23476</t>
  </si>
  <si>
    <t>16944AY23475|23475</t>
  </si>
  <si>
    <t xml:space="preserve">FOLIO COMMENTS:, GUEST COMMENTS: , RATE PLAN: Refun / PHONE NUMBER2: 6179475187, RESERVATION COMMENTS: </t>
  </si>
  <si>
    <t>285578068</t>
  </si>
  <si>
    <t>285485079</t>
  </si>
  <si>
    <t>285144624</t>
  </si>
  <si>
    <t>AI00347907280</t>
  </si>
  <si>
    <t>AI00347906032</t>
  </si>
  <si>
    <t>RESERVATION COMMENTS: , GUEST COMMENTS: , RATE PLAN: Refun / PHONE NUMBER2: 8302540446, FOLIO COMMENTS:</t>
  </si>
  <si>
    <t>16944XP23516|23516</t>
  </si>
  <si>
    <t>2024-07-24 06:00:01</t>
  </si>
  <si>
    <t>RATE PLAN: Refun / PHONE NUMBER2: 6025019666</t>
  </si>
  <si>
    <t>286087240</t>
  </si>
  <si>
    <t>286107773</t>
  </si>
  <si>
    <t>286033433</t>
  </si>
  <si>
    <t>RESERVATION COMMENTS: , RATE PLAN: OTA r, GUEST COMMENTS: , FOLIO COMMENTS:, Charge for 17th on this folio, Card confusion-JF</t>
  </si>
  <si>
    <t>286067779</t>
  </si>
  <si>
    <t>286120699</t>
  </si>
  <si>
    <t>286129133</t>
  </si>
  <si>
    <t>4342710803</t>
  </si>
  <si>
    <t>AI00347941402</t>
  </si>
  <si>
    <t>FOLIO COMMENTS:, RESERVATION COMMENTS: , GUEST COMMENTS: Late arrival explained how to get, RATE PLAN: Rack</t>
  </si>
  <si>
    <t>285871399</t>
  </si>
  <si>
    <t>286201312</t>
  </si>
  <si>
    <t>16944IF23499|23499</t>
  </si>
  <si>
    <t>RATE PLAN: Refun / PHONE NUMBER2: 5126336064, GUEST COMMENTS: , RESERVATION COMMENTS: , FOLIO COMMENTS:</t>
  </si>
  <si>
    <t>285837986</t>
  </si>
  <si>
    <t>4893043891</t>
  </si>
  <si>
    <t>286206774</t>
  </si>
  <si>
    <t>286019306</t>
  </si>
  <si>
    <t>285852763</t>
  </si>
  <si>
    <t>286201147</t>
  </si>
  <si>
    <t>4356369087</t>
  </si>
  <si>
    <t>285709270</t>
  </si>
  <si>
    <t>286107769</t>
  </si>
  <si>
    <t>16944LI23517|23517</t>
  </si>
  <si>
    <t>RATE PLAN: Rack  / PHONE NUMBER2: 4123375949</t>
  </si>
  <si>
    <t>2024-12-04</t>
  </si>
  <si>
    <t>2024-12-06</t>
  </si>
  <si>
    <t>286265633</t>
  </si>
  <si>
    <t>RESERVATION COMMENTS: , FOLIO COMMENTS: Hello Iris. Wanted to let you know, RATE PLAN: OTA r, GUEST COMMENTS: **I will need a room on the</t>
  </si>
  <si>
    <t>285977389</t>
  </si>
  <si>
    <t>4474459653</t>
  </si>
  <si>
    <t>285699682</t>
  </si>
  <si>
    <t>286230814</t>
  </si>
  <si>
    <t>285980072</t>
  </si>
  <si>
    <t>286672378</t>
  </si>
  <si>
    <t>2024-07-25 06:00:01</t>
  </si>
  <si>
    <t>AI00347965598</t>
  </si>
  <si>
    <t>RESERVATION COMMENTS: , GUEST COMMENTS: , FOLIO COMMENTS:, RATE PLAN: Rack / PHONE NUMBER2: 5714365155</t>
  </si>
  <si>
    <t>286956939</t>
  </si>
  <si>
    <t>286872762</t>
  </si>
  <si>
    <t>4795391236</t>
  </si>
  <si>
    <t>286939165</t>
  </si>
  <si>
    <t xml:space="preserve">FOLIO COMMENTS: Most of the things inside the, RATE PLAN: OTA r, RESERVATION COMMENTS: , GUEST COMMENTS: </t>
  </si>
  <si>
    <t>AI00347977568</t>
  </si>
  <si>
    <t>AI00347962102</t>
  </si>
  <si>
    <t>RATE PLAN: Rack / PHONE NUMBER2: 4692782453</t>
  </si>
  <si>
    <t>16944VU23532|23532</t>
  </si>
  <si>
    <t xml:space="preserve">FOLIO COMMENTS:, RATE PLAN: Refun / PHONE NUMBER2: 3616524522, GUEST COMMENTS: , RESERVATION COMMENTS: </t>
  </si>
  <si>
    <t>16944KR23533|23533</t>
  </si>
  <si>
    <t>GUEST COMMENTS: , RATE PLAN: Refun / PHONE NUMBER2: 3616524522, RESERVATION COMMENTS: , FOLIO COMMENTS:</t>
  </si>
  <si>
    <t>16944GW23534|23534</t>
  </si>
  <si>
    <t>GUEST COMMENTS: , RESERVATION COMMENTS: , RATE PLAN: Refun / PHONE NUMBER2: 3616524522, FOLIO COMMENTS:</t>
  </si>
  <si>
    <t>16944FC23535|23535</t>
  </si>
  <si>
    <t>GUEST COMMENTS: , FOLIO COMMENTS:, RESERVATION COMMENTS: , RATE PLAN: Refun / PHONE NUMBER2: 3616524522</t>
  </si>
  <si>
    <t>286558876</t>
  </si>
  <si>
    <t>286672382</t>
  </si>
  <si>
    <t>287019239</t>
  </si>
  <si>
    <t>4730998030</t>
  </si>
  <si>
    <t>16944TV23537|23537</t>
  </si>
  <si>
    <t>RESERVATION COMMENTS: , GUEST COMMENTS: , FOLIO COMMENTS:, RATE PLAN: AARP  / PHONE NUMBER2: 9703764630</t>
  </si>
  <si>
    <t>286551046</t>
  </si>
  <si>
    <t>286965489</t>
  </si>
  <si>
    <t>FOLIO COMMENTS:, RATE PLAN: OTA r, GUEST COMMENTS: , RESERVATION COMMENTS: , Invalid Payment, NO Show</t>
  </si>
  <si>
    <t>286957871</t>
  </si>
  <si>
    <t>4356751749</t>
  </si>
  <si>
    <t>287574793</t>
  </si>
  <si>
    <t>2024-07-26 06:00:01</t>
  </si>
  <si>
    <t>GUEST COMMENTS: , RATE PLAN: OTA r, RESERVATION COMMENTS: , FOLIO COMMENTS:, NO SHOW AND DO NOT HAVE A CARD TO RUN FOR PAYMENT</t>
  </si>
  <si>
    <t>AI00347992712</t>
  </si>
  <si>
    <t>287748743</t>
  </si>
  <si>
    <t>16944IG23539|23539</t>
  </si>
  <si>
    <t>RESERVATION COMMENTS: , RATE PLAN: Refun / PHONE NUMBER2: 307-321-8933, GUEST COMMENTS: , FOLIO COMMENTS:</t>
  </si>
  <si>
    <t>287550424</t>
  </si>
  <si>
    <t>GUEST COMMENTS: Special requestquiet location, RATE PLAN: OTA r, RESERVATION COMMENTS: , FOLIO COMMENTS:</t>
  </si>
  <si>
    <t>4754703274</t>
  </si>
  <si>
    <t>287643197</t>
  </si>
  <si>
    <t>4441799150</t>
  </si>
  <si>
    <t>287291651</t>
  </si>
  <si>
    <t>287533521</t>
  </si>
  <si>
    <t>287551441</t>
  </si>
  <si>
    <t>4628755264</t>
  </si>
  <si>
    <t>AI00347992644</t>
  </si>
  <si>
    <t>287738772</t>
  </si>
  <si>
    <t>AI00348025686</t>
  </si>
  <si>
    <t>2024-07-27 06:00:01</t>
  </si>
  <si>
    <t>4871312355</t>
  </si>
  <si>
    <t>288271586</t>
  </si>
  <si>
    <t>AI00348020995</t>
  </si>
  <si>
    <t>4596158377</t>
  </si>
  <si>
    <t>288032975</t>
  </si>
  <si>
    <t>FOLIO COMMENTS:, RESERVATION COMMENTS: , GUEST COMMENTS: Request lower floor room, RATE PLAN: OTA r</t>
  </si>
  <si>
    <t>288276294</t>
  </si>
  <si>
    <t>288272122</t>
  </si>
  <si>
    <t>4973368121</t>
  </si>
  <si>
    <t>4973381366</t>
  </si>
  <si>
    <t>GUEST COMMENTS: , RATE PLAN: OTA r, FOLIO COMMENTS:, RESERVATION COMMENTS: , insufficient funds-need new card</t>
  </si>
  <si>
    <t>288188575</t>
  </si>
  <si>
    <t>4685562007</t>
  </si>
  <si>
    <t>16944YM23563|23563</t>
  </si>
  <si>
    <t xml:space="preserve">FOLIO COMMENTS:, GUEST COMMENTS: , RATE PLAN: Refun / PHONE NUMBER2: 4172983808, RESERVATION COMMENTS: </t>
  </si>
  <si>
    <t>16944SD23557|23557</t>
  </si>
  <si>
    <t>RATE PLAN: Refun / PHONE NUMBER2: 8432311036, RESERVATION COMMENTS: , GUEST COMMENTS: , FOLIO COMMENTS:</t>
  </si>
  <si>
    <t>288220569</t>
  </si>
  <si>
    <t>288031564</t>
  </si>
  <si>
    <t>288168232</t>
  </si>
  <si>
    <t>16944YL23583|23583</t>
  </si>
  <si>
    <t>2024-07-28 06:00:01</t>
  </si>
  <si>
    <t>FOLIO COMMENTS:, RESERVATION COMMENTS: , GUEST COMMENTS: , RATE PLAN: Refun / PHONE NUMBER2: 2184340716</t>
  </si>
  <si>
    <t>16944TQ23591|23591</t>
  </si>
  <si>
    <t xml:space="preserve">RESERVATION COMMENTS: , FOLIO COMMENTS:, RATE PLAN: Refun / PHONE NUMBER2: 5034654345, GUEST COMMENTS: </t>
  </si>
  <si>
    <t>288866589</t>
  </si>
  <si>
    <t>4848510494</t>
  </si>
  <si>
    <t>288910072</t>
  </si>
  <si>
    <t>4848550570</t>
  </si>
  <si>
    <t>RESERVATION COMMENTS: , GUEST COMMENTS: First floor, if available. Thank, FOLIO COMMENTS:, RATE PLAN: OTA r</t>
  </si>
  <si>
    <t>288582770</t>
  </si>
  <si>
    <t>288458869</t>
  </si>
  <si>
    <t>288870054</t>
  </si>
  <si>
    <t>AI00348041695</t>
  </si>
  <si>
    <t>RATE PLAN: Rack / PHONE NUMBER2: 5402701955</t>
  </si>
  <si>
    <t>16944UN23584|23584</t>
  </si>
  <si>
    <t>RATE PLAN: Refun / PHONE NUMBER2: 2184340716, GUEST COMMENTS: , RESERVATION COMMENTS: , FOLIO COMMENTS:</t>
  </si>
  <si>
    <t>288691323</t>
  </si>
  <si>
    <t>288849629</t>
  </si>
  <si>
    <t>288543116</t>
  </si>
  <si>
    <t>288845966</t>
  </si>
  <si>
    <t>288847242</t>
  </si>
  <si>
    <t xml:space="preserve">GUEST COMMENTS: tried to leave message on, RATE PLAN: OTA r, FOLIO COMMENTS:, RESERVATION COMMENTS: </t>
  </si>
  <si>
    <t>4987674355</t>
  </si>
  <si>
    <t>288522316</t>
  </si>
  <si>
    <t>16944EP23592|23592</t>
  </si>
  <si>
    <t>FOLIO COMMENTS:, GUEST COMMENTS: , RESERVATION COMMENTS: , RATE PLAN: AARP  / PHONE NUMBER2: 5129218173, Prefers larger first floor room with no stairs</t>
  </si>
  <si>
    <t>288855710</t>
  </si>
  <si>
    <t>16944YU23578|23578</t>
  </si>
  <si>
    <t>GUEST COMMENTS: , RATE PLAN: Refun / PHONE NUMBER2: 4806893812, RESERVATION COMMENTS: *First floor if possible due to, FOLIO COMMENTS:</t>
  </si>
  <si>
    <t>288616437</t>
  </si>
  <si>
    <t>AI00348035700</t>
  </si>
  <si>
    <t>16944AB23590|23590</t>
  </si>
  <si>
    <t xml:space="preserve">FOLIO COMMENTS:, GUEST COMMENTS: , RATE PLAN: Refun / PHONE NUMBER2: 5599770982, RESERVATION COMMENTS: </t>
  </si>
  <si>
    <t>4868017336</t>
  </si>
  <si>
    <t>2024-10-18</t>
  </si>
  <si>
    <t>288839317</t>
  </si>
  <si>
    <t>289248418</t>
  </si>
  <si>
    <t>2024-07-29 06:00:01</t>
  </si>
  <si>
    <t>4868031869</t>
  </si>
  <si>
    <t>GUEST COMMENTS: upper floor if available and extra, RESERVATION COMMENTS: , FOLIO COMMENTS:, RATE PLAN: OTA r</t>
  </si>
  <si>
    <t>AI00348073960</t>
  </si>
  <si>
    <t xml:space="preserve">RATE PLAN: Refun / PHONE NUMBER2: 7032011969, RESERVATION COMMENTS: , FOLIO COMMENTS:, GUEST COMMENTS: </t>
  </si>
  <si>
    <t>289477438</t>
  </si>
  <si>
    <t>289161854</t>
  </si>
  <si>
    <t>289638583</t>
  </si>
  <si>
    <t>289614062</t>
  </si>
  <si>
    <t>AI00348076604</t>
  </si>
  <si>
    <t>289389405</t>
  </si>
  <si>
    <t>289119553</t>
  </si>
  <si>
    <t>289534848</t>
  </si>
  <si>
    <t>16944AT23607|23607</t>
  </si>
  <si>
    <t xml:space="preserve">FOLIO COMMENTS:, RATE PLAN: Refun / PHONE NUMBER2: 6155164804, GUEST COMMENTS: , RESERVATION COMMENTS: </t>
  </si>
  <si>
    <t>16944SW23621|23621</t>
  </si>
  <si>
    <t xml:space="preserve">RATE PLAN: Refun / PHONE NUMBER2: 928-978-6279, FOLIO COMMENTS:, GUEST COMMENTS: , RESERVATION COMMENTS: </t>
  </si>
  <si>
    <t>4340158351</t>
  </si>
  <si>
    <t>289125082</t>
  </si>
  <si>
    <t>289467213</t>
  </si>
  <si>
    <t>4906947893</t>
  </si>
  <si>
    <t>2024-10-25</t>
  </si>
  <si>
    <t>AI00348094514</t>
  </si>
  <si>
    <t>2024-07-30 06:00:01</t>
  </si>
  <si>
    <t>290201411</t>
  </si>
  <si>
    <t>289709063</t>
  </si>
  <si>
    <t>RESERVATION COMMENTS: , GUEST COMMENTS: Special request We want a room, FOLIO COMMENTS: moved from 115 to 120 no steps, RATE PLAN: OTA r</t>
  </si>
  <si>
    <t>290026878</t>
  </si>
  <si>
    <t>4862960895</t>
  </si>
  <si>
    <t>4938058877</t>
  </si>
  <si>
    <t>290277467</t>
  </si>
  <si>
    <t>290136411</t>
  </si>
  <si>
    <t>4455276869</t>
  </si>
  <si>
    <t xml:space="preserve">FOLIO COMMENTS: 1st night via Booking.com, GUEST COMMENTS: would like to book another room, RATE PLAN: OTA r, RESERVATION COMMENTS: </t>
  </si>
  <si>
    <t>4668948618</t>
  </si>
  <si>
    <t>290239798</t>
  </si>
  <si>
    <t>290057355</t>
  </si>
  <si>
    <t>290398742</t>
  </si>
  <si>
    <t>AI00348100130</t>
  </si>
  <si>
    <t>AI00348108835</t>
  </si>
  <si>
    <t>290052743</t>
  </si>
  <si>
    <t>290693653</t>
  </si>
  <si>
    <t>2024-07-31 06:00:01</t>
  </si>
  <si>
    <t>4832200638</t>
  </si>
  <si>
    <t>290449512</t>
  </si>
  <si>
    <t>290766024</t>
  </si>
  <si>
    <t>290711394</t>
  </si>
  <si>
    <t>290728342</t>
  </si>
  <si>
    <t>AI00348142057</t>
  </si>
  <si>
    <t xml:space="preserve">RESERVATION COMMENTS: , FOLIO COMMENTS:, GUEST COMMENTS: late check in after 11pm aslo, RATE PLAN: Rack </t>
  </si>
  <si>
    <t>AI00348141720</t>
  </si>
  <si>
    <t xml:space="preserve">FOLIO COMMENTS:, GUEST COMMENTS: late check in after 11pm aslo, RATE PLAN: Rack , RESERVATION COMMENTS: </t>
  </si>
  <si>
    <t>290948695</t>
  </si>
  <si>
    <t>290713933</t>
  </si>
  <si>
    <t>290770573</t>
  </si>
  <si>
    <t>16944BM23661|23661</t>
  </si>
  <si>
    <t xml:space="preserve">FOLIO COMMENTS:, RATE PLAN: Milit / PHONE NUMBER2: 7728825616, GUEST COMMENTS: , RESERVATION COMMENTS: </t>
  </si>
  <si>
    <t>290561399</t>
  </si>
  <si>
    <t>16944CJ23666|23666</t>
  </si>
  <si>
    <t xml:space="preserve">RATE PLAN: Refun / PHONE NUMBER2: 9105286543, RESERVATION COMMENTS: , FOLIO COMMENTS:, GUEST COMMENTS: </t>
  </si>
  <si>
    <t>16944GY23664|23664</t>
  </si>
  <si>
    <t>RESERVATION COMMENTS: , RATE PLAN: Refun / PHONE NUMBER2: 3036195439, GUEST COMMENTS: , FOLIO COMMENTS:</t>
  </si>
  <si>
    <t>AI00348121122</t>
  </si>
  <si>
    <t>AI00348126633</t>
  </si>
  <si>
    <t>290998440</t>
  </si>
  <si>
    <t>290668324</t>
  </si>
  <si>
    <t>290449513</t>
  </si>
  <si>
    <t>290557050</t>
  </si>
  <si>
    <t>16944FR23665|23665</t>
  </si>
  <si>
    <t>RATE PLAN: Rack  / PHONE NUMBER2: 3035010556</t>
  </si>
  <si>
    <t>4576623527</t>
  </si>
  <si>
    <t>290680186</t>
  </si>
  <si>
    <t>Direct</t>
  </si>
  <si>
    <t>Walk-In</t>
  </si>
  <si>
    <t>2024-08-01 22:58:48</t>
  </si>
  <si>
    <t>Leave in 120-JF</t>
  </si>
  <si>
    <t>291730746</t>
  </si>
  <si>
    <t>2024-08-01 23:54:24</t>
  </si>
  <si>
    <t>291738393</t>
  </si>
  <si>
    <t>2024-08-02 00:08:00</t>
  </si>
  <si>
    <t>291811063</t>
  </si>
  <si>
    <t>2024-08-02 02:13:34</t>
  </si>
  <si>
    <t>292000184</t>
  </si>
  <si>
    <t>2024-08-02 10:03:43</t>
  </si>
  <si>
    <t>2024-11-27</t>
  </si>
  <si>
    <t>4648704099</t>
  </si>
  <si>
    <t>Portugal</t>
  </si>
  <si>
    <t>2024-08-02 16:47:39</t>
  </si>
  <si>
    <t>2024-08-02 16:57:10</t>
  </si>
  <si>
    <t>Non-Refundable Rate</t>
  </si>
  <si>
    <t>Website/Booking Engine</t>
  </si>
  <si>
    <t>2024-08-02 17:01:49</t>
  </si>
  <si>
    <t>Tax Exempt need to adjust price and charge-JF, Tax Exemption number:  83-6009473
Laramie County Community College</t>
  </si>
  <si>
    <t>116 (DQ), 120 (STQ)</t>
  </si>
  <si>
    <t>Double Queen, Standard Queen</t>
  </si>
  <si>
    <t>292257722</t>
  </si>
  <si>
    <t>2024-08-02 17:53:06</t>
  </si>
  <si>
    <t>292385447</t>
  </si>
  <si>
    <t>2024-08-02 21:18:34</t>
  </si>
  <si>
    <t>2024-08-03 00:40:09</t>
  </si>
  <si>
    <t>292536911</t>
  </si>
  <si>
    <t>2024-08-03 01:53:50</t>
  </si>
  <si>
    <t>292536915</t>
  </si>
  <si>
    <t>2024-08-03 01:53:53</t>
  </si>
  <si>
    <t>Phone</t>
  </si>
  <si>
    <t>5752029384</t>
  </si>
  <si>
    <t>2024-08-03 14:15:41</t>
  </si>
  <si>
    <t>292828978</t>
  </si>
  <si>
    <t>2024-08-03 15:44:50</t>
  </si>
  <si>
    <t>2024-08-03 16:02:22</t>
  </si>
  <si>
    <t>2024-08-03 16:31:40</t>
  </si>
  <si>
    <t>292932752</t>
  </si>
  <si>
    <t>2024-08-03 19:04:28</t>
  </si>
  <si>
    <t>206 (STK), 205 (STK)</t>
  </si>
  <si>
    <t>2024-08-03 19:12:31</t>
  </si>
  <si>
    <t>2024-08-03 19:35:43</t>
  </si>
  <si>
    <t>292989903</t>
  </si>
  <si>
    <t>2024-08-03 20:57:37</t>
  </si>
  <si>
    <t>292999471</t>
  </si>
  <si>
    <t>2024-08-03 21:16:27</t>
  </si>
  <si>
    <t>4985492375</t>
  </si>
  <si>
    <t>2024-08-03 21:34:39</t>
  </si>
  <si>
    <t>118 (STQ), 119 (STQ)</t>
  </si>
  <si>
    <t>2025-08-12</t>
  </si>
  <si>
    <t>2025-08-13</t>
  </si>
  <si>
    <t>2024-08-03 21:43:52</t>
  </si>
  <si>
    <t>Prefer rooms next to each other</t>
  </si>
  <si>
    <t>2024-08-03 22:25:24</t>
  </si>
  <si>
    <t>4667213360</t>
  </si>
  <si>
    <t>2024-08-03 22:56:47</t>
  </si>
  <si>
    <t>293062799</t>
  </si>
  <si>
    <t>2024-08-03 23:28:52</t>
  </si>
  <si>
    <t>4912936858</t>
  </si>
  <si>
    <t>2024-08-04 01:22:51</t>
  </si>
  <si>
    <t>293167479</t>
  </si>
  <si>
    <t>2024-08-04 03:23:50</t>
  </si>
  <si>
    <t>293191425</t>
  </si>
  <si>
    <t>2024-08-04 04:31:27</t>
  </si>
  <si>
    <t>293191424</t>
  </si>
  <si>
    <t>2024-08-04 04:31:29</t>
  </si>
  <si>
    <t>293191426</t>
  </si>
  <si>
    <t>2024-08-04 04:31:30</t>
  </si>
  <si>
    <t>293353025</t>
  </si>
  <si>
    <t>2024-08-04 13:50:33</t>
  </si>
  <si>
    <t>4513704435</t>
  </si>
  <si>
    <t>2024-08-04 15:39:56</t>
  </si>
  <si>
    <t>293469232</t>
  </si>
  <si>
    <t>2024-08-04 17:34:32</t>
  </si>
  <si>
    <t>293469233</t>
  </si>
  <si>
    <t>2024-08-04 17:34:34</t>
  </si>
  <si>
    <t>293470088</t>
  </si>
  <si>
    <t>2024-08-04 17:36:02</t>
  </si>
  <si>
    <t>4698806208</t>
  </si>
  <si>
    <t>2024-08-04 18:57:01</t>
  </si>
  <si>
    <t>4319391744</t>
  </si>
  <si>
    <t>2024-08-04 19:34:09</t>
  </si>
  <si>
    <t>4989644103</t>
  </si>
  <si>
    <t>2024-08-04 23:28:08</t>
  </si>
  <si>
    <t>293706944</t>
  </si>
  <si>
    <t>2024-08-05 00:45:52</t>
  </si>
  <si>
    <t>2024-08-05 01:29:15</t>
  </si>
  <si>
    <t>lost key in bag will send it if found in next day or 2-JF</t>
  </si>
  <si>
    <t>293748713</t>
  </si>
  <si>
    <t>2024-08-05 02:01:36</t>
  </si>
  <si>
    <t>293752642</t>
  </si>
  <si>
    <t>2024-08-05 02:08:51</t>
  </si>
  <si>
    <t>293784104</t>
  </si>
  <si>
    <t>2024-08-05 03:11:05</t>
  </si>
  <si>
    <t>293793604</t>
  </si>
  <si>
    <t>2024-08-05 03:31:33</t>
  </si>
  <si>
    <t>4698839351</t>
  </si>
  <si>
    <t>2024-08-05 04:38:00</t>
  </si>
  <si>
    <t>2024-08-05 14:06:35</t>
  </si>
  <si>
    <t>385-367-4646</t>
  </si>
  <si>
    <t>2024-08-05 14:25:52</t>
  </si>
  <si>
    <t>294074462</t>
  </si>
  <si>
    <t>2024-08-05 14:41:11</t>
  </si>
  <si>
    <t>294188632</t>
  </si>
  <si>
    <t>2024-08-05 17:25:08</t>
  </si>
  <si>
    <t>294205999</t>
  </si>
  <si>
    <t>2024-08-05 17:51:02</t>
  </si>
  <si>
    <t>4453433277</t>
  </si>
  <si>
    <t>2024-08-05 19:42:39</t>
  </si>
  <si>
    <t>294341239</t>
  </si>
  <si>
    <t>2024-08-05 21:11:39</t>
  </si>
  <si>
    <t>294380678</t>
  </si>
  <si>
    <t>2024-08-05 22:14:33</t>
  </si>
  <si>
    <t>294411796</t>
  </si>
  <si>
    <t>2024-08-05 23:09:21</t>
  </si>
  <si>
    <t>294430351</t>
  </si>
  <si>
    <t>2024-08-05 23:42:26</t>
  </si>
  <si>
    <t>2024-08-06 00:10:40</t>
  </si>
  <si>
    <t>2024-08-06 02:46:33</t>
  </si>
  <si>
    <t>107 (DQ), 105 (DQ)</t>
  </si>
  <si>
    <t>2024-08-06 16:24:27</t>
  </si>
  <si>
    <t>294958740</t>
  </si>
  <si>
    <t>2024-08-06 17:30:33</t>
  </si>
  <si>
    <t>2024-08-06 17:33:09</t>
  </si>
  <si>
    <t>4547368929</t>
  </si>
  <si>
    <t>2024-08-06 17:48:19</t>
  </si>
  <si>
    <t>2024-08-06 19:09:17</t>
  </si>
  <si>
    <t>4539349875</t>
  </si>
  <si>
    <t>2024-08-06 20:10:13</t>
  </si>
  <si>
    <t>4310442894</t>
  </si>
  <si>
    <t>2024-08-06 21:00:38</t>
  </si>
  <si>
    <t>295140266</t>
  </si>
  <si>
    <t>2024-08-06 22:12:59</t>
  </si>
  <si>
    <t>4337931934</t>
  </si>
  <si>
    <t>2024-08-06 23:49:39</t>
  </si>
  <si>
    <t>4789959716</t>
  </si>
  <si>
    <t>2024-08-06 23:51:08</t>
  </si>
  <si>
    <t>4799420904</t>
  </si>
  <si>
    <t>2024-08-06 23:58:11</t>
  </si>
  <si>
    <t>4469699340</t>
  </si>
  <si>
    <t>2024-08-07 00:39:11</t>
  </si>
  <si>
    <t>295309996</t>
  </si>
  <si>
    <t>2024-08-07 02:59:38</t>
  </si>
  <si>
    <t>295317958</t>
  </si>
  <si>
    <t>2024-08-07 03:14:13</t>
  </si>
  <si>
    <t>295338277</t>
  </si>
  <si>
    <t>2024-08-07 03:53:37</t>
  </si>
  <si>
    <t>295666831</t>
  </si>
  <si>
    <t>2024-08-07 16:02:48</t>
  </si>
  <si>
    <t>295692326</t>
  </si>
  <si>
    <t>2024-08-07 16:41:46</t>
  </si>
  <si>
    <t>295710922</t>
  </si>
  <si>
    <t>2024-08-07 17:11:06</t>
  </si>
  <si>
    <t>295830033</t>
  </si>
  <si>
    <t>2024-08-07 20:19:59</t>
  </si>
  <si>
    <t>295841027</t>
  </si>
  <si>
    <t>2024-08-07 20:37:20</t>
  </si>
  <si>
    <t>295850436</t>
  </si>
  <si>
    <t>2024-08-07 20:52:18</t>
  </si>
  <si>
    <t>295850438</t>
  </si>
  <si>
    <t>2024-08-07 20:52:20</t>
  </si>
  <si>
    <t>4522202991</t>
  </si>
  <si>
    <t>2024-08-07 23:28:54</t>
  </si>
  <si>
    <t>295961059</t>
  </si>
  <si>
    <t>2024-08-08 00:05:55</t>
  </si>
  <si>
    <t>2024-08-08 03:50:34</t>
  </si>
  <si>
    <t>4819866944</t>
  </si>
  <si>
    <t>2024-08-08 04:19:02</t>
  </si>
  <si>
    <t>296101664</t>
  </si>
  <si>
    <t>2024-08-08 04:19:10</t>
  </si>
  <si>
    <t>115 (STQ), 110 (STQ)</t>
  </si>
  <si>
    <t>508-868-6352</t>
  </si>
  <si>
    <t>2024-08-08 17:39:01</t>
  </si>
  <si>
    <t>4413488450</t>
  </si>
  <si>
    <t>2024-08-08 18:39:34</t>
  </si>
  <si>
    <t>296532722</t>
  </si>
  <si>
    <t>2024-08-08 19:08:19</t>
  </si>
  <si>
    <t>296562236</t>
  </si>
  <si>
    <t>2024-08-08 19:55:36</t>
  </si>
  <si>
    <t>296621628</t>
  </si>
  <si>
    <t>2024-08-08 21:33:34</t>
  </si>
  <si>
    <t>4561765303</t>
  </si>
  <si>
    <t>2024-08-08 23:29:34</t>
  </si>
  <si>
    <t>3527306085</t>
  </si>
  <si>
    <t>2024-08-09 00:49:32</t>
  </si>
  <si>
    <t>4396032550</t>
  </si>
  <si>
    <t>2024-08-09 03:48:39</t>
  </si>
  <si>
    <t>4395808943</t>
  </si>
  <si>
    <t>2024-08-09 04:18:34</t>
  </si>
  <si>
    <t>2024-08-09 06:38:36</t>
  </si>
  <si>
    <t>4357787847</t>
  </si>
  <si>
    <t>2024-08-09 08:11:35</t>
  </si>
  <si>
    <t>4566587076</t>
  </si>
  <si>
    <t>2024-08-09 15:44:49</t>
  </si>
  <si>
    <t>297182977</t>
  </si>
  <si>
    <t>2024-08-09 16:57:42</t>
  </si>
  <si>
    <t>4467122294</t>
  </si>
  <si>
    <t>2024-08-09 22:11:37</t>
  </si>
  <si>
    <t>2024-08-09 22:14:17</t>
  </si>
  <si>
    <t>2025-05-12</t>
  </si>
  <si>
    <t>2025-05-17</t>
  </si>
  <si>
    <t>4412897671</t>
  </si>
  <si>
    <t>2024-08-10 01:05:05</t>
  </si>
  <si>
    <t>2024-08-10 02:37:19</t>
  </si>
  <si>
    <t>4467152798</t>
  </si>
  <si>
    <t>2024-08-10 03:46:13</t>
  </si>
  <si>
    <t>4467105036</t>
  </si>
  <si>
    <t>2024-08-10 19:44:16</t>
  </si>
  <si>
    <t>297900786</t>
  </si>
  <si>
    <t>2024-08-10 20:25:08</t>
  </si>
  <si>
    <t>297904095</t>
  </si>
  <si>
    <t>2024-08-10 20:31:58</t>
  </si>
  <si>
    <t>297906062</t>
  </si>
  <si>
    <t>2024-08-10 20:36:03</t>
  </si>
  <si>
    <t>2024-08-11 00:56:46</t>
  </si>
  <si>
    <t>4418182187</t>
  </si>
  <si>
    <t>Azerbaijan</t>
  </si>
  <si>
    <t>2024-08-11 01:17:38</t>
  </si>
  <si>
    <t>298031454</t>
  </si>
  <si>
    <t>2024-08-11 01:24:11</t>
  </si>
  <si>
    <t>2024-08-11 01:30:34</t>
  </si>
  <si>
    <t>2024-11-24</t>
  </si>
  <si>
    <t>2024-11-25</t>
  </si>
  <si>
    <t>298055501</t>
  </si>
  <si>
    <t>2024-08-11 02:23:17</t>
  </si>
  <si>
    <t>298062697</t>
  </si>
  <si>
    <t>2024-08-11 02:40:55</t>
  </si>
  <si>
    <t>4949987054</t>
  </si>
  <si>
    <t>2024-08-11 09:55:43</t>
  </si>
  <si>
    <t>298276122</t>
  </si>
  <si>
    <t>2024-08-11 15:00:09</t>
  </si>
  <si>
    <t>298292059</t>
  </si>
  <si>
    <t>2024-08-11 15:34:59</t>
  </si>
  <si>
    <t>4334769159</t>
  </si>
  <si>
    <t>2024-08-11 15:51:45</t>
  </si>
  <si>
    <t>2024-10-26</t>
  </si>
  <si>
    <t>298300957</t>
  </si>
  <si>
    <t>2024-08-11 15:53:18</t>
  </si>
  <si>
    <t>4397467445</t>
  </si>
  <si>
    <t>2024-08-11 16:29:00</t>
  </si>
  <si>
    <t>4869299404</t>
  </si>
  <si>
    <t>2024-08-11 19:20:06</t>
  </si>
  <si>
    <t>4946873629</t>
  </si>
  <si>
    <t>2024-08-11 19:36:36</t>
  </si>
  <si>
    <t>4653762796</t>
  </si>
  <si>
    <t>2024-08-11 19:56:07</t>
  </si>
  <si>
    <t>298458786</t>
  </si>
  <si>
    <t>2024-08-11 21:06:05</t>
  </si>
  <si>
    <t>298474829</t>
  </si>
  <si>
    <t>2024-08-11 21:38:18</t>
  </si>
  <si>
    <t>4992795599</t>
  </si>
  <si>
    <t>2024-08-11 22:14:11</t>
  </si>
  <si>
    <t>298545557</t>
  </si>
  <si>
    <t>2024-08-11 23:59:01</t>
  </si>
  <si>
    <t>2024-08-12 00:45:05</t>
  </si>
  <si>
    <t>2024-08-12 02:20:51</t>
  </si>
  <si>
    <t>2024-08-12 02:24:18</t>
  </si>
  <si>
    <t>2024-08-12 03:06:00</t>
  </si>
  <si>
    <t>2024-08-12 03:23:45</t>
  </si>
  <si>
    <t>4402278353</t>
  </si>
  <si>
    <t>2024-08-12 03:24:42</t>
  </si>
  <si>
    <t>4973072367</t>
  </si>
  <si>
    <t>2024-08-12 03:32:39</t>
  </si>
  <si>
    <t>4501865514</t>
  </si>
  <si>
    <t>2024-08-12 03:42:44</t>
  </si>
  <si>
    <t>2024-08-12 09:01:08</t>
  </si>
  <si>
    <t>298972550</t>
  </si>
  <si>
    <t>2024-08-12 15:59:48</t>
  </si>
  <si>
    <t>2024-08-12 17:35:39</t>
  </si>
  <si>
    <t>299050465</t>
  </si>
  <si>
    <t>2024-08-12 17:59:00</t>
  </si>
  <si>
    <t>2024-08-12 18:09:32</t>
  </si>
  <si>
    <t>2024-08-12 19:06:58</t>
  </si>
  <si>
    <t>2024-08-12 19:08:38</t>
  </si>
  <si>
    <t>Charge is on Reservation from tuesday-JF</t>
  </si>
  <si>
    <t>299130124</t>
  </si>
  <si>
    <t>2024-08-12 20:00:51</t>
  </si>
  <si>
    <t>2024-08-12 20:02:00</t>
  </si>
  <si>
    <t>299157072</t>
  </si>
  <si>
    <t>2024-08-12 20:42:10</t>
  </si>
  <si>
    <t>2024-08-12 22:04:51</t>
  </si>
  <si>
    <t>4395940699</t>
  </si>
  <si>
    <t>2024-08-12 23:28:28</t>
  </si>
  <si>
    <t>299354283</t>
  </si>
  <si>
    <t>2024-08-13 02:25:54</t>
  </si>
  <si>
    <t>4684619534</t>
  </si>
  <si>
    <t>2024-08-13 03:35:58</t>
  </si>
  <si>
    <t>4400010082</t>
  </si>
  <si>
    <t>2024-08-13 04:38:31</t>
  </si>
  <si>
    <t>299641290</t>
  </si>
  <si>
    <t>2024-08-13 14:13:44</t>
  </si>
  <si>
    <t>4579227035</t>
  </si>
  <si>
    <t>2024-08-13 14:37:18</t>
  </si>
  <si>
    <t>4395982679</t>
  </si>
  <si>
    <t>2024-08-13 15:49:06</t>
  </si>
  <si>
    <t>Leave in 103 and 104 due to mobility issues-JF</t>
  </si>
  <si>
    <t>2024-08-13 19:32:32</t>
  </si>
  <si>
    <t>4423327876</t>
  </si>
  <si>
    <t>2024-08-13 19:40:35</t>
  </si>
  <si>
    <t>4382540608</t>
  </si>
  <si>
    <t>2024-08-13 22:16:42</t>
  </si>
  <si>
    <t>2024-08-13 22:49:34</t>
  </si>
  <si>
    <t>2024-08-13 23:50:15</t>
  </si>
  <si>
    <t>300015298</t>
  </si>
  <si>
    <t>2024-08-14 00:38:18</t>
  </si>
  <si>
    <t>2024-08-14 02:17:21</t>
  </si>
  <si>
    <t>300457392</t>
  </si>
  <si>
    <t>2024-08-14 16:34:14</t>
  </si>
  <si>
    <t>300465051</t>
  </si>
  <si>
    <t>2024-08-14 16:46:20</t>
  </si>
  <si>
    <t>4596830391</t>
  </si>
  <si>
    <t>2024-08-14 17:12:19</t>
  </si>
  <si>
    <t>300531466</t>
  </si>
  <si>
    <t>2024-08-14 18:35:53</t>
  </si>
  <si>
    <t>106 (STQ), 201 (DQ)</t>
  </si>
  <si>
    <t>2024-08-14 19:09:09</t>
  </si>
  <si>
    <t>300563575</t>
  </si>
  <si>
    <t>2024-08-14 19:28:41</t>
  </si>
  <si>
    <t>4627878773</t>
  </si>
  <si>
    <t>2024-08-14 22:39:24</t>
  </si>
  <si>
    <t>300692515</t>
  </si>
  <si>
    <t>2024-08-14 23:16:07</t>
  </si>
  <si>
    <t>2024-08-15 02:44:56</t>
  </si>
  <si>
    <t>2024-08-15 13:13:24</t>
  </si>
  <si>
    <t>1 of2 rooms for Donica due to not having any double queens available for duration of stay and 102 being OOO. full amount for double queen is on folio in room 114-JF</t>
  </si>
  <si>
    <t>301341711</t>
  </si>
  <si>
    <t>2024-08-15 21:37:42</t>
  </si>
  <si>
    <t>2024-08-15 22:13:27</t>
  </si>
  <si>
    <t>4824227969</t>
  </si>
  <si>
    <t>2024-08-15 23:19:01</t>
  </si>
  <si>
    <t>2024-08-15 23:30:03</t>
  </si>
  <si>
    <t>2024-08-16 01:06:23</t>
  </si>
  <si>
    <t>2024-08-16 01:43:01</t>
  </si>
  <si>
    <t>301467304</t>
  </si>
  <si>
    <t>2024-08-16 02:02:13</t>
  </si>
  <si>
    <t>2024-08-16 02:25:34</t>
  </si>
  <si>
    <t>301822321</t>
  </si>
  <si>
    <t>2024-08-16 15:43:48</t>
  </si>
  <si>
    <t>4383701633</t>
  </si>
  <si>
    <t>2024-08-16 16:57:43</t>
  </si>
  <si>
    <t>301871240</t>
  </si>
  <si>
    <t>2024-08-16 17:02:16</t>
  </si>
  <si>
    <t>4566963283</t>
  </si>
  <si>
    <t>2024-08-16 18:38:15</t>
  </si>
  <si>
    <t>4627592020</t>
  </si>
  <si>
    <t>2024-08-16 19:09:13</t>
  </si>
  <si>
    <t>2024-08-16 19:58:54</t>
  </si>
  <si>
    <t>2024-08-16 20:54:18</t>
  </si>
  <si>
    <t>302042331</t>
  </si>
  <si>
    <t>2024-08-16 21:54:13</t>
  </si>
  <si>
    <t>302083573</t>
  </si>
  <si>
    <t>2024-08-16 23:13:31</t>
  </si>
  <si>
    <t>4413153594</t>
  </si>
  <si>
    <t>2024-08-16 23:47:10</t>
  </si>
  <si>
    <t>4333665142</t>
  </si>
  <si>
    <t>2024-08-17 00:12:07</t>
  </si>
  <si>
    <t>4656727535</t>
  </si>
  <si>
    <t>2024-08-17 00:35:09</t>
  </si>
  <si>
    <t>4364949120</t>
  </si>
  <si>
    <t>2024-08-17 02:42:40</t>
  </si>
  <si>
    <t>302190870</t>
  </si>
  <si>
    <t>2024-08-17 02:55:43</t>
  </si>
  <si>
    <t>302432936</t>
  </si>
  <si>
    <t>2024-08-17 15:51:29</t>
  </si>
  <si>
    <t>4383707253</t>
  </si>
  <si>
    <t>2024-08-17 17:16:31</t>
  </si>
  <si>
    <t>302505838</t>
  </si>
  <si>
    <t>2024-08-17 18:20:25</t>
  </si>
  <si>
    <t>2024-08-17 19:52:20</t>
  </si>
  <si>
    <t>2024-08-17 23:23:34</t>
  </si>
  <si>
    <t>302654470</t>
  </si>
  <si>
    <t>2024-08-17 23:42:00</t>
  </si>
  <si>
    <t>302659098</t>
  </si>
  <si>
    <t>2024-08-17 23:52:58</t>
  </si>
  <si>
    <t>2024-08-18 01:08:36</t>
  </si>
  <si>
    <t>302899499</t>
  </si>
  <si>
    <t>2024-08-18 13:21:08</t>
  </si>
  <si>
    <t>302944177</t>
  </si>
  <si>
    <t>2024-08-18 15:05:35</t>
  </si>
  <si>
    <t>302951448</t>
  </si>
  <si>
    <t>2024-08-18 15:20:46</t>
  </si>
  <si>
    <t>2024-08-18 15:25:51</t>
  </si>
  <si>
    <t>302967209</t>
  </si>
  <si>
    <t>2024-08-18 15:52:44</t>
  </si>
  <si>
    <t>2024-08-18 16:47:34</t>
  </si>
  <si>
    <t>4360031263</t>
  </si>
  <si>
    <t>2024-08-18 18:42:42</t>
  </si>
  <si>
    <t>2024-08-18 19:05:15</t>
  </si>
  <si>
    <t>2024-08-18 19:10:28</t>
  </si>
  <si>
    <t>4977694066</t>
  </si>
  <si>
    <t>2024-08-18 19:52:14</t>
  </si>
  <si>
    <t>303097175</t>
  </si>
  <si>
    <t>2024-08-18 20:03:54</t>
  </si>
  <si>
    <t>4401748385</t>
  </si>
  <si>
    <t>2024-08-18 21:27:40</t>
  </si>
  <si>
    <t>4521546041</t>
  </si>
  <si>
    <t>2024-08-18 21:37:46</t>
  </si>
  <si>
    <t>2024-08-18 21:41:42</t>
  </si>
  <si>
    <t>303150334</t>
  </si>
  <si>
    <t>2024-08-18 21:45:33</t>
  </si>
  <si>
    <t>4338789121</t>
  </si>
  <si>
    <t>2024-08-18 21:52:13</t>
  </si>
  <si>
    <t>No Show-JF</t>
  </si>
  <si>
    <t>4981447781</t>
  </si>
  <si>
    <t>2024-08-18 22:30:38</t>
  </si>
  <si>
    <t>2024-08-18 22:34:07</t>
  </si>
  <si>
    <t>2024-08-18 23:41:08</t>
  </si>
  <si>
    <t>303227559</t>
  </si>
  <si>
    <t>2024-08-19 00:18:36</t>
  </si>
  <si>
    <t>303255607</t>
  </si>
  <si>
    <t>2024-08-19 01:11:13</t>
  </si>
  <si>
    <t>303305295</t>
  </si>
  <si>
    <t>2024-08-19 02:44:22</t>
  </si>
  <si>
    <t>303337428</t>
  </si>
  <si>
    <t>2024-08-19 03:54:17</t>
  </si>
  <si>
    <t>303515347</t>
  </si>
  <si>
    <t>2024-08-19 12:10:13</t>
  </si>
  <si>
    <t>2024-08-19 14:22:03</t>
  </si>
  <si>
    <t>303672853</t>
  </si>
  <si>
    <t>2024-08-19 16:23:51</t>
  </si>
  <si>
    <t>4675150727</t>
  </si>
  <si>
    <t>2024-08-19 17:20:46</t>
  </si>
  <si>
    <t>303720001</t>
  </si>
  <si>
    <t>2024-08-19 17:35:42</t>
  </si>
  <si>
    <t>2024-08-19 18:17:02</t>
  </si>
  <si>
    <t>4331147720</t>
  </si>
  <si>
    <t>2024-08-19 18:39:18</t>
  </si>
  <si>
    <t>4588552353</t>
  </si>
  <si>
    <t>2024-08-19 19:08:50</t>
  </si>
  <si>
    <t>303808789</t>
  </si>
  <si>
    <t>2024-08-19 19:51:04</t>
  </si>
  <si>
    <t>303870725</t>
  </si>
  <si>
    <t>2024-08-19 21:26:08</t>
  </si>
  <si>
    <t>303872212</t>
  </si>
  <si>
    <t>2024-08-19 21:28:37</t>
  </si>
  <si>
    <t>303889608</t>
  </si>
  <si>
    <t>2024-08-19 21:57:56</t>
  </si>
  <si>
    <t>303926602</t>
  </si>
  <si>
    <t>2024-08-19 23:05:34</t>
  </si>
  <si>
    <t>4410563493</t>
  </si>
  <si>
    <t>2024-08-20 00:19:39</t>
  </si>
  <si>
    <t>303967093</t>
  </si>
  <si>
    <t>2024-08-20 00:20:11</t>
  </si>
  <si>
    <t>2024-08-20 00:53:22</t>
  </si>
  <si>
    <t>304043836</t>
  </si>
  <si>
    <t>2024-08-20 02:36:11</t>
  </si>
  <si>
    <t>4493978297</t>
  </si>
  <si>
    <t>2024-08-20 03:09:07</t>
  </si>
  <si>
    <t>304211060</t>
  </si>
  <si>
    <t>2024-08-20 10:04:44</t>
  </si>
  <si>
    <t>4331140274</t>
  </si>
  <si>
    <t>2024-08-20 14:21:05</t>
  </si>
  <si>
    <t>2024-08-20 15:31:46</t>
  </si>
  <si>
    <t>304383070</t>
  </si>
  <si>
    <t>2024-08-20 15:41:50</t>
  </si>
  <si>
    <t>Family emergency, Charged for the first night released remaining days-JF</t>
  </si>
  <si>
    <t>304447172</t>
  </si>
  <si>
    <t>2024-08-20 17:25:32</t>
  </si>
  <si>
    <t>304554383</t>
  </si>
  <si>
    <t>2024-08-20 20:21:13</t>
  </si>
  <si>
    <t>304589028</t>
  </si>
  <si>
    <t>2024-08-20 21:19:00</t>
  </si>
  <si>
    <t>304604625</t>
  </si>
  <si>
    <t>2024-08-20 21:46:51</t>
  </si>
  <si>
    <t>304620157</t>
  </si>
  <si>
    <t>2024-08-20 22:16:05</t>
  </si>
  <si>
    <t>4435104858</t>
  </si>
  <si>
    <t>2024-08-20 22:26:14</t>
  </si>
  <si>
    <t>304626768</t>
  </si>
  <si>
    <t>2024-08-20 22:29:09</t>
  </si>
  <si>
    <t>2024-08-20 23:15:05</t>
  </si>
  <si>
    <t>4509559895</t>
  </si>
  <si>
    <t>2024-08-21 00:57:14</t>
  </si>
  <si>
    <t>2024-08-21 02:09:12</t>
  </si>
  <si>
    <t>304829556</t>
  </si>
  <si>
    <t>2024-08-21 05:20:54</t>
  </si>
  <si>
    <t>Guest requested late check out ON 9/12/24 Room 105
11-11:30am
I stated 11 is ok to ask a house keeper or Jordan if 11:30 is ok
ZAC</t>
  </si>
  <si>
    <t>304940179</t>
  </si>
  <si>
    <t>2024-08-21 10:30:44</t>
  </si>
  <si>
    <t>4519190256</t>
  </si>
  <si>
    <t>2024-08-21 14:19:50</t>
  </si>
  <si>
    <t>2024-08-21 14:28:54</t>
  </si>
  <si>
    <t>2024-08-21 15:03:14</t>
  </si>
  <si>
    <t>2025-06-04</t>
  </si>
  <si>
    <t>2025-06-06</t>
  </si>
  <si>
    <t>4735606458</t>
  </si>
  <si>
    <t>2024-08-21 15:38:00</t>
  </si>
  <si>
    <t>Guest had trouble with the shower. I had it working, but it took a long time to get hot. Then I turned it off and wasn't getting very good water pressure. Guest also showed me the latch on the door it doesn't have screws and is quite loose. I did call Seth and went back to the room. The guest pulled hard on the shower faucet and it appeared to work., Refunded guests credit card since we received a virtual credit card from Booking.com</t>
  </si>
  <si>
    <t>305131552</t>
  </si>
  <si>
    <t>2024-08-21 16:28:19</t>
  </si>
  <si>
    <t>Late arrival explained every and how to key/ regcard
HE US GOING TO STAY TOMORROW NIGHT ALSO  SO DON'T NEED TO CLEAN
ZAC, Added 1 Night to reservation-JF</t>
  </si>
  <si>
    <t>2024-08-21 17:24:27</t>
  </si>
  <si>
    <t>305173090</t>
  </si>
  <si>
    <t>2024-08-21 17:37:46</t>
  </si>
  <si>
    <t>2024-08-21 17:58:46</t>
  </si>
  <si>
    <t>305225990</t>
  </si>
  <si>
    <t>2024-08-21 19:07:49</t>
  </si>
  <si>
    <t>2024-08-21 19:11:14</t>
  </si>
  <si>
    <t>305228738</t>
  </si>
  <si>
    <t>2024-08-21 19:12:30</t>
  </si>
  <si>
    <t>305283662</t>
  </si>
  <si>
    <t>2024-08-21 20:45:19</t>
  </si>
  <si>
    <t>4735985491</t>
  </si>
  <si>
    <t>2024-08-21 22:33:45</t>
  </si>
  <si>
    <t>305361822</t>
  </si>
  <si>
    <t>2024-08-21 23:14:24</t>
  </si>
  <si>
    <t>305374447</t>
  </si>
  <si>
    <t>2024-08-21 23:39:21</t>
  </si>
  <si>
    <t>4435183191</t>
  </si>
  <si>
    <t>2024-08-22 00:33:16</t>
  </si>
  <si>
    <t>2024-08-22 00:49:41</t>
  </si>
  <si>
    <t>2024-08-22 00:53:43</t>
  </si>
  <si>
    <t>4703603672</t>
  </si>
  <si>
    <t>2024-08-22 01:17:15</t>
  </si>
  <si>
    <t>Same reservation as Allessandro in room 111 for 8/25.  This guest booked a separate reservation to extend another night, and they have left their luggage in Room 111.</t>
  </si>
  <si>
    <t>2024-08-22 13:12:01</t>
  </si>
  <si>
    <t>305879672</t>
  </si>
  <si>
    <t>2024-08-22 17:42:07</t>
  </si>
  <si>
    <t>4877995961</t>
  </si>
  <si>
    <t>2024-08-22 18:38:40</t>
  </si>
  <si>
    <t>305978106</t>
  </si>
  <si>
    <t>2024-08-22 20:33:30</t>
  </si>
  <si>
    <t>4487379948</t>
  </si>
  <si>
    <t>2024-08-22 21:26:50</t>
  </si>
  <si>
    <t>306027250</t>
  </si>
  <si>
    <t>2024-08-22 22:03:42</t>
  </si>
  <si>
    <t>guest tried to cxl day of arrival 7pm</t>
  </si>
  <si>
    <t>306057598</t>
  </si>
  <si>
    <t>2024-08-22 23:03:57</t>
  </si>
  <si>
    <t>4630203286</t>
  </si>
  <si>
    <t>2024-08-22 23:51:54</t>
  </si>
  <si>
    <t>4717845961</t>
  </si>
  <si>
    <t>2024-08-23 01:06:13</t>
  </si>
  <si>
    <t>306144789</t>
  </si>
  <si>
    <t>2024-08-23 01:52:39</t>
  </si>
  <si>
    <t>306148595</t>
  </si>
  <si>
    <t>2024-08-23 01:59:39</t>
  </si>
  <si>
    <t>2024-08-23 02:41:12</t>
  </si>
  <si>
    <t>4644782149</t>
  </si>
  <si>
    <t>2024-08-23 02:53:43</t>
  </si>
  <si>
    <t>2024-08-23 03:44:28</t>
  </si>
  <si>
    <t>306203177</t>
  </si>
  <si>
    <t>2024-08-23 03:51:53</t>
  </si>
  <si>
    <t>306373762</t>
  </si>
  <si>
    <t>2024-08-23 11:58:53</t>
  </si>
  <si>
    <t>2024-08-23 13:40:42</t>
  </si>
  <si>
    <t>4434676666</t>
  </si>
  <si>
    <t>2024-08-23 15:41:26</t>
  </si>
  <si>
    <t>306511285</t>
  </si>
  <si>
    <t>2024-08-23 16:04:07</t>
  </si>
  <si>
    <t>306527697</t>
  </si>
  <si>
    <t>2024-08-23 16:31:18</t>
  </si>
  <si>
    <t>4665399267</t>
  </si>
  <si>
    <t>2024-08-23 18:30:23</t>
  </si>
  <si>
    <t>306600747</t>
  </si>
  <si>
    <t>2024-08-23 18:38:02</t>
  </si>
  <si>
    <t>2024-08-24 00:28:45</t>
  </si>
  <si>
    <t>Guest stated should be Tax Exempt? Wants a receipt emailed once corrected on folio, Tax exemption number- 98-02381-0000</t>
  </si>
  <si>
    <t>4422653783</t>
  </si>
  <si>
    <t>2024-08-24 00:34:39</t>
  </si>
  <si>
    <t>2024-08-24 05:38:59</t>
  </si>
  <si>
    <t>Discounted Rate for Military/AARP</t>
  </si>
  <si>
    <t>2024-08-24 16:41:29</t>
  </si>
  <si>
    <t>307207963</t>
  </si>
  <si>
    <t>2024-08-24 20:16:44</t>
  </si>
  <si>
    <t>307218977</t>
  </si>
  <si>
    <t>2024-08-24 20:40:59</t>
  </si>
  <si>
    <t>4768350509</t>
  </si>
  <si>
    <t>2024-08-25 06:31:30</t>
  </si>
  <si>
    <t>Same reservation as Katia in room 111. This guest booked a separate reservation to extend another night, they have left their luggage in Room 111.</t>
  </si>
  <si>
    <t>2024-08-25 13:40:55</t>
  </si>
  <si>
    <t>307602939</t>
  </si>
  <si>
    <t>2024-08-25 15:55:08</t>
  </si>
  <si>
    <t>4856951308</t>
  </si>
  <si>
    <t>2024-08-25 17:43:22</t>
  </si>
  <si>
    <t>4589815935</t>
  </si>
  <si>
    <t>2024-08-25 18:17:04</t>
  </si>
  <si>
    <t>4406433602</t>
  </si>
  <si>
    <t>2024-08-25 19:28:08</t>
  </si>
  <si>
    <t>2024-08-25 19:33:40</t>
  </si>
  <si>
    <t>4652871626</t>
  </si>
  <si>
    <t>2024-08-25 19:52:11</t>
  </si>
  <si>
    <t>4810818022</t>
  </si>
  <si>
    <t>2024-08-25 19:52:46</t>
  </si>
  <si>
    <t>2024-08-25 20:06:14</t>
  </si>
  <si>
    <t>2024-08-25 21:44:37</t>
  </si>
  <si>
    <t>307778621</t>
  </si>
  <si>
    <t>2024-08-25 21:54:47</t>
  </si>
  <si>
    <t>2024-08-25 22:31:11</t>
  </si>
  <si>
    <t>307832660</t>
  </si>
  <si>
    <t>2024-08-25 23:51:53</t>
  </si>
  <si>
    <t>307850199</t>
  </si>
  <si>
    <t>2024-08-26 00:28:33</t>
  </si>
  <si>
    <t>307890349</t>
  </si>
  <si>
    <t>2024-08-26 01:47:01</t>
  </si>
  <si>
    <t>2024-08-26 02:27:40</t>
  </si>
  <si>
    <t>4497129033</t>
  </si>
  <si>
    <t>2024-08-26 04:06:41</t>
  </si>
  <si>
    <t>4379742322</t>
  </si>
  <si>
    <t>2024-08-26 04:31:39</t>
  </si>
  <si>
    <t>4771036057</t>
  </si>
  <si>
    <t>2024-08-26 13:33:25</t>
  </si>
  <si>
    <t>2024-08-26 14:40:54</t>
  </si>
  <si>
    <t>308244918</t>
  </si>
  <si>
    <t>2024-08-26 15:41:02</t>
  </si>
  <si>
    <t>Leave in  108</t>
  </si>
  <si>
    <t>308349977</t>
  </si>
  <si>
    <t>2024-08-26 18:26:47</t>
  </si>
  <si>
    <t>308349978</t>
  </si>
  <si>
    <t>2024-08-26 18:26:48</t>
  </si>
  <si>
    <t>308349979</t>
  </si>
  <si>
    <t>2024-08-26 18:26:50</t>
  </si>
  <si>
    <t>308356360</t>
  </si>
  <si>
    <t>2024-08-26 18:36:35</t>
  </si>
  <si>
    <t>308356363</t>
  </si>
  <si>
    <t>2024-08-26 18:36:37</t>
  </si>
  <si>
    <t>Upgraded to Nk1 to make room for return guest who might need 2 nights-JF</t>
  </si>
  <si>
    <t>308356362</t>
  </si>
  <si>
    <t>2024-08-26 18:36:39</t>
  </si>
  <si>
    <t>308395150</t>
  </si>
  <si>
    <t>2024-08-26 19:38:30</t>
  </si>
  <si>
    <t>308449802</t>
  </si>
  <si>
    <t>2024-08-26 21:07:42</t>
  </si>
  <si>
    <t>308468508</t>
  </si>
  <si>
    <t>2024-08-26 21:40:03</t>
  </si>
  <si>
    <t>4817374056</t>
  </si>
  <si>
    <t>2024-08-26 21:57:16</t>
  </si>
  <si>
    <t>110 (STQ), 106 (STQ)</t>
  </si>
  <si>
    <t>4335394818</t>
  </si>
  <si>
    <t>2024-08-26 23:06:26</t>
  </si>
  <si>
    <t>2024-08-27 02:05:16</t>
  </si>
  <si>
    <t>4488280595</t>
  </si>
  <si>
    <t>2024-08-27 11:10:47</t>
  </si>
  <si>
    <t>4705020715</t>
  </si>
  <si>
    <t>2024-08-27 13:38:18</t>
  </si>
  <si>
    <t>308980544</t>
  </si>
  <si>
    <t>2024-08-27 15:41:22</t>
  </si>
  <si>
    <t>308994026</t>
  </si>
  <si>
    <t>2024-08-27 16:02:06</t>
  </si>
  <si>
    <t>309109351</t>
  </si>
  <si>
    <t>2024-08-27 19:11:50</t>
  </si>
  <si>
    <t>4983927882</t>
  </si>
  <si>
    <t>2024-08-27 20:03:16</t>
  </si>
  <si>
    <t>4504567366</t>
  </si>
  <si>
    <t>2024-08-27 21:30:19</t>
  </si>
  <si>
    <t>2024-08-27 22:06:07</t>
  </si>
  <si>
    <t>309216313</t>
  </si>
  <si>
    <t>2024-08-27 22:17:27</t>
  </si>
  <si>
    <t>2024-08-27 22:39:14</t>
  </si>
  <si>
    <t>2024-08-27 22:44:21</t>
  </si>
  <si>
    <t>4996106798</t>
  </si>
  <si>
    <t>2024-08-28 00:11:24</t>
  </si>
  <si>
    <t>4316766261</t>
  </si>
  <si>
    <t>2024-08-28 00:23:27</t>
  </si>
  <si>
    <t>309288957</t>
  </si>
  <si>
    <t>2024-08-28 00:38:13</t>
  </si>
  <si>
    <t>4753663186</t>
  </si>
  <si>
    <t>2024-08-28 00:56:10</t>
  </si>
  <si>
    <t>2024-08-28 02:36:43</t>
  </si>
  <si>
    <t>309370241</t>
  </si>
  <si>
    <t>2024-08-28 03:06:24</t>
  </si>
  <si>
    <t>309386467</t>
  </si>
  <si>
    <t>2024-08-28 03:41:47</t>
  </si>
  <si>
    <t>Paid Cash, Josh forgot about no cash payments wont happen again-JF</t>
  </si>
  <si>
    <t>309386469</t>
  </si>
  <si>
    <t>2024-08-28 03:41:48</t>
  </si>
  <si>
    <t>309386470</t>
  </si>
  <si>
    <t>2024-08-28 03:41:50</t>
  </si>
  <si>
    <t>102 (DQ), 105 (DQ), 109 (SMQ)</t>
  </si>
  <si>
    <t>Double Queen, Small Queen</t>
  </si>
  <si>
    <t>Non-Refundable Rate, Base Rate</t>
  </si>
  <si>
    <t>2024-08-28 14:22:46</t>
  </si>
  <si>
    <t>309676105</t>
  </si>
  <si>
    <t>2024-08-28 15:22:35</t>
  </si>
  <si>
    <t>4822715727</t>
  </si>
  <si>
    <t>2024-08-28 15:33:58</t>
  </si>
  <si>
    <t>4983987194</t>
  </si>
  <si>
    <t>2024-08-28 16:57:38</t>
  </si>
  <si>
    <t>2025-02-04</t>
  </si>
  <si>
    <t>2025-02-05</t>
  </si>
  <si>
    <t>4542073673</t>
  </si>
  <si>
    <t>2024-08-28 17:07:56</t>
  </si>
  <si>
    <t>309757400</t>
  </si>
  <si>
    <t>2024-08-28 17:33:09</t>
  </si>
  <si>
    <t>4542053475</t>
  </si>
  <si>
    <t>2024-08-28 18:52:32</t>
  </si>
  <si>
    <t>4695165123</t>
  </si>
  <si>
    <t>2024-08-28 19:17:42</t>
  </si>
  <si>
    <t>309838949</t>
  </si>
  <si>
    <t>2024-08-28 19:50:58</t>
  </si>
  <si>
    <t>309838950</t>
  </si>
  <si>
    <t>2024-08-28 19:51:01</t>
  </si>
  <si>
    <t>2024-08-28 21:51:19</t>
  </si>
  <si>
    <t>309952156</t>
  </si>
  <si>
    <t>2024-08-28 23:19:04</t>
  </si>
  <si>
    <t>2024-08-28 23:26:24</t>
  </si>
  <si>
    <t>309986602</t>
  </si>
  <si>
    <t>2024-08-29 00:24:30</t>
  </si>
  <si>
    <t>2024-08-29 00:26:37</t>
  </si>
  <si>
    <t>310010169</t>
  </si>
  <si>
    <t>2024-08-29 01:08:09</t>
  </si>
  <si>
    <t>310029826</t>
  </si>
  <si>
    <t>2024-08-29 01:43:14</t>
  </si>
  <si>
    <t>4704836651</t>
  </si>
  <si>
    <t>2024-08-29 02:17:25</t>
  </si>
  <si>
    <t>310060719</t>
  </si>
  <si>
    <t>2024-08-29 02:39:56</t>
  </si>
  <si>
    <t>4321412309</t>
  </si>
  <si>
    <t>2024-08-29 03:11:07</t>
  </si>
  <si>
    <t>4685845070</t>
  </si>
  <si>
    <t>2024-08-29 04:14:32</t>
  </si>
  <si>
    <t>2024-08-29 04:31:56</t>
  </si>
  <si>
    <t>4849155981</t>
  </si>
  <si>
    <t>2024-08-29 04:34:02</t>
  </si>
  <si>
    <t>4829902765</t>
  </si>
  <si>
    <t>2024-08-29 08:25:49</t>
  </si>
  <si>
    <t>4982362610</t>
  </si>
  <si>
    <t>2024-08-29 14:34:52</t>
  </si>
  <si>
    <t>2024-08-29 17:01:45</t>
  </si>
  <si>
    <t>310457563</t>
  </si>
  <si>
    <t>2024-08-29 17:14:27</t>
  </si>
  <si>
    <t>4729793691</t>
  </si>
  <si>
    <t>2024-08-29 17:55:39</t>
  </si>
  <si>
    <t>4746426941</t>
  </si>
  <si>
    <t>2024-08-29 18:33:25</t>
  </si>
  <si>
    <t>101 (DQ), 112 (STQ), 115 (STQ)</t>
  </si>
  <si>
    <t>4325931741</t>
  </si>
  <si>
    <t>2024-08-29 18:35:39</t>
  </si>
  <si>
    <t>2024-08-29 20:13:29</t>
  </si>
  <si>
    <t>310790810</t>
  </si>
  <si>
    <t>2024-08-30 03:39:41</t>
  </si>
  <si>
    <t>4842414036</t>
  </si>
  <si>
    <t>2024-08-30 17:20:16</t>
  </si>
  <si>
    <t>116 (DQ), 107 (DQ), 201 (DQ)</t>
  </si>
  <si>
    <t>4643574169</t>
  </si>
  <si>
    <t>2024-08-30 18:42:47</t>
  </si>
  <si>
    <t>311213018</t>
  </si>
  <si>
    <t>2024-08-30 18:51:52</t>
  </si>
  <si>
    <t>4401651006</t>
  </si>
  <si>
    <t>2024-08-30 19:22:15</t>
  </si>
  <si>
    <t>2024-08-31 17:37:33</t>
  </si>
  <si>
    <t>2024-08-31 20:29:09</t>
  </si>
  <si>
    <t>4419431450</t>
  </si>
  <si>
    <t>2024-09-01 03:28:39</t>
  </si>
  <si>
    <t>2024-09-01 15:49:52</t>
  </si>
  <si>
    <t>312256374</t>
  </si>
  <si>
    <t>2024-09-01 16:44:47</t>
  </si>
  <si>
    <t>Base Rate, Discounted Rate for Military/AARP</t>
  </si>
  <si>
    <t>2024-09-01 21:48:38</t>
  </si>
  <si>
    <t>2024-09-02 03:23:09</t>
  </si>
  <si>
    <t>2024-09-02 04:22:09</t>
  </si>
  <si>
    <t>4412455200</t>
  </si>
  <si>
    <t>2024-09-02 18:20:46</t>
  </si>
  <si>
    <t>2024-09-02 18:42:45</t>
  </si>
  <si>
    <t>4904148815</t>
  </si>
  <si>
    <t>2024-09-02 18:56:43</t>
  </si>
  <si>
    <t>2024-09-02 22:12:05</t>
  </si>
  <si>
    <t>104 (STK), 108 (STK)</t>
  </si>
  <si>
    <t>4359963293</t>
  </si>
  <si>
    <t>2024-09-02 22:57:01</t>
  </si>
  <si>
    <t>2024-09-02 23:51:52</t>
  </si>
  <si>
    <t>4412447142</t>
  </si>
  <si>
    <t>2024-09-03 00:29:33</t>
  </si>
  <si>
    <t>313200085</t>
  </si>
  <si>
    <t>2024-09-03 02:40:02</t>
  </si>
  <si>
    <t>2025-01-05</t>
  </si>
  <si>
    <t>2025-01-08</t>
  </si>
  <si>
    <t>4825148299</t>
  </si>
  <si>
    <t>2024-09-03 15:06:30</t>
  </si>
  <si>
    <t>2024-09-03 17:27:03</t>
  </si>
  <si>
    <t>Leave in 102-JF</t>
  </si>
  <si>
    <t>313629352</t>
  </si>
  <si>
    <t>2024-09-03 17:55:45</t>
  </si>
  <si>
    <t>313641890</t>
  </si>
  <si>
    <t>2024-09-03 18:16:06</t>
  </si>
  <si>
    <t>313682433</t>
  </si>
  <si>
    <t>2024-09-03 19:20:48</t>
  </si>
  <si>
    <t>2024-10-27</t>
  </si>
  <si>
    <t>313717080</t>
  </si>
  <si>
    <t>2024-09-03 20:15:57</t>
  </si>
  <si>
    <t>313719298</t>
  </si>
  <si>
    <t>2024-09-03 20:19:30</t>
  </si>
  <si>
    <t>313741335</t>
  </si>
  <si>
    <t>2024-09-03 20:55:20</t>
  </si>
  <si>
    <t>313741338</t>
  </si>
  <si>
    <t>2024-09-03 20:55:22</t>
  </si>
  <si>
    <t>4657729375</t>
  </si>
  <si>
    <t>2024-09-03 21:34:17</t>
  </si>
  <si>
    <t>2024-09-03 22:47:20</t>
  </si>
  <si>
    <t>2024-09-03 23:47:33</t>
  </si>
  <si>
    <t>4688564809</t>
  </si>
  <si>
    <t>2024-09-03 23:48:12</t>
  </si>
  <si>
    <t>313868836</t>
  </si>
  <si>
    <t>2024-09-04 01:00:47</t>
  </si>
  <si>
    <t>2024-09-04 01:05:52</t>
  </si>
  <si>
    <t>313878446</t>
  </si>
  <si>
    <t>2024-09-04 01:18:45</t>
  </si>
  <si>
    <t>2024-09-04 02:21:02</t>
  </si>
  <si>
    <t>4514350284</t>
  </si>
  <si>
    <t>2024-09-04 03:02:35</t>
  </si>
  <si>
    <t>4514361607</t>
  </si>
  <si>
    <t>2024-09-04 03:43:08</t>
  </si>
  <si>
    <t>314185890</t>
  </si>
  <si>
    <t>2024-09-04 13:42:13</t>
  </si>
  <si>
    <t>314221330</t>
  </si>
  <si>
    <t>2024-09-04 14:37:26</t>
  </si>
  <si>
    <t>4497531530</t>
  </si>
  <si>
    <t>2024-09-04 17:26:32</t>
  </si>
  <si>
    <t>2025-05-26</t>
  </si>
  <si>
    <t>2025-05-27</t>
  </si>
  <si>
    <t>314336933</t>
  </si>
  <si>
    <t>2024-09-04 17:41:14</t>
  </si>
  <si>
    <t>Need new Card-JF</t>
  </si>
  <si>
    <t>4716757193</t>
  </si>
  <si>
    <t>2024-09-04 19:27:06</t>
  </si>
  <si>
    <t>4529146902</t>
  </si>
  <si>
    <t>2024-09-04 19:40:10</t>
  </si>
  <si>
    <t>2024-09-04 21:05:03</t>
  </si>
  <si>
    <t>2024-09-04 22:16:47</t>
  </si>
  <si>
    <t>4329920506</t>
  </si>
  <si>
    <t>2024-09-04 23:17:21</t>
  </si>
  <si>
    <t>2024-09-05 00:06:23</t>
  </si>
  <si>
    <t>314579464</t>
  </si>
  <si>
    <t>2024-09-05 01:15:04</t>
  </si>
  <si>
    <t>4655022949</t>
  </si>
  <si>
    <t>2024-09-05 02:46:49</t>
  </si>
  <si>
    <t>4486175215</t>
  </si>
  <si>
    <t>2024-09-05 15:18:31</t>
  </si>
  <si>
    <t>Never came to check-in, Josh called at 8:59PM to check in with the guest, went to VM and he left a message with late arrival instructions. Guest never picked up Late arrival envelope, guests never went into the room (per cameras), guests didn't call to voice any concerns or issues with getting into the room. 1 star review saying otherwise, and a complaint on Booking.com asking for a refund claiming the contrary.
"We went to the hotel but it was run down and not clean or ready for us. We did not feel safe there and did not check in &amp; ended up going to a different hotel , No Show-JF</t>
  </si>
  <si>
    <t>315039974</t>
  </si>
  <si>
    <t>2024-09-05 17:40:52</t>
  </si>
  <si>
    <t>2024-09-05 22:45:03</t>
  </si>
  <si>
    <t>2024-09-05 22:48:12</t>
  </si>
  <si>
    <t>2024-09-05 23:02:55</t>
  </si>
  <si>
    <t>2024-09-05 23:51:48</t>
  </si>
  <si>
    <t>4868426239</t>
  </si>
  <si>
    <t>2024-09-06 00:10:29</t>
  </si>
  <si>
    <t>4483429285</t>
  </si>
  <si>
    <t>2024-09-06 00:24:05</t>
  </si>
  <si>
    <t>4575197777</t>
  </si>
  <si>
    <t>2024-09-06 01:03:07</t>
  </si>
  <si>
    <t>4500468893</t>
  </si>
  <si>
    <t>2024-09-06 01:49:03</t>
  </si>
  <si>
    <t>4521021349</t>
  </si>
  <si>
    <t>2024-09-06 02:44:44</t>
  </si>
  <si>
    <t>4575170601</t>
  </si>
  <si>
    <t>2024-09-06 02:50:12</t>
  </si>
  <si>
    <t>315339874</t>
  </si>
  <si>
    <t>2024-09-06 03:12:04</t>
  </si>
  <si>
    <t>4848484763</t>
  </si>
  <si>
    <t>2024-09-06 03:37:44</t>
  </si>
  <si>
    <t>4849856030</t>
  </si>
  <si>
    <t>2024-09-06 16:23:39</t>
  </si>
  <si>
    <t>315731407</t>
  </si>
  <si>
    <t>2024-09-06 17:51:18</t>
  </si>
  <si>
    <t>315759546</t>
  </si>
  <si>
    <t>2024-09-06 18:30:50</t>
  </si>
  <si>
    <t>315759549</t>
  </si>
  <si>
    <t>2024-09-06 18:30:53</t>
  </si>
  <si>
    <t>4512113278</t>
  </si>
  <si>
    <t>2024-09-06 18:35:46</t>
  </si>
  <si>
    <t>4793626364</t>
  </si>
  <si>
    <t>2024-09-06 18:47:16</t>
  </si>
  <si>
    <t>2024-09-06 20:13:16</t>
  </si>
  <si>
    <t>4760030649</t>
  </si>
  <si>
    <t>2024-09-06 20:34:17</t>
  </si>
  <si>
    <t>4594623785</t>
  </si>
  <si>
    <t>2024-09-06 21:58:13</t>
  </si>
  <si>
    <t>4469740979</t>
  </si>
  <si>
    <t>2024-09-07 00:13:11</t>
  </si>
  <si>
    <t>2024-09-07 00:58:24</t>
  </si>
  <si>
    <t>Charge for room stay on 09/09/2024 ROOm 119. includes Taxes	- 5G137DSR9</t>
  </si>
  <si>
    <t>315994851</t>
  </si>
  <si>
    <t>2024-09-07 02:23:40</t>
  </si>
  <si>
    <t>315994849</t>
  </si>
  <si>
    <t>2024-09-07 02:23:42</t>
  </si>
  <si>
    <t>2024-09-07 04:24:39</t>
  </si>
  <si>
    <t>316216848</t>
  </si>
  <si>
    <t>2024-09-07 15:09:01</t>
  </si>
  <si>
    <t>4962571210</t>
  </si>
  <si>
    <t>2024-09-07 18:48:07</t>
  </si>
  <si>
    <t>2024-12-12</t>
  </si>
  <si>
    <t>2024-12-14</t>
  </si>
  <si>
    <t>4469790080</t>
  </si>
  <si>
    <t>2024-09-07 21:21:30</t>
  </si>
  <si>
    <t>316544429</t>
  </si>
  <si>
    <t>2024-09-08 04:37:54</t>
  </si>
  <si>
    <t>2024-09-08 18:14:46</t>
  </si>
  <si>
    <t>couldn't find the refundable rate when making reservation told guest he can cancel up to 48 hrs before check in date 
ZAC</t>
  </si>
  <si>
    <t>2024-09-08 20:06:51</t>
  </si>
  <si>
    <t>4916380663</t>
  </si>
  <si>
    <t>2024-09-08 20:33:50</t>
  </si>
  <si>
    <t>2024-09-08 20:58:40</t>
  </si>
  <si>
    <t>2024-09-08 22:57:04</t>
  </si>
  <si>
    <t>316948896</t>
  </si>
  <si>
    <t>2024-09-08 23:13:09</t>
  </si>
  <si>
    <t>2024-09-09 00:11:43</t>
  </si>
  <si>
    <t>2024-09-09 01:01:27</t>
  </si>
  <si>
    <t>4812668718</t>
  </si>
  <si>
    <t>2024-09-09 01:05:13</t>
  </si>
  <si>
    <t>2024-09-09 02:50:34</t>
  </si>
  <si>
    <t>2024-09-09 03:50:28</t>
  </si>
  <si>
    <t>317096814</t>
  </si>
  <si>
    <t>2024-09-09 04:55:39</t>
  </si>
  <si>
    <t>4812661862</t>
  </si>
  <si>
    <t>2024-09-09 13:04:33</t>
  </si>
  <si>
    <t>4913373651</t>
  </si>
  <si>
    <t>2024-09-09 17:56:27</t>
  </si>
  <si>
    <t>4701490793</t>
  </si>
  <si>
    <t>2024-09-09 18:03:29</t>
  </si>
  <si>
    <t>2024-09-09 18:59:56</t>
  </si>
  <si>
    <t>4877421654</t>
  </si>
  <si>
    <t>2024-09-09 19:47:48</t>
  </si>
  <si>
    <t>317596507</t>
  </si>
  <si>
    <t>2024-09-09 20:52:29</t>
  </si>
  <si>
    <t>317612366</t>
  </si>
  <si>
    <t>2024-09-09 21:18:43</t>
  </si>
  <si>
    <t>4886204430</t>
  </si>
  <si>
    <t>2024-09-09 21:58:25</t>
  </si>
  <si>
    <t>4547054922</t>
  </si>
  <si>
    <t>2024-09-10 04:07:30</t>
  </si>
  <si>
    <t>2024-09-10 14:22:57</t>
  </si>
  <si>
    <t>JOrdans Family from England-JF</t>
  </si>
  <si>
    <t>318110195</t>
  </si>
  <si>
    <t>2024-09-10 15:03:10</t>
  </si>
  <si>
    <t>2024-09-10 16:16:54</t>
  </si>
  <si>
    <t>318220909</t>
  </si>
  <si>
    <t>2024-09-10 17:55:47</t>
  </si>
  <si>
    <t>4525090001</t>
  </si>
  <si>
    <t>2024-09-10 19:57:06</t>
  </si>
  <si>
    <t>4731613696</t>
  </si>
  <si>
    <t>2024-09-10 21:26:05</t>
  </si>
  <si>
    <t>2024-09-10 21:53:14</t>
  </si>
  <si>
    <t>4621079758</t>
  </si>
  <si>
    <t>2024-09-11 00:10:32</t>
  </si>
  <si>
    <t>318950305</t>
  </si>
  <si>
    <t>2024-09-11 18:43:52</t>
  </si>
  <si>
    <t>2024-09-11 22:10:43</t>
  </si>
  <si>
    <t>4304181366</t>
  </si>
  <si>
    <t>2024-09-12 14:33:29</t>
  </si>
  <si>
    <t>2024-09-12 16:45:50</t>
  </si>
  <si>
    <t>2024-09-12 17:14:21</t>
  </si>
  <si>
    <t>4941849255</t>
  </si>
  <si>
    <t>2024-09-12 19:29:32</t>
  </si>
  <si>
    <t>4584224162</t>
  </si>
  <si>
    <t>2024-09-12 20:34:11</t>
  </si>
  <si>
    <t>2024-09-12 20:46:04</t>
  </si>
  <si>
    <t>4712268793</t>
  </si>
  <si>
    <t>2024-09-12 22:28:27</t>
  </si>
  <si>
    <t>4532819279</t>
  </si>
  <si>
    <t>2024-09-12 22:39:26</t>
  </si>
  <si>
    <t>2024-11-04</t>
  </si>
  <si>
    <t>2024-11-06</t>
  </si>
  <si>
    <t>4628545717</t>
  </si>
  <si>
    <t>2024-09-13 02:05:26</t>
  </si>
  <si>
    <t>4432813202</t>
  </si>
  <si>
    <t>2024-09-13 02:14:52</t>
  </si>
  <si>
    <t>2024-09-13 17:38:48</t>
  </si>
  <si>
    <t>2024-09-13 22:45:21</t>
  </si>
  <si>
    <t>119 (STQ), 117 (STQ)</t>
  </si>
  <si>
    <t>2024-09-14 00:37:45</t>
  </si>
  <si>
    <t>320840740</t>
  </si>
  <si>
    <t>2024-09-14 15:34:38</t>
  </si>
  <si>
    <t>2024-09-14 17:47:06</t>
  </si>
  <si>
    <t>4800112752</t>
  </si>
  <si>
    <t>2024-09-14 18:55:19</t>
  </si>
  <si>
    <t>2024-09-14 23:46:15</t>
  </si>
  <si>
    <t>2024-09-15 02:28:45</t>
  </si>
  <si>
    <t>2024-09-15 04:39:56</t>
  </si>
  <si>
    <t>2024-09-15 15:50:37</t>
  </si>
  <si>
    <t>2024-09-15 16:31:23</t>
  </si>
  <si>
    <t>2024-09-15 17:01:48</t>
  </si>
  <si>
    <t>4498107616</t>
  </si>
  <si>
    <t>2024-09-15 19:24:57</t>
  </si>
  <si>
    <t>2024-09-15 20:45:07</t>
  </si>
  <si>
    <t>321585526</t>
  </si>
  <si>
    <t>2024-09-16 00:06:20</t>
  </si>
  <si>
    <t>2024-09-16 02:09:08</t>
  </si>
  <si>
    <t>2024-09-16 02:54:55</t>
  </si>
  <si>
    <t>321672062</t>
  </si>
  <si>
    <t>2024-09-16 03:19:03</t>
  </si>
  <si>
    <t>4498147813</t>
  </si>
  <si>
    <t>2024-09-16 22:06:05</t>
  </si>
  <si>
    <t>4978045967</t>
  </si>
  <si>
    <t>2024-09-16 22:40:33</t>
  </si>
  <si>
    <t>2024-09-16 23:12:20</t>
  </si>
  <si>
    <t>2024-09-17 01:19:00</t>
  </si>
  <si>
    <t>2024-09-17 02:50:39</t>
  </si>
  <si>
    <t>2024-09-17 03:21:19</t>
  </si>
  <si>
    <t>322407598</t>
  </si>
  <si>
    <t>2024-09-17 03:40:57</t>
  </si>
  <si>
    <t>4678510615</t>
  </si>
  <si>
    <t>2024-09-17 04:34:25</t>
  </si>
  <si>
    <t>2024-09-17 17:20:17</t>
  </si>
  <si>
    <t>4627675528</t>
  </si>
  <si>
    <t>2024-09-17 18:01:21</t>
  </si>
  <si>
    <t>322867364</t>
  </si>
  <si>
    <t>2024-09-17 19:44:54</t>
  </si>
  <si>
    <t>2024-09-17 20:15:54</t>
  </si>
  <si>
    <t>2024-11-22</t>
  </si>
  <si>
    <t>2024-11-23</t>
  </si>
  <si>
    <t>322974890</t>
  </si>
  <si>
    <t>2024-09-17 23:02:37</t>
  </si>
  <si>
    <t>2024-09-18 00:48:41</t>
  </si>
  <si>
    <t>2024-09-18 01:11:50</t>
  </si>
  <si>
    <t>323158397</t>
  </si>
  <si>
    <t>2024-09-18 05:52:45</t>
  </si>
  <si>
    <t>2024-09-18 14:02:08</t>
  </si>
  <si>
    <t>2024-09-18 14:05:26</t>
  </si>
  <si>
    <t>2024-09-18 15:56:12</t>
  </si>
  <si>
    <t>at check in mentioned the got bed bugs at a super 8 they stayed at the night before</t>
  </si>
  <si>
    <t>201 (DQ), 202 (DQ)</t>
  </si>
  <si>
    <t>4301300822</t>
  </si>
  <si>
    <t>2024-09-18 18:06:40</t>
  </si>
  <si>
    <t>2024-11-18</t>
  </si>
  <si>
    <t>2024-09-18 18:42:33</t>
  </si>
  <si>
    <t>Late arrival spoke with guest @ 910 pm explained how to get key and check in info
ZAC</t>
  </si>
  <si>
    <t>2024-09-18 20:49:51</t>
  </si>
  <si>
    <t>2024-09-19 00:35:58</t>
  </si>
  <si>
    <t>323791402</t>
  </si>
  <si>
    <t>2024-09-19 02:53:33</t>
  </si>
  <si>
    <t>4839550883</t>
  </si>
  <si>
    <t>2024-09-19 14:54:41</t>
  </si>
  <si>
    <t>4522641532</t>
  </si>
  <si>
    <t>2024-09-19 15:36:59</t>
  </si>
  <si>
    <t>2024-09-19 23:09:43</t>
  </si>
  <si>
    <t>2024-09-19 23:35:07</t>
  </si>
  <si>
    <t>2024-09-19 23:41:50</t>
  </si>
  <si>
    <t>324448665</t>
  </si>
  <si>
    <t>2024-09-20 01:28:18</t>
  </si>
  <si>
    <t>2024-11-26</t>
  </si>
  <si>
    <t>2024-09-20 16:31:46</t>
  </si>
  <si>
    <t>4663829491</t>
  </si>
  <si>
    <t>2024-09-20 17:29:57</t>
  </si>
  <si>
    <t>4335702672</t>
  </si>
  <si>
    <t>2024-09-20 21:10:51</t>
  </si>
  <si>
    <t>2024-09-20 22:16:43</t>
  </si>
  <si>
    <t>2024-09-20 22:34:10</t>
  </si>
  <si>
    <t>4569211998</t>
  </si>
  <si>
    <t>2024-09-21 14:38:11</t>
  </si>
  <si>
    <t>4998548152</t>
  </si>
  <si>
    <t>2024-09-21 16:21:40</t>
  </si>
  <si>
    <t>325494730</t>
  </si>
  <si>
    <t>2024-09-21 19:01:03</t>
  </si>
  <si>
    <t>2024-09-21 23:57:57</t>
  </si>
  <si>
    <t>325700566</t>
  </si>
  <si>
    <t>2024-09-22 03:44:08</t>
  </si>
  <si>
    <t>4736793299</t>
  </si>
  <si>
    <t>2024-09-22 07:46:10</t>
  </si>
  <si>
    <t>4562334744</t>
  </si>
  <si>
    <t>2024-09-22 13:29:18</t>
  </si>
  <si>
    <t>2024-09-22 14:21:38</t>
  </si>
  <si>
    <t>325890028</t>
  </si>
  <si>
    <t>2024-09-22 15:22:20</t>
  </si>
  <si>
    <t>4579801100</t>
  </si>
  <si>
    <t>2024-09-22 16:00:50</t>
  </si>
  <si>
    <t>4386827118</t>
  </si>
  <si>
    <t>2024-09-22 16:11:47</t>
  </si>
  <si>
    <t>4819765857</t>
  </si>
  <si>
    <t>2024-09-22 16:45:42</t>
  </si>
  <si>
    <t>325946148</t>
  </si>
  <si>
    <t>2024-09-22 17:22:07</t>
  </si>
  <si>
    <t>4554574098</t>
  </si>
  <si>
    <t>2024-09-22 19:08:26</t>
  </si>
  <si>
    <t>2024-09-22 20:44:19</t>
  </si>
  <si>
    <t>326053303</t>
  </si>
  <si>
    <t>2024-09-22 21:03:45</t>
  </si>
  <si>
    <t>2024-09-22 21:11:22</t>
  </si>
  <si>
    <t>326084554</t>
  </si>
  <si>
    <t>2024-09-22 22:12:22</t>
  </si>
  <si>
    <t>326107589</t>
  </si>
  <si>
    <t>2024-09-22 23:04:49</t>
  </si>
  <si>
    <t>2024-09-22 23:28:12</t>
  </si>
  <si>
    <t>4325039514</t>
  </si>
  <si>
    <t>2024-09-23 01:00:10</t>
  </si>
  <si>
    <t>4554596729</t>
  </si>
  <si>
    <t>2024-09-23 01:22:15</t>
  </si>
  <si>
    <t>4987562336</t>
  </si>
  <si>
    <t>2024-09-23 02:48:14</t>
  </si>
  <si>
    <t>2024-09-23 04:52:30</t>
  </si>
  <si>
    <t>4937259888</t>
  </si>
  <si>
    <t>2024-09-23 15:21:41</t>
  </si>
  <si>
    <t>326590278</t>
  </si>
  <si>
    <t>2024-09-23 16:42:03</t>
  </si>
  <si>
    <t>326603515</t>
  </si>
  <si>
    <t>2024-09-23 17:02:31</t>
  </si>
  <si>
    <t>4522417656</t>
  </si>
  <si>
    <t>2024-09-23 17:03:07</t>
  </si>
  <si>
    <t>2024-09-23 18:02:40</t>
  </si>
  <si>
    <t>4742888513</t>
  </si>
  <si>
    <t>2024-09-23 20:58:09</t>
  </si>
  <si>
    <t>2024-09-23 21:01:06</t>
  </si>
  <si>
    <t>326758897</t>
  </si>
  <si>
    <t>2024-09-23 21:13:22</t>
  </si>
  <si>
    <t>2024-09-23 22:29:03</t>
  </si>
  <si>
    <t>2024-09-23 22:42:09</t>
  </si>
  <si>
    <t>4707149864</t>
  </si>
  <si>
    <t>2024-09-23 23:32:28</t>
  </si>
  <si>
    <t>2024-09-23 23:49:45</t>
  </si>
  <si>
    <t>327147085</t>
  </si>
  <si>
    <t>2024-09-24 11:59:23</t>
  </si>
  <si>
    <t>105 (DQ), 107 (DQ)</t>
  </si>
  <si>
    <t>2024-09-24 16:35:40</t>
  </si>
  <si>
    <t>327717684</t>
  </si>
  <si>
    <t>2024-09-25 05:12:12</t>
  </si>
  <si>
    <t>327717687</t>
  </si>
  <si>
    <t>2024-09-25 05:12:15</t>
  </si>
  <si>
    <t>4915032992</t>
  </si>
  <si>
    <t>2024-09-25 16:08:18</t>
  </si>
  <si>
    <t>328155754</t>
  </si>
  <si>
    <t>2024-09-25 20:05:05</t>
  </si>
  <si>
    <t>4757920631</t>
  </si>
  <si>
    <t>2024-09-25 20:20:58</t>
  </si>
  <si>
    <t>328195670</t>
  </si>
  <si>
    <t>2024-09-25 21:15:34</t>
  </si>
  <si>
    <t>328195673</t>
  </si>
  <si>
    <t>2024-09-25 21:15:37</t>
  </si>
  <si>
    <t>2024-09-25 21:17:01</t>
  </si>
  <si>
    <t>4931584998</t>
  </si>
  <si>
    <t>2024-09-25 22:15:15</t>
  </si>
  <si>
    <t>2024-11-01</t>
  </si>
  <si>
    <t>289542964</t>
  </si>
  <si>
    <t>2024-09-25 22:26:12</t>
  </si>
  <si>
    <t>328344827</t>
  </si>
  <si>
    <t>2024-09-26 02:02:05</t>
  </si>
  <si>
    <t>4915073912</t>
  </si>
  <si>
    <t>2024-09-26 03:00:10</t>
  </si>
  <si>
    <t>4687161544</t>
  </si>
  <si>
    <t>2024-09-26 14:57:45</t>
  </si>
  <si>
    <t>2024-09-26 21:06:29</t>
  </si>
  <si>
    <t>2024-09-26 22:16:02</t>
  </si>
  <si>
    <t>2024-09-26 22:18:23</t>
  </si>
  <si>
    <t>328949277</t>
  </si>
  <si>
    <t>2024-09-26 22:58:56</t>
  </si>
  <si>
    <t>109 (SMQ), 107 (DQ)</t>
  </si>
  <si>
    <t>2024-09-27 02:18:48</t>
  </si>
  <si>
    <t>4396409871</t>
  </si>
  <si>
    <t>2024-09-27 02:21:21</t>
  </si>
  <si>
    <t>329330281</t>
  </si>
  <si>
    <t>2024-09-27 14:04:33</t>
  </si>
  <si>
    <t>2024-09-27 14:16:51</t>
  </si>
  <si>
    <t>329349846</t>
  </si>
  <si>
    <t>2024-09-27 14:35:44</t>
  </si>
  <si>
    <t>4437187016</t>
  </si>
  <si>
    <t>2024-09-27 18:39:09</t>
  </si>
  <si>
    <t>2024-09-27 21:11:12</t>
  </si>
  <si>
    <t>2024-11-07</t>
  </si>
  <si>
    <t>2024-11-08</t>
  </si>
  <si>
    <t>330066307</t>
  </si>
  <si>
    <t>2024-09-28 18:46:32</t>
  </si>
  <si>
    <t>2024-09-28 21:24:51</t>
  </si>
  <si>
    <t>2024-09-29 16:51:35</t>
  </si>
  <si>
    <t>2024-09-29 17:47:07</t>
  </si>
  <si>
    <t>2024-09-29 18:10:02</t>
  </si>
  <si>
    <t>330575349</t>
  </si>
  <si>
    <t>2024-09-29 18:33:53</t>
  </si>
  <si>
    <t>330576389</t>
  </si>
  <si>
    <t>2024-09-29 18:36:03</t>
  </si>
  <si>
    <t>4644498197</t>
  </si>
  <si>
    <t>2024-09-29 20:50:17</t>
  </si>
  <si>
    <t>2024-09-29 22:40:29</t>
  </si>
  <si>
    <t>4524550414</t>
  </si>
  <si>
    <t>2024-09-30 00:27:33</t>
  </si>
  <si>
    <t>4303527025</t>
  </si>
  <si>
    <t>2024-09-30 00:45:02</t>
  </si>
  <si>
    <t>2024-09-30 01:04:01</t>
  </si>
  <si>
    <t>2024-09-30 01:11:07</t>
  </si>
  <si>
    <t>2024-09-30 02:43:43</t>
  </si>
  <si>
    <t>2024-09-30 19:55:00</t>
  </si>
  <si>
    <t>2024-09-30 21:06:57</t>
  </si>
  <si>
    <t>4801536511</t>
  </si>
  <si>
    <t>2024-09-30 23:05:42</t>
  </si>
  <si>
    <t>331432150</t>
  </si>
  <si>
    <t>2024-09-30 23:16:55</t>
  </si>
  <si>
    <t>4944007010</t>
  </si>
  <si>
    <t>2024-10-01 06:55:44</t>
  </si>
  <si>
    <t>4937470056</t>
  </si>
  <si>
    <t>2024-10-01 10:10:57</t>
  </si>
  <si>
    <t>4546390660</t>
  </si>
  <si>
    <t>2024-10-01 15:13:06</t>
  </si>
  <si>
    <t>2024-10-01 17:07:35</t>
  </si>
  <si>
    <t>2024-10-01 17:38:38</t>
  </si>
  <si>
    <t>2024-10-01 22:44:06</t>
  </si>
  <si>
    <t>2024-10-01 22:45:47</t>
  </si>
  <si>
    <t>2024-10-02 01:22:35</t>
  </si>
  <si>
    <t>332285861</t>
  </si>
  <si>
    <t>2024-10-02 03:23:46</t>
  </si>
  <si>
    <t>4764465642</t>
  </si>
  <si>
    <t>2024-10-02 04:18:19</t>
  </si>
  <si>
    <t>2024-10-02 16:26:46</t>
  </si>
  <si>
    <t>332735473</t>
  </si>
  <si>
    <t>2024-10-02 19:07:33</t>
  </si>
  <si>
    <t>332739303</t>
  </si>
  <si>
    <t>2024-10-02 19:13:49</t>
  </si>
  <si>
    <t>2024-10-02 22:44:30</t>
  </si>
  <si>
    <t>2024-10-28</t>
  </si>
  <si>
    <t>2024-10-31</t>
  </si>
  <si>
    <t>2024-10-02 23:06:52</t>
  </si>
  <si>
    <t>332878755</t>
  </si>
  <si>
    <t>2024-10-02 23:28:59</t>
  </si>
  <si>
    <t>2024-10-03 00:28:59</t>
  </si>
  <si>
    <t>2024-10-03 00:41:53</t>
  </si>
  <si>
    <t>4538591707</t>
  </si>
  <si>
    <t>2024-10-03 01:11:17</t>
  </si>
  <si>
    <t>2024-10-03 01:45:56</t>
  </si>
  <si>
    <t>112 (STQ), 110 (STQ)</t>
  </si>
  <si>
    <t>2024-10-03 02:53:53</t>
  </si>
  <si>
    <t>Will Split cost with other friend, $163.66</t>
  </si>
  <si>
    <t>333326435</t>
  </si>
  <si>
    <t>2024-10-03 15:45:27</t>
  </si>
  <si>
    <t>2024-10-03 16:17:45</t>
  </si>
  <si>
    <t>4536032113</t>
  </si>
  <si>
    <t>2024-10-04 03:00:56</t>
  </si>
  <si>
    <t>4573548932</t>
  </si>
  <si>
    <t>2024-10-04 04:28:01</t>
  </si>
  <si>
    <t>2024-10-04 04:48:54</t>
  </si>
  <si>
    <t>334105241</t>
  </si>
  <si>
    <t>2024-10-04 17:36:23</t>
  </si>
  <si>
    <t>4885708813</t>
  </si>
  <si>
    <t>2024-10-04 20:10:39</t>
  </si>
  <si>
    <t>334354484</t>
  </si>
  <si>
    <t>2024-10-05 01:26:08</t>
  </si>
  <si>
    <t>4714323937</t>
  </si>
  <si>
    <t>2024-10-05 03:52:31</t>
  </si>
  <si>
    <t>2024-10-05 04:12:20</t>
  </si>
  <si>
    <t>2024-10-05 14:47:14</t>
  </si>
  <si>
    <t>2025-01-01</t>
  </si>
  <si>
    <t>2025-01-02</t>
  </si>
  <si>
    <t>4757848750</t>
  </si>
  <si>
    <t>2024-10-05 15:02:28</t>
  </si>
  <si>
    <t>2024-10-05 15:33:47</t>
  </si>
  <si>
    <t>2024-12-13</t>
  </si>
  <si>
    <t>334729224</t>
  </si>
  <si>
    <t>2024-10-05 19:13:21</t>
  </si>
  <si>
    <t>334957425</t>
  </si>
  <si>
    <t>2024-10-06 04:26:14</t>
  </si>
  <si>
    <t>335095122</t>
  </si>
  <si>
    <t>2024-10-06 13:26:04</t>
  </si>
  <si>
    <t>2024-10-06 19:47:10</t>
  </si>
  <si>
    <t>2024-10-06 19:52:29</t>
  </si>
  <si>
    <t>4805451527</t>
  </si>
  <si>
    <t>2024-10-07 00:11:07</t>
  </si>
  <si>
    <t>2024-10-07 00:19:17</t>
  </si>
  <si>
    <t>336122097</t>
  </si>
  <si>
    <t>2024-10-07 21:48:08</t>
  </si>
  <si>
    <t>336572149</t>
  </si>
  <si>
    <t>2024-10-08 13:33:21</t>
  </si>
  <si>
    <t>336637221</t>
  </si>
  <si>
    <t>2024-10-08 15:08:34</t>
  </si>
  <si>
    <t>336649783</t>
  </si>
  <si>
    <t>2024-10-08 15:26:37</t>
  </si>
  <si>
    <t>2024-10-08 17:57:48</t>
  </si>
  <si>
    <t>2024-10-08 20:37:37</t>
  </si>
  <si>
    <t>336876682</t>
  </si>
  <si>
    <t>2024-10-08 21:19:23</t>
  </si>
  <si>
    <t>4342637063</t>
  </si>
  <si>
    <t>2024-10-08 21:41:33</t>
  </si>
  <si>
    <t>called guest at 9 and got no service signal</t>
  </si>
  <si>
    <t>2024-10-08 21:41:56</t>
  </si>
  <si>
    <t>2024-10-08 21:43:47</t>
  </si>
  <si>
    <t>4417263550</t>
  </si>
  <si>
    <t>2024-10-08 21:53:58</t>
  </si>
  <si>
    <t>2024-10-08 22:12:26</t>
  </si>
  <si>
    <t>336912320</t>
  </si>
  <si>
    <t>2024-10-08 22:23:17</t>
  </si>
  <si>
    <t>2024-10-08 22:31:19</t>
  </si>
  <si>
    <t>4368116684</t>
  </si>
  <si>
    <t>2024-10-08 22:35:10</t>
  </si>
  <si>
    <t>336968314</t>
  </si>
  <si>
    <t>2024-10-09 00:11:59</t>
  </si>
  <si>
    <t>2024-12-08</t>
  </si>
  <si>
    <t>4394011076</t>
  </si>
  <si>
    <t>2024-10-09 00:38:09</t>
  </si>
  <si>
    <t>336995818</t>
  </si>
  <si>
    <t>2024-10-09 01:02:07</t>
  </si>
  <si>
    <t>4916598709</t>
  </si>
  <si>
    <t>2024-10-09 02:09:08</t>
  </si>
  <si>
    <t>4600101774</t>
  </si>
  <si>
    <t>2024-10-09 05:01:08</t>
  </si>
  <si>
    <t>4738673419</t>
  </si>
  <si>
    <t>2024-10-09 14:11:43</t>
  </si>
  <si>
    <t>4967817493</t>
  </si>
  <si>
    <t>2024-10-09 16:10:02</t>
  </si>
  <si>
    <t>337473897</t>
  </si>
  <si>
    <t>2024-10-09 17:47:43</t>
  </si>
  <si>
    <t>337482041</t>
  </si>
  <si>
    <t>2024-10-09 18:01:29</t>
  </si>
  <si>
    <t>337617523</t>
  </si>
  <si>
    <t>2024-10-09 21:58:29</t>
  </si>
  <si>
    <t>Late arrival left voicemail explain how to get key@10:10pm
ZAC</t>
  </si>
  <si>
    <t>4716348442</t>
  </si>
  <si>
    <t>2024-10-09 22:06:38</t>
  </si>
  <si>
    <t>2024-10-10 01:43:43</t>
  </si>
  <si>
    <t>337745190</t>
  </si>
  <si>
    <t>2024-10-10 02:10:08</t>
  </si>
  <si>
    <t>4866436532</t>
  </si>
  <si>
    <t>2024-10-10 04:40:16</t>
  </si>
  <si>
    <t>103 (STK), 101 (DQ)</t>
  </si>
  <si>
    <t>Standard King, Double Queen</t>
  </si>
  <si>
    <t>2024-11-30</t>
  </si>
  <si>
    <t>4417373176</t>
  </si>
  <si>
    <t>2024-10-10 05:27:48</t>
  </si>
  <si>
    <t>4538779889</t>
  </si>
  <si>
    <t>2024-10-10 13:56:34</t>
  </si>
  <si>
    <t>2024-10-10 17:22:48</t>
  </si>
  <si>
    <t>2024-10-10 19:26:30</t>
  </si>
  <si>
    <t>4716303965</t>
  </si>
  <si>
    <t>2024-10-10 20:48:40</t>
  </si>
  <si>
    <t>4971512172</t>
  </si>
  <si>
    <t>2024-10-10 23:02:25</t>
  </si>
  <si>
    <t>338351180</t>
  </si>
  <si>
    <t>2024-10-10 23:14:56</t>
  </si>
  <si>
    <t>338352870</t>
  </si>
  <si>
    <t>2024-10-10 23:18:15</t>
  </si>
  <si>
    <t>338354294</t>
  </si>
  <si>
    <t>2024-10-10 23:21:19</t>
  </si>
  <si>
    <t>2024-10-10 23:35:46</t>
  </si>
  <si>
    <t>2024-10-10 23:57:47</t>
  </si>
  <si>
    <t>2024-10-10 23:59:46</t>
  </si>
  <si>
    <t>338395730</t>
  </si>
  <si>
    <t>2024-10-11 00:44:22</t>
  </si>
  <si>
    <t>338853618</t>
  </si>
  <si>
    <t>2024-10-11 17:25:00</t>
  </si>
  <si>
    <t>4573275883</t>
  </si>
  <si>
    <t>2024-10-11 17:52:19</t>
  </si>
  <si>
    <t>4851394394</t>
  </si>
  <si>
    <t>2024-10-11 18:10:43</t>
  </si>
  <si>
    <t>4347568819</t>
  </si>
  <si>
    <t>2024-10-11 19:46:44</t>
  </si>
  <si>
    <t>338943665</t>
  </si>
  <si>
    <t>2024-10-11 20:03:48</t>
  </si>
  <si>
    <t>4391290621</t>
  </si>
  <si>
    <t>2024-10-11 20:42:14</t>
  </si>
  <si>
    <t>4672993402</t>
  </si>
  <si>
    <t>2024-10-11 21:18:13</t>
  </si>
  <si>
    <t>339023904</t>
  </si>
  <si>
    <t>2024-10-11 22:33:59</t>
  </si>
  <si>
    <t>4851308950</t>
  </si>
  <si>
    <t>2024-10-11 23:39:48</t>
  </si>
  <si>
    <t>4347566550</t>
  </si>
  <si>
    <t>2024-10-12 02:29:48</t>
  </si>
  <si>
    <t>339304252</t>
  </si>
  <si>
    <t>2024-10-12 12:54:29</t>
  </si>
  <si>
    <t>4648120964</t>
  </si>
  <si>
    <t>2024-10-12 14:54:15</t>
  </si>
  <si>
    <t>4900311401</t>
  </si>
  <si>
    <t>2024-10-12 15:22:20</t>
  </si>
  <si>
    <t>4895262846</t>
  </si>
  <si>
    <t>2024-10-12 15:53:22</t>
  </si>
  <si>
    <t>339621497</t>
  </si>
  <si>
    <t>2024-10-13 01:04:38</t>
  </si>
  <si>
    <t>4403436311</t>
  </si>
  <si>
    <t>2024-10-13 01:14:02</t>
  </si>
  <si>
    <t>4528997694</t>
  </si>
  <si>
    <t>2024-10-13 02:25:54</t>
  </si>
  <si>
    <t>2024-10-13 21:21:45</t>
  </si>
  <si>
    <t>4383834831</t>
  </si>
  <si>
    <t>2024-10-14 00:50:11</t>
  </si>
  <si>
    <t>2024-10-14 01:53:22</t>
  </si>
  <si>
    <t>4376632899</t>
  </si>
  <si>
    <t>2024-10-14 02:06:39</t>
  </si>
  <si>
    <t>3+ Night Discount</t>
  </si>
  <si>
    <t>2025-01-06</t>
  </si>
  <si>
    <t>2025-01-10</t>
  </si>
  <si>
    <t>2024-10-14 02:41:59</t>
  </si>
  <si>
    <t>4403410766</t>
  </si>
  <si>
    <t>2024-10-14 11:40:45</t>
  </si>
  <si>
    <t>2025-03-12</t>
  </si>
  <si>
    <t>2025-03-15</t>
  </si>
  <si>
    <t>2024-10-14 13:38:01</t>
  </si>
  <si>
    <t>2024-10-14 13:59:56</t>
  </si>
  <si>
    <t>4479900158</t>
  </si>
  <si>
    <t>2024-10-14 15:25:14</t>
  </si>
  <si>
    <t>4715340916</t>
  </si>
  <si>
    <t>2024-10-14 16:52:26</t>
  </si>
  <si>
    <t>340564048</t>
  </si>
  <si>
    <t>2024-10-14 16:54:00</t>
  </si>
  <si>
    <t>called guest before closing couldnt get through</t>
  </si>
  <si>
    <t>4570362001</t>
  </si>
  <si>
    <t>2024-10-14 21:19:43</t>
  </si>
  <si>
    <t>340766153</t>
  </si>
  <si>
    <t>2024-10-14 22:35:42</t>
  </si>
  <si>
    <t>2024-10-14 23:48:36</t>
  </si>
  <si>
    <t>4914995988</t>
  </si>
  <si>
    <t>2024-10-14 23:54:55</t>
  </si>
  <si>
    <t>called guest at 9 and got a voicemail not set up message</t>
  </si>
  <si>
    <t>4940569641</t>
  </si>
  <si>
    <t>2024-10-15 00:42:26</t>
  </si>
  <si>
    <t>2024-12-07</t>
  </si>
  <si>
    <t>340848229</t>
  </si>
  <si>
    <t>2024-10-15 01:15:54</t>
  </si>
  <si>
    <t>2024-10-15 02:23:01</t>
  </si>
  <si>
    <t>2024-12-31</t>
  </si>
  <si>
    <t>340903936</t>
  </si>
  <si>
    <t>2024-10-15 03:06:56</t>
  </si>
  <si>
    <t>341024350</t>
  </si>
  <si>
    <t>2024-10-15 08:55:38</t>
  </si>
  <si>
    <t>4712530459</t>
  </si>
  <si>
    <t>2024-10-15 11:14:18</t>
  </si>
  <si>
    <t>2024-10-15 21:24:32</t>
  </si>
  <si>
    <t>341426435</t>
  </si>
  <si>
    <t>2024-10-15 21:24:35</t>
  </si>
  <si>
    <t>2024-10-15 22:56:56</t>
  </si>
  <si>
    <t>2024-10-15 23:47:11</t>
  </si>
  <si>
    <t>341563225</t>
  </si>
  <si>
    <t>2024-10-16 01:55:05</t>
  </si>
  <si>
    <t>105 (DQ), 101 (DQ), 104 (STK)</t>
  </si>
  <si>
    <t>2024-10-16 14:43:50</t>
  </si>
  <si>
    <t>4331751900</t>
  </si>
  <si>
    <t>2024-10-16 20:38:13</t>
  </si>
  <si>
    <t>LAte check in spoke to guest explaining how to get check in info and key.
ZAC</t>
  </si>
  <si>
    <t>2024-10-16 21:14:19</t>
  </si>
  <si>
    <t>2024-11-29</t>
  </si>
  <si>
    <t>4984401880</t>
  </si>
  <si>
    <t>2024-10-16 21:34:09</t>
  </si>
  <si>
    <t>NO SHOW on 11/29/24
ZAC</t>
  </si>
  <si>
    <t>2024-10-16 23:30:55</t>
  </si>
  <si>
    <t>342185297</t>
  </si>
  <si>
    <t>2024-10-17 00:04:56</t>
  </si>
  <si>
    <t>2024-10-17 00:33:46</t>
  </si>
  <si>
    <t>342235509</t>
  </si>
  <si>
    <t>2024-10-17 01:44:06</t>
  </si>
  <si>
    <t>2025-01-04</t>
  </si>
  <si>
    <t>2025-01-07</t>
  </si>
  <si>
    <t>2024-10-17 02:13:28</t>
  </si>
  <si>
    <t>4877506117</t>
  </si>
  <si>
    <t>2024-10-17 02:32:40</t>
  </si>
  <si>
    <t>4886438082</t>
  </si>
  <si>
    <t>2024-10-17 02:35:39</t>
  </si>
  <si>
    <t>342282692</t>
  </si>
  <si>
    <t>2024-10-17 03:21:35</t>
  </si>
  <si>
    <t>2024-10-17 13:52:25</t>
  </si>
  <si>
    <t>2024-10-17 16:14:59</t>
  </si>
  <si>
    <t>2024-10-17 19:53:05</t>
  </si>
  <si>
    <t>2024-10-17 21:37:41</t>
  </si>
  <si>
    <t>2024-10-18 00:35:39</t>
  </si>
  <si>
    <t>4947148544</t>
  </si>
  <si>
    <t>2024-10-18 02:50:49</t>
  </si>
  <si>
    <t>342965249</t>
  </si>
  <si>
    <t>2024-10-18 03:55:17</t>
  </si>
  <si>
    <t>343213594</t>
  </si>
  <si>
    <t>2024-10-18 14:32:25</t>
  </si>
  <si>
    <t>2024-10-18 14:48:31</t>
  </si>
  <si>
    <t>2025-09-11</t>
  </si>
  <si>
    <t>2025-09-14</t>
  </si>
  <si>
    <t>4953385780</t>
  </si>
  <si>
    <t>2024-10-18 16:30:03</t>
  </si>
  <si>
    <t>343305371</t>
  </si>
  <si>
    <t>2024-10-18 17:08:06</t>
  </si>
  <si>
    <t>4517106661</t>
  </si>
  <si>
    <t>2024-10-18 19:34:07</t>
  </si>
  <si>
    <t>4615747002</t>
  </si>
  <si>
    <t>2024-10-18 19:36:38</t>
  </si>
  <si>
    <t>2024-10-18 23:01:27</t>
  </si>
  <si>
    <t>343627062</t>
  </si>
  <si>
    <t>2024-10-19 05:10:36</t>
  </si>
  <si>
    <t>343956317</t>
  </si>
  <si>
    <t>2024-10-19 21:48:43</t>
  </si>
  <si>
    <t>4646619070</t>
  </si>
  <si>
    <t>2024-10-20 01:49:36</t>
  </si>
  <si>
    <t>4767454519</t>
  </si>
  <si>
    <t>2024-10-20 05:58:32</t>
  </si>
  <si>
    <t>102 (DQ), 105 (DQ), 107 (DQ)</t>
  </si>
  <si>
    <t>4724793699</t>
  </si>
  <si>
    <t>2024-10-20 16:49:11</t>
  </si>
  <si>
    <t>344318717</t>
  </si>
  <si>
    <t>2024-10-20 17:12:25</t>
  </si>
  <si>
    <t>344318721</t>
  </si>
  <si>
    <t>2024-10-20 17:12:27</t>
  </si>
  <si>
    <t>344318715</t>
  </si>
  <si>
    <t>2024-10-20 17:12:29</t>
  </si>
  <si>
    <t>2025-05-30</t>
  </si>
  <si>
    <t>2025-05-31</t>
  </si>
  <si>
    <t>4559063764</t>
  </si>
  <si>
    <t>2024-10-20 20:32:48</t>
  </si>
  <si>
    <t>2024-12-23</t>
  </si>
  <si>
    <t>344991162</t>
  </si>
  <si>
    <t>2024-10-21 18:03:55</t>
  </si>
  <si>
    <t>344991170</t>
  </si>
  <si>
    <t>2024-10-21 18:03:57</t>
  </si>
  <si>
    <t>2024-11-19</t>
  </si>
  <si>
    <t>2024-11-20</t>
  </si>
  <si>
    <t>345027285</t>
  </si>
  <si>
    <t>2024-10-21 19:05:34</t>
  </si>
  <si>
    <t>203 (STK), 119 (STQ), 118 (STQ)</t>
  </si>
  <si>
    <t>Standard King, Standard Queen</t>
  </si>
  <si>
    <t>4477949205</t>
  </si>
  <si>
    <t>2024-10-21 19:12:45</t>
  </si>
  <si>
    <t>4839397290</t>
  </si>
  <si>
    <t>2024-10-21 19:58:22</t>
  </si>
  <si>
    <t>345097078</t>
  </si>
  <si>
    <t>2024-10-21 21:04:51</t>
  </si>
  <si>
    <t>345097076</t>
  </si>
  <si>
    <t>2024-10-21 21:04:54</t>
  </si>
  <si>
    <t>345197358</t>
  </si>
  <si>
    <t>2024-10-22 00:25:10</t>
  </si>
  <si>
    <t>345212284</t>
  </si>
  <si>
    <t>2024-10-22 00:54:15</t>
  </si>
  <si>
    <t>345222379</t>
  </si>
  <si>
    <t>2024-10-22 01:13:43</t>
  </si>
  <si>
    <t>345244112</t>
  </si>
  <si>
    <t>2024-10-22 01:55:43</t>
  </si>
  <si>
    <t>345710613</t>
  </si>
  <si>
    <t>2024-10-22 19:17:59</t>
  </si>
  <si>
    <t>345739273</t>
  </si>
  <si>
    <t>2024-10-22 20:09:43</t>
  </si>
  <si>
    <t>4607532511</t>
  </si>
  <si>
    <t>2024-10-22 20:38:52</t>
  </si>
  <si>
    <t>4973168083</t>
  </si>
  <si>
    <t>2024-10-22 23:31:19</t>
  </si>
  <si>
    <t>2024-10-23 02:33:33</t>
  </si>
  <si>
    <t>346212809</t>
  </si>
  <si>
    <t>2024-10-23 14:34:45</t>
  </si>
  <si>
    <t>2024-10-23 15:28:56</t>
  </si>
  <si>
    <t>346298004</t>
  </si>
  <si>
    <t>2024-10-23 16:59:45</t>
  </si>
  <si>
    <t>2024-12-03</t>
  </si>
  <si>
    <t>2024-10-23 20:40:16</t>
  </si>
  <si>
    <t>4824461846</t>
  </si>
  <si>
    <t>2024-10-23 22:24:14</t>
  </si>
  <si>
    <t>2024-10-23 23:20:17</t>
  </si>
  <si>
    <t>346529821</t>
  </si>
  <si>
    <t>2024-10-24 00:35:38</t>
  </si>
  <si>
    <t>346564273</t>
  </si>
  <si>
    <t>2024-10-24 01:41:18</t>
  </si>
  <si>
    <t>346564268</t>
  </si>
  <si>
    <t>2024-10-24 01:41:27</t>
  </si>
  <si>
    <t>346566286</t>
  </si>
  <si>
    <t>2024-10-24 01:45:05</t>
  </si>
  <si>
    <t>346577139</t>
  </si>
  <si>
    <t>2024-10-24 02:06:55</t>
  </si>
  <si>
    <t>346621230</t>
  </si>
  <si>
    <t>2024-10-24 03:43:53</t>
  </si>
  <si>
    <t>2024-10-29</t>
  </si>
  <si>
    <t>347156613</t>
  </si>
  <si>
    <t>2024-10-24 23:47:38</t>
  </si>
  <si>
    <t>347164507</t>
  </si>
  <si>
    <t>2024-10-25 00:05:08</t>
  </si>
  <si>
    <t>2024-12-19</t>
  </si>
  <si>
    <t>347234079</t>
  </si>
  <si>
    <t>2024-10-25 02:30:47</t>
  </si>
  <si>
    <t>late check out 12 noon</t>
  </si>
  <si>
    <t>347450772</t>
  </si>
  <si>
    <t>2024-10-25 12:39:50</t>
  </si>
  <si>
    <t>2024-10-25 15:29:04</t>
  </si>
  <si>
    <t>4376790690</t>
  </si>
  <si>
    <t>2024-10-26 02:45:45</t>
  </si>
  <si>
    <t>203 (STK), 204 (STK)</t>
  </si>
  <si>
    <t>2025-08-31</t>
  </si>
  <si>
    <t>2025-09-02</t>
  </si>
  <si>
    <t>2024-10-26 14:47:37</t>
  </si>
  <si>
    <t>2024-10-26 23:26:18</t>
  </si>
  <si>
    <t>2024-11-15</t>
  </si>
  <si>
    <t>348342716</t>
  </si>
  <si>
    <t>2024-10-27 02:45:32</t>
  </si>
  <si>
    <t>348371630</t>
  </si>
  <si>
    <t>2024-10-27 04:25:48</t>
  </si>
  <si>
    <t>348538002</t>
  </si>
  <si>
    <t>2024-10-27 15:09:19</t>
  </si>
  <si>
    <t>2025-04-22</t>
  </si>
  <si>
    <t>2025-04-24</t>
  </si>
  <si>
    <t>4990321423</t>
  </si>
  <si>
    <t>2024-10-27 17:49:33</t>
  </si>
  <si>
    <t>2024-10-28 15:22:50</t>
  </si>
  <si>
    <t>2024-10-29 00:13:38</t>
  </si>
  <si>
    <t>349443755</t>
  </si>
  <si>
    <t>2024-10-29 00:29:02</t>
  </si>
  <si>
    <t>Tried to cancel same day told us they were not going to make it.-JF</t>
  </si>
  <si>
    <t>105 (DQ), 102 (DQ)</t>
  </si>
  <si>
    <t>2024-10-29 03:05:06</t>
  </si>
  <si>
    <t>4657549956</t>
  </si>
  <si>
    <t>2024-10-29 03:06:04</t>
  </si>
  <si>
    <t>2025-02-01</t>
  </si>
  <si>
    <t>2025-02-02</t>
  </si>
  <si>
    <t>4449822296</t>
  </si>
  <si>
    <t>2024-10-29 20:45:14</t>
  </si>
  <si>
    <t>2024-10-30</t>
  </si>
  <si>
    <t>2024-10-29 22:50:49</t>
  </si>
  <si>
    <t>2024-10-30 00:20:18</t>
  </si>
  <si>
    <t>2024-11-09</t>
  </si>
  <si>
    <t>350100420</t>
  </si>
  <si>
    <t>2024-10-30 00:47:58</t>
  </si>
  <si>
    <t>Tried to run card for 1 night declined again, card invalid. cant apply any charges and guest wont acknowledge calls. I cant figure out how to report guest-JF, guest called night before check in at 9pm to cxl  but it was not enough notice to cxl. the card declined</t>
  </si>
  <si>
    <t>2024-10-30 20:57:14</t>
  </si>
  <si>
    <t>4712875126</t>
  </si>
  <si>
    <t>2024-10-31 15:36:52</t>
  </si>
  <si>
    <t>4685287611</t>
  </si>
  <si>
    <t>2024-10-31 23:35:31</t>
  </si>
  <si>
    <t>351324684</t>
  </si>
  <si>
    <t>2024-11-01 00:00:07</t>
  </si>
  <si>
    <t>2024-11-01 01:26:38</t>
  </si>
  <si>
    <t>4807107615</t>
  </si>
  <si>
    <t>2024-11-01 16:05:25</t>
  </si>
  <si>
    <t>352273177</t>
  </si>
  <si>
    <t>2024-11-02 17:55:43</t>
  </si>
  <si>
    <t>2025-01-11</t>
  </si>
  <si>
    <t>2025-01-13</t>
  </si>
  <si>
    <t>2024-11-02 19:39:45</t>
  </si>
  <si>
    <t>2024-11-02 19:47:47</t>
  </si>
  <si>
    <t>2024-11-03 01:54:01</t>
  </si>
  <si>
    <t>352644305</t>
  </si>
  <si>
    <t>2024-11-03 13:27:30</t>
  </si>
  <si>
    <t>4997528151</t>
  </si>
  <si>
    <t>2024-11-03 18:21:37</t>
  </si>
  <si>
    <t>2024-11-04 01:16:25</t>
  </si>
  <si>
    <t>353583791</t>
  </si>
  <si>
    <t>2024-11-04 22:42:46</t>
  </si>
  <si>
    <t>2024-11-05 01:11:28</t>
  </si>
  <si>
    <t>2024-11-05</t>
  </si>
  <si>
    <t>4491007897</t>
  </si>
  <si>
    <t>2024-11-05 16:05:37</t>
  </si>
  <si>
    <t>2025-01-17</t>
  </si>
  <si>
    <t>2025-01-18</t>
  </si>
  <si>
    <t>4857607922</t>
  </si>
  <si>
    <t>2024-11-05 18:21:58</t>
  </si>
  <si>
    <t>2024-11-12</t>
  </si>
  <si>
    <t>2024-11-05 23:26:28</t>
  </si>
  <si>
    <t>354611849</t>
  </si>
  <si>
    <t>2024-11-06 13:49:02</t>
  </si>
  <si>
    <t>4470047845</t>
  </si>
  <si>
    <t>2024-11-06 19:55:38</t>
  </si>
  <si>
    <t>4441642316</t>
  </si>
  <si>
    <t>2024-11-06 21:20:27</t>
  </si>
  <si>
    <t>2024-11-07 20:28:13</t>
  </si>
  <si>
    <t>201 (DQ), 107 (DQ), 204 (STK)</t>
  </si>
  <si>
    <t>2024-12-27</t>
  </si>
  <si>
    <t>4607468367</t>
  </si>
  <si>
    <t>2024-11-07 23:36:00</t>
  </si>
  <si>
    <t>355648552</t>
  </si>
  <si>
    <t>2024-11-08 01:15:45</t>
  </si>
  <si>
    <t>355704820</t>
  </si>
  <si>
    <t>2024-11-08 03:02:30</t>
  </si>
  <si>
    <t>4471497349</t>
  </si>
  <si>
    <t>2024-11-08 03:43:28</t>
  </si>
  <si>
    <t>2025-06-28</t>
  </si>
  <si>
    <t>2025-06-29</t>
  </si>
  <si>
    <t>4854903277</t>
  </si>
  <si>
    <t>2024-11-08 16:36:24</t>
  </si>
  <si>
    <t>4559945167</t>
  </si>
  <si>
    <t>2024-11-08 17:04:50</t>
  </si>
  <si>
    <t>Guest paid via Booking.com virtual card but we charged their personal card. We have refunded their personal card and charged the virtual card as of 2/11/2025.</t>
  </si>
  <si>
    <t>356122910</t>
  </si>
  <si>
    <t>2024-11-08 18:51:12</t>
  </si>
  <si>
    <t>356252186</t>
  </si>
  <si>
    <t>2024-11-08 22:55:31</t>
  </si>
  <si>
    <t>4433089786</t>
  </si>
  <si>
    <t>2024-11-09 02:11:51</t>
  </si>
  <si>
    <t>2024-11-09 15:14:55</t>
  </si>
  <si>
    <t>4846489076</t>
  </si>
  <si>
    <t>2024-11-09 16:55:16</t>
  </si>
  <si>
    <t>Late Arrival, talked to guest know where to find his stuff-JF</t>
  </si>
  <si>
    <t>2024-12-30</t>
  </si>
  <si>
    <t>356784794</t>
  </si>
  <si>
    <t>2024-11-09 22:56:53</t>
  </si>
  <si>
    <t>356812971</t>
  </si>
  <si>
    <t>2024-11-10 00:05:12</t>
  </si>
  <si>
    <t>2024-11-10 01:25:37</t>
  </si>
  <si>
    <t>2024-11-10 05:12:06</t>
  </si>
  <si>
    <t>357189661</t>
  </si>
  <si>
    <t>2024-11-10 19:02:40</t>
  </si>
  <si>
    <t>2025-01-20</t>
  </si>
  <si>
    <t>2024-11-11 21:20:43</t>
  </si>
  <si>
    <t>2024-11-12 02:14:41</t>
  </si>
  <si>
    <t>2025-05-23</t>
  </si>
  <si>
    <t>2025-05-24</t>
  </si>
  <si>
    <t>358374366</t>
  </si>
  <si>
    <t>2024-11-12 14:46:14</t>
  </si>
  <si>
    <t>358398412</t>
  </si>
  <si>
    <t>2024-11-12 15:26:14</t>
  </si>
  <si>
    <t>2024-11-12 17:24:38</t>
  </si>
  <si>
    <t>358472398</t>
  </si>
  <si>
    <t>2024-11-12 17:28:56</t>
  </si>
  <si>
    <t>2024-11-12 18:04:37</t>
  </si>
  <si>
    <t>2024-11-12 23:04:17</t>
  </si>
  <si>
    <t>4457382628</t>
  </si>
  <si>
    <t>2024-11-13 01:11:50</t>
  </si>
  <si>
    <t>359158883</t>
  </si>
  <si>
    <t>2024-11-13 17:46:47</t>
  </si>
  <si>
    <t>359380384</t>
  </si>
  <si>
    <t>2024-11-14 00:57:57</t>
  </si>
  <si>
    <t>2024-11-14 20:00:58</t>
  </si>
  <si>
    <t>2024-11-16</t>
  </si>
  <si>
    <t>4929383744</t>
  </si>
  <si>
    <t>2024-11-15 16:47:59</t>
  </si>
  <si>
    <t>2025-01-24</t>
  </si>
  <si>
    <t>2025-01-26</t>
  </si>
  <si>
    <t>360449322</t>
  </si>
  <si>
    <t>2024-11-15 16:57:47</t>
  </si>
  <si>
    <t>101 (DQ), 110 (STQ)</t>
  </si>
  <si>
    <t>2025-01-03</t>
  </si>
  <si>
    <t>4797471309</t>
  </si>
  <si>
    <t>2024-11-15 19:17:59</t>
  </si>
  <si>
    <t>4374739032</t>
  </si>
  <si>
    <t>2024-11-15 19:27:59</t>
  </si>
  <si>
    <t>360645587</t>
  </si>
  <si>
    <t>2024-11-15 23:27:54</t>
  </si>
  <si>
    <t>4310552360</t>
  </si>
  <si>
    <t>2024-11-16 01:56:27</t>
  </si>
  <si>
    <t>2024-11-21</t>
  </si>
  <si>
    <t>361144025</t>
  </si>
  <si>
    <t>2024-11-16 23:29:22</t>
  </si>
  <si>
    <t>4977711993</t>
  </si>
  <si>
    <t>2024-11-17 14:49:25</t>
  </si>
  <si>
    <t>4807031276</t>
  </si>
  <si>
    <t>2024-11-17 15:07:27</t>
  </si>
  <si>
    <t>4602207582</t>
  </si>
  <si>
    <t>2024-11-18 02:55:54</t>
  </si>
  <si>
    <t>2025-02-08</t>
  </si>
  <si>
    <t>2025-02-09</t>
  </si>
  <si>
    <t>361799795</t>
  </si>
  <si>
    <t>2024-11-18 06:09:19</t>
  </si>
  <si>
    <t>4602259665</t>
  </si>
  <si>
    <t>2024-11-18 15:12:15</t>
  </si>
  <si>
    <t>2025-01-16</t>
  </si>
  <si>
    <t>4419212456</t>
  </si>
  <si>
    <t>2024-11-18 19:19:03</t>
  </si>
  <si>
    <t>362373594</t>
  </si>
  <si>
    <t>2024-11-19 01:58:54</t>
  </si>
  <si>
    <t>2025-02-13</t>
  </si>
  <si>
    <t>2025-02-16</t>
  </si>
  <si>
    <t>362810912</t>
  </si>
  <si>
    <t>2024-11-19 18:00:11</t>
  </si>
  <si>
    <t>362991501</t>
  </si>
  <si>
    <t>2024-11-19 23:40:15</t>
  </si>
  <si>
    <t>2024-12-21</t>
  </si>
  <si>
    <t>363079818</t>
  </si>
  <si>
    <t>2024-11-20 02:36:19</t>
  </si>
  <si>
    <t>363079821</t>
  </si>
  <si>
    <t>2024-11-20 02:36:23</t>
  </si>
  <si>
    <t>2024-11-21 03:00:28</t>
  </si>
  <si>
    <t>363791839</t>
  </si>
  <si>
    <t>2024-11-21 04:03:16</t>
  </si>
  <si>
    <t>363807692</t>
  </si>
  <si>
    <t>2024-11-21 04:40:08</t>
  </si>
  <si>
    <t>2024-12-16</t>
  </si>
  <si>
    <t>363810134</t>
  </si>
  <si>
    <t>2024-11-21 04:45:54</t>
  </si>
  <si>
    <t>363845847</t>
  </si>
  <si>
    <t>2024-11-21 06:28:36</t>
  </si>
  <si>
    <t>363852127</t>
  </si>
  <si>
    <t>2024-11-21 06:48:53</t>
  </si>
  <si>
    <t>2024-12-11</t>
  </si>
  <si>
    <t>363969557</t>
  </si>
  <si>
    <t>2024-11-21 12:27:44</t>
  </si>
  <si>
    <t>364053423</t>
  </si>
  <si>
    <t>2024-11-21 15:17:41</t>
  </si>
  <si>
    <t>364053424</t>
  </si>
  <si>
    <t>2024-11-21 15:17:42</t>
  </si>
  <si>
    <t>364262449</t>
  </si>
  <si>
    <t>2024-11-21 21:48:54</t>
  </si>
  <si>
    <t>364309718</t>
  </si>
  <si>
    <t>2024-11-21 23:29:07</t>
  </si>
  <si>
    <t>2025-01-19</t>
  </si>
  <si>
    <t>4357895994</t>
  </si>
  <si>
    <t>2024-11-22 02:53:15</t>
  </si>
  <si>
    <t>364711624</t>
  </si>
  <si>
    <t>2024-11-22 15:27:02</t>
  </si>
  <si>
    <t>364887136</t>
  </si>
  <si>
    <t>2024-11-22 20:43:14</t>
  </si>
  <si>
    <t>364940281</t>
  </si>
  <si>
    <t>2024-11-22 22:28:13</t>
  </si>
  <si>
    <t>364960700</t>
  </si>
  <si>
    <t>2024-11-22 23:09:50</t>
  </si>
  <si>
    <t>364966237</t>
  </si>
  <si>
    <t>2024-11-22 23:21:39</t>
  </si>
  <si>
    <t>364979589</t>
  </si>
  <si>
    <t>2024-11-22 23:50:15</t>
  </si>
  <si>
    <t>365063478</t>
  </si>
  <si>
    <t>2024-11-23 02:55:42</t>
  </si>
  <si>
    <t>365088234</t>
  </si>
  <si>
    <t>2024-11-23 03:55:33</t>
  </si>
  <si>
    <t>was booked a QQ but the room door knob was broken. moved them to a k but the price was more expensive thats why there is a left over ballance</t>
  </si>
  <si>
    <t>365088237</t>
  </si>
  <si>
    <t>2024-11-23 03:55:36</t>
  </si>
  <si>
    <t>365126258</t>
  </si>
  <si>
    <t>2024-11-23 05:47:30</t>
  </si>
  <si>
    <t>365130717</t>
  </si>
  <si>
    <t>2024-11-23 06:04:00</t>
  </si>
  <si>
    <t>365193026</t>
  </si>
  <si>
    <t>2024-11-23 10:33:37</t>
  </si>
  <si>
    <t>365193492</t>
  </si>
  <si>
    <t>2024-11-23 10:35:34</t>
  </si>
  <si>
    <t>365272312</t>
  </si>
  <si>
    <t>2024-11-23 14:58:51</t>
  </si>
  <si>
    <t>2025-09-19</t>
  </si>
  <si>
    <t>2025-09-21</t>
  </si>
  <si>
    <t>365324718</t>
  </si>
  <si>
    <t>2024-11-23 17:00:17</t>
  </si>
  <si>
    <t>365436368</t>
  </si>
  <si>
    <t>2024-11-23 21:21:25</t>
  </si>
  <si>
    <t>2024-12-05</t>
  </si>
  <si>
    <t>365459323</t>
  </si>
  <si>
    <t>2024-11-23 22:16:19</t>
  </si>
  <si>
    <t>2024-11-23 22:27:53</t>
  </si>
  <si>
    <t>365474087</t>
  </si>
  <si>
    <t>2024-11-23 22:51:34</t>
  </si>
  <si>
    <t>365522873</t>
  </si>
  <si>
    <t>2024-11-24 00:53:41</t>
  </si>
  <si>
    <t>365640198</t>
  </si>
  <si>
    <t>2024-11-24 06:48:15</t>
  </si>
  <si>
    <t>2024-11-24 15:57:58</t>
  </si>
  <si>
    <t>got a press 1 for english answering service for a company when calling about late check in</t>
  </si>
  <si>
    <t>365815969</t>
  </si>
  <si>
    <t>2024-11-24 16:56:26</t>
  </si>
  <si>
    <t>2024-11-24 20:32:53</t>
  </si>
  <si>
    <t>365922794</t>
  </si>
  <si>
    <t>2024-11-24 20:55:29</t>
  </si>
  <si>
    <t>2024-11-24 21:07:17</t>
  </si>
  <si>
    <t>2024-11-24 22:46:53</t>
  </si>
  <si>
    <t>365995910</t>
  </si>
  <si>
    <t>2024-11-24 23:41:12</t>
  </si>
  <si>
    <t>366099246</t>
  </si>
  <si>
    <t>2024-11-25 03:24:55</t>
  </si>
  <si>
    <t>366123573</t>
  </si>
  <si>
    <t>2024-11-25 04:22:37</t>
  </si>
  <si>
    <t>Guest claimed that they canceled this reservation and only had the one, turned out to be false and card declined, also smoked basicly in the room. Put on DNR list-JF</t>
  </si>
  <si>
    <t>366375693</t>
  </si>
  <si>
    <t>2024-11-25 15:01:11</t>
  </si>
  <si>
    <t>2024-11-25 15:21:01</t>
  </si>
  <si>
    <t>366449677</t>
  </si>
  <si>
    <t>2024-11-25 17:03:12</t>
  </si>
  <si>
    <t>366480582</t>
  </si>
  <si>
    <t>2024-11-25 17:56:56</t>
  </si>
  <si>
    <t>2024-11-25 18:11:13</t>
  </si>
  <si>
    <t>2024-11-25 19:36:55</t>
  </si>
  <si>
    <t>366651822</t>
  </si>
  <si>
    <t>2024-11-25 23:10:24</t>
  </si>
  <si>
    <t>366663980</t>
  </si>
  <si>
    <t>2024-11-25 23:35:43</t>
  </si>
  <si>
    <t>366663983</t>
  </si>
  <si>
    <t>2024-11-25 23:35:45</t>
  </si>
  <si>
    <t>4589457765</t>
  </si>
  <si>
    <t>2024-11-25 23:43:51</t>
  </si>
  <si>
    <t>extended in person via front desk-JF</t>
  </si>
  <si>
    <t>4479889651</t>
  </si>
  <si>
    <t>2024-11-26 00:28:30</t>
  </si>
  <si>
    <t>366693012</t>
  </si>
  <si>
    <t>2024-11-26 00:37:29</t>
  </si>
  <si>
    <t>366706523</t>
  </si>
  <si>
    <t>2024-11-26 01:05:24</t>
  </si>
  <si>
    <t>366714331</t>
  </si>
  <si>
    <t>2024-11-26 01:21:37</t>
  </si>
  <si>
    <t>366714902</t>
  </si>
  <si>
    <t>2024-11-26 01:22:46</t>
  </si>
  <si>
    <t>366741453</t>
  </si>
  <si>
    <t>2024-11-26 02:15:20</t>
  </si>
  <si>
    <t>2025-02-22</t>
  </si>
  <si>
    <t>2025-02-25</t>
  </si>
  <si>
    <t>2024-11-26 03:19:24</t>
  </si>
  <si>
    <t>108 (STK), 202 (DQ)</t>
  </si>
  <si>
    <t>4752613717</t>
  </si>
  <si>
    <t>2024-11-26 03:54:20</t>
  </si>
  <si>
    <t>367059654</t>
  </si>
  <si>
    <t>2024-11-26 15:18:27</t>
  </si>
  <si>
    <t>367102071</t>
  </si>
  <si>
    <t>2024-11-26 16:28:32</t>
  </si>
  <si>
    <t>2024-11-26 21:02:58</t>
  </si>
  <si>
    <t>367253085</t>
  </si>
  <si>
    <t>2024-11-26 21:11:00</t>
  </si>
  <si>
    <t>367253985</t>
  </si>
  <si>
    <t>2024-11-26 21:12:56</t>
  </si>
  <si>
    <t>367256224</t>
  </si>
  <si>
    <t>2024-11-26 21:17:21</t>
  </si>
  <si>
    <t>called guest at 835 and left message about late check in, hello we are able to offer a 50% refund due no contact on the night of reservation or before that date but we have refunded -70.01 Back to Guest CC ZAC, guest was hospitalized-JF</t>
  </si>
  <si>
    <t>2024-11-27 00:29:55</t>
  </si>
  <si>
    <t>2024-11-27 01:47:13</t>
  </si>
  <si>
    <t>2024-12-29</t>
  </si>
  <si>
    <t>367427827</t>
  </si>
  <si>
    <t>2024-11-27 03:25:10</t>
  </si>
  <si>
    <t>367427831</t>
  </si>
  <si>
    <t>2024-11-27 03:25:11</t>
  </si>
  <si>
    <t>367427832</t>
  </si>
  <si>
    <t>2024-11-27 03:25:13</t>
  </si>
  <si>
    <t>367505313</t>
  </si>
  <si>
    <t>2024-11-27 06:58:23</t>
  </si>
  <si>
    <t>367664985</t>
  </si>
  <si>
    <t>2024-11-27 14:09:32</t>
  </si>
  <si>
    <t>2024-12-02</t>
  </si>
  <si>
    <t>2024-11-27 18:22:51</t>
  </si>
  <si>
    <t>367965146</t>
  </si>
  <si>
    <t>2024-11-28 00:06:59</t>
  </si>
  <si>
    <t>moved to 206 guest had another reservation for Thurs booked in 20g</t>
  </si>
  <si>
    <t>4771876864</t>
  </si>
  <si>
    <t>2024-11-28 00:32:20</t>
  </si>
  <si>
    <t>367999283</t>
  </si>
  <si>
    <t>2024-11-28 01:27:28</t>
  </si>
  <si>
    <t>368094997</t>
  </si>
  <si>
    <t>2024-11-28 05:31:21</t>
  </si>
  <si>
    <t>368391035</t>
  </si>
  <si>
    <t>2024-11-28 18:13:56</t>
  </si>
  <si>
    <t>2024-11-28 19:33:00</t>
  </si>
  <si>
    <t>2025-01-12</t>
  </si>
  <si>
    <t>4754473746</t>
  </si>
  <si>
    <t>2024-11-28 22:43:45</t>
  </si>
  <si>
    <t>4650097663</t>
  </si>
  <si>
    <t>2024-11-29 00:03:15</t>
  </si>
  <si>
    <t>368616964</t>
  </si>
  <si>
    <t>2024-11-29 03:50:10</t>
  </si>
  <si>
    <t>4345922012</t>
  </si>
  <si>
    <t>2024-11-29 05:02:16</t>
  </si>
  <si>
    <t>368917305</t>
  </si>
  <si>
    <t>2024-11-29 16:24:03</t>
  </si>
  <si>
    <t>4754465702</t>
  </si>
  <si>
    <t>2024-11-29 16:51:26</t>
  </si>
  <si>
    <t>368941829</t>
  </si>
  <si>
    <t>2024-11-29 17:02:58</t>
  </si>
  <si>
    <t>368944143</t>
  </si>
  <si>
    <t>2024-11-29 17:06:43</t>
  </si>
  <si>
    <t>4562626275</t>
  </si>
  <si>
    <t>2024-11-29 17:10:25</t>
  </si>
  <si>
    <t>2024-11-29 17:23:45</t>
  </si>
  <si>
    <t>368991027</t>
  </si>
  <si>
    <t>2024-11-29 18:27:35</t>
  </si>
  <si>
    <t>4754425451</t>
  </si>
  <si>
    <t>2024-11-29 19:04:45</t>
  </si>
  <si>
    <t>4313638029</t>
  </si>
  <si>
    <t>2024-11-29 20:25:21</t>
  </si>
  <si>
    <t>369099222</t>
  </si>
  <si>
    <t>2024-11-29 21:43:29</t>
  </si>
  <si>
    <t>369136087</t>
  </si>
  <si>
    <t>2024-11-29 22:52:10</t>
  </si>
  <si>
    <t>369154746</t>
  </si>
  <si>
    <t>2024-11-29 23:29:04</t>
  </si>
  <si>
    <t>369187343</t>
  </si>
  <si>
    <t>2024-11-30 00:35:37</t>
  </si>
  <si>
    <t>369199323</t>
  </si>
  <si>
    <t>2024-11-30 01:00:24</t>
  </si>
  <si>
    <t>369356083</t>
  </si>
  <si>
    <t>2024-11-30 08:01:20</t>
  </si>
  <si>
    <t>cc declining i called guest to confirm res and get payment but got a mail box full message</t>
  </si>
  <si>
    <t>369406182</t>
  </si>
  <si>
    <t>2024-11-30 11:35:45</t>
  </si>
  <si>
    <t>2025-04-18</t>
  </si>
  <si>
    <t>2025-04-19</t>
  </si>
  <si>
    <t>369506845</t>
  </si>
  <si>
    <t>2024-11-30 16:26:06</t>
  </si>
  <si>
    <t>2025-04-20</t>
  </si>
  <si>
    <t>369678724</t>
  </si>
  <si>
    <t>2024-11-30 23:01:57</t>
  </si>
  <si>
    <t>369684054</t>
  </si>
  <si>
    <t>2024-11-30 23:14:52</t>
  </si>
  <si>
    <t>2025-01-29</t>
  </si>
  <si>
    <t>2025-01-30</t>
  </si>
  <si>
    <t>4393953889</t>
  </si>
  <si>
    <t>2024-12-01 02:56:19</t>
  </si>
  <si>
    <t>2025-09-13</t>
  </si>
  <si>
    <t>2025-09-15</t>
  </si>
  <si>
    <t>370077059</t>
  </si>
  <si>
    <t>2024-12-01 18:44:35</t>
  </si>
  <si>
    <t>2024-12-01 21:49:53</t>
  </si>
  <si>
    <t>370213180</t>
  </si>
  <si>
    <t>2024-12-01 23:24:15</t>
  </si>
  <si>
    <t>2024-12-02 00:28:32</t>
  </si>
  <si>
    <t>370290248</t>
  </si>
  <si>
    <t>2024-12-02 02:06:12</t>
  </si>
  <si>
    <t>2024-12-02 02:18:14</t>
  </si>
  <si>
    <t>370336707</t>
  </si>
  <si>
    <t>2024-12-02 03:40:45</t>
  </si>
  <si>
    <t>370663140</t>
  </si>
  <si>
    <t>2024-12-02 16:15:13</t>
  </si>
  <si>
    <t>370695950</t>
  </si>
  <si>
    <t>2024-12-02 17:03:08</t>
  </si>
  <si>
    <t>2025-02-06</t>
  </si>
  <si>
    <t>370758454</t>
  </si>
  <si>
    <t>2024-12-02 18:40:06</t>
  </si>
  <si>
    <t>370762085</t>
  </si>
  <si>
    <t>2024-12-02 18:45:46</t>
  </si>
  <si>
    <t>2024-12-02 21:34:11</t>
  </si>
  <si>
    <t>370875428</t>
  </si>
  <si>
    <t>2024-12-02 21:41:55</t>
  </si>
  <si>
    <t>2025-01-15</t>
  </si>
  <si>
    <t>4817805807</t>
  </si>
  <si>
    <t>2024-12-03 00:04:15</t>
  </si>
  <si>
    <t>371088218</t>
  </si>
  <si>
    <t>2024-12-03 03:42:30</t>
  </si>
  <si>
    <t>371434447</t>
  </si>
  <si>
    <t>2024-12-03 16:32:19</t>
  </si>
  <si>
    <t>2024-12-10</t>
  </si>
  <si>
    <t>371475120</t>
  </si>
  <si>
    <t>2024-12-03 17:36:12</t>
  </si>
  <si>
    <t>371495046</t>
  </si>
  <si>
    <t>2024-12-03 18:08:44</t>
  </si>
  <si>
    <t>4421551053</t>
  </si>
  <si>
    <t>2024-12-03 19:18:45</t>
  </si>
  <si>
    <t>371553284</t>
  </si>
  <si>
    <t>2024-12-03 19:46:04</t>
  </si>
  <si>
    <t>371556337</t>
  </si>
  <si>
    <t>2024-12-03 19:51:13</t>
  </si>
  <si>
    <t>371563153</t>
  </si>
  <si>
    <t>2024-12-03 20:02:32</t>
  </si>
  <si>
    <t>371622242</t>
  </si>
  <si>
    <t>2024-12-03 21:42:02</t>
  </si>
  <si>
    <t>4487777297</t>
  </si>
  <si>
    <t>2024-12-04 03:03:47</t>
  </si>
  <si>
    <t>371813966</t>
  </si>
  <si>
    <t>2024-12-04 03:20:43</t>
  </si>
  <si>
    <t>4935897369</t>
  </si>
  <si>
    <t>2024-12-04 04:14:31</t>
  </si>
  <si>
    <t>2025-02-07</t>
  </si>
  <si>
    <t>4709622394</t>
  </si>
  <si>
    <t>2024-12-04 05:25:06</t>
  </si>
  <si>
    <t>372020570</t>
  </si>
  <si>
    <t>2024-12-04 12:21:20</t>
  </si>
  <si>
    <t>Guest wont answer phone called 3 times from 11 to now, booked a different room than has been in for past 2 days, Check out was almost 2 1/2 hrs ago (12:25pm). I'm up charging the guest to the Expedia price advertised online and leaving in NK1 instead of the Nq1 she booked-JF, Lost 1 Key?</t>
  </si>
  <si>
    <t>2025-05-22</t>
  </si>
  <si>
    <t>372166444</t>
  </si>
  <si>
    <t>2024-12-04 17:02:00</t>
  </si>
  <si>
    <t>Friends and Family Discount</t>
  </si>
  <si>
    <t>2025-05-29</t>
  </si>
  <si>
    <t>2024-12-04 17:30:49</t>
  </si>
  <si>
    <t>372289203</t>
  </si>
  <si>
    <t>2024-12-04 20:54:17</t>
  </si>
  <si>
    <t>4678766921</t>
  </si>
  <si>
    <t>2024-12-05 02:36:29</t>
  </si>
  <si>
    <t>372756212</t>
  </si>
  <si>
    <t>2024-12-05 15:52:41</t>
  </si>
  <si>
    <t>2024-12-05 16:21:19</t>
  </si>
  <si>
    <t>2024-12-05 19:01:01</t>
  </si>
  <si>
    <t>2024-12-06 16:32:06</t>
  </si>
  <si>
    <t>373557642</t>
  </si>
  <si>
    <t>2024-12-06 23:45:33</t>
  </si>
  <si>
    <t>373557967</t>
  </si>
  <si>
    <t>2024-12-06 23:46:21</t>
  </si>
  <si>
    <t>2024-12-09</t>
  </si>
  <si>
    <t>373578063</t>
  </si>
  <si>
    <t>2024-12-07 00:35:19</t>
  </si>
  <si>
    <t>Card Did not Run, left Late Arrival envelope to call with valid card for key to room. Never called, NO SHOW, DNR-JF</t>
  </si>
  <si>
    <t>4823827961</t>
  </si>
  <si>
    <t>2024-12-07 15:55:38</t>
  </si>
  <si>
    <t>373958061</t>
  </si>
  <si>
    <t>2024-12-07 20:54:06</t>
  </si>
  <si>
    <t>374010797</t>
  </si>
  <si>
    <t>2024-12-07 23:14:59</t>
  </si>
  <si>
    <t>CARD DECLINED!!</t>
  </si>
  <si>
    <t>374282346</t>
  </si>
  <si>
    <t>2024-12-08 15:41:51</t>
  </si>
  <si>
    <t>374349929</t>
  </si>
  <si>
    <t>2024-12-08 18:31:12</t>
  </si>
  <si>
    <t>374618126</t>
  </si>
  <si>
    <t>2024-12-09 05:21:44</t>
  </si>
  <si>
    <t>374845484</t>
  </si>
  <si>
    <t>2024-12-09 16:08:02</t>
  </si>
  <si>
    <t>2024-12-09 16:31:14</t>
  </si>
  <si>
    <t>374869287</t>
  </si>
  <si>
    <t>2024-12-09 16:55:32</t>
  </si>
  <si>
    <t>103 (STK), 109 (SMQ), 110 (STQ)</t>
  </si>
  <si>
    <t>Standard King, Small Queen, Standard Queen</t>
  </si>
  <si>
    <t>4327846447</t>
  </si>
  <si>
    <t>2024-12-09 19:44:04</t>
  </si>
  <si>
    <t>2024-12-17</t>
  </si>
  <si>
    <t>374948931</t>
  </si>
  <si>
    <t>2024-12-09 19:45:37</t>
  </si>
  <si>
    <t>2024-12-10 01:21:33</t>
  </si>
  <si>
    <t>375340159</t>
  </si>
  <si>
    <t>2024-12-10 15:15:26</t>
  </si>
  <si>
    <t>2024-12-10 15:57:35</t>
  </si>
  <si>
    <t>4397842558</t>
  </si>
  <si>
    <t>2024-12-10 21:07:59</t>
  </si>
  <si>
    <t>375543306</t>
  </si>
  <si>
    <t>2024-12-10 22:15:35</t>
  </si>
  <si>
    <t>2025-01-09</t>
  </si>
  <si>
    <t>375553033</t>
  </si>
  <si>
    <t>2024-12-10 22:36:49</t>
  </si>
  <si>
    <t>4809476449</t>
  </si>
  <si>
    <t>2024-12-10 23:33:47</t>
  </si>
  <si>
    <t>104 (STK), 105 (DQ), 107 (DQ)</t>
  </si>
  <si>
    <t>4458084369</t>
  </si>
  <si>
    <t>2024-12-10 23:46:14</t>
  </si>
  <si>
    <t>375651414</t>
  </si>
  <si>
    <t>2024-12-11 02:18:31</t>
  </si>
  <si>
    <t>375743200</t>
  </si>
  <si>
    <t>2024-12-11 06:08:49</t>
  </si>
  <si>
    <t>2025-01-22</t>
  </si>
  <si>
    <t>4458569394</t>
  </si>
  <si>
    <t>2024-12-11 18:48:26</t>
  </si>
  <si>
    <t>2024-12-11 22:42:45</t>
  </si>
  <si>
    <t>114 (STK), 105 (DQ)</t>
  </si>
  <si>
    <t>4986213632</t>
  </si>
  <si>
    <t>2024-12-11 23:10:53</t>
  </si>
  <si>
    <t>4414666354</t>
  </si>
  <si>
    <t>2024-12-12 23:34:50</t>
  </si>
  <si>
    <t>4969567103</t>
  </si>
  <si>
    <t>2024-12-12 23:48:43</t>
  </si>
  <si>
    <t>376831716</t>
  </si>
  <si>
    <t>2024-12-13 02:48:13</t>
  </si>
  <si>
    <t>377127529</t>
  </si>
  <si>
    <t>2024-12-13 16:36:57</t>
  </si>
  <si>
    <t>377230708</t>
  </si>
  <si>
    <t>2024-12-13 20:21:37</t>
  </si>
  <si>
    <t>4821936460</t>
  </si>
  <si>
    <t>2024-12-14 00:19:38</t>
  </si>
  <si>
    <t>2025-03-09</t>
  </si>
  <si>
    <t>2025-03-10</t>
  </si>
  <si>
    <t>377736983</t>
  </si>
  <si>
    <t>2024-12-14 21:41:40</t>
  </si>
  <si>
    <t>4464165789</t>
  </si>
  <si>
    <t>2024-12-15 06:14:55</t>
  </si>
  <si>
    <t>7193327878</t>
  </si>
  <si>
    <t>2024-12-15 18:23:44</t>
  </si>
  <si>
    <t>Investor / Owner - will have dog with him</t>
  </si>
  <si>
    <t>2025-01-14</t>
  </si>
  <si>
    <t>378196566</t>
  </si>
  <si>
    <t>2024-12-15 21:46:07</t>
  </si>
  <si>
    <t>Spoke to at 7:09-jf</t>
  </si>
  <si>
    <t>2024-12-16 17:24:13</t>
  </si>
  <si>
    <t>2nd room for 116 overrbooking</t>
  </si>
  <si>
    <t>2024-12-16 17:27:46</t>
  </si>
  <si>
    <t>2nd room or overbooking for 116</t>
  </si>
  <si>
    <t>2024-12-16 17:50:59</t>
  </si>
  <si>
    <t>4936799408</t>
  </si>
  <si>
    <t>2024-12-16 20:05:30</t>
  </si>
  <si>
    <t>378954131</t>
  </si>
  <si>
    <t>2024-12-17 04:25:23</t>
  </si>
  <si>
    <t>378975886</t>
  </si>
  <si>
    <t>2024-12-17 05:25:46</t>
  </si>
  <si>
    <t>378980842</t>
  </si>
  <si>
    <t>2024-12-17 05:41:14</t>
  </si>
  <si>
    <t>Late Arrival</t>
  </si>
  <si>
    <t>2025-02-11</t>
  </si>
  <si>
    <t>2025-02-14</t>
  </si>
  <si>
    <t>2024-12-17 19:35:15</t>
  </si>
  <si>
    <t>4612289136</t>
  </si>
  <si>
    <t>2024-12-17 21:18:24</t>
  </si>
  <si>
    <t>2024-12-18 18:32:46</t>
  </si>
  <si>
    <t>2024-12-18 19:34:15</t>
  </si>
  <si>
    <t>Leave on ground floor-JF</t>
  </si>
  <si>
    <t>2024-12-19 01:50:18</t>
  </si>
  <si>
    <t>2024-12-19 15:08:20</t>
  </si>
  <si>
    <t>380408237</t>
  </si>
  <si>
    <t>2024-12-19 18:01:03</t>
  </si>
  <si>
    <t>2025-03-06</t>
  </si>
  <si>
    <t>380458692</t>
  </si>
  <si>
    <t>2024-12-19 19:54:16</t>
  </si>
  <si>
    <t>4332112285</t>
  </si>
  <si>
    <t>2024-12-19 22:19:25</t>
  </si>
  <si>
    <t>4711140266</t>
  </si>
  <si>
    <t>2024-12-19 22:20:07</t>
  </si>
  <si>
    <t>380561373</t>
  </si>
  <si>
    <t>2024-12-19 23:51:00</t>
  </si>
  <si>
    <t>2024-12-20 00:47:00</t>
  </si>
  <si>
    <t>4458869387</t>
  </si>
  <si>
    <t>2024-12-20 02:48:52</t>
  </si>
  <si>
    <t>2024-12-20 09:30:32</t>
  </si>
  <si>
    <t>need payment from guest!! late check-in left vm with guest . left check-in in mailbox hidden with clip. zac</t>
  </si>
  <si>
    <t>4835683601</t>
  </si>
  <si>
    <t>2024-12-20 16:46:27</t>
  </si>
  <si>
    <t>2024-12-20 18:46:49</t>
  </si>
  <si>
    <t>4845792373</t>
  </si>
  <si>
    <t>2024-12-20 19:44:55</t>
  </si>
  <si>
    <t>381040563</t>
  </si>
  <si>
    <t>2024-12-20 20:10:33</t>
  </si>
  <si>
    <t>2024-12-21 03:01:55</t>
  </si>
  <si>
    <t>381246870</t>
  </si>
  <si>
    <t>2024-12-21 04:21:50</t>
  </si>
  <si>
    <t>4558222738</t>
  </si>
  <si>
    <t>2024-12-21 11:24:34</t>
  </si>
  <si>
    <t>4885280123</t>
  </si>
  <si>
    <t>2024-12-21 16:54:33</t>
  </si>
  <si>
    <t>381583558</t>
  </si>
  <si>
    <t>2024-12-21 22:21:00</t>
  </si>
  <si>
    <t>4905057996</t>
  </si>
  <si>
    <t>2024-12-22 00:24:26</t>
  </si>
  <si>
    <t>382020741</t>
  </si>
  <si>
    <t>2024-12-22 21:50:08</t>
  </si>
  <si>
    <t>382020740</t>
  </si>
  <si>
    <t>2024-12-22 21:50:09</t>
  </si>
  <si>
    <t>4479364666</t>
  </si>
  <si>
    <t>2024-12-22 23:42:46</t>
  </si>
  <si>
    <t>382441261</t>
  </si>
  <si>
    <t>2024-12-23 18:09:20</t>
  </si>
  <si>
    <t>4884477311</t>
  </si>
  <si>
    <t>2024-12-23 22:25:47</t>
  </si>
  <si>
    <t>2024-12-24 00:19:11</t>
  </si>
  <si>
    <t>382959458</t>
  </si>
  <si>
    <t>2024-12-24 20:27:53</t>
  </si>
  <si>
    <t>382998836</t>
  </si>
  <si>
    <t>2024-12-24 22:39:14</t>
  </si>
  <si>
    <t>383027568</t>
  </si>
  <si>
    <t>2024-12-25 00:23:57</t>
  </si>
  <si>
    <t>2024-12-25 01:06:53</t>
  </si>
  <si>
    <t>2025-01-25</t>
  </si>
  <si>
    <t>2024-12-25 02:59:34</t>
  </si>
  <si>
    <t>383093270</t>
  </si>
  <si>
    <t>2024-12-25 04:23:28</t>
  </si>
  <si>
    <t>2024-12-26 16:17:03</t>
  </si>
  <si>
    <t>4875370987</t>
  </si>
  <si>
    <t>2024-12-26 17:53:57</t>
  </si>
  <si>
    <t>2025-02-23</t>
  </si>
  <si>
    <t>383799245</t>
  </si>
  <si>
    <t>2024-12-26 18:49:32</t>
  </si>
  <si>
    <t>383829621</t>
  </si>
  <si>
    <t>2024-12-26 19:47:42</t>
  </si>
  <si>
    <t>2024-12-26 20:15:01</t>
  </si>
  <si>
    <t>2024-12-26 21:02:56</t>
  </si>
  <si>
    <t>383985922</t>
  </si>
  <si>
    <t>2024-12-27 00:52:16</t>
  </si>
  <si>
    <t>384018355</t>
  </si>
  <si>
    <t>2024-12-27 01:55:58</t>
  </si>
  <si>
    <t>384036235</t>
  </si>
  <si>
    <t>2024-12-27 02:30:42</t>
  </si>
  <si>
    <t>384040020</t>
  </si>
  <si>
    <t>2024-12-27 02:38:14</t>
  </si>
  <si>
    <t>2024-12-27 02:48:32</t>
  </si>
  <si>
    <t>2024-12-27 05:05:33</t>
  </si>
  <si>
    <t>384154678</t>
  </si>
  <si>
    <t>2024-12-27 07:39:13</t>
  </si>
  <si>
    <t>384542433</t>
  </si>
  <si>
    <t>2024-12-27 22:52:04</t>
  </si>
  <si>
    <t>384544436</t>
  </si>
  <si>
    <t>2024-12-27 22:55:53</t>
  </si>
  <si>
    <t>385000418</t>
  </si>
  <si>
    <t>2024-12-28 19:32:35</t>
  </si>
  <si>
    <t>2024-12-28 21:32:20</t>
  </si>
  <si>
    <t>385077719</t>
  </si>
  <si>
    <t>2024-12-28 22:15:12</t>
  </si>
  <si>
    <t>4494879543</t>
  </si>
  <si>
    <t>2024-12-28 22:20:17</t>
  </si>
  <si>
    <t>2024-12-28 22:48:20</t>
  </si>
  <si>
    <t>4397978871</t>
  </si>
  <si>
    <t>2024-12-28 22:52:50</t>
  </si>
  <si>
    <t>385136319</t>
  </si>
  <si>
    <t>2024-12-29 00:22:21</t>
  </si>
  <si>
    <t>385214433</t>
  </si>
  <si>
    <t>2024-12-29 03:23:23</t>
  </si>
  <si>
    <t>4800313043</t>
  </si>
  <si>
    <t>2024-12-29 03:38:21</t>
  </si>
  <si>
    <t>2024-12-29 14:26:46</t>
  </si>
  <si>
    <t>385394106</t>
  </si>
  <si>
    <t>2024-12-29 14:41:54</t>
  </si>
  <si>
    <t>385437685</t>
  </si>
  <si>
    <t>2024-12-29 16:31:14</t>
  </si>
  <si>
    <t>2024-12-29 19:06:25</t>
  </si>
  <si>
    <t>385513377</t>
  </si>
  <si>
    <t>2024-12-29 19:18:44</t>
  </si>
  <si>
    <t>385557630</t>
  </si>
  <si>
    <t>2024-12-29 20:50:25</t>
  </si>
  <si>
    <t>Unreachable, Card Declined, No Show-JF</t>
  </si>
  <si>
    <t>385557629</t>
  </si>
  <si>
    <t>2024-12-29 20:50:26</t>
  </si>
  <si>
    <t>385617935</t>
  </si>
  <si>
    <t>2024-12-29 22:56:29</t>
  </si>
  <si>
    <t>385630197</t>
  </si>
  <si>
    <t>2024-12-29 23:22:50</t>
  </si>
  <si>
    <t>4946331725</t>
  </si>
  <si>
    <t>2024-12-30 03:30:39</t>
  </si>
  <si>
    <t>204 (STK), 110 (STQ)</t>
  </si>
  <si>
    <t>4431045839</t>
  </si>
  <si>
    <t>2024-12-30 04:17:06</t>
  </si>
  <si>
    <t>385781788</t>
  </si>
  <si>
    <t>2024-12-30 05:11:56</t>
  </si>
  <si>
    <t>385982025</t>
  </si>
  <si>
    <t>2024-12-30 15:50:15</t>
  </si>
  <si>
    <t>2024-12-30 17:12:13</t>
  </si>
  <si>
    <t>4959460309</t>
  </si>
  <si>
    <t>2024-12-30 18:27:40</t>
  </si>
  <si>
    <t>2024-12-30 18:56:29</t>
  </si>
  <si>
    <t>4728342931</t>
  </si>
  <si>
    <t>2024-12-30 19:10:25</t>
  </si>
  <si>
    <t>4959449323</t>
  </si>
  <si>
    <t>2024-12-30 19:31:15</t>
  </si>
  <si>
    <t>386106673</t>
  </si>
  <si>
    <t>2024-12-30 19:55:26</t>
  </si>
  <si>
    <t>386204005</t>
  </si>
  <si>
    <t>2024-12-30 23:04:57</t>
  </si>
  <si>
    <t>386278999</t>
  </si>
  <si>
    <t>2024-12-31 01:38:02</t>
  </si>
  <si>
    <t>4617677097</t>
  </si>
  <si>
    <t>2024-12-31 01:58:23</t>
  </si>
  <si>
    <t>386387982</t>
  </si>
  <si>
    <t>2024-12-31 05:52:49</t>
  </si>
  <si>
    <t>4406981832</t>
  </si>
  <si>
    <t>2024-12-31 06:17:26</t>
  </si>
  <si>
    <t>386619255</t>
  </si>
  <si>
    <t>2024-12-31 18:00:07</t>
  </si>
  <si>
    <t>2025-05-11</t>
  </si>
  <si>
    <t>2025-05-14</t>
  </si>
  <si>
    <t>4713943514</t>
  </si>
  <si>
    <t>2024-12-31 20:39:52</t>
  </si>
  <si>
    <t>386718149</t>
  </si>
  <si>
    <t>2024-12-31 21:49:35</t>
  </si>
  <si>
    <t>386718151</t>
  </si>
  <si>
    <t>2024-12-31 21:49:36</t>
  </si>
  <si>
    <t>387064220</t>
  </si>
  <si>
    <t>2025-01-01 17:14:39</t>
  </si>
  <si>
    <t>387064223</t>
  </si>
  <si>
    <t>2025-01-01 17:14:41</t>
  </si>
  <si>
    <t>4713988817</t>
  </si>
  <si>
    <t>2025-01-01 17:28:46</t>
  </si>
  <si>
    <t>4338259025</t>
  </si>
  <si>
    <t>2025-01-01 19:21:53</t>
  </si>
  <si>
    <t>2025-03-27</t>
  </si>
  <si>
    <t>2025-03-28</t>
  </si>
  <si>
    <t>387243110</t>
  </si>
  <si>
    <t>2025-01-01 23:35:23</t>
  </si>
  <si>
    <t>4574019562</t>
  </si>
  <si>
    <t>2025-01-02 01:51:53</t>
  </si>
  <si>
    <t>2025-01-23</t>
  </si>
  <si>
    <t>4465511620</t>
  </si>
  <si>
    <t>2025-01-02 14:43:46</t>
  </si>
  <si>
    <t>2025-01-02 16:44:01</t>
  </si>
  <si>
    <t>2025-01-02 17:23:38</t>
  </si>
  <si>
    <t>387723043</t>
  </si>
  <si>
    <t>2025-01-02 18:44:58</t>
  </si>
  <si>
    <t>387803351</t>
  </si>
  <si>
    <t>2025-01-02 21:02:53</t>
  </si>
  <si>
    <t>4453616644</t>
  </si>
  <si>
    <t>2025-01-02 22:30:11</t>
  </si>
  <si>
    <t>4661820709</t>
  </si>
  <si>
    <t>2025-01-03 01:57:05</t>
  </si>
  <si>
    <t>387969731</t>
  </si>
  <si>
    <t>2025-01-03 02:05:40</t>
  </si>
  <si>
    <t>4990290263</t>
  </si>
  <si>
    <t>2025-01-03 04:21:42</t>
  </si>
  <si>
    <t>388052261</t>
  </si>
  <si>
    <t>2025-01-03 04:47:43</t>
  </si>
  <si>
    <t>2025-06-08</t>
  </si>
  <si>
    <t>388283382</t>
  </si>
  <si>
    <t>2025-01-03 15:23:37</t>
  </si>
  <si>
    <t>2025-01-03 19:00:36</t>
  </si>
  <si>
    <t>388469425</t>
  </si>
  <si>
    <t>2025-01-03 20:42:56</t>
  </si>
  <si>
    <t>388578269</t>
  </si>
  <si>
    <t>2025-01-04 00:02:38</t>
  </si>
  <si>
    <t>4436063595</t>
  </si>
  <si>
    <t>2025-01-04 05:57:47</t>
  </si>
  <si>
    <t>4886727180</t>
  </si>
  <si>
    <t>2025-01-04 17:02:46</t>
  </si>
  <si>
    <t>389003089</t>
  </si>
  <si>
    <t>2025-01-04 19:20:19</t>
  </si>
  <si>
    <t>389041343</t>
  </si>
  <si>
    <t>2025-01-04 20:39:05</t>
  </si>
  <si>
    <t>389057893</t>
  </si>
  <si>
    <t>2025-01-04 21:12:53</t>
  </si>
  <si>
    <t>2025-01-04 21:56:58</t>
  </si>
  <si>
    <t>389187943</t>
  </si>
  <si>
    <t>2025-01-05 01:55:26</t>
  </si>
  <si>
    <t>4611987509</t>
  </si>
  <si>
    <t>2025-01-05 19:27:36</t>
  </si>
  <si>
    <t>389562296</t>
  </si>
  <si>
    <t>2025-01-05 19:36:06</t>
  </si>
  <si>
    <t>389674189</t>
  </si>
  <si>
    <t>2025-01-05 23:12:33</t>
  </si>
  <si>
    <t>389730818</t>
  </si>
  <si>
    <t>2025-01-06 01:09:10</t>
  </si>
  <si>
    <t>389794081</t>
  </si>
  <si>
    <t>2025-01-06 03:12:26</t>
  </si>
  <si>
    <t>2025-01-31</t>
  </si>
  <si>
    <t>390202182</t>
  </si>
  <si>
    <t>2025-01-06 18:27:46</t>
  </si>
  <si>
    <t>390278763</t>
  </si>
  <si>
    <t>2025-01-06 20:32:54</t>
  </si>
  <si>
    <t>390321499</t>
  </si>
  <si>
    <t>2025-01-06 21:41:59</t>
  </si>
  <si>
    <t>390330722</t>
  </si>
  <si>
    <t>2025-01-06 21:57:20</t>
  </si>
  <si>
    <t>4545071641</t>
  </si>
  <si>
    <t>2025-01-07 01:56:36</t>
  </si>
  <si>
    <t>2025-01-07 15:04:19</t>
  </si>
  <si>
    <t>390950390</t>
  </si>
  <si>
    <t>2025-01-07 18:49:44</t>
  </si>
  <si>
    <t>2025-01-21</t>
  </si>
  <si>
    <t>391032199</t>
  </si>
  <si>
    <t>2025-01-07 20:59:39</t>
  </si>
  <si>
    <t>2025-01-07 21:18:18</t>
  </si>
  <si>
    <t>4537392512</t>
  </si>
  <si>
    <t>2025-01-08 01:06:57</t>
  </si>
  <si>
    <t>4401217329</t>
  </si>
  <si>
    <t>2025-01-08 02:01:52</t>
  </si>
  <si>
    <t>2025-01-08 05:33:06</t>
  </si>
  <si>
    <t>391677820</t>
  </si>
  <si>
    <t>2025-01-08 18:15:10</t>
  </si>
  <si>
    <t>391718885</t>
  </si>
  <si>
    <t>2025-01-08 19:23:41</t>
  </si>
  <si>
    <t>2025-03-31</t>
  </si>
  <si>
    <t>391800778</t>
  </si>
  <si>
    <t>2025-01-08 21:38:22</t>
  </si>
  <si>
    <t>2025-06-01</t>
  </si>
  <si>
    <t>4380662031</t>
  </si>
  <si>
    <t>2025-01-09 16:41:59</t>
  </si>
  <si>
    <t>4946980643</t>
  </si>
  <si>
    <t>2025-01-09 20:27:06</t>
  </si>
  <si>
    <t>392565355</t>
  </si>
  <si>
    <t>2025-01-09 22:34:56</t>
  </si>
  <si>
    <t>392649359</t>
  </si>
  <si>
    <t>2025-01-10 01:13:57</t>
  </si>
  <si>
    <t>2025-10-01</t>
  </si>
  <si>
    <t>2025-10-02</t>
  </si>
  <si>
    <t>392688752</t>
  </si>
  <si>
    <t>2025-01-10 02:25:43</t>
  </si>
  <si>
    <t>392688753</t>
  </si>
  <si>
    <t>2025-01-10 02:25:45</t>
  </si>
  <si>
    <t>2025-02-10</t>
  </si>
  <si>
    <t>2025-01-10 18:14:45</t>
  </si>
  <si>
    <t>393312642</t>
  </si>
  <si>
    <t>2025-01-10 23:28:36</t>
  </si>
  <si>
    <t>4328160120</t>
  </si>
  <si>
    <t>2025-01-10 23:52:20</t>
  </si>
  <si>
    <t>393331201</t>
  </si>
  <si>
    <t>2025-01-11 00:05:51</t>
  </si>
  <si>
    <t>393349953</t>
  </si>
  <si>
    <t>2025-01-11 00:41:35</t>
  </si>
  <si>
    <t>4744752937</t>
  </si>
  <si>
    <t>2025-01-11 01:02:22</t>
  </si>
  <si>
    <t>393403730</t>
  </si>
  <si>
    <t>2025-01-11 02:34:02</t>
  </si>
  <si>
    <t>2025-01-11 04:13:15</t>
  </si>
  <si>
    <t>Spoke to @ 6:15 for late arrival info-JF</t>
  </si>
  <si>
    <t>393613642</t>
  </si>
  <si>
    <t>2025-01-11 13:50:38</t>
  </si>
  <si>
    <t>2025-01-11 16:36:34</t>
  </si>
  <si>
    <t>4344108086</t>
  </si>
  <si>
    <t>2025-01-11 16:40:22</t>
  </si>
  <si>
    <t>393779325</t>
  </si>
  <si>
    <t>2025-01-11 19:30:16</t>
  </si>
  <si>
    <t>2025-07-18</t>
  </si>
  <si>
    <t>2025-07-20</t>
  </si>
  <si>
    <t>4625748809</t>
  </si>
  <si>
    <t>2025-01-11 19:46:14</t>
  </si>
  <si>
    <t>4654414552</t>
  </si>
  <si>
    <t>2025-01-12 05:12:09</t>
  </si>
  <si>
    <t>2025-10-08</t>
  </si>
  <si>
    <t>2025-10-12</t>
  </si>
  <si>
    <t>2025-01-12 19:14:11</t>
  </si>
  <si>
    <t>394344909</t>
  </si>
  <si>
    <t>2025-01-12 19:41:49</t>
  </si>
  <si>
    <t>2025-03-08</t>
  </si>
  <si>
    <t>394384306</t>
  </si>
  <si>
    <t>2025-01-12 20:52:06</t>
  </si>
  <si>
    <t>394480286</t>
  </si>
  <si>
    <t>2025-01-12 23:53:32</t>
  </si>
  <si>
    <t>2025-01-13 01:28:13</t>
  </si>
  <si>
    <t>394592369</t>
  </si>
  <si>
    <t>2025-01-13 03:33:20</t>
  </si>
  <si>
    <t>394972840</t>
  </si>
  <si>
    <t>2025-01-13 17:07:29</t>
  </si>
  <si>
    <t>394974760</t>
  </si>
  <si>
    <t>2025-01-13 17:10:46</t>
  </si>
  <si>
    <t>2025-07-06</t>
  </si>
  <si>
    <t>2025-07-07</t>
  </si>
  <si>
    <t>395244981</t>
  </si>
  <si>
    <t>2025-01-14 00:25:06</t>
  </si>
  <si>
    <t>395371905</t>
  </si>
  <si>
    <t>2025-01-14 04:17:53</t>
  </si>
  <si>
    <t>2025-01-14 08:07:14</t>
  </si>
  <si>
    <t>2025-02-17</t>
  </si>
  <si>
    <t>395818223</t>
  </si>
  <si>
    <t>2025-01-14 19:34:42</t>
  </si>
  <si>
    <t>4693702751</t>
  </si>
  <si>
    <t>2025-01-14 22:44:25</t>
  </si>
  <si>
    <t>4333539430</t>
  </si>
  <si>
    <t>2025-01-15 01:54:10</t>
  </si>
  <si>
    <t>4866366082</t>
  </si>
  <si>
    <t>2025-01-15 19:02:49</t>
  </si>
  <si>
    <t>2025-02-15</t>
  </si>
  <si>
    <t>396698634</t>
  </si>
  <si>
    <t>2025-01-16 00:09:44</t>
  </si>
  <si>
    <t>106 (STQ), 110 (STQ), 101 (DQ)</t>
  </si>
  <si>
    <t>2025-06-09</t>
  </si>
  <si>
    <t>2025-06-11</t>
  </si>
  <si>
    <t>4963086417</t>
  </si>
  <si>
    <t>2025-01-16 16:20:46</t>
  </si>
  <si>
    <t>2025-02-03</t>
  </si>
  <si>
    <t>397529463</t>
  </si>
  <si>
    <t>2025-01-17 04:06:38</t>
  </si>
  <si>
    <t>397768457</t>
  </si>
  <si>
    <t>2025-01-17 14:27:17</t>
  </si>
  <si>
    <t>398211131</t>
  </si>
  <si>
    <t>2025-01-18 03:37:30</t>
  </si>
  <si>
    <t>2025-01-18 18:10:51</t>
  </si>
  <si>
    <t>398569263</t>
  </si>
  <si>
    <t>2025-01-18 20:11:06</t>
  </si>
  <si>
    <t>398683153</t>
  </si>
  <si>
    <t>2025-01-19 00:10:21</t>
  </si>
  <si>
    <t>398733736</t>
  </si>
  <si>
    <t>2025-01-19 02:06:49</t>
  </si>
  <si>
    <t>398734873</t>
  </si>
  <si>
    <t>2025-01-19 02:09:17</t>
  </si>
  <si>
    <t>4642126199</t>
  </si>
  <si>
    <t>2025-01-19 18:11:10</t>
  </si>
  <si>
    <t>2025-01-19 18:19:45</t>
  </si>
  <si>
    <t>4807353205</t>
  </si>
  <si>
    <t>2025-01-19 19:47:13</t>
  </si>
  <si>
    <t>2025-01-19 21:16:31</t>
  </si>
  <si>
    <t>2025-01-20 01:38:55</t>
  </si>
  <si>
    <t>399352602</t>
  </si>
  <si>
    <t>2025-01-20 03:19:40</t>
  </si>
  <si>
    <t>399729837</t>
  </si>
  <si>
    <t>2025-01-20 17:35:38</t>
  </si>
  <si>
    <t>399729840</t>
  </si>
  <si>
    <t>2025-01-20 17:35:40</t>
  </si>
  <si>
    <t>2025-01-20 22:11:24</t>
  </si>
  <si>
    <t>400015720</t>
  </si>
  <si>
    <t>2025-01-21 01:51:41</t>
  </si>
  <si>
    <t>2025-01-21 07:49:12</t>
  </si>
  <si>
    <t>2025-01-21 10:35:20</t>
  </si>
  <si>
    <t>2025-09-01</t>
  </si>
  <si>
    <t>2025-01-23 19:43:35</t>
  </si>
  <si>
    <t>2025-01-24 01:33:40</t>
  </si>
  <si>
    <t>4972096798</t>
  </si>
  <si>
    <t>2025-01-24 02:05:46</t>
  </si>
  <si>
    <t>4391938387</t>
  </si>
  <si>
    <t>2025-01-24 02:17:25</t>
  </si>
  <si>
    <t>402037742</t>
  </si>
  <si>
    <t>2025-01-24 02:59:59</t>
  </si>
  <si>
    <t>2025-01-27</t>
  </si>
  <si>
    <t>402065386</t>
  </si>
  <si>
    <t>2025-01-24 04:00:14</t>
  </si>
  <si>
    <t>402097316</t>
  </si>
  <si>
    <t>2025-01-24 05:23:30</t>
  </si>
  <si>
    <t>2025-01-24 17:49:00</t>
  </si>
  <si>
    <t>2025-01-24 21:13:15</t>
  </si>
  <si>
    <t>4851937923</t>
  </si>
  <si>
    <t>2025-01-24 21:56:09</t>
  </si>
  <si>
    <t>402528541</t>
  </si>
  <si>
    <t>2025-01-24 22:13:10</t>
  </si>
  <si>
    <t>402644496</t>
  </si>
  <si>
    <t>2025-01-25 02:27:55</t>
  </si>
  <si>
    <t>4602718241</t>
  </si>
  <si>
    <t>2025-01-25 02:34:44</t>
  </si>
  <si>
    <t>2025-01-25 04:20:02</t>
  </si>
  <si>
    <t>2025-01-26 02:09:12</t>
  </si>
  <si>
    <t>2025-01-26 03:32:21</t>
  </si>
  <si>
    <t>4609982980</t>
  </si>
  <si>
    <t>2025-01-26 04:13:33</t>
  </si>
  <si>
    <t>403516216</t>
  </si>
  <si>
    <t>2025-01-26 19:43:23</t>
  </si>
  <si>
    <t>2025-01-27 18:08:37</t>
  </si>
  <si>
    <t>110 (STQ), 112 (STQ)</t>
  </si>
  <si>
    <t>2025-06-05</t>
  </si>
  <si>
    <t>2025-06-07</t>
  </si>
  <si>
    <t>2025-01-27 19:31:30</t>
  </si>
  <si>
    <t>4882259905</t>
  </si>
  <si>
    <t>2025-01-28 01:58:12</t>
  </si>
  <si>
    <t>2025-01-28 20:32:06</t>
  </si>
  <si>
    <t>2025-01-29 15:27:26</t>
  </si>
  <si>
    <t>2025-03-11</t>
  </si>
  <si>
    <t>405228062</t>
  </si>
  <si>
    <t>2025-01-29 16:33:45</t>
  </si>
  <si>
    <t>2025-02-18</t>
  </si>
  <si>
    <t>2025-02-19</t>
  </si>
  <si>
    <t>405333840</t>
  </si>
  <si>
    <t>2025-01-29 19:53:35</t>
  </si>
  <si>
    <t>2025-02-21</t>
  </si>
  <si>
    <t>406090972</t>
  </si>
  <si>
    <t>2025-01-31 03:23:43</t>
  </si>
  <si>
    <t>2025-02-24</t>
  </si>
  <si>
    <t>4890362215</t>
  </si>
  <si>
    <t>2025-01-31 03:33:14</t>
  </si>
  <si>
    <t>2025-01-31 15:30:05</t>
  </si>
  <si>
    <t>406433289</t>
  </si>
  <si>
    <t>2025-01-31 20:23:09</t>
  </si>
  <si>
    <t>406437108</t>
  </si>
  <si>
    <t>2025-01-31 20:30:29</t>
  </si>
  <si>
    <t>2025-01-31 20:32:15</t>
  </si>
  <si>
    <t>2025-02-01 15:11:20</t>
  </si>
  <si>
    <t>2025-02-01 19:41:27</t>
  </si>
  <si>
    <t>4785622894</t>
  </si>
  <si>
    <t>2025-02-02 02:16:13</t>
  </si>
  <si>
    <t>407472608</t>
  </si>
  <si>
    <t>2025-02-02 21:12:55</t>
  </si>
  <si>
    <t>2025-02-28</t>
  </si>
  <si>
    <t>2025-03-02</t>
  </si>
  <si>
    <t>2025-02-03 04:34:18</t>
  </si>
  <si>
    <t>2025-02-03 16:05:55</t>
  </si>
  <si>
    <t>2148620547</t>
  </si>
  <si>
    <t>2025-02-03 22:42:28</t>
  </si>
  <si>
    <t>408197013</t>
  </si>
  <si>
    <t>2025-02-04 03:51:25</t>
  </si>
  <si>
    <t>2148725941</t>
  </si>
  <si>
    <t>2025-02-04 09:06:56</t>
  </si>
  <si>
    <t>2025-04-07</t>
  </si>
  <si>
    <t>2025-04-08</t>
  </si>
  <si>
    <t>2025-02-04 17:00:46</t>
  </si>
  <si>
    <t>4739365952</t>
  </si>
  <si>
    <t>2025-02-05 02:31:22</t>
  </si>
  <si>
    <t>2025-02-05 02:43:49</t>
  </si>
  <si>
    <t>2025-02-05 03:17:33</t>
  </si>
  <si>
    <t>2149081312</t>
  </si>
  <si>
    <t>2025-02-05 13:16:16</t>
  </si>
  <si>
    <t>2025-02-05 16:13:40</t>
  </si>
  <si>
    <t>2025-02-26</t>
  </si>
  <si>
    <t>4949386278</t>
  </si>
  <si>
    <t>2025-02-05 17:23:47</t>
  </si>
  <si>
    <t>2025-02-06 21:43:22</t>
  </si>
  <si>
    <t>2025-02-06 23:19:39</t>
  </si>
  <si>
    <t>2025-05-13</t>
  </si>
  <si>
    <t>4972852112</t>
  </si>
  <si>
    <t>2025-02-07 16:30:45</t>
  </si>
  <si>
    <t>409638938</t>
  </si>
  <si>
    <t>2025-02-07 18:09:44</t>
  </si>
  <si>
    <t>120 (STQ), 106 (STQ)</t>
  </si>
  <si>
    <t>4482408222</t>
  </si>
  <si>
    <t>2025-02-08 02:57:38</t>
  </si>
  <si>
    <t>2025-03-13</t>
  </si>
  <si>
    <t>2025-03-14</t>
  </si>
  <si>
    <t>2025-02-08 19:27:28</t>
  </si>
  <si>
    <t>4707880629</t>
  </si>
  <si>
    <t>Ireland</t>
  </si>
  <si>
    <t>2025-02-09 03:19:09</t>
  </si>
  <si>
    <t>2025-02-09 19:32:51</t>
  </si>
  <si>
    <t>2025-02-10 03:01:44</t>
  </si>
  <si>
    <t>4746947713</t>
  </si>
  <si>
    <t>2025-02-10 22:32:44</t>
  </si>
  <si>
    <t>2025-02-11 03:34:45</t>
  </si>
  <si>
    <t>2025-02-12</t>
  </si>
  <si>
    <t>4961476590</t>
  </si>
  <si>
    <t>2025-02-11 15:11:13</t>
  </si>
  <si>
    <t>4514847801</t>
  </si>
  <si>
    <t>2025-02-11 16:53:13</t>
  </si>
  <si>
    <t>2025-02-11 16:55:17</t>
  </si>
  <si>
    <t>2025-02-11 17:23:59</t>
  </si>
  <si>
    <t>2025-02-12 20:53:54</t>
  </si>
  <si>
    <t>2025-02-12 23:00:36</t>
  </si>
  <si>
    <t>2025-02-13 13:00:21</t>
  </si>
  <si>
    <t>412388500</t>
  </si>
  <si>
    <t>2025-02-13 14:53:28</t>
  </si>
  <si>
    <t>4333176098</t>
  </si>
  <si>
    <t>2025-02-13 18:18:31</t>
  </si>
  <si>
    <t>4517658963</t>
  </si>
  <si>
    <t>2025-02-13 19:53:26</t>
  </si>
  <si>
    <t>2025-02-13 21:25:42</t>
  </si>
  <si>
    <t>412669129</t>
  </si>
  <si>
    <t>2025-02-13 22:26:29</t>
  </si>
  <si>
    <t>412944278</t>
  </si>
  <si>
    <t>2025-02-14 08:06:12</t>
  </si>
  <si>
    <t>413259236</t>
  </si>
  <si>
    <t>2025-02-14 18:27:29</t>
  </si>
  <si>
    <t>2025-05-28</t>
  </si>
  <si>
    <t>2025-02-14 20:33:33</t>
  </si>
  <si>
    <t>413607087</t>
  </si>
  <si>
    <t>2025-02-15 06:07:37</t>
  </si>
  <si>
    <t>2025-02-15 14:25:21</t>
  </si>
  <si>
    <t>2025-05-02</t>
  </si>
  <si>
    <t>2025-05-04</t>
  </si>
  <si>
    <t>414183571</t>
  </si>
  <si>
    <t>2025-02-16 05:50:38</t>
  </si>
  <si>
    <t>2025-03-20</t>
  </si>
  <si>
    <t>2025-03-21</t>
  </si>
  <si>
    <t>414418137</t>
  </si>
  <si>
    <t>2025-02-16 17:25:05</t>
  </si>
  <si>
    <t>414494283</t>
  </si>
  <si>
    <t>2025-02-16 19:38:33</t>
  </si>
  <si>
    <t>11am check out-JF</t>
  </si>
  <si>
    <t>414570758</t>
  </si>
  <si>
    <t>2025-02-16 21:50:00</t>
  </si>
  <si>
    <t>414611287</t>
  </si>
  <si>
    <t>2025-02-16 23:03:59</t>
  </si>
  <si>
    <t>414714032</t>
  </si>
  <si>
    <t>2025-02-17 02:19:00</t>
  </si>
  <si>
    <t>4821310608</t>
  </si>
  <si>
    <t>2025-02-17 03:14:06</t>
  </si>
  <si>
    <t>2025-02-17 14:32:11</t>
  </si>
  <si>
    <t>2025-02-17 23:54:03</t>
  </si>
  <si>
    <t>2025-02-18 00:32:18</t>
  </si>
  <si>
    <t>2025-02-18 00:51:24</t>
  </si>
  <si>
    <t>2025-03-05</t>
  </si>
  <si>
    <t>415894019</t>
  </si>
  <si>
    <t>2025-02-18 17:12:44</t>
  </si>
  <si>
    <t>test</t>
  </si>
  <si>
    <t>2025-04-15</t>
  </si>
  <si>
    <t>2025-04-16</t>
  </si>
  <si>
    <t>2025-02-18 20:50:58</t>
  </si>
  <si>
    <t>416096938</t>
  </si>
  <si>
    <t>2025-02-18 22:43:42</t>
  </si>
  <si>
    <t>416169390</t>
  </si>
  <si>
    <t>2025-02-19 00:58:15</t>
  </si>
  <si>
    <t>416206192</t>
  </si>
  <si>
    <t>2025-02-19 02:03:40</t>
  </si>
  <si>
    <t>416939939</t>
  </si>
  <si>
    <t>2025-02-20 02:09:09</t>
  </si>
  <si>
    <t>417036906</t>
  </si>
  <si>
    <t>2025-02-20 05:24:23</t>
  </si>
  <si>
    <t>4788530048</t>
  </si>
  <si>
    <t>2025-02-20 20:30:42</t>
  </si>
  <si>
    <t>2025-02-20</t>
  </si>
  <si>
    <t>417570075</t>
  </si>
  <si>
    <t>2025-02-20 23:17:08</t>
  </si>
  <si>
    <t>4760978092</t>
  </si>
  <si>
    <t>2025-02-20 23:57:51</t>
  </si>
  <si>
    <t>2025-02-21 16:05:13</t>
  </si>
  <si>
    <t>2025-05-25</t>
  </si>
  <si>
    <t>418160678</t>
  </si>
  <si>
    <t>2025-02-21 19:38:37</t>
  </si>
  <si>
    <t>418190932</t>
  </si>
  <si>
    <t>2025-02-21 20:30:44</t>
  </si>
  <si>
    <t>2025-03-01</t>
  </si>
  <si>
    <t>418216235</t>
  </si>
  <si>
    <t>2025-02-21 21:15:00</t>
  </si>
  <si>
    <t>4524882741</t>
  </si>
  <si>
    <t>2025-02-21 22:14:21</t>
  </si>
  <si>
    <t>418430499</t>
  </si>
  <si>
    <t>2025-02-22 04:35:53</t>
  </si>
  <si>
    <t>2025-03-07</t>
  </si>
  <si>
    <t>418669047</t>
  </si>
  <si>
    <t>2025-02-22 16:55:22</t>
  </si>
  <si>
    <t>418720150</t>
  </si>
  <si>
    <t>2025-02-22 18:36:21</t>
  </si>
  <si>
    <t>418839441</t>
  </si>
  <si>
    <t>2025-02-22 22:38:24</t>
  </si>
  <si>
    <t>2025-02-23 23:07:45</t>
  </si>
  <si>
    <t>4359677783</t>
  </si>
  <si>
    <t>2025-02-24 00:28:15</t>
  </si>
  <si>
    <t>2025-06-15</t>
  </si>
  <si>
    <t>2025-06-18</t>
  </si>
  <si>
    <t>2025-02-24 01:08:38</t>
  </si>
  <si>
    <t>2025-02-24 20:58:50</t>
  </si>
  <si>
    <t>4809919414</t>
  </si>
  <si>
    <t>2025-02-25 00:30:00</t>
  </si>
  <si>
    <t>4310754701</t>
  </si>
  <si>
    <t>2025-02-25 04:47:33</t>
  </si>
  <si>
    <t>2025-02-25 15:21:29</t>
  </si>
  <si>
    <t>2025-02-27</t>
  </si>
  <si>
    <t>2025-02-25 22:07:13</t>
  </si>
  <si>
    <t>4820217374</t>
  </si>
  <si>
    <t>2025-02-25 23:12:43</t>
  </si>
  <si>
    <t>420992581</t>
  </si>
  <si>
    <t>2025-02-26 01:24:47</t>
  </si>
  <si>
    <t>421039126</t>
  </si>
  <si>
    <t>2025-02-26 02:42:17</t>
  </si>
  <si>
    <t>4715983556</t>
  </si>
  <si>
    <t>2025-02-26 04:10:35</t>
  </si>
  <si>
    <t>4497665495</t>
  </si>
  <si>
    <t>2025-02-26 04:21:09</t>
  </si>
  <si>
    <t>4800252153</t>
  </si>
  <si>
    <t>2025-02-26 20:55:49</t>
  </si>
  <si>
    <t>4903977409</t>
  </si>
  <si>
    <t>2025-02-26 23:46:46</t>
  </si>
  <si>
    <t>2025-02-27 04:33:33</t>
  </si>
  <si>
    <t>2025-02-27 16:41:26</t>
  </si>
  <si>
    <t>4520798883</t>
  </si>
  <si>
    <t>2025-02-27 22:15:25</t>
  </si>
  <si>
    <t>2025-03-01 02:46:42</t>
  </si>
  <si>
    <t>2025-04-01</t>
  </si>
  <si>
    <t>423270292</t>
  </si>
  <si>
    <t>2025-03-01 02:56:53</t>
  </si>
  <si>
    <t>423553318</t>
  </si>
  <si>
    <t>2025-03-01 16:31:19</t>
  </si>
  <si>
    <t>423554165</t>
  </si>
  <si>
    <t>2025-03-01 16:32:50</t>
  </si>
  <si>
    <t>2025-04-03</t>
  </si>
  <si>
    <t>2025-04-05</t>
  </si>
  <si>
    <t>2025-03-03 03:08:11</t>
  </si>
  <si>
    <t>2025-03-04</t>
  </si>
  <si>
    <t>2151018767</t>
  </si>
  <si>
    <t>2025-03-03 10:45:41</t>
  </si>
  <si>
    <t>2025-03-17</t>
  </si>
  <si>
    <t>4788606063</t>
  </si>
  <si>
    <t>2025-03-04 01:08:37</t>
  </si>
  <si>
    <t>4671179858</t>
  </si>
  <si>
    <t>2025-03-04 15:41:49</t>
  </si>
  <si>
    <t>2025-03-30</t>
  </si>
  <si>
    <t>2025-04-02</t>
  </si>
  <si>
    <t>2025-03-04 19:59:08</t>
  </si>
  <si>
    <t>4607057478</t>
  </si>
  <si>
    <t>2025-03-04 20:05:43</t>
  </si>
  <si>
    <t>2025-03-04 22:31:46</t>
  </si>
  <si>
    <t>117 (STQ), 101 (DQ)</t>
  </si>
  <si>
    <t>2025-03-04 23:53:39</t>
  </si>
  <si>
    <t>2025-03-24</t>
  </si>
  <si>
    <t>2025-03-05 00:41:49</t>
  </si>
  <si>
    <t>2025-03-05 16:59:32</t>
  </si>
  <si>
    <t>2025-03-05 20:08:07</t>
  </si>
  <si>
    <t>4945683676</t>
  </si>
  <si>
    <t>2025-03-06 01:43:35</t>
  </si>
  <si>
    <t>2025-03-07 00:20:59</t>
  </si>
  <si>
    <t>4516796470</t>
  </si>
  <si>
    <t>2025-03-07 02:46:47</t>
  </si>
  <si>
    <t>2025-04-12</t>
  </si>
  <si>
    <t>2025-04-14</t>
  </si>
  <si>
    <t>4538422264</t>
  </si>
  <si>
    <t>2025-03-07 03:22:19</t>
  </si>
  <si>
    <t>427071260</t>
  </si>
  <si>
    <t>2025-03-07 20:52:58</t>
  </si>
  <si>
    <t>2025-03-09 22:04:04</t>
  </si>
  <si>
    <t>2025-03-10 19:26:08</t>
  </si>
  <si>
    <t>2025-03-11 21:01:13</t>
  </si>
  <si>
    <t>2025-03-12 18:42:22</t>
  </si>
  <si>
    <t>2025-04-21</t>
  </si>
  <si>
    <t>2025-04-23</t>
  </si>
  <si>
    <t>2025-03-12 18:52:34</t>
  </si>
  <si>
    <t>2153984517</t>
  </si>
  <si>
    <t>2025-03-12 22:54:45</t>
  </si>
  <si>
    <t>2154734212</t>
  </si>
  <si>
    <t>2025-03-14 03:56:42</t>
  </si>
  <si>
    <t>2025-03-25</t>
  </si>
  <si>
    <t>2025-03-15 19:25:20</t>
  </si>
  <si>
    <t>2025-03-16</t>
  </si>
  <si>
    <t>4379278174</t>
  </si>
  <si>
    <t>2025-03-15 22:27:02</t>
  </si>
  <si>
    <t>2025-03-19</t>
  </si>
  <si>
    <t>4663220542</t>
  </si>
  <si>
    <t>2025-03-16 01:04:32</t>
  </si>
  <si>
    <t>429535357</t>
  </si>
  <si>
    <t>2025-03-16 14:39:08</t>
  </si>
  <si>
    <t>2025-04-17</t>
  </si>
  <si>
    <t>2025-03-16 15:16:58</t>
  </si>
  <si>
    <t>2025-03-23</t>
  </si>
  <si>
    <t>4534199662</t>
  </si>
  <si>
    <t>2025-03-16 16:35:28</t>
  </si>
  <si>
    <t>Moved guest to room 116 due to issues with thermostat in room 120. I thought I knew how to do it in the computer, but I don't. Will touch base tomorrow afternoon when I get here.</t>
  </si>
  <si>
    <t>4688818580</t>
  </si>
  <si>
    <t>2025-03-16 19:26:59</t>
  </si>
  <si>
    <t>2025-03-18</t>
  </si>
  <si>
    <t>4716487225</t>
  </si>
  <si>
    <t>2025-03-16 22:18:33</t>
  </si>
  <si>
    <t>2156149070</t>
  </si>
  <si>
    <t>2025-03-16 23:25:35</t>
  </si>
  <si>
    <t>2156201928</t>
  </si>
  <si>
    <t>2025-03-17 01:24:12</t>
  </si>
  <si>
    <t>429640371</t>
  </si>
  <si>
    <t>2025-03-17 01:56:41</t>
  </si>
  <si>
    <t>2156226727</t>
  </si>
  <si>
    <t>2025-03-17 02:20:53</t>
  </si>
  <si>
    <t>2025-03-22</t>
  </si>
  <si>
    <t>2156436927</t>
  </si>
  <si>
    <t>2025-03-17 11:48:11</t>
  </si>
  <si>
    <t>2025-03-17 19:09:21</t>
  </si>
  <si>
    <t>2025-03-17 20:59:40</t>
  </si>
  <si>
    <t>2025-03-17 21:36:18</t>
  </si>
  <si>
    <t>4631415747</t>
  </si>
  <si>
    <t>2025-03-17 23:41:06</t>
  </si>
  <si>
    <t>2025-04-09</t>
  </si>
  <si>
    <t>2025-04-13</t>
  </si>
  <si>
    <t>4305682567</t>
  </si>
  <si>
    <t>2025-03-18 02:38:44</t>
  </si>
  <si>
    <t>2157099348</t>
  </si>
  <si>
    <t>2025-03-18 09:22:34</t>
  </si>
  <si>
    <t>4862089181</t>
  </si>
  <si>
    <t>2025-03-18 17:50:28</t>
  </si>
  <si>
    <t>The guests checked out early on 3/20/25 around 6:30 pm. They finished their job early. As I went into their reservation to check them out, the system stated that they now have a negative balance of $77.00. So, I then went back to the reservation and added tonight back on, with the intention of writing a note about them checking out a day early. After modifying the date, it now has a balance of $23.00.</t>
  </si>
  <si>
    <t>2157408090</t>
  </si>
  <si>
    <t>2025-03-18 18:43:36</t>
  </si>
  <si>
    <t>2025-03-29</t>
  </si>
  <si>
    <t>4666834980</t>
  </si>
  <si>
    <t>2025-03-18 21:51:14</t>
  </si>
  <si>
    <t>2025-03-18 22:38:09</t>
  </si>
  <si>
    <t>4741494615</t>
  </si>
  <si>
    <t>2025-03-18 23:09:50</t>
  </si>
  <si>
    <t>4729024068</t>
  </si>
  <si>
    <t>2025-03-18 23:19:55</t>
  </si>
  <si>
    <t>2157566199</t>
  </si>
  <si>
    <t>2025-03-18 23:26:20</t>
  </si>
  <si>
    <t>2025-04-11</t>
  </si>
  <si>
    <t>2157626992</t>
  </si>
  <si>
    <t>2025-03-19 01:19:46</t>
  </si>
  <si>
    <t>2157646707</t>
  </si>
  <si>
    <t>2025-03-19 01:54:19</t>
  </si>
  <si>
    <t>2025-03-19 03:29:49</t>
  </si>
  <si>
    <t>2025-05-09</t>
  </si>
  <si>
    <t>429811664</t>
  </si>
  <si>
    <t>2025-03-19 04:08:15</t>
  </si>
  <si>
    <t>2025-04-04</t>
  </si>
  <si>
    <t>4741493356</t>
  </si>
  <si>
    <t>2025-03-19 09:41:30</t>
  </si>
  <si>
    <t>2025-04-29</t>
  </si>
  <si>
    <t>2025-04-30</t>
  </si>
  <si>
    <t>2157860876</t>
  </si>
  <si>
    <t>2025-03-19 10:59:20</t>
  </si>
  <si>
    <t>2025-03-19 16:18:27</t>
  </si>
  <si>
    <t>2025-05-15</t>
  </si>
  <si>
    <t>2025-05-16</t>
  </si>
  <si>
    <t>2025-03-19 17:05:48</t>
  </si>
  <si>
    <t>2158115871</t>
  </si>
  <si>
    <t>2025-03-19 18:01:12</t>
  </si>
  <si>
    <t>4409021319</t>
  </si>
  <si>
    <t>2025-03-19 18:29:23</t>
  </si>
  <si>
    <t>2025-03-19 20:26:03</t>
  </si>
  <si>
    <t>2158277408</t>
  </si>
  <si>
    <t>2025-03-19 22:20:25</t>
  </si>
  <si>
    <t>2025-09-07</t>
  </si>
  <si>
    <t>2025-09-09</t>
  </si>
  <si>
    <t>2158299374</t>
  </si>
  <si>
    <t>2025-03-19 22:58:20</t>
  </si>
  <si>
    <t>2025-10-06</t>
  </si>
  <si>
    <t>2025-03-20 00:23:56</t>
  </si>
  <si>
    <t>2158622375</t>
  </si>
  <si>
    <t>2025-03-20 10:59:32</t>
  </si>
  <si>
    <t>2025-04-26</t>
  </si>
  <si>
    <t>2025-04-27</t>
  </si>
  <si>
    <t>2158748813</t>
  </si>
  <si>
    <t>2025-03-20 14:55:38</t>
  </si>
  <si>
    <t>2158748815</t>
  </si>
  <si>
    <t>2025-03-20 14:55:45</t>
  </si>
  <si>
    <t>2158826342</t>
  </si>
  <si>
    <t>2025-03-20 16:46:27</t>
  </si>
  <si>
    <t>2158846976</t>
  </si>
  <si>
    <t>2025-03-20 17:17:07</t>
  </si>
  <si>
    <t>Guest called at 4:15 pm on Saturday and stated that he was having car troubles. He didn't think he could make it tonight, but is definitely coming. I told him that I would put his key and registration form in the mailbox should he be able to arrive tonight.</t>
  </si>
  <si>
    <t>2158928621</t>
  </si>
  <si>
    <t>2025-03-20 19:26:38</t>
  </si>
  <si>
    <t>2025-03-26</t>
  </si>
  <si>
    <t>2159055733</t>
  </si>
  <si>
    <t>2025-03-20 22:56:18</t>
  </si>
  <si>
    <t>2025-03-21 00:45:56</t>
  </si>
  <si>
    <t>4509188714</t>
  </si>
  <si>
    <t>2025-03-21 00:57:53</t>
  </si>
  <si>
    <t>2025-05-19</t>
  </si>
  <si>
    <t>4386506600</t>
  </si>
  <si>
    <t>2025-03-21 09:45:37</t>
  </si>
  <si>
    <t>2025-05-01</t>
  </si>
  <si>
    <t>4706555142</t>
  </si>
  <si>
    <t>2025-03-21 13:39:27</t>
  </si>
  <si>
    <t>2159897957</t>
  </si>
  <si>
    <t>2025-03-22 01:25:00</t>
  </si>
  <si>
    <t>2159971535</t>
  </si>
  <si>
    <t>2025-03-22 03:57:15</t>
  </si>
  <si>
    <t>2160173106</t>
  </si>
  <si>
    <t>2025-03-22 14:47:05</t>
  </si>
  <si>
    <t>2160225304</t>
  </si>
  <si>
    <t>2025-03-22 16:24:50</t>
  </si>
  <si>
    <t>4476529274</t>
  </si>
  <si>
    <t>2025-03-22 18:02:02</t>
  </si>
  <si>
    <t>4549344392</t>
  </si>
  <si>
    <t>2025-03-23 01:48:57</t>
  </si>
  <si>
    <t>2160532655</t>
  </si>
  <si>
    <t>2025-03-23 02:36:36</t>
  </si>
  <si>
    <t>4490859647</t>
  </si>
  <si>
    <t>2025-03-23 03:06:58</t>
  </si>
  <si>
    <t>2025-05-08</t>
  </si>
  <si>
    <t>4591841545</t>
  </si>
  <si>
    <t>2025-03-23 04:07:57</t>
  </si>
  <si>
    <t>2025-04-06</t>
  </si>
  <si>
    <t>2160571635</t>
  </si>
  <si>
    <t>2025-03-23 04:17:12</t>
  </si>
  <si>
    <t>2160667656</t>
  </si>
  <si>
    <t>2025-03-23 10:37:21</t>
  </si>
  <si>
    <t>2025-05-20</t>
  </si>
  <si>
    <t>4476545273</t>
  </si>
  <si>
    <t>2025-03-23 16:01:02</t>
  </si>
  <si>
    <t>2025-04-25</t>
  </si>
  <si>
    <t>4464629638</t>
  </si>
  <si>
    <t>2025-03-23 20:44:39</t>
  </si>
  <si>
    <t>4538006580</t>
  </si>
  <si>
    <t>2025-03-24 01:08:40</t>
  </si>
  <si>
    <t>2161158174</t>
  </si>
  <si>
    <t>2025-03-24 02:17:35</t>
  </si>
  <si>
    <t>2025-03-24 17:24:25</t>
  </si>
  <si>
    <t>2161662491</t>
  </si>
  <si>
    <t>2025-03-24 18:50:46</t>
  </si>
  <si>
    <t>2161717527</t>
  </si>
  <si>
    <t>2025-03-24 20:12:32</t>
  </si>
  <si>
    <t>2161862314</t>
  </si>
  <si>
    <t>2025-03-25 00:00:06</t>
  </si>
  <si>
    <t>2025-03-25 02:38:04</t>
  </si>
  <si>
    <t>2161966201</t>
  </si>
  <si>
    <t>2025-03-25 02:50:50</t>
  </si>
  <si>
    <t>2162082784</t>
  </si>
  <si>
    <t>2025-03-25 08:03:50</t>
  </si>
  <si>
    <t>Guest returned his key at 7:10 pm on Wednesday and said they were checking out.</t>
  </si>
  <si>
    <t>4692555591</t>
  </si>
  <si>
    <t>2025-03-25 13:08:52</t>
  </si>
  <si>
    <t>2162304041</t>
  </si>
  <si>
    <t>2025-03-25 15:25:53</t>
  </si>
  <si>
    <t>2025-05-05</t>
  </si>
  <si>
    <t>2162434130</t>
  </si>
  <si>
    <t>2025-03-25 18:32:17</t>
  </si>
  <si>
    <t>2025-03-25 19:51:07</t>
  </si>
  <si>
    <t>Guest called around 6 pm to see if he could switch rooms. He wasn't happy about the construction noise at 8 am. I told him all of our rooms have sold out. He asked for a refund. I informed him that we couldn't do that either. He obviously wasn't very happy with the results.</t>
  </si>
  <si>
    <t>4447051556</t>
  </si>
  <si>
    <t>2025-03-26 00:39:59</t>
  </si>
  <si>
    <t>2162662732</t>
  </si>
  <si>
    <t>2025-03-26 00:43:51</t>
  </si>
  <si>
    <t>2025-06-02</t>
  </si>
  <si>
    <t>2025-06-03</t>
  </si>
  <si>
    <t>2162667734</t>
  </si>
  <si>
    <t>2025-03-26 00:52:24</t>
  </si>
  <si>
    <t>2025-03-26 02:55:19</t>
  </si>
  <si>
    <t>4377068992</t>
  </si>
  <si>
    <t>2025-03-26 03:34:48</t>
  </si>
  <si>
    <t>4832811104</t>
  </si>
  <si>
    <t>2025-03-26 04:47:43</t>
  </si>
  <si>
    <t>2025-04-10</t>
  </si>
  <si>
    <t>4807732533</t>
  </si>
  <si>
    <t>2025-03-26 09:16:00</t>
  </si>
  <si>
    <t>4447077619</t>
  </si>
  <si>
    <t>2025-03-26 14:10:31</t>
  </si>
  <si>
    <t>4663624758</t>
  </si>
  <si>
    <t>2025-03-26 21:05:21</t>
  </si>
  <si>
    <t>2163301677</t>
  </si>
  <si>
    <t>2025-03-26 21:11:33</t>
  </si>
  <si>
    <t>2163301690</t>
  </si>
  <si>
    <t>2025-03-26 21:11:37</t>
  </si>
  <si>
    <t>4728760991</t>
  </si>
  <si>
    <t>2025-03-26 22:57:54</t>
  </si>
  <si>
    <t>2025-06-20</t>
  </si>
  <si>
    <t>2025-06-22</t>
  </si>
  <si>
    <t>2163462759</t>
  </si>
  <si>
    <t>2025-03-27 01:43:24</t>
  </si>
  <si>
    <t>2025-03-27 15:50:01</t>
  </si>
  <si>
    <t>4410038250</t>
  </si>
  <si>
    <t>2025-03-27 17:49:57</t>
  </si>
  <si>
    <t>2163994221</t>
  </si>
  <si>
    <t>2025-03-27 19:29:32</t>
  </si>
  <si>
    <t>2025-03-27 21:34:37</t>
  </si>
  <si>
    <t>2164092600</t>
  </si>
  <si>
    <t>2025-03-27 22:12:28</t>
  </si>
  <si>
    <t>2164133420</t>
  </si>
  <si>
    <t>2025-03-27 23:25:55</t>
  </si>
  <si>
    <t>4907053752</t>
  </si>
  <si>
    <t>2025-03-28 02:16:37</t>
  </si>
  <si>
    <t>2025-05-10</t>
  </si>
  <si>
    <t>2164260304</t>
  </si>
  <si>
    <t>2025-03-28 03:06:35</t>
  </si>
  <si>
    <t>4693975931</t>
  </si>
  <si>
    <t>2025-03-28 16:11:15</t>
  </si>
  <si>
    <t>2025-03-28 20:15:59</t>
  </si>
  <si>
    <t>4693952283</t>
  </si>
  <si>
    <t>2025-03-28 20:36:07</t>
  </si>
  <si>
    <t>2025-03-28 20:58:53</t>
  </si>
  <si>
    <t>2164805231</t>
  </si>
  <si>
    <t>2025-03-28 21:12:30</t>
  </si>
  <si>
    <t>2025-03-28 21:36:08</t>
  </si>
  <si>
    <t>2025-03-28 23:43:32</t>
  </si>
  <si>
    <t>4507299623</t>
  </si>
  <si>
    <t>2025-03-29 02:12:32</t>
  </si>
  <si>
    <t>4693935374</t>
  </si>
  <si>
    <t>2025-03-29 04:17:39</t>
  </si>
  <si>
    <t>2165039495</t>
  </si>
  <si>
    <t>2025-03-29 05:05:23</t>
  </si>
  <si>
    <t>2165199511</t>
  </si>
  <si>
    <t>2025-03-29 14:15:41</t>
  </si>
  <si>
    <t>2165200921</t>
  </si>
  <si>
    <t>2025-03-29 14:18:41</t>
  </si>
  <si>
    <t>2165215421</t>
  </si>
  <si>
    <t>2025-03-29 14:48:14</t>
  </si>
  <si>
    <t>2165250242</t>
  </si>
  <si>
    <t>2025-03-29 15:54:36</t>
  </si>
  <si>
    <t>4609545732</t>
  </si>
  <si>
    <t>2025-03-29 16:53:11</t>
  </si>
  <si>
    <t>2025-03-29 17:24:06</t>
  </si>
  <si>
    <t>4558527838</t>
  </si>
  <si>
    <t>2025-03-29 18:42:36</t>
  </si>
  <si>
    <t>2025-09-06</t>
  </si>
  <si>
    <t>2025-09-08</t>
  </si>
  <si>
    <t>2165386590</t>
  </si>
  <si>
    <t>2025-03-29 20:11:14</t>
  </si>
  <si>
    <t>2165396251</t>
  </si>
  <si>
    <t>2025-03-29 20:29:28</t>
  </si>
  <si>
    <t>4564283897</t>
  </si>
  <si>
    <t>2025-03-29 20:51:00</t>
  </si>
  <si>
    <t>2025-05-21</t>
  </si>
  <si>
    <t>2165475910</t>
  </si>
  <si>
    <t>2025-03-29 23:06:24</t>
  </si>
  <si>
    <t>4564204063</t>
  </si>
  <si>
    <t>2025-03-29 23:45:42</t>
  </si>
  <si>
    <t>2165543973</t>
  </si>
  <si>
    <t>2025-03-30 01:32:18</t>
  </si>
  <si>
    <t>2165590500</t>
  </si>
  <si>
    <t>2025-03-30 03:19:47</t>
  </si>
  <si>
    <t>2025-03-30 03:52:28</t>
  </si>
  <si>
    <t>2165626245</t>
  </si>
  <si>
    <t>2025-03-30 05:06:16</t>
  </si>
  <si>
    <t>2165631509</t>
  </si>
  <si>
    <t>2025-03-30 05:26:24</t>
  </si>
  <si>
    <t>Credit Card Not Able to Process Payment - Marking as No-Show on Expedia.</t>
  </si>
  <si>
    <t>2025-03-30 06:04:55</t>
  </si>
  <si>
    <t>4558577602</t>
  </si>
  <si>
    <t>2025-03-30 09:06:04</t>
  </si>
  <si>
    <t>2165757995</t>
  </si>
  <si>
    <t>2025-03-30 13:17:53</t>
  </si>
  <si>
    <t>2025-03-30 16:59:49</t>
  </si>
  <si>
    <t>2165922715</t>
  </si>
  <si>
    <t>2025-03-30 18:29:49</t>
  </si>
  <si>
    <t>2165923236</t>
  </si>
  <si>
    <t>2025-03-30 18:30:37</t>
  </si>
  <si>
    <t>2166012926</t>
  </si>
  <si>
    <t>2025-03-30 20:57:44</t>
  </si>
  <si>
    <t>2166028500</t>
  </si>
  <si>
    <t>2025-03-30 21:24:24</t>
  </si>
  <si>
    <t>2166037647</t>
  </si>
  <si>
    <t>2025-03-30 21:40:26</t>
  </si>
  <si>
    <t>2166037646</t>
  </si>
  <si>
    <t>2025-03-30 21:40:29</t>
  </si>
  <si>
    <t>2166111173</t>
  </si>
  <si>
    <t>2025-03-30 23:54:19</t>
  </si>
  <si>
    <t>2166162310</t>
  </si>
  <si>
    <t>2025-03-31 01:24:59</t>
  </si>
  <si>
    <t>4806420578</t>
  </si>
  <si>
    <t>2025-03-31 03:25:11</t>
  </si>
  <si>
    <t>2025-03-31 03:48:06</t>
  </si>
  <si>
    <t>4448584118</t>
  </si>
  <si>
    <t>2025-03-31 14:57:05</t>
  </si>
  <si>
    <t>2025-03-31 15:54:15</t>
  </si>
  <si>
    <t>2166701598</t>
  </si>
  <si>
    <t>2025-03-31 19:01:42</t>
  </si>
  <si>
    <t>4666540374</t>
  </si>
  <si>
    <t>2025-03-31 19:33:34</t>
  </si>
  <si>
    <t>4599249561</t>
  </si>
  <si>
    <t>2025-03-31 21:12:26</t>
  </si>
  <si>
    <t>2025-03-31 21:34:29</t>
  </si>
  <si>
    <t>4758994861</t>
  </si>
  <si>
    <t>2025-03-31 22:44:41</t>
  </si>
  <si>
    <t>4880584049</t>
  </si>
  <si>
    <t>2025-03-31 22:44:45</t>
  </si>
  <si>
    <t>Had to move to 117 upstairs King is not complete yet.</t>
  </si>
  <si>
    <t>2166849417</t>
  </si>
  <si>
    <t>2025-03-31 22:45:37</t>
  </si>
  <si>
    <t>2166953019</t>
  </si>
  <si>
    <t>2025-04-01 01:39:55</t>
  </si>
  <si>
    <t>2167012861</t>
  </si>
  <si>
    <t>2025-04-01 03:21:55</t>
  </si>
  <si>
    <t>2167053309</t>
  </si>
  <si>
    <t>2025-04-01 04:53:52</t>
  </si>
  <si>
    <t>4454069761</t>
  </si>
  <si>
    <t>2025-04-01 20:41:21</t>
  </si>
  <si>
    <t>2167566181</t>
  </si>
  <si>
    <t>2025-04-01 21:01:30</t>
  </si>
  <si>
    <t>2025-04-01 21:19:58</t>
  </si>
  <si>
    <t>2167612901</t>
  </si>
  <si>
    <t>2025-04-01 22:21:37</t>
  </si>
  <si>
    <t>2167694210</t>
  </si>
  <si>
    <t>2025-04-02 00:45:31</t>
  </si>
  <si>
    <t>2167983537</t>
  </si>
  <si>
    <t>2025-04-02 11:35:40</t>
  </si>
  <si>
    <t>4299657958</t>
  </si>
  <si>
    <t>2025-04-02 12:50:42</t>
  </si>
  <si>
    <t>2025-04-02 13:57:50</t>
  </si>
  <si>
    <t>2168088729</t>
  </si>
  <si>
    <t>2025-04-02 14:41:27</t>
  </si>
  <si>
    <t>2025-05-18</t>
  </si>
  <si>
    <t>2168258766</t>
  </si>
  <si>
    <t>2025-04-02 18:55:46</t>
  </si>
  <si>
    <t>2168273821</t>
  </si>
  <si>
    <t>2025-04-02 19:19:13</t>
  </si>
  <si>
    <t>Old couple was too cold and then husband became sick had to check out early, Refunded-JF</t>
  </si>
  <si>
    <t>2168470792</t>
  </si>
  <si>
    <t>2025-04-03 00:52:27</t>
  </si>
  <si>
    <t>2168508876</t>
  </si>
  <si>
    <t>2025-04-03 01:54:31</t>
  </si>
  <si>
    <t>2025-09-24</t>
  </si>
  <si>
    <t>2025-09-26</t>
  </si>
  <si>
    <t>2168618416</t>
  </si>
  <si>
    <t>2025-04-03 05:28:14</t>
  </si>
  <si>
    <t>2025-05-03</t>
  </si>
  <si>
    <t>4548655743</t>
  </si>
  <si>
    <t>2025-04-03 05:44:38</t>
  </si>
  <si>
    <t>4367472073</t>
  </si>
  <si>
    <t>Colombia</t>
  </si>
  <si>
    <t>2025-04-03 17:56:49</t>
  </si>
  <si>
    <t>2169043409</t>
  </si>
  <si>
    <t>2025-04-03 19:13:19</t>
  </si>
  <si>
    <t>4630586430</t>
  </si>
  <si>
    <t>2025-04-03 19:18:25</t>
  </si>
  <si>
    <t>2169127850</t>
  </si>
  <si>
    <t>2025-04-03 21:31:41</t>
  </si>
  <si>
    <t>2169142370</t>
  </si>
  <si>
    <t>2025-04-03 21:57:28</t>
  </si>
  <si>
    <t>2025-04-03 23:28:36</t>
  </si>
  <si>
    <t>2169246690</t>
  </si>
  <si>
    <t>2025-04-04 01:05:57</t>
  </si>
  <si>
    <t>2025-05-07</t>
  </si>
  <si>
    <t>4820315869</t>
  </si>
  <si>
    <t>2025-04-04 02:53:42</t>
  </si>
  <si>
    <t>2169308301</t>
  </si>
  <si>
    <t>2025-04-04 02:54:11</t>
  </si>
  <si>
    <t>2169591301</t>
  </si>
  <si>
    <t>2025-04-04 14:12:19</t>
  </si>
  <si>
    <t>4753214545</t>
  </si>
  <si>
    <t>2025-04-04 16:18:51</t>
  </si>
  <si>
    <t>4476273595</t>
  </si>
  <si>
    <t>2025-04-04 17:34:24</t>
  </si>
  <si>
    <t>4480432535</t>
  </si>
  <si>
    <t>2025-04-04 19:57:17</t>
  </si>
  <si>
    <t>2170006992</t>
  </si>
  <si>
    <t>2025-04-05 02:08:54</t>
  </si>
  <si>
    <t>4494568959</t>
  </si>
  <si>
    <t>2025-04-05 02:49:33</t>
  </si>
  <si>
    <t>2025-04-05 10:04:28</t>
  </si>
  <si>
    <t>4494594877</t>
  </si>
  <si>
    <t>2025-04-05 13:53:35</t>
  </si>
  <si>
    <t>2170244095</t>
  </si>
  <si>
    <t>2025-04-05 14:17:35</t>
  </si>
  <si>
    <t>4979507596</t>
  </si>
  <si>
    <t>2025-04-05 15:21:06</t>
  </si>
  <si>
    <t>2170302114</t>
  </si>
  <si>
    <t>2025-04-05 16:09:37</t>
  </si>
  <si>
    <t>2170302115</t>
  </si>
  <si>
    <t>2025-04-05 16:09:39</t>
  </si>
  <si>
    <t>2170329556</t>
  </si>
  <si>
    <t>2025-04-05 17:01:07</t>
  </si>
  <si>
    <t>2025-04-05 17:54:37</t>
  </si>
  <si>
    <t>2170369473</t>
  </si>
  <si>
    <t>2025-04-05 18:16:56</t>
  </si>
  <si>
    <t>2170407066</t>
  </si>
  <si>
    <t>2025-04-05 19:29:02</t>
  </si>
  <si>
    <t>2025-04-28</t>
  </si>
  <si>
    <t>4497919317</t>
  </si>
  <si>
    <t>2025-04-05 20:22:11</t>
  </si>
  <si>
    <t>2170442245</t>
  </si>
  <si>
    <t>2025-04-05 20:36:45</t>
  </si>
  <si>
    <t>2170477558</t>
  </si>
  <si>
    <t>2025-04-05 21:47:39</t>
  </si>
  <si>
    <t>2025-07-05</t>
  </si>
  <si>
    <t>2025-07-08</t>
  </si>
  <si>
    <t>2025-04-05 22:40:23</t>
  </si>
  <si>
    <t>2170545293</t>
  </si>
  <si>
    <t>2025-04-06 00:13:55</t>
  </si>
  <si>
    <t>2025-04-06 00:31:40</t>
  </si>
  <si>
    <t>4756722080</t>
  </si>
  <si>
    <t>2025-04-06 01:35:52</t>
  </si>
  <si>
    <t>2170587114</t>
  </si>
  <si>
    <t>2025-04-06 01:45:34</t>
  </si>
  <si>
    <t>2025-04-06 04:56:01</t>
  </si>
  <si>
    <t>2025-04-06 07:16:42</t>
  </si>
  <si>
    <t>4640161398</t>
  </si>
  <si>
    <t>2025-04-06 13:55:46</t>
  </si>
  <si>
    <t>3156574688</t>
  </si>
  <si>
    <t>2025-04-06 14:26:44</t>
  </si>
  <si>
    <t>4355768691</t>
  </si>
  <si>
    <t>2025-04-06 14:37:00</t>
  </si>
  <si>
    <t>4355792707</t>
  </si>
  <si>
    <t>2025-04-06 14:46:38</t>
  </si>
  <si>
    <t>Please have this room cleaned by 2 pm for an early check-in. I will be here, but I wanted to make a note of it. They have a special occasion that they need to get ready for. Christy</t>
  </si>
  <si>
    <t>4438878697</t>
  </si>
  <si>
    <t>Denmark</t>
  </si>
  <si>
    <t>2025-04-06 15:46:03</t>
  </si>
  <si>
    <t>2170872205</t>
  </si>
  <si>
    <t>2025-04-06 15:46:49</t>
  </si>
  <si>
    <t>2170880919</t>
  </si>
  <si>
    <t>2025-04-06 16:02:41</t>
  </si>
  <si>
    <t>4905827534</t>
  </si>
  <si>
    <t>2025-04-06 16:05:28</t>
  </si>
  <si>
    <t>2025-04-06 16:11:13</t>
  </si>
  <si>
    <t>4853498286</t>
  </si>
  <si>
    <t>2025-04-06 17:25:10</t>
  </si>
  <si>
    <t>2025-04-06 17:43:07</t>
  </si>
  <si>
    <t>4463238882</t>
  </si>
  <si>
    <t>2025-04-06 18:33:20</t>
  </si>
  <si>
    <t>2170973612</t>
  </si>
  <si>
    <t>2025-04-06 18:45:45</t>
  </si>
  <si>
    <t>2170983891</t>
  </si>
  <si>
    <t>2025-04-06 19:03:21</t>
  </si>
  <si>
    <t>2025-04-06 21:17:52</t>
  </si>
  <si>
    <t>He wants to extend his stay by 2 more days. I asked him to check back after 8 am (he will be at work and will call) to see if we can accommodate him.</t>
  </si>
  <si>
    <t>2171088943</t>
  </si>
  <si>
    <t>2025-04-06 22:07:53</t>
  </si>
  <si>
    <t>2171106971</t>
  </si>
  <si>
    <t>2025-04-06 22:42:25</t>
  </si>
  <si>
    <t>2171116111</t>
  </si>
  <si>
    <t>2025-04-06 23:00:16</t>
  </si>
  <si>
    <t>4905881843</t>
  </si>
  <si>
    <t>2025-04-07 00:06:25</t>
  </si>
  <si>
    <t>2171173751</t>
  </si>
  <si>
    <t>2025-04-07 00:47:32</t>
  </si>
  <si>
    <t>2025-04-07 00:52:57</t>
  </si>
  <si>
    <t>2025-04-07 01:11:26</t>
  </si>
  <si>
    <t>2171214362</t>
  </si>
  <si>
    <t>2025-04-07 01:59:44</t>
  </si>
  <si>
    <t>4642611002</t>
  </si>
  <si>
    <t>2025-04-07 03:18:29</t>
  </si>
  <si>
    <t>2171291898</t>
  </si>
  <si>
    <t>2025-04-07 04:48:41</t>
  </si>
  <si>
    <t>2171314471</t>
  </si>
  <si>
    <t>2025-04-07 05:57:43</t>
  </si>
  <si>
    <t>2025-04-07 06:20:35</t>
  </si>
  <si>
    <t>4876853469</t>
  </si>
  <si>
    <t>2025-04-07 12:59:00</t>
  </si>
  <si>
    <t>2171534228</t>
  </si>
  <si>
    <t>2025-04-07 14:08:45</t>
  </si>
  <si>
    <t>2025-06-14</t>
  </si>
  <si>
    <t>2171537691</t>
  </si>
  <si>
    <t>2025-04-07 14:14:01</t>
  </si>
  <si>
    <t>2025-04-07 15:05:04</t>
  </si>
  <si>
    <t>4477722118</t>
  </si>
  <si>
    <t>2025-04-07 15:38:03</t>
  </si>
  <si>
    <t>2025-04-07 16:45:53</t>
  </si>
  <si>
    <t>Guest called at 7:30 pm and stated he will not be back to the motel until after 10 pm. He will come to the office in the morning to pay his charges for the next couple of nights.</t>
  </si>
  <si>
    <t>2171720383</t>
  </si>
  <si>
    <t>2025-04-07 18:36:14</t>
  </si>
  <si>
    <t>4408370516</t>
  </si>
  <si>
    <t>2025-04-07 19:44:12</t>
  </si>
  <si>
    <t>4850388202</t>
  </si>
  <si>
    <t>2025-04-07 21:05:10</t>
  </si>
  <si>
    <t>2025-04-07 23:21:18</t>
  </si>
  <si>
    <t>4801402175</t>
  </si>
  <si>
    <t>2025-04-08 02:02:27</t>
  </si>
  <si>
    <t>2172065549</t>
  </si>
  <si>
    <t>2025-04-08 04:11:02</t>
  </si>
  <si>
    <t>4850306282</t>
  </si>
  <si>
    <t>2025-04-08 07:29:24</t>
  </si>
  <si>
    <t>2172281874</t>
  </si>
  <si>
    <t>2025-04-08 13:04:36</t>
  </si>
  <si>
    <t>2172446660</t>
  </si>
  <si>
    <t>2025-04-08 17:12:21</t>
  </si>
  <si>
    <t>2172489546</t>
  </si>
  <si>
    <t>2025-04-08 18:20:30</t>
  </si>
  <si>
    <t>4359875565</t>
  </si>
  <si>
    <t>2025-04-08 18:39:51</t>
  </si>
  <si>
    <t>2025-04-08 20:10:53</t>
  </si>
  <si>
    <t>2172698981</t>
  </si>
  <si>
    <t>2025-04-09 00:14:27</t>
  </si>
  <si>
    <t>2172699313</t>
  </si>
  <si>
    <t>2025-04-09 00:15:05</t>
  </si>
  <si>
    <t>4948328184</t>
  </si>
  <si>
    <t>2025-04-09 00:55:38</t>
  </si>
  <si>
    <t>2172788191</t>
  </si>
  <si>
    <t>2025-04-09 02:45:49</t>
  </si>
  <si>
    <t>4504643085</t>
  </si>
  <si>
    <t>Costa Rica</t>
  </si>
  <si>
    <t>2025-04-09 04:59:17</t>
  </si>
  <si>
    <t>4659674220</t>
  </si>
  <si>
    <t>2025-04-09 07:15:12</t>
  </si>
  <si>
    <t>2172900751</t>
  </si>
  <si>
    <t>2025-04-09 07:25:47</t>
  </si>
  <si>
    <t>117 (STQ), 108 (STK)</t>
  </si>
  <si>
    <t>Standard Queen, Standard King</t>
  </si>
  <si>
    <t>2025-04-09 14:44:57</t>
  </si>
  <si>
    <t>2173123641</t>
  </si>
  <si>
    <t>2025-04-09 15:14:45</t>
  </si>
  <si>
    <t>2173178252</t>
  </si>
  <si>
    <t>2025-04-09 16:36:08</t>
  </si>
  <si>
    <t>2173231358</t>
  </si>
  <si>
    <t>2025-04-09 18:01:56</t>
  </si>
  <si>
    <t>2025-04-09 19:38:09</t>
  </si>
  <si>
    <t>4846132705</t>
  </si>
  <si>
    <t>2025-04-09 20:57:09</t>
  </si>
  <si>
    <t>2025-06-21</t>
  </si>
  <si>
    <t>2025-06-25</t>
  </si>
  <si>
    <t>2173362928</t>
  </si>
  <si>
    <t>2025-04-09 21:42:05</t>
  </si>
  <si>
    <t>2173476504</t>
  </si>
  <si>
    <t>2025-04-10 01:11:28</t>
  </si>
  <si>
    <t>2025-04-10 03:35:50</t>
  </si>
  <si>
    <t>4639836059</t>
  </si>
  <si>
    <t>2025-04-10 04:13:04</t>
  </si>
  <si>
    <t>2173596051</t>
  </si>
  <si>
    <t>2025-04-10 05:06:17</t>
  </si>
  <si>
    <t>4639877278</t>
  </si>
  <si>
    <t>2025-04-10 08:23:31</t>
  </si>
  <si>
    <t>2173705352</t>
  </si>
  <si>
    <t>2025-04-10 09:59:46</t>
  </si>
  <si>
    <t>4636449398</t>
  </si>
  <si>
    <t>2025-04-10 15:10:52</t>
  </si>
  <si>
    <t>2025-04-10 17:14:03</t>
  </si>
  <si>
    <t>2025-09-17</t>
  </si>
  <si>
    <t>2025-09-18</t>
  </si>
  <si>
    <t>2173969668</t>
  </si>
  <si>
    <t>2025-04-10 17:50:15</t>
  </si>
  <si>
    <t>4639889822</t>
  </si>
  <si>
    <t>2025-04-10 20:17:20</t>
  </si>
  <si>
    <t>2025-04-10 21:41:56</t>
  </si>
  <si>
    <t>2174137040</t>
  </si>
  <si>
    <t>2025-04-10 22:36:24</t>
  </si>
  <si>
    <t>2025-06-27</t>
  </si>
  <si>
    <t>2174203826</t>
  </si>
  <si>
    <t>2025-04-11 00:41:10</t>
  </si>
  <si>
    <t>2174203828</t>
  </si>
  <si>
    <t>2025-04-11 00:41:12</t>
  </si>
  <si>
    <t>2174230193</t>
  </si>
  <si>
    <t>2025-04-11 01:26:22</t>
  </si>
  <si>
    <t>4403252555</t>
  </si>
  <si>
    <t>2025-04-11 01:46:21</t>
  </si>
  <si>
    <t>2174425530</t>
  </si>
  <si>
    <t>2025-04-11 09:03:21</t>
  </si>
  <si>
    <t>2174616036</t>
  </si>
  <si>
    <t>2025-04-11 15:23:46</t>
  </si>
  <si>
    <t>2025-04-11 15:28:44</t>
  </si>
  <si>
    <t>2175311353</t>
  </si>
  <si>
    <t>2025-04-12 17:15:53</t>
  </si>
  <si>
    <t xml:space="preserve">Diane Swan completed the Durango Guidebook mini app: https://sys.akia.ai/mapp/f56c706d-ea5e-493a-b5ce-26758cac048d?session=9a858f2a-d9e4-4be7-82fc-b878d059fc90
</t>
  </si>
  <si>
    <t>4929022393</t>
  </si>
  <si>
    <t>2025-04-12 20:08:24</t>
  </si>
  <si>
    <t>2175497496</t>
  </si>
  <si>
    <t>2025-04-12 23:41:36</t>
  </si>
  <si>
    <t>Guest may want to move on Tuesday if the construction is too loud.</t>
  </si>
  <si>
    <t>2025-04-13 00:28:50</t>
  </si>
  <si>
    <t>2025-09-04</t>
  </si>
  <si>
    <t>4895737796</t>
  </si>
  <si>
    <t>2025-04-13 12:09:25</t>
  </si>
  <si>
    <t>4737791476</t>
  </si>
  <si>
    <t>2025-04-13 12:43:44</t>
  </si>
  <si>
    <t>4440064797</t>
  </si>
  <si>
    <t>2025-04-13 15:48:15</t>
  </si>
  <si>
    <t>2175920790</t>
  </si>
  <si>
    <t>2025-04-13 18:29:18</t>
  </si>
  <si>
    <t>2176000046</t>
  </si>
  <si>
    <t>2025-04-13 20:57:44</t>
  </si>
  <si>
    <t>Texted guest about late arrivals. They responded by stating they cancelled through Expedia and we should have an email. CK</t>
  </si>
  <si>
    <t>2176133735</t>
  </si>
  <si>
    <t>2025-04-14 01:23:50</t>
  </si>
  <si>
    <t>2176206351</t>
  </si>
  <si>
    <t>2025-04-14 03:49:21</t>
  </si>
  <si>
    <t>4494942442</t>
  </si>
  <si>
    <t>2025-04-14 06:38:23</t>
  </si>
  <si>
    <t>104 (STK), 101 (DQ), 108 (STK), 201 (DQ), 114 (STK), 102 (DQ)</t>
  </si>
  <si>
    <t>4615842017</t>
  </si>
  <si>
    <t>2025-04-14 13:08:00</t>
  </si>
  <si>
    <t>2176582160</t>
  </si>
  <si>
    <t>2025-04-14 16:55:30</t>
  </si>
  <si>
    <t>4861987480</t>
  </si>
  <si>
    <t>2025-04-14 18:10:43</t>
  </si>
  <si>
    <t>2176642264</t>
  </si>
  <si>
    <t>2025-04-14 18:28:45</t>
  </si>
  <si>
    <t>2025-07-01</t>
  </si>
  <si>
    <t>2025-07-03</t>
  </si>
  <si>
    <t>4372439394</t>
  </si>
  <si>
    <t>2025-04-14 20:05:46</t>
  </si>
  <si>
    <t>4706170510</t>
  </si>
  <si>
    <t>2025-04-14 20:25:08</t>
  </si>
  <si>
    <t>2025-04-14 22:22:44</t>
  </si>
  <si>
    <t>2176789439</t>
  </si>
  <si>
    <t>2025-04-14 22:26:42</t>
  </si>
  <si>
    <t>4615805642</t>
  </si>
  <si>
    <t>2025-04-14 22:53:41</t>
  </si>
  <si>
    <t>4741299653</t>
  </si>
  <si>
    <t>2025-04-15 00:19:42</t>
  </si>
  <si>
    <t>2176866645</t>
  </si>
  <si>
    <t>2025-04-15 00:50:29</t>
  </si>
  <si>
    <t>4706153030</t>
  </si>
  <si>
    <t>2025-04-15 03:14:30</t>
  </si>
  <si>
    <t>4664564724</t>
  </si>
  <si>
    <t>2025-04-15 04:18:30</t>
  </si>
  <si>
    <t>2176999208</t>
  </si>
  <si>
    <t>2025-04-15 05:24:32</t>
  </si>
  <si>
    <t>4372469465</t>
  </si>
  <si>
    <t>2025-04-15 05:49:19</t>
  </si>
  <si>
    <t>2025-04-15 16:40:54</t>
  </si>
  <si>
    <t>2025-06-16</t>
  </si>
  <si>
    <t>2025-04-15 17:47:14</t>
  </si>
  <si>
    <t>4763664589</t>
  </si>
  <si>
    <t>2025-04-15 20:06:04</t>
  </si>
  <si>
    <t>2025-04-15 20:20:01</t>
  </si>
  <si>
    <t>2025-04-15 22:04:58</t>
  </si>
  <si>
    <t>2177587323</t>
  </si>
  <si>
    <t>2025-04-16 00:05:37</t>
  </si>
  <si>
    <t>2177653635</t>
  </si>
  <si>
    <t>2025-04-16 01:58:50</t>
  </si>
  <si>
    <t>2177709289</t>
  </si>
  <si>
    <t>2025-04-16 03:40:35</t>
  </si>
  <si>
    <t>4427497151</t>
  </si>
  <si>
    <t>2025-04-16 04:00:27</t>
  </si>
  <si>
    <t>2177721376</t>
  </si>
  <si>
    <t>2025-04-16 04:05:58</t>
  </si>
  <si>
    <t>2177762255</t>
  </si>
  <si>
    <t>2025-04-16 05:50:46</t>
  </si>
  <si>
    <t>2025-06-13</t>
  </si>
  <si>
    <t>2178072707</t>
  </si>
  <si>
    <t>2025-04-16 16:28:17</t>
  </si>
  <si>
    <t>2178072705</t>
  </si>
  <si>
    <t>2025-04-16 16:28:18</t>
  </si>
  <si>
    <t>2178091856</t>
  </si>
  <si>
    <t>2025-04-16 16:58:30</t>
  </si>
  <si>
    <t>2025-04-16 18:30:16</t>
  </si>
  <si>
    <t>2025-06-10</t>
  </si>
  <si>
    <t>2178196709</t>
  </si>
  <si>
    <t>2025-04-16 19:51:20</t>
  </si>
  <si>
    <t>2178339952</t>
  </si>
  <si>
    <t>2025-04-17 00:08:27</t>
  </si>
  <si>
    <t>2178353145</t>
  </si>
  <si>
    <t>2025-04-17 00:32:01</t>
  </si>
  <si>
    <t>2178373843</t>
  </si>
  <si>
    <t>2025-04-17 01:07:59</t>
  </si>
  <si>
    <t>2178876199</t>
  </si>
  <si>
    <t>2025-04-17 17:48:23</t>
  </si>
  <si>
    <t>120 (STQ), 119 (STQ)</t>
  </si>
  <si>
    <t>2025-06-23</t>
  </si>
  <si>
    <t>2025-04-17 23:18:33</t>
  </si>
  <si>
    <t>2179137437</t>
  </si>
  <si>
    <t>2025-04-18 01:34:57</t>
  </si>
  <si>
    <t>2179361120</t>
  </si>
  <si>
    <t>2025-04-18 11:01:20</t>
  </si>
  <si>
    <t>2179558639</t>
  </si>
  <si>
    <t>2025-04-18 17:11:35</t>
  </si>
  <si>
    <t>4422437827</t>
  </si>
  <si>
    <t>2025-04-18 17:20:19</t>
  </si>
  <si>
    <t>4593976679</t>
  </si>
  <si>
    <t>2025-04-18 19:24:50</t>
  </si>
  <si>
    <t>2025-04-19 16:19:00</t>
  </si>
  <si>
    <t>2180134570</t>
  </si>
  <si>
    <t>2025-04-19 16:38:20</t>
  </si>
  <si>
    <t>4769398185</t>
  </si>
  <si>
    <t>2025-04-19 16:52:19</t>
  </si>
  <si>
    <t>2180282704</t>
  </si>
  <si>
    <t>2025-04-19 22:02:29</t>
  </si>
  <si>
    <t>4535155007</t>
  </si>
  <si>
    <t>2025-04-19 22:03:28</t>
  </si>
  <si>
    <t>2025-04-20 00:55:17</t>
  </si>
  <si>
    <t>2180374977</t>
  </si>
  <si>
    <t>2025-04-20 01:52:48</t>
  </si>
  <si>
    <t>2025-10-13</t>
  </si>
  <si>
    <t>2025-10-17</t>
  </si>
  <si>
    <t>2180386930</t>
  </si>
  <si>
    <t>2025-04-20 02:23:22</t>
  </si>
  <si>
    <t>2180395106</t>
  </si>
  <si>
    <t>2025-04-20 02:44:55</t>
  </si>
  <si>
    <t>2180680100</t>
  </si>
  <si>
    <t>2025-04-20 17:48:13</t>
  </si>
  <si>
    <t>4959830311</t>
  </si>
  <si>
    <t>2025-04-20 18:23:11</t>
  </si>
  <si>
    <t>2180702101</t>
  </si>
  <si>
    <t>2025-04-20 18:38:16</t>
  </si>
  <si>
    <t>Package arrived on 6/09 and is in the closet.</t>
  </si>
  <si>
    <t>2180749864</t>
  </si>
  <si>
    <t>2025-04-20 20:22:39</t>
  </si>
  <si>
    <t>2180777134</t>
  </si>
  <si>
    <t>2025-04-20 21:23:06</t>
  </si>
  <si>
    <t>2180827434</t>
  </si>
  <si>
    <t>2025-04-20 23:18:16</t>
  </si>
  <si>
    <t>2180841759</t>
  </si>
  <si>
    <t>2025-04-20 23:50:25</t>
  </si>
  <si>
    <t>2180871634</t>
  </si>
  <si>
    <t>2025-04-21 00:54:02</t>
  </si>
  <si>
    <t>2180884492</t>
  </si>
  <si>
    <t>2025-04-21 01:19:47</t>
  </si>
  <si>
    <t>4816488830</t>
  </si>
  <si>
    <t>2025-04-21 01:35:44</t>
  </si>
  <si>
    <t>2180893408</t>
  </si>
  <si>
    <t>2025-04-21 01:36:59</t>
  </si>
  <si>
    <t>4685646701</t>
  </si>
  <si>
    <t>2025-04-21 12:55:41</t>
  </si>
  <si>
    <t>decided they did not want to stay due to the noise of the road</t>
  </si>
  <si>
    <t>2025-04-21 13:46:31</t>
  </si>
  <si>
    <t>2025-04-21 15:24:02</t>
  </si>
  <si>
    <t>2025-04-21 15:50:07</t>
  </si>
  <si>
    <t>2181291019</t>
  </si>
  <si>
    <t>2025-04-21 16:58:38</t>
  </si>
  <si>
    <t>4832477199</t>
  </si>
  <si>
    <t>2025-04-21 18:02:02</t>
  </si>
  <si>
    <t>2181359408</t>
  </si>
  <si>
    <t>2025-04-21 18:35:45</t>
  </si>
  <si>
    <t>2025-04-21 22:02:43</t>
  </si>
  <si>
    <t>4539202087</t>
  </si>
  <si>
    <t>2025-04-21 23:50:32</t>
  </si>
  <si>
    <t>4832487487</t>
  </si>
  <si>
    <t>2025-04-22 00:30:41</t>
  </si>
  <si>
    <t>2025-04-22 02:21:02</t>
  </si>
  <si>
    <t>Guest will be riding the train and have to switch rooms. He's already aware that he will move to 107.</t>
  </si>
  <si>
    <t>2025-06-12</t>
  </si>
  <si>
    <t>2181702745</t>
  </si>
  <si>
    <t>2025-04-22 04:18:43</t>
  </si>
  <si>
    <t>2025-04-22 04:45:08</t>
  </si>
  <si>
    <t>2025-04-22 14:54:00</t>
  </si>
  <si>
    <t>2025-04-22 22:18:22</t>
  </si>
  <si>
    <t>2025-09-29</t>
  </si>
  <si>
    <t>2025-09-30</t>
  </si>
  <si>
    <t>2182358511</t>
  </si>
  <si>
    <t>2025-04-23 00:41:01</t>
  </si>
  <si>
    <t>2182392179</t>
  </si>
  <si>
    <t>2025-04-23 01:35:56</t>
  </si>
  <si>
    <t>2182426011</t>
  </si>
  <si>
    <t>2025-04-23 02:30:09</t>
  </si>
  <si>
    <t>2182458071</t>
  </si>
  <si>
    <t>2025-04-23 03:27:28</t>
  </si>
  <si>
    <t>2182458073</t>
  </si>
  <si>
    <t>2025-04-23 03:27:30</t>
  </si>
  <si>
    <t>2182458074</t>
  </si>
  <si>
    <t>2025-04-23 03:27:33</t>
  </si>
  <si>
    <t>2182464666</t>
  </si>
  <si>
    <t>2025-04-23 03:40:44</t>
  </si>
  <si>
    <t>2182500666</t>
  </si>
  <si>
    <t>2025-04-23 05:02:57</t>
  </si>
  <si>
    <t>2025-07-02</t>
  </si>
  <si>
    <t>4678247080</t>
  </si>
  <si>
    <t>2025-04-23 17:10:01</t>
  </si>
  <si>
    <t>4696544703</t>
  </si>
  <si>
    <t>2025-04-23 19:59:36</t>
  </si>
  <si>
    <t>2183019024</t>
  </si>
  <si>
    <t>2025-04-23 21:09:48</t>
  </si>
  <si>
    <t>2183030172</t>
  </si>
  <si>
    <t>2025-04-23 21:29:07</t>
  </si>
  <si>
    <t>2183172488</t>
  </si>
  <si>
    <t>2025-04-24 01:44:59</t>
  </si>
  <si>
    <t>2183175769</t>
  </si>
  <si>
    <t>2025-04-24 01:50:39</t>
  </si>
  <si>
    <t>2025-04-24 01:56:21</t>
  </si>
  <si>
    <t>2183205042</t>
  </si>
  <si>
    <t>2025-04-24 02:42:01</t>
  </si>
  <si>
    <t>2025-04-24 14:42:57</t>
  </si>
  <si>
    <t>2025-04-24 21:28:42</t>
  </si>
  <si>
    <t>2025-04-24 22:24:13</t>
  </si>
  <si>
    <t>2025-04-24 22:34:12</t>
  </si>
  <si>
    <t>2183851331</t>
  </si>
  <si>
    <t>2025-04-24 23:09:36</t>
  </si>
  <si>
    <t>2025-04-25 00:51:15</t>
  </si>
  <si>
    <t>4798700894</t>
  </si>
  <si>
    <t>2025-04-25 02:25:52</t>
  </si>
  <si>
    <t>4660232236</t>
  </si>
  <si>
    <t>2025-04-25 03:05:58</t>
  </si>
  <si>
    <t>2183993016</t>
  </si>
  <si>
    <t>2025-04-25 03:31:16</t>
  </si>
  <si>
    <t>Need new card-Jf</t>
  </si>
  <si>
    <t>4424068472</t>
  </si>
  <si>
    <t>2025-04-25 04:04:32</t>
  </si>
  <si>
    <t>2025-10-23</t>
  </si>
  <si>
    <t>2025-10-24</t>
  </si>
  <si>
    <t>4388156469</t>
  </si>
  <si>
    <t>2025-04-25 15:44:28</t>
  </si>
  <si>
    <t>2184358006</t>
  </si>
  <si>
    <t>2025-04-25 16:35:25</t>
  </si>
  <si>
    <t>2025-04-25 23:25:25</t>
  </si>
  <si>
    <t>2184633625</t>
  </si>
  <si>
    <t>2025-04-26 00:46:18</t>
  </si>
  <si>
    <t>2025-04-26 02:31:22</t>
  </si>
  <si>
    <t>2184693604</t>
  </si>
  <si>
    <t>2025-04-26 02:48:56</t>
  </si>
  <si>
    <t>2025-04-26 05:13:23</t>
  </si>
  <si>
    <t>2184866129</t>
  </si>
  <si>
    <t>2025-04-26 12:25:52</t>
  </si>
  <si>
    <t>4317296474</t>
  </si>
  <si>
    <t>2025-04-26 14:22:24</t>
  </si>
  <si>
    <t>2025-06-17</t>
  </si>
  <si>
    <t>4758855394</t>
  </si>
  <si>
    <t>2025-04-26 15:48:35</t>
  </si>
  <si>
    <t>2185033260</t>
  </si>
  <si>
    <t>2025-04-26 18:12:14</t>
  </si>
  <si>
    <t>2185033263</t>
  </si>
  <si>
    <t>2025-04-26 18:12:16</t>
  </si>
  <si>
    <t>2185103411</t>
  </si>
  <si>
    <t>2025-04-26 20:31:28</t>
  </si>
  <si>
    <t>Ahmed Mohammed will be checking in for lacrosse-JF</t>
  </si>
  <si>
    <t>4971789894</t>
  </si>
  <si>
    <t>2025-04-27 00:46:50</t>
  </si>
  <si>
    <t>Guest stated that they didn't have a hair dryer in their room. I found one in the stock closet.  It looked like it was the last one.  CK</t>
  </si>
  <si>
    <t>4388154383</t>
  </si>
  <si>
    <t>2025-04-27 00:56:56</t>
  </si>
  <si>
    <t>2025-04-27 01:25:29</t>
  </si>
  <si>
    <t>2025-04-27 01:25:55</t>
  </si>
  <si>
    <t>2185250877</t>
  </si>
  <si>
    <t>2025-04-27 01:56:16</t>
  </si>
  <si>
    <t>2025-04-27 02:26:06</t>
  </si>
  <si>
    <t>2025-05-06</t>
  </si>
  <si>
    <t>4912397254</t>
  </si>
  <si>
    <t>2025-04-27 13:15:57</t>
  </si>
  <si>
    <t>2185544529</t>
  </si>
  <si>
    <t>2025-04-27 16:15:43</t>
  </si>
  <si>
    <t>2025-04-27 16:58:47</t>
  </si>
  <si>
    <t>2185587735</t>
  </si>
  <si>
    <t>2025-04-27 17:38:07</t>
  </si>
  <si>
    <t>2185651528</t>
  </si>
  <si>
    <t>2025-04-27 19:34:47</t>
  </si>
  <si>
    <t>2025-04-27 20:12:01</t>
  </si>
  <si>
    <t>4819175975</t>
  </si>
  <si>
    <t>2025-04-27 21:02:44</t>
  </si>
  <si>
    <t>2185702649</t>
  </si>
  <si>
    <t>2025-04-27 21:07:33</t>
  </si>
  <si>
    <t>2025-04-27 21:52:23</t>
  </si>
  <si>
    <t>2025-06-19</t>
  </si>
  <si>
    <t>2185731180</t>
  </si>
  <si>
    <t>2025-04-27 22:02:08</t>
  </si>
  <si>
    <t>2185731177</t>
  </si>
  <si>
    <t>2025-04-27 22:02:11</t>
  </si>
  <si>
    <t>2185731173</t>
  </si>
  <si>
    <t>2025-04-27 22:02:12</t>
  </si>
  <si>
    <t>2185753568</t>
  </si>
  <si>
    <t>2025-04-27 22:47:36</t>
  </si>
  <si>
    <t>4427250394</t>
  </si>
  <si>
    <t>2025-04-27 23:03:31</t>
  </si>
  <si>
    <t>2025-04-28 02:26:22</t>
  </si>
  <si>
    <t>4867770997</t>
  </si>
  <si>
    <t>2025-04-28 08:07:03</t>
  </si>
  <si>
    <t>4869647109</t>
  </si>
  <si>
    <t>2025-04-28 10:23:09</t>
  </si>
  <si>
    <t>2186142011</t>
  </si>
  <si>
    <t>2025-04-28 13:07:40</t>
  </si>
  <si>
    <t>Guest may want to extend an additional night but will let us know., Extended for one more night.</t>
  </si>
  <si>
    <t>2186191018</t>
  </si>
  <si>
    <t>2025-04-28 14:22:55</t>
  </si>
  <si>
    <t>2025-04-28 16:05:04</t>
  </si>
  <si>
    <t>4456995656</t>
  </si>
  <si>
    <t>2025-04-28 16:24:08</t>
  </si>
  <si>
    <t>2025-04-28 17:18:36</t>
  </si>
  <si>
    <t>4597874641</t>
  </si>
  <si>
    <t>2025-04-28 20:37:06</t>
  </si>
  <si>
    <t>2025-04-28 21:55:23</t>
  </si>
  <si>
    <t>2025-08-17</t>
  </si>
  <si>
    <t>2025-08-18</t>
  </si>
  <si>
    <t>2186498990</t>
  </si>
  <si>
    <t>2025-04-28 21:57:04</t>
  </si>
  <si>
    <t>4578616056</t>
  </si>
  <si>
    <t>2025-04-28 22:32:43</t>
  </si>
  <si>
    <t>2025-04-28 23:22:47</t>
  </si>
  <si>
    <t>2025-04-28 23:26:32</t>
  </si>
  <si>
    <t>Her business organization is paying the bill. I just took her personal cc to reserve the room. She mentioned that there was someone else that will be staying here as well. Guest unknown.</t>
  </si>
  <si>
    <t>2186555443</t>
  </si>
  <si>
    <t>2025-04-28 23:39:38</t>
  </si>
  <si>
    <t>4688979366</t>
  </si>
  <si>
    <t>2025-04-29 01:25:38</t>
  </si>
  <si>
    <t>Theresa Griffin completed the Durango Guidebook mini app: https://sys.akia.ai/mapp/ffba0b9d-6c48-4035-a689-a7b7dd95fa9e?session=cc936c60-5b67-4c06-8cdc-869a57d93372
* Untitled Rating: 5</t>
  </si>
  <si>
    <t>2186640978</t>
  </si>
  <si>
    <t>2025-04-29 02:07:14</t>
  </si>
  <si>
    <t>2025-04-29 06:44:31</t>
  </si>
  <si>
    <t>4456980004</t>
  </si>
  <si>
    <t>2025-04-29 08:15:05</t>
  </si>
  <si>
    <t>204 (STK), 205 (STK)</t>
  </si>
  <si>
    <t>4578689780</t>
  </si>
  <si>
    <t>2025-04-29 08:19:51</t>
  </si>
  <si>
    <t>2187213726</t>
  </si>
  <si>
    <t>2025-04-29 20:33:08</t>
  </si>
  <si>
    <t>2187213728</t>
  </si>
  <si>
    <t>2025-04-29 20:33:11</t>
  </si>
  <si>
    <t>2187302946</t>
  </si>
  <si>
    <t>2025-04-29 23:09:38</t>
  </si>
  <si>
    <t>4666921813</t>
  </si>
  <si>
    <t>2025-04-30 00:47:26</t>
  </si>
  <si>
    <t>2025-04-30 00:57:53</t>
  </si>
  <si>
    <t>2187375335</t>
  </si>
  <si>
    <t>2025-04-30 01:21:44</t>
  </si>
  <si>
    <t>4965071688</t>
  </si>
  <si>
    <t>2025-04-30 11:57:32</t>
  </si>
  <si>
    <t>4626373898</t>
  </si>
  <si>
    <t>2025-04-30 16:55:02</t>
  </si>
  <si>
    <t>4825887947</t>
  </si>
  <si>
    <t>2025-04-30 21:32:48</t>
  </si>
  <si>
    <t>107 (DQ), 203 (STK)</t>
  </si>
  <si>
    <t>4905141238</t>
  </si>
  <si>
    <t>2025-04-30 22:21:13</t>
  </si>
  <si>
    <t>Changed dates will pay us directly for difference. Pre paid card has $178 will owe us $152-JF Wont Be able to run Booking.com card till 4th</t>
  </si>
  <si>
    <t>2188100095</t>
  </si>
  <si>
    <t>2025-04-30 23:58:02</t>
  </si>
  <si>
    <t>2188551653</t>
  </si>
  <si>
    <t>2025-05-01 16:28:33</t>
  </si>
  <si>
    <t>2025-05-01 21:21:08</t>
  </si>
  <si>
    <t>4453721128</t>
  </si>
  <si>
    <t>2025-05-01 21:30:34</t>
  </si>
  <si>
    <t>2188731527</t>
  </si>
  <si>
    <t>2025-05-01 21:31:11</t>
  </si>
  <si>
    <t>2025-05-01 22:37:15</t>
  </si>
  <si>
    <t>2188776391</t>
  </si>
  <si>
    <t>2025-05-01 22:54:46</t>
  </si>
  <si>
    <t>2025-05-02 01:38:00</t>
  </si>
  <si>
    <t>2189026573</t>
  </si>
  <si>
    <t>2025-05-02 07:31:39</t>
  </si>
  <si>
    <t>4356212811</t>
  </si>
  <si>
    <t>2025-05-02 14:37:55</t>
  </si>
  <si>
    <t>2025-05-02 14:48:13</t>
  </si>
  <si>
    <t>Guest complained about the heater not working in 115 after she had checked in approximately 2 hours prior to her coming to the office. I provided keys for 119. After 20 minutes she didn't notice any heat (nor did I by feeling the vent). She is now in #205 and is happy and content with the room temperature.</t>
  </si>
  <si>
    <t>2189250641</t>
  </si>
  <si>
    <t>2025-05-02 15:20:07</t>
  </si>
  <si>
    <t>2189252780</t>
  </si>
  <si>
    <t>2025-05-02 15:23:18</t>
  </si>
  <si>
    <t>2189437358</t>
  </si>
  <si>
    <t>2025-05-02 20:15:59</t>
  </si>
  <si>
    <t>2025-05-02 21:07:35</t>
  </si>
  <si>
    <t>2189524265</t>
  </si>
  <si>
    <t>2025-05-02 22:49:55</t>
  </si>
  <si>
    <t>2189652451</t>
  </si>
  <si>
    <t>2025-05-03 03:05:42</t>
  </si>
  <si>
    <t>2025-05-03 05:33:33</t>
  </si>
  <si>
    <t>2189837458</t>
  </si>
  <si>
    <t>2025-05-03 13:17:30</t>
  </si>
  <si>
    <t>2189870545</t>
  </si>
  <si>
    <t>2025-05-03 14:28:55</t>
  </si>
  <si>
    <t>2025-05-03 15:09:46</t>
  </si>
  <si>
    <t>4467798814</t>
  </si>
  <si>
    <t>2025-05-03 16:49:59</t>
  </si>
  <si>
    <t>2190033125</t>
  </si>
  <si>
    <t>2025-05-03 19:41:42</t>
  </si>
  <si>
    <t>2025-06-30</t>
  </si>
  <si>
    <t>2190048343</t>
  </si>
  <si>
    <t>2025-05-03 20:11:41</t>
  </si>
  <si>
    <t>2190088543</t>
  </si>
  <si>
    <t>2025-05-03 21:32:05</t>
  </si>
  <si>
    <t>2025-05-03 22:14:20</t>
  </si>
  <si>
    <t>2190146312</t>
  </si>
  <si>
    <t>2025-05-03 23:37:44</t>
  </si>
  <si>
    <t>4908369941</t>
  </si>
  <si>
    <t>2025-05-03 23:41:54</t>
  </si>
  <si>
    <t>2190182692</t>
  </si>
  <si>
    <t>2025-05-04 00:58:38</t>
  </si>
  <si>
    <t>110 (STQ), 108 (STK)</t>
  </si>
  <si>
    <t>4658750891</t>
  </si>
  <si>
    <t>2025-05-04 02:27:46</t>
  </si>
  <si>
    <t>2190227569</t>
  </si>
  <si>
    <t>2025-05-04 02:39:20</t>
  </si>
  <si>
    <t>4573755678</t>
  </si>
  <si>
    <t>2025-05-04 02:43:34</t>
  </si>
  <si>
    <t>2190231926</t>
  </si>
  <si>
    <t>2025-05-04 02:49:45</t>
  </si>
  <si>
    <t>2190242372</t>
  </si>
  <si>
    <t>2025-05-04 03:15:19</t>
  </si>
  <si>
    <t>2190242373</t>
  </si>
  <si>
    <t>2025-05-04 03:15:21</t>
  </si>
  <si>
    <t>2190256768</t>
  </si>
  <si>
    <t>2025-05-04 03:53:47</t>
  </si>
  <si>
    <t>111 (SMQ), 106 (STQ), 102 (DQ)</t>
  </si>
  <si>
    <t>Small Queen, Standard Queen, Double Queen</t>
  </si>
  <si>
    <t>4949051090</t>
  </si>
  <si>
    <t>2025-05-04 04:28:39</t>
  </si>
  <si>
    <t>2190307432</t>
  </si>
  <si>
    <t>2025-05-04 07:02:25</t>
  </si>
  <si>
    <t>4476310117</t>
  </si>
  <si>
    <t>2025-05-04 13:38:27</t>
  </si>
  <si>
    <t>4607998276</t>
  </si>
  <si>
    <t>2025-05-04 13:40:53</t>
  </si>
  <si>
    <t>4525248399</t>
  </si>
  <si>
    <t>2025-05-04 14:15:08</t>
  </si>
  <si>
    <t>This guest would like an early check-in. If housekeeping can clean this room as soon as it's available. The guest will call the day of arrival to see if the room is ready. I told her maybe as early as noon?!? CK</t>
  </si>
  <si>
    <t>4773381809</t>
  </si>
  <si>
    <t>2025-05-04 15:00:59</t>
  </si>
  <si>
    <t>2190465935</t>
  </si>
  <si>
    <t>2025-05-04 15:09:04</t>
  </si>
  <si>
    <t>2025-08-08</t>
  </si>
  <si>
    <t>2025-08-10</t>
  </si>
  <si>
    <t>2190470506</t>
  </si>
  <si>
    <t>2025-05-04 15:17:27</t>
  </si>
  <si>
    <t>2190475415</t>
  </si>
  <si>
    <t>2025-05-04 15:26:24</t>
  </si>
  <si>
    <t>2190602624</t>
  </si>
  <si>
    <t>2025-05-04 19:10:18</t>
  </si>
  <si>
    <t>2190603412</t>
  </si>
  <si>
    <t>2025-05-04 19:11:44</t>
  </si>
  <si>
    <t>2025-05-04 20:49:36</t>
  </si>
  <si>
    <t>2025-05-04 22:02:36</t>
  </si>
  <si>
    <t>2190709725</t>
  </si>
  <si>
    <t>2025-05-04 22:22:19</t>
  </si>
  <si>
    <t>2190732000</t>
  </si>
  <si>
    <t>2025-05-04 23:04:49</t>
  </si>
  <si>
    <t>Guest extended his stay one more night through Sunday. His current room #206 has a courtesy hold (which he said is for him) the extra reservation has him in room #119.</t>
  </si>
  <si>
    <t>2190742454</t>
  </si>
  <si>
    <t>2025-05-04 23:24:32</t>
  </si>
  <si>
    <t>4368946091</t>
  </si>
  <si>
    <t>2025-05-04 23:26:36</t>
  </si>
  <si>
    <t>2190747830</t>
  </si>
  <si>
    <t>2025-05-04 23:34:27</t>
  </si>
  <si>
    <t>2025-05-04 23:57:49</t>
  </si>
  <si>
    <t>2025-05-05 01:52:44</t>
  </si>
  <si>
    <t>4993779660</t>
  </si>
  <si>
    <t>2025-05-05 02:46:51</t>
  </si>
  <si>
    <t>2191216539</t>
  </si>
  <si>
    <t>2025-05-05 15:32:46</t>
  </si>
  <si>
    <t>2191364426</t>
  </si>
  <si>
    <t>2025-05-05 18:58:11</t>
  </si>
  <si>
    <t>4495284462</t>
  </si>
  <si>
    <t>2025-05-05 20:31:15</t>
  </si>
  <si>
    <t>2191453868</t>
  </si>
  <si>
    <t>2025-05-05 21:06:54</t>
  </si>
  <si>
    <t>2191455877</t>
  </si>
  <si>
    <t>2025-05-05 21:09:30</t>
  </si>
  <si>
    <t>2191471507</t>
  </si>
  <si>
    <t>2025-05-05 21:34:31</t>
  </si>
  <si>
    <t>2191488872</t>
  </si>
  <si>
    <t>2025-05-05 22:03:19</t>
  </si>
  <si>
    <t>2191488874</t>
  </si>
  <si>
    <t>2025-05-05 22:03:22</t>
  </si>
  <si>
    <t>4793289802</t>
  </si>
  <si>
    <t>2025-05-05 23:52:59</t>
  </si>
  <si>
    <t>2191565479</t>
  </si>
  <si>
    <t>2025-05-06 00:18:17</t>
  </si>
  <si>
    <t>4987903751</t>
  </si>
  <si>
    <t>2025-05-06 00:28:07</t>
  </si>
  <si>
    <t>2191588573</t>
  </si>
  <si>
    <t>2025-05-06 00:56:59</t>
  </si>
  <si>
    <t>Direct Booking Discount 2025</t>
  </si>
  <si>
    <t>2025-08-02</t>
  </si>
  <si>
    <t>2025-08-04</t>
  </si>
  <si>
    <t>2191697241</t>
  </si>
  <si>
    <t>2025-05-06 04:06:57</t>
  </si>
  <si>
    <t>2025-05-06 14:18:40</t>
  </si>
  <si>
    <t>2191984744</t>
  </si>
  <si>
    <t>2025-05-06 14:24:02</t>
  </si>
  <si>
    <t>2192083181</t>
  </si>
  <si>
    <t>2025-05-06 16:32:25</t>
  </si>
  <si>
    <t>4570475409</t>
  </si>
  <si>
    <t>2025-05-06 23:10:25</t>
  </si>
  <si>
    <t>4477466209</t>
  </si>
  <si>
    <t>2025-05-07 00:56:22</t>
  </si>
  <si>
    <t>4340319364</t>
  </si>
  <si>
    <t>2025-05-07 01:22:20</t>
  </si>
  <si>
    <t>4733502075</t>
  </si>
  <si>
    <t>2025-05-07 02:05:44</t>
  </si>
  <si>
    <t>4340304512</t>
  </si>
  <si>
    <t>2025-05-07 02:06:44</t>
  </si>
  <si>
    <t>2025-07-10</t>
  </si>
  <si>
    <t>2025-07-12</t>
  </si>
  <si>
    <t>2192767337</t>
  </si>
  <si>
    <t>2025-05-07 13:33:30</t>
  </si>
  <si>
    <t>2192772229</t>
  </si>
  <si>
    <t>2025-05-07 13:40:43</t>
  </si>
  <si>
    <t>2192952915</t>
  </si>
  <si>
    <t>2025-05-07 17:59:40</t>
  </si>
  <si>
    <t>2025-07-21</t>
  </si>
  <si>
    <t>2025-07-22</t>
  </si>
  <si>
    <t>2193051111</t>
  </si>
  <si>
    <t>2025-05-07 20:33:11</t>
  </si>
  <si>
    <t>2193056375</t>
  </si>
  <si>
    <t>2025-05-07 20:41:37</t>
  </si>
  <si>
    <t>4930909552</t>
  </si>
  <si>
    <t>2025-05-07 20:43:38</t>
  </si>
  <si>
    <t>2193061264</t>
  </si>
  <si>
    <t>2025-05-07 20:49:16</t>
  </si>
  <si>
    <t>2193118471</t>
  </si>
  <si>
    <t>2025-05-07 22:29:38</t>
  </si>
  <si>
    <t>2193122645</t>
  </si>
  <si>
    <t>2025-05-07 22:37:10</t>
  </si>
  <si>
    <t>4601572001</t>
  </si>
  <si>
    <t>2025-05-07 23:23:09</t>
  </si>
  <si>
    <t>2193218018</t>
  </si>
  <si>
    <t>2025-05-08 01:20:29</t>
  </si>
  <si>
    <t>2193243030</t>
  </si>
  <si>
    <t>2025-05-08 01:59:39</t>
  </si>
  <si>
    <t>2193249019</t>
  </si>
  <si>
    <t>2025-05-08 02:09:06</t>
  </si>
  <si>
    <t>2193276598</t>
  </si>
  <si>
    <t>2025-05-08 02:53:55</t>
  </si>
  <si>
    <t>4624876438</t>
  </si>
  <si>
    <t>2025-05-08 02:54:08</t>
  </si>
  <si>
    <t>2193283249</t>
  </si>
  <si>
    <t>2025-05-08 03:05:05</t>
  </si>
  <si>
    <t>2193287035</t>
  </si>
  <si>
    <t>2025-05-08 03:11:41</t>
  </si>
  <si>
    <t>2193582512</t>
  </si>
  <si>
    <t>2025-05-08 14:08:44</t>
  </si>
  <si>
    <t>2025-06-26</t>
  </si>
  <si>
    <t>2193642136</t>
  </si>
  <si>
    <t>2025-05-08 15:34:20</t>
  </si>
  <si>
    <t>2025-07-16</t>
  </si>
  <si>
    <t>2193742423</t>
  </si>
  <si>
    <t>2025-05-08 18:12:11</t>
  </si>
  <si>
    <t>2193745733</t>
  </si>
  <si>
    <t>2025-05-08 18:17:28</t>
  </si>
  <si>
    <t>2025-05-08 19:04:48</t>
  </si>
  <si>
    <t>2193846591</t>
  </si>
  <si>
    <t>2025-05-08 21:03:50</t>
  </si>
  <si>
    <t>2025-06-24</t>
  </si>
  <si>
    <t>4836837078</t>
  </si>
  <si>
    <t>2025-05-08 22:47:50</t>
  </si>
  <si>
    <t>2193915745</t>
  </si>
  <si>
    <t>2025-05-08 23:10:07</t>
  </si>
  <si>
    <t>4453108814</t>
  </si>
  <si>
    <t>2025-05-08 23:34:22</t>
  </si>
  <si>
    <t>2193988236</t>
  </si>
  <si>
    <t>2025-05-09 01:12:13</t>
  </si>
  <si>
    <t>4979729986</t>
  </si>
  <si>
    <t>2025-05-09 02:00:13</t>
  </si>
  <si>
    <t>4600950983</t>
  </si>
  <si>
    <t>2025-05-09 02:16:02</t>
  </si>
  <si>
    <t>2194050617</t>
  </si>
  <si>
    <t>2025-05-09 02:54:46</t>
  </si>
  <si>
    <t>4463527833</t>
  </si>
  <si>
    <t>2025-05-09 13:18:07</t>
  </si>
  <si>
    <t>4689675040</t>
  </si>
  <si>
    <t>2025-05-09 15:08:03</t>
  </si>
  <si>
    <t>4539929961</t>
  </si>
  <si>
    <t>2025-05-09 19:48:27</t>
  </si>
  <si>
    <t>2194587671</t>
  </si>
  <si>
    <t>2025-05-09 20:08:30</t>
  </si>
  <si>
    <t>2194602406</t>
  </si>
  <si>
    <t>2025-05-09 20:33:00</t>
  </si>
  <si>
    <t>2194647192</t>
  </si>
  <si>
    <t>2025-05-09 21:52:13</t>
  </si>
  <si>
    <t>2194659095</t>
  </si>
  <si>
    <t>2025-05-09 22:14:32</t>
  </si>
  <si>
    <t>2194674086</t>
  </si>
  <si>
    <t>2025-05-09 22:43:28</t>
  </si>
  <si>
    <t>2194674088</t>
  </si>
  <si>
    <t>2025-05-09 22:43:29</t>
  </si>
  <si>
    <t>2025-07-23</t>
  </si>
  <si>
    <t>2025-07-24</t>
  </si>
  <si>
    <t>2194678839</t>
  </si>
  <si>
    <t>2025-05-09 22:52:42</t>
  </si>
  <si>
    <t>4818494540</t>
  </si>
  <si>
    <t>2025-05-09 22:52:51</t>
  </si>
  <si>
    <t>2194711907</t>
  </si>
  <si>
    <t>2025-05-09 23:57:54</t>
  </si>
  <si>
    <t>4595324909</t>
  </si>
  <si>
    <t>2025-05-10 00:21:50</t>
  </si>
  <si>
    <t>2194801034</t>
  </si>
  <si>
    <t>2025-05-10 02:59:07</t>
  </si>
  <si>
    <t>4361643765</t>
  </si>
  <si>
    <t>2025-05-10 06:02:07</t>
  </si>
  <si>
    <t>1 pm checkin.  SR</t>
  </si>
  <si>
    <t>2025-05-10 17:32:28</t>
  </si>
  <si>
    <t>2195183566</t>
  </si>
  <si>
    <t>2025-05-10 19:52:45</t>
  </si>
  <si>
    <t>2195190116</t>
  </si>
  <si>
    <t>2025-05-10 20:07:05</t>
  </si>
  <si>
    <t>2025-07-27</t>
  </si>
  <si>
    <t>2025-07-28</t>
  </si>
  <si>
    <t>2195198063</t>
  </si>
  <si>
    <t>2025-05-10 20:23:55</t>
  </si>
  <si>
    <t>2195401474</t>
  </si>
  <si>
    <t>2025-05-11 04:31:22</t>
  </si>
  <si>
    <t>2025-09-20</t>
  </si>
  <si>
    <t>4791650181</t>
  </si>
  <si>
    <t>2025-05-11 11:29:17</t>
  </si>
  <si>
    <t>leave in 206-JF</t>
  </si>
  <si>
    <t>2195688279</t>
  </si>
  <si>
    <t>2025-05-11 18:18:27</t>
  </si>
  <si>
    <t>2195698374</t>
  </si>
  <si>
    <t>2025-05-11 18:38:20</t>
  </si>
  <si>
    <t>2195722854</t>
  </si>
  <si>
    <t>2025-05-11 19:25:55</t>
  </si>
  <si>
    <t>2025-05-11 20:17:21</t>
  </si>
  <si>
    <t>2025-05-11 21:10:02</t>
  </si>
  <si>
    <t>4990820238</t>
  </si>
  <si>
    <t>2025-05-11 21:43:16</t>
  </si>
  <si>
    <t>4925549932</t>
  </si>
  <si>
    <t>2025-05-11 22:32:31</t>
  </si>
  <si>
    <t>2195821685</t>
  </si>
  <si>
    <t>2025-05-11 22:43:08</t>
  </si>
  <si>
    <t>2025-05-11 23:27:43</t>
  </si>
  <si>
    <t>2195881947</t>
  </si>
  <si>
    <t>2025-05-12 00:46:04</t>
  </si>
  <si>
    <t>4635021727</t>
  </si>
  <si>
    <t>2025-05-12 01:52:21</t>
  </si>
  <si>
    <t>2195923040</t>
  </si>
  <si>
    <t>2025-05-12 02:00:59</t>
  </si>
  <si>
    <t>2196281162</t>
  </si>
  <si>
    <t>2025-05-12 14:31:32</t>
  </si>
  <si>
    <t>2025-05-12 15:49:49</t>
  </si>
  <si>
    <t>2025-05-12 16:25:11</t>
  </si>
  <si>
    <t>2196461984</t>
  </si>
  <si>
    <t>2025-05-12 18:37:00</t>
  </si>
  <si>
    <t>2025-07-09</t>
  </si>
  <si>
    <t>4758303555</t>
  </si>
  <si>
    <t>2025-05-12 19:07:52</t>
  </si>
  <si>
    <t>109 (SMQ), 111 (SMQ)</t>
  </si>
  <si>
    <t>2025-08-19</t>
  </si>
  <si>
    <t>2025-08-21</t>
  </si>
  <si>
    <t>4403975220</t>
  </si>
  <si>
    <t>2025-05-12 20:48:42</t>
  </si>
  <si>
    <t>A/C and lights shut off suddenly and were moved to 109, per Seth. CK</t>
  </si>
  <si>
    <t>2025-05-12 21:17:29</t>
  </si>
  <si>
    <t>2196619677</t>
  </si>
  <si>
    <t>2025-05-12 22:32:40</t>
  </si>
  <si>
    <t>2025-08-06</t>
  </si>
  <si>
    <t>2025-08-07</t>
  </si>
  <si>
    <t>4308947573</t>
  </si>
  <si>
    <t>2025-05-12 23:33:23</t>
  </si>
  <si>
    <t>2025-05-13 01:30:58</t>
  </si>
  <si>
    <t>4548948127</t>
  </si>
  <si>
    <t>2025-05-13 01:37:35</t>
  </si>
  <si>
    <t>4982554324</t>
  </si>
  <si>
    <t>2025-05-13 01:49:05</t>
  </si>
  <si>
    <t>2196761954</t>
  </si>
  <si>
    <t>2025-05-13 02:11:58</t>
  </si>
  <si>
    <t>2196793100</t>
  </si>
  <si>
    <t>2025-05-13 02:59:27</t>
  </si>
  <si>
    <t>4982588644</t>
  </si>
  <si>
    <t>2025-05-13 03:24:30</t>
  </si>
  <si>
    <t>2025-08-23</t>
  </si>
  <si>
    <t>2196814053</t>
  </si>
  <si>
    <t>2025-05-13 03:35:40</t>
  </si>
  <si>
    <t>2196814056</t>
  </si>
  <si>
    <t>2025-05-13 03:35:42</t>
  </si>
  <si>
    <t>2196826053</t>
  </si>
  <si>
    <t>2025-05-13 03:58:03</t>
  </si>
  <si>
    <t>4457011172</t>
  </si>
  <si>
    <t>2025-05-13 04:23:11</t>
  </si>
  <si>
    <t>2196842990</t>
  </si>
  <si>
    <t>2025-05-13 04:32:49</t>
  </si>
  <si>
    <t>2196856929</t>
  </si>
  <si>
    <t>2025-05-13 05:04:44</t>
  </si>
  <si>
    <t>2025-05-13 07:08:24</t>
  </si>
  <si>
    <t>2196943135</t>
  </si>
  <si>
    <t>2025-05-13 08:33:50</t>
  </si>
  <si>
    <t>2197027600</t>
  </si>
  <si>
    <t>2025-05-13 11:34:15</t>
  </si>
  <si>
    <t>2197077413</t>
  </si>
  <si>
    <t>2025-05-13 13:01:38</t>
  </si>
  <si>
    <t>2197130298</t>
  </si>
  <si>
    <t>2025-05-13 14:14:20</t>
  </si>
  <si>
    <t>2197281269</t>
  </si>
  <si>
    <t>2025-05-13 17:40:36</t>
  </si>
  <si>
    <t>4295883927</t>
  </si>
  <si>
    <t>2025-05-13 17:47:28</t>
  </si>
  <si>
    <t>2197325456</t>
  </si>
  <si>
    <t>2025-05-13 18:45:57</t>
  </si>
  <si>
    <t>2197406626</t>
  </si>
  <si>
    <t>2025-05-13 20:44:47</t>
  </si>
  <si>
    <t>2025-05-13 21:10:22</t>
  </si>
  <si>
    <t>Tax Exempt-JF Charge a total of $280.00</t>
  </si>
  <si>
    <t>2025-10-19</t>
  </si>
  <si>
    <t>2197473523</t>
  </si>
  <si>
    <t>2025-05-13 22:33:37</t>
  </si>
  <si>
    <t>2025-05-13 23:56:18</t>
  </si>
  <si>
    <t>2025-05-14 00:17:43</t>
  </si>
  <si>
    <t>4881445823</t>
  </si>
  <si>
    <t>2025-05-14 00:21:26</t>
  </si>
  <si>
    <t>2197550534</t>
  </si>
  <si>
    <t>2025-05-14 00:45:44</t>
  </si>
  <si>
    <t>2197563642</t>
  </si>
  <si>
    <t>2025-05-14 01:06:18</t>
  </si>
  <si>
    <t>2197578860</t>
  </si>
  <si>
    <t>2025-05-14 01:30:04</t>
  </si>
  <si>
    <t>2197677996</t>
  </si>
  <si>
    <t>2025-05-14 04:22:44</t>
  </si>
  <si>
    <t>2197965762</t>
  </si>
  <si>
    <t>2025-05-14 14:36:30</t>
  </si>
  <si>
    <t>Move to room #206 after removing courtesy hold.</t>
  </si>
  <si>
    <t>2198002723</t>
  </si>
  <si>
    <t>2025-05-14 15:26:04</t>
  </si>
  <si>
    <t>2025-05-14 15:33:19</t>
  </si>
  <si>
    <t>4729645532</t>
  </si>
  <si>
    <t>2025-05-14 15:42:49</t>
  </si>
  <si>
    <t>2025-05-14 16:48:48</t>
  </si>
  <si>
    <t>4659307605</t>
  </si>
  <si>
    <t>2025-05-14 17:25:07</t>
  </si>
  <si>
    <t>2025-10-25</t>
  </si>
  <si>
    <t>2025-05-14 21:53:07</t>
  </si>
  <si>
    <t>4706822995</t>
  </si>
  <si>
    <t>2025-05-14 22:09:53</t>
  </si>
  <si>
    <t>2025-05-14 22:52:25</t>
  </si>
  <si>
    <t>2025-05-15 01:38:26</t>
  </si>
  <si>
    <t>2025-08-03</t>
  </si>
  <si>
    <t>4711570891</t>
  </si>
  <si>
    <t>2025-05-15 01:56:53</t>
  </si>
  <si>
    <t>Early check in request-JF</t>
  </si>
  <si>
    <t>2025-05-15 02:30:59</t>
  </si>
  <si>
    <t>4622201251</t>
  </si>
  <si>
    <t>2025-05-15 06:01:25</t>
  </si>
  <si>
    <t>2025-08-20</t>
  </si>
  <si>
    <t>4736081125</t>
  </si>
  <si>
    <t>2025-05-15 08:13:53</t>
  </si>
  <si>
    <t>2025-05-15 15:11:45</t>
  </si>
  <si>
    <t>4394102987</t>
  </si>
  <si>
    <t>2025-05-15 16:44:14</t>
  </si>
  <si>
    <t>2025-05-15 18:58:39</t>
  </si>
  <si>
    <t>2198978603</t>
  </si>
  <si>
    <t>2025-05-15 19:09:43</t>
  </si>
  <si>
    <t>2198978609</t>
  </si>
  <si>
    <t>2025-05-15 19:09:48</t>
  </si>
  <si>
    <t>2025-08-11</t>
  </si>
  <si>
    <t>2025-05-15 21:58:07</t>
  </si>
  <si>
    <t>2025-05-15 22:16:36</t>
  </si>
  <si>
    <t>2199112632</t>
  </si>
  <si>
    <t>2025-05-15 22:50:31</t>
  </si>
  <si>
    <t>2199117914</t>
  </si>
  <si>
    <t>2025-05-15 22:59:54</t>
  </si>
  <si>
    <t>2199126875</t>
  </si>
  <si>
    <t>2025-05-15 23:16:18</t>
  </si>
  <si>
    <t>4346313594</t>
  </si>
  <si>
    <t>2025-05-16 03:38:25</t>
  </si>
  <si>
    <t>2199293730</t>
  </si>
  <si>
    <t>2025-05-16 04:04:21</t>
  </si>
  <si>
    <t>2199630672</t>
  </si>
  <si>
    <t>2025-05-16 15:40:58</t>
  </si>
  <si>
    <t>2199676352</t>
  </si>
  <si>
    <t>2025-05-16 16:48:13</t>
  </si>
  <si>
    <t>Boiler was off, complained about heat.-JF</t>
  </si>
  <si>
    <t>2199785639</t>
  </si>
  <si>
    <t>2025-05-16 19:40:21</t>
  </si>
  <si>
    <t>4718151703</t>
  </si>
  <si>
    <t>2025-05-16 20:00:08</t>
  </si>
  <si>
    <t>2025-05-16 21:23:11</t>
  </si>
  <si>
    <t>2199938404</t>
  </si>
  <si>
    <t>2025-05-17 00:05:18</t>
  </si>
  <si>
    <t>4692080437</t>
  </si>
  <si>
    <t>2025-05-17 01:48:24</t>
  </si>
  <si>
    <t>4555755514</t>
  </si>
  <si>
    <t>2025-05-17 02:05:25</t>
  </si>
  <si>
    <t>2200278534</t>
  </si>
  <si>
    <t>2025-05-17 15:02:23</t>
  </si>
  <si>
    <t>2025-05-17 17:30:18</t>
  </si>
  <si>
    <t>4452115642</t>
  </si>
  <si>
    <t>2025-05-17 17:55:45</t>
  </si>
  <si>
    <t>2200375216</t>
  </si>
  <si>
    <t>2025-05-17 18:04:10</t>
  </si>
  <si>
    <t>4769480835</t>
  </si>
  <si>
    <t>2025-05-17 19:20:32</t>
  </si>
  <si>
    <t>106 (STQ), 115 (STQ)</t>
  </si>
  <si>
    <t>4369113412</t>
  </si>
  <si>
    <t>2025-05-17 22:07:27</t>
  </si>
  <si>
    <t>4664475422</t>
  </si>
  <si>
    <t>2025-05-17 22:39:46</t>
  </si>
  <si>
    <t>2200538747</t>
  </si>
  <si>
    <t>2025-05-17 23:31:24</t>
  </si>
  <si>
    <t>2200578570</t>
  </si>
  <si>
    <t>2025-05-18 00:57:33</t>
  </si>
  <si>
    <t>2025-05-18 01:52:08</t>
  </si>
  <si>
    <t>2025-07-15</t>
  </si>
  <si>
    <t>4975205459</t>
  </si>
  <si>
    <t>2025-05-18 02:18:42</t>
  </si>
  <si>
    <t>2025-05-18 18:06:24</t>
  </si>
  <si>
    <t>4894855560</t>
  </si>
  <si>
    <t>2025-05-18 19:36:15</t>
  </si>
  <si>
    <t>2201067844</t>
  </si>
  <si>
    <t>2025-05-18 20:50:19</t>
  </si>
  <si>
    <t>2201086164</t>
  </si>
  <si>
    <t>2025-05-18 21:22:35</t>
  </si>
  <si>
    <t>2025-05-18 23:33:24</t>
  </si>
  <si>
    <t>2201158958</t>
  </si>
  <si>
    <t>2025-05-18 23:39:27</t>
  </si>
  <si>
    <t>2025-05-19 01:10:36</t>
  </si>
  <si>
    <t>2025-07-11</t>
  </si>
  <si>
    <t>2025-05-19 02:12:41</t>
  </si>
  <si>
    <t>2025-05-19 02:22:13</t>
  </si>
  <si>
    <t>4369111220</t>
  </si>
  <si>
    <t>2025-05-19 02:27:26</t>
  </si>
  <si>
    <t>2025-09-12</t>
  </si>
  <si>
    <t>2025-09-16</t>
  </si>
  <si>
    <t>4369129221</t>
  </si>
  <si>
    <t>2025-05-19 04:28:02</t>
  </si>
  <si>
    <t>2025-05-19 10:24:48</t>
  </si>
  <si>
    <t>2025-07-13</t>
  </si>
  <si>
    <t>4564628827</t>
  </si>
  <si>
    <t>2025-05-19 10:52:47</t>
  </si>
  <si>
    <t>2201600130</t>
  </si>
  <si>
    <t>2025-05-19 14:30:45</t>
  </si>
  <si>
    <t>Alexander perez-JF</t>
  </si>
  <si>
    <t>2201665918</t>
  </si>
  <si>
    <t>2025-05-19 15:55:54</t>
  </si>
  <si>
    <t>service dog</t>
  </si>
  <si>
    <t>2201694234</t>
  </si>
  <si>
    <t>2025-05-19 16:32:56</t>
  </si>
  <si>
    <t>2025-05-19 18:18:22</t>
  </si>
  <si>
    <t>2201824617</t>
  </si>
  <si>
    <t>2025-05-19 19:34:08</t>
  </si>
  <si>
    <t>4319901351</t>
  </si>
  <si>
    <t>2025-05-19 19:53:27</t>
  </si>
  <si>
    <t>4312559041</t>
  </si>
  <si>
    <t>2025-05-19 21:06:12</t>
  </si>
  <si>
    <t>4772095635</t>
  </si>
  <si>
    <t>2025-05-19 21:11:31</t>
  </si>
  <si>
    <t>2201904403</t>
  </si>
  <si>
    <t>2025-05-19 21:28:14</t>
  </si>
  <si>
    <t>120 (STQ), 114 (STK)</t>
  </si>
  <si>
    <t>2025-05-19 21:40:34</t>
  </si>
  <si>
    <t>2201963047</t>
  </si>
  <si>
    <t>2025-05-19 23:04:28</t>
  </si>
  <si>
    <t>2025-05-19 23:39:11</t>
  </si>
  <si>
    <t>2202061435</t>
  </si>
  <si>
    <t>2025-05-20 01:42:20</t>
  </si>
  <si>
    <t>2202084241</t>
  </si>
  <si>
    <t>2025-05-20 02:17:37</t>
  </si>
  <si>
    <t>2025-05-20 04:31:36</t>
  </si>
  <si>
    <t>2025-05-20 15:25:29</t>
  </si>
  <si>
    <t>2202494718</t>
  </si>
  <si>
    <t>2025-05-20 15:47:51</t>
  </si>
  <si>
    <t>Guest brought their Kerig to the office. I found one downstairs and put the other one in the closet.</t>
  </si>
  <si>
    <t>4727216337</t>
  </si>
  <si>
    <t>2025-05-20 16:33:45</t>
  </si>
  <si>
    <t>2202589321</t>
  </si>
  <si>
    <t>2025-05-20 18:03:24</t>
  </si>
  <si>
    <t>2202629296</t>
  </si>
  <si>
    <t>2025-05-20 19:03:28</t>
  </si>
  <si>
    <t>2025-05-20 19:40:02</t>
  </si>
  <si>
    <t>2202772227</t>
  </si>
  <si>
    <t>2025-05-20 22:51:00</t>
  </si>
  <si>
    <t>2202794119</t>
  </si>
  <si>
    <t>2025-05-20 23:30:19</t>
  </si>
  <si>
    <t>2202813770</t>
  </si>
  <si>
    <t>2025-05-21 00:04:14</t>
  </si>
  <si>
    <t>2025-05-21 00:44:43</t>
  </si>
  <si>
    <t>2025-05-21 01:44:45</t>
  </si>
  <si>
    <t>2202895539</t>
  </si>
  <si>
    <t>2025-05-21 02:14:30</t>
  </si>
  <si>
    <t>Guest came to the office at 6:30 and explained how she is experiencing extreme altitude sickness. We chatted for 15 minutes. I looked up the number for Urgent Care and I recommended that she leave quickly because it was closing in 15 minutes. She booked through Hotels.com, but she mentioned that she paid directly through us. She wants to leave in the morning and is wondering if she can receive a refund by leaving early. I explained that I didn't know the protocol due to an emergency situation and to check with Seth after 7 am in order to proceed. At 6:50 I received a call from Mark from Hotels.com and that they were aware of the situation. Mark stated that they will call back in the morning to see how this situation will be resolved. CK</t>
  </si>
  <si>
    <t>2202948060</t>
  </si>
  <si>
    <t>2025-05-21 03:45:22</t>
  </si>
  <si>
    <t>2202948064</t>
  </si>
  <si>
    <t>2025-05-21 03:45:24</t>
  </si>
  <si>
    <t>2202964882</t>
  </si>
  <si>
    <t>2025-05-21 04:20:52</t>
  </si>
  <si>
    <t>2202968342</t>
  </si>
  <si>
    <t>2025-05-21 04:28:29</t>
  </si>
  <si>
    <t>2203148980</t>
  </si>
  <si>
    <t>2025-05-21 12:00:06</t>
  </si>
  <si>
    <t>2025-05-21 17:25:10</t>
  </si>
  <si>
    <t>guest claimed there sheets were dirty,-JF</t>
  </si>
  <si>
    <t>2203378860</t>
  </si>
  <si>
    <t>2025-05-21 17:48:03</t>
  </si>
  <si>
    <t>4902676682</t>
  </si>
  <si>
    <t>2025-05-21 18:21:24</t>
  </si>
  <si>
    <t>2203424326</t>
  </si>
  <si>
    <t>2025-05-21 18:58:44</t>
  </si>
  <si>
    <t>2203441976</t>
  </si>
  <si>
    <t>2025-05-21 19:26:16</t>
  </si>
  <si>
    <t>4632608365</t>
  </si>
  <si>
    <t>2025-05-21 19:55:59</t>
  </si>
  <si>
    <t>2203543196</t>
  </si>
  <si>
    <t>2025-05-21 22:09:44</t>
  </si>
  <si>
    <t>2203653568</t>
  </si>
  <si>
    <t>2025-05-22 01:21:54</t>
  </si>
  <si>
    <t>2025-05-22 02:33:41</t>
  </si>
  <si>
    <t>2203700730</t>
  </si>
  <si>
    <t>2025-05-22 02:37:58</t>
  </si>
  <si>
    <t>2203706939</t>
  </si>
  <si>
    <t>2025-05-22 02:48:15</t>
  </si>
  <si>
    <t>2203709050</t>
  </si>
  <si>
    <t>2025-05-22 02:51:45</t>
  </si>
  <si>
    <t>2204007626</t>
  </si>
  <si>
    <t>2025-05-22 13:57:32</t>
  </si>
  <si>
    <t>2204044224</t>
  </si>
  <si>
    <t>2025-05-22 14:51:03</t>
  </si>
  <si>
    <t>2025-05-22 15:37:05</t>
  </si>
  <si>
    <t>4512636184</t>
  </si>
  <si>
    <t>2025-05-22 16:10:26</t>
  </si>
  <si>
    <t>2204143557</t>
  </si>
  <si>
    <t>2025-05-22 17:16:44</t>
  </si>
  <si>
    <t>2204218257</t>
  </si>
  <si>
    <t>2025-05-22 19:14:35</t>
  </si>
  <si>
    <t>2025-05-22 19:56:15</t>
  </si>
  <si>
    <t>2204260613</t>
  </si>
  <si>
    <t>2025-05-22 20:22:02</t>
  </si>
  <si>
    <t>2025-05-22 20:48:37</t>
  </si>
  <si>
    <t>2204277370</t>
  </si>
  <si>
    <t>2025-05-22 20:48:45</t>
  </si>
  <si>
    <t>2204423042</t>
  </si>
  <si>
    <t>2025-05-23 01:04:01</t>
  </si>
  <si>
    <t>2025-07-29</t>
  </si>
  <si>
    <t>2204427041</t>
  </si>
  <si>
    <t>2025-05-23 01:10:51</t>
  </si>
  <si>
    <t>2204861823</t>
  </si>
  <si>
    <t>2025-05-23 15:49:03</t>
  </si>
  <si>
    <t>2204893940</t>
  </si>
  <si>
    <t>2025-05-23 16:36:01</t>
  </si>
  <si>
    <t>2025-05-23 17:12:52</t>
  </si>
  <si>
    <t>2205119138</t>
  </si>
  <si>
    <t>2025-05-23 22:42:35</t>
  </si>
  <si>
    <t>4420659328</t>
  </si>
  <si>
    <t>2025-05-23 23:24:23</t>
  </si>
  <si>
    <t>2025-08-01</t>
  </si>
  <si>
    <t>2205261146</t>
  </si>
  <si>
    <t>2025-05-24 03:15:54</t>
  </si>
  <si>
    <t>2205272901</t>
  </si>
  <si>
    <t>2025-05-24 03:41:07</t>
  </si>
  <si>
    <t>2205288660</t>
  </si>
  <si>
    <t>2025-05-24 04:20:02</t>
  </si>
  <si>
    <t>4827975877</t>
  </si>
  <si>
    <t>2025-05-24 16:02:38</t>
  </si>
  <si>
    <t>2025-10-22</t>
  </si>
  <si>
    <t>2205578320</t>
  </si>
  <si>
    <t>2025-05-24 17:13:31</t>
  </si>
  <si>
    <t>2025-05-24 17:15:56</t>
  </si>
  <si>
    <t>2205772273</t>
  </si>
  <si>
    <t>2025-05-24 23:41:13</t>
  </si>
  <si>
    <t>6971109432</t>
  </si>
  <si>
    <t>2025-05-25 00:33:10</t>
  </si>
  <si>
    <t>2205796984</t>
  </si>
  <si>
    <t>2025-05-25 00:36:09</t>
  </si>
  <si>
    <t>4304916899</t>
  </si>
  <si>
    <t>2025-05-25 01:00:48</t>
  </si>
  <si>
    <t>6783092591</t>
  </si>
  <si>
    <t>2025-05-25 12:59:42</t>
  </si>
  <si>
    <t>2206062520</t>
  </si>
  <si>
    <t>2025-05-25 13:42:52</t>
  </si>
  <si>
    <t>2206078819</t>
  </si>
  <si>
    <t>2025-05-25 14:16:45</t>
  </si>
  <si>
    <t>2025-05-25 14:47:32</t>
  </si>
  <si>
    <t>5439830470</t>
  </si>
  <si>
    <t>2025-05-25 18:40:34</t>
  </si>
  <si>
    <t>Base Rate, Direct Booking Discount 2025</t>
  </si>
  <si>
    <t>2206244420</t>
  </si>
  <si>
    <t>2025-05-25 19:23:14</t>
  </si>
  <si>
    <t>4427618962</t>
  </si>
  <si>
    <t>2025-05-25 21:31:45</t>
  </si>
  <si>
    <t>Guest in #103 due to their remote missing. After providing them with one from #206 .... that one wasn't working either. I replaced the batteries and still nothing. They booked for a DQ but because we only had Kings available they settled on 103. CK</t>
  </si>
  <si>
    <t>2025-05-25 21:52:19</t>
  </si>
  <si>
    <t>2206333624</t>
  </si>
  <si>
    <t>2025-05-25 22:13:27</t>
  </si>
  <si>
    <t>2025-07-14</t>
  </si>
  <si>
    <t>2025-05-25 22:31:50</t>
  </si>
  <si>
    <t>6037828539</t>
  </si>
  <si>
    <t>2025-05-25 23:30:02</t>
  </si>
  <si>
    <t>6971100238</t>
  </si>
  <si>
    <t>2025-05-25 23:30:37</t>
  </si>
  <si>
    <t>4904426946</t>
  </si>
  <si>
    <t>2025-05-26 01:31:07</t>
  </si>
  <si>
    <t>2206459487</t>
  </si>
  <si>
    <t>2025-05-26 02:31:54</t>
  </si>
  <si>
    <t>6769065593</t>
  </si>
  <si>
    <t>2025-05-26 11:16:31</t>
  </si>
  <si>
    <t>202 (DQ), 116 (DQ)</t>
  </si>
  <si>
    <t>2025-08-28</t>
  </si>
  <si>
    <t>2025-08-30</t>
  </si>
  <si>
    <t>2025-05-26 14:35:36</t>
  </si>
  <si>
    <t>2025-05-26 15:25:25</t>
  </si>
  <si>
    <t>2025-05-26 16:54:14</t>
  </si>
  <si>
    <t>Guest extended their stay one additional night on 5/26. CK</t>
  </si>
  <si>
    <t>2025-08-14</t>
  </si>
  <si>
    <t>2025-05-26 17:54:31</t>
  </si>
  <si>
    <t>2206958284</t>
  </si>
  <si>
    <t>2025-05-26 19:01:04</t>
  </si>
  <si>
    <t>6439421627</t>
  </si>
  <si>
    <t>2025-05-26 20:24:46</t>
  </si>
  <si>
    <t>6591635697</t>
  </si>
  <si>
    <t>2025-05-26 20:57:30</t>
  </si>
  <si>
    <t>2207078227</t>
  </si>
  <si>
    <t>2025-05-26 22:15:52</t>
  </si>
  <si>
    <t>2207128220</t>
  </si>
  <si>
    <t>2025-05-26 23:48:40</t>
  </si>
  <si>
    <t>2207202639</t>
  </si>
  <si>
    <t>2025-05-27 01:56:51</t>
  </si>
  <si>
    <t>2207202638</t>
  </si>
  <si>
    <t>2025-05-27 01:56:53</t>
  </si>
  <si>
    <t>2207219222</t>
  </si>
  <si>
    <t>2025-05-27 02:25:13</t>
  </si>
  <si>
    <t>2025-05-27 02:45:54</t>
  </si>
  <si>
    <t>2207238639</t>
  </si>
  <si>
    <t>2025-05-27 03:00:53</t>
  </si>
  <si>
    <t>2207242686</t>
  </si>
  <si>
    <t>2025-05-27 03:08:42</t>
  </si>
  <si>
    <t>6439475204</t>
  </si>
  <si>
    <t>Serbia</t>
  </si>
  <si>
    <t>2025-05-27 03:11:51</t>
  </si>
  <si>
    <t>6675673782</t>
  </si>
  <si>
    <t>2025-05-27 04:01:58</t>
  </si>
  <si>
    <t>2025-05-27 14:02:00</t>
  </si>
  <si>
    <t>2025-05-27 16:10:11</t>
  </si>
  <si>
    <t>2207630893</t>
  </si>
  <si>
    <t>2025-05-27 16:16:23</t>
  </si>
  <si>
    <t>2207667138</t>
  </si>
  <si>
    <t>2025-05-27 17:05:26</t>
  </si>
  <si>
    <t>Guest added one additional night. His email address is e.mead_629@amazon.com    CK, Seth informed me that this guest will not be checking in until tomorrow (Thursday). CK</t>
  </si>
  <si>
    <t>2025-05-27 18:11:20</t>
  </si>
  <si>
    <t>2207723722</t>
  </si>
  <si>
    <t>2025-05-27 18:25:12</t>
  </si>
  <si>
    <t>2207724498</t>
  </si>
  <si>
    <t>2025-05-27 18:26:16</t>
  </si>
  <si>
    <t>2207817961</t>
  </si>
  <si>
    <t>2025-05-27 20:41:56</t>
  </si>
  <si>
    <t>2207857022</t>
  </si>
  <si>
    <t>2025-05-27 21:43:26</t>
  </si>
  <si>
    <t>2207881677</t>
  </si>
  <si>
    <t>2025-05-27 22:25:45</t>
  </si>
  <si>
    <t>2025-05-27 22:50:43</t>
  </si>
  <si>
    <t>2025-05-27 22:53:30</t>
  </si>
  <si>
    <t>2025-08-09</t>
  </si>
  <si>
    <t>2207897850</t>
  </si>
  <si>
    <t>2025-05-27 22:55:18</t>
  </si>
  <si>
    <t>6596471591</t>
  </si>
  <si>
    <t>2025-05-27 23:59:01</t>
  </si>
  <si>
    <t>5567547414</t>
  </si>
  <si>
    <t>2025-05-28 00:06:49</t>
  </si>
  <si>
    <t>5346033501</t>
  </si>
  <si>
    <t>2025-05-28 00:51:38</t>
  </si>
  <si>
    <t>5292337296</t>
  </si>
  <si>
    <t>2025-05-28 00:52:39</t>
  </si>
  <si>
    <t>6006480720</t>
  </si>
  <si>
    <t>2025-05-28 00:54:45</t>
  </si>
  <si>
    <t>6681739617</t>
  </si>
  <si>
    <t>2025-05-28 01:27:10</t>
  </si>
  <si>
    <t>2208028477</t>
  </si>
  <si>
    <t>2025-05-28 02:34:53</t>
  </si>
  <si>
    <t>2208048036</t>
  </si>
  <si>
    <t>2025-05-28 03:09:48</t>
  </si>
  <si>
    <t>2208064261</t>
  </si>
  <si>
    <t>2025-05-28 03:41:33</t>
  </si>
  <si>
    <t>2208436262</t>
  </si>
  <si>
    <t>2025-05-28 16:20:53</t>
  </si>
  <si>
    <t>2025-05-28 17:18:32</t>
  </si>
  <si>
    <t>2025-08-05</t>
  </si>
  <si>
    <t>6635374202</t>
  </si>
  <si>
    <t>2025-05-28 17:38:54</t>
  </si>
  <si>
    <t>2025-08-16</t>
  </si>
  <si>
    <t>2208662620</t>
  </si>
  <si>
    <t>2025-05-28 22:20:36</t>
  </si>
  <si>
    <t>2208686832</t>
  </si>
  <si>
    <t>2025-05-28 23:04:28</t>
  </si>
  <si>
    <t>2025-05-28 23:17:17</t>
  </si>
  <si>
    <t>5574110492</t>
  </si>
  <si>
    <t>2025-05-28 23:31:34</t>
  </si>
  <si>
    <t>2208757644</t>
  </si>
  <si>
    <t>2025-05-29 01:06:52</t>
  </si>
  <si>
    <t>205 (STK), 103 (STK)</t>
  </si>
  <si>
    <t>2025-05-29 01:33:21</t>
  </si>
  <si>
    <t>2208795677</t>
  </si>
  <si>
    <t>2025-05-29 02:08:07</t>
  </si>
  <si>
    <t>2025-05-29 02:17:34</t>
  </si>
  <si>
    <t>2025-05-29 03:04:45</t>
  </si>
  <si>
    <t>5852072523</t>
  </si>
  <si>
    <t>2025-05-29 03:15:14</t>
  </si>
  <si>
    <t>2209225164</t>
  </si>
  <si>
    <t>2025-05-29 17:05:00</t>
  </si>
  <si>
    <t>2025-05-29 18:53:25</t>
  </si>
  <si>
    <t>Late Arrival-JF</t>
  </si>
  <si>
    <t>2209299294</t>
  </si>
  <si>
    <t>2025-05-29 19:03:31</t>
  </si>
  <si>
    <t>2209307609</t>
  </si>
  <si>
    <t>2025-05-29 19:16:53</t>
  </si>
  <si>
    <t>2209307611</t>
  </si>
  <si>
    <t>2025-05-29 19:16:55</t>
  </si>
  <si>
    <t>2209307614</t>
  </si>
  <si>
    <t>2025-05-29 19:16:57</t>
  </si>
  <si>
    <t>2209495229</t>
  </si>
  <si>
    <t>2025-05-30 00:38:29</t>
  </si>
  <si>
    <t>2025-05-30 03:47:06</t>
  </si>
  <si>
    <t>2209835292</t>
  </si>
  <si>
    <t>2025-05-30 13:19:51</t>
  </si>
  <si>
    <t>2209893220</t>
  </si>
  <si>
    <t>2025-05-30 14:51:32</t>
  </si>
  <si>
    <t>2209953312</t>
  </si>
  <si>
    <t>2025-05-30 16:20:20</t>
  </si>
  <si>
    <t>2209977146</t>
  </si>
  <si>
    <t>2025-05-30 16:57:13</t>
  </si>
  <si>
    <t>5841642587</t>
  </si>
  <si>
    <t>2025-05-30 19:14:05</t>
  </si>
  <si>
    <t>2025-09-27</t>
  </si>
  <si>
    <t>2025-05-30 19:56:22</t>
  </si>
  <si>
    <t>Do not move guest. She is a stayover. CK</t>
  </si>
  <si>
    <t>2210130495</t>
  </si>
  <si>
    <t>2025-05-30 21:07:37</t>
  </si>
  <si>
    <t>2210148239</t>
  </si>
  <si>
    <t>2025-05-30 21:38:07</t>
  </si>
  <si>
    <t>2210161879</t>
  </si>
  <si>
    <t>2025-05-30 22:02:50</t>
  </si>
  <si>
    <t>Late Check out request-JF, Guest inquired again about a late check out. I said is 11 ok and she said, yes. CK</t>
  </si>
  <si>
    <t>2210205811</t>
  </si>
  <si>
    <t>2025-05-30 23:25:19</t>
  </si>
  <si>
    <t>2025-05-31 01:54:33</t>
  </si>
  <si>
    <t>2210305236</t>
  </si>
  <si>
    <t>2025-05-31 02:37:26</t>
  </si>
  <si>
    <t>2210524663</t>
  </si>
  <si>
    <t>2025-05-31 13:53:19</t>
  </si>
  <si>
    <t>2210524665</t>
  </si>
  <si>
    <t>2025-05-31 13:53:21</t>
  </si>
  <si>
    <t>2210573901</t>
  </si>
  <si>
    <t>2025-05-31 15:29:15</t>
  </si>
  <si>
    <t>2210593919</t>
  </si>
  <si>
    <t>2025-05-31 16:05:05</t>
  </si>
  <si>
    <t>2210594317</t>
  </si>
  <si>
    <t>2025-05-31 16:05:51</t>
  </si>
  <si>
    <t>2210823602</t>
  </si>
  <si>
    <t>2025-05-31 23:31:43</t>
  </si>
  <si>
    <t>5244765457</t>
  </si>
  <si>
    <t>2025-05-31 23:47:22</t>
  </si>
  <si>
    <t>2210837708</t>
  </si>
  <si>
    <t>2025-06-01 00:02:33</t>
  </si>
  <si>
    <t>2025-06-01 01:40:52</t>
  </si>
  <si>
    <t>2210885165</t>
  </si>
  <si>
    <t>2025-06-01 01:43:44</t>
  </si>
  <si>
    <t>6944126958</t>
  </si>
  <si>
    <t>2025-06-01 13:38:41</t>
  </si>
  <si>
    <t>2211119732</t>
  </si>
  <si>
    <t>2025-06-01 13:42:56</t>
  </si>
  <si>
    <t>2025-06-01 18:55:30</t>
  </si>
  <si>
    <t>2025-06-01 21:03:41</t>
  </si>
  <si>
    <t>2211394783</t>
  </si>
  <si>
    <t>2025-06-01 21:48:48</t>
  </si>
  <si>
    <t>2025-06-01 22:08:37</t>
  </si>
  <si>
    <t>2211436148</t>
  </si>
  <si>
    <t>2025-06-01 23:06:49</t>
  </si>
  <si>
    <t>2211437378</t>
  </si>
  <si>
    <t>2025-06-01 23:09:10</t>
  </si>
  <si>
    <t>2025-06-02 01:13:40</t>
  </si>
  <si>
    <t>2025-06-02 14:29:42</t>
  </si>
  <si>
    <t>2211884949</t>
  </si>
  <si>
    <t>2025-06-02 14:29:52</t>
  </si>
  <si>
    <t>2211919936</t>
  </si>
  <si>
    <t>2025-06-02 15:15:56</t>
  </si>
  <si>
    <t>2211944204</t>
  </si>
  <si>
    <t>2025-06-02 15:47:36</t>
  </si>
  <si>
    <t>2212047383</t>
  </si>
  <si>
    <t>2025-06-02 18:09:54</t>
  </si>
  <si>
    <t>6007512928</t>
  </si>
  <si>
    <t>2025-06-02 18:38:54</t>
  </si>
  <si>
    <t>2212169076</t>
  </si>
  <si>
    <t>2025-06-02 20:59:03</t>
  </si>
  <si>
    <t>2025-06-02 21:53:19</t>
  </si>
  <si>
    <t>2212222144</t>
  </si>
  <si>
    <t>2025-06-02 22:22:15</t>
  </si>
  <si>
    <t>2212239679</t>
  </si>
  <si>
    <t>2025-06-02 22:52:05</t>
  </si>
  <si>
    <t>2212243722</t>
  </si>
  <si>
    <t>2025-06-02 22:58:46</t>
  </si>
  <si>
    <t>2212248393</t>
  </si>
  <si>
    <t>2025-06-02 23:06:52</t>
  </si>
  <si>
    <t>2025-06-02 23:19:15</t>
  </si>
  <si>
    <t>2025-06-02 23:23:13</t>
  </si>
  <si>
    <t>6799597339</t>
  </si>
  <si>
    <t>2025-06-02 23:27:17</t>
  </si>
  <si>
    <t>2212267130</t>
  </si>
  <si>
    <t>2025-06-02 23:38:56</t>
  </si>
  <si>
    <t>2025-06-03 00:39:52</t>
  </si>
  <si>
    <t>5993457072</t>
  </si>
  <si>
    <t>2025-06-03 01:03:15</t>
  </si>
  <si>
    <t>2212353105</t>
  </si>
  <si>
    <t>2025-06-03 01:58:17</t>
  </si>
  <si>
    <t>2212354647</t>
  </si>
  <si>
    <t>2025-06-03 02:00:42</t>
  </si>
  <si>
    <t>5833071916</t>
  </si>
  <si>
    <t>2025-06-03 02:37:50</t>
  </si>
  <si>
    <t>2212385410</t>
  </si>
  <si>
    <t>2025-06-03 02:50:16</t>
  </si>
  <si>
    <t>2025-06-03 02:51:16</t>
  </si>
  <si>
    <t>I took a pillow from 120 for room 119.</t>
  </si>
  <si>
    <t>2212386966</t>
  </si>
  <si>
    <t>2025-06-03 02:52:49</t>
  </si>
  <si>
    <t>2025-06-03 02:55:03</t>
  </si>
  <si>
    <t>2025-06-03 05:23:49</t>
  </si>
  <si>
    <t>6965118865</t>
  </si>
  <si>
    <t>2025-06-03 06:40:03</t>
  </si>
  <si>
    <t>5996544024</t>
  </si>
  <si>
    <t>2025-06-03 10:40:03</t>
  </si>
  <si>
    <t>2212642885</t>
  </si>
  <si>
    <t>2025-06-03 12:36:49</t>
  </si>
  <si>
    <t>2212643648</t>
  </si>
  <si>
    <t>2025-06-03 12:38:03</t>
  </si>
  <si>
    <t>2025-06-03 13:49:01</t>
  </si>
  <si>
    <t>6935320030</t>
  </si>
  <si>
    <t>2025-06-03 15:47:19</t>
  </si>
  <si>
    <t>6645936544</t>
  </si>
  <si>
    <t>2025-06-03 17:48:22</t>
  </si>
  <si>
    <t>2025-06-03 18:30:59</t>
  </si>
  <si>
    <t>5996555199</t>
  </si>
  <si>
    <t>2025-06-03 18:45:44</t>
  </si>
  <si>
    <t>2025-06-03 19:46:19</t>
  </si>
  <si>
    <t>Guest has two vehicles</t>
  </si>
  <si>
    <t>6470118216</t>
  </si>
  <si>
    <t>2025-06-03 21:37:26</t>
  </si>
  <si>
    <t>2213013748</t>
  </si>
  <si>
    <t>2025-06-03 21:44:08</t>
  </si>
  <si>
    <t>2213019396</t>
  </si>
  <si>
    <t>2025-06-03 21:53:20</t>
  </si>
  <si>
    <t>5362407946</t>
  </si>
  <si>
    <t>2025-06-03 23:20:59</t>
  </si>
  <si>
    <t>Guest purchased a seltzer water. When I tried to charge his card it declined payment method., Guest has two vehicles</t>
  </si>
  <si>
    <t>2213083384</t>
  </si>
  <si>
    <t>2025-06-03 23:44:25</t>
  </si>
  <si>
    <t>2025-06-04 03:15:04</t>
  </si>
  <si>
    <t>2213264937</t>
  </si>
  <si>
    <t>2025-06-04 04:51:40</t>
  </si>
  <si>
    <t>2213600738</t>
  </si>
  <si>
    <t>2025-06-04 15:56:42</t>
  </si>
  <si>
    <t>2213685577</t>
  </si>
  <si>
    <t>2025-06-04 18:01:42</t>
  </si>
  <si>
    <t>2213685941</t>
  </si>
  <si>
    <t>2025-06-04 18:02:17</t>
  </si>
  <si>
    <t>2213688865</t>
  </si>
  <si>
    <t>2025-06-04 18:06:39</t>
  </si>
  <si>
    <t>2213765905</t>
  </si>
  <si>
    <t>2025-06-04 20:01:54</t>
  </si>
  <si>
    <t>2213782738</t>
  </si>
  <si>
    <t>2025-06-04 20:26:54</t>
  </si>
  <si>
    <t>2213783246</t>
  </si>
  <si>
    <t>2025-06-04 20:27:43</t>
  </si>
  <si>
    <t>2213783244</t>
  </si>
  <si>
    <t>2025-06-04 20:27:45</t>
  </si>
  <si>
    <t>2213783248</t>
  </si>
  <si>
    <t>2025-06-04 20:27:46</t>
  </si>
  <si>
    <t>2213788099</t>
  </si>
  <si>
    <t>2025-06-04 20:35:10</t>
  </si>
  <si>
    <t>2213871553</t>
  </si>
  <si>
    <t>2025-06-04 22:51:59</t>
  </si>
  <si>
    <t>2213919706</t>
  </si>
  <si>
    <t>2025-06-05 00:15:16</t>
  </si>
  <si>
    <t>2213931977</t>
  </si>
  <si>
    <t>2025-06-05 00:35:47</t>
  </si>
  <si>
    <t>2213992763</t>
  </si>
  <si>
    <t>2025-06-05 02:10:49</t>
  </si>
  <si>
    <t>2213993970</t>
  </si>
  <si>
    <t>2025-06-05 02:12:45</t>
  </si>
  <si>
    <t>5157999240</t>
  </si>
  <si>
    <t>2025-06-05 06:19:29</t>
  </si>
  <si>
    <t>2025-07-25</t>
  </si>
  <si>
    <t>2214434437</t>
  </si>
  <si>
    <t>2025-06-05 16:27:48</t>
  </si>
  <si>
    <t>2214436908</t>
  </si>
  <si>
    <t>2025-06-05 16:31:23</t>
  </si>
  <si>
    <t>2214456131</t>
  </si>
  <si>
    <t>2025-06-05 17:00:14</t>
  </si>
  <si>
    <t>2214489764</t>
  </si>
  <si>
    <t>2025-06-05 17:51:30</t>
  </si>
  <si>
    <t>2214587224</t>
  </si>
  <si>
    <t>2025-06-05 20:22:40</t>
  </si>
  <si>
    <t>2214591237</t>
  </si>
  <si>
    <t>2025-06-05 20:29:01</t>
  </si>
  <si>
    <t>2214765739</t>
  </si>
  <si>
    <t>2025-06-06 01:28:55</t>
  </si>
  <si>
    <t>2214765742</t>
  </si>
  <si>
    <t>2025-06-06 01:28:57</t>
  </si>
  <si>
    <t>2214803426</t>
  </si>
  <si>
    <t>2025-06-06 02:30:17</t>
  </si>
  <si>
    <t>2214867785</t>
  </si>
  <si>
    <t>2025-06-06 04:33:08</t>
  </si>
  <si>
    <t>2025-10-07</t>
  </si>
  <si>
    <t>2025-10-10</t>
  </si>
  <si>
    <t>2215017476</t>
  </si>
  <si>
    <t>2025-06-06 10:53:35</t>
  </si>
  <si>
    <t>2025-06-06 17:33:03</t>
  </si>
  <si>
    <t>2215432158</t>
  </si>
  <si>
    <t>2025-06-06 22:10:22</t>
  </si>
  <si>
    <t>2215518063</t>
  </si>
  <si>
    <t>2025-06-07 00:47:29</t>
  </si>
  <si>
    <t>5419413446</t>
  </si>
  <si>
    <t>2025-06-07 01:43:43</t>
  </si>
  <si>
    <t>2215566549</t>
  </si>
  <si>
    <t>2025-06-07 02:14:41</t>
  </si>
  <si>
    <t>2215592144</t>
  </si>
  <si>
    <t>2025-06-07 03:04:54</t>
  </si>
  <si>
    <t>2215818141</t>
  </si>
  <si>
    <t>2025-06-07 14:12:27</t>
  </si>
  <si>
    <t>2215888705</t>
  </si>
  <si>
    <t>2025-06-07 16:20:15</t>
  </si>
  <si>
    <t>5765218363</t>
  </si>
  <si>
    <t>2025-06-07 16:36:51</t>
  </si>
  <si>
    <t>2215921322</t>
  </si>
  <si>
    <t>2025-06-07 17:18:48</t>
  </si>
  <si>
    <t>2025-06-07 21:07:49</t>
  </si>
  <si>
    <t>2025-06-07 21:10:33</t>
  </si>
  <si>
    <t>5970726000</t>
  </si>
  <si>
    <t>2025-06-07 21:55:23</t>
  </si>
  <si>
    <t>2216098235</t>
  </si>
  <si>
    <t>2025-06-07 22:57:36</t>
  </si>
  <si>
    <t>2216159019</t>
  </si>
  <si>
    <t>2025-06-08 01:09:28</t>
  </si>
  <si>
    <t>2025-06-08 16:01:56</t>
  </si>
  <si>
    <t>2216531126</t>
  </si>
  <si>
    <t>2025-06-08 17:20:31</t>
  </si>
  <si>
    <t>2216551584</t>
  </si>
  <si>
    <t>2025-06-08 17:57:33</t>
  </si>
  <si>
    <t>5690170618</t>
  </si>
  <si>
    <t>2025-06-08 17:59:08</t>
  </si>
  <si>
    <t>6323517606</t>
  </si>
  <si>
    <t>2025-06-08 18:54:29</t>
  </si>
  <si>
    <t>2216608562</t>
  </si>
  <si>
    <t>2025-06-08 19:36:59</t>
  </si>
  <si>
    <t>2216609309</t>
  </si>
  <si>
    <t>2025-06-08 19:38:16</t>
  </si>
  <si>
    <t>2216697178</t>
  </si>
  <si>
    <t>2025-06-08 22:09:51</t>
  </si>
  <si>
    <t>2216697504</t>
  </si>
  <si>
    <t>2025-06-08 22:10:26</t>
  </si>
  <si>
    <t>2216717793</t>
  </si>
  <si>
    <t>2025-06-08 22:47:22</t>
  </si>
  <si>
    <t>6721460068</t>
  </si>
  <si>
    <t>2025-06-08 23:49:28</t>
  </si>
  <si>
    <t>2025-06-09 00:02:36</t>
  </si>
  <si>
    <t>6912548147</t>
  </si>
  <si>
    <t>2025-06-09 01:35:55</t>
  </si>
  <si>
    <t>2025-08-22</t>
  </si>
  <si>
    <t>2216839518</t>
  </si>
  <si>
    <t>2025-06-09 02:15:21</t>
  </si>
  <si>
    <t>2025-06-09 03:45:34</t>
  </si>
  <si>
    <t>2216916807</t>
  </si>
  <si>
    <t>2025-06-09 04:54:00</t>
  </si>
  <si>
    <t>2217099717</t>
  </si>
  <si>
    <t>2025-06-09 12:42:50</t>
  </si>
  <si>
    <t>2025-10-03</t>
  </si>
  <si>
    <t>2217223047</t>
  </si>
  <si>
    <t>2025-06-09 15:47:25</t>
  </si>
  <si>
    <t>2217223054</t>
  </si>
  <si>
    <t>2025-06-09 15:47:27</t>
  </si>
  <si>
    <t>2025-06-09 15:57:01</t>
  </si>
  <si>
    <t>2217311927</t>
  </si>
  <si>
    <t>2025-06-09 17:49:39</t>
  </si>
  <si>
    <t>2025-09-10</t>
  </si>
  <si>
    <t>2217404329</t>
  </si>
  <si>
    <t>2025-06-09 19:58:30</t>
  </si>
  <si>
    <t>2217431293</t>
  </si>
  <si>
    <t>2025-06-09 20:36:20</t>
  </si>
  <si>
    <t>5601254107</t>
  </si>
  <si>
    <t>2025-06-09 21:42:23</t>
  </si>
  <si>
    <t>2025-06-09 23:13:05</t>
  </si>
  <si>
    <t>2217550135</t>
  </si>
  <si>
    <t>2025-06-09 23:44:57</t>
  </si>
  <si>
    <t>5125393258</t>
  </si>
  <si>
    <t>2025-06-10 00:28:59</t>
  </si>
  <si>
    <t>2217598408</t>
  </si>
  <si>
    <t>2025-06-10 01:01:16</t>
  </si>
  <si>
    <t>2025-06-10 01:55:22</t>
  </si>
  <si>
    <t>Deadbolt lock issues. CK</t>
  </si>
  <si>
    <t>2217706238</t>
  </si>
  <si>
    <t>2025-06-10 03:57:10</t>
  </si>
  <si>
    <t>2025-06-10 13:25:00</t>
  </si>
  <si>
    <t>6640953589</t>
  </si>
  <si>
    <t>2025-06-10 18:07:59</t>
  </si>
  <si>
    <t>2025-06-10 20:00:04</t>
  </si>
  <si>
    <t>6939199171</t>
  </si>
  <si>
    <t>2025-06-10 20:18:41</t>
  </si>
  <si>
    <t>Guest would like an 11 am check-out. Seth said sure. CK</t>
  </si>
  <si>
    <t>2218258109</t>
  </si>
  <si>
    <t>2025-06-10 20:21:40</t>
  </si>
  <si>
    <t>2025-07-26</t>
  </si>
  <si>
    <t>2218263842</t>
  </si>
  <si>
    <t>2025-06-10 20:30:15</t>
  </si>
  <si>
    <t>2218340344</t>
  </si>
  <si>
    <t>2025-06-10 22:29:55</t>
  </si>
  <si>
    <t>2218358468</t>
  </si>
  <si>
    <t>2025-06-10 23:01:07</t>
  </si>
  <si>
    <t>2218365161</t>
  </si>
  <si>
    <t>2025-06-10 23:12:46</t>
  </si>
  <si>
    <t>2025-06-10 23:31:45</t>
  </si>
  <si>
    <t>2218378650</t>
  </si>
  <si>
    <t>2025-06-10 23:35:30</t>
  </si>
  <si>
    <t>2218405514</t>
  </si>
  <si>
    <t>2025-06-11 00:19:40</t>
  </si>
  <si>
    <t>2218405502</t>
  </si>
  <si>
    <t>2025-06-11 00:19:42</t>
  </si>
  <si>
    <t>2218405508</t>
  </si>
  <si>
    <t>2025-06-11 00:19:43</t>
  </si>
  <si>
    <t>2218446286</t>
  </si>
  <si>
    <t>2025-06-11 01:22:55</t>
  </si>
  <si>
    <t>2218446288</t>
  </si>
  <si>
    <t>2025-06-11 01:22:57</t>
  </si>
  <si>
    <t>2218446293</t>
  </si>
  <si>
    <t>2025-06-11 01:22:58</t>
  </si>
  <si>
    <t>2218448566</t>
  </si>
  <si>
    <t>2025-06-11 01:26:20</t>
  </si>
  <si>
    <t>2025-06-11 01:43:05</t>
  </si>
  <si>
    <t>2025-06-11 01:47:50</t>
  </si>
  <si>
    <t>5416238720</t>
  </si>
  <si>
    <t>2025-06-11 01:49:52</t>
  </si>
  <si>
    <t>2025-06-11 01:59:37</t>
  </si>
  <si>
    <t>2218498285</t>
  </si>
  <si>
    <t>2025-06-11 02:41:40</t>
  </si>
  <si>
    <t>2218529237</t>
  </si>
  <si>
    <t>2025-06-11 03:33:24</t>
  </si>
  <si>
    <t>2218868362</t>
  </si>
  <si>
    <t>2025-06-11 15:09:37</t>
  </si>
  <si>
    <t>2025-07-04</t>
  </si>
  <si>
    <t>2218936565</t>
  </si>
  <si>
    <t>2025-06-11 16:45:36</t>
  </si>
  <si>
    <t>2218938783</t>
  </si>
  <si>
    <t>2025-06-11 16:48:52</t>
  </si>
  <si>
    <t>Guest asked if she could park her vehicle in backward (she noticed a sign stating not to). Due to a physical handicap (which you may well be aware because she said she stopped by the motel before I arrived at 2 and knew where her room would be) I said I'm sure it would be fine with our General Manager considering the fact that it will be easier for her (her words).   :)  She said she would move it, if need be. CK</t>
  </si>
  <si>
    <t>2025-06-11 18:10:03</t>
  </si>
  <si>
    <t>2025-06-11 18:40:28</t>
  </si>
  <si>
    <t>2219026795</t>
  </si>
  <si>
    <t>2025-06-11 19:02:40</t>
  </si>
  <si>
    <t>2025-06-11 19:54:13</t>
  </si>
  <si>
    <t>116 (DQ), 119 (STQ)</t>
  </si>
  <si>
    <t>5226205133</t>
  </si>
  <si>
    <t>2025-06-11 22:42:33</t>
  </si>
  <si>
    <t>Guest was disappointed that the hot tub was out of commission.  Also, I've had a handful of guests wondering where their hand soap was. Is it possible to put some near the sink? CK</t>
  </si>
  <si>
    <t>2025-07-19</t>
  </si>
  <si>
    <t>2219218130</t>
  </si>
  <si>
    <t>2025-06-12 00:08:51</t>
  </si>
  <si>
    <t>Guest came to the office at 9:30 and stated that the room key worked fine ( night before the previous guests couldn't open the door, nor could I. I moved them to another room.) However, this guest stated that the toilet wasn't flushed and there was urine all over the toilet?!? CK</t>
  </si>
  <si>
    <t>2219232425</t>
  </si>
  <si>
    <t>2025-06-12 00:32:15</t>
  </si>
  <si>
    <t>2219237513</t>
  </si>
  <si>
    <t>2025-06-12 00:40:52</t>
  </si>
  <si>
    <t>Return guest .... Guest left phone charger at home and on 6/15 he asked if anyone ever leaves one behind. I said, no. However, I mentioned that there is one in the laundry room and he could borrow it for a few hours as long as he returned it before 10 pm. He asked if he could borrow it again on Wed and Thur and asked if I will be here. I told him I will be here on Wed, but not on Thur and that I will write a note so Josh is aware and loan the charger to the guest. Thanks! CK</t>
  </si>
  <si>
    <t>6124752168</t>
  </si>
  <si>
    <t>2025-06-12 02:14:02</t>
  </si>
  <si>
    <t>2219357607</t>
  </si>
  <si>
    <t>2025-06-12 03:56:32</t>
  </si>
  <si>
    <t>2219561045</t>
  </si>
  <si>
    <t>2025-06-12 12:12:27</t>
  </si>
  <si>
    <t>2219687452</t>
  </si>
  <si>
    <t>2025-06-12 15:28:16</t>
  </si>
  <si>
    <t>2219704048</t>
  </si>
  <si>
    <t>2025-06-12 15:52:04</t>
  </si>
  <si>
    <t>2219728113</t>
  </si>
  <si>
    <t>2025-06-12 16:27:29</t>
  </si>
  <si>
    <t>2219821626</t>
  </si>
  <si>
    <t>2025-06-12 18:55:43</t>
  </si>
  <si>
    <t>2219848335</t>
  </si>
  <si>
    <t>2025-06-12 19:37:56</t>
  </si>
  <si>
    <t>2025-07-31</t>
  </si>
  <si>
    <t>2219858653</t>
  </si>
  <si>
    <t>2025-06-12 19:54:02</t>
  </si>
  <si>
    <t>2219899082</t>
  </si>
  <si>
    <t>2025-06-12 20:56:55</t>
  </si>
  <si>
    <t>2219916346</t>
  </si>
  <si>
    <t>2025-06-12 21:25:19</t>
  </si>
  <si>
    <t>2219916343</t>
  </si>
  <si>
    <t>2025-06-12 21:25:20</t>
  </si>
  <si>
    <t>2025-08-24</t>
  </si>
  <si>
    <t>5135625765</t>
  </si>
  <si>
    <t>2025-06-12 21:25:48</t>
  </si>
  <si>
    <t>2219926076</t>
  </si>
  <si>
    <t>2025-06-12 21:41:42</t>
  </si>
  <si>
    <t>2025-06-12 21:58:08</t>
  </si>
  <si>
    <t>2025-06-13 00:01:58</t>
  </si>
  <si>
    <t>5135612984</t>
  </si>
  <si>
    <t>2025-06-13 02:05:29</t>
  </si>
  <si>
    <t>2220097771</t>
  </si>
  <si>
    <t>2025-06-13 02:35:13</t>
  </si>
  <si>
    <t>2220107471</t>
  </si>
  <si>
    <t>2025-06-13 02:51:58</t>
  </si>
  <si>
    <t>5135651231</t>
  </si>
  <si>
    <t>2025-06-13 03:43:00</t>
  </si>
  <si>
    <t>2220262316</t>
  </si>
  <si>
    <t>2025-06-13 09:03:09</t>
  </si>
  <si>
    <t>2025-07-17</t>
  </si>
  <si>
    <t>2025-06-13 12:39:23</t>
  </si>
  <si>
    <t>2025-10-16</t>
  </si>
  <si>
    <t>2025-10-20</t>
  </si>
  <si>
    <t>2220383860</t>
  </si>
  <si>
    <t>2025-06-13 13:34:01</t>
  </si>
  <si>
    <t>2220509944</t>
  </si>
  <si>
    <t>2025-06-13 16:43:10</t>
  </si>
  <si>
    <t>2220596950</t>
  </si>
  <si>
    <t>2025-06-13 19:02:41</t>
  </si>
  <si>
    <t>2025-06-13 20:04:50</t>
  </si>
  <si>
    <t>2220735920</t>
  </si>
  <si>
    <t>2025-06-13 22:57:50</t>
  </si>
  <si>
    <t>2025-08-25</t>
  </si>
  <si>
    <t>2220741364</t>
  </si>
  <si>
    <t>2025-06-13 23:07:55</t>
  </si>
  <si>
    <t>5963461835</t>
  </si>
  <si>
    <t>2025-06-14 01:24:34</t>
  </si>
  <si>
    <t>12 pm check-out, please. CK</t>
  </si>
  <si>
    <t>2220898858</t>
  </si>
  <si>
    <t>2025-06-14 04:18:20</t>
  </si>
  <si>
    <t>2221053470</t>
  </si>
  <si>
    <t>2025-06-14 12:57:08</t>
  </si>
  <si>
    <t>6199830242</t>
  </si>
  <si>
    <t>2025-06-14 15:07:59</t>
  </si>
  <si>
    <t>2221136688</t>
  </si>
  <si>
    <t>2025-06-14 15:46:28</t>
  </si>
  <si>
    <t>2221160840</t>
  </si>
  <si>
    <t>2025-06-14 16:31:11</t>
  </si>
  <si>
    <t>2025-06-14 17:06:01</t>
  </si>
  <si>
    <t>2221200578</t>
  </si>
  <si>
    <t>2025-06-14 17:46:55</t>
  </si>
  <si>
    <t>2221353125</t>
  </si>
  <si>
    <t>2025-06-14 22:52:29</t>
  </si>
  <si>
    <t>2221398409</t>
  </si>
  <si>
    <t>2025-06-15 00:32:01</t>
  </si>
  <si>
    <t>6834418830</t>
  </si>
  <si>
    <t>2025-06-15 00:33:58</t>
  </si>
  <si>
    <t>2221409343</t>
  </si>
  <si>
    <t>2025-06-15 00:56:03</t>
  </si>
  <si>
    <t>5786307855</t>
  </si>
  <si>
    <t>2025-06-15 01:52:34</t>
  </si>
  <si>
    <t>Guest got one Gatorade, but when I went to charge to their room it said insufficient funds. CK</t>
  </si>
  <si>
    <t>2025-06-15 03:31:33</t>
  </si>
  <si>
    <t>Rachel is checking in first from Grand Junction. CK</t>
  </si>
  <si>
    <t>5541981335</t>
  </si>
  <si>
    <t>2025-06-15 14:08:59</t>
  </si>
  <si>
    <t>2221711751</t>
  </si>
  <si>
    <t>2025-06-15 15:22:43</t>
  </si>
  <si>
    <t>2025-11-22</t>
  </si>
  <si>
    <t>2025-11-28</t>
  </si>
  <si>
    <t>2025-06-15 15:57:43</t>
  </si>
  <si>
    <t>6509207505</t>
  </si>
  <si>
    <t>2025-06-15 16:40:19</t>
  </si>
  <si>
    <t>2025-06-15 17:34:41</t>
  </si>
  <si>
    <t>2025-07-30</t>
  </si>
  <si>
    <t>5346582923</t>
  </si>
  <si>
    <t>2025-06-15 18:31:03</t>
  </si>
  <si>
    <t>2221830441</t>
  </si>
  <si>
    <t>2025-06-15 19:01:49</t>
  </si>
  <si>
    <t>2221852563</t>
  </si>
  <si>
    <t>2025-06-15 19:40:28</t>
  </si>
  <si>
    <t>2221874347</t>
  </si>
  <si>
    <t>2025-06-15 20:18:30</t>
  </si>
  <si>
    <t>2221906974</t>
  </si>
  <si>
    <t>2025-06-15 21:16:06</t>
  </si>
  <si>
    <t>2221908248</t>
  </si>
  <si>
    <t>2025-06-15 21:18:25</t>
  </si>
  <si>
    <t>5955662407</t>
  </si>
  <si>
    <t>2025-06-15 21:45:47</t>
  </si>
  <si>
    <t>2221961841</t>
  </si>
  <si>
    <t>2025-06-15 23:02:20</t>
  </si>
  <si>
    <t>2221986649</t>
  </si>
  <si>
    <t>2025-06-15 23:50:19</t>
  </si>
  <si>
    <t>2222024571</t>
  </si>
  <si>
    <t>2025-06-16 00:59:51</t>
  </si>
  <si>
    <t>2222093077</t>
  </si>
  <si>
    <t>2025-06-16 02:59:46</t>
  </si>
  <si>
    <t>2222100375</t>
  </si>
  <si>
    <t>2025-06-16 03:14:19</t>
  </si>
  <si>
    <t>2222136148</t>
  </si>
  <si>
    <t>2025-06-16 04:33:46</t>
  </si>
  <si>
    <t>2222146570</t>
  </si>
  <si>
    <t>2025-06-16 05:00:17</t>
  </si>
  <si>
    <t>2025-08-29</t>
  </si>
  <si>
    <t>5102192590</t>
  </si>
  <si>
    <t>2025-06-16 05:12:43</t>
  </si>
  <si>
    <t>2222381497</t>
  </si>
  <si>
    <t>2025-06-16 13:52:37</t>
  </si>
  <si>
    <t>2222492306</t>
  </si>
  <si>
    <t>2025-06-16 16:21:44</t>
  </si>
  <si>
    <t>2222539421</t>
  </si>
  <si>
    <t>2025-06-16 17:26:59</t>
  </si>
  <si>
    <t>2222542804</t>
  </si>
  <si>
    <t>2025-06-16 17:31:52</t>
  </si>
  <si>
    <t>2025-08-26</t>
  </si>
  <si>
    <t>6084871018</t>
  </si>
  <si>
    <t>2025-06-16 18:17:01</t>
  </si>
  <si>
    <t>2222627817</t>
  </si>
  <si>
    <t>2025-06-16 19:30:44</t>
  </si>
  <si>
    <t>2222634885</t>
  </si>
  <si>
    <t>2025-06-16 19:40:12</t>
  </si>
  <si>
    <t>5006675633</t>
  </si>
  <si>
    <t>2025-06-16 19:43:01</t>
  </si>
  <si>
    <t>2222641494</t>
  </si>
  <si>
    <t>2025-06-16 19:49:17</t>
  </si>
  <si>
    <t>2222678350</t>
  </si>
  <si>
    <t>2025-06-16 20:41:04</t>
  </si>
  <si>
    <t>6623517176</t>
  </si>
  <si>
    <t>2025-06-16 21:37:09</t>
  </si>
  <si>
    <t>2222741634</t>
  </si>
  <si>
    <t>2025-06-16 22:15:51</t>
  </si>
  <si>
    <t>2222754796</t>
  </si>
  <si>
    <t>2025-06-16 22:37:05</t>
  </si>
  <si>
    <t>6277650084</t>
  </si>
  <si>
    <t>2025-06-17 00:06:17</t>
  </si>
  <si>
    <t>Father and son are passing through Durango for one night 6/16. The son accidentally booked the wrong night. At the time of their arrival we did not have any rooms left. I recommended a couple motels. Also, I told them that I didn't have the authority to refund his money, but that I would write a note to my GM (who arrives at 7 am) to see if he can refund his money. CK</t>
  </si>
  <si>
    <t>2222932556</t>
  </si>
  <si>
    <t>2025-06-17 03:18:51</t>
  </si>
  <si>
    <t>2025-06-17 03:54:44</t>
  </si>
  <si>
    <t>2222957413</t>
  </si>
  <si>
    <t>2025-06-17 04:06:20</t>
  </si>
  <si>
    <t>6623520955</t>
  </si>
  <si>
    <t>2025-06-17 04:12:40</t>
  </si>
  <si>
    <t>5006691558</t>
  </si>
  <si>
    <t>2025-06-17 04:25:41</t>
  </si>
  <si>
    <t>2223133601</t>
  </si>
  <si>
    <t>2025-06-17 11:19:38</t>
  </si>
  <si>
    <t>2025-06-17 12:27:25</t>
  </si>
  <si>
    <t>2223192362</t>
  </si>
  <si>
    <t>2025-06-17 13:13:21</t>
  </si>
  <si>
    <t>2223229999</t>
  </si>
  <si>
    <t>2025-06-17 14:10:47</t>
  </si>
  <si>
    <t>2223373024</t>
  </si>
  <si>
    <t>2025-06-17 17:31:20</t>
  </si>
  <si>
    <t>2223374510</t>
  </si>
  <si>
    <t>2025-06-17 17:33:31</t>
  </si>
  <si>
    <t>6623540890</t>
  </si>
  <si>
    <t>2025-06-17 18:52:44</t>
  </si>
  <si>
    <t>2025-06-17 19:29:14</t>
  </si>
  <si>
    <t>2025-06-17 21:21:42</t>
  </si>
  <si>
    <t>2223541682</t>
  </si>
  <si>
    <t>2025-06-17 21:44:14</t>
  </si>
  <si>
    <t>Checked out a day early-JF</t>
  </si>
  <si>
    <t>2223580331</t>
  </si>
  <si>
    <t>2025-06-17 22:49:23</t>
  </si>
  <si>
    <t>2223580332</t>
  </si>
  <si>
    <t>2025-06-17 22:49:25</t>
  </si>
  <si>
    <t>Airbnb (API)</t>
  </si>
  <si>
    <t>HMJHTERBM3</t>
  </si>
  <si>
    <t>2025-06-17 23:07:52</t>
  </si>
  <si>
    <t>2223593775</t>
  </si>
  <si>
    <t>2025-06-17 23:12:54</t>
  </si>
  <si>
    <t>2025-06-17 23:15:33</t>
  </si>
  <si>
    <t>2223657201</t>
  </si>
  <si>
    <t>2025-06-18 00:53:17</t>
  </si>
  <si>
    <t>Late arrial-Jf</t>
  </si>
  <si>
    <t>6007362788</t>
  </si>
  <si>
    <t>2025-06-18 00:59:03</t>
  </si>
  <si>
    <t>2223678731</t>
  </si>
  <si>
    <t>2025-06-18 01:26:24</t>
  </si>
  <si>
    <t>2223735696</t>
  </si>
  <si>
    <t>2025-06-18 02:52:53</t>
  </si>
  <si>
    <t>2025-06-18 04:02:54</t>
  </si>
  <si>
    <t>2025-06-18 14:44:17</t>
  </si>
  <si>
    <t>2025-06-18 16:32:39</t>
  </si>
  <si>
    <t>Key got locked in the door and took ALOT of wiggle to get it out! CK</t>
  </si>
  <si>
    <t>2025-06-18 16:38:43</t>
  </si>
  <si>
    <t>2025-06-18 17:32:33</t>
  </si>
  <si>
    <t>2224196819</t>
  </si>
  <si>
    <t>2025-06-18 17:42:24</t>
  </si>
  <si>
    <t>2224221901</t>
  </si>
  <si>
    <t>2025-06-18 18:21:01</t>
  </si>
  <si>
    <t>2224260678</t>
  </si>
  <si>
    <t>2025-06-18 19:20:15</t>
  </si>
  <si>
    <t>2224346701</t>
  </si>
  <si>
    <t>2025-06-18 21:30:09</t>
  </si>
  <si>
    <t>2025-06-18 21:51:23</t>
  </si>
  <si>
    <t>2224400375</t>
  </si>
  <si>
    <t>2025-06-18 22:58:40</t>
  </si>
  <si>
    <t>2224421890</t>
  </si>
  <si>
    <t>2025-06-18 23:35:05</t>
  </si>
  <si>
    <t>2224436017</t>
  </si>
  <si>
    <t>2025-06-18 23:58:33</t>
  </si>
  <si>
    <t>5472652992</t>
  </si>
  <si>
    <t>2025-06-19 00:52:53</t>
  </si>
  <si>
    <t>2025-06-19 01:33:04</t>
  </si>
  <si>
    <t>2224496958</t>
  </si>
  <si>
    <t>2025-06-19 01:35:23</t>
  </si>
  <si>
    <t>2224520452</t>
  </si>
  <si>
    <t>2025-06-19 02:11:46</t>
  </si>
  <si>
    <t>2025-06-19 03:07:51</t>
  </si>
  <si>
    <t>2224581836</t>
  </si>
  <si>
    <t>2025-06-19 03:56:40</t>
  </si>
  <si>
    <t>2225007611</t>
  </si>
  <si>
    <t>2025-06-19 18:03:16</t>
  </si>
  <si>
    <t>6667030912</t>
  </si>
  <si>
    <t>2025-06-19 20:05:47</t>
  </si>
  <si>
    <t>2225350983</t>
  </si>
  <si>
    <t>2025-06-20 03:14:05</t>
  </si>
  <si>
    <t>2025-06-20 03:46:27</t>
  </si>
  <si>
    <t>2225393333</t>
  </si>
  <si>
    <t>2025-06-20 04:38:05</t>
  </si>
  <si>
    <t>2225411161</t>
  </si>
  <si>
    <t>2025-06-20 05:22:16</t>
  </si>
  <si>
    <t>2025-06-20 14:13:16</t>
  </si>
  <si>
    <t>2225664802</t>
  </si>
  <si>
    <t>2025-06-20 14:56:17</t>
  </si>
  <si>
    <t>5807909851</t>
  </si>
  <si>
    <t>2025-06-20 17:51:46</t>
  </si>
  <si>
    <t>2225799807</t>
  </si>
  <si>
    <t>2025-06-20 18:23:36</t>
  </si>
  <si>
    <t>2225799813</t>
  </si>
  <si>
    <t>2025-06-20 18:23:38</t>
  </si>
  <si>
    <t>2225829611</t>
  </si>
  <si>
    <t>2025-06-20 19:13:02</t>
  </si>
  <si>
    <t>2225871270</t>
  </si>
  <si>
    <t>2025-06-20 20:22:03</t>
  </si>
  <si>
    <t>6575757657</t>
  </si>
  <si>
    <t>2025-06-20 21:15:28</t>
  </si>
  <si>
    <t>6913191743</t>
  </si>
  <si>
    <t>2025-06-20 21:32:56</t>
  </si>
  <si>
    <t>2025-06-20 23:32:19</t>
  </si>
  <si>
    <t>2025-06-21 00:31:40</t>
  </si>
  <si>
    <t>2226015429</t>
  </si>
  <si>
    <t>2025-06-21 00:36:21</t>
  </si>
  <si>
    <t>HM4KXSRACA</t>
  </si>
  <si>
    <t>2025-06-21 02:59:30</t>
  </si>
  <si>
    <t>6144644473</t>
  </si>
  <si>
    <t>2025-06-21 03:12:51</t>
  </si>
  <si>
    <t>2025-06-21 05:42:55</t>
  </si>
  <si>
    <t>2226337592</t>
  </si>
  <si>
    <t>2025-06-21 14:48:36</t>
  </si>
  <si>
    <t>2226352502</t>
  </si>
  <si>
    <t>2025-06-21 15:16:14</t>
  </si>
  <si>
    <t>2025-06-21 16:45:26</t>
  </si>
  <si>
    <t>12 pm late check-out. CK</t>
  </si>
  <si>
    <t>2226432296</t>
  </si>
  <si>
    <t>2025-06-21 17:45:06</t>
  </si>
  <si>
    <t>2226475169</t>
  </si>
  <si>
    <t>2025-06-21 19:07:47</t>
  </si>
  <si>
    <t>2226553604</t>
  </si>
  <si>
    <t>2025-06-21 21:39:31</t>
  </si>
  <si>
    <t>2226620205</t>
  </si>
  <si>
    <t>2025-06-22 00:01:02</t>
  </si>
  <si>
    <t>2226657289</t>
  </si>
  <si>
    <t>2025-06-22 01:23:24</t>
  </si>
  <si>
    <t>2226684177</t>
  </si>
  <si>
    <t>2025-06-22 02:23:24</t>
  </si>
  <si>
    <t>2226729585</t>
  </si>
  <si>
    <t>2025-06-22 04:15:37</t>
  </si>
  <si>
    <t>HMH3E29435</t>
  </si>
  <si>
    <t>2025-06-22 04:32:15</t>
  </si>
  <si>
    <t>2226891339</t>
  </si>
  <si>
    <t>2025-06-22 13:24:06</t>
  </si>
  <si>
    <t>2025-06-22 14:14:52</t>
  </si>
  <si>
    <t>2226926513</t>
  </si>
  <si>
    <t>2025-06-22 14:38:43</t>
  </si>
  <si>
    <t>2025-06-22 15:07:35</t>
  </si>
  <si>
    <t>2226980062</t>
  </si>
  <si>
    <t>2025-06-22 16:18:40</t>
  </si>
  <si>
    <t>2226989226</t>
  </si>
  <si>
    <t>2025-06-22 16:35:30</t>
  </si>
  <si>
    <t>2226989224</t>
  </si>
  <si>
    <t>2025-06-22 16:35:33</t>
  </si>
  <si>
    <t>2227024813</t>
  </si>
  <si>
    <t>2025-06-22 17:40:38</t>
  </si>
  <si>
    <t>2227040911</t>
  </si>
  <si>
    <t>2025-06-22 18:09:34</t>
  </si>
  <si>
    <t>2227046920</t>
  </si>
  <si>
    <t>2025-06-22 18:20:20</t>
  </si>
  <si>
    <t>6393415860</t>
  </si>
  <si>
    <t>2025-06-22 18:28:30</t>
  </si>
  <si>
    <t>2025-06-22 18:35:02</t>
  </si>
  <si>
    <t>2227063939</t>
  </si>
  <si>
    <t>2025-06-22 18:50:36</t>
  </si>
  <si>
    <t>6416066921</t>
  </si>
  <si>
    <t>2025-06-22 19:00:31</t>
  </si>
  <si>
    <t>2227070939</t>
  </si>
  <si>
    <t>2025-06-22 19:02:42</t>
  </si>
  <si>
    <t>2227104932</t>
  </si>
  <si>
    <t>2025-06-22 20:01:17</t>
  </si>
  <si>
    <t>5321955005</t>
  </si>
  <si>
    <t>2025-06-22 20:46:44</t>
  </si>
  <si>
    <t>2227143216</t>
  </si>
  <si>
    <t>2025-06-22 21:06:03</t>
  </si>
  <si>
    <t>2227146068</t>
  </si>
  <si>
    <t>2025-06-22 21:11:10</t>
  </si>
  <si>
    <t>2227202271</t>
  </si>
  <si>
    <t>2025-06-22 22:55:03</t>
  </si>
  <si>
    <t>2227209136</t>
  </si>
  <si>
    <t>2025-06-22 23:08:07</t>
  </si>
  <si>
    <t>2025-06-22 23:38:07</t>
  </si>
  <si>
    <t>2227227828</t>
  </si>
  <si>
    <t>2025-06-22 23:44:12</t>
  </si>
  <si>
    <t>In-House</t>
  </si>
  <si>
    <t>2227237634</t>
  </si>
  <si>
    <t>2025-06-23 00:02:22</t>
  </si>
  <si>
    <t>2227244155</t>
  </si>
  <si>
    <t>2025-06-23 00:14:46</t>
  </si>
  <si>
    <t>2227270457</t>
  </si>
  <si>
    <t>2025-06-23 01:02:06</t>
  </si>
  <si>
    <t>2227287603</t>
  </si>
  <si>
    <t>2025-06-23 01:32:04</t>
  </si>
  <si>
    <t>2227321156</t>
  </si>
  <si>
    <t>2025-06-23 02:30:28</t>
  </si>
  <si>
    <t>2227328493</t>
  </si>
  <si>
    <t>2025-06-23 02:43:21</t>
  </si>
  <si>
    <t>2025-06-23 04:43:28</t>
  </si>
  <si>
    <t>5459672102</t>
  </si>
  <si>
    <t>2025-06-23 11:53:03</t>
  </si>
  <si>
    <t>Problems unlocking the door. I ended up kicking the bottom of the door and it opened. Guests may want to move tomorrow. CK</t>
  </si>
  <si>
    <t>2227582718</t>
  </si>
  <si>
    <t>2025-06-23 12:43:11</t>
  </si>
  <si>
    <t>2026-04-21</t>
  </si>
  <si>
    <t>2026-04-22</t>
  </si>
  <si>
    <t>5781568759</t>
  </si>
  <si>
    <t>2025-06-23 13:54:58</t>
  </si>
  <si>
    <t>2025-06-23 14:08:39</t>
  </si>
  <si>
    <t>2025-08-27</t>
  </si>
  <si>
    <t>2227640578</t>
  </si>
  <si>
    <t>2025-06-23 14:14:41</t>
  </si>
  <si>
    <t>2227648795</t>
  </si>
  <si>
    <t>2025-06-23 14:25:49</t>
  </si>
  <si>
    <t>2227648794</t>
  </si>
  <si>
    <t>2025-06-23 14:25:53</t>
  </si>
  <si>
    <t>2227696501</t>
  </si>
  <si>
    <t>2025-06-23 15:30:24</t>
  </si>
  <si>
    <t>2227755314</t>
  </si>
  <si>
    <t>2025-06-23 16:51:06</t>
  </si>
  <si>
    <t>5144049405</t>
  </si>
  <si>
    <t>2025-06-23 16:58:50</t>
  </si>
  <si>
    <t>2227793278</t>
  </si>
  <si>
    <t>2025-06-23 17:46:17</t>
  </si>
  <si>
    <t>Leave in 116-JF</t>
  </si>
  <si>
    <t>2227837320</t>
  </si>
  <si>
    <t>2025-06-23 18:51:45</t>
  </si>
  <si>
    <t>2227839714</t>
  </si>
  <si>
    <t>2025-06-23 18:55:14</t>
  </si>
  <si>
    <t>2227856301</t>
  </si>
  <si>
    <t>2025-06-23 19:19:25</t>
  </si>
  <si>
    <t>104 (STK), 118 (STQ)</t>
  </si>
  <si>
    <t>2025-06-23 19:20:17</t>
  </si>
  <si>
    <t>2025-06-23 19:25:21</t>
  </si>
  <si>
    <t>2227884243</t>
  </si>
  <si>
    <t>2025-06-23 19:59:36</t>
  </si>
  <si>
    <t>HMSK4NYWZN</t>
  </si>
  <si>
    <t>2025-06-23 20:19:33</t>
  </si>
  <si>
    <t>I was not able to access the payment option/type as shown on text. CK</t>
  </si>
  <si>
    <t>5630375991</t>
  </si>
  <si>
    <t>2025-06-23 20:42:48</t>
  </si>
  <si>
    <t>6296781603</t>
  </si>
  <si>
    <t>2025-06-23 20:45:43</t>
  </si>
  <si>
    <t>Guest purchased a Gatorade, but when I applied it to their room the card said insufficient funds! CK</t>
  </si>
  <si>
    <t>2227924852</t>
  </si>
  <si>
    <t>2025-06-23 20:58:57</t>
  </si>
  <si>
    <t>2025-06-23 21:09:33</t>
  </si>
  <si>
    <t>2227948345</t>
  </si>
  <si>
    <t>2025-06-23 21:35:12</t>
  </si>
  <si>
    <t>2227951752</t>
  </si>
  <si>
    <t>2025-06-23 21:40:40</t>
  </si>
  <si>
    <t>2227957894</t>
  </si>
  <si>
    <t>2025-06-23 21:50:29</t>
  </si>
  <si>
    <t>2227967639</t>
  </si>
  <si>
    <t>2025-06-23 22:06:17</t>
  </si>
  <si>
    <t>2025-06-23 22:18:44</t>
  </si>
  <si>
    <t>2228004838</t>
  </si>
  <si>
    <t>2025-06-23 23:09:03</t>
  </si>
  <si>
    <t>2228019128</t>
  </si>
  <si>
    <t>2025-06-23 23:33:57</t>
  </si>
  <si>
    <t>6263964538</t>
  </si>
  <si>
    <t>2025-06-24 00:18:47</t>
  </si>
  <si>
    <t>6490431664</t>
  </si>
  <si>
    <t>2025-06-24 00:21:20</t>
  </si>
  <si>
    <t>2228057754</t>
  </si>
  <si>
    <t>2025-06-24 00:38:12</t>
  </si>
  <si>
    <t>2025-06-24 00:45:59</t>
  </si>
  <si>
    <t>6678768286</t>
  </si>
  <si>
    <t>2025-06-24 02:07:24</t>
  </si>
  <si>
    <t>5630374762</t>
  </si>
  <si>
    <t>2025-06-24 02:15:19</t>
  </si>
  <si>
    <t>2228118693</t>
  </si>
  <si>
    <t>2025-06-24 02:15:44</t>
  </si>
  <si>
    <t>2228130425</t>
  </si>
  <si>
    <t>2025-06-24 02:34:36</t>
  </si>
  <si>
    <t>110 (STQ), 119 (STQ)</t>
  </si>
  <si>
    <t>6074718324</t>
  </si>
  <si>
    <t>2025-06-24 02:34:47</t>
  </si>
  <si>
    <t>2228137118</t>
  </si>
  <si>
    <t>2025-06-24 02:45:52</t>
  </si>
  <si>
    <t>2228145155</t>
  </si>
  <si>
    <t>2025-06-24 02:59:43</t>
  </si>
  <si>
    <t>2228160545</t>
  </si>
  <si>
    <t>2025-06-24 03:27:12</t>
  </si>
  <si>
    <t>5623814055</t>
  </si>
  <si>
    <t>2025-06-24 06:01:53</t>
  </si>
  <si>
    <t>2228436292</t>
  </si>
  <si>
    <t>2025-06-24 13:46:03</t>
  </si>
  <si>
    <t>2025-06-24 13:48:14</t>
  </si>
  <si>
    <t>2228483058</t>
  </si>
  <si>
    <t>2025-06-24 14:53:03</t>
  </si>
  <si>
    <t>5668119517</t>
  </si>
  <si>
    <t>2025-06-24 15:38:59</t>
  </si>
  <si>
    <t>HM8YAQSJEJ</t>
  </si>
  <si>
    <t>2025-06-24 15:41:05</t>
  </si>
  <si>
    <t>5282188679</t>
  </si>
  <si>
    <t>2025-06-24 16:19:34</t>
  </si>
  <si>
    <t>6058512017</t>
  </si>
  <si>
    <t>2025-06-24 16:28:43</t>
  </si>
  <si>
    <t>2228552241</t>
  </si>
  <si>
    <t>2025-06-24 16:30:07</t>
  </si>
  <si>
    <t>2228595236</t>
  </si>
  <si>
    <t>2025-06-24 17:34:22</t>
  </si>
  <si>
    <t>5668104925</t>
  </si>
  <si>
    <t>2025-06-24 17:47:55</t>
  </si>
  <si>
    <t>2228606532</t>
  </si>
  <si>
    <t>2025-06-24 17:51:29</t>
  </si>
  <si>
    <t>5463773351</t>
  </si>
  <si>
    <t>2025-06-24 18:03:07</t>
  </si>
  <si>
    <t>2228618743</t>
  </si>
  <si>
    <t>2025-06-24 18:09:42</t>
  </si>
  <si>
    <t>Guest will notify the front desk in the morning if they will stay one more night. CK</t>
  </si>
  <si>
    <t>6918665576</t>
  </si>
  <si>
    <t>2025-06-24 21:00:28</t>
  </si>
  <si>
    <t>2025-06-24 21:02:19</t>
  </si>
  <si>
    <t>6312189556</t>
  </si>
  <si>
    <t>2025-06-24 21:28:09</t>
  </si>
  <si>
    <t>Leave in 101_JF</t>
  </si>
  <si>
    <t>6312172398</t>
  </si>
  <si>
    <t>2025-06-24 21:47:36</t>
  </si>
  <si>
    <t>5821256130</t>
  </si>
  <si>
    <t>2025-06-24 22:24:51</t>
  </si>
  <si>
    <t>2228808512</t>
  </si>
  <si>
    <t>2025-06-24 23:04:25</t>
  </si>
  <si>
    <t>Husband came to the office and said their key was stuck in the door. By the time I got to the room, the wife got the key out. However, the husband said the door knob is very loose and somebody should look at it. CK</t>
  </si>
  <si>
    <t>2228841979</t>
  </si>
  <si>
    <t>2025-06-25 00:03:14</t>
  </si>
  <si>
    <t>5072289926</t>
  </si>
  <si>
    <t>2025-06-25 00:34:10</t>
  </si>
  <si>
    <t>6176013706</t>
  </si>
  <si>
    <t>2025-06-25 02:38:46</t>
  </si>
  <si>
    <t>6143234473</t>
  </si>
  <si>
    <t>2025-06-25 03:20:49</t>
  </si>
  <si>
    <t>2228966420</t>
  </si>
  <si>
    <t>2025-06-25 03:26:24</t>
  </si>
  <si>
    <t>2228974887</t>
  </si>
  <si>
    <t>2025-06-25 03:41:48</t>
  </si>
  <si>
    <t>6095057627</t>
  </si>
  <si>
    <t>2025-06-25 03:56:17</t>
  </si>
  <si>
    <t>2229305709</t>
  </si>
  <si>
    <t>2025-06-25 15:19:53</t>
  </si>
  <si>
    <t>2229385611</t>
  </si>
  <si>
    <t>2025-06-25 17:15:28</t>
  </si>
  <si>
    <t>2025-06-25 18:38:18</t>
  </si>
  <si>
    <t>2025-06-25 18:52:42</t>
  </si>
  <si>
    <t>2229502344</t>
  </si>
  <si>
    <t>2025-06-25 20:14:40</t>
  </si>
  <si>
    <t>6918606931</t>
  </si>
  <si>
    <t>2025-06-25 21:48:11</t>
  </si>
  <si>
    <t>2229581982</t>
  </si>
  <si>
    <t>2025-06-25 22:22:53</t>
  </si>
  <si>
    <t>HMCKT9DQR2</t>
  </si>
  <si>
    <t>2025-06-25 22:32:45</t>
  </si>
  <si>
    <t>5072266030</t>
  </si>
  <si>
    <t>2025-06-26 00:35:44</t>
  </si>
  <si>
    <t>6312143065</t>
  </si>
  <si>
    <t>2025-06-26 00:48:13</t>
  </si>
  <si>
    <t>2025-06-26 01:10:12</t>
  </si>
  <si>
    <t>6152530274</t>
  </si>
  <si>
    <t>2025-06-26 02:03:07</t>
  </si>
  <si>
    <t>2229721387</t>
  </si>
  <si>
    <t>2025-06-26 02:13:57</t>
  </si>
  <si>
    <t>6881783969</t>
  </si>
  <si>
    <t>2025-06-26 02:24:45</t>
  </si>
  <si>
    <t>2025-06-26 09:42:58</t>
  </si>
  <si>
    <t>2025-10-14</t>
  </si>
  <si>
    <t>2230062423</t>
  </si>
  <si>
    <t>2025-06-26 14:17:51</t>
  </si>
  <si>
    <t>2025-06-26 14:43:46</t>
  </si>
  <si>
    <t>2025-06-26 15:28:23</t>
  </si>
  <si>
    <t>2230167000</t>
  </si>
  <si>
    <t>2025-06-26 16:49:30</t>
  </si>
  <si>
    <t>2025-06-26 17:04:16</t>
  </si>
  <si>
    <t>2230185748</t>
  </si>
  <si>
    <t>2025-06-26 17:17:47</t>
  </si>
  <si>
    <t>2025-06-26 17:44:17</t>
  </si>
  <si>
    <t>2230216239</t>
  </si>
  <si>
    <t>2025-06-26 18:05:43</t>
  </si>
  <si>
    <t>6259863952</t>
  </si>
  <si>
    <t>2025-06-26 19:17:42</t>
  </si>
  <si>
    <t>2230263818</t>
  </si>
  <si>
    <t>2025-06-26 19:19:20</t>
  </si>
  <si>
    <t>6192154501</t>
  </si>
  <si>
    <t>2025-06-26 19:55:26</t>
  </si>
  <si>
    <t>2230290868</t>
  </si>
  <si>
    <t>2025-06-26 20:00:24</t>
  </si>
  <si>
    <t>2230297882</t>
  </si>
  <si>
    <t>2025-06-26 20:11:12</t>
  </si>
  <si>
    <t>2230334668</t>
  </si>
  <si>
    <t>2025-06-26 21:07:25</t>
  </si>
  <si>
    <t>6518969984</t>
  </si>
  <si>
    <t>2025-06-26 21:10:44</t>
  </si>
  <si>
    <t>2025-08-15</t>
  </si>
  <si>
    <t>2230415211</t>
  </si>
  <si>
    <t>2025-06-26 23:23:25</t>
  </si>
  <si>
    <t>2230416471</t>
  </si>
  <si>
    <t>2025-06-26 23:25:38</t>
  </si>
  <si>
    <t>2025-06-27 00:26:53</t>
  </si>
  <si>
    <t>2230532068</t>
  </si>
  <si>
    <t>2025-06-27 02:30:43</t>
  </si>
  <si>
    <t>2230553852</t>
  </si>
  <si>
    <t>2025-06-27 03:07:21</t>
  </si>
  <si>
    <t>2025-06-27 03:17:13</t>
  </si>
  <si>
    <t>2230560119</t>
  </si>
  <si>
    <t>2025-06-27 03:18:31</t>
  </si>
  <si>
    <t>6259859019</t>
  </si>
  <si>
    <t>2025-06-27 03:30:52</t>
  </si>
  <si>
    <t>2230910957</t>
  </si>
  <si>
    <t>2025-06-27 15:31:25</t>
  </si>
  <si>
    <t>2230927717</t>
  </si>
  <si>
    <t>2025-06-27 15:55:20</t>
  </si>
  <si>
    <t>2230989055</t>
  </si>
  <si>
    <t>2025-06-27 17:27:50</t>
  </si>
  <si>
    <t>5801389774</t>
  </si>
  <si>
    <t>2025-06-27 17:57:04</t>
  </si>
  <si>
    <t>5655563676</t>
  </si>
  <si>
    <t>2025-06-27 19:23:15</t>
  </si>
  <si>
    <t>6817869846</t>
  </si>
  <si>
    <t>2025-06-27 19:24:49</t>
  </si>
  <si>
    <t>6260441831</t>
  </si>
  <si>
    <t>2025-06-27 19:28:24</t>
  </si>
  <si>
    <t>2231116662</t>
  </si>
  <si>
    <t>2025-06-27 20:48:08</t>
  </si>
  <si>
    <t>6260423861</t>
  </si>
  <si>
    <t>2025-06-27 23:20:34</t>
  </si>
  <si>
    <t>6579947082</t>
  </si>
  <si>
    <t>2025-06-28 00:04:46</t>
  </si>
  <si>
    <t xml:space="preserve">Guadalupe Moreno completed the Durango Guidebook mini app: https://sys.akia.ai/mapp/45171e31-5fc0-4d65-a5c5-677b3a998e8a?session=82f8a66e-d680-454e-a38f-210ce405035f
</t>
  </si>
  <si>
    <t>2231239826</t>
  </si>
  <si>
    <t>2025-06-28 00:21:00</t>
  </si>
  <si>
    <t>2231268722</t>
  </si>
  <si>
    <t>2025-06-28 01:13:11</t>
  </si>
  <si>
    <t>6260712432</t>
  </si>
  <si>
    <t>2025-06-28 06:02:47</t>
  </si>
  <si>
    <t>2231532056</t>
  </si>
  <si>
    <t>2025-06-28 13:05:29</t>
  </si>
  <si>
    <t>2231563702</t>
  </si>
  <si>
    <t>2025-06-28 14:12:37</t>
  </si>
  <si>
    <t>2025-06-28 15:42:35</t>
  </si>
  <si>
    <t>2025-06-28 16:17:31</t>
  </si>
  <si>
    <t>2231695163</t>
  </si>
  <si>
    <t>2025-06-28 18:06:28</t>
  </si>
  <si>
    <t>2231700791</t>
  </si>
  <si>
    <t>2025-06-28 18:16:34</t>
  </si>
  <si>
    <t>2231751156</t>
  </si>
  <si>
    <t>2025-06-28 19:48:02</t>
  </si>
  <si>
    <t>2231751155</t>
  </si>
  <si>
    <t>2025-06-28 19:48:03</t>
  </si>
  <si>
    <t>6860224560</t>
  </si>
  <si>
    <t>2025-06-28 20:06:55</t>
  </si>
  <si>
    <t>6101217909</t>
  </si>
  <si>
    <t>2025-06-28 22:54:49</t>
  </si>
  <si>
    <t>Insufficient funds for a Sprite and Skittles!!! CK</t>
  </si>
  <si>
    <t>2025-06-28 22:55:18</t>
  </si>
  <si>
    <t>2025-06-29 01:23:11</t>
  </si>
  <si>
    <t>6410305281</t>
  </si>
  <si>
    <t>2025-06-29 02:29:17</t>
  </si>
  <si>
    <t>6144761372</t>
  </si>
  <si>
    <t>2025-06-29 04:16:53</t>
  </si>
  <si>
    <t>2232066939</t>
  </si>
  <si>
    <t>2025-06-29 08:02:29</t>
  </si>
  <si>
    <t>2025-06-29 13:25:40</t>
  </si>
  <si>
    <t>2025-06-29 15:24:30</t>
  </si>
  <si>
    <t>2025-06-29 15:47:59</t>
  </si>
  <si>
    <t>2232266651</t>
  </si>
  <si>
    <t>2025-06-29 16:19:02</t>
  </si>
  <si>
    <t>2025-06-29 16:21:36</t>
  </si>
  <si>
    <t>2232269137</t>
  </si>
  <si>
    <t>2025-06-29 16:23:19</t>
  </si>
  <si>
    <t>2232357544</t>
  </si>
  <si>
    <t>2025-06-29 18:54:31</t>
  </si>
  <si>
    <t>2025-06-29 19:50:03</t>
  </si>
  <si>
    <t>6589761699</t>
  </si>
  <si>
    <t>2025-06-29 20:17:51</t>
  </si>
  <si>
    <t>2232445613</t>
  </si>
  <si>
    <t>2025-06-29 21:19:45</t>
  </si>
  <si>
    <t>2232445616</t>
  </si>
  <si>
    <t>2025-06-29 21:19:47</t>
  </si>
  <si>
    <t>2025-06-29 22:04:28</t>
  </si>
  <si>
    <t>2025-06-29 22:14:39</t>
  </si>
  <si>
    <t>6677918033</t>
  </si>
  <si>
    <t>2025-06-29 22:18:07</t>
  </si>
  <si>
    <t>2232496376</t>
  </si>
  <si>
    <t>2025-06-29 22:51:17</t>
  </si>
  <si>
    <t>2232512987</t>
  </si>
  <si>
    <t>2025-06-29 23:22:11</t>
  </si>
  <si>
    <t>2232512990</t>
  </si>
  <si>
    <t>2025-06-29 23:22:12</t>
  </si>
  <si>
    <t>2232524246</t>
  </si>
  <si>
    <t>2025-06-29 23:43:04</t>
  </si>
  <si>
    <t>2025-06-30 01:27:38</t>
  </si>
  <si>
    <t>2025-06-30 01:53:10</t>
  </si>
  <si>
    <t>2232598489</t>
  </si>
  <si>
    <t>2025-06-30 01:53:32</t>
  </si>
  <si>
    <t>HMZXCQT4BR</t>
  </si>
  <si>
    <t>2025-06-30 02:12:38</t>
  </si>
  <si>
    <t>2232624767</t>
  </si>
  <si>
    <t>2025-06-30 02:39:44</t>
  </si>
  <si>
    <t>2232625393</t>
  </si>
  <si>
    <t>2025-06-30 02:40:51</t>
  </si>
  <si>
    <t>5231615785</t>
  </si>
  <si>
    <t>2025-06-30 02:50:14</t>
  </si>
  <si>
    <t>2232658121</t>
  </si>
  <si>
    <t>2025-06-30 03:43:20</t>
  </si>
  <si>
    <t>2232852988</t>
  </si>
  <si>
    <t>2025-06-30 11:33:33</t>
  </si>
  <si>
    <t>2232880683</t>
  </si>
  <si>
    <t>2025-06-30 12:29:13</t>
  </si>
  <si>
    <t>2025-06-30 13:52:21</t>
  </si>
  <si>
    <t>2025-06-30 14:40:06</t>
  </si>
  <si>
    <t>2233048620</t>
  </si>
  <si>
    <t>2025-06-30 16:26:59</t>
  </si>
  <si>
    <t>6957983831</t>
  </si>
  <si>
    <t>2025-06-30 16:58:01</t>
  </si>
  <si>
    <t>6957959526</t>
  </si>
  <si>
    <t>2025-06-30 17:32:54</t>
  </si>
  <si>
    <t>HMXQMYC3MR</t>
  </si>
  <si>
    <t>2025-06-30 18:43:17</t>
  </si>
  <si>
    <t>CC is on file, but I don't get this ABn'B charging. CK</t>
  </si>
  <si>
    <t>2233146501</t>
  </si>
  <si>
    <t>2025-06-30 18:44:43</t>
  </si>
  <si>
    <t>2233185847</t>
  </si>
  <si>
    <t>2025-06-30 19:40:02</t>
  </si>
  <si>
    <t>2233242999</t>
  </si>
  <si>
    <t>2025-06-30 20:59:32</t>
  </si>
  <si>
    <t>2233250443</t>
  </si>
  <si>
    <t>2025-06-30 21:10:05</t>
  </si>
  <si>
    <t>5499565130</t>
  </si>
  <si>
    <t>2025-06-30 23:55:46</t>
  </si>
  <si>
    <t>2233369159</t>
  </si>
  <si>
    <t>2025-07-01 00:17:04</t>
  </si>
  <si>
    <t>203 (STK), 104 (STK)</t>
  </si>
  <si>
    <t>2233392093</t>
  </si>
  <si>
    <t>2025-07-01 00:53:02</t>
  </si>
  <si>
    <t>Guest is now in room #104. CK</t>
  </si>
  <si>
    <t>2233441151</t>
  </si>
  <si>
    <t>2025-07-01 02:07:52</t>
  </si>
  <si>
    <t>2233518136</t>
  </si>
  <si>
    <t>2025-07-01 04:22:56</t>
  </si>
  <si>
    <t>2233534162</t>
  </si>
  <si>
    <t>2025-07-01 04:58:14</t>
  </si>
  <si>
    <t>Checked out early needed more table space for work-JF</t>
  </si>
  <si>
    <t>2025-07-01 14:24:50</t>
  </si>
  <si>
    <t>5867996211</t>
  </si>
  <si>
    <t>2025-07-01 14:47:13</t>
  </si>
  <si>
    <t>HMZ5NRCDYZ</t>
  </si>
  <si>
    <t>2025-07-01 16:48:28</t>
  </si>
  <si>
    <t>6597853064</t>
  </si>
  <si>
    <t>2025-07-01 18:41:29</t>
  </si>
  <si>
    <t>2025-07-01 19:47:40</t>
  </si>
  <si>
    <t>2025-07-01 19:53:08</t>
  </si>
  <si>
    <t>2025-07-01 23:47:20</t>
  </si>
  <si>
    <t>2025-07-01 23:49:01</t>
  </si>
  <si>
    <t>6129400649</t>
  </si>
  <si>
    <t>2025-07-02 00:00:55</t>
  </si>
  <si>
    <t>2234198884</t>
  </si>
  <si>
    <t>2025-07-02 00:21:34</t>
  </si>
  <si>
    <t>Leave in 108-JF</t>
  </si>
  <si>
    <t>2025-07-02 00:29:42</t>
  </si>
  <si>
    <t>2234217252</t>
  </si>
  <si>
    <t>2025-07-02 00:49:54</t>
  </si>
  <si>
    <t>Guests door jammed shut on last night around 9:00 pm had to pry open the door. Made a huge scene and left , Josh handled it well.-JF</t>
  </si>
  <si>
    <t>2025-07-02 01:04:17</t>
  </si>
  <si>
    <t>2234254177</t>
  </si>
  <si>
    <t>2025-07-02 01:46:12</t>
  </si>
  <si>
    <t>6815063064</t>
  </si>
  <si>
    <t>2025-07-02 01:59:52</t>
  </si>
  <si>
    <t>2234280116</t>
  </si>
  <si>
    <t>2025-07-02 02:25:16</t>
  </si>
  <si>
    <t>2234283235</t>
  </si>
  <si>
    <t>2025-07-02 02:30:06</t>
  </si>
  <si>
    <t>2025-07-02 02:44:07</t>
  </si>
  <si>
    <t>2234321786</t>
  </si>
  <si>
    <t>2025-07-02 03:32:52</t>
  </si>
  <si>
    <t>Late check out for 12 pm. CK</t>
  </si>
  <si>
    <t>2025-07-02 03:52:11</t>
  </si>
  <si>
    <t>2234335084</t>
  </si>
  <si>
    <t>2025-07-02 03:57:07</t>
  </si>
  <si>
    <t>2234341862</t>
  </si>
  <si>
    <t>2025-07-02 04:10:19</t>
  </si>
  <si>
    <t>2234388295</t>
  </si>
  <si>
    <t>2025-07-02 05:57:41</t>
  </si>
  <si>
    <t>This guest only needed one room! There was an error on booking.com end and they booked him for 2 rooms. I told Stephen to come to the office in the morning to see how to rectify this situation. I cancelled the second room in Cloudbeds and immediately checked in another guest (walk-in) into the king. CK</t>
  </si>
  <si>
    <t>2025-07-02 07:13:09</t>
  </si>
  <si>
    <t>105 (DQ), 205 (STK)</t>
  </si>
  <si>
    <t>2025-07-02 14:01:13</t>
  </si>
  <si>
    <t>2025-07-02 14:15:10</t>
  </si>
  <si>
    <t>2025-07-02 20:34:19</t>
  </si>
  <si>
    <t>HMYZW9Z9ZZ</t>
  </si>
  <si>
    <t>2025-07-02 20:38:53</t>
  </si>
  <si>
    <t>CC on file .... again, I don't know how to charge through AB'nB. CK</t>
  </si>
  <si>
    <t>HM8QDD93PH</t>
  </si>
  <si>
    <t>2025-07-02 20:39:00</t>
  </si>
  <si>
    <t>CC on file ... AB'nB res. CK</t>
  </si>
  <si>
    <t>HMRPWBNPRE</t>
  </si>
  <si>
    <t>2025-07-02 20:48:13</t>
  </si>
  <si>
    <t>2234897782</t>
  </si>
  <si>
    <t>2025-07-02 20:49:43</t>
  </si>
  <si>
    <t>2234900633</t>
  </si>
  <si>
    <t>2025-07-02 20:54:03</t>
  </si>
  <si>
    <t>2234946917</t>
  </si>
  <si>
    <t>2025-07-02 22:06:51</t>
  </si>
  <si>
    <t>2234980626</t>
  </si>
  <si>
    <t>2025-07-02 23:04:08</t>
  </si>
  <si>
    <t>2235008976</t>
  </si>
  <si>
    <t>2025-07-02 23:52:49</t>
  </si>
  <si>
    <t>2235115740</t>
  </si>
  <si>
    <t>2025-07-03 02:42:17</t>
  </si>
  <si>
    <t>2235661943</t>
  </si>
  <si>
    <t>2025-07-03 19:22:58</t>
  </si>
  <si>
    <t>HMW3BSDRHF</t>
  </si>
  <si>
    <t>2025-07-03 19:54:33</t>
  </si>
  <si>
    <t>2235700251</t>
  </si>
  <si>
    <t>2025-07-03 20:19:47</t>
  </si>
  <si>
    <t>2235700253</t>
  </si>
  <si>
    <t>2025-07-03 20:19:50</t>
  </si>
  <si>
    <t>2235712785</t>
  </si>
  <si>
    <t>2025-07-03 20:38:32</t>
  </si>
  <si>
    <t>2235722226</t>
  </si>
  <si>
    <t>2025-07-03 20:53:04</t>
  </si>
  <si>
    <t>2235731134</t>
  </si>
  <si>
    <t>2025-07-03 21:07:01</t>
  </si>
  <si>
    <t>2025-07-03 22:00:15</t>
  </si>
  <si>
    <t>2025-07-03 22:31:06</t>
  </si>
  <si>
    <t>2025-07-03 22:49:19</t>
  </si>
  <si>
    <t>2235845522</t>
  </si>
  <si>
    <t>2025-07-04 00:24:49</t>
  </si>
  <si>
    <t>2235849374</t>
  </si>
  <si>
    <t>2025-07-04 00:31:57</t>
  </si>
  <si>
    <t>HM3REDAKWY</t>
  </si>
  <si>
    <t>2025-07-04 00:54:46</t>
  </si>
  <si>
    <t>2025-07-04 01:05:44</t>
  </si>
  <si>
    <t>2025-07-04 01:07:23</t>
  </si>
  <si>
    <t>2235907356</t>
  </si>
  <si>
    <t>2025-07-04 02:11:10</t>
  </si>
  <si>
    <t>2025-07-04 14:09:31</t>
  </si>
  <si>
    <t>2236356425</t>
  </si>
  <si>
    <t>2025-07-04 17:14:31</t>
  </si>
  <si>
    <t>2236447233</t>
  </si>
  <si>
    <t>2025-07-04 19:49:36</t>
  </si>
  <si>
    <t>2025-07-04 22:45:31</t>
  </si>
  <si>
    <t>6996164658</t>
  </si>
  <si>
    <t>2025-07-05 01:13:45</t>
  </si>
  <si>
    <t>2236915132</t>
  </si>
  <si>
    <t>2025-07-05 15:31:05</t>
  </si>
  <si>
    <t>HM5Y3B28RY</t>
  </si>
  <si>
    <t>2025-07-05 18:35:29</t>
  </si>
  <si>
    <t>2025-07-05 21:05:56</t>
  </si>
  <si>
    <t>2237141593</t>
  </si>
  <si>
    <t>2025-07-05 22:35:17</t>
  </si>
  <si>
    <t>5983979437</t>
  </si>
  <si>
    <t>2025-07-05 23:52:22</t>
  </si>
  <si>
    <t>2025-07-06 00:39:42</t>
  </si>
  <si>
    <t>2026-03-11</t>
  </si>
  <si>
    <t>2026-03-13</t>
  </si>
  <si>
    <t>2025-07-06 03:07:29</t>
  </si>
  <si>
    <t>2237430953</t>
  </si>
  <si>
    <t>2025-07-06 12:04:27</t>
  </si>
  <si>
    <t>2237550312</t>
  </si>
  <si>
    <t>2025-07-06 15:59:56</t>
  </si>
  <si>
    <t>2025-07-06 16:06:39</t>
  </si>
  <si>
    <t>2237702395</t>
  </si>
  <si>
    <t>2025-07-06 20:02:00</t>
  </si>
  <si>
    <t>5169895841</t>
  </si>
  <si>
    <t>2025-07-06 21:33:42</t>
  </si>
  <si>
    <t>2237985151</t>
  </si>
  <si>
    <t>2025-07-07 04:11:59</t>
  </si>
  <si>
    <t>2238244906</t>
  </si>
  <si>
    <t>2025-07-07 13:39:41</t>
  </si>
  <si>
    <t>2238244914</t>
  </si>
  <si>
    <t>2025-07-07 13:39:44</t>
  </si>
  <si>
    <t>2238294046</t>
  </si>
  <si>
    <t>2025-07-07 14:44:28</t>
  </si>
  <si>
    <t>2238294049</t>
  </si>
  <si>
    <t>2025-07-07 14:44:31</t>
  </si>
  <si>
    <t>2238320137</t>
  </si>
  <si>
    <t>2025-07-07 15:17:24</t>
  </si>
  <si>
    <t>203 (STK), 204 (STK), 120 (STQ)</t>
  </si>
  <si>
    <t>Direct Booking Discount 2025, Base Rate</t>
  </si>
  <si>
    <t>2025-07-07 15:44:40</t>
  </si>
  <si>
    <t>2238422680</t>
  </si>
  <si>
    <t>2025-07-07 17:28:50</t>
  </si>
  <si>
    <t>6794364258</t>
  </si>
  <si>
    <t>2025-07-07 21:22:51</t>
  </si>
  <si>
    <t>2025-09-23</t>
  </si>
  <si>
    <t>2238655863</t>
  </si>
  <si>
    <t>2025-07-07 22:39:48</t>
  </si>
  <si>
    <t xml:space="preserve">Bryan Nowak completed the Durango Guidebook mini app: https://sys.akia.ai/mapp/27b77831-3213-490e-9e19-5d2840744078?session=3b25c085-05bb-4ad4-a60b-ba220fc1514b
</t>
  </si>
  <si>
    <t>2238683392</t>
  </si>
  <si>
    <t>2025-07-07 23:22:59</t>
  </si>
  <si>
    <t>2238713742</t>
  </si>
  <si>
    <t>2025-07-08 00:10:29</t>
  </si>
  <si>
    <t>2238718430</t>
  </si>
  <si>
    <t>2025-07-08 00:17:17</t>
  </si>
  <si>
    <t>2025-09-25</t>
  </si>
  <si>
    <t>2238732689</t>
  </si>
  <si>
    <t>2025-07-08 00:38:27</t>
  </si>
  <si>
    <t>2025-07-08 01:00:30</t>
  </si>
  <si>
    <t>6845223237</t>
  </si>
  <si>
    <t>2025-07-08 01:17:28</t>
  </si>
  <si>
    <t>2238760764</t>
  </si>
  <si>
    <t>2025-07-08 01:18:58</t>
  </si>
  <si>
    <t>HMSRCTJMHZ</t>
  </si>
  <si>
    <t>2025-07-08 02:46:40</t>
  </si>
  <si>
    <t>2238842190</t>
  </si>
  <si>
    <t>2025-07-08 03:24:20</t>
  </si>
  <si>
    <t>2238851556</t>
  </si>
  <si>
    <t>2025-07-08 03:40:38</t>
  </si>
  <si>
    <t>2238871287</t>
  </si>
  <si>
    <t>2025-07-08 04:18:41</t>
  </si>
  <si>
    <t>6344621470</t>
  </si>
  <si>
    <t>2025-07-08 05:36:02</t>
  </si>
  <si>
    <t>2239091984</t>
  </si>
  <si>
    <t>2025-07-08 12:45:57</t>
  </si>
  <si>
    <t>6950984656</t>
  </si>
  <si>
    <t>2025-07-08 13:09:06</t>
  </si>
  <si>
    <t>2239171658</t>
  </si>
  <si>
    <t>2025-07-08 14:42:03</t>
  </si>
  <si>
    <t>6653390353</t>
  </si>
  <si>
    <t>2025-07-08 16:41:57</t>
  </si>
  <si>
    <t>6612998953</t>
  </si>
  <si>
    <t>2025-07-08 19:50:13</t>
  </si>
  <si>
    <t>5284318118</t>
  </si>
  <si>
    <t>2025-07-08 20:01:40</t>
  </si>
  <si>
    <t>2239463948</t>
  </si>
  <si>
    <t>2025-07-08 21:23:54</t>
  </si>
  <si>
    <t>2025-07-08 21:42:12</t>
  </si>
  <si>
    <t>2239490504</t>
  </si>
  <si>
    <t>2025-07-08 22:04:00</t>
  </si>
  <si>
    <t>2239495713</t>
  </si>
  <si>
    <t>2025-07-08 22:12:14</t>
  </si>
  <si>
    <t>Guest had a family emergency in Texas and needed to leave at 3:21 on Wed. CK, Please email Rebecca tomorrow 7/10 regarding her early check out. The system wouldn't seem to let me do it. Her personal email is on her registration form. CK</t>
  </si>
  <si>
    <t>2025-11-10</t>
  </si>
  <si>
    <t>2025-11-13</t>
  </si>
  <si>
    <t>5314010016</t>
  </si>
  <si>
    <t>2025-07-08 23:36:20</t>
  </si>
  <si>
    <t>2025-07-08 23:43:23</t>
  </si>
  <si>
    <t>HMQ9X3WET4</t>
  </si>
  <si>
    <t>2025-07-09 01:30:39</t>
  </si>
  <si>
    <t>2239634231</t>
  </si>
  <si>
    <t>2025-07-09 01:46:49</t>
  </si>
  <si>
    <t>2239648466</t>
  </si>
  <si>
    <t>2025-07-09 02:07:34</t>
  </si>
  <si>
    <t>HM3DTXANPT</t>
  </si>
  <si>
    <t>2025-07-09 02:43:50</t>
  </si>
  <si>
    <t>2239761257</t>
  </si>
  <si>
    <t>2025-07-09 05:35:16</t>
  </si>
  <si>
    <t>2239941679</t>
  </si>
  <si>
    <t>2025-07-09 12:39:43</t>
  </si>
  <si>
    <t>2240021640</t>
  </si>
  <si>
    <t>2025-07-09 14:40:21</t>
  </si>
  <si>
    <t>2240022233</t>
  </si>
  <si>
    <t>2025-07-09 14:41:32</t>
  </si>
  <si>
    <t>2240147889</t>
  </si>
  <si>
    <t>2025-07-09 17:30:38</t>
  </si>
  <si>
    <t>2240160734</t>
  </si>
  <si>
    <t>2025-07-09 17:48:55</t>
  </si>
  <si>
    <t>2240253390</t>
  </si>
  <si>
    <t>2025-07-09 20:00:16</t>
  </si>
  <si>
    <t>2240284473</t>
  </si>
  <si>
    <t>2025-07-09 20:43:47</t>
  </si>
  <si>
    <t>2025-10-04</t>
  </si>
  <si>
    <t>2025-10-05</t>
  </si>
  <si>
    <t>2025-07-09 20:59:55</t>
  </si>
  <si>
    <t>2240312137</t>
  </si>
  <si>
    <t>2025-07-09 21:23:38</t>
  </si>
  <si>
    <t>2025-09-03</t>
  </si>
  <si>
    <t>2240331766</t>
  </si>
  <si>
    <t>2025-07-09 21:54:09</t>
  </si>
  <si>
    <t>2240341328</t>
  </si>
  <si>
    <t>2025-07-09 22:07:44</t>
  </si>
  <si>
    <t>2025-07-09 22:31:33</t>
  </si>
  <si>
    <t>2240400926</t>
  </si>
  <si>
    <t>2025-07-09 23:43:02</t>
  </si>
  <si>
    <t>2025-07-09 23:44:32</t>
  </si>
  <si>
    <t>2240471448</t>
  </si>
  <si>
    <t>2025-07-10 01:28:10</t>
  </si>
  <si>
    <t>2240480214</t>
  </si>
  <si>
    <t>2025-07-10 01:40:45</t>
  </si>
  <si>
    <t>2025-07-10 02:48:50</t>
  </si>
  <si>
    <t>2240554715</t>
  </si>
  <si>
    <t>2025-07-10 03:33:42</t>
  </si>
  <si>
    <t>2240613840</t>
  </si>
  <si>
    <t>2025-07-10 05:36:55</t>
  </si>
  <si>
    <t>2026-02-16</t>
  </si>
  <si>
    <t>2026-02-22</t>
  </si>
  <si>
    <t>6885778763</t>
  </si>
  <si>
    <t>2025-07-10 14:04:40</t>
  </si>
  <si>
    <t>2240978962</t>
  </si>
  <si>
    <t>2025-07-10 17:12:15</t>
  </si>
  <si>
    <t>2241015705</t>
  </si>
  <si>
    <t>2025-07-10 18:09:14</t>
  </si>
  <si>
    <t>Guest might be a late arrival-JF</t>
  </si>
  <si>
    <t>2241019187</t>
  </si>
  <si>
    <t>2025-07-10 18:14:33</t>
  </si>
  <si>
    <t>Guest called on 9/3 stating that he forgot to turn in the room key for 109 and will return it upon arrival. CK</t>
  </si>
  <si>
    <t>2025-07-10 18:33:34</t>
  </si>
  <si>
    <t>2025-07-10 19:03:54</t>
  </si>
  <si>
    <t>2025-07-10 19:09:07</t>
  </si>
  <si>
    <t>2025-09-22</t>
  </si>
  <si>
    <t>2241103043</t>
  </si>
  <si>
    <t>2025-07-10 20:16:39</t>
  </si>
  <si>
    <t>2025-07-10 21:08:33</t>
  </si>
  <si>
    <t>2025-07-10 22:47:15</t>
  </si>
  <si>
    <t>2241202196</t>
  </si>
  <si>
    <t>2025-07-10 22:49:22</t>
  </si>
  <si>
    <t>5776703236</t>
  </si>
  <si>
    <t>2025-07-10 23:14:16</t>
  </si>
  <si>
    <t>2241218564</t>
  </si>
  <si>
    <t>2025-07-10 23:16:19</t>
  </si>
  <si>
    <t>2025-07-10 23:34:48</t>
  </si>
  <si>
    <t>2241232355</t>
  </si>
  <si>
    <t>2025-07-10 23:39:25</t>
  </si>
  <si>
    <t>5468424640</t>
  </si>
  <si>
    <t>2025-07-10 23:46:02</t>
  </si>
  <si>
    <t>NO Show-JF</t>
  </si>
  <si>
    <t>2241303750</t>
  </si>
  <si>
    <t>2025-07-11 01:30:55</t>
  </si>
  <si>
    <t>6066324818</t>
  </si>
  <si>
    <t>2025-07-11 01:40:05</t>
  </si>
  <si>
    <t>I had to move room 111 (Kristen Vesperman) to room 119 because both room keys wouldn't open the door, nor my masterkey. CK</t>
  </si>
  <si>
    <t>2025-07-11 02:03:24</t>
  </si>
  <si>
    <t>2241414669</t>
  </si>
  <si>
    <t>2025-07-11 04:37:03</t>
  </si>
  <si>
    <t>2241433017</t>
  </si>
  <si>
    <t>2025-07-11 05:19:03</t>
  </si>
  <si>
    <t>2025-07-11 05:48:07</t>
  </si>
  <si>
    <t>201 (DQ), 116 (DQ)</t>
  </si>
  <si>
    <t>HM5NRZSFSE</t>
  </si>
  <si>
    <t>2025-07-11 14:06:31</t>
  </si>
  <si>
    <t>2241699996</t>
  </si>
  <si>
    <t>2025-07-11 14:47:52</t>
  </si>
  <si>
    <t>2241740337</t>
  </si>
  <si>
    <t>2025-07-11 15:42:33</t>
  </si>
  <si>
    <t>2241797071</t>
  </si>
  <si>
    <t>2025-07-11 17:02:22</t>
  </si>
  <si>
    <t>2026-04-30</t>
  </si>
  <si>
    <t>2026-05-01</t>
  </si>
  <si>
    <t>HMXCNNSRNX</t>
  </si>
  <si>
    <t>2025-07-11 18:10:42</t>
  </si>
  <si>
    <t>2241850918</t>
  </si>
  <si>
    <t>2025-07-11 18:21:37</t>
  </si>
  <si>
    <t>2241920382</t>
  </si>
  <si>
    <t>2025-07-11 20:06:25</t>
  </si>
  <si>
    <t>2241921206</t>
  </si>
  <si>
    <t>2025-07-11 20:07:10</t>
  </si>
  <si>
    <t>5008398338</t>
  </si>
  <si>
    <t>2025-07-11 20:13:11</t>
  </si>
  <si>
    <t>2241998813</t>
  </si>
  <si>
    <t>2025-07-11 22:05:52</t>
  </si>
  <si>
    <t>2025-07-11 23:16:31</t>
  </si>
  <si>
    <t>upgraded due to 120 damage (disreguard)</t>
  </si>
  <si>
    <t>2025-07-11 23:27:06</t>
  </si>
  <si>
    <t>2242071467</t>
  </si>
  <si>
    <t>2025-07-12 00:10:41</t>
  </si>
  <si>
    <t>2242087250</t>
  </si>
  <si>
    <t>2025-07-12 00:36:39</t>
  </si>
  <si>
    <t>2242099111</t>
  </si>
  <si>
    <t>2025-07-12 00:56:35</t>
  </si>
  <si>
    <t>2242109275</t>
  </si>
  <si>
    <t>2025-07-12 01:14:07</t>
  </si>
  <si>
    <t>2242270287</t>
  </si>
  <si>
    <t>2025-07-12 07:19:30</t>
  </si>
  <si>
    <t>2242400141</t>
  </si>
  <si>
    <t>2025-07-12 13:38:03</t>
  </si>
  <si>
    <t>2242406781</t>
  </si>
  <si>
    <t>2025-07-12 13:51:07</t>
  </si>
  <si>
    <t>2242427330</t>
  </si>
  <si>
    <t>2025-07-12 14:29:22</t>
  </si>
  <si>
    <t>2242627745</t>
  </si>
  <si>
    <t>2025-07-12 20:10:59</t>
  </si>
  <si>
    <t>2242629186</t>
  </si>
  <si>
    <t>2025-07-12 20:13:27</t>
  </si>
  <si>
    <t>2242649564</t>
  </si>
  <si>
    <t>2025-07-12 20:49:11</t>
  </si>
  <si>
    <t>5446415636</t>
  </si>
  <si>
    <t>2025-07-12 22:55:13</t>
  </si>
  <si>
    <t>2242721510</t>
  </si>
  <si>
    <t>2025-07-12 23:02:49</t>
  </si>
  <si>
    <t>Upgraded due to 120 damage</t>
  </si>
  <si>
    <t>2242738991</t>
  </si>
  <si>
    <t>2025-07-12 23:37:52</t>
  </si>
  <si>
    <t>Guest needs to be checked into room #203. CK</t>
  </si>
  <si>
    <t>6600700531</t>
  </si>
  <si>
    <t>2025-07-13 00:00:48</t>
  </si>
  <si>
    <t>2025-07-13 01:53:33</t>
  </si>
  <si>
    <t>2242833944</t>
  </si>
  <si>
    <t>2025-07-13 02:47:43</t>
  </si>
  <si>
    <t>6589210667</t>
  </si>
  <si>
    <t>2025-07-13 11:10:34</t>
  </si>
  <si>
    <t>2243015630</t>
  </si>
  <si>
    <t>2025-07-13 12:01:03</t>
  </si>
  <si>
    <t>2243015632</t>
  </si>
  <si>
    <t>2025-07-13 12:01:04</t>
  </si>
  <si>
    <t>2243184979</t>
  </si>
  <si>
    <t>2025-07-13 17:14:48</t>
  </si>
  <si>
    <t>116 (DQ), 115 (STQ)</t>
  </si>
  <si>
    <t>2025-07-13 19:02:01</t>
  </si>
  <si>
    <t>2243273718</t>
  </si>
  <si>
    <t>2025-07-13 19:38:49</t>
  </si>
  <si>
    <t>2243295230</t>
  </si>
  <si>
    <t>2025-07-13 20:12:38</t>
  </si>
  <si>
    <t>Guest is now in room #203. CK</t>
  </si>
  <si>
    <t>2025-09-05</t>
  </si>
  <si>
    <t>2025-07-13 20:19:08</t>
  </si>
  <si>
    <t>2243317012</t>
  </si>
  <si>
    <t>2025-07-13 20:46:37</t>
  </si>
  <si>
    <t>2025-07-13 21:17:19</t>
  </si>
  <si>
    <t>2025-07-13 22:30:02</t>
  </si>
  <si>
    <t>2243383608</t>
  </si>
  <si>
    <t>2025-07-13 22:37:11</t>
  </si>
  <si>
    <t>2243409124</t>
  </si>
  <si>
    <t>2025-07-13 23:21:21</t>
  </si>
  <si>
    <t>2243418955</t>
  </si>
  <si>
    <t>2025-07-13 23:38:23</t>
  </si>
  <si>
    <t>2243435756</t>
  </si>
  <si>
    <t>2025-07-14 00:06:51</t>
  </si>
  <si>
    <t>2243438424</t>
  </si>
  <si>
    <t>2025-07-14 00:11:18</t>
  </si>
  <si>
    <t>2243518586</t>
  </si>
  <si>
    <t>2025-07-14 02:20:20</t>
  </si>
  <si>
    <t>2243527048</t>
  </si>
  <si>
    <t>2025-07-14 02:33:53</t>
  </si>
  <si>
    <t>2243548316</t>
  </si>
  <si>
    <t>2025-07-14 03:10:36</t>
  </si>
  <si>
    <t>2243566609</t>
  </si>
  <si>
    <t>2025-07-14 03:44:48</t>
  </si>
  <si>
    <t>5524743484</t>
  </si>
  <si>
    <t>2025-07-14 04:20:56</t>
  </si>
  <si>
    <t>6703921948</t>
  </si>
  <si>
    <t>2025-07-14 15:42:09</t>
  </si>
  <si>
    <t>2025-07-14 15:57:12</t>
  </si>
  <si>
    <t>2025-10-21</t>
  </si>
  <si>
    <t>2244049774</t>
  </si>
  <si>
    <t>2025-07-14 18:40:16</t>
  </si>
  <si>
    <t>2025-07-14 19:19:41</t>
  </si>
  <si>
    <t>2244184247</t>
  </si>
  <si>
    <t>2025-07-14 21:37:36</t>
  </si>
  <si>
    <t>2244196123</t>
  </si>
  <si>
    <t>2025-07-14 21:54:26</t>
  </si>
  <si>
    <t>5524771749</t>
  </si>
  <si>
    <t>2025-07-14 22:24:10</t>
  </si>
  <si>
    <t>HMA9M2EHFX</t>
  </si>
  <si>
    <t>2025-07-14 22:43:49</t>
  </si>
  <si>
    <t>2244258105</t>
  </si>
  <si>
    <t>2025-07-14 23:26:33</t>
  </si>
  <si>
    <t>2244335028</t>
  </si>
  <si>
    <t>2025-07-15 01:16:39</t>
  </si>
  <si>
    <t>2244366021</t>
  </si>
  <si>
    <t>2025-07-15 01:59:01</t>
  </si>
  <si>
    <t>2025-07-15 02:05:22</t>
  </si>
  <si>
    <t>2244383844</t>
  </si>
  <si>
    <t>2025-07-15 02:23:53</t>
  </si>
  <si>
    <t>2025-07-15 02:38:23</t>
  </si>
  <si>
    <t>2244394730</t>
  </si>
  <si>
    <t>2025-07-15 02:39:42</t>
  </si>
  <si>
    <t>2244495467</t>
  </si>
  <si>
    <t>2025-07-15 05:56:15</t>
  </si>
  <si>
    <t>2244550376</t>
  </si>
  <si>
    <t>2025-07-15 08:13:36</t>
  </si>
  <si>
    <t>2025-07-15 13:04:57</t>
  </si>
  <si>
    <t>HM49DKMCDJ</t>
  </si>
  <si>
    <t>2025-07-15 16:57:12</t>
  </si>
  <si>
    <t>2244878551</t>
  </si>
  <si>
    <t>2025-07-15 17:21:10</t>
  </si>
  <si>
    <t>2245061614</t>
  </si>
  <si>
    <t>2025-07-15 21:43:21</t>
  </si>
  <si>
    <t>2025-07-15 23:06:53</t>
  </si>
  <si>
    <t>2245134689</t>
  </si>
  <si>
    <t>2025-07-15 23:43:39</t>
  </si>
  <si>
    <t>2245155394</t>
  </si>
  <si>
    <t>2025-07-16 00:16:12</t>
  </si>
  <si>
    <t>2245237136</t>
  </si>
  <si>
    <t>2025-07-16 02:12:34</t>
  </si>
  <si>
    <t>Guest is a stay over with a separate reservation. CK</t>
  </si>
  <si>
    <t>6930835320</t>
  </si>
  <si>
    <t>2025-07-16 02:31:29</t>
  </si>
  <si>
    <t>2245259102</t>
  </si>
  <si>
    <t>2025-07-16 02:43:45</t>
  </si>
  <si>
    <t>2245584993</t>
  </si>
  <si>
    <t>2025-07-16 13:55:16</t>
  </si>
  <si>
    <t>Guest moved to room 106 due to A/C not working properly.  Prior to her response to the A/C, I received a phone call from Expedia stating that she wanted to check-out due to a dirty room. When I asked to see her room she said that she decided to stay. It was just a hair on the bed and a black beetle in her room that ran out when the door was opened. CK</t>
  </si>
  <si>
    <t>2245609167</t>
  </si>
  <si>
    <t>2025-07-16 14:29:01</t>
  </si>
  <si>
    <t>2245617168</t>
  </si>
  <si>
    <t>2025-07-16 14:39:35</t>
  </si>
  <si>
    <t>5750434914</t>
  </si>
  <si>
    <t>2025-07-16 15:07:09</t>
  </si>
  <si>
    <t>2245677351</t>
  </si>
  <si>
    <t>2025-07-16 15:58:48</t>
  </si>
  <si>
    <t>Guest booked the wrong night through Expedia. We didn't have a king on 7/18 so I told her it would be a queen and she was ok with that. Phone number is 505-379-9752 and email is joyesquivel23@gmail.com CK, Please provide a 12 pm check-out. Guest will be transferring to room 206 today. CK</t>
  </si>
  <si>
    <t>2025-07-16 18:33:08</t>
  </si>
  <si>
    <t>2245812879</t>
  </si>
  <si>
    <t>2025-07-16 19:06:54</t>
  </si>
  <si>
    <t>2245830956</t>
  </si>
  <si>
    <t>2025-07-16 19:33:01</t>
  </si>
  <si>
    <t>2245865078</t>
  </si>
  <si>
    <t>2025-07-16 20:22:24</t>
  </si>
  <si>
    <t>2245910658</t>
  </si>
  <si>
    <t>2025-07-16 21:24:09</t>
  </si>
  <si>
    <t>6284379103</t>
  </si>
  <si>
    <t>2025-07-16 22:20:11</t>
  </si>
  <si>
    <t>2025-09-28</t>
  </si>
  <si>
    <t>2025-07-16 22:49:06</t>
  </si>
  <si>
    <t>2246031134</t>
  </si>
  <si>
    <t>2025-07-17 00:34:00</t>
  </si>
  <si>
    <t>2246089278</t>
  </si>
  <si>
    <t>2025-07-17 01:59:15</t>
  </si>
  <si>
    <t>2025-07-17 13:21:50</t>
  </si>
  <si>
    <t>2026-01-30</t>
  </si>
  <si>
    <t>2026-02-02</t>
  </si>
  <si>
    <t>2246629083</t>
  </si>
  <si>
    <t>2025-07-17 18:22:26</t>
  </si>
  <si>
    <t>2025-07-17 21:56:30</t>
  </si>
  <si>
    <t>This couple is on their honeymoon and I took the liberty to upgrade them to a king #205. I hope that's not a problem! CK</t>
  </si>
  <si>
    <t>2246778530</t>
  </si>
  <si>
    <t>2025-07-17 22:04:39</t>
  </si>
  <si>
    <t>Can this guest get an early check-in .... 2 pm. Thanks. CK</t>
  </si>
  <si>
    <t>2025-07-17 22:16:09</t>
  </si>
  <si>
    <t>2025-07-17 22:50:53</t>
  </si>
  <si>
    <t>2025-07-17 23:40:16</t>
  </si>
  <si>
    <t>2247352651</t>
  </si>
  <si>
    <t>2025-07-18 16:02:17</t>
  </si>
  <si>
    <t>2247358567</t>
  </si>
  <si>
    <t>2025-07-18 16:10:42</t>
  </si>
  <si>
    <t>2247474588</t>
  </si>
  <si>
    <t>2025-07-18 18:59:38</t>
  </si>
  <si>
    <t>5530087776</t>
  </si>
  <si>
    <t>2025-07-18 21:24:42</t>
  </si>
  <si>
    <t>2025-07-18 22:38:37</t>
  </si>
  <si>
    <t>Guest is a stay over who had to change rooms. If possible, please put this room as priority for housekeeping so she can switch over. CK</t>
  </si>
  <si>
    <t>2247666217</t>
  </si>
  <si>
    <t>2025-07-19 00:05:03</t>
  </si>
  <si>
    <t>5815760603</t>
  </si>
  <si>
    <t>2025-07-19 00:27:22</t>
  </si>
  <si>
    <t>Leave in 114-JF</t>
  </si>
  <si>
    <t>2025-07-19 00:28:25</t>
  </si>
  <si>
    <t>2247695561</t>
  </si>
  <si>
    <t>2025-07-19 00:56:38</t>
  </si>
  <si>
    <t>2247735528</t>
  </si>
  <si>
    <t>2025-07-19 02:07:13</t>
  </si>
  <si>
    <t>6344181903</t>
  </si>
  <si>
    <t>2025-07-19 03:08:50</t>
  </si>
  <si>
    <t>2026-02-01</t>
  </si>
  <si>
    <t>HMY8XT5TPS</t>
  </si>
  <si>
    <t>2025-07-19 06:06:41</t>
  </si>
  <si>
    <t>5683648973</t>
  </si>
  <si>
    <t>2025-07-19 18:18:53</t>
  </si>
  <si>
    <t>2248178164</t>
  </si>
  <si>
    <t>2025-07-19 19:03:39</t>
  </si>
  <si>
    <t>2025-07-19 23:42:43</t>
  </si>
  <si>
    <t>Guest needs a 1st floor due to a disability! CK</t>
  </si>
  <si>
    <t>5683618286</t>
  </si>
  <si>
    <t>2025-07-20 01:55:33</t>
  </si>
  <si>
    <t>2248657226</t>
  </si>
  <si>
    <t>2025-07-20 14:21:12</t>
  </si>
  <si>
    <t>2248716786</t>
  </si>
  <si>
    <t>2025-07-20 16:03:53</t>
  </si>
  <si>
    <t>2248876617</t>
  </si>
  <si>
    <t>2025-07-20 20:20:13</t>
  </si>
  <si>
    <t>2025-07-20 21:18:54</t>
  </si>
  <si>
    <t>2025-07-20 21:21:26</t>
  </si>
  <si>
    <t>2248919092</t>
  </si>
  <si>
    <t>2025-07-20 21:27:41</t>
  </si>
  <si>
    <t>5406635837</t>
  </si>
  <si>
    <t>2025-07-21 00:34:36</t>
  </si>
  <si>
    <t>2025-07-21 01:05:42</t>
  </si>
  <si>
    <t>5552089549</t>
  </si>
  <si>
    <t>Czech Republic</t>
  </si>
  <si>
    <t>2025-07-21 01:12:36</t>
  </si>
  <si>
    <t>He asked for even 1:00 ... I said, let's not push it! LOL CK, 12 pm check-out, please. He's tired &amp; needs his sleep. CK</t>
  </si>
  <si>
    <t>2249456439</t>
  </si>
  <si>
    <t>2025-07-21 14:51:05</t>
  </si>
  <si>
    <t>2249525774</t>
  </si>
  <si>
    <t>2025-07-21 16:18:53</t>
  </si>
  <si>
    <t>Guest returned to the front desk within a half hour of checking in stating that he wasn't going to stay because the room was too small. There were only 4 more check-ins for the evening and because he had booked for 2 nights there wasn't any changing I could do in the system. CK</t>
  </si>
  <si>
    <t>2249531796</t>
  </si>
  <si>
    <t>2025-07-21 16:26:41</t>
  </si>
  <si>
    <t>2249598168</t>
  </si>
  <si>
    <t>2025-07-21 17:57:21</t>
  </si>
  <si>
    <t>Stay over guest with separate reservation. Please keep her in room 201. CK</t>
  </si>
  <si>
    <t>2249622404</t>
  </si>
  <si>
    <t>2025-07-21 18:29:35</t>
  </si>
  <si>
    <t>Please keep guest in 201. CK</t>
  </si>
  <si>
    <t>2249623591</t>
  </si>
  <si>
    <t>2025-07-21 18:31:00</t>
  </si>
  <si>
    <t>2249660049</t>
  </si>
  <si>
    <t>2025-07-21 19:15:32</t>
  </si>
  <si>
    <t>2249706592</t>
  </si>
  <si>
    <t>2025-07-21 20:17:18</t>
  </si>
  <si>
    <t>2249719081</t>
  </si>
  <si>
    <t>2025-07-21 20:33:28</t>
  </si>
  <si>
    <t>2249737858</t>
  </si>
  <si>
    <t>2025-07-21 20:58:02</t>
  </si>
  <si>
    <t>5023267181</t>
  </si>
  <si>
    <t>2025-07-21 21:26:30</t>
  </si>
  <si>
    <t>2249801579</t>
  </si>
  <si>
    <t>2025-07-21 22:30:19</t>
  </si>
  <si>
    <t>2249813316</t>
  </si>
  <si>
    <t>2025-07-21 22:48:47</t>
  </si>
  <si>
    <t>2025-07-21 23:06:57</t>
  </si>
  <si>
    <t>2025-07-22 00:35:05</t>
  </si>
  <si>
    <t>2249932040</t>
  </si>
  <si>
    <t>2025-07-22 01:53:16</t>
  </si>
  <si>
    <t>2025-07-22 04:32:06</t>
  </si>
  <si>
    <t>2250316322</t>
  </si>
  <si>
    <t>2025-07-22 14:52:42</t>
  </si>
  <si>
    <t>2250407196</t>
  </si>
  <si>
    <t>2025-07-22 16:58:50</t>
  </si>
  <si>
    <t>6261274930</t>
  </si>
  <si>
    <t>2025-07-22 17:38:29</t>
  </si>
  <si>
    <t>2025-11-04</t>
  </si>
  <si>
    <t>2025-11-06</t>
  </si>
  <si>
    <t>5514308813</t>
  </si>
  <si>
    <t>2025-07-22 18:23:50</t>
  </si>
  <si>
    <t>2250483532</t>
  </si>
  <si>
    <t>2025-07-22 18:49:31</t>
  </si>
  <si>
    <t>2250515548</t>
  </si>
  <si>
    <t>2025-07-22 19:36:05</t>
  </si>
  <si>
    <t>2250528409</t>
  </si>
  <si>
    <t>2025-07-22 19:54:42</t>
  </si>
  <si>
    <t>2250528412</t>
  </si>
  <si>
    <t>2025-07-22 19:54:44</t>
  </si>
  <si>
    <t>2025-07-22 20:24:40</t>
  </si>
  <si>
    <t>2250594955</t>
  </si>
  <si>
    <t>2025-07-22 21:32:36</t>
  </si>
  <si>
    <t>2250619568</t>
  </si>
  <si>
    <t>2025-07-22 22:11:30</t>
  </si>
  <si>
    <t>2250635429</t>
  </si>
  <si>
    <t>2025-07-22 22:37:28</t>
  </si>
  <si>
    <t>2250692269</t>
  </si>
  <si>
    <t>2025-07-23 00:11:49</t>
  </si>
  <si>
    <t>2250716515</t>
  </si>
  <si>
    <t>2025-07-23 00:50:13</t>
  </si>
  <si>
    <t>2250716920</t>
  </si>
  <si>
    <t>2025-07-23 00:50:48</t>
  </si>
  <si>
    <t>2025-07-23 00:56:59</t>
  </si>
  <si>
    <t>2025-07-23 02:56:01</t>
  </si>
  <si>
    <t>2251009016</t>
  </si>
  <si>
    <t>2025-07-23 11:12:36</t>
  </si>
  <si>
    <t>2251131320</t>
  </si>
  <si>
    <t>2025-07-23 14:45:17</t>
  </si>
  <si>
    <t>5551086109</t>
  </si>
  <si>
    <t>2025-07-23 15:35:37</t>
  </si>
  <si>
    <t>2025-11-23</t>
  </si>
  <si>
    <t>2251171019</t>
  </si>
  <si>
    <t>2025-07-23 15:40:12</t>
  </si>
  <si>
    <t>2251171020</t>
  </si>
  <si>
    <t>2025-07-23 15:40:14</t>
  </si>
  <si>
    <t>2251182506</t>
  </si>
  <si>
    <t>2025-07-23 15:56:17</t>
  </si>
  <si>
    <t>2251334402</t>
  </si>
  <si>
    <t>2025-07-23 19:40:51</t>
  </si>
  <si>
    <t>2251387839</t>
  </si>
  <si>
    <t>2025-07-23 21:01:41</t>
  </si>
  <si>
    <t>2251504629</t>
  </si>
  <si>
    <t>2025-07-24 00:16:38</t>
  </si>
  <si>
    <t>2251504627</t>
  </si>
  <si>
    <t>2025-07-24 00:16:40</t>
  </si>
  <si>
    <t>6254983899</t>
  </si>
  <si>
    <t>2025-07-24 00:34:21</t>
  </si>
  <si>
    <t>2251518684</t>
  </si>
  <si>
    <t>2025-07-24 00:39:15</t>
  </si>
  <si>
    <t>6618380429</t>
  </si>
  <si>
    <t>2025-07-24 01:05:16</t>
  </si>
  <si>
    <t>106 (STQ), 110 (STQ)</t>
  </si>
  <si>
    <t>5999410127</t>
  </si>
  <si>
    <t>2025-07-24 01:05:19</t>
  </si>
  <si>
    <t>5484725842</t>
  </si>
  <si>
    <t>2025-07-24 01:05:51</t>
  </si>
  <si>
    <t>2251621137</t>
  </si>
  <si>
    <t>2025-07-24 03:22:28</t>
  </si>
  <si>
    <t>6823848114</t>
  </si>
  <si>
    <t>2025-07-24 03:25:25</t>
  </si>
  <si>
    <t>2025-07-24 03:34:39</t>
  </si>
  <si>
    <t>HMYCPZ58R2</t>
  </si>
  <si>
    <t>2025-07-24 05:33:13</t>
  </si>
  <si>
    <t>2251880050</t>
  </si>
  <si>
    <t>2025-07-24 13:30:28</t>
  </si>
  <si>
    <t>2252027426</t>
  </si>
  <si>
    <t>2025-07-24 17:03:47</t>
  </si>
  <si>
    <t>2252089183</t>
  </si>
  <si>
    <t>2025-07-24 18:38:00</t>
  </si>
  <si>
    <t>Possible late arrival-Jf</t>
  </si>
  <si>
    <t>2025-07-24 18:44:50</t>
  </si>
  <si>
    <t>2252099836</t>
  </si>
  <si>
    <t>2025-07-24 18:54:21</t>
  </si>
  <si>
    <t>2025-07-24 19:25:55</t>
  </si>
  <si>
    <t>2252304170</t>
  </si>
  <si>
    <t>2025-07-25 00:22:32</t>
  </si>
  <si>
    <t>2252325884</t>
  </si>
  <si>
    <t>2025-07-25 00:58:29</t>
  </si>
  <si>
    <t>2252334816</t>
  </si>
  <si>
    <t>2025-07-25 01:12:31</t>
  </si>
  <si>
    <t>2025-07-25 03:54:27</t>
  </si>
  <si>
    <t>2025-10-09</t>
  </si>
  <si>
    <t>2252454726</t>
  </si>
  <si>
    <t>2025-07-25 04:43:28</t>
  </si>
  <si>
    <t>2252457392</t>
  </si>
  <si>
    <t>2025-07-25 04:49:41</t>
  </si>
  <si>
    <t>2252488562</t>
  </si>
  <si>
    <t>2025-07-25 06:10:43</t>
  </si>
  <si>
    <t>2252488563</t>
  </si>
  <si>
    <t>2025-07-25 06:10:46</t>
  </si>
  <si>
    <t>2252614086</t>
  </si>
  <si>
    <t>2025-07-25 11:35:20</t>
  </si>
  <si>
    <t>2252662206</t>
  </si>
  <si>
    <t>2025-07-25 13:11:56</t>
  </si>
  <si>
    <t>2025-07-25 14:03:39</t>
  </si>
  <si>
    <t>2252795143</t>
  </si>
  <si>
    <t>2025-07-25 16:25:27</t>
  </si>
  <si>
    <t>2025-11-21</t>
  </si>
  <si>
    <t>2252795780</t>
  </si>
  <si>
    <t>2025-07-25 16:26:25</t>
  </si>
  <si>
    <t>2252795772</t>
  </si>
  <si>
    <t>2025-07-25 16:26:28</t>
  </si>
  <si>
    <t>2252818713</t>
  </si>
  <si>
    <t>2025-07-25 16:59:45</t>
  </si>
  <si>
    <t>2025-07-25 18:37:32</t>
  </si>
  <si>
    <t>2252948853</t>
  </si>
  <si>
    <t>2025-07-25 20:16:44</t>
  </si>
  <si>
    <t>2025-07-25 21:13:22</t>
  </si>
  <si>
    <t>2253025919</t>
  </si>
  <si>
    <t>2025-07-25 22:17:33</t>
  </si>
  <si>
    <t>2253096507</t>
  </si>
  <si>
    <t>2025-07-26 00:18:21</t>
  </si>
  <si>
    <t>2253110680</t>
  </si>
  <si>
    <t>2025-07-26 00:43:13</t>
  </si>
  <si>
    <t>2253174595</t>
  </si>
  <si>
    <t>2025-07-26 02:37:22</t>
  </si>
  <si>
    <t>2253186725</t>
  </si>
  <si>
    <t>2025-07-26 03:00:37</t>
  </si>
  <si>
    <t>2253244326</t>
  </si>
  <si>
    <t>2025-07-26 05:14:52</t>
  </si>
  <si>
    <t>2253594165</t>
  </si>
  <si>
    <t>2025-07-26 19:12:25</t>
  </si>
  <si>
    <t>2025-07-26 21:51:44</t>
  </si>
  <si>
    <t>2253710497</t>
  </si>
  <si>
    <t>2025-07-26 22:48:56</t>
  </si>
  <si>
    <t>6488360055</t>
  </si>
  <si>
    <t>2025-07-26 23:10:03</t>
  </si>
  <si>
    <t>2253736265</t>
  </si>
  <si>
    <t>2025-07-26 23:41:10</t>
  </si>
  <si>
    <t>2025-12-27</t>
  </si>
  <si>
    <t>2025-12-28</t>
  </si>
  <si>
    <t>6793798348</t>
  </si>
  <si>
    <t>2025-07-27 00:45:08</t>
  </si>
  <si>
    <t>2025-07-27 01:14:27</t>
  </si>
  <si>
    <t>2254039358</t>
  </si>
  <si>
    <t>2025-07-27 13:38:55</t>
  </si>
  <si>
    <t>6411029239</t>
  </si>
  <si>
    <t>2025-07-27 15:35:23</t>
  </si>
  <si>
    <t>2254116177</t>
  </si>
  <si>
    <t>2025-07-27 15:58:04</t>
  </si>
  <si>
    <t>2025-07-27 16:05:09</t>
  </si>
  <si>
    <t>2254168192</t>
  </si>
  <si>
    <t>2025-07-27 17:26:20</t>
  </si>
  <si>
    <t>HMT8YBXWFD</t>
  </si>
  <si>
    <t>2025-07-27 19:12:00</t>
  </si>
  <si>
    <t>2254274175</t>
  </si>
  <si>
    <t>2025-07-27 20:20:05</t>
  </si>
  <si>
    <t>HMYSEST5RB</t>
  </si>
  <si>
    <t>2025-07-27 20:44:56</t>
  </si>
  <si>
    <t>2025-07-27 22:35:10</t>
  </si>
  <si>
    <t>2254368897</t>
  </si>
  <si>
    <t>2025-07-27 22:59:15</t>
  </si>
  <si>
    <t>2025-10-29</t>
  </si>
  <si>
    <t>2025-10-31</t>
  </si>
  <si>
    <t>2254414488</t>
  </si>
  <si>
    <t>2025-07-28 00:17:56</t>
  </si>
  <si>
    <t>When I informed the guest that they had a balance due of 180.78 I was shown a text stating that they paid half of it through Expedia and that they would pay the other half upon arrival. I took a picture of the receipt and it's on my phone should you need it. CK, After seeing their room they said they wanted to cancel and go to the Strater. I explained our cancellation policy and offered an upgrade to a king at no extra charge. Guest is now in #103. CK</t>
  </si>
  <si>
    <t>2254439213</t>
  </si>
  <si>
    <t>2025-07-28 00:58:53</t>
  </si>
  <si>
    <t>2025-07-28 01:31:15</t>
  </si>
  <si>
    <t>2254537544</t>
  </si>
  <si>
    <t>2025-07-28 03:49:51</t>
  </si>
  <si>
    <t>2254773450</t>
  </si>
  <si>
    <t>2025-07-28 13:14:16</t>
  </si>
  <si>
    <t>2254773453</t>
  </si>
  <si>
    <t>2025-07-28 13:14:19</t>
  </si>
  <si>
    <t>2254878555</t>
  </si>
  <si>
    <t>2025-07-28 15:42:51</t>
  </si>
  <si>
    <t>2025-07-28 16:51:23</t>
  </si>
  <si>
    <t>2254942340</t>
  </si>
  <si>
    <t>2025-07-28 17:08:11</t>
  </si>
  <si>
    <t>2025-07-28 17:56:59</t>
  </si>
  <si>
    <t>2254978161</t>
  </si>
  <si>
    <t>2025-07-28 17:58:27</t>
  </si>
  <si>
    <t>2025-07-28 19:13:36</t>
  </si>
  <si>
    <t>2025-07-28 20:03:24</t>
  </si>
  <si>
    <t>6346355408</t>
  </si>
  <si>
    <t>2025-07-28 20:28:03</t>
  </si>
  <si>
    <t>6628332840</t>
  </si>
  <si>
    <t>2025-07-28 21:05:51</t>
  </si>
  <si>
    <t>2255132493</t>
  </si>
  <si>
    <t>2025-07-28 21:32:38</t>
  </si>
  <si>
    <t>5749685290</t>
  </si>
  <si>
    <t>2025-07-28 22:21:05</t>
  </si>
  <si>
    <t>2255186564</t>
  </si>
  <si>
    <t>2025-07-28 22:57:12</t>
  </si>
  <si>
    <t>Guest stated that the shower is leaking water onto the bathroom floor. CK</t>
  </si>
  <si>
    <t>2255213358</t>
  </si>
  <si>
    <t>2025-07-28 23:40:53</t>
  </si>
  <si>
    <t>2255225647</t>
  </si>
  <si>
    <t>2025-07-29 00:00:15</t>
  </si>
  <si>
    <t>2255259548</t>
  </si>
  <si>
    <t>2025-07-29 00:49:48</t>
  </si>
  <si>
    <t>2025-07-29 02:15:44</t>
  </si>
  <si>
    <t>2255701311</t>
  </si>
  <si>
    <t>2025-07-29 15:23:31</t>
  </si>
  <si>
    <t>2025-07-29 16:40:34</t>
  </si>
  <si>
    <t>2025-07-29 16:45:06</t>
  </si>
  <si>
    <t>5835716450</t>
  </si>
  <si>
    <t>2025-07-29 17:50:29</t>
  </si>
  <si>
    <t>5572241787</t>
  </si>
  <si>
    <t>2025-07-29 18:03:20</t>
  </si>
  <si>
    <t>2255819276</t>
  </si>
  <si>
    <t>2025-07-29 18:14:08</t>
  </si>
  <si>
    <t>2025-07-29 19:25:19</t>
  </si>
  <si>
    <t>2025-07-29 21:16:57</t>
  </si>
  <si>
    <t>2255970463</t>
  </si>
  <si>
    <t>2025-07-29 21:54:46</t>
  </si>
  <si>
    <t>6512564622</t>
  </si>
  <si>
    <t>2025-07-29 21:58:20</t>
  </si>
  <si>
    <t>2255996036</t>
  </si>
  <si>
    <t>2025-07-29 22:36:16</t>
  </si>
  <si>
    <t>2256024179</t>
  </si>
  <si>
    <t>2025-07-29 23:23:37</t>
  </si>
  <si>
    <t>2256102695</t>
  </si>
  <si>
    <t>2025-07-30 01:24:19</t>
  </si>
  <si>
    <t>2256137698</t>
  </si>
  <si>
    <t>2025-07-30 02:15:37</t>
  </si>
  <si>
    <t>2256164592</t>
  </si>
  <si>
    <t>2025-07-30 02:57:45</t>
  </si>
  <si>
    <t>6066664712</t>
  </si>
  <si>
    <t>2025-07-30 03:35:18</t>
  </si>
  <si>
    <t>5457499302</t>
  </si>
  <si>
    <t>2025-07-30 10:58:44</t>
  </si>
  <si>
    <t>2256431403</t>
  </si>
  <si>
    <t>2025-07-30 13:10:14</t>
  </si>
  <si>
    <t>6544368203</t>
  </si>
  <si>
    <t>2025-07-30 14:01:15</t>
  </si>
  <si>
    <t>202 (DQ), 101 (DQ), 107 (DQ)</t>
  </si>
  <si>
    <t>5572286832</t>
  </si>
  <si>
    <t>2025-07-30 15:23:07</t>
  </si>
  <si>
    <t>2256526682</t>
  </si>
  <si>
    <t>2025-07-30 15:29:15</t>
  </si>
  <si>
    <t>6014258789</t>
  </si>
  <si>
    <t>2025-07-30 15:32:45</t>
  </si>
  <si>
    <t>2256693948</t>
  </si>
  <si>
    <t>2025-07-30 19:30:23</t>
  </si>
  <si>
    <t>2256742738</t>
  </si>
  <si>
    <t>2025-07-30 20:41:07</t>
  </si>
  <si>
    <t>116 (DQ), 106 (STQ)</t>
  </si>
  <si>
    <t>2025-07-30 20:58:36</t>
  </si>
  <si>
    <t>2025-07-30 22:33:18</t>
  </si>
  <si>
    <t>A/C wasn't working .... it was very hot in the room even though the unit was set at 62. I moved him to #203. CK</t>
  </si>
  <si>
    <t>2256909993</t>
  </si>
  <si>
    <t>2025-07-31 01:04:18</t>
  </si>
  <si>
    <t>2256916239</t>
  </si>
  <si>
    <t>2025-07-31 01:13:32</t>
  </si>
  <si>
    <t>2256978640</t>
  </si>
  <si>
    <t>2025-07-31 02:47:34</t>
  </si>
  <si>
    <t>2257034081</t>
  </si>
  <si>
    <t>2025-07-31 04:27:51</t>
  </si>
  <si>
    <t>Confirmed</t>
  </si>
  <si>
    <t>2026-07-31</t>
  </si>
  <si>
    <t>2026-08-01</t>
  </si>
  <si>
    <t>2257239515</t>
  </si>
  <si>
    <t>2025-07-31 12:42:54</t>
  </si>
  <si>
    <t>Leave in 101 SR</t>
  </si>
  <si>
    <t>2257345574</t>
  </si>
  <si>
    <t>2025-07-31 15:22:39</t>
  </si>
  <si>
    <t>6762846849</t>
  </si>
  <si>
    <t>2025-07-31 15:46:21</t>
  </si>
  <si>
    <t>2257403903</t>
  </si>
  <si>
    <t>2025-07-31 16:43:25</t>
  </si>
  <si>
    <t>2257494626</t>
  </si>
  <si>
    <t>2025-07-31 18:56:52</t>
  </si>
  <si>
    <t>2257497932</t>
  </si>
  <si>
    <t>2025-07-31 19:01:46</t>
  </si>
  <si>
    <t>2257498316</t>
  </si>
  <si>
    <t>2025-07-31 19:02:18</t>
  </si>
  <si>
    <t>2257571770</t>
  </si>
  <si>
    <t>2025-07-31 20:50:00</t>
  </si>
  <si>
    <t>2257582510</t>
  </si>
  <si>
    <t>2025-07-31 21:05:53</t>
  </si>
  <si>
    <t>2257587460</t>
  </si>
  <si>
    <t>2025-07-31 21:13:28</t>
  </si>
  <si>
    <t>2257603837</t>
  </si>
  <si>
    <t>2025-07-31 21:39:03</t>
  </si>
  <si>
    <t>2025-07-31 22:51:42</t>
  </si>
  <si>
    <t>2257656157</t>
  </si>
  <si>
    <t>2025-07-31 23:04:48</t>
  </si>
  <si>
    <t>2257656160</t>
  </si>
  <si>
    <t>2025-07-31 23:04:50</t>
  </si>
  <si>
    <t>2025-07-31 23:10:40</t>
  </si>
  <si>
    <t>2257747283</t>
  </si>
  <si>
    <t>2025-08-01 01:23:35</t>
  </si>
  <si>
    <t>5898119430</t>
  </si>
  <si>
    <t>2025-08-01 11:52:35</t>
  </si>
  <si>
    <t>2025-08-01 14:16:51</t>
  </si>
  <si>
    <t xml:space="preserve">Caret Carr completed the Durango Guidebook mini app: https://sys.akia.ai/mapp/1303a10f-eb1f-496a-bc05-2e7ea92467a3?session=b58ad52e-6684-4c81-93a7-a1003f0d2e81
</t>
  </si>
  <si>
    <t>2258377905</t>
  </si>
  <si>
    <t>2025-08-01 20:28:01</t>
  </si>
  <si>
    <t>2258386223</t>
  </si>
  <si>
    <t>2025-08-01 20:40:14</t>
  </si>
  <si>
    <t>2258442105</t>
  </si>
  <si>
    <t>2025-08-01 22:07:51</t>
  </si>
  <si>
    <t>6219624655</t>
  </si>
  <si>
    <t>2025-08-01 22:15:07</t>
  </si>
  <si>
    <t>2258449220</t>
  </si>
  <si>
    <t>2025-08-01 22:19:40</t>
  </si>
  <si>
    <t>102 came to the office shortly after checking in. She said there was water on the floor in the bathroom. They couldn't spot where it was coming from. I offered to get a mop and take care of the water. She said no. So I offered her room 116. She came back shortly and said they didn't like that room. My only other option was 202. She said her husband has a bad knee and wouldn't like to climb the stairs. She said they will just stay in 102. CK</t>
  </si>
  <si>
    <t>2025-08-01 22:54:11</t>
  </si>
  <si>
    <t>2258493285</t>
  </si>
  <si>
    <t>2025-08-01 23:36:07</t>
  </si>
  <si>
    <t>6219686619</t>
  </si>
  <si>
    <t>2025-08-01 23:41:14</t>
  </si>
  <si>
    <t>2025-08-02 01:44:46</t>
  </si>
  <si>
    <t>2025-08-02 01:51:14</t>
  </si>
  <si>
    <t>HMCA8E3QH4</t>
  </si>
  <si>
    <t>2025-08-02 02:32:03</t>
  </si>
  <si>
    <t>2025-08-02 03:14:52</t>
  </si>
  <si>
    <t>5092822371</t>
  </si>
  <si>
    <t>2025-08-02 08:42:57</t>
  </si>
  <si>
    <t>5794878184</t>
  </si>
  <si>
    <t>2025-08-02 10:09:11</t>
  </si>
  <si>
    <t>2258861690</t>
  </si>
  <si>
    <t>2025-08-02 14:43:44</t>
  </si>
  <si>
    <t>2258897778</t>
  </si>
  <si>
    <t>2025-08-02 15:46:25</t>
  </si>
  <si>
    <t>2258897774</t>
  </si>
  <si>
    <t>2025-08-02 15:46:27</t>
  </si>
  <si>
    <t>6820027488</t>
  </si>
  <si>
    <t>2025-08-02 15:47:01</t>
  </si>
  <si>
    <t>5802914944</t>
  </si>
  <si>
    <t>2025-08-02 16:21:45</t>
  </si>
  <si>
    <t>2258940889</t>
  </si>
  <si>
    <t>2025-08-02 17:00:15</t>
  </si>
  <si>
    <t>2025-08-02 19:22:57</t>
  </si>
  <si>
    <t>2259048450</t>
  </si>
  <si>
    <t>2025-08-02 20:12:31</t>
  </si>
  <si>
    <t>5219351938</t>
  </si>
  <si>
    <t>2025-08-02 20:56:26</t>
  </si>
  <si>
    <t>2259132924</t>
  </si>
  <si>
    <t>2025-08-02 22:52:13</t>
  </si>
  <si>
    <t>2259458692</t>
  </si>
  <si>
    <t>2025-08-03 13:25:25</t>
  </si>
  <si>
    <t>2259499129</t>
  </si>
  <si>
    <t>2025-08-03 14:44:54</t>
  </si>
  <si>
    <t>2259549732</t>
  </si>
  <si>
    <t>2025-08-03 16:11:26</t>
  </si>
  <si>
    <t>2259585224</t>
  </si>
  <si>
    <t>2025-08-03 17:11:50</t>
  </si>
  <si>
    <t>2259585226</t>
  </si>
  <si>
    <t>2025-08-03 17:11:55</t>
  </si>
  <si>
    <t>2259656298</t>
  </si>
  <si>
    <t>2025-08-03 19:11:28</t>
  </si>
  <si>
    <t>2025-08-03 19:39:55</t>
  </si>
  <si>
    <t>2259674065</t>
  </si>
  <si>
    <t>2025-08-03 19:40:27</t>
  </si>
  <si>
    <t>2259674069</t>
  </si>
  <si>
    <t>2025-08-03 19:40:31</t>
  </si>
  <si>
    <t>2259674068</t>
  </si>
  <si>
    <t>2025-08-03 19:40:33</t>
  </si>
  <si>
    <t>2259674071</t>
  </si>
  <si>
    <t>2025-08-03 19:40:34</t>
  </si>
  <si>
    <t>2259674074</t>
  </si>
  <si>
    <t>2025-08-03 19:40:35</t>
  </si>
  <si>
    <t>2259679130</t>
  </si>
  <si>
    <t>2025-08-03 19:48:32</t>
  </si>
  <si>
    <t>2259705017</t>
  </si>
  <si>
    <t>2025-08-03 20:31:21</t>
  </si>
  <si>
    <t>2259740932</t>
  </si>
  <si>
    <t>2025-08-03 21:31:30</t>
  </si>
  <si>
    <t>2259742512</t>
  </si>
  <si>
    <t>2025-08-03 21:34:08</t>
  </si>
  <si>
    <t>2259747905</t>
  </si>
  <si>
    <t>2025-08-03 21:43:16</t>
  </si>
  <si>
    <t>2259767724</t>
  </si>
  <si>
    <t>2025-08-03 22:18:11</t>
  </si>
  <si>
    <t>2025-08-03 23:08:06</t>
  </si>
  <si>
    <t>6784907045</t>
  </si>
  <si>
    <t>2025-08-03 23:12:14</t>
  </si>
  <si>
    <t>2259804231</t>
  </si>
  <si>
    <t>2025-08-03 23:24:31</t>
  </si>
  <si>
    <t>2259817830</t>
  </si>
  <si>
    <t>2025-08-03 23:49:11</t>
  </si>
  <si>
    <t>2025-10-30</t>
  </si>
  <si>
    <t>2025-08-04 01:22:26</t>
  </si>
  <si>
    <t>6129526112</t>
  </si>
  <si>
    <t>2025-08-04 01:40:49</t>
  </si>
  <si>
    <t>2025-08-04 01:54:03</t>
  </si>
  <si>
    <t>2025-08-04 02:06:56</t>
  </si>
  <si>
    <t>2259898866</t>
  </si>
  <si>
    <t>2025-08-04 02:07:49</t>
  </si>
  <si>
    <t>2259909145</t>
  </si>
  <si>
    <t>2025-08-04 02:25:22</t>
  </si>
  <si>
    <t>6705745879</t>
  </si>
  <si>
    <t>2025-08-04 02:44:53</t>
  </si>
  <si>
    <t>6517486438</t>
  </si>
  <si>
    <t>2025-08-04 12:57:19</t>
  </si>
  <si>
    <t>2260201276</t>
  </si>
  <si>
    <t>2025-08-04 13:16:00</t>
  </si>
  <si>
    <t>Guest unable to make it due to Red Mt pass being closed-JF</t>
  </si>
  <si>
    <t>2025-08-04 14:14:19</t>
  </si>
  <si>
    <t>2260309236</t>
  </si>
  <si>
    <t>2025-08-04 15:42:20</t>
  </si>
  <si>
    <t>2025-08-04 16:10:14</t>
  </si>
  <si>
    <t>Guest is now in #204. CK</t>
  </si>
  <si>
    <t>2260332260</t>
  </si>
  <si>
    <t>2025-08-04 16:12:52</t>
  </si>
  <si>
    <t>2260600469</t>
  </si>
  <si>
    <t>2025-08-04 22:20:22</t>
  </si>
  <si>
    <t>6852929319</t>
  </si>
  <si>
    <t>2025-08-04 22:24:26</t>
  </si>
  <si>
    <t>6888158451</t>
  </si>
  <si>
    <t>2025-08-04 23:57:47</t>
  </si>
  <si>
    <t>2260710797</t>
  </si>
  <si>
    <t>2025-08-05 01:13:58</t>
  </si>
  <si>
    <t>Ignore the previous note. Because Sharada Beck hadn't checked in yet  ... I put David McMahan in #114 &amp; S. Beck will be in 204. CK, This guest is now in 117. They didn't want a second floor room. I told them they would have to go through Expedia for the rate change.</t>
  </si>
  <si>
    <t>2260731254</t>
  </si>
  <si>
    <t>2025-08-05 01:44:38</t>
  </si>
  <si>
    <t>2260774757</t>
  </si>
  <si>
    <t>2025-08-05 02:52:05</t>
  </si>
  <si>
    <t>2260776563</t>
  </si>
  <si>
    <t>2025-08-05 02:55:04</t>
  </si>
  <si>
    <t>2260877047</t>
  </si>
  <si>
    <t>2025-08-05 06:31:09</t>
  </si>
  <si>
    <t>2261088162</t>
  </si>
  <si>
    <t>2025-08-05 14:00:37</t>
  </si>
  <si>
    <t>2261280554</t>
  </si>
  <si>
    <t>2025-08-05 18:24:16</t>
  </si>
  <si>
    <t>2261332233</t>
  </si>
  <si>
    <t>2025-08-05 19:36:45</t>
  </si>
  <si>
    <t>2261477529</t>
  </si>
  <si>
    <t>2025-08-05 23:13:58</t>
  </si>
  <si>
    <t>HM4TFTDNJC</t>
  </si>
  <si>
    <t>2025-08-05 23:37:13</t>
  </si>
  <si>
    <t>HM4APKFH9A</t>
  </si>
  <si>
    <t>2025-08-05 23:48:51</t>
  </si>
  <si>
    <t>HMEPNYQQJA</t>
  </si>
  <si>
    <t>2025-08-05 23:53:36</t>
  </si>
  <si>
    <t>2025-08-06 00:24:36</t>
  </si>
  <si>
    <t>5366024936</t>
  </si>
  <si>
    <t>2025-08-06 00:46:27</t>
  </si>
  <si>
    <t>2261572798</t>
  </si>
  <si>
    <t>2025-08-06 01:41:37</t>
  </si>
  <si>
    <t>2025-08-06 01:53:11</t>
  </si>
  <si>
    <t>2261614726</t>
  </si>
  <si>
    <t>2025-08-06 02:45:28</t>
  </si>
  <si>
    <t>11:00 check-out, please.</t>
  </si>
  <si>
    <t>2261615076</t>
  </si>
  <si>
    <t>2025-08-06 02:46:02</t>
  </si>
  <si>
    <t>5603446759</t>
  </si>
  <si>
    <t>2025-08-06 03:31:58</t>
  </si>
  <si>
    <t>HMXPJEW44T</t>
  </si>
  <si>
    <t>2025-08-06 10:40:00</t>
  </si>
  <si>
    <t>2261882796</t>
  </si>
  <si>
    <t>2025-08-06 12:52:44</t>
  </si>
  <si>
    <t>2025-11-03</t>
  </si>
  <si>
    <t>2025-08-06 18:59:54</t>
  </si>
  <si>
    <t>2262165271</t>
  </si>
  <si>
    <t>2025-08-06 19:43:54</t>
  </si>
  <si>
    <t>2025-08-06 20:13:17</t>
  </si>
  <si>
    <t>2262198510</t>
  </si>
  <si>
    <t>2025-08-06 20:32:46</t>
  </si>
  <si>
    <t>5861344786</t>
  </si>
  <si>
    <t>2025-08-06 23:34:47</t>
  </si>
  <si>
    <t>2262321885</t>
  </si>
  <si>
    <t>2025-08-06 23:53:07</t>
  </si>
  <si>
    <t>2262363809</t>
  </si>
  <si>
    <t>2025-08-07 01:01:08</t>
  </si>
  <si>
    <t>5861367015</t>
  </si>
  <si>
    <t>2025-08-07 01:10:51</t>
  </si>
  <si>
    <t>2262371625</t>
  </si>
  <si>
    <t>2025-08-07 01:13:25</t>
  </si>
  <si>
    <t>2262375151</t>
  </si>
  <si>
    <t>2025-08-07 01:18:52</t>
  </si>
  <si>
    <t>2262375154</t>
  </si>
  <si>
    <t>2025-08-07 01:18:56</t>
  </si>
  <si>
    <t>2025-08-07 01:44:32</t>
  </si>
  <si>
    <t>Guest checked out on the same day of their arrival. He wanted a receipt stating that he checked out and the key was returned. He said there wasn't anything wrong with the room. They were heading back to camp in Creed. I provided him with a folio and Hand wrote it. CK</t>
  </si>
  <si>
    <t>2262394870</t>
  </si>
  <si>
    <t>2025-08-07 01:49:14</t>
  </si>
  <si>
    <t>HMHJAZWTJA</t>
  </si>
  <si>
    <t>2025-08-07 02:03:17</t>
  </si>
  <si>
    <t>5861385744</t>
  </si>
  <si>
    <t>2025-08-07 02:55:44</t>
  </si>
  <si>
    <t>2262464855</t>
  </si>
  <si>
    <t>2025-08-07 03:45:07</t>
  </si>
  <si>
    <t>2262565208</t>
  </si>
  <si>
    <t>2025-08-07 07:50:30</t>
  </si>
  <si>
    <t>2262681947</t>
  </si>
  <si>
    <t>2025-08-07 12:24:45</t>
  </si>
  <si>
    <t>2025-08-07 15:08:58</t>
  </si>
  <si>
    <t>6671242507</t>
  </si>
  <si>
    <t>2025-08-07 16:13:09</t>
  </si>
  <si>
    <t>2025-08-07 17:14:42</t>
  </si>
  <si>
    <t>2262913580</t>
  </si>
  <si>
    <t>2025-08-07 18:09:37</t>
  </si>
  <si>
    <t>2025-08-07 18:59:27</t>
  </si>
  <si>
    <t>HMJEHJJT22</t>
  </si>
  <si>
    <t>2025-08-07 22:55:21</t>
  </si>
  <si>
    <t>2025-08-07 23:45:26</t>
  </si>
  <si>
    <t>2025-08-08 01:21:16</t>
  </si>
  <si>
    <t>2025-08-08 01:24:15</t>
  </si>
  <si>
    <t>HM9FS2QMCD</t>
  </si>
  <si>
    <t>2025-08-08 02:45:12</t>
  </si>
  <si>
    <t>2263240262</t>
  </si>
  <si>
    <t>2025-08-08 02:51:41</t>
  </si>
  <si>
    <t>5802726577</t>
  </si>
  <si>
    <t>2025-08-08 03:00:57</t>
  </si>
  <si>
    <t>2263281912</t>
  </si>
  <si>
    <t>2025-08-08 04:09:24</t>
  </si>
  <si>
    <t>2263309306</t>
  </si>
  <si>
    <t>2025-08-08 05:13:03</t>
  </si>
  <si>
    <t>2263331639</t>
  </si>
  <si>
    <t>2025-08-08 06:12:12</t>
  </si>
  <si>
    <t>2263331640</t>
  </si>
  <si>
    <t>2025-08-08 06:12:18</t>
  </si>
  <si>
    <t>2263485163</t>
  </si>
  <si>
    <t>2025-08-08 12:33:16</t>
  </si>
  <si>
    <t>2025-08-08 14:22:57</t>
  </si>
  <si>
    <t>2263610194</t>
  </si>
  <si>
    <t>2025-08-08 15:49:15</t>
  </si>
  <si>
    <t>2025-08-08 15:56:19</t>
  </si>
  <si>
    <t>201 (DQ), 116 (DQ), 107 (DQ)</t>
  </si>
  <si>
    <t>2025-08-08 16:02:16</t>
  </si>
  <si>
    <t>2263637105</t>
  </si>
  <si>
    <t>2025-08-08 16:26:44</t>
  </si>
  <si>
    <t>2263642716</t>
  </si>
  <si>
    <t>2025-08-08 16:35:03</t>
  </si>
  <si>
    <t>2025-08-08 16:48:46</t>
  </si>
  <si>
    <t>Tax Exempt #09802565</t>
  </si>
  <si>
    <t>2025-08-08 16:51:25</t>
  </si>
  <si>
    <t>Tax Exempt #09802565, Tax exempt-JF</t>
  </si>
  <si>
    <t>2025-08-08 16:53:59</t>
  </si>
  <si>
    <t>2263712508</t>
  </si>
  <si>
    <t>2025-08-08 18:21:29</t>
  </si>
  <si>
    <t>2025-08-08 19:28:46</t>
  </si>
  <si>
    <t>2025-08-08 20:07:38</t>
  </si>
  <si>
    <t>2263802302</t>
  </si>
  <si>
    <t>2025-08-08 20:43:17</t>
  </si>
  <si>
    <t>2263973393</t>
  </si>
  <si>
    <t>2025-08-09 01:43:23</t>
  </si>
  <si>
    <t>2263985088</t>
  </si>
  <si>
    <t>2025-08-09 02:04:29</t>
  </si>
  <si>
    <t>2264022500</t>
  </si>
  <si>
    <t>2025-08-09 03:18:12</t>
  </si>
  <si>
    <t>2264077822</t>
  </si>
  <si>
    <t>2025-08-09 05:45:44</t>
  </si>
  <si>
    <t>2026-04-27</t>
  </si>
  <si>
    <t>HM8WKC4Q3N</t>
  </si>
  <si>
    <t>2025-08-09 15:08:39</t>
  </si>
  <si>
    <t>2264297242</t>
  </si>
  <si>
    <t>2025-08-09 15:59:54</t>
  </si>
  <si>
    <t>2264332497</t>
  </si>
  <si>
    <t>2025-08-09 17:02:28</t>
  </si>
  <si>
    <t>2026-01-19</t>
  </si>
  <si>
    <t>2026-01-22</t>
  </si>
  <si>
    <t>6204005538</t>
  </si>
  <si>
    <t>2025-08-09 20:47:31</t>
  </si>
  <si>
    <t>2025-11-16</t>
  </si>
  <si>
    <t>2025-11-18</t>
  </si>
  <si>
    <t>HMW2WSY4QJ</t>
  </si>
  <si>
    <t>2025-08-09 21:35:14</t>
  </si>
  <si>
    <t>2264489604</t>
  </si>
  <si>
    <t>2025-08-09 21:58:30</t>
  </si>
  <si>
    <t>203 (STK), 201 (DQ)</t>
  </si>
  <si>
    <t>2025-08-09 22:58:38</t>
  </si>
  <si>
    <t>2026-05-03</t>
  </si>
  <si>
    <t>2025-08-09 23:17:29</t>
  </si>
  <si>
    <t>5298330868</t>
  </si>
  <si>
    <t>2025-08-09 23:37:07</t>
  </si>
  <si>
    <t>6420601758</t>
  </si>
  <si>
    <t>2025-08-10 01:30:49</t>
  </si>
  <si>
    <t>2025-08-10 04:20:42</t>
  </si>
  <si>
    <t>6230144122</t>
  </si>
  <si>
    <t>2025-08-10 15:13:30</t>
  </si>
  <si>
    <t>HM8TYCSH9E</t>
  </si>
  <si>
    <t>2025-08-10 16:23:09</t>
  </si>
  <si>
    <t>2264978963</t>
  </si>
  <si>
    <t>2025-08-10 18:10:44</t>
  </si>
  <si>
    <t>2264996127</t>
  </si>
  <si>
    <t>2025-08-10 18:40:42</t>
  </si>
  <si>
    <t>2265009141</t>
  </si>
  <si>
    <t>2025-08-10 19:03:19</t>
  </si>
  <si>
    <t>104 (STK), 105 (DQ)</t>
  </si>
  <si>
    <t>2025-08-10 19:16:01</t>
  </si>
  <si>
    <t>5091470466</t>
  </si>
  <si>
    <t>2025-08-10 21:30:14</t>
  </si>
  <si>
    <t>2025-08-10 22:22:38</t>
  </si>
  <si>
    <t>2265127837</t>
  </si>
  <si>
    <t>2025-08-10 22:32:59</t>
  </si>
  <si>
    <t>2265150429</t>
  </si>
  <si>
    <t>2025-08-10 23:16:05</t>
  </si>
  <si>
    <t>2265198295</t>
  </si>
  <si>
    <t>2025-08-11 00:43:09</t>
  </si>
  <si>
    <t>2265203937</t>
  </si>
  <si>
    <t>2025-08-11 00:53:00</t>
  </si>
  <si>
    <t>2265268090</t>
  </si>
  <si>
    <t>2025-08-11 02:44:25</t>
  </si>
  <si>
    <t>5346123762</t>
  </si>
  <si>
    <t>2025-08-11 03:48:35</t>
  </si>
  <si>
    <t>2265592585</t>
  </si>
  <si>
    <t>2025-08-11 14:41:36</t>
  </si>
  <si>
    <t>2265630037</t>
  </si>
  <si>
    <t>2025-08-11 15:32:31</t>
  </si>
  <si>
    <t>2265630040</t>
  </si>
  <si>
    <t>2025-08-11 15:32:34</t>
  </si>
  <si>
    <t>2265630844</t>
  </si>
  <si>
    <t>2025-08-11 15:33:32</t>
  </si>
  <si>
    <t>2265630840</t>
  </si>
  <si>
    <t>2025-08-11 15:33:33</t>
  </si>
  <si>
    <t>2025-08-11 16:17:37</t>
  </si>
  <si>
    <t>2025-08-11 18:43:21</t>
  </si>
  <si>
    <t>2025-08-11 19:27:49</t>
  </si>
  <si>
    <t>2025-08-11 21:42:04</t>
  </si>
  <si>
    <t>I moved guest because he said the A/C wasn't working to 202. CK</t>
  </si>
  <si>
    <t>2265901552</t>
  </si>
  <si>
    <t>2025-08-11 22:02:37</t>
  </si>
  <si>
    <t>2265901550</t>
  </si>
  <si>
    <t>2025-08-11 22:02:40</t>
  </si>
  <si>
    <t>2265901547</t>
  </si>
  <si>
    <t>2025-08-11 22:02:41</t>
  </si>
  <si>
    <t>2265901558</t>
  </si>
  <si>
    <t>2025-08-11 22:02:49</t>
  </si>
  <si>
    <t>2265907964</t>
  </si>
  <si>
    <t>2025-08-11 22:12:54</t>
  </si>
  <si>
    <t>2025-08-11 22:30:34</t>
  </si>
  <si>
    <t>2265929747</t>
  </si>
  <si>
    <t>2025-08-11 22:48:54</t>
  </si>
  <si>
    <t>2266063618</t>
  </si>
  <si>
    <t>2025-08-12 02:23:13</t>
  </si>
  <si>
    <t>2266513013</t>
  </si>
  <si>
    <t>2025-08-12 17:14:03</t>
  </si>
  <si>
    <t>6704102585</t>
  </si>
  <si>
    <t>2025-08-12 17:14:11</t>
  </si>
  <si>
    <t>6839087623</t>
  </si>
  <si>
    <t>2025-08-12 17:46:36</t>
  </si>
  <si>
    <t>2266535052</t>
  </si>
  <si>
    <t>2025-08-12 17:47:37</t>
  </si>
  <si>
    <t>2266545847</t>
  </si>
  <si>
    <t>2025-08-12 18:04:07</t>
  </si>
  <si>
    <t>HMTC4KEE3R</t>
  </si>
  <si>
    <t>2025-08-12 18:04:51</t>
  </si>
  <si>
    <t>2025-08-12 20:11:38</t>
  </si>
  <si>
    <t>2266687005</t>
  </si>
  <si>
    <t>2025-08-12 21:42:06</t>
  </si>
  <si>
    <t>2025-08-12 21:48:38</t>
  </si>
  <si>
    <t>2266729957</t>
  </si>
  <si>
    <t>2025-08-12 22:55:11</t>
  </si>
  <si>
    <t>2026-02-04</t>
  </si>
  <si>
    <t>2026-02-05</t>
  </si>
  <si>
    <t>5311538874</t>
  </si>
  <si>
    <t>2025-08-13 00:21:19</t>
  </si>
  <si>
    <t>5044309527</t>
  </si>
  <si>
    <t>2025-08-13 00:41:55</t>
  </si>
  <si>
    <t>Malisa fox-JF</t>
  </si>
  <si>
    <t>2266863542</t>
  </si>
  <si>
    <t>2025-08-13 02:36:26</t>
  </si>
  <si>
    <t>5556545882</t>
  </si>
  <si>
    <t>2025-08-13 03:38:57</t>
  </si>
  <si>
    <t>206 (STK), 115 (STQ), 108 (STK), 104 (STK), 204 (STK), 205 (STK)</t>
  </si>
  <si>
    <t>5311574427</t>
  </si>
  <si>
    <t>2025-08-13 03:49:05</t>
  </si>
  <si>
    <t>6377099502</t>
  </si>
  <si>
    <t>2025-08-13 04:18:09</t>
  </si>
  <si>
    <t>6062460480</t>
  </si>
  <si>
    <t>2025-08-13 04:22:28</t>
  </si>
  <si>
    <t>HMFR8RAJBY</t>
  </si>
  <si>
    <t>2025-08-13 04:31:27</t>
  </si>
  <si>
    <t>2266963337</t>
  </si>
  <si>
    <t>2025-08-13 06:23:12</t>
  </si>
  <si>
    <t>2266988428</t>
  </si>
  <si>
    <t>2025-08-13 07:32:56</t>
  </si>
  <si>
    <t>2025-08-13 09:35:20</t>
  </si>
  <si>
    <t>5881357261</t>
  </si>
  <si>
    <t>2025-08-13 13:55:58</t>
  </si>
  <si>
    <t>2267171205</t>
  </si>
  <si>
    <t>2025-08-13 14:10:37</t>
  </si>
  <si>
    <t>2267172386</t>
  </si>
  <si>
    <t>2025-08-13 14:12:33</t>
  </si>
  <si>
    <t>2267202719</t>
  </si>
  <si>
    <t>2025-08-13 14:56:33</t>
  </si>
  <si>
    <t>5050451360</t>
  </si>
  <si>
    <t>2025-08-13 15:36:13</t>
  </si>
  <si>
    <t>2267242429</t>
  </si>
  <si>
    <t>2025-08-13 15:53:55</t>
  </si>
  <si>
    <t>2025-10-11</t>
  </si>
  <si>
    <t>2267247318</t>
  </si>
  <si>
    <t>2025-08-13 16:00:57</t>
  </si>
  <si>
    <t>HMR39HJFBS</t>
  </si>
  <si>
    <t>2025-08-13 16:16:28</t>
  </si>
  <si>
    <t>105 (DQ), 107 (DQ), 102 (DQ)</t>
  </si>
  <si>
    <t>2025-11-24</t>
  </si>
  <si>
    <t>2025-11-25</t>
  </si>
  <si>
    <t>5539852029</t>
  </si>
  <si>
    <t>2025-08-13 16:23:18</t>
  </si>
  <si>
    <t>2267279325</t>
  </si>
  <si>
    <t>2025-08-13 16:48:27</t>
  </si>
  <si>
    <t>2267318027</t>
  </si>
  <si>
    <t>2025-08-13 17:47:36</t>
  </si>
  <si>
    <t>2025-08-13 18:32:54</t>
  </si>
  <si>
    <t>Please provide guests with a 12 pm check-out. Their car broke down yesterday and is in the shop. CK</t>
  </si>
  <si>
    <t>6843694478</t>
  </si>
  <si>
    <t>2025-08-13 19:14:27</t>
  </si>
  <si>
    <t>2025-08-13 20:53:16</t>
  </si>
  <si>
    <t>2025-08-13 20:55:48</t>
  </si>
  <si>
    <t>6362413963</t>
  </si>
  <si>
    <t>2025-08-13 22:11:02</t>
  </si>
  <si>
    <t>2267536850</t>
  </si>
  <si>
    <t>2025-08-13 23:43:47</t>
  </si>
  <si>
    <t>HMNDZEF2A4</t>
  </si>
  <si>
    <t>2025-08-14 00:14:06</t>
  </si>
  <si>
    <t>2267557699</t>
  </si>
  <si>
    <t>2025-08-14 00:19:28</t>
  </si>
  <si>
    <t>5852984396</t>
  </si>
  <si>
    <t>2025-08-14 00:46:40</t>
  </si>
  <si>
    <t>2267581451</t>
  </si>
  <si>
    <t>2025-08-14 00:58:09</t>
  </si>
  <si>
    <t>2025-08-14 01:06:10</t>
  </si>
  <si>
    <t>HM2P5BEA2T</t>
  </si>
  <si>
    <t>2025-08-14 01:39:14</t>
  </si>
  <si>
    <t>2267645257</t>
  </si>
  <si>
    <t>2025-08-14 02:41:11</t>
  </si>
  <si>
    <t>2267675732</t>
  </si>
  <si>
    <t>2025-08-14 03:35:50</t>
  </si>
  <si>
    <t>2267691867</t>
  </si>
  <si>
    <t>2025-08-14 04:09:17</t>
  </si>
  <si>
    <t>2267701123</t>
  </si>
  <si>
    <t>2025-08-14 04:30:35</t>
  </si>
  <si>
    <t>2267992757</t>
  </si>
  <si>
    <t>2025-08-14 15:17:53</t>
  </si>
  <si>
    <t>2025-08-14 15:52:58</t>
  </si>
  <si>
    <t>5764894678</t>
  </si>
  <si>
    <t>2025-08-14 16:08:35</t>
  </si>
  <si>
    <t>2268079508</t>
  </si>
  <si>
    <t>2025-08-14 17:28:23</t>
  </si>
  <si>
    <t>2268180475</t>
  </si>
  <si>
    <t>2025-08-14 20:10:11</t>
  </si>
  <si>
    <t>2025-08-14 20:31:30</t>
  </si>
  <si>
    <t>2268240365</t>
  </si>
  <si>
    <t>2025-08-14 21:49:01</t>
  </si>
  <si>
    <t>2025-08-14 22:18:31</t>
  </si>
  <si>
    <t>2268299209</t>
  </si>
  <si>
    <t>2025-08-14 23:34:54</t>
  </si>
  <si>
    <t>2025-11-09</t>
  </si>
  <si>
    <t>2025-11-11</t>
  </si>
  <si>
    <t>2025-08-15 13:21:20</t>
  </si>
  <si>
    <t>Tax Exempt #-09801817</t>
  </si>
  <si>
    <t>2025-11-12</t>
  </si>
  <si>
    <t>2025-08-15 13:32:02</t>
  </si>
  <si>
    <t>2268722482</t>
  </si>
  <si>
    <t>2025-08-15 15:01:11</t>
  </si>
  <si>
    <t>2025-08-15 21:33:04</t>
  </si>
  <si>
    <t>HME9PPBJCK</t>
  </si>
  <si>
    <t>2025-08-16 02:19:14</t>
  </si>
  <si>
    <t>5759479137</t>
  </si>
  <si>
    <t>2025-08-16 03:51:52</t>
  </si>
  <si>
    <t>2025-08-16 04:03:15</t>
  </si>
  <si>
    <t>5251951532</t>
  </si>
  <si>
    <t>2025-08-16 16:52:04</t>
  </si>
  <si>
    <t>2025-08-16 19:16:56</t>
  </si>
  <si>
    <t>2025-08-16 19:32:17</t>
  </si>
  <si>
    <t xml:space="preserve">Ashley Price completed the Durango Guidebook mini app: https://sys.akia.ai/mapp/17bb532d-4c28-4ac4-8b86-c407228b0c68?session=f0659053-6e32-4d25-9d93-dbfbb810255b
</t>
  </si>
  <si>
    <t>2269552077</t>
  </si>
  <si>
    <t>2025-08-16 20:17:57</t>
  </si>
  <si>
    <t>2269552925</t>
  </si>
  <si>
    <t>2025-08-16 20:19:34</t>
  </si>
  <si>
    <t>2269616547</t>
  </si>
  <si>
    <t>2025-08-16 22:27:30</t>
  </si>
  <si>
    <t>6236651586</t>
  </si>
  <si>
    <t>2025-08-16 23:18:16</t>
  </si>
  <si>
    <t>2025-08-17 01:32:55</t>
  </si>
  <si>
    <t>2025-08-17 02:38:03</t>
  </si>
  <si>
    <t>2269776435</t>
  </si>
  <si>
    <t>2025-08-17 04:30:58</t>
  </si>
  <si>
    <t>2269936537</t>
  </si>
  <si>
    <t>2025-08-17 13:39:36</t>
  </si>
  <si>
    <t>2269942549</t>
  </si>
  <si>
    <t>2025-08-17 13:53:00</t>
  </si>
  <si>
    <t>2025-08-17 16:22:12</t>
  </si>
  <si>
    <t>2025-08-17 16:43:10</t>
  </si>
  <si>
    <t>6257293194</t>
  </si>
  <si>
    <t>2025-08-17 18:45:22</t>
  </si>
  <si>
    <t>2025-08-17 19:04:26</t>
  </si>
  <si>
    <t>HMCY3JWCFE</t>
  </si>
  <si>
    <t>2025-08-17 19:59:22</t>
  </si>
  <si>
    <t>5600179900</t>
  </si>
  <si>
    <t>2025-08-17 20:04:24</t>
  </si>
  <si>
    <t>2270210180</t>
  </si>
  <si>
    <t>2025-08-17 22:02:01</t>
  </si>
  <si>
    <t>5166736311</t>
  </si>
  <si>
    <t>2025-08-17 22:31:26</t>
  </si>
  <si>
    <t>2270259788</t>
  </si>
  <si>
    <t>2025-08-17 23:35:43</t>
  </si>
  <si>
    <t>2025-08-18 01:07:11</t>
  </si>
  <si>
    <t>Family Emergency had to leave immediately-JF</t>
  </si>
  <si>
    <t>2270403546</t>
  </si>
  <si>
    <t>2025-08-18 04:06:08</t>
  </si>
  <si>
    <t>2270403549</t>
  </si>
  <si>
    <t>2025-08-18 04:06:12</t>
  </si>
  <si>
    <t>6336364662</t>
  </si>
  <si>
    <t>2025-08-18 05:22:08</t>
  </si>
  <si>
    <t>2025-08-18 15:09:24</t>
  </si>
  <si>
    <t>2270785617</t>
  </si>
  <si>
    <t>2025-08-18 17:03:54</t>
  </si>
  <si>
    <t>2270799773</t>
  </si>
  <si>
    <t>2025-08-18 17:25:08</t>
  </si>
  <si>
    <t>Leave in 120-jf</t>
  </si>
  <si>
    <t>HMF323JKHB</t>
  </si>
  <si>
    <t>2025-08-18 19:09:35</t>
  </si>
  <si>
    <t>2270870238</t>
  </si>
  <si>
    <t>2025-08-18 19:12:20</t>
  </si>
  <si>
    <t>6057248082</t>
  </si>
  <si>
    <t>2025-08-18 19:28:26</t>
  </si>
  <si>
    <t>2270882555</t>
  </si>
  <si>
    <t>2025-08-18 19:30:20</t>
  </si>
  <si>
    <t>6972488770</t>
  </si>
  <si>
    <t>2025-08-18 19:30:28</t>
  </si>
  <si>
    <t>2270886514</t>
  </si>
  <si>
    <t>2025-08-18 19:36:01</t>
  </si>
  <si>
    <t>5988533882</t>
  </si>
  <si>
    <t>2025-08-18 19:36:36</t>
  </si>
  <si>
    <t>2270888539</t>
  </si>
  <si>
    <t>2025-08-18 19:39:02</t>
  </si>
  <si>
    <t>5456675063</t>
  </si>
  <si>
    <t>2025-08-18 21:49:10</t>
  </si>
  <si>
    <t>Guests spilled red juice all over the floor and bedding, hopefully the floor will be ok as it was just repaired and not further water damaged-JF 1:23pm on the 22nd</t>
  </si>
  <si>
    <t>2025-08-18 22:36:48</t>
  </si>
  <si>
    <t>2025-08-19 00:58:29</t>
  </si>
  <si>
    <t>2026-02-09</t>
  </si>
  <si>
    <t>2026-02-12</t>
  </si>
  <si>
    <t>2025-08-19 01:33:27</t>
  </si>
  <si>
    <t>2271132240</t>
  </si>
  <si>
    <t>2025-08-19 02:10:44</t>
  </si>
  <si>
    <t>2271160819</t>
  </si>
  <si>
    <t>2025-08-19 02:58:49</t>
  </si>
  <si>
    <t>2271191246</t>
  </si>
  <si>
    <t>2025-08-19 03:56:14</t>
  </si>
  <si>
    <t>2271221735</t>
  </si>
  <si>
    <t>2025-08-19 05:09:24</t>
  </si>
  <si>
    <t>2271376718</t>
  </si>
  <si>
    <t>2025-08-19 11:50:58</t>
  </si>
  <si>
    <t>2271491923</t>
  </si>
  <si>
    <t>2025-08-19 15:02:37</t>
  </si>
  <si>
    <t>5456649537</t>
  </si>
  <si>
    <t>2025-08-19 15:19:39</t>
  </si>
  <si>
    <t>2271508175</t>
  </si>
  <si>
    <t>2025-08-19 15:26:28</t>
  </si>
  <si>
    <t>2271552607</t>
  </si>
  <si>
    <t>2025-08-19 16:30:45</t>
  </si>
  <si>
    <t>2025-11-07</t>
  </si>
  <si>
    <t>2025-08-19 17:41:59</t>
  </si>
  <si>
    <t>2271608681</t>
  </si>
  <si>
    <t>2025-08-19 17:57:46</t>
  </si>
  <si>
    <t>2271623466</t>
  </si>
  <si>
    <t>2025-08-19 18:20:59</t>
  </si>
  <si>
    <t>5381405555</t>
  </si>
  <si>
    <t>2025-08-19 18:24:38</t>
  </si>
  <si>
    <t>2271663409</t>
  </si>
  <si>
    <t>2025-08-19 19:23:02</t>
  </si>
  <si>
    <t>2271709910</t>
  </si>
  <si>
    <t>2025-08-19 20:34:54</t>
  </si>
  <si>
    <t>2025-10-26</t>
  </si>
  <si>
    <t>5456636191</t>
  </si>
  <si>
    <t>2025-08-19 22:40:19</t>
  </si>
  <si>
    <t xml:space="preserve">Van Hartline completed the Durango Guidebook mini app: https://sys.akia.ai/mapp/f3222094-a5ed-4a0f-97e0-af340bda51a0?session=25fdf701-304b-4b1d-9e76-5478968330ec
</t>
  </si>
  <si>
    <t>2025-08-20 00:40:17</t>
  </si>
  <si>
    <t>5299598262</t>
  </si>
  <si>
    <t>2025-08-20 08:50:46</t>
  </si>
  <si>
    <t>2272113756</t>
  </si>
  <si>
    <t>2025-08-20 10:17:12</t>
  </si>
  <si>
    <t>2272201671</t>
  </si>
  <si>
    <t>2025-08-20 13:25:40</t>
  </si>
  <si>
    <t>2025-08-20 17:30:31</t>
  </si>
  <si>
    <t>2025-08-20 17:54:27</t>
  </si>
  <si>
    <t>He may arrive around 10 pm. I told him not to worry, not to rush. We have late check-in procedures that I discussed. CK</t>
  </si>
  <si>
    <t>2272425705</t>
  </si>
  <si>
    <t>2025-08-20 19:11:11</t>
  </si>
  <si>
    <t>6537990502</t>
  </si>
  <si>
    <t>2025-08-20 19:44:22</t>
  </si>
  <si>
    <t>5681878551</t>
  </si>
  <si>
    <t>2025-08-20 20:49:24</t>
  </si>
  <si>
    <t>2272494401</t>
  </si>
  <si>
    <t>2025-08-20 20:59:52</t>
  </si>
  <si>
    <t>2272503774</t>
  </si>
  <si>
    <t>2025-08-20 21:15:36</t>
  </si>
  <si>
    <t>2272504811</t>
  </si>
  <si>
    <t>2025-08-20 21:17:24</t>
  </si>
  <si>
    <t>2272506122</t>
  </si>
  <si>
    <t>2025-08-20 21:19:36</t>
  </si>
  <si>
    <t>2272506711</t>
  </si>
  <si>
    <t>2025-08-20 21:20:34</t>
  </si>
  <si>
    <t>2272513224</t>
  </si>
  <si>
    <t>2025-08-20 21:31:26</t>
  </si>
  <si>
    <t>2272527754</t>
  </si>
  <si>
    <t>2025-08-20 21:56:53</t>
  </si>
  <si>
    <t>HMKWBRBB8F</t>
  </si>
  <si>
    <t>2025-08-20 22:17:59</t>
  </si>
  <si>
    <t>2272549323</t>
  </si>
  <si>
    <t>2025-08-20 22:35:03</t>
  </si>
  <si>
    <t>2272555767</t>
  </si>
  <si>
    <t>2025-08-20 22:46:39</t>
  </si>
  <si>
    <t>2272558790</t>
  </si>
  <si>
    <t>2025-08-20 22:52:19</t>
  </si>
  <si>
    <t>6505053873</t>
  </si>
  <si>
    <t>2025-08-21 00:02:05</t>
  </si>
  <si>
    <t>2272602617</t>
  </si>
  <si>
    <t>2025-08-21 00:11:49</t>
  </si>
  <si>
    <t>2025-08-21 00:13:20</t>
  </si>
  <si>
    <t>111 (SMQ), 109 (SMQ)</t>
  </si>
  <si>
    <t>5935225686</t>
  </si>
  <si>
    <t>2025-08-21 01:33:21</t>
  </si>
  <si>
    <t>HME4H3H3MS</t>
  </si>
  <si>
    <t>2025-08-21 02:05:19</t>
  </si>
  <si>
    <t>2272700792</t>
  </si>
  <si>
    <t>2025-08-21 02:57:33</t>
  </si>
  <si>
    <t>6353932183</t>
  </si>
  <si>
    <t>2025-08-21 03:18:20</t>
  </si>
  <si>
    <t>HM98MRPWSE</t>
  </si>
  <si>
    <t>2025-08-21 05:07:19</t>
  </si>
  <si>
    <t>2025-08-21 15:08:16</t>
  </si>
  <si>
    <t>2025-08-21 16:41:49</t>
  </si>
  <si>
    <t>adventure inn interior decor</t>
  </si>
  <si>
    <t>5884259421</t>
  </si>
  <si>
    <t>2025-08-21 17:38:20</t>
  </si>
  <si>
    <t>2273146295</t>
  </si>
  <si>
    <t>2025-08-21 18:07:54</t>
  </si>
  <si>
    <t>2025-08-21 20:03:45</t>
  </si>
  <si>
    <t>2273323222</t>
  </si>
  <si>
    <t>2025-08-21 23:10:46</t>
  </si>
  <si>
    <t>2273364440</t>
  </si>
  <si>
    <t>2025-08-22 00:25:54</t>
  </si>
  <si>
    <t>2273369906</t>
  </si>
  <si>
    <t>2025-08-22 00:35:18</t>
  </si>
  <si>
    <t>5041180664</t>
  </si>
  <si>
    <t>2025-08-22 04:42:44</t>
  </si>
  <si>
    <t>2273670782</t>
  </si>
  <si>
    <t>2025-08-22 12:09:13</t>
  </si>
  <si>
    <t>2273678289</t>
  </si>
  <si>
    <t>2025-08-22 12:24:54</t>
  </si>
  <si>
    <t>2025-08-22 13:16:13</t>
  </si>
  <si>
    <t>5700298221</t>
  </si>
  <si>
    <t>2025-08-22 13:59:20</t>
  </si>
  <si>
    <t>5686064502</t>
  </si>
  <si>
    <t>2025-08-22 14:53:00</t>
  </si>
  <si>
    <t>They have a separate reservation tomorrow. 8/25 was for a king and 8/26 was for a SQ. They didn't want to change rooms so I put a hold on 120 which I gave them the keys to. But, the system stills has them in 103. CK</t>
  </si>
  <si>
    <t>2273802447</t>
  </si>
  <si>
    <t>2025-08-22 15:50:55</t>
  </si>
  <si>
    <t>6739066712</t>
  </si>
  <si>
    <t>2025-08-22 18:08:09</t>
  </si>
  <si>
    <t>2273945135</t>
  </si>
  <si>
    <t>2025-08-22 19:41:41</t>
  </si>
  <si>
    <t>2273954209</t>
  </si>
  <si>
    <t>2025-08-22 19:56:30</t>
  </si>
  <si>
    <t>Rex Roy arrived. He is traveling with the Heusinkveld parties in #201 and #203. He will be by the office to discuss not paying for 10/5 (?) CK</t>
  </si>
  <si>
    <t>2274059652</t>
  </si>
  <si>
    <t>2025-08-22 23:03:36</t>
  </si>
  <si>
    <t>2025-08-23 00:11:08</t>
  </si>
  <si>
    <t>2025-08-23 01:44:24</t>
  </si>
  <si>
    <t>2025-08-23 02:20:14</t>
  </si>
  <si>
    <t>2025-08-23 02:20:15</t>
  </si>
  <si>
    <t xml:space="preserve">Kyla Clewis completed the Durango Guidebook mini app: https://sys.akia.ai/mapp/a6ce4912-fb0a-41d3-9960-2230fe8109c2?session=8ae15489-509d-4a9a-b13c-bedd8569caac
</t>
  </si>
  <si>
    <t>6309962594</t>
  </si>
  <si>
    <t>2025-08-23 05:06:39</t>
  </si>
  <si>
    <t>2274228869</t>
  </si>
  <si>
    <t>2025-08-23 05:22:35</t>
  </si>
  <si>
    <t>2025-08-23 13:36:18</t>
  </si>
  <si>
    <t>2274418887</t>
  </si>
  <si>
    <t>2025-08-23 15:21:10</t>
  </si>
  <si>
    <t>2274480753</t>
  </si>
  <si>
    <t>2025-08-23 17:19:27</t>
  </si>
  <si>
    <t>2274560187</t>
  </si>
  <si>
    <t>2025-08-23 19:58:50</t>
  </si>
  <si>
    <t>2274606582</t>
  </si>
  <si>
    <t>2025-08-23 21:33:44</t>
  </si>
  <si>
    <t>2274654070</t>
  </si>
  <si>
    <t>2025-08-23 23:18:46</t>
  </si>
  <si>
    <t>2274654072</t>
  </si>
  <si>
    <t>2025-08-23 23:18:49</t>
  </si>
  <si>
    <t>2274681735</t>
  </si>
  <si>
    <t>2025-08-24 00:22:31</t>
  </si>
  <si>
    <t>2025-08-24 00:34:10</t>
  </si>
  <si>
    <t>6409741299</t>
  </si>
  <si>
    <t>2025-08-24 02:12:13</t>
  </si>
  <si>
    <t>2274733894</t>
  </si>
  <si>
    <t>2025-08-24 02:21:16</t>
  </si>
  <si>
    <t>2274756292</t>
  </si>
  <si>
    <t>2025-08-24 03:17:01</t>
  </si>
  <si>
    <t>2025-08-24 03:44:01</t>
  </si>
  <si>
    <t>2274802876</t>
  </si>
  <si>
    <t>2025-08-24 05:47:01</t>
  </si>
  <si>
    <t>6991006621</t>
  </si>
  <si>
    <t>2025-08-24 08:48:40</t>
  </si>
  <si>
    <t>2274869286</t>
  </si>
  <si>
    <t>2025-08-24 10:11:48</t>
  </si>
  <si>
    <t>2274993887</t>
  </si>
  <si>
    <t>2025-08-24 15:38:07</t>
  </si>
  <si>
    <t>2275014862</t>
  </si>
  <si>
    <t>2025-08-24 16:18:32</t>
  </si>
  <si>
    <t>2275058498</t>
  </si>
  <si>
    <t>2025-08-24 17:40:50</t>
  </si>
  <si>
    <t>2025-08-24 18:17:42</t>
  </si>
  <si>
    <t>2025-08-24 18:21:37</t>
  </si>
  <si>
    <t>2275127330</t>
  </si>
  <si>
    <t>2025-08-24 19:49:18</t>
  </si>
  <si>
    <t>2025-08-24 19:50:44</t>
  </si>
  <si>
    <t>2275185955</t>
  </si>
  <si>
    <t>2025-08-24 21:38:17</t>
  </si>
  <si>
    <t>2275276388</t>
  </si>
  <si>
    <t>2025-08-25 00:35:39</t>
  </si>
  <si>
    <t>2275297686</t>
  </si>
  <si>
    <t>2025-08-25 01:14:49</t>
  </si>
  <si>
    <t>2025-08-25 03:02:11</t>
  </si>
  <si>
    <t>2275397145</t>
  </si>
  <si>
    <t>2025-08-25 04:42:46</t>
  </si>
  <si>
    <t>2025-08-25 13:11:59</t>
  </si>
  <si>
    <t>6559527462</t>
  </si>
  <si>
    <t>2025-08-25 15:15:57</t>
  </si>
  <si>
    <t>2275694525</t>
  </si>
  <si>
    <t>2025-08-25 15:36:15</t>
  </si>
  <si>
    <t>2275701435</t>
  </si>
  <si>
    <t>2025-08-25 15:46:10</t>
  </si>
  <si>
    <t>2275720246</t>
  </si>
  <si>
    <t>2025-08-25 16:13:23</t>
  </si>
  <si>
    <t>205 (STK), 204 (STK)</t>
  </si>
  <si>
    <t>2025-08-25 16:51:18</t>
  </si>
  <si>
    <t>2025-08-25 16:56:24</t>
  </si>
  <si>
    <t>2025-08-25 16:59:24</t>
  </si>
  <si>
    <t>2025-08-25 17:04:54</t>
  </si>
  <si>
    <t>2025-08-25 17:08:41</t>
  </si>
  <si>
    <t>2025-08-25 17:11:28</t>
  </si>
  <si>
    <t>2025-08-25 19:48:58</t>
  </si>
  <si>
    <t>2275882824</t>
  </si>
  <si>
    <t>2025-08-25 20:17:57</t>
  </si>
  <si>
    <t>2275883751</t>
  </si>
  <si>
    <t>2025-08-25 20:19:19</t>
  </si>
  <si>
    <t>2026-01-10</t>
  </si>
  <si>
    <t>2026-01-11</t>
  </si>
  <si>
    <t>2275952221</t>
  </si>
  <si>
    <t>2025-08-25 22:10:43</t>
  </si>
  <si>
    <t>2275955415</t>
  </si>
  <si>
    <t>2025-08-25 22:16:30</t>
  </si>
  <si>
    <t>2025-08-25 22:57:10</t>
  </si>
  <si>
    <t>6775599953</t>
  </si>
  <si>
    <t>2025-08-25 23:21:20</t>
  </si>
  <si>
    <t>6727908527</t>
  </si>
  <si>
    <t>2025-08-25 23:23:20</t>
  </si>
  <si>
    <t>6771591550</t>
  </si>
  <si>
    <t>2025-08-26 00:10:54</t>
  </si>
  <si>
    <t>2276049640</t>
  </si>
  <si>
    <t>2025-08-26 01:00:27</t>
  </si>
  <si>
    <t>5039475144</t>
  </si>
  <si>
    <t>2025-08-26 01:12:26</t>
  </si>
  <si>
    <t>5066907841</t>
  </si>
  <si>
    <t>2025-08-26 01:13:31</t>
  </si>
  <si>
    <t>2276196650</t>
  </si>
  <si>
    <t>2025-08-26 06:01:57</t>
  </si>
  <si>
    <t>6139602250</t>
  </si>
  <si>
    <t>2025-08-26 12:20:57</t>
  </si>
  <si>
    <t>HMDJ3M9Z4F</t>
  </si>
  <si>
    <t>2025-08-26 13:08:56</t>
  </si>
  <si>
    <t>5539146481</t>
  </si>
  <si>
    <t>2025-08-26 14:37:59</t>
  </si>
  <si>
    <t>2025-08-26 15:34:02</t>
  </si>
  <si>
    <t>2276489509</t>
  </si>
  <si>
    <t>2025-08-26 15:52:17</t>
  </si>
  <si>
    <t>2025-08-26 16:34:32</t>
  </si>
  <si>
    <t>Guest is in house. He just needs to be checked in. CK</t>
  </si>
  <si>
    <t>2276590535</t>
  </si>
  <si>
    <t>2025-08-26 18:29:40</t>
  </si>
  <si>
    <t>5606496469</t>
  </si>
  <si>
    <t>2025-08-26 18:52:34</t>
  </si>
  <si>
    <t>2276656887</t>
  </si>
  <si>
    <t>2025-08-26 20:14:10</t>
  </si>
  <si>
    <t>2276686303</t>
  </si>
  <si>
    <t>2025-08-26 21:02:20</t>
  </si>
  <si>
    <t>HMQTTA4PXA</t>
  </si>
  <si>
    <t>2025-08-26 21:20:00</t>
  </si>
  <si>
    <t>2025-08-26 21:24:13</t>
  </si>
  <si>
    <t>2276707239</t>
  </si>
  <si>
    <t>2025-08-26 21:38:39</t>
  </si>
  <si>
    <t>2276707243</t>
  </si>
  <si>
    <t>2025-08-26 21:38:43</t>
  </si>
  <si>
    <t>2276709063</t>
  </si>
  <si>
    <t>2025-08-26 21:41:54</t>
  </si>
  <si>
    <t>2276709064</t>
  </si>
  <si>
    <t>2025-08-26 21:41:57</t>
  </si>
  <si>
    <t>2025-08-26 22:41:09</t>
  </si>
  <si>
    <t>2276783881</t>
  </si>
  <si>
    <t>2025-08-26 23:59:32</t>
  </si>
  <si>
    <t>2276821057</t>
  </si>
  <si>
    <t>2025-08-27 01:03:25</t>
  </si>
  <si>
    <t>2276846550</t>
  </si>
  <si>
    <t>2025-08-27 01:44:36</t>
  </si>
  <si>
    <t>HM9SQ3Y4BJ</t>
  </si>
  <si>
    <t>2025-08-27 01:59:52</t>
  </si>
  <si>
    <t>2025-08-27 02:29:27</t>
  </si>
  <si>
    <t>6990279832</t>
  </si>
  <si>
    <t>2025-08-27 14:17:18</t>
  </si>
  <si>
    <t>2277230022</t>
  </si>
  <si>
    <t>2025-08-27 15:15:02</t>
  </si>
  <si>
    <t>HM5ZTFNM5F</t>
  </si>
  <si>
    <t>2025-08-27 18:11:03</t>
  </si>
  <si>
    <t>HM92J2XB2P</t>
  </si>
  <si>
    <t>2025-08-27 20:16:30</t>
  </si>
  <si>
    <t>12 pm check out, please. CK</t>
  </si>
  <si>
    <t>206 (STK), 102 (DQ)</t>
  </si>
  <si>
    <t>2025-08-27 20:50:20</t>
  </si>
  <si>
    <t>2277448944</t>
  </si>
  <si>
    <t>2025-08-27 21:05:28</t>
  </si>
  <si>
    <t>2025-08-27 21:11:37</t>
  </si>
  <si>
    <t>Guest is bringing in a tax exempt form. CK, tax exempt #- 09802427</t>
  </si>
  <si>
    <t>5427801632</t>
  </si>
  <si>
    <t>2025-08-27 21:34:54</t>
  </si>
  <si>
    <t>Guest booked with Booking.com. Upon arrival he realized that we do not allow pets. I spoke with Seth and he said it would be ok. However, after an hour of making the reservation, it wasn't showing on our check-in page. I informed the guest that he would have to call Booking.com directly. But, he stated that he couldn't get an answer. After pondering the situation, he decided to leave and find new accommodations. Another 45-60 min or so later, his res popped up on the screen. I called him to see if he was still interested and he stated that he found another place to stay. CK</t>
  </si>
  <si>
    <t>2277471507</t>
  </si>
  <si>
    <t>2025-08-27 21:45:48</t>
  </si>
  <si>
    <t>2277510897</t>
  </si>
  <si>
    <t>2025-08-27 23:00:30</t>
  </si>
  <si>
    <t>2277525281</t>
  </si>
  <si>
    <t>2025-08-27 23:27:44</t>
  </si>
  <si>
    <t>2277525278</t>
  </si>
  <si>
    <t>2025-08-27 23:27:47</t>
  </si>
  <si>
    <t>6699110209</t>
  </si>
  <si>
    <t>2025-08-27 23:33:00</t>
  </si>
  <si>
    <t>2277566624</t>
  </si>
  <si>
    <t>2025-08-28 00:43:43</t>
  </si>
  <si>
    <t>2277569831</t>
  </si>
  <si>
    <t>2025-08-28 00:49:33</t>
  </si>
  <si>
    <t>2277584229</t>
  </si>
  <si>
    <t>2025-08-28 01:13:53</t>
  </si>
  <si>
    <t>2025-08-28 01:19:44</t>
  </si>
  <si>
    <t>2277617889</t>
  </si>
  <si>
    <t>2025-08-28 02:11:29</t>
  </si>
  <si>
    <t>5427817122</t>
  </si>
  <si>
    <t>2025-08-28 04:03:49</t>
  </si>
  <si>
    <t>2277678137</t>
  </si>
  <si>
    <t>2025-08-28 04:07:50</t>
  </si>
  <si>
    <t>HMMDDT9Z83</t>
  </si>
  <si>
    <t>2025-08-28 17:30:52</t>
  </si>
  <si>
    <t>2278072167</t>
  </si>
  <si>
    <t>2025-08-28 17:33:16</t>
  </si>
  <si>
    <t>6987334816</t>
  </si>
  <si>
    <t>2025-08-28 17:44:20</t>
  </si>
  <si>
    <t>5697762879</t>
  </si>
  <si>
    <t>2025-08-28 19:16:40</t>
  </si>
  <si>
    <t>2278253652</t>
  </si>
  <si>
    <t>2025-08-28 22:45:11</t>
  </si>
  <si>
    <t>5453682834</t>
  </si>
  <si>
    <t>2025-08-28 23:09:12</t>
  </si>
  <si>
    <t>2278930398</t>
  </si>
  <si>
    <t>2025-08-29 20:39:35</t>
  </si>
  <si>
    <t>2025-08-29 21:07:04</t>
  </si>
  <si>
    <t>HMHBFZH3TS</t>
  </si>
  <si>
    <t>2025-08-29 23:11:18</t>
  </si>
  <si>
    <t>2279104385</t>
  </si>
  <si>
    <t>2025-08-30 02:02:56</t>
  </si>
  <si>
    <t>106 (STQ), 114 (STK)</t>
  </si>
  <si>
    <t>2025-08-30 16:20:50</t>
  </si>
  <si>
    <t>2279499462</t>
  </si>
  <si>
    <t>2025-08-30 18:52:10</t>
  </si>
  <si>
    <t>2279609506</t>
  </si>
  <si>
    <t>2025-08-30 22:34:14</t>
  </si>
  <si>
    <t>2279664052</t>
  </si>
  <si>
    <t>2025-08-31 00:37:34</t>
  </si>
  <si>
    <t>2025-08-31 00:46:14</t>
  </si>
  <si>
    <t>2025-08-31 02:16:28</t>
  </si>
  <si>
    <t>2025-08-31 02:52:32</t>
  </si>
  <si>
    <t>2279759533</t>
  </si>
  <si>
    <t>2025-08-31 04:37:56</t>
  </si>
  <si>
    <t>HMA3TSY8YZ</t>
  </si>
  <si>
    <t>2025-08-31 15:30:16</t>
  </si>
  <si>
    <t>5936897773</t>
  </si>
  <si>
    <t>2025-08-31 16:01:15</t>
  </si>
  <si>
    <t>117 (STQ), 116 (DQ)</t>
  </si>
  <si>
    <t>2025-11-20</t>
  </si>
  <si>
    <t>5227167324</t>
  </si>
  <si>
    <t>2025-08-31 16:34:12</t>
  </si>
  <si>
    <t>2280114133</t>
  </si>
  <si>
    <t>2025-08-31 20:05:48</t>
  </si>
  <si>
    <t>2280127425</t>
  </si>
  <si>
    <t>2025-08-31 20:30:53</t>
  </si>
  <si>
    <t>5781478929</t>
  </si>
  <si>
    <t>2025-08-31 21:38:33</t>
  </si>
  <si>
    <t>2025-08-31 21:53:09</t>
  </si>
  <si>
    <t>2280205133</t>
  </si>
  <si>
    <t>2025-08-31 23:15:45</t>
  </si>
  <si>
    <t>2280205776</t>
  </si>
  <si>
    <t>2025-08-31 23:17:10</t>
  </si>
  <si>
    <t>2025-08-31 23:52:52</t>
  </si>
  <si>
    <t>6303522299</t>
  </si>
  <si>
    <t>2025-09-01 01:40:05</t>
  </si>
  <si>
    <t>It rained really hard. Guest checked in after the rain and told me about the floor being wet. I grabbed some towels and dried it (guest helped). I left them with a couple extra towels to lay on the floor. They were pleasant regarding the situation. CK</t>
  </si>
  <si>
    <t>6321160481</t>
  </si>
  <si>
    <t>2025-09-01 01:46:32</t>
  </si>
  <si>
    <t>2280298124</t>
  </si>
  <si>
    <t>2025-09-01 02:38:00</t>
  </si>
  <si>
    <t>2280302430</t>
  </si>
  <si>
    <t>2025-09-01 02:47:46</t>
  </si>
  <si>
    <t>2280342471</t>
  </si>
  <si>
    <t>2025-09-01 04:28:58</t>
  </si>
  <si>
    <t>6055983319</t>
  </si>
  <si>
    <t>2025-09-01 11:28:19</t>
  </si>
  <si>
    <t>2280522125</t>
  </si>
  <si>
    <t>2025-09-01 11:58:26</t>
  </si>
  <si>
    <t>2280598731</t>
  </si>
  <si>
    <t>2025-09-01 14:09:03</t>
  </si>
  <si>
    <t>Do not move room ... Guests are a stay-over. CK</t>
  </si>
  <si>
    <t>5598671685</t>
  </si>
  <si>
    <t>2025-09-01 16:29:28</t>
  </si>
  <si>
    <t>2280803205</t>
  </si>
  <si>
    <t>2025-09-01 19:23:42</t>
  </si>
  <si>
    <t>5646552684</t>
  </si>
  <si>
    <t>2025-09-01 19:36:04</t>
  </si>
  <si>
    <t>6526164822</t>
  </si>
  <si>
    <t>2025-09-01 20:19:55</t>
  </si>
  <si>
    <t>6734124034</t>
  </si>
  <si>
    <t>2025-09-01 20:20:20</t>
  </si>
  <si>
    <t>2280851226</t>
  </si>
  <si>
    <t>2025-09-01 20:42:23</t>
  </si>
  <si>
    <t>2025-09-01 21:03:59</t>
  </si>
  <si>
    <t>2280953218</t>
  </si>
  <si>
    <t>2025-09-01 23:52:55</t>
  </si>
  <si>
    <t>6526180985</t>
  </si>
  <si>
    <t>2025-09-02 04:43:03</t>
  </si>
  <si>
    <t>HMSZP55ZX4</t>
  </si>
  <si>
    <t>2025-09-02 05:38:29</t>
  </si>
  <si>
    <t>2281437924</t>
  </si>
  <si>
    <t>2025-09-02 16:10:06</t>
  </si>
  <si>
    <t>2281480416</t>
  </si>
  <si>
    <t>2025-09-02 17:11:57</t>
  </si>
  <si>
    <t>2281510256</t>
  </si>
  <si>
    <t>2025-09-02 17:57:14</t>
  </si>
  <si>
    <t>2025-09-02 19:57:53</t>
  </si>
  <si>
    <t>2281653544</t>
  </si>
  <si>
    <t>2025-09-02 21:36:26</t>
  </si>
  <si>
    <t>2025-12-16</t>
  </si>
  <si>
    <t>2025-12-19</t>
  </si>
  <si>
    <t>HMNPCQRTFZ</t>
  </si>
  <si>
    <t>2025-09-02 23:51:29</t>
  </si>
  <si>
    <t>2281800038</t>
  </si>
  <si>
    <t>2025-09-03 01:55:54</t>
  </si>
  <si>
    <t>6908949268</t>
  </si>
  <si>
    <t>2025-09-03 14:35:25</t>
  </si>
  <si>
    <t>2025-12-05</t>
  </si>
  <si>
    <t>2025-12-07</t>
  </si>
  <si>
    <t>2282188907</t>
  </si>
  <si>
    <t>2025-09-03 15:20:21</t>
  </si>
  <si>
    <t>2025-09-03 15:53:38</t>
  </si>
  <si>
    <t>2025-09-03 15:53:44</t>
  </si>
  <si>
    <t>2282240221</t>
  </si>
  <si>
    <t>2025-09-03 16:34:02</t>
  </si>
  <si>
    <t>2282407704</t>
  </si>
  <si>
    <t>2025-09-03 20:56:42</t>
  </si>
  <si>
    <t>2025-09-03 23:03:06</t>
  </si>
  <si>
    <t>2025-09-04 01:25:15</t>
  </si>
  <si>
    <t>2282580228</t>
  </si>
  <si>
    <t>2025-09-04 02:05:02</t>
  </si>
  <si>
    <t>2282580231</t>
  </si>
  <si>
    <t>2025-09-04 02:05:05</t>
  </si>
  <si>
    <t>2282608202</t>
  </si>
  <si>
    <t>2025-09-04 02:56:02</t>
  </si>
  <si>
    <t>2282633931</t>
  </si>
  <si>
    <t>2025-09-04 03:48:51</t>
  </si>
  <si>
    <t>2026-02-03</t>
  </si>
  <si>
    <t>2026-02-07</t>
  </si>
  <si>
    <t>5724567463</t>
  </si>
  <si>
    <t>2025-09-04 04:03:05</t>
  </si>
  <si>
    <t>2025-09-04 04:06:16</t>
  </si>
  <si>
    <t>5052072808</t>
  </si>
  <si>
    <t>2025-09-04 15:25:25</t>
  </si>
  <si>
    <t>2283042416</t>
  </si>
  <si>
    <t>2025-09-04 17:26:37</t>
  </si>
  <si>
    <t>2025-09-04 17:58:39</t>
  </si>
  <si>
    <t>6393620274</t>
  </si>
  <si>
    <t>2025-09-04 19:05:33</t>
  </si>
  <si>
    <t>2025-09-04 20:02:59</t>
  </si>
  <si>
    <t>tax exempt, I made a mess of payments/refunds. The guest was understanding that I wasn't able to provide her with a receipt showing no tax charges &amp; will come to the office in the morning before checking out for that copy.  CK</t>
  </si>
  <si>
    <t>2025-12-15</t>
  </si>
  <si>
    <t>2025-12-20</t>
  </si>
  <si>
    <t>HMX5M5H8NN</t>
  </si>
  <si>
    <t>2025-09-04 20:33:34</t>
  </si>
  <si>
    <t>HMBARH5AE3</t>
  </si>
  <si>
    <t>2025-09-04 21:19:10</t>
  </si>
  <si>
    <t>2025-09-04 22:47:05</t>
  </si>
  <si>
    <t>2025-09-04 23:22:58</t>
  </si>
  <si>
    <t>5739357838</t>
  </si>
  <si>
    <t>2025-09-04 23:33:01</t>
  </si>
  <si>
    <t>2025-09-05 00:30:44</t>
  </si>
  <si>
    <t>2025-09-05 01:06:19</t>
  </si>
  <si>
    <t>2025-11-02</t>
  </si>
  <si>
    <t>2283362464</t>
  </si>
  <si>
    <t>2025-09-05 02:48:45</t>
  </si>
  <si>
    <t>2283369404</t>
  </si>
  <si>
    <t>2025-09-05 03:02:25</t>
  </si>
  <si>
    <t>2283387870</t>
  </si>
  <si>
    <t>2025-09-05 03:39:40</t>
  </si>
  <si>
    <t>2025-09-05 05:43:58</t>
  </si>
  <si>
    <t>2283666684</t>
  </si>
  <si>
    <t>2025-09-05 14:13:05</t>
  </si>
  <si>
    <t>HMCQY39PAN</t>
  </si>
  <si>
    <t>2025-09-05 14:51:10</t>
  </si>
  <si>
    <t>2283708552</t>
  </si>
  <si>
    <t>2025-09-05 15:13:55</t>
  </si>
  <si>
    <t>2283814937</t>
  </si>
  <si>
    <t>2025-09-05 17:56:31</t>
  </si>
  <si>
    <t>2283896884</t>
  </si>
  <si>
    <t>2025-09-05 20:17:23</t>
  </si>
  <si>
    <t>2283905645</t>
  </si>
  <si>
    <t>2025-09-05 20:32:34</t>
  </si>
  <si>
    <t>2283905646</t>
  </si>
  <si>
    <t>2025-09-05 20:32:35</t>
  </si>
  <si>
    <t>2283905648</t>
  </si>
  <si>
    <t>2025-09-05 20:32:38</t>
  </si>
  <si>
    <t>2025-09-05 22:01:08</t>
  </si>
  <si>
    <t>2284036903</t>
  </si>
  <si>
    <t>2025-09-06 00:49:13</t>
  </si>
  <si>
    <t>2284068747</t>
  </si>
  <si>
    <t>2025-09-06 01:57:32</t>
  </si>
  <si>
    <t>2284072097</t>
  </si>
  <si>
    <t>2025-09-06 02:04:36</t>
  </si>
  <si>
    <t>6839920659</t>
  </si>
  <si>
    <t>2025-09-06 03:42:41</t>
  </si>
  <si>
    <t>5947560270</t>
  </si>
  <si>
    <t>2025-09-06 10:27:01</t>
  </si>
  <si>
    <t>6847397387</t>
  </si>
  <si>
    <t>2025-09-06 13:18:52</t>
  </si>
  <si>
    <t>2284386504</t>
  </si>
  <si>
    <t>2025-09-06 17:00:12</t>
  </si>
  <si>
    <t>5097031761</t>
  </si>
  <si>
    <t>2025-09-06 17:25:13</t>
  </si>
  <si>
    <t>2025-09-06 17:36:28</t>
  </si>
  <si>
    <t>2284412537</t>
  </si>
  <si>
    <t>2025-09-06 17:51:54</t>
  </si>
  <si>
    <t>2284496846</t>
  </si>
  <si>
    <t>2025-09-06 20:46:15</t>
  </si>
  <si>
    <t>2284496843</t>
  </si>
  <si>
    <t>2025-09-06 20:46:18</t>
  </si>
  <si>
    <t>2025-09-06 22:00:03</t>
  </si>
  <si>
    <t>2025-11-26</t>
  </si>
  <si>
    <t>2284615073</t>
  </si>
  <si>
    <t>2025-09-07 01:18:59</t>
  </si>
  <si>
    <t>2284834287</t>
  </si>
  <si>
    <t>2025-09-07 13:27:30</t>
  </si>
  <si>
    <t>2025-09-07 14:33:48</t>
  </si>
  <si>
    <t>5859209537</t>
  </si>
  <si>
    <t>2025-09-07 15:29:58</t>
  </si>
  <si>
    <t>2025-11-30</t>
  </si>
  <si>
    <t>2284946896</t>
  </si>
  <si>
    <t>2025-09-07 17:16:28</t>
  </si>
  <si>
    <t>2025-12-11</t>
  </si>
  <si>
    <t>2025-12-14</t>
  </si>
  <si>
    <t>5562021561</t>
  </si>
  <si>
    <t>2025-09-07 17:23:24</t>
  </si>
  <si>
    <t>2284955714</t>
  </si>
  <si>
    <t>2025-09-07 17:33:53</t>
  </si>
  <si>
    <t>2025-10-15</t>
  </si>
  <si>
    <t>6431229886</t>
  </si>
  <si>
    <t>2025-09-07 18:59:11</t>
  </si>
  <si>
    <t>2285015244</t>
  </si>
  <si>
    <t>2025-09-07 19:27:53</t>
  </si>
  <si>
    <t>HMBPTJWBCQ</t>
  </si>
  <si>
    <t>2025-09-07 19:45:47</t>
  </si>
  <si>
    <t>2285026644</t>
  </si>
  <si>
    <t>2025-09-07 19:49:24</t>
  </si>
  <si>
    <t>2285067708</t>
  </si>
  <si>
    <t>2025-09-07 21:08:17</t>
  </si>
  <si>
    <t>2285071429</t>
  </si>
  <si>
    <t>2025-09-07 21:15:40</t>
  </si>
  <si>
    <t>5879769430</t>
  </si>
  <si>
    <t>2025-09-07 22:04:12</t>
  </si>
  <si>
    <t>2025-09-07 23:54:44</t>
  </si>
  <si>
    <t>2285238997</t>
  </si>
  <si>
    <t>2025-09-08 02:51:39</t>
  </si>
  <si>
    <t>2285286340</t>
  </si>
  <si>
    <t>2025-09-08 04:44:32</t>
  </si>
  <si>
    <t>2025-09-08 15:29:17</t>
  </si>
  <si>
    <t>2285690478</t>
  </si>
  <si>
    <t>2025-09-08 17:33:29</t>
  </si>
  <si>
    <t>2285697169</t>
  </si>
  <si>
    <t>2025-09-08 17:43:10</t>
  </si>
  <si>
    <t>2025-12-06</t>
  </si>
  <si>
    <t>2025-12-08</t>
  </si>
  <si>
    <t>5910171018</t>
  </si>
  <si>
    <t>2025-09-08 18:19:47</t>
  </si>
  <si>
    <t>2285738897</t>
  </si>
  <si>
    <t>2025-09-08 18:44:37</t>
  </si>
  <si>
    <t>2285761176</t>
  </si>
  <si>
    <t>2025-09-08 19:17:40</t>
  </si>
  <si>
    <t>5729948265</t>
  </si>
  <si>
    <t>2025-09-08 20:43:52</t>
  </si>
  <si>
    <t>2285840841</t>
  </si>
  <si>
    <t>2025-09-08 21:20:42</t>
  </si>
  <si>
    <t>2025-09-08 21:21:42</t>
  </si>
  <si>
    <t>2025-09-08 21:29:37</t>
  </si>
  <si>
    <t>2285854863</t>
  </si>
  <si>
    <t>2025-09-08 21:44:06</t>
  </si>
  <si>
    <t>2025-09-08 21:52:29</t>
  </si>
  <si>
    <t>HMSXXNSRRD</t>
  </si>
  <si>
    <t>2025-09-09 00:21:12</t>
  </si>
  <si>
    <t>HMSQSN5954</t>
  </si>
  <si>
    <t>2025-09-09 01:03:39</t>
  </si>
  <si>
    <t>2285988807</t>
  </si>
  <si>
    <t>2025-09-09 01:44:30</t>
  </si>
  <si>
    <t>2286003681</t>
  </si>
  <si>
    <t>2025-09-09 02:10:14</t>
  </si>
  <si>
    <t>HMPS3SAPNW</t>
  </si>
  <si>
    <t>2025-09-09 02:32:28</t>
  </si>
  <si>
    <t>2286043019</t>
  </si>
  <si>
    <t>2025-09-09 03:26:04</t>
  </si>
  <si>
    <t>2286067370</t>
  </si>
  <si>
    <t>2025-09-09 04:21:36</t>
  </si>
  <si>
    <t>2025-09-09 14:06:32</t>
  </si>
  <si>
    <t>2025-09-09 18:48:42</t>
  </si>
  <si>
    <t>2286600992</t>
  </si>
  <si>
    <t>2025-09-09 20:55:27</t>
  </si>
  <si>
    <t>6426827046</t>
  </si>
  <si>
    <t>2025-09-09 22:52:54</t>
  </si>
  <si>
    <t>5810877973</t>
  </si>
  <si>
    <t>2025-09-09 23:45:50</t>
  </si>
  <si>
    <t>5039556063</t>
  </si>
  <si>
    <t>2025-09-10 00:04:20</t>
  </si>
  <si>
    <t>2025-09-10 19:54:16</t>
  </si>
  <si>
    <t>HMC84ARPXE</t>
  </si>
  <si>
    <t>2025-09-10 23:29:33</t>
  </si>
  <si>
    <t>2025-09-11 00:16:29</t>
  </si>
  <si>
    <t>2287466395</t>
  </si>
  <si>
    <t>2025-09-11 00:29:45</t>
  </si>
  <si>
    <t>2287474968</t>
  </si>
  <si>
    <t>2025-09-11 00:46:28</t>
  </si>
  <si>
    <t>2287534850</t>
  </si>
  <si>
    <t>2025-09-11 02:37:47</t>
  </si>
  <si>
    <t>2287607402</t>
  </si>
  <si>
    <t>2025-09-11 05:36:35</t>
  </si>
  <si>
    <t>6956653417</t>
  </si>
  <si>
    <t>2025-09-11 06:06:14</t>
  </si>
  <si>
    <t>2025-09-11 16:38:30</t>
  </si>
  <si>
    <t>2288103940</t>
  </si>
  <si>
    <t>2025-09-11 21:49:48</t>
  </si>
  <si>
    <t>5267767935</t>
  </si>
  <si>
    <t>2025-09-11 22:38:17</t>
  </si>
  <si>
    <t>2025-09-11 23:13:01</t>
  </si>
  <si>
    <t>2025-09-12 01:24:42</t>
  </si>
  <si>
    <t>2288264884</t>
  </si>
  <si>
    <t>2025-09-12 03:05:50</t>
  </si>
  <si>
    <t>2288264886</t>
  </si>
  <si>
    <t>2025-09-12 03:05:56</t>
  </si>
  <si>
    <t>2288340433</t>
  </si>
  <si>
    <t>2025-09-12 06:24:50</t>
  </si>
  <si>
    <t>2288648542</t>
  </si>
  <si>
    <t>2025-09-12 16:39:07</t>
  </si>
  <si>
    <t>2025-12-26</t>
  </si>
  <si>
    <t>5248987581</t>
  </si>
  <si>
    <t>South Africa</t>
  </si>
  <si>
    <t>2025-09-12 16:41:14</t>
  </si>
  <si>
    <t>2288665475</t>
  </si>
  <si>
    <t>2025-09-12 17:06:37</t>
  </si>
  <si>
    <t>5430361562</t>
  </si>
  <si>
    <t>2025-09-12 17:30:16</t>
  </si>
  <si>
    <t>2025-09-12 18:53:54</t>
  </si>
  <si>
    <t>2288801101</t>
  </si>
  <si>
    <t>2025-09-12 21:03:47</t>
  </si>
  <si>
    <t>2288809131</t>
  </si>
  <si>
    <t>2025-09-12 21:18:51</t>
  </si>
  <si>
    <t>2025-11-01</t>
  </si>
  <si>
    <t>5849986574</t>
  </si>
  <si>
    <t>2025-09-12 21:40:16</t>
  </si>
  <si>
    <t>2288883734</t>
  </si>
  <si>
    <t>2025-09-12 23:50:53</t>
  </si>
  <si>
    <t>2025-09-13 00:11:02</t>
  </si>
  <si>
    <t>2025-09-13 00:16:35</t>
  </si>
  <si>
    <t>2025-09-13 00:56:15</t>
  </si>
  <si>
    <t>HMN4KQKW2Y</t>
  </si>
  <si>
    <t>2025-09-13 01:06:28</t>
  </si>
  <si>
    <t>2288919644</t>
  </si>
  <si>
    <t>2025-09-13 01:08:45</t>
  </si>
  <si>
    <t>2025-09-13 01:39:04</t>
  </si>
  <si>
    <t>HMM3Y9CP2H</t>
  </si>
  <si>
    <t>2025-09-13 14:43:18</t>
  </si>
  <si>
    <t>5849930910</t>
  </si>
  <si>
    <t>2025-09-13 14:45:44</t>
  </si>
  <si>
    <t>2289230330</t>
  </si>
  <si>
    <t>2025-09-13 16:08:55</t>
  </si>
  <si>
    <t>2289328885</t>
  </si>
  <si>
    <t>2025-09-13 19:35:03</t>
  </si>
  <si>
    <t>2289340992</t>
  </si>
  <si>
    <t>2025-09-13 20:01:19</t>
  </si>
  <si>
    <t>2025-09-13 20:03:13</t>
  </si>
  <si>
    <t>2289345424</t>
  </si>
  <si>
    <t>2025-09-13 20:10:58</t>
  </si>
  <si>
    <t>2025-12-22</t>
  </si>
  <si>
    <t>2289366779</t>
  </si>
  <si>
    <t>2025-09-13 20:57:55</t>
  </si>
  <si>
    <t>2289368184</t>
  </si>
  <si>
    <t>2025-09-13 21:01:01</t>
  </si>
  <si>
    <t>2289373228</t>
  </si>
  <si>
    <t>2025-09-13 21:12:27</t>
  </si>
  <si>
    <t>2289381551</t>
  </si>
  <si>
    <t>2025-09-13 21:31:29</t>
  </si>
  <si>
    <t>5466103148</t>
  </si>
  <si>
    <t>2025-09-13 21:39:46</t>
  </si>
  <si>
    <t>5627555264</t>
  </si>
  <si>
    <t>2025-09-13 22:59:55</t>
  </si>
  <si>
    <t>2289430364</t>
  </si>
  <si>
    <t>2025-09-13 23:30:02</t>
  </si>
  <si>
    <t>2025-09-14 00:02:18</t>
  </si>
  <si>
    <t>2289464279</t>
  </si>
  <si>
    <t>2025-09-14 00:56:05</t>
  </si>
  <si>
    <t>2289494496</t>
  </si>
  <si>
    <t>2025-09-14 02:12:15</t>
  </si>
  <si>
    <t>HMWJF5SKCT</t>
  </si>
  <si>
    <t>2025-09-14 19:25:33</t>
  </si>
  <si>
    <t>2025-09-14 21:16:45</t>
  </si>
  <si>
    <t>2289929252</t>
  </si>
  <si>
    <t>2025-09-14 21:38:56</t>
  </si>
  <si>
    <t>Kobi Tinsley is checking in mom bought the room 
6026170010</t>
  </si>
  <si>
    <t>2025-09-14 22:09:01</t>
  </si>
  <si>
    <t>2025-09-14 22:21:11</t>
  </si>
  <si>
    <t>2025-09-15 01:29:51</t>
  </si>
  <si>
    <t>Guest originally booked a SK, but I wasn't able to accommodate a king on the first floor. I overroad the room to a DQ, hence the balance of 20.47. CK</t>
  </si>
  <si>
    <t>2025-09-15 02:38:38</t>
  </si>
  <si>
    <t>HM2YXDKN54</t>
  </si>
  <si>
    <t>2025-09-15 03:12:08</t>
  </si>
  <si>
    <t>2025-09-15 14:04:19</t>
  </si>
  <si>
    <t>2290483776</t>
  </si>
  <si>
    <t>2025-09-15 17:06:31</t>
  </si>
  <si>
    <t>2025-11-05</t>
  </si>
  <si>
    <t>2290586819</t>
  </si>
  <si>
    <t>2025-09-15 19:39:03</t>
  </si>
  <si>
    <t>2025-09-15 20:19:09</t>
  </si>
  <si>
    <t>2290649305</t>
  </si>
  <si>
    <t>2025-09-15 21:13:18</t>
  </si>
  <si>
    <t>2290659748</t>
  </si>
  <si>
    <t>2025-09-15 21:30:16</t>
  </si>
  <si>
    <t>5202125449</t>
  </si>
  <si>
    <t>2025-09-15 22:04:56</t>
  </si>
  <si>
    <t>HMRA9YMHXF</t>
  </si>
  <si>
    <t>2025-09-15 22:29:02</t>
  </si>
  <si>
    <t>2290698794</t>
  </si>
  <si>
    <t>2025-09-15 22:38:29</t>
  </si>
  <si>
    <t>2290698796</t>
  </si>
  <si>
    <t>2025-09-15 22:38:33</t>
  </si>
  <si>
    <t>2025-09-16 00:47:22</t>
  </si>
  <si>
    <t>2290817674</t>
  </si>
  <si>
    <t>2025-09-16 02:01:06</t>
  </si>
  <si>
    <t>2290817676</t>
  </si>
  <si>
    <t>2025-09-16 02:01:09</t>
  </si>
  <si>
    <t>2025-09-16 02:30:02</t>
  </si>
  <si>
    <t>Late c/o for 12:00 pm, please. CK</t>
  </si>
  <si>
    <t>2290847929</t>
  </si>
  <si>
    <t>2025-09-16 02:54:56</t>
  </si>
  <si>
    <t>2025-09-16 03:00:35</t>
  </si>
  <si>
    <t>2290964935</t>
  </si>
  <si>
    <t>2025-09-16 07:47:12</t>
  </si>
  <si>
    <t>2291171267</t>
  </si>
  <si>
    <t>2025-09-16 14:23:06</t>
  </si>
  <si>
    <t>6088881844</t>
  </si>
  <si>
    <t>2025-09-16 15:38:29</t>
  </si>
  <si>
    <t>2291361345</t>
  </si>
  <si>
    <t>2025-09-16 18:57:38</t>
  </si>
  <si>
    <t>2291398974</t>
  </si>
  <si>
    <t>2025-09-16 19:56:19</t>
  </si>
  <si>
    <t>HMKTADRDB3</t>
  </si>
  <si>
    <t>2025-09-16 20:20:09</t>
  </si>
  <si>
    <t>5817809372</t>
  </si>
  <si>
    <t>2025-09-16 21:49:29</t>
  </si>
  <si>
    <t>2025-09-16 22:03:54</t>
  </si>
  <si>
    <t>2025-09-16 22:07:15</t>
  </si>
  <si>
    <t>HMMM5XQDJ9</t>
  </si>
  <si>
    <t>2025-09-16 23:56:38</t>
  </si>
  <si>
    <t>6085519091</t>
  </si>
  <si>
    <t>Romania</t>
  </si>
  <si>
    <t>2025-09-17 00:06:54</t>
  </si>
  <si>
    <t>2291604313</t>
  </si>
  <si>
    <t>2025-09-17 01:57:56</t>
  </si>
  <si>
    <t>2291632982</t>
  </si>
  <si>
    <t>2025-09-17 02:49:59</t>
  </si>
  <si>
    <t>6591330505</t>
  </si>
  <si>
    <t>2025-09-17 03:06:42</t>
  </si>
  <si>
    <t>2291665207</t>
  </si>
  <si>
    <t>2025-09-17 03:56:53</t>
  </si>
  <si>
    <t>2291683341</t>
  </si>
  <si>
    <t>2025-09-17 04:40:51</t>
  </si>
  <si>
    <t>6630863154</t>
  </si>
  <si>
    <t>2025-09-17 12:49:20</t>
  </si>
  <si>
    <t>2291991324</t>
  </si>
  <si>
    <t>2025-09-17 15:28:25</t>
  </si>
  <si>
    <t>2292084014</t>
  </si>
  <si>
    <t>2025-09-17 17:50:48</t>
  </si>
  <si>
    <t>2292085057</t>
  </si>
  <si>
    <t>2025-09-17 17:52:29</t>
  </si>
  <si>
    <t>2292288959</t>
  </si>
  <si>
    <t>2025-09-17 23:49:23</t>
  </si>
  <si>
    <t>Stash Hotel Rewards</t>
  </si>
  <si>
    <t>ZDSCHH6</t>
  </si>
  <si>
    <t>2025-09-18 00:45:57</t>
  </si>
  <si>
    <t>2026-05-26</t>
  </si>
  <si>
    <t>2026-05-27</t>
  </si>
  <si>
    <t>2025-09-18 01:03:15</t>
  </si>
  <si>
    <t>Free Upgrade-JF</t>
  </si>
  <si>
    <t>2025-09-18 01:03:45</t>
  </si>
  <si>
    <t>2292412073</t>
  </si>
  <si>
    <t>2025-09-18 03:33:26</t>
  </si>
  <si>
    <t>HMKJC8BYCY</t>
  </si>
  <si>
    <t>2025-09-18 15:45:40</t>
  </si>
  <si>
    <t>2025-10-18</t>
  </si>
  <si>
    <t>2292854612</t>
  </si>
  <si>
    <t>2025-09-18 18:11:23</t>
  </si>
  <si>
    <t>2292869904</t>
  </si>
  <si>
    <t>2025-09-18 18:38:02</t>
  </si>
  <si>
    <t>HMPTAWCSQH</t>
  </si>
  <si>
    <t>2025-09-18 20:11:44</t>
  </si>
  <si>
    <t>K62FBS8</t>
  </si>
  <si>
    <t>2025-09-18 23:18:21</t>
  </si>
  <si>
    <t>2025-09-18 23:57:25</t>
  </si>
  <si>
    <t>2293054697</t>
  </si>
  <si>
    <t>2025-09-19 00:03:10</t>
  </si>
  <si>
    <t>2293209071</t>
  </si>
  <si>
    <t>2025-09-19 04:58:19</t>
  </si>
  <si>
    <t>101 (DQ), 109 (SMQ)</t>
  </si>
  <si>
    <t>2026-07-14</t>
  </si>
  <si>
    <t>2026-07-15</t>
  </si>
  <si>
    <t>2025-09-19 14:49:30</t>
  </si>
  <si>
    <t>HMR8N94548</t>
  </si>
  <si>
    <t>2025-09-19 17:24:56</t>
  </si>
  <si>
    <t>2293617091</t>
  </si>
  <si>
    <t>2025-09-19 18:21:27</t>
  </si>
  <si>
    <t>2293618751</t>
  </si>
  <si>
    <t>2025-09-19 18:24:19</t>
  </si>
  <si>
    <t>2293643131</t>
  </si>
  <si>
    <t>2025-09-19 19:04:54</t>
  </si>
  <si>
    <t>6739919275</t>
  </si>
  <si>
    <t>2025-09-19 19:07:10</t>
  </si>
  <si>
    <t>6373883402</t>
  </si>
  <si>
    <t>2025-09-19 19:38:49</t>
  </si>
  <si>
    <t>2025-09-19 20:14:40</t>
  </si>
  <si>
    <t>2025-09-19 21:00:33</t>
  </si>
  <si>
    <t>6892696349</t>
  </si>
  <si>
    <t>2025-09-20 01:58:40</t>
  </si>
  <si>
    <t>2025-09-20 02:07:17</t>
  </si>
  <si>
    <t>2025-09-20 02:12:20</t>
  </si>
  <si>
    <t>5209963831</t>
  </si>
  <si>
    <t>2025-09-20 03:27:50</t>
  </si>
  <si>
    <t>5209917416</t>
  </si>
  <si>
    <t>2025-09-20 04:09:11</t>
  </si>
  <si>
    <t>2294068147</t>
  </si>
  <si>
    <t>2025-09-20 13:04:44</t>
  </si>
  <si>
    <t>2025-09-20 14:08:24</t>
  </si>
  <si>
    <t>2025-12-10</t>
  </si>
  <si>
    <t>5337125478</t>
  </si>
  <si>
    <t>2025-09-20 14:44:46</t>
  </si>
  <si>
    <t>2294159104</t>
  </si>
  <si>
    <t>2025-09-20 16:16:49</t>
  </si>
  <si>
    <t>2294186342</t>
  </si>
  <si>
    <t>2025-09-20 17:11:07</t>
  </si>
  <si>
    <t>2025-09-20 19:30:50</t>
  </si>
  <si>
    <t>2025-09-20 19:43:52</t>
  </si>
  <si>
    <t>2025-09-20 19:52:39</t>
  </si>
  <si>
    <t>2294272207</t>
  </si>
  <si>
    <t>2025-09-20 20:10:19</t>
  </si>
  <si>
    <t>2294294582</t>
  </si>
  <si>
    <t>2025-09-20 20:58:24</t>
  </si>
  <si>
    <t>2294294584</t>
  </si>
  <si>
    <t>2025-09-20 20:58:26</t>
  </si>
  <si>
    <t>2025-09-20 21:05:35</t>
  </si>
  <si>
    <t>2025-09-20 21:53:10</t>
  </si>
  <si>
    <t>6112770296</t>
  </si>
  <si>
    <t>2025-09-21 01:39:39</t>
  </si>
  <si>
    <t>2294499554</t>
  </si>
  <si>
    <t>2025-09-21 06:05:48</t>
  </si>
  <si>
    <t>2025-09-21 15:54:44</t>
  </si>
  <si>
    <t>2294708761</t>
  </si>
  <si>
    <t>2025-09-21 16:26:52</t>
  </si>
  <si>
    <t>HM2QCT4EPK</t>
  </si>
  <si>
    <t>2025-09-21 17:13:50</t>
  </si>
  <si>
    <t>6481742673</t>
  </si>
  <si>
    <t>2025-09-21 17:30:57</t>
  </si>
  <si>
    <t>2294742719</t>
  </si>
  <si>
    <t>2025-09-21 17:33:24</t>
  </si>
  <si>
    <t>5479879991</t>
  </si>
  <si>
    <t>2025-09-21 18:31:32</t>
  </si>
  <si>
    <t>2294843880</t>
  </si>
  <si>
    <t>2025-09-21 20:47:33</t>
  </si>
  <si>
    <t>2294846985</t>
  </si>
  <si>
    <t>2025-09-21 20:53:30</t>
  </si>
  <si>
    <t>2025-09-21 21:04:58</t>
  </si>
  <si>
    <t>2294858939</t>
  </si>
  <si>
    <t>2025-09-21 21:17:14</t>
  </si>
  <si>
    <t>2294879376</t>
  </si>
  <si>
    <t>2025-09-21 21:58:33</t>
  </si>
  <si>
    <t>2025-11-17</t>
  </si>
  <si>
    <t>2025-09-21 23:12:06</t>
  </si>
  <si>
    <t>105 (DQ), 201 (DQ)</t>
  </si>
  <si>
    <t>2025-09-21 23:16:43</t>
  </si>
  <si>
    <t>HMQ3X2J8RC</t>
  </si>
  <si>
    <t>2025-09-21 23:48:11</t>
  </si>
  <si>
    <t>2294954860</t>
  </si>
  <si>
    <t>2025-09-22 00:37:08</t>
  </si>
  <si>
    <t>2294972523</t>
  </si>
  <si>
    <t>2025-09-22 01:11:13</t>
  </si>
  <si>
    <t>2025-09-22 01:36:42</t>
  </si>
  <si>
    <t>5322997245</t>
  </si>
  <si>
    <t>Oman</t>
  </si>
  <si>
    <t>2025-09-22 03:40:27</t>
  </si>
  <si>
    <t>2295107994</t>
  </si>
  <si>
    <t>2025-09-22 06:42:23</t>
  </si>
  <si>
    <t>2295107997</t>
  </si>
  <si>
    <t>2025-09-22 06:42:25</t>
  </si>
  <si>
    <t>2295107999</t>
  </si>
  <si>
    <t>2025-09-22 06:42:26</t>
  </si>
  <si>
    <t>HMDEASA5MQ</t>
  </si>
  <si>
    <t>2025-09-22 14:50:04</t>
  </si>
  <si>
    <t>2025-09-22 15:04:24</t>
  </si>
  <si>
    <t>5892931875</t>
  </si>
  <si>
    <t>2025-09-22 15:34:06</t>
  </si>
  <si>
    <t>2295389160</t>
  </si>
  <si>
    <t>2025-09-22 15:40:54</t>
  </si>
  <si>
    <t>2295469768</t>
  </si>
  <si>
    <t>2025-09-22 17:34:40</t>
  </si>
  <si>
    <t>2295510522</t>
  </si>
  <si>
    <t>2025-09-22 18:34:55</t>
  </si>
  <si>
    <t>2295510520</t>
  </si>
  <si>
    <t>2025-09-22 18:34:58</t>
  </si>
  <si>
    <t>2295555575</t>
  </si>
  <si>
    <t>2025-09-22 19:40:10</t>
  </si>
  <si>
    <t>2295816416</t>
  </si>
  <si>
    <t>2025-09-23 03:04:58</t>
  </si>
  <si>
    <t>2295821938</t>
  </si>
  <si>
    <t>2025-09-23 03:15:57</t>
  </si>
  <si>
    <t>2295853473</t>
  </si>
  <si>
    <t>2025-09-23 04:28:50</t>
  </si>
  <si>
    <t>2295899634</t>
  </si>
  <si>
    <t>2025-09-23 06:40:48</t>
  </si>
  <si>
    <t>2025-09-23 07:08:23</t>
  </si>
  <si>
    <t>2296169256</t>
  </si>
  <si>
    <t>2025-09-23 15:34:29</t>
  </si>
  <si>
    <t>2296239552</t>
  </si>
  <si>
    <t>2025-09-23 17:23:22</t>
  </si>
  <si>
    <t>2296253118</t>
  </si>
  <si>
    <t>2025-09-23 17:44:32</t>
  </si>
  <si>
    <t>2296267091</t>
  </si>
  <si>
    <t>2025-09-23 18:05:50</t>
  </si>
  <si>
    <t>2296269123</t>
  </si>
  <si>
    <t>2025-09-23 18:08:59</t>
  </si>
  <si>
    <t>2025-09-23 18:52:27</t>
  </si>
  <si>
    <t>2296314618</t>
  </si>
  <si>
    <t>2025-09-23 19:18:42</t>
  </si>
  <si>
    <t>2296325871</t>
  </si>
  <si>
    <t>2025-09-23 19:35:45</t>
  </si>
  <si>
    <t>2025-09-23 21:01:08</t>
  </si>
  <si>
    <t>5289677944</t>
  </si>
  <si>
    <t>2025-09-23 22:38:47</t>
  </si>
  <si>
    <t>2296504794</t>
  </si>
  <si>
    <t>2025-09-24 00:45:47</t>
  </si>
  <si>
    <t>2025-09-24 01:44:41</t>
  </si>
  <si>
    <t>HM9NWAYJ8Y</t>
  </si>
  <si>
    <t>2025-09-24 03:50:46</t>
  </si>
  <si>
    <t>2296910151</t>
  </si>
  <si>
    <t>2025-09-24 15:08:43</t>
  </si>
  <si>
    <t>2297093984</t>
  </si>
  <si>
    <t>2025-09-24 19:59:16</t>
  </si>
  <si>
    <t>2297183797</t>
  </si>
  <si>
    <t>2025-09-24 22:38:39</t>
  </si>
  <si>
    <t>2297371798</t>
  </si>
  <si>
    <t>2025-09-25 04:38:59</t>
  </si>
  <si>
    <t>2025-09-25 12:26:44</t>
  </si>
  <si>
    <t>2297597087</t>
  </si>
  <si>
    <t>2025-09-25 13:34:30</t>
  </si>
  <si>
    <t>Change of plans, canceled same day charging for tonight-JF</t>
  </si>
  <si>
    <t>2297643991</t>
  </si>
  <si>
    <t>2025-09-25 14:44:25</t>
  </si>
  <si>
    <t>2297646115</t>
  </si>
  <si>
    <t>2025-09-25 14:47:25</t>
  </si>
  <si>
    <t>2025-12-21</t>
  </si>
  <si>
    <t>HMDWZP9JWA</t>
  </si>
  <si>
    <t>2025-09-25 18:50:56</t>
  </si>
  <si>
    <t>2297831906</t>
  </si>
  <si>
    <t>2025-09-25 19:34:52</t>
  </si>
  <si>
    <t>2297883537</t>
  </si>
  <si>
    <t>2025-09-25 21:00:18</t>
  </si>
  <si>
    <t>2025-09-25 21:00:23</t>
  </si>
  <si>
    <t>2297920260</t>
  </si>
  <si>
    <t>2025-09-25 22:07:53</t>
  </si>
  <si>
    <t>5526815573</t>
  </si>
  <si>
    <t>2025-09-25 23:48:36</t>
  </si>
  <si>
    <t>5835800976</t>
  </si>
  <si>
    <t>2025-09-26 01:18:03</t>
  </si>
  <si>
    <t>2025-11-19</t>
  </si>
  <si>
    <t>2298044363</t>
  </si>
  <si>
    <t>2025-09-26 01:56:02</t>
  </si>
  <si>
    <t>2298512803</t>
  </si>
  <si>
    <t>2025-09-26 17:45:35</t>
  </si>
  <si>
    <t>2298520982</t>
  </si>
  <si>
    <t>2025-09-26 17:59:04</t>
  </si>
  <si>
    <t>6480568782</t>
  </si>
  <si>
    <t>2025-09-26 18:40:47</t>
  </si>
  <si>
    <t>2025-09-26 18:54:35</t>
  </si>
  <si>
    <t>2025-09-26 20:59:53</t>
  </si>
  <si>
    <t>2298707351</t>
  </si>
  <si>
    <t>2025-09-26 23:41:06</t>
  </si>
  <si>
    <t>2298748339</t>
  </si>
  <si>
    <t>2025-09-27 01:06:47</t>
  </si>
  <si>
    <t>2298748338</t>
  </si>
  <si>
    <t>2025-09-27 01:06:50</t>
  </si>
  <si>
    <t>2025-09-27 01:18:25</t>
  </si>
  <si>
    <t>2025-09-27 01:41:36</t>
  </si>
  <si>
    <t>2025-09-27 02:25:22</t>
  </si>
  <si>
    <t>HMYE93ADPB</t>
  </si>
  <si>
    <t>2025-09-27 03:19:31</t>
  </si>
  <si>
    <t>6551201533</t>
  </si>
  <si>
    <t>2025-09-27 04:21:02</t>
  </si>
  <si>
    <t>5503912754</t>
  </si>
  <si>
    <t>2025-09-27 14:28:55</t>
  </si>
  <si>
    <t>2299179805</t>
  </si>
  <si>
    <t>2025-09-27 20:17:02</t>
  </si>
  <si>
    <t>2025-09-27 20:34:32</t>
  </si>
  <si>
    <t>HM3NSSQ3E4</t>
  </si>
  <si>
    <t>2025-09-27 23:29:11</t>
  </si>
  <si>
    <t>2299268286</t>
  </si>
  <si>
    <t>2025-09-27 23:40:26</t>
  </si>
  <si>
    <t>2299476345</t>
  </si>
  <si>
    <t>2025-09-28 10:47:05</t>
  </si>
  <si>
    <t>HM85NCBK38</t>
  </si>
  <si>
    <t>2025-09-28 19:56:30</t>
  </si>
  <si>
    <t>HME9XP83ZH</t>
  </si>
  <si>
    <t>2025-09-28 23:18:25</t>
  </si>
  <si>
    <t>Guest was disappointed that the hot tub was out of commission and stated that was the reason they booked here. I spoke with Seth and the guest will stop by in the morning to discuss. CK</t>
  </si>
  <si>
    <t>HMJPYEHZK5</t>
  </si>
  <si>
    <t>2025-09-28 23:24:39</t>
  </si>
  <si>
    <t>Haley Brown completed the Adventure Inn Registration Card mini app: https://sys.akia.ai/mapp/3a525dbe-9b38-469f-94cf-3b02a76793ff?session=833f4967-efaa-415c-94ef-612bffb8501f
* ID: Uploaded
* Email: haleybrown50@gmail.com
* ETA: 1:00 PM
* Acknowledgment: ✓</t>
  </si>
  <si>
    <t>2299893560</t>
  </si>
  <si>
    <t>2025-09-29 01:38:34</t>
  </si>
  <si>
    <t>2025-11-08</t>
  </si>
  <si>
    <t>HM2A3B42EC</t>
  </si>
  <si>
    <t>2025-09-29 02:22:23</t>
  </si>
  <si>
    <t>2299974466</t>
  </si>
  <si>
    <t>2025-09-29 04:39:48</t>
  </si>
  <si>
    <t>Please provide a 10:30 check-out. CK</t>
  </si>
  <si>
    <t>2300247791</t>
  </si>
  <si>
    <t>2025-09-29 14:38:53</t>
  </si>
  <si>
    <t>2300374092</t>
  </si>
  <si>
    <t>2025-09-29 17:36:26</t>
  </si>
  <si>
    <t>2300397306</t>
  </si>
  <si>
    <t>2025-09-29 18:11:25</t>
  </si>
  <si>
    <t>2300398784</t>
  </si>
  <si>
    <t>2025-09-29 18:13:31</t>
  </si>
  <si>
    <t>6730362021</t>
  </si>
  <si>
    <t>2025-09-29 18:27:54</t>
  </si>
  <si>
    <t>2025-09-29 20:55:23</t>
  </si>
  <si>
    <t>2300546896</t>
  </si>
  <si>
    <t>2025-09-29 22:02:35</t>
  </si>
  <si>
    <t>2300638804</t>
  </si>
  <si>
    <t>2025-09-30 00:50:17</t>
  </si>
  <si>
    <t>2025-12-23</t>
  </si>
  <si>
    <t>HM4Q5PTNSH</t>
  </si>
  <si>
    <t>2025-09-30 00:59:11</t>
  </si>
  <si>
    <t>2025-11-29</t>
  </si>
  <si>
    <t>2300742141</t>
  </si>
  <si>
    <t>2025-09-30 03:48:40</t>
  </si>
  <si>
    <t>6870448018</t>
  </si>
  <si>
    <t>2025-09-30 03:48:54</t>
  </si>
  <si>
    <t>2301085646</t>
  </si>
  <si>
    <t>2025-09-30 15:47:48</t>
  </si>
  <si>
    <t>2301085642</t>
  </si>
  <si>
    <t>2025-09-30 15:47:50</t>
  </si>
  <si>
    <t>2025-11-15</t>
  </si>
  <si>
    <t>2301239857</t>
  </si>
  <si>
    <t>2025-09-30 19:42:00</t>
  </si>
  <si>
    <t>2301278527</t>
  </si>
  <si>
    <t>2025-09-30 20:42:19</t>
  </si>
  <si>
    <t>2301386566</t>
  </si>
  <si>
    <t>2025-09-30 23:59:17</t>
  </si>
  <si>
    <t>HMKSP5JZSM</t>
  </si>
  <si>
    <t>2025-10-01 13:32:41</t>
  </si>
  <si>
    <t>2301905110</t>
  </si>
  <si>
    <t>2025-10-01 17:16:03</t>
  </si>
  <si>
    <t>2301918202</t>
  </si>
  <si>
    <t>2025-10-01 17:36:43</t>
  </si>
  <si>
    <t>2025-10-01 18:57:30</t>
  </si>
  <si>
    <t>Guest called at 9:20 pm ... said they talked to Jordan and that they can check out on Thursday.  CK</t>
  </si>
  <si>
    <t>5576092441</t>
  </si>
  <si>
    <t>2025-10-01 19:48:05</t>
  </si>
  <si>
    <t>HMYTQ3Z8HK</t>
  </si>
  <si>
    <t>2025-10-01 20:28:41</t>
  </si>
  <si>
    <t>2302159740</t>
  </si>
  <si>
    <t>2025-10-02 00:32:56</t>
  </si>
  <si>
    <t>2025-10-02 02:36:46</t>
  </si>
  <si>
    <t>2025-10-02 14:52:11</t>
  </si>
  <si>
    <t>2025-10-02 23:27:32</t>
  </si>
  <si>
    <t>2302955186</t>
  </si>
  <si>
    <t>2025-10-03 02:09:36</t>
  </si>
  <si>
    <t>2303316692</t>
  </si>
  <si>
    <t>2025-10-03 15:27:25</t>
  </si>
  <si>
    <t>2303477397</t>
  </si>
  <si>
    <t>2025-10-03 19:42:12</t>
  </si>
  <si>
    <t>2025-12-13</t>
  </si>
  <si>
    <t>2303503179</t>
  </si>
  <si>
    <t>2025-10-03 20:25:09</t>
  </si>
  <si>
    <t>2025-10-04 00:42:42</t>
  </si>
  <si>
    <t>2303654671</t>
  </si>
  <si>
    <t>2025-10-04 01:16:59</t>
  </si>
  <si>
    <t>2025-10-04 03:24:23</t>
  </si>
  <si>
    <t>2025-10-04 03:52:33</t>
  </si>
  <si>
    <t>2025-10-04 15:05:19</t>
  </si>
  <si>
    <t>6582741678</t>
  </si>
  <si>
    <t>2025-10-04 15:11:28</t>
  </si>
  <si>
    <t>5937354715</t>
  </si>
  <si>
    <t>2025-10-04 16:30:28</t>
  </si>
  <si>
    <t>5352597869</t>
  </si>
  <si>
    <t>2025-10-04 17:15:19</t>
  </si>
  <si>
    <t>2304028409</t>
  </si>
  <si>
    <t>2025-10-04 18:05:08</t>
  </si>
  <si>
    <t>6354518066</t>
  </si>
  <si>
    <t>2025-10-05 00:01:30</t>
  </si>
  <si>
    <t>2025-10-05 01:12:53</t>
  </si>
  <si>
    <t>2304240364</t>
  </si>
  <si>
    <t>2025-10-05 01:58:33</t>
  </si>
  <si>
    <t>2304240363</t>
  </si>
  <si>
    <t>2025-10-05 01:58:34</t>
  </si>
  <si>
    <t>2304430063</t>
  </si>
  <si>
    <t>2025-10-05 13:10:49</t>
  </si>
  <si>
    <t>2304463225</t>
  </si>
  <si>
    <t>2025-10-05 14:28:31</t>
  </si>
  <si>
    <t>2304615438</t>
  </si>
  <si>
    <t>2025-10-05 19:22:19</t>
  </si>
  <si>
    <t>2025-12-12</t>
  </si>
  <si>
    <t>2304694620</t>
  </si>
  <si>
    <t>2025-10-05 21:53:42</t>
  </si>
  <si>
    <t>2025-10-05 22:30:25</t>
  </si>
  <si>
    <t>2304771647</t>
  </si>
  <si>
    <t>2025-10-06 00:32:23</t>
  </si>
  <si>
    <t>2304780627</t>
  </si>
  <si>
    <t>2025-10-06 00:49:49</t>
  </si>
  <si>
    <t>2025-10-06 03:18:49</t>
  </si>
  <si>
    <t>2305091058</t>
  </si>
  <si>
    <t>2025-10-06 13:19:03</t>
  </si>
  <si>
    <t>2305355319</t>
  </si>
  <si>
    <t>2025-10-06 19:38:30</t>
  </si>
  <si>
    <t>2305545233</t>
  </si>
  <si>
    <t>2025-10-07 00:54:47</t>
  </si>
  <si>
    <t>Extended one additional night. Do not move rooms. CK</t>
  </si>
  <si>
    <t>2305586490</t>
  </si>
  <si>
    <t>2025-10-07 02:05:51</t>
  </si>
  <si>
    <t>117 (STQ), 120 (STQ)</t>
  </si>
  <si>
    <t>2025-10-07 02:37:31</t>
  </si>
  <si>
    <t>Guests checked in at 9:45 and asked for an 11:00 check-out. I saw that we only have 8 departures tomorrow and I already provided another guest with a 10:30 check-out. I hesitated, but didn't want to disappoint and provide good customer service. They were very sweet! CK</t>
  </si>
  <si>
    <t>6162526008</t>
  </si>
  <si>
    <t>2025-10-07 13:18:56</t>
  </si>
  <si>
    <t>2305966605</t>
  </si>
  <si>
    <t>2025-10-07 15:28:24</t>
  </si>
  <si>
    <t>2306011404</t>
  </si>
  <si>
    <t>2025-10-07 16:31:51</t>
  </si>
  <si>
    <t>2306089652</t>
  </si>
  <si>
    <t>2025-10-07 18:31:11</t>
  </si>
  <si>
    <t>6306560933</t>
  </si>
  <si>
    <t>2025-10-08 00:31:36</t>
  </si>
  <si>
    <t>6400824121</t>
  </si>
  <si>
    <t>2025-10-08 22:17:37</t>
  </si>
  <si>
    <t>5518896872</t>
  </si>
  <si>
    <t>2025-10-08 22:56:14</t>
  </si>
  <si>
    <t>2307059278</t>
  </si>
  <si>
    <t>2025-10-09 00:09:01</t>
  </si>
  <si>
    <t>2307100588</t>
  </si>
  <si>
    <t>2025-10-09 01:18:16</t>
  </si>
  <si>
    <t>2307107109</t>
  </si>
  <si>
    <t>2025-10-09 01:29:08</t>
  </si>
  <si>
    <t>2025-10-09 02:00:19</t>
  </si>
  <si>
    <t>2025-11-27</t>
  </si>
  <si>
    <t>HMQNA55HYW</t>
  </si>
  <si>
    <t>2025-10-09 02:28:36</t>
  </si>
  <si>
    <t>2025-10-09 18:26:33</t>
  </si>
  <si>
    <t>5864005994</t>
  </si>
  <si>
    <t>2025-10-09 21:03:45</t>
  </si>
  <si>
    <t>2025-10-09 21:05:17</t>
  </si>
  <si>
    <t>HMSYF35TFN</t>
  </si>
  <si>
    <t>2025-10-09 21:18:29</t>
  </si>
  <si>
    <t>2307740602</t>
  </si>
  <si>
    <t>2025-10-09 21:30:24</t>
  </si>
  <si>
    <t>2025-10-09 22:45:21</t>
  </si>
  <si>
    <t>6521031281</t>
  </si>
  <si>
    <t>2025-10-10 04:59:42</t>
  </si>
  <si>
    <t>6521046003</t>
  </si>
  <si>
    <t>2025-10-10 16:26:52</t>
  </si>
  <si>
    <t>upstairs room-Jf</t>
  </si>
  <si>
    <t>2308474348</t>
  </si>
  <si>
    <t>2025-10-10 20:42:54</t>
  </si>
  <si>
    <t>2025-10-10 22:35:21</t>
  </si>
  <si>
    <t>2025-10-11 02:34:09</t>
  </si>
  <si>
    <t>2308699512</t>
  </si>
  <si>
    <t>2025-10-11 04:28:27</t>
  </si>
  <si>
    <t>2308943077</t>
  </si>
  <si>
    <t>2025-10-11 16:27:42</t>
  </si>
  <si>
    <t>2308955167</t>
  </si>
  <si>
    <t>2025-10-11 16:51:27</t>
  </si>
  <si>
    <t>2308968184</t>
  </si>
  <si>
    <t>2025-10-11 17:17:28</t>
  </si>
  <si>
    <t>5305590557</t>
  </si>
  <si>
    <t>2025-10-11 19:30:42</t>
  </si>
  <si>
    <t>2309042795</t>
  </si>
  <si>
    <t>2025-10-11 19:52:34</t>
  </si>
  <si>
    <t>2309044217</t>
  </si>
  <si>
    <t>2025-10-11 19:55:43</t>
  </si>
  <si>
    <t>5305500514</t>
  </si>
  <si>
    <t>2025-10-11 20:08:09</t>
  </si>
  <si>
    <t>HMHR34NDAK</t>
  </si>
  <si>
    <t>2025-10-11 20:08:33</t>
  </si>
  <si>
    <t>2025-10-11 20:10:20</t>
  </si>
  <si>
    <t>2025-10-12 00:18:15</t>
  </si>
  <si>
    <t>2309494234</t>
  </si>
  <si>
    <t>2025-10-12 16:34:01</t>
  </si>
  <si>
    <t>2309536651</t>
  </si>
  <si>
    <t>2025-10-12 17:55:20</t>
  </si>
  <si>
    <t>HMH2ACFCZW</t>
  </si>
  <si>
    <t>2025-10-12 18:50:29</t>
  </si>
  <si>
    <t>6351654320</t>
  </si>
  <si>
    <t>2025-10-12 19:48:50</t>
  </si>
  <si>
    <t>Guest moved due to lack of heat.</t>
  </si>
  <si>
    <t>2309608173</t>
  </si>
  <si>
    <t>2025-10-12 20:08:45</t>
  </si>
  <si>
    <t>2309621253</t>
  </si>
  <si>
    <t>2025-10-12 20:33:23</t>
  </si>
  <si>
    <t>2025-10-12 20:36:38</t>
  </si>
  <si>
    <t>2025-10-12 21:28:20</t>
  </si>
  <si>
    <t>2309652254</t>
  </si>
  <si>
    <t>2025-10-12 21:33:57</t>
  </si>
  <si>
    <t>2025-10-12 21:44:20</t>
  </si>
  <si>
    <t>6566328565</t>
  </si>
  <si>
    <t>2025-10-13 00:50:58</t>
  </si>
  <si>
    <t>6408912447</t>
  </si>
  <si>
    <t>2025-10-13 01:39:01</t>
  </si>
  <si>
    <t>HMZPPBXX8B</t>
  </si>
  <si>
    <t>2025-10-13 01:56:27</t>
  </si>
  <si>
    <t>2025-10-13 01:56:33</t>
  </si>
  <si>
    <t>5989144472</t>
  </si>
  <si>
    <t>2025-10-13 05:04:21</t>
  </si>
  <si>
    <t>5463679053</t>
  </si>
  <si>
    <t>2025-10-13 13:23:36</t>
  </si>
  <si>
    <t>HMDACQYEXM</t>
  </si>
  <si>
    <t>2025-10-13 15:15:13</t>
  </si>
  <si>
    <t>2025-10-27</t>
  </si>
  <si>
    <t>2310239775</t>
  </si>
  <si>
    <t>2025-10-13 17:21:51</t>
  </si>
  <si>
    <t>2310322400</t>
  </si>
  <si>
    <t>2025-10-13 19:25:31</t>
  </si>
  <si>
    <t>2025-10-13 20:48:45</t>
  </si>
  <si>
    <t>2310424280</t>
  </si>
  <si>
    <t>2025-10-13 22:07:32</t>
  </si>
  <si>
    <t>6343091548</t>
  </si>
  <si>
    <t>2025-10-13 23:21:31</t>
  </si>
  <si>
    <t>2310468441</t>
  </si>
  <si>
    <t>2025-10-13 23:30:50</t>
  </si>
  <si>
    <t>2310515134</t>
  </si>
  <si>
    <t>2025-10-14 00:54:33</t>
  </si>
  <si>
    <t>2025-10-14 01:31:22</t>
  </si>
  <si>
    <t>HMSS34PS5A</t>
  </si>
  <si>
    <t>2025-10-14 02:05:48</t>
  </si>
  <si>
    <t>HM92PYK9ST</t>
  </si>
  <si>
    <t>2025-10-14 04:57:26</t>
  </si>
  <si>
    <t>2310937370</t>
  </si>
  <si>
    <t>2025-10-14 15:27:38</t>
  </si>
  <si>
    <t>2311017390</t>
  </si>
  <si>
    <t>2025-10-14 17:25:25</t>
  </si>
  <si>
    <t>9NMDBS8</t>
  </si>
  <si>
    <t>2025-10-14 18:14:46</t>
  </si>
  <si>
    <t>2311050422</t>
  </si>
  <si>
    <t>2025-10-14 18:17:30</t>
  </si>
  <si>
    <t>2311050424</t>
  </si>
  <si>
    <t>2025-10-14 18:17:32</t>
  </si>
  <si>
    <t>2311053435</t>
  </si>
  <si>
    <t>2025-10-14 18:22:24</t>
  </si>
  <si>
    <t>2025-10-14 22:53:46</t>
  </si>
  <si>
    <t>2025-10-15 04:35:28</t>
  </si>
  <si>
    <t>HMPTMPHJ4X</t>
  </si>
  <si>
    <t>2025-10-15 14:24:52</t>
  </si>
  <si>
    <t>2311991881</t>
  </si>
  <si>
    <t>2025-10-15 23:27:07</t>
  </si>
  <si>
    <t>2312040542</t>
  </si>
  <si>
    <t>2025-10-16 00:57:53</t>
  </si>
  <si>
    <t>2025-10-16 01:49:30</t>
  </si>
  <si>
    <t>2025-10-16 03:59:15</t>
  </si>
  <si>
    <t>6362701280</t>
  </si>
  <si>
    <t>2025-10-16 05:31:02</t>
  </si>
  <si>
    <t>6262919747</t>
  </si>
  <si>
    <t>2025-10-16 15:36:48</t>
  </si>
  <si>
    <t>2312595008</t>
  </si>
  <si>
    <t>2025-10-16 19:11:26</t>
  </si>
  <si>
    <t>2026-02-14</t>
  </si>
  <si>
    <t>2026-02-17</t>
  </si>
  <si>
    <t>2312683480</t>
  </si>
  <si>
    <t>2025-10-16 21:42:17</t>
  </si>
  <si>
    <t xml:space="preserve">Checked out early at 2:00pm on 2/16. charged for night of 16th refunded night of 17th-JF </t>
  </si>
  <si>
    <t>2312867954</t>
  </si>
  <si>
    <t>2025-10-17 03:33:57</t>
  </si>
  <si>
    <t>2312903640</t>
  </si>
  <si>
    <t>2025-10-17 05:02:13</t>
  </si>
  <si>
    <t>2313213509</t>
  </si>
  <si>
    <t>2025-10-17 15:57:21</t>
  </si>
  <si>
    <t>2313380724</t>
  </si>
  <si>
    <t>2025-10-17 20:39:45</t>
  </si>
  <si>
    <t>2313498114</t>
  </si>
  <si>
    <t>2025-10-18 00:34:25</t>
  </si>
  <si>
    <t>2313540383</t>
  </si>
  <si>
    <t>2025-10-18 02:06:51</t>
  </si>
  <si>
    <t>2313815752</t>
  </si>
  <si>
    <t>2025-10-18 16:10:03</t>
  </si>
  <si>
    <t>6808784005</t>
  </si>
  <si>
    <t>2025-10-18 16:43:16</t>
  </si>
  <si>
    <t>11am check out</t>
  </si>
  <si>
    <t>2025-10-18 16:49:14</t>
  </si>
  <si>
    <t>2313895974</t>
  </si>
  <si>
    <t>2025-10-18 19:02:14</t>
  </si>
  <si>
    <t>2313934110</t>
  </si>
  <si>
    <t>2025-10-18 20:27:28</t>
  </si>
  <si>
    <t>2025-12-25</t>
  </si>
  <si>
    <t>HMJBP2SZJM</t>
  </si>
  <si>
    <t>2025-10-18 21:59:31</t>
  </si>
  <si>
    <t>2314006977</t>
  </si>
  <si>
    <t>2025-10-18 23:20:34</t>
  </si>
  <si>
    <t>HMZB3B2CZ3</t>
  </si>
  <si>
    <t>2025-10-19 00:04:13</t>
  </si>
  <si>
    <t>2314044563</t>
  </si>
  <si>
    <t>2025-10-19 00:54:58</t>
  </si>
  <si>
    <t>2314149283</t>
  </si>
  <si>
    <t>2025-10-19 06:26:10</t>
  </si>
  <si>
    <t>2025-10-19 10:29:42</t>
  </si>
  <si>
    <t>2025-10-19 12:18:34</t>
  </si>
  <si>
    <t>2314329891</t>
  </si>
  <si>
    <t>2025-10-19 15:48:04</t>
  </si>
  <si>
    <t>2026-01-20</t>
  </si>
  <si>
    <t>2025-10-19 17:36:12</t>
  </si>
  <si>
    <t>6414866812</t>
  </si>
  <si>
    <t>2025-10-19 23:24:31</t>
  </si>
  <si>
    <t>2314599421</t>
  </si>
  <si>
    <t>2025-10-20 00:53:48</t>
  </si>
  <si>
    <t>2314684388</t>
  </si>
  <si>
    <t>2025-10-20 03:54:44</t>
  </si>
  <si>
    <t>6712733001</t>
  </si>
  <si>
    <t>2025-10-20 16:21:27</t>
  </si>
  <si>
    <t>6433717107</t>
  </si>
  <si>
    <t>2025-10-20 16:38:59</t>
  </si>
  <si>
    <t>2315129684</t>
  </si>
  <si>
    <t>2025-10-20 19:12:06</t>
  </si>
  <si>
    <t>2025-10-21 01:11:50</t>
  </si>
  <si>
    <t>2025-10-21 01:32:14</t>
  </si>
  <si>
    <t>2025-10-21 01:54:31</t>
  </si>
  <si>
    <t>2315375211</t>
  </si>
  <si>
    <t>2025-10-21 02:31:02</t>
  </si>
  <si>
    <t>2315375209</t>
  </si>
  <si>
    <t>2025-10-21 02:31:11</t>
  </si>
  <si>
    <t>2025-10-21 03:05:57</t>
  </si>
  <si>
    <t>2315714951</t>
  </si>
  <si>
    <t>2025-10-21 15:11:38</t>
  </si>
  <si>
    <t>2315736204</t>
  </si>
  <si>
    <t>2025-10-21 15:43:54</t>
  </si>
  <si>
    <t>2315741436</t>
  </si>
  <si>
    <t>2025-10-21 15:51:47</t>
  </si>
  <si>
    <t>HMDTWTTR9Q</t>
  </si>
  <si>
    <t>2025-10-21 20:37:39</t>
  </si>
  <si>
    <t>2316008577</t>
  </si>
  <si>
    <t>2025-10-21 23:44:29</t>
  </si>
  <si>
    <t>2025-10-21 23:49:35</t>
  </si>
  <si>
    <t>6279737701</t>
  </si>
  <si>
    <t>2025-10-22 18:49:31</t>
  </si>
  <si>
    <t>2025-10-23 01:41:42</t>
  </si>
  <si>
    <t>2025-10-23 13:13:06</t>
  </si>
  <si>
    <t>120 (STQ), 101 (DQ)</t>
  </si>
  <si>
    <t>2025-10-23 19:26:47</t>
  </si>
  <si>
    <t>6744869660</t>
  </si>
  <si>
    <t>2025-10-23 23:06:44</t>
  </si>
  <si>
    <t>2025-10-23 23:29:24</t>
  </si>
  <si>
    <t>2317449441</t>
  </si>
  <si>
    <t>2025-10-24 01:06:50</t>
  </si>
  <si>
    <t>HM2DBYXJ2S</t>
  </si>
  <si>
    <t>2025-10-24 17:35:22</t>
  </si>
  <si>
    <t>6045913359</t>
  </si>
  <si>
    <t>2025-10-24 18:12:22</t>
  </si>
  <si>
    <t>6362394490</t>
  </si>
  <si>
    <t>2025-10-24 18:33:39</t>
  </si>
  <si>
    <t>2025-10-24 19:01:22</t>
  </si>
  <si>
    <t>2025-10-24 19:01:54</t>
  </si>
  <si>
    <t>2317967225</t>
  </si>
  <si>
    <t>2025-10-24 19:27:16</t>
  </si>
  <si>
    <t>2318057846</t>
  </si>
  <si>
    <t>2025-10-24 22:21:21</t>
  </si>
  <si>
    <t>HMBR4S42QX</t>
  </si>
  <si>
    <t>2025-10-24 22:38:39</t>
  </si>
  <si>
    <t>2318096190</t>
  </si>
  <si>
    <t>2025-10-24 23:45:09</t>
  </si>
  <si>
    <t>6045949800</t>
  </si>
  <si>
    <t>2025-10-24 23:58:00</t>
  </si>
  <si>
    <t>HM8TXA9K3A</t>
  </si>
  <si>
    <t>2025-10-25 00:45:41</t>
  </si>
  <si>
    <t>2318145580</t>
  </si>
  <si>
    <t>2025-10-25 01:39:12</t>
  </si>
  <si>
    <t>2025-10-28</t>
  </si>
  <si>
    <t>HMBHRX3ZQ8</t>
  </si>
  <si>
    <t>2025-10-25 02:27:31</t>
  </si>
  <si>
    <t>2318199988</t>
  </si>
  <si>
    <t>2025-10-25 04:02:01</t>
  </si>
  <si>
    <t>2318449328</t>
  </si>
  <si>
    <t>2025-10-25 17:03:56</t>
  </si>
  <si>
    <t>2318451302</t>
  </si>
  <si>
    <t>2025-10-25 17:08:24</t>
  </si>
  <si>
    <t>2025-10-25 17:16:10</t>
  </si>
  <si>
    <t>2025-10-25 19:20:58</t>
  </si>
  <si>
    <t>HMTD25WAF2</t>
  </si>
  <si>
    <t>2025-10-25 20:06:37</t>
  </si>
  <si>
    <t>6341835061</t>
  </si>
  <si>
    <t>2025-10-25 20:10:04</t>
  </si>
  <si>
    <t>HMEXRDJ528</t>
  </si>
  <si>
    <t>2025-10-25 21:24:05</t>
  </si>
  <si>
    <t>2025-10-25 21:46:41</t>
  </si>
  <si>
    <t>2318589537</t>
  </si>
  <si>
    <t>2025-10-25 22:26:42</t>
  </si>
  <si>
    <t>2025-10-25 22:27:17</t>
  </si>
  <si>
    <t>6225605492</t>
  </si>
  <si>
    <t>2025-10-25 23:58:20</t>
  </si>
  <si>
    <t>HM5CMZC4FB</t>
  </si>
  <si>
    <t>2025-10-26 01:18:45</t>
  </si>
  <si>
    <t>2318658041</t>
  </si>
  <si>
    <t>2025-10-26 01:27:02</t>
  </si>
  <si>
    <t>5291389407</t>
  </si>
  <si>
    <t>2025-10-26 01:33:25</t>
  </si>
  <si>
    <t>2318762852</t>
  </si>
  <si>
    <t>2025-10-26 07:43:38</t>
  </si>
  <si>
    <t>6188423329</t>
  </si>
  <si>
    <t>2025-10-26 13:52:04</t>
  </si>
  <si>
    <t>2025-12-01</t>
  </si>
  <si>
    <t>2025-10-26 19:37:54</t>
  </si>
  <si>
    <t>HMYBFS4ETM</t>
  </si>
  <si>
    <t>2025-10-26 21:20:09</t>
  </si>
  <si>
    <t>2319098516</t>
  </si>
  <si>
    <t>2025-10-26 22:01:06</t>
  </si>
  <si>
    <t>2025-10-26 23:09:02</t>
  </si>
  <si>
    <t>5264228902</t>
  </si>
  <si>
    <t>2025-10-26 23:48:51</t>
  </si>
  <si>
    <t>2319205181</t>
  </si>
  <si>
    <t>2025-10-27 01:50:55</t>
  </si>
  <si>
    <t>2025-12-29</t>
  </si>
  <si>
    <t>HMD8SH3RC5</t>
  </si>
  <si>
    <t>2025-10-27 01:51:36</t>
  </si>
  <si>
    <t>2319214554</t>
  </si>
  <si>
    <t>2025-10-27 02:11:00</t>
  </si>
  <si>
    <t>2319224989</t>
  </si>
  <si>
    <t>2025-10-27 02:33:19</t>
  </si>
  <si>
    <t>2319230833</t>
  </si>
  <si>
    <t>2025-10-27 02:46:27</t>
  </si>
  <si>
    <t>107 (DQ), 102 (DQ)</t>
  </si>
  <si>
    <t>2025-10-27 15:53:32</t>
  </si>
  <si>
    <t>HM3XYXTXBX</t>
  </si>
  <si>
    <t>2025-10-27 17:00:51</t>
  </si>
  <si>
    <t>2025-10-27 20:34:52</t>
  </si>
  <si>
    <t>Guest had trouble with their Internet. I tried to fix the situation, but I couldn't I moved them to 119 where the tv was working fine! CK</t>
  </si>
  <si>
    <t>2025-10-27 21:33:09</t>
  </si>
  <si>
    <t>2319846175</t>
  </si>
  <si>
    <t>2025-10-27 22:56:56</t>
  </si>
  <si>
    <t>2319865114</t>
  </si>
  <si>
    <t>2025-10-27 23:33:39</t>
  </si>
  <si>
    <t>HMC2TWFDZT</t>
  </si>
  <si>
    <t>2025-10-28 00:31:57</t>
  </si>
  <si>
    <t>5978089501</t>
  </si>
  <si>
    <t>2025-10-28 00:32:16</t>
  </si>
  <si>
    <t>2319901540</t>
  </si>
  <si>
    <t>2025-10-28 00:42:27</t>
  </si>
  <si>
    <t>2319906995</t>
  </si>
  <si>
    <t>2025-10-28 00:52:37</t>
  </si>
  <si>
    <t>6996508857</t>
  </si>
  <si>
    <t>2025-10-28 03:49:37</t>
  </si>
  <si>
    <t>2025-11-14</t>
  </si>
  <si>
    <t>HM25FJR4CN</t>
  </si>
  <si>
    <t>2025-10-28 04:29:10</t>
  </si>
  <si>
    <t>HM4KZWSBTS</t>
  </si>
  <si>
    <t>2025-10-28 07:27:00</t>
  </si>
  <si>
    <t>2320148164</t>
  </si>
  <si>
    <t>2025-10-28 11:14:14</t>
  </si>
  <si>
    <t>6451918209</t>
  </si>
  <si>
    <t>2025-10-28 16:49:18</t>
  </si>
  <si>
    <t>2320350143</t>
  </si>
  <si>
    <t>2025-10-28 17:00:20</t>
  </si>
  <si>
    <t>2025-10-28 22:45:05</t>
  </si>
  <si>
    <t>2320580533</t>
  </si>
  <si>
    <t>2025-10-29 00:00:34</t>
  </si>
  <si>
    <t>2320592800</t>
  </si>
  <si>
    <t>2025-10-29 00:25:57</t>
  </si>
  <si>
    <t>2320596769</t>
  </si>
  <si>
    <t>2025-10-29 00:33:44</t>
  </si>
  <si>
    <t>2025-10-29 00:39:38</t>
  </si>
  <si>
    <t>2320613808</t>
  </si>
  <si>
    <t>2025-10-29 01:07:37</t>
  </si>
  <si>
    <t>2320661042</t>
  </si>
  <si>
    <t>2025-10-29 02:40:03</t>
  </si>
  <si>
    <t>2025-10-29 03:17:06</t>
  </si>
  <si>
    <t>2026-01-25</t>
  </si>
  <si>
    <t>2320709945</t>
  </si>
  <si>
    <t>2025-10-29 04:37:19</t>
  </si>
  <si>
    <t>6287474907</t>
  </si>
  <si>
    <t>2025-10-29 16:03:04</t>
  </si>
  <si>
    <t>6601570936</t>
  </si>
  <si>
    <t>2025-10-29 17:04:28</t>
  </si>
  <si>
    <t>Balance still showing. She showed me her receipt. I took another picture if you need. CK</t>
  </si>
  <si>
    <t>HM4NAZ23CM</t>
  </si>
  <si>
    <t>2025-10-29 18:42:12</t>
  </si>
  <si>
    <t>6522496674</t>
  </si>
  <si>
    <t>2025-10-29 19:40:43</t>
  </si>
  <si>
    <t>2025-10-29 20:09:25</t>
  </si>
  <si>
    <t>5012385013</t>
  </si>
  <si>
    <t>2025-10-29 21:39:08</t>
  </si>
  <si>
    <t>2025-10-29 22:02:44</t>
  </si>
  <si>
    <t>2321258721</t>
  </si>
  <si>
    <t>2025-10-29 23:27:04</t>
  </si>
  <si>
    <t>2321264333</t>
  </si>
  <si>
    <t>2025-10-29 23:38:39</t>
  </si>
  <si>
    <t>2025-10-30 00:43:56</t>
  </si>
  <si>
    <t>6974836886</t>
  </si>
  <si>
    <t>2025-10-30 00:51:12</t>
  </si>
  <si>
    <t>HMZ4A8KNFC</t>
  </si>
  <si>
    <t>2025-10-30 01:04:55</t>
  </si>
  <si>
    <t>2321357898</t>
  </si>
  <si>
    <t>2025-10-30 02:47:10</t>
  </si>
  <si>
    <t>2025-12-24</t>
  </si>
  <si>
    <t>2321373678</t>
  </si>
  <si>
    <t>2025-10-30 03:21:15</t>
  </si>
  <si>
    <t>203 (STK), 202 (DQ)</t>
  </si>
  <si>
    <t>2025-10-30 03:50:29</t>
  </si>
  <si>
    <t>Guest stated that he made a reservation this afternoon through ABnB but nothing showed up. He agreed to booking directly through us and may need a refund through ABnB? CK</t>
  </si>
  <si>
    <t>2025-10-30 06:16:03</t>
  </si>
  <si>
    <t>2321617122</t>
  </si>
  <si>
    <t>2025-10-30 13:52:17</t>
  </si>
  <si>
    <t>2321632612</t>
  </si>
  <si>
    <t>2025-10-30 14:17:23</t>
  </si>
  <si>
    <t>2321702406</t>
  </si>
  <si>
    <t>2025-10-30 16:04:36</t>
  </si>
  <si>
    <t>HMAWHWZD4M</t>
  </si>
  <si>
    <t>2025-10-30 16:25:29</t>
  </si>
  <si>
    <t>HMZ2W9QC9Y</t>
  </si>
  <si>
    <t>2025-10-30 17:17:05</t>
  </si>
  <si>
    <t>Guest didn't say the night, claimed no one answered when she called and didn't read the signage that states late arrivals please check the mailbox. There was an arrival packet in there and Josh had left a VM on the number provided stating where it is. I called at 8:37am Monday the 3rd to address the miscommunication but the phone went straight to VM-JF</t>
  </si>
  <si>
    <t>2025-10-30 20:02:37</t>
  </si>
  <si>
    <t>108 (STK), 104 (STK), 103 (STK), 102 (DQ)</t>
  </si>
  <si>
    <t>Native American Heritage Month</t>
  </si>
  <si>
    <t>2025-10-30 20:31:43</t>
  </si>
  <si>
    <t>9803400-Tax exempt</t>
  </si>
  <si>
    <t>HMNNZSQJKM</t>
  </si>
  <si>
    <t>2025-10-30 23:03:22</t>
  </si>
  <si>
    <t>6029229611</t>
  </si>
  <si>
    <t>2025-10-30 23:11:11</t>
  </si>
  <si>
    <t>2025-10-30 23:11:42</t>
  </si>
  <si>
    <t>114 (STK), 116 (DQ)</t>
  </si>
  <si>
    <t>2321934898</t>
  </si>
  <si>
    <t>2025-10-30 23:12:51</t>
  </si>
  <si>
    <t>2321940388</t>
  </si>
  <si>
    <t>2025-10-30 23:24:14</t>
  </si>
  <si>
    <t>Guest was a late arrival and had a issue with "tapping, and knocking noises for the mechanical room next door" kept her up all night. Also had an issue with the TV saying it did not work and did not notice the sign with our after hours number to call for help. She requested a full refund but we gave her half of last night and the full for tonight (11/1) that she will not be staying.-JF</t>
  </si>
  <si>
    <t>HM5P2NEEWS</t>
  </si>
  <si>
    <t>2025-10-31 00:11:31</t>
  </si>
  <si>
    <t>2321975132</t>
  </si>
  <si>
    <t>2025-10-31 00:33:34</t>
  </si>
  <si>
    <t>2025-10-31 01:01:14</t>
  </si>
  <si>
    <t>HMBCCA2NAC</t>
  </si>
  <si>
    <t>2025-10-31 02:08:22</t>
  </si>
  <si>
    <t>2322057932</t>
  </si>
  <si>
    <t>2025-10-31 03:24:08</t>
  </si>
  <si>
    <t>2322057934</t>
  </si>
  <si>
    <t>2025-10-31 03:24:11</t>
  </si>
  <si>
    <t>2322061698</t>
  </si>
  <si>
    <t>2025-10-31 03:33:10</t>
  </si>
  <si>
    <t>2322069751</t>
  </si>
  <si>
    <t>2025-10-31 03:53:03</t>
  </si>
  <si>
    <t>2322453087</t>
  </si>
  <si>
    <t>2025-10-31 18:21:44</t>
  </si>
  <si>
    <t>2322453856</t>
  </si>
  <si>
    <t>2025-10-31 18:23:17</t>
  </si>
  <si>
    <t>HMM8EX8R8S</t>
  </si>
  <si>
    <t>2025-10-31 18:53:56</t>
  </si>
  <si>
    <t>2322471822</t>
  </si>
  <si>
    <t>2025-10-31 18:57:36</t>
  </si>
  <si>
    <t>HMF92EHQHM</t>
  </si>
  <si>
    <t>2025-10-31 21:30:36</t>
  </si>
  <si>
    <t>HMJ5FBTF2N</t>
  </si>
  <si>
    <t>2025-10-31 21:32:33</t>
  </si>
  <si>
    <t>HM2TJMYACE</t>
  </si>
  <si>
    <t>2025-10-31 22:16:56</t>
  </si>
  <si>
    <t>2025-10-31 22:50:12</t>
  </si>
  <si>
    <t>2322676941</t>
  </si>
  <si>
    <t>2025-11-01 02:50:43</t>
  </si>
  <si>
    <t>HMYDRHHQNS</t>
  </si>
  <si>
    <t>2025-11-01 02:56:15</t>
  </si>
  <si>
    <t>HMSY4P4ZWB</t>
  </si>
  <si>
    <t>2025-11-01 05:44:33</t>
  </si>
  <si>
    <t>2025-12-30</t>
  </si>
  <si>
    <t>2026-01-02</t>
  </si>
  <si>
    <t>HMMQEC9TCC</t>
  </si>
  <si>
    <t>2025-11-01 16:11:27</t>
  </si>
  <si>
    <t>2026-01-24</t>
  </si>
  <si>
    <t>2025-11-01 17:21:19</t>
  </si>
  <si>
    <t>2322991348</t>
  </si>
  <si>
    <t>2025-11-01 18:50:42</t>
  </si>
  <si>
    <t>HMRHZ8A5J2</t>
  </si>
  <si>
    <t>2025-11-01 19:09:10</t>
  </si>
  <si>
    <t>5922593344</t>
  </si>
  <si>
    <t>2025-11-01 20:32:45</t>
  </si>
  <si>
    <t>2025-11-01 21:24:58</t>
  </si>
  <si>
    <t>2323099087</t>
  </si>
  <si>
    <t>2025-11-01 22:55:40</t>
  </si>
  <si>
    <t>HMMMHQWNSD</t>
  </si>
  <si>
    <t>2025-11-02 00:38:41</t>
  </si>
  <si>
    <t>HMFWNE5TCZ</t>
  </si>
  <si>
    <t>2025-11-02 15:05:51</t>
  </si>
  <si>
    <t>2323409601</t>
  </si>
  <si>
    <t>2025-11-02 15:40:10</t>
  </si>
  <si>
    <t>2025-12-31</t>
  </si>
  <si>
    <t>2323480615</t>
  </si>
  <si>
    <t>2025-11-02 18:05:07</t>
  </si>
  <si>
    <t>2323524594</t>
  </si>
  <si>
    <t>2025-11-02 19:35:06</t>
  </si>
  <si>
    <t>2025-11-02 21:06:03</t>
  </si>
  <si>
    <t>6233286827</t>
  </si>
  <si>
    <t>2025-11-02 22:10:04</t>
  </si>
  <si>
    <t>2323654285</t>
  </si>
  <si>
    <t>2025-11-03 00:01:49</t>
  </si>
  <si>
    <t>5515161191</t>
  </si>
  <si>
    <t>2025-11-03 00:45:15</t>
  </si>
  <si>
    <t>2323751079</t>
  </si>
  <si>
    <t>2025-11-03 03:21:25</t>
  </si>
  <si>
    <t>2323786242</t>
  </si>
  <si>
    <t>2025-11-03 04:49:33</t>
  </si>
  <si>
    <t>2324116285</t>
  </si>
  <si>
    <t>2025-11-03 16:35:52</t>
  </si>
  <si>
    <t>HM2MKYKXA9</t>
  </si>
  <si>
    <t>2025-11-03 16:52:19</t>
  </si>
  <si>
    <t>2025-11-03 18:00:17</t>
  </si>
  <si>
    <t>2025-11-03 21:58:30</t>
  </si>
  <si>
    <t>2025-11-03 22:25:09</t>
  </si>
  <si>
    <t>HMCWAPY2XE</t>
  </si>
  <si>
    <t>2025-11-03 22:26:31</t>
  </si>
  <si>
    <t>2324373961</t>
  </si>
  <si>
    <t>2025-11-03 23:26:19</t>
  </si>
  <si>
    <t>2025-11-03 23:28:42</t>
  </si>
  <si>
    <t>6842586040</t>
  </si>
  <si>
    <t>2025-11-03 23:36:05</t>
  </si>
  <si>
    <t>HMJNQ8P5RY</t>
  </si>
  <si>
    <t>2025-11-04 00:54:24</t>
  </si>
  <si>
    <t>2324463002</t>
  </si>
  <si>
    <t>2025-11-04 02:09:53</t>
  </si>
  <si>
    <t>2324549946</t>
  </si>
  <si>
    <t>2025-11-04 05:11:48</t>
  </si>
  <si>
    <t>6838731016</t>
  </si>
  <si>
    <t>2025-11-04 19:43:18</t>
  </si>
  <si>
    <t>2325008823</t>
  </si>
  <si>
    <t>2025-11-04 20:30:01</t>
  </si>
  <si>
    <t>2025-11-04 21:19:56</t>
  </si>
  <si>
    <t>2325099979</t>
  </si>
  <si>
    <t>2025-11-04 23:15:43</t>
  </si>
  <si>
    <t>2325110899</t>
  </si>
  <si>
    <t>2025-11-04 23:36:47</t>
  </si>
  <si>
    <t>Late check-in after 10 pm. CK</t>
  </si>
  <si>
    <t>2325156015</t>
  </si>
  <si>
    <t>2025-11-05 01:01:59</t>
  </si>
  <si>
    <t>2025-11-05 01:26:17</t>
  </si>
  <si>
    <t>2325176575</t>
  </si>
  <si>
    <t>2025-11-05 01:39:05</t>
  </si>
  <si>
    <t>2025-11-05 02:21:35</t>
  </si>
  <si>
    <t>2325238799</t>
  </si>
  <si>
    <t>2025-11-05 03:35:12</t>
  </si>
  <si>
    <t>2025-11-05 04:00:49</t>
  </si>
  <si>
    <t>HMXSPTZ9DQ</t>
  </si>
  <si>
    <t>2025-11-05 04:32:34</t>
  </si>
  <si>
    <t>2325285926</t>
  </si>
  <si>
    <t>2025-11-05 05:22:22</t>
  </si>
  <si>
    <t>5774327327</t>
  </si>
  <si>
    <t>2025-11-05 15:40:58</t>
  </si>
  <si>
    <t>2025-11-05 18:05:31</t>
  </si>
  <si>
    <t xml:space="preserve">Leave in 120-JF, 11am Check out </t>
  </si>
  <si>
    <t>2325690785</t>
  </si>
  <si>
    <t>2025-11-05 19:11:07</t>
  </si>
  <si>
    <t>2025-12-02</t>
  </si>
  <si>
    <t>2025-11-05 21:51:42</t>
  </si>
  <si>
    <t>2025-11-05 21:57:42</t>
  </si>
  <si>
    <t>2325795488</t>
  </si>
  <si>
    <t>2025-11-05 22:07:45</t>
  </si>
  <si>
    <t>2325796054</t>
  </si>
  <si>
    <t>2025-11-05 22:08:51</t>
  </si>
  <si>
    <t>2325840498</t>
  </si>
  <si>
    <t>2025-11-05 23:32:16</t>
  </si>
  <si>
    <t>2325854091</t>
  </si>
  <si>
    <t>2025-11-05 23:58:07</t>
  </si>
  <si>
    <t>Inndependent Stays</t>
  </si>
  <si>
    <t>2025-11-06 00:05:11</t>
  </si>
  <si>
    <t>3 PM check in SR</t>
  </si>
  <si>
    <t>2025-11-06 01:19:38</t>
  </si>
  <si>
    <t>2025-11-06 01:41:14</t>
  </si>
  <si>
    <t>2325932618</t>
  </si>
  <si>
    <t>2025-11-06 02:21:23</t>
  </si>
  <si>
    <t>2025-11-06 02:42:25</t>
  </si>
  <si>
    <t>2325970281</t>
  </si>
  <si>
    <t>2025-11-06 03:30:04</t>
  </si>
  <si>
    <t>2325970286</t>
  </si>
  <si>
    <t>2025-11-06 03:30:06</t>
  </si>
  <si>
    <t>HMDSJ3PKHY</t>
  </si>
  <si>
    <t>2025-11-06 12:14:12</t>
  </si>
  <si>
    <t>2026-01-09</t>
  </si>
  <si>
    <t>HMWZZQMEZE</t>
  </si>
  <si>
    <t>2025-11-06 16:20:55</t>
  </si>
  <si>
    <t>HMFMAXBA24</t>
  </si>
  <si>
    <t>2025-11-06 17:16:28</t>
  </si>
  <si>
    <t>2025-11-06 17:42:29</t>
  </si>
  <si>
    <t>2326439708</t>
  </si>
  <si>
    <t>2025-11-06 19:42:55</t>
  </si>
  <si>
    <t>2326455895</t>
  </si>
  <si>
    <t>2025-11-06 20:12:07</t>
  </si>
  <si>
    <t>2025-11-06 20:17:34</t>
  </si>
  <si>
    <t>2326520181</t>
  </si>
  <si>
    <t>2025-11-06 22:09:29</t>
  </si>
  <si>
    <t>2025-11-06 22:24:55</t>
  </si>
  <si>
    <t>6494723664</t>
  </si>
  <si>
    <t>2025-11-06 23:30:43</t>
  </si>
  <si>
    <t>2326629167</t>
  </si>
  <si>
    <t>2025-11-07 01:41:14</t>
  </si>
  <si>
    <t>HMJKY8E4JR</t>
  </si>
  <si>
    <t>2025-11-07 02:26:13</t>
  </si>
  <si>
    <t>2326656056</t>
  </si>
  <si>
    <t>2025-11-07 02:31:32</t>
  </si>
  <si>
    <t>2326698853</t>
  </si>
  <si>
    <t>2025-11-07 03:55:41</t>
  </si>
  <si>
    <t>HMA8BREJAY</t>
  </si>
  <si>
    <t>2025-11-07 04:26:22</t>
  </si>
  <si>
    <t>5098688572</t>
  </si>
  <si>
    <t>2025-11-07 05:34:47</t>
  </si>
  <si>
    <t>2326989963</t>
  </si>
  <si>
    <t>2025-11-07 15:19:40</t>
  </si>
  <si>
    <t>2025-12-17</t>
  </si>
  <si>
    <t>2025-12-18</t>
  </si>
  <si>
    <t>HMXC3SF5TB</t>
  </si>
  <si>
    <t>2025-11-07 15:34:26</t>
  </si>
  <si>
    <t>2026-02-24</t>
  </si>
  <si>
    <t>2026-02-27</t>
  </si>
  <si>
    <t>HMT4EDKNAW</t>
  </si>
  <si>
    <t>2025-11-07 16:46:04</t>
  </si>
  <si>
    <t>6698789331</t>
  </si>
  <si>
    <t>2025-11-07 17:00:26</t>
  </si>
  <si>
    <t>2327060845</t>
  </si>
  <si>
    <t>2025-11-07 17:09:39</t>
  </si>
  <si>
    <t>2327064088</t>
  </si>
  <si>
    <t>2025-11-07 17:15:04</t>
  </si>
  <si>
    <t>2025-11-07 21:51:01</t>
  </si>
  <si>
    <t>HM3TSNDAE2</t>
  </si>
  <si>
    <t>2025-11-07 21:51:37</t>
  </si>
  <si>
    <t>2025-11-07 23:40:26</t>
  </si>
  <si>
    <t>2327274668</t>
  </si>
  <si>
    <t>2025-11-07 23:43:15</t>
  </si>
  <si>
    <t>HMHWF2EDYR</t>
  </si>
  <si>
    <t>2025-11-08 01:29:47</t>
  </si>
  <si>
    <t>HMTYAZX2TE</t>
  </si>
  <si>
    <t>2025-11-08 01:55:13</t>
  </si>
  <si>
    <t>2327363876</t>
  </si>
  <si>
    <t>2025-11-08 02:52:49</t>
  </si>
  <si>
    <t>HMW3PPMA5N</t>
  </si>
  <si>
    <t>2025-11-08 04:36:18</t>
  </si>
  <si>
    <t>2327429341</t>
  </si>
  <si>
    <t>2025-11-08 05:48:25</t>
  </si>
  <si>
    <t>2327604130</t>
  </si>
  <si>
    <t>2025-11-08 15:32:03</t>
  </si>
  <si>
    <t>Checked out 11/10/2025</t>
  </si>
  <si>
    <t>2327605740</t>
  </si>
  <si>
    <t>2025-11-08 15:35:27</t>
  </si>
  <si>
    <t>2025-11-08 17:07:55</t>
  </si>
  <si>
    <t>2025-11-08 17:40:39</t>
  </si>
  <si>
    <t>2327678330</t>
  </si>
  <si>
    <t>2025-11-08 18:11:37</t>
  </si>
  <si>
    <t>2327737959</t>
  </si>
  <si>
    <t>2025-11-08 20:26:23</t>
  </si>
  <si>
    <t>2327853518</t>
  </si>
  <si>
    <t>2025-11-09 00:55:06</t>
  </si>
  <si>
    <t>6819897676</t>
  </si>
  <si>
    <t>2025-11-09 01:14:35</t>
  </si>
  <si>
    <t>HMKMSZYBN2</t>
  </si>
  <si>
    <t>2025-11-09 02:42:45</t>
  </si>
  <si>
    <t>2327904376</t>
  </si>
  <si>
    <t>2025-11-09 03:00:08</t>
  </si>
  <si>
    <t>2025-11-09 03:18:30</t>
  </si>
  <si>
    <t>2327956392</t>
  </si>
  <si>
    <t>2025-11-09 05:36:22</t>
  </si>
  <si>
    <t>2328056417</t>
  </si>
  <si>
    <t>2025-11-09 12:22:57</t>
  </si>
  <si>
    <t>2328120963</t>
  </si>
  <si>
    <t>2025-11-09 15:15:53</t>
  </si>
  <si>
    <t>2328144106</t>
  </si>
  <si>
    <t>2025-11-09 16:04:50</t>
  </si>
  <si>
    <t>6486178283</t>
  </si>
  <si>
    <t>2025-11-09 16:43:47</t>
  </si>
  <si>
    <t>HM5TKE5FRS</t>
  </si>
  <si>
    <t>2025-11-09 17:22:19</t>
  </si>
  <si>
    <t>2328194661</t>
  </si>
  <si>
    <t>2025-11-09 17:49:54</t>
  </si>
  <si>
    <t>2025-11-09 19:20:55</t>
  </si>
  <si>
    <t>5727823056</t>
  </si>
  <si>
    <t>2025-11-09 20:03:32</t>
  </si>
  <si>
    <t>2328318971</t>
  </si>
  <si>
    <t>2025-11-09 21:58:22</t>
  </si>
  <si>
    <t>2025-11-09 23:08:27</t>
  </si>
  <si>
    <t>5239450736</t>
  </si>
  <si>
    <t>2025-11-09 23:24:36</t>
  </si>
  <si>
    <t>2328363200</t>
  </si>
  <si>
    <t>2025-11-09 23:28:11</t>
  </si>
  <si>
    <t>HMAMTY9HYA</t>
  </si>
  <si>
    <t>2025-11-09 23:32:58</t>
  </si>
  <si>
    <t>2328378217</t>
  </si>
  <si>
    <t>2025-11-09 23:58:51</t>
  </si>
  <si>
    <t>HMCJXCAXZH</t>
  </si>
  <si>
    <t>2025-11-10 03:24:23</t>
  </si>
  <si>
    <t>2328486387</t>
  </si>
  <si>
    <t>2025-11-10 03:30:15</t>
  </si>
  <si>
    <t>5239432868</t>
  </si>
  <si>
    <t>2025-11-10 04:33:20</t>
  </si>
  <si>
    <t>HMK85BR895</t>
  </si>
  <si>
    <t>2025-11-10 04:56:02</t>
  </si>
  <si>
    <t>HMP9CPYXJS</t>
  </si>
  <si>
    <t>2025-11-10 05:15:03</t>
  </si>
  <si>
    <t>5850084375</t>
  </si>
  <si>
    <t>2025-11-10 14:49:39</t>
  </si>
  <si>
    <t>5789439827</t>
  </si>
  <si>
    <t>2025-11-10 15:08:03</t>
  </si>
  <si>
    <t>6847940018</t>
  </si>
  <si>
    <t>2025-11-10 15:51:46</t>
  </si>
  <si>
    <t>2328819113</t>
  </si>
  <si>
    <t>2025-11-10 15:57:16</t>
  </si>
  <si>
    <t>6957211346</t>
  </si>
  <si>
    <t>2025-11-10 16:16:48</t>
  </si>
  <si>
    <t>5150890575</t>
  </si>
  <si>
    <t>2025-11-10 21:14:33</t>
  </si>
  <si>
    <t>5532121141</t>
  </si>
  <si>
    <t>2025-11-10 21:31:34</t>
  </si>
  <si>
    <t>HMQXJCR88W</t>
  </si>
  <si>
    <t>2025-11-10 21:58:21</t>
  </si>
  <si>
    <t>2329051648</t>
  </si>
  <si>
    <t>2025-11-10 22:07:48</t>
  </si>
  <si>
    <t>2329095262</t>
  </si>
  <si>
    <t>2025-11-10 23:27:27</t>
  </si>
  <si>
    <t>2329098171</t>
  </si>
  <si>
    <t>2025-11-10 23:33:03</t>
  </si>
  <si>
    <t>richard siaf checking in</t>
  </si>
  <si>
    <t>2329098166</t>
  </si>
  <si>
    <t>2025-11-10 23:33:06</t>
  </si>
  <si>
    <t>Also authorized:  Ricardo Sias  SR</t>
  </si>
  <si>
    <t>HMN9XFXMNP</t>
  </si>
  <si>
    <t>2025-11-10 23:51:50</t>
  </si>
  <si>
    <t>2329115881</t>
  </si>
  <si>
    <t>2025-11-11 00:06:38</t>
  </si>
  <si>
    <t>2329148496</t>
  </si>
  <si>
    <t>2025-11-11 01:07:19</t>
  </si>
  <si>
    <t>2026-01-14</t>
  </si>
  <si>
    <t>2026-01-15</t>
  </si>
  <si>
    <t>2025-11-11 01:53:58</t>
  </si>
  <si>
    <t>2329191676</t>
  </si>
  <si>
    <t>2025-11-11 02:24:50</t>
  </si>
  <si>
    <t>5850072405</t>
  </si>
  <si>
    <t>2025-11-11 03:11:42</t>
  </si>
  <si>
    <t>I moved the guests from 102 because they said the heat wasn't working. I mentioned to give it 15 minutes but they weren't up for that. So housekeeping needs to check out 102 in the morning because they were in it for a little while. CK</t>
  </si>
  <si>
    <t>5850048554</t>
  </si>
  <si>
    <t>2025-11-11 03:36:36</t>
  </si>
  <si>
    <t>2329234884</t>
  </si>
  <si>
    <t>2025-11-11 03:47:27</t>
  </si>
  <si>
    <t>HM5TAT544J</t>
  </si>
  <si>
    <t>2025-11-11 06:14:25</t>
  </si>
  <si>
    <t>6915743726</t>
  </si>
  <si>
    <t>2025-11-11 09:07:37</t>
  </si>
  <si>
    <t>2329580740</t>
  </si>
  <si>
    <t>2025-11-11 16:36:03</t>
  </si>
  <si>
    <t>2329675174</t>
  </si>
  <si>
    <t>2025-11-11 19:15:34</t>
  </si>
  <si>
    <t>5387403349</t>
  </si>
  <si>
    <t>2025-11-11 19:55:38</t>
  </si>
  <si>
    <t>5652127365</t>
  </si>
  <si>
    <t>2025-11-11 21:47:11</t>
  </si>
  <si>
    <t>6173270163</t>
  </si>
  <si>
    <t>2025-11-11 23:19:41</t>
  </si>
  <si>
    <t>2329846338</t>
  </si>
  <si>
    <t>2025-11-12 00:27:53</t>
  </si>
  <si>
    <t>HM49BZZCQS</t>
  </si>
  <si>
    <t>2025-11-12 00:58:54</t>
  </si>
  <si>
    <t>Kyle Grist completed the Adventure Inn Registration Card mini app: https://sys.akia.ai/mapp/c53e2184-9c2d-4258-96d0-ba09882f458f?session=a563c1c7-e0b5-410c-9ab6-f84e0a6c14a3
* ID: Uploaded
* Email: grist.kyle@gmail.com
* Vehicle Color/Make/Model: Grey Kia Sportage 
* ETA: 4:00 PM
* Acknowledgment: ✓</t>
  </si>
  <si>
    <t>6448980125</t>
  </si>
  <si>
    <t>Taiwan</t>
  </si>
  <si>
    <t>2025-11-12 06:42:18</t>
  </si>
  <si>
    <t>2330101135</t>
  </si>
  <si>
    <t>2025-11-12 10:28:06</t>
  </si>
  <si>
    <t>5387408297</t>
  </si>
  <si>
    <t>2025-11-12 12:41:43</t>
  </si>
  <si>
    <t>6577997005</t>
  </si>
  <si>
    <t>2025-11-12 18:37:19</t>
  </si>
  <si>
    <t>2025-11-12 23:12:28</t>
  </si>
  <si>
    <t>2330540489</t>
  </si>
  <si>
    <t>2025-11-13 00:09:57</t>
  </si>
  <si>
    <t>5501673501</t>
  </si>
  <si>
    <t>2025-11-13 04:13:06</t>
  </si>
  <si>
    <t>2330769903</t>
  </si>
  <si>
    <t>2025-11-13 08:59:56</t>
  </si>
  <si>
    <t>2331260580</t>
  </si>
  <si>
    <t>2025-11-14 00:46:27</t>
  </si>
  <si>
    <t>2331281776</t>
  </si>
  <si>
    <t>2025-11-14 01:26:25</t>
  </si>
  <si>
    <t>6511345014</t>
  </si>
  <si>
    <t>2025-11-14 01:56:02</t>
  </si>
  <si>
    <t>2025-11-15 01:56:00</t>
  </si>
  <si>
    <t>2025-11-15 01:58:40</t>
  </si>
  <si>
    <t>2332283807</t>
  </si>
  <si>
    <t>2025-11-15 16:51:19</t>
  </si>
  <si>
    <t>2025-11-15 23:09:40</t>
  </si>
  <si>
    <t>no charge native sponsorship</t>
  </si>
  <si>
    <t>6442936743</t>
  </si>
  <si>
    <t>2025-11-16 19:19:45</t>
  </si>
  <si>
    <t>Guest was happy with room but wanted to check out a day early due to family issues said we would refund night not occupied-JF</t>
  </si>
  <si>
    <t>HMQCY93JB5</t>
  </si>
  <si>
    <t>2025-11-16 21:27:46</t>
  </si>
  <si>
    <t>2025-11-17 00:17:51</t>
  </si>
  <si>
    <t>6876937190</t>
  </si>
  <si>
    <t>2025-11-17 18:44:14</t>
  </si>
  <si>
    <t>2025-11-18 00:09:25</t>
  </si>
  <si>
    <t>2025-11-18 00:32:22</t>
  </si>
  <si>
    <t>6579692740</t>
  </si>
  <si>
    <t>2025-11-19 02:46:37</t>
  </si>
  <si>
    <t>2025-11-19 03:12:05</t>
  </si>
  <si>
    <t>2334925167</t>
  </si>
  <si>
    <t>2025-11-19 12:15:47</t>
  </si>
  <si>
    <t>2025-11-19 23:50:17</t>
  </si>
  <si>
    <t>2026-01-12</t>
  </si>
  <si>
    <t>6327654953</t>
  </si>
  <si>
    <t>2025-11-20 00:18:12</t>
  </si>
  <si>
    <t>5950608531</t>
  </si>
  <si>
    <t>2025-11-20 04:03:19</t>
  </si>
  <si>
    <t>6327687100</t>
  </si>
  <si>
    <t>2025-11-20 06:30:25</t>
  </si>
  <si>
    <t>2335850481</t>
  </si>
  <si>
    <t>2025-11-20 16:46:14</t>
  </si>
  <si>
    <t>6243588300</t>
  </si>
  <si>
    <t>2025-11-20 20:45:23</t>
  </si>
  <si>
    <t>2025-11-21 00:22:33</t>
  </si>
  <si>
    <t>HM43S893XM</t>
  </si>
  <si>
    <t>2025-11-21 17:25:06</t>
  </si>
  <si>
    <t>2025-11-21 17:30:28</t>
  </si>
  <si>
    <t>2025-11-21 21:06:25</t>
  </si>
  <si>
    <t>7192209559</t>
  </si>
  <si>
    <t>2025-11-21 23:18:30</t>
  </si>
  <si>
    <t>2025-11-22 01:12:57</t>
  </si>
  <si>
    <t>2336875421</t>
  </si>
  <si>
    <t>2025-11-22 01:24:31</t>
  </si>
  <si>
    <t>2025-12-04</t>
  </si>
  <si>
    <t>2025-11-22 04:04:00</t>
  </si>
  <si>
    <t>2337144442</t>
  </si>
  <si>
    <t>2025-11-22 14:23:30</t>
  </si>
  <si>
    <t>6265112702</t>
  </si>
  <si>
    <t>2025-11-22 16:56:46</t>
  </si>
  <si>
    <t>6513358325</t>
  </si>
  <si>
    <t>2025-11-22 16:59:12</t>
  </si>
  <si>
    <t>2337217687</t>
  </si>
  <si>
    <t>2025-11-22 16:59:38</t>
  </si>
  <si>
    <t>2337287237</t>
  </si>
  <si>
    <t>2025-11-22 19:27:06</t>
  </si>
  <si>
    <t>2337320869</t>
  </si>
  <si>
    <t>2025-11-22 20:40:29</t>
  </si>
  <si>
    <t>119 (STQ), 106 (STQ)</t>
  </si>
  <si>
    <t>2025-11-23 00:51:20</t>
  </si>
  <si>
    <t>2337461412</t>
  </si>
  <si>
    <t>2025-11-23 01:56:49</t>
  </si>
  <si>
    <t>5842514994</t>
  </si>
  <si>
    <t>2025-11-23 02:42:47</t>
  </si>
  <si>
    <t>HMXRZ9RWQM</t>
  </si>
  <si>
    <t>2025-11-23 03:41:46</t>
  </si>
  <si>
    <t>HM3BN44QY3</t>
  </si>
  <si>
    <t>2025-11-23 16:36:59</t>
  </si>
  <si>
    <t>2337809324</t>
  </si>
  <si>
    <t>2025-11-23 18:26:26</t>
  </si>
  <si>
    <t>5083977703</t>
  </si>
  <si>
    <t>2025-11-23 21:58:05</t>
  </si>
  <si>
    <t>2337945666</t>
  </si>
  <si>
    <t>2025-11-23 23:02:26</t>
  </si>
  <si>
    <t>2026-03-15</t>
  </si>
  <si>
    <t>2026-03-17</t>
  </si>
  <si>
    <t>2337963931</t>
  </si>
  <si>
    <t>2025-11-23 23:40:18</t>
  </si>
  <si>
    <t>HMFZJPW9MB</t>
  </si>
  <si>
    <t>2025-11-24 01:29:20</t>
  </si>
  <si>
    <t>5952114145</t>
  </si>
  <si>
    <t>2025-11-24 05:14:35</t>
  </si>
  <si>
    <t>2025-11-24 16:34:01</t>
  </si>
  <si>
    <t>I authorized a date switch but the proceeded to book the wrong date. This guest has already paid for this room on the 23rd and requested the stay for the 29th-JF</t>
  </si>
  <si>
    <t>2338582352</t>
  </si>
  <si>
    <t>2025-11-24 20:19:43</t>
  </si>
  <si>
    <t>2025-11-24 21:24:39</t>
  </si>
  <si>
    <t>2338661575</t>
  </si>
  <si>
    <t>2025-11-24 22:33:48</t>
  </si>
  <si>
    <t>2026-05-15</t>
  </si>
  <si>
    <t>2026-05-22</t>
  </si>
  <si>
    <t>2338748519</t>
  </si>
  <si>
    <t>2025-11-25 01:18:40</t>
  </si>
  <si>
    <t>2338788417</t>
  </si>
  <si>
    <t>2025-11-25 02:31:10</t>
  </si>
  <si>
    <t>2338806458</t>
  </si>
  <si>
    <t>2025-11-25 03:04:25</t>
  </si>
  <si>
    <t>2338807613</t>
  </si>
  <si>
    <t>2025-11-25 03:06:33</t>
  </si>
  <si>
    <t>2338807615</t>
  </si>
  <si>
    <t>2025-11-25 03:06:35</t>
  </si>
  <si>
    <t>2025-11-25 16:43:04</t>
  </si>
  <si>
    <t>2026-04-20</t>
  </si>
  <si>
    <t>2025-11-25 16:43:30</t>
  </si>
  <si>
    <t>2339203149</t>
  </si>
  <si>
    <t>2025-11-25 17:05:13</t>
  </si>
  <si>
    <t>2339328270</t>
  </si>
  <si>
    <t>2025-11-25 20:38:08</t>
  </si>
  <si>
    <t>HMWFCTKNMT</t>
  </si>
  <si>
    <t>2025-11-25 21:03:47</t>
  </si>
  <si>
    <t>2339355331</t>
  </si>
  <si>
    <t>2025-11-25 21:26:25</t>
  </si>
  <si>
    <t>Jacob Borland arriving first</t>
  </si>
  <si>
    <t>2339449241</t>
  </si>
  <si>
    <t>2025-11-26 00:30:01</t>
  </si>
  <si>
    <t>2339458292</t>
  </si>
  <si>
    <t>2025-11-26 00:48:01</t>
  </si>
  <si>
    <t>2025-12-03</t>
  </si>
  <si>
    <t>2339519206</t>
  </si>
  <si>
    <t>2025-11-26 02:43:52</t>
  </si>
  <si>
    <t>6450146903</t>
  </si>
  <si>
    <t>2025-11-26 22:15:59</t>
  </si>
  <si>
    <t>2340145494</t>
  </si>
  <si>
    <t>2025-11-27 00:29:28</t>
  </si>
  <si>
    <t>6292211555</t>
  </si>
  <si>
    <t>2025-11-27 03:59:01</t>
  </si>
  <si>
    <t xml:space="preserve">Late check in used lock box </t>
  </si>
  <si>
    <t>2340303087</t>
  </si>
  <si>
    <t>2025-11-27 06:46:15</t>
  </si>
  <si>
    <t>2026-05-16</t>
  </si>
  <si>
    <t>2026-05-24</t>
  </si>
  <si>
    <t>2340720764</t>
  </si>
  <si>
    <t>2025-11-27 22:26:17</t>
  </si>
  <si>
    <t>2340731388</t>
  </si>
  <si>
    <t>2025-11-27 22:51:47</t>
  </si>
  <si>
    <t>2340775637</t>
  </si>
  <si>
    <t>2025-11-28 00:41:52</t>
  </si>
  <si>
    <t>2340778279</t>
  </si>
  <si>
    <t>2025-11-28 00:48:10</t>
  </si>
  <si>
    <t>2340778278</t>
  </si>
  <si>
    <t>2025-11-28 00:48:11</t>
  </si>
  <si>
    <t>2341168574</t>
  </si>
  <si>
    <t>2025-11-28 15:44:31</t>
  </si>
  <si>
    <t>2341170890</t>
  </si>
  <si>
    <t>2025-11-28 15:47:48</t>
  </si>
  <si>
    <t>2341255245</t>
  </si>
  <si>
    <t>2025-11-28 17:51:16</t>
  </si>
  <si>
    <t>2341307252</t>
  </si>
  <si>
    <t>2025-11-28 19:13:10</t>
  </si>
  <si>
    <t>2341307255</t>
  </si>
  <si>
    <t>2025-11-28 19:13:14</t>
  </si>
  <si>
    <t>2341316661</t>
  </si>
  <si>
    <t>2025-11-28 19:27:59</t>
  </si>
  <si>
    <t>2341364578</t>
  </si>
  <si>
    <t>2025-11-28 20:45:07</t>
  </si>
  <si>
    <t>2341409167</t>
  </si>
  <si>
    <t>2025-11-28 21:57:22</t>
  </si>
  <si>
    <t>2341442351</t>
  </si>
  <si>
    <t>2025-11-28 22:52:48</t>
  </si>
  <si>
    <t>2341471380</t>
  </si>
  <si>
    <t>2025-11-28 23:43:55</t>
  </si>
  <si>
    <t>2341497772</t>
  </si>
  <si>
    <t>2025-11-29 00:33:10</t>
  </si>
  <si>
    <t>2341507129</t>
  </si>
  <si>
    <t>2025-11-29 00:50:15</t>
  </si>
  <si>
    <t>2341580545</t>
  </si>
  <si>
    <t>2025-11-29 03:09:59</t>
  </si>
  <si>
    <t>6521111240</t>
  </si>
  <si>
    <t>2025-11-29 03:10:12</t>
  </si>
  <si>
    <t>2025-12-09</t>
  </si>
  <si>
    <t>5766677247</t>
  </si>
  <si>
    <t>2025-11-29 03:41:14</t>
  </si>
  <si>
    <t>2341611394</t>
  </si>
  <si>
    <t>2025-11-29 04:14:17</t>
  </si>
  <si>
    <t>2025-11-29 04:15:34</t>
  </si>
  <si>
    <t>2026-01-31</t>
  </si>
  <si>
    <t>2341632031</t>
  </si>
  <si>
    <t>2025-11-29 05:03:02</t>
  </si>
  <si>
    <t>2341748730</t>
  </si>
  <si>
    <t>2025-11-29 11:47:55</t>
  </si>
  <si>
    <t>2025-11-29 18:10:48</t>
  </si>
  <si>
    <t>2025-11-29 22:14:53</t>
  </si>
  <si>
    <t>2342045357</t>
  </si>
  <si>
    <t>2025-11-29 22:48:13</t>
  </si>
  <si>
    <t>2342063765</t>
  </si>
  <si>
    <t>2025-11-29 23:27:03</t>
  </si>
  <si>
    <t>2342091324</t>
  </si>
  <si>
    <t>2025-11-30 00:27:15</t>
  </si>
  <si>
    <t>2342107008</t>
  </si>
  <si>
    <t>2025-11-30 01:01:43</t>
  </si>
  <si>
    <t>2342158142</t>
  </si>
  <si>
    <t>2025-11-30 02:54:29</t>
  </si>
  <si>
    <t>2342181688</t>
  </si>
  <si>
    <t>2025-11-30 03:49:05</t>
  </si>
  <si>
    <t>2342202869</t>
  </si>
  <si>
    <t>2025-11-30 04:45:00</t>
  </si>
  <si>
    <t>2342506641</t>
  </si>
  <si>
    <t>2025-11-30 18:51:39</t>
  </si>
  <si>
    <t>2342558197</t>
  </si>
  <si>
    <t>2025-11-30 20:23:28</t>
  </si>
  <si>
    <t>2342568978</t>
  </si>
  <si>
    <t>2025-11-30 20:42:05</t>
  </si>
  <si>
    <t>2342590544</t>
  </si>
  <si>
    <t>2025-11-30 21:19:56</t>
  </si>
  <si>
    <t>HMJNYQC5QW</t>
  </si>
  <si>
    <t>2025-11-30 23:25:53</t>
  </si>
  <si>
    <t>2342660709</t>
  </si>
  <si>
    <t>2025-11-30 23:27:46</t>
  </si>
  <si>
    <t>118 (STQ), 116 (DQ)</t>
  </si>
  <si>
    <t>2025-11-30 23:55:29</t>
  </si>
  <si>
    <t>2342688284</t>
  </si>
  <si>
    <t>2025-12-01 00:20:15</t>
  </si>
  <si>
    <t>2025-12-01 00:24:50</t>
  </si>
  <si>
    <t>2025-12-01 01:37:20</t>
  </si>
  <si>
    <t>HMN9SB2QW2</t>
  </si>
  <si>
    <t>2025-12-01 01:39:14</t>
  </si>
  <si>
    <t>2342798335</t>
  </si>
  <si>
    <t>2025-12-01 03:38:22</t>
  </si>
  <si>
    <t>5659987113</t>
  </si>
  <si>
    <t>2025-12-01 06:20:19</t>
  </si>
  <si>
    <t>2343367008</t>
  </si>
  <si>
    <t>2025-12-01 20:52:34</t>
  </si>
  <si>
    <t>2343391802</t>
  </si>
  <si>
    <t>2025-12-01 21:26:58</t>
  </si>
  <si>
    <t xml:space="preserve">moved from 12/1/25 - 12/7/25 cannot cancel -KR </t>
  </si>
  <si>
    <t>2026-05-23</t>
  </si>
  <si>
    <t>2343575414</t>
  </si>
  <si>
    <t>2025-12-02 02:05:31</t>
  </si>
  <si>
    <t>2025-12-02 03:50:45</t>
  </si>
  <si>
    <t>2025-12-02 03:53:26</t>
  </si>
  <si>
    <t>Jenna Davis completed the Adventure Inn Registration Card mini app: https://sys.akia.ai/mapp/a7083f80-d592-474f-9d49-515e98af56b9?session=cab9590b-5049-4114-a4a8-c365f370323f
* ID: Uploaded
* Email: martinezjcd@gmail.com
* ETA: 5:25 PM
* Acknowledgment: ✓</t>
  </si>
  <si>
    <t>104 (STK), 114 (STK)</t>
  </si>
  <si>
    <t>2343694299</t>
  </si>
  <si>
    <t>2025-12-02 05:16:14</t>
  </si>
  <si>
    <t>2343694304</t>
  </si>
  <si>
    <t>2025-12-02 05:16:17</t>
  </si>
  <si>
    <t>2343782073</t>
  </si>
  <si>
    <t>2025-12-02 08:54:47</t>
  </si>
  <si>
    <t>2343782078</t>
  </si>
  <si>
    <t>2025-12-02 08:54:52</t>
  </si>
  <si>
    <t>2343782081</t>
  </si>
  <si>
    <t>2025-12-02 08:54:53</t>
  </si>
  <si>
    <t>2343782075</t>
  </si>
  <si>
    <t>2025-12-02 08:54:55</t>
  </si>
  <si>
    <t>2343782077</t>
  </si>
  <si>
    <t>2025-12-02 08:54:56</t>
  </si>
  <si>
    <t>2343782079</t>
  </si>
  <si>
    <t>2025-12-02 08:54:57</t>
  </si>
  <si>
    <t>2343782867</t>
  </si>
  <si>
    <t>2025-12-02 08:56:44</t>
  </si>
  <si>
    <t>2343997271</t>
  </si>
  <si>
    <t>2025-12-02 15:51:12</t>
  </si>
  <si>
    <t>2344032634</t>
  </si>
  <si>
    <t>2025-12-02 16:40:51</t>
  </si>
  <si>
    <t>2344058845</t>
  </si>
  <si>
    <t>2025-12-02 17:18:35</t>
  </si>
  <si>
    <t>2344058849</t>
  </si>
  <si>
    <t>2025-12-02 17:18:38</t>
  </si>
  <si>
    <t>Audrey Carroll completed the Adventure Inn Registration Card mini app: https://sys.akia.ai/mapp/82008a11-222d-451e-8a1b-42a7f0a5d667?session=1b3716ee-5989-48f7-b08d-8f09736bcee9
* ID: Uploaded
* Email: ajoiner1421@gmail.com
* Vehicle Color/Make/Model: Blue GMC DENALI
* ETA: 4:00 PM
* Acknowledgment: ✓</t>
  </si>
  <si>
    <t>HMEZWF4ZNX</t>
  </si>
  <si>
    <t>2025-12-02 23:17:25</t>
  </si>
  <si>
    <t>2025-12-03 01:08:38</t>
  </si>
  <si>
    <t>2344392064</t>
  </si>
  <si>
    <t>2025-12-03 02:07:17</t>
  </si>
  <si>
    <t>2344444905</t>
  </si>
  <si>
    <t>2025-12-03 03:30:17</t>
  </si>
  <si>
    <t>Eduardo De Toledo completed the Adventure Inn Registration Card mini app: https://sys.akia.ai/mapp/6780c347-99cf-4da3-b113-84551704e3dc?session=2b27553e-e15f-475a-973c-ffe268adcbd5
* ID: Uploaded
* Email: eduardo.extrema@hotmail.com
* Vehicle Color/Make/Model: Not assigning yet
* ETA: 3:00 PM
* Acknowledgment: ✓</t>
  </si>
  <si>
    <t>2025-12-03 16:21:43</t>
  </si>
  <si>
    <t>2026-03-08</t>
  </si>
  <si>
    <t>2344817612</t>
  </si>
  <si>
    <t>2025-12-03 16:48:15</t>
  </si>
  <si>
    <t>Kyle Roberts completed the Adventure Inn Registration Card mini app: https://sys.akia.ai/mapp/40e00707-acf7-4725-bda5-bebff0bc38a7?session=bfc4c88e-80c9-4063-9216-44eee4feabe1
* ID: Uploaded
* Email: kilayy323@gmail.com
* ETA: 5:30 PM
* Acknowledgment: ✓</t>
  </si>
  <si>
    <t>2344832527</t>
  </si>
  <si>
    <t>2025-12-03 17:13:26</t>
  </si>
  <si>
    <t>2344977315</t>
  </si>
  <si>
    <t>2025-12-03 21:27:57</t>
  </si>
  <si>
    <t>2025-12-04 01:31:55</t>
  </si>
  <si>
    <t>2026-02-13</t>
  </si>
  <si>
    <t>5040833346</t>
  </si>
  <si>
    <t>2025-12-05 15:58:13</t>
  </si>
  <si>
    <t>6163569326</t>
  </si>
  <si>
    <t>2025-12-05 19:32:41</t>
  </si>
  <si>
    <t>5328048233</t>
  </si>
  <si>
    <t>2025-12-06 01:58:08</t>
  </si>
  <si>
    <t>HMSMF2DHJK</t>
  </si>
  <si>
    <t>2025-12-07 01:29:38</t>
  </si>
  <si>
    <t>Tcm Harris completed the Adventure Inn Registration Card mini app: https://sys.akia.ai/mapp/f6137d5f-0c8b-4692-92c8-bf7d339a074c?session=01ff0a1e-ba9c-430f-8ac9-a7421613cfba
* ID: Uploaded
* Email: ctmmh4@gmail.com
* ETA: 4:00 PM
* Acknowledgment: ✓</t>
  </si>
  <si>
    <t>2025-12-07 15:54:54</t>
  </si>
  <si>
    <t>Justin Treap completed the Adventure Inn Registration Card mini app: https://sys.akia.ai/mapp/2438b025-9771-4bca-9bbe-5f01392ac9b6?session=d35afc52-636a-4895-93ad-0be2430d9e4d
* ID: Uploaded
* Email: tissimo@cfl.rr.com
* Vehicle Color/Make/Model: Black Audi A5
* ETA: 9:00 PM
* Acknowledgment: ✓</t>
  </si>
  <si>
    <t>2025-12-07 17:05:50</t>
  </si>
  <si>
    <t>Also authorized:  Tristan Thomas  SR</t>
  </si>
  <si>
    <t>2026-02-15</t>
  </si>
  <si>
    <t>2026-02-18</t>
  </si>
  <si>
    <t>2347449042</t>
  </si>
  <si>
    <t>2025-12-08 04:25:34</t>
  </si>
  <si>
    <t>Kenneth Vanstone completed the Adventure Inn Registration Card mini app: https://sys.akia.ai/mapp/98f40da1-b648-4e68-b8d7-6cf170993694?session=a9ee9018-b92d-4f11-873c-fc35a02612a0
* ID: Uploaded
* Email: kennyvs@yahoo.com
* Vehicle Color/Make/Model: Gold Toyota Tacoma 
* ETA: 4:00 PM
* Acknowledgment: ✓</t>
  </si>
  <si>
    <t>2347871614</t>
  </si>
  <si>
    <t>2025-12-08 20:42:20</t>
  </si>
  <si>
    <t>Ryleigh Semanchik completed the Adventure Inn Registration Card mini app: https://sys.akia.ai/mapp/3ff8f424-c12a-4b58-a4ef-3837db7ce036?session=76aaa80b-b58e-4c27-a89e-7d3aef5ffaf2
* ID: Uploaded
* Email: ryleighsemanchik23@gmail.com
* ETA: 3:00 PM
* Acknowledgment: ✓</t>
  </si>
  <si>
    <t>6409822030</t>
  </si>
  <si>
    <t>2025-12-09 00:53:01</t>
  </si>
  <si>
    <t>Danielle Carson completed the Adventure Inn Registration Card mini app: https://sys.akia.ai/mapp/8aa6c711-762c-41b0-a534-159c713fd25d?session=4e04e088-c82f-48f0-a7eb-6ac04943e65b
* ID: Uploaded
* Email: dani.elle_carson@yahoo.com
* ETA: 7:05 PM
* Acknowledgment: ✓</t>
  </si>
  <si>
    <t>6409801766</t>
  </si>
  <si>
    <t>2025-12-09 03:23:51</t>
  </si>
  <si>
    <t>2026-04-17</t>
  </si>
  <si>
    <t>2026-04-19</t>
  </si>
  <si>
    <t>2348314453</t>
  </si>
  <si>
    <t>2025-12-09 14:15:26</t>
  </si>
  <si>
    <t>6434336191</t>
  </si>
  <si>
    <t>2025-12-09 22:13:08</t>
  </si>
  <si>
    <t>5304905420</t>
  </si>
  <si>
    <t>2025-12-10 21:40:26</t>
  </si>
  <si>
    <t>Theo Linhart completed the Adventure Inn Registration Card mini app: https://sys.akia.ai/mapp/9dee02bf-0f40-4d66-81c6-1bfc3acf377a?session=b0f8ab0a-b2d3-459a-9643-ac524a4974e5
* ID: Uploaded
* Email: theolinhart25@gmail.com
* Vehicle Color/Make/Model: 2017 Subaru outback white
* ETA: 7:30 PM
* Acknowledgment: ✓</t>
  </si>
  <si>
    <t>2026-01-16</t>
  </si>
  <si>
    <t>2026-01-17</t>
  </si>
  <si>
    <t>5013155798</t>
  </si>
  <si>
    <t>2025-12-10 21:49:12</t>
  </si>
  <si>
    <t>Theo Linhart completed the Adventure Inn Registration Card mini app: https://sys.akia.ai/mapp/71c622b0-f6f7-4833-9e86-59f2e3d864a1?session=89ea0581-b81e-4b6c-b558-1239b74c4fe4
* ID: Uploaded
* Email: theolinhart25@gmail.com
* Vehicle Color/Make/Model: Subaru outback white 
* ETA: 4:30 PM
* Acknowledgment: ✓</t>
  </si>
  <si>
    <t>HMJSX3CNX2</t>
  </si>
  <si>
    <t>2025-12-11 00:20:28</t>
  </si>
  <si>
    <t>Diego Matthias Jose Fernandez completed the Adventure Inn Registration Card mini app: https://sys.akia.ai/mapp/2de3f25d-f310-4c39-926a-6be4ad7df008?session=5b1e191d-4fde-45b8-879e-ec5c8cdac467
* ID: Uploaded
* Email: dhv084@gmail.com
* ETA: 8:00 PM
* Acknowledgment: ✓</t>
  </si>
  <si>
    <t>2025-12-11 04:32:57</t>
  </si>
  <si>
    <t>Brian House completed the Adventure Inn Registration Card mini app: https://sys.akia.ai/mapp/b13f3fd0-a3ca-4bcc-b997-ac8ccd298e14?session=76c950a1-df17-4077-903d-f73814e35c21
* ID: Uploaded
* Email: brian_house@hotmail.com
* Vehicle Color/Make/Model: Gray Toyota 4-runner
* ETA: 6:00 PM
* Acknowledgment: ✓</t>
  </si>
  <si>
    <t>2025-12-11 16:30:07</t>
  </si>
  <si>
    <t>HMRA9WMSAJ</t>
  </si>
  <si>
    <t>2025-12-12 00:39:18</t>
  </si>
  <si>
    <t>Tyler Lamunyon completed the Adventure Inn Registration Card mini app: https://sys.akia.ai/mapp/d167f619-a662-4d14-a84c-7cc5bb8b15aa?session=80ce3348-8fc4-4bbd-abf6-b2436a787a0a
* ID: Uploaded
* Email: tlamunyon1@gmail.com
* ETA: 8:50 PM
* Acknowledgment: ✓</t>
  </si>
  <si>
    <t>2026-01-03</t>
  </si>
  <si>
    <t>2026-01-04</t>
  </si>
  <si>
    <t>HM8WQB9SDR</t>
  </si>
  <si>
    <t>2025-12-13 00:09:34</t>
  </si>
  <si>
    <t>Karime Guaderrama completed the Adventure Inn Registration Card mini app: https://sys.akia.ai/mapp/00038c61-2e30-4798-81db-ea2a060a1680?session=8e9b6275-e84c-4074-8dd7-709d5a0af06f
* ID: Uploaded
* Email: karisma911@gmail.com
* Vehicle Color/Make/Model: Nissan Sentra white, 2023
* ETA: 4:00 PM
* Acknowledgment: ✓</t>
  </si>
  <si>
    <t>6342426920</t>
  </si>
  <si>
    <t>2025-12-13 00:48:49</t>
  </si>
  <si>
    <t>2026-05-13</t>
  </si>
  <si>
    <t>2026-05-14</t>
  </si>
  <si>
    <t>2350542426</t>
  </si>
  <si>
    <t>2025-12-13 02:59:38</t>
  </si>
  <si>
    <t>Emilie Biniker completed the Adventure Inn Registration Card mini app: https://sys.akia.ai/mapp/4a64ef09-75e9-473a-aed2-00e009125965?session=0ee72bed-1c72-4542-8938-124ddad4b9c2
* ID: Uploaded
* Email: emiliebiniker@gmail.com
* Vehicle Color/Make/Model: Honda odyssey
* ETA: 7:30 PM
* Acknowledgment: ✓</t>
  </si>
  <si>
    <t>2026-01-06</t>
  </si>
  <si>
    <t>2350611066</t>
  </si>
  <si>
    <t>2025-12-13 06:32:56</t>
  </si>
  <si>
    <t>Aiden Mitchell completed the Adventure Inn Registration Card mini app: https://sys.akia.ai/mapp/c041c354-7563-4ed3-8a19-d037c8126edb?session=455ffb2b-cc91-4317-b094-c10aac135b87
* ID: Uploaded
* Email: aidenranay5@hotmail.com
* Vehicle Color/Make/Model: Red ford escape from 
* ETA: 4:00 PM
* Acknowledgment: ✓</t>
  </si>
  <si>
    <t>HMM2JFMXKX</t>
  </si>
  <si>
    <t>2025-12-13 18:09:07</t>
  </si>
  <si>
    <t>2350848316</t>
  </si>
  <si>
    <t>2025-12-13 19:16:45</t>
  </si>
  <si>
    <t>John Ross completed the Adventure Inn Registration Card mini app: https://sys.akia.ai/mapp/f05c3ee6-e1bd-4405-b6c4-5c1311e001bc?session=56dfa708-01a9-4483-a1f0-dfc1a9699d9f
* ID: Uploaded
* Email: johnrosslac@gmail.com
* ETA: 4:00 PM
* Acknowledgment: ✓</t>
  </si>
  <si>
    <t>2026-05-09</t>
  </si>
  <si>
    <t>2026-05-10</t>
  </si>
  <si>
    <t>6696834637</t>
  </si>
  <si>
    <t>2025-12-13 20:29:28</t>
  </si>
  <si>
    <t>2026-05-25</t>
  </si>
  <si>
    <t>2026-05-28</t>
  </si>
  <si>
    <t>6313778094</t>
  </si>
  <si>
    <t>2025-12-13 22:19:10</t>
  </si>
  <si>
    <t>5097339965</t>
  </si>
  <si>
    <t>China</t>
  </si>
  <si>
    <t>2025-12-14 01:21:13</t>
  </si>
  <si>
    <t>2351800358</t>
  </si>
  <si>
    <t>2025-12-15 15:16:21</t>
  </si>
  <si>
    <t>2025-12-15 18:19:35</t>
  </si>
  <si>
    <t>2025-12-15 21:06:45</t>
  </si>
  <si>
    <t>5779000982</t>
  </si>
  <si>
    <t>2025-12-16 06:11:21</t>
  </si>
  <si>
    <t>2026-10-09</t>
  </si>
  <si>
    <t>2026-10-10</t>
  </si>
  <si>
    <t>2352314909</t>
  </si>
  <si>
    <t>2025-12-16 10:47:39</t>
  </si>
  <si>
    <t>2352314903</t>
  </si>
  <si>
    <t>2025-12-16 10:47:40</t>
  </si>
  <si>
    <t>2352314906</t>
  </si>
  <si>
    <t>2025-12-16 10:47:41</t>
  </si>
  <si>
    <t>2352314905</t>
  </si>
  <si>
    <t>2025-12-16 10:47:44</t>
  </si>
  <si>
    <t>2352467834</t>
  </si>
  <si>
    <t>2025-12-16 16:32:20</t>
  </si>
  <si>
    <t>Rosalinda Mark completed the Adventure Inn Registration Card mini app: https://sys.akia.ai/mapp/a94ccbc1-bd0c-4ac2-9798-71a9cd676ebb?session=d0d23aee-6d80-424f-931a-8bdd9d5bfc38
* ID: Uploaded
* Email: rosiemark18@gmail.com
* ETA: 4:00 PM
* Acknowledgment: ✓</t>
  </si>
  <si>
    <t>2025-12-16 21:22:01</t>
  </si>
  <si>
    <t>2025-12-17 00:38:13</t>
  </si>
  <si>
    <t>HMZS3YFEND</t>
  </si>
  <si>
    <t>2025-12-17 02:06:10</t>
  </si>
  <si>
    <t>5294457184</t>
  </si>
  <si>
    <t>2025-12-17 02:31:13</t>
  </si>
  <si>
    <t>5671286590</t>
  </si>
  <si>
    <t>2025-12-17 03:06:11</t>
  </si>
  <si>
    <t>2352782288</t>
  </si>
  <si>
    <t>2025-12-17 03:33:47</t>
  </si>
  <si>
    <t>6393070858</t>
  </si>
  <si>
    <t>2025-12-17 04:18:41</t>
  </si>
  <si>
    <t>Khalid Nezami completed the Adventure Inn Registration Card mini app: https://sys.akia.ai/mapp/199ae165-2289-4379-9375-34b2ec308c2b?session=8f1c328b-a238-4ca5-aa3c-2ec96e42592b
* ID: Uploaded
* Email: knezami2001@gmail.com
* Vehicle Color/Make/Model: Black VW Taos
* ETA: 5:00 PM
* Acknowledgment: ✓</t>
  </si>
  <si>
    <t>5057965142</t>
  </si>
  <si>
    <t>2025-12-17 04:40:15</t>
  </si>
  <si>
    <t>Neal Polonsky completed the Adventure Inn Registration Card mini app: https://sys.akia.ai/mapp/3bc18dc6-c7b2-4458-9981-a015f25fdff7?session=4051f158-c1fd-4cef-959e-688984dd7215
* ID: Uploaded
* Email: urbanthor1@gmail.com
* Vehicle Color/Make/Model: Blk Mercedes E400
* ETA: 4:00 PM
* Acknowledgment: ✓</t>
  </si>
  <si>
    <t>5671235713</t>
  </si>
  <si>
    <t>2025-12-17 06:08:43</t>
  </si>
  <si>
    <t>6742697040</t>
  </si>
  <si>
    <t>2025-12-17 20:11:57</t>
  </si>
  <si>
    <t>Trax Adams completed the Adventure Inn Registration Card mini app: https://sys.akia.ai/mapp/8917c483-95d9-44c4-b61d-20c5a7270700?session=bbe05c60-3b05-4fa7-b0fe-7f172f31085d
* ID: Uploaded
* Email: traxadams@gmail.com
* Vehicle Color/Make/Model: Grey Chevy Colorado 
* ETA: 4:00 PM
* Acknowledgment: ✓</t>
  </si>
  <si>
    <t>5773955080</t>
  </si>
  <si>
    <t>2025-12-17 20:34:11</t>
  </si>
  <si>
    <t>2353213059</t>
  </si>
  <si>
    <t>2025-12-17 21:15:45</t>
  </si>
  <si>
    <t>2353213063</t>
  </si>
  <si>
    <t>2025-12-17 21:15:49</t>
  </si>
  <si>
    <t>5057903336</t>
  </si>
  <si>
    <t>2025-12-17 21:27:48</t>
  </si>
  <si>
    <t>2026-01-01</t>
  </si>
  <si>
    <t>6787058201</t>
  </si>
  <si>
    <t>2025-12-18 02:45:11</t>
  </si>
  <si>
    <t>Mark Jeansonne completed the Adventure Inn Registration Card mini app: https://sys.akia.ai/mapp/7b609b4e-31d3-46d1-aa39-dad1b4e7474b?session=66b86cf5-ca8d-4a3e-a2aa-1c004e68c4eb
* ID: Uploaded
* Email: finleyfinishespainting@gmail.com
* Vehicle Color/Make/Model: Honda Accord white
* ETA: 3:00 PM
* Acknowledgment: ✓</t>
  </si>
  <si>
    <t>HMMXJTR3CK</t>
  </si>
  <si>
    <t>2025-12-18 04:01:42</t>
  </si>
  <si>
    <t>Alicia Haro completed the Adventure Inn Registration Card mini app: https://sys.akia.ai/mapp/eceaef04-bc22-40d3-8fdc-9eca53af4913?session=f87282cf-2975-4f7e-a788-d9e20fe42f3f
* ID: Uploaded
* Email: aliciaharo78123@gmail.com
* Vehicle Color/Make/Model: Blue Chevy silverado
* ETA: 4:00 PM
* Acknowledgment: ✓, 3pm Check in</t>
  </si>
  <si>
    <t>2353822823</t>
  </si>
  <si>
    <t>2025-12-18 21:39:34</t>
  </si>
  <si>
    <t>Megan Vandergriff completed the Adventure Inn Registration Card mini app: https://sys.akia.ai/mapp/944d5769-6827-4499-88d6-077b7f977215?session=7f120808-4aab-4237-8bad-a2c90fcfb4c0
* ID: Uploaded
* Email: ten.i.see.baby@gmail.com
* Vehicle Color/Make/Model: White Toyota Tacoma
* ETA: 4:00 PM
* Acknowledgment: ✓</t>
  </si>
  <si>
    <t>6009242647</t>
  </si>
  <si>
    <t>2025-12-18 22:56:10</t>
  </si>
  <si>
    <t>Fnu Mohit completed the Adventure Inn Registration Card mini app: https://sys.akia.ai/mapp/e4e79cd4-3a97-49c4-93a9-180a1573187e?session=829b7715-3b94-4ad4-8879-b400d19e6f78
* ID: Uploaded
* Email: mohit.banyal93@gmail.com
* Vehicle Color/Make/Model: Black jeep wrangler 
* ETA: 2:00 PM
* Acknowledgment: ✓</t>
  </si>
  <si>
    <t>2353916324</t>
  </si>
  <si>
    <t>2025-12-19 01:12:59</t>
  </si>
  <si>
    <t>David Lee completed the Adventure Inn Registration Card mini app: https://sys.akia.ai/mapp/290c4f6d-0ab6-45d0-a3f9-aaaad9591c94?session=23c5d693-31e9-4756-8ed2-075eb7530b75
* ID: Uploaded
* Email: leedavid239@gmail.com
* Vehicle Color/Make/Model: Silver Toyota 4runner
* ETA: 7:00 PM
* Acknowledgment: ✓</t>
  </si>
  <si>
    <t>5079678632</t>
  </si>
  <si>
    <t>2025-12-19 01:23:14</t>
  </si>
  <si>
    <t>5530309049</t>
  </si>
  <si>
    <t>2025-12-19 02:22:12</t>
  </si>
  <si>
    <t>HMEH2D5NAY</t>
  </si>
  <si>
    <t>2025-12-19 02:26:22</t>
  </si>
  <si>
    <t>2354007223</t>
  </si>
  <si>
    <t>2025-12-19 04:34:21</t>
  </si>
  <si>
    <t>Amanda Shull completed the Adventure Inn Registration Card mini app: https://sys.akia.ai/mapp/a43a1178-ca31-458b-bbc6-27d9c8206b86?session=d1b5e3cd-f1d1-4e71-8b78-c717a4093925
* ID: Uploaded
* Email: amandashull@hotmail.com
* Vehicle Color/Make/Model: Rental - unknown
* ETA: 9:00 PM
* Acknowledgment: ✓</t>
  </si>
  <si>
    <t>5079689180</t>
  </si>
  <si>
    <t>2025-12-19 06:37:51</t>
  </si>
  <si>
    <t>5530391123</t>
  </si>
  <si>
    <t>2025-12-19 15:34:05</t>
  </si>
  <si>
    <t>5814299330</t>
  </si>
  <si>
    <t>2025-12-19 20:04:37</t>
  </si>
  <si>
    <t>5987162715</t>
  </si>
  <si>
    <t>2025-12-19 21:18:49</t>
  </si>
  <si>
    <t>Emilee Compton completed the Adventure Inn Registration Card mini app: https://sys.akia.ai/mapp/2e07ef49-e3b7-405a-b398-99116a1f27f0?session=2654bcf5-cb6a-46ca-a981-a1f4b006037c
* ID: Uploaded
* Email: emileefl202@gmail.com
* Vehicle Color/Make/Model: Silver ford f150
* ETA: 4:00 PM
* Acknowledgment: ✓</t>
  </si>
  <si>
    <t>5530326265</t>
  </si>
  <si>
    <t>2025-12-19 22:06:32</t>
  </si>
  <si>
    <t>Neal Polonsky completed the Adventure Inn Registration Card mini app: https://sys.akia.ai/mapp/0063bb0b-c646-4ace-a1b0-7dab2c906281?session=6ab4b034-74ab-42fe-9123-4241dfd81d5f
* ID: Uploaded
* Email: urbanthor1@gmail.com
* Vehicle Color/Make/Model: Blk Mercedes E 400
* ETA: 5:00 PM
* Acknowledgment: ✓</t>
  </si>
  <si>
    <t>6855095869</t>
  </si>
  <si>
    <t>2025-12-19 22:07:32</t>
  </si>
  <si>
    <t>HMMJ94QRQC</t>
  </si>
  <si>
    <t>2025-12-19 23:02:08</t>
  </si>
  <si>
    <t>5530303421</t>
  </si>
  <si>
    <t>2025-12-20 00:01:46</t>
  </si>
  <si>
    <t>Ramona Gutierrez completed the Adventure Inn Registration Card mini app: https://sys.akia.ai/mapp/4ef12bae-9834-4030-a75f-d6eb5c891b43?session=a321ae00-6713-4b1d-9d3a-a3f16567197a
* ID: Uploaded
* Email: ramonagutierrez070792@gmail.com
* Vehicle Color/Make/Model: Hyundai Kona Black
* ETA: 4:00 PM
* Acknowledgment: ✓</t>
  </si>
  <si>
    <t>5249324096</t>
  </si>
  <si>
    <t>2025-12-20 00:13:04</t>
  </si>
  <si>
    <t>6009279770</t>
  </si>
  <si>
    <t>2025-12-20 00:45:32</t>
  </si>
  <si>
    <t>HMTRMA889W</t>
  </si>
  <si>
    <t>2025-12-20 02:39:23</t>
  </si>
  <si>
    <t>William Ardon completed the Adventure Inn Registration Card mini app: https://sys.akia.ai/mapp/670441cd-7148-4f42-9b57-a5e1f92a52f0?session=8852b3b3-0834-4dc7-9732-b766cbbf5d3c
* ID: Uploaded
* Email: william@ardonservices.com
* Vehicle Color/Make/Model: Black, Chevrolet 1500 
* ETA: 10:30 PM
* Acknowledgment: ✓</t>
  </si>
  <si>
    <t>2354559636</t>
  </si>
  <si>
    <t>2025-12-20 02:57:51</t>
  </si>
  <si>
    <t>Connie Yee completed the Adventure Inn Registration Card mini app: https://sys.akia.ai/mapp/5e299336-b966-4d72-a5e9-cb69aecb060e?session=faed7126-85ac-4cca-8ff0-b2dd03c3b164
* ID: Uploaded
* Email: jwyee@yahoo.com
* Vehicle Color/Make/Model: Hyundai Ioniq 5
* ETA: 6:00 PM
* Acknowledgment: ✓</t>
  </si>
  <si>
    <t>2354559639</t>
  </si>
  <si>
    <t>2025-12-20 02:57:55</t>
  </si>
  <si>
    <t>Geen Yee completed the Adventure Inn Registration Card mini app: https://sys.akia.ai/mapp/d6825ef3-4aa1-43f7-9826-2aee849a754a?session=a5bbde01-1675-4686-bf0d-287793aeea0a
* ID: Uploaded
* Email: jwyee@yahoo.com
* Vehicle Color/Make/Model: Hyundai Ioniq 5
* ETA: 6:00 PM
* Acknowledgment: ✓</t>
  </si>
  <si>
    <t>6827223772</t>
  </si>
  <si>
    <t>2025-12-20 04:48:37</t>
  </si>
  <si>
    <t>104 (STK), 117 (STQ)</t>
  </si>
  <si>
    <t>2354605464</t>
  </si>
  <si>
    <t>2025-12-20 04:51:20</t>
  </si>
  <si>
    <t>Monique De Los Rios-Urban completed the Adventure Inn Registration Card mini app: https://sys.akia.ai/mapp/14c1ce8d-b8cd-462c-ae4a-1e399dd4f835?session=8d6da8f0-17d3-4347-9a8e-90590d33c80f
* ID: Uploaded
* Email: delosrios@cox.net
* Vehicle Color/Make/Model: Grey Subaru Outback
* ETA: 5:10 AM
* Acknowledgment: ✓</t>
  </si>
  <si>
    <t>5307914694</t>
  </si>
  <si>
    <t>2025-12-20 05:06:08</t>
  </si>
  <si>
    <t>5249369678</t>
  </si>
  <si>
    <t>2025-12-20 05:41:04</t>
  </si>
  <si>
    <t>Chin Tuan Wu completed the Adventure Inn Registration Card mini app: https://sys.akia.ai/mapp/733edc9b-7771-4266-a228-1f4e07380521?session=11045e07-f535-444c-b7fc-426806e39172
* ID: Uploaded
* Email: dorisgary850311@gmail.com
* Vehicle Color/Make/Model: Gray Med/Volk/Jetta
* ETA: 4:00 PM
* Acknowledgment: ✓</t>
  </si>
  <si>
    <t>6815274381</t>
  </si>
  <si>
    <t>2025-12-20 06:08:08</t>
  </si>
  <si>
    <t>6939766784</t>
  </si>
  <si>
    <t>2025-12-20 06:15:13</t>
  </si>
  <si>
    <t>5391303705</t>
  </si>
  <si>
    <t>2025-12-20 06:33:40</t>
  </si>
  <si>
    <t>2354653935</t>
  </si>
  <si>
    <t>2025-12-20 07:43:25</t>
  </si>
  <si>
    <t>Carlos Cobos completed the Adventure Inn Registration Card mini app: https://sys.akia.ai/mapp/450786b7-3a72-416e-9658-a0ee274da1e1?session=b08de8f5-bbc7-4a20-9c99-feb092bf1ab7
* ID: Uploaded
* Email: carloscobos16@yahoo.com
* Vehicle Color/Make/Model: Black Jeep Grand Cherokee 
* ETA: 5:00 PM
* Acknowledgment: ✓</t>
  </si>
  <si>
    <t>6100787867</t>
  </si>
  <si>
    <t>2025-12-20 09:31:14</t>
  </si>
  <si>
    <t>Riley Ochs completed the Adventure Inn Registration Card mini app: https://sys.akia.ai/mapp/d9d86a8b-fbe2-4421-a4f5-b96c5fe96df8?session=a4125d28-cc4c-4919-a04c-137c52acbc73
* ID: Uploaded
* Email: riley.ochs@gmail.com
* Vehicle Color/Make/Model: Silver Hyundai venue
* ETA: 5:00 PM
* Acknowledgment: ✓</t>
  </si>
  <si>
    <t>2354769400</t>
  </si>
  <si>
    <t>2025-12-20 14:58:37</t>
  </si>
  <si>
    <t>2354784297</t>
  </si>
  <si>
    <t>2025-12-20 15:35:38</t>
  </si>
  <si>
    <t>5858578207</t>
  </si>
  <si>
    <t>2025-12-20 15:44:09</t>
  </si>
  <si>
    <t>Katrina Tantay completed the Adventure Inn Registration Card mini app: https://sys.akia.ai/mapp/0e5c0ad4-d868-4c5a-bf45-2aeaf38658d4?session=031c8bbb-4a14-4412-b0ee-3342241fd158
* ID: Uploaded
* Email: KATRINATANTAY@GMAIL.COM
* Vehicle Color/Make/Model: White Acura MDX
* ETA: 4:00 PM
* Acknowledgment: ✓</t>
  </si>
  <si>
    <t>2025-12-20 16:20:05</t>
  </si>
  <si>
    <t>Robert Keeley completed the Adventure Inn Registration Card mini app: https://sys.akia.ai/mapp/cd1d686d-9532-4574-be32-c0f0971a0204?session=0fe14833-08fe-4b31-be3c-52f5f8d9f5a8
* ID: Uploaded
* Email: kaseydewitt05@gmail.com
* Vehicle Color/Make/Model: Hyundai Palisade white
* ETA: 4:00 PM
* Acknowledgment: ✓</t>
  </si>
  <si>
    <t>5467043741</t>
  </si>
  <si>
    <t>2025-12-20 16:28:23</t>
  </si>
  <si>
    <t>5114963231</t>
  </si>
  <si>
    <t>2025-12-20 18:03:14</t>
  </si>
  <si>
    <t>Allie Malloy completed the Adventure Inn Registration Card mini app: https://sys.akia.ai/mapp/201fc640-5ac5-4e06-b375-abf476cef7cd?session=f33c31ea-fa9b-4b82-a622-b6c96755b7e3
* ID: Uploaded
* Email: alliemalloy1215@gmail.com
* Vehicle Color/Make/Model: White/hyundai/tucson
* ETA: 6:00 PM
* Acknowledgment: ✓</t>
  </si>
  <si>
    <t>2354850613</t>
  </si>
  <si>
    <t>2025-12-20 18:10:06</t>
  </si>
  <si>
    <t>Sonora Perez completed the Adventure Inn Registration Card mini app: https://sys.akia.ai/mapp/89134d87-43ea-4e28-ae35-55fbdbc7aa3b?session=abe1742f-f5a2-4115-84fa-bab0a0ff8d62
* ID: Uploaded
* Email: sip3rez@gmail.com
* Vehicle Color/Make/Model: grey
* ETA: 6:00 PM
* Acknowledgment: ✓</t>
  </si>
  <si>
    <t>5538823223</t>
  </si>
  <si>
    <t>2025-12-20 19:32:22</t>
  </si>
  <si>
    <t>5549274116</t>
  </si>
  <si>
    <t>2025-12-20 21:29:19</t>
  </si>
  <si>
    <t>2354961059</t>
  </si>
  <si>
    <t>2025-12-20 22:41:13</t>
  </si>
  <si>
    <t>2354969496</t>
  </si>
  <si>
    <t>2025-12-20 23:02:32</t>
  </si>
  <si>
    <t>Christina Cox completed the Adventure Inn Registration Card mini app: https://sys.akia.ai/mapp/7aca4792-5c15-42cb-9c8f-062a2aae4a80?session=99b9ee12-3da0-48c2-ab46-f2efc371edce
* ID: Uploaded
* Email: coxer371@gmail.com
* Vehicle Color/Make/Model: White Toyota 4Runner 
* ETA: 12:00 PM
* Acknowledgment: ✓</t>
  </si>
  <si>
    <t>2354970211</t>
  </si>
  <si>
    <t>2025-12-20 23:04:28</t>
  </si>
  <si>
    <t>Christina Cox completed the Adventure Inn Registration Card mini app: https://sys.akia.ai/mapp/7a7b7a23-4581-4e1b-9183-7b431d0253e2?session=faf40cc8-b737-47dd-8c7e-c66cfc62dd5f
* ID: Uploaded
* Email: coxer371@gmail.com
* Vehicle Color/Make/Model: White Toyota 4runner
* ETA: 12:00 PM
* Acknowledgment: ✓</t>
  </si>
  <si>
    <t>5274167964</t>
  </si>
  <si>
    <t>2025-12-20 23:11:40</t>
  </si>
  <si>
    <t>Matthew Barela completed the Adventure Inn Registration Card mini app: https://sys.akia.ai/mapp/e6812e79-6730-4756-8858-0ff2760da36f?session=ef730b13-a317-4897-b901-a0afc3a4296c
* ID: Uploaded
* Email: matthew.barela99@gmail.com
* Vehicle Color/Make/Model: Black Dodge Ram 2500
* ETA: 8:00 PM
* Acknowledgment: ✓</t>
  </si>
  <si>
    <t>5114962139</t>
  </si>
  <si>
    <t>2025-12-20 23:16:28</t>
  </si>
  <si>
    <t>Leo Santibanez completed the Adventure Inn Registration Card mini app: https://sys.akia.ai/mapp/b390801e-1dc4-494a-b6b7-ff5c5448bc2b?session=38fb8a69-d582-4487-b0bd-d1c29f9a30cc
* ID: Uploaded
* Email: perropirana@gmail.com
* Vehicle Color/Make/Model: Ford raptor grey
* ETA: 7:02 PM
* Acknowledgment: ✓</t>
  </si>
  <si>
    <t>2025-12-20 23:51:35</t>
  </si>
  <si>
    <t>HM9YSXEARN</t>
  </si>
  <si>
    <t>2025-12-21 00:04:44</t>
  </si>
  <si>
    <t>5583658067</t>
  </si>
  <si>
    <t>2025-12-21 00:25:41</t>
  </si>
  <si>
    <t>Anja Allenspach completed the Adventure Inn Registration Card mini app: https://sys.akia.ai/mapp/e229cab2-282c-4e72-b6d2-093fb8074e71?session=b3d0e257-8a7b-49e7-be4d-4ed3ca2e6f0f
* ID: Uploaded
* Email: anja.vanessa@yahoo.com
* Vehicle Color/Make/Model: Red/hyundai/sonata
* ETA: 4:00 PM
* Acknowledgment: ✓</t>
  </si>
  <si>
    <t>5583633741</t>
  </si>
  <si>
    <t>2025-12-21 00:46:15</t>
  </si>
  <si>
    <t>Kshitij Addepally completed the Adventure Inn Registration Card mini app: https://sys.akia.ai/mapp/ed1a0533-d454-4c39-b377-d08a8201db61?session=baca8be7-a589-4de3-9bc6-cfebcf8fc64b
* ID: Uploaded
* Email: kshitij2924@gmail.com
* Vehicle Color/Make/Model: Dark grey/Jeep/ grand cherokee
* ETA: 9:00 PM
* Acknowledgment: ✓</t>
  </si>
  <si>
    <t>5628382706</t>
  </si>
  <si>
    <t>2025-12-21 01:04:16</t>
  </si>
  <si>
    <t>2355045392</t>
  </si>
  <si>
    <t>2025-12-21 02:17:20</t>
  </si>
  <si>
    <t>6977601190</t>
  </si>
  <si>
    <t>2025-12-21 02:57:14</t>
  </si>
  <si>
    <t>Joshua Wilkinson completed the Adventure Inn Registration Card mini app: https://sys.akia.ai/mapp/1e8bd75e-04c5-48bf-aaf2-ac5723fa82f2?session=b78d60d9-72be-4631-b92c-08e1d8a32875
* ID: Uploaded
* Email: sarahsmith79@icloud.com
* Vehicle Color/Make/Model: Toyota Tacoma 
* ETA: 4:00 PM
* Acknowledgment: ✓</t>
  </si>
  <si>
    <t>2355063410</t>
  </si>
  <si>
    <t>2025-12-21 03:05:01</t>
  </si>
  <si>
    <t>2355074673</t>
  </si>
  <si>
    <t>2025-12-21 03:35:13</t>
  </si>
  <si>
    <t>2026-01-26</t>
  </si>
  <si>
    <t>2355099798</t>
  </si>
  <si>
    <t>2025-12-21 04:48:34</t>
  </si>
  <si>
    <t>Walker Galyean completed the Adventure Inn Registration Card mini app: https://sys.akia.ai/mapp/5fe5cfcb-1b83-46a6-b70b-4304da32a668?session=eee78e6a-0e84-4673-90be-9726c063dfbc
* ID: Uploaded
* Email: walkergalyean@gmail.com
* Vehicle Color/Make/Model: 2023 gmc terrain 
* ETA: 3:00 PM
* Acknowledgment: ✓</t>
  </si>
  <si>
    <t>6770639331</t>
  </si>
  <si>
    <t>2025-12-21 05:47:05</t>
  </si>
  <si>
    <t>6495214067</t>
  </si>
  <si>
    <t>2025-12-21 05:55:19</t>
  </si>
  <si>
    <t>Christopher Alderete completed the Adventure Inn Registration Card mini app: https://sys.akia.ai/mapp/37cd135e-22b1-452c-8543-0647da43b45e?session=ebf3cb0d-76fd-4ae8-9b3a-4897418d9ef4
* ID: Uploaded
* Email: elkoholic1978@live.com
* Vehicle Color/Make/Model: Pewter Chevy Colorado 
* ETA: 10:00 AM
* Acknowledgment: ✓</t>
  </si>
  <si>
    <t>6218550332</t>
  </si>
  <si>
    <t>2025-12-21 15:39:13</t>
  </si>
  <si>
    <t>2355307702</t>
  </si>
  <si>
    <t>2025-12-21 17:08:58</t>
  </si>
  <si>
    <t>Checked out many days early due to not being happy with the room, no table, no dresser, no where to "move in"-JF</t>
  </si>
  <si>
    <t>2355339591</t>
  </si>
  <si>
    <t>2025-12-21 18:27:25</t>
  </si>
  <si>
    <t>Sergio Castillo completed the Adventure Inn Registration Card mini app: https://sys.akia.ai/mapp/1beb4f4f-95a4-4f38-9236-bab8ac5e6a9f?session=6a76e75d-54ea-4c54-a083-cb0778ef8b30
* ID: Uploaded
* Email: scasti03@gmail.vom
* Vehicle Color/Make/Model: black ford taurus
* ETA: 4:00 PM
* Acknowledgment: ✓</t>
  </si>
  <si>
    <t>2355340750</t>
  </si>
  <si>
    <t>2025-12-21 18:30:07</t>
  </si>
  <si>
    <t>Michael Chavez-Cano completed the Adventure Inn Registration Card mini app: https://sys.akia.ai/mapp/4b1b1fc0-db49-43d5-b16c-18f9237e1000?session=4c994fa9-f0ea-4bf2-ab90-da889f8e12b6
* ID: Uploaded
* Email: Mccano1019@outlook.com
* Vehicle Color/Make/Model: Red/Chevy/Colorado 
* ETA: 5:30 PM
* Acknowledgment: ✓</t>
  </si>
  <si>
    <t>2355398966</t>
  </si>
  <si>
    <t>2025-12-21 20:51:31</t>
  </si>
  <si>
    <t>2025-12-21 21:36:57</t>
  </si>
  <si>
    <t>HM5F53833W</t>
  </si>
  <si>
    <t>2025-12-21 22:08:01</t>
  </si>
  <si>
    <t>5538893247</t>
  </si>
  <si>
    <t>2025-12-21 22:14:41</t>
  </si>
  <si>
    <t>HMZDZ9FDBA</t>
  </si>
  <si>
    <t>2025-12-21 22:33:00</t>
  </si>
  <si>
    <t>6770639204</t>
  </si>
  <si>
    <t>2025-12-21 23:57:59</t>
  </si>
  <si>
    <t>Nicholas Westfall completed the Adventure Inn Registration Card mini app: https://sys.akia.ai/mapp/b85bc6fe-38cd-48dd-8983-1e70971eaa57?session=dfbd3b99-148e-493b-92e7-204dbde149d2
* ID: Uploaded
* Email: nawestfa@gmail.com
* Vehicle Color/Make/Model: Grey Tesla Model Y
* ETA: 4:00 PM
* Acknowledgment: ✓</t>
  </si>
  <si>
    <t>HMZBADQZFB</t>
  </si>
  <si>
    <t>2025-12-22 01:32:24</t>
  </si>
  <si>
    <t>Melissa Skillern completed the Adventure Inn Registration Card mini app: https://sys.akia.ai/mapp/e48ebf93-255a-4a41-abdf-ea5ec08aa8a1?session=ca2b7e0f-ec2f-436b-82d6-a731b2ac8c9d
* ID: Uploaded
* Email: skyandmjheart@gmail.com
* Vehicle Color/Make/Model: Black Subaru Outback 
* ETA: 8:30 PM
* Acknowledgment: ✓</t>
  </si>
  <si>
    <t>5858535574</t>
  </si>
  <si>
    <t>2025-12-22 06:01:10</t>
  </si>
  <si>
    <t>HM5DMB4PAM</t>
  </si>
  <si>
    <t>2025-12-22 07:27:34</t>
  </si>
  <si>
    <t>Molly Byer completed the Adventure Inn Registration Card mini app: https://sys.akia.ai/mapp/6fccd0e4-41cb-4058-a2c7-3e665299ff3e?session=1041b26b-4574-497b-aea2-1409939ae3e2
* ID: Uploaded
* Email: mollybyer@gmail.com
* Vehicle Color/Make/Model: White Yukon Denali
* ETA: 6:00 PM
* Acknowledgment: ✓</t>
  </si>
  <si>
    <t>HMQPXKY8HS</t>
  </si>
  <si>
    <t>2025-12-22 13:44:50</t>
  </si>
  <si>
    <t>2355867139</t>
  </si>
  <si>
    <t>2025-12-22 17:01:34</t>
  </si>
  <si>
    <t>5117186101</t>
  </si>
  <si>
    <t>2025-12-22 19:45:51</t>
  </si>
  <si>
    <t>Ronny Riman completed the Adventure Inn Registration Card mini app: https://sys.akia.ai/mapp/e25b659b-6e6c-4ca9-a9ef-189f1215f0cc?session=6150c0ed-0f06-4085-962c-b49731ab960d
* ID: Uploaded
* Email: ronny.riman@gmail.com
* Vehicle Color/Make/Model: Gray Toyota Tacoma
* ETA: 4:00 PM
* Acknowledgment: ✓</t>
  </si>
  <si>
    <t>5873884277</t>
  </si>
  <si>
    <t>2025-12-22 20:44:17</t>
  </si>
  <si>
    <t>Benny Fu completed the Adventure Inn Registration Card mini app: https://sys.akia.ai/mapp/bc4a83d0-e15f-4603-b7e6-52bd9135422a?session=d923981f-dc15-4f5c-8bab-6e125b5de85d
* ID: Uploaded
* Email: refried_phonies_8r@icloud.com
* Vehicle Color/Make/Model: Blue Tesla Y
* ETA: 5:00 PM
* Acknowledgment: ✓</t>
  </si>
  <si>
    <t>2025-12-22 22:11:06</t>
  </si>
  <si>
    <t>5376853176</t>
  </si>
  <si>
    <t>2025-12-22 22:49:48</t>
  </si>
  <si>
    <t>Kelly Anderson completed the Adventure Inn Registration Card mini app: https://sys.akia.ai/mapp/41a5fe0e-9b38-4886-84e3-eaf3006c4797?session=202b5cf9-4f93-436f-ae55-39d0c98eef9b
* ID: Uploaded
* Email: andersonkelly@hotmail.com
* Vehicle Color/Make/Model: Silver Honda HRV
* ETA: 4:00 PM
* Acknowledgment: ✓</t>
  </si>
  <si>
    <t>2026-01-05</t>
  </si>
  <si>
    <t>2025-12-22 23:15:37</t>
  </si>
  <si>
    <t>Elijah Strayhand completed the Adventure Inn Registration Card mini app: https://sys.akia.ai/mapp/9ecdf277-7b3c-487c-866a-94b94ad8d0b1?session=a85bbee3-7cab-49f3-b2ff-6db8b19785ec
* ID: Uploaded
* Email: elijahstrayhand@gmail.com
* Vehicle Color/Make/Model: White gmc canyon
* ETA: 4:00 PM
* Acknowledgment: ✓</t>
  </si>
  <si>
    <t>5379824930</t>
  </si>
  <si>
    <t>2025-12-23 00:08:14</t>
  </si>
  <si>
    <t>2025-12-23 02:25:53</t>
  </si>
  <si>
    <t>Chad Corbin completed the Adventure Inn Registration Card mini app: https://sys.akia.ai/mapp/0326bb43-d73f-4364-9b89-42f98df1e0d4?session=a19fd639-0b31-48d6-b79e-50b9b8ff4aa6
* ID: Uploaded
* Email: giantabq@gmail.com
* Vehicle Color/Make/Model: Subaru, Brown
* ETA: 4:00 PM
* Acknowledgment: ✓</t>
  </si>
  <si>
    <t>6401187340</t>
  </si>
  <si>
    <t>2025-12-23 02:39:44</t>
  </si>
  <si>
    <t>5033832446</t>
  </si>
  <si>
    <t>2025-12-23 03:03:04</t>
  </si>
  <si>
    <t>Ryan Eberhart completed the Adventure Inn Registration Card mini app: https://sys.akia.ai/mapp/f6b21cdf-b56c-42a4-878f-ce72546609b1?session=b56188e9-07f0-411e-a99c-96be2653b5b9
* ID: Uploaded
* Email: rjautos@live.com
* Vehicle Color/Make/Model: Green
* ETA: 4:30 PM
* Acknowledgment: ✓</t>
  </si>
  <si>
    <t>5422385423</t>
  </si>
  <si>
    <t>2025-12-23 04:34:22</t>
  </si>
  <si>
    <t>Kalaydzhieva Mariya completed the Adventure Inn Registration Card mini app: https://sys.akia.ai/mapp/581e53a8-c083-4c44-9fe3-12cb5091698a?session=e1d3a70a-18cf-4d47-a694-f946f8b2e035
* ID: Uploaded
* Email: mariyakalaydzhieva@gmail.com
* Vehicle Color/Make/Model: Grey Honda Civic
* ETA: 4:00 PM
* Acknowledgment: ✓</t>
  </si>
  <si>
    <t>2356454938</t>
  </si>
  <si>
    <t>2025-12-23 17:28:21</t>
  </si>
  <si>
    <t>Sam Piotraschke completed the Adventure Inn Registration Card mini app: https://sys.akia.ai/mapp/df1b6289-0d1c-4386-861a-db778a47f8eb?session=517aa155-bb4c-4ca3-a251-da7bc5425a47
* ID: Uploaded
* Email: sam.piotraschke66@gmail.com
* Vehicle Color/Make/Model: Black 4 runner
* ETA: 10:00 PM
* Acknowledgment: ✓</t>
  </si>
  <si>
    <t>6538531689</t>
  </si>
  <si>
    <t>2025-12-23 18:04:49</t>
  </si>
  <si>
    <t>5160231991</t>
  </si>
  <si>
    <t>2025-12-23 21:47:56</t>
  </si>
  <si>
    <t>6304424295</t>
  </si>
  <si>
    <t>2025-12-23 23:16:46</t>
  </si>
  <si>
    <t>Snell Matt completed the Adventure Inn Registration Card mini app: https://sys.akia.ai/mapp/cc85d959-8481-481e-805e-72618120036f?session=08c5c001-bf26-401f-b181-705a93b04bb7
* ID: Uploaded
* Email: matt@denverskicompany.com
* Vehicle Color/Make/Model: White Subaru Outback 
* ETA: 4:00 PM
* Acknowledgment: ✓</t>
  </si>
  <si>
    <t>6401183279</t>
  </si>
  <si>
    <t>2025-12-24 00:05:02</t>
  </si>
  <si>
    <t>Wilfred Kamau completed the Adventure Inn Registration Card mini app: https://sys.akia.ai/mapp/cbfe56f6-6da9-411d-80c9-21a2e0383980?session=748ae30b-b195-4836-b1e3-dc3c3fdafdc3
* ID: Uploaded
* Email: wilgit20@gmail.com
* Vehicle Color/Make/Model: Grey/BMW/X6
* ETA: 1:30 PM
* Acknowledgment: ✓</t>
  </si>
  <si>
    <t>6401142619</t>
  </si>
  <si>
    <t>2025-12-24 00:20:04</t>
  </si>
  <si>
    <t>6979828257</t>
  </si>
  <si>
    <t>2025-12-24 01:49:47</t>
  </si>
  <si>
    <t>2026-03-24</t>
  </si>
  <si>
    <t>2026-03-29</t>
  </si>
  <si>
    <t>2356921456</t>
  </si>
  <si>
    <t>2025-12-24 15:29:56</t>
  </si>
  <si>
    <t>Barbara Keeler completed the Adventure Inn Registration Card mini app: https://sys.akia.ai/mapp/65d98549-a5a6-4383-8b6b-92d6ba8222f9?session=05d37c04-0860-493f-a535-c35cec6932be
* ID: Uploaded
* Email: Barbara.r.keeler@gmail.com
* Vehicle Color/Make/Model: Rental
* ETA: 4:00 PM
* Acknowledgment: ✓</t>
  </si>
  <si>
    <t>HMYCSQ4KCA</t>
  </si>
  <si>
    <t>2025-12-24 16:48:22</t>
  </si>
  <si>
    <t>Sarah Mcgrath completed the Adventure Inn Registration Card mini app: https://sys.akia.ai/mapp/056d97a9-63ce-451f-b18f-7313ab682e02?session=23bfdb23-a73c-48c9-8b9f-afd43cee481a
* ID: Uploaded
* Email: smcgrath9766@gmail.com
* Vehicle Color/Make/Model: White, Chevy, truck 
* ETA: 6:38 PM
* Acknowledgment: ✓</t>
  </si>
  <si>
    <t>2356978728</t>
  </si>
  <si>
    <t>2025-12-24 17:58:27</t>
  </si>
  <si>
    <t>Alyssa Leandro completed the Adventure Inn Registration Card mini app: https://sys.akia.ai/mapp/eeea6c1d-167a-4d7f-a7a0-ed2717082f43?session=53d736cb-6148-403f-994d-ccc2fc276018
* ID: Uploaded
* Email: leandroalyssa.m@gmail.com
* Vehicle Color/Make/Model: Grey TOYOTA CH-R
* ETA: 2:00 PM
* Acknowledgment: ✓</t>
  </si>
  <si>
    <t>2357006516</t>
  </si>
  <si>
    <t>2025-12-24 19:15:56</t>
  </si>
  <si>
    <t>2357043968</t>
  </si>
  <si>
    <t>2025-12-24 21:07:24</t>
  </si>
  <si>
    <t>Rebecca Marshall completed the Adventure Inn Registration Card mini app: https://sys.akia.ai/mapp/13ca1c36-8812-47f3-8ee4-fddde7e888cc?session=dc532786-3c90-4baa-a016-ac21c6d098d1
* ID: Uploaded
* Email: marshallrmarie@icloud.com
* Vehicle Color/Make/Model: White Mazda CX50
* ETA: 3:00 PM
* Acknowledgment: ✓</t>
  </si>
  <si>
    <t>2357043969</t>
  </si>
  <si>
    <t>2025-12-24 21:07:27</t>
  </si>
  <si>
    <t>Sean Marshall completed the Adventure Inn Registration Card mini app: https://sys.akia.ai/mapp/22fa9f41-4096-44af-ab2a-79512faebd8f?session=53859c90-6217-471d-af03-49ae5db74d5f
* ID: Uploaded
* Email: seanpmarshall@outlook.com
* Vehicle Color/Make/Model: White Mazda CX50
* ETA: 3:00 PM
* Acknowledgment: ✓</t>
  </si>
  <si>
    <t>6353649064</t>
  </si>
  <si>
    <t>2025-12-25 21:04:23</t>
  </si>
  <si>
    <t>Sophie Rouge completed the Adventure Inn Registration Card mini app: https://sys.akia.ai/mapp/8af5222d-d57a-4393-8797-edf175865bbc?session=1cc98623-9790-45cb-a700-e22cb11c5e52
* ID: Uploaded
* Email: sjrouge@gmail.com
* Vehicle Color/Make/Model: sjrouge@gmail.com
* ETA: 3:00 PM
* Acknowledgment: ✓</t>
  </si>
  <si>
    <t>2026-04-05</t>
  </si>
  <si>
    <t>2026-04-06</t>
  </si>
  <si>
    <t>2357509783</t>
  </si>
  <si>
    <t>2025-12-25 23:24:26</t>
  </si>
  <si>
    <t>Jon Kolman completed the Adventure Inn Registration Card mini app: https://sys.akia.ai/mapp/6dea9bd8-877e-4610-8a88-bc6d9a423806?session=f8558229-5921-4d5d-97bc-d2281088b114
* ID: Uploaded
* Email: jonk2069@yahoo.com
* Vehicle Color/Make/Model: Brown Nissan rogue 
* ETA: 5:30 PM
* Acknowledgment: ✓</t>
  </si>
  <si>
    <t>5946618561</t>
  </si>
  <si>
    <t>2025-12-26 02:01:03</t>
  </si>
  <si>
    <t>2357597044</t>
  </si>
  <si>
    <t>2025-12-26 03:10:13</t>
  </si>
  <si>
    <t>Angeline Jones completed the Adventure Inn Registration Card mini app: https://sys.akia.ai/mapp/989b0cd7-906e-43a5-a45c-6b84fe06a004?session=762e1d9c-17d6-4e1c-a27f-e73f2c435c43
* ID: Uploaded
* Email: corinthians13918@yahoo.com
* Vehicle Color/Make/Model: Gray/toyota/rav4
* ETA: 4:30 PM
* Acknowledgment: ✓</t>
  </si>
  <si>
    <t>2026-01-08</t>
  </si>
  <si>
    <t>2357763916</t>
  </si>
  <si>
    <t>2025-12-26 12:53:31</t>
  </si>
  <si>
    <t>Jennifer Marks completed the Adventure Inn Registration Card mini app: https://sys.akia.ai/mapp/cd032614-0276-449d-8fa9-b7c329349284?session=d0215715-d6f1-4692-9060-1e0d68fdbf5b
* ID: Uploaded
* Email: jenmarks406@gmail.com
* Vehicle Color/Make/Model: Grey/toyota/4runner
* ETA: 8:45 PM
* Acknowledgment: ✓</t>
  </si>
  <si>
    <t>5772231554</t>
  </si>
  <si>
    <t>2025-12-26 14:32:57</t>
  </si>
  <si>
    <t>Wilfred Kamau completed the Adventure Inn Registration Card mini app: https://sys.akia.ai/mapp/158d8aa1-2b6c-4db0-a978-e2a0d26b2c71?session=1b59fb8b-6b7d-4149-8cd8-4c6a9a7ff608
* ID: Uploaded
* Email: wilgit20@gmail.com
* Vehicle Color/Make/Model: X6/BMW/GREY
* ETA: 1:00 PM
* Acknowledgment: ✓</t>
  </si>
  <si>
    <t>5914461368</t>
  </si>
  <si>
    <t>2025-12-26 18:17:17</t>
  </si>
  <si>
    <t>Sydney Mammoser completed the Adventure Inn Registration Card mini app: https://sys.akia.ai/mapp/d7e65acf-8f50-48c3-8667-bb6802357dca?session=1d365dcc-45e9-45a1-a4e4-bdd9e4fdf01f
* ID: Uploaded
* Email: sydneymammoser@gmail.com
* Vehicle Color/Make/Model: WhiteHonda CRV
* ETA: 4:00 PM
* Acknowledgment: ✓</t>
  </si>
  <si>
    <t>203 (STK), 119 (STQ)</t>
  </si>
  <si>
    <t>5390314049</t>
  </si>
  <si>
    <t>2025-12-26 19:17:21</t>
  </si>
  <si>
    <t>2357968366</t>
  </si>
  <si>
    <t>2025-12-26 20:01:09</t>
  </si>
  <si>
    <t>2357968370</t>
  </si>
  <si>
    <t>2025-12-26 20:01:12</t>
  </si>
  <si>
    <t>Jose Gamon completed the Adventure Inn Registration Card mini app: https://sys.akia.ai/mapp/66d45124-8d0d-4e25-9f1e-cc9f0908bba3?session=39ea65b3-3a3f-44c7-a9d3-7c45ffc70407
* ID: Uploaded
* Email: funnierlouie@gmail.com
* Vehicle Color/Make/Model: Dark blue 2013 Honda Accord 
* ETA: 3:30 PM
* Acknowledgment: ✓</t>
  </si>
  <si>
    <t>5390325308</t>
  </si>
  <si>
    <t>2025-12-26 23:49:04</t>
  </si>
  <si>
    <t>6907397536</t>
  </si>
  <si>
    <t>2025-12-27 00:26:38</t>
  </si>
  <si>
    <t>2025-12-27 04:05:06</t>
  </si>
  <si>
    <t>Diana Sokolow completed the Adventure Inn Registration Card mini app: https://sys.akia.ai/mapp/172686b0-7df1-41fc-a0ed-4d11188c5202?session=06d54b8b-cf1e-4306-bc11-899b6f8250d4
* ID: Uploaded
* Email: diana.sokolow@gmail.com
* Vehicle Color/Make/Model: Rental car - not yet known
* ETA: 3:00 PM
* Acknowledgment: ✓</t>
  </si>
  <si>
    <t>5487482255</t>
  </si>
  <si>
    <t>2025-12-27 05:34:40</t>
  </si>
  <si>
    <t>2358405174</t>
  </si>
  <si>
    <t>2025-12-27 15:06:26</t>
  </si>
  <si>
    <t>Taylor Helms completed the Adventure Inn Registration Card mini app: https://sys.akia.ai/mapp/929d57bb-fef0-4e39-ba7a-63685f4817e7?session=ebb20a8c-6f23-4cee-ae9f-b6742593119f
* ID: Uploaded
* Email: tthelms44@gmail.com
* Vehicle Color/Make/Model: Silver ford f150 
* ETA: 3:00 PM
* Acknowledgment: ✓</t>
  </si>
  <si>
    <t>2025-12-27 16:03:36</t>
  </si>
  <si>
    <t>Mollie Caldwell completed the Adventure Inn Registration Card mini app: https://sys.akia.ai/mapp/6355b65e-b542-41f9-a633-619efcc5e712?session=f08b0488-f238-4816-bb64-b1cbf39bc0e5
* ID: Uploaded
* Email: mdeisher32@gmail.com
* Vehicle Color/Make/Model: Black/Jeep/Sport
* ETA: 8:00 PM
* Acknowledgment: ✓</t>
  </si>
  <si>
    <t>2358431863</t>
  </si>
  <si>
    <t>2025-12-27 16:04:41</t>
  </si>
  <si>
    <t>David Hockman completed the Adventure Inn Registration Card mini app: https://sys.akia.ai/mapp/15da0574-dc4d-4f5e-9bc6-6243fcc4c69d?session=32bd6dfa-3f4d-410b-9bad-c017e4521cd7
* ID: Uploaded
* Email: davidhockman@gmail.com
* Vehicle Color/Make/Model: Grey Lexus gx470
* ETA: 5:00 PM
* Acknowledgment: ✓</t>
  </si>
  <si>
    <t>6065044432</t>
  </si>
  <si>
    <t>2025-12-27 16:55:00</t>
  </si>
  <si>
    <t>Shanee Alter completed the Adventure Inn Registration Card mini app: https://sys.akia.ai/mapp/ec9f02cb-fd84-43a6-b04d-6ccf07310439?session=81c70101-5e49-4585-b932-9cb4cec5e3c0
* ID: Uploaded
* Email: alter.shanee@ymail.com
* Vehicle Color/Make/Model: Blue/toyota rav 4 hybrid 
* ETA: 4:00 PM
* Acknowledgment: ✓</t>
  </si>
  <si>
    <t>5982649707</t>
  </si>
  <si>
    <t>2025-12-27 19:49:19</t>
  </si>
  <si>
    <t>6231074029</t>
  </si>
  <si>
    <t>2025-12-27 20:36:09</t>
  </si>
  <si>
    <t>Sachiko Huang completed the Adventure Inn Registration Card mini app: https://sys.akia.ai/mapp/638f41b3-2d73-47d2-a452-2e3e91364c13?session=e1d2d067-ad02-4564-acc9-42aa542a6b2a
* ID: Uploaded
* Email: Sachiko.huang@gmail.com
* Vehicle Color/Make/Model: Black/chevy/tahoe
* ETA: 8:00 PM
* Acknowledgment: ✓</t>
  </si>
  <si>
    <t>2358617439</t>
  </si>
  <si>
    <t>2025-12-27 22:24:25</t>
  </si>
  <si>
    <t>Devin Jordan Ellis completed the Adventure Inn Registration Card mini app: https://sys.akia.ai/mapp/4ef23e25-2e6a-4c6c-a17e-b477e74dc87b?session=d23ab6f5-fa2d-4b60-8ad3-d0d2165163e0
* ID: Uploaded
* Email: devinj129@gmail.com
* Vehicle Color/Make/Model: Black ford escape 
* ETA: 12:00 PM
* Acknowledgment: ✓</t>
  </si>
  <si>
    <t>HMDAZNWZ9E</t>
  </si>
  <si>
    <t>2025-12-28 00:23:43</t>
  </si>
  <si>
    <t>HM2F8EBWBA</t>
  </si>
  <si>
    <t>2025-12-28 03:17:42</t>
  </si>
  <si>
    <t>5372978154</t>
  </si>
  <si>
    <t>2025-12-28 03:33:29</t>
  </si>
  <si>
    <t>Taylor Venessa completed the Adventure Inn Registration Card mini app: https://sys.akia.ai/mapp/55a28253-71e4-4e54-baf3-65d3b95cf133?session=941c066c-ba83-4df1-9e4c-11d199bc7174
* ID: Uploaded
* Email: venessataylor10@gmail.com
* Vehicle Color/Make/Model: Blue Harley Davidson
* ETA: 4:00 PM
* Acknowledgment: ✓</t>
  </si>
  <si>
    <t>2026-01-13</t>
  </si>
  <si>
    <t>6231019556</t>
  </si>
  <si>
    <t>2025-12-28 03:56:00</t>
  </si>
  <si>
    <t>2358787116</t>
  </si>
  <si>
    <t>2025-12-28 04:48:09</t>
  </si>
  <si>
    <t>Travis James completed the Adventure Inn Registration Card mini app: https://sys.akia.ai/mapp/916fd009-6ade-4eb5-9cf9-a51b8d422a62?session=5b246709-b983-45a7-b0b3-e87d188ac95d
* ID: Uploaded
* Email: treverjames@hotmail.com
* Vehicle Color/Make/Model: Brown gmc suburban 
* ETA: 4:00 PM
* Acknowledgment: ✓</t>
  </si>
  <si>
    <t>6917778587</t>
  </si>
  <si>
    <t>2025-12-28 06:16:01</t>
  </si>
  <si>
    <t>HM8K2XJKKE</t>
  </si>
  <si>
    <t>2025-12-28 15:14:16</t>
  </si>
  <si>
    <t>2358983701</t>
  </si>
  <si>
    <t>2025-12-28 16:07:20</t>
  </si>
  <si>
    <t>Chance Anders completed the Adventure Inn Registration Card mini app: https://sys.akia.ai/mapp/25bbcf10-5a0c-4c8a-a256-bd482429b5fc?session=18e541d8-14eb-4b0f-9445-273160b15c19
* ID: Uploaded
* Email: Chance.k.anders117@gmail.com
* Vehicle Color/Make/Model: Subaru Forrester Silver
* ETA: 6:30 PM
* Acknowledgment: ✓</t>
  </si>
  <si>
    <t>HMS45CFRQQ</t>
  </si>
  <si>
    <t>2025-12-28 17:20:10</t>
  </si>
  <si>
    <t>2025-12-28 18:11:55</t>
  </si>
  <si>
    <t>Paolo Soto completed the Adventure Inn Registration Card mini app: https://sys.akia.ai/mapp/70fc9816-a110-47e0-ba8d-00cbdf07fd9d?session=18f32e38-f668-4486-a5d5-b5e4b3b2ab17
* ID: Uploaded
* Email: paola.falcon19@yahoo.com
* Vehicle Color/Make/Model: Black GMC Sierra
* ETA: 3:00 PM
* Acknowledgment: ✓</t>
  </si>
  <si>
    <t>2025-12-28 20:55:33</t>
  </si>
  <si>
    <t>5096662086</t>
  </si>
  <si>
    <t>2025-12-28 22:43:08</t>
  </si>
  <si>
    <t>6055601929</t>
  </si>
  <si>
    <t>2025-12-28 23:36:23</t>
  </si>
  <si>
    <t>2025-12-28 23:45:32</t>
  </si>
  <si>
    <t>2026-01-18</t>
  </si>
  <si>
    <t>2359251382</t>
  </si>
  <si>
    <t>2025-12-29 01:06:10</t>
  </si>
  <si>
    <t>5082418732</t>
  </si>
  <si>
    <t>2025-12-29 02:17:54</t>
  </si>
  <si>
    <t>6055632740</t>
  </si>
  <si>
    <t>2025-12-29 03:38:14</t>
  </si>
  <si>
    <t>Shanee Alter completed the Adventure Inn Registration Card mini app: https://sys.akia.ai/mapp/f28ff6ff-8aed-48b4-9a5c-a6439dd4ac0e?session=c1dd0233-9d43-47e1-97c9-26dd633de2e8
* ID: Uploaded
* Email: alter.shanee@ymail.com
* Vehicle Color/Make/Model: Blue/ Toyota rav 4
* Acknowledgment: ✓</t>
  </si>
  <si>
    <t>2026-03-28</t>
  </si>
  <si>
    <t>HM3FFPY3DE</t>
  </si>
  <si>
    <t>2025-12-29 04:07:49</t>
  </si>
  <si>
    <t>Kelli Page completed the Adventure Inn Registration Card mini app: https://sys.akia.ai/mapp/e3c09a7d-afcd-437c-bdb8-75f4a58e8acf?session=ba3a9a28-dcf2-480b-9af0-ce516cb39712
* ID: Uploaded
* Email: mellikarie2@hotmail.com
* Vehicle Color/Make/Model: White Chevy Traverse
* ETA: 4:30 PM
* Acknowledgment: ✓</t>
  </si>
  <si>
    <t>2026-01-23</t>
  </si>
  <si>
    <t>HMF8MYAHAY</t>
  </si>
  <si>
    <t>2025-12-29 04:19:24</t>
  </si>
  <si>
    <t>Austin Thomas completed the Adventure Inn Registration Card mini app: https://sys.akia.ai/mapp/98285c2f-0f54-418d-b992-181e29b6f312?session=c8c4ccb3-ad6e-49f3-83c4-51ba8700ddf7
* ID: Uploaded
* Email: austin.rhea.thomas@gmail.com
* Vehicle Color/Make/Model: TBD
* ETA: 9:00 PM
* Acknowledgment: ✓</t>
  </si>
  <si>
    <t>2359387553</t>
  </si>
  <si>
    <t>2025-12-29 06:22:16</t>
  </si>
  <si>
    <t>Charlie Sneed completed the Adventure Inn Registration Card mini app: https://sys.akia.ai/mapp/6a91a04f-6b0d-4b1e-8b65-d40aa63cb9e5?session=7351fb83-861f-4185-8b2d-4004b0dfd697
* ID: Uploaded
* Email: charliesneedd@gmail.com
* Vehicle Color/Make/Model: Blue/Nissan/Rogue
* ETA: 5:00 PM
* Acknowledgment: ✓</t>
  </si>
  <si>
    <t>5882655250</t>
  </si>
  <si>
    <t>2025-12-29 15:46:30</t>
  </si>
  <si>
    <t>HMXMHAMQ8M</t>
  </si>
  <si>
    <t>2025-12-29 16:14:48</t>
  </si>
  <si>
    <t>Pramod Thungala completed the Adventure Inn Registration Card mini app: https://sys.akia.ai/mapp/f5877c08-26ad-4741-b085-a8f389b86c88?session=b41ff39e-1709-4a41-8a17-63f4493941d1
* ID: Uploaded
* Email: t.pramod1213@gmail.com
* Vehicle Color/Make/Model: Mazda 
* ETA: 4:00 PM
* Acknowledgment: ✓</t>
  </si>
  <si>
    <t>5882686855</t>
  </si>
  <si>
    <t>2025-12-29 17:11:14</t>
  </si>
  <si>
    <t>Joslyn Paredes completed the Adventure Inn Registration Card mini app: https://sys.akia.ai/mapp/c29d1c0b-49ae-41f3-b5fd-5cca5795c2a0?session=a7847a2e-b393-48dc-bf38-4ae474cec18a
* ID: Uploaded
* Email: joslynjean02@gmail.com
* Vehicle Color/Make/Model: Red Subaru Forester
* ETA: 8:30 PM
* Acknowledgment: ✓</t>
  </si>
  <si>
    <t>2359707225</t>
  </si>
  <si>
    <t>2025-12-29 19:24:52</t>
  </si>
  <si>
    <t>Dina Melhem completed the Adventure Inn Registration Card mini app: https://sys.akia.ai/mapp/f07e9e2d-a840-4d5f-9dae-cc1056b42538?session=81618dec-720d-4203-ba4c-ed92d07ecda1
* ID: Uploaded
* Email: dina.melhem@gmail.com
* Vehicle Color/Make/Model: Steel / Toyota / rav4
* ETA: 3:00 PM
* Acknowledgment: ✓</t>
  </si>
  <si>
    <t>6253791266</t>
  </si>
  <si>
    <t>2025-12-29 19:35:49</t>
  </si>
  <si>
    <t>Dylan Nunez completed the Adventure Inn Registration Card mini app: https://sys.akia.ai/mapp/fba095ec-9b1f-4c32-aebb-ad1f05e96297?session=325299b7-5e80-4014-ac6e-bd8102ead4e6
* ID: Uploaded
* Email: dylannunezalt@gmail.com
* Vehicle Color/Make/Model: Grey Toyota Camry 
* ETA: 8:00 PM
* Acknowledgment: ✓</t>
  </si>
  <si>
    <t>2025-12-29 19:50:50</t>
  </si>
  <si>
    <t>Raylene Macpherson completed the Adventure Inn Registration Card mini app: https://sys.akia.ai/mapp/04a6a91d-b399-4c23-95d6-cb96cafefdb1?session=3eb00a22-fe96-4834-895a-31fb8acb5f97
* ID: Uploaded
* Email: vigilraylene@gmail.com
* Vehicle Color/Make/Model: White/ Ford truck 
* ETA: 10:00 PM
* Acknowledgment: ✓</t>
  </si>
  <si>
    <t>5049754741</t>
  </si>
  <si>
    <t>2025-12-29 22:30:26</t>
  </si>
  <si>
    <t>Meliano Griego completed the Adventure Inn Registration Card mini app: https://sys.akia.ai/mapp/6ecd2812-2c05-43b3-832f-cd2122151932?session=4728722a-6216-4796-836a-0b9a855174fa
* ID: Uploaded
* Email: m.griego364@icloud.com
* Vehicle Color/Make/Model: Black,Honda,pilot
* ETA: 4:00 PM
* Acknowledgment: ✓</t>
  </si>
  <si>
    <t>2025-12-30 00:04:17</t>
  </si>
  <si>
    <t>5578260819</t>
  </si>
  <si>
    <t>2025-12-30 02:08:02</t>
  </si>
  <si>
    <t>Changed dates- owes extra $121.27</t>
  </si>
  <si>
    <t>HMFXCQSSTB</t>
  </si>
  <si>
    <t>2025-12-30 04:32:59</t>
  </si>
  <si>
    <t>HMQJ5K2TQC</t>
  </si>
  <si>
    <t>2025-12-30 04:34:59</t>
  </si>
  <si>
    <t>Adrian Lopez completed the Adventure Inn Registration Card mini app: https://sys.akia.ai/mapp/19ba8806-e19b-4ecd-85bb-70b0fcb12e59?session=06165a83-4aed-4737-827b-be8d71bebba1
* ID: Uploaded
* Email: adrnlpz@gmail.com
* Vehicle Color/Make/Model: Black
* ETA: 4:00 PM
* Acknowledgment: ✓</t>
  </si>
  <si>
    <t>HMXNHXZASW</t>
  </si>
  <si>
    <t>2025-12-30 19:06:12</t>
  </si>
  <si>
    <t>Ezequiel Vargas completed the Adventure Inn Registration Card mini app: https://sys.akia.ai/mapp/f1765618-44eb-4baa-8363-e555690e12ae?session=380a24da-ea14-4766-9b7e-2d31ba2991d0
* ID: Uploaded
* Email: zekevargas@gmail.com
* Vehicle Color/Make/Model: Brown Nissan Rouge 
* ETA: 4:00 PM
* Acknowledgment: ✓</t>
  </si>
  <si>
    <t>5331275616</t>
  </si>
  <si>
    <t>2025-12-30 22:00:12</t>
  </si>
  <si>
    <t>2026-02-26</t>
  </si>
  <si>
    <t>2025-12-31 00:11:13</t>
  </si>
  <si>
    <t>2360538060</t>
  </si>
  <si>
    <t>2025-12-31 01:04:09</t>
  </si>
  <si>
    <t>Karen Ripke completed the Adventure Inn Registration Card mini app: https://sys.akia.ai/mapp/aa633012-167d-4fb9-8ccd-4bbcc554230b?session=27264c93-5732-4b4f-9bcb-307d0fe059b8
* ID: Uploaded
* Email: ripke75@icloud.com
* Vehicle Color/Make/Model: Gray Ford escape 
* ETA: 9:45 PM
* Acknowledgment: ✓</t>
  </si>
  <si>
    <t>2026-02-11</t>
  </si>
  <si>
    <t>HMEDAA23KE</t>
  </si>
  <si>
    <t>2025-12-31 01:26:14</t>
  </si>
  <si>
    <t>Brittany Foster completed the Adventure Inn Registration Card mini app: https://sys.akia.ai/mapp/aa04c14e-9c5e-4750-a0f4-f22d5be043cb?session=f909082d-3131-4f90-aff0-ed3cd35a2d30
* ID: Uploaded
* Email: bfoster12022011@yahoo.com
* Vehicle Color/Make/Model: Red ford f150
* ETA: 4:00 PM
* Acknowledgment: ✓</t>
  </si>
  <si>
    <t>5732662186</t>
  </si>
  <si>
    <t>2025-12-31 01:46:51</t>
  </si>
  <si>
    <t>2026-03-04</t>
  </si>
  <si>
    <t>2026-03-05</t>
  </si>
  <si>
    <t>5732624385</t>
  </si>
  <si>
    <t>2025-12-31 03:53:04</t>
  </si>
  <si>
    <t>5716716071</t>
  </si>
  <si>
    <t>2025-12-31 03:55:02</t>
  </si>
  <si>
    <t>2026-03-09</t>
  </si>
  <si>
    <t>2026-03-10</t>
  </si>
  <si>
    <t>5331286301</t>
  </si>
  <si>
    <t>2025-12-31 03:57:13</t>
  </si>
  <si>
    <t>5282323951</t>
  </si>
  <si>
    <t>2025-12-31 05:59:46</t>
  </si>
  <si>
    <t>HMNFNS9FTZ</t>
  </si>
  <si>
    <t>2025-12-31 07:02:57</t>
  </si>
  <si>
    <t>Chloe Krey completed the Adventure Inn Registration Card mini app: https://sys.akia.ai/mapp/83d34e33-a3bf-4b62-961f-56370c05cb91?session=67dba8e3-6fd1-4692-9967-7abf93fe920f
* ID: Uploaded
* Email: chloekrey@gmail.com
* Vehicle Color/Make/Model: White Subaru Outback
* ETA: 2:00 PM
* Acknowledgment: ✓</t>
  </si>
  <si>
    <t>2025-12-31 10:50:04</t>
  </si>
  <si>
    <t>Spencer Conley completed the Adventure Inn Registration Card mini app: https://sys.akia.ai/mapp/212f27cf-ddee-4ff6-a9c1-0f7e52b2e17a?session=da0a6d96-79ad-4ebb-88e6-b1f20094f76d
* ID: Uploaded
* Email: conleycollection@gmail.com
* Vehicle Color/Make/Model: White Mercedes E350
* ETA: 2:00 PM
* Acknowledgment: ✓</t>
  </si>
  <si>
    <t>2360812117</t>
  </si>
  <si>
    <t>2025-12-31 13:48:30</t>
  </si>
  <si>
    <t>5282325634</t>
  </si>
  <si>
    <t>2025-12-31 16:16:44</t>
  </si>
  <si>
    <t>2360900968</t>
  </si>
  <si>
    <t>2025-12-31 17:02:46</t>
  </si>
  <si>
    <t>Kim Riggs completed the Adventure Inn Registration Card mini app: https://sys.akia.ai/mapp/ed284e25-5949-405d-9a2d-55c08671b2a5?session=44c749e8-1bf2-4efc-9ee0-06d2eed46bfb
* ID: Uploaded
* Email: kim2riggs@yahoo.com
* Vehicle Color/Make/Model: Blue ford explorer 
* ETA: 7:00 PM
* Acknowledgment: ✓</t>
  </si>
  <si>
    <t>2025-12-31 17:29:10</t>
  </si>
  <si>
    <t>Kody Tipton completed the Adventure Inn Registration Card mini app: https://sys.akia.ai/mapp/625db644-140d-4e02-8c5b-f2a60435312c?session=7eefbf52-e6da-4165-a80d-5cc6bf5e4d1c
* ID: Uploaded
* Email: kodytipton@outlook.com
* Vehicle Color/Make/Model: Black Subaru Forester
* ETA: 4:30 PM
* Acknowledgment: ✓</t>
  </si>
  <si>
    <t>2026-01-07</t>
  </si>
  <si>
    <t>2360931786</t>
  </si>
  <si>
    <t>2025-12-31 18:03:20</t>
  </si>
  <si>
    <t>5716783427</t>
  </si>
  <si>
    <t>2025-12-31 18:17:46</t>
  </si>
  <si>
    <t>2025-12-31 20:15:03</t>
  </si>
  <si>
    <t>2025-12-31 20:22:05</t>
  </si>
  <si>
    <t>201 (DQ), 205 (STK)</t>
  </si>
  <si>
    <t>2025-12-31 20:45:04</t>
  </si>
  <si>
    <t>Stephanie Jones completed the Adventure Inn Registration Card mini app: https://sys.akia.ai/mapp/0d47f0ab-37c0-4d29-9fe0-5c9c60ca1f50?session=bf234f4c-30c0-42ac-ac97-7d32bd2fc4df
* ID: Uploaded
* Email: s.jones5@icloud.com
* Vehicle Color/Make/Model: White jeep wagoneer
* ETA: 3:00 PM
* Acknowledgment: ✓</t>
  </si>
  <si>
    <t>2361037533</t>
  </si>
  <si>
    <t>2025-12-31 21:44:59</t>
  </si>
  <si>
    <t>Rachel Bartley completed the Adventure Inn Registration Card mini app: https://sys.akia.ai/mapp/244355d6-7f3b-49ce-bd81-236c45650437?session=8dd0a86b-353c-4700-acab-b20e03d4d1d3
* ID: Uploaded
* Email: rachelbartley.jbk@gmail.com
* Vehicle Color/Make/Model: Blue ford bronco
* ETA: 4:00 PM
* Acknowledgment: ✓</t>
  </si>
  <si>
    <t>5062170364</t>
  </si>
  <si>
    <t>2025-12-31 22:17:45</t>
  </si>
  <si>
    <t>2026-03-22</t>
  </si>
  <si>
    <t>2026-03-25</t>
  </si>
  <si>
    <t>2025-12-31 23:45:06</t>
  </si>
  <si>
    <t>2026-01-01 01:09:26</t>
  </si>
  <si>
    <t>2026-01-01 04:52:36</t>
  </si>
  <si>
    <t>Amairany Neri completed the Adventure Inn Registration Card mini app: https://sys.akia.ai/mapp/4ee0c934-5a2b-444f-a151-019662cc17aa?session=527b49d6-95be-42e3-9cf9-95000d24a624
* ID: Uploaded
* Email: amecejfuc3@gmail.com
* Vehicle Color/Make/Model: Red/Dodge/Charger
* ETA: 4:00 PM
* Acknowledgment: ✓</t>
  </si>
  <si>
    <t>2361247297</t>
  </si>
  <si>
    <t>2026-01-01 07:07:11</t>
  </si>
  <si>
    <t>Ellen Metrick completed the Adventure Inn Registration Card mini app: https://sys.akia.ai/mapp/88573643-4bb4-432b-b004-35df11efa5c7?session=7fdeabf4-a422-48f0-aff4-df874f9c3605
* ID: Uploaded
* Email: metricke@gmail.com
* Vehicle Color/Make/Model: 2001 Toyota Tacoma 4 door green
* ETA: 7:00 PM
* Acknowledgment: ✓</t>
  </si>
  <si>
    <t>6623083198</t>
  </si>
  <si>
    <t>Chile</t>
  </si>
  <si>
    <t>2026-01-01 11:58:12</t>
  </si>
  <si>
    <t>6251829608</t>
  </si>
  <si>
    <t>2026-01-01 15:43:54</t>
  </si>
  <si>
    <t>Melissa Heath completed the Adventure Inn Registration Card mini app: https://sys.akia.ai/mapp/0f90e842-2914-4fb6-a55c-d2d18eb8148b?session=ad20f621-9466-4bde-a3d8-c145f1ce5eee
* ID: Uploaded
* Email: mheath4847@att.net
* Vehicle Color/Make/Model: White Toyota Tacoma 
* ETA: 4:00 PM
* Acknowledgment: ✓</t>
  </si>
  <si>
    <t>2026-03-20</t>
  </si>
  <si>
    <t>2361415064</t>
  </si>
  <si>
    <t>2026-01-01 16:45:43</t>
  </si>
  <si>
    <t>5299082841</t>
  </si>
  <si>
    <t>2026-01-01 18:14:59</t>
  </si>
  <si>
    <t>Sabrina Pham completed the Adventure Inn Registration Card mini app: https://sys.akia.ai/mapp/65f58952-1769-47ee-a534-ca931a293d79?session=37a2cead-befb-4a6f-b596-fb8aa43927ee
* ID: Uploaded
* Email: sabrinatpham@gmail.com
* Vehicle Color/Make/Model: Toyota Tacoma
* ETA: 1:00 AM
* Acknowledgment: ✓</t>
  </si>
  <si>
    <t>2026-01-01 18:22:14</t>
  </si>
  <si>
    <t>Lilah Hurst completed the Adventure Inn Registration Card mini app: https://sys.akia.ai/mapp/7a9e78d6-772d-4be2-a535-24dd16687263?session=bae3d2a2-7a63-468b-bb1d-0e8060affef3
* ID: Uploaded
* Email: lilahhurst2@gmail.com
* Vehicle Color/Make/Model: Gray/ford/ranger 
* ETA: 3:00 PM
* Acknowledgment: ✓</t>
  </si>
  <si>
    <t>5155207163</t>
  </si>
  <si>
    <t>2026-01-01 18:29:27</t>
  </si>
  <si>
    <t>2361483273</t>
  </si>
  <si>
    <t>2026-01-01 19:04:01</t>
  </si>
  <si>
    <t>5066025409</t>
  </si>
  <si>
    <t>2026-01-01 21:14:36</t>
  </si>
  <si>
    <t>118 (STQ), 112 (STQ)</t>
  </si>
  <si>
    <t>5813665261</t>
  </si>
  <si>
    <t>2026-01-01 22:03:12</t>
  </si>
  <si>
    <t>William Vasquez completed the Adventure Inn Registration Card mini app: https://sys.akia.ai/mapp/ad530760-4e90-4879-8efd-1442849746aa?session=450344af-a299-4cbd-91d3-ca28597102be
* ID: Uploaded
* Email: will.uce@gmail.com
* Vehicle Color/Make/Model: Gray mitsubishi outlander 2022
* ETA: 9:00 PM
* Acknowledgment: ✓</t>
  </si>
  <si>
    <t>2361584637</t>
  </si>
  <si>
    <t>2026-01-01 22:22:44</t>
  </si>
  <si>
    <t>HMMTK3JP4P</t>
  </si>
  <si>
    <t>2026-01-01 23:02:18</t>
  </si>
  <si>
    <t>Jacey Kish completed the Adventure Inn Registration Card mini app: https://sys.akia.ai/mapp/8d89a77a-d516-44f1-9e95-13bf1042a5d9?session=1f133051-6fab-4609-837d-be29cc343f0a
* ID: Uploaded
* Email: jaceykish2.0@gmail.com
* Vehicle Color/Make/Model: Black Colorado 
* ETA: 11:00 PM
* Acknowledgment: ✓</t>
  </si>
  <si>
    <t>5299050520</t>
  </si>
  <si>
    <t>2026-01-01 23:06:06</t>
  </si>
  <si>
    <t>2026-05-02</t>
  </si>
  <si>
    <t>2361698051</t>
  </si>
  <si>
    <t>2026-01-02 02:12:29</t>
  </si>
  <si>
    <t>2361699465</t>
  </si>
  <si>
    <t>2026-01-02 02:15:07</t>
  </si>
  <si>
    <t>2026-01-02 03:13:48</t>
  </si>
  <si>
    <t>5886735165</t>
  </si>
  <si>
    <t>2026-01-02 03:26:50</t>
  </si>
  <si>
    <t>Elizaveta Dzhensen completed the Adventure Inn Registration Card mini app: https://sys.akia.ai/mapp/2ef8d20b-dc60-4307-bc1e-7f3ef6cb90a2?session=90a23a6b-f09f-4baa-b959-ecd65d66ceae
* ID: Uploaded
* Email: elizaveta.jensen@gmail.com
* Vehicle Color/Make/Model: Red Honda CRV 2024
* ETA: 8:00 PM
* Acknowledgment: ✓</t>
  </si>
  <si>
    <t>2026-01-02 03:52:57</t>
  </si>
  <si>
    <t>5886733002</t>
  </si>
  <si>
    <t>2026-01-02 06:40:23</t>
  </si>
  <si>
    <t>5513262853</t>
  </si>
  <si>
    <t>2026-01-02 07:32:49</t>
  </si>
  <si>
    <t>Chrystal Brooks completed the Adventure Inn Registration Card mini app: https://sys.akia.ai/mapp/3ed8eba5-1a06-48ae-8d5f-f4cc872799d1?session=00a1f2ee-927f-401e-8be0-4d5110da5105
* ID: Uploaded
* Email: chrystal.brooks@yahoo.com
* Vehicle Color/Make/Model: Honda pilot grey/blue
* ETA: 4:00 PM
* Acknowledgment: ✓</t>
  </si>
  <si>
    <t>5671791871</t>
  </si>
  <si>
    <t>2026-01-02 15:59:16</t>
  </si>
  <si>
    <t>Ricardo Hernandez Iii completed the Adventure Inn Registration Card mini app: https://sys.akia.ai/mapp/bb127840-e919-4c18-8773-cad6a56e1c55?session=16d758a5-fde7-4341-a522-c47d3bfa6ae2
* ID: Uploaded
* Email: ricardoherna91@gmail.com
* Vehicle Color/Make/Model: white/toyota/rav4
* ETA: 8:30 PM
* Acknowledgment: ✓</t>
  </si>
  <si>
    <t>6949335029</t>
  </si>
  <si>
    <t>2026-01-02 17:41:49</t>
  </si>
  <si>
    <t>6395292897</t>
  </si>
  <si>
    <t>2026-01-02 17:54:24</t>
  </si>
  <si>
    <t>6241828637</t>
  </si>
  <si>
    <t>2026-01-02 18:05:21</t>
  </si>
  <si>
    <t>Abe Fehr completed the Adventure Inn Registration Card mini app: https://sys.akia.ai/mapp/fea98fef-fe9e-4ee5-83c0-59f2cc4e0d1e?session=4c313329-06ef-4a59-80df-2a24a0ce9584
* ID: Uploaded
* Email: abefehr2005@gmail.com
* Vehicle Color/Make/Model: 2020 handa accord blue 
* ETA: 4:00 PM
* Acknowledgment: ✓</t>
  </si>
  <si>
    <t>2026-05-04</t>
  </si>
  <si>
    <t>2026-05-05</t>
  </si>
  <si>
    <t>2362263405</t>
  </si>
  <si>
    <t>2026-01-02 23:21:44</t>
  </si>
  <si>
    <t>David Hogue completed the Adventure Inn Registration Card mini app: https://sys.akia.ai/mapp/82f9dbe5-424d-4de2-aacf-5dc2ea342454?session=f47153ad-93fd-4933-81b3-ba964d1a1bc6
* ID: Uploaded
* Email: dhogue4@verizon.net
* Vehicle Color/Make/Model: Silver Nissan Rogue 
* ETA: 4:00 PM
* Acknowledgment: ✓</t>
  </si>
  <si>
    <t>2362265194</t>
  </si>
  <si>
    <t>2026-01-02 23:25:10</t>
  </si>
  <si>
    <t>2026-01-03 01:24:47</t>
  </si>
  <si>
    <t>HMMPZXRCCQ</t>
  </si>
  <si>
    <t>2026-01-03 14:24:11</t>
  </si>
  <si>
    <t>2026-01-03 16:20:46</t>
  </si>
  <si>
    <t>Hannah Max possibly checking in-JF</t>
  </si>
  <si>
    <t>2362685401</t>
  </si>
  <si>
    <t>2026-01-03 17:59:06</t>
  </si>
  <si>
    <t>Sandesh Gururaja Doddamane completed the Adventure Inn Registration Card mini app: https://sys.akia.ai/mapp/4fdb1fd2-6749-46c7-ab82-24c8293b42bd?session=5e4fa422-b8ec-46c0-bdd2-42a9cadb873c
* ID: Uploaded
* Email: sandesh2786@gmail.com
* Vehicle Color/Make/Model: Na
* ETA: 7:00 PM
* Acknowledgment: ✓</t>
  </si>
  <si>
    <t>2026-04-10</t>
  </si>
  <si>
    <t>2026-04-12</t>
  </si>
  <si>
    <t>2362721155</t>
  </si>
  <si>
    <t>2026-01-03 19:10:54</t>
  </si>
  <si>
    <t>Gail Sappingfield completed the Adventure Inn Registration Card mini app: https://sys.akia.ai/mapp/8d0de3af-a15e-495a-a663-63923d609011?session=9c23fd98-41b5-485c-a1f4-71b71afdfc7c
* ID: Uploaded
* Email: asensibleway@gmail.com
* Vehicle Color/Make/Model: White/Ford/Escape 2019
* ETA: 8:39 PM
* Acknowledgment: ✓</t>
  </si>
  <si>
    <t>5742494613</t>
  </si>
  <si>
    <t>2026-01-03 23:39:42</t>
  </si>
  <si>
    <t>104 (STK), 120 (STQ)</t>
  </si>
  <si>
    <t>2026-01-04 00:13:19</t>
  </si>
  <si>
    <t>Richard Hodgson completed the Adventure Inn Registration Card mini app: https://sys.akia.ai/mapp/3821ebe5-faad-4068-9930-dc1d02dc1604?session=91fb4391-35b9-4618-9238-2bbc3060e3fe
* ID: Uploaded
* Email: shelly.hodgson72@gmail.com
* Vehicle Color/Make/Model: Black Hyundai Tucson 
* ETA: 9:00 PM
* Acknowledgment: ✓</t>
  </si>
  <si>
    <t>2362876296</t>
  </si>
  <si>
    <t>2026-01-04 00:32:53</t>
  </si>
  <si>
    <t>Steve Ott completed the Adventure Inn Registration Card mini app: https://sys.akia.ai/mapp/3d77f71e-f1e7-4b84-b18c-e8ed37286ad6?session=d1d93cab-d37a-4250-82ff-6483952302df
* ID: Uploaded
* Email: Swipe.right1026@gmail.com
* Vehicle Color/Make/Model: Beige Chevy Tahoe 
* ETA: 9:30 PM
* Acknowledgment: ✓</t>
  </si>
  <si>
    <t>2026-02-10</t>
  </si>
  <si>
    <t>5692936717</t>
  </si>
  <si>
    <t>2026-01-04 01:15:35</t>
  </si>
  <si>
    <t>6334747781</t>
  </si>
  <si>
    <t>Argentina</t>
  </si>
  <si>
    <t>2026-01-04 03:38:55</t>
  </si>
  <si>
    <t>6444323119</t>
  </si>
  <si>
    <t>2026-01-04 04:35:22</t>
  </si>
  <si>
    <t>HMCNXPPB4H</t>
  </si>
  <si>
    <t>2026-01-04 09:25:29</t>
  </si>
  <si>
    <t>Brittany Arviso completed the Adventure Inn Registration Card mini app: https://sys.akia.ai/mapp/d80b4485-ae51-48a8-8fcd-9c8b4463a04a?session=4ab1b350-5931-4d4c-92a5-2cc5d223cb18
* ID: Uploaded
* Email: brvso97@gmail.com
* Vehicle Color/Make/Model: Blue Mazda CX5
* ETA: 6:00 PM
* Acknowledgment: ✓</t>
  </si>
  <si>
    <t>2026-03-14</t>
  </si>
  <si>
    <t>6384794843</t>
  </si>
  <si>
    <t>2026-01-04 16:03:34</t>
  </si>
  <si>
    <t>Jennifer Martinez completed the Adventure Inn Registration Card mini app: https://sys.akia.ai/mapp/935dd23a-705f-4667-b524-29c15a312514?session=f76ee886-1c5e-45d1-b5d3-81dbfa812563
* ID: Uploaded
* Email: jenmartinez1125@gmail.com
* Vehicle Color/Make/Model: Black Chevy Silverado 
* ETA: 6:00 PM
* Acknowledgment: ✓</t>
  </si>
  <si>
    <t>2026-04-01</t>
  </si>
  <si>
    <t>2026-04-02</t>
  </si>
  <si>
    <t>5692730469</t>
  </si>
  <si>
    <t>2026-01-04 16:46:28</t>
  </si>
  <si>
    <t>2026-01-04 17:32:47</t>
  </si>
  <si>
    <t>2026-01-04 17:50:41</t>
  </si>
  <si>
    <t>Bridget Berg completed the Adventure Inn Registration Card mini app: https://sys.akia.ai/mapp/09be19c8-0ba5-43a8-9706-ac08ab4ee271?session=26ad6a15-f165-47ae-80c5-e9c99d540b31
* ID: Uploaded
* Email: berg.b.bridget@gmail.com
* Vehicle Color/Make/Model: NA
* ETA: 12:00 PM
* Acknowledgment: ✓</t>
  </si>
  <si>
    <t>6635193679</t>
  </si>
  <si>
    <t>2026-01-04 20:21:03</t>
  </si>
  <si>
    <t>Bryelle Baccam completed the Adventure Inn Registration Card mini app: https://sys.akia.ai/mapp/0192393f-150c-4ce2-8d2c-c2446a276cd6?session=bdc78ef4-ca5d-4cf4-b681-4f5e1d10a1ee
* ID: Uploaded
* Email: bryellebaccam2@gmail.com
* Vehicle Color/Make/Model: Black Honda Hrv
* ETA: 7:30 PM
* Acknowledgment: ✓</t>
  </si>
  <si>
    <t>5553438249</t>
  </si>
  <si>
    <t>2026-01-04 21:31:31</t>
  </si>
  <si>
    <t>John Ehle completed the Adventure Inn Registration Card mini app: https://sys.akia.ai/mapp/f6fb96aa-0682-4bd2-8583-a91134d29337?session=15e43a2e-da0b-4261-b59e-ff8fc4bd791f
* ID: Uploaded
* Email: liddyleviayden@gmail.com
* Vehicle Color/Make/Model: 1994 Chevy k2500 
* ETA: 3:00 PM
* Acknowledgment: ✓</t>
  </si>
  <si>
    <t>2363448601</t>
  </si>
  <si>
    <t>2026-01-05 00:11:10</t>
  </si>
  <si>
    <t>HMS4RHSK34</t>
  </si>
  <si>
    <t>2026-01-05 00:18:05</t>
  </si>
  <si>
    <t>Jamelyn Casoose completed the Adventure Inn Registration Card mini app: https://sys.akia.ai/mapp/9f447f91-c296-418f-a3c3-58699380993d?session=ac2c2c26-9549-4af8-a4f2-7574e0d80a3e
* ID: Uploaded
* Email: casoosejc@hotmail.com
* Vehicle Color/Make/Model: Maroon Dodge Ram
* ETA: 4:00 PM
* Acknowledgment: ✓</t>
  </si>
  <si>
    <t>2363549572</t>
  </si>
  <si>
    <t>2026-01-05 03:23:18</t>
  </si>
  <si>
    <t>Jalen Eilert completed the Adventure Inn Registration Card mini app: https://sys.akia.ai/mapp/383f468e-1a4b-4900-a8c2-17e63c84df53?session=760bf7d5-2c19-45e3-9413-6cbc2cc09fc7
* ID: Uploaded
* Email: eilertjalen@gmail.com
* Vehicle Color/Make/Model: Black/VW/Jetta
* ETA: 7:40 PM
* Acknowledgment: ✓</t>
  </si>
  <si>
    <t>2026-01-05 18:14:15</t>
  </si>
  <si>
    <t>Michael Dougherty completed the Adventure Inn Registration Card mini app: https://sys.akia.ai/mapp/23d41c0e-1a43-47b7-a6f8-8741c2611b84?session=42cea612-d010-4b78-9d47-c138a9c84323
* ID: Uploaded
* Email: michaeldoughertyco@gmail.com
* Vehicle Color/Make/Model: Silver Honda CRV
* ETA: 2:00 PM
* Acknowledgment: ✓</t>
  </si>
  <si>
    <t>2364141028</t>
  </si>
  <si>
    <t>2026-01-05 22:33:42</t>
  </si>
  <si>
    <t>Michael Kriz completed the Adventure Inn Registration Card mini app: https://sys.akia.ai/mapp/a3d7d4a6-9e26-4463-ab63-1ede9fef7604?session=60a889e5-6647-4ba2-8984-0070eb659f22
* ID: Uploaded
* Email: michaelkriz222@gmail.com
* Vehicle Color/Make/Model: White Toyota Tacoma 
* ETA: 4:00 PM
* Acknowledgment: ✓</t>
  </si>
  <si>
    <t>HMYCTS4FFD</t>
  </si>
  <si>
    <t>2026-01-05 22:50:40</t>
  </si>
  <si>
    <t>Sydney Summers completed the Adventure Inn Registration Card mini app: https://sys.akia.ai/mapp/a9c67b30-c2c4-4410-8cd7-4611fd8b8a22?session=5f520fc6-67ad-4ff6-867e-2aef17384069
* ID: Uploaded
* Email: platinumsings@gmail.com
* Vehicle Color/Make/Model: Silver ford escape
* ETA: 4:00 PM
* Acknowledgment: ✓</t>
  </si>
  <si>
    <t>5589880566</t>
  </si>
  <si>
    <t>2026-01-06 00:50:05</t>
  </si>
  <si>
    <t>2364224490</t>
  </si>
  <si>
    <t>2026-01-06 00:58:19</t>
  </si>
  <si>
    <t>2026-01-06 02:35:01</t>
  </si>
  <si>
    <t>HMS4KRWKJA</t>
  </si>
  <si>
    <t>2026-01-06 03:53:29</t>
  </si>
  <si>
    <t>Audrianna Ringo completed the Adventure Inn Registration Card mini app: https://sys.akia.ai/mapp/2fc331da-dac7-40d3-b868-b6ba1ab024c9?session=ac22736d-f10c-44d8-99b9-a52d72f3c706
* ID: Uploaded
* Email: Aringo1314@gmail.con
* Vehicle Color/Make/Model: Black ford f150
* ETA: 4:00 PM
* Acknowledgment: ✓</t>
  </si>
  <si>
    <t>5890975122</t>
  </si>
  <si>
    <t>2026-01-06 03:59:44</t>
  </si>
  <si>
    <t>2026-04-23</t>
  </si>
  <si>
    <t>HMPJFDNQZR</t>
  </si>
  <si>
    <t>2026-01-06 09:25:54</t>
  </si>
  <si>
    <t>6610624128</t>
  </si>
  <si>
    <t>2026-01-06 19:55:26</t>
  </si>
  <si>
    <t>6913074068</t>
  </si>
  <si>
    <t>2026-01-06 21:45:08</t>
  </si>
  <si>
    <t>2026-02-19</t>
  </si>
  <si>
    <t>2026-02-20</t>
  </si>
  <si>
    <t>2026-01-06 22:02:18</t>
  </si>
  <si>
    <t>2364954606</t>
  </si>
  <si>
    <t>2026-01-06 23:39:01</t>
  </si>
  <si>
    <t>Karen Casgrain completed the Adventure Inn Registration Card mini app: https://sys.akia.ai/mapp/abd6e9bc-3f17-4f6d-8c3a-ee659ea20efe?session=68c7d2aa-f751-4c79-bc7f-1537a6858fd7
* ID: Uploaded
* Email: karen.casgrain@gmail.com
* Vehicle Color/Make/Model: Silver/Nissan/Versa
* ETA: 7:21 PM
* Acknowledgment: ✓</t>
  </si>
  <si>
    <t>2365028742</t>
  </si>
  <si>
    <t>2026-01-07 01:47:39</t>
  </si>
  <si>
    <t>2026-01-07 01:47:53</t>
  </si>
  <si>
    <t>2026-01-29</t>
  </si>
  <si>
    <t>HMM2YWCT2P</t>
  </si>
  <si>
    <t>2026-01-07 02:20:59</t>
  </si>
  <si>
    <t>Ginger Tiger completed the Adventure Inn Registration Card mini app: https://sys.akia.ai/mapp/9485122b-c4fc-401f-af20-867a50c69e70?session=2a98ac5a-993e-49b5-a7c9-1dfb2a1d2bba
* ID: Uploaded
* Email: gltiger30@gmail.com
* Vehicle Color/Make/Model: White Honda accord 
* ETA: 6:00 PM
* Acknowledgment: ✓</t>
  </si>
  <si>
    <t>6135975501</t>
  </si>
  <si>
    <t>2026-01-07 02:49:04</t>
  </si>
  <si>
    <t>Rebecca Edwards completed the Adventure Inn Registration Card mini app: https://sys.akia.ai/mapp/2f69a6f5-01fd-413c-b2f2-244a796c3668?session=ea2aadc4-25c6-452f-a75c-3d6fd6b16047
* ID: Uploaded
* Email: beccarose111@gmail.com
* Vehicle Color/Make/Model: Honda civic grey 
* ETA: 2:33 PM
* Acknowledgment: ✓</t>
  </si>
  <si>
    <t>2365455265</t>
  </si>
  <si>
    <t>2026-01-07 16:04:19</t>
  </si>
  <si>
    <t>2365664350</t>
  </si>
  <si>
    <t>2026-01-07 21:27:06</t>
  </si>
  <si>
    <t>Aaron Wexler completed the Adventure Inn Registration Card mini app: https://sys.akia.ai/mapp/058c7f2d-409c-4c8f-8a51-ad4c3465ae9c?session=5b4d2429-b8fb-4180-9a21-866747d76824
* ID: Uploaded
* Email: aaronwexler2@gmail.com
* Vehicle Color/Make/Model: Toyota Highlander grey
* ETA: 4:00 PM
* Acknowledgment: ✓</t>
  </si>
  <si>
    <t>2026-01-28</t>
  </si>
  <si>
    <t>2365715724</t>
  </si>
  <si>
    <t>2026-01-07 22:56:26</t>
  </si>
  <si>
    <t>Tanner Strait completed the Adventure Inn Registration Card mini app: https://sys.akia.ai/mapp/4efebaab-b650-44e5-beb3-30f49fc78520?session=4578ec93-1146-4786-a608-bb49c44b5939
* ID: Uploaded
* Email: tanner.strait@yahoo.com
* Vehicle Color/Make/Model: Black Ford F250
* ETA: 3:00 PM
* Acknowledgment: ✓</t>
  </si>
  <si>
    <t>2365782637</t>
  </si>
  <si>
    <t>2026-01-08 00:58:00</t>
  </si>
  <si>
    <t>Jj Odonnell completed the Adventure Inn Registration Card mini app: https://sys.akia.ai/mapp/6419a2c3-f518-4852-91f3-45aa1bb10244?session=4e9e3804-e310-4220-a955-00f858a1a057
* ID: Uploaded
* Email: yojimbo@usa.net
* Vehicle Color/Make/Model: White, Chevy, Silverado, TrailBoss, pickup truck 
* ETA: 4:00 PM
* Acknowledgment: ✓</t>
  </si>
  <si>
    <t>2026-01-08 01:39:42</t>
  </si>
  <si>
    <t>2026-01-08 02:45:31</t>
  </si>
  <si>
    <t>Jamelyn Casoose completed the Adventure Inn Registration Card mini app: https://sys.akia.ai/mapp/090b69c5-bb14-4468-8718-8d4472e8d756?session=73b924e3-d184-4505-a014-c812b18cc7ec
* ID: Uploaded
* Email: casoosejc@hotmail.com
* Vehicle Color/Make/Model: Maroon, Dodge Ram
* ETA: 6:30 PM
* Acknowledgment: ✓</t>
  </si>
  <si>
    <t>Returning Guest</t>
  </si>
  <si>
    <t>2026-01-08 03:23:01</t>
  </si>
  <si>
    <t>5438604632</t>
  </si>
  <si>
    <t>2026-01-08 04:13:46</t>
  </si>
  <si>
    <t>2366124510</t>
  </si>
  <si>
    <t>2026-01-08 13:11:37</t>
  </si>
  <si>
    <t>Syra Saboori completed the Adventure Inn Registration Card mini app: https://sys.akia.ai/mapp/d4c8da92-a09a-4d21-bf10-32cb128ae173?session=1ec58f53-c3d5-463e-a8bc-b6516e17572c
* ID: Uploaded
* Email: syrasaboori@gmail.com
* Vehicle Color/Make/Model: Not sure yet- rental not yet established 
* ETA: 5:00 PM
* Acknowledgment: ✓</t>
  </si>
  <si>
    <t>2366206813</t>
  </si>
  <si>
    <t>2026-01-08 15:23:54</t>
  </si>
  <si>
    <t>2026-01-08 19:58:16</t>
  </si>
  <si>
    <t>Jude Thiebaut completed the Adventure Inn Registration Card mini app: https://sys.akia.ai/mapp/aae3a7ab-b350-4def-ad51-feb40b321baa?session=bad2dcf6-f67b-4ffe-88de-74929d6c4781
* ID: Uploaded
* Email: thiebautjude@gmail.com
* Vehicle Color/Make/Model: Silver 2024 Toyota Tundra 
* ETA: 3:00 PM
* Acknowledgment: ✓</t>
  </si>
  <si>
    <t>6045614322</t>
  </si>
  <si>
    <t>2026-01-08 21:16:21</t>
  </si>
  <si>
    <t>Paige Lomaintewa completed the Adventure Inn Registration Card mini app: https://sys.akia.ai/mapp/5d684ae0-b7a4-404c-9fc7-a47fcec16b6c?session=ade7931b-7b7c-46bb-9705-c9585e4bfb46
* ID: Uploaded
* Email: paigesecakuku@gmail.com
* Vehicle Color/Make/Model: Chevy traverse 
* ETA: 4:00 PM
* Acknowledgment: ✓</t>
  </si>
  <si>
    <t>2026-01-08 22:04:13</t>
  </si>
  <si>
    <t>5150139320</t>
  </si>
  <si>
    <t>2026-01-08 22:41:03</t>
  </si>
  <si>
    <t>Jennifer Draime completed the Adventure Inn Registration Card mini app: https://sys.akia.ai/mapp/da9c69a5-72e2-456b-9b70-2e55df686d76?session=e2006ab5-5463-4833-a254-5b98fcd6826c
* ID: Uploaded
* Email: jenniferdraime@gmail.com
* Vehicle Color/Make/Model: Toyota Tacoma White SR5
* ETA: 3:00 PM
* Acknowledgment: ✓</t>
  </si>
  <si>
    <t>2026-01-08 23:20:13</t>
  </si>
  <si>
    <t>6569112136</t>
  </si>
  <si>
    <t>2026-01-09 00:01:21</t>
  </si>
  <si>
    <t>Laura Phillips completed the Adventure Inn Registration Card mini app: https://sys.akia.ai/mapp/8cfa29ef-dfed-482c-b40b-b65ad592039a?session=a765e0a5-3d83-4d97-baf9-0c8da20e1a6a
* ID: Uploaded
* Email: lphillips404@hotmail.com
* Vehicle Color/Make/Model: White Silverado truck with white topper
* ETA: 6:30 PM
* Acknowledgment: ✓</t>
  </si>
  <si>
    <t>2026-01-09 01:22:29</t>
  </si>
  <si>
    <t>6271248898</t>
  </si>
  <si>
    <t>2026-01-09 02:23:29</t>
  </si>
  <si>
    <t>2366640473</t>
  </si>
  <si>
    <t>2026-01-09 03:09:43</t>
  </si>
  <si>
    <t>Andrew Geyerman completed the Adventure Inn Registration Card mini app: https://sys.akia.ai/mapp/fb94a24d-1baf-4cca-bb16-3053f11fe00d?session=225c10c3-e890-4f02-a24a-044800fb3513
* ID: Uploaded
* Email: AndrewGeyerman@live.com
* Vehicle Color/Make/Model: 2 BMW Motorcycles. 1 red 1 blue UT plates.
* ETA: 4:45 PM
* Acknowledgment: ✓</t>
  </si>
  <si>
    <t>2366678300</t>
  </si>
  <si>
    <t>2026-01-09 04:18:37</t>
  </si>
  <si>
    <t>HMXHAZZZNT</t>
  </si>
  <si>
    <t>2026-01-09 17:58:05</t>
  </si>
  <si>
    <t>Trajen Soce completed the Adventure Inn Registration Card mini app: https://sys.akia.ai/mapp/3fc2150f-18df-4bf4-8c2a-31b44c5766ab?session=9802e139-4b50-4f2e-8e31-295b695b3670
* ID: Uploaded
* Email: tallspice@outlook.com
* Vehicle Color/Make/Model: Blk Chevy Tahoe 
* ETA: 8:00 PM
* Acknowledgment: ✓</t>
  </si>
  <si>
    <t>HM9WDPJESD</t>
  </si>
  <si>
    <t>2026-01-09 18:01:45</t>
  </si>
  <si>
    <t>2367111847</t>
  </si>
  <si>
    <t>2026-01-09 18:31:18</t>
  </si>
  <si>
    <t>Matthew Howes completed the Adventure Inn Registration Card mini app: https://sys.akia.ai/mapp/8438f1cb-98fb-49b5-9097-2f94de6be4ad?session=a5ebb035-d0b1-42e6-83c8-122e3bbb50da
* ID: Uploaded
* Email: dante_78@hotmail.com
* Vehicle Color/Make/Model: Black Ram 1500
* ETA: 11:00 PM
* Acknowledgment: ✓</t>
  </si>
  <si>
    <t>2026-01-09 20:08:25</t>
  </si>
  <si>
    <t>3 pm check in-JF, Emily Davidson completed the Adventure Inn Registration Card mini app: https://sys.akia.ai/mapp/52201969-e4c7-4ca6-a751-598b6715f123?session=7288684a-cec7-419f-a54f-6a4891841f0a
* ID: Uploaded
* Email: emilykdavidson1999@gmail.com
* Vehicle Color/Make/Model: Black/Trailblazer/Chevy
* ETA: 3:00 PM
* Acknowledgment: ✓, Lola Hill completed the Adventure Inn Registration Card mini app: https://sys.akia.ai/mapp/16831014-5265-4a97-ad19-1896fd01a708?session=d1ecf84e-3dac-420d-810a-f5997c2180e7
* ID: Uploaded
* Email: elaine.lola24@gmail.com
* Vehicle Color/Make/Model: Black/chevy/trailblazer
* ETA: 3:00 PM
* Acknowledgment: ✓</t>
  </si>
  <si>
    <t>2367183538</t>
  </si>
  <si>
    <t>2026-01-09 20:27:15</t>
  </si>
  <si>
    <t>2367205720</t>
  </si>
  <si>
    <t>2026-01-09 21:03:51</t>
  </si>
  <si>
    <t>Adam Wisniewski completed the Adventure Inn Registration Card mini app: https://sys.akia.ai/mapp/33f002e1-ed75-48d7-974d-b4b70521269c?session=35a4e37f-206c-45ff-90cf-402c739d5c88
* ID: Uploaded
* Email: rocketdog48@gmail.com
* Vehicle Color/Make/Model: Silver Toyota Rav 4
* ETA: 5:00 PM
* Acknowledgment: ✓</t>
  </si>
  <si>
    <t>2367218142</t>
  </si>
  <si>
    <t>2026-01-09 21:24:47</t>
  </si>
  <si>
    <t>Deva Krupamma Garikamukka completed the Adventure Inn Registration Card mini app: https://sys.akia.ai/mapp/426e459c-122d-4cea-bcaf-205a0775a5c0?session=ad1ca3ea-068e-4bab-8b1c-c8fdf57e38f3
* ID: Uploaded
* Email: gkrupa@gmail.com
* Vehicle Color/Make/Model: Red/toyota/sienna
* ETA: 4:00 PM
* Acknowledgment: ✓</t>
  </si>
  <si>
    <t>2026-05-19</t>
  </si>
  <si>
    <t>2367237082</t>
  </si>
  <si>
    <t>2026-01-09 21:56:51</t>
  </si>
  <si>
    <t>Debra Pistello completed the Adventure Inn Registration Card mini app: https://sys.akia.ai/mapp/6f60b88e-6a2d-4a5c-ad97-de208843d19b?session=8bdcb33c-0838-4436-bbc7-fc1f00fc9eba
* ID: Uploaded
* Email: deb0716@hotmail.com
* Vehicle Color/Make/Model: N/A
* ETA: 1:00 PM
* Acknowledgment: ✓, Debra Pistello completed the Adventure Inn Registration Card mini app: https://sys.akia.ai/mapp/6f60b88e-6a2d-4a5c-ad97-de208843d19b?session=8bdcb33c-0838-4436-bbc7-fc1f00fc9eba
* ID: Uploaded
* Email: deb0716@hotmail.com
* Vehicle Color/Make/Model: N/A
* ETA: 1:00 PM
* Acknowledgment: ✓</t>
  </si>
  <si>
    <t>HMJX8YQTFF</t>
  </si>
  <si>
    <t>2026-01-09 23:53:00</t>
  </si>
  <si>
    <t>Lydia Nelson completed the Adventure Inn Registration Card mini app: https://sys.akia.ai/mapp/3871f290-39a8-4268-99c1-d441a6045e31?session=9314f939-d73a-48ce-be3d-f6beeee32f41
* ID: Uploaded
* Email: oterolydia25@gmail.com
* Vehicle Color/Make/Model: Green Toyota RAV4 
* ETA: 4:00 PM
* Acknowledgment: ✓</t>
  </si>
  <si>
    <t>2026-01-10 00:07:15</t>
  </si>
  <si>
    <t>5433812569</t>
  </si>
  <si>
    <t>2026-01-10 00:57:44</t>
  </si>
  <si>
    <t>5016476341</t>
  </si>
  <si>
    <t>2026-01-10 01:10:03</t>
  </si>
  <si>
    <t>Eduardo Barraza completed the Adventure Inn Registration Card mini app: https://sys.akia.ai/mapp/85006e41-1092-49d2-bf23-5a5a9dda0ab9?session=f0b4b213-e69f-492c-9d5d-24b8566b6fa6
* ID: Uploaded
* Email: barraza@netmdc.com
* Vehicle Color/Make/Model: Silver, Volkswagen Jetta Sportwagen 
* ETA: 6:00 PM
* Acknowledgment: ✓</t>
  </si>
  <si>
    <t>2367373556</t>
  </si>
  <si>
    <t>2026-01-10 02:09:55</t>
  </si>
  <si>
    <t>6017018138</t>
  </si>
  <si>
    <t>2026-01-10 06:50:05</t>
  </si>
  <si>
    <t>2026-01-27</t>
  </si>
  <si>
    <t>5769280350</t>
  </si>
  <si>
    <t>2026-01-10 13:18:10</t>
  </si>
  <si>
    <t>2026-04-03</t>
  </si>
  <si>
    <t>2367662646</t>
  </si>
  <si>
    <t>2026-01-10 15:40:15</t>
  </si>
  <si>
    <t>Joshua Hook completed the Adventure Inn Registration Card mini app: https://sys.akia.ai/mapp/5b7624d8-150a-4a7c-9ac7-d5751bb535b3?session=69452b54-0c49-47a6-990d-507f277c5d79
* ID: Uploaded
* Email: jhook542@yahoo.com
* Vehicle Color/Make/Model: Blue ford expedition 
* ETA: 10:45 PM
* Acknowledgment: ✓</t>
  </si>
  <si>
    <t>2367686333</t>
  </si>
  <si>
    <t>2026-01-10 16:24:19</t>
  </si>
  <si>
    <t>5038905659</t>
  </si>
  <si>
    <t>2026-01-10 19:09:30</t>
  </si>
  <si>
    <t>Candace Shapiro completed the Adventure Inn Registration Card mini app: https://sys.akia.ai/mapp/7b777877-445d-441f-9326-7abc17e9ae11?session=1953133e-1d21-40a8-97eb-a4ff9c0e294f
* ID: Uploaded
* Email: loessinc@gmail.com
* Vehicle Color/Make/Model: Honda CRV
* ETA: 5:30 PM
* Acknowledgment: ✓</t>
  </si>
  <si>
    <t>2026-01-10 21:24:48</t>
  </si>
  <si>
    <t>2026-01-10 22:17:52</t>
  </si>
  <si>
    <t>6652862606</t>
  </si>
  <si>
    <t>2026-01-10 22:29:44</t>
  </si>
  <si>
    <t>Autumn Nash completed the Adventure Inn Registration Card mini app: https://sys.akia.ai/mapp/704299f8-0fd0-4b89-868f-cb88c4ee5984?session=1e2ce398-399d-4edb-b8cb-3cf2b5650b4d
* ID: Uploaded
* Email: anash072809@gmail.com
* Vehicle Color/Make/Model: Black Jeep Cherokee FBD F76
* ETA: 4:00 PM
* Acknowledgment: ✓</t>
  </si>
  <si>
    <t>2026-01-10 22:53:04</t>
  </si>
  <si>
    <t>2367940476</t>
  </si>
  <si>
    <t>2026-01-11 00:24:19</t>
  </si>
  <si>
    <t>HMDZSWQH8A</t>
  </si>
  <si>
    <t>2026-01-11 02:30:18</t>
  </si>
  <si>
    <t>HM5M3DD8M5</t>
  </si>
  <si>
    <t>2026-01-11 02:39:47</t>
  </si>
  <si>
    <t>HM8ZR9HJ2T</t>
  </si>
  <si>
    <t>2026-01-11 02:50:57</t>
  </si>
  <si>
    <t>Brody Flowers completed the Adventure Inn Registration Card mini app: https://sys.akia.ai/mapp/2a2caf4c-df29-46d2-bd10-aa1f6ffac99b?session=972b0dae-026c-4716-8d3a-c7a2cd55976d
* ID: Uploaded
* Email: brodyflo45@gmail.com
* Vehicle Color/Make/Model: Black BMW 428i
* ETA: 4:00 PM
* Acknowledgment: ✓</t>
  </si>
  <si>
    <t>2026-05-06</t>
  </si>
  <si>
    <t>2368014646</t>
  </si>
  <si>
    <t>2026-01-11 03:02:35</t>
  </si>
  <si>
    <t>6890509184</t>
  </si>
  <si>
    <t>2026-01-11 03:58:12</t>
  </si>
  <si>
    <t>Benjamin Johnson completed the Adventure Inn Registration Card mini app: https://sys.akia.ai/mapp/30d1be18-af98-432a-a75e-cfc35eba1b5d?session=21b8dc05-71bb-4795-b325-001736227244
* ID: Uploaded
* Email: morpheusriver@gmail.com
* Vehicle Color/Make/Model: Rental
* ETA: 11:00 PM
* Acknowledgment: ✓</t>
  </si>
  <si>
    <t>2026-01-11 04:04:49</t>
  </si>
  <si>
    <t>Lane Williams completed the Adventure Inn Registration Card mini app: https://sys.akia.ai/mapp/03ad56cc-e17c-4ee6-9cb1-7290b9b1a512?session=c3faa054-63b0-4428-be37-c6009335a173
* ID: Uploaded
* Email: lane.williams1414@gmail.com
* Vehicle Color/Make/Model: Silver Mitsubishi Mirage
* ETA: 5:00 PM
* Acknowledgment: ✓, Kayley Williams completed the Adventure Inn Registration Card mini app: https://sys.akia.ai/mapp/34e10d9b-b65e-4d3d-a510-60a08c3e89c6?session=269886da-622e-4a4b-93b7-641ea248f70d
* ID: Uploaded
* Email: kayley05a@gmail.com
* Vehicle Color/Make/Model: Silver/Mitsubishi/Mirage
* ETA: 5:00 PM
* Acknowledgment: ✓</t>
  </si>
  <si>
    <t>5017730630</t>
  </si>
  <si>
    <t>2026-01-11 06:19:00</t>
  </si>
  <si>
    <t>Makenzee Blair completed the Adventure Inn Registration Card mini app: https://sys.akia.ai/mapp/737823b0-9103-486c-b01e-730d9f1e1735?session=c3e4b753-a03a-40ea-abdf-31614fa7b326
* ID: Uploaded
* Email: makenzeechey@gmail.com
* Vehicle Color/Make/Model: Honda HRV
* ETA: 4:00 PM
* Acknowledgment: ✓</t>
  </si>
  <si>
    <t>109 (SMQ), 203 (STK)</t>
  </si>
  <si>
    <t>5002454201</t>
  </si>
  <si>
    <t>2026-01-11 07:52:04</t>
  </si>
  <si>
    <t>HMYNFE289B</t>
  </si>
  <si>
    <t>2026-01-11 15:54:30</t>
  </si>
  <si>
    <t>Echo Mcneill completed the Adventure Inn Registration Card mini app: https://sys.akia.ai/mapp/17ffe23a-1c6d-42fe-9e01-2e5d9e8060b6?session=ae9b7823-f3bb-4297-ae25-607bc036bd6a
* ID: Uploaded
* Email: n0mad.nativ3@gmail.com
* Vehicle Color/Make/Model: DJEZ37
* ETA: 4:00 PM
* Acknowledgment: ✓</t>
  </si>
  <si>
    <t>2368310334</t>
  </si>
  <si>
    <t>2026-01-11 16:57:36</t>
  </si>
  <si>
    <t>Alan Chalepah completed the Adventure Inn Registration Card mini app: https://sys.akia.ai/mapp/56e4f795-122b-4d60-bfa0-f302faa0fb01?session=857c69f6-fa15-4b18-a006-2ec8ebcf600c
* ID: Uploaded
* Email: pbchalepah@hotmail.com
* Vehicle Color/Make/Model: Silver/Ford/Explorer 
* ETA: 4:00 PM
* Acknowledgment: ✓</t>
  </si>
  <si>
    <t>2026-06-12</t>
  </si>
  <si>
    <t>2026-06-13</t>
  </si>
  <si>
    <t>2368340801</t>
  </si>
  <si>
    <t>2026-01-11 17:52:30</t>
  </si>
  <si>
    <t>2368380938</t>
  </si>
  <si>
    <t>2026-01-11 19:02:04</t>
  </si>
  <si>
    <t>Martin Wolff completed the Adventure Inn Registration Card mini app: https://sys.akia.ai/mapp/d983274a-919a-4a92-841f-4ddd88ffd217?session=fb445b8f-7079-4df3-bfe2-89d8b02a198a
* ID: Uploaded
* Email: martin.wolff@sbcglobal.net
* Vehicle Color/Make/Model: Hertz Rental
* ETA: 3:00 PM
* Acknowledgment: ✓</t>
  </si>
  <si>
    <t>2026-01-21</t>
  </si>
  <si>
    <t>2026-01-11 22:20:02</t>
  </si>
  <si>
    <t>Dave Winther completed the Adventure Inn Registration Card mini app: https://sys.akia.ai/mapp/a0198543-13e0-4b3b-b5fd-c12c7f0501cb?session=ed7acbff-5266-4db0-94af-0345b0d3590f
* ID: Uploaded
* Email: dwinther19@gmail.com
* Vehicle Color/Make/Model: White Chevy pickup
* ETA: 4:00 PM
* Acknowledgment: ✓</t>
  </si>
  <si>
    <t>HMDSWPNSRP</t>
  </si>
  <si>
    <t>2026-01-11 22:47:03</t>
  </si>
  <si>
    <t>5154829069</t>
  </si>
  <si>
    <t>2026-01-11 22:48:02</t>
  </si>
  <si>
    <t>Andrea Schultz completed the Adventure Inn Registration Card mini app: https://sys.akia.ai/mapp/2255eefa-6499-4e6b-ad74-934f11bacf18?session=6123467d-066e-4315-98c1-b0294a151ce7
* ID: Uploaded
* Email: andreaschultz1205@icloud.com
* Vehicle Color/Make/Model: Unknown at this time. Rental. 
* ETA: 4:00 PM
* Acknowledgment: ✓, Email folio on checkout-JF</t>
  </si>
  <si>
    <t>2368564817</t>
  </si>
  <si>
    <t>2026-01-12 00:21:29</t>
  </si>
  <si>
    <t>James Miller completed the Adventure Inn Registration Card mini app: https://sys.akia.ai/mapp/ea5aa378-b544-4115-ada7-826a124f6d3c?session=ef39996a-4293-4193-974c-46c668df58b7
* ID: Uploaded
* Email: Jamesmiller122994@gmail.com
* Vehicle Color/Make/Model: Blue jeep compass
* ETA: 4:00 PM
* Acknowledgment: ✓</t>
  </si>
  <si>
    <t>Returning Guest, Base Rate</t>
  </si>
  <si>
    <t>2368577444</t>
  </si>
  <si>
    <t>2026-01-12 00:44:40</t>
  </si>
  <si>
    <t>2026-01-12 01:24:52</t>
  </si>
  <si>
    <t>6413021592</t>
  </si>
  <si>
    <t>2026-01-12 02:02:28</t>
  </si>
  <si>
    <t>5579474727</t>
  </si>
  <si>
    <t>2026-01-12 17:43:14</t>
  </si>
  <si>
    <t>Becky Mullins completed the Adventure Inn Registration Card mini app: https://sys.akia.ai/mapp/628263d9-699e-4dfe-91d8-33087b07b6eb?session=d7963cca-376f-4963-b797-67c53621a2a7
* ID: Uploaded
* Email: bmullins0903@yahoo.com
* Vehicle Color/Make/Model: Silver Kia Sorento
* ETA: 4:00 PM
* Acknowledgment: ✓</t>
  </si>
  <si>
    <t>6782425430</t>
  </si>
  <si>
    <t>2026-01-12 18:29:44</t>
  </si>
  <si>
    <t>2026-04-16</t>
  </si>
  <si>
    <t>HM28KEHBB9</t>
  </si>
  <si>
    <t>2026-01-12 19:35:25</t>
  </si>
  <si>
    <t>Rachal Roush completed the Adventure Inn Registration Card mini app: https://sys.akia.ai/mapp/0488ad4a-636f-4f8c-9f72-64ab6cfdf8df?session=c89dd568-7467-42ad-bbab-4636ae643230
* ID: Uploaded
* Email: roushrachal@gmail.com
* Vehicle Color/Make/Model: Blue Nissan rogue 
* ETA: 4:00 PM
* Acknowledgment: ✓</t>
  </si>
  <si>
    <t>102 (DQ), 103 (STK)</t>
  </si>
  <si>
    <t>6491312232</t>
  </si>
  <si>
    <t>2026-01-12 20:58:51</t>
  </si>
  <si>
    <t>2369401849</t>
  </si>
  <si>
    <t>2026-01-13 00:39:24</t>
  </si>
  <si>
    <t>2369441599</t>
  </si>
  <si>
    <t>2026-01-13 01:44:50</t>
  </si>
  <si>
    <t>Tyler Scheer completed the Adventure Inn Registration Card mini app: https://sys.akia.ai/mapp/aedeefee-c9c7-45e1-ac6c-5af9b81837a7?session=97cab14b-02b8-4b13-87dc-09f8e15c05b3
* ID: Uploaded
* Email: tyler.scheer@horrocks.com
* Vehicle Color/Make/Model: White Nissan Frontier
* ETA: 4:00 PM
* Acknowledgment: ✓</t>
  </si>
  <si>
    <t>HMEPK24T9A</t>
  </si>
  <si>
    <t>2026-01-13 03:06:40</t>
  </si>
  <si>
    <t>2369527749</t>
  </si>
  <si>
    <t>2026-01-13 04:05:03</t>
  </si>
  <si>
    <t>Ethan Meyers completed the Adventure Inn Registration Card mini app: https://sys.akia.ai/mapp/2fb0f3a4-1a47-4b92-8bea-4d70db0e515e?session=95d0e464-3ead-4716-970a-b628e054e76b
* ID: Uploaded
* Email: ewm1230@gmail.com
* Vehicle Color/Make/Model: 2015 Grey Honda CRV
* ETA: 10:00 PM
* Acknowledgment: ✓</t>
  </si>
  <si>
    <t>HMT9HJBA3W</t>
  </si>
  <si>
    <t>2026-01-13 04:21:49</t>
  </si>
  <si>
    <t>Shelby Cavender completed the Adventure Inn Registration Card mini app: https://sys.akia.ai/mapp/2d523044-23a4-47f2-ba44-8bcf5f0b6ec1?session=5caae8a8-5aa7-427e-9e7a-8453a835a243
* ID: Uploaded
* Email: srcavender27@gmail.com
* Vehicle Color/Make/Model: Silver Subaru Legacy 2024
* ETA: 4:00 PM
* Acknowledgment: ✓</t>
  </si>
  <si>
    <t>2369537397</t>
  </si>
  <si>
    <t>2026-01-13 04:24:04</t>
  </si>
  <si>
    <t>Meliano Griego completed the Adventure Inn Registration Card mini app: https://sys.akia.ai/mapp/5dc800ea-eda1-41c9-a9b6-7435c605fa1e?session=e9a40d10-2888-4b87-b7ea-516a75376977
* ID: Uploaded
* Email: m.griego364@icloud.com
* Vehicle Color/Make/Model: Black Honda pilot 
* ETA: 9:00 PM
* Acknowledgment: ✓</t>
  </si>
  <si>
    <t>6219857566</t>
  </si>
  <si>
    <t>2026-01-13 07:03:13</t>
  </si>
  <si>
    <t>2026-01-13 14:31:03</t>
  </si>
  <si>
    <t>Sierra Bingham-Ruhl completed the Adventure Inn Registration Card mini app: https://sys.akia.ai/mapp/dd158abf-f4f1-44c2-97f3-15e1f7cf5790?session=5e23bdda-dd36-425e-9bb0-8ef3d865fb7f
* ID: Uploaded
* Email: binghamkathleens@gmail.com
* Vehicle Color/Make/Model: Subaru Forrester, White, AZ Plate, AZCC Logo on side panels 
* ETA: 6:00 PM
* Acknowledgment: ✓</t>
  </si>
  <si>
    <t>HM2ZPZW3C2</t>
  </si>
  <si>
    <t>2026-01-13 15:58:36</t>
  </si>
  <si>
    <t>2369991105</t>
  </si>
  <si>
    <t>2026-01-13 18:23:42</t>
  </si>
  <si>
    <t>5000704037</t>
  </si>
  <si>
    <t>2026-01-13 19:07:42</t>
  </si>
  <si>
    <t>Inga Pettner completed the Adventure Inn Registration Card mini app: https://sys.akia.ai/mapp/58a4eadc-691c-4059-bb43-1fa8d551962b?session=7e6e192e-5a34-4358-af85-95b36706a70d
* ID: Uploaded
* Email: wildbotanic.co@gmail.com
* Vehicle Color/Make/Model: Green Honda element 
* ETA: 2:00 PM
* Acknowledgment: ✓</t>
  </si>
  <si>
    <t>HMH9ZNRK5E</t>
  </si>
  <si>
    <t>2026-01-13 19:08:26</t>
  </si>
  <si>
    <t>Michael Cianciabella completed the Adventure Inn Registration Card mini app: https://sys.akia.ai/mapp/927d8510-50e1-461d-b41c-8541201934db?session=50637ae6-cc2e-4bc5-aa1d-67834bc8d69d
* ID: Uploaded
* Email: cianciabella@gmail.com
* Vehicle Color/Make/Model: Silver Chevy Silverado
* ETA: 3:00 PM
* Acknowledgment: ✓</t>
  </si>
  <si>
    <t>2370110677</t>
  </si>
  <si>
    <t>2026-01-13 21:17:41</t>
  </si>
  <si>
    <t>Roxanne M Valdez completed the Adventure Inn Registration Card mini app: https://sys.akia.ai/mapp/7e62fd36-4959-445f-bb05-815aecf3a037?session=78f86141-6244-4ce3-9f2b-7b9e3e6e833b
* ID: Uploaded
* Email: roxanneserved@yahoo.com
* Vehicle Color/Make/Model: Black Nissan Titan 
* ETA: 4:00 PM
* Acknowledgment: ✓</t>
  </si>
  <si>
    <t>6558041611</t>
  </si>
  <si>
    <t>2026-01-13 22:37:50</t>
  </si>
  <si>
    <t>2026-02-06</t>
  </si>
  <si>
    <t>2026-02-08</t>
  </si>
  <si>
    <t>2370287612</t>
  </si>
  <si>
    <t>2026-01-14 01:59:20</t>
  </si>
  <si>
    <t>Miles Kuestersteffen completed the Adventure Inn Registration Card mini app: https://sys.akia.ai/mapp/b5cee43e-99bc-4743-8a11-e8736b86fe7e?session=78fb375e-8052-407b-a3b8-dc4861f37469
* ID: Uploaded
* Email: mileskuester16@gmail.com
* Vehicle Color/Make/Model: Bronze 2012 Toyota RAV4 
* ETA: 4:00 PM
* Acknowledgment: ✓</t>
  </si>
  <si>
    <t>HMRQF8MN2X</t>
  </si>
  <si>
    <t>2026-01-14 04:36:16</t>
  </si>
  <si>
    <t>Dominique Butler completed the Adventure Inn Registration Card mini app: https://sys.akia.ai/mapp/1448b7f9-15da-4caf-bbad-374523b891ab?session=9a6f9f3f-d030-4dde-a9c4-42bb4f018c0e
* ID: Uploaded
* Email: niquebutler1011@gmail.com
* Vehicle Color/Make/Model: Subaru/wrx/charcoal
* ETA: 3:00 PM
* Acknowledgment: ✓</t>
  </si>
  <si>
    <t>HM839WBWZJ</t>
  </si>
  <si>
    <t>2026-01-14 07:34:40</t>
  </si>
  <si>
    <t>HMYJRF5ZCA</t>
  </si>
  <si>
    <t>2026-01-14 08:45:42</t>
  </si>
  <si>
    <t>Sydney Arnn completed the Adventure Inn Registration Card mini app: https://sys.akia.ai/mapp/e91b1442-62e6-49f0-9448-700eb03278f6?session=4ecde269-0e5c-4433-8879-8d25b9b4a044
* ID: Uploaded
* Email: Sydneygabrielle7@gmail.com
* Vehicle Color/Make/Model: White Honda accord 
* ETA: 3:00 PM
* Acknowledgment: ✓</t>
  </si>
  <si>
    <t>6697883193</t>
  </si>
  <si>
    <t>2026-01-14 17:01:41</t>
  </si>
  <si>
    <t>Nancy Chapple completed the Adventure Inn Registration Card mini app: https://sys.akia.ai/mapp/d7f28550-46b8-4c08-aa81-4ec5084af15c?session=b6acfa77-e021-41b0-a83a-b4bd6f9eaecd
* ID: Uploaded
* Email: nchapple@msn.com
* Vehicle Color/Make/Model: Green Land Rover Defender
* ETA: 7:30 PM
* Acknowledgment: ✓</t>
  </si>
  <si>
    <t>5506750462</t>
  </si>
  <si>
    <t>2026-01-14 17:06:12</t>
  </si>
  <si>
    <t>Thomas Robinson completed the Adventure Inn Registration Card mini app: https://sys.akia.ai/mapp/95ac362e-87b4-462e-8ac5-32fb26e5edd4?session=89b17cc6-6109-4ea6-bc9c-97337ae8fcfa
* ID: Uploaded
* Email: tomr693@gmail.com
* Vehicle Color/Make/Model: GreySubaru Crosstrek
* ETA: 4:00 PM
* Acknowledgment: ✓</t>
  </si>
  <si>
    <t>2026-04-07</t>
  </si>
  <si>
    <t>2026-04-08</t>
  </si>
  <si>
    <t>HMCA2HTHEJ</t>
  </si>
  <si>
    <t>2026-01-14 18:11:40</t>
  </si>
  <si>
    <t>Amber Sieffert completed the Adventure Inn Registration Card mini app: https://sys.akia.ai/mapp/44eaff57-008e-4eed-aad9-73abd649cd46?session=b49e719a-687c-40c2-adc3-8a60b41538d6
* ID: Uploaded
* Email: chinezy01@gmail.com
* Vehicle Color/Make/Model: Black Chevy Silverado 
* ETA: 4:00 PM
* Acknowledgment: ✓</t>
  </si>
  <si>
    <t>2026-03-07</t>
  </si>
  <si>
    <t>2026-01-14 19:04:26</t>
  </si>
  <si>
    <t>2026-01-14 20:32:26</t>
  </si>
  <si>
    <t>Snowdown Donation-JF, NO PAY</t>
  </si>
  <si>
    <t>2026-01-14 20:33:40</t>
  </si>
  <si>
    <t>Snowdown donation, NO PAY-JF</t>
  </si>
  <si>
    <t>2370929829</t>
  </si>
  <si>
    <t>2026-01-14 20:51:26</t>
  </si>
  <si>
    <t>Haley Sekula completed the Adventure Inn Registration Card mini app: https://sys.akia.ai/mapp/4e382a94-2047-4f33-a60e-5d45097f8cac?session=d3a05aa3-9945-4093-b516-65ef76358db9
* ID: Uploaded
* Email: haleysekula@yahoo.com
* Vehicle Color/Make/Model: White jeep Cherokee 
* ETA: 4:00 PM
* Acknowledgment: ✓</t>
  </si>
  <si>
    <t>HMNTDQZ3W4</t>
  </si>
  <si>
    <t>2026-01-14 20:54:38</t>
  </si>
  <si>
    <t>6271047397</t>
  </si>
  <si>
    <t>2026-01-14 21:53:08</t>
  </si>
  <si>
    <t>2026-05-20</t>
  </si>
  <si>
    <t>2026-01-15 01:14:07</t>
  </si>
  <si>
    <t>Erin Palmer completed the Adventure Inn Registration Card mini app: https://sys.akia.ai/mapp/51bb190a-0efc-48ad-8b2e-a3f7746bb646?session=a2d24ca3-f5ff-4bfb-9de9-1aae447a6ff8
* ID: Uploaded
* Email: chuckoph@gmail.com
* Vehicle Color/Make/Model: Blue Toyota 4Runner CO. BLLN67
* ETA: 6:00 PM
* Acknowledgment: ✓</t>
  </si>
  <si>
    <t>2026-01-15 02:15:21</t>
  </si>
  <si>
    <t>Anna Kupcha completed the Adventure Inn Registration Card mini app: https://sys.akia.ai/mapp/9625872b-1852-439f-a338-1588132185a4?session=89d5902d-432e-400a-bcc9-bd1316d479d3
* ID: Uploaded
* Email: ann2kupcha@gmail.com
* Vehicle Color/Make/Model: Subaru/forester/gray or Toyota/4runner/red
* ETA: 7:30 PM
* Acknowledgment: ✓, Thomas Morley completed the Adventure Inn Registration Card mini app: https://sys.akia.ai/mapp/1ec5c0f2-4b53-4bd2-958b-0e51971ac40f?session=463bc8ea-c72e-4601-8d63-58b7454c9c59
* ID: Uploaded
* Email: tomsmorley@yahoo.com
* Vehicle Color/Make/Model: Red Toyota 4 runner
* ETA: 4:00 PM
* Acknowledgment: ✓</t>
  </si>
  <si>
    <t>HMRTKJTKJF</t>
  </si>
  <si>
    <t>2026-01-15 02:39:05</t>
  </si>
  <si>
    <t>Logan Heredia completed the Adventure Inn Registration Card mini app: https://sys.akia.ai/mapp/1a6c3fb5-9036-4314-8464-4adbf0603a73?session=23b02424-5a36-411d-8217-f2792a62811d
* ID: Uploaded
* Email: llherediaaa.28@gmail.com
* Vehicle Color/Make/Model: Blueish Gray Honda CRV 
* ETA: 3:00 PM
* Acknowledgment: ✓</t>
  </si>
  <si>
    <t>2026-03-19</t>
  </si>
  <si>
    <t>2371193913</t>
  </si>
  <si>
    <t>2026-01-15 04:04:31</t>
  </si>
  <si>
    <t>Dylan Murphy completed the Adventure Inn Registration Card mini app: https://sys.akia.ai/mapp/323fe289-61b6-489d-a280-41b5252ca540?session=535dbf3b-6a27-4758-ad78-4b1267542f1b
* ID: Uploaded
* Email: freeskipark@gmail.com
* Vehicle Color/Make/Model: Blue/Toyota/4Runner
* ETA: 6:00 PM
* Acknowledgment: ✓</t>
  </si>
  <si>
    <t>2371205260</t>
  </si>
  <si>
    <t>2026-01-15 04:26:21</t>
  </si>
  <si>
    <t>6388143405</t>
  </si>
  <si>
    <t>2026-01-15 16:26:23</t>
  </si>
  <si>
    <t>6180203815</t>
  </si>
  <si>
    <t>2026-01-15 17:21:08</t>
  </si>
  <si>
    <t>6095162044</t>
  </si>
  <si>
    <t>2026-01-15 19:02:13</t>
  </si>
  <si>
    <t>Joann Casaus completed the Adventure Inn Registration Card mini app: https://sys.akia.ai/mapp/ede1a1b8-d6c0-44cb-9229-2cf1ef369c34?session=f7cd78ef-1fa2-4a57-958b-5ccf4ce4e72f
* ID: Uploaded
* Email: jcasaus2@gmail.com
* Vehicle Color/Make/Model: Blk toyota tacoma
* ETA: 4:00 PM
* Acknowledgment: ✓</t>
  </si>
  <si>
    <t>2026-04-04</t>
  </si>
  <si>
    <t>2371683699</t>
  </si>
  <si>
    <t>2026-01-15 19:19:24</t>
  </si>
  <si>
    <t>Scott Silva completed the Adventure Inn Registration Card mini app: https://sys.akia.ai/mapp/2db13af2-47a4-4bc7-8278-e9abf8ae050d?session=49ee0bff-689d-4fd0-bff0-1432c573a311
* ID: Uploaded
* Email: Scott592@hotmail.com
* Vehicle Color/Make/Model: Gry jeep wrangler
* ETA: 4:00 PM
* Acknowledgment: ✓</t>
  </si>
  <si>
    <t>2371721148</t>
  </si>
  <si>
    <t>2026-01-15 20:16:00</t>
  </si>
  <si>
    <t>2371721151</t>
  </si>
  <si>
    <t>2026-01-15 20:16:04</t>
  </si>
  <si>
    <t>2026-10-08</t>
  </si>
  <si>
    <t>2371784547</t>
  </si>
  <si>
    <t>2026-01-15 21:52:54</t>
  </si>
  <si>
    <t>6033483173</t>
  </si>
  <si>
    <t>2026-01-15 22:18:53</t>
  </si>
  <si>
    <t>2371807167</t>
  </si>
  <si>
    <t>2026-01-15 22:29:44</t>
  </si>
  <si>
    <t>Lilla Burns completed the Adventure Inn Registration Card mini app: https://sys.akia.ai/mapp/91e08ddf-9a4c-4aaf-bfbb-aaf6a90e72c6?session=5d451e46-e011-4d71-ad12-e468a6e86fb2
* ID: Uploaded
* Email: lilla.burns@epiphanydermatology.com
* Vehicle Color/Make/Model: Black Mazda CX50
* ETA: 4:00 PM
* Acknowledgment: ✓</t>
  </si>
  <si>
    <t>5919434188</t>
  </si>
  <si>
    <t>2026-01-15 23:24:02</t>
  </si>
  <si>
    <t>HMYDA3CBPR</t>
  </si>
  <si>
    <t>2026-01-16 00:15:30</t>
  </si>
  <si>
    <t>Mac Brookman completed the Adventure Inn Registration Card mini app: https://sys.akia.ai/mapp/6f85ffc1-1420-4928-b0af-8e96a97b8d4a?session=153844b3-c180-4439-a715-ecb95268b0d3
* ID: Uploaded
* Email: brookmanbend@gmail.com
* Vehicle Color/Make/Model: Chevy trailblazer
* ETA: 6:00 PM
* Acknowledgment: ✓</t>
  </si>
  <si>
    <t>6269074114</t>
  </si>
  <si>
    <t>2026-01-16 02:06:46</t>
  </si>
  <si>
    <t>6269096567</t>
  </si>
  <si>
    <t>2026-01-16 02:06:49</t>
  </si>
  <si>
    <t>Gillian Benavidez completed the Adventure Inn Registration Card mini app: https://sys.akia.ai/mapp/4f3c5b6f-1a2e-443f-b63a-92e572f48e1c?session=441cef89-4a4a-4ad3-894d-b7a19cd49d96
* ID: Uploaded
* Email: 3GB2002@gmail.com
* Vehicle Color/Make/Model: white toyota highlander 
* ETA: 4:00 PM
* Acknowledgment: ✓</t>
  </si>
  <si>
    <t>2026-01-16 02:49:43</t>
  </si>
  <si>
    <t>6227240927</t>
  </si>
  <si>
    <t>2026-01-16 06:13:18</t>
  </si>
  <si>
    <t>Paris Dixson completed the Adventure Inn Registration Card mini app: https://sys.akia.ai/mapp/08ebf51a-7a61-400d-9296-c5a89f55e759?session=82f19819-b886-4160-90fb-1b7e45200a45
* ID: Uploaded
* Email: pdixson10@gmail.com
* Vehicle Color/Make/Model: White Chevrolet equinox 
* ETA: 6:00 PM
* Acknowledgment: ✓</t>
  </si>
  <si>
    <t>HMNFNCKYMZ</t>
  </si>
  <si>
    <t>2026-01-16 08:50:19</t>
  </si>
  <si>
    <t>Frederick Herrera completed the Adventure Inn Registration Card mini app: https://sys.akia.ai/mapp/23a245d3-45dd-482e-8b3c-5341f3856d60?session=4c769019-011f-403b-9217-da1672abd09b
* ID: Uploaded
* Email: mrfherrera@outlook.com
* Vehicle Color/Make/Model: Red/hyundai/elentra
* ETA: 6:45 PM
* Acknowledgment: ✓</t>
  </si>
  <si>
    <t>5638787734</t>
  </si>
  <si>
    <t>2026-01-16 09:04:01</t>
  </si>
  <si>
    <t>Luis Tena completed the Adventure Inn Registration Card mini app: https://sys.akia.ai/mapp/ba0b843d-7984-4fcb-991a-56fdfe88b351?session=e44bba26-261a-4d75-8e51-a9a96208a9b7
* ID: Uploaded
* Email: luistena44@gmail.com
* Vehicle Color/Make/Model: Red Chevy Malibu 
* ETA: 1:00 AM
* Acknowledgment: ✓</t>
  </si>
  <si>
    <t>5565594135</t>
  </si>
  <si>
    <t>2026-01-16 16:33:29</t>
  </si>
  <si>
    <t>2026-01-16 18:24:41</t>
  </si>
  <si>
    <t>2026-01-16 19:19:17</t>
  </si>
  <si>
    <t>Dean Buterbaugh Iii completed the Adventure Inn Registration Card mini app: https://sys.akia.ai/mapp/0802d0bf-c829-4e4c-b3bb-dcb9836d5c3d?session=8158f536-1292-40b0-bfec-d32467730c45
* ID: Uploaded
* Email: dean.buterbaugh@yahoo.com
* Vehicle Color/Make/Model: Black RAM 1500 Truck
* ETA: 9:00 PM
* Acknowledgment: ✓</t>
  </si>
  <si>
    <t>6163626830</t>
  </si>
  <si>
    <t>2026-01-16 19:44:07</t>
  </si>
  <si>
    <t>HMXZ3F2TKW</t>
  </si>
  <si>
    <t>2026-01-16 20:12:46</t>
  </si>
  <si>
    <t>Garrett Wood completed the Adventure Inn Registration Card mini app: https://sys.akia.ai/mapp/01b11d52-9d6c-45eb-af2f-54abd3daf6b9?session=c515715e-f416-4470-a7b0-0ab76be85cce
* ID: Uploaded
* Email: gwood4727@gmail.con
* Vehicle Color/Make/Model: Silver Nissan Altima 
* ETA: 5:00 PM
* Acknowledgment: ✓</t>
  </si>
  <si>
    <t>6580640723</t>
  </si>
  <si>
    <t>2026-01-16 20:37:59</t>
  </si>
  <si>
    <t>Jason Duggins completed the Adventure Inn Registration Card mini app: https://sys.akia.ai/mapp/915eb84e-d2a4-44e0-86d7-bc6805d9feed?session=60116981-7e53-49d2-a053-2d4a5a24ef7b
* ID: Uploaded
* Email: jmduggins33@mail.com
* Vehicle Color/Make/Model: Charcoal Chevrolet equinox
* ETA: 3:00 PM
* Acknowledgment: ✓</t>
  </si>
  <si>
    <t>2026-01-16 22:14:45</t>
  </si>
  <si>
    <t>Lily Flynn completed the Adventure Inn Registration Card mini app: https://sys.akia.ai/mapp/c675b61f-f945-42b0-8417-1bc5c915a469?session=5ed114eb-7259-4feb-a117-e8d75101ccfe
* ID: Uploaded
* Email: lilyflynn51@gmail.com
* Vehicle Color/Make/Model: Gray Toyota Rav 4
* ETA: 4:00 PM
* Acknowledgment: ✓</t>
  </si>
  <si>
    <t>HMYNWDJYYJ</t>
  </si>
  <si>
    <t>2026-01-16 23:13:52</t>
  </si>
  <si>
    <t>Shawn Smith completed the Adventure Inn Registration Card mini app: https://sys.akia.ai/mapp/10ba8a82-c83c-41d7-b8ad-b3cb8d241f0a?session=d6541129-3ebb-41e8-8321-4b284836cb31
* ID: Uploaded
* Email: shawnsmith911@hotmail.com
* Vehicle Color/Make/Model: N/A
* ETA: 4:00 PM
* Acknowledgment: ✓</t>
  </si>
  <si>
    <t>5361287047</t>
  </si>
  <si>
    <t>2026-01-16 23:30:16</t>
  </si>
  <si>
    <t>5570446353</t>
  </si>
  <si>
    <t>2026-01-17 00:45:20</t>
  </si>
  <si>
    <t>6269062585</t>
  </si>
  <si>
    <t>2026-01-17 01:27:37</t>
  </si>
  <si>
    <t>Cole Schumacher completed the Adventure Inn Registration Card mini app: https://sys.akia.ai/mapp/7df870c4-2ff9-40f4-885d-fbebf72cf939?session=536f42b6-21d8-4dd5-a31e-36962e6a5b3b
* ID: Uploaded
* Email: schumachers2023@gmail.com
* Vehicle Color/Make/Model: Silver/lexus/rx350
* ETA: 3:00 PM
* Acknowledgment: ✓</t>
  </si>
  <si>
    <t>5669568647</t>
  </si>
  <si>
    <t>2026-01-17 03:01:40</t>
  </si>
  <si>
    <t>2372779768</t>
  </si>
  <si>
    <t>2026-01-17 03:38:58</t>
  </si>
  <si>
    <t>Joseph Valles completed the Adventure Inn Registration Card mini app: https://sys.akia.ai/mapp/1198e8b1-904f-4f92-a832-a48200709afd?session=4da7e777-f9e5-43b3-86ca-9696cd27cec7
* ID: Uploaded
* Email: joevalles15@gmail.com
* Vehicle Color/Make/Model: Gray VW Tiguan 
* ETA: 11:00 PM
* Acknowledgment: ✓</t>
  </si>
  <si>
    <t>6866241252</t>
  </si>
  <si>
    <t>2026-01-17 04:11:37</t>
  </si>
  <si>
    <t>HMF9ZBCHQF</t>
  </si>
  <si>
    <t>2026-01-17 18:01:49</t>
  </si>
  <si>
    <t>Leona Tracey completed the Adventure Inn Registration Card mini app: https://sys.akia.ai/mapp/2f1595ba-eb63-4728-8869-c06c6dd9a3f7?session=20244cc4-0189-43d8-acd1-cb0f2a581dcd
* ID: Uploaded
* Email: leonatracey@gmail.com
* Vehicle Color/Make/Model: Brown Ford F150
* ETA: 4:00 PM
* Acknowledgment: ✓</t>
  </si>
  <si>
    <t>5961436560</t>
  </si>
  <si>
    <t>2026-01-17 19:09:25</t>
  </si>
  <si>
    <t>Philip Kuhn completed the Adventure Inn Registration Card mini app: https://sys.akia.ai/mapp/484ae0da-3623-43e7-8359-fe306e78383e?session=1eec0626-0601-453b-8f36-4484f76313a0
* ID: Uploaded
* Email: kuhnph19@gmail.com
* Vehicle Color/Make/Model: Gray/subaru/legacy
* ETA: 4:00 PM
* Acknowledgment: ✓</t>
  </si>
  <si>
    <t>2026-01-17 21:50:23</t>
  </si>
  <si>
    <t>Wendy Petrillo-Rundle completed the Adventure Inn Registration Card mini app: https://sys.akia.ai/mapp/86eccea9-fbe5-417e-8e60-efedebbfebf2?session=df784f8f-2545-48eb-a001-0df84c41c4a2
* ID: Uploaded
* Email: wendylyn49@gmail.com
* Vehicle Color/Make/Model: White Ford explorer
* ETA: 1:15 AM
* Acknowledgment: ✓</t>
  </si>
  <si>
    <t>5101112502</t>
  </si>
  <si>
    <t>2026-01-17 22:38:25</t>
  </si>
  <si>
    <t>6513172146</t>
  </si>
  <si>
    <t>2026-01-17 22:47:23</t>
  </si>
  <si>
    <t>Rachelle Wagner completed the Adventure Inn Registration Card mini app: https://sys.akia.ai/mapp/4966152e-30e9-4d52-a073-2f7fe649de1f?session=df2cf16d-b18e-4a2c-a31d-3c86dcd79a5a
* ID: Uploaded
* Email: rjclark320@gmail.com
* Vehicle Color/Make/Model: N/A
* ETA: 5:00 PM
* Acknowledgment: ✓</t>
  </si>
  <si>
    <t>2373292330</t>
  </si>
  <si>
    <t>2026-01-17 23:32:42</t>
  </si>
  <si>
    <t>2026-03-03</t>
  </si>
  <si>
    <t>6242629647</t>
  </si>
  <si>
    <t>2026-01-18 00:17:52</t>
  </si>
  <si>
    <t>6287068559</t>
  </si>
  <si>
    <t>2026-01-18 02:25:37</t>
  </si>
  <si>
    <t>Kelly Shepherd completed the Adventure Inn Registration Card mini app: https://sys.akia.ai/mapp/c8da0980-bf99-4b82-85f4-acf2b2af340f?session=532ea19c-883d-4518-940c-cca68ae8d1ba
* ID: Uploaded
* Email: kshepherd2193@gmail.com
* Vehicle Color/Make/Model: Green/Red Toyota Tacoma
* ETA: 5:30 PM
* Acknowledgment: ✓</t>
  </si>
  <si>
    <t>HMFHQSTR8T</t>
  </si>
  <si>
    <t>2026-01-18 03:49:47</t>
  </si>
  <si>
    <t>Caleb Harris completed the Adventure Inn Registration Card mini app: https://sys.akia.ai/mapp/0b083745-9b6f-4906-8824-aaf37683e36c?session=58d34191-007b-4cf6-96bf-3a5d7da03ac2
* ID: Uploaded
* Email: mr5x5csh@gmail.com
* Vehicle Color/Make/Model: Tan Ford F250
* ETA: 8:45 PM
* Acknowledgment: ✓</t>
  </si>
  <si>
    <t>HM53SJTX55</t>
  </si>
  <si>
    <t>2026-01-18 04:27:58</t>
  </si>
  <si>
    <t>Cole Larson completed the Adventure Inn Registration Card mini app: https://sys.akia.ai/mapp/d6314ecc-2985-4d76-be04-537236ebbf34?session=25463bf4-7ac3-4a99-9698-9bbce7e966aa
* ID: Uploaded
* Email: cole.s.larson@gmail.com
* Vehicle Color/Make/Model: White Toyota Rav4
* ETA: 5:30 PM
* Acknowledgment: ✓</t>
  </si>
  <si>
    <t>2026-01-18 13:30:30</t>
  </si>
  <si>
    <t>Sebastian Diaz completed the Adventure Inn Registration Card mini app: https://sys.akia.ai/mapp/d96762c3-f4db-4d18-bc51-26990f3f87ce?session=6c3150e5-2bb9-49f3-b209-5b3b8e85bc92
* ID: Uploaded
* Email: cbass2425@gmail.com
* Vehicle Color/Make/Model: White suburu legacy 
* ETA: 6:00 PM
* Acknowledgment: ✓</t>
  </si>
  <si>
    <t>2026-05-18</t>
  </si>
  <si>
    <t>2373605631</t>
  </si>
  <si>
    <t>2026-01-18 14:06:06</t>
  </si>
  <si>
    <t>Sue Whitney completed the Adventure Inn Registration Card mini app: https://sys.akia.ai/mapp/d97c7e31-3d60-4727-99c2-664c13d1da0e?session=7abe0c81-24d3-40a3-abe1-bc2aac00a452
* ID: Uploaded
* Email: suwhitney5@gmail.com
* Vehicle Color/Make/Model: Toyota Camry
* ETA: 4:00 PM
* Acknowledgment: ✓</t>
  </si>
  <si>
    <t>HMBAYT4TWS</t>
  </si>
  <si>
    <t>2026-01-18 16:31:01</t>
  </si>
  <si>
    <t>Gustavo Escobedo completed the Adventure Inn Registration Card mini app: https://sys.akia.ai/mapp/e84ef8eb-1be2-4167-806a-be07395ca7da?session=e36501e6-a4e5-4cde-a7b3-54e7a8a97723
* ID: Uploaded
* Email: grandescobedo@yahoo.com
* Vehicle Color/Make/Model: Silver jeep wrangler
* ETA: 4:00 PM
* Acknowledgment: ✓</t>
  </si>
  <si>
    <t>6082013868</t>
  </si>
  <si>
    <t>2026-01-18 18:48:14</t>
  </si>
  <si>
    <t>2026-01-18 20:41:21</t>
  </si>
  <si>
    <t>5942622090</t>
  </si>
  <si>
    <t>2026-01-18 21:15:55</t>
  </si>
  <si>
    <t>Sarah Rochniak completed the Adventure Inn Registration Card mini app: https://sys.akia.ai/mapp/13a5e0b4-fcb7-47fe-a3a5-0a74354f81d2?session=0df2a80c-a24b-4804-8307-7600873ab911
* ID: Uploaded
* Email: srochniak@gmail.com
* Vehicle Color/Make/Model: Grey Subaru Crosstrek
* ETA: 2:00 PM
* Acknowledgment: ✓</t>
  </si>
  <si>
    <t>5525504969</t>
  </si>
  <si>
    <t>2026-01-18 23:31:49</t>
  </si>
  <si>
    <t>5489177429</t>
  </si>
  <si>
    <t>2026-01-19 00:09:00</t>
  </si>
  <si>
    <t>Annaleise Compton completed the Adventure Inn Registration Card mini app: https://sys.akia.ai/mapp/d5a15fe0-9706-49f8-8c21-4a2297fdaefe?session=09154d52-f9b5-48ce-a424-cef7b3026cfb
* ID: Uploaded
* Email: annaleisecompton@gmail.com
* Vehicle Color/Make/Model: Tucson 
* ETA: 2:00 PM
* Acknowledgment: ✓</t>
  </si>
  <si>
    <t>2026-04-13</t>
  </si>
  <si>
    <t>6887500205</t>
  </si>
  <si>
    <t>2026-01-19 00:21:22</t>
  </si>
  <si>
    <t>5329645931</t>
  </si>
  <si>
    <t>2026-01-19 01:42:24</t>
  </si>
  <si>
    <t>Cammie Robinson completed the Adventure Inn Registration Card mini app: https://sys.akia.ai/mapp/20f193b6-3590-4400-a5f2-920fe6aa1571?session=99d98a6b-643a-43ce-9cd3-d3d7f94eb0c7
* ID: Uploaded
* Email: robinsoncammie98@gmail.com
* Vehicle Color/Make/Model: White Honda 
* ETA: 4:00 PM
* Acknowledgment: ✓</t>
  </si>
  <si>
    <t>2026-03-18</t>
  </si>
  <si>
    <t>2374111922</t>
  </si>
  <si>
    <t>2026-01-19 05:09:52</t>
  </si>
  <si>
    <t>Austin Smith completed the Adventure Inn Registration Card mini app: https://sys.akia.ai/mapp/86cb5b2f-7e25-47dc-a470-c95ba3954f7c?session=70425317-b302-4a0d-9b65-49582bffc5c9
* ID: Uploaded
* Email: aesmith3@gmail.com
* Vehicle Color/Make/Model: Gray Ford F450
* ETA: 11:00 PM
* Acknowledgment: ✓</t>
  </si>
  <si>
    <t>2374111927</t>
  </si>
  <si>
    <t>2026-01-19 05:09:56</t>
  </si>
  <si>
    <t>Austin Smith completed the Adventure Inn Registration Card mini app: https://sys.akia.ai/mapp/965789b3-dc59-43b1-8b1b-1c9319ffb1b5?session=eb3bc7b8-60a3-45ab-8c29-b65f51bf38e6
* ID: Uploaded
* Email: aesmith3@gmail.com
* Vehicle Color/Make/Model: Gray Ford F450
* ETA: 11:00 PM
* Acknowledgment: ✓</t>
  </si>
  <si>
    <t>2026-01-19 18:23:10</t>
  </si>
  <si>
    <t>Mackenzie Wieder completed the Adventure Inn Registration Card mini app: https://sys.akia.ai/mapp/b9131c5f-66f6-4b86-bd4c-97fb8841b630?session=c58dd0cd-ceb5-4b3d-8afc-d2a079ac43e7
* ID: Uploaded
* Email: mac.wieder22@gmail.com
* Vehicle Color/Make/Model: Green Toyota Camry- New Mexico- RZG477
* ETA: 3:00 PM
* Acknowledgment: ✓</t>
  </si>
  <si>
    <t>6348524541</t>
  </si>
  <si>
    <t>2026-01-19 18:47:50</t>
  </si>
  <si>
    <t>2026-07-01</t>
  </si>
  <si>
    <t>2026-07-02</t>
  </si>
  <si>
    <t>2374632928</t>
  </si>
  <si>
    <t>2026-01-19 20:34:43</t>
  </si>
  <si>
    <t>Allison Rudmann completed the Adventure Inn Registration Card mini app: https://sys.akia.ai/mapp/e0b1dacd-d5a8-42d3-aa06-02e5e4a10420?session=5771496d-4d22-4fd1-8c6b-5228bf3c61f8
* ID: Uploaded
* Email: allison.rudmann.putnam@gmail.com
* Vehicle Color/Make/Model: Silver/Chevrolet/Traverse
* ETA: 4:00 PM
* Acknowledgment: ✓</t>
  </si>
  <si>
    <t>2026-02-25</t>
  </si>
  <si>
    <t>5848787207</t>
  </si>
  <si>
    <t>2026-01-19 20:43:32</t>
  </si>
  <si>
    <t>Garrett Rist completed the Adventure Inn Registration Card mini app: https://sys.akia.ai/mapp/f0cd6be3-30d4-476f-8abe-543384e86a41?session=0979fbae-4bc8-4da7-893b-3344ee29232b
* ID: Uploaded
* Email: garrett1088@gmail.com
* Vehicle Color/Make/Model: 2022 Ram 1500
* ETA: 12:00 PM
* Acknowledgment: ✓</t>
  </si>
  <si>
    <t>5728963770</t>
  </si>
  <si>
    <t>2026-01-20 01:41:16</t>
  </si>
  <si>
    <t>John Weber completed the Adventure Inn Registration Card mini app: https://sys.akia.ai/mapp/e74bfd3b-c11c-4de1-8ca9-05e1ee8dfb01?session=0a07749a-5ae0-47c7-abd5-c756e1b42307
* ID: Uploaded
* Email: btsweber@gmail.com
* Vehicle Color/Make/Model: White Subaru Outback 
* ETA: 3:00 PM
* Acknowledgment: ✓</t>
  </si>
  <si>
    <t>HMHCFHDFW8</t>
  </si>
  <si>
    <t>2026-01-20 02:32:34</t>
  </si>
  <si>
    <t>Isaiah Maestas completed the Adventure Inn Registration Card mini app: https://sys.akia.ai/mapp/5b537ccc-393e-40f6-aa9e-a6a0cba6a7ce?session=4e037b37-34c2-44c7-8600-b255e1e4ac6b
* ID: Uploaded
* Email: Maestas.Isaiah@yahoo.com
* Vehicle Color/Make/Model: Red F150
* ETA: 4:00 PM
* Acknowledgment: ✓</t>
  </si>
  <si>
    <t>2026-01-20 04:14:18</t>
  </si>
  <si>
    <t>Marsha Schultze completed the Adventure Inn Registration Card mini app: https://sys.akia.ai/mapp/5efb1fba-320c-4ba3-83f3-c86f0e714e11?session=66824d26-2c2f-4bb7-a021-209e22adfe54
* ID: Uploaded
* Email: marshaschultze@comcast.net
* Vehicle Color/Make/Model: Silver Toyota 4Runner
* ETA: 2:00 PM
* Acknowledgment: ✓</t>
  </si>
  <si>
    <t>5256053096</t>
  </si>
  <si>
    <t>2026-01-20 15:46:27</t>
  </si>
  <si>
    <t>Lauryn Ramirez completed the Adventure Inn Registration Card mini app: https://sys.akia.ai/mapp/02935cec-18b8-4f66-ac2d-4b3dda5b4e34?session=c42b7421-0d2d-4771-8962-a8e98d836299
* ID: Uploaded
* Email: lauryn_ramirez@icloud.com
* Vehicle Color/Make/Model: White/Jetta/Volkswagen
* ETA: 6:00 PM
* Acknowledgment: ✓</t>
  </si>
  <si>
    <t>HMX543K3K4</t>
  </si>
  <si>
    <t>2026-01-20 16:14:14</t>
  </si>
  <si>
    <t>Amanda Voss completed the Adventure Inn Registration Card mini app: https://sys.akia.ai/mapp/36c54573-2fd5-4e1d-8e65-e135ed4dcdbf?session=f2a92cb5-45ec-4943-a89c-976c0f3b6038
* ID: Uploaded
* Email: hello@mapyourmagic.world
* Vehicle Color/Make/Model: None
* ETA: 9:30 PM
* Acknowledgment: ✓</t>
  </si>
  <si>
    <t>2026-06-08</t>
  </si>
  <si>
    <t>2026-06-10</t>
  </si>
  <si>
    <t>2026-01-20 19:25:13</t>
  </si>
  <si>
    <t>Shelley Lane completed the Adventure Inn Registration Card mini app: https://sys.akia.ai/mapp/eb02e865-5805-4c86-b1ca-3097b565fc02?session=7afe9319-6864-45cf-a392-0a9c04c3fc5a
* ID: Uploaded
* Email: shelley2lane@gmail.com
* Vehicle Color/Make/Model: Unknown
* ETA: 7:00 PM
* Acknowledgment: ✓</t>
  </si>
  <si>
    <t>HMMKNQDZFY</t>
  </si>
  <si>
    <t>2026-01-20 20:24:12</t>
  </si>
  <si>
    <t>Chandragupta Wanjari completed the Adventure Inn Registration Card mini app: https://sys.akia.ai/mapp/1bbdd2d8-26e0-45f9-8f6f-c2d82c2fa592?session=a2f0644c-9250-4101-b143-aae3d844a2df
* ID: Uploaded
* Email: c.wanjari17@gmail.com
* Vehicle Color/Make/Model: Mazda CX-30
* ETA: 4:00 PM
* Acknowledgment: ✓</t>
  </si>
  <si>
    <t>2026-04-09</t>
  </si>
  <si>
    <t>2375473939</t>
  </si>
  <si>
    <t>2026-01-20 21:48:14</t>
  </si>
  <si>
    <t>Chris Beattie completed the Adventure Inn Registration Card mini app: https://sys.akia.ai/mapp/43e38627-5cfe-4edd-894c-042fb11139cc?session=c15d97e3-a922-4d32-b574-5b849487c621
* ID: Uploaded
* Email: c-beattie@hotmail.co.uk
* Vehicle Color/Make/Model: Black Ford Bronco
* ETA: 4:00 PM
* Acknowledgment: ✓</t>
  </si>
  <si>
    <t>2375473944</t>
  </si>
  <si>
    <t>2026-01-20 21:48:17</t>
  </si>
  <si>
    <t>Debra Beattie completed the Adventure Inn Registration Card mini app: https://sys.akia.ai/mapp/611e0949-81dc-46af-bbc0-809b0e4b51b3?session=09bbba4e-f7e2-4146-8d07-363942ef1712
* ID: Uploaded
* Email: c-beattie@hotmail.co.uk
* Vehicle Color/Make/Model: Black ford Bronco
* ETA: 4:00 PM
* Acknowledgment: ✓</t>
  </si>
  <si>
    <t>6768801083</t>
  </si>
  <si>
    <t>2026-01-21 01:50:49</t>
  </si>
  <si>
    <t>2026-01-21 02:21:31</t>
  </si>
  <si>
    <t>2375650251</t>
  </si>
  <si>
    <t>2026-01-21 02:54:17</t>
  </si>
  <si>
    <t>2026-01-21 05:00:38</t>
  </si>
  <si>
    <t>6856470874</t>
  </si>
  <si>
    <t>2026-01-21 17:30:18</t>
  </si>
  <si>
    <t>Mandy Woolfstead completed the Adventure Inn Registration Card mini app: https://sys.akia.ai/mapp/951fb04f-901a-4371-bde3-9244125d7b45?session=39097010-4ca8-4bce-9e5c-b929ab22e205
* ID: Uploaded
* Email: ms.woolfstead@yahoo.com
* Vehicle Color/Make/Model: White (dirty) ford escape 
* ETA: 7:45 PM
* Acknowledgment: ✓</t>
  </si>
  <si>
    <t>2026-04-18</t>
  </si>
  <si>
    <t>2376117528</t>
  </si>
  <si>
    <t>2026-01-21 18:19:02</t>
  </si>
  <si>
    <t>5779138501</t>
  </si>
  <si>
    <t>2026-01-21 21:52:26</t>
  </si>
  <si>
    <t>HMWSXQS2CE</t>
  </si>
  <si>
    <t>2026-01-21 22:38:54</t>
  </si>
  <si>
    <t>Pablo Cordova completed the Adventure Inn Registration Card mini app: https://sys.akia.ai/mapp/06461812-1468-4dbd-8e55-d437129a12a3?session=b92f91ff-6541-48db-83fa-5e18bdbb28b8
* ID: Uploaded
* Email: pablocordova17@live.com
* Vehicle Color/Make/Model: Blue Subaru Crosstrek
* ETA: 8:00 PM
* Acknowledgment: ✓</t>
  </si>
  <si>
    <t>2026-01-21 23:53:45</t>
  </si>
  <si>
    <t>5245297281</t>
  </si>
  <si>
    <t>2026-01-22 00:08:52</t>
  </si>
  <si>
    <t>6081316782</t>
  </si>
  <si>
    <t>2026-01-22 01:20:44</t>
  </si>
  <si>
    <t>2026-04-11</t>
  </si>
  <si>
    <t>HMQ82JHZBR</t>
  </si>
  <si>
    <t>2026-01-22 01:40:51</t>
  </si>
  <si>
    <t>2376462068</t>
  </si>
  <si>
    <t>2026-01-22 04:08:56</t>
  </si>
  <si>
    <t>6610204715</t>
  </si>
  <si>
    <t>2026-01-22 05:15:02</t>
  </si>
  <si>
    <t>Vipin Chandra Mouli Venna completed the Adventure Inn Registration Card mini app: https://sys.akia.ai/mapp/80c6c4a7-5270-48f4-9130-7ae5e2f5c0ea?session=c9730089-6c99-40b0-951f-0ce26c1f9543
* ID: Uploaded
* Email: vipinchandramouli@gmail.com
* Vehicle Color/Make/Model: BLACK/KIA/CARNIVAL
* Acknowledgment: ✓</t>
  </si>
  <si>
    <t>2026-01-22 21:26:09</t>
  </si>
  <si>
    <t>Abigail Bettenhausen completed the Adventure Inn Registration Card mini app: https://sys.akia.ai/mapp/b9cf6b99-8c5a-4c20-bf4c-5e40c2f34a32?session=bd62780d-7fb5-4dd6-be29-7b56bf3139fc
* ID: Uploaded
* Email: abbybett313@gmail.com
* Vehicle Color/Make/Model: Red Subaru Outback
* ETA: 11:00 PM
* Acknowledgment: ✓</t>
  </si>
  <si>
    <t>2377008710</t>
  </si>
  <si>
    <t>2026-01-22 21:47:49</t>
  </si>
  <si>
    <t>David Roknic completed the Adventure Inn Registration Card mini app: https://sys.akia.ai/mapp/ea06e583-e267-41f7-84e1-92f086e0a71f?session=9618a8fb-5fa3-4967-b850-55f3a5d22e14
* ID: Uploaded
* Email: droknic@sbcglobal.net
* Vehicle Color/Make/Model: Gold subaru forester
* ETA: 4:00 PM
* Acknowledgment: ✓</t>
  </si>
  <si>
    <t>2377039534</t>
  </si>
  <si>
    <t>2026-01-22 22:43:24</t>
  </si>
  <si>
    <t>Jonathan Wolfe completed the Adventure Inn Registration Card mini app: https://sys.akia.ai/mapp/c146093f-7443-4c63-8af7-606620888391?session=78383eab-97cb-4c14-8c1b-38d2c021212e
* ID: Uploaded
* Email: skydyes@gmail.com
* Vehicle Color/Make/Model: Blue Ford F150
* ETA: 6:00 PM
* Acknowledgment: ✓</t>
  </si>
  <si>
    <t>2026-05-07</t>
  </si>
  <si>
    <t>2026-05-08</t>
  </si>
  <si>
    <t>2377092493</t>
  </si>
  <si>
    <t>2026-01-23 00:24:03</t>
  </si>
  <si>
    <t>Chad Rooney completed the Adventure Inn Registration Card mini app: https://sys.akia.ai/mapp/0f7bb4e5-8b6b-4bb0-a89d-51f1eba88f13?session=f576fb11-61e2-4215-af9c-f8a2e44bd091
* ID: Uploaded
* Email: chaderik@gmail.com
* Vehicle Color/Make/Model: Blue hyundai kona
* ETA: 4:00 PM
* Acknowledgment: ✓</t>
  </si>
  <si>
    <t>HM29SPCX42</t>
  </si>
  <si>
    <t>2026-01-23 01:52:14</t>
  </si>
  <si>
    <t>Kiara J completed the Adventure Inn Registration Card mini app: https://sys.akia.ai/mapp/69a58fcd-acd7-4792-a906-9c05f909ac0f?session=f298fd5c-ba6f-47ce-83d9-eba9ccb2dad7
* ID: Uploaded
* Email: reynajk.97@gmail.com
* Vehicle Color/Make/Model: White/Kona/Hyundai
* ETA: 4:00 PM
* Acknowledgment: ✓</t>
  </si>
  <si>
    <t>2026-01-23 02:20:25</t>
  </si>
  <si>
    <t>104 (STK), 106 (STQ)</t>
  </si>
  <si>
    <t>5392822252</t>
  </si>
  <si>
    <t>2026-01-23 05:08:10</t>
  </si>
  <si>
    <t>2377239618</t>
  </si>
  <si>
    <t>2026-01-23 05:11:47</t>
  </si>
  <si>
    <t>6392500521</t>
  </si>
  <si>
    <t>2026-01-23 15:49:30</t>
  </si>
  <si>
    <t>118 (STQ), 120 (STQ), 119 (STQ)</t>
  </si>
  <si>
    <t>5410475258</t>
  </si>
  <si>
    <t>2026-01-23 17:11:14</t>
  </si>
  <si>
    <t>HMFWBY5CQ3</t>
  </si>
  <si>
    <t>2026-01-23 18:59:08</t>
  </si>
  <si>
    <t>Mariah Martinez completed the Adventure Inn Registration Card mini app: https://sys.akia.ai/mapp/018aa5b7-1b85-4d94-836e-048a4a8259c0?session=6a366ef1-385d-48cf-904d-3599d640d64f
* ID: Uploaded
* Email: mariahmartinezabq@gmail.com
* Vehicle Color/Make/Model: White Nissan rogue 
* ETA: 3:00 PM
* Acknowledgment: ✓</t>
  </si>
  <si>
    <t>2026-01-23 20:40:31</t>
  </si>
  <si>
    <t>2377758078</t>
  </si>
  <si>
    <t>2026-01-23 21:54:28</t>
  </si>
  <si>
    <t>Ronda Pettey-Kucher completed the Adventure Inn Registration Card mini app: https://sys.akia.ai/mapp/921ef06a-057a-4f70-ae19-75c7941ad8de?session=d1f220c3-8795-4a5f-ae0b-e2f2b70437bb
* ID: Uploaded
* Email: rraepettey@gmail.com
* Vehicle Color/Make/Model: Rental
* ETA: 10:00 PM
* Acknowledgment: ✓</t>
  </si>
  <si>
    <t>6023349934</t>
  </si>
  <si>
    <t>2026-01-23 22:42:37</t>
  </si>
  <si>
    <t>Brianna Brianna completed the Adventure Inn Registration Card mini app: https://sys.akia.ai/mapp/0506eec2-c63a-4afa-9491-bd9bac41ffe7?session=100ee848-1f92-4259-8486-59735401ac4a
* ID: Uploaded
* Email: briannalee03@gmail.com
* Vehicle Color/Make/Model: Blue Subaru forester 
* ETA: 5:00 PM
* Acknowledgment: ✓</t>
  </si>
  <si>
    <t>2377914048</t>
  </si>
  <si>
    <t>2026-01-24 03:12:34</t>
  </si>
  <si>
    <t>Mark Christie completed the Adventure Inn Registration Card mini app: https://sys.akia.ai/mapp/49f68856-30fa-4bc8-8c5d-1239532faf06?session=df4f4ef8-ac4a-4e05-bb5f-65d4f9c3aa2c
* ID: Uploaded
* Email: mark.christie.1988@gmail.com
* Vehicle Color/Make/Model: Blue/Ford/F150
* ETA: 2:30 PM
* Acknowledgment: ✓</t>
  </si>
  <si>
    <t>HM3BDNQEFM</t>
  </si>
  <si>
    <t>2026-01-24 05:10:19</t>
  </si>
  <si>
    <t>Jason Quintana completed the Adventure Inn Registration Card mini app: https://sys.akia.ai/mapp/900e90d4-8671-409f-8d75-c1159c56c6a9?session=f88f50c6-b261-41f2-b797-7f1388a8bc75
* ID: Uploaded
* Email: jasonquintana47@gmail.com
* Vehicle Color/Make/Model: Silver Ford Explorer 
* ETA: 4:00 PM
* Acknowledgment: ✓</t>
  </si>
  <si>
    <t>2026-01-24 17:38:02</t>
  </si>
  <si>
    <t>HMJNDQCXPH</t>
  </si>
  <si>
    <t>2026-01-24 18:35:26</t>
  </si>
  <si>
    <t>Brennan Dunn completed the Adventure Inn Registration Card mini app: https://sys.akia.ai/mapp/a763cf35-26c0-4841-be65-075e400bc4dd?session=7b5b11fd-f379-4a78-ba51-12233be77f04
* ID: Uploaded
* Email: brennan1dunn@gmail.com
* Vehicle Color/Make/Model: blue 2023 Subaru crosstrek
* ETA: 1:00 PM
* Acknowledgment: ✓</t>
  </si>
  <si>
    <t>2026-01-24 20:01:58</t>
  </si>
  <si>
    <t>2378367433</t>
  </si>
  <si>
    <t>2026-01-24 22:12:57</t>
  </si>
  <si>
    <t>HMPZ8DEDPT</t>
  </si>
  <si>
    <t>2026-01-25 00:37:46</t>
  </si>
  <si>
    <t>Alex Sparks completed the Adventure Inn Registration Card mini app: https://sys.akia.ai/mapp/aafaaecd-f713-4fb3-bdb2-bc4d1a707611?session=9f1f18c5-0d8d-4e21-a91f-70faa006b23d
* ID: Uploaded
* Email: jabroni854@hotmail.com
* Vehicle Color/Make/Model: Black Subaru Forester
* ETA: 4:00 PM
* Acknowledgment: ✓</t>
  </si>
  <si>
    <t>2026-01-25 14:53:08</t>
  </si>
  <si>
    <t>Ryan Fadeley completed the Adventure Inn Registration Card mini app: https://sys.akia.ai/mapp/a0bc3bfa-dad1-458d-b6d3-3040ab48acf3?session=ac4ebd9e-d9fd-4d97-8324-d6f62a8c21b5
* ID: Uploaded
* Email: ryan.fades28@gmail.com
* Vehicle Color/Make/Model: Toyota 
* ETA: 2:00 PM
* Acknowledgment: ✓, Jodi Munson completed the Adventure Inn Registration Card mini app: https://sys.akia.ai/mapp/434ca068-f5e0-4d6e-8096-71913d60e7b1?session=c4cbcff7-8fbe-4803-8b07-e87a63626814
* ID: Uploaded
* Email: jmunson422@gmail.com
* Vehicle Color/Make/Model: Toyota Rav 4 grey 
* ETA: 2:00 PM
* Acknowledgment: ✓</t>
  </si>
  <si>
    <t>2378949372</t>
  </si>
  <si>
    <t>2026-01-25 21:24:11</t>
  </si>
  <si>
    <t>Anne Alsup completed the Adventure Inn Registration Card mini app: https://sys.akia.ai/mapp/d9e7e028-2400-440d-8ac5-70eafa46e910?session=1ed5cb2d-c063-4f68-8d21-771ac3df332b
* ID: Uploaded
* Email: talbottalsup@yahoo.com
* Vehicle Color/Make/Model: White/Volvo/XC70
* ETA: 4:00 PM
* Acknowledgment: ✓</t>
  </si>
  <si>
    <t>2379084554</t>
  </si>
  <si>
    <t>2026-01-26 01:28:37</t>
  </si>
  <si>
    <t>Sarah Raiss completed the Adventure Inn Registration Card mini app: https://sys.akia.ai/mapp/74b09e0a-c28d-488b-a6ce-73fc82643b70?session=47160efe-75da-4e21-ba9d-a83eec9ad41c
* ID: Uploaded
* Email: sraiss447@gmail.com
* Vehicle Color/Make/Model: White Nissan Rogue 
* ETA: 4:00 PM
* Acknowledgment: ✓</t>
  </si>
  <si>
    <t>5117347154</t>
  </si>
  <si>
    <t>2026-01-26 02:52:57</t>
  </si>
  <si>
    <t>11am checkout-jf</t>
  </si>
  <si>
    <t>HMQF9SQ54X</t>
  </si>
  <si>
    <t>2026-01-26 03:21:30</t>
  </si>
  <si>
    <t>Rafael Ramirez completed the Adventure Inn Registration Card mini app: https://sys.akia.ai/mapp/5dcca115-d823-4dbe-9c2a-9f93e57fe072?session=c3ae9e65-27a4-4362-9bbe-ffef34c28b37
* ID: Uploaded
* Email: rafaelrmz558@gmail.com
* Vehicle Color/Make/Model: Silver 1994 Chevrolet 1500 Pick Up Single Cab
* ETA: 4:00 PM
* Acknowledgment: ✓</t>
  </si>
  <si>
    <t>2379148024</t>
  </si>
  <si>
    <t>2026-01-26 03:28:06</t>
  </si>
  <si>
    <t>6442186807</t>
  </si>
  <si>
    <t>2026-01-26 05:15:00</t>
  </si>
  <si>
    <t>Amber Kerby completed the Adventure Inn Registration Card mini app: https://sys.akia.ai/mapp/2207e5ff-21b2-41ea-8ae9-b919966e5593?session=4aca1a6d-72fb-4e79-abfb-84efcd970c1d
* ID: Uploaded
* Email: Iminlovewithlife@aol.com
* Vehicle Color/Make/Model: Green Jeep Gladiator 
* ETA: 8:00 PM
* Acknowledgment: ✓</t>
  </si>
  <si>
    <t>6880296888</t>
  </si>
  <si>
    <t>2026-01-26 05:19:05</t>
  </si>
  <si>
    <t>2026-01-26 13:16:12</t>
  </si>
  <si>
    <t>5733529737</t>
  </si>
  <si>
    <t>2026-01-26 14:57:41</t>
  </si>
  <si>
    <t>2379547076</t>
  </si>
  <si>
    <t>2026-01-26 17:03:44</t>
  </si>
  <si>
    <t>2026-01-26 19:44:25</t>
  </si>
  <si>
    <t>2379713311</t>
  </si>
  <si>
    <t>2026-01-26 20:59:48</t>
  </si>
  <si>
    <t>6381467093</t>
  </si>
  <si>
    <t>2026-01-26 21:01:18</t>
  </si>
  <si>
    <t>6842390877</t>
  </si>
  <si>
    <t>2026-01-26 21:26:04</t>
  </si>
  <si>
    <t>5212797598</t>
  </si>
  <si>
    <t>2026-01-26 22:30:19</t>
  </si>
  <si>
    <t>HM3H5CNW99</t>
  </si>
  <si>
    <t>2026-01-26 23:26:57</t>
  </si>
  <si>
    <t>Jeff Lyon completed the Adventure Inn Registration Card mini app: https://sys.akia.ai/mapp/a8a402c6-5e28-4a49-830f-2c367a2fa9a0?session=bbbff17f-68e3-4838-bc34-5d833194a32d
* ID: Uploaded
* Email: lyonj_lic@yahoo.com
* Vehicle Color/Make/Model: Light Blue Tesla Model S
* ETA: 6:35 PM
* Acknowledgment: ✓</t>
  </si>
  <si>
    <t>2026-03-30</t>
  </si>
  <si>
    <t>6282752482</t>
  </si>
  <si>
    <t>2026-01-27 00:12:22</t>
  </si>
  <si>
    <t>6026561281</t>
  </si>
  <si>
    <t>2026-01-27 00:35:56</t>
  </si>
  <si>
    <t>Brooke Polon completed the Adventure Inn Registration Card mini app: https://sys.akia.ai/mapp/e3121f9c-37a3-4b5f-9916-01e48515f91e?session=c25b5640-8a15-45bb-ba33-2165893b5543
* ID: Uploaded
* Email: bepolon@me.com
* Vehicle Color/Make/Model: Grey Ford F150
* ETA: 4:00 PM
* Acknowledgment: ✓</t>
  </si>
  <si>
    <t>6932357596</t>
  </si>
  <si>
    <t>2026-01-27 01:51:50</t>
  </si>
  <si>
    <t>Candace Shapiro completed the Adventure Inn Registration Card mini app: https://sys.akia.ai/mapp/eb93e22f-661d-4574-a842-191397ff604d?session=5071547f-d790-4764-accd-9680a2f19f1f
* ID: Uploaded
* Email: loessinc@gmail.com
* Vehicle Color/Make/Model: Honda HRV/Silver
* ETA: 4:30 PM
* Acknowledgment: ✓</t>
  </si>
  <si>
    <t>2026-01-27 02:03:05</t>
  </si>
  <si>
    <t>2026-01-27 02:24:05</t>
  </si>
  <si>
    <t>Amanda Mcdowell completed the Adventure Inn Registration Card mini app: https://sys.akia.ai/mapp/18ed1351-a694-46be-8270-c52fc8559203?session=f974c375-7522-4a24-b72d-c6a20933a496
* ID: Uploaded
* Email: amandal.mcdowell@yahoo.com
* Vehicle Color/Make/Model: White Toyota Tacoma 
* ETA: 4:00 PM
* Acknowledgment: ✓</t>
  </si>
  <si>
    <t>HM94FMAFEW</t>
  </si>
  <si>
    <t>2026-01-27 02:50:59</t>
  </si>
  <si>
    <t>Kelli Zippro completed the Adventure Inn Registration Card mini app: https://sys.akia.ai/mapp/1e7b8dd1-2137-4d1b-ac49-4e87f654e074?session=c2cb55e2-36f1-40fb-aeae-e1032adad4d9
* ID: Uploaded
* Email: kellizip88@gmail.com
* Vehicle Color/Make/Model: Kia Sportsge
* ETA: 7:00 PM
* Acknowledgment: ✓</t>
  </si>
  <si>
    <t>5557674358</t>
  </si>
  <si>
    <t>2026-01-27 03:06:36</t>
  </si>
  <si>
    <t>Karen Avery completed the Adventure Inn Registration Card mini app: https://sys.akia.ai/mapp/4f21e258-61c5-4684-9f9d-f58f040d0905?session=4c505646-ebea-4c9c-83a4-849d8b7b4708
* ID: Uploaded
* Email: kavery5304@gmail.com
* Vehicle Color/Make/Model: Ford F150 charcoal gray
* ETA: 9:00 PM
* Acknowledgment: ✓</t>
  </si>
  <si>
    <t>2379955719</t>
  </si>
  <si>
    <t>2026-01-27 03:43:42</t>
  </si>
  <si>
    <t>Robert Arellano completed the Adventure Inn Registration Card mini app: https://sys.akia.ai/mapp/05387bb0-e213-4e6a-9b5e-3f0d6f623c7e?session=f3b5a8e6-8132-444b-a426-1bb21d4cd946
* ID: Uploaded
* Email: arellano.robert626@gmail.com
* Vehicle Color/Make/Model: Black Mercedes GL350
* ETA: 4:30 PM
* Acknowledgment: ✓</t>
  </si>
  <si>
    <t>6474986757</t>
  </si>
  <si>
    <t>2026-01-27 05:40:51</t>
  </si>
  <si>
    <t>Sofia Syed completed the Adventure Inn Registration Card mini app: https://sys.akia.ai/mapp/1c5333e6-bcdb-4cef-bc5d-d023d00eb4f7?session=de181df5-49b3-46e1-8368-71645b5b23b2
* ID: Uploaded
* Email: sofiarileysyed@gmail.com
* Vehicle Color/Make/Model: Green Subaru Forester
* ETA: 9:00 PM
* Acknowledgment: ✓</t>
  </si>
  <si>
    <t>2026-03-01</t>
  </si>
  <si>
    <t>2026-03-02</t>
  </si>
  <si>
    <t>HMEPYXD8AZ</t>
  </si>
  <si>
    <t>2026-01-27 16:52:45</t>
  </si>
  <si>
    <t>Daniel Swenson completed the Adventure Inn Registration Card mini app: https://sys.akia.ai/mapp/e44e65a0-e1e9-4720-9caa-1b118b8b9e24?session=f5f3d53f-bc19-4a7f-b712-7b173b39451a
* ID: Uploaded
* Email: D.swenz4@gmail.com
* Vehicle Color/Make/Model: Black Toyota Camry (rental, may change)
* ETA: 6:00 PM
* Acknowledgment: ✓</t>
  </si>
  <si>
    <t>6282706816</t>
  </si>
  <si>
    <t>2026-01-27 17:01:21</t>
  </si>
  <si>
    <t>Megan Goddard completed the Adventure Inn Registration Card mini app: https://sys.akia.ai/mapp/038bda6c-e221-4290-8111-2e6e3a102186?session=848a5824-7f69-4737-a241-fdc33a7f4880
* ID: Uploaded
* Email: meganjunegoddard@gmail.com
* Vehicle Color/Make/Model: Blue Subaru Crosstrek
* ETA: 11:30 PM
* Acknowledgment: ✓</t>
  </si>
  <si>
    <t>5296853188</t>
  </si>
  <si>
    <t>2026-01-27 23:48:46</t>
  </si>
  <si>
    <t>2026-01-28 00:30:41</t>
  </si>
  <si>
    <t>2026-01-28 01:31:10</t>
  </si>
  <si>
    <t>Megan Marrujo completed the Adventure Inn Registration Card mini app: https://sys.akia.ai/mapp/dc722f1f-e248-41e6-98bb-d806ab0ace48?session=f9ed87f6-a556-46d1-87e0-eac63b98ea8f
* ID: Uploaded
* Email: mparkermarrujo@gmail.com
* Vehicle Color/Make/Model: Blue/Crosstrek/Subaru 
* ETA: 1:00 PM
* Acknowledgment: ✓, Guest was un happy with stay, refunded tonight-JF</t>
  </si>
  <si>
    <t>HMJDKCBPKN</t>
  </si>
  <si>
    <t>2026-01-28 16:37:36</t>
  </si>
  <si>
    <t>Karla Roquemore completed the Adventure Inn Registration Card mini app: https://sys.akia.ai/mapp/c04b4700-d608-4378-b6a1-34e3d06c49bd?session=3c68ffd7-a768-4c70-8efb-24184ff59398
* ID: Uploaded
* Email: karla.roquemore@gmail.com
* Vehicle Color/Make/Model: White Honda Pilot
* ETA: 4:00 PM
* Acknowledgment: ✓</t>
  </si>
  <si>
    <t>2381259370</t>
  </si>
  <si>
    <t>2026-01-28 20:36:17</t>
  </si>
  <si>
    <t>Mary Schoenemann completed the Adventure Inn Registration Card mini app: https://sys.akia.ai/mapp/bcba6703-75fd-436b-8d81-a279478b952a?session=a617051b-2ccd-4ed4-8f87-cfa7c6137431
* ID: Uploaded
* Email: moonstoneyoga@gmail.com
* Vehicle Color/Make/Model: Highlander Toyota 
* ETA: 4:00 PM
* Acknowledgment: ✓</t>
  </si>
  <si>
    <t>5491359597</t>
  </si>
  <si>
    <t>2026-01-28 23:07:38</t>
  </si>
  <si>
    <t>2026-01-28 23:38:54</t>
  </si>
  <si>
    <t>2026-01-28 23:44:40</t>
  </si>
  <si>
    <t>5879848386</t>
  </si>
  <si>
    <t>2026-01-29 01:50:05</t>
  </si>
  <si>
    <t>2026-02-21</t>
  </si>
  <si>
    <t>HMN2ZTRET3</t>
  </si>
  <si>
    <t>2026-01-29 17:24:40</t>
  </si>
  <si>
    <t>Kalin Kennedy completed the Adventure Inn Registration Card mini app: https://sys.akia.ai/mapp/3380dd47-18f8-4397-996a-e4da2bb6bf5b?session=3c322ac0-e782-4117-80a6-2b569138a3c0
* ID: Uploaded
* Email: kalin.kennedy97@gmail.com
* Vehicle Color/Make/Model: Grey Ford F-150
* ETA: 8:00 PM
* Acknowledgment: ✓</t>
  </si>
  <si>
    <t>2026-01-29 23:53:21</t>
  </si>
  <si>
    <t>2382237452</t>
  </si>
  <si>
    <t>2026-01-30 03:41:13</t>
  </si>
  <si>
    <t>2026-06-09</t>
  </si>
  <si>
    <t>2382541091</t>
  </si>
  <si>
    <t>2026-01-30 15:22:07</t>
  </si>
  <si>
    <t>Meg Mckenna completed the Adventure Inn Registration Card mini app: https://sys.akia.ai/mapp/a603baa6-db35-40eb-841a-22731f45d39f?session=67a2b79f-5d4b-42dc-a2b0-c1755e334319
* ID: Uploaded
* Email: meg.mckenna@comcast.net
* Vehicle Color/Make/Model: White Toyota RAV4
* ETA: 4:00 PM
* Acknowledgment: ✓</t>
  </si>
  <si>
    <t>2026-05-31</t>
  </si>
  <si>
    <t>2026-06-02</t>
  </si>
  <si>
    <t>6025507928</t>
  </si>
  <si>
    <t>2026-01-30 19:32:30</t>
  </si>
  <si>
    <t>6849397228</t>
  </si>
  <si>
    <t>2026-01-31 15:49:55</t>
  </si>
  <si>
    <t>2026-03-12</t>
  </si>
  <si>
    <t>2383355810</t>
  </si>
  <si>
    <t>2026-01-31 20:09:27</t>
  </si>
  <si>
    <t>2383355812</t>
  </si>
  <si>
    <t>2026-01-31 20:09:31</t>
  </si>
  <si>
    <t>2383413682</t>
  </si>
  <si>
    <t>2026-01-31 21:54:06</t>
  </si>
  <si>
    <t>2026-01-31 22:47:36</t>
  </si>
  <si>
    <t>2026-05-11</t>
  </si>
  <si>
    <t>6849379523</t>
  </si>
  <si>
    <t>2026-02-01 01:51:42</t>
  </si>
  <si>
    <t>Lauren Hammond completed the Adventure Inn Registration Card mini app: https://sys.akia.ai/mapp/32746fad-739a-4418-80e9-1c26438dfd84?session=2122a0aa-71ff-4fe4-948a-02cef251c193
* ID: Uploaded
* Email: laurenghammond@yahoo.com
* Vehicle Color/Make/Model: Purple Harley davidson
* ETA: 4:00 PM
* Acknowledgment: ✓</t>
  </si>
  <si>
    <t>2026-02-01 16:23:59</t>
  </si>
  <si>
    <t>2026-02-01 17:43:33</t>
  </si>
  <si>
    <t>2383923050</t>
  </si>
  <si>
    <t>2026-02-01 18:46:54</t>
  </si>
  <si>
    <t>Robert Goodman completed the Adventure Inn Registration Card mini app: https://sys.akia.ai/mapp/3093b7e4-a239-4f84-a9ef-aec90bae36f1?session=a4f66d71-2807-41a5-b7ca-02e914d19112
* ID: Uploaded
* Email: goodman1329@gmail.com
* Vehicle Color/Make/Model: White Nissan pathfinder 
* ETA: 4:00 PM
* Acknowledgment: ✓</t>
  </si>
  <si>
    <t>2026-07-22</t>
  </si>
  <si>
    <t>2026-07-25</t>
  </si>
  <si>
    <t>5972679434</t>
  </si>
  <si>
    <t>2026-02-01 19:30:11</t>
  </si>
  <si>
    <t>2383956676</t>
  </si>
  <si>
    <t>2026-02-01 19:42:01</t>
  </si>
  <si>
    <t>Doug Mautz completed the Adventure Inn Registration Card mini app: https://sys.akia.ai/mapp/d9b1e918-0ff2-4752-b300-5dc7d4198cbd?session=e61b6d9b-2115-460a-85c2-4d78169792cf
* ID: Uploaded
* Email: D.mautz@live.com
* Vehicle Color/Make/Model: Brown/Chevrolet/Colorado
* ETA: 4:00 PM
* Acknowledgment: ✓</t>
  </si>
  <si>
    <t>2384000633</t>
  </si>
  <si>
    <t>2026-02-01 20:53:04</t>
  </si>
  <si>
    <t>2384043834</t>
  </si>
  <si>
    <t>2026-02-01 22:03:39</t>
  </si>
  <si>
    <t>Chris Diel completed the Adventure Inn Registration Card mini app: https://sys.akia.ai/mapp/c7f45859-d71b-4e35-b108-2d27b5b2cfa2?session=a1c6e017-02fb-4d32-9ce7-6a0051c02a75
* ID: Uploaded
* Email: chrisdiel_22@hotmail.com
* Vehicle Color/Make/Model: Orange Harley 
* ETA: 5:00 PM
* Acknowledgment: ✓, Customer booked through Hotels.com and e-mailed a confirmation showing to pay the hotel 252.26 versus the $823.19 shown in cloudbeds.</t>
  </si>
  <si>
    <t>2384153535</t>
  </si>
  <si>
    <t>2026-02-02 01:22:15</t>
  </si>
  <si>
    <t>Chris Hagan completed the Adventure Inn Registration Card mini app: https://sys.akia.ai/mapp/468395c2-13fa-47fc-aa2d-a15eeab65464?session=8e4f83d6-a841-4344-bb50-902e4d09201f
* ID: Uploaded
* Email: crhagan@gmail.com
* Vehicle Color/Make/Model: Black Toyota Tundra 
* ETA: 2:00 PM
* Acknowledgment: ✓</t>
  </si>
  <si>
    <t>HMZSPT4B3Q</t>
  </si>
  <si>
    <t>2026-02-02 03:14:03</t>
  </si>
  <si>
    <t>2384258551</t>
  </si>
  <si>
    <t>2026-02-02 04:46:49</t>
  </si>
  <si>
    <t>2026-07-19</t>
  </si>
  <si>
    <t>2026-07-20</t>
  </si>
  <si>
    <t>2384526204</t>
  </si>
  <si>
    <t>2026-02-02 14:43:37</t>
  </si>
  <si>
    <t>5455379315</t>
  </si>
  <si>
    <t>2026-02-02 22:40:55</t>
  </si>
  <si>
    <t>2026-02-03 01:54:00</t>
  </si>
  <si>
    <t>6223995097</t>
  </si>
  <si>
    <t>2026-02-03 02:38:58</t>
  </si>
  <si>
    <t>2026-02-28</t>
  </si>
  <si>
    <t>5387330561</t>
  </si>
  <si>
    <t>2026-02-03 05:20:07</t>
  </si>
  <si>
    <t>122 (STQK)</t>
  </si>
  <si>
    <t>Standard Queen with Kitchen</t>
  </si>
  <si>
    <t>2026-02-03 22:47:48</t>
  </si>
  <si>
    <t>2385681453</t>
  </si>
  <si>
    <t>2026-02-04 00:18:38</t>
  </si>
  <si>
    <t>5892710529</t>
  </si>
  <si>
    <t>2026-02-05 02:02:39</t>
  </si>
  <si>
    <t>Ramona Kennedy completed the Adventure Inn Registration Card mini app: https://sys.akia.ai/mapp/146e4a6e-6621-43d9-812c-f46e0fa1e6f3?session=ba53c8a3-0555-4b76-9f03-8b1a25f4d1da
* ID: Uploaded
* Email: rdhandyman753@gmail.com
* Vehicle Color/Make/Model: Honda pilot 
* ETA: 4:00 PM
* Acknowledgment: ✓</t>
  </si>
  <si>
    <t>6904375483</t>
  </si>
  <si>
    <t>2026-02-05 21:10:44</t>
  </si>
  <si>
    <t>Sandy Rivera completed the Adventure Inn Registration Card mini app: https://sys.akia.ai/mapp/99cc9f8a-063e-4b01-993b-a051be250560?session=3b457151-33c3-4458-906e-d35b8807f580
* ID: Uploaded
* Email: sandy549nadine@gmail.com
* Vehicle Color/Make/Model: Gold Ford Focus
* ETA: 4:00 PM
* Acknowledgment: ✓</t>
  </si>
  <si>
    <t>2387622296</t>
  </si>
  <si>
    <t>2026-02-06 14:34:48</t>
  </si>
  <si>
    <t>Samuel Balk completed the Adventure Inn Registration Card mini app: https://sys.akia.ai/mapp/ec9757a1-2e3d-4880-a279-1e035339abb7?session=78fe8b46-00b4-4e66-9ae9-5c0412803fe0
* ID: Uploaded
* Email: sabalk@me.com
* Vehicle Color/Make/Model: Gray Hyundai Tucson AZ plates
* ETA: 4:00 PM
* Acknowledgment: ✓</t>
  </si>
  <si>
    <t>5736649382</t>
  </si>
  <si>
    <t>2026-02-06 20:11:20</t>
  </si>
  <si>
    <t>6025955083</t>
  </si>
  <si>
    <t>2026-02-07 00:15:16</t>
  </si>
  <si>
    <t>2026-02-07 00:50:43</t>
  </si>
  <si>
    <t>Caroline Mccartney completed the Adventure Inn Registration Card mini app: https://sys.akia.ai/mapp/ca6607fa-473a-44a3-a4ab-b0d7edb6032c?session=5da8c7ca-701a-47a2-9a11-30c9fe6405fb
* ID: Uploaded
* Email: c.mccartney21@gmail.com
* Vehicle Color/Make/Model: Silver Nissan Frontier 
* ETA: 7:00 PM
* Acknowledgment: ✓</t>
  </si>
  <si>
    <t>6641788032</t>
  </si>
  <si>
    <t>2026-02-07 03:51:56</t>
  </si>
  <si>
    <t>Brendan Compton completed the Adventure Inn Registration Card mini app: https://sys.akia.ai/mapp/d58019a7-fdd7-467e-8fdf-c894fe5c8b2f?session=d9736ceb-f841-4d99-b199-15f23a681b96
* ID: Uploaded
* Email: bman21303@gmail.com
* Vehicle Color/Make/Model: Silver GMC terrain 
* ETA: 8:30 PM
* Acknowledgment: ✓</t>
  </si>
  <si>
    <t>6773940039</t>
  </si>
  <si>
    <t>2026-02-07 03:52:21</t>
  </si>
  <si>
    <t>2388131018</t>
  </si>
  <si>
    <t>2026-02-07 06:05:41</t>
  </si>
  <si>
    <t>Alejandro Gutierrez completed the Adventure Inn Registration Card mini app: https://sys.akia.ai/mapp/4c6f27de-ee11-4161-974e-42f63739c458?session=1861f076-5cf1-45c5-aa9e-ce7ea4ffd3ee
* ID: Uploaded
* Email: macj1219@gmail.com
* Vehicle Color/Make/Model: Silver Jaguar F-Pace
* ETA: 5:00 PM
* Acknowledgment: ✓</t>
  </si>
  <si>
    <t>5248031067</t>
  </si>
  <si>
    <t>2026-02-07 18:29:06</t>
  </si>
  <si>
    <t>2026-02-08 01:14:14</t>
  </si>
  <si>
    <t>Whitney Hallock completed the Adventure Inn Registration Card mini app: https://sys.akia.ai/mapp/3ea114d6-9f4a-4533-9d5c-d76d372f0e8b?session=d21eff10-7ef6-4a4d-8bef-6d41e9004887
* ID: Uploaded
* Email: wah513@gmail.com
* Vehicle Color/Make/Model: Silver Jeep Trailhawk
* ETA: 4:00 PM
* Acknowledgment: ✓</t>
  </si>
  <si>
    <t>HMJCYNQ5XX</t>
  </si>
  <si>
    <t>2026-02-08 04:00:54</t>
  </si>
  <si>
    <t>6306021016</t>
  </si>
  <si>
    <t>2026-02-08 22:34:53</t>
  </si>
  <si>
    <t>2026-02-09 16:02:51</t>
  </si>
  <si>
    <t>2026-02-10 00:23:32</t>
  </si>
  <si>
    <t>2390011566</t>
  </si>
  <si>
    <t>2026-02-10 01:51:36</t>
  </si>
  <si>
    <t>Aaron Blunck completed the Adventure Inn Registration Card mini app: https://sys.akia.ai/mapp/a28305eb-c10b-4314-977b-a14647ced6ec?session=47d140ec-5277-4778-96f2-a1e574969e16
* ID: Uploaded
* Email: skieraaron@gmail.com
* Vehicle Color/Make/Model: Red Nissan titan eapt64
* ETA: 10:00 PM
* Acknowledgment: ✓</t>
  </si>
  <si>
    <t>2026-03-21</t>
  </si>
  <si>
    <t>HMNPH9DFQM</t>
  </si>
  <si>
    <t>2026-02-10 02:29:34</t>
  </si>
  <si>
    <t>Casey House completed the Adventure Inn Registration Card mini app: https://sys.akia.ai/mapp/fa869b6b-9407-4eb3-9638-6f68b3abdbf7?session=63d9e8a2-d613-4d59-b6d8-f196d1a2e6f4
* ID: Uploaded
* Email: caseylemayhouse@gmail.com
* Vehicle Color/Make/Model: White Toyota Tundra
* ETA: 4:00 PM
* Acknowledgment: ✓</t>
  </si>
  <si>
    <t>5104440826</t>
  </si>
  <si>
    <t>2026-02-10 02:45:08</t>
  </si>
  <si>
    <t>Macdonald Trinia completed the Adventure Inn Registration Card mini app: https://sys.akia.ai/mapp/362cb9d1-c618-41ba-ac18-5659d9c6a4b2?session=25366f7d-8d19-4081-945c-f159c7625538
* ID: Uploaded
* Email: triniamac@gmail.com
* Vehicle Color/Make/Model: Grey Toyota rav4
* ETA: 4:00 PM
* Acknowledgment: ✓</t>
  </si>
  <si>
    <t>6644065411</t>
  </si>
  <si>
    <t>2026-02-10 03:18:17</t>
  </si>
  <si>
    <t>Chris Perea completed the Adventure Inn Registration Card mini app: https://sys.akia.ai/mapp/dbf29f98-0a4e-4449-af5e-aafc57e794d8?session=fbe151b1-667d-4efc-aed7-f027bb442455
* ID: Uploaded
* Email: cameramanrailfan@gmail.com
* Vehicle Color/Make/Model: Red Toyota Camry
* ETA: 4:00 PM
* Acknowledgment: ✓</t>
  </si>
  <si>
    <t>HM8W3ADBXJ</t>
  </si>
  <si>
    <t>2026-02-10 04:59:19</t>
  </si>
  <si>
    <t>Missah Truscott completed the Adventure Inn Registration Card mini app: https://sys.akia.ai/mapp/7add3daa-6bfd-41bd-a20a-346b346922c1?session=1363f817-633d-42a0-a0cc-72d570019937
* ID: Uploaded
* Email: mtruscott18@gmail.com
* Vehicle Color/Make/Model: Grey/subaru/outback
* ETA: 11:30 PM
* Acknowledgment: ✓</t>
  </si>
  <si>
    <t>2026-02-10 16:30:05</t>
  </si>
  <si>
    <t>This is a complimentary stay in exchange for a social media post + content. Please provide a complimentary drink at check-in., Jenifer Leidelmeijer completed the Adventure Inn Registration Card mini app: https://sys.akia.ai/mapp/9b1bfd4c-9aa6-4782-8486-d5cc4b190e66?session=ecc91a13-24d6-429b-b108-5546723c1909
* ID: Uploaded
* Email: jenleidel@gmail.com
* Vehicle Color/Make/Model: Red Toyota Highlander 
* ETA: 6:45 PM
* Acknowledgment: ✓</t>
  </si>
  <si>
    <t>2026-03-16</t>
  </si>
  <si>
    <t>2026-02-10 16:54:37</t>
  </si>
  <si>
    <t>This is a complimentary 2-night stay in exchange for a social media post and additional media. Please provide a complimentary drink at check in., Grace Bernhart completed the Adventure Inn Registration Card mini app: https://sys.akia.ai/mapp/8cc8fe8c-1adc-4432-adcd-c055ee554629?session=c5e2fc66-b34c-4c8e-8cd3-d624ae9a587d
* ID: Uploaded
* Email: grrgrr16@gmail.com
* Vehicle Color/Make/Model: Silver/Ford/Fiesta
* ETA: 3:00 PM
* Acknowledgment: ✓</t>
  </si>
  <si>
    <t>2026-02-10 22:43:44</t>
  </si>
  <si>
    <t>2026-02-11 01:15:52</t>
  </si>
  <si>
    <t>This is a complimentary 2-night stay in exchange for a social media post and content. Please provide a complimentary drink at check in., Kristi Budelier completed the Adventure Inn Registration Card mini app: https://sys.akia.ai/mapp/65e39966-b7b4-4015-b594-489afd224db9?session=eec8bcc4-bd4f-49fc-b2ae-45ad12008825
* ID: Uploaded
* Email: kristibudelier@gmail.com
* Vehicle Color/Make/Model: White Toyota 4runner 
* ETA: 4:00 PM
* Acknowledgment: ✓</t>
  </si>
  <si>
    <t>2390958435</t>
  </si>
  <si>
    <t>2026-02-11 06:15:51</t>
  </si>
  <si>
    <t>5566246697</t>
  </si>
  <si>
    <t>2026-02-12 18:12:56</t>
  </si>
  <si>
    <t>Ernesto Sena completed the Adventure Inn Registration Card mini app: https://sys.akia.ai/mapp/09caa394-6ce5-47f1-9a6d-c96e87043e51?session=3b1c50ac-1d46-4f4f-813f-a8660731d55a
* ID: Uploaded
* Email: ernestosena82@gmail.com
* Vehicle Color/Make/Model: White Toyota Highlander 
* ETA: 4:00 PM
* Acknowledgment: ✓</t>
  </si>
  <si>
    <t>2026-02-12 21:33:06</t>
  </si>
  <si>
    <t>April Mestas completed the Adventure Inn Registration Card mini app: https://sys.akia.ai/mapp/c426171e-320b-415c-856b-3e6e053b6e09?session=bdc35ea4-9a61-42ae-8025-f0aadb170621
* ID: Uploaded
* Email: aprilmestas1@gmail.com
* Vehicle Color/Make/Model: Blue ford f-150
* ETA: 2:00 PM
* Acknowledgment: ✓</t>
  </si>
  <si>
    <t>2392292486</t>
  </si>
  <si>
    <t>2026-02-12 22:06:48</t>
  </si>
  <si>
    <t>2392498811</t>
  </si>
  <si>
    <t>2026-02-13 03:56:11</t>
  </si>
  <si>
    <t>2392857163</t>
  </si>
  <si>
    <t>2026-02-13 16:21:33</t>
  </si>
  <si>
    <t>2392892250</t>
  </si>
  <si>
    <t>2026-02-13 17:10:19</t>
  </si>
  <si>
    <t>Rachel Riggs completed the Adventure Inn Registration Card mini app: https://sys.akia.ai/mapp/8cf338d9-1c18-471e-94f8-66018ef1359e?session=a0152668-9e82-48ba-a595-c94d156906a9
* ID: Uploaded
* Email: rachelkriggs@gmail.com
* Vehicle Color/Make/Model: Green Subaru Outback
* ETA: 5:00 PM
* Acknowledgment: ✓</t>
  </si>
  <si>
    <t>2026-03-06</t>
  </si>
  <si>
    <t>2392909351</t>
  </si>
  <si>
    <t>2026-02-13 17:34:59</t>
  </si>
  <si>
    <t>Stephen Kovalsky completed the Adventure Inn Registration Card mini app: https://sys.akia.ai/mapp/7b3d48fb-4bb1-40fe-8d3f-6e315f9d86ce?session=2037b91c-243b-4d29-a99b-418047e53b3f
* ID: Uploaded
* Email: stevalsky@gmail.com
* Vehicle Color/Make/Model: White Toyota Tacoma 
* ETA: 11:45 PM
* Acknowledgment: ✓</t>
  </si>
  <si>
    <t>5455840977</t>
  </si>
  <si>
    <t>2026-02-13 20:41:11</t>
  </si>
  <si>
    <t>5691682046</t>
  </si>
  <si>
    <t>2026-02-13 21:23:40</t>
  </si>
  <si>
    <t>HMMW5C2W8E</t>
  </si>
  <si>
    <t>2026-02-13 21:53:07</t>
  </si>
  <si>
    <t>6267442917</t>
  </si>
  <si>
    <t>2026-02-13 22:26:29</t>
  </si>
  <si>
    <t>5607169430</t>
  </si>
  <si>
    <t>2026-02-13 22:43:44</t>
  </si>
  <si>
    <t>Cheyanne Autry completed the Adventure Inn Registration Card mini app: https://sys.akia.ai/mapp/dfed9d19-4a68-4e14-8ba7-1f5900391a4d?session=f48cb67a-a96a-434c-b969-126df0852a6d
* ID: Uploaded
* Email: cheyanneh12@gmail.com
* Vehicle Color/Make/Model: White gmc Yukon 
* ETA: 4:00 PM
* Acknowledgment: ✓</t>
  </si>
  <si>
    <t>6267496909</t>
  </si>
  <si>
    <t>2026-02-13 22:46:14</t>
  </si>
  <si>
    <t>Maydeli Shepard completed the Adventure Inn Registration Card mini app: https://sys.akia.ai/mapp/d0873cb5-2664-4a22-ac46-c5182b593402?session=c6a8e551-a4cc-4f94-9fda-821136318c0d
* ID: Uploaded
* Email: maydeli.96@icloud.com
* Vehicle Color/Make/Model: Silver GMC Yukon 
* ETA: 3:00 PM
* Acknowledgment: ✓</t>
  </si>
  <si>
    <t>2026-05-30</t>
  </si>
  <si>
    <t>2393132389</t>
  </si>
  <si>
    <t>2026-02-13 23:27:52</t>
  </si>
  <si>
    <t>Regina Dolwick completed the Adventure Inn Registration Card mini app: https://sys.akia.ai/mapp/95c205ef-9633-46e1-90d9-45d590724b3a?session=c1c5562f-8824-4e11-87ae-e0e6130d316b
* ID: Uploaded
* Email: pilates1101@gmail.com
* Vehicle Color/Make/Model: White Kia soul
* ETA: 4:00 PM
* Acknowledgment: ✓</t>
  </si>
  <si>
    <t>2026-03-26</t>
  </si>
  <si>
    <t>2026-02-14 00:08:00</t>
  </si>
  <si>
    <t>Laura Justice completed the Adventure Inn Registration Card mini app: https://sys.akia.ai/mapp/19cf5404-57c3-415e-86c5-1c1cb147aa39?session=d60d2aca-2629-483f-9202-7f2ab02c92b9
* ID: Uploaded
* Email: laurardh09@gmail.com
* Vehicle Color/Make/Model: Black Subaru crosstreck 
* ETA: 10:00 PM
* Acknowledgment: ✓</t>
  </si>
  <si>
    <t>5003883212</t>
  </si>
  <si>
    <t>2026-02-14 02:20:16</t>
  </si>
  <si>
    <t>Noah Burdick completed the Adventure Inn Registration Card mini app: https://sys.akia.ai/mapp/ced7bfc3-414e-4249-a3d5-c448a5d3f49b?session=bb80ebb7-d855-417e-8cfc-1b6046c930bd
* ID: Uploaded
* Email: burdicknoah@gmail.cok
* Vehicle Color/Make/Model: Grey Ford Bronco
* ETA: 2:00 PM
* Acknowledgment: ✓, Noah Burdick completed the Adventure Inn Registration Card mini app: https://sys.akia.ai/mapp/ced7bfc3-414e-4249-a3d5-c448a5d3f49b?session=bb80ebb7-d855-417e-8cfc-1b6046c930bd
* ID: Uploaded
* Email: burdicknoah@gmail.cok
* Vehicle Color/Make/Model: Grey Ford Bronco
* ETA: 2:00 PM
* Acknowledgment: ✓</t>
  </si>
  <si>
    <t>5090914847</t>
  </si>
  <si>
    <t>2026-02-14 02:31:23</t>
  </si>
  <si>
    <t>5774032439</t>
  </si>
  <si>
    <t>2026-02-14 02:34:54</t>
  </si>
  <si>
    <t>2026-02-14 03:23:11</t>
  </si>
  <si>
    <t>6786733933</t>
  </si>
  <si>
    <t>2026-02-14 03:51:54</t>
  </si>
  <si>
    <t>Candace Shapiro completed the Adventure Inn Registration Card mini app: https://sys.akia.ai/mapp/404199e2-1469-4779-bed4-3ac7083a35aa?session=9456c872-92b6-4669-8e01-85096762397d
* ID: Uploaded
* Email: loessinc@gmail.com
* Vehicle Color/Make/Model: Tesla/Black/Model Y
* ETA: 3:00 PM
* Acknowledgment: ✓</t>
  </si>
  <si>
    <t>2393479965</t>
  </si>
  <si>
    <t>2026-02-14 14:39:10</t>
  </si>
  <si>
    <t>2393812672</t>
  </si>
  <si>
    <t>2026-02-15 00:52:51</t>
  </si>
  <si>
    <t>Ellyn Felton completed the Adventure Inn Registration Card mini app: https://sys.akia.ai/mapp/fd57e482-934a-458c-8c9d-ea6fdb25b107?session=fe46f48d-0910-435b-acc8-410c614c4068
* ID: Uploaded
* Email: ellynfelton@yahoo.com
* Vehicle Color/Make/Model: White Toyota Tacoma 
* ETA: 9:40 PM
* Acknowledgment: ✓</t>
  </si>
  <si>
    <t>2026-02-15 16:31:44</t>
  </si>
  <si>
    <t>6475747654</t>
  </si>
  <si>
    <t>2026-02-15 16:37:00</t>
  </si>
  <si>
    <t>5489069101</t>
  </si>
  <si>
    <t>2026-02-15 17:31:17</t>
  </si>
  <si>
    <t>5220758353</t>
  </si>
  <si>
    <t>2026-02-16 00:02:14</t>
  </si>
  <si>
    <t>HMNWSQ9PFP</t>
  </si>
  <si>
    <t>2026-02-16 00:14:14</t>
  </si>
  <si>
    <t>Valerie Gomez completed the Adventure Inn Registration Card mini app: https://sys.akia.ai/mapp/26472a67-4a31-4778-9ee5-9bc2c6192cbc?session=e894a605-55cf-450a-bc43-8c43cb42f435
* ID: Uploaded
* Email: valeriegomez312@icloud.com
* Vehicle Color/Make/Model: Midnight Blue/ Cadillac 
* ETA: 4:00 PM
* Acknowledgment: ✓</t>
  </si>
  <si>
    <t>5220714017</t>
  </si>
  <si>
    <t>2026-02-16 04:48:07</t>
  </si>
  <si>
    <t>5916616109</t>
  </si>
  <si>
    <t>2026-02-16 21:25:49</t>
  </si>
  <si>
    <t>Kelsey Boyd completed the Adventure Inn Registration Card mini app: https://sys.akia.ai/mapp/4fb014c4-9493-4834-b33b-0dda11018ad8?session=9553aa7e-ad3c-46e7-be8f-147375da0b53
* ID: Uploaded
* Email: boyd.k@protonmail.com
* Vehicle Color/Make/Model: Silver Subaru Forester
* ETA: 4:00 PM
* Acknowledgment: ✓</t>
  </si>
  <si>
    <t>2026-02-16 22:18:40</t>
  </si>
  <si>
    <t>5916677859</t>
  </si>
  <si>
    <t>2026-02-16 22:40:24</t>
  </si>
  <si>
    <t>6344204353</t>
  </si>
  <si>
    <t>2026-02-17 03:04:18</t>
  </si>
  <si>
    <t>Megan Bishop completed the Adventure Inn Registration Card mini app: https://sys.akia.ai/mapp/1d9c314f-6596-4dac-83fd-ec190c28cab9?session=eda11c26-dd6f-4575-9beb-d3ba602ad9a9
* ID: Uploaded
* Email: meganebishop1@gmail.com
* Vehicle Color/Make/Model: Blue Toyota 4Runner 
* ETA: 5:00 PM
* Acknowledgment: ✓</t>
  </si>
  <si>
    <t>5999286079</t>
  </si>
  <si>
    <t>2026-02-17 16:35:33</t>
  </si>
  <si>
    <t>2026-02-17 23:02:31</t>
  </si>
  <si>
    <t>Amira Saad completed the Adventure Inn Registration Card mini app: https://sys.akia.ai/mapp/fcbca8b6-2847-49db-a229-9e3782a8d17c?session=84a33f3d-8fe1-41d3-935b-9ee4cf320436
* ID: Uploaded
* Email: Asaad785@gmail.com
* Vehicle Color/Make/Model: Black Toyota RAV4, maroon subaru Outback 
* ETA: 6:00 PM
* Acknowledgment: ✓</t>
  </si>
  <si>
    <t>6635296474</t>
  </si>
  <si>
    <t>2026-02-18 00:15:20</t>
  </si>
  <si>
    <t>Randy Stover completed the Adventure Inn Registration Card mini app: https://sys.akia.ai/mapp/ae3a8873-fe48-46fa-a075-c8d2c59097c9?session=3c30a3fe-afa3-4a53-8c30-6b762f3c6aac
* ID: Uploaded
* Email: randy@empiretv.co
* Vehicle Color/Make/Model: Silver Mitsubishi
* ETA: 5:40 PM
* Acknowledgment: ✓</t>
  </si>
  <si>
    <t>5829844656</t>
  </si>
  <si>
    <t>2026-02-18 00:16:46</t>
  </si>
  <si>
    <t>Kenneth Vanstone completed the Adventure Inn Registration Card mini app: https://sys.akia.ai/mapp/8cf78313-f9ac-4e00-95a2-0806593587d7?session=e770ea84-6336-4d02-9250-a7eb0db01813
* ID: Uploaded
* Email: kennyvs@yahoo.com
* Vehicle Color/Make/Model: Gold Toyota Tacoma 
* ETA: 4:00 PM
* Acknowledgment: ✓</t>
  </si>
  <si>
    <t>HM8SPTAZBA</t>
  </si>
  <si>
    <t>2026-02-18 01:41:19</t>
  </si>
  <si>
    <t>John Matchett completed the Adventure Inn Registration Card mini app: https://sys.akia.ai/mapp/3c7504ff-febc-4563-9421-d82a14cd65c2?session=4a369136-1595-4835-b8e6-b4a63a93da57
* ID: Uploaded
* Email: jcmatch@msn.com
* Vehicle Color/Make/Model: Red/jeep/grand cheroke
* ETA: 4:00 PM
* Acknowledgment: ✓</t>
  </si>
  <si>
    <t>6070436394</t>
  </si>
  <si>
    <t>2026-02-18 02:34:28</t>
  </si>
  <si>
    <t>William Baldwin completed the Adventure Inn Registration Card mini app: https://sys.akia.ai/mapp/3ec5aa24-f78a-4f51-84b9-852cae6d1dd2?session=133b1cb0-3a4e-4219-a956-ccd1be5054b1
* ID: Uploaded
* Email: lngb1977@gmail.com
* Vehicle Color/Make/Model: Green jeep cherokee
* ETA: 8:20 PM
* Acknowledgment: ✓</t>
  </si>
  <si>
    <t>2026-02-18 03:40:06</t>
  </si>
  <si>
    <t>Joshua Tremblay completed the Adventure Inn Registration Card mini app: https://sys.akia.ai/mapp/96b4b25f-e7c5-4de5-aa9b-4ff08f5662df?session=3eee4b27-a12b-4e47-bc16-9fe789f7c27d
* ID: Uploaded
* Email: josh.trem@gmail.com
* Vehicle Color/Make/Model: White Nissan Frontier 
* ETA: 4:00 PM
* Acknowledgment: ✓</t>
  </si>
  <si>
    <t>HMKT3CPQCX</t>
  </si>
  <si>
    <t>2026-02-18 18:27:52</t>
  </si>
  <si>
    <t>101 (DQ), 104 (STK)</t>
  </si>
  <si>
    <t>2026-02-18 18:29:17</t>
  </si>
  <si>
    <t>Thomas Harris completed the Adventure Inn Registration Card mini app: https://sys.akia.ai/mapp/4f731ee4-c760-4b73-bd53-e32736cc6605?session=f6149fe9-4406-4048-abec-5ccc2a3a100e
* ID: Uploaded
* Email: thomasharrismd@gmail.com
* Vehicle Color/Make/Model: White Mazda CX-90
* ETA: 1:00 PM
* Acknowledgment: ✓</t>
  </si>
  <si>
    <t>2396587722</t>
  </si>
  <si>
    <t>2026-02-18 20:35:48</t>
  </si>
  <si>
    <t>2396587723</t>
  </si>
  <si>
    <t>2026-02-18 20:35:49</t>
  </si>
  <si>
    <t>6431658141</t>
  </si>
  <si>
    <t>2026-02-18 23:27:29</t>
  </si>
  <si>
    <t>Knowles Anna completed the Adventure Inn Registration Card mini app: https://sys.akia.ai/mapp/e7de923f-e2a7-40c4-a0b1-71243e322ecd?session=d111ea17-43e7-45b2-81ab-0b0df8280116
* ID: Uploaded
* Email: director@durangofarmersmarket.com
* Vehicle Color/Make/Model: Blue/Toyota/4Runner
* ETA: 4:00 PM
* Acknowledgment: ✓</t>
  </si>
  <si>
    <t>2026-02-19 00:12:59</t>
  </si>
  <si>
    <t>6533144132</t>
  </si>
  <si>
    <t>2026-02-19 02:20:56</t>
  </si>
  <si>
    <t>Shannon Allen completed the Adventure Inn Registration Card mini app: https://sys.akia.ai/mapp/aa592bae-87f6-402e-84ad-3e3962ee8be4?session=8efe0bd5-1c97-4f04-9353-1019fc60ce18
* ID: Uploaded
* Email: shanonap@hotmail.com
* Vehicle Color/Make/Model: Blue BMW X5  928XFC
* ETA: 9:30 PM
* Acknowledgment: ✓</t>
  </si>
  <si>
    <t>2396891037</t>
  </si>
  <si>
    <t>2026-02-19 05:44:54</t>
  </si>
  <si>
    <t>2026-02-23</t>
  </si>
  <si>
    <t>2396973436</t>
  </si>
  <si>
    <t>2026-02-19 09:38:30</t>
  </si>
  <si>
    <t>Hayden De La Fe completed the Adventure Inn Registration Card mini app: https://sys.akia.ai/mapp/38eea2bd-324e-4ab1-8547-9c9b71243256?session=89fdea45-6706-4405-af47-6e4fa6bf9fe2
* ID: Uploaded
* Email: haydendelafe@rocketmail.com
* Vehicle Color/Make/Model: Subaru forrester charcoal 
* ETA: 4:30 PM
* Acknowledgment: ✓</t>
  </si>
  <si>
    <t>2397312232</t>
  </si>
  <si>
    <t>2026-02-19 19:33:29</t>
  </si>
  <si>
    <t>2397474337</t>
  </si>
  <si>
    <t>2026-02-20 00:02:17</t>
  </si>
  <si>
    <t>Jovan Misayvong completed the Adventure Inn Registration Card mini app: https://sys.akia.ai/mapp/0b544259-e2ce-4d2b-adc3-cbccc5acb936?session=7cc3b733-2cf4-4718-a7f6-a3e4fa711f59
* ID: Uploaded
* Email: jovanmisayvong99@gmail.com
* Vehicle Color/Make/Model: Green Toyota Tundra
* ETA: 6:30 PM
* Acknowledgment: ✓</t>
  </si>
  <si>
    <t>5211875001</t>
  </si>
  <si>
    <t>2026-02-20 00:23:00</t>
  </si>
  <si>
    <t>Rachelle Diaz completed the Adventure Inn Registration Card mini app: https://sys.akia.ai/mapp/69fc6b13-d506-49cc-b38e-7f33d4140af6?session=a15c6e27-b33d-44dd-af7a-e9a8fb12bf68
* ID: Uploaded
* Email: rachelle.diaz@gmail.com
* Vehicle Color/Make/Model: Silver Honda Passport az sra4kr
* ETA: 12:33 AM
* Acknowledgment: ✓</t>
  </si>
  <si>
    <t>2026-02-20 02:03:24</t>
  </si>
  <si>
    <t>2026-02-20 02:45:25</t>
  </si>
  <si>
    <t>Colton Noel completed the Adventure Inn Registration Card mini app: https://sys.akia.ai/mapp/53e3f913-d0cd-44b8-b5ec-9caff00789da?session=f99d9e6c-0f33-4392-8ccd-b6a420e21123
* ID: Uploaded
* Email: barber_07_simmers@icloud.com
* Vehicle Color/Make/Model: Tan Chevrolet Colorado
* ETA: 4:00 PM
* Acknowledgment: ✓</t>
  </si>
  <si>
    <t>HMRBPR24SP</t>
  </si>
  <si>
    <t>2026-02-20 03:21:45</t>
  </si>
  <si>
    <t>Gabrielle Atencio completed the Adventure Inn Registration Card mini app: https://sys.akia.ai/mapp/74e86bdb-95ab-44f5-993f-2ff01559aceb?session=d0208d4c-a37e-465b-a907-66645039d888
* ID: Uploaded
* Email: gabbs.atenc@gmail.com
* Vehicle Color/Make/Model: White Kia Forte
* ETA: 8:00 PM
* Acknowledgment: ✓</t>
  </si>
  <si>
    <t>2026-02-20 03:57:47</t>
  </si>
  <si>
    <t>Samuel Arellano completed the Adventure Inn Registration Card mini app: https://sys.akia.ai/mapp/c4cc21ce-bac2-4431-b8c8-dacec1b137a9?session=fe58c0cd-424c-48e0-8e76-f75c35635e5a
* ID: Uploaded
* Email: Samuelac99@outlook.com
* Vehicle Color/Make/Model: Toyota tacoma gray
* ETA: 8:30 PM
* Acknowledgment: ✓</t>
  </si>
  <si>
    <t>HM43QE5WDC</t>
  </si>
  <si>
    <t>2026-02-20 05:56:34</t>
  </si>
  <si>
    <t>Emily Wilson completed the Adventure Inn Registration Card mini app: https://sys.akia.ai/mapp/6b7916ce-a486-4586-98c9-e5b142a2e305?session=35f252c7-2eef-409c-ab44-78b73d9635e6
* ID: Uploaded
* Email: emlizwil@gmail.com
* Vehicle Color/Make/Model: White Subaru Crosstrek
* ETA: 8:00 PM
* Acknowledgment: ✓</t>
  </si>
  <si>
    <t>2026-02-20 14:58:05</t>
  </si>
  <si>
    <t>2398193273</t>
  </si>
  <si>
    <t>2026-02-20 22:34:12</t>
  </si>
  <si>
    <t>Steven Elwell completed the Adventure Inn Registration Card mini app: https://sys.akia.ai/mapp/b63ee79c-a69a-4499-b9b3-0b90afd8dc4e?session=25564f94-906f-42b3-9b81-98cd8bd11dc0
* ID: Uploaded
* Email: elwellsteven@gmail.com
* Vehicle Color/Make/Model: Ram 1500 black 
* ETA: 3:30 PM
* Acknowledgment: ✓</t>
  </si>
  <si>
    <t>5663905132</t>
  </si>
  <si>
    <t>2026-02-21 00:46:01</t>
  </si>
  <si>
    <t>2026-02-21 01:39:19</t>
  </si>
  <si>
    <t>Nathan Duran completed the Adventure Inn Registration Card mini app: https://sys.akia.ai/mapp/b3c65d3b-8120-45b2-bd77-79d7c49ba462?session=1cc03b44-9515-4954-b021-1985f9487dc3
* ID: Uploaded
* Email: njduran80@gmail.com
* Vehicle Color/Make/Model: Grey
* ETA: 2:00 PM
* Acknowledgment: ✓</t>
  </si>
  <si>
    <t>5435736451</t>
  </si>
  <si>
    <t>2026-02-21 05:44:22</t>
  </si>
  <si>
    <t>5788739329</t>
  </si>
  <si>
    <t>2026-02-21 15:59:33</t>
  </si>
  <si>
    <t>Charles Brown completed the Adventure Inn Registration Card mini app: https://sys.akia.ai/mapp/5acc1817-9fe0-4208-a70c-740d83e0ecb0?session=3b1e8d5a-f8f6-4fdf-b964-8da272134784
* ID: Uploaded
* Email: cbrown824@msn.com
* Vehicle Color/Make/Model: Grey, 
* ETA: 4:00 PM
* Acknowledgment: ✓</t>
  </si>
  <si>
    <t>6748260582</t>
  </si>
  <si>
    <t>2026-02-21 17:34:57</t>
  </si>
  <si>
    <t>2398690035</t>
  </si>
  <si>
    <t>2026-02-21 18:18:15</t>
  </si>
  <si>
    <t>6817651443</t>
  </si>
  <si>
    <t>2026-02-21 19:27:04</t>
  </si>
  <si>
    <t>2026-02-21 21:27:31</t>
  </si>
  <si>
    <t>6645713316</t>
  </si>
  <si>
    <t>2026-02-22 04:34:47</t>
  </si>
  <si>
    <t>2026-06-01</t>
  </si>
  <si>
    <t>5322357663</t>
  </si>
  <si>
    <t>2026-02-22 19:33:52</t>
  </si>
  <si>
    <t>Wynd Wacker completed the Adventure Inn Registration Card mini app: https://sys.akia.ai/mapp/c976af53-af5b-46de-95ed-08521fdf9402?session=a6b8de3b-9cac-48db-82e8-086f8403a5e5
* ID: Uploaded
* Email: katiewyndwacker@gmail.com
* Vehicle Color/Make/Model: Silver Subaru crosstrek 
* ETA: 7:00 PM
* Acknowledgment: ✓</t>
  </si>
  <si>
    <t>2026-04-28</t>
  </si>
  <si>
    <t>2026-04-29</t>
  </si>
  <si>
    <t>2399363800</t>
  </si>
  <si>
    <t>2026-02-22 19:38:21</t>
  </si>
  <si>
    <t>2026-07-08</t>
  </si>
  <si>
    <t>2026-07-09</t>
  </si>
  <si>
    <t>2399433331</t>
  </si>
  <si>
    <t>2026-02-22 21:24:20</t>
  </si>
  <si>
    <t>Lacey Marlow completed the Adventure Inn Registration Card mini app: https://sys.akia.ai/mapp/d972ebec-ac89-4364-8f72-84adeaa6e3d3?session=0561f56d-dc31-4379-8693-70ce69ccd14a
* ID: Uploaded
* Email: laceyraemarlow@gmail.com
* Vehicle Color/Make/Model: Gray Chevy Malibu
* ETA: 6:00 PM
* Acknowledgment: ✓</t>
  </si>
  <si>
    <t>2026-06-14</t>
  </si>
  <si>
    <t>2026-06-16</t>
  </si>
  <si>
    <t>2399494885</t>
  </si>
  <si>
    <t>2026-02-22 23:02:19</t>
  </si>
  <si>
    <t>Richard Branam completed the Adventure Inn Registration Card mini app: https://sys.akia.ai/mapp/397fdfe7-2bf7-4203-bbd5-f26986d5ea8f?session=3f0b4066-27b2-418c-9b3d-f3348f98afc5
* ID: Uploaded
* Email: richbark1961@yahoo.com
* Vehicle Color/Make/Model: 2015 Mini Cooper Roadster, black, Arkansas plates TSABBC
* ETA: 4:00 PM
* Acknowledgment: ✓</t>
  </si>
  <si>
    <t>5705102735</t>
  </si>
  <si>
    <t>2026-02-23 00:10:15</t>
  </si>
  <si>
    <t>5690639862</t>
  </si>
  <si>
    <t>2026-02-23 00:44:21</t>
  </si>
  <si>
    <t>5193148952</t>
  </si>
  <si>
    <t>2026-02-23 01:33:20</t>
  </si>
  <si>
    <t>Jessica Lambert completed the Adventure Inn Registration Card mini app: https://sys.akia.ai/mapp/ad094fad-a07f-4419-b3b2-398cc506ee6a?session=f88c2bf2-259e-4b17-acef-dc35cf13ee9f
* ID: Uploaded
* Email: jlambertica@gmail.com
* Vehicle Color/Make/Model: Silver Subaru Outback 
* ETA: 8:30 PM
* Acknowledgment: ✓</t>
  </si>
  <si>
    <t>6295227138</t>
  </si>
  <si>
    <t>2026-02-23 01:59:16</t>
  </si>
  <si>
    <t>5705183007</t>
  </si>
  <si>
    <t>2026-02-23 18:24:26</t>
  </si>
  <si>
    <t>Christian Hunter completed the Adventure Inn Registration Card mini app: https://sys.akia.ai/mapp/0f4a0318-cb9c-49c1-85a3-9aa87c797765?session=1562c286-345f-43d7-bb4c-3fa8665cd575
* ID: Uploaded
* Email: chunter174@yahoo.com
* Vehicle Color/Make/Model: Blue Ford Escape
* ETA: 5:00 PM
* Acknowledgment: ✓</t>
  </si>
  <si>
    <t>HMXT8DSRWQ</t>
  </si>
  <si>
    <t>2026-02-23 20:51:27</t>
  </si>
  <si>
    <t>2026-06-24</t>
  </si>
  <si>
    <t>2026-06-25</t>
  </si>
  <si>
    <t>5234537009</t>
  </si>
  <si>
    <t>2026-02-23 23:42:38</t>
  </si>
  <si>
    <t>2026-02-24 00:42:28</t>
  </si>
  <si>
    <t>2400395335</t>
  </si>
  <si>
    <t>2026-02-24 01:16:01</t>
  </si>
  <si>
    <t>HMPZERQWQ3</t>
  </si>
  <si>
    <t>2026-02-24 02:11:10</t>
  </si>
  <si>
    <t>2400522906</t>
  </si>
  <si>
    <t>2026-02-24 04:56:40</t>
  </si>
  <si>
    <t>2026-02-24 16:08:01</t>
  </si>
  <si>
    <t>Julia Jagow completed the Adventure Inn Registration Card mini app: https://sys.akia.ai/mapp/ba1efde7-d924-401b-b4e3-55fa6b86a169?session=ba668dcc-7018-40bc-a59e-a6fbf68dc94e
* ID: Uploaded
* Email: jagowjulia@gmail.com
* Vehicle Color/Make/Model: Toyota RAV4 Hybrid - Navy Blue
* ETA: 6:30 PM
* Acknowledgment: ✓</t>
  </si>
  <si>
    <t>2026-06-20</t>
  </si>
  <si>
    <t>2026-06-22</t>
  </si>
  <si>
    <t>2400852148</t>
  </si>
  <si>
    <t>2026-02-24 16:08:16</t>
  </si>
  <si>
    <t>Shannon Segebart completed the Adventure Inn Registration Card mini app: https://sys.akia.ai/mapp/a2cfd489-4e9e-4a73-9269-ea2dc3198346?session=69fa136f-f2bf-416c-b4e1-5b4585e35bab
* ID: Uploaded
* Email: knzslagel@gmail.com
* Vehicle Color/Make/Model: Pearl white Chevrolet Silverado
* ETA: 2:00 PM
* Acknowledgment: ✓</t>
  </si>
  <si>
    <t>2026-02-24 17:12:49</t>
  </si>
  <si>
    <t>Jason Bartley completed the Adventure Inn Registration Card mini app: https://sys.akia.ai/mapp/16e560d1-74cf-4891-9103-1ceba291c908?session=165a94f4-1903-4aa7-be19-8e6d85c958fb
* ID: Uploaded
* Email: jbartley82@icloud.clm
* Vehicle Color/Make/Model: Blue jeep Cherokee 
* ETA: 8:00 PM
* Acknowledgment: ✓</t>
  </si>
  <si>
    <t>HM35M85BY3</t>
  </si>
  <si>
    <t>2026-02-24 21:11:54</t>
  </si>
  <si>
    <t>6830835579</t>
  </si>
  <si>
    <t>2026-02-25 00:00:23</t>
  </si>
  <si>
    <t>2026-02-25 01:26:23</t>
  </si>
  <si>
    <t>6310803965</t>
  </si>
  <si>
    <t>2026-02-25 07:47:38</t>
  </si>
  <si>
    <t>Nathan King completed the Adventure Inn Registration Card mini app: https://sys.akia.ai/mapp/5f0b5c19-028a-4447-a8b0-d629debed865?session=d0feaa6c-8d4b-4ba2-ba3f-f682f1055a00
* ID: Uploaded
* Email: villalobos_26@yahoo.com
* Vehicle Color/Make/Model: Black ford bronco 
* ETA: 7:00 PM
* Acknowledgment: ✓</t>
  </si>
  <si>
    <t>6130915368</t>
  </si>
  <si>
    <t>2026-02-25 19:44:07</t>
  </si>
  <si>
    <t>6596552183</t>
  </si>
  <si>
    <t>2026-02-25 22:11:48</t>
  </si>
  <si>
    <t>Russell Christensen completed the Adventure Inn Registration Card mini app: https://sys.akia.ai/mapp/b2e27903-1203-496a-8b38-13b91cded20b?session=28f77862-5aa7-4344-8ddf-f9b4559b43c2
* ID: Uploaded
* Email: russ.christensen@icloud.com
* Vehicle Color/Make/Model: Grey Toyota Tundra
* ETA: 8:45 PM
* Acknowledgment: ✓</t>
  </si>
  <si>
    <t>5417771869</t>
  </si>
  <si>
    <t>2026-02-26 00:03:25</t>
  </si>
  <si>
    <t>Grace Mckennon completed the Adventure Inn Registration Card mini app: https://sys.akia.ai/mapp/88c2e585-4159-4901-ab29-e7acff223797?session=0a882c01-1459-4490-a786-e6f7af0f1e10
* ID: Uploaded
* Email: gtmckennon@gmail.com
* Vehicle Color/Make/Model: Subaru Outback 
* ETA: 5:00 PM
* Acknowledgment: ✓</t>
  </si>
  <si>
    <t>6691845882</t>
  </si>
  <si>
    <t>2026-02-26 02:58:22</t>
  </si>
  <si>
    <t>5423128156</t>
  </si>
  <si>
    <t>2026-02-26 16:03:45</t>
  </si>
  <si>
    <t>121 (STQ)</t>
  </si>
  <si>
    <t>2026-02-26 17:01:34</t>
  </si>
  <si>
    <t>2402558964</t>
  </si>
  <si>
    <t>2026-02-26 17:41:40</t>
  </si>
  <si>
    <t>Stephanie Norris completed the Adventure Inn Registration Card mini app: https://sys.akia.ai/mapp/5adb9a2d-aaba-4809-9253-50578d70ae2d?session=299b099c-3be3-4b0b-a175-802e6e696f69
* ID: Uploaded
* Email: kendal@masonjareventgroup.com
* Vehicle Color/Make/Model: Silver Subaru Outback 171-Owl
* ETA: 7:00 PM
* Acknowledgment: ✓</t>
  </si>
  <si>
    <t>6367971992</t>
  </si>
  <si>
    <t>2026-02-27 00:19:29</t>
  </si>
  <si>
    <t>Clay Moseley completed the Adventure Inn Registration Card mini app: https://sys.akia.ai/mapp/46a1076e-390f-45c2-a243-c39339906900?session=2f5c3728-9df9-406d-9d29-f56f43d348cf
* ID: Uploaded
* Email: tclaynm@gmail.com
* Vehicle Color/Make/Model: Black Toyota Tacoma 
* ETA: 9:30 PM
* Acknowledgment: ✓</t>
  </si>
  <si>
    <t>2402832110</t>
  </si>
  <si>
    <t>2026-02-27 00:56:03</t>
  </si>
  <si>
    <t>2402939772</t>
  </si>
  <si>
    <t>2026-02-27 03:52:02</t>
  </si>
  <si>
    <t>2402994323</t>
  </si>
  <si>
    <t>2026-02-27 05:49:14</t>
  </si>
  <si>
    <t>2026-02-27 16:49:12</t>
  </si>
  <si>
    <t>6486272715</t>
  </si>
  <si>
    <t>2026-02-27 18:22:44</t>
  </si>
  <si>
    <t>Shane Todd completed the Adventure Inn Registration Card mini app: https://sys.akia.ai/mapp/b6305996-ce62-46d0-8540-05bfeb3ce3e5?session=dc4aa299-99ac-4701-b673-2e9eca0970bf
* ID: Uploaded
* Email: broshane18@outlook.com
* Vehicle Color/Make/Model: Silver Honda Accord
* ETA: 6:00 PM
* Acknowledgment: ✓</t>
  </si>
  <si>
    <t>2026-02-27 19:23:16</t>
  </si>
  <si>
    <t>5234891767</t>
  </si>
  <si>
    <t>2026-02-27 21:34:35</t>
  </si>
  <si>
    <t>2026-02-27 22:07:15</t>
  </si>
  <si>
    <t>Alyssa Kyle completed the Adventure Inn Registration Card mini app: https://sys.akia.ai/mapp/802a2552-e3f0-4271-b0b3-8613376559b3?session=96f4b009-f8b6-4c7c-8d46-b3469f902028
* ID: Uploaded
* Email: alyssaskyle@gmail.com
* Vehicle Color/Make/Model: White Toyota 
* ETA: 8:30 PM
* Acknowledgment: ✓</t>
  </si>
  <si>
    <t>2026-02-27 23:01:18</t>
  </si>
  <si>
    <t>HMMZZ8WRX3</t>
  </si>
  <si>
    <t>2026-02-27 23:05:56</t>
  </si>
  <si>
    <t>Ben Fosbaugh completed the Adventure Inn Registration Card mini app: https://sys.akia.ai/mapp/de1d31f4-984f-4291-87fb-ed7b28608ba8?session=b6f94d2c-e1a6-466e-ab66-920950f70ed8
* ID: Uploaded
* Email: bfosbaugh@gmail.com
* Vehicle Color/Make/Model: MB sprinter blue
* ETA: 6:00 PM
* Acknowledgment: ✓</t>
  </si>
  <si>
    <t>2026-02-28 02:37:02</t>
  </si>
  <si>
    <t>Samuel Skinner completed the Adventure Inn Registration Card mini app: https://sys.akia.ai/mapp/c4fa0a48-d81e-4f82-afff-7999e1e1b425?session=dc0ff4f0-251a-4780-a143-30b895ad99bb
* ID: Uploaded
* Email: skinners1999@gmail.com
* Vehicle Color/Make/Model: Dark blue Toyota Camry 
* ETA: 5:00 PM
* Acknowledgment: ✓</t>
  </si>
  <si>
    <t>5539307778</t>
  </si>
  <si>
    <t>2026-02-28 03:40:51</t>
  </si>
  <si>
    <t>Nathan Green completed the Adventure Inn Registration Card mini app: https://sys.akia.ai/mapp/63cb8632-8c40-4ba6-9e76-43bf20c7d680?session=cb9ad9f7-26fd-4e46-94c9-08da692ed4e2
* ID: Uploaded
* Email: greenallen1234@icloud.com
* Vehicle Color/Make/Model: Red Chevy Silverado 
* ETA: 3:00 PM
* Acknowledgment: ✓</t>
  </si>
  <si>
    <t>HMQNR8SE9W</t>
  </si>
  <si>
    <t>2026-02-28 04:01:22</t>
  </si>
  <si>
    <t>Jen Riedl completed the Adventure Inn Registration Card mini app: https://sys.akia.ai/mapp/55b1c3e1-53aa-4989-9adf-72df6650b25e?session=eee2b139-a155-4cb4-8538-f2dd0394c142
* ID: Uploaded
* Email: jen.u.riedl@gmail.com
* Vehicle Color/Make/Model: Toyota Forerunner White
* ETA: 4:00 PM
* Acknowledgment: ✓</t>
  </si>
  <si>
    <t>2026-02-28 04:30:16</t>
  </si>
  <si>
    <t>Andrew Reilly completed the Adventure Inn Registration Card mini app: https://sys.akia.ai/mapp/2dadbe9f-246d-41e5-9ebe-058ef91313be?session=78132d3f-197f-4260-a500-ce64d8965f6f
* ID: Uploaded
* Email: a.f.reilly@hotmail.com
* Vehicle Color/Make/Model: Green Tacoma
* ETA: 5:30 PM
* Acknowledgment: ✓</t>
  </si>
  <si>
    <t>2026-07-18</t>
  </si>
  <si>
    <t>2026-02-28 05:14:13</t>
  </si>
  <si>
    <t>2026-03-01 01:05:16</t>
  </si>
  <si>
    <t>6075150102</t>
  </si>
  <si>
    <t>2026-03-01 02:46:33</t>
  </si>
  <si>
    <t>6547303551</t>
  </si>
  <si>
    <t>2026-03-01 04:58:27</t>
  </si>
  <si>
    <t>2404394641</t>
  </si>
  <si>
    <t>2026-03-01 05:10:43</t>
  </si>
  <si>
    <t>2404629768</t>
  </si>
  <si>
    <t>2026-03-01 16:17:55</t>
  </si>
  <si>
    <t>2026-03-02 00:20:44</t>
  </si>
  <si>
    <t>5411093994</t>
  </si>
  <si>
    <t>2026-03-02 16:49:25</t>
  </si>
  <si>
    <t>Amanda Rivera completed the Adventure Inn Registration Card mini app: https://sys.akia.ai/mapp/1c843c12-f415-4559-baa9-25e993f930dd?session=b921d375-f769-417a-b808-dcf3463168f9
* ID: Uploaded
* Email: kurtsorchids@yahoo.com
* Vehicle Color/Make/Model: White Toyota Prius 
* ETA: 7:15 PM
* Acknowledgment: ✓</t>
  </si>
  <si>
    <t>5411054976</t>
  </si>
  <si>
    <t>2026-03-02 19:18:46</t>
  </si>
  <si>
    <t>6923719573</t>
  </si>
  <si>
    <t>2026-03-03 04:17:41</t>
  </si>
  <si>
    <t>2405968485</t>
  </si>
  <si>
    <t>2026-03-03 06:03:27</t>
  </si>
  <si>
    <t>Ava Krentz completed the Adventure Inn Registration Card mini app: https://sys.akia.ai/mapp/73c41453-0680-4e6b-995d-19eb4545b8b8?session=2b7b256f-b70e-45c4-9c41-dab4156a594a
* ID: Uploaded
* Email: krentzava@gmail.com
* Vehicle Color/Make/Model: Silver/Subaru/Crosstrek
* ETA: 6:00 PM
* Acknowledgment: ✓</t>
  </si>
  <si>
    <t>2406158029</t>
  </si>
  <si>
    <t>2026-03-03 13:20:17</t>
  </si>
  <si>
    <t>6597099773</t>
  </si>
  <si>
    <t>2026-03-04 00:34:04</t>
  </si>
  <si>
    <t>Taylor Williams completed the Adventure Inn Registration Card mini app: https://sys.akia.ai/mapp/96292adf-e5a9-4d51-8452-06c0ed2a27a6?session=2db746df-bf28-47d4-8218-2108e746df8b
* ID: Uploaded
* Email: tlollar22@gmail.com
* Vehicle Color/Make/Model: Black Subaru Crosstrek
* ETA: 5:00 PM
* Acknowledgment: ✓</t>
  </si>
  <si>
    <t>2026-03-31</t>
  </si>
  <si>
    <t>5219643848</t>
  </si>
  <si>
    <t>2026-03-04 00:37:07</t>
  </si>
  <si>
    <t>2026-03-27</t>
  </si>
  <si>
    <t>5449500096</t>
  </si>
  <si>
    <t>2026-03-04 04:03:34</t>
  </si>
  <si>
    <t>2407092159</t>
  </si>
  <si>
    <t>2026-03-04 15:36:22</t>
  </si>
  <si>
    <t>Hannah Norby completed the Adventure Inn Registration Card mini app: https://sys.akia.ai/mapp/2f4277ff-e0ee-4be6-b3c1-525f4c3a6e37?session=eca4ff05-b274-4f9a-9d37-3f49c597bd71
* ID: Uploaded
* Email: hannahherrera98@gmail.com
* Vehicle Color/Make/Model: Gray Ford escape 
* ETA: 4:00 PM
* Acknowledgment: ✓</t>
  </si>
  <si>
    <t>2026-04-14</t>
  </si>
  <si>
    <t>2407131115</t>
  </si>
  <si>
    <t>2026-03-04 16:28:45</t>
  </si>
  <si>
    <t>2407132760</t>
  </si>
  <si>
    <t>2026-03-04 16:31:03</t>
  </si>
  <si>
    <t>2026-03-04 17:44:25</t>
  </si>
  <si>
    <t>6073599676</t>
  </si>
  <si>
    <t>2026-03-04 19:33:45</t>
  </si>
  <si>
    <t>2026-03-04 21:49:09</t>
  </si>
  <si>
    <t>5991722124</t>
  </si>
  <si>
    <t>2026-03-05 00:11:31</t>
  </si>
  <si>
    <t>2026-03-05 03:18:48</t>
  </si>
  <si>
    <t>5403398302</t>
  </si>
  <si>
    <t>2026-03-05 15:56:57</t>
  </si>
  <si>
    <t>6053731831</t>
  </si>
  <si>
    <t>2026-03-05 17:56:39</t>
  </si>
  <si>
    <t>6998301552</t>
  </si>
  <si>
    <t>2026-03-05 18:55:02</t>
  </si>
  <si>
    <t>2026-03-06 03:12:38</t>
  </si>
  <si>
    <t>2408842345</t>
  </si>
  <si>
    <t>2026-03-06 18:12:34</t>
  </si>
  <si>
    <t>2408895308</t>
  </si>
  <si>
    <t>2026-03-06 19:33:16</t>
  </si>
  <si>
    <t>2026-03-07 02:47:13</t>
  </si>
  <si>
    <t>Natalie Branum completed the Adventure Inn Registration Card mini app: https://sys.akia.ai/mapp/1b4b38e4-03e6-4cad-ad61-0e1d134e3697?session=087ad1ae-2ba1-44a5-b1f3-d01c1886d940
* ID: Uploaded
* Email: nataleebranum@gmail.com
* Vehicle Color/Make/Model: Volkswagen Jetta (rental)
* ETA: 3:00 PM
* Acknowledgment: ✓</t>
  </si>
  <si>
    <t>2026-03-07 16:59:48</t>
  </si>
  <si>
    <t>Eric Chandler completed the Adventure Inn Registration Card mini app: https://sys.akia.ai/mapp/bde7c7d7-a790-4ddf-83e5-7332b25b476b?session=7ec6b143-3efc-4dbc-b492-5651a8e582ce
* ID: Uploaded
* Email: ericchandler2000@yahoo.com
* Vehicle Color/Make/Model: Gray Subaru Outback
* ETA: 3:00 PM
* Acknowledgment: ✓</t>
  </si>
  <si>
    <t>2409627648</t>
  </si>
  <si>
    <t>2026-03-07 21:08:36</t>
  </si>
  <si>
    <t>Paul Pena completed the Adventure Inn Registration Card mini app: https://sys.akia.ai/mapp/4195cd38-6924-40d9-9069-7d17a6704a3c?session=02bbc8cb-83b3-4bd7-8abd-94878b56cd38
* ID: Uploaded
* Email: pntpena@msn.com
* Vehicle Color/Make/Model: Black / Mazda / CX-5
* ETA: 4:00 PM
* Acknowledgment: ✓</t>
  </si>
  <si>
    <t>2409758892</t>
  </si>
  <si>
    <t>2026-03-08 01:10:37</t>
  </si>
  <si>
    <t>2026-03-23</t>
  </si>
  <si>
    <t>2409828257</t>
  </si>
  <si>
    <t>2026-03-08 03:30:07</t>
  </si>
  <si>
    <t>2409840227</t>
  </si>
  <si>
    <t>2026-03-08 03:56:51</t>
  </si>
  <si>
    <t>James Jensen completed the Adventure Inn Registration Card mini app: https://sys.akia.ai/mapp/0daf14d5-28db-4377-9ecb-57350c403629?session=bbcccbcf-1711-4090-b1a4-00e79c6a46b4
* ID: Uploaded
* Email: jrjensen1009@gmail.com
* Vehicle Color/Make/Model: Gray Mercedes sprinter
* ETA: 4:00 PM
* Acknowledgment: ✓</t>
  </si>
  <si>
    <t>2026-07-16</t>
  </si>
  <si>
    <t>2410045798</t>
  </si>
  <si>
    <t>2026-03-08 14:39:07</t>
  </si>
  <si>
    <t>5522309351</t>
  </si>
  <si>
    <t>2026-03-08 15:59:07</t>
  </si>
  <si>
    <t>HME9DNQQT3</t>
  </si>
  <si>
    <t>2026-03-08 16:40:29</t>
  </si>
  <si>
    <t>Billy Vanderbur completed the Adventure Inn Registration Card mini app: https://sys.akia.ai/mapp/56531f27-9b2b-43e3-a4d6-180fc45312b2?session=1a540613-f913-4035-91f1-b5a08a9dc051
* ID: Uploaded
* Email: bvanderbur@hotmail.com
* Vehicle Color/Make/Model: White nissan
* ETA: 4:00 PM
* Acknowledgment: ✓</t>
  </si>
  <si>
    <t>114 (STK), 108 (STK)</t>
  </si>
  <si>
    <t>6279898994</t>
  </si>
  <si>
    <t>2026-03-08 20:18:28</t>
  </si>
  <si>
    <t>2026-03-08 21:49:19</t>
  </si>
  <si>
    <t>Rutu Patel completed the Adventure Inn Registration Card mini app: https://sys.akia.ai/mapp/8b40e8fd-8410-4974-ac9a-eae12e56bc63?session=af14d615-6941-4722-a93f-8580417659db
* ID: Uploaded
* Email: rutu.patel@hotmail.com
* Vehicle Color/Make/Model: Black Chevy Equinox
* ETA: 7:00 PM
* Acknowledgment: ✓</t>
  </si>
  <si>
    <t>2410347747</t>
  </si>
  <si>
    <t>2026-03-08 22:57:38</t>
  </si>
  <si>
    <t>HMPKCWTEEH</t>
  </si>
  <si>
    <t>2026-03-09 01:48:15</t>
  </si>
  <si>
    <t>Abigail Nance completed the Adventure Inn Registration Card mini app: https://sys.akia.ai/mapp/05806552-c813-4fff-ba48-c0ee1df9e28b?session=bac1cf4b-4549-41be-98db-6b85e611beac
* ID: Uploaded
* Email: abigailjo.nance@gmail.com
* Vehicle Color/Make/Model: Red/ Chevy/Silverado 
* ETA: 2:30 AM
* Acknowledgment: ✓</t>
  </si>
  <si>
    <t>HM4NXR5EPZ</t>
  </si>
  <si>
    <t>2026-03-09 04:56:29</t>
  </si>
  <si>
    <t>Xen Hesse completed the Adventure Inn Registration Card mini app: https://sys.akia.ai/mapp/86220a82-fcab-4fdb-b80b-f4296430894d?session=4366ff59-6105-44eb-8e21-c4f3f75f2a65
* ID: Uploaded
* Email: xenhesse7@gmail.com
* Vehicle Color/Make/Model: Black Toyota tab 4
* ETA: 4:00 PM
* Acknowledgment: ✓</t>
  </si>
  <si>
    <t>2026-08-17</t>
  </si>
  <si>
    <t>2026-08-19</t>
  </si>
  <si>
    <t>6279829487</t>
  </si>
  <si>
    <t>2026-03-09 17:37:59</t>
  </si>
  <si>
    <t>2026-05-29</t>
  </si>
  <si>
    <t>2410991592</t>
  </si>
  <si>
    <t>2026-03-09 18:16:23</t>
  </si>
  <si>
    <t>2410991587</t>
  </si>
  <si>
    <t>2026-03-09 18:16:26</t>
  </si>
  <si>
    <t>6079774409</t>
  </si>
  <si>
    <t>2026-03-09 18:41:19</t>
  </si>
  <si>
    <t>6894262286</t>
  </si>
  <si>
    <t>2026-03-09 22:52:57</t>
  </si>
  <si>
    <t>Chia-Hui Yi completed the Adventure Inn Registration Card mini app: https://sys.akia.ai/mapp/3fa89f81-e201-4804-ad36-16d0264ec5e9?session=32fa39ee-42b9-4da8-99a5-abf3528bc262
* ID: Uploaded
* Email: ijhidea@gmail.com
* Vehicle Color/Make/Model: White/Toyota/Rav 4
* ETA: 8:00 PM
* Acknowledgment: ✓</t>
  </si>
  <si>
    <t>2411201695</t>
  </si>
  <si>
    <t>2026-03-09 23:12:22</t>
  </si>
  <si>
    <t>2026-03-10 01:52:19</t>
  </si>
  <si>
    <t>2026-03-10 02:16:43</t>
  </si>
  <si>
    <t>6539151392</t>
  </si>
  <si>
    <t>2026-03-10 05:43:13</t>
  </si>
  <si>
    <t>2026-06-05</t>
  </si>
  <si>
    <t>2026-06-06</t>
  </si>
  <si>
    <t>6539107949</t>
  </si>
  <si>
    <t>2026-03-10 15:01:16</t>
  </si>
  <si>
    <t>2026-03-10 19:32:29</t>
  </si>
  <si>
    <t>HMX3ND9EDP</t>
  </si>
  <si>
    <t>2026-03-11 00:17:27</t>
  </si>
  <si>
    <t>Sasha Cervantes completed the Adventure Inn Registration Card mini app: https://sys.akia.ai/mapp/8d481611-8c4f-41cf-b7db-82c4abcd1e27?session=90bcc927-7e4f-47b5-9c8c-f3f7df1f82de
* ID: Uploaded
* Email: bodybysasha@yahoo.com
* Vehicle Color/Make/Model: Blue Ford escape
* ETA: 4:00 PM
* Acknowledgment: ✓</t>
  </si>
  <si>
    <t>2026-03-11 00:20:44</t>
  </si>
  <si>
    <t>Ava Brown completed the Adventure Inn Registration Card mini app: https://sys.akia.ai/mapp/3002d8f8-4ac8-4d53-aa48-e878b1d9dee6?session=c32a4c5d-ed99-4516-8a10-bd1d80f70cd0
* ID: Uploaded
* Email: asophiabrown@gmail.com
* Vehicle Color/Make/Model: White Toyota Highlander 
* ETA: 9:00 PM
* Acknowledgment: ✓</t>
  </si>
  <si>
    <t>2026-03-11 01:57:40</t>
  </si>
  <si>
    <t>2412237781</t>
  </si>
  <si>
    <t>2026-03-11 04:04:44</t>
  </si>
  <si>
    <t>2026-03-11 16:24:26</t>
  </si>
  <si>
    <t>Paul Allen completed the Adventure Inn Registration Card mini app: https://sys.akia.ai/mapp/7ddf81f1-b428-4c9c-8556-92c1be094054?session=f73b32d0-8105-4301-94d3-ffd135ccb21a
* ID: Uploaded
* Email: morgansdaddy@live.com
* Vehicle Color/Make/Model: Grey Toyota Tacoma 
* ETA: 4:00 PM
* Acknowledgment: ✓</t>
  </si>
  <si>
    <t>2026-03-11 21:01:11</t>
  </si>
  <si>
    <t>2412878786</t>
  </si>
  <si>
    <t>2026-03-11 22:50:11</t>
  </si>
  <si>
    <t>2026-03-11 23:41:05</t>
  </si>
  <si>
    <t>2026-03-12 00:05:43</t>
  </si>
  <si>
    <t>Ashleigh Johnston completed the Adventure Inn Registration Card mini app: https://sys.akia.ai/mapp/2caa7f3b-ab1d-4357-a441-a30de055c16a?session=72efb53d-97c2-4d44-8b75-1278ac5c0952
* ID: Uploaded
* Email: ashleigh.k.johnston@gmail.com
* Vehicle Color/Make/Model: Orange Subaru crosstrek 
* ETA: 4:00 PM
* Acknowledgment: ✓</t>
  </si>
  <si>
    <t>2026-06-07</t>
  </si>
  <si>
    <t>2026-03-12 01:06:14</t>
  </si>
  <si>
    <t>2413269906</t>
  </si>
  <si>
    <t>2026-03-12 11:46:16</t>
  </si>
  <si>
    <t>6034875397</t>
  </si>
  <si>
    <t>2026-03-12 14:48:33</t>
  </si>
  <si>
    <t>2026-03-13 01:15:56</t>
  </si>
  <si>
    <t>Glen Pruett completed the Adventure Inn Registration Card mini app: https://sys.akia.ai/mapp/48a1a3bf-5788-4510-a7aa-8b3026477bec?session=50df54dd-cc42-4cb5-a2f4-12d72d145e0b
* ID: Uploaded
* Email: pruettglen1@gmail.com
* Vehicle Color/Make/Model: Blue Jeep Gladiator Rubicon
* ETA: 4:00 PM
* Acknowledgment: ✓</t>
  </si>
  <si>
    <t>5025967606</t>
  </si>
  <si>
    <t>2026-03-13 01:49:52</t>
  </si>
  <si>
    <t>Harry Geyer completed the Adventure Inn Registration Card mini app: https://sys.akia.ai/mapp/a0ef33ec-83e8-4232-8e82-a8ff445b73b1?session=6a80cc31-eb0f-499b-b1d7-7312461c2ac0
* ID: Uploaded
* Email: kiboshkiller@yahoo.com
* Vehicle Color/Make/Model: Gold Lexus ES300
* ETA: 9:00 PM
* Acknowledgment: ✓</t>
  </si>
  <si>
    <t>Influencer: Kristi Budelier @krey.life</t>
  </si>
  <si>
    <t>2026-03-13 05:02:48</t>
  </si>
  <si>
    <t>Chelsea Lawley completed the Adventure Inn Registration Card mini app: https://sys.akia.ai/mapp/cc94bb6c-b9ae-4a0d-8a62-363ff894576e?session=888b2cb9-0045-4be8-841a-6234e7218474
* ID: Uploaded
* Email: chelsea.e.lawley@gmail.com
* Vehicle Color/Make/Model: Tesla Model Y - Gray
* ETA: 4:00 PM
* Acknowledgment: ✓</t>
  </si>
  <si>
    <t>6937387046</t>
  </si>
  <si>
    <t>2026-03-13 05:05:52</t>
  </si>
  <si>
    <t>2413977796</t>
  </si>
  <si>
    <t>2026-03-13 06:49:36</t>
  </si>
  <si>
    <t>2414140599</t>
  </si>
  <si>
    <t>2026-03-13 13:06:56</t>
  </si>
  <si>
    <t>2026-03-13 14:37:08</t>
  </si>
  <si>
    <t>2414304198</t>
  </si>
  <si>
    <t>2026-03-13 16:53:20</t>
  </si>
  <si>
    <t>HM9WBN9SB4</t>
  </si>
  <si>
    <t>2026-03-13 19:35:04</t>
  </si>
  <si>
    <t>Carrie Maniscalco completed the Adventure Inn Registration Card mini app: https://sys.akia.ai/mapp/69fd21a2-9cf8-43ac-956d-879958a7fb93?session=04a3cbd3-b1fb-4ace-84a7-829c216fcc14
* ID: Uploaded
* Email: cfmanis65@gmail.com
* Vehicle Color/Make/Model: White Kia Sportage 
* ETA: 4:00 PM
* Acknowledgment: ✓</t>
  </si>
  <si>
    <t>2026-03-13 19:55:27</t>
  </si>
  <si>
    <t>Jason Dugger completed the Adventure Inn Registration Card mini app: https://sys.akia.ai/mapp/f79057b6-7c98-41b5-b3ea-e8ec59695fbf?session=7de8909a-35fe-4d4b-8ee6-885326058e06
* ID: Uploaded
* Email: eduggerassist@gmail.com
* Vehicle Color/Make/Model: Grey, Grand Highlander, Toyota 
* ETA: 6:30 PM
* Acknowledgment: ✓</t>
  </si>
  <si>
    <t>2414437797</t>
  </si>
  <si>
    <t>2026-03-13 20:03:49</t>
  </si>
  <si>
    <t>Mike Register completed the Adventure Inn Registration Card mini app: https://sys.akia.ai/mapp/835b79e6-ed14-4837-a3c2-44d3d9d39bad?session=76a98edb-590b-4558-a485-993119145437
* ID: Uploaded
* Email: mike_s_register@yahoo.com
* Vehicle Color/Make/Model: Silver Toyota Rav4
* ETA: 3:00 PM
* Acknowledgment: ✓</t>
  </si>
  <si>
    <t>2026-03-13 20:06:52</t>
  </si>
  <si>
    <t>Margaret Taylor completed the Adventure Inn Registration Card mini app: https://sys.akia.ai/mapp/e76e94be-8edc-4c4c-b170-6fe7ab217778?session=d15a81c6-83c7-4035-ae6b-189d636722c9
* ID: Uploaded
* Email: megtaylor58@gmail.com
* Vehicle Color/Make/Model: Kia Telluride. CO EHF A 16
* ETA: 4:00 PM
* Acknowledgment: ✓</t>
  </si>
  <si>
    <t>2414478807</t>
  </si>
  <si>
    <t>2026-03-13 21:03:15</t>
  </si>
  <si>
    <t>Elsloan Hildebrand completed the Adventure Inn Registration Card mini app: https://sys.akia.ai/mapp/6a950955-8ca7-4a40-a523-fe6173d4b950?session=25060631-f7aa-4ebc-a7ea-30a5bb8a5bb3
* ID: Uploaded
* Email: dr.sloanhildebrand@gmail.com
* Vehicle Color/Make/Model: White suburban 
* ETA: 6:00 PM
* Acknowledgment: ✓</t>
  </si>
  <si>
    <t>6115692359</t>
  </si>
  <si>
    <t>2026-03-13 22:15:04</t>
  </si>
  <si>
    <t>2414527038</t>
  </si>
  <si>
    <t>2026-03-13 22:15:46</t>
  </si>
  <si>
    <t>2414554521</t>
  </si>
  <si>
    <t>2026-03-13 22:58:24</t>
  </si>
  <si>
    <t>2026-03-13 23:23:25</t>
  </si>
  <si>
    <t>Brittney Hollar completed the Adventure Inn Registration Card mini app: https://sys.akia.ai/mapp/96b3d269-e11b-49db-8178-237afc96bd86?session=e3447ba8-1f67-48a3-94d7-a4049dbe2e1b
* ID: Uploaded
* Email: brittneyhollar@gmail.com
* Vehicle Color/Make/Model: White ford raptor
* ETA: 8:00 PM
* Acknowledgment: ✓</t>
  </si>
  <si>
    <t>2026-03-14 00:14:10</t>
  </si>
  <si>
    <t>5245886351</t>
  </si>
  <si>
    <t>2026-03-14 04:19:16</t>
  </si>
  <si>
    <t>5581653984</t>
  </si>
  <si>
    <t>2026-03-14 05:46:20</t>
  </si>
  <si>
    <t>Stephen Hertzfeld completed the Adventure Inn Registration Card mini app: https://sys.akia.ai/mapp/7d8c4941-c3d9-4bef-b9f7-65b5a1084299?session=8f680bba-e614-491b-9d28-a28f1d014f16
* ID: Uploaded
* Email: sjhertzfeld@gmail.com
* Vehicle Color/Make/Model: Honda element green
* ETA: 3:00 PM
* Acknowledgment: ✓</t>
  </si>
  <si>
    <t>6569296741</t>
  </si>
  <si>
    <t>2026-03-14 11:31:14</t>
  </si>
  <si>
    <t>6765916524</t>
  </si>
  <si>
    <t>2026-03-14 13:48:48</t>
  </si>
  <si>
    <t>2414944866</t>
  </si>
  <si>
    <t>2026-03-14 14:24:04</t>
  </si>
  <si>
    <t>5852112856</t>
  </si>
  <si>
    <t>2026-03-14 15:07:49</t>
  </si>
  <si>
    <t>2026-03-14 15:31:43</t>
  </si>
  <si>
    <t>5919391034</t>
  </si>
  <si>
    <t>2026-03-14 16:06:33</t>
  </si>
  <si>
    <t>2026-04-26</t>
  </si>
  <si>
    <t>2026-03-14 16:26:45</t>
  </si>
  <si>
    <t>Melissa Maimer completed the Adventure Inn Registration Card mini app: https://sys.akia.ai/mapp/319f7e4a-14e0-44f8-ae59-a557cb5f488d?session=80e9f736-8050-4474-83ad-7726e6792271
* ID: Uploaded
* Email: maimermelissa@gmail.com
* Vehicle Color/Make/Model: 2018 Black Chevy Silverado
* ETA: 3:00 PM
* Acknowledgment: ✓</t>
  </si>
  <si>
    <t>2026-03-14 16:53:20</t>
  </si>
  <si>
    <t>5725357686</t>
  </si>
  <si>
    <t>2026-03-14 18:52:04</t>
  </si>
  <si>
    <t>6199300428</t>
  </si>
  <si>
    <t>2026-03-14 18:56:22</t>
  </si>
  <si>
    <t>2026-03-14 20:04:19</t>
  </si>
  <si>
    <t>Alba Guerrero completed the Adventure Inn Registration Card mini app: https://sys.akia.ai/mapp/563081ac-853f-4a20-b40a-9a55c705c55e?session=a7f2740d-6e38-4acd-9a26-001dd2172d30
* ID: Uploaded
* Email: guerreroalbalaura@gmail.com
* Vehicle Color/Make/Model: Black Honda Pilot 
* ETA: 6:45 PM
* Acknowledgment: ✓</t>
  </si>
  <si>
    <t>2415155042</t>
  </si>
  <si>
    <t>2026-03-14 20:15:25</t>
  </si>
  <si>
    <t>Loretta Krieves completed the Adventure Inn Registration Card mini app: https://sys.akia.ai/mapp/dde9ffa7-dd35-423f-a520-392808da4266?session=cdf1adc7-5529-424a-9767-ede083885404
* ID: Uploaded
* Email: lorettakrieves@yahoo.com
* Vehicle Color/Make/Model: Ford/explorer/white
* ETA: 4:00 PM
* Acknowledgment: ✓</t>
  </si>
  <si>
    <t>5852139575</t>
  </si>
  <si>
    <t>2026-03-14 20:16:53</t>
  </si>
  <si>
    <t>2026-03-14 21:03:59</t>
  </si>
  <si>
    <t>Pam Herlache completed the Adventure Inn Registration Card mini app: https://sys.akia.ai/mapp/dfdbaeec-6e38-4b90-b372-cbaa2f7acb29?session=d153c235-e592-4ebe-b28a-227cc3904c4f
* ID: Uploaded
* Email: pamherlache@yahoo.com
* Vehicle Color/Make/Model: Green/honda/passport
* ETA: 7:14 PM
* Acknowledgment: ✓</t>
  </si>
  <si>
    <t>2026-03-14 21:44:56</t>
  </si>
  <si>
    <t>2415210656</t>
  </si>
  <si>
    <t>2026-03-14 21:50:39</t>
  </si>
  <si>
    <t>5950030436</t>
  </si>
  <si>
    <t>2026-03-14 22:31:50</t>
  </si>
  <si>
    <t>2026-03-14 22:32:37</t>
  </si>
  <si>
    <t>Nicole Scotto completed the Adventure Inn Registration Card mini app: https://sys.akia.ai/mapp/830716e1-8dc6-4bdf-b1c3-de6859708f29?session=c4ef2a41-d4fe-43cf-9485-f920739c64a7
* ID: Uploaded
* Email: nmscotto@gmail.com
* Vehicle Color/Make/Model: Blue Toyota 4Runner 
* ETA: 4:00 PM
* Acknowledgment: ✓</t>
  </si>
  <si>
    <t>2415248859</t>
  </si>
  <si>
    <t>2026-03-14 22:59:07</t>
  </si>
  <si>
    <t>Minh Huynh completed the Adventure Inn Registration Card mini app: https://sys.akia.ai/mapp/26dff2ed-767d-4c03-b8e4-99c26be21874?session=43c97060-5d38-4e39-b1e5-c3b525724982
* ID: Uploaded
* Email: dominhus@gmail.com
* Vehicle Color/Make/Model: Blue Hyundai Tucson
* ETA: 11:00 PM
* Acknowledgment: ✓</t>
  </si>
  <si>
    <t>6331696035</t>
  </si>
  <si>
    <t>2026-03-14 23:36:37</t>
  </si>
  <si>
    <t>5407772595</t>
  </si>
  <si>
    <t>2026-03-15 00:58:10</t>
  </si>
  <si>
    <t>5520737312</t>
  </si>
  <si>
    <t>2026-03-15 02:05:23</t>
  </si>
  <si>
    <t>5852171287</t>
  </si>
  <si>
    <t>2026-03-15 02:37:49</t>
  </si>
  <si>
    <t>Jarret Pearl completed the Adventure Inn Registration Card mini app: https://sys.akia.ai/mapp/0c88bdd5-8a37-4e20-b25a-c9c7fbbff41a?session=b80cb1f7-a814-4659-b010-eacf958e2263
* ID: Uploaded
* Email: lbushey@hotmail.com
* Vehicle Color/Make/Model: Silver/honda CRV
* ETA: 7:00 PM
* Acknowledgment: ✓</t>
  </si>
  <si>
    <t>6765920625</t>
  </si>
  <si>
    <t>2026-03-15 02:55:21</t>
  </si>
  <si>
    <t>HMEJCEQZBN</t>
  </si>
  <si>
    <t>2026-03-15 05:36:09</t>
  </si>
  <si>
    <t>Holden Knope completed the Adventure Inn Registration Card mini app: https://sys.akia.ai/mapp/23437c20-6597-42c8-b54c-46456f53e318?session=edf9576a-7f50-4a47-a79e-6daed09f7aed
* ID: Uploaded
* Email: Holdenknope@gmail.com
* Vehicle Color/Make/Model: White/Hyundai/Palisade
* ETA: 5:00 PM
* Acknowledgment: ✓</t>
  </si>
  <si>
    <t>2026-06-26</t>
  </si>
  <si>
    <t>2026-06-27</t>
  </si>
  <si>
    <t>2026-03-15 13:54:02</t>
  </si>
  <si>
    <t>Cody Moake completed the Adventure Inn Registration Card mini app: https://sys.akia.ai/mapp/215cb36e-ee35-48ef-8a1e-45bcb48296fa?session=88950d42-bcb7-4db8-819e-0aa4428f2e07
* ID: Uploaded
* Email: cody.moake@gmail.com
* Vehicle Color/Make/Model: Maroon Dodge Durango
* ETA: 4:00 PM
* Acknowledgment: ✓</t>
  </si>
  <si>
    <t>5815115974</t>
  </si>
  <si>
    <t>2026-03-15 13:56:21</t>
  </si>
  <si>
    <t>2026-06-11</t>
  </si>
  <si>
    <t>2415589913</t>
  </si>
  <si>
    <t>2026-03-15 14:16:20</t>
  </si>
  <si>
    <t>2026-06-04</t>
  </si>
  <si>
    <t>2415620569</t>
  </si>
  <si>
    <t>2026-03-15 15:12:05</t>
  </si>
  <si>
    <t>Marsha Gottwalles completed the Adventure Inn Registration Card mini app: https://sys.akia.ai/mapp/ba76f3e1-56ce-4e3d-b9c6-bffc1d767103?session=d14af241-a8b4-49f5-8313-43e11a2aba0f
* ID: Uploaded
* Email: m.gottwalles@comcast.net
* Vehicle Color/Make/Model: Silver Ford150 pickup
* ETA: 4:00 PM
* Acknowledgment: ✓</t>
  </si>
  <si>
    <t>2026-03-15 16:20:59</t>
  </si>
  <si>
    <t>David Boulch completed the Adventure Inn Registration Card mini app: https://sys.akia.ai/mapp/ffc24220-6001-44cc-bfd2-912389717294?session=a201c338-0b61-4c89-b11a-5de28796ea0a
* ID: Uploaded
* Email: dboulch1@gmail.com
* Vehicle Color/Make/Model: White, Chevrolet, 1500
* ETA: 6:30 PM
* Acknowledgment: ✓</t>
  </si>
  <si>
    <t>2415718019</t>
  </si>
  <si>
    <t>2026-03-15 17:47:44</t>
  </si>
  <si>
    <t>2415727057</t>
  </si>
  <si>
    <t>2026-03-15 18:01:33</t>
  </si>
  <si>
    <t>2415741028</t>
  </si>
  <si>
    <t>2026-03-15 18:23:16</t>
  </si>
  <si>
    <t>Andrew Nelson completed the Adventure Inn Registration Card mini app: https://sys.akia.ai/mapp/58d6b420-25f8-4217-89bc-90432138cc73?session=79c513f7-75c5-474a-80a6-0e371b603d9a
* ID: Uploaded
* Email: nelsona2@charter.net
* Vehicle Color/Make/Model: Rental
* ETA: 4:00 PM
* Acknowledgment: ✓</t>
  </si>
  <si>
    <t>2026-03-15 18:43:42</t>
  </si>
  <si>
    <t>2026-03-15 19:44:27</t>
  </si>
  <si>
    <t>April Johnson completed the Adventure Inn Registration Card mini app: https://sys.akia.ai/mapp/2bc5b95a-92ca-4e31-a4b5-3b105efcf9c1?session=60bbd9e2-96f0-4624-8cf3-05d7dfdf04c9
* ID: Uploaded
* Email: april.seb.johnson@gmail.com
* Vehicle Color/Make/Model: Gray Mazda 3
* ETA: 7:00 PM
* Acknowledgment: ✓</t>
  </si>
  <si>
    <t>2026-03-15 20:49:26</t>
  </si>
  <si>
    <t>5971671657</t>
  </si>
  <si>
    <t>2026-03-15 20:51:34</t>
  </si>
  <si>
    <t>6769234593</t>
  </si>
  <si>
    <t>2026-03-15 20:58:53</t>
  </si>
  <si>
    <t>2415865193</t>
  </si>
  <si>
    <t>2026-03-15 21:25:51</t>
  </si>
  <si>
    <t>Eva Chi completed the Adventure Inn Registration Card mini app: https://sys.akia.ai/mapp/daa3311f-fa43-48bb-9f85-67fe43e49be1?session=878dd074-f62b-49f3-b009-fec36bfeeaba
* ID: Uploaded
* Email: eva.chi@gmail.com
* Vehicle Color/Make/Model: Rivian R1S
* ETA: 10:00 PM
* Acknowledgment: ✓</t>
  </si>
  <si>
    <t>5668230013</t>
  </si>
  <si>
    <t>Kuwait</t>
  </si>
  <si>
    <t>2026-03-15 22:16:58</t>
  </si>
  <si>
    <t>Hamad Al-Ghanim completed the Adventure Inn Registration Card mini app: https://sys.akia.ai/mapp/f891392d-06e6-49dc-bc15-c156c6450b6a?session=12ab5428-c136-414d-96ef-2114713809c2
* ID: Uploaded
* Email: hamadyalghanim@gmail.com
* Vehicle Color/Make/Model: Gray suburu cross trek EQKE87
* ETA: 9:00 PM
* Acknowledgment: ✓</t>
  </si>
  <si>
    <t>2026-03-15 23:05:43</t>
  </si>
  <si>
    <t>2026-03-15 23:13:55</t>
  </si>
  <si>
    <t>2415943511</t>
  </si>
  <si>
    <t>2026-03-15 23:26:41</t>
  </si>
  <si>
    <t>6769227171</t>
  </si>
  <si>
    <t>2026-03-16 00:14:09</t>
  </si>
  <si>
    <t>Marley Williams completed the Adventure Inn Registration Card mini app: https://sys.akia.ai/mapp/75e2b790-f779-4a47-82ce-c1228095f8dc?session=e6608a7d-5f12-47d6-a133-889d514d6408
* ID: Uploaded
* Email: maplesbug@gmail.com
* Vehicle Color/Make/Model: Red 2017 Honda civic 
* ETA: 3:00 PM
* Acknowledgment: ✓</t>
  </si>
  <si>
    <t>2026-03-16 00:32:02</t>
  </si>
  <si>
    <t>2416048606</t>
  </si>
  <si>
    <t>2026-03-16 02:08:55</t>
  </si>
  <si>
    <t>2416100113</t>
  </si>
  <si>
    <t>2026-03-16 03:37:48</t>
  </si>
  <si>
    <t>HMKZ3Z89E5</t>
  </si>
  <si>
    <t>2026-03-16 04:46:15</t>
  </si>
  <si>
    <t>Claudia Keene completed the Adventure Inn Registration Card mini app: https://sys.akia.ai/mapp/ddcf537a-aab1-42ba-9665-d7b0021e7232?session=f46d0db7-3e84-4047-a795-23e13e6c9fd1
* ID: Uploaded
* Email: claudiakeene06@gmail.com
* Vehicle Color/Make/Model: Blue Ford Escape
* ETA: 4:00 PM
* Acknowledgment: ✓</t>
  </si>
  <si>
    <t>2026-03-16 14:09:45</t>
  </si>
  <si>
    <t>Reese Hundley completed the Adventure Inn Registration Card mini app: https://sys.akia.ai/mapp/6aed6d2c-0f57-48fd-a628-1459f5652457?session=bd4f84e9-48f3-4487-b37c-651daae22810
* ID: Uploaded
* Email: primitivesolutionsllcok@gmail.com
* Vehicle Color/Make/Model: White Toyota Tacoma
* ETA: 4:00 PM
* Acknowledgment: ✓</t>
  </si>
  <si>
    <t>2026-08-05</t>
  </si>
  <si>
    <t>2026-08-07</t>
  </si>
  <si>
    <t>2416483232</t>
  </si>
  <si>
    <t>2026-03-16 16:09:46</t>
  </si>
  <si>
    <t>2416495685</t>
  </si>
  <si>
    <t>2026-03-16 16:24:35</t>
  </si>
  <si>
    <t>Preston Lyons completed the Adventure Inn Registration Card mini app: https://sys.akia.ai/mapp/66a4746c-afc1-4e6e-bacf-ac1b4c477075?session=b68f0609-6704-4683-bead-9b60dd8317ee
* ID: Uploaded
* Email: preston@snsironworks.com
* Vehicle Color/Make/Model: White GMC 2500
* ETA: 4:00 PM
* Acknowledgment: ✓</t>
  </si>
  <si>
    <t>5177343057</t>
  </si>
  <si>
    <t>2026-03-16 17:07:53</t>
  </si>
  <si>
    <t>2416552081</t>
  </si>
  <si>
    <t>2026-03-16 17:31:20</t>
  </si>
  <si>
    <t>2416552083</t>
  </si>
  <si>
    <t>2026-03-16 17:31:27</t>
  </si>
  <si>
    <t>2416564493</t>
  </si>
  <si>
    <t>2026-03-16 17:46:59</t>
  </si>
  <si>
    <t>Eugene Deaton completed the Adventure Inn Registration Card mini app: https://sys.akia.ai/mapp/b16c30df-7e06-4a99-a02c-7a059df1bc18?session=b18573b8-4ec9-4479-bcd2-457ababbe1ea
* ID: Uploaded
* Email: chasedeaton1@gmail.com
* Vehicle Color/Make/Model: Red/Hyundai/Elantra
* ETA: 10:30 PM
* Acknowledgment: ✓</t>
  </si>
  <si>
    <t>HMM3D8MECH</t>
  </si>
  <si>
    <t>2026-03-16 19:18:15</t>
  </si>
  <si>
    <t>Mason Stacy completed the Adventure Inn Registration Card mini app: https://sys.akia.ai/mapp/6a438f17-299b-4b14-bca5-b2a55a4b4e7e?session=250c6cda-5dd0-469f-8d85-18bfa3e0cae9
* ID: Uploaded
* Email: masonstacy98@gmail.com
* Vehicle Color/Make/Model: White Ford Explorer
* ETA: 4:00 PM
* Acknowledgment: ✓</t>
  </si>
  <si>
    <t>2026-03-16 19:33:36</t>
  </si>
  <si>
    <t>5840605266</t>
  </si>
  <si>
    <t>2026-03-16 21:52:25</t>
  </si>
  <si>
    <t>5557114759</t>
  </si>
  <si>
    <t>2026-03-16 23:13:19</t>
  </si>
  <si>
    <t>2026-03-17 00:05:23</t>
  </si>
  <si>
    <t>Aaron Hanson completed the Adventure Inn Registration Card mini app: https://sys.akia.ai/mapp/42e32485-2d53-4e6a-b99d-1cb7348191fb?session=47cca9f1-fb0a-4b5d-9c75-04fe2e53e070
* ID: Uploaded
* Email: a.hanson.29@gmail.com
* Vehicle Color/Make/Model: Ram 1500 crew white
* ETA: 4:00 PM
* Acknowledgment: ✓</t>
  </si>
  <si>
    <t>6358376311</t>
  </si>
  <si>
    <t>2026-03-17 01:28:44</t>
  </si>
  <si>
    <t>2416924022</t>
  </si>
  <si>
    <t>2026-03-17 02:02:56</t>
  </si>
  <si>
    <t>Chrissy Wolgemuth completed the Adventure Inn Registration Card mini app: https://sys.akia.ai/mapp/324816c1-77a7-4ab4-9d49-11c453842c95?session=c69b08d2-e1e5-4da8-b820-d0e635c51f55
* ID: Uploaded
* Email: chrissy.wolgemuth@gmail.com
* Vehicle Color/Make/Model: Gray Nissan Rouge 
* ETA: 9:00 PM
* Acknowledgment: ✓</t>
  </si>
  <si>
    <t>2416944095</t>
  </si>
  <si>
    <t>2026-03-17 02:33:52</t>
  </si>
  <si>
    <t>2026-03-17 02:34:46</t>
  </si>
  <si>
    <t>Jacalyn Lane completed the Adventure Inn Registration Card mini app: https://sys.akia.ai/mapp/521f402f-0cdf-482e-b88c-d1e4ed8ab91c?session=5f8d8fad-e475-42ae-b27c-381e85de2bb5
* ID: Uploaded
* Email: jacalynkaylane@gmail.com
* Vehicle Color/Make/Model: Red/lexus/RH350
* ETA: 3:00 PM
* Acknowledgment: ✓</t>
  </si>
  <si>
    <t>HMB39QZK2Y</t>
  </si>
  <si>
    <t>2026-03-17 03:06:55</t>
  </si>
  <si>
    <t>Katelynn Gray completed the Adventure Inn Registration Card mini app: https://sys.akia.ai/mapp/d1acbaa7-24c3-4a8e-b893-43969bdfd4ba?session=4e14547d-2ff5-4a65-9a00-7131db802ba0
* ID: Uploaded
* Email: katelynmgray@outlook.com
* Vehicle Color/Make/Model: Silver Toyota Highlander
* ETA: 4:00 PM
* Acknowledgment: ✓</t>
  </si>
  <si>
    <t>2026-03-17 04:00:50</t>
  </si>
  <si>
    <t>Kyle Heredia completed the Adventure Inn Registration Card mini app: https://sys.akia.ai/mapp/4080650e-9174-4785-9fd8-eb2ded73f4ec?session=2135b659-fa01-48d9-95f7-91bbae2545f1
* ID: Uploaded
* Email: herediakyle@yahoo.com
* Vehicle Color/Make/Model: White Toyota Tacoma
* ETA: 4:00 PM
* Acknowledgment: ✓</t>
  </si>
  <si>
    <t>5528443149</t>
  </si>
  <si>
    <t>2026-03-17 05:14:03</t>
  </si>
  <si>
    <t>Channa Mauro completed the Adventure Inn Registration Card mini app: https://sys.akia.ai/mapp/00b811a0-0e99-449e-b549-3a1fe8d26f3c?session=9232f76e-7f3f-431d-8255-8f574bb0bcf8
* ID: Uploaded
* Email: cjm577@yahoo.com
* Vehicle Color/Make/Model: Blue Subaru forester 
* ETA: 11:40 PM
* Acknowledgment: ✓</t>
  </si>
  <si>
    <t>2026-03-17 05:18:47</t>
  </si>
  <si>
    <t>HM5KDEKKT5</t>
  </si>
  <si>
    <t>2026-03-17 05:30:03</t>
  </si>
  <si>
    <t>2417363118</t>
  </si>
  <si>
    <t>2026-03-17 16:32:52</t>
  </si>
  <si>
    <t>6647314154</t>
  </si>
  <si>
    <t>2026-03-17 16:43:30</t>
  </si>
  <si>
    <t>Tabassum Anika completed the Adventure Inn Registration Card mini app: https://sys.akia.ai/mapp/84c48a78-5f8b-481f-be9e-dfea4029d6e3?session=44e08861-1ce8-4aef-a739-98c5218e0bcf
* ID: Uploaded
* Email: anikatabassum980@gmail.com
* Vehicle Color/Make/Model: SUV 
* ETA: 4:00 PM
* Acknowledgment: ✓</t>
  </si>
  <si>
    <t>2026-06-18</t>
  </si>
  <si>
    <t>2026-03-17 17:01:57</t>
  </si>
  <si>
    <t>2417388926</t>
  </si>
  <si>
    <t>2026-03-17 17:07:01</t>
  </si>
  <si>
    <t>Sandra Smith completed the Adventure Inn Registration Card mini app: https://sys.akia.ai/mapp/5a5e732e-4485-4b45-8591-f650d3b7bcb7?session=760a5283-e930-4b74-ae94-f7bf18829cd6
* ID: Uploaded
* Email: srsmith81435@gmail.com
* Vehicle Color/Make/Model: Silver/Subaru/Forester
* ETA: 3:00 PM
* Acknowledgment: ✓</t>
  </si>
  <si>
    <t>2026-03-17 17:20:55</t>
  </si>
  <si>
    <t>5373030660</t>
  </si>
  <si>
    <t>2026-03-17 18:05:30</t>
  </si>
  <si>
    <t>Molly Freeman completed the Adventure Inn Registration Card mini app: https://sys.akia.ai/mapp/26679e56-c8ef-42d6-a859-1a3fdf298d4c?session=b84ea4d6-148d-4b30-ab89-554eca78979f
* ID: Uploaded
* Email: mfreeman7457@msn.com
* Vehicle Color/Make/Model: Blk 2021 Ford F150
* ETA: 4:00 PM
* Acknowledgment: ✓</t>
  </si>
  <si>
    <t>2026-03-17 18:09:47</t>
  </si>
  <si>
    <t>5562841977</t>
  </si>
  <si>
    <t>2026-03-17 18:40:14</t>
  </si>
  <si>
    <t>6647348186</t>
  </si>
  <si>
    <t>2026-03-17 18:53:55</t>
  </si>
  <si>
    <t>5373013155</t>
  </si>
  <si>
    <t>2026-03-17 19:14:11</t>
  </si>
  <si>
    <t>Lee Noble completed the Adventure Inn Registration Card mini app: https://sys.akia.ai/mapp/fb4a2fc8-dd4c-4576-a3ce-ca766732045d?session=c14fe41a-f19a-4d16-9535-99714eb7160b
* ID: Uploaded
* Email: lee@nobleville.com
* Vehicle Color/Make/Model: White Acura MDX
* ETA: 8:00 PM
* Acknowledgment: ✓, Lee Noble completed the Adventure Inn Registration Card mini app: https://sys.akia.ai/mapp/fb4a2fc8-dd4c-4576-a3ce-ca766732045d?session=c14fe41a-f19a-4d16-9535-99714eb7160b
* ID: Uploaded
* Email: lee@nobleville.com
* Vehicle Color/Make/Model: White Acura MDX
* ETA: 8:00 PM
* Acknowledgment: ✓</t>
  </si>
  <si>
    <t>6647334789</t>
  </si>
  <si>
    <t>2026-03-17 19:27:44</t>
  </si>
  <si>
    <t>Mary Good completed the Adventure Inn Registration Card mini app: https://sys.akia.ai/mapp/0b346183-fa6a-4f97-a4b9-320ebbd69ea5?session=6ffe8707-8568-4392-8fe0-97ceb333d5dd
* ID: Uploaded
* Email: mlgood@hotmail.com
* Vehicle Color/Make/Model: Pearl/Toyota Highlander/2025
* ETA: 7:30 PM
* Acknowledgment: ✓</t>
  </si>
  <si>
    <t>2026-03-17 20:56:39</t>
  </si>
  <si>
    <t>Thailia Stallings completed the Adventure Inn Registration Card mini app: https://sys.akia.ai/mapp/ff054502-a04a-4331-bc6b-9c8703bc3191?session=fc9ecb3d-f23d-47aa-b4fd-16f85ca817e8
* ID: Uploaded
* Email: thailiastallings6@gmail.com
* Vehicle Color/Make/Model: Red Honda accord sport 2020
* ETA: 11:00 PM
* Acknowledgment: ✓</t>
  </si>
  <si>
    <t>HMZRACX4YZ</t>
  </si>
  <si>
    <t>2026-03-17 21:13:53</t>
  </si>
  <si>
    <t>HMYT8FXBNX</t>
  </si>
  <si>
    <t>2026-03-17 22:05:29</t>
  </si>
  <si>
    <t>2026-03-17 23:34:16</t>
  </si>
  <si>
    <t>2026-03-18 01:49:02</t>
  </si>
  <si>
    <t>2417743550</t>
  </si>
  <si>
    <t>2026-03-18 02:05:40</t>
  </si>
  <si>
    <t>2026-03-18 02:33:58</t>
  </si>
  <si>
    <t>Phil Trujillo completed the Adventure Inn Registration Card mini app: https://sys.akia.ai/mapp/e30fad50-01c2-4f2b-a99b-6d3fa8e2a1a2?session=74fc4fde-868b-4bac-a86c-d18ffc94e184
* ID: Uploaded
* Email: philandamyt@msn.com
* Vehicle Color/Make/Model: Silver Volvo XC90
* ETA: 4:00 PM
* Acknowledgment: ✓</t>
  </si>
  <si>
    <t>2026-03-18 02:41:23</t>
  </si>
  <si>
    <t>HMRD3K3RNT</t>
  </si>
  <si>
    <t>2026-03-18 02:41:35</t>
  </si>
  <si>
    <t>Hillary Frankowiak completed the Adventure Inn Registration Card mini app: https://sys.akia.ai/mapp/23251a5b-0302-4e2b-b3dd-c6c712fc4739?session=94a6f167-4b7b-4d3f-9955-720dd7f98a0b
* ID: Uploaded
* Email: hpfrankowiak@gmail.com
* Vehicle Color/Make/Model: Gray/ Jeep/ Renegade 
* ETA: 4:00 PM
* Acknowledgment: ✓</t>
  </si>
  <si>
    <t>2026-03-18 03:27:08</t>
  </si>
  <si>
    <t>Nicholas Parks completed the Adventure Inn Registration Card mini app: https://sys.akia.ai/mapp/472ea518-d8e9-447d-9d23-67c7bc3d3070?session=1ae4ef32-fd15-42ad-b350-ea1bd9d99222
* ID: Uploaded
* Email: nickjparks02@gmail.com
* Vehicle Color/Make/Model: Space gray Nissan rogue 
* ETA: 4:00 PM
* Acknowledgment: ✓</t>
  </si>
  <si>
    <t>2418086860</t>
  </si>
  <si>
    <t>2026-03-18 14:43:14</t>
  </si>
  <si>
    <t>Ashley Lecholat completed the Adventure Inn Registration Card mini app: https://sys.akia.ai/mapp/64802a52-61ae-45ae-ad7b-cac9dab0b514?session=70df8420-7101-4900-8cb5-1ec10b5814e6
* ID: Uploaded
* Email: lecholata@gmail.com
* Vehicle Color/Make/Model: Grey Lexus GS
* ETA: 4:00 PM
* Acknowledgment: ✓</t>
  </si>
  <si>
    <t>2418086861</t>
  </si>
  <si>
    <t>2026-03-18 14:43:23</t>
  </si>
  <si>
    <t>2418130073</t>
  </si>
  <si>
    <t>2026-03-18 15:43:12</t>
  </si>
  <si>
    <t>Rachel Caselton completed the Adventure Inn Registration Card mini app: https://sys.akia.ai/mapp/7044e9ae-ec87-4320-a8d9-508007398358?session=4dfe4448-ac2c-4043-b38d-a48ffd2934d0
* ID: Uploaded
* Email: rachel.caselton@gmail.com
* Vehicle Color/Make/Model: Gray Nissan Rogue 
* ETA: 4:00 PM
* Acknowledgment: ✓</t>
  </si>
  <si>
    <t>2418130580</t>
  </si>
  <si>
    <t>2026-03-18 15:43:56</t>
  </si>
  <si>
    <t>Monica Quinones completed the Adventure Inn Registration Card mini app: https://sys.akia.ai/mapp/6c79f69b-7ffa-4ccc-986c-b1d0cc7f689c?session=c1d29484-cd87-478b-9b78-31bee54ed9aa
* ID: Uploaded
* Email: moralesmoni2002@gmail.com
* Vehicle Color/Make/Model: Gray/Chevrolet/Equinox
* ETA: 3:00 PM
* Acknowledgment: ✓</t>
  </si>
  <si>
    <t>2026-03-18 16:15:13</t>
  </si>
  <si>
    <t>2418211927</t>
  </si>
  <si>
    <t>2026-03-18 17:38:21</t>
  </si>
  <si>
    <t>Stephen C. Williams completed the Adventure Inn Registration Card mini app: https://sys.akia.ai/mapp/85ae68e0-4c19-483c-ac18-524793191352?session=05a9d2ee-b3eb-4021-88c4-f9d82fdf08bb
* ID: Uploaded
* Email: scwiv@aol.com
* Vehicle Color/Make/Model: Grey Cadillac CT4
* ETA: 5:00 PM
* Acknowledgment: ✓</t>
  </si>
  <si>
    <t>2026-03-18 18:56:12</t>
  </si>
  <si>
    <t>Lisandro Robles completed the Adventure Inn Registration Card mini app: https://sys.akia.ai/mapp/07707be7-b3e8-4118-9d85-6f4e4ed6d2ad?session=6dbdcc01-98a2-466c-8c9f-4261aa513f35
* ID: Uploaded
* Email: lisandrorobles1234@gmail.com
* Vehicle Color/Make/Model: Black Kia Forte GT
* ETA: 9:00 PM
* Acknowledgment: ✓</t>
  </si>
  <si>
    <t>2026-03-18 20:12:57</t>
  </si>
  <si>
    <t>Thailia Stallings completed the Adventure Inn Registration Card mini app: https://sys.akia.ai/mapp/262a4c13-c304-4a5c-9859-89a042e90bbd?session=763fda54-6c23-4e5d-88b3-571fa240dd6a
* ID: Uploaded
* Email: thailiastallings6@gmail.com
* Vehicle Color/Make/Model: Red Honda accord sport 2020
* ETA: 3:00 PM
* Acknowledgment: ✓</t>
  </si>
  <si>
    <t>2418314202</t>
  </si>
  <si>
    <t>2026-03-18 20:16:32</t>
  </si>
  <si>
    <t>2026-03-18 21:19:27</t>
  </si>
  <si>
    <t>Marla Smith completed the Adventure Inn Registration Card mini app: https://sys.akia.ai/mapp/039e63c5-156b-4040-bf16-3478a1e6aa05?session=a939b9a0-6f84-4af9-94f1-47425f31457d
* ID: Uploaded
* Email: mg216wi@gmail.com
* Vehicle Color/Make/Model: rental
* ETA: 4:00 PM
* Acknowledgment: ✓</t>
  </si>
  <si>
    <t>2026-03-18 22:31:45</t>
  </si>
  <si>
    <t>2418461646</t>
  </si>
  <si>
    <t>2026-03-19 00:10:40</t>
  </si>
  <si>
    <t>Sara Bracken completed the Adventure Inn Registration Card mini app: https://sys.akia.ai/mapp/8bdeccfe-45e9-4012-841c-a74e4a206fe8?session=c3514092-5a25-4ec1-9410-94e04ef05a48
* ID: Uploaded
* Email: sarasnewemail@yahoo.com
* Vehicle Color/Make/Model: White/chevy/blazer
* ETA: 4:00 PM
* Acknowledgment: ✓</t>
  </si>
  <si>
    <t>2418461648</t>
  </si>
  <si>
    <t>2026-03-19 00:10:44</t>
  </si>
  <si>
    <t>2418502898</t>
  </si>
  <si>
    <t>2026-03-19 01:14:40</t>
  </si>
  <si>
    <t>Loretta Krieves completed the Adventure Inn Registration Card mini app: https://sys.akia.ai/mapp/98c01817-3946-43fa-9932-eacce2657104?session=b9294f13-8d4d-466d-8f2d-3d0d346e0fcb
* ID: Uploaded
* Email: lorettakrieves@yahoo.com
* Vehicle Color/Make/Model: White/ford/explorer
* ETA: 4:25 PM
* Acknowledgment: ✓</t>
  </si>
  <si>
    <t>2418516292</t>
  </si>
  <si>
    <t>2026-03-19 01:35:26</t>
  </si>
  <si>
    <t>103 (STK), 104 (STK)</t>
  </si>
  <si>
    <t>2026-03-19 03:02:20</t>
  </si>
  <si>
    <t>5702116975</t>
  </si>
  <si>
    <t>2026-03-19 03:14:58</t>
  </si>
  <si>
    <t>6334641101</t>
  </si>
  <si>
    <t>2026-03-19 18:06:00</t>
  </si>
  <si>
    <t>Lateecya Jiron completed the Adventure Inn Registration Card mini app: https://sys.akia.ai/mapp/eb3df200-cdb8-4f81-b93c-a18542c67786?session=74f5dde9-a4ae-4917-9a95-2a722e7f171c
* ID: Uploaded
* Email: lateecya02@gmail.com
* Vehicle Color/Make/Model: White Toyota Corolla
* ETA: 8:00 PM
* Acknowledgment: ✓</t>
  </si>
  <si>
    <t>2026-03-19 18:15:15</t>
  </si>
  <si>
    <t>2026-03-19 18:51:54</t>
  </si>
  <si>
    <t>Leigh Talley completed the Adventure Inn Registration Card mini app: https://sys.akia.ai/mapp/55fe4baf-6c39-4905-a81f-208bc91d69b2?session=40fe3575-09e7-433b-98fd-80db1ac25693
* ID: Uploaded
* Email: Leightalley96@gmail.com
* Vehicle Color/Make/Model: Red Toyota 4 Runner
* ETA: 2:00 PM
* Acknowledgment: ✓, Guest was Local, We do not rent to Local-JF</t>
  </si>
  <si>
    <t>5394795652</t>
  </si>
  <si>
    <t>2026-03-19 19:22:51</t>
  </si>
  <si>
    <t>Richard Short completed the Adventure Inn Registration Card mini app: https://sys.akia.ai/mapp/7ef285af-e7ef-4bbd-9268-d8b8afe48651?session=9a77ef12-6194-47fa-8f9f-26eb2415d344
* ID: Uploaded
* Email: lilbone1997@gmail.com
* Vehicle Color/Make/Model: Black/Harley davidson/ flh
* ETA: 4:00 PM
* Acknowledgment: ✓</t>
  </si>
  <si>
    <t>2419130216</t>
  </si>
  <si>
    <t>2026-03-19 20:55:27</t>
  </si>
  <si>
    <t>Charge 104.61 for expedia card and additional $57.33 on new card for upgrade-JF</t>
  </si>
  <si>
    <t>2419176887</t>
  </si>
  <si>
    <t>2026-03-19 22:10:28</t>
  </si>
  <si>
    <t>2026-03-19 22:33:46</t>
  </si>
  <si>
    <t>Dakota Mooney completed the Adventure Inn Registration Card mini app: https://sys.akia.ai/mapp/c92d1dfd-bad4-47b1-b307-14f1250b3637?session=aaf2031c-87c0-4377-a904-9c3ea7046e6a
* ID: Uploaded
* Email: 5pindownhill@gmail.com
* Vehicle Color/Make/Model: Red subaru ascent 
* ETA: 5:00 PM
* Acknowledgment: ✓</t>
  </si>
  <si>
    <t>2419223650</t>
  </si>
  <si>
    <t>2026-03-19 23:29:48</t>
  </si>
  <si>
    <t>2026-03-19 23:48:06</t>
  </si>
  <si>
    <t>2026-03-20 00:46:08</t>
  </si>
  <si>
    <t>Christopher Copeland completed the Adventure Inn Registration Card mini app: https://sys.akia.ai/mapp/f227cfd9-1644-42b5-9455-9c8882681948?session=a0251e17-8dc5-4e7d-a5de-19d2aab4c65c
* ID: Uploaded
* Email: christophercopeland.e@gmail.com
* Vehicle Color/Make/Model: Blue Toyota Landcruiser
* ETA: 4:00 PM
* Acknowledgment: ✓</t>
  </si>
  <si>
    <t>2419291250</t>
  </si>
  <si>
    <t>2026-03-20 01:24:30</t>
  </si>
  <si>
    <t>Connor Smith completed the Adventure Inn Registration Card mini app: https://sys.akia.ai/mapp/40cc05c0-d640-4214-a1ee-c22f0972d364?session=b9e8b293-5aa0-42f8-9c78-7837a16c00ca
* ID: Uploaded
* Email: cjsmith7417@hotmail.com
* Vehicle Color/Make/Model: Silver Honda hrv
* ETA: 9:30 PM
* Acknowledgment: ✓</t>
  </si>
  <si>
    <t>2419368380</t>
  </si>
  <si>
    <t>2026-03-20 03:41:01</t>
  </si>
  <si>
    <t>2026-03-20 04:07:31</t>
  </si>
  <si>
    <t>2419678758</t>
  </si>
  <si>
    <t>2026-03-20 15:28:42</t>
  </si>
  <si>
    <t>2419716837</t>
  </si>
  <si>
    <t>2026-03-20 16:22:07</t>
  </si>
  <si>
    <t>2419878620</t>
  </si>
  <si>
    <t>2026-03-20 20:32:27</t>
  </si>
  <si>
    <t>Chania Dunham completed the Adventure Inn Registration Card mini app: https://sys.akia.ai/mapp/a76edc9e-a6cd-4fd0-b687-55e2a8e288c4?session=5c12d134-f1ce-4be3-8d51-34fcfed35302
* ID: Uploaded
* Email: chaniadunham97@gmail.com
* Vehicle Color/Make/Model: White Cadillac SRX
* ETA: 4:00 PM
* Acknowledgment: ✓</t>
  </si>
  <si>
    <t>2419882436</t>
  </si>
  <si>
    <t>2026-03-20 20:38:28</t>
  </si>
  <si>
    <t>2026-03-20 22:31:15</t>
  </si>
  <si>
    <t>5669680854</t>
  </si>
  <si>
    <t>2026-03-21 00:44:40</t>
  </si>
  <si>
    <t>6293692017</t>
  </si>
  <si>
    <t>2026-03-21 03:17:26</t>
  </si>
  <si>
    <t>Joan Arreola completed the Adventure Inn Registration Card mini app: https://sys.akia.ai/mapp/a93a1d72-588a-4d67-8125-043a0aaf49c0?session=9587e4ba-db04-419d-8a31-da0afe26f550
* ID: Uploaded
* Email: samirarreola18@gmail.vom
* Vehicle Color/Make/Model: Negro
* ETA: 4:00 PM
* Acknowledgment: ✓</t>
  </si>
  <si>
    <t>2026-03-21 10:09:19</t>
  </si>
  <si>
    <t>Bella Lopez completed the Adventure Inn Registration Card mini app: https://sys.akia.ai/mapp/ffdda365-69bf-4d9b-98e0-f56b032838dc?session=ccea4b28-0f3d-4e5d-a96a-d0ebeddc201d
* ID: Uploaded
* Email: bellalopez9831@gmail.com
* Vehicle Color/Make/Model: White Toyota Rav4
* ETA: 4:00 PM
* Acknowledgment: ✓</t>
  </si>
  <si>
    <t>2420309032</t>
  </si>
  <si>
    <t>2026-03-21 14:16:07</t>
  </si>
  <si>
    <t>2420315426</t>
  </si>
  <si>
    <t>2026-03-21 14:29:17</t>
  </si>
  <si>
    <t>2026-03-21 16:19:23</t>
  </si>
  <si>
    <t>2420498741</t>
  </si>
  <si>
    <t>2026-03-21 20:09:16</t>
  </si>
  <si>
    <t>HMBQM5CPDM</t>
  </si>
  <si>
    <t>2026-03-21 20:52:40</t>
  </si>
  <si>
    <t>Jaden Hughes completed the Adventure Inn Registration Card mini app: https://sys.akia.ai/mapp/fabd5493-d1c5-42d7-b786-2569df902c1b?session=8546c0db-ccea-4be5-a8f2-257a3bdd992b
* ID: Uploaded
* Email: jaden.christine29@gmail.com
* Vehicle Color/Make/Model: Grey Acura Mdx Aspec
* ETA: 7:00 PM
* Acknowledgment: ✓</t>
  </si>
  <si>
    <t>2420600931</t>
  </si>
  <si>
    <t>2026-03-21 23:24:50</t>
  </si>
  <si>
    <t>Sarah Wheeler completed the Adventure Inn Registration Card mini app: https://sys.akia.ai/mapp/73eb77ca-0100-40ee-a7ab-251dd9af7b8f?session=eb085207-7640-44ab-a0cd-25ab22c51f82
* ID: Uploaded
* Email: sarahwheeler726@gmail.com
* Vehicle Color/Make/Model: Black Subaru Outback
* ETA: 5:45 PM
* Acknowledgment: ✓</t>
  </si>
  <si>
    <t>2026-03-22 00:40:00</t>
  </si>
  <si>
    <t>Sam Chamberlin completed the Adventure Inn Registration Card mini app: https://sys.akia.ai/mapp/9cef6695-16e9-4aa7-9332-a2e12382f960?session=5b7a4f3a-8a0e-4d50-b1b1-92c41436f9c4
* ID: Uploaded
* Email: samchamberlin@gmail.com
* Vehicle Color/Make/Model: Black GMC Sierra
* ETA: 6:50 PM
* Acknowledgment: ✓</t>
  </si>
  <si>
    <t>2420660965</t>
  </si>
  <si>
    <t>2026-03-22 01:27:51</t>
  </si>
  <si>
    <t>Insufficent funds!</t>
  </si>
  <si>
    <t>2420667670</t>
  </si>
  <si>
    <t>2026-03-22 01:41:55</t>
  </si>
  <si>
    <t>6814994358</t>
  </si>
  <si>
    <t>2026-03-22 04:22:27</t>
  </si>
  <si>
    <t>6787900876</t>
  </si>
  <si>
    <t>2026-03-22 10:03:27</t>
  </si>
  <si>
    <t>5445715045</t>
  </si>
  <si>
    <t>2026-03-22 11:16:59</t>
  </si>
  <si>
    <t>Natalie Kennedy completed the Adventure Inn Registration Card mini app: https://sys.akia.ai/mapp/6ce08553-729b-4579-93b5-2c5fa738966a?session=87f7a394-3ba4-4a82-aa8e-15418edc4bca
* ID: Uploaded
* Email: natalie_halphen@yahoo.com
* Vehicle Color/Make/Model: Red/Toyota/corolla cross
* ETA: 2:00 PM
* Acknowledgment: ✓</t>
  </si>
  <si>
    <t>HMY9NN4AYW</t>
  </si>
  <si>
    <t>2026-03-22 13:34:24</t>
  </si>
  <si>
    <t>Steve Lankenau completed the Adventure Inn Registration Card mini app: https://sys.akia.ai/mapp/28d6d30b-122d-4e2f-a219-cd97276b9bc2?session=abe41c23-95bf-4b37-9b2e-7cc9a843fbf2
* ID: Uploaded
* Email: lankenau.steve1@gmail.com
* Vehicle Color/Make/Model: White Jeep Grand Cherokee
* ETA: 6:00 PM
* Acknowledgment: ✓</t>
  </si>
  <si>
    <t>2420993063</t>
  </si>
  <si>
    <t>2026-03-22 16:58:16</t>
  </si>
  <si>
    <t>2026-03-22 18:43:08</t>
  </si>
  <si>
    <t>HMXWYPSHJ2</t>
  </si>
  <si>
    <t>2026-03-22 18:43:55</t>
  </si>
  <si>
    <t>Erin Southworth completed the Adventure Inn Registration Card mini app: https://sys.akia.ai/mapp/9bea01a3-80e9-436f-88b7-647cc5e52ef9?session=cf6fa4a0-973b-436e-9936-6c00f021689b
* ID: Uploaded
* Email: erinsouth24@gmail.com
* Vehicle Color/Make/Model: Silver Hyundai Palisade 
* ETA: 4:00 PM
* Acknowledgment: ✓</t>
  </si>
  <si>
    <t>2026-06-17</t>
  </si>
  <si>
    <t>6946418104</t>
  </si>
  <si>
    <t>2026-03-22 19:41:36</t>
  </si>
  <si>
    <t>Rebecca Hall completed the Adventure Inn Registration Card mini app: https://sys.akia.ai/mapp/d5b163d0-4619-48f5-8630-80b7724d8b22?session=02f55116-8c10-40e7-82ac-4caf5ba78384
* ID: Uploaded
* Email: bghall2001@gmail.com
* Vehicle Color/Make/Model: Black/jeep/wrangler 
* ETA: 9:00 PM
* Acknowledgment: ✓</t>
  </si>
  <si>
    <t>2421124652</t>
  </si>
  <si>
    <t>2026-03-22 20:36:47</t>
  </si>
  <si>
    <t>2026-05-12</t>
  </si>
  <si>
    <t>2421129764</t>
  </si>
  <si>
    <t>2026-03-22 20:44:46</t>
  </si>
  <si>
    <t>Alexandre Caron completed the Adventure Inn Registration Card mini app: https://sys.akia.ai/mapp/ecb7841d-52d9-4f95-9271-cf3b2b2f73f5?session=a049d1a3-aa9d-4764-89b2-6af9f0b1a943
* ID: Uploaded
* Email: alexcaron1@gmail.com
* Vehicle Color/Make/Model: Silver/Volkswagen/taos
* ETA: 5:00 PM
* Acknowledgment: ✓</t>
  </si>
  <si>
    <t>2026-03-22 21:56:24</t>
  </si>
  <si>
    <t>Jake Jaraczeski completed the Adventure Inn Registration Card mini app: https://sys.akia.ai/mapp/8f0d20bf-8623-4319-9d71-3dee232ca19a?session=ad714872-80ca-4fb1-aaf7-0107e2615c48
* ID: Uploaded
* Email: jjaracz89@gmail.com
* Vehicle Color/Make/Model: Toyota Tundra Red
* ETA: 12:00 PM
* Acknowledgment: ✓, 1 pm check in</t>
  </si>
  <si>
    <t>2421181169</t>
  </si>
  <si>
    <t>2026-03-22 22:08:37</t>
  </si>
  <si>
    <t>2026-03-22 23:06:23</t>
  </si>
  <si>
    <t>2421346978</t>
  </si>
  <si>
    <t>2026-03-23 02:55:56</t>
  </si>
  <si>
    <t>Russell Shumaker completed the Adventure Inn Registration Card mini app: https://sys.akia.ai/mapp/925a337b-5339-4339-a5b9-6ce8691d6089?session=61c284e8-1f18-4f77-83c1-66cd729feb82
* ID: Uploaded
* Email: russellshumaker@yahoo.com
* Vehicle Color/Make/Model: Black GMC Sierra 
* ETA: 4:00 PM
* Acknowledgment: ✓</t>
  </si>
  <si>
    <t>2421441186</t>
  </si>
  <si>
    <t>2026-03-23 07:13:16</t>
  </si>
  <si>
    <t>6706747366</t>
  </si>
  <si>
    <t>2026-03-23 14:47:24</t>
  </si>
  <si>
    <t>5225987855</t>
  </si>
  <si>
    <t>2026-03-23 18:22:27</t>
  </si>
  <si>
    <t>2026-03-23 18:34:09</t>
  </si>
  <si>
    <t>2026-04-15</t>
  </si>
  <si>
    <t>2421826778</t>
  </si>
  <si>
    <t>2026-03-23 18:40:50</t>
  </si>
  <si>
    <t>6909651775</t>
  </si>
  <si>
    <t>2026-03-23 20:21:02</t>
  </si>
  <si>
    <t>2421905488</t>
  </si>
  <si>
    <t>2026-03-23 20:32:09</t>
  </si>
  <si>
    <t>2421909763</t>
  </si>
  <si>
    <t>2026-03-23 20:38:14</t>
  </si>
  <si>
    <t>Dennis Kidd completed the Adventure Inn Registration Card mini app: https://sys.akia.ai/mapp/4c0e229d-9a02-484f-9370-795ef4877bf1?session=5f8c6b90-9e88-4d37-a5ed-96983a0230eb
* ID: Uploaded
* Email: dkidd99@gmail.com
* Vehicle Color/Make/Model: Not sure yet
* ETA: 4:00 PM
* Acknowledgment: ✓</t>
  </si>
  <si>
    <t>5548257320</t>
  </si>
  <si>
    <t>2026-03-23 22:38:34</t>
  </si>
  <si>
    <t>HMZREXBTBJ</t>
  </si>
  <si>
    <t>2026-03-24 00:12:32</t>
  </si>
  <si>
    <t>Florentino Quinonez completed the Adventure Inn Registration Card mini app: https://sys.akia.ai/mapp/78a79a90-4c4f-4f70-a5ca-3687558136ae?session=8c3d4b04-5191-4b50-84c1-793d2acd1932
* ID: Uploaded
* Email: quinonez4452@yahoo.com
* Vehicle Color/Make/Model: Silver Chevy Silverado 
* ETA: 5:00 PM
* Acknowledgment: ✓</t>
  </si>
  <si>
    <t>2422050920</t>
  </si>
  <si>
    <t>2026-03-24 00:20:01</t>
  </si>
  <si>
    <t>6909685858</t>
  </si>
  <si>
    <t>2026-03-24 02:07:13</t>
  </si>
  <si>
    <t>Charles Shields completed the Adventure Inn Registration Card mini app: https://sys.akia.ai/mapp/06cf05ae-3863-4b08-8f71-867a94179c1b?session=28aba819-ebeb-48d1-b89f-0c7d830c0821
* ID: Uploaded
* Email: charlz.shields@gmail.com
* Vehicle Color/Make/Model: Grey Ford Escape
* ETA: 8:35 PM
* Acknowledgment: ✓</t>
  </si>
  <si>
    <t>2422169780</t>
  </si>
  <si>
    <t>2026-03-24 03:40:39</t>
  </si>
  <si>
    <t>2026-03-24 04:00:21</t>
  </si>
  <si>
    <t>Jordan Shelton completed the Adventure Inn Registration Card mini app: https://sys.akia.ai/mapp/292ba1af-0423-4a61-adb3-cb8f0a5eba9a?session=4ab6c9c0-119c-4066-afa6-aa88beb4af67
* ID: Uploaded
* Email: jordanbshelton@gmail.com
* Vehicle Color/Make/Model: White Mazda CX6
* ETA: 1:00 PM
* Acknowledgment: ✓, Jordan Shelton completed the Adventure Inn Registration Card mini app: https://sys.akia.ai/mapp/292ba1af-0423-4a61-adb3-cb8f0a5eba9a?session=4ab6c9c0-119c-4066-afa6-aa88beb4af67
* ID: Uploaded
* Email: jordanbshelton@gmail.com
* Vehicle Color/Make/Model: White Mazda CX6
* ETA: 1:00 PM
* Acknowledgment: ✓</t>
  </si>
  <si>
    <t>2422205159</t>
  </si>
  <si>
    <t>2026-03-24 05:06:51</t>
  </si>
  <si>
    <t>Edwin Whitesinger completed the Adventure Inn Registration Card mini app: https://sys.akia.ai/mapp/29e653e5-e557-4fc1-a761-f953da0cdf9b?session=ec002aab-4a09-44b4-9a9b-35677c5b21fb
* ID: Uploaded
* Email: ewhitesinger@yahoo.com
* Vehicle Color/Make/Model: Grey Dodge Journey
* ETA: 4:00 PM
* Acknowledgment: ✓</t>
  </si>
  <si>
    <t>5704376051</t>
  </si>
  <si>
    <t>2026-03-24 09:29:18</t>
  </si>
  <si>
    <t>5068686804</t>
  </si>
  <si>
    <t>2026-03-24 16:22:23</t>
  </si>
  <si>
    <t>2026-03-24 17:48:49</t>
  </si>
  <si>
    <t>2422759909</t>
  </si>
  <si>
    <t>2026-03-24 22:16:38</t>
  </si>
  <si>
    <t>2422762935</t>
  </si>
  <si>
    <t>2026-03-24 22:21:47</t>
  </si>
  <si>
    <t>Bianca Fortin completed the Adventure Inn Registration Card mini app: https://sys.akia.ai/mapp/6c27bfe3-f799-43c5-8390-fbcc7c7a401e?session=7f587a36-aba3-4ba9-b6d4-cc06b2e1d1d1
* ID: Uploaded
* Email: bianca.duplessis@yahoo.com
* Vehicle Color/Make/Model: Black Volvo S60 / FL plates FDPW57
* Acknowledgment: ✓</t>
  </si>
  <si>
    <t>2422824769</t>
  </si>
  <si>
    <t>2026-03-25 00:07:54</t>
  </si>
  <si>
    <t>Mark Wilde completed the Adventure Inn Registration Card mini app: https://sys.akia.ai/mapp/cedbe282-6409-462a-9110-df2422e8deb4?session=bc3973fa-6c0e-4284-9e1b-817e70a85741
* ID: Uploaded
* Email: mwilde116@gmail.com
* Vehicle Color/Make/Model: Blue honda civic
* ETA: 1:00 PM
* Acknowledgment: ✓</t>
  </si>
  <si>
    <t>6101344053</t>
  </si>
  <si>
    <t>2026-03-25 00:10:12</t>
  </si>
  <si>
    <t>2026-03-25 01:51:03</t>
  </si>
  <si>
    <t>2422889037</t>
  </si>
  <si>
    <t>2026-03-25 01:52:01</t>
  </si>
  <si>
    <t>Bijou Cates completed the Adventure Inn Registration Card mini app: https://sys.akia.ai/mapp/f6b9e74e-b565-45ae-9c91-fec3213c2177?session=8efd6a45-00cc-4e42-a13f-4987c5a4cd1a
* ID: Uploaded
* Email: bijou.cezanne@gmail.com
* Vehicle Color/Make/Model: White Toyota Camry 
* ETA: 3:30 PM
* Acknowledgment: ✓</t>
  </si>
  <si>
    <t>HMHDHXHXM9</t>
  </si>
  <si>
    <t>2026-03-25 11:43:09</t>
  </si>
  <si>
    <t>2026-03-25 13:44:53</t>
  </si>
  <si>
    <t>Kenneth Kamperman completed the Adventure Inn Registration Card mini app: https://sys.akia.ai/mapp/eb7ade34-2411-49d9-b336-0ba9dee84d5c?session=2442afb2-e935-4c53-8bee-7eb409330f5b
* ID: Uploaded
* Email: denverdigital@hotmail.com
* Vehicle Color/Make/Model: Red Chevy Silverado Trail Boss
* ETA: 4:00 PM
* Acknowledgment: ✓</t>
  </si>
  <si>
    <t>2026-03-25 17:06:54</t>
  </si>
  <si>
    <t>Glenn Fischer completed the Adventure Inn Registration Card mini app: https://sys.akia.ai/mapp/e38a7323-8138-422f-9f94-463205498fd3?session=afc37b5f-db39-447f-9e63-76f292b05cd2
* ID: Uploaded
* Email: lkborneman@yahoo.com
* Vehicle Color/Make/Model: Gray Lexus GX460
* ETA: 4:00 PM
* Acknowledgment: ✓</t>
  </si>
  <si>
    <t>2026-03-25 17:10:45</t>
  </si>
  <si>
    <t>2423371240</t>
  </si>
  <si>
    <t>2026-03-25 18:05:36</t>
  </si>
  <si>
    <t>2026-03-25 18:43:27</t>
  </si>
  <si>
    <t>2423400794</t>
  </si>
  <si>
    <t>2026-03-25 18:52:12</t>
  </si>
  <si>
    <t>Jason Hix completed the Adventure Inn Registration Card mini app: https://sys.akia.ai/mapp/7cb424fb-5139-4b96-b5e3-f0f26c191b7c?session=83e3e937-4de2-418c-8164-48907223a13e
* ID: Uploaded
* Email: jason.amtx@gmail.com
* Vehicle Color/Make/Model: 1989 VW Cabtiolet
* ETA: 10:30 PM
* Acknowledgment: ✓</t>
  </si>
  <si>
    <t>2423414473</t>
  </si>
  <si>
    <t>2026-03-25 19:13:44</t>
  </si>
  <si>
    <t>2423453794</t>
  </si>
  <si>
    <t>2026-03-25 20:13:58</t>
  </si>
  <si>
    <t>2026-03-25 21:56:43</t>
  </si>
  <si>
    <t>Randall Moorman completed the Adventure Inn Registration Card mini app: https://sys.akia.ai/mapp/6387dfd2-5ea4-476d-a83b-c7cb74a71017?session=37e05d28-66c9-4945-8e00-3e7aa385a012
* ID: Uploaded
* Email: randymoorman@gmail.com
* Vehicle Color/Make/Model: Black Kia EV6
* ETA: 8:00 PM
* Acknowledgment: ✓</t>
  </si>
  <si>
    <t>2423572327</t>
  </si>
  <si>
    <t>2026-03-25 23:27:52</t>
  </si>
  <si>
    <t>Bretton Luckow completed the Adventure Inn Registration Card mini app: https://sys.akia.ai/mapp/fece1772-81c8-4a2e-a2ba-ba67f036b1e1?session=2cb2a175-d701-476d-8f2a-5be693a89bfc
* ID: Uploaded
* Email: brettonluckow@gmail.com
* Vehicle Color/Make/Model: Terra Toyota Tundra
* ETA: 4:00 PM
* Acknowledgment: ✓</t>
  </si>
  <si>
    <t>2423644814</t>
  </si>
  <si>
    <t>2026-03-26 01:28:22</t>
  </si>
  <si>
    <t>HMS944JHKS</t>
  </si>
  <si>
    <t>2026-03-26 02:37:11</t>
  </si>
  <si>
    <t>2026-03-26 03:34:41</t>
  </si>
  <si>
    <t>6347536236</t>
  </si>
  <si>
    <t>2026-03-26 04:10:53</t>
  </si>
  <si>
    <t>Andrey Oleynikov completed the Adventure Inn Registration Card mini app: https://sys.akia.ai/mapp/e1525d56-1c8b-4311-98ff-5a363514ef9f?session=15cb032d-8a55-4fc7-85f5-7f5bdee8e8d0
* ID: Uploaded
* Email: duke.gh@gmail.com
* Vehicle Color/Make/Model: Gray VW Golf GTI
* ETA: 10:00 PM
* Acknowledgment: ✓</t>
  </si>
  <si>
    <t>2423843658</t>
  </si>
  <si>
    <t>2026-03-26 09:28:33</t>
  </si>
  <si>
    <t>2423961412</t>
  </si>
  <si>
    <t>2026-03-26 13:44:02</t>
  </si>
  <si>
    <t>Carolyn Cheek completed the Adventure Inn Registration Card mini app: https://sys.akia.ai/mapp/a3b40c27-2a23-4e76-a248-366755961162?session=f1b019e0-b143-4b1c-b531-ce375a6c942a
* ID: Uploaded
* Email: luv2gsons@gmail.com
* Vehicle Color/Make/Model: Dark grey 2025 Toyota RAV4
* ETA: 4:00 PM
* Acknowledgment: ✓</t>
  </si>
  <si>
    <t>2026-08-24</t>
  </si>
  <si>
    <t>2026-08-26</t>
  </si>
  <si>
    <t>2424016162</t>
  </si>
  <si>
    <t>2026-03-26 15:05:15</t>
  </si>
  <si>
    <t>2424016154</t>
  </si>
  <si>
    <t>2026-03-26 15:05:26</t>
  </si>
  <si>
    <t>5056625923</t>
  </si>
  <si>
    <t>2026-03-26 15:13:47</t>
  </si>
  <si>
    <t>Kendyl Vermeulen completed the Adventure Inn Registration Card mini app: https://sys.akia.ai/mapp/a6699e30-c2b8-451a-9c46-77b6a8d813cc?session=d1b014d0-87e6-4bef-ba4f-7b1dd738c31d
* ID: Uploaded
* Email: kendyl.vermeulen@gmail.com
* Vehicle Color/Make/Model: Black Nissan Murano
* ETA: 4:00 PM
* Acknowledgment: ✓</t>
  </si>
  <si>
    <t>HM4F5T4YQA</t>
  </si>
  <si>
    <t>2026-03-26 15:31:45</t>
  </si>
  <si>
    <t>Brandon Andersen completed the Adventure Inn Registration Card mini app: https://sys.akia.ai/mapp/fa03fcfe-40e8-4946-91e7-1596847f4bdf?session=00e0a3a2-f8f7-4a1c-83ff-b1522ca674bd
* ID: Uploaded
* Email: brandonandersen8@gmail.com
* Vehicle Color/Make/Model: Grey 2022 Toyota Tacoma 
* ETA: 4:00 PM
* Acknowledgment: ✓</t>
  </si>
  <si>
    <t>6092791918</t>
  </si>
  <si>
    <t>2026-03-26 15:50:15</t>
  </si>
  <si>
    <t>HMXZ5BDCFH</t>
  </si>
  <si>
    <t>2026-03-26 15:59:32</t>
  </si>
  <si>
    <t>Steve Thornton completed the Adventure Inn Registration Card mini app: https://sys.akia.ai/mapp/8ce4fb2e-3ce8-4b37-81a9-0e4b66fcdb13?session=b11ab196-748b-4dd7-9931-fa485f73fbd4
* ID: Uploaded
* Email: vernthornton@hotmail.com
* Vehicle Color/Make/Model: 2011 scion
* ETA: 4:00 PM
* Acknowledgment: ✓</t>
  </si>
  <si>
    <t>2424055380</t>
  </si>
  <si>
    <t>2026-03-26 16:01:16</t>
  </si>
  <si>
    <t>Denise Murphy completed the Adventure Inn Registration Card mini app: https://sys.akia.ai/mapp/2643ca69-a679-4a2e-bb63-2b17ce9297f5?session=32658ae5-686d-4c7c-82ff-4f5eff6cb4d8
* ID: Uploaded
* Email: talldoll@gmail.com
* Vehicle Color/Make/Model: Silver/Honda/Ridgeline
* ETA: 2:00 PM
* Acknowledgment: ✓</t>
  </si>
  <si>
    <t>2424065961</t>
  </si>
  <si>
    <t>2026-03-26 16:17:24</t>
  </si>
  <si>
    <t>2026-03-26 16:25:14</t>
  </si>
  <si>
    <t>Savannah Wellman completed the Adventure Inn Registration Card mini app: https://sys.akia.ai/mapp/ec16b223-cfc4-4da0-9627-cd3d60589e04?session=02d0bee2-3b98-4cf5-a616-f4522515b07f
* ID: Uploaded
* Email: swellman@pagosafire.com
* Vehicle Color/Make/Model: Green/Toyota/4runner 
* ETA: 5:30 PM
* Acknowledgment: ✓, Tax exempt # 09801042</t>
  </si>
  <si>
    <t>HMWXWAPTF5</t>
  </si>
  <si>
    <t>2026-03-26 16:27:21</t>
  </si>
  <si>
    <t>Jena Spahr completed the Adventure Inn Registration Card mini app: https://sys.akia.ai/mapp/02958417-cb12-42a6-8b9c-f03c91fade6d?session=5ba550e8-b9f7-4c38-853a-87880c7aba0a
* ID: Uploaded
* Email: jespahr@gmail.com
* Vehicle Color/Make/Model: Red GMC Sierra 
* ETA: 5:45 PM
* Acknowledgment: ✓</t>
  </si>
  <si>
    <t>206 (STK), 203 (STK), 108 (STK), 103 (STK), 110 (STQ), 106 (STQ), 112 (STQ), 104 (STK), 205 (STK), 114 (STK), 105 (DQ)</t>
  </si>
  <si>
    <t>Standard King, Standard Queen, Double Queen</t>
  </si>
  <si>
    <t>Direct Booking Discount 2026</t>
  </si>
  <si>
    <t>2026-03-26 16:33:24</t>
  </si>
  <si>
    <t>Debra Johnson completed the Adventure Inn Registration Card mini app: https://sys.akia.ai/mapp/7a3ec437-ce80-4338-965a-1cbe9818bcc9?session=4120501b-01de-4c0f-82c9-dba0067e41f0
* ID: Uploaded
* Email: bdebbiejohn@gmail.com
* Vehicle Color/Make/Model: Harley Road glide black
* ETA: 4:00 PM
* Acknowledgment: ✓</t>
  </si>
  <si>
    <t>2026-04-24</t>
  </si>
  <si>
    <t>5106156481</t>
  </si>
  <si>
    <t>2026-03-26 17:17:51</t>
  </si>
  <si>
    <t>Lisa Foster completed the Adventure Inn Registration Card mini app: https://sys.akia.ai/mapp/720b0724-0100-4c5c-9ed7-59907590839d?session=8baade66-de14-4814-a6e1-63dc9e96eed1
* ID: Uploaded
* Email: lisajmzy@gmail.com
* Vehicle Color/Make/Model: Silver Nissan Pathfinder 
* ETA: 4:00 PM
* Acknowledgment: ✓</t>
  </si>
  <si>
    <t>2424112304</t>
  </si>
  <si>
    <t>2026-03-26 17:24:58</t>
  </si>
  <si>
    <t>Geneva Chao completed the Adventure Inn Registration Card mini app: https://sys.akia.ai/mapp/39723211-360e-488f-a82c-6064414da0e5?session=c28de3e1-446b-43ac-889c-c7fcbb970856
* ID: Uploaded
* Email: genevachao@gmail.com
* Vehicle Color/Make/Model: Mits/mirage/copper
* ETA: 4:00 PM
* Acknowledgment: ✓</t>
  </si>
  <si>
    <t>2026-03-26 17:27:18</t>
  </si>
  <si>
    <t>3 pm checkin</t>
  </si>
  <si>
    <t>2026-03-26 17:31:38</t>
  </si>
  <si>
    <t>Glenn Tetrev completed the Adventure Inn Registration Card mini app: https://sys.akia.ai/mapp/e2247cec-779e-4c02-978a-d9da35de8760?session=ef7043bd-07c4-41a6-aeb6-db784e2bc0c1
* ID: Uploaded
* Email: gmtetrev@aol.com
* Vehicle Color/Make/Model: White Kia sorento
* ETA: 4:00 PM
* Acknowledgment: ✓, 3 pm checkin</t>
  </si>
  <si>
    <t>2026-03-26 19:38:19</t>
  </si>
  <si>
    <t>Samuel Van Gundy completed the Adventure Inn Registration Card mini app: https://sys.akia.ai/mapp/27aa5aed-5625-41aa-a53c-43d9fdf72f28?session=a153b0fe-ce0b-41a6-b23e-f315aa25a3df
* ID: Uploaded
* Email: Samvg1812@gmail.com
* Vehicle Color/Make/Model: Mazda CX-5 Gray
* ETA: 2:00 PM
* Acknowledgment: ✓</t>
  </si>
  <si>
    <t>2424238578</t>
  </si>
  <si>
    <t>2026-03-26 20:48:26</t>
  </si>
  <si>
    <t>Janelle Bongirno completed the Adventure Inn Registration Card mini app: https://sys.akia.ai/mapp/0e7f38bd-a772-445e-b67e-efa60bba6b66?session=f8b463e2-fcad-473c-adb8-f9b543970067
* ID: Uploaded
* Email: nellds1222@gmail.com
* Vehicle Color/Make/Model: Grey Subaru outback
* ETA: 4:00 PM
* Acknowledgment: ✓</t>
  </si>
  <si>
    <t>2424287823</t>
  </si>
  <si>
    <t>2026-03-26 22:11:06</t>
  </si>
  <si>
    <t>Rose Kilsdonk completed the Adventure Inn Registration Card mini app: https://sys.akia.ai/mapp/144a16a0-cf61-453e-9b8e-2d1743a3b8ee?session=b1a3859c-7d89-4ced-849d-e1dd9706fa37
* ID: Uploaded
* Email: rosekilsdonk@gmail.com
* Vehicle Color/Make/Model: Bronze/Tucson 
* ETA: 4:00 PM
* Acknowledgment: ✓</t>
  </si>
  <si>
    <t>2424371670</t>
  </si>
  <si>
    <t>2026-03-27 00:37:47</t>
  </si>
  <si>
    <t>Kristin Anderson completed the Adventure Inn Registration Card mini app: https://sys.akia.ai/mapp/7ce90d6a-f2bd-414f-a598-57a90f8a30fb?session=a6b589d4-4ff2-4e8c-a81c-90919dfb2b62
* ID: Uploaded
* Email: keaenn@hotmail.com
* Vehicle Color/Make/Model: White 2013 Subaru Outback
* ETA: 11:00 AM
* Acknowledgment: ✓</t>
  </si>
  <si>
    <t>2026-05-17</t>
  </si>
  <si>
    <t>2026-03-27 02:16:37</t>
  </si>
  <si>
    <t>2424441257</t>
  </si>
  <si>
    <t>2026-03-27 02:33:31</t>
  </si>
  <si>
    <t>Alexander Nieto completed the Adventure Inn Registration Card mini app: https://sys.akia.ai/mapp/39d9a872-0185-4b9e-9b5f-c369463a0683?session=0886e2dc-d02e-4e27-8374-8032acd847f5
* ID: Uploaded
* Email: alexnc369@gmail.com
* Vehicle Color/Make/Model: Rental. We don't know yet.
* ETA: 11:00 PM
* Acknowledgment: ✓</t>
  </si>
  <si>
    <t>2424490157</t>
  </si>
  <si>
    <t>2026-03-27 04:07:46</t>
  </si>
  <si>
    <t>Peggy Garrett completed the Adventure Inn Registration Card mini app: https://sys.akia.ai/mapp/113e7a0e-6f07-4292-9d7d-e8620a291b66?session=782b7255-3701-4757-838f-ca9a82e10321
* ID: Uploaded
* Email: peg758@yahoo.com
* Vehicle Color/Make/Model: White Dodge caravan
* ETA: 3:00 PM
* Acknowledgment: ✓</t>
  </si>
  <si>
    <t>2026-03-27 04:12:21</t>
  </si>
  <si>
    <t>2026-03-27 15:11:53</t>
  </si>
  <si>
    <t>2424781271</t>
  </si>
  <si>
    <t>2026-03-27 15:12:00</t>
  </si>
  <si>
    <t>2424817807</t>
  </si>
  <si>
    <t>2026-03-27 16:02:10</t>
  </si>
  <si>
    <t>2424839431</t>
  </si>
  <si>
    <t>2026-03-27 16:32:30</t>
  </si>
  <si>
    <t>Charles Brown completed the Adventure Inn Registration Card mini app: https://sys.akia.ai/mapp/dfe1cb24-4721-4648-b668-5bc27e57cf5e?session=226e54e0-9ced-42eb-835b-f0ce60917579
* ID: Uploaded
* Email: charlie.brown.ri@gmail.com
* Vehicle Color/Make/Model: VW passat silver
* ETA: 4:00 PM
* Acknowledgment: ✓, Charles Brown completed the Adventure Inn Registration Card mini app: https://sys.akia.ai/mapp/dfe1cb24-4721-4648-b668-5bc27e57cf5e?session=226e54e0-9ced-42eb-835b-f0ce60917579
* ID: Uploaded
* Email: charlie.brown.ri@gmail.com
* Vehicle Color/Make/Model: VW passat silver
* ETA: 4:00 PM
* Acknowledgment: ✓</t>
  </si>
  <si>
    <t>6998625347</t>
  </si>
  <si>
    <t>2026-03-27 18:51:19</t>
  </si>
  <si>
    <t>2026-03-27 19:27:45</t>
  </si>
  <si>
    <t>Amanda Gentile completed the Adventure Inn Registration Card mini app: https://sys.akia.ai/mapp/ca307d6f-6aa2-4643-9e55-40931b77cf6c?session=897bd8ac-876a-4bb5-a759-e99ac0cc04ab
* ID: Uploaded
* Email: agentile07@gmail.com
* Vehicle Color/Make/Model: Grey Toyota RAV4
* ETA: 7:00 PM
* Acknowledgment: ✓</t>
  </si>
  <si>
    <t>2026-03-27 22:20:59</t>
  </si>
  <si>
    <t>Loretta Lopez completed the Adventure Inn Registration Card mini app: https://sys.akia.ai/mapp/aa36d256-1717-4685-b74e-366117d885dd?session=4d9ddc4f-b7ab-4fdc-9526-6c6eeed0815e
* ID: Uploaded
* Email: grandmasolhouse@gmail.com
* Vehicle Color/Make/Model: White Lexus
* ETA: 4:00 PM
* Acknowledgment: ✓</t>
  </si>
  <si>
    <t>2026-03-27 22:35:30</t>
  </si>
  <si>
    <t>Donna Snow completed the Adventure Inn Registration Card mini app: https://sys.akia.ai/mapp/30b63d92-326d-4c19-b64f-5da7c8ad9e3a?session=3c80b6b8-1c78-4e48-8a3f-7d6a9605e5cc
* ID: Uploaded
* Email: dsnowy1@gmail.com
* Vehicle Color/Make/Model: Black Chevy Pickup 
* ETA: 4:00 PM
* Acknowledgment: ✓</t>
  </si>
  <si>
    <t>6200321820</t>
  </si>
  <si>
    <t>2026-03-27 22:40:50</t>
  </si>
  <si>
    <t>5176695617</t>
  </si>
  <si>
    <t>2026-03-27 22:59:18</t>
  </si>
  <si>
    <t>Lonnie Olsen completed the Adventure Inn Registration Card mini app: https://sys.akia.ai/mapp/5df960b8-f584-4611-82fb-3698505f1e80?session=3d95d5c6-2541-4cda-8457-aa383948f5dc
* ID: Uploaded
* Email: lonnie.j.olsen@gmail.com
* Vehicle Color/Make/Model: Unknown 
* ETA: 2:00 PM
* Acknowledgment: ✓</t>
  </si>
  <si>
    <t>2425104162</t>
  </si>
  <si>
    <t>2026-03-27 23:39:58</t>
  </si>
  <si>
    <t>Pete Rojas completed the Adventure Inn Registration Card mini app: https://sys.akia.ai/mapp/201228e6-e412-4771-8ba4-86833c7ced34?session=8503a655-5e05-4961-9451-f88c3244c1ea
* ID: Uploaded
* Email: pete_chris355@msn.com
* Vehicle Color/Make/Model: White Buick envision
* ETA: 4:00 PM
* Acknowledgment: ✓</t>
  </si>
  <si>
    <t>HMM2RRH4Y4</t>
  </si>
  <si>
    <t>2026-03-28 01:03:31</t>
  </si>
  <si>
    <t>Hannah Gundel completed the Adventure Inn Registration Card mini app: https://sys.akia.ai/mapp/623cca29-28f4-4052-b874-03dc3a33e456?session=5dc6d486-6f46-4a96-94b7-d95e6788aa90
* ID: Uploaded
* Email: gundelhannah@gmail.com
* Vehicle Color/Make/Model: White Mazda cx3 and Black Honda pilot 
* ETA: 4:00 PM
* Acknowledgment: ✓</t>
  </si>
  <si>
    <t>2026-03-28 01:58:52</t>
  </si>
  <si>
    <t>2026-03-28 03:29:00</t>
  </si>
  <si>
    <t>5476096430</t>
  </si>
  <si>
    <t>2026-03-28 04:24:50</t>
  </si>
  <si>
    <t>2425403454</t>
  </si>
  <si>
    <t>2026-03-28 13:20:30</t>
  </si>
  <si>
    <t>Vicki Bessey completed the Adventure Inn Registration Card mini app: https://sys.akia.ai/mapp/e5f14e1c-805c-423b-8a7c-93328b6c4ebc?session=9b5ded53-3a46-4040-8259-0892b4a5e6fa
* ID: Uploaded
* Email: besseyvicki@gmail.com
* Vehicle Color/Make/Model: White Kia sorento
* ETA: 12:46 PM
* Acknowledgment: ✓</t>
  </si>
  <si>
    <t>2026-03-28 13:58:11</t>
  </si>
  <si>
    <t>Daniel Smith completed the Adventure Inn Registration Card mini app: https://sys.akia.ai/mapp/93b7f624-3f6a-4923-b864-618455c8fcc6?session=8ad34c68-e5c1-4b1b-9499-3480838f845a
* ID: Uploaded
* Email: dsmith0116@yahoo.com
* Vehicle Color/Make/Model: Unknown-Rental Car
* ETA: 4:00 PM
* Acknowledgment: ✓, Kathryn Smith completed the Adventure Inn Registration Card mini app: https://sys.akia.ai/mapp/8cf85dd8-8735-485e-b20e-725b2c8f5d81?session=79e3e50f-d001-41a2-a9bf-92235e9b9ef8
* ID: Uploaded
* Email: tommiealex2010@yahoo.com
* Vehicle Color/Make/Model: Rental
* ETA: 4:00 PM
* Acknowledgment: ✓</t>
  </si>
  <si>
    <t>2425532140</t>
  </si>
  <si>
    <t>2026-03-28 17:23:34</t>
  </si>
  <si>
    <t>Kavya Chandrasekar completed the Adventure Inn Registration Card mini app: https://sys.akia.ai/mapp/57f21433-c365-41e8-abed-43131e727c6b?session=f8e99b18-25be-4c5f-a581-df69c51ff958
* ID: Uploaded
* Email: kavyac5555@gmail.com
* Vehicle Color/Make/Model: White/Nissan/Altima
* ETA: 6:00 PM
* Acknowledgment: ✓</t>
  </si>
  <si>
    <t>2026-04-25</t>
  </si>
  <si>
    <t>6226886350</t>
  </si>
  <si>
    <t>2026-03-28 18:34:18</t>
  </si>
  <si>
    <t>Hilary Traut completed the Adventure Inn Registration Card mini app: https://sys.akia.ai/mapp/3ef946d9-d598-4b30-b669-50c2a75d85c3?session=1c0033be-ffe3-4ab9-a18d-bd1f3c0af817
* ID: Uploaded
* Email: hilary.traut@gmail.com
* Vehicle Color/Make/Model: Silver/Subaru/Forester
* ETA: 4:00 PM
* Acknowledgment: ✓</t>
  </si>
  <si>
    <t>6040273066</t>
  </si>
  <si>
    <t>2026-03-28 19:40:04</t>
  </si>
  <si>
    <t>Misty Lucero completed the Adventure Inn Registration Card mini app: https://sys.akia.ai/mapp/b924a052-fb3c-4dc0-a8c7-0004afab7e5d?session=eb8167f8-bd04-4034-a32e-c5458962a4ff
* ID: Uploaded
* Email: mlucero78@hotmail.com
* Vehicle Color/Make/Model: White jeep wrangler 
* ETA: 4:00 PM
* Acknowledgment: ✓</t>
  </si>
  <si>
    <t>5832948832</t>
  </si>
  <si>
    <t>2026-03-28 20:15:26</t>
  </si>
  <si>
    <t>2425626341</t>
  </si>
  <si>
    <t>2026-03-28 20:17:22</t>
  </si>
  <si>
    <t>2425647066</t>
  </si>
  <si>
    <t>2026-03-28 20:56:04</t>
  </si>
  <si>
    <t>2425697389</t>
  </si>
  <si>
    <t>2026-03-28 22:32:18</t>
  </si>
  <si>
    <t>Anna Ramirez Altuzar completed the Adventure Inn Registration Card mini app: https://sys.akia.ai/mapp/337724da-fe2f-4fcd-be9a-6ff697b4cec5?session=795953db-12ca-4497-819f-e037a6f4e036
* ID: Uploaded
* Email: anna.j.ramirez@gmail.com
* Vehicle Color/Make/Model: Dark Gray Nissan Sentra
* ETA: 5:00 PM
* Acknowledgment: ✓</t>
  </si>
  <si>
    <t>6674856667</t>
  </si>
  <si>
    <t>2026-03-28 23:02:56</t>
  </si>
  <si>
    <t>2425750227</t>
  </si>
  <si>
    <t>2026-03-29 00:20:32</t>
  </si>
  <si>
    <t>2026-03-29 00:50:46</t>
  </si>
  <si>
    <t>2425848283</t>
  </si>
  <si>
    <t>2026-03-29 03:58:16</t>
  </si>
  <si>
    <t xml:space="preserve">Nikki Joe completed the Adventure Inn Registration Card mini app: https://sys.akia.ai/mapp/7e088ab3-694e-427b-aa3d-57aff1c7d8ef?session=07d4102d-13c6-4684-ab25-a2cf9c546c99
* ID: Uploaded
* Email: nikkijoe4545@gmail.com
* Vehicle Color/Make/Model: Black Jeep Cherokee </t>
  </si>
  <si>
    <t>2426159723</t>
  </si>
  <si>
    <t>2026-03-29 18:01:44</t>
  </si>
  <si>
    <t>Consuelo Trujillo completed the Adventure Inn Registration Card mini app: https://sys.akia.ai/mapp/010d5844-75b2-463c-b28c-6eb6e7ad0de6?session=47ee4c7f-2eb9-4ef4-a01b-3117308d25f0
* ID: Uploaded
* Email: ctruji32@gmail.com
* Vehicle Color/Make/Model: White Buick Encore
* ETA: 3:00 PM
* Acknowledgment: ✓</t>
  </si>
  <si>
    <t>2426192167</t>
  </si>
  <si>
    <t>2026-03-29 18:55:38</t>
  </si>
  <si>
    <t>Angela Weidman completed the Adventure Inn Registration Card mini app: https://sys.akia.ai/mapp/d3d9581b-615e-4614-b1b3-e6357bdc5f0a?session=eea7500a-63df-4b1b-8c63-99a718d4c69b
* ID: Uploaded
* Email: angiew1164@gmail.com
* Vehicle Color/Make/Model: White Subaru outback
* ETA: 4:00 PM
* Acknowledgment: ✓</t>
  </si>
  <si>
    <t>2426241731</t>
  </si>
  <si>
    <t>2026-03-29 20:16:18</t>
  </si>
  <si>
    <t>Leif Jacobsen completed the Adventure Inn Registration Card mini app: https://sys.akia.ai/mapp/4b2d405f-703b-46bb-87f8-cc7272ec1abc?session=98a3b32f-1f6b-40f1-bf92-a36ea87c09ab
* ID: Uploaded
* Email: leifhaakonj@gmail.com
* Vehicle Color/Make/Model: Silver/Lexus/is250
* ETA: 4:00 PM
* Acknowledgment: ✓</t>
  </si>
  <si>
    <t>2026-03-29 21:14:41</t>
  </si>
  <si>
    <t>Lisa Weiss completed the Adventure Inn Registration Card mini app: https://sys.akia.ai/mapp/a68d4fb3-7d21-4d91-8fbc-a9a8951e2045?session=bad6990b-e52c-4203-ad47-ce403ab90750
* ID: Uploaded
* Email: jlweiss2000@yahoo.com
* Vehicle Color/Make/Model: Black Ford Fusion
* ETA: 4:00 PM
* Acknowledgment: ✓</t>
  </si>
  <si>
    <t>5658304022</t>
  </si>
  <si>
    <t>2026-03-29 23:27:30</t>
  </si>
  <si>
    <t>6211913920</t>
  </si>
  <si>
    <t>2026-03-29 23:59:41</t>
  </si>
  <si>
    <t>2426405770</t>
  </si>
  <si>
    <t>2026-03-30 01:07:28</t>
  </si>
  <si>
    <t>Raymond Pope completed the Adventure Inn Registration Card mini app: https://sys.akia.ai/mapp/8da54277-42f9-4435-b352-a9f8e81499eb?session=6045759f-151f-4c78-9239-f2ce270ba177
* ID: Uploaded
* Email: rjspope@yahoo.com
* Vehicle Color/Make/Model: White Toyota Hilander
* ETA: 3:00 PM
* Acknowledgment: ✓, Raymond Pope completed the Adventure Inn Registration Card mini app: https://sys.akia.ai/mapp/8da54277-42f9-4435-b352-a9f8e81499eb?session=6045759f-151f-4c78-9239-f2ce270ba177
* ID: Uploaded
* Email: rjspope@yahoo.com
* Vehicle Color/Make/Model: White Toyota Hilander
* ETA: 3:00 PM
* Acknowledgment: ✓</t>
  </si>
  <si>
    <t>2026-03-30 01:31:43</t>
  </si>
  <si>
    <t>2426475316</t>
  </si>
  <si>
    <t>2026-03-30 03:16:04</t>
  </si>
  <si>
    <t>Bryan Osterloh completed the Adventure Inn Registration Card mini app: https://sys.akia.ai/mapp/5a6ae0a5-e9c4-4b2c-abf7-98e877e4afc7?session=bf279590-dca5-4aa7-a3a5-ce1d81612eb5
* ID: Uploaded
* Email: k5cf424wr4@privaterelay.appleid.com
* Vehicle Color/Make/Model: Dark green Toyota Sienna
* ETA: 5:00 PM
* Acknowledgment: ✓</t>
  </si>
  <si>
    <t>2426835329</t>
  </si>
  <si>
    <t>2026-03-30 15:49:34</t>
  </si>
  <si>
    <t>2426905304</t>
  </si>
  <si>
    <t>2026-03-30 17:26:19</t>
  </si>
  <si>
    <t>Jesse Redmond completed the Adventure Inn Registration Card mini app: https://sys.akia.ai/mapp/da55a064-d1a0-411b-8b28-7a849281d37b?session=9461ba57-2990-4eca-9aec-bd08eb340b78
* ID: Uploaded
* Email: jesse@thirdsectorinnovations.com
* Vehicle Color/Make/Model: Silver Hyundai Accent
* ETA: 4:30 PM
* Acknowledgment: ✓</t>
  </si>
  <si>
    <t>2426906252</t>
  </si>
  <si>
    <t>2026-03-30 17:27:44</t>
  </si>
  <si>
    <t>6638902298</t>
  </si>
  <si>
    <t>2026-03-30 20:53:25</t>
  </si>
  <si>
    <t>HMCHBDCYP8</t>
  </si>
  <si>
    <t>2026-03-30 21:39:18</t>
  </si>
  <si>
    <t>Colleen Morrison completed the Adventure Inn Registration Card mini app: https://sys.akia.ai/mapp/45295874-9307-4f5f-8173-8bf0f3ec6016?session=829affcf-6c9f-43d9-bf74-d6e467f56125
* ID: Uploaded
* Email: morrisonc@adams.edu
* Vehicle Color/Make/Model: Black/honda/crv
* ETA: 4:00 PM
* Acknowledgment: ✓</t>
  </si>
  <si>
    <t>2427085430</t>
  </si>
  <si>
    <t>2026-03-30 21:47:20</t>
  </si>
  <si>
    <t>Heather Miller completed the Adventure Inn Registration Card mini app: https://sys.akia.ai/mapp/cf9b2749-eab2-4048-bd24-e5ded8728a9a?session=99260cd7-4670-4bf9-8ace-83f0b550a590
* ID: Uploaded
* Email: h.lynnmiller@gmail.com
* Vehicle Color/Make/Model: Blue/BMW/330i
* ETA: 4:30 PM
* Acknowledgment: ✓</t>
  </si>
  <si>
    <t>2026-03-30 22:11:57</t>
  </si>
  <si>
    <t>Alizjah Wilson completed the Adventure Inn Registration Card mini app: https://sys.akia.ai/mapp/bcdb554d-849c-442c-aa7f-32b7636273a4?session=c99c5bc0-589a-45e8-8647-3f6493129d53
* ID: Uploaded
* Email: alizjahnaszhae@icloud.com
* Vehicle Color/Make/Model: Red Chevrolet Tahoe
* ETA: 4:00 PM
* Acknowledgment: ✓</t>
  </si>
  <si>
    <t>2427116907</t>
  </si>
  <si>
    <t>2026-03-30 22:40:14</t>
  </si>
  <si>
    <t>Brittany Ford completed the Adventure Inn Registration Card mini app: https://sys.akia.ai/mapp/33bfc1d6-8b24-48de-b421-1f36337b55b6?session=bd730b71-0cba-4684-aa78-fb6d24b4b9e9
* ID: Uploaded
* Email: btta4d@gmail.com
* Vehicle Color/Make/Model: Blue Subaru Impreza
* ETA: 6:00 PM
* Acknowledgment: ✓</t>
  </si>
  <si>
    <t>6460081037</t>
  </si>
  <si>
    <t>2026-03-31 00:25:41</t>
  </si>
  <si>
    <t>Kathryn Olson completed the Adventure Inn Registration Card mini app: https://sys.akia.ai/mapp/b6f1a56a-91f5-4e46-a3f8-cf778e901753?session=5e85d782-6dfc-411e-91fe-c125d969689e
* ID: Uploaded
* Email: kate.schindler@gmail.com
* Vehicle Color/Make/Model: Blue Toyota Camry
* ETA: 2:00 PM
* Acknowledgment: ✓</t>
  </si>
  <si>
    <t>2427234467</t>
  </si>
  <si>
    <t>2026-03-31 01:54:04</t>
  </si>
  <si>
    <t>2026-03-31 02:31:48</t>
  </si>
  <si>
    <t>Carter Baier completed the Adventure Inn Registration Card mini app: https://sys.akia.ai/mapp/c9c12dd8-4d5e-44e6-baf4-213cc7f617e2?session=078b3257-6a31-4531-b16f-a38e41d85aaf
* ID: Uploaded
* Email: hiccupdb10@gmail.com
* Vehicle Color/Make/Model: Black Chevy Malibu 
* ETA: 2:00 PM
* Acknowledgment: ✓</t>
  </si>
  <si>
    <t>2427264157</t>
  </si>
  <si>
    <t>2026-03-31 02:42:56</t>
  </si>
  <si>
    <t>5236500561</t>
  </si>
  <si>
    <t>2026-03-31 03:09:44</t>
  </si>
  <si>
    <t>2427294741</t>
  </si>
  <si>
    <t>2026-03-31 03:39:14</t>
  </si>
  <si>
    <t>Christina Lowery completed the Adventure Inn Registration Card mini app: https://sys.akia.ai/mapp/65ef7261-3d2d-4725-884c-2073897c7a44?session=476f8bd6-beac-4c53-9db8-3fe316b5664c
* ID: Uploaded
* Email: tinalowery2007@gmail.com
* Vehicle Color/Make/Model: Toyota Camry grey 
* ETA: 4:00 PM
* Acknowledgment: ✓</t>
  </si>
  <si>
    <t>5625053744</t>
  </si>
  <si>
    <t>2026-03-31 13:59:28</t>
  </si>
  <si>
    <t>HMFZRNEH2D</t>
  </si>
  <si>
    <t>2026-03-31 14:38:09</t>
  </si>
  <si>
    <t>Mikeljon White completed the Adventure Inn Registration Card mini app: https://sys.akia.ai/mapp/c08dcb82-3746-400d-8a4e-bbbe699d4dae?session=a14f4b4c-8d40-40ae-a06b-304721bed04f
* ID: Uploaded
* Email: mjdw24@live.com
* Vehicle Color/Make/Model: Tacoma/Crosstrek
* ETA: 3:00 PM
* Acknowledgment: ✓, Mikeljon White completed the Adventure Inn Registration Card mini app: https://sys.akia.ai/mapp/c08dcb82-3746-400d-8a4e-bbbe699d4dae?session=a14f4b4c-8d40-40ae-a06b-304721bed04f
* ID: Uploaded
* Email: mjdw24@live.com
* Vehicle Color/Make/Model: Tacoma/Crosstrek
* ETA: 3:00 PM
* Acknowledgment: ✓, $302.67 charged to guest card for extending 3 days</t>
  </si>
  <si>
    <t>2427828075</t>
  </si>
  <si>
    <t>2026-03-31 20:07:40</t>
  </si>
  <si>
    <t>Lauren Stewart completed the Adventure Inn Registration Card mini app: https://sys.akia.ai/mapp/13bb9a0a-6d3d-47a6-a8a6-ace9f05c52e6?session=17938a41-fb70-4f27-9430-97052b711e80
* ID: Uploaded
* Email: lrtrombley@gmail.com
* Vehicle Color/Make/Model: Nissan pathfinder black
* ETA: 4:00 PM
* Acknowledgment: ✓</t>
  </si>
  <si>
    <t>2427833045</t>
  </si>
  <si>
    <t>2026-03-31 20:15:36</t>
  </si>
  <si>
    <t>2427850857</t>
  </si>
  <si>
    <t>2026-03-31 20:42:33</t>
  </si>
  <si>
    <t>6585252524</t>
  </si>
  <si>
    <t>2026-03-31 20:43:01</t>
  </si>
  <si>
    <t>Zachary Hafey completed the Adventure Inn Registration Card mini app: https://sys.akia.ai/mapp/73c755de-289e-43dc-8717-122b294fdcba?session=eee0137d-653e-4689-9e1d-b28c95de0556
* ID: Uploaded
* Email: zhafey54@gmail.com
* Vehicle Color/Make/Model: Toyota Tacoma brown
* ETA: 3:30 PM
* Acknowledgment: ✓</t>
  </si>
  <si>
    <t>2427885007</t>
  </si>
  <si>
    <t>2026-03-31 21:36:34</t>
  </si>
  <si>
    <t>HMJZZ9Q28A</t>
  </si>
  <si>
    <t>2026-03-31 23:38:51</t>
  </si>
  <si>
    <t>Alana Bencivengo completed the Adventure Inn Registration Card mini app: https://sys.akia.ai/mapp/5d8e539e-0bd0-4e50-a05b-b763a48e1650?session=740c29a8-8a99-4225-af8c-2bc844250219
* ID: Uploaded
* Email: alana.bencivengo@gmail.com
* Vehicle Color/Make/Model: Chevrolet Colorado 2016 blue/gray
* ETA: 3:00 PM
* Acknowledgment: ✓</t>
  </si>
  <si>
    <t>2428074328</t>
  </si>
  <si>
    <t>2026-04-01 02:55:22</t>
  </si>
  <si>
    <t>2428131825</t>
  </si>
  <si>
    <t>2026-04-01 04:57:18</t>
  </si>
  <si>
    <t>2428374683</t>
  </si>
  <si>
    <t>2026-04-01 14:13:10</t>
  </si>
  <si>
    <t>2026-07-27</t>
  </si>
  <si>
    <t>2428611413</t>
  </si>
  <si>
    <t>2026-04-01 20:04:22</t>
  </si>
  <si>
    <t>2026-07-17</t>
  </si>
  <si>
    <t>2026-04-01 21:23:21</t>
  </si>
  <si>
    <t>Influencer Stay, Tinka Moller completed the Adventure Inn Registration Card mini app: https://sys.akia.ai/mapp/f4c09edb-539f-40f1-a840-db65feecfdab?session=b050d9a2-792b-41c7-bfc8-c6f031b4a4fa
* ID: Uploaded
* Email: tinkamoller@gmail.com
* Vehicle Color/Make/Model: Hyundai Tucson 2015 Black
* ETA: 4:00 PM
* Acknowledgment: ✓</t>
  </si>
  <si>
    <t>2428669502</t>
  </si>
  <si>
    <t>2026-04-01 21:35:51</t>
  </si>
  <si>
    <t>2026-04-01 22:05:45</t>
  </si>
  <si>
    <t>Influencer Stay</t>
  </si>
  <si>
    <t>2428781386</t>
  </si>
  <si>
    <t>2026-04-02 00:49:41</t>
  </si>
  <si>
    <t>2429125349</t>
  </si>
  <si>
    <t>2026-04-02 13:25:21</t>
  </si>
  <si>
    <t>2429234392</t>
  </si>
  <si>
    <t>2026-04-02 16:03:09</t>
  </si>
  <si>
    <t>2429295566</t>
  </si>
  <si>
    <t>2026-04-02 17:34:56</t>
  </si>
  <si>
    <t>2429425963</t>
  </si>
  <si>
    <t>2026-04-02 21:00:20</t>
  </si>
  <si>
    <t>2429440551</t>
  </si>
  <si>
    <t>2026-04-02 21:25:06</t>
  </si>
  <si>
    <t>2429455912</t>
  </si>
  <si>
    <t>2026-04-02 21:50:37</t>
  </si>
  <si>
    <t>6034592686</t>
  </si>
  <si>
    <t>2026-04-03 02:33:43</t>
  </si>
  <si>
    <t>2429617215</t>
  </si>
  <si>
    <t>2026-04-03 02:35:15</t>
  </si>
  <si>
    <t>2026-04-03 02:42:11</t>
  </si>
  <si>
    <t>Angelly Hanson completed the Adventure Inn Registration Card mini app: https://sys.akia.ai/mapp/89f7d932-06fe-4595-ab40-b34a25b6d0b0?session=d04f3993-3449-40b8-a7d3-0984417cacfa
* ID: Uploaded
* Email: angellyhanson@gmail.com
* Vehicle Color/Make/Model: Blue Ford Bronco
* ETA: 9:00 PM
* Acknowledgment: ✓</t>
  </si>
  <si>
    <t>2429674238</t>
  </si>
  <si>
    <t>2026-04-03 04:32:20</t>
  </si>
  <si>
    <t>Amy Stegelmeier completed the Adventure Inn Registration Card mini app: https://sys.akia.ai/mapp/2cf2bedd-3d70-4a06-8d3c-81ffb27678cc?session=76bfc239-c62a-43be-9f7a-e2b22da93e45
* ID: Uploaded
* Email: amygsteg@gmail.com
* Vehicle Color/Make/Model: Kia sorento Grey
* ETA: 5:00 PM
* Acknowledgment: ✓</t>
  </si>
  <si>
    <t>6863127286</t>
  </si>
  <si>
    <t>2026-04-03 05:36:09</t>
  </si>
  <si>
    <t>HMSSTQENBK</t>
  </si>
  <si>
    <t>2026-04-03 13:46:48</t>
  </si>
  <si>
    <t>Shaunie Pollaro completed the Adventure Inn Registration Card mini app: https://sys.akia.ai/mapp/950e12a6-7df1-4839-b263-2094293b639f?session=23eabee6-13f6-4605-91c1-f9904fc1041a
* ID: Uploaded
* Email: s.pollaro71@gmail.com
* Vehicle Color/Make/Model: 2025 Land Cruiser silver
* ETA: 12:00 PM
* Acknowledgment: ✓</t>
  </si>
  <si>
    <t>6725945589</t>
  </si>
  <si>
    <t>2026-04-03 16:02:36</t>
  </si>
  <si>
    <t>2430182213</t>
  </si>
  <si>
    <t>2026-04-03 21:53:40</t>
  </si>
  <si>
    <t>HM9QCR5NAS</t>
  </si>
  <si>
    <t>2026-04-03 22:04:03</t>
  </si>
  <si>
    <t>Noah Fuller completed the Adventure Inn Registration Card mini app: https://sys.akia.ai/mapp/907d45fa-c1c9-44e3-895a-b497fafa78c1?session=cbbdc558-91cf-49fd-b3a7-734160b52571
* ID: Uploaded
* Email: fnoah39@hotmail.com
* Vehicle Color/Make/Model: Black Subaru Impreza Hatchback 
* ETA: 4:30 PM
* Acknowledgment: ✓</t>
  </si>
  <si>
    <t>2430217990</t>
  </si>
  <si>
    <t>2026-04-03 23:01:04</t>
  </si>
  <si>
    <t>2430347447</t>
  </si>
  <si>
    <t>2026-04-04 03:25:01</t>
  </si>
  <si>
    <t>2026-06-23</t>
  </si>
  <si>
    <t>2430357767</t>
  </si>
  <si>
    <t>2026-04-04 03:50:41</t>
  </si>
  <si>
    <t>Jodi Grayson completed the Adventure Inn Registration Card mini app: https://sys.akia.ai/mapp/b1c1da15-fe21-4dfa-85f2-df52242a22a3?session=c6ef5671-2a26-4dd6-94c2-b33a44001f7e
* ID: Uploaded
* Email: iloveschoolhealth@yahoo.com
* Vehicle Color/Make/Model: White/Kia Telluride/Colorado DWZZ88
* ETA: 4:00 PM
* Acknowledgment: ✓</t>
  </si>
  <si>
    <t>2430527682</t>
  </si>
  <si>
    <t>2026-04-04 13:34:28</t>
  </si>
  <si>
    <t>2026-04-04 17:18:09</t>
  </si>
  <si>
    <t>Echo Mcneill completed the Adventure Inn Registration Card mini app: https://sys.akia.ai/mapp/f4649c67-add9-4a12-8f2f-86cc6376059a?session=0cd54c26-0bd4-4aa6-81b3-b32497a8a3d9
* ID: Uploaded
* Email: echo.mcneill@yahoo.com
* Vehicle Color/Make/Model: Grey ford explorer
* ETA: 4:00 PM
* Acknowledgment: ✓</t>
  </si>
  <si>
    <t>2026-04-04 21:02:06</t>
  </si>
  <si>
    <t>Ulanda Wilson completed the Adventure Inn Registration Card mini app: https://sys.akia.ai/mapp/46e96cf1-8774-4f9b-a0fb-45c3ff490a63?session=52388630-dd3e-4dd1-beaa-f57bea3faffb
* ID: Uploaded
* Email: ulandadwilson@gmail.com
* Vehicle Color/Make/Model: Gray Jeep Gladiator 
* ETA: 4:00 PM
* Acknowledgment: ✓</t>
  </si>
  <si>
    <t>2026-04-05 00:54:03</t>
  </si>
  <si>
    <t>2026-04-05 01:01:56</t>
  </si>
  <si>
    <t>2430906223</t>
  </si>
  <si>
    <t>2026-04-05 03:01:36</t>
  </si>
  <si>
    <t>2430930188</t>
  </si>
  <si>
    <t>2026-04-05 04:09:35</t>
  </si>
  <si>
    <t>2026-04-05 20:07:10</t>
  </si>
  <si>
    <t>2431314163</t>
  </si>
  <si>
    <t>2026-04-05 21:40:19</t>
  </si>
  <si>
    <t>5158044911</t>
  </si>
  <si>
    <t>2026-04-05 23:44:05</t>
  </si>
  <si>
    <t>2431399907</t>
  </si>
  <si>
    <t>2026-04-06 00:33:49</t>
  </si>
  <si>
    <t>2026-04-06 02:58:08</t>
  </si>
  <si>
    <t>Kendall Guillory completed the Adventure Inn Registration Card mini app: https://sys.akia.ai/mapp/120d35a1-0310-4c9a-be3e-7844c540a1e3?session=cea4b165-0f12-4d4d-9a5c-31dd54687a6e
* ID: Uploaded
* Email: kendall.cecilia.guillory@gmail.com
* Vehicle Color/Make/Model: red / chrystler / town and country
* ETA: 6:00 PM
* Acknowledgment: ✓</t>
  </si>
  <si>
    <t>2431624661</t>
  </si>
  <si>
    <t>2026-04-06 10:43:21</t>
  </si>
  <si>
    <t>2431767291</t>
  </si>
  <si>
    <t>2026-04-06 15:25:53</t>
  </si>
  <si>
    <t>2026-04-06 15:40:44</t>
  </si>
  <si>
    <t>Abby Day completed the Adventure Inn Registration Card mini app: https://sys.akia.ai/mapp/0eb483e2-9a9a-46e1-b05a-4fa61c3a2635?session=ff0e95eb-9985-46a9-b72e-da87143d08f5
* ID: Uploaded
* Email: abby@travois.com
* Vehicle Color/Make/Model: Unsure
* ETA: 4:00 PM
* Acknowledgment: ✓</t>
  </si>
  <si>
    <t>2026-07-06</t>
  </si>
  <si>
    <t>2026-04-06 16:11:22</t>
  </si>
  <si>
    <t>Kate Johnston completed the Adventure Inn Registration Card mini app: https://sys.akia.ai/mapp/9f13a88f-7f63-4e11-bba3-c28dc5f86d6d?session=f06dc6ba-a554-49de-a418-c7b96f8de726
* ID: Uploaded
* Email: kate.s.johnston@gmail.com
* Vehicle Color/Make/Model: White/hyundai tuscon 
* ETA: 4:00 PM
* Acknowledgment: ✓</t>
  </si>
  <si>
    <t>6642337073</t>
  </si>
  <si>
    <t>2026-04-06 17:49:58</t>
  </si>
  <si>
    <t>2432033296</t>
  </si>
  <si>
    <t>2026-04-06 21:53:09</t>
  </si>
  <si>
    <t>2432085279</t>
  </si>
  <si>
    <t>2026-04-06 23:21:12</t>
  </si>
  <si>
    <t>2432112132</t>
  </si>
  <si>
    <t>2026-04-07 00:06:24</t>
  </si>
  <si>
    <t>Base Rate, Returning Guest</t>
  </si>
  <si>
    <t>2432113796</t>
  </si>
  <si>
    <t>2026-04-07 00:09:14</t>
  </si>
  <si>
    <t>Asked to pay with apple pay because he lost his debt card, Seth tried to use the option and it automatically balanced out with no money collected. Told guest to book via expedia for payment, room 112 reflects his payment for this room-JF</t>
  </si>
  <si>
    <t>6538715578</t>
  </si>
  <si>
    <t>2026-04-07 00:49:48</t>
  </si>
  <si>
    <t>James W Herrell completed the Adventure Inn Registration Card mini app: https://sys.akia.ai/mapp/caa8e599-2a54-4203-9e13-14d4c01dc0f7?session=a62f187f-4d4a-4f88-9760-c2c0070d63e1
* ID: Uploaded
* Email: jim.herrell@gmail.com
* Vehicle Color/Make/Model: Silver, chevy Silverado 
* ETA: 7:20 PM
* Acknowledgment: ✓</t>
  </si>
  <si>
    <t>2026-04-07 01:16:47</t>
  </si>
  <si>
    <t>Kiana Anderson completed the Adventure Inn Registration Card mini app: https://sys.akia.ai/mapp/4a681d1d-bb22-41f5-906a-23f5afa2ca42?session=21fb04d4-fc6e-4203-97bb-eca41e7c289b
* ID: Uploaded
* Email: kianaanderson040@gmail.com
* Vehicle Color/Make/Model: Grey Buick Envista
* ETA: 2:00 PM
* Acknowledgment: ✓</t>
  </si>
  <si>
    <t>2432222557</t>
  </si>
  <si>
    <t>2026-04-07 03:09:50</t>
  </si>
  <si>
    <t>HVFF222</t>
  </si>
  <si>
    <t>2026-04-07 03:27:46</t>
  </si>
  <si>
    <t>2432677522</t>
  </si>
  <si>
    <t>2026-04-07 17:41:45</t>
  </si>
  <si>
    <t>Diane George completed the Adventure Inn Registration Card mini app: https://sys.akia.ai/mapp/6d71689d-b0a2-4401-b07b-a442cf197dfc?session=8fd0afa6-162f-413a-8707-4bdbfdc67070
* ID: Uploaded
* Email: dibee928@yahoo.com
* Vehicle Color/Make/Model: White Hyundai Tucson 2025
* ETA: 4:00 PM
* Acknowledgment: ✓</t>
  </si>
  <si>
    <t>2026-04-07 18:53:15</t>
  </si>
  <si>
    <t>2432893685</t>
  </si>
  <si>
    <t>2026-04-07 23:20:06</t>
  </si>
  <si>
    <t>2026-04-08 01:37:05</t>
  </si>
  <si>
    <t>Nyomi Bato completed the Adventure Inn Registration Card mini app: https://sys.akia.ai/mapp/7973f16b-08ce-4cc3-aa08-5fc8ed25cb58?session=dda8e059-fa8e-4dc8-ae64-0cf692a0cb0b
* ID: Uploaded
* Email: nyomi.dbato@hotmail.com
* Vehicle Color/Make/Model: grey/toyota/4runner
* ETA: 10:00 PM
* Acknowledgment: ✓</t>
  </si>
  <si>
    <t>2432990776</t>
  </si>
  <si>
    <t>2026-04-08 02:00:53</t>
  </si>
  <si>
    <t>2026-04-08 03:14:43</t>
  </si>
  <si>
    <t>Kristi Manning completed the Adventure Inn Registration Card mini app: https://sys.akia.ai/mapp/4955d224-6b72-4f6b-951c-e8d670065b0d?session=3c4c0994-2a15-411f-aae8-27d6b3a4a32f
* ID: Uploaded
* Email: kristimanning@gmail.com
* Vehicle Color/Make/Model: white toyota rav 4
* ETA: 7:05 PM
* Acknowledgment: ✓</t>
  </si>
  <si>
    <t>2026-04-08 06:37:18</t>
  </si>
  <si>
    <t>Ashley Thabit completed the Adventure Inn Registration Card mini app: https://sys.akia.ai/mapp/69c199c2-fb7f-43e6-aa76-8b10bd999c55?session=0157a32f-9072-4762-8e40-860d63ca0a5c
* ID: Uploaded
* Email: ashley.thabit@gmail.com
* Vehicle Color/Make/Model: Blue Nissan Sentra
* ETA: 9:45 PM
* Acknowledgment: ✓</t>
  </si>
  <si>
    <t>2433133981</t>
  </si>
  <si>
    <t>2026-04-08 07:22:53</t>
  </si>
  <si>
    <t>2433342387</t>
  </si>
  <si>
    <t>2026-04-08 14:20:38</t>
  </si>
  <si>
    <t>2026-04-08 14:45:22</t>
  </si>
  <si>
    <t>2433412678</t>
  </si>
  <si>
    <t>2026-04-08 15:56:08</t>
  </si>
  <si>
    <t>2433455304</t>
  </si>
  <si>
    <t>2026-04-08 16:57:40</t>
  </si>
  <si>
    <t>Jessica Elliss completed the Adventure Inn Registration Card mini app: https://sys.akia.ai/mapp/b87f5d61-6201-42a9-8e34-899440917767?session=7a373d6d-009f-45d3-acf6-2bed503d36c5
* ID: Uploaded
* Email: jellissparadise98@gmail.com
* Vehicle Color/Make/Model: Black Nissan Xterra 
* ETA: 4:00 PM
* Acknowledgment: ✓</t>
  </si>
  <si>
    <t>2026-04-08 17:18:17</t>
  </si>
  <si>
    <t>6322587576</t>
  </si>
  <si>
    <t>2026-04-08 18:30:29</t>
  </si>
  <si>
    <t>Chris Samuelson completed the Adventure Inn Registration Card mini app: https://sys.akia.ai/mapp/3151de51-ed0d-41b8-b7dc-a4041d855159?session=36358824-5606-414b-9d8a-e1d0a881ecf2
* ID: Uploaded
* Email: csam441@aol.com
* Vehicle Color/Make/Model: White Dodge truck 
* ETA: 4:00 PM
* Acknowledgment: ✓</t>
  </si>
  <si>
    <t>2433550276</t>
  </si>
  <si>
    <t>2026-04-08 19:21:08</t>
  </si>
  <si>
    <t>2433560268</t>
  </si>
  <si>
    <t>2026-04-08 19:36:27</t>
  </si>
  <si>
    <t>2433583747</t>
  </si>
  <si>
    <t>2026-04-08 20:12:29</t>
  </si>
  <si>
    <t>2433681486</t>
  </si>
  <si>
    <t>2026-04-08 22:55:32</t>
  </si>
  <si>
    <t>2433686884</t>
  </si>
  <si>
    <t>2026-04-08 23:05:13</t>
  </si>
  <si>
    <t>5953260494</t>
  </si>
  <si>
    <t>2026-04-09 01:22:51</t>
  </si>
  <si>
    <t>Erica Dahlberg completed the Adventure Inn Registration Card mini app: https://sys.akia.ai/mapp/fd3427ce-c311-4df8-a045-9ff433e17d0f?session=573d30e5-b698-4e1e-97ad-43faccdbd066
* ID: Uploaded
* Email: acire79@outlook.com
* Vehicle Color/Make/Model: Ruby wine Hyundai Tucson
* ETA: 5:00 PM
* Acknowledgment: ✓</t>
  </si>
  <si>
    <t>2026-04-09 02:44:42</t>
  </si>
  <si>
    <t>HME54QJEBF</t>
  </si>
  <si>
    <t>2026-04-09 04:52:08</t>
  </si>
  <si>
    <t>William Gilchrist completed the Adventure Inn Registration Card mini app: https://sys.akia.ai/mapp/b23a2794-a014-4d54-ad1d-affe8e762cec?session=034659a8-3361-4511-85ca-70d6575ab43a
* ID: Uploaded
* Email: wgilchrist96@gmail.com
* Vehicle Color/Make/Model: Green 2020 Subaru Outback 
* ETA: 8:00 PM
* Acknowledgment: ✓</t>
  </si>
  <si>
    <t>2434242937</t>
  </si>
  <si>
    <t>2026-04-09 16:28:17</t>
  </si>
  <si>
    <t>Nathan Kunkle completed the Adventure Inn Registration Card mini app: https://sys.akia.ai/mapp/66b1f541-e16d-48bb-b7ff-a054856ceb33?session=883b8a38-e82f-46e8-a780-dd2caf930c50
* ID: Uploaded
* Email: nathanpeterkunkle@gmail.com
* Vehicle Color/Make/Model: Red GMC Yukonxl
* ETA: 9:45 PM
* Acknowledgment: ✓</t>
  </si>
  <si>
    <t>6086204105</t>
  </si>
  <si>
    <t>2026-04-09 21:06:32</t>
  </si>
  <si>
    <t>HMK44XYCTJ</t>
  </si>
  <si>
    <t>2026-04-09 23:05:18</t>
  </si>
  <si>
    <t>Johanna Klouda completed the Adventure Inn Registration Card mini app: https://sys.akia.ai/mapp/474ea579-7581-49c4-bf50-e410c8f217be?session=78fc3ea8-6034-4276-8e96-7688c11e4f7f
* ID: Uploaded
* Email: redihomepro@gmail.com
* Vehicle Color/Make/Model: Eagt80
* ETA: 5:30 PM
* Acknowledgment: ✓</t>
  </si>
  <si>
    <t>2434513780</t>
  </si>
  <si>
    <t>2026-04-09 23:38:38</t>
  </si>
  <si>
    <t>2026-04-09 23:47:24</t>
  </si>
  <si>
    <t>Britney Briwn completed the Adventure Inn Registration Card mini app: https://sys.akia.ai/mapp/c9d7acff-6dda-4c0b-a074-b10ac6f57efc?session=f82f947a-e03f-4b1d-89a6-336193ff56e9
* ID: Uploaded
* Email: britneyrea52@gmail.com
* Vehicle Color/Make/Model: Jeep Compass
* ETA: 4:00 PM
* Acknowledgment: ✓</t>
  </si>
  <si>
    <t>2434526235</t>
  </si>
  <si>
    <t>2026-04-10 00:00:59</t>
  </si>
  <si>
    <t>2434584892</t>
  </si>
  <si>
    <t>2026-04-10 01:39:04</t>
  </si>
  <si>
    <t>HME8AX8TEC</t>
  </si>
  <si>
    <t>2026-04-10 01:42:29</t>
  </si>
  <si>
    <t>Jeremiah Desiderio completed the Adventure Inn Registration Card mini app: https://sys.akia.ai/mapp/fea8a3d2-df9b-4d38-9fd1-7e0c3b523c34?session=54eafae2-410f-4c43-b829-6e768fb84946
* ID: Uploaded
* Email: jerdesiderio@gmail.com
* Vehicle Color/Make/Model: White, Serria 3500 GMC
* ETA: 4:00 PM
* Acknowledgment: ✓</t>
  </si>
  <si>
    <t>2026-04-10 02:48:46</t>
  </si>
  <si>
    <t>Annie Galbraith completed the Adventure Inn Registration Card mini app: https://sys.akia.ai/mapp/f11ec4ab-8e84-4bc9-bf03-91476d2c8d2a?session=06a5394b-87fa-4bb6-968a-b63ef0988878
* ID: Uploaded
* Email: anniegalbraith03@gmail.com
* Vehicle Color/Make/Model: Navy mini countryman AND navy Toyota four-runner
* ETA: 4:00 PM
* Acknowledgment: ✓</t>
  </si>
  <si>
    <t>6172814184</t>
  </si>
  <si>
    <t>2026-04-10 17:08:01</t>
  </si>
  <si>
    <t>Gregg Judi Iversen completed the Adventure Inn Registration Card mini app: https://sys.akia.ai/mapp/e766c2a0-6663-4931-a3b4-5d08b41f3f8e?session=4544c5a7-5dbc-465b-8b21-2c5f4d9ae77b
* ID: Uploaded
* Email: burgandybeauty40@gmail.com
* Vehicle Color/Make/Model: Green Toyota 4runner 
* ETA: 4:00 PM
* Acknowledgment: ✓</t>
  </si>
  <si>
    <t>2026-04-10 19:22:16</t>
  </si>
  <si>
    <t>tax exempt-JF</t>
  </si>
  <si>
    <t>6689606692</t>
  </si>
  <si>
    <t>2026-04-10 21:21:14</t>
  </si>
  <si>
    <t>2026-04-10 21:53:14</t>
  </si>
  <si>
    <t>2026-04-11 01:37:17</t>
  </si>
  <si>
    <t>5471480707</t>
  </si>
  <si>
    <t>2026-04-11 12:36:32</t>
  </si>
  <si>
    <t>2435845683</t>
  </si>
  <si>
    <t>2026-04-11 21:15:48</t>
  </si>
  <si>
    <t>5022241975</t>
  </si>
  <si>
    <t>2026-04-11 23:29:21</t>
  </si>
  <si>
    <t>Maryann Togstad completed the Adventure Inn Registration Card mini app: https://sys.akia.ai/mapp/d62afe4f-4124-4741-914a-a8488de1f68f?session=df0d61d9-18ff-4618-be26-4a312c5ae1c6
* ID: Uploaded
* Email: mtogstad@me.com
* Vehicle Color/Make/Model: Grey xc60 Volvo
* ETA: 10:00 PM
* Acknowledgment: ✓</t>
  </si>
  <si>
    <t>2435980890</t>
  </si>
  <si>
    <t>2026-04-12 02:04:02</t>
  </si>
  <si>
    <t>2026-04-12 04:14:58</t>
  </si>
  <si>
    <t>Ashley Thabit completed the Adventure Inn Registration Card mini app: https://sys.akia.ai/mapp/54f1949a-62cd-45a9-afdf-8f36964dae85?session=d559d392-a645-4b6f-af4b-848404d239ba
* ID: Uploaded
* Email: ashley.thabit@gmail.com
* Vehicle Color/Make/Model: None
* ETA: 4:00 PM
* Acknowledgment: ✓</t>
  </si>
  <si>
    <t>2026-06-19</t>
  </si>
  <si>
    <t>2436053711</t>
  </si>
  <si>
    <t>2026-04-12 05:23:49</t>
  </si>
  <si>
    <t>2026-06-21</t>
  </si>
  <si>
    <t>2436054593</t>
  </si>
  <si>
    <t>2026-04-12 05:27:13</t>
  </si>
  <si>
    <t>2026-04-12 14:31:48</t>
  </si>
  <si>
    <t>2436361908</t>
  </si>
  <si>
    <t>2026-04-12 18:26:25</t>
  </si>
  <si>
    <t>Tim Shanahan completed the Adventure Inn Registration Card mini app: https://sys.akia.ai/mapp/fa9e59f1-0e8c-4b72-98b8-5606141f0f53?session=f78c0d38-2d17-4fa5-ad7c-3297491d366f
* ID: Uploaded
* Email: tkshanahan@gmail.com
* Vehicle Color/Make/Model: Grey Nissan Rogue
* ETA: 4:00 PM
* Acknowledgment: ✓</t>
  </si>
  <si>
    <t>5522752817</t>
  </si>
  <si>
    <t>2026-04-12 19:12:57</t>
  </si>
  <si>
    <t>2026-08-03</t>
  </si>
  <si>
    <t>2026-08-04</t>
  </si>
  <si>
    <t>5597693138</t>
  </si>
  <si>
    <t>2026-04-12 21:00:48</t>
  </si>
  <si>
    <t>2026-04-12 21:22:20</t>
  </si>
  <si>
    <t>2026-04-12 21:59:40</t>
  </si>
  <si>
    <t>Kyle Nicol completed the Adventure Inn Registration Card mini app: https://sys.akia.ai/mapp/f3f19dc3-9f0c-4841-a9b8-2cf3053a9c34?session=48124d7c-9d32-4c41-a25d-bdd3f6a2abc6
* ID: Uploaded
* Email: kyle.m.nicol@gmail.com
* Vehicle Color/Make/Model: Black Honda African twin 
* ETA: 4:00 PM
* Acknowledgment: ✓</t>
  </si>
  <si>
    <t>HM42A2CJHC</t>
  </si>
  <si>
    <t>2026-04-13 03:07:18</t>
  </si>
  <si>
    <t>5621184883</t>
  </si>
  <si>
    <t>2026-04-13 06:22:10</t>
  </si>
  <si>
    <t>Maya Scogin completed the Adventure Inn Registration Card mini app: https://sys.akia.ai/mapp/83e703a8-c484-4592-8444-3509844a5a0d?session=4b2598de-3bf8-4cf9-8c2d-b10d1cab96fb
* ID: Uploaded
* Email: mayascogin@yahoo.com
* Vehicle Color/Make/Model: Red Toyota Camry 
* ETA: 9:30 PM
* Acknowledgment: ✓</t>
  </si>
  <si>
    <t>2437037630</t>
  </si>
  <si>
    <t>2026-04-13 15:34:31</t>
  </si>
  <si>
    <t>2437056760</t>
  </si>
  <si>
    <t>2026-04-13 15:59:05</t>
  </si>
  <si>
    <t>Sara Sasse completed the Adventure Inn Registration Card mini app: https://sys.akia.ai/mapp/3c916228-6663-401f-aeba-b5a86a4c7107?session=5506727f-d19e-413f-9b1a-ccd8dbabc1bf
* ID: Uploaded
* Email: sgsinformal@gmail.com
* Vehicle Color/Make/Model: Kia Forte
* ETA: 4:00 PM
* Acknowledgment: ✓</t>
  </si>
  <si>
    <t>6574938503</t>
  </si>
  <si>
    <t>2026-04-13 20:03:36</t>
  </si>
  <si>
    <t>2026-04-13 20:44:05</t>
  </si>
  <si>
    <t>6355413192</t>
  </si>
  <si>
    <t>2026-04-13 22:58:13</t>
  </si>
  <si>
    <t>2437408162</t>
  </si>
  <si>
    <t>2026-04-14 00:38:57</t>
  </si>
  <si>
    <t>5150948772</t>
  </si>
  <si>
    <t>2026-04-14 02:27:16</t>
  </si>
  <si>
    <t>2437484804</t>
  </si>
  <si>
    <t>2026-04-14 02:41:29</t>
  </si>
  <si>
    <t>2437498501</t>
  </si>
  <si>
    <t>2026-04-14 03:04:41</t>
  </si>
  <si>
    <t>2437572556</t>
  </si>
  <si>
    <t>2026-04-14 05:50:46</t>
  </si>
  <si>
    <t>Katie Ollesch completed the Adventure Inn Registration Card mini app: https://sys.akia.ai/mapp/f7790ce4-fe4a-4070-bb16-7a0d8989c609?session=8dcabea7-e136-4a1b-b70c-89fe31480412
* ID: Uploaded
* Email: katie.ollesch@gmail.com
* Vehicle Color/Make/Model: Rental 
* ETA: 4:00 PM
* Acknowledgment: ✓</t>
  </si>
  <si>
    <t>2026-04-14 20:55:05</t>
  </si>
  <si>
    <t>2026-04-14 23:05:54</t>
  </si>
  <si>
    <t>2026-04-14 23:12:04</t>
  </si>
  <si>
    <t>Jessica Phillabaum completed the Adventure Inn Registration Card mini app: https://sys.akia.ai/mapp/575adf40-4baa-4f81-9fc9-e0421f418dd0?session=0aab416e-27b8-4432-be4d-8db1727d58f3
* ID: Uploaded
* Email: jphillabaum01@gmail.com
* Vehicle Color/Make/Model: White Chevrolet Blazer
* ETA: 6:30 PM
* Acknowledgment: ✓</t>
  </si>
  <si>
    <t>2026-04-14 23:31:33</t>
  </si>
  <si>
    <t>2026-04-14 23:34:31</t>
  </si>
  <si>
    <t>Lidia Rupert completed the Adventure Inn Registration Card mini app: https://sys.akia.ai/mapp/81e271bf-975d-4213-b139-f2072468e768?session=f1a0a2b3-9d10-420d-a7d0-5010016c4c35
* ID: Uploaded
* Email: lidiaistrecker@gmail.com
* Vehicle Color/Make/Model: Grey Hyundai Tuscon  
* ETA: 6:30 PM
* Acknowledgment: ✓</t>
  </si>
  <si>
    <t>2438220379</t>
  </si>
  <si>
    <t>2026-04-14 23:41:35</t>
  </si>
  <si>
    <t>Brittany Trujillo completed the Adventure Inn Registration Card mini app: https://sys.akia.ai/mapp/3388c0d9-6248-41e5-a0cd-9693913c5a31?session=597ddf41-dada-48b2-9078-8cc5acc10d40
* ID: Uploaded
* Email: trujillobrittany_20@hotmail.com
* Vehicle Color/Make/Model: Blue Honda accord 
* ETA: 4:00 PM
* Acknowledgment: ✓</t>
  </si>
  <si>
    <t>5834837991</t>
  </si>
  <si>
    <t>2026-04-15 00:38:37</t>
  </si>
  <si>
    <t>Ashante Wallace completed the Adventure Inn Registration Card mini app: https://sys.akia.ai/mapp/5bc4eaa3-b0c0-40c3-9065-8e018690f437?session=6383c3a2-a5ac-4a8a-b5ad-bfc434fa0793
* ID: Uploaded
* Email: ashante232@gmail.com
* Vehicle Color/Make/Model: Grey/Chevy/Trac
* ETA: 4:00 PM
* Acknowledgment: ✓</t>
  </si>
  <si>
    <t>2438299146</t>
  </si>
  <si>
    <t>2026-04-15 01:48:57</t>
  </si>
  <si>
    <t>Lisa Marinucci completed the Adventure Inn Registration Card mini app: https://sys.akia.ai/mapp/60f4ce57-84f5-4890-b4d3-877d678b353d?session=bbb0a644-6bd1-487e-8119-123a37496cbb
* ID: Uploaded
* Email: mommanucci@gmail.com
* Vehicle Color/Make/Model: Metallic grey Subaru Impreza 
* ETA: 8:10 PM
* Acknowledgment: ✓</t>
  </si>
  <si>
    <t>2438333743</t>
  </si>
  <si>
    <t>2026-04-15 02:44:38</t>
  </si>
  <si>
    <t>2438433209</t>
  </si>
  <si>
    <t>2026-04-15 06:27:29</t>
  </si>
  <si>
    <t>2438778568</t>
  </si>
  <si>
    <t>2026-04-15 16:49:20</t>
  </si>
  <si>
    <t>2026-04-15 17:28:23</t>
  </si>
  <si>
    <t>2438897745</t>
  </si>
  <si>
    <t>2026-04-15 19:45:57</t>
  </si>
  <si>
    <t>Alan Hulleman completed the Adventure Inn Registration Card mini app: https://sys.akia.ai/mapp/73cc48f0-7b5e-4f83-97d6-3f4e1e9e49e2?session=a1b9da80-0319-4258-9a77-f34a7ab1aa3e
* ID: Uploaded
* Email: 24montana7@gmail.com
* Vehicle Color/Make/Model: White Ford transit mid roof van
* ETA: 4:00 PM
* Acknowledgment: ✓</t>
  </si>
  <si>
    <t>2439060276</t>
  </si>
  <si>
    <t>2026-04-16 00:15:56</t>
  </si>
  <si>
    <t>2439060704</t>
  </si>
  <si>
    <t>2026-04-16 00:16:35</t>
  </si>
  <si>
    <t>2026-04-16 01:42:23</t>
  </si>
  <si>
    <t>5978900977</t>
  </si>
  <si>
    <t>2026-04-16 03:51:08</t>
  </si>
  <si>
    <t>2439199799</t>
  </si>
  <si>
    <t>2026-04-16 04:15:35</t>
  </si>
  <si>
    <t>Aldo Reyws completed the Adventure Inn Registration Card mini app: https://sys.akia.ai/mapp/f813be59-ae50-4084-89d0-97bb45051c42?session=4fa6b2f8-c67a-4114-b22b-3822581e134a
* ID: Uploaded
* Email: vigeto16@gmail.com
* Vehicle Color/Make/Model: White/jeep/cherokee
* ETA: 4:00 PM
* Acknowledgment: ✓</t>
  </si>
  <si>
    <t>2026-09-05</t>
  </si>
  <si>
    <t>2026-09-06</t>
  </si>
  <si>
    <t>2026-04-16 04:30:46</t>
  </si>
  <si>
    <t>HM2AA3KE8T</t>
  </si>
  <si>
    <t>2026-04-16 12:57:32</t>
  </si>
  <si>
    <t>Shari Kahn completed the Adventure Inn Registration Card mini app: https://sys.akia.ai/mapp/84b37282-cde2-49f2-b1ef-85fc098b88c4?session=57a4c6ee-b372-42d7-9671-ee45f0cad669
* ID: Uploaded
* Email: kahnshari1@gmail.com
* Vehicle Color/Make/Model: Grey/Green Bronco
* ETA: 3:00 PM
* Acknowledgment: ✓</t>
  </si>
  <si>
    <t>2026-08-16</t>
  </si>
  <si>
    <t>2026-04-16 14:36:06</t>
  </si>
  <si>
    <t>James Hutchison completed the Adventure Inn Registration Card mini app: https://sys.akia.ai/mapp/37cf611b-5f35-4ff4-b6d8-4343839e05e0?session=b39743be-9be8-4a3e-b583-1ef05e3f1ca9
* ID: Uploaded
* Email: jhutchison001@comcast.net
* Vehicle Color/Make/Model: White/Audi/NCV0031
* ETA: 4:00 PM
* Acknowledgment: ✓</t>
  </si>
  <si>
    <t>6179292365</t>
  </si>
  <si>
    <t>2026-04-16 20:07:07</t>
  </si>
  <si>
    <t>Colin Fritz completed the Adventure Inn Registration Card mini app: https://sys.akia.ai/mapp/63af08b3-5331-4e33-8968-6af8dd8d7efa?session=e97f013c-0116-4d96-8f41-b708efef077e
* ID: Uploaded
* Email: colin.fr39@gmail.com
* Vehicle Color/Make/Model: Rental car
* ETA: 5:00 PM
* Acknowledgment: ✓</t>
  </si>
  <si>
    <t>2026-04-16 21:05:48</t>
  </si>
  <si>
    <t>2439791553</t>
  </si>
  <si>
    <t>2026-04-16 22:06:21</t>
  </si>
  <si>
    <t>2439819626</t>
  </si>
  <si>
    <t>2026-04-16 22:57:20</t>
  </si>
  <si>
    <t>2026-04-16 23:12:50</t>
  </si>
  <si>
    <t>2026-08-21</t>
  </si>
  <si>
    <t>2026-04-16 23:37:16</t>
  </si>
  <si>
    <t>Brian Lieb completed the Adventure Inn Registration Card mini app: https://sys.akia.ai/mapp/a130f26c-1728-413b-8f56-26267ae51582?session=0c90d708-2bc4-441f-ba91-96aa0514bf97
* ID: Uploaded
* Email: blieb2023@gmail.com
* Vehicle Color/Make/Model: White Fiat 500X
* ETA: 4:00 PM
* Acknowledgment: ✓</t>
  </si>
  <si>
    <t>111 (SMQ), 202 (DQ)</t>
  </si>
  <si>
    <t>2026-06-03</t>
  </si>
  <si>
    <t>2026-04-17 00:15:05</t>
  </si>
  <si>
    <t>6311088496</t>
  </si>
  <si>
    <t>2026-04-17 01:27:09</t>
  </si>
  <si>
    <t>2440298596</t>
  </si>
  <si>
    <t>2026-04-17 14:48:38</t>
  </si>
  <si>
    <t>2440314504</t>
  </si>
  <si>
    <t>2026-04-17 15:10:30</t>
  </si>
  <si>
    <t>2440561044</t>
  </si>
  <si>
    <t>2026-04-17 21:27:16</t>
  </si>
  <si>
    <t>2440674179</t>
  </si>
  <si>
    <t>2026-04-18 00:54:10</t>
  </si>
  <si>
    <t>6714512828</t>
  </si>
  <si>
    <t>2026-04-18 01:38:28</t>
  </si>
  <si>
    <t>Shelby Kinner completed the Adventure Inn Registration Card mini app: https://sys.akia.ai/mapp/3af720df-2272-4968-8ac9-b26b95c43009?session=90124391-fac6-4e69-ab28-a2d9b4347a58
* ID: Uploaded
* Email: shelbyenns@yahoo.com
* Vehicle Color/Make/Model: Red Toyota Tacoma 
* ETA: 7:00 PM
* Acknowledgment: ✓</t>
  </si>
  <si>
    <t>2440720891</t>
  </si>
  <si>
    <t>2026-04-18 02:24:39</t>
  </si>
  <si>
    <t>2441175880</t>
  </si>
  <si>
    <t>2026-04-18 20:46:56</t>
  </si>
  <si>
    <t>2026-04-18 22:51:18</t>
  </si>
  <si>
    <t>Jon Pierpont completed the Adventure Inn Registration Card mini app: https://sys.akia.ai/mapp/ecbd46f7-797b-444d-84ea-afc0560ebc80?session=e48be795-b889-4ad0-9d65-7700278e5064
* ID: Uploaded
* Email: jlpierpont@icloud.com
* Vehicle Color/Make/Model: Gray Honda CRV
* ETA: 4:00 PM
* Acknowledgment: ✓</t>
  </si>
  <si>
    <t>2441249459</t>
  </si>
  <si>
    <t>2026-04-18 23:18:49</t>
  </si>
  <si>
    <t>2441290690</t>
  </si>
  <si>
    <t>2026-04-19 00:48:38</t>
  </si>
  <si>
    <t>0928-door code</t>
  </si>
  <si>
    <t>2441374585</t>
  </si>
  <si>
    <t>2026-04-19 04:05:46</t>
  </si>
  <si>
    <t>Ashton Bieri completed the Adventure Inn Registration Card mini app: https://sys.akia.ai/mapp/1468f750-0093-41ee-9c15-be72a1e2a176?session=9014296e-4d43-47cd-add7-92d7cbd6fc55
* ID: Uploaded
* Email: ashton.bieri@gmail.com
* Vehicle Color/Make/Model: White/Ford/Escape
* ETA: 6:00 PM
* Acknowledgment: ✓</t>
  </si>
  <si>
    <t>2026-07-03</t>
  </si>
  <si>
    <t>2026-04-19 17:00:05</t>
  </si>
  <si>
    <t>Elizabeth Becker completed the Adventure Inn Registration Card mini app: https://sys.akia.ai/mapp/8b76dffd-f553-4cf1-8ca7-efcfd542b883?session=2c6b1f7f-81d5-40a8-880e-f9c0589c2786
* ID: Uploaded
* Email: eliz082810@gmail.com
* Vehicle Color/Make/Model: Gray Toyota Tacoma
* ETA: 3:00 PM
* Acknowledgment: ✓</t>
  </si>
  <si>
    <t>2441716940</t>
  </si>
  <si>
    <t>2026-04-19 20:24:40</t>
  </si>
  <si>
    <t>2441806722</t>
  </si>
  <si>
    <t>2026-04-19 22:59:51</t>
  </si>
  <si>
    <t>2441811454</t>
  </si>
  <si>
    <t>2026-04-19 23:08:43</t>
  </si>
  <si>
    <t>2026-06-29</t>
  </si>
  <si>
    <t>2441826450</t>
  </si>
  <si>
    <t>2026-04-19 23:36:30</t>
  </si>
  <si>
    <t>Leslie Murray completed the Adventure Inn Registration Card mini app: https://sys.akia.ai/mapp/def41372-5b36-4b6b-b6f1-c4ccb7c9df75?session=308bc57e-fa9a-405a-93de-ce64ba1cf068
* ID: Uploaded
* Email: lesliem1516@yahoo.com
* Vehicle Color/Make/Model: White Ford Escape 
* ETA: 4:00 PM
* Acknowledgment: ✓</t>
  </si>
  <si>
    <t>2026-04-20 00:05:35</t>
  </si>
  <si>
    <t>Morgan Redding completed the Adventure Inn Registration Card mini app: https://sys.akia.ai/mapp/7b39a932-2e78-4714-b4d3-08c8cd748205?session=c41cab27-e978-4db4-aaf9-683987e701f6
* ID: Uploaded
* Email: morganaredding@gmail.com
* Vehicle Color/Make/Model: Dark gray Toyota Camry
* ETA: 4:00 PM
* Acknowledgment: ✓</t>
  </si>
  <si>
    <t>2026-04-20 01:10:40</t>
  </si>
  <si>
    <t>Julie Meenihan completed the Adventure Inn Registration Card mini app: https://sys.akia.ai/mapp/fa3ae927-739e-452c-bd4c-b9d3eaca992b?session=d8b9b3b4-253c-49ec-ae08-70cbaf374c72
* ID: Uploaded
* Email: juliemeenihan@gmail.com
* Vehicle Color/Make/Model: Gray Mazda CX-50
* ETA: 4:45 PM
* Acknowledgment: ✓</t>
  </si>
  <si>
    <t>2441884239</t>
  </si>
  <si>
    <t>2026-04-20 01:17:23</t>
  </si>
  <si>
    <t>2441913890</t>
  </si>
  <si>
    <t>2026-04-20 02:08:19</t>
  </si>
  <si>
    <t>2441929721</t>
  </si>
  <si>
    <t>2026-04-20 02:36:13</t>
  </si>
  <si>
    <t>Shelly Townsend completed the Adventure Inn Registration Card mini app: https://sys.akia.ai/mapp/e0f4d32e-9cbe-42ac-a70d-84144bf1f2bd?session=8c0f9371-a83b-4009-9c3f-a144fc3218be
* ID: Uploaded
* Email: shelly.townsend4@gmail.com
* Vehicle Color/Make/Model: Blue Subaru Outback
* ETA: 4:00 PM
* Acknowledgment: ✓</t>
  </si>
  <si>
    <t>2441983057</t>
  </si>
  <si>
    <t>2026-04-20 04:29:34</t>
  </si>
  <si>
    <t>2026-04-20 14:47:19</t>
  </si>
  <si>
    <t>2442339029</t>
  </si>
  <si>
    <t>2026-04-20 15:52:24</t>
  </si>
  <si>
    <t>2442356273</t>
  </si>
  <si>
    <t>2026-04-20 16:14:29</t>
  </si>
  <si>
    <t>2442376758</t>
  </si>
  <si>
    <t>2026-04-20 16:41:57</t>
  </si>
  <si>
    <t>HMRKWPHMYS</t>
  </si>
  <si>
    <t>2026-04-20 18:05:56</t>
  </si>
  <si>
    <t>Zapporah Charley completed the Adventure Inn Registration Card mini app: https://sys.akia.ai/mapp/bc5aa516-ca5a-4cec-9db7-03b83aa0df6d?session=b2517e27-139a-4d1a-bb15-e6287ec9500b
* ID: Uploaded
* Email: zipporah.charley94.t@gmail.com
* Vehicle Color/Make/Model: Kia gray 
* ETA: 4:00 PM
* Acknowledgment: ✓</t>
  </si>
  <si>
    <t>2026-04-20 18:35:35</t>
  </si>
  <si>
    <t>Aheisham Kahn completed the Adventure Inn Registration Card mini app: https://sys.akia.ai/mapp/263b9c56-4440-447f-93a8-0184d90f199b?session=8d121d86-a8b9-4ee3-a01c-fc2ee447c752
* ID: Uploaded
* Email: ahtishamkhan.khan@gmail.com
* Vehicle Color/Make/Model: White/honda/civic
* ETA: 3:15 PM
* Acknowledgment: ✓</t>
  </si>
  <si>
    <t>2442542997</t>
  </si>
  <si>
    <t>2026-04-20 20:32:57</t>
  </si>
  <si>
    <t>2442580981</t>
  </si>
  <si>
    <t>2026-04-20 21:29:25</t>
  </si>
  <si>
    <t>2442598740</t>
  </si>
  <si>
    <t>2026-04-20 21:57:46</t>
  </si>
  <si>
    <t>2442601156</t>
  </si>
  <si>
    <t>2026-04-20 22:01:41</t>
  </si>
  <si>
    <t>2026-04-20 23:03:17</t>
  </si>
  <si>
    <t>2442648764</t>
  </si>
  <si>
    <t>2026-04-20 23:23:57</t>
  </si>
  <si>
    <t>2442702852</t>
  </si>
  <si>
    <t>2026-04-21 00:54:03</t>
  </si>
  <si>
    <t>2442710602</t>
  </si>
  <si>
    <t>2026-04-21 01:06:31</t>
  </si>
  <si>
    <t>2442715059</t>
  </si>
  <si>
    <t>2026-04-21 01:13:29</t>
  </si>
  <si>
    <t>5422408631</t>
  </si>
  <si>
    <t>2026-04-21 01:39:32</t>
  </si>
  <si>
    <t>2442848217</t>
  </si>
  <si>
    <t>2026-04-21 05:34:13</t>
  </si>
  <si>
    <t>2442854917</t>
  </si>
  <si>
    <t>2026-04-21 05:53:56</t>
  </si>
  <si>
    <t>Brian Briles completed the Adventure Inn Registration Card mini app: https://sys.akia.ai/mapp/751c0413-4a9c-49e5-8492-45c2d886a35b?session=4f836fad-9caa-4944-8b77-4f95254deab9
* ID: Uploaded
* Email: briles3645@gmail.com
* Vehicle Color/Make/Model: Black Chevy equinox
* ETA: 8:00 PM
* Acknowledgment: ✓</t>
  </si>
  <si>
    <t>6076102185</t>
  </si>
  <si>
    <t>2026-04-21 14:32:13</t>
  </si>
  <si>
    <t>Laurie Singer completed the Adventure Inn Registration Card mini app: https://sys.akia.ai/mapp/65bee551-9e13-4c92-812b-15d4aa44c3eb?session=c81b4611-4608-4b19-84f4-46a30f32020b
* ID: Uploaded
* Email: malsinger@hotmail.com
* Vehicle Color/Make/Model: White, Subaru Outback, co daby84
* ETA: 1:00 PM
* Acknowledgment: ✓</t>
  </si>
  <si>
    <t>2026-04-21 14:37:29</t>
  </si>
  <si>
    <t>2443130438</t>
  </si>
  <si>
    <t>2026-04-21 15:03:36</t>
  </si>
  <si>
    <t>Evelyn Quigley completed the Adventure Inn Registration Card mini app: https://sys.akia.ai/mapp/8c4cba61-1d96-4998-9ff4-4b687b58c84b?session=2886acc3-ff9e-463c-9e50-41d7d4e32f67
* ID: Uploaded
* Email: evelynq57@gmail.com
* Vehicle Color/Make/Model: Silver Toyota RAV4
* ETA: 6:30 PM
* Acknowledgment: ✓</t>
  </si>
  <si>
    <t>2026-08-06</t>
  </si>
  <si>
    <t>2443211046</t>
  </si>
  <si>
    <t>2026-04-21 16:57:23</t>
  </si>
  <si>
    <t>204 (STK), 202 (DQ)</t>
  </si>
  <si>
    <t>2026-04-21 17:08:53</t>
  </si>
  <si>
    <t>Dena Reeves completed the Adventure Inn Registration Card mini app: https://sys.akia.ai/mapp/64bf0349-6b6a-4070-9363-e2777718a5a7?session=059b468c-99bd-44d7-ab1a-dd16ac089e85
* ID: Uploaded
* Email: denareeves@msn.com
* Vehicle Color/Make/Model: Sage green Jeep rubicon 
* ETA: 4:00 PM
* Acknowledgment: ✓</t>
  </si>
  <si>
    <t>2443315332</t>
  </si>
  <si>
    <t>2026-04-21 19:35:11</t>
  </si>
  <si>
    <t>HMYCCPRSE9</t>
  </si>
  <si>
    <t>2026-04-21 19:40:13</t>
  </si>
  <si>
    <t>Samantha Bibo completed the Adventure Inn Registration Card mini app: https://sys.akia.ai/mapp/d97bc3a3-78fa-402d-8f62-ebcaa9d0175d?session=71366d76-4f58-4178-9d7f-42f78060d830
* ID: Uploaded
* Email: waternaturenectar@gmail.com
* Vehicle Color/Make/Model: Red 2006 honda element 
* ETA: 4:30 PM
* Acknowledgment: ✓</t>
  </si>
  <si>
    <t>2026-06-28</t>
  </si>
  <si>
    <t>2026-04-21 19:52:56</t>
  </si>
  <si>
    <t>Dylan Waters completed the Adventure Inn Registration Card mini app: https://sys.akia.ai/mapp/8abb6940-6a2b-4a70-8c6b-d0a7dc286f53?session=a3293df7-57b2-404a-a418-a0bfbf3f459e
* ID: Uploaded
* Email: waters.dylan123@gmail.com
* Vehicle Color/Make/Model: Grey/Jeep/Grand Cherokee 
* ETA: 6:00 PM
* Acknowledgment: ✓, William Mora completed the Adventure Inn Registration Card mini app: https://sys.akia.ai/mapp/a231e908-4e50-40a1-95f6-0a4d7f32e0f0?session=3147fff5-e5bb-4eab-83b8-5b1e2bed8c15
* ID: Uploaded
* Email: will18057@yahoo.com
* Vehicle Color/Make/Model: Gray Jeep Grand Cherokee
* ETA: 4:00 PM
* Acknowledgment: ✓</t>
  </si>
  <si>
    <t>2443361626</t>
  </si>
  <si>
    <t>2026-04-21 20:45:24</t>
  </si>
  <si>
    <t>Russell W Colbert completed the Adventure Inn Registration Card mini app: https://sys.akia.ai/mapp/7835ca1f-60ca-4136-885e-176ba9246229?session=ee22faf1-d188-41e3-abbc-480b36ff839f
* ID: Uploaded
* Email: colbertcafe@gmail.com
* Vehicle Color/Make/Model: White Toyota Camry
* ETA: 8:52 PM
* Acknowledgment: ✓</t>
  </si>
  <si>
    <t>2443374144</t>
  </si>
  <si>
    <t>2026-04-21 21:05:22</t>
  </si>
  <si>
    <t>2443435335</t>
  </si>
  <si>
    <t>2026-04-21 22:51:02</t>
  </si>
  <si>
    <t>2443441418</t>
  </si>
  <si>
    <t>2026-04-21 23:02:31</t>
  </si>
  <si>
    <t>2026-04-21 23:28:15</t>
  </si>
  <si>
    <t>HMHR48K3FW</t>
  </si>
  <si>
    <t>2026-04-21 23:32:53</t>
  </si>
  <si>
    <t>David Doub completed the Adventure Inn Registration Card mini app: https://sys.akia.ai/mapp/047824c4-2bb9-4027-84a5-ea29eb94f35a?session=311291b6-16a7-489f-a5b7-5bf2865c04f6
* ID: Uploaded
* Email: david.doub.7038@gmail.com
* Vehicle Color/Make/Model: Black Mazda CX 5 
* ETA: 9:00 PM
* Acknowledgment: ✓</t>
  </si>
  <si>
    <t>HMMXSFM3CJ</t>
  </si>
  <si>
    <t>2026-04-22 00:48:54</t>
  </si>
  <si>
    <t>2026-04-22 01:14:11</t>
  </si>
  <si>
    <t>Patricia Cannon completed the Adventure Inn Registration Card mini app: https://sys.akia.ai/mapp/b9a540d2-b9de-46d4-b9bf-9c736608b65e?session=361ba4d9-efae-4063-8806-e9affe2c8d72
* ID: Uploaded
* Email: cannonranch@hotmail.com
* Vehicle Color/Make/Model: Blue Honda pilot
* ETA: 4:00 PM
* Acknowledgment: ✓</t>
  </si>
  <si>
    <t>3033246754</t>
  </si>
  <si>
    <t>2026-04-22 01:32:10</t>
  </si>
  <si>
    <t>2443538671</t>
  </si>
  <si>
    <t>2026-04-22 01:46:11</t>
  </si>
  <si>
    <t>5549125496</t>
  </si>
  <si>
    <t>2026-04-22 02:04:32</t>
  </si>
  <si>
    <t>William Mcdougald completed the Adventure Inn Registration Card mini app: https://sys.akia.ai/mapp/7813e4e3-69fb-45a1-a66d-c4cfec492aa1?session=c29776d4-5c53-4e72-98c5-ab472a61bfbd
* ID: Uploaded
* Email: chrismc5852@yahoo.com
* Vehicle Color/Make/Model: Toyota Tundra brown 
* ETA: 5:33 PM
* Acknowledgment: ✓</t>
  </si>
  <si>
    <t>2443552134</t>
  </si>
  <si>
    <t>2026-04-22 02:07:30</t>
  </si>
  <si>
    <t>Mark Blackburn completed the Adventure Inn Registration Card mini app: https://sys.akia.ai/mapp/4def5099-c1bf-424f-b7e2-844e1a7767a8?session=c079c230-3342-4bd8-8806-086961bca6de
* ID: Uploaded
* Email: hi mark.blackburn@gmail.com
* Vehicle Color/Make/Model: White bmw 535d
* ETA: 4:00 PM
* Acknowledgment: ✓</t>
  </si>
  <si>
    <t>2443566811</t>
  </si>
  <si>
    <t>2026-04-22 02:31:22</t>
  </si>
  <si>
    <t>2443572064</t>
  </si>
  <si>
    <t>2026-04-22 02:40:17</t>
  </si>
  <si>
    <t>2443615022</t>
  </si>
  <si>
    <t>2026-04-22 04:00:40</t>
  </si>
  <si>
    <t>2443622872</t>
  </si>
  <si>
    <t>2026-04-22 04:18:17</t>
  </si>
  <si>
    <t>Alfred Nader completed the Adventure Inn Registration Card mini app: https://sys.akia.ai/mapp/f4102b46-eafe-4c8f-9d5a-2e25f0c4a36b?session=ad75ea49-dd42-4434-8dcf-9ff2e86e2ece
* ID: Uploaded
* Email: alnsue80@gmail.com
* Vehicle Color/Make/Model: 2014 red harley davidson
* ETA: 4:00 PM
* Acknowledgment: ✓</t>
  </si>
  <si>
    <t>2443624124</t>
  </si>
  <si>
    <t>2026-04-22 04:21:02</t>
  </si>
  <si>
    <t>Decker Smith completed the Adventure Inn Registration Card mini app: https://sys.akia.ai/mapp/6424c1be-76b0-4bac-8ba7-571fff60cd9d?session=9599d2c6-720a-412e-86ed-ee0e3527286a
* ID: Uploaded
* Email: deckersmith@hotmail.com
* Vehicle Color/Make/Model: Grey Subaru outback
* ETA: 4:00 PM
* Acknowledgment: ✓</t>
  </si>
  <si>
    <t>2443656842</t>
  </si>
  <si>
    <t>2026-04-22 05:46:22</t>
  </si>
  <si>
    <t>Lisa Saxon completed the Adventure Inn Registration Card mini app: https://sys.akia.ai/mapp/c996fee4-2c2a-4b9c-a544-1b5cff2697b1?session=1ebe1abc-bec0-49b1-81bb-a6b1d92e304d
* ID: Uploaded
* Email: saxonlisa40@gmail.com
* Vehicle Color/Make/Model: gray Nissan Versa
* ETA: 5:00 PM
* Acknowledgment: ✓</t>
  </si>
  <si>
    <t>2443850596</t>
  </si>
  <si>
    <t>2026-04-22 13:09:46</t>
  </si>
  <si>
    <t>2443898668</t>
  </si>
  <si>
    <t>2026-04-22 14:21:22</t>
  </si>
  <si>
    <t>2443991151</t>
  </si>
  <si>
    <t>2026-04-22 16:30:34</t>
  </si>
  <si>
    <t>Greg Moore completed the Adventure Inn Registration Card mini app: https://sys.akia.ai/mapp/046e0998-8c26-45be-ac0d-0ffd00b55555?session=d04b0c4a-eda9-4f7c-8425-5b2e254cd84a
* ID: Uploaded
* Email: eroom36@yahoo.com
* Vehicle Color/Make/Model: Silver. Mitsubishi Mirage.
* ETA: 11:00 PM
* Acknowledgment: ✓</t>
  </si>
  <si>
    <t>2443999893</t>
  </si>
  <si>
    <t>2026-04-22 16:43:47</t>
  </si>
  <si>
    <t>2444085850</t>
  </si>
  <si>
    <t>2026-04-22 18:54:37</t>
  </si>
  <si>
    <t>2444085855</t>
  </si>
  <si>
    <t>2026-04-22 18:54:41</t>
  </si>
  <si>
    <t>2444097077</t>
  </si>
  <si>
    <t>2026-04-22 19:11:45</t>
  </si>
  <si>
    <t>2026-04-22 19:31:02</t>
  </si>
  <si>
    <t>Brian Fisher completed the Adventure Inn Registration Card mini app: https://sys.akia.ai/mapp/3104789d-952d-465e-b3dd-4876ee30f444?session=976d13d0-70d5-4c66-b399-cde55d36368b
* ID: Uploaded
* Email: brianj.fisher1@gmail.com
* Vehicle Color/Make/Model: White/toyota/tacoma
* ETA: 7:10 PM
* Acknowledgment: ✓</t>
  </si>
  <si>
    <t>2444242433</t>
  </si>
  <si>
    <t>2026-04-22 23:14:14</t>
  </si>
  <si>
    <t>2026-04-23 00:45:31</t>
  </si>
  <si>
    <t>2026-04-23 00:47:38</t>
  </si>
  <si>
    <t>121 (STQ), 117 (STQ)</t>
  </si>
  <si>
    <t>2026-04-23 00:53:26</t>
  </si>
  <si>
    <t>HMPJXPCENN</t>
  </si>
  <si>
    <t>2026-04-23 01:44:43</t>
  </si>
  <si>
    <t>2026-09-08</t>
  </si>
  <si>
    <t>2026-09-09</t>
  </si>
  <si>
    <t>2444951581</t>
  </si>
  <si>
    <t>2026-04-23 21:05:40</t>
  </si>
  <si>
    <t>2026-09-16</t>
  </si>
  <si>
    <t>2026-09-17</t>
  </si>
  <si>
    <t>2444952704</t>
  </si>
  <si>
    <t>2026-04-23 21:07:42</t>
  </si>
  <si>
    <t>6600380705</t>
  </si>
  <si>
    <t>2026-04-23 21:57:26</t>
  </si>
  <si>
    <t>Mary Potter completed the Adventure Inn Registration Card mini app: https://sys.akia.ai/mapp/974c4d50-58f0-4c63-b00d-ef2fa5f06d70?session=991394f6-3097-414e-a92a-10d2b282a32d
* ID: Uploaded
* Email: maryp@sbhservices.org
* Vehicle Color/Make/Model: Black Ford F350
* ETA: 11:00 PM
* Acknowledgment: ✓</t>
  </si>
  <si>
    <t>2026-04-23 23:32:25</t>
  </si>
  <si>
    <t>2445097068</t>
  </si>
  <si>
    <t>2026-04-24 01:25:59</t>
  </si>
  <si>
    <t>2026-04-24 02:12:18</t>
  </si>
  <si>
    <t>Caley Shoemaker completed the Adventure Inn Registration Card mini app: https://sys.akia.ai/mapp/5a033909-22db-4f05-ba8d-d0957c073cdf?session=149fefec-ecce-482e-aa40-55d9d84acfcc
* ID: Uploaded
* Email: caleyshoemaker@gmail.com
* Vehicle Color/Make/Model: Grey Toyota tundra 
* ETA: 8:00 PM
* Acknowledgment: ✓</t>
  </si>
  <si>
    <t>2445159894</t>
  </si>
  <si>
    <t>2026-04-24 03:13:45</t>
  </si>
  <si>
    <t>Phoebie Carcot completed the Adventure Inn Registration Card mini app: https://sys.akia.ai/mapp/12e7b1ba-4c88-4f8c-9b46-74fb91a96a13?session=10dfcaca-ac1c-4c60-a309-4cdca6ca8bcb
* ID: Uploaded
* Email: phoebiecarcot@gmail.com
* Vehicle Color/Make/Model: Blue Subaru/ white ford f150
* ETA: 6:01 PM
* Acknowledgment: ✓</t>
  </si>
  <si>
    <t>2026-04-24 15:16:23</t>
  </si>
  <si>
    <t>2026-04-24 16:01:09</t>
  </si>
  <si>
    <t>Jayson Young completed the Adventure Inn Registration Card mini app: https://sys.akia.ai/mapp/d578e626-eeb3-4a96-82ec-d3af23a89159?session=5d1a1f3d-1a7a-4011-a163-b4d6df2ca6ec
* ID: Uploaded
* Email: jaysonyoung10@gmail.com
* Vehicle Color/Make/Model: Light Gray Toyota Camry 
* ETA: 4:00 PM
* Acknowledgment: ✓</t>
  </si>
  <si>
    <t>6184315830</t>
  </si>
  <si>
    <t>2026-04-24 21:15:33</t>
  </si>
  <si>
    <t>2445735521</t>
  </si>
  <si>
    <t>2026-04-24 21:19:18</t>
  </si>
  <si>
    <t>6184336420</t>
  </si>
  <si>
    <t>2026-04-25 01:03:01</t>
  </si>
  <si>
    <t>6363336950</t>
  </si>
  <si>
    <t>2026-04-25 17:17:31</t>
  </si>
  <si>
    <t>2026-04-25 22:59:39</t>
  </si>
  <si>
    <t>HMZAWHC82E</t>
  </si>
  <si>
    <t>2026-04-26 01:25:24</t>
  </si>
  <si>
    <t>2026-09-07</t>
  </si>
  <si>
    <t>2446684067</t>
  </si>
  <si>
    <t>2026-04-26 12:53:33</t>
  </si>
  <si>
    <t>105 (DQ), 101 (DQ), 102 (DQ)</t>
  </si>
  <si>
    <t>2026-04-26 16:33:02</t>
  </si>
  <si>
    <t>2446817047</t>
  </si>
  <si>
    <t>2026-04-26 17:12:45</t>
  </si>
  <si>
    <t>2446892920</t>
  </si>
  <si>
    <t>2026-04-26 19:23:01</t>
  </si>
  <si>
    <t>2447017322</t>
  </si>
  <si>
    <t>2026-04-26 23:04:41</t>
  </si>
  <si>
    <t>HMSK5WQ2SQ</t>
  </si>
  <si>
    <t>2026-04-27 00:41:40</t>
  </si>
  <si>
    <t>Scott Davis completed the Adventure Inn Registration Card mini app: https://sys.akia.ai/mapp/b8cb5ee4-d67d-4cd0-ad00-07dbb0c31314?session=6e1a66d5-2eb7-49f1-9e1e-0ac99f1af99c
* ID: Uploaded
* Email: sdavis5000@gmail.com
* Vehicle Color/Make/Model: Silver Toyota rav4
* ETA: 4:00 PM
* Acknowledgment: ✓</t>
  </si>
  <si>
    <t>2026-04-27 01:54:56</t>
  </si>
  <si>
    <t>James Simpson completed the Adventure Inn Registration Card mini app: https://sys.akia.ai/mapp/2f28f38a-9403-4052-ac41-e976cee309b1?session=88b063b3-39ca-4e4e-ab1f-9f97fe7dacc5
* ID: Uploaded
* Email: jsamericon@earthlink.net
* Vehicle Color/Make/Model: Black Lexus RX350
* ETA: 4:00 PM
* Acknowledgment: ✓</t>
  </si>
  <si>
    <t>2026-04-27 02:01:51</t>
  </si>
  <si>
    <t>2447117531</t>
  </si>
  <si>
    <t>2026-04-27 02:06:10</t>
  </si>
  <si>
    <t>2026-09-28</t>
  </si>
  <si>
    <t>2026-09-30</t>
  </si>
  <si>
    <t>2447228480</t>
  </si>
  <si>
    <t>2026-04-27 06:27:10</t>
  </si>
  <si>
    <t>2026-04-27 22:11:41</t>
  </si>
  <si>
    <t>2447877745</t>
  </si>
  <si>
    <t>2026-04-28 00:14:57</t>
  </si>
  <si>
    <t>Eric Poore completed the Adventure Inn Registration Card mini app: https://sys.akia.ai/mapp/51be712b-4407-484c-baf6-a04790495cae?session=1b29531a-01bc-4c72-9622-0400722bc4fd
* ID: Uploaded
* Email: eric@highcampbellsales.com
* Vehicle Color/Make/Model: Blue ford explorer 
* ETA: 4:00 PM
* Acknowledgment: ✓</t>
  </si>
  <si>
    <t>2447974316</t>
  </si>
  <si>
    <t>2026-04-28 02:48:17</t>
  </si>
  <si>
    <t>Jerami Cruzado completed the Adventure Inn Registration Card mini app: https://sys.akia.ai/mapp/d9994926-e54a-49ba-88ca-fbce5d1df2d5?session=6a89b601-c19a-4f03-8b6d-648830d24a22
* ID: Uploaded
* Email: jcruzado13@gmail.com
* Vehicle Color/Make/Model: Orange Hyundai elantra 
* ETA: 9:45 PM
* Acknowledgment: ✓</t>
  </si>
  <si>
    <t>2447988026</t>
  </si>
  <si>
    <t>2026-04-28 03:12:40</t>
  </si>
  <si>
    <t>2026-04-28 17:10:29</t>
  </si>
  <si>
    <t>2448643493</t>
  </si>
  <si>
    <t>2026-04-28 22:33:06</t>
  </si>
  <si>
    <t>2448744140</t>
  </si>
  <si>
    <t>2026-04-29 01:22:38</t>
  </si>
  <si>
    <t>Vickie Mcmichael completed the Adventure Inn Registration Card mini app: https://sys.akia.ai/mapp/8fd26880-3e48-4112-a0d2-0a2e5ecade5b?session=01a32290-6496-40aa-8b31-071e92d8d3a3
* ID: Uploaded
* Email: yellowhouse54@gmail.com
* Vehicle Color/Make/Model: White F 150 Truck
* ETA: 3:00 PM
* Acknowledgment: ✓</t>
  </si>
  <si>
    <t>2026-04-29 01:24:23</t>
  </si>
  <si>
    <t>2449017630</t>
  </si>
  <si>
    <t>2026-04-29 11:33:25</t>
  </si>
  <si>
    <t>Robert Arellano completed the Adventure Inn Registration Card mini app: https://sys.akia.ai/mapp/160705d1-8259-475d-b46c-077876449686?session=475bc359-638f-4861-9608-057d48c11e3f
* ID: Uploaded
* Email: arellano@usa.net
* Vehicle Color/Make/Model: Silver Toyota 4Runner
* ETA: 4:00 PM
* Acknowledgment: ✓</t>
  </si>
  <si>
    <t>2026-04-29 18:33:10</t>
  </si>
  <si>
    <t>Heather Miller completed the Adventure Inn Registration Card mini app: https://sys.akia.ai/mapp/1eb7000e-b611-4152-b90e-1c070c1abb24?session=0d9ffa73-3091-4aae-88d0-8cfa531f9023
* ID: Uploaded
* Email: h.lynnmiller@gmail.com
* Vehicle Color/Make/Model: Blue/BMW/3 series
* ETA: 6:00 PM
* Acknowledgment: ✓</t>
  </si>
  <si>
    <t>2449372124</t>
  </si>
  <si>
    <t>2026-04-29 20:27:22</t>
  </si>
  <si>
    <t>Rachel De La Caridad Cruz completed the Adventure Inn Registration Card mini app: https://sys.akia.ai/mapp/f8206ac3-deb5-4136-b6cf-b0443ced269f?session=3882fee3-16de-46a1-8b00-2d77a20c7fc1
* ID: Uploaded
* Email: rachelcruzroque@gmail.com
* Vehicle Color/Make/Model: Gray Mitsubishi 
* ETA: 10:00 PM
* Acknowledgment: ✓</t>
  </si>
  <si>
    <t>2026-04-29 22:15:31</t>
  </si>
  <si>
    <t>Kelsey Koenig completed the Adventure Inn Registration Card mini app: https://sys.akia.ai/mapp/0430abb8-9973-4139-a366-4d21790e4cf9?session=e2c838a4-a1c5-45c8-ad3b-4a03d0d15fa6
* ID: Uploaded
* Email: kelseykoenigphoto@gmail.com
* Vehicle Color/Make/Model: Nissan/Rouge/Metallica Grey
* ETA: 7:00 PM
* Acknowledgment: ✓</t>
  </si>
  <si>
    <t>2449535510</t>
  </si>
  <si>
    <t>2026-04-30 01:02:32</t>
  </si>
  <si>
    <t>2449541145</t>
  </si>
  <si>
    <t>2026-04-30 01:11:20</t>
  </si>
  <si>
    <t>Tina Ashby completed the Adventure Inn Registration Card mini app: https://sys.akia.ai/mapp/e103f906-a92f-4dc8-9633-d685b4970e2f?session=9addcb9c-c90a-4dbb-b1de-940a989459b2
* ID: Uploaded
* Email: tinawill247@msn.com
* Vehicle Color/Make/Model: Silver Dodge Ram 1590
* ETA: 4:00 PM
* Acknowledgment: ✓</t>
  </si>
  <si>
    <t>2026-04-30 13:19:54</t>
  </si>
  <si>
    <t>Jordyn Cagney completed the Adventure Inn Registration Card mini app: https://sys.akia.ai/mapp/f6857375-0de0-4890-9483-3d6af87a8e64?session=e04b9c90-d973-4068-af75-2d29bd8d664f
* ID: Uploaded
* Email: jordyn3787@gmail.com
* Vehicle Color/Make/Model: Gray Ford Escape
* ETA: 4:00 PM
* Acknowledgment: ✓</t>
  </si>
  <si>
    <t>2026-04-30 14:12:07</t>
  </si>
  <si>
    <t>Joy Demaranville completed the Adventure Inn Registration Card mini app: https://sys.akia.ai/mapp/dfc69437-8aa4-46ce-800c-83566f9eae43?session=436626f7-0628-425c-a0e8-a8d1a1686398
* ID: Uploaded
* Email: jdemaranville2@gmail.com
* Vehicle Color/Make/Model: Blue Toyota Venza
* ETA: 5:00 PM
* Acknowledgment: ✓</t>
  </si>
  <si>
    <t>2026-04-30 14:26:53</t>
  </si>
  <si>
    <t>Thomas Dwelle completed the Adventure Inn Registration Card mini app: https://sys.akia.ai/mapp/ca84499e-030a-4643-967e-6b78dbf25cae?session=e55c9ff2-b16f-4d82-851e-d6273a7fd08d
* ID: Uploaded
* Email: tomdwelle@gmail.com
* Vehicle Color/Make/Model: Silver Harley Ultra classic
* ETA: 4:00 PM
* Acknowledgment: ✓</t>
  </si>
  <si>
    <t>2026-07-26</t>
  </si>
  <si>
    <t>2026-07-28</t>
  </si>
  <si>
    <t>2450004466</t>
  </si>
  <si>
    <t>2026-04-30 15:50:52</t>
  </si>
  <si>
    <t>5319323416</t>
  </si>
  <si>
    <t>2026-04-30 19:08:56</t>
  </si>
  <si>
    <t>111 (SMQ), 114 (STK)</t>
  </si>
  <si>
    <t>2026-04-30 19:59:59</t>
  </si>
  <si>
    <t>Alex Bliss completed the Adventure Inn Registration Card mini app: https://sys.akia.ai/mapp/367cb457-01dd-4210-adff-0e9cd73679b9?session=640259b0-4dd9-412e-9126-3d3a31cb2f96
* ID: Uploaded
* Email: alex@raftriversod.com
* Vehicle Color/Make/Model: White GMC 2500 truck
* ETA: 10:30 PM
* Acknowledgment: ✓</t>
  </si>
  <si>
    <t>2026-04-30 20:43:33</t>
  </si>
  <si>
    <t>2026-04-30 22:53:43</t>
  </si>
  <si>
    <t>2026-04-30 23:42:11</t>
  </si>
  <si>
    <t>HM85P9H8MT</t>
  </si>
  <si>
    <t>2026-05-01 00:01:02</t>
  </si>
  <si>
    <t>5092739610</t>
  </si>
  <si>
    <t>2026-05-01 00:06:09</t>
  </si>
  <si>
    <t>2026-05-01 01:08:08</t>
  </si>
  <si>
    <t>2450378542</t>
  </si>
  <si>
    <t>2026-05-01 01:49:56</t>
  </si>
  <si>
    <t>Byron Mitchell completed the Adventure Inn Registration Card mini app: https://sys.akia.ai/mapp/ab4a0735-c29e-4ff9-a56c-123cbb4cea8a?session=96b7ecf8-0f4d-4e7b-80be-926a652860a7
* ID: Uploaded
* Email: mbyron092@gmail.com
* Vehicle Color/Make/Model: Dodge, Avenger, RKP612
* ETA: 10:30 PM
* Acknowledgment: ✓</t>
  </si>
  <si>
    <t>2026-05-01 15:53:49</t>
  </si>
  <si>
    <t>Graeme Mardon completed the Adventure Inn Registration Card mini app: https://sys.akia.ai/mapp/923c1556-3a20-4662-8438-3ca7c9d9ce85?session=831b5c67-eb69-446a-a0fb-b4c8cc8efead
* ID: Uploaded
* Email: gmardon@att.net
* Vehicle Color/Make/Model: Budget Rental
* ETA: 10:00 PM
* Acknowledgment: ✓</t>
  </si>
  <si>
    <t>2450977187</t>
  </si>
  <si>
    <t>2026-05-01 22:19:27</t>
  </si>
  <si>
    <t>2451077823</t>
  </si>
  <si>
    <t>2026-05-02 01:32:28</t>
  </si>
  <si>
    <t>2451078150</t>
  </si>
  <si>
    <t>2026-05-02 01:32:58</t>
  </si>
  <si>
    <t>2451079171</t>
  </si>
  <si>
    <t>2026-05-02 01:34:57</t>
  </si>
  <si>
    <t>2026-05-02 02:50:50</t>
  </si>
  <si>
    <t>Elsa Campuzano completed the Adventure Inn Registration Card mini app: https://sys.akia.ai/mapp/3a5536a9-d3d6-4df5-bc13-6b4e28e40ef2?session=31bae1c1-d3c7-4af1-9b88-1432961a8816
* ID: Uploaded
* Email: elsacampuzano2004@gmail.com
* Vehicle Color/Make/Model: Black ram bighorn 
* ETA: 2:30 PM
* Acknowledgment: ✓</t>
  </si>
  <si>
    <t>2451272411</t>
  </si>
  <si>
    <t>2026-05-02 11:26:25</t>
  </si>
  <si>
    <t>Kyle Steven Mason completed the Adventure Inn Registration Card mini app: https://sys.akia.ai/mapp/c28a511c-6777-42fd-9f8e-b133244b9408?session=919be375-6d5c-462a-9b98-044ad2753b14
* ID: Uploaded
* Email: ksmason71@gmail.com
* Vehicle Color/Make/Model: None
* ETA: 9:45 PM
* Acknowledgment: ✓</t>
  </si>
  <si>
    <t>2451440666</t>
  </si>
  <si>
    <t>2026-05-02 17:29:04</t>
  </si>
  <si>
    <t>Tim Ryan completed the Adventure Inn Registration Card mini app: https://sys.akia.ai/mapp/3d54e013-7caa-48b3-a658-a03351e1dc89?session=2664d6cd-9839-4e13-92d0-c050a3e1b7b5
* ID: Uploaded
* Email: tipjen3@yahoo.com
* Vehicle Color/Make/Model: Red/Honda/Civic
* ETA: 3:00 AM
* Acknowledgment: ✓</t>
  </si>
  <si>
    <t>6856043830</t>
  </si>
  <si>
    <t>2026-05-02 19:19:05</t>
  </si>
  <si>
    <t>2026-05-02 19:23:25</t>
  </si>
  <si>
    <t>Monika Rasmussen completed the Adventure Inn Registration Card mini app: https://sys.akia.ai/mapp/d7b6b54c-3e78-407d-b229-39d08e9021fa?session=7990e646-9226-4e51-89e2-a8edeaad7f88
* ID: Uploaded
* Email: rasmussenmonika@gmail.com
* Vehicle Color/Make/Model: Grey WV Jetta
* ETA: 4:00 PM
* Acknowledgment: ✓</t>
  </si>
  <si>
    <t>HMRHSCR9C9</t>
  </si>
  <si>
    <t>2026-05-03 00:37:48</t>
  </si>
  <si>
    <t>2451702110</t>
  </si>
  <si>
    <t>2026-05-03 02:15:10</t>
  </si>
  <si>
    <t>2451765479</t>
  </si>
  <si>
    <t>2026-05-03 05:00:52</t>
  </si>
  <si>
    <t>2451979028</t>
  </si>
  <si>
    <t>2026-05-03 15:37:29</t>
  </si>
  <si>
    <t>Jo Ann Jones completed the Adventure Inn Registration Card mini app: https://sys.akia.ai/mapp/0924dfba-a7ef-41be-bdcf-1cc7ccb52025?session=3e7cf142-6261-48ab-b656-e1e5506431cb
* ID: Uploaded
* Email: djjones80@yahoo.com
* Vehicle Color/Make/Model: Sandstorm, Honda, CRV
* ETA: 4:00 PM
* Acknowledgment: ✓</t>
  </si>
  <si>
    <t>2026-05-03 17:27:38</t>
  </si>
  <si>
    <t>2026-05-03 22:34:23</t>
  </si>
  <si>
    <t>2026-06-30</t>
  </si>
  <si>
    <t>2452263170</t>
  </si>
  <si>
    <t>2026-05-03 23:55:39</t>
  </si>
  <si>
    <t>Michael Dotson completed the Adventure Inn Registration Card mini app: https://sys.akia.ai/mapp/a17e6f6a-7aaf-4519-a818-7aa82823793e?session=901425a8-cb30-4fbd-b335-634fc579a3e0
* ID: Uploaded
* Email: mtdotson@yahoo.com
* Vehicle Color/Make/Model: Silver Nissan Rogue 
* ETA: 4:00 PM
* Acknowledgment: ✓</t>
  </si>
  <si>
    <t>2452305390</t>
  </si>
  <si>
    <t>2026-05-04 01:09:26</t>
  </si>
  <si>
    <t>2026-05-04 01:45:37</t>
  </si>
  <si>
    <t>Jamie Wittick completed the Adventure Inn Registration Card mini app: https://sys.akia.ai/mapp/4b073250-97ed-487a-9c72-f0ef0a2a076d?session=395ddd36-faa4-4000-82f4-2842dd447f14
* ID: Uploaded
* Email: jamiewittick111@gmail.com
* Vehicle Color/Make/Model: Blue Chevy Camaro
* ETA: 8:30 PM
* Acknowledgment: ✓</t>
  </si>
  <si>
    <t>HMTW2RQS2B</t>
  </si>
  <si>
    <t>2026-05-04 02:07:44</t>
  </si>
  <si>
    <t>Jennifer Mink completed the Adventure Inn Registration Card mini app: https://sys.akia.ai/mapp/6e8eaf9b-1e20-4965-a9d6-a64818e1d30c?session=828a8bb7-0caa-43c8-b8fb-71ed2bef909d
* ID: Uploaded
* Email: jenfowler.sol@gmail.com
* Vehicle Color/Make/Model: Volvo white 
* ETA: 9:30 PM
* Acknowledgment: ✓</t>
  </si>
  <si>
    <t>2452371373</t>
  </si>
  <si>
    <t>2026-05-04 03:07:38</t>
  </si>
  <si>
    <t>2452450802</t>
  </si>
  <si>
    <t>2026-05-04 06:41:00</t>
  </si>
  <si>
    <t>2026-05-04 16:47:53</t>
  </si>
  <si>
    <t>2452803606</t>
  </si>
  <si>
    <t>2026-05-04 17:21:11</t>
  </si>
  <si>
    <t>2452892200</t>
  </si>
  <si>
    <t>2026-05-04 19:24:31</t>
  </si>
  <si>
    <t>2026-05-04 21:08:11</t>
  </si>
  <si>
    <t>2026-05-04 21:57:41</t>
  </si>
  <si>
    <t>2026-05-05 18:28:54</t>
  </si>
  <si>
    <t>2453684173</t>
  </si>
  <si>
    <t>2026-05-05 18:51:42</t>
  </si>
  <si>
    <t>Selena Langner completed the Adventure Inn Registration Card mini app: https://sys.akia.ai/mapp/870c2b3d-d9e6-4e59-b7a6-7737211db5b2?session=50ebe70a-b833-4a63-a45b-f817e249a365
* ID: Uploaded
* Email: selenalynlangner@gmail.com
* Vehicle Color/Make/Model: White Toyota Tacoma 
* ETA: 10:00 PM
* Acknowledgment: ✓</t>
  </si>
  <si>
    <t>2453889158</t>
  </si>
  <si>
    <t>2026-05-06 00:25:41</t>
  </si>
  <si>
    <t>2026-05-06 00:54:16</t>
  </si>
  <si>
    <t>2026-05-06 13:29:20</t>
  </si>
  <si>
    <t>2026-05-06 15:49:04</t>
  </si>
  <si>
    <t>HM9E53C8MX</t>
  </si>
  <si>
    <t>2026-05-06 17:29:49</t>
  </si>
  <si>
    <t>Jessica Gimbel completed the Adventure Inn Registration Card mini app: https://sys.akia.ai/mapp/4b13f736-db93-468c-a219-7f7a32adb5b9?session=361da9f4-ac0c-4db1-8e87-1638bada5216
* ID: Uploaded
* Email: jgimbelgirl@yahoo.com
* Vehicle Color/Make/Model: White/Chevrolet/Suburban
* ETA: 4:00 PM
* Acknowledgment: ✓</t>
  </si>
  <si>
    <t>2026-06-15</t>
  </si>
  <si>
    <t>2026-05-06 22:08:56</t>
  </si>
  <si>
    <t>Bryce Van Buskirk completed the Adventure Inn Registration Card mini app: https://sys.akia.ai/mapp/f80bb0de-1b22-4234-95fe-dc54b216214d?session=c8c4dbfa-85d8-4eed-a555-2e7c15d62092
* ID: Uploaded
* Email: vanbuskirk1971@gmail.com
* Vehicle Color/Make/Model: Red GMC Acadia 
* ETA: 4:00 PM
* Acknowledgment: ✓, Jessica Van Buskirk completed the Adventure Inn Registration Card mini app: https://sys.akia.ai/mapp/4d12e399-7fd9-425d-9b45-477fa27c7048?session=abf7df5a-398a-496b-9bf2-b380d2516435
* ID: Uploaded
* Email: jessica.lm.vanbuskirk@gmail.com
* Vehicle Color/Make/Model: Burgundy/GMC/Acadia
* ETA: 4:00 PM
* Acknowledgment: ✓</t>
  </si>
  <si>
    <t>2454845530</t>
  </si>
  <si>
    <t>2026-05-07 05:00:58</t>
  </si>
  <si>
    <t>2026-05-07 21:55:48</t>
  </si>
  <si>
    <t>2026-05-07 22:55:16</t>
  </si>
  <si>
    <t>114 (STK), 115 (STQ), 108 (STK), 112 (STQ), 103 (STK), 104 (STK)</t>
  </si>
  <si>
    <t>2026-07-13</t>
  </si>
  <si>
    <t>2026-05-07 23:24:24</t>
  </si>
  <si>
    <t>2455542329</t>
  </si>
  <si>
    <t>2026-05-08 02:00:25</t>
  </si>
  <si>
    <t>Austin Wolff completed the Adventure Inn Registration Card mini app: https://sys.akia.ai/mapp/1aeadb35-1cac-48d7-a9df-71e55a74d08f?session=046f803d-9869-480b-a4bc-ee2a3042a395
* ID: Uploaded
* Email: atwolff15@gmail.com
* Vehicle Color/Make/Model: Gray/Hyundai/Santa Cruz
* ETA: 4:00 PM
* Acknowledgment: ✓</t>
  </si>
  <si>
    <t>2455576800</t>
  </si>
  <si>
    <t>2026-05-08 02:57:05</t>
  </si>
  <si>
    <t>Robert Hosea completed the Adventure Inn Registration Card mini app: https://sys.akia.ai/mapp/cd55ec6e-3ccf-4b4e-b16f-7ea317ccb4aa?session=c73fac8c-cc87-46ee-b82c-aa1f8e067ef1
* ID: Uploaded
* Email: robo308@msn.com
* Vehicle Color/Make/Model: Silver Honda CR-V
* ETA: 4:00 PM
* Acknowledgment: ✓</t>
  </si>
  <si>
    <t>2455840515</t>
  </si>
  <si>
    <t>2026-05-08 13:09:28</t>
  </si>
  <si>
    <t>2455847121</t>
  </si>
  <si>
    <t>2026-05-08 13:20:45</t>
  </si>
  <si>
    <t>2455881059</t>
  </si>
  <si>
    <t>2026-05-08 14:13:46</t>
  </si>
  <si>
    <t>Sara Perry completed the Adventure Inn Registration Card mini app: https://sys.akia.ai/mapp/0592164c-bfb3-42a3-841b-268aa2366fb8?session=4e289227-4bbd-4d2e-add5-36a27f1b2e11
* ID: Uploaded
* Email: super_sbuyo17@yahoo.com
* Vehicle Color/Make/Model: Gray Toyota Tacoma
* ETA: 3:00 PM
* Acknowledgment: ✓</t>
  </si>
  <si>
    <t>2026-05-08 15:18:38</t>
  </si>
  <si>
    <t>2455926803</t>
  </si>
  <si>
    <t>2026-05-08 15:21:48</t>
  </si>
  <si>
    <t>Jacqueline Albright completed the Adventure Inn Registration Card mini app: https://sys.akia.ai/mapp/4a2362e7-836d-4256-88bb-f874319c3f51?session=646e565a-e4a0-45e1-96e5-ff4f69daab61
* ID: Uploaded
* Email: adsok@aol.com
* Vehicle Color/Make/Model: White Ford Escape
* ETA: 5:00 PM
* Acknowledgment: ✓</t>
  </si>
  <si>
    <t>2026-05-08 15:30:16</t>
  </si>
  <si>
    <t>Carla Granof completed the Adventure Inn Registration Card mini app: https://sys.akia.ai/mapp/5f778fb7-de10-4c5f-aa79-92eb1668bb4e?session=6768fa56-1f8a-41cc-83d1-1edcbce51308
* ID: Uploaded
* Email: carla.granof@gmail.com
* Vehicle Color/Make/Model: White, Nissan, Rogue
* ETA: 4:00 PM
* Acknowledgment: ✓</t>
  </si>
  <si>
    <t>2455953102</t>
  </si>
  <si>
    <t>2026-05-08 16:00:26</t>
  </si>
  <si>
    <t>Christopher Ayala completed the Adventure Inn Registration Card mini app: https://sys.akia.ai/mapp/bc9d9db1-88b9-40e9-a061-5d238a463d94?session=2736d288-3d62-460e-adbe-7d9c37cd09b0
* ID: Uploaded
* Email: cayala122@live.com
* Vehicle Color/Make/Model: BLACK FORD F350 DULLEY
* ETA: 4:00 PM
* Acknowledgment: ✓</t>
  </si>
  <si>
    <t>2455971721</t>
  </si>
  <si>
    <t>2026-05-08 16:28:53</t>
  </si>
  <si>
    <t>Brian Walker completed the Adventure Inn Registration Card mini app: https://sys.akia.ai/mapp/d57f7a19-1547-466b-bbad-2eb1ef5750eb?session=a75084de-8233-4cae-a63c-5ece281657a2
* ID: Uploaded
* Email: 66walk@gmail.com
* Vehicle Color/Make/Model: Black Harley Davidson
* ETA: 4:00 PM
* Acknowledgment: ✓</t>
  </si>
  <si>
    <t>2456026240</t>
  </si>
  <si>
    <t>2026-05-08 17:54:15</t>
  </si>
  <si>
    <t>Veronica Martin completed the Adventure Inn Registration Card mini app: https://sys.akia.ai/mapp/2a3c22d1-7871-4996-ad90-12c32ba91f45?session=61566025-f858-4171-869d-51d8beeff87f
* ID: Uploaded
* Email: vnmartin91@gmail.com
* Vehicle Color/Make/Model: Red Ford Explorer 
* ETA: 12:00 PM
* Acknowledgment: ✓</t>
  </si>
  <si>
    <t>2456051213</t>
  </si>
  <si>
    <t>2026-05-08 18:34:50</t>
  </si>
  <si>
    <t>James Urbany completed the Adventure Inn Registration Card mini app: https://sys.akia.ai/mapp/32404792-0e52-4547-81d1-959459c6252e?session=e767fb5d-eaa5-4efa-88e5-82190861b19a
* ID: Uploaded
* Email: james.urbany@gmail.com
* Vehicle Color/Make/Model: White Honda CRV
* ETA: 4:00 PM
* Acknowledgment: ✓</t>
  </si>
  <si>
    <t>106 (STQ), 111 (SMQ)</t>
  </si>
  <si>
    <t>2026-05-08 22:28:57</t>
  </si>
  <si>
    <t>Manuel Moody completed the Adventure Inn Registration Card mini app: https://sys.akia.ai/mapp/a86cfad2-e354-470b-8f85-a0dd02d7a619?session=5454a197-ed30-4f07-9be2-068de1c2e9b2
* ID: Uploaded
* Email: manuel_moody@yahoo.com
* Vehicle Color/Make/Model: Grey/Volkswagen/Tiguan
* ETA: 5:15 PM
* Acknowledgment: ✓</t>
  </si>
  <si>
    <t>2456242608</t>
  </si>
  <si>
    <t>2026-05-09 00:12:10</t>
  </si>
  <si>
    <t>2456245395</t>
  </si>
  <si>
    <t>2026-05-09 00:17:27</t>
  </si>
  <si>
    <t>2456331494</t>
  </si>
  <si>
    <t>2026-05-09 03:09:05</t>
  </si>
  <si>
    <t>2456671906</t>
  </si>
  <si>
    <t>2026-05-09 18:23:08</t>
  </si>
  <si>
    <t>Melissa Fodor completed the Adventure Inn Registration Card mini app: https://sys.akia.ai/mapp/953ddcdb-33a6-4131-b465-07bfd7e9bca1?session=4911f160-2dc3-49dd-91bc-72e133075f5d
* ID: Uploaded
* Email: melissa14fodor@gmail.com
* Vehicle Color/Make/Model: Nissan/gray
* ETA: 8:00 PM
* Acknowledgment: ✓</t>
  </si>
  <si>
    <t>2456728942</t>
  </si>
  <si>
    <t>2026-05-09 20:16:24</t>
  </si>
  <si>
    <t>2456873091</t>
  </si>
  <si>
    <t>2026-05-10 01:35:34</t>
  </si>
  <si>
    <t>2026-05-10 01:53:54</t>
  </si>
  <si>
    <t>Tiara Hunter completed the Adventure Inn Registration Card mini app: https://sys.akia.ai/mapp/6c4137b3-691f-4cab-92c5-1c6e38109ce6?session=ae49c035-25e7-486c-a828-4879dad0710a
* ID: Uploaded
* Email: huntertiara84@gmail.com
* Vehicle Color/Make/Model: white/mazda/cx5
* ETA: 6:00 PM
* Acknowledgment: ✓</t>
  </si>
  <si>
    <t>2456947074</t>
  </si>
  <si>
    <t>2026-05-10 04:50:59</t>
  </si>
  <si>
    <t>2457009898</t>
  </si>
  <si>
    <t>2026-05-10 09:01:24</t>
  </si>
  <si>
    <t>Verity Nellen completed the Adventure Inn Registration Card mini app: https://sys.akia.ai/mapp/c8ebd58a-3fdd-4a9c-a833-d93b186e4c4a?session=dd13be95-0e18-4ce8-b63b-5ba996095d8a
* ID: Uploaded
* Email: veritynellen@hotmail.co.uk
* Vehicle Color/Make/Model: Red Kia
* ETA: 3:00 PM
* Acknowledgment: ✓</t>
  </si>
  <si>
    <t>2026-05-10 17:00:22</t>
  </si>
  <si>
    <t>2026-05-21</t>
  </si>
  <si>
    <t>2457231640</t>
  </si>
  <si>
    <t>2026-05-10 18:10:13</t>
  </si>
  <si>
    <t>2457264897</t>
  </si>
  <si>
    <t>2026-05-10 19:12:26</t>
  </si>
  <si>
    <t>5533471549</t>
  </si>
  <si>
    <t>2026-05-10 21:19:36</t>
  </si>
  <si>
    <t>Virginia Metz completed the Adventure Inn Registration Card mini app: https://sys.akia.ai/mapp/76d88e32-f414-4a42-a016-7df7bf351dea?session=34fae213-3264-4a97-8424-103e2b242b7d
* ID: Uploaded
* Email: mmetz10317@aol.com
* Vehicle Color/Make/Model: grey Honda Fit
* ETA: 4:00 PM
* Acknowledgment: ✓</t>
  </si>
  <si>
    <t>2457359326</t>
  </si>
  <si>
    <t>2026-05-10 22:10:48</t>
  </si>
  <si>
    <t>HMHSXMFNY2</t>
  </si>
  <si>
    <t>2026-05-10 22:38:38</t>
  </si>
  <si>
    <t>Jennifer Mink completed the Adventure Inn Registration Card mini app: https://sys.akia.ai/mapp/d3bc10df-2211-404b-95b9-d12201ced62e?session=327758e6-5fa4-4dfb-8a4e-6c5b8fcf450f
* ID: Uploaded
* Email: jenfowler.sol@gmail.com
* Vehicle Color/Make/Model:  Volvo white
* ETA: 9:30 PM
* Acknowledgment: ✓</t>
  </si>
  <si>
    <t>2457388857</t>
  </si>
  <si>
    <t>2026-05-10 23:11:52</t>
  </si>
  <si>
    <t>2457490848</t>
  </si>
  <si>
    <t>2026-05-11 02:20:36</t>
  </si>
  <si>
    <t>Brad Wilson completed the Adventure Inn Registration Card mini app: https://sys.akia.ai/mapp/eeda7f92-963d-46f9-ae01-dea8af4c74d2?session=691b9eae-1e46-4edc-b2a2-0461c52fa4b2
* ID: Uploaded
* Email: bradlwilson@cox.net
* Vehicle Color/Make/Model: White Subaru Legacy
* ETA: 9:30 PM
* Acknowledgment: ✓</t>
  </si>
  <si>
    <t>2457513658</t>
  </si>
  <si>
    <t>2026-05-11 03:03:35</t>
  </si>
  <si>
    <t>Michael Piatek completed the Adventure Inn Registration Card mini app: https://sys.akia.ai/mapp/e963acff-f590-406b-98cb-039b2650b6de?session=37214c60-5e6e-46cc-ac97-ae18d669c9ca
* ID: Uploaded
* Email: ptkranchllc@gmail.com
* Vehicle Color/Make/Model: Gray Honda odyssey 
* ETA: 3:00 PM
* Acknowledgment: ✓</t>
  </si>
  <si>
    <t>2026-05-11 03:08:59</t>
  </si>
  <si>
    <t>Nico Seiler completed the Adventure Inn Registration Card mini app: https://sys.akia.ai/mapp/7cc7a0c2-83f9-482f-9697-609529daeafc?session=4341432c-7138-4bd6-85cc-e9bdd39cb4a7
* ID: Uploaded
* Email: nseiler@grad.bryant.edu
* Vehicle Color/Make/Model: Black BMW R1250GS motorcycle 
* ETA: 4:00 PM
* Acknowledgment: ✓</t>
  </si>
  <si>
    <t>2026-05-11 04:05:48</t>
  </si>
  <si>
    <t>2457745458</t>
  </si>
  <si>
    <t>2026-05-11 12:05:06</t>
  </si>
  <si>
    <t>2457954277</t>
  </si>
  <si>
    <t>2026-05-11 16:53:06</t>
  </si>
  <si>
    <t>Lauren Edmondson completed the Adventure Inn Registration Card mini app: https://sys.akia.ai/mapp/b21cc718-58f0-4f92-9f92-516c4fc0f62c?session=ed461b3b-0870-4ec8-b223-3edd1158b840
* ID: Uploaded
* Email: laurenedmo@gmail.com
* Vehicle Color/Make/Model: Dark grey jeep wrangler 
* ETA: 8:00 PM
* Acknowledgment: ✓</t>
  </si>
  <si>
    <t>2026-05-11 18:27:33</t>
  </si>
  <si>
    <t>2026-05-11 18:29:28</t>
  </si>
  <si>
    <t>2458061247</t>
  </si>
  <si>
    <t>2026-05-11 19:18:15</t>
  </si>
  <si>
    <t>Brittnee Turner completed the Adventure Inn Registration Card mini app: https://sys.akia.ai/mapp/663f6083-7db0-4641-9b90-d6aa026b9e58?session=d0ad34d1-14c4-4221-b5b8-2e609bf46d20
* ID: Uploaded
* Email: brittneekramer2017@gmail.com
* Vehicle Color/Make/Model: White dodge ram
* ETA: 4:00 PM
* Acknowledgment: ✓</t>
  </si>
  <si>
    <t>2026-05-11 20:41:38</t>
  </si>
  <si>
    <t>Pete Kosciuk completed the Adventure Inn Registration Card mini app: https://sys.akia.ai/mapp/9d9f22b6-eccb-4745-9ab1-053783fb8ebd?session=ce5d968e-61f4-4531-82e1-3d30fc5aeebb
* ID: Uploaded
* Email: petekosciuk@gmail.com
* Vehicle Color/Make/Model: Ford f 150
* ETA: 11:00 PM
* Acknowledgment: ✓</t>
  </si>
  <si>
    <t>2458188658</t>
  </si>
  <si>
    <t>2026-05-11 22:23:00</t>
  </si>
  <si>
    <t>6885029645</t>
  </si>
  <si>
    <t>2026-05-11 22:56:46</t>
  </si>
  <si>
    <t>2026-05-12 01:29:50</t>
  </si>
  <si>
    <t>2026-05-12 02:02:14</t>
  </si>
  <si>
    <t>2458399236</t>
  </si>
  <si>
    <t>2026-05-12 04:13:36</t>
  </si>
  <si>
    <t>Mrunal Salunke completed the Adventure Inn Registration Card mini app: https://sys.akia.ai/mapp/d23e010b-d188-47c6-9701-d1b93f8aa990?session=94deff41-bee1-406a-952e-3a8cdb345cfb
* ID: Uploaded
* Email: mrunalsalunke19@gmail.com
* Vehicle Color/Make/Model: Dodge Durango
* ETA: 10:45 PM
* Acknowledgment: ✓</t>
  </si>
  <si>
    <t>2458408325</t>
  </si>
  <si>
    <t>2026-05-12 04:34:01</t>
  </si>
  <si>
    <t>Erik Trapper completed the Adventure Inn Registration Card mini app: https://sys.akia.ai/mapp/207ec973-a1e8-435b-8cd4-470b088800ac?session=90afdc84-49b8-49cc-b834-e9236b5c79f5
* ID: Uploaded
* Email: eriktrapper@hotmail.com
* Vehicle Color/Make/Model: Black BMW Mottorcycle 26V5918
* ETA: 8:00 AM
* Acknowledgment: ✓</t>
  </si>
  <si>
    <t>2458461761</t>
  </si>
  <si>
    <t>2026-05-12 06:53:39</t>
  </si>
  <si>
    <t>2458511168</t>
  </si>
  <si>
    <t>2026-05-12 08:50:01</t>
  </si>
  <si>
    <t>2458703555</t>
  </si>
  <si>
    <t>2026-05-12 14:40:00</t>
  </si>
  <si>
    <t>5728369700</t>
  </si>
  <si>
    <t>2026-05-12 14:54:02</t>
  </si>
  <si>
    <t>2458751551</t>
  </si>
  <si>
    <t>2026-05-12 15:42:46</t>
  </si>
  <si>
    <t>2026-05-12 17:16:10</t>
  </si>
  <si>
    <t>2026-05-12 17:39:35</t>
  </si>
  <si>
    <t>2458913627</t>
  </si>
  <si>
    <t>2026-05-12 19:33:21</t>
  </si>
  <si>
    <t>Sue Sisco completed the Adventure Inn Registration Card mini app: https://sys.akia.ai/mapp/2e76e6b4-32d1-49c4-a41c-57e0f3d12cae?session=c732e30a-ebf9-4571-943b-2af62d7f5382
* ID: Uploaded
* Email: siscosue641@gmail.com
* Vehicle Color/Make/Model: White GMC truck
* ETA: 8:45 PM
* Acknowledgment: ✓</t>
  </si>
  <si>
    <t>2458918347</t>
  </si>
  <si>
    <t>2026-05-12 19:40:18</t>
  </si>
  <si>
    <t>2458929583</t>
  </si>
  <si>
    <t>2026-05-12 19:56:13</t>
  </si>
  <si>
    <t>2026-05-12 21:43:02</t>
  </si>
  <si>
    <t>Jaedyn Nishiya completed the Adventure Inn Registration Card mini app: https://sys.akia.ai/mapp/93ed0ebc-1ab9-450c-9bb2-9b7cc259206c?session=8fd6eb50-3610-434d-9392-a397985494be
* ID: Uploaded
* Email: njaedyn@gmail.com
* Vehicle Color/Make/Model: Silver Subaru Outback 
* ETA: 4:00 PM
* Acknowledgment: ✓</t>
  </si>
  <si>
    <t>2026-05-12 23:36:01</t>
  </si>
  <si>
    <t>Colleen Mcardell completed the Adventure Inn Registration Card mini app: https://sys.akia.ai/mapp/dbe739e7-e20d-4fc8-a884-314aa40b6dff?session=f5ae287a-66e5-43c1-9c20-77082ba2f1a6
* ID: Uploaded
* Email: colleen.mcardell@gmail.com
* Vehicle Color/Make/Model: Sub/forester
* ETA: 8:00 PM
* Acknowledgment: ✓</t>
  </si>
  <si>
    <t>2459131205</t>
  </si>
  <si>
    <t>2026-05-13 01:24:03</t>
  </si>
  <si>
    <t>Christopher Reynoso completed the Adventure Inn Registration Card mini app: https://sys.akia.ai/mapp/6bf81f9a-2627-422a-9c04-7dd80fca4c78?session=182c4af2-41b1-4261-b6ad-591b8e1f8364
* ID: Uploaded
* Email: krisreynoso47@icloud.com
* Vehicle Color/Make/Model: Box truck 
* ETA: 10:30 PM
* Acknowledgment: ✓</t>
  </si>
  <si>
    <t>2459148772</t>
  </si>
  <si>
    <t>2026-05-13 01:50:00</t>
  </si>
  <si>
    <t>2026-05-13 02:07:55</t>
  </si>
  <si>
    <t>2459173466</t>
  </si>
  <si>
    <t>2026-05-13 02:28:38</t>
  </si>
  <si>
    <t>2459173964</t>
  </si>
  <si>
    <t>2026-05-13 02:29:25</t>
  </si>
  <si>
    <t>2026-05-13 02:35:49</t>
  </si>
  <si>
    <t>2459178306</t>
  </si>
  <si>
    <t>2026-05-13 02:36:02</t>
  </si>
  <si>
    <t>Reb Oxley completed the Adventure Inn Registration Card mini app: https://sys.akia.ai/mapp/7c9869e4-5744-49f6-a2ae-3570b31908fc?session=b6a7b575-46bc-45cf-a145-7db0c168cf80
* ID: Uploaded
* Email: reb.oxo@hotmail.com
* Vehicle Color/Make/Model: Blue Ford Bronco 
* ETA: 4:00 PM
* Acknowledgment: ✓</t>
  </si>
  <si>
    <t>2459202788</t>
  </si>
  <si>
    <t>2026-05-13 03:16:29</t>
  </si>
  <si>
    <t>Parker Morris completed the Adventure Inn Registration Card mini app: https://sys.akia.ai/mapp/a7d07d75-bbc2-4348-b0d9-a8877f59010d?session=843d671e-c92d-40b0-bb89-7d38ca900161
* ID: Uploaded
* Email: ptrumpet13@gmail.com
* Vehicle Color/Make/Model: Gray Chevy cruze
* ETA: 6:00 PM
* Acknowledgment: ✓</t>
  </si>
  <si>
    <t>2459235479</t>
  </si>
  <si>
    <t>2026-05-13 04:20:05</t>
  </si>
  <si>
    <t>Emily Terhorst completed the Adventure Inn Registration Card mini app: https://sys.akia.ai/mapp/64f2ebbb-090d-43ad-a9f2-7ebedd649880?session=d15b6c37-c9d7-47f7-914f-a27983659fa5
* ID: Uploaded
* Email: emilyjterhorst@protonmail.com
* Vehicle Color/Make/Model: NA
* ETA: 4:00 PM
* Acknowledgment: ✓</t>
  </si>
  <si>
    <t>2459253143</t>
  </si>
  <si>
    <t>2026-05-13 05:00:27</t>
  </si>
  <si>
    <t>2459464162</t>
  </si>
  <si>
    <t>2026-05-13 12:57:54</t>
  </si>
  <si>
    <t>2459483117</t>
  </si>
  <si>
    <t>2026-05-13 13:26:49</t>
  </si>
  <si>
    <t>2459624120</t>
  </si>
  <si>
    <t>2026-05-13 16:39:31</t>
  </si>
  <si>
    <t>5394290623</t>
  </si>
  <si>
    <t>2026-05-13 17:40:13</t>
  </si>
  <si>
    <t>2459666863</t>
  </si>
  <si>
    <t>2026-05-13 17:43:02</t>
  </si>
  <si>
    <t>2026-09-29</t>
  </si>
  <si>
    <t>2459688802</t>
  </si>
  <si>
    <t>2026-05-13 18:15:34</t>
  </si>
  <si>
    <t>2459703060</t>
  </si>
  <si>
    <t>2026-05-13 18:36:41</t>
  </si>
  <si>
    <t>Lakeeda Wilson completed the Adventure Inn Registration Card mini app: https://sys.akia.ai/mapp/893870a1-ed55-467d-ba49-2b102c218795?session=18ca5dcb-53d6-4494-b7f0-f58d7c08e87d
* ID: Uploaded
* Email: lakeeda.wilson@yahoo.com
* Vehicle Color/Make/Model: Buick Envista
* ETA: 1:00 PM
* Acknowledgment: ✓</t>
  </si>
  <si>
    <t>2026-05-13 19:52:02</t>
  </si>
  <si>
    <t>David Landman completed the Adventure Inn Registration Card mini app: https://sys.akia.ai/mapp/17995709-3190-4c6f-a0ee-7197007c3f5b?session=748e647e-1a15-47f5-be86-28375e897006
* ID: Uploaded
* Email: davidlandman1@gmail.com
* Vehicle Color/Make/Model: Black Toyota Tacoma
* ETA: 12:00 PM
* Acknowledgment: ✓</t>
  </si>
  <si>
    <t>2459769730</t>
  </si>
  <si>
    <t>2026-05-13 20:14:01</t>
  </si>
  <si>
    <t>David Murphy completed the Adventure Inn Registration Card mini app: https://sys.akia.ai/mapp/64f6ff0f-dd86-420b-adf8-2046f8e07465?session=74634b05-5c28-4e62-b794-d2675cab2dad
* ID: Uploaded
* Email: davidmurphy22@yahoo.com
* Vehicle Color/Make/Model: Alamo rental
* ETA: 11:30 PM
* Acknowledgment: ✓</t>
  </si>
  <si>
    <t>2459776949</t>
  </si>
  <si>
    <t>2026-05-13 20:24:37</t>
  </si>
  <si>
    <t>2459784672</t>
  </si>
  <si>
    <t>2026-05-13 20:36:18</t>
  </si>
  <si>
    <t>Nathan Miller completed the Adventure Inn Registration Card mini app: https://sys.akia.ai/mapp/d4706b0d-2305-48be-bf92-4ff3fbef33bf?session=0becb440-e426-4086-8c13-1cc222eb8fe4
* ID: Uploaded
* Email: n.millerrn@yahoo.com
* Vehicle Color/Make/Model: Silver Toyota 4Runner 
* ETA: 4:00 PM
* Acknowledgment: ✓</t>
  </si>
  <si>
    <t>2459814853</t>
  </si>
  <si>
    <t>2026-05-13 21:22:47</t>
  </si>
  <si>
    <t>5423628657</t>
  </si>
  <si>
    <t>2026-05-13 21:44:45</t>
  </si>
  <si>
    <t>HMPPM9X4CZ</t>
  </si>
  <si>
    <t>2026-05-13 21:44:49</t>
  </si>
  <si>
    <t>2026-05-13 22:11:46</t>
  </si>
  <si>
    <t>2459855884</t>
  </si>
  <si>
    <t>2026-05-13 22:30:02</t>
  </si>
  <si>
    <t>2459874654</t>
  </si>
  <si>
    <t>2026-05-13 23:02:55</t>
  </si>
  <si>
    <t>Christopher Novak completed the Adventure Inn Registration Card mini app: https://sys.akia.ai/mapp/2acc7ff1-500a-4a1f-9b2d-df994fb272af?session=bcd3c5d9-cb47-43ec-9f17-5da13e495daf
* ID: Uploaded
* Email: cnover06@gmail.com
* Vehicle Color/Make/Model: Genesis GV80 
* ETA: 6:30 PM
* Acknowledgment: ✓</t>
  </si>
  <si>
    <t>2459890578</t>
  </si>
  <si>
    <t>2026-05-13 23:30:23</t>
  </si>
  <si>
    <t>2459922825</t>
  </si>
  <si>
    <t>2026-05-14 00:25:17</t>
  </si>
  <si>
    <t>2459961096</t>
  </si>
  <si>
    <t>2026-05-14 01:24:28</t>
  </si>
  <si>
    <t>Kimberly Gloshen completed the Adventure Inn Registration Card mini app: https://sys.akia.ai/mapp/8bbe3c9b-67cf-4641-8b9b-f24c83695c72?session=70af68e5-ac94-4474-a515-07d1f16114eb
* ID: Uploaded
* Email: kgloshen@yahoo.com
* Vehicle Color/Make/Model: Silver, Chrysler Pacifica
* ETA: 7:00 PM
* Acknowledgment: ✓</t>
  </si>
  <si>
    <t>2026-05-14 01:25:44</t>
  </si>
  <si>
    <t>2459967874</t>
  </si>
  <si>
    <t>2026-05-14 01:34:43</t>
  </si>
  <si>
    <t>Morgan Johnston completed the Adventure Inn Registration Card mini app: https://sys.akia.ai/mapp/0a7d902b-d608-49e2-a40f-6914237ea54e?session=af446ede-5a33-4450-a976-24e57a6f0df6
* ID: Uploaded
* Email: mjnicole98@gmail.com
* Vehicle Color/Make/Model: blue subaru outback 
* ETA: 9:00 PM
* Acknowledgment: ✓</t>
  </si>
  <si>
    <t>HMJFYY8928</t>
  </si>
  <si>
    <t>2026-05-14 01:59:57</t>
  </si>
  <si>
    <t>Stephen Cancila completed the Adventure Inn Registration Card mini app: https://sys.akia.ai/mapp/de9a5a9e-9dae-452a-a23e-530457242a55?session=7fdf677f-b897-47f5-8c2a-66127056edf1
* ID: Uploaded
* Email: Steve@clementcdjr.com
* Vehicle Color/Make/Model: Rental truck
* ETA: 3:00 PM
* Acknowledgment: ✓</t>
  </si>
  <si>
    <t>6491255161</t>
  </si>
  <si>
    <t>2026-05-14 03:07:39</t>
  </si>
  <si>
    <t>2026-05-14 03:39:58</t>
  </si>
  <si>
    <t>2460116200</t>
  </si>
  <si>
    <t>2026-05-14 06:33:38</t>
  </si>
  <si>
    <t>2460119093</t>
  </si>
  <si>
    <t>2026-05-14 06:41:29</t>
  </si>
  <si>
    <t>Rodora Vibieda completed the Adventure Inn Registration Card mini app: https://sys.akia.ai/mapp/99af184e-363e-49a3-a930-ec9cd039d67b?session=f3120515-ef75-45d3-ae9a-bfce8ab894b0
* ID: Uploaded
* Email: rodoravibieda@yahoo.com
* Vehicle Color/Make/Model: Chevy Tahoe
* ETA: 4:07 PM
* Acknowledgment: ✓</t>
  </si>
  <si>
    <t>2460301067</t>
  </si>
  <si>
    <t>2026-05-14 13:34:46</t>
  </si>
  <si>
    <t>6785130588</t>
  </si>
  <si>
    <t>2026-05-14 14:15:02</t>
  </si>
  <si>
    <t>2026-05-14 14:40:58</t>
  </si>
  <si>
    <t>2460369615</t>
  </si>
  <si>
    <t>2026-05-14 15:14:15</t>
  </si>
  <si>
    <t>Marianne Fitzgerald completed the Adventure Inn Registration Card mini app: https://sys.akia.ai/mapp/c7bd0dbc-a4e2-4692-855b-2ef9a3d5ebf1?session=a03276fb-b63d-461c-a4ce-a4faef335d62
* ID: Uploaded
* Email: marfitzmt@gmail.com
* Vehicle Color/Make/Model: Blue Nissan Rogue
* ETA: 4:00 PM
* Acknowledgment: ✓</t>
  </si>
  <si>
    <t>2460426799</t>
  </si>
  <si>
    <t>2026-05-14 16:34:25</t>
  </si>
  <si>
    <t>Mike Vining completed the Adventure Inn Registration Card mini app: https://sys.akia.ai/mapp/07867da8-398a-4fb0-8e1a-fcd59dd7b662?session=21cd4ff3-980c-4cb2-9893-6735f63847e3
* ID: Uploaded
* Email: sgmmvining@gmail.com
* Vehicle Color/Make/Model: White Subaru Outback 
* ETA: 4:00 PM
* Acknowledgment: ✓</t>
  </si>
  <si>
    <t>2026-05-14 17:00:59</t>
  </si>
  <si>
    <t>2026-05-14 18:37:18</t>
  </si>
  <si>
    <t>HM5HKPNWH3</t>
  </si>
  <si>
    <t>2026-05-14 20:21:07</t>
  </si>
  <si>
    <t>5216688737</t>
  </si>
  <si>
    <t>2026-05-14 23:07:56</t>
  </si>
  <si>
    <t>Davis Richelle completed the Adventure Inn Registration Card mini app: https://sys.akia.ai/mapp/7012de26-74fa-4ece-ac93-20cdefedc437?session=5cf8a877-9a04-4ae0-abc4-d8975b13a45d
* ID: Uploaded
* Email: rrdvs99@gmail.com
* Vehicle Color/Make/Model: white Chevrolet Trail Blazer 
* ETA: 4:30 PM
* Acknowledgment: ✓</t>
  </si>
  <si>
    <t>2026-05-15 02:05:35</t>
  </si>
  <si>
    <t>6785133583</t>
  </si>
  <si>
    <t>2026-05-15 03:11:57</t>
  </si>
  <si>
    <t>Rebecca Sandoval-Salas completed the Adventure Inn Registration Card mini app: https://sys.akia.ai/mapp/60ff48c4-49fb-4168-b697-45145ead5a22?session=dde0a3a7-c122-49ed-83f1-cea1bca4d6e8
* ID: Uploaded
* Email: becjfit@gmail.com
* Vehicle Color/Make/Model: Black/Toyota/Camry
* ETA: 4:00 PM
* Acknowledgment: ✓</t>
  </si>
  <si>
    <t>6502812620</t>
  </si>
  <si>
    <t>2026-05-15 04:39:57</t>
  </si>
  <si>
    <t>Darren Measom completed the Adventure Inn Registration Card mini app: https://sys.akia.ai/mapp/34f6ee01-80ee-4d20-9e2b-3560056c8b15?session=082fa239-5d92-4829-bcb5-6c078fdd574b
* ID: Uploaded
* Email: dmeasom@comcast.net
* Vehicle Color/Make/Model: 2024 nissan rogue
* ETA: 4:00 PM
* Acknowledgment: ✓</t>
  </si>
  <si>
    <t>HMXBMEZ4FA</t>
  </si>
  <si>
    <t>2026-05-15 05:23:13</t>
  </si>
  <si>
    <t>2461192201</t>
  </si>
  <si>
    <t>2026-05-15 15:22:32</t>
  </si>
  <si>
    <t>Nicole Johnson completed the Adventure Inn Registration Card mini app: https://sys.akia.ai/mapp/19756cdf-103d-4cd1-be8a-ded618404145?session=aa34f347-b36e-417f-ba3d-7aee9ccb2d89
* ID: Uploaded
* Email: nunyalady@gmail.com
* Vehicle Color/Make/Model: Black Nissan Rogue
* ETA: 7:00 PM
* Acknowledgment: ✓</t>
  </si>
  <si>
    <t>2026-05-15 16:51:28</t>
  </si>
  <si>
    <t>Jason Landers completed the Adventure Inn Registration Card mini app: https://sys.akia.ai/mapp/5fdfd365-2430-4257-a16b-1a194b46ed6c?session=189e75ce-6da0-402b-b517-c5e55fd5b489
* ID: Uploaded
* Email: jcblanders@yahoo.com
* Vehicle Color/Make/Model: Green/Jeep/Wrangler
* ETA: 1:00 PM
* Acknowledgment: ✓</t>
  </si>
  <si>
    <t>2026-05-15 18:00:33</t>
  </si>
  <si>
    <t>Robert Townsend completed the Adventure Inn Registration Card mini app: https://sys.akia.ai/mapp/43747e83-c021-4316-84ab-4fa1a4e49cd6?session=22f6100e-3a57-487f-8c54-6e62381b652d
* ID: Uploaded
* Email: 1shaunatownsend@gmail.com
* Vehicle Color/Make/Model: 2021 Indian Rodamaster
* ETA: 4:00 PM
* Acknowledgment: ✓</t>
  </si>
  <si>
    <t>2461317063</t>
  </si>
  <si>
    <t>2026-05-15 18:26:24</t>
  </si>
  <si>
    <t>Jason Hinojosa completed the Adventure Inn Registration Card mini app: https://sys.akia.ai/mapp/7aec57f0-bc09-4b2b-a229-f47c93e3f4ed?session=8425cedb-1f9e-45a9-8af7-2ed25a08c4b5
* ID: Uploaded
* Email: jhinojosalt@gmail.com
* Vehicle Color/Make/Model: White Hyundai Tuscon
* ETA: 4:00 PM
* Acknowledgment: ✓</t>
  </si>
  <si>
    <t>2461353642</t>
  </si>
  <si>
    <t>2026-05-15 19:22:38</t>
  </si>
  <si>
    <t>2026-05-15 23:31:21</t>
  </si>
  <si>
    <t>2026-05-15 23:36:47</t>
  </si>
  <si>
    <t>Carolyn Macadam completed the Adventure Inn Registration Card mini app: https://sys.akia.ai/mapp/2176d58a-fecb-4293-a9ac-7d593e388d72?session=d97b2a6f-da8e-48d9-8459-528691274d91
* ID: Uploaded
* Email: momofne@gmail.com
* Vehicle Color/Make/Model: rental (not yet picked up)
* ETA: 6:00 PM
* Acknowledgment: ✓</t>
  </si>
  <si>
    <t>2461578644</t>
  </si>
  <si>
    <t>2026-05-16 01:44:25</t>
  </si>
  <si>
    <t>Virginia Eagan completed the Adventure Inn Registration Card mini app: https://sys.akia.ai/mapp/293b722f-2a06-4e60-a909-7415daab73b4?session=f3755735-7093-46ea-aaf9-0ee41ecf780a
* ID: Uploaded
* Email: vaeagan@gmail.com
* Vehicle Color/Make/Model: Tbd- rental
* ETA: 4:00 PM
* Acknowledgment: ✓</t>
  </si>
  <si>
    <t>2026-05-16 01:47:05</t>
  </si>
  <si>
    <t>2461644884</t>
  </si>
  <si>
    <t>2026-05-16 03:53:35</t>
  </si>
  <si>
    <t>Glenn Berg completed the Adventure Inn Registration Card mini app: https://sys.akia.ai/mapp/9c39e1a2-b810-4ea6-9b9c-bae212f1775a?session=4aa773f0-0a03-4a0e-9d23-611fd0fc76e3
* ID: Uploaded
* Email: berg.glenn@gmail.com
* Vehicle Color/Make/Model: Blue/Honda/CR-V
* ETA: 4:00 PM
* Acknowledgment: ✓</t>
  </si>
  <si>
    <t>2461807979</t>
  </si>
  <si>
    <t>2026-05-16 12:40:29</t>
  </si>
  <si>
    <t>2461824111</t>
  </si>
  <si>
    <t>2026-05-16 13:19:17</t>
  </si>
  <si>
    <t>2026-05-16 13:44:48</t>
  </si>
  <si>
    <t>Anna Zahn completed the Adventure Inn Registration Card mini app: https://sys.akia.ai/mapp/e10a4163-b55f-4b60-95c0-8ff44c9a93f7?session=c92c5478-6c66-453f-a9e9-93077f3ea0e3
* ID: Uploaded
* Email: itsdefinitlyme@yahoo.com
* Vehicle Color/Make/Model: White Subaru Forester
* ETA: 4:00 PM
* Acknowledgment: ✓</t>
  </si>
  <si>
    <t>2461850856</t>
  </si>
  <si>
    <t>2026-05-16 14:15:52</t>
  </si>
  <si>
    <t>2461933884</t>
  </si>
  <si>
    <t>2026-05-16 16:47:43</t>
  </si>
  <si>
    <t>Arthur Garcia completed the Adventure Inn Registration Card mini app: https://sys.akia.ai/mapp/a5d38499-9af4-49ed-aeac-830c45797d03?session=039b3bb9-046f-48f0-a6ac-375ce97afb29
* ID: Uploaded
* Email: agarcia1025@gmail.com
* Vehicle Color/Make/Model: White Ford Fusion
* ETA: 4:00 PM
* Acknowledgment: ✓</t>
  </si>
  <si>
    <t>2461937646</t>
  </si>
  <si>
    <t>2026-05-16 16:54:55</t>
  </si>
  <si>
    <t>2026-05-16 17:01:55</t>
  </si>
  <si>
    <t>Amy Pfeffer completed the Adventure Inn Registration Card mini app: https://sys.akia.ai/mapp/c0e5ca05-86a1-4819-a0dd-ca85e26e5610?session=1ba20ed5-4b40-4ffb-8c5f-311cb9d044a4
* ID: Uploaded
* Email: amypfeffer7@gmail.con
* Vehicle Color/Make/Model: Black Toyota 4runner
* ETA: 4:00 PM
* Acknowledgment: ✓</t>
  </si>
  <si>
    <t>2462024757</t>
  </si>
  <si>
    <t>2026-05-16 19:34:09</t>
  </si>
  <si>
    <t>6489890118</t>
  </si>
  <si>
    <t>2026-05-16 19:42:23</t>
  </si>
  <si>
    <t>2026-05-16 20:45:55</t>
  </si>
  <si>
    <t>2462069878</t>
  </si>
  <si>
    <t>2026-05-16 20:58:07</t>
  </si>
  <si>
    <t>Venkata Harshavardhan Kondru completed the Adventure Inn Registration Card mini app: https://sys.akia.ai/mapp/82a29b85-de4b-4f70-9bd7-93e0288cbfe2?session=764776ec-7128-4abe-9555-428b4fd1cf88
* ID: Uploaded
* Email: vardhankond12@gmail.com
* Vehicle Color/Make/Model: Black/Toyota sienna
* ETA: 6:00 PM
* Acknowledgment: ✓</t>
  </si>
  <si>
    <t>2462093469</t>
  </si>
  <si>
    <t>2026-05-16 21:44:26</t>
  </si>
  <si>
    <t>Nicole Ballard completed the Adventure Inn Registration Card mini app: https://sys.akia.ai/mapp/bbdf9103-3f96-4a60-92aa-75d11ac7eda2?session=139a4d8f-be53-4936-9336-55fa0dde30d5
* ID: Uploaded
* Email: ballarnm314@gmail.com
* Vehicle Color/Make/Model: Lexus rx
* ETA: 10:15 PM
* Acknowledgment: ✓</t>
  </si>
  <si>
    <t>2026-05-17 03:03:11</t>
  </si>
  <si>
    <t>2462305534</t>
  </si>
  <si>
    <t>2026-05-17 05:58:22</t>
  </si>
  <si>
    <t>Daija Cooper completed the Adventure Inn Registration Card mini app: https://sys.akia.ai/mapp/d3cf5bf8-8983-4d84-b234-c70bd854bb1e?session=4df5306b-fa3e-4b43-981d-80ea6d3fb4f2
* ID: Uploaded
* Email: daijacooper@gmail.com
* Vehicle Color/Make/Model: Blue 2017 Nissan Altima 
* ETA: 4:00 PM
* Acknowledgment: ✓</t>
  </si>
  <si>
    <t>2462453085</t>
  </si>
  <si>
    <t>2026-05-17 14:00:07</t>
  </si>
  <si>
    <t>2462453081</t>
  </si>
  <si>
    <t>2026-05-17 14:00:12</t>
  </si>
  <si>
    <t>117 (STQ), 118 (STQ), 112 (STQ), 110 (STQ), 115 (STQ), 120 (STQ), 106 (STQ), 119 (STQ)</t>
  </si>
  <si>
    <t>2026-09-12</t>
  </si>
  <si>
    <t>2026-09-13</t>
  </si>
  <si>
    <t>2026-05-17 16:12:57</t>
  </si>
  <si>
    <t>119 (STQ), 118 (STQ), 120 (STQ), 106 (STQ), 117 (STQ), 110 (STQ), 115 (STQ), 112 (STQ)</t>
  </si>
  <si>
    <t>2026-09-19</t>
  </si>
  <si>
    <t>2026-09-20</t>
  </si>
  <si>
    <t>2026-05-17 16:15:15</t>
  </si>
  <si>
    <t>6436046919</t>
  </si>
  <si>
    <t>2026-05-17 16:27:45</t>
  </si>
  <si>
    <t>Pilar Lecha completed the Adventure Inn Registration Card mini app: https://sys.akia.ai/mapp/6e9b951b-2966-4135-b4e9-0a032b645009?session=82ec47e6-cdb0-45e8-88dc-de31395136bc
* ID: Uploaded
* Email: pilarl@me.com
* Vehicle Color/Make/Model: Grey Mercedes gls
* ETA: 4:00 PM
* Acknowledgment: ✓</t>
  </si>
  <si>
    <t>2026-05-17 18:41:25</t>
  </si>
  <si>
    <t>Thomas Carver completed the Adventure Inn Registration Card mini app: https://sys.akia.ai/mapp/9e16da26-bcd8-405d-abd7-0e4ce7c4e59a?session=cfa147de-ce57-41b2-b2ce-97abd7717c2e
* ID: Uploaded
* Email: happycoma@gmail.com
* Vehicle Color/Make/Model: Black Ford Mustang MachE
* ETA: 4:00 PM
* Acknowledgment: ✓</t>
  </si>
  <si>
    <t>2026-05-17 19:04:52</t>
  </si>
  <si>
    <t>2462648920</t>
  </si>
  <si>
    <t>2026-05-17 19:41:42</t>
  </si>
  <si>
    <t>Brandon Heckethorn completed the Adventure Inn Registration Card mini app: https://sys.akia.ai/mapp/acb26f7a-2100-4d38-bd3b-4eee0979e5d7?session=594a2892-493e-453a-8e29-224388782bd7
* ID: Uploaded
* Email: b.heckethorn@yahoo.com
* Vehicle Color/Make/Model: Black Nissan rogue
* ETA: 4:00 PM
* Acknowledgment: ✓</t>
  </si>
  <si>
    <t>2462653591</t>
  </si>
  <si>
    <t>2026-05-17 19:49:16</t>
  </si>
  <si>
    <t>2462657291</t>
  </si>
  <si>
    <t>2026-05-17 19:55:16</t>
  </si>
  <si>
    <t>Adrian Dueck completed the Adventure Inn Registration Card mini app: https://sys.akia.ai/mapp/28536d5a-4f98-4a48-b552-0e09942669be?session=3f156a6e-bf0e-4bbb-aedc-3b312eb966a7
* ID: Uploaded
* Email: ajdueck99@gmail.com
* Vehicle Color/Make/Model: Blue/Jeep/Wrangler 
* ETA: 8:00 PM
* Acknowledgment: ✓</t>
  </si>
  <si>
    <t>2462671760</t>
  </si>
  <si>
    <t>2026-05-17 20:19:08</t>
  </si>
  <si>
    <t>2026-05-17 21:19:00</t>
  </si>
  <si>
    <t>2026-05-17 23:11:28</t>
  </si>
  <si>
    <t>2462799917</t>
  </si>
  <si>
    <t>2026-05-18 00:04:29</t>
  </si>
  <si>
    <t>Rebecca Wasserman completed the Adventure Inn Registration Card mini app: https://sys.akia.ai/mapp/c022b4d9-6d47-40cc-aab7-46ebf0d867d8?session=07f8d545-7487-456e-812a-0363d40f394e
* ID: Uploaded
* Email: rebnm@comcast.net
* Vehicle Color/Make/Model: Black Chevy Silverado
* ETA: 5:30 PM
* Acknowledgment: ✓</t>
  </si>
  <si>
    <t>6626272698</t>
  </si>
  <si>
    <t>2026-05-18 01:57:51</t>
  </si>
  <si>
    <t>2462872531</t>
  </si>
  <si>
    <t>2026-05-18 02:06:24</t>
  </si>
  <si>
    <t>2462887289</t>
  </si>
  <si>
    <t>2026-05-18 02:31:11</t>
  </si>
  <si>
    <t>Joel Gallegos completed the Adventure Inn Registration Card mini app: https://sys.akia.ai/mapp/b7efcb15-cbc8-41ac-9960-1a20eab0e8c3?session=812efc41-fed9-40b4-bdc7-d293d7996d72
* ID: Uploaded
* Email: joelbgallegos@gmail.com
* Vehicle Color/Make/Model: Black Ford Explorer 
* ETA: 4:00 PM
* Acknowledgment: ✓</t>
  </si>
  <si>
    <t>2462903128</t>
  </si>
  <si>
    <t>2026-05-18 02:59:07</t>
  </si>
  <si>
    <t>2463182790</t>
  </si>
  <si>
    <t>2026-05-18 13:09:17</t>
  </si>
  <si>
    <t>2026-05-18 13:18:00</t>
  </si>
  <si>
    <t>Devyn Dutcher completed the Adventure Inn Registration Card mini app: https://sys.akia.ai/mapp/34eab9dd-c761-4e73-9d3e-23bb94464c6a?session=70d392af-4a7a-4efb-bf9d-69cf4ed5368f
* ID: Uploaded
* Email: dutcherdevyn@yahoo.com
* Vehicle Color/Make/Model: Red/toyota
* ETA: 4:00 PM
* Acknowledgment: ✓</t>
  </si>
  <si>
    <t>2463317966</t>
  </si>
  <si>
    <t>2026-05-18 16:05:45</t>
  </si>
  <si>
    <t>Barbara Bradshaw completed the Adventure Inn Registration Card mini app: https://sys.akia.ai/mapp/92e7f071-fcb5-4e02-ac0d-bfceec209737?session=20b25acc-ca80-4af1-8436-7ab182a7120c
* ID: Uploaded
* Email: barbarameese@aol.com
* Vehicle Color/Make/Model: White 2025 Ford Maverick 
* ETA: 4:00 PM
* Acknowledgment: ✓</t>
  </si>
  <si>
    <t>2463351674</t>
  </si>
  <si>
    <t>2026-05-18 16:50:01</t>
  </si>
  <si>
    <t>2463471140</t>
  </si>
  <si>
    <t>2026-05-18 19:32:53</t>
  </si>
  <si>
    <t>2026-05-18 19:35:30</t>
  </si>
  <si>
    <t>2026-05-18 22:45:29</t>
  </si>
  <si>
    <t>2463642419</t>
  </si>
  <si>
    <t>2026-05-18 23:53:29</t>
  </si>
  <si>
    <t>2463644885</t>
  </si>
  <si>
    <t>2026-05-18 23:57:23</t>
  </si>
  <si>
    <t>2463654000</t>
  </si>
  <si>
    <t>2026-05-19 00:12:44</t>
  </si>
  <si>
    <t>Douglas Allen completed the Adventure Inn Registration Card mini app: https://sys.akia.ai/mapp/92a41373-d52a-4e44-a6e0-5f2f1a781b45?session=bdff7d9b-cd5a-4bfd-9753-46bb60b74e6c
* ID: Uploaded
* Email: dougallenjr@aol.com
* Vehicle Color/Make/Model: Genesis GV70 Red
* ETA: 1:00 PM
* Acknowledgment: ✓</t>
  </si>
  <si>
    <t>2463661034</t>
  </si>
  <si>
    <t>2026-05-19 00:24:23</t>
  </si>
  <si>
    <t>2463726739</t>
  </si>
  <si>
    <t>2026-05-19 02:06:14</t>
  </si>
  <si>
    <t>Maria Rosales completed the Adventure Inn Registration Card mini app: https://sys.akia.ai/mapp/681f25bf-0dd3-4eee-bf3d-a3d722a1f4ea?session=3c294c66-3dc1-45ef-b96d-8f6d0e2d08ac
* ID: Uploaded
* Email: mjrarchitect1990@yahoo.com
* Vehicle Color/Make/Model: Red Tesla M3
* ETA: 10:15 PM
* Acknowledgment: ✓</t>
  </si>
  <si>
    <t>2463751267</t>
  </si>
  <si>
    <t>2026-05-19 02:45:36</t>
  </si>
  <si>
    <t>Gregory Baethge completed the Adventure Inn Registration Card mini app: https://sys.akia.ai/mapp/37630369-ce1d-4d28-8695-339697af2ee9?session=ac10539b-9d2f-4674-8446-72af4f408324
* ID: Uploaded
* Email: gregory.baethge@free.fr
* Vehicle Color/Make/Model: Black Chrysler van
* ETA: 4:00 PM
* Acknowledgment: ✓</t>
  </si>
  <si>
    <t>2463786912</t>
  </si>
  <si>
    <t>2026-05-19 03:48:22</t>
  </si>
  <si>
    <t>Albert Vega completed the Adventure Inn Registration Card mini app: https://sys.akia.ai/mapp/97088533-947b-42d5-b876-682a3121485f?session=daadd5e1-6666-4220-b91a-352cf018360b
* ID: Uploaded
* Email: alvega007@yahoo.com
* Vehicle Color/Make/Model: Gray/Nissan/TitanXD
* ETA: 6:00 PM
* Acknowledgment: ✓</t>
  </si>
  <si>
    <t>2464025103</t>
  </si>
  <si>
    <t>2026-05-19 12:46:34</t>
  </si>
  <si>
    <t>2026-09-01</t>
  </si>
  <si>
    <t>2026-09-03</t>
  </si>
  <si>
    <t>2464151183</t>
  </si>
  <si>
    <t>2026-05-19 15:45:09</t>
  </si>
  <si>
    <t>2026-05-19 17:48:21</t>
  </si>
  <si>
    <t>Cat Mcintosh completed the Adventure Inn Registration Card mini app: https://sys.akia.ai/mapp/fb29755c-7484-4bc6-b4bd-5b53bffa9075?session=64520a6e-fae6-4a50-b070-ad14921fa78c
* ID: Uploaded
* Email: catcoughran@gmail.com
* Vehicle Color/Make/Model: Black Audi Q5
* ETA: 2:00 PM
* Acknowledgment: ✓, Cat Mcintosh completed the Adventure Inn Registration Card mini app: https://sys.akia.ai/mapp/fb29755c-7484-4bc6-b4bd-5b53bffa9075?session=64520a6e-fae6-4a50-b070-ad14921fa78c
* ID: Uploaded
* Email: catcoughran@gmail.com
* Vehicle Color/Make/Model: Black Audi Q5
* ETA: 2:00 PM
* Acknowledgment: ✓</t>
  </si>
  <si>
    <t>2464327896</t>
  </si>
  <si>
    <t>2026-05-19 19:55:52</t>
  </si>
  <si>
    <t>2464399761</t>
  </si>
  <si>
    <t>2026-05-19 21:44:34</t>
  </si>
  <si>
    <t>2464451775</t>
  </si>
  <si>
    <t>2026-05-19 23:13:46</t>
  </si>
  <si>
    <t>2464468023</t>
  </si>
  <si>
    <t>2026-05-19 23:41:26</t>
  </si>
  <si>
    <t>Mark Zepp completed the Adventure Inn Registration Card mini app: https://sys.akia.ai/mapp/9e642ae1-ee4f-4648-9534-7403d5a4c67e?session=12630d2c-95a0-49b7-8a68-64217ebffc0d
* ID: Uploaded
* Email: mark_zepp@yahoo.com
* Vehicle Color/Make/Model: Blue/Audi/Allsport
* ETA: 8:48 PM
* Acknowledgment: ✓</t>
  </si>
  <si>
    <t>2464475357</t>
  </si>
  <si>
    <t>2026-05-19 23:53:20</t>
  </si>
  <si>
    <t>2464504838</t>
  </si>
  <si>
    <t>2026-05-20 00:40:00</t>
  </si>
  <si>
    <t>2026-05-20 14:49:50</t>
  </si>
  <si>
    <t>2465247310</t>
  </si>
  <si>
    <t>2026-05-20 21:51:18</t>
  </si>
  <si>
    <t>2026-05-20 22:50:23</t>
  </si>
  <si>
    <t>2465289365</t>
  </si>
  <si>
    <t>2026-05-20 23:03:05</t>
  </si>
  <si>
    <t>2465325125</t>
  </si>
  <si>
    <t>2026-05-21 00:04:02</t>
  </si>
  <si>
    <t>6523670620</t>
  </si>
  <si>
    <t>2026-05-21 02:56:52</t>
  </si>
  <si>
    <t>2465779994</t>
  </si>
  <si>
    <t>2026-05-21 14:45:42</t>
  </si>
  <si>
    <t>2465998038</t>
  </si>
  <si>
    <t>2026-05-21 20:05:08</t>
  </si>
  <si>
    <t>2026-05-21 21:20:22</t>
  </si>
  <si>
    <t>2466072192</t>
  </si>
  <si>
    <t>2026-05-21 22:02:22</t>
  </si>
  <si>
    <t>2026-05-21 23:47:11</t>
  </si>
  <si>
    <t>2026-05-22 02:59:07</t>
  </si>
  <si>
    <t>Timothy Caldwell completed the Adventure Inn Registration Card mini app: https://sys.akia.ai/mapp/a16c541f-baa3-4b22-aa72-4c189115cddd?session=e159f89f-bf59-4a67-b272-9258df5590e6
* ID: Uploaded
* Email: Timothya.caldwell@gmail.com
* Vehicle Color/Make/Model: Green/kia/telluride 
* ETA: 4:00 PM
* Acknowledgment: ✓, Jane Caldwell completed the Adventure Inn Registration Card mini app: https://sys.akia.ai/mapp/35fbed2a-62de-4566-b186-c5d1b15bdd1b?session=7541c91f-e5a8-41b1-9153-9f8df8733782
* ID: Uploaded
* Email: janewright2003@icloud.com
* Vehicle Color/Make/Model: 2025 Kia telluride dark green 
* ETA: 4:00 PM
* Acknowledgment: ✓</t>
  </si>
  <si>
    <t>2466330949</t>
  </si>
  <si>
    <t>2026-05-22 05:56:15</t>
  </si>
  <si>
    <t>Kristian J. Olsen completed the Adventure Inn Registration Card mini app: https://sys.akia.ai/mapp/e882dfa9-d857-4078-82c0-4a1e0534fc19?session=a9026bfa-b8ac-4794-8713-0243d0f42a4d
* ID: Uploaded
* Email: kristianjolsen@gmail.com
* Vehicle Color/Make/Model: Toyota Tacoma
* ETA: 4:00 PM
* Acknowledgment: ✓</t>
  </si>
  <si>
    <t>HMWA5H8XFY</t>
  </si>
  <si>
    <t>2026-05-22 07:17:28</t>
  </si>
  <si>
    <t>Kimberly England completed the Adventure Inn Registration Card mini app: https://sys.akia.ai/mapp/fb942587-47f4-46e0-9909-edb84bc087a1?session=0839decf-91fa-4ea4-93e7-bf7a335cb7e1
* ID: Uploaded
* Email: robsale00@yahoo.com
* Vehicle Color/Make/Model: Maroon Mitsubishi, License plate number N651635 Louisiana
* ETA: 8:15 PM
* Acknowledgment: ✓</t>
  </si>
  <si>
    <t>2466714299</t>
  </si>
  <si>
    <t>2026-05-22 17:40:22</t>
  </si>
  <si>
    <t>2466744643</t>
  </si>
  <si>
    <t>2026-05-22 18:26:56</t>
  </si>
  <si>
    <t>Lisa Garrison completed the Adventure Inn Registration Card mini app: https://sys.akia.ai/mapp/f6125c9d-fae6-42a2-9f73-a8525a3a467c?session=3aa80b1d-a300-467d-bfbc-90643ff5d9ce
* ID: Uploaded
* Email: lisa@beardog.com
* Vehicle Color/Make/Model: Grey Jeep Wrangler 
* ETA: 4:00 PM
* Acknowledgment: ✓</t>
  </si>
  <si>
    <t>2466775545</t>
  </si>
  <si>
    <t>2026-05-22 19:14:58</t>
  </si>
  <si>
    <t>2026-05-22 20:34:06</t>
  </si>
  <si>
    <t>2466851266</t>
  </si>
  <si>
    <t>2026-05-22 21:14:20</t>
  </si>
  <si>
    <t>Viviana Olivas completed the Adventure Inn Registration Card mini app: https://sys.akia.ai/mapp/9db7b28f-e78f-4d9c-a2f0-feec54c1edda?session=0d875829-5376-44bf-bc29-360d1bec052f
* ID: Uploaded
* Email: viviolivas98@gmail.com
* Vehicle Color/Make/Model: Silver/Dodge/Ram
* ETA: 4:00 PM
* Acknowledgment: ✓</t>
  </si>
  <si>
    <t>2466878658</t>
  </si>
  <si>
    <t>2026-05-22 21:59:31</t>
  </si>
  <si>
    <t>Taylor Blevons completed the Adventure Inn Registration Card mini app: https://sys.akia.ai/mapp/069b1a0e-f60d-422e-a9b1-f7457b043d59?session=cb708d2d-152a-49be-b646-5d8e181f29bb
* ID: Uploaded
* Email: taylor.blevons@gmail.com
* Vehicle Color/Make/Model: BA38725
* ETA: 2:00 AM
* Acknowledgment: ✓</t>
  </si>
  <si>
    <t>2466888421</t>
  </si>
  <si>
    <t>2026-05-22 22:16:26</t>
  </si>
  <si>
    <t>Jenifer Billings completed the Adventure Inn Registration Card mini app: https://sys.akia.ai/mapp/2450c55e-3a0f-4a70-8426-8b74aaef2b62?session=076215fc-e1d2-4a0a-871e-b91c8641f045
* ID: Uploaded
* Email: mjajm5@hotmail.com
* Vehicle Color/Make/Model: Charcoal grey Volkswagen Tiguan 
* ETA: 5:45 PM
* Acknowledgment: ✓</t>
  </si>
  <si>
    <t>2466918670</t>
  </si>
  <si>
    <t>2026-05-22 23:10:06</t>
  </si>
  <si>
    <t>2026-05-22 23:31:40</t>
  </si>
  <si>
    <t>HMNHMQPRB8</t>
  </si>
  <si>
    <t>2026-05-23 00:09:22</t>
  </si>
  <si>
    <t>David Haskin completed the Adventure Inn Registration Card mini app: https://sys.akia.ai/mapp/f1c99232-3280-4a62-863a-c11c8f849449?session=df3bb9d6-59e6-4bf9-aa80-317ac5de25c6
* ID: Uploaded
* Email: d_haskin@yahoo.com
* Vehicle Color/Make/Model: Black Toyota RAV4
* ETA: 4:00 PM
* Acknowledgment: ✓</t>
  </si>
  <si>
    <t>2467038844</t>
  </si>
  <si>
    <t>2026-05-23 02:48:38</t>
  </si>
  <si>
    <t>Emily Heinz completed the Adventure Inn Registration Card mini app: https://sys.akia.ai/mapp/cb914f74-10f2-4296-a314-23a061ada183?session=9d42e2ce-435c-4950-a896-065f0280e284
* ID: Uploaded
* Email: emilyheinz2010@gmail.com
* Vehicle Color/Make/Model: Green/Mazda/CX-30
* ETA: 1:00 PM
* Acknowledgment: ✓</t>
  </si>
  <si>
    <t>2467042821</t>
  </si>
  <si>
    <t>2026-05-23 02:56:30</t>
  </si>
  <si>
    <t>2026-05-23 13:14:26</t>
  </si>
  <si>
    <t>Free Upgrade from Small Queen to King-JF</t>
  </si>
  <si>
    <t>2467331260</t>
  </si>
  <si>
    <t>2026-05-23 15:47:01</t>
  </si>
  <si>
    <t>Brayden Sloan completed the Adventure Inn Registration Card mini app: https://sys.akia.ai/mapp/2fa0c368-7339-46ec-9917-5de0b0bcfeb4?session=5381007f-7d0c-4d00-adfc-368a741638a0
* ID: Uploaded
* Email: braydensloan08@gmail.com
* Vehicle Color/Make/Model: 2 black motorcycles (Indian and Harley) 
* ETA: 8:00 PM
* Acknowledgment: ✓</t>
  </si>
  <si>
    <t>2467340929</t>
  </si>
  <si>
    <t>2026-05-23 16:03:31</t>
  </si>
  <si>
    <t>2467481230</t>
  </si>
  <si>
    <t>2026-05-23 20:14:55</t>
  </si>
  <si>
    <t>Nikolay Maleko completed the Adventure Inn Registration Card mini app: https://sys.akia.ai/mapp/22de65bd-1511-4769-be91-2182c7cd9508?session=c84492c5-0ebe-4d58-b453-6b8f87c64f5a
* ID: Uploaded
* Email: nmaleko2000@yahoo.com
* Vehicle Color/Make/Model: Silver Toyota Sienna
* ETA: 8:00 PM
* Acknowledgment: ✓</t>
  </si>
  <si>
    <t>2467487404</t>
  </si>
  <si>
    <t>2026-05-23 20:26:14</t>
  </si>
  <si>
    <t>Lucas Bair completed the Adventure Inn Registration Card mini app: https://sys.akia.ai/mapp/5b0e04db-8b0f-4606-90e4-ca2a70d77adf?session=3cb10044-4ca0-401c-b525-079302c89858
* ID: Uploaded
* Email: lucas.bair@gmail.com
* Vehicle Color/Make/Model: Black/Toyota/4Runner
* ETA: 7:30 PM
* Acknowledgment: ✓</t>
  </si>
  <si>
    <t>2467488084</t>
  </si>
  <si>
    <t>2026-05-23 20:27:27</t>
  </si>
  <si>
    <t>2467494538</t>
  </si>
  <si>
    <t>2026-05-23 20:39:19</t>
  </si>
  <si>
    <t>Judith Murray completed the Adventure Inn Registration Card mini app: https://sys.akia.ai/mapp/425351bc-2dcd-4d25-99c6-3644da7de5fb?session=643ec72f-e3e5-4a6b-a03e-072218ee9ddf
* ID: Uploaded
* Email: Judimurr@gmail.com
* Vehicle Color/Make/Model: White Jeep Compass
* ETA: 6:00 PM
* Acknowledgment: ✓</t>
  </si>
  <si>
    <t>2467494990</t>
  </si>
  <si>
    <t>2026-05-23 20:40:14</t>
  </si>
  <si>
    <t>Destiny Leon Daniel completed the Adventure Inn Registration Card mini app: https://sys.akia.ai/mapp/6bcad454-01ca-4482-a791-9fb389192b80?session=78299522-c8ea-43c3-8108-36579ea5be8e
* ID: Uploaded
* Email: beliciadaniel14@gmail.com
* Vehicle Color/Make/Model: Silver/Kia/K4
* ETA: 4:00 PM
* Acknowledgment: ✓</t>
  </si>
  <si>
    <t>2467497746</t>
  </si>
  <si>
    <t>2026-05-23 20:45:20</t>
  </si>
  <si>
    <t>2467501042</t>
  </si>
  <si>
    <t>2026-05-23 20:51:24</t>
  </si>
  <si>
    <t>2026-05-23 20:57:13</t>
  </si>
  <si>
    <t>2026-05-23 21:09:16</t>
  </si>
  <si>
    <t>Samuel Beck completed the Adventure Inn Registration Card mini app: https://sys.akia.ai/mapp/3f93f940-f7d4-4937-925d-d306619a5f54?session=62dd553e-9807-4bcb-a74d-c506ff3bba72
* ID: Uploaded
* Email: samebeck@gmail.com
* Vehicle Color/Make/Model: Silver/Totota/Prius
* ETA: 9:00 PM
* Acknowledgment: ✓</t>
  </si>
  <si>
    <t>2026-05-23 21:09:20</t>
  </si>
  <si>
    <t>2467524988</t>
  </si>
  <si>
    <t>2026-05-23 21:36:24</t>
  </si>
  <si>
    <t>Riley Feldman completed the Adventure Inn Registration Card mini app: https://sys.akia.ai/mapp/11e33c54-9817-426e-a072-a286d84989aa?session=a17fb6c6-ee1e-4c7d-8d8f-8248e68ae62c
* ID: Uploaded
* Email: rileycat007@gmail.com
* Vehicle Color/Make/Model: Black/Subaru/Crosstrek
* ETA: 4:00 PM
* Acknowledgment: ✓</t>
  </si>
  <si>
    <t>2467524979</t>
  </si>
  <si>
    <t>2026-05-23 21:36:36</t>
  </si>
  <si>
    <t>Michelle Grayson completed the Adventure Inn Registration Card mini app: https://sys.akia.ai/mapp/7db9a6cd-d009-46b8-abfc-8df54f838b9c?session=4f3dfee6-92a2-486b-9d82-2bd5bb83a6d1
* ID: Uploaded
* Email: shell_shark@hotmail.com
* Vehicle Color/Make/Model: Black/Crosstrek/Subaru 
* ETA: 4:00 PM
* Acknowledgment: ✓</t>
  </si>
  <si>
    <t>2026-05-23 22:44:03</t>
  </si>
  <si>
    <t>2467562197</t>
  </si>
  <si>
    <t>2026-05-23 22:49:50</t>
  </si>
  <si>
    <t>2467568119</t>
  </si>
  <si>
    <t>2026-05-23 23:01:57</t>
  </si>
  <si>
    <t>2467577843</t>
  </si>
  <si>
    <t>2026-05-23 23:22:02</t>
  </si>
  <si>
    <t>Cody Romine completed the Adventure Inn Registration Card mini app: https://sys.akia.ai/mapp/9a2752c9-4dca-4112-962b-e8c18bdfb2fe?session=f6c28dae-a70b-46cd-9d59-31134f36cfca
* ID: Uploaded
* Email: cnromine@gmail.com
* Vehicle Color/Make/Model: Gray Honda CRV
* ETA: 6:00 PM
* Acknowledgment: ✓</t>
  </si>
  <si>
    <t>2467687944</t>
  </si>
  <si>
    <t>2026-05-24 03:15:01</t>
  </si>
  <si>
    <t>2467694923</t>
  </si>
  <si>
    <t>2026-05-24 03:31:42</t>
  </si>
  <si>
    <t>Luis Hoppe Zenteno completed the Adventure Inn Registration Card mini app: https://sys.akia.ai/mapp/9cd02b3f-e610-423e-b6e8-c6de924c11d5?session=0ccdc367-7772-429c-aaa3-1d2a226e4f64
* ID: Uploaded
* Email: zen5moose@gmail.com
* Vehicle Color/Make/Model: Blue Toyota Corolla Cross
* ETA: 3:00 PM
* Acknowledgment: ✓</t>
  </si>
  <si>
    <t>2467853837</t>
  </si>
  <si>
    <t>2026-05-24 12:27:40</t>
  </si>
  <si>
    <t>2467930089</t>
  </si>
  <si>
    <t>2026-05-24 15:09:33</t>
  </si>
  <si>
    <t>Tara Tamas completed the Adventure Inn Registration Card mini app: https://sys.akia.ai/mapp/b2cc0497-5986-42f3-a166-dbad3b9c75cf?session=d4df5296-752f-4f95-ac29-14c8acbc5384
* ID: Uploaded
* Email: waveslee@aol.com
* Vehicle Color/Make/Model: Dark Grey Ford F150
* ETA: 5:00 PM
* Acknowledgment: ✓</t>
  </si>
  <si>
    <t>2026-05-24 17:58:05</t>
  </si>
  <si>
    <t>Mikeljon White completed the Adventure Inn Registration Card mini app: https://sys.akia.ai/mapp/eb48788f-f2e3-475b-b889-71f1a38a8625?session=f945f156-c4ac-4a3d-a897-ba252347cc0e
* ID: Uploaded
* Email: mjdw24@live.com
* Vehicle Color/Make/Model: Tacoma
* ETA: 4:00 PM
* Acknowledgment: ✓</t>
  </si>
  <si>
    <t>2026-05-24 19:10:49</t>
  </si>
  <si>
    <t>2468072759</t>
  </si>
  <si>
    <t>2026-05-24 19:15:24</t>
  </si>
  <si>
    <t>Annemiek Groen completed the Adventure Inn Registration Card mini app: https://sys.akia.ai/mapp/1e04e96d-1057-44fb-abd2-f33ba7a57d1a?session=a38825a2-c53d-4562-8920-28e837eb2abc
* ID: Uploaded
* Email: greenharm@upcmail.nl
* Vehicle Color/Make/Model: Mazda CX5 blue
* ETA: 3:00 PM
* Acknowledgment: ✓</t>
  </si>
  <si>
    <t>2026-05-24 20:38:07</t>
  </si>
  <si>
    <t>2026-05-24 20:58:01</t>
  </si>
  <si>
    <t>2468135034</t>
  </si>
  <si>
    <t>2026-05-24 21:02:01</t>
  </si>
  <si>
    <t>2468135036</t>
  </si>
  <si>
    <t>2026-05-24 21:02:06</t>
  </si>
  <si>
    <t>HMTXWYABAM</t>
  </si>
  <si>
    <t>2026-05-24 21:37:54</t>
  </si>
  <si>
    <t>Claire Sipos completed the Adventure Inn Registration Card mini app: https://sys.akia.ai/mapp/66984e08-0176-4fa5-9934-fcf8a5cae97b?session=c1bcf528-8f10-45ca-a240-1e3cec79709a
* ID: Uploaded
* Email: cmsipos@me.com
* Vehicle Color/Make/Model: Gray Subaru Forester
* ETA: 9:00 PM
* Acknowledgment: ✓</t>
  </si>
  <si>
    <t>2468161240</t>
  </si>
  <si>
    <t>2026-05-24 21:48:41</t>
  </si>
  <si>
    <t>2468224415</t>
  </si>
  <si>
    <t>2026-05-24 23:48:40</t>
  </si>
  <si>
    <t>2468224416</t>
  </si>
  <si>
    <t>2026-05-24 23:48:55</t>
  </si>
  <si>
    <t>6152479426</t>
  </si>
  <si>
    <t>2026-05-24 23:50:01</t>
  </si>
  <si>
    <t>Lauren Delarosa completed the Adventure Inn Registration Card mini app: https://sys.akia.ai/mapp/84b0f0b9-2ef9-428f-a38e-de9263effb77?session=6d966cc2-084c-4f3a-9a8c-95132a49f6e7
* ID: Uploaded
* Email: laurendelarosa24@gmail.com
* Vehicle Color/Make/Model: GREEN FORD F350
* ETA: 7:30 PM
* Acknowledgment: ✓</t>
  </si>
  <si>
    <t>2026-05-25 00:44:25</t>
  </si>
  <si>
    <t>2468257330</t>
  </si>
  <si>
    <t>2026-05-25 00:51:19</t>
  </si>
  <si>
    <t>2468270150</t>
  </si>
  <si>
    <t>2026-05-25 01:15:13</t>
  </si>
  <si>
    <t>Brad Desandro completed the Adventure Inn Registration Card mini app: https://sys.akia.ai/mapp/bd3a23a5-8832-43a2-b432-409520b6fe6a?session=7389e1bc-29e1-4147-ac47-923eab478115
* ID: Uploaded
* Email: PatentAttorney1@cox.net
* Vehicle Color/Make/Model: Ford f150 2014
* ETA: 3:00 PM
* Acknowledgment: ✓</t>
  </si>
  <si>
    <t>2468273119</t>
  </si>
  <si>
    <t>2026-05-25 01:20:38</t>
  </si>
  <si>
    <t>2026-05-25 01:41:33</t>
  </si>
  <si>
    <t>2468297605</t>
  </si>
  <si>
    <t>2026-05-25 02:06:12</t>
  </si>
  <si>
    <t>2468327216</t>
  </si>
  <si>
    <t>2026-05-25 03:03:59</t>
  </si>
  <si>
    <t>2026-05-25 03:14:24</t>
  </si>
  <si>
    <t>Ashley Mariglio completed the Adventure Inn Registration Card mini app: https://sys.akia.ai/mapp/facfa4cc-9181-4806-ab67-ca46c5b5af0f?session=95920815-e4ef-408a-b61b-f32cbca5ad4c
* ID: Uploaded
* Email: ajbridgewater@gmail.com
* Vehicle Color/Make/Model: 2012 white Toyota Tacoma
* ETA: 9:30 PM
* Acknowledgment: ✓, Joseph Mariglio completed the Adventure Inn Registration Card mini app: https://sys.akia.ai/mapp/0629c59c-d0e2-4885-8208-3fa89d88852a?session=9c2c44b6-f8d6-4807-98be-bde84196f66e
* ID: Uploaded
* Email: joe.mariglio@gmail.com
* Vehicle Color/Make/Model: White Toyota Tacoma 
* ETA: 2:30 PM
* Acknowledgment: ✓</t>
  </si>
  <si>
    <t>2468356629</t>
  </si>
  <si>
    <t>2026-05-25 04:09:15</t>
  </si>
  <si>
    <t>Nancy Balet completed the Adventure Inn Registration Card mini app: https://sys.akia.ai/mapp/e141aa60-29d5-4f56-b65c-7f2014f7066a?session=63c575b7-e455-45b1-bc65-598ec1356e85
* ID: Uploaded
* Email: Nancybalet@gmail.com
* Vehicle Color/Make/Model: Gray, Mazda CX30
* ETA: 4:00 PM
* Acknowledgment: ✓</t>
  </si>
  <si>
    <t>2468379216</t>
  </si>
  <si>
    <t>2026-05-25 05:10:30</t>
  </si>
  <si>
    <t>6616422848</t>
  </si>
  <si>
    <t>2026-05-25 15:07:43</t>
  </si>
  <si>
    <t>Zerina Kustura completed the Adventure Inn Registration Card mini app: https://sys.akia.ai/mapp/d7c17ebd-b4db-4025-9b42-cde7d37ef069?session=b4dd95b9-675b-4f53-b190-3aa330e5b45f
* ID: Uploaded
* Email: kusturazerina@yahoo.com
* Vehicle Color/Make/Model: Gray
* ETA: 4:00 PM
* Acknowledgment: ✓</t>
  </si>
  <si>
    <t>2468659114</t>
  </si>
  <si>
    <t>2026-05-25 15:35:58</t>
  </si>
  <si>
    <t>Cristina Ungureanu completed the Adventure Inn Registration Card mini app: https://sys.akia.ai/mapp/29ea12a4-ce21-4688-9d48-c7e12e462655?session=5e2eea89-2aa1-4998-8a20-734ce8d785cc
* ID: Uploaded
* Email: criscris_sibiu@yahoo.com
* Vehicle Color/Make/Model: Grey Chevrolet Traverse 
* ETA: 4:00 PM
* Acknowledgment: ✓</t>
  </si>
  <si>
    <t>2468670938</t>
  </si>
  <si>
    <t>2026-05-25 15:52:43</t>
  </si>
  <si>
    <t>2468671303</t>
  </si>
  <si>
    <t>2026-05-25 15:53:18</t>
  </si>
  <si>
    <t>Joy Devine completed the Adventure Inn Registration Card mini app: https://sys.akia.ai/mapp/30668ec5-cad7-43a3-9d72-4f621cd1f757?session=b2f81159-3576-4454-b71c-f9f63a811b81
* ID: Uploaded
* Email: joysdevine@yahoo.com
* Vehicle Color/Make/Model: Taupe Toyota Avalon
* ETA: 11:30 PM
* Acknowledgment: ✓</t>
  </si>
  <si>
    <t>201 (DQ), 204 (STK), 206 (STK)</t>
  </si>
  <si>
    <t>2026-05-25 16:08:47</t>
  </si>
  <si>
    <t>2468708872</t>
  </si>
  <si>
    <t>2026-05-25 16:48:13</t>
  </si>
  <si>
    <t>Chris Defalco completed the Adventure Inn Registration Card mini app: https://sys.akia.ai/mapp/c231a993-8c3d-4ab2-ad59-1ba97d7e0c94?session=6854a242-d5a9-4fee-b492-ba84ff6c79d9
* ID: Uploaded
* Email: chris.a.defalco@gmail.com
* Vehicle Color/Make/Model: Silver/Nissan/Rogue
* ETA: 4:00 PM
* Acknowledgment: ✓</t>
  </si>
  <si>
    <t>HM4NHRS9QR</t>
  </si>
  <si>
    <t>2026-05-25 19:52:22</t>
  </si>
  <si>
    <t>2468882024</t>
  </si>
  <si>
    <t>2026-05-25 21:09:46</t>
  </si>
  <si>
    <t>2026-05-25 21:40:45</t>
  </si>
  <si>
    <t>Hannah Richardson completed the Adventure Inn Registration Card mini app: https://sys.akia.ai/mapp/ea43758e-8b8f-4a22-a961-e837449c550f?session=0c776cdf-6b72-4e29-a731-c7b7a86b6f47
* ID: Uploaded
* Email: h129r662@gmail.com
* Vehicle Color/Make/Model: Black Kia K4
* ETA: 5:45 PM
* Acknowledgment: ✓</t>
  </si>
  <si>
    <t>2468925369</t>
  </si>
  <si>
    <t>2026-05-25 22:21:55</t>
  </si>
  <si>
    <t>Martha Jackson completed the Adventure Inn Registration Card mini app: https://sys.akia.ai/mapp/dc644bd8-bd17-4f9b-afe8-40f520fe4bbf?session=2928983b-01db-47f6-bb14-c0e7d0b92fb3
* ID: Uploaded
* Email: marthajackson61@gmail.com
* Vehicle Color/Make/Model: Black Subaru Outback 
* ETA: 7:30 PM
* Acknowledgment: ✓</t>
  </si>
  <si>
    <t>2468958197</t>
  </si>
  <si>
    <t>2026-05-25 23:19:58</t>
  </si>
  <si>
    <t>Sandra Rubio completed the Adventure Inn Registration Card mini app: https://sys.akia.ai/mapp/e75275e1-da22-4216-98f5-3869e9f6bc4a?session=6af568b1-dc3f-418b-9333-6a11adda198b
* ID: Uploaded
* Email: sp.hernandez82@gmail.com
* Vehicle Color/Make/Model: White/Ford/Bronco
* ETA: 5:00 PM
* Acknowledgment: ✓</t>
  </si>
  <si>
    <t>2468971900</t>
  </si>
  <si>
    <t>2026-05-25 23:44:18</t>
  </si>
  <si>
    <t>Grant Webb completed the Adventure Inn Registration Card mini app: https://sys.akia.ai/mapp/1e6db294-59a6-401a-af10-2b0a7a75d3c1?session=620b29eb-0264-4fa8-aaa7-258edc3eef0b
* ID: Uploaded
* Email: grantawebb@gmail.com
* Vehicle Color/Make/Model: White/Toyota/Prius
* ETA: 7:20 PM
* Acknowledgment: ✓</t>
  </si>
  <si>
    <t>115 (STQ), 117 (STQ)</t>
  </si>
  <si>
    <t>6798240466</t>
  </si>
  <si>
    <t>2026-05-26 01:23:06</t>
  </si>
  <si>
    <t>2026-05-26 01:36:27</t>
  </si>
  <si>
    <t>2026-05-26 03:00:13</t>
  </si>
  <si>
    <t>Ashwin Prasad completed the Adventure Inn Registration Card mini app: https://sys.akia.ai/mapp/0cc75a4a-6996-4373-8a24-b29cd6fd204f?session=5e4709c9-ecd5-45a2-9e6c-fddba8aea6b7
* ID: Uploaded
* Email: aj.prasad8@gmail.com
* Vehicle Color/Make/Model: Black/Subaru/WRX
* ETA: 10:30 AM
* Acknowledgment: ✓</t>
  </si>
  <si>
    <t>6520838569</t>
  </si>
  <si>
    <t>2026-05-26 21:22:41</t>
  </si>
  <si>
    <t>Dean Sampson completed the Adventure Inn Registration Card mini app: https://sys.akia.ai/mapp/4a255831-f7b9-45f5-9ab0-bd8e349fe4ad?session=b6eb307a-3458-4974-89eb-ec251e67044c
* ID: Uploaded
* Email: dssamp@prodigy.net
* Vehicle Color/Make/Model: Emerald Green Hyundai Palisade 
* ETA: 3:00 PM
* Acknowledgment: ✓</t>
  </si>
  <si>
    <t>2026-05-26 21:26:23</t>
  </si>
  <si>
    <t>2469738463</t>
  </si>
  <si>
    <t>2026-05-26 22:21:44</t>
  </si>
  <si>
    <t>2469753391</t>
  </si>
  <si>
    <t>2026-05-26 22:47:33</t>
  </si>
  <si>
    <t>2026-05-26 22:56:09</t>
  </si>
  <si>
    <t>2469758150</t>
  </si>
  <si>
    <t>2026-05-26 22:56:22</t>
  </si>
  <si>
    <t>2026-05-27 02:14:08</t>
  </si>
  <si>
    <t>2026-05-27 03:13:35</t>
  </si>
  <si>
    <t>5675307514</t>
  </si>
  <si>
    <t>2026-05-27 03:26:56</t>
  </si>
  <si>
    <t>2026-05-27 03:34:12</t>
  </si>
  <si>
    <t>2470199252</t>
  </si>
  <si>
    <t>2026-05-27 13:55:07</t>
  </si>
  <si>
    <t>James Carlile completed the Adventure Inn Registration Card mini app: https://sys.akia.ai/mapp/30b2f0a6-e133-40d7-a8c9-9797d5287220?session=6683b2ea-5c6e-4dc8-aae4-1a92fefcfde1
* ID: Uploaded
* Email: jamescarlile21@gmail.com
* Vehicle Color/Make/Model: Black/Cad/STS
* ETA: 6:10 PM
* Acknowledgment: ✓</t>
  </si>
  <si>
    <t>2026-08-02</t>
  </si>
  <si>
    <t>2026-05-27 15:19:34</t>
  </si>
  <si>
    <t>Suzanne Erickson completed the Adventure Inn Registration Card mini app: https://sys.akia.ai/mapp/2e558cc3-7262-4851-aee2-489eec0b385c?session=0ea533e6-c5ab-4a5c-9850-1a8a964016f7
* ID: Uploaded
* Email: bigdogand4@gmail.com
* Vehicle Color/Make/Model: Maroon/Kia/Sportage
* ETA: 4:00 PM
* Acknowledgment: ✓</t>
  </si>
  <si>
    <t>2026-05-27 17:11:06</t>
  </si>
  <si>
    <t>2470374762</t>
  </si>
  <si>
    <t>2026-05-27 18:14:50</t>
  </si>
  <si>
    <t>2470390479</t>
  </si>
  <si>
    <t>2026-05-27 18:39:31</t>
  </si>
  <si>
    <t>Natalie Virts completed the Adventure Inn Registration Card mini app: https://sys.akia.ai/mapp/65e1d7f9-27fc-4f55-8b12-c0023bdb8255?session=19ad3e83-2339-4fac-95eb-fbdec4be8d22
* ID: Uploaded
* Email: Virtsnatalie@gmail.com
* Vehicle Color/Make/Model: White toyota rav 4
* ETA: 4:00 PM
* Acknowledgment: ✓</t>
  </si>
  <si>
    <t>2470422571</t>
  </si>
  <si>
    <t>2026-05-27 19:28:41</t>
  </si>
  <si>
    <t>2470491062</t>
  </si>
  <si>
    <t>2026-05-27 21:13:49</t>
  </si>
  <si>
    <t>2470513335</t>
  </si>
  <si>
    <t>2026-05-27 21:51:06</t>
  </si>
  <si>
    <t>2470516839</t>
  </si>
  <si>
    <t>2026-05-27 21:57:01</t>
  </si>
  <si>
    <t>2470534360</t>
  </si>
  <si>
    <t>2026-05-27 22:27:59</t>
  </si>
  <si>
    <t>2026-05-27 22:51:00</t>
  </si>
  <si>
    <t>David Adrian completed the Adventure Inn Registration Card mini app: https://sys.akia.ai/mapp/273a2d18-0c74-40ad-b561-0195150eab64?session=21bb3bf5-2b00-48e1-9136-e7e2607a9f1d
* ID: Uploaded
* Email: davidsandyadrian@gmail.com
* Vehicle Color/Make/Model: Hyundai Tucson dark gray
* ETA: 4:00 PM
* Acknowledgment: ✓</t>
  </si>
  <si>
    <t>HMNT9RPE4Q</t>
  </si>
  <si>
    <t>2026-05-27 23:00:43</t>
  </si>
  <si>
    <t>2470597419</t>
  </si>
  <si>
    <t>2026-05-28 00:20:24</t>
  </si>
  <si>
    <t>2026-05-28 00:29:27</t>
  </si>
  <si>
    <t>2470617259</t>
  </si>
  <si>
    <t>2026-05-28 00:53:59</t>
  </si>
  <si>
    <t>2026-05-28 01:22:33</t>
  </si>
  <si>
    <t>2470650659</t>
  </si>
  <si>
    <t>2026-05-28 01:47:17</t>
  </si>
  <si>
    <t>2470678149</t>
  </si>
  <si>
    <t>2026-05-28 02:31:19</t>
  </si>
  <si>
    <t>2471050666</t>
  </si>
  <si>
    <t>2026-05-28 15:18:24</t>
  </si>
  <si>
    <t>Krzysztof Kazior completed the Adventure Inn Registration Card mini app: https://sys.akia.ai/mapp/c812aaa6-2892-416f-9665-9f9efb5f65e7?session=ec87bdf0-e07e-42dd-be4d-7652a50faecf
* ID: Uploaded
* Email: k.kazior@gmail.com
* Vehicle Color/Make/Model: Don't know yet.  It will be a rental.
* ETA: 6:00 PM
* Acknowledgment: ✓</t>
  </si>
  <si>
    <t>2471145219</t>
  </si>
  <si>
    <t>2026-05-28 17:38:33</t>
  </si>
  <si>
    <t>2471173694</t>
  </si>
  <si>
    <t>2026-05-28 18:22:12</t>
  </si>
  <si>
    <t>2471240145</t>
  </si>
  <si>
    <t>2026-05-28 20:06:09</t>
  </si>
  <si>
    <t>Molly Hull completed the Adventure Inn Registration Card mini app: https://sys.akia.ai/mapp/1186be61-64b6-4948-9201-7e8aed31fedd?session=7211891b-c632-44c3-9636-909dfbf74312
* ID: Uploaded
* Email: mollyghull03@gmail.com
* Vehicle Color/Make/Model: Black Toyota 4Runner 
* ETA: 4:00 PM
* Acknowledgment: ✓</t>
  </si>
  <si>
    <t>2471296293</t>
  </si>
  <si>
    <t>2026-05-28 21:36:23</t>
  </si>
  <si>
    <t>Joy Anderson completed the Adventure Inn Registration Card mini app: https://sys.akia.ai/mapp/1007c195-3bc3-4f68-ba57-c8d2571ba73b?session=057a376a-1721-4a0c-9a7e-dcdd864958b6
* ID: Uploaded
* Email: joyreneeanderson@gmail.com
* Vehicle Color/Make/Model: Toyota rav4 gray
* ETA: 11:00 PM
* Acknowledgment: ✓</t>
  </si>
  <si>
    <t>2471301850</t>
  </si>
  <si>
    <t>2026-05-28 21:45:57</t>
  </si>
  <si>
    <t>Rachel J Hyneman completed the Adventure Inn Registration Card mini app: https://sys.akia.ai/mapp/1a655c41-09dc-4eb3-92c5-6f44ccab4e49?session=4be6d1e5-4dcf-401b-9344-721cd88165e9
* ID: Uploaded
* Email: rjhyneman@protonmail.ch
* Vehicle Color/Make/Model: White Subaru Crosstrek
* ETA: 8:00 PM
* Acknowledgment: ✓</t>
  </si>
  <si>
    <t>2471331370</t>
  </si>
  <si>
    <t>2026-05-28 22:37:42</t>
  </si>
  <si>
    <t>2026-05-29 00:30:51</t>
  </si>
  <si>
    <t>Gary Baker completed the Adventure Inn Registration Card mini app: https://sys.akia.ai/mapp/e0ead975-45c7-4e62-ae73-bb6d9b711f09?session=c2a9d7c2-d28d-455a-b5c0-a6d7e47cc9a1
* ID: Uploaded
* Email: baker.garym@gmail.com
* Vehicle Color/Make/Model: Grey / Subaru / Outback - Z837HJ
* ETA: 3:00 PM
* Acknowledgment: ✓</t>
  </si>
  <si>
    <t>2026-05-29 01:08:02</t>
  </si>
  <si>
    <t>5763576807</t>
  </si>
  <si>
    <t>2026-05-29 01:10:08</t>
  </si>
  <si>
    <t>2471711488</t>
  </si>
  <si>
    <t>2026-05-29 11:56:26</t>
  </si>
  <si>
    <t>2471762014</t>
  </si>
  <si>
    <t>2026-05-29 13:28:29</t>
  </si>
  <si>
    <t>2471842417</t>
  </si>
  <si>
    <t>2026-05-29 15:26:14</t>
  </si>
  <si>
    <t>2026-05-29 15:46:19</t>
  </si>
  <si>
    <t>Kyle Santistevan completed the Adventure Inn Registration Card mini app: https://sys.akia.ai/mapp/d6de64a5-25e8-4448-8c37-d1f5f322d42d?session=259a23ec-5237-41e6-a99c-8c80246711a5
* ID: Uploaded
* Email: ktlayman1@gmail.com
* Vehicle Color/Make/Model: Black Nissan Altima
* ETA: 4:00 PM
* Acknowledgment: ✓</t>
  </si>
  <si>
    <t>2471918786</t>
  </si>
  <si>
    <t>2026-05-29 17:19:17</t>
  </si>
  <si>
    <t>2472041682</t>
  </si>
  <si>
    <t>2026-05-29 20:32:41</t>
  </si>
  <si>
    <t>2472146227</t>
  </si>
  <si>
    <t>2026-05-29 23:32:51</t>
  </si>
  <si>
    <t>2026-05-30 00:58:45</t>
  </si>
  <si>
    <t>2472345405</t>
  </si>
  <si>
    <t>2026-05-30 07:15:44</t>
  </si>
  <si>
    <t>2026-05-30 13:26:36</t>
  </si>
  <si>
    <t>2472507603</t>
  </si>
  <si>
    <t>2026-05-30 15:04:58</t>
  </si>
  <si>
    <t>2472513299</t>
  </si>
  <si>
    <t>2026-05-30 15:15:18</t>
  </si>
  <si>
    <t>Brittany Miller completed the Adventure Inn Registration Card mini app: https://sys.akia.ai/mapp/24fae994-47c8-48e0-841c-21308060afff?session=f8cc8057-8651-435d-8e6d-b04189fe0aa3
* ID: Uploaded
* Email: brittany.panter@gmail.com
* Vehicle Color/Make/Model: Grey Toyota RAV4 
* ETA: 4:00 PM
* Acknowledgment: ✓</t>
  </si>
  <si>
    <t>6316865814</t>
  </si>
  <si>
    <t>2026-05-30 16:19:49</t>
  </si>
  <si>
    <t>2026-05-30 19:11:33</t>
  </si>
  <si>
    <t>Dave Pitts completed the Adventure Inn Registration Card mini app: https://sys.akia.ai/mapp/b806f52a-17c1-4a93-8d58-1765e2c7d54b?session=ee21e03a-437e-4ea2-b2eb-8bf2af89e987
* ID: Uploaded
* Email: dpitts1274@gmail.com
* Vehicle Color/Make/Model: Charcoal, ram, 1500
* ETA: 5:20 PM
* Acknowledgment: ✓</t>
  </si>
  <si>
    <t>2472690283</t>
  </si>
  <si>
    <t>2026-05-30 20:45:25</t>
  </si>
  <si>
    <t>2472717553</t>
  </si>
  <si>
    <t>2026-05-30 21:38:46</t>
  </si>
  <si>
    <t>6257356785</t>
  </si>
  <si>
    <t>2026-05-30 22:06:59</t>
  </si>
  <si>
    <t>2472743746</t>
  </si>
  <si>
    <t>2026-05-30 22:31:38</t>
  </si>
  <si>
    <t>2472754847</t>
  </si>
  <si>
    <t>2026-05-30 22:54:33</t>
  </si>
  <si>
    <t>2472759547</t>
  </si>
  <si>
    <t>2026-05-30 23:04:33</t>
  </si>
  <si>
    <t>2472774064</t>
  </si>
  <si>
    <t>2026-05-30 23:36:05</t>
  </si>
  <si>
    <t>2472795499</t>
  </si>
  <si>
    <t>2026-05-31 00:22:44</t>
  </si>
  <si>
    <t>Patricia Oconnor completed the Adventure Inn Registration Card mini app: https://sys.akia.ai/mapp/e179c571-e378-4a32-beef-fedbe99d5212?session=306120ed-02e2-4bc3-b275-5422fcc67b60
* ID: Uploaded
* Email: pjo625@aol.com
* Vehicle Color/Make/Model: Tesla Y
* ETA: 5:00 PM
* Acknowledgment: ✓</t>
  </si>
  <si>
    <t>2472822403</t>
  </si>
  <si>
    <t>2026-05-31 01:19:42</t>
  </si>
  <si>
    <t>2026-05-31 02:33:05</t>
  </si>
  <si>
    <t>2472859453</t>
  </si>
  <si>
    <t>2026-05-31 02:39:14</t>
  </si>
  <si>
    <t>2472881375</t>
  </si>
  <si>
    <t>2026-05-31 03:32:13</t>
  </si>
  <si>
    <t>Shonda Kaspar completed the Adventure Inn Registration Card mini app: https://sys.akia.ai/mapp/c71eb8d3-2c4a-4cce-bf1b-574a465a1fe1?session=5b115dcb-215e-4cd6-969a-37bf0083340b
* ID: Uploaded
* Email: shondakaspar@gmail.com
* Vehicle Color/Make/Model: Toyota/Tacoma/orange w/Uhaul trailer
* ETA: 8:30 PM
* Acknowledgment: ✓</t>
  </si>
  <si>
    <t>2026-05-31 04:32:26</t>
  </si>
  <si>
    <t>2473001947</t>
  </si>
  <si>
    <t>2026-05-31 10:29:04</t>
  </si>
  <si>
    <t>2026-05-31 13:58:48</t>
  </si>
  <si>
    <t>Alisa Johnson completed the Adventure Inn Registration Card mini app: https://sys.akia.ai/mapp/41bd6678-08af-4670-984c-231431c5e24a?session=98d0505d-2fbe-4689-b452-bf71df46aaa2
* ID: Uploaded
* Email: alisacjohnson@gmail.com
* Vehicle Color/Make/Model: Tan Toyota tacoma
* ETA: 4:00 PM
* Acknowledgment: ✓</t>
  </si>
  <si>
    <t>2026-05-31 15:03:30</t>
  </si>
  <si>
    <t>Kris Williams completed the Adventure Inn Registration Card mini app: https://sys.akia.ai/mapp/32f1827d-d257-41c0-a4de-bb10920c1269?session=d255ad15-e7c0-4c70-910d-337b5b12fb62
* ID: Uploaded
* Email: agentwilliams666@hotmail.com
* Vehicle Color/Make/Model: White Audi Hatchback
* ETA: 9:00 PM
* Acknowledgment: ✓</t>
  </si>
  <si>
    <t>2473199677</t>
  </si>
  <si>
    <t>2026-05-31 17:31:42</t>
  </si>
  <si>
    <t>2473224508</t>
  </si>
  <si>
    <t>2026-05-31 18:12:41</t>
  </si>
  <si>
    <t>João Guilherme Correia Leal completed the Adventure Inn Registration Card mini app: https://sys.akia.ai/mapp/4f88b665-322f-4a6d-8dde-16bfeb58cab0?session=15ac6bac-d93a-4d21-9a32-416dd2011b97
* ID: Uploaded
* Email: jgcl10000@gmail.com
* Vehicle Color/Make/Model: Dark grey/ toyota / tacoma
* ETA: 8:00 PM
* Acknowledgment: ✓</t>
  </si>
  <si>
    <t>2026-05-31 20:19:24</t>
  </si>
  <si>
    <t>James Nance completed the Adventure Inn Registration Card mini app: https://sys.akia.ai/mapp/a49e625e-970f-4bbe-8fb2-e490e768d0d3?session=3f0fc527-b024-4019-a4cd-8b4859b0dcde
* ID: Uploaded
* Email: j76251@gmail.com
* Vehicle Color/Make/Model: White Chevrolet Tahoe
* ETA: 12:00 PM
* Acknowledgment: ✓</t>
  </si>
  <si>
    <t>2473302422</t>
  </si>
  <si>
    <t>2026-05-31 20:21:58</t>
  </si>
  <si>
    <t>5134790613</t>
  </si>
  <si>
    <t>2026-05-31 20:36:45</t>
  </si>
  <si>
    <t>2026-05-31 21:27:46</t>
  </si>
  <si>
    <t>2026-05-31 22:14:48</t>
  </si>
  <si>
    <t>Megan Maatman completed the Adventure Inn Registration Card mini app: https://sys.akia.ai/mapp/1a2a4ad0-0b1a-4c80-b98c-fc8dd9d4a3a2?session=b4cede27-f8d8-4f36-a5cd-cf2b9fe903f5
* ID: Uploaded
* Email: mfaye33@gmail.com
* Vehicle Color/Make/Model: Black Toyota grand Highlander 
* ETA: 1:00 PM
* Acknowledgment: ✓</t>
  </si>
  <si>
    <t>2473381591</t>
  </si>
  <si>
    <t>2026-05-31 22:33:52</t>
  </si>
  <si>
    <t>2473381598</t>
  </si>
  <si>
    <t>2026-05-31 22:33:56</t>
  </si>
  <si>
    <t>2473430627</t>
  </si>
  <si>
    <t>2026-06-01 00:01:14</t>
  </si>
  <si>
    <t>Ying Tang completed the Adventure Inn Registration Card mini app: https://sys.akia.ai/mapp/4554b9c5-73b1-45d9-bea6-83c803248bcf?session=2988e984-315e-4417-8b5e-34c2c3653cc7
* ID: Uploaded
* Email: ytaustin@yahoo.com
* Vehicle Color/Make/Model: Cherokee jeep
* ETA: 7:30 PM
* Acknowledgment: ✓</t>
  </si>
  <si>
    <t>2026-06-01 00:57:45</t>
  </si>
  <si>
    <t>2026-07-04</t>
  </si>
  <si>
    <t>2026-06-01 01:08:57</t>
  </si>
  <si>
    <t>2026-06-01 02:26:27</t>
  </si>
  <si>
    <t>5786719030</t>
  </si>
  <si>
    <t>2026-06-01 11:21:54</t>
  </si>
  <si>
    <t>2473834249</t>
  </si>
  <si>
    <t>2026-06-01 13:35:41</t>
  </si>
  <si>
    <t>2473871241</t>
  </si>
  <si>
    <t>2026-06-01 14:26:25</t>
  </si>
  <si>
    <t>2473949874</t>
  </si>
  <si>
    <t>2026-06-01 16:05:10</t>
  </si>
  <si>
    <t>2026-06-01 16:26:53</t>
  </si>
  <si>
    <t>2474088924</t>
  </si>
  <si>
    <t>2026-06-01 19:09:53</t>
  </si>
  <si>
    <t>Kelly Sessions completed the Adventure Inn Registration Card mini app: https://sys.akia.ai/mapp/96048e79-e8f8-464b-ba1c-7bba26d004b8?session=cd1f3d79-52e4-4f68-9874-977c7aaaa73e
* ID: Uploaded
* Email: kelly.sessions2@gmail.com
* Vehicle Color/Make/Model: Rental 
* ETA: 4:00 PM
* Acknowledgment: ✓</t>
  </si>
  <si>
    <t>102 (DQ), 119 (STQ), 107 (DQ)</t>
  </si>
  <si>
    <t>2026-06-01 19:32:33</t>
  </si>
  <si>
    <t>Phillip Gilles completed the Adventure Inn Registration Card mini app: https://sys.akia.ai/mapp/81a10daa-e6c7-4314-87d4-017d42de6ebd?session=075cf920-6b56-4764-ab20-5665bf32ca73
* ID: Uploaded
* Email: Bast1ment0@yahoo.com
* Vehicle Color/Make/Model: Red abarth spider
* ETA: 6:00 PM
* Acknowledgment: ✓</t>
  </si>
  <si>
    <t>2026-06-01 21:30:33</t>
  </si>
  <si>
    <t>Malcolm Jeffris completed the Adventure Inn Registration Card mini app: https://sys.akia.ai/mapp/e372646f-d0ca-4e3a-96ec-20402c5eda7d?session=660d747e-a5bf-4935-b4c0-6e6fecfda2cc
* ID: Uploaded
* Email: mjeffris@gmail.com
* Vehicle Color/Make/Model: Black 4dr, Subaru Legacy
* ETA: 7:00 PM
* Acknowledgment: ✓</t>
  </si>
  <si>
    <t>2474195480</t>
  </si>
  <si>
    <t>2026-06-01 21:34:42</t>
  </si>
  <si>
    <t>Kelly Hallford completed the Adventure Inn Registration Card mini app: https://sys.akia.ai/mapp/9fca9632-6f47-4fb4-bd1e-35114164008e?session=6c35ab67-3fc3-4e19-9eaf-8260cf867e4d
* ID: Uploaded
* Email: kellyshallford@gmail.com
* Vehicle Color/Make/Model: BLACK/HONDA/RIDGELINE
* ETA: 4:00 PM
* Acknowledgment: ✓</t>
  </si>
  <si>
    <t>HM4W5WHB9Y</t>
  </si>
  <si>
    <t>2026-06-01 21:38:50</t>
  </si>
  <si>
    <t>Alexis Thompson completed the Adventure Inn Registration Card mini app: https://sys.akia.ai/mapp/83f81005-50a6-4a3d-8f50-7f0de588f171?session=ea78d3dc-eaad-4e0e-a4ab-842b525d9d24
* ID: Uploaded
* Email: Alxisthompson@gmail.com
* Vehicle Color/Make/Model: Grey Nissan Titan 
* ETA: 4:00 PM
* Acknowledgment: ✓</t>
  </si>
  <si>
    <t>2474315291</t>
  </si>
  <si>
    <t>2026-06-02 00:43:58</t>
  </si>
  <si>
    <t>2474370675</t>
  </si>
  <si>
    <t>2026-06-02 02:05:13</t>
  </si>
  <si>
    <t>Avinash Shimoga Ganesh completed the Adventure Inn Registration Card mini app: https://sys.akia.ai/mapp/4632324f-224c-41e6-aac8-7f9f093c4af8?session=94b478f5-684a-4357-b120-8e10cb916203
* ID: Uploaded
* Email: avinashjoissg@gmail.com
* Vehicle Color/Make/Model: Grey, Lincoln Navigator
* ETA: 4:00 PM
* Acknowledgment: ✓</t>
  </si>
  <si>
    <t>2026-06-02 02:50:38</t>
  </si>
  <si>
    <t>2474701285</t>
  </si>
  <si>
    <t>2026-06-02 13:13:24</t>
  </si>
  <si>
    <t>2474773262</t>
  </si>
  <si>
    <t>2026-06-02 14:52:02</t>
  </si>
  <si>
    <t>2474883352</t>
  </si>
  <si>
    <t>2026-06-02 17:17:13</t>
  </si>
  <si>
    <t>Matt Falkenstein Dds completed the Adventure Inn Registration Card mini app: https://sys.akia.ai/mapp/da89e671-0d71-4467-b5ca-e6197cefc647?session=2ad22575-d956-4034-85b9-9678be5520fb
* ID: Uploaded
* Email: mattfalkensteindds@gmail.com
* Vehicle Color/Make/Model: Ford Transit Van (white)
* ETA: 2:30 PM
* Acknowledgment: ✓</t>
  </si>
  <si>
    <t>6911297199</t>
  </si>
  <si>
    <t>2026-06-02 17:23:36</t>
  </si>
  <si>
    <t>2026-06-02 17:36:59</t>
  </si>
  <si>
    <t>Tim Elsen completed the Adventure Inn Registration Card mini app: https://sys.akia.ai/mapp/de099bd8-eeec-4ed8-8331-c5866fefb6cf?session=e163bf9d-2c89-4a6b-adcf-5149cd493511
* ID: Uploaded
* Email: tim.blindspotnm@gmail.com
* Vehicle Color/Make/Model: Grey Toyota RAV4 
* ETA: 4:00 PM
* Acknowledgment: ✓</t>
  </si>
  <si>
    <t>2475015037</t>
  </si>
  <si>
    <t>2026-06-02 20:18:35</t>
  </si>
  <si>
    <t>2475046188</t>
  </si>
  <si>
    <t>2026-06-02 21:01:31</t>
  </si>
  <si>
    <t>Haseeb Kazim completed the Adventure Inn Registration Card mini app: https://sys.akia.ai/mapp/cbd8ee72-f1b8-4889-a70b-6399129881bb?session=287677da-3fe9-4a47-9525-104687b0207b
* ID: Uploaded
* Email: benkazim@gmail.com
* Vehicle Color/Make/Model: Not sure yet
* ETA: 2:00 PM
* Acknowledgment: ✓</t>
  </si>
  <si>
    <t>2026-06-02 21:16:14</t>
  </si>
  <si>
    <t>Huey Laugesen completed the Adventure Inn Registration Card mini app: https://sys.akia.ai/mapp/74f3b28c-e085-4f6b-8010-63b27d269590?session=0ffee5ed-c7cb-4094-b990-13391dc63bd7
* ID: Uploaded
* Email: hjlaugesen@gmail.com
* Vehicle Color/Make/Model: White Toyota 4Runner, white Honda Accord
* ETA: 7:30 PM
* Acknowledgment: ✓, Shepherd Brandt completed the Adventure Inn Registration Card mini app: https://sys.akia.ai/mapp/d2d22fab-77b8-4ca5-9b43-6eb4f64c9e20?session=a07b9355-9a26-4043-a89f-9e755410d7f9
* ID: Uploaded
* Email: shep.brandt@outlook.com
* Vehicle Color/Make/Model: white honda accord
* ETA: 7:34 PM
* Acknowledgment: ✓</t>
  </si>
  <si>
    <t>2026-06-02 21:22:35</t>
  </si>
  <si>
    <t>2475110341</t>
  </si>
  <si>
    <t>2026-06-02 22:42:00</t>
  </si>
  <si>
    <t>Carol Geasland completed the Adventure Inn Registration Card mini app: https://sys.akia.ai/mapp/b4fe9fad-4cd6-40e7-9544-5184cb51f29a?session=b247b718-691a-4f54-9fdf-fec0d3cc8a50
* ID: Uploaded
* Email: csgeasland@hotmail.com
* Vehicle Color/Make/Model: Ram 1500
* ETA: 4:00 PM
* Acknowledgment: ✓</t>
  </si>
  <si>
    <t>2475147567</t>
  </si>
  <si>
    <t>2026-06-02 23:42:42</t>
  </si>
  <si>
    <t>108 (STK), 114 (STK)</t>
  </si>
  <si>
    <t>2026-06-03 00:59:01</t>
  </si>
  <si>
    <t>Elijah Johnson completed the Adventure Inn Registration Card mini app: https://sys.akia.ai/mapp/55572951-b442-470c-a974-35f5314f59fd?session=51323199-bf9b-4f05-b774-d7d235a93590
* ID: Uploaded
* Email: elijahjohnson987@gmail.com
* Vehicle Color/Make/Model: Black Honda Civic
* ETA: 12:30 AM
* Acknowledgment: ✓</t>
  </si>
  <si>
    <t>2026-06-03 01:33:37</t>
  </si>
  <si>
    <t>Rebecca Foley completed the Adventure Inn Registration Card mini app: https://sys.akia.ai/mapp/aace0804-32b0-435f-8e32-7dfa4bc34513?session=c3c43ea9-fb4a-4ede-a85b-463492ee48ea
* ID: Uploaded
* Email: beccarostand@hotmail.gom
* Vehicle Color/Make/Model: VW/Atlas/White
* ETA: 4:00 PM
* Acknowledgment: ✓</t>
  </si>
  <si>
    <t>2475230514</t>
  </si>
  <si>
    <t>2026-06-03 01:44:47</t>
  </si>
  <si>
    <t>2026-06-03 02:05:33</t>
  </si>
  <si>
    <t>2026-06-03 02:16:54</t>
  </si>
  <si>
    <t>Anja Trimner completed the Adventure Inn Registration Card mini app: https://sys.akia.ai/mapp/cfc7b905-c73b-4ac2-a8c4-ad6e53688803?session=afc3e92f-1360-4e0d-ae17-c4143da4e378
* ID: Uploaded
* Email: bellaandanja@gmail.com
* Vehicle Color/Make/Model: N/A will be ubering
* ETA: 8:00 PM
* Acknowledgment: ✓</t>
  </si>
  <si>
    <t>2026-06-03 12:26:50</t>
  </si>
  <si>
    <t>2026-06-03 16:57:11</t>
  </si>
  <si>
    <t>2475760089</t>
  </si>
  <si>
    <t>2026-06-03 17:23:07</t>
  </si>
  <si>
    <t>2475761426</t>
  </si>
  <si>
    <t>2026-06-03 17:25:08</t>
  </si>
  <si>
    <t>2026-06-04 16:29:37</t>
  </si>
  <si>
    <t>2026-06-04 21:47:50</t>
  </si>
  <si>
    <t>Adam Gaia completed the Adventure Inn Registration Card mini app: https://sys.akia.ai/mapp/c914c5fb-1598-4ba3-aa23-ed0dc1526b6e?session=9a7636d8-ebc8-43a3-a9de-493f1b9aa914
* ID: Uploaded
* Email: agaia@pm.me
* Vehicle Color/Make/Model: Grey Subaru Outback
* ETA: 4:00 PM
* Acknowledgment: ✓</t>
  </si>
  <si>
    <t>5269031936</t>
  </si>
  <si>
    <t>2026-06-05 00:29:39</t>
  </si>
  <si>
    <t>2026-06-05 01:22:00</t>
  </si>
  <si>
    <t>2476937824</t>
  </si>
  <si>
    <t>2026-06-05 01:35:29</t>
  </si>
  <si>
    <t>Samuel Freeman completed the Adventure Inn Registration Card mini app: https://sys.akia.ai/mapp/bd8375d1-b2d3-4443-8be5-8bcd157f701d?session=b0477928-f1c6-44fa-ba08-f7a636d4e2ce
* ID: Uploaded
* Email: samuelfree84@gmail.com
* Vehicle Color/Make/Model: White Subaru crosstrek
* ETA: 1:00 PM
* Acknowledgment: ✓</t>
  </si>
  <si>
    <t>2476937826</t>
  </si>
  <si>
    <t>2026-06-05 01:35:34</t>
  </si>
  <si>
    <t>HME4WCTYX2</t>
  </si>
  <si>
    <t>2026-06-05 04:18:17</t>
  </si>
  <si>
    <t>2477040804</t>
  </si>
  <si>
    <t>2026-06-05 04:26:42</t>
  </si>
  <si>
    <t>Isaiah Unland completed the Adventure Inn Registration Card mini app: https://sys.akia.ai/mapp/334c68dc-3b24-4492-b94c-686aa5b8daaa?session=e96b2202-cbd7-4b2b-85d6-e29be9c6d721
* ID: Uploaded
* Email: isaiahrunland@gmail.com
* Vehicle Color/Make/Model: Grey/Blue Lexus GX470
* ETA: 4:00 PM
* Acknowledgment: ✓</t>
  </si>
  <si>
    <t>2477069380</t>
  </si>
  <si>
    <t>2026-06-05 05:32:56</t>
  </si>
  <si>
    <t>2026-06-05 14:18:50</t>
  </si>
  <si>
    <t>Mark Mckenna completed the Adventure Inn Registration Card mini app: https://sys.akia.ai/mapp/268370b2-43ba-4878-9eee-0e727cd1fd18?session=a26408ab-e6d6-4b86-98d6-4f72817a7486
* ID: Uploaded
* Email: old.mtnbiker.co@gmail.com
* Vehicle Color/Make/Model: Gray/Nissan/Frontier
* ETA: 3:00 PM
* Acknowledgment: ✓</t>
  </si>
  <si>
    <t>HMFCMY22J3</t>
  </si>
  <si>
    <t>2026-06-05 15:02:14</t>
  </si>
  <si>
    <t>Antonio Barraza completed the Adventure Inn Registration Card mini app: https://sys.akia.ai/mapp/c0888389-04db-45c5-8f85-43111fb1026e?session=62d003ec-dcb6-4676-9bcc-5e4b71e59270
* ID: Uploaded
* Email: antonio.barraza@sbcglobal.net
* Vehicle Color/Make/Model: Chevrolet blue pick up
* ETA: 8:00 PM
* Acknowledgment: ✓</t>
  </si>
  <si>
    <t>2026-06-05 15:31:04</t>
  </si>
  <si>
    <t>2026-06-05 16:21:19</t>
  </si>
  <si>
    <t>Sawyer Hanback completed the Adventure Inn Registration Card mini app: https://sys.akia.ai/mapp/f9d96d3e-d937-450d-9476-cc72815b7f96?session=2bf3455d-9b6b-4a62-8d8e-8354f5e7059f
* ID: Uploaded
* Email: sawyerhanback58@gmail.com
* Vehicle Color/Make/Model: Metallic grey/Toyota/ Tacoma
* ETA: 5:00 PM
* Acknowledgment: ✓</t>
  </si>
  <si>
    <t>2026-06-05 20:25:34</t>
  </si>
  <si>
    <t>Maurice Rousso completed the Adventure Inn Registration Card mini app: https://sys.akia.ai/mapp/a7398eb8-d552-47a2-af66-ff763f04ab7e?session=cbef12d7-12e4-4cd2-8020-e3e603407a68
* ID: Uploaded
* Email: mo.rousso@gmail.com
* Vehicle Color/Make/Model: White Tahoe
* ETA: 7:00 PM
* Acknowledgment: ✓</t>
  </si>
  <si>
    <t>2026-06-05 20:28:19</t>
  </si>
  <si>
    <t>2026-06-06 02:55:25</t>
  </si>
  <si>
    <t>2478142720</t>
  </si>
  <si>
    <t>2026-06-06 16:03:10</t>
  </si>
  <si>
    <t>2026-06-06 23:30:55</t>
  </si>
  <si>
    <t>2026-06-06 23:34:57</t>
  </si>
  <si>
    <t>Susan Phemister completed the Adventure Inn Registration Card mini app: https://sys.akia.ai/mapp/8318c705-46b8-4902-b45b-7b5a9a61834b?session=69e71c25-29b6-470a-889f-28312f077d88
* ID: Uploaded
* Email: wheaton@duck.com
* Vehicle Color/Make/Model: Silver Subaru
* ETA: 4:00 PM
* Acknowledgment: ✓</t>
  </si>
  <si>
    <t>2478653058</t>
  </si>
  <si>
    <t>2026-06-07 10:52:45</t>
  </si>
  <si>
    <t>Adrianna Pitrelli completed the Adventure Inn Registration Card mini app: https://sys.akia.ai/mapp/bea70e87-9d43-4295-b8fd-d0741b0d2954?session=f10cb652-182d-4e23-946a-bb04f3d81a3b
* ID: Uploaded
* Email: ampitrelli@gmail.com
* Vehicle Color/Make/Model: Red jeep compass
* ETA: 1:00 PM
* Acknowledgment: ✓</t>
  </si>
  <si>
    <t>2478707991</t>
  </si>
  <si>
    <t>2026-06-07 13:16:55</t>
  </si>
  <si>
    <t>6813626335</t>
  </si>
  <si>
    <t>United Arab Emirates</t>
  </si>
  <si>
    <t>2026-06-07 15:56:47</t>
  </si>
  <si>
    <t>2478990438</t>
  </si>
  <si>
    <t>2026-06-07 20:53:26</t>
  </si>
  <si>
    <t>James Zandi completed the Adventure Inn Registration Card mini app: https://sys.akia.ai/mapp/2c0d69e7-d64e-464a-bdbf-aa8d33a7ca88?session=5c6fa1a9-eb8b-4acb-b0dd-e53f1913be76
* ID: Uploaded
* Email: jim.zandi@gmail.com
* Vehicle Color/Make/Model: Silver Jeep Cherokee
* ETA: 6:00 PM
* Acknowledgment: ✓</t>
  </si>
  <si>
    <t>2479005831</t>
  </si>
  <si>
    <t>2026-06-07 21:17:41</t>
  </si>
  <si>
    <t>Lisa Pauli-Lake completed the Adventure Inn Registration Card mini app: https://sys.akia.ai/mapp/2fc32e6e-3aa7-4bcb-b2f7-59ce92f0fc39?session=bb2dbc83-ac46-4708-8ff8-09bec859a6c4
* ID: Uploaded
* Email: downhilldoll.ll@gmail.com
* Vehicle Color/Make/Model: White Dodge Ram
* ETA: 4:00 PM
* Acknowledgment: ✓</t>
  </si>
  <si>
    <t>6488567714</t>
  </si>
  <si>
    <t>2026-06-07 22:06:02</t>
  </si>
  <si>
    <t>2479068141</t>
  </si>
  <si>
    <t>2026-06-07 23:00:56</t>
  </si>
  <si>
    <t>Rebecca Brill completed the Adventure Inn Registration Card mini app: https://sys.akia.ai/mapp/bd247c23-24b7-4bc6-bc5b-bff8caa91c18?session=c4b55dd2-c6f9-4369-99ed-0945f320b13f
* ID: Uploaded
* Email: modernmom@centurylink.net
* Vehicle Color/Make/Model: White Subaru Crosstrek Sport
* ETA: 4:00 PM
* Acknowledgment: ✓</t>
  </si>
  <si>
    <t>2026-06-07 23:06:53</t>
  </si>
  <si>
    <t>2026-06-08 01:47:11</t>
  </si>
  <si>
    <t>2026-06-08 23:24:35</t>
  </si>
  <si>
    <t>2026-06-09 17:38:05</t>
  </si>
  <si>
    <t>106 (STQ), 202 (DQ)</t>
  </si>
  <si>
    <t>2026-06-09 19:02:05</t>
  </si>
  <si>
    <t>2026-06-09 19:32:23</t>
  </si>
  <si>
    <t>2026-06-09 22:57:30</t>
  </si>
  <si>
    <t>Ashleigh Johnstin completed the Adventure Inn Registration Card mini app: https://sys.akia.ai/mapp/96e2358f-4e9c-47f6-8d64-f853d25beab0?session=45798f50-6a32-4c7e-b8c6-1ed333781c3f
* ID: Uploaded
* Email: ashleigh.k.johnston@gmail.com
* Vehicle Color/Make/Model: White Ford Fiesta
* ETA: 12:00 PM
* Acknowledgment: ✓</t>
  </si>
  <si>
    <t>2026-06-10 00:11:14</t>
  </si>
  <si>
    <t>John Diener completed the Adventure Inn Registration Card mini app: https://sys.akia.ai/mapp/929ba20e-d3b6-44e4-9727-b519e4d52154?session=49cc322e-c822-4451-ac44-ef146d8de333
* ID: Uploaded
* Email: johndiener563@gmail.com
* Vehicle Color/Make/Model: National rental, don't know
* ETA: 2:00 PM
* Acknowledgment: ✓</t>
  </si>
  <si>
    <t>2026-06-10 01:37:43</t>
  </si>
  <si>
    <t>2481045825</t>
  </si>
  <si>
    <t>2026-06-10 04:19:14</t>
  </si>
  <si>
    <t>Tomas Chavez completed the Adventure Inn Registration Card mini app: https://sys.akia.ai/mapp/89f04d69-2061-4ea5-9e4a-9413af1da099?session=2005a069-216a-456e-92cc-1457ffd90188
* ID: Uploaded
* Email: cadiilac41@hotmail.com
* Vehicle Color/Make/Model: White Kia Forte
* ETA: 4:00 PM
* Acknowledgment: ✓</t>
  </si>
  <si>
    <t>2481446131</t>
  </si>
  <si>
    <t>2026-06-10 16:30:18</t>
  </si>
  <si>
    <t>6154725695</t>
  </si>
  <si>
    <t>2026-06-10 18:09:18</t>
  </si>
  <si>
    <t>2026-07-11</t>
  </si>
  <si>
    <t>2026-07-12</t>
  </si>
  <si>
    <t>2481550426</t>
  </si>
  <si>
    <t>2026-06-10 18:55:07</t>
  </si>
  <si>
    <t>2481630220</t>
  </si>
  <si>
    <t>2026-06-10 20:46:41</t>
  </si>
  <si>
    <t>Summer Lolling completed the Adventure Inn Registration Card mini app: https://sys.akia.ai/mapp/3303c876-fcf8-4ed5-95e1-43b1e96639aa?session=833c4d8c-e6ff-4eea-9669-fa7815e55096
* ID: Uploaded
* Email: summerlolling@rocketmail.com
* Vehicle Color/Make/Model: Dark gray Kia sorento 
* ETA: 4:00 PM
* Acknowledgment: ✓</t>
  </si>
  <si>
    <t>2026-06-10 22:24:17</t>
  </si>
  <si>
    <t>Jared Elwer completed the Adventure Inn Registration Card mini app: https://sys.akia.ai/mapp/6f90cfee-d748-4c03-96af-076b02a8b03f?session=bfd511c9-8e01-468d-8d25-5c640c0ce5ea
* ID: Uploaded
* Email: jelwer57@gmail.com
* Vehicle Color/Make/Model: Black Honda CRV
* ETA: 5:30 PM
* Acknowledgment: ✓</t>
  </si>
  <si>
    <t>2481704256</t>
  </si>
  <si>
    <t>2026-06-10 22:38:36</t>
  </si>
  <si>
    <t>2026-06-10 23:04:34</t>
  </si>
  <si>
    <t>2026-06-10 23:49:53</t>
  </si>
  <si>
    <t>Greg Meadows completed the Adventure Inn Registration Card mini app: https://sys.akia.ai/mapp/8d0fc1ad-2a01-4a6a-b92f-871f8b54d5b5?session=aa4fd61a-0977-4fc8-8cb7-c1e3f6e79c3a
* ID: Uploaded
* Email: run-n-late@outlook.com
* Vehicle Color/Make/Model: Red/jeep/Wrangler
* ETA: 4:00 PM
* Acknowledgment: ✓</t>
  </si>
  <si>
    <t>2026-06-10 23:53:11</t>
  </si>
  <si>
    <t>Michelle Palacios completed the Adventure Inn Registration Card mini app: https://sys.akia.ai/mapp/b1c7da57-7ec3-4193-9e72-cf90f4447bc5?session=fbf56d60-5a67-45d2-87d7-a04fb55da41e
* ID: Uploaded
* Email: michellepalacios2001@gmail.com
* Vehicle Color/Make/Model: Red Jeep
* ETA: 4:00 PM
* Acknowledgment: ✓, Maria Jove completed the Adventure Inn Registration Card mini app: https://sys.akia.ai/mapp/b0a877fc-e11d-4911-bdc2-8d0aff762343?session=636f2c29-8e8f-4897-954a-dbcf9a73db35
* ID: Uploaded
* Email: jove.concha@gmail.com
* Vehicle Color/Make/Model: Red jeep wrangler 
* ETA: 4:00 PM
* Acknowledgment: ✓</t>
  </si>
  <si>
    <t>2026-06-11 00:57:58</t>
  </si>
  <si>
    <t>Kaoru Negishi completed the Adventure Inn Registration Card mini app: https://sys.akia.ai/mapp/47203582-5e9f-40ca-8738-696bf102f6fb?session=e3f3c628-a784-4680-bf46-dd495647c8a2
* ID: Uploaded
* Email: kaoru.negishi@gmail.com
* Vehicle Color/Make/Model: Rental car KIA
* ETA: 8:00 PM
* Acknowledgment: ✓</t>
  </si>
  <si>
    <t>2026-06-11 00:58:42</t>
  </si>
  <si>
    <t>2026-07-10</t>
  </si>
  <si>
    <t>2026-06-11 01:18:06</t>
  </si>
  <si>
    <t>5952653328</t>
  </si>
  <si>
    <t>2026-06-11 01:57:10</t>
  </si>
  <si>
    <t>HMW8AKKCNJ</t>
  </si>
  <si>
    <t>2026-06-11 01:59:47</t>
  </si>
  <si>
    <t>Brian Kramer completed the Adventure Inn Registration Card mini app: https://sys.akia.ai/mapp/eb679216-c4b0-4b4b-85aa-d0bf4e67e0aa?session=97cba827-caec-4da0-bfce-7d0676ac0025
* ID: Uploaded
* Email: Kramer1184@yahoo.com
* Vehicle Color/Make/Model: Red/ Harley Davidson road Glide
* ETA: 9:30 PM
* Acknowledgment: ✓</t>
  </si>
  <si>
    <t>2026-06-11 02:23:49</t>
  </si>
  <si>
    <t>204 (STK), 119 (STQ)</t>
  </si>
  <si>
    <t>2026-06-11 02:37:43</t>
  </si>
  <si>
    <t>5246674069</t>
  </si>
  <si>
    <t>2026-06-11 03:07:33</t>
  </si>
  <si>
    <t>2026-06-11 03:42:49</t>
  </si>
  <si>
    <t>Ashley Morales completed the Adventure Inn Registration Card mini app: https://sys.akia.ai/mapp/7a307ea3-0ed3-4a4e-a0ac-1a61d342ced7?session=3f106efc-3444-4b77-ba3a-84cf124e5920
* ID: Uploaded
* Email: jamor101919@gmail.com
* Vehicle Color/Make/Model: Silver Ford F250 
* ETA: 9:00 PM
* Acknowledgment: ✓</t>
  </si>
  <si>
    <t>2026-06-11 04:41:21</t>
  </si>
  <si>
    <t>Shannon Restifo completed the Adventure Inn Registration Card mini app: https://sys.akia.ai/mapp/055fe743-37df-4438-b24f-274986ef738b?session=02f0987d-84c6-4697-8ade-b0fb0999b24c
* ID: Uploaded
* Email: srestifo@gmail.com
* Vehicle Color/Make/Model: White Toyota Camry
* ETA: 8:45 PM
* Acknowledgment: ✓</t>
  </si>
  <si>
    <t>2026-06-11 13:17:27</t>
  </si>
  <si>
    <t>2482248411</t>
  </si>
  <si>
    <t>2026-06-11 14:58:30</t>
  </si>
  <si>
    <t>2482261095</t>
  </si>
  <si>
    <t>2026-06-11 15:14:52</t>
  </si>
  <si>
    <t>2482304511</t>
  </si>
  <si>
    <t>2026-06-11 16:12:40</t>
  </si>
  <si>
    <t>Paul Varhol completed the Adventure Inn Registration Card mini app: https://sys.akia.ai/mapp/64c46428-5d8c-4b62-b502-a703c9e6d91c?session=5ea0cacb-fad8-4c74-bbd2-2a0c02baada7
* ID: Uploaded
* Email: 1rycapa@gmail.com
* Vehicle Color/Make/Model: Dark metallic gray, Toyota 4-runner
* ETA: 5:00 PM
* Acknowledgment: ✓</t>
  </si>
  <si>
    <t>6795941206</t>
  </si>
  <si>
    <t>2026-06-11 16:33:03</t>
  </si>
  <si>
    <t>Patricia P Tschetter completed the Adventure Inn Registration Card mini app: https://sys.akia.ai/mapp/f00499be-3458-4159-ae61-52c38c85e6d7?session=ea431295-5400-49fc-a4a3-37e9fb0e496d
* ID: Uploaded
* Email: patriciatschetter@yahoo.com
* Vehicle Color/Make/Model: Chevy Tahoe
* ETA: 4:00 PM
* Acknowledgment: ✓</t>
  </si>
  <si>
    <t>2026-06-11 16:34:27</t>
  </si>
  <si>
    <t>Linette Bridges completed the Adventure Inn Registration Card mini app: https://sys.akia.ai/mapp/4fbfdc65-2b2c-486e-9cf5-f3d0985ff747?session=4a6c3691-526c-49cf-854a-56aed55399e3
* ID: Uploaded
* Email: BRID4610@GMAIL.COM
* Vehicle Color/Make/Model: Black Kia Telluride
* ETA: 4:00 PM
* Acknowledgment: ✓</t>
  </si>
  <si>
    <t>6008875068</t>
  </si>
  <si>
    <t>2026-06-11 16:44:45</t>
  </si>
  <si>
    <t>Murray Van Vorst completed the Adventure Inn Registration Card mini app: https://sys.akia.ai/mapp/05e8a874-1c93-40da-bbd9-2c46efb8c383?session=ceee155f-fd6b-4023-a1e2-f242f56581e8
* ID: Uploaded
* Email: murphy@vanvorst.us
* Vehicle Color/Make/Model: Blue Genesis GV70
* ETA: 4:00 PM
* Acknowledgment: ✓</t>
  </si>
  <si>
    <t>2026-06-11 17:04:16</t>
  </si>
  <si>
    <t>2482370017</t>
  </si>
  <si>
    <t>2026-06-11 17:45:41</t>
  </si>
  <si>
    <t>Christopher Bridges completed the Adventure Inn Registration Card mini app: https://sys.akia.ai/mapp/a66b709d-185a-4a72-b080-ef23f615ff9e?session=05cad463-6969-445c-a2b7-6e8c5f9560ee
* ID: Uploaded
* Email: christopher.bridges@cox.net
* Vehicle Color/Make/Model: Black/Toyota/Yaris
* ETA: 7:00 PM
* Acknowledgment: ✓</t>
  </si>
  <si>
    <t>2482401444</t>
  </si>
  <si>
    <t>2026-06-11 18:31:56</t>
  </si>
  <si>
    <t>Douglas Riggs completed the Adventure Inn Registration Card mini app: https://sys.akia.ai/mapp/554e2260-73be-4358-af6b-78b08a4cb68f?session=4e68d88d-c791-446e-86f0-9d21fcf68b3d
* ID: Uploaded
* Email: driggs@comcast.net
* Vehicle Color/Make/Model: Rental
* ETA: 9:00 PM
* Acknowledgment: ✓</t>
  </si>
  <si>
    <t>2026-07-23</t>
  </si>
  <si>
    <t>2026-06-11 21:10:15</t>
  </si>
  <si>
    <t>Susan Lee completed the Adventure Inn Registration Card mini app: https://sys.akia.ai/mapp/bd47b103-f838-4ae8-b8b1-ea31fb1a15b7?session=a114fb7b-a4ad-48e3-bfc4-1053415cfb44
* ID: Uploaded
* Email: cheesusanlee@gmail.com
* Vehicle Color/Make/Model: Grey/Mitshubisi/Outlander
* ETA: 4:00 PM
* Acknowledgment: ✓</t>
  </si>
  <si>
    <t>2482517203</t>
  </si>
  <si>
    <t>2026-06-11 21:22:38</t>
  </si>
  <si>
    <t>2026-06-11 21:26:04</t>
  </si>
  <si>
    <t>Kathryn Field completed the Adventure Inn Registration Card mini app: https://sys.akia.ai/mapp/123612b6-2a61-474c-b19c-44b95974b5d7?session=ab611a07-1886-4a02-94b2-eb5298c6d61b
* ID: Uploaded
* Email: kathyfieldalpine@gmail.com
* Vehicle Color/Make/Model: Lexus 350 silver
* ETA: 3:00 PM
* Acknowledgment: ✓</t>
  </si>
  <si>
    <t>2026-06-11 23:57:59</t>
  </si>
  <si>
    <t>Andrew Dillon completed the Adventure Inn Registration Card mini app: https://sys.akia.ai/mapp/dc5f4fe7-8d10-464b-a151-78392dcfcaa0?session=fbdcdd9e-f622-4896-9d84-bcad731bd66e
* ID: Uploaded
* Email: andrewgdillon@gmail.com
* Vehicle Color/Make/Model: Silver Toyota camry
* ETA: 6:00 PM
* Acknowledgment: ✓</t>
  </si>
  <si>
    <t>2026-06-12 00:24:46</t>
  </si>
  <si>
    <t>Latonia Mahnke completed the Adventure Inn Registration Card mini app: https://sys.akia.ai/mapp/a7a7dab0-bbc5-4fae-9884-0259924ff5f9?session=fe808156-f02a-43fc-994d-5be870222818
* ID: Uploaded
* Email: Latoniamahnke@gmail.com
* Vehicle Color/Make/Model: Rental car
* ETA: 4:00 PM
* Acknowledgment: ✓</t>
  </si>
  <si>
    <t>2026-06-12 00:48:12</t>
  </si>
  <si>
    <t>Anthony Green completed the Adventure Inn Registration Card mini app: https://sys.akia.ai/mapp/6c1aafd1-2745-4314-abff-11310c3d607f?session=fcc6bd0c-1fb2-43b7-8de7-c973728f74c9
* ID: Uploaded
* Email: aj.green61582@gmail.com
* Vehicle Color/Make/Model: Green/2023/Ford Explorer
* ETA: 4:00 PM
* Acknowledgment: ✓</t>
  </si>
  <si>
    <t>2482650019</t>
  </si>
  <si>
    <t>2026-06-12 00:56:40</t>
  </si>
  <si>
    <t>Denelle Garcia completed the Adventure Inn Registration Card mini app: https://sys.akia.ai/mapp/1014b02a-63fc-4bee-9a50-51bd41171e37?session=c2017d31-369d-4987-99e2-8b701deee96f
* ID: Uploaded
* Email: janellyedge3@aol.com
* Vehicle Color/Make/Model: Navy Blue Chevy Equinox 
* ETA: 4:00 PM
* Acknowledgment: ✓</t>
  </si>
  <si>
    <t>2026-06-12 01:22:37</t>
  </si>
  <si>
    <t>Juan Van Ginkel completed the Adventure Inn Registration Card mini app: https://sys.akia.ai/mapp/91e38d35-43a3-4e56-94c0-ebead1bada99?session=24590382-145c-4124-a1c2-91cb9ec08731
* ID: Uploaded
* Email: zuluvg@gmail.com
* Vehicle Color/Make/Model: White GMC 3500
* ETA: 7:30 PM
* Acknowledgment: ✓</t>
  </si>
  <si>
    <t>2482670366</t>
  </si>
  <si>
    <t>2026-06-12 01:28:06</t>
  </si>
  <si>
    <t>2026-06-12 02:20:06</t>
  </si>
  <si>
    <t>Payton Palacios completed the Adventure Inn Registration Card mini app: https://sys.akia.ai/mapp/4b119e04-5008-43b4-96a0-294d12504afc?session=aa609e76-0d4e-4f6c-91a3-701c89a42000
* ID: Uploaded
* Email: payton22c@gmail.com
* Vehicle Color/Make/Model: Grey/honda/civic 
* ETA: 1:30 PM
* Acknowledgment: ✓</t>
  </si>
  <si>
    <t>2482724881</t>
  </si>
  <si>
    <t>2026-06-12 02:52:02</t>
  </si>
  <si>
    <t>Gage Spurlock completed the Adventure Inn Registration Card mini app: https://sys.akia.ai/mapp/3ef71bd5-fc2d-4ce5-b220-2079f85def06?session=2516bc23-07af-4acd-a885-1e1e172c7537
* ID: Uploaded
* Email: gagespurlock1@gmail.com
* Vehicle Color/Make/Model: Black Mazda CX-50
* ETA: 3:00 AM
* Acknowledgment: ✓</t>
  </si>
  <si>
    <t>2482726412</t>
  </si>
  <si>
    <t>2026-06-12 02:54:28</t>
  </si>
  <si>
    <t>6582238088</t>
  </si>
  <si>
    <t>2026-06-12 03:23:52</t>
  </si>
  <si>
    <t>2026-06-12 03:36:27</t>
  </si>
  <si>
    <t>2482750889</t>
  </si>
  <si>
    <t>2026-06-12 03:36:42</t>
  </si>
  <si>
    <t>HMN5CDA5ED</t>
  </si>
  <si>
    <t>2026-06-12 06:03:11</t>
  </si>
  <si>
    <t>Erin Oconnell completed the Adventure Inn Registration Card mini app: https://sys.akia.ai/mapp/5ec7bf66-c2bf-4c03-a6c7-753344053154?session=024ff030-4059-4bff-8fb7-69d7b73b5c68
* ID: Uploaded
* Email: erinoconnell789@gmail.com
* Vehicle Color/Make/Model: Blue VW Tiguan 
* ETA: 4:00 PM
* Acknowledgment: ✓</t>
  </si>
  <si>
    <t>2026-06-12 14:14:18</t>
  </si>
  <si>
    <t>Linda Jackson completed the Adventure Inn Registration Card mini app: https://sys.akia.ai/mapp/7f78f101-2814-4d42-be5a-cb22a7372fef?session=849b610c-58e1-4ff9-82c8-32ae64ccbf75
* ID: Uploaded
* Email: ljacksonrn@yahoo.com
* Vehicle Color/Make/Model: Silver Subaru crosstrek 
* ETA: 6:00 PM
* Acknowledgment: ✓</t>
  </si>
  <si>
    <t>HMM4FW54W8</t>
  </si>
  <si>
    <t>2026-06-12 14:42:16</t>
  </si>
  <si>
    <t>Heather Rheinfelder completed the Adventure Inn Registration Card mini app: https://sys.akia.ai/mapp/af29003b-f034-47b4-b795-78b283657331?session=3a18ff07-52f2-4af7-a1b1-64121a30cacb
* ID: Uploaded
* Email: hrheinfelder@gmail.com
* Vehicle Color/Make/Model: Turquoise jeep wrangler
* ETA: 6:30 PM
* Acknowledgment: ✓</t>
  </si>
  <si>
    <t>2483086008</t>
  </si>
  <si>
    <t>2026-06-12 15:02:10</t>
  </si>
  <si>
    <t>Frank H Bongiorno completed the Adventure Inn Registration Card mini app: https://sys.akia.ai/mapp/454e9350-c185-4451-adff-176f7785c6bb?session=a55be057-07b0-4056-9cc1-9501bb4fc7d3
* ID: Uploaded
* Email: abongi58@yahoo.com
* Vehicle Color/Make/Model: White atlas VW
* ETA: 3:00 PM
* Acknowledgment: ✓</t>
  </si>
  <si>
    <t>6770417155</t>
  </si>
  <si>
    <t>2026-06-12 18:14:28</t>
  </si>
  <si>
    <t>Jenise Kyle completed the Adventure Inn Registration Card mini app: https://sys.akia.ai/mapp/cb1c095d-caf4-45a4-8e28-065d95f9fe23?session=98ed3636-7168-4ccc-b4c5-193bb8d370d6
* ID: Uploaded
* Email: samsterkyle@aol.com
* Vehicle Color/Make/Model: 2025 Honda CRV Hybrid
* ETA: 4:00 PM
* Acknowledgment: ✓</t>
  </si>
  <si>
    <t>103 (STK), 105 (DQ)</t>
  </si>
  <si>
    <t>2026-06-12 18:34:16</t>
  </si>
  <si>
    <t>Sarah Odle completed the Adventure Inn Registration Card mini app: https://sys.akia.ai/mapp/91d96127-5288-4698-ad9e-53908c3a35b8?session=8be6410a-468e-4392-81a8-30105a1f15e0
* ID: Uploaded
* Email: saraheodle@gmail.com
* Vehicle Color/Make/Model: Unknown
* ETA: 11:00 PM
* Acknowledgment: ✓</t>
  </si>
  <si>
    <t>2483249687</t>
  </si>
  <si>
    <t>2026-06-12 18:55:08</t>
  </si>
  <si>
    <t>Adam Warrington completed the Adventure Inn Registration Card mini app: https://sys.akia.ai/mapp/af9a55b5-2329-4056-8d77-c3dc14d9f383?session=73544890-16d5-4db7-aa3a-e0cd0fb892f8
* ID: Uploaded
* Email: adam_warrington@shamrockfoods.com
* Vehicle Color/Make/Model: Grey VW GTI 
* ETA: 3:00 PM
* Acknowledgment: ✓</t>
  </si>
  <si>
    <t>2483259278</t>
  </si>
  <si>
    <t>2026-06-12 19:09:23</t>
  </si>
  <si>
    <t>Phil Haarer completed the Adventure Inn Registration Card mini app: https://sys.akia.ai/mapp/0585cfca-ff54-4e93-9d66-8297302203e8?session=ad29da87-98c6-4216-84b5-92b183096306
* ID: Uploaded
* Email: phaarer1@hotmail.com
* Vehicle Color/Make/Model: Red Kia Sorento
* ETA: 4:00 PM
* Acknowledgment: ✓</t>
  </si>
  <si>
    <t>HMMZKDB3P9</t>
  </si>
  <si>
    <t>2026-06-12 19:34:50</t>
  </si>
  <si>
    <t>2026-06-12 19:55:53</t>
  </si>
  <si>
    <t>Manoj Samgharshanan completed the Adventure Inn Registration Card mini app: https://sys.akia.ai/mapp/bb312f84-3917-4ca4-acaa-d6593a0221a6?session=0d525a0f-00f9-4f6f-bc3b-ddd133a01040
* ID: Uploaded
* Email: manoj.sankar@gmail.com
* Vehicle Color/Make/Model: White Jeep Compass
* ETA: 2:00 PM
* Acknowledgment: ✓</t>
  </si>
  <si>
    <t>2026-06-12 20:33:40</t>
  </si>
  <si>
    <t>Brian Leroy completed the Adventure Inn Registration Card mini app: https://sys.akia.ai/mapp/52e3d556-f973-48fa-9d66-f22b6ff0b0d0?session=266188ce-3beb-4a24-811f-cafe67e41e2b
* ID: Uploaded
* Email: bjleroy@gmail.com
* Vehicle Color/Make/Model: Gray Volvo EX30
* ETA: 4:00 PM
* Acknowledgment: ✓</t>
  </si>
  <si>
    <t>2026-06-12 20:55:39</t>
  </si>
  <si>
    <t>Claudine Boyd completed the Adventure Inn Registration Card mini app: https://sys.akia.ai/mapp/963ddd08-8cf0-4a5c-9953-72a171c74347?session=d0c3f2bc-1ced-48dd-b2b5-e3d065e2cfc0
* ID: Uploaded
* Email: 71cboyd@gmail.com
* Vehicle Color/Make/Model: Black Chevy silverado
* ETA: 8:30 PM
* Acknowledgment: ✓</t>
  </si>
  <si>
    <t>2483354943</t>
  </si>
  <si>
    <t>2026-06-12 21:34:11</t>
  </si>
  <si>
    <t>6883274207</t>
  </si>
  <si>
    <t>2026-06-12 22:19:34</t>
  </si>
  <si>
    <t>2026-06-12 23:35:07</t>
  </si>
  <si>
    <t>Aloha Kirk completed the Adventure Inn Registration Card mini app: https://sys.akia.ai/mapp/fb3376c9-481c-4715-8d40-aee3b620de14?session=fb276301-4227-45ec-97fa-dd7fc36cc142
* ID: Uploaded
* Email: alohakirk@gmail.com
* Vehicle Color/Make/Model: Ford truck
* ETA: 4:00 PM
* Acknowledgment: ✓</t>
  </si>
  <si>
    <t>2026-06-12 23:37:58</t>
  </si>
  <si>
    <t>Ashlee Bruner completed the Adventure Inn Registration Card mini app: https://sys.akia.ai/mapp/a835820d-1ef4-4dd1-828a-ccab37a9f7ac?session=450dc95f-0774-46c0-b6e1-7e0b361201ae
* ID: Uploaded
* Email: rxygarcia@yahoo.com
* Vehicle Color/Make/Model: Toyota Tacoma
* ETA: 2:00 PM
* Acknowledgment: ✓</t>
  </si>
  <si>
    <t>2483462822</t>
  </si>
  <si>
    <t>2026-06-13 00:38:20</t>
  </si>
  <si>
    <t>2026-06-13 01:13:31</t>
  </si>
  <si>
    <t>Lillian Chang completed the Adventure Inn Registration Card mini app: https://sys.akia.ai/mapp/15f1e563-5c58-401c-a307-413acd371b12?session=38aad537-f6b1-4065-90c9-d8f76db82d39
* ID: Uploaded
* Email: lillianchang22@gmail.com
* Vehicle Color/Make/Model: Tesla 
* ETA: 10:00 PM
* Acknowledgment: ✓</t>
  </si>
  <si>
    <t>2483494334</t>
  </si>
  <si>
    <t>2026-06-13 01:34:18</t>
  </si>
  <si>
    <t>2483496280</t>
  </si>
  <si>
    <t>2026-06-13 01:37:46</t>
  </si>
  <si>
    <t>6130088442</t>
  </si>
  <si>
    <t>2026-06-13 02:35:32</t>
  </si>
  <si>
    <t>2026-07-05</t>
  </si>
  <si>
    <t>2483564114</t>
  </si>
  <si>
    <t>2026-06-13 03:45:58</t>
  </si>
  <si>
    <t>6727830658</t>
  </si>
  <si>
    <t>2026-06-13 03:54:24</t>
  </si>
  <si>
    <t>Raichynda Gould-Begay completed the Adventure Inn Registration Card mini app: https://sys.akia.ai/mapp/6694de7e-18eb-486a-91a7-878a639f1697?session=7d6194b8-bd8e-475d-9ffa-a4a6d6795c84
* ID: Uploaded
* Email: raichyndagould@gmail.com
* Vehicle Color/Make/Model: Silver /nissan/ maxima  White/handai 
* ETA: 5:30 PM
* Acknowledgment: ✓</t>
  </si>
  <si>
    <t>2483574669</t>
  </si>
  <si>
    <t>2026-06-13 04:09:55</t>
  </si>
  <si>
    <t>2026-06-13 12:57:34</t>
  </si>
  <si>
    <t>Jessica Toth completed the Adventure Inn Registration Card mini app: https://sys.akia.ai/mapp/2df11eda-dbf7-4c4e-ba3a-739de8930e18?session=eb80e6d3-3c2d-4734-9fd3-cb5799c5f6e7
* ID: Uploaded
* Email: jessliza@live.com
* Vehicle Color/Make/Model: Black/Ford/Expedition
* ETA: 4:00 PM
* Acknowledgment: ✓</t>
  </si>
  <si>
    <t>2483783080</t>
  </si>
  <si>
    <t>2026-06-13 14:10:56</t>
  </si>
  <si>
    <t>2026-06-13 15:48:39</t>
  </si>
  <si>
    <t>2483871844</t>
  </si>
  <si>
    <t>2026-06-13 16:46:00</t>
  </si>
  <si>
    <t>HMNZRJBQBD</t>
  </si>
  <si>
    <t>2026-06-13 18:38:32</t>
  </si>
  <si>
    <t>2483985206</t>
  </si>
  <si>
    <t>2026-06-13 20:04:52</t>
  </si>
  <si>
    <t>Corporate Client</t>
  </si>
  <si>
    <t>Default Corporate Client</t>
  </si>
  <si>
    <t>2026-06-13 21:46:46</t>
  </si>
  <si>
    <t>2026-09-21</t>
  </si>
  <si>
    <t>2026-09-22</t>
  </si>
  <si>
    <t>2484047927</t>
  </si>
  <si>
    <t>2026-06-13 22:00:07</t>
  </si>
  <si>
    <t>2026-07-29</t>
  </si>
  <si>
    <t>6595563745</t>
  </si>
  <si>
    <t>2026-06-13 22:35:44</t>
  </si>
  <si>
    <t>5769612423</t>
  </si>
  <si>
    <t>2026-06-13 23:09:58</t>
  </si>
  <si>
    <t>Nayamy Quezada completed the Adventure Inn Registration Card mini app: https://sys.akia.ai/mapp/de608b1e-0e0d-4e50-9ec7-b30214ccd29e?session=dc2e3e6e-7726-4d60-bb5c-b9c35e3085b9
* ID: Uploaded
* Email: nayamyquezada@yahoo.com
* Vehicle Color/Make/Model: Black/GMC/Sierra
* ETA: 10:00 PM
* Acknowledgment: ✓</t>
  </si>
  <si>
    <t>6489476285</t>
  </si>
  <si>
    <t>2026-06-13 23:13:01</t>
  </si>
  <si>
    <t>Nayamy Quezada completed the Adventure Inn Registration Card mini app: https://sys.akia.ai/mapp/27252df4-638f-4670-a24e-3590928a87d3?session=f5eb5708-db21-4908-9726-5d285ee913ec
* ID: Uploaded
* Email: nayamyquezada@yahoo.com
* Vehicle Color/Make/Model: Black/GMC/Sierra
* ETA: 10:00 PM
* Acknowledgment: ✓</t>
  </si>
  <si>
    <t>2026-06-13 23:45:19</t>
  </si>
  <si>
    <t>Corinne Hanisch completed the Adventure Inn Registration Card mini app: https://sys.akia.ai/mapp/19a00c35-5958-4edd-81d2-a1e06abdc4f1?session=18b470e9-1fe1-4007-9592-f17512c89f35
* ID: Uploaded
* Email: cdhanisch06@gmail.com
* Vehicle Color/Make/Model: Bronze/2022/Subaru Ascent
* ETA: 8:00 PM
* Acknowledgment: ✓</t>
  </si>
  <si>
    <t>2484106949</t>
  </si>
  <si>
    <t>2026-06-14 00:01:18</t>
  </si>
  <si>
    <t>2484152708</t>
  </si>
  <si>
    <t>2026-06-14 01:38:08</t>
  </si>
  <si>
    <t>2484160570</t>
  </si>
  <si>
    <t>2026-06-14 01:54:34</t>
  </si>
  <si>
    <t>2484178359</t>
  </si>
  <si>
    <t>2026-06-14 02:31:55</t>
  </si>
  <si>
    <t>5272517909</t>
  </si>
  <si>
    <t>2026-06-14 03:41:55</t>
  </si>
  <si>
    <t>2026-06-14 03:49:03</t>
  </si>
  <si>
    <t>Valeria Roberts completed the Adventure Inn Registration Card mini app: https://sys.akia.ai/mapp/80483200-6ff1-4c3b-b73d-6ea496a94474?session=f68480cf-c746-4c12-8b57-8a46e830fa89
* ID: Uploaded
* Email: valeria.a.rivero@gmail.com
* Vehicle Color/Make/Model: Brown/Toyota/Rav4
* ETA: 4:00 PM
* Acknowledgment: ✓</t>
  </si>
  <si>
    <t>2026-06-14 04:06:25</t>
  </si>
  <si>
    <t>2026-06-14 05:01:29</t>
  </si>
  <si>
    <t>Lessie Gilliam completed the Adventure Inn Registration Card mini app: https://sys.akia.ai/mapp/91ca42d8-9743-4902-943c-f15623579fd3?session=bda55151-3805-4adc-a8d9-3c05df4eb81f
* ID: Uploaded
* Email: lgracegilliam@yahoo.com
* Vehicle Color/Make/Model: White/Honda/CRV
* ETA: 5:30 PM
* Acknowledgment: ✓</t>
  </si>
  <si>
    <t>2026-06-14 06:03:23</t>
  </si>
  <si>
    <t>Nidhip Naik completed the Adventure Inn Registration Card mini app: https://sys.akia.ai/mapp/caabeb5a-cdd1-4a74-8268-c174a28f2fb0?session=82f4a9c9-261f-4b9e-a223-82427a357355
* ID: Uploaded
* Email: nike.nidhip@gmail.com
* Vehicle Color/Make/Model: Black Volkswagen Jetta
* ETA: 10:00 PM
* Acknowledgment: ✓</t>
  </si>
  <si>
    <t>2484481123</t>
  </si>
  <si>
    <t>2026-06-14 15:57:31</t>
  </si>
  <si>
    <t>Jonathan Pignetti completed the Adventure Inn Registration Card mini app: https://sys.akia.ai/mapp/e5784415-f9bc-44ce-89bd-238d69706ef5?session=22174030-7658-4715-95c1-b02f422ea043
* ID: Uploaded
* Email: pignetti@gmail.com
* Vehicle Color/Make/Model: Black Toyota RAV4
* ETA: 2:30 PM
* Acknowledgment: ✓</t>
  </si>
  <si>
    <t>6595509691</t>
  </si>
  <si>
    <t>2026-06-14 16:15:58</t>
  </si>
  <si>
    <t>2026-06-14 16:17:16</t>
  </si>
  <si>
    <t>2026-06-14 16:27:11</t>
  </si>
  <si>
    <t>Ella Stevens completed the Adventure Inn Registration Card mini app: https://sys.akia.ai/mapp/228eb4d2-bb19-4f82-9478-8cb85b97dde8?session=c3757b14-3c79-4b79-bb9c-2abe2141caf2
* ID: Uploaded
* Email: ella.stevens53@gmail.com
* Vehicle Color/Make/Model: Toyota RAV4 
* ETA: 8:00 PM
* Acknowledgment: ✓</t>
  </si>
  <si>
    <t>2026-06-14 17:37:33</t>
  </si>
  <si>
    <t>Mayank Madhav completed the Adventure Inn Registration Card mini app: https://sys.akia.ai/mapp/7c63f661-7b20-4d7a-a61c-6f090ac79ea1?session=306f0d52-a34c-4a14-8b0a-79a7b5a9ea3c
* ID: Uploaded
* Email: mayank.purchases@gmail.com
* Vehicle Color/Make/Model: Light brown/ Mazda/CX90
* ETA: 7:00 PM
* Acknowledgment: ✓, Neha Dixit completed the Adventure Inn Registration Card mini app: https://sys.akia.ai/mapp/d4e6bcd5-4e9b-4be5-b2cf-bf5d54ae03ed?session=6fc5e022-8f51-4523-8ec2-6be33303e0fe
* ID: Uploaded
* Email: nehadixit71@gmail.com
* Vehicle Color/Make/Model: Mazda CX 90, platinum colour 
* ETA: 6:00 PM
* Acknowledgment: ✓</t>
  </si>
  <si>
    <t>HMF5DC3FNR</t>
  </si>
  <si>
    <t>2026-06-14 17:42:22</t>
  </si>
  <si>
    <t>2484549028</t>
  </si>
  <si>
    <t>2026-06-14 17:45:27</t>
  </si>
  <si>
    <t>Kathryn Palombo completed the Adventure Inn Registration Card mini app: https://sys.akia.ai/mapp/ba3e2189-93f1-4ef4-9a62-272f134ce611?session=b18289fa-f58a-4cbf-a3fb-8b330a4ce188
* ID: Uploaded
* Email: kathrynpalo123@gmail.com
* Vehicle Color/Make/Model: Black GMC Elevation
* ETA: 4:30 PM
* Acknowledgment: ✓</t>
  </si>
  <si>
    <t>2026-06-14 18:20:01</t>
  </si>
  <si>
    <t>2026-06-14 19:14:36</t>
  </si>
  <si>
    <t>Jeremy Taggart completed the Adventure Inn Registration Card mini app: https://sys.akia.ai/mapp/22fb1b85-5bcd-4148-bc1f-0b7bb0db169b?session=c210f878-18cf-46ff-b954-c715ec57b7c2
* ID: Uploaded
* Email: jeremy@jeremytaggart.com
* Vehicle Color/Make/Model: Silver Kia Niro
* ETA: 4:00 PM
* Acknowledgment: ✓</t>
  </si>
  <si>
    <t>101 (DQ), 111 (SMQ)</t>
  </si>
  <si>
    <t>2026-07-07</t>
  </si>
  <si>
    <t>2026-06-14 19:30:46</t>
  </si>
  <si>
    <t>Jeremy Carlson completed the Adventure Inn Registration Card mini app: https://sys.akia.ai/mapp/3449b102-4ff7-4cfa-8ba0-5075e5c9cd75?session=6e3f0246-86de-4a52-84bc-4575df1ae703
* ID: Uploaded
* Email: jdcforhisglory@yahoo.com
* Vehicle Color/Make/Model: White GMC Denali
* ETA: 7:00 PM
* Acknowledgment: ✓</t>
  </si>
  <si>
    <t>2026-06-14 20:55:07</t>
  </si>
  <si>
    <t>2026-06-14 21:03:29</t>
  </si>
  <si>
    <t>Conner Kinslow completed the Adventure Inn Registration Card mini app: https://sys.akia.ai/mapp/435bae9d-0632-48f3-ac93-f2ab581d33c1?session=3d31804f-f9ec-412c-99ed-cd56eab1309d
* ID: Uploaded
* Email: connerkinslow1@yahoo.com
* Vehicle Color/Make/Model: Red/Dodge/Charger
* ETA: 4:00 PM
* Acknowledgment: ✓</t>
  </si>
  <si>
    <t>2484722433</t>
  </si>
  <si>
    <t>2026-06-14 22:12:45</t>
  </si>
  <si>
    <t>HMXWAFXK28</t>
  </si>
  <si>
    <t>2026-06-14 22:16:48</t>
  </si>
  <si>
    <t>Carlo Salas completed the Adventure Inn Registration Card mini app: https://sys.akia.ai/mapp/390b1c49-70f5-4687-8312-0036fc6487ff?session=30d6b2db-0b33-4c72-aba4-07a20500ab8e
* ID: Uploaded
* Email: carlosalas996@gmal.com
* Vehicle Color/Make/Model: Honda CRV 2022 blue grey
* ETA: 4:00 PM
* Acknowledgment: ✓</t>
  </si>
  <si>
    <t>2484739423</t>
  </si>
  <si>
    <t>2026-06-14 22:41:12</t>
  </si>
  <si>
    <t>Chuck Rogge completed the Adventure Inn Registration Card mini app: https://sys.akia.ai/mapp/97550fcb-c7a8-4ece-8233-378db18f5dd5?session=5073a943-5768-4c03-839d-8bd74776e8f9
* ID: Uploaded
* Email: roggeriv75@gmail.com
* Vehicle Color/Make/Model: Tan / Chevy PU
* ETA: 4:00 PM
* Acknowledgment: ✓</t>
  </si>
  <si>
    <t>2026-06-14 22:49:46</t>
  </si>
  <si>
    <t>2484755950</t>
  </si>
  <si>
    <t>2026-06-14 23:09:12</t>
  </si>
  <si>
    <t>Sam Stroud completed the Adventure Inn Registration Card mini app: https://sys.akia.ai/mapp/c758da3f-abdf-4ac6-aab7-5a471342b3e1?session=5f9f3ea6-8921-4385-bffb-ff5a7f0f2da1
* ID: Uploaded
* Email: sam@sppok.com
* Vehicle Color/Make/Model: Blue Toyota Sienna
* ETA: 4:00 PM
* Acknowledgment: ✓</t>
  </si>
  <si>
    <t>2026-06-14 23:20:01</t>
  </si>
  <si>
    <t>2484763849</t>
  </si>
  <si>
    <t>2026-06-14 23:22:31</t>
  </si>
  <si>
    <t>6749177744</t>
  </si>
  <si>
    <t>2026-06-15 01:33:00</t>
  </si>
  <si>
    <t>2484871222</t>
  </si>
  <si>
    <t>2026-06-15 02:16:07</t>
  </si>
  <si>
    <t>2026-06-15 02:21:21</t>
  </si>
  <si>
    <t>2485042001</t>
  </si>
  <si>
    <t>2026-06-15 08:28:33</t>
  </si>
  <si>
    <t>Sara Newman completed the Adventure Inn Registration Card mini app: https://sys.akia.ai/mapp/772bcb31-3b2a-47c4-b54a-adcd6ebaffa0?session=898c6b0b-dcd0-45ce-9a7e-fb54e1cceb08
* ID: Uploaded
* Email: sarahawaii@hotmail.com
* Vehicle Color/Make/Model: grey honda accord sport 
* ETA: 5:30 PM
* Acknowledgment: ✓</t>
  </si>
  <si>
    <t>2026-06-15 12:25:43</t>
  </si>
  <si>
    <t>Erin Young completed the Adventure Inn Registration Card mini app: https://sys.akia.ai/mapp/4c0fd57a-2bf7-4a12-b970-6a3365a39e1f?session=fcbc6143-b912-4475-ba37-ead5d0ae7a7f
* ID: Uploaded
* Email: erinlynnyoung@gmail.com
* Vehicle Color/Make/Model: Green VW Atlas
* Acknowledgment: ✓</t>
  </si>
  <si>
    <t>2485177615</t>
  </si>
  <si>
    <t>2026-06-15 12:57:11</t>
  </si>
  <si>
    <t>2485179662</t>
  </si>
  <si>
    <t>2026-06-15 13:00:34</t>
  </si>
  <si>
    <t>2026-06-15 16:31:34</t>
  </si>
  <si>
    <t>2485355067</t>
  </si>
  <si>
    <t>2026-06-15 16:46:37</t>
  </si>
  <si>
    <t>HM2W53WWRM</t>
  </si>
  <si>
    <t>2026-06-15 16:51:54</t>
  </si>
  <si>
    <t>Eva Zhou completed the Adventure Inn Registration Card mini app: https://sys.akia.ai/mapp/f85c60c8-26b1-4b21-802a-23bac5a82e4f?session=23339401-1659-41fa-bc51-a3c2b3e4914f
* ID: Uploaded
* Email: evasummi07@gmail.com
* Vehicle Color/Make/Model: Not sure waiting to get rental 
* ETA: 2:00 PM
* Acknowledgment: ✓</t>
  </si>
  <si>
    <t>2026-06-15 16:54:32</t>
  </si>
  <si>
    <t>2026-06-15 17:41:59</t>
  </si>
  <si>
    <t>Mark Traeger completed the Adventure Inn Registration Card mini app: https://sys.akia.ai/mapp/1b8dd787-17eb-427a-8729-f783106e0a65?session=0d12a7aa-f02e-4a07-86ee-d64f85c6733f
* ID: Uploaded
* Email: drivingvacation@earthlink.net
* Vehicle Color/Make/Model: Green
* ETA: 5:30 PM
* Acknowledgment: ✓</t>
  </si>
  <si>
    <t>2485399878</t>
  </si>
  <si>
    <t>2026-06-15 17:44:52</t>
  </si>
  <si>
    <t>David James completed the Adventure Inn Registration Card mini app: https://sys.akia.ai/mapp/16a4c57e-aeba-4c7b-8ed2-c0bc3f2fc35d?session=62cbdd01-e1d8-42dc-89c7-57820f1f16d3
* ID: Uploaded
* Email: gleichnis@yahoo.com
* Vehicle Color/Make/Model: Orange/Subaru/CrossTrek
* ETA: 6:00 PM
* Acknowledgment: ✓</t>
  </si>
  <si>
    <t>5812937866</t>
  </si>
  <si>
    <t>2026-06-15 20:05:23</t>
  </si>
  <si>
    <t>2026-06-16 00:14:44</t>
  </si>
  <si>
    <t>2026-06-16 00:51:49</t>
  </si>
  <si>
    <t>Kara Vautour completed the Adventure Inn Registration Card mini app: https://sys.akia.ai/mapp/a8f57a69-d874-4274-bfdd-64b51d73a289?session=54674fbf-dc96-4285-8d8e-65b6681cd9c1
* ID: Uploaded
* Email: kara.vautour@gmail.com
* Vehicle Color/Make/Model: TBD- rental
* ETA: 4:00 PM
* Acknowledgment: ✓</t>
  </si>
  <si>
    <t>2485827216</t>
  </si>
  <si>
    <t>2026-06-16 04:02:41</t>
  </si>
  <si>
    <t>Khalil Daneshi completed the Adventure Inn Registration Card mini app: https://sys.akia.ai/mapp/f159d3d9-9e8a-4b84-9757-a66523fb6d7d?session=8159355e-2b3d-4c96-b51c-416426dbd56f
* ID: Uploaded
* Email: daneshi32@gmail.com
* Vehicle Color/Make/Model: Gray Mitsubishi 
* ETA: 3:00 PM
* Acknowledgment: ✓</t>
  </si>
  <si>
    <t>2026-06-16 04:11:17</t>
  </si>
  <si>
    <t>2485845104</t>
  </si>
  <si>
    <t>2026-06-16 04:39:09</t>
  </si>
  <si>
    <t>2486133267</t>
  </si>
  <si>
    <t>2026-06-16 14:14:11</t>
  </si>
  <si>
    <t>2026-06-16 14:18:33</t>
  </si>
  <si>
    <t>Alton Polacek completed the Adventure Inn Registration Card mini app: https://sys.akia.ai/mapp/b65dd924-8fed-40ec-82f7-56cf201b5668?session=266d0aba-511a-4402-af40-4e5d0db590c5
* ID: Uploaded
* Email: hildalpolacek@gmail.com
* Vehicle Color/Make/Model: Uber/Lyft
* ETA: 1:00 AM
* Acknowledgment: ✓</t>
  </si>
  <si>
    <t>2026-09-02</t>
  </si>
  <si>
    <t>HM4F3PSPX9</t>
  </si>
  <si>
    <t>2026-06-16 15:52:53</t>
  </si>
  <si>
    <t>2026-08-11</t>
  </si>
  <si>
    <t>2026-08-12</t>
  </si>
  <si>
    <t>2486243539</t>
  </si>
  <si>
    <t>2026-06-16 16:35:03</t>
  </si>
  <si>
    <t>2026-06-16 18:57:13</t>
  </si>
  <si>
    <t>2026-06-16 21:52:54</t>
  </si>
  <si>
    <t>2026-06-16 21:56:00</t>
  </si>
  <si>
    <t>2486498140</t>
  </si>
  <si>
    <t>2026-06-16 22:36:04</t>
  </si>
  <si>
    <t>Briana Gonzalez completed the Adventure Inn Registration Card mini app: https://sys.akia.ai/mapp/aaade3af-9dcb-4f3f-add6-80fd2880f8c2?session=0b0ad661-0af1-4771-986d-b2b1655bd53d
* ID: Uploaded
* Email: brian23gonzalez@yahoo.com
* Vehicle Color/Make/Model: 2025 maroon Chevy Trax 
* ETA: 10:08 AM
* Acknowledgment: ✓</t>
  </si>
  <si>
    <t>HMDF4XHHBW</t>
  </si>
  <si>
    <t>2026-06-16 22:49:10</t>
  </si>
  <si>
    <t>Josh Burmeister completed the Adventure Inn Registration Card mini app: https://sys.akia.ai/mapp/1af08c54-3448-4c54-a14c-2fc57ffe376c?session=40ca4f5e-18c1-4e08-ad47-793826f399a8
* ID: Uploaded
* Email: josh@anomalymanagement.com
* Vehicle Color/Make/Model: White/RAM/Power Wagon
* ETA: 7:00 PM
* Acknowledgment: ✓</t>
  </si>
  <si>
    <t>2026-06-17 01:01:08</t>
  </si>
  <si>
    <t>Casey Mcclatchey completed the Adventure Inn Registration Card mini app: https://sys.akia.ai/mapp/0ce5b0cf-1ad8-40e2-bf6d-97090201771b?session=026013c8-613d-41e8-ae8a-4ebc8d4f937f
* ID: Uploaded
* Email: ccmcclat@gmail.com
* Vehicle Color/Make/Model: Silver Jeep Cherokee
* ETA: 4:00 PM
* Acknowledgment: ✓</t>
  </si>
  <si>
    <t>2486596610</t>
  </si>
  <si>
    <t>2026-06-17 01:08:16</t>
  </si>
  <si>
    <t>2026-06-17 06:26:53</t>
  </si>
  <si>
    <t>2487096337</t>
  </si>
  <si>
    <t>2026-06-17 16:18:28</t>
  </si>
  <si>
    <t>2487098711</t>
  </si>
  <si>
    <t>2026-06-17 16:21:40</t>
  </si>
  <si>
    <t>John Brown completed the Adventure Inn Registration Card mini app: https://sys.akia.ai/mapp/75dc5916-1e0b-4602-ac52-2120c79e369a?session=79a61a07-d9a4-44c1-8193-65559c7e5d6f
* ID: Uploaded
* Email: johnbrown05@gmail.com
* Vehicle Color/Make/Model: White F350
* ETA: 4:00 PM
* Acknowledgment: ✓</t>
  </si>
  <si>
    <t>2487263348</t>
  </si>
  <si>
    <t>2026-06-17 20:15:59</t>
  </si>
  <si>
    <t>2487287322</t>
  </si>
  <si>
    <t>2026-06-17 20:50:31</t>
  </si>
  <si>
    <t>2026-09-23</t>
  </si>
  <si>
    <t>2026-06-17 21:04:05</t>
  </si>
  <si>
    <t>5926087345</t>
  </si>
  <si>
    <t>2026-06-17 21:54:21</t>
  </si>
  <si>
    <t>HMRH3W3ZHK</t>
  </si>
  <si>
    <t>2026-06-17 23:01:54</t>
  </si>
  <si>
    <t>2487402732</t>
  </si>
  <si>
    <t>2026-06-17 23:52:54</t>
  </si>
  <si>
    <t>2026-07-21</t>
  </si>
  <si>
    <t>2026-06-18 00:07:00</t>
  </si>
  <si>
    <t>Rachel Smedley completed the Adventure Inn Registration Card mini app: https://sys.akia.ai/mapp/67363b23-0d2a-4016-8439-8698793b0980?session=2bd3ac62-4970-4153-a533-e0d632edcdf6
* ID: Uploaded
* Email: rachelpsmedley@gmail.com
* Vehicle Color/Make/Model: White subaru forester 
* ETA: 5:00 PM
* Acknowledgment: ✓</t>
  </si>
  <si>
    <t>2026-06-18 01:18:00</t>
  </si>
  <si>
    <t>HM2Y2CJW2X</t>
  </si>
  <si>
    <t>2026-06-18 02:24:23</t>
  </si>
  <si>
    <t>2487573953</t>
  </si>
  <si>
    <t>2026-06-18 04:41:03</t>
  </si>
  <si>
    <t>HMJCTSEMPR</t>
  </si>
  <si>
    <t>2026-06-18 04:45:12</t>
  </si>
  <si>
    <t>Kennedy Brace completed the Adventure Inn Registration Card mini app: https://sys.akia.ai/mapp/82e8c40c-719b-49cd-b077-27646b85725a?session=263d9633-1b22-4ca0-8e83-8154949443de
* ID: Uploaded
* Email: kennybear20@icloud.com
* Vehicle Color/Make/Model: White Toyota 4Runner
* ETA: 4:00 PM
* Acknowledgment: ✓</t>
  </si>
  <si>
    <t>2026-06-18 05:00:57</t>
  </si>
  <si>
    <t>Tristen Wilson completed the Adventure Inn Registration Card mini app: https://sys.akia.ai/mapp/5c532f57-8e56-42dd-b5c3-af6ec6517480?session=640c5a9d-b219-42a5-bbc7-51d81c20f144
* ID: Uploaded
* Email: tgwil13@gmail.com
* Vehicle Color/Make/Model: Silver Ford explorer 
* ETA: 6:00 PM
* Acknowledgment: ✓</t>
  </si>
  <si>
    <t>2487858218</t>
  </si>
  <si>
    <t>2026-06-18 14:22:34</t>
  </si>
  <si>
    <t>2487876372</t>
  </si>
  <si>
    <t>2026-06-18 14:46:27</t>
  </si>
  <si>
    <t>2488024085</t>
  </si>
  <si>
    <t>2026-06-18 18:08:43</t>
  </si>
  <si>
    <t>Korey Bednarz Utz completed the Adventure Inn Registration Card mini app: https://sys.akia.ai/mapp/61746b70-fd74-47c9-9a84-1b6abff1da3e?session=3b681d72-93c4-4f8c-94f5-ec5f68f27c7f
* ID: Uploaded
* Email: koreyutz923@gmail.com
* Vehicle Color/Make/Model: White Jeep grand cherokee
* ETA: 1:30 PM
* Acknowledgment: ✓</t>
  </si>
  <si>
    <t>HMF3JN28JC</t>
  </si>
  <si>
    <t>2026-06-18 19:39:13</t>
  </si>
  <si>
    <t>Noah Abreu completed the Adventure Inn Registration Card mini app: https://sys.akia.ai/mapp/65c4e8df-e115-4b7e-9ad9-5c9c140685bb?session=6bd01900-f8f2-4727-bf8f-c7773be8ac5c
* ID: Uploaded
* Email: noaha808@gmail.com
* Vehicle Color/Make/Model: White Mazda
* ETA: 2:30 PM
* Acknowledgment: ✓</t>
  </si>
  <si>
    <t>2488113835</t>
  </si>
  <si>
    <t>2026-06-18 20:18:38</t>
  </si>
  <si>
    <t>2488127354</t>
  </si>
  <si>
    <t>2026-06-18 20:38:14</t>
  </si>
  <si>
    <t>2488135266</t>
  </si>
  <si>
    <t>2026-06-18 20:49:48</t>
  </si>
  <si>
    <t>2488220824</t>
  </si>
  <si>
    <t>2026-06-18 23:04:47</t>
  </si>
  <si>
    <t>2026-06-18 23:47:43</t>
  </si>
  <si>
    <t>2026-09-04</t>
  </si>
  <si>
    <t>2026-06-19 00:52:55</t>
  </si>
  <si>
    <t>2026-06-19 02:18:17</t>
  </si>
  <si>
    <t>2026-06-19 02:53:10</t>
  </si>
  <si>
    <t>Barbara Hogoboom completed the Adventure Inn Registration Card mini app: https://sys.akia.ai/mapp/b4d9410c-c6ec-4ba3-a2da-fa6a2c40b683?session=7b214604-f350-4707-81e6-618e2f1c2a1b
* ID: Uploaded
* Email: hogoboom@vail.net
* Vehicle Color/Make/Model: White Toyota Tacoma
* ETA: 4:00 PM
* Acknowledgment: ✓</t>
  </si>
  <si>
    <t>2026-06-19 02:56:48</t>
  </si>
  <si>
    <t>Haris Samardzic completed the Adventure Inn Registration Card mini app: https://sys.akia.ai/mapp/c9d176b9-5d5f-448a-8f38-1bc561fa37f6?session=84addd99-dfb7-4576-b335-bd14ce60881e
* ID: Uploaded
* Email: samar.haris@gmail.com
* Vehicle Color/Make/Model: Black/Tesla/model Y
* ETA: 12:00 AM
* Acknowledgment: ✓</t>
  </si>
  <si>
    <t>2488721034</t>
  </si>
  <si>
    <t>2026-06-19 14:59:22</t>
  </si>
  <si>
    <t>2488813380</t>
  </si>
  <si>
    <t>2026-06-19 17:08:21</t>
  </si>
  <si>
    <t>2026-06-19 17:49:58</t>
  </si>
  <si>
    <t>Samuel Frantz completed the Adventure Inn Registration Card mini app: https://sys.akia.ai/mapp/a1748a8e-d8b1-4545-b5da-f6a1887938f5?session=10cd1626-9486-424b-867c-fdbcd4b356ea
* ID: Uploaded
* Email: sfrantz@gmail.com
* Vehicle Color/Make/Model: White Kia Sportage / TX plates
* ETA: 3:30 PM
* Acknowledgment: ✓</t>
  </si>
  <si>
    <t>HM3MSKYCZ4</t>
  </si>
  <si>
    <t>2026-06-19 19:00:43</t>
  </si>
  <si>
    <t>2488921637</t>
  </si>
  <si>
    <t>2026-06-19 19:52:16</t>
  </si>
  <si>
    <t>HMX8STSZRF</t>
  </si>
  <si>
    <t>2026-06-19 20:39:08</t>
  </si>
  <si>
    <t>2488972490</t>
  </si>
  <si>
    <t>2026-06-19 21:10:43</t>
  </si>
  <si>
    <t>2489107121</t>
  </si>
  <si>
    <t>2026-06-20 00:59:32</t>
  </si>
  <si>
    <t>2489394946</t>
  </si>
  <si>
    <t>2026-06-20 13:38:08</t>
  </si>
  <si>
    <t>Shelly Townsend completed the Adventure Inn Registration Card mini app: https://sys.akia.ai/mapp/eac79d6d-ffd3-477f-ba54-5390e4006140?session=84441aff-8ff7-44c7-8eee-71e8fc982738
* ID: Uploaded
* Email: shelly.townsend4@gmail.com
* Vehicle Color/Make/Model: Blue Subaru outback 
* ETA: 11:59 PM
* Acknowledgment: ✓</t>
  </si>
  <si>
    <t>2026-06-20 15:07:40</t>
  </si>
  <si>
    <t>Doug Trebon completed the Adventure Inn Registration Card mini app: https://sys.akia.ai/mapp/e000fd69-ff77-4687-921f-142704a38cfc?session=f0b42130-a045-45a7-8ed2-0e0ccca1748f
* ID: Uploaded
* Email: itsthesamesound@icloud.com
* Vehicle Color/Make/Model: Blue Ford Bronco
* ETA: 4:00 PM
* Acknowledgment: ✓</t>
  </si>
  <si>
    <t>2026-09-24</t>
  </si>
  <si>
    <t>2489461988</t>
  </si>
  <si>
    <t>2026-06-20 15:41:55</t>
  </si>
  <si>
    <t>2026-06-20 16:08:17</t>
  </si>
  <si>
    <t>6882194352</t>
  </si>
  <si>
    <t>2026-06-20 19:22:46</t>
  </si>
  <si>
    <t>118 (STQ), 117 (STQ)</t>
  </si>
  <si>
    <t>5789619620</t>
  </si>
  <si>
    <t>2026-06-20 20:31:30</t>
  </si>
  <si>
    <t>2026-06-20 21:39:41</t>
  </si>
  <si>
    <t>2489675712</t>
  </si>
  <si>
    <t>2026-06-20 22:09:15</t>
  </si>
  <si>
    <t>6882165495</t>
  </si>
  <si>
    <t>2026-06-20 22:44:40</t>
  </si>
  <si>
    <t>John Gallegos completed the Adventure Inn Registration Card mini app: https://sys.akia.ai/mapp/8e2b3a86-0a59-4486-a830-9bb92d830261?session=98f2ee2b-1072-4b61-91b0-e9b6d1d60108
* ID: Uploaded
* Email: swlegos@gmail.com
* Vehicle Color/Make/Model: Blue Toyota Rav4
* ETA: 6:00 PM
* Acknowledgment: ✓</t>
  </si>
  <si>
    <t>2489712030</t>
  </si>
  <si>
    <t>2026-06-20 23:23:21</t>
  </si>
  <si>
    <t>2026-06-21 01:36:23</t>
  </si>
  <si>
    <t>2026-07-24</t>
  </si>
  <si>
    <t>2026-06-21 02:14:49</t>
  </si>
  <si>
    <t>Raichynda Gould completed the Adventure Inn Registration Card mini app: https://sys.akia.ai/mapp/c4aab24c-cf7e-4c6d-acf2-dd86884b06c5?session=1407c280-ff8e-4584-a70e-cc444cfeb006
* ID: Uploaded
* Email: raichyndagould@gmail.com
* Vehicle Color/Make/Model: Silver/nissan maxima. 
* ETA: 4:00 PM
* Acknowledgment: ✓</t>
  </si>
  <si>
    <t>2489838362</t>
  </si>
  <si>
    <t>2026-06-21 03:45:58</t>
  </si>
  <si>
    <t>Jeff Drew completed the Adventure Inn Registration Card mini app: https://sys.akia.ai/mapp/845adba5-0819-4620-89f0-613ecb3b2507?session=15a057de-6064-4bae-8c00-30f2c591d480
* ID: Uploaded
* Email: jeffddrew@gmail.com
* Vehicle Color/Make/Model: White Honda Transalp 
* ETA: 5:00 PM
* Acknowledgment: ✓</t>
  </si>
  <si>
    <t>HMPQMSR83N</t>
  </si>
  <si>
    <t>2026-06-21 04:20:48</t>
  </si>
  <si>
    <t>Kevin Maddox completed the Adventure Inn Registration Card mini app: https://sys.akia.ai/mapp/66ff725d-c396-4208-abee-89e40ba5edf6?session=b75d0bf0-7eea-43e7-9257-9feb91c19d94
* ID: Uploaded
* Email: kevin.maddox@rocketmail.com
* Vehicle Color/Make/Model: Black Toyota Tundra
* ETA: 4:00 PM
* Acknowledgment: ✓</t>
  </si>
  <si>
    <t>2026-06-21 21:21:22</t>
  </si>
  <si>
    <t>Saffire Dawson completed the Adventure Inn Registration Card mini app: https://sys.akia.ai/mapp/f0ac8ec7-393d-4c03-af00-de4346b33e97?session=6055d837-e68c-43f7-8929-0e0be21e5f74
* ID: Uploaded
* Email: saffiredawson@gmail.com
* Vehicle Color/Make/Model: Grey Ford F150 
* ETA: 4:00 PM
* Acknowledgment: ✓</t>
  </si>
  <si>
    <t>HMEHA34CAP</t>
  </si>
  <si>
    <t>2026-06-21 23:00:16</t>
  </si>
  <si>
    <t>Steven Jung completed the Adventure Inn Registration Card mini app: https://sys.akia.ai/mapp/af4bfd95-4cf3-4eae-a2f0-fdc1dfe0da78?session=ef92e96e-6c61-4920-8fdd-2a703c905658
* ID: Uploaded
* Email: srjxufan30@hotmail.com
* Vehicle Color/Make/Model: White Dodge Durango 
* ETA: 5:20 PM
* Acknowledgment: ✓</t>
  </si>
  <si>
    <t>2490374538</t>
  </si>
  <si>
    <t>2026-06-21 23:37:31</t>
  </si>
  <si>
    <t>Janette Szepessy completed the Adventure Inn Registration Card mini app: https://sys.akia.ai/mapp/720895a5-067d-42ad-aff4-375b72f88ee3?session=5533a768-9586-423f-a5a0-154d065c4a16
* ID: Uploaded
* Email: jaynet25@yahoo.com
* Vehicle Color/Make/Model: Grey ford bronco
* ETA: 4:00 PM
* Acknowledgment: ✓, Guest called to extend stay for one night. First night booked through expedia--Will need to charge directly for second night. CHris H</t>
  </si>
  <si>
    <t>2026-06-22 02:15:23</t>
  </si>
  <si>
    <t>Alicia Plantz completed the Adventure Inn Registration Card mini app: https://sys.akia.ai/mapp/42ac5658-a1bb-4fe4-abfd-0e0d0dec6abf?session=c1ddbaf5-c0ef-440b-8972-16c77fd69a8f
* ID: Uploaded
* Email: aliciaplantz@gmail.com
* Vehicle Color/Make/Model: Toyota Tav4
* ETA: 4:00 PM
* Acknowledgment: ✓</t>
  </si>
  <si>
    <t>2490535572</t>
  </si>
  <si>
    <t>2026-06-22 04:26:57</t>
  </si>
  <si>
    <t>Melissa Sandoval completed the Adventure Inn Registration Card mini app: https://sys.akia.ai/mapp/da4d6481-e911-44b5-aa2a-a9d87da8309c?session=b9f76aaa-1394-4058-a080-e92a1346f2f4
* ID: Uploaded
* Email: melissasandoval628@gmail.con
* Vehicle Color/Make/Model: White/toyota/corolla 
* ETA: 7:00 PM
* Acknowledgment: ✓</t>
  </si>
  <si>
    <t>2490670360</t>
  </si>
  <si>
    <t>2026-06-22 09:44:29</t>
  </si>
  <si>
    <t>Anderson Misobuchi completed the Adventure Inn Registration Card mini app: https://sys.akia.ai/mapp/76ee2cf7-f209-4035-886a-21d947c2f9b1?session=0431472c-35b5-44d7-b0d8-7c842733144c
* ID: Uploaded
* Email: andersonmisobuchi@gmail.com
* Vehicle Color/Make/Model: Black/Mazda/CX-5
* ETA: 9:00 PM
* Acknowledgment: ✓</t>
  </si>
  <si>
    <t>2026-06-22 13:25:52</t>
  </si>
  <si>
    <t>Kris Kirk completed the Adventure Inn Registration Card mini app: https://sys.akia.ai/mapp/288ccc15-994c-4ba5-85ce-0578d4ec3e39?session=59321a92-11da-4330-b8a7-5e8c043f0814
* ID: Uploaded
* Email: kris@mycustomdirect.com
* Vehicle Color/Make/Model: Gray Toyota Crown
* ETA: 5:00 PM
* Acknowledgment: ✓</t>
  </si>
  <si>
    <t>2026-06-22 13:31:13</t>
  </si>
  <si>
    <t>Jed Ellithorpe completed the Adventure Inn Registration Card mini app: https://sys.akia.ai/mapp/60d75218-69fe-4daf-b77c-6fcee0d561f5?session=5f0641f1-1ff6-4e7b-9307-b0dceee20d4d
* ID: Uploaded
* Email: jvellithorpe@hotmail.com
* Vehicle Color/Make/Model: Ford f150 black lightning 
* ETA: 5:30 PM
* Acknowledgment: ✓</t>
  </si>
  <si>
    <t>2490813119</t>
  </si>
  <si>
    <t>2026-06-22 13:58:30</t>
  </si>
  <si>
    <t>2490916255</t>
  </si>
  <si>
    <t>2026-06-22 16:06:03</t>
  </si>
  <si>
    <t>2490916257</t>
  </si>
  <si>
    <t>2026-06-22 16:06:07</t>
  </si>
  <si>
    <t>2026-06-22 16:15:41</t>
  </si>
  <si>
    <t>Don Mead completed the Adventure Inn Registration Card mini app: https://sys.akia.ai/mapp/b9b9f045-975e-430c-8b1f-4cf9bbf665ba?session=ce62dc97-70a0-45cd-9b1a-48b4efa6ed03
* ID: Uploaded
* Email: kirsten.mead@gmail.com
* Vehicle Color/Make/Model: TBD rental 
* ETA: 2:00 PM
* Acknowledgment: ✓</t>
  </si>
  <si>
    <t>2490971496</t>
  </si>
  <si>
    <t>2026-06-22 17:16:57</t>
  </si>
  <si>
    <t>Abbie Gardner completed the Adventure Inn Registration Card mini app: https://sys.akia.ai/mapp/56a6127a-6af6-49ce-9619-ca227729f2ad?session=f50d2dd9-fa00-499c-973f-6b27b1cd5ee2
* ID: Uploaded
* Email: abbiedgardner@gmail.com
* Vehicle Color/Make/Model: Red Hyundai Elantra 
* ETA: 9:00 PM
* Acknowledgment: ✓</t>
  </si>
  <si>
    <t>2491073695</t>
  </si>
  <si>
    <t>2026-06-22 19:30:37</t>
  </si>
  <si>
    <t>2026-06-22 19:50:22</t>
  </si>
  <si>
    <t>Asked to shorten stay on prepaid reservation through expedia and use 2nd day on a different date, Full amount has been charged to original date and this reservation is the "2nd day"-JF</t>
  </si>
  <si>
    <t>2026-06-22 20:56:06</t>
  </si>
  <si>
    <t>Kamran Moradi completed the Adventure Inn Registration Card mini app: https://sys.akia.ai/mapp/8c5cb7e7-b23b-44c1-894f-06f8d5502ccf?session=40fc7800-c667-4de8-b3d4-09ce2b83c248
* ID: Uploaded
* Email: zabomoradi@gmail.com
* Vehicle Color/Make/Model: Gray Honda Ridgeline 
* ETA: 4:00 PM
* Acknowledgment: ✓</t>
  </si>
  <si>
    <t>2491162382</t>
  </si>
  <si>
    <t>2026-06-22 21:15:51</t>
  </si>
  <si>
    <t>2026-06-22 22:05:05</t>
  </si>
  <si>
    <t>2026-08-18</t>
  </si>
  <si>
    <t>HMKDN9WTSX</t>
  </si>
  <si>
    <t>2026-06-22 22:24:40</t>
  </si>
  <si>
    <t>HMTRDQDTEF</t>
  </si>
  <si>
    <t>2026-06-22 22:27:23</t>
  </si>
  <si>
    <t>Jeri Dubcak completed the Adventure Inn Registration Card mini app: https://sys.akia.ai/mapp/b4d0998b-3018-4616-9baf-a23d52a29965?session=804da497-0814-491d-b183-94be08153eda
* ID: Uploaded
* Email: mjeri606@gmail.com
* Vehicle Color/Make/Model: Nissan Versa
* ETA: 3:38 PM
* Acknowledgment: ✓</t>
  </si>
  <si>
    <t>2026-08-27</t>
  </si>
  <si>
    <t>2026-08-28</t>
  </si>
  <si>
    <t>5273675851</t>
  </si>
  <si>
    <t>2026-06-22 22:50:00</t>
  </si>
  <si>
    <t>5346322852</t>
  </si>
  <si>
    <t>2026-06-22 23:25:42</t>
  </si>
  <si>
    <t>Daniel Skippar completed the Adventure Inn Registration Card mini app: https://sys.akia.ai/mapp/159f970e-1775-4cb5-8a8f-4a643e2b9068?session=c97abc01-c4f5-469f-871b-3535cf166296
* ID: Uploaded
* Email: danielskippar@gmail.com
* Vehicle Color/Make/Model: Red Ford Escape
* ETA: 4:00 PM
* Acknowledgment: ✓</t>
  </si>
  <si>
    <t>2491287668</t>
  </si>
  <si>
    <t>2026-06-23 00:17:24</t>
  </si>
  <si>
    <t>2491298323</t>
  </si>
  <si>
    <t>2026-06-23 00:32:42</t>
  </si>
  <si>
    <t>2026-07-30</t>
  </si>
  <si>
    <t>2491304132</t>
  </si>
  <si>
    <t>2026-06-23 00:41:05</t>
  </si>
  <si>
    <t>2491340062</t>
  </si>
  <si>
    <t>2026-06-23 01:31:25</t>
  </si>
  <si>
    <t>HMM5FNN4WT</t>
  </si>
  <si>
    <t>2026-06-23 01:42:04</t>
  </si>
  <si>
    <t>5884421192</t>
  </si>
  <si>
    <t>2026-06-23 02:00:41</t>
  </si>
  <si>
    <t>Reservation made by Leslie Kent through booking.com. Reservation is for an employee driver named Blake Younker. Changed name of reservation--CHris H.</t>
  </si>
  <si>
    <t>2026-06-23 02:10:31</t>
  </si>
  <si>
    <t>2026-06-23 02:50:15</t>
  </si>
  <si>
    <t>2026-06-23 03:20:28</t>
  </si>
  <si>
    <t>Khadijah Al-Shami completed the Adventure Inn Registration Card mini app: https://sys.akia.ai/mapp/1a8f9559-06ca-4976-bc50-a5b800f6c7f8?session=7414d7a9-c490-4a1c-bec2-26e5ab5dfefd
* ID: Uploaded
* Email: khadijah.al-shami@outlook.com
* Vehicle Color/Make/Model: Green Kia Sportage
* ETA: 2:30 PM
* Acknowledgment: ✓</t>
  </si>
  <si>
    <t>2026-06-23 14:16:44</t>
  </si>
  <si>
    <t>Joel Cugini completed the Adventure Inn Registration Card mini app: https://sys.akia.ai/mapp/8525627a-5ff1-4743-9f55-6e3f68755ce4?session=32f3e0e0-18cf-48aa-abf6-482607bd87a4
* ID: Uploaded
* Email: jrcugini@icloud.com
* Vehicle Color/Make/Model: Gray Acura RDX
* ETA: 4:00 PM
* Acknowledgment: ✓</t>
  </si>
  <si>
    <t>2026-06-23 16:54:45</t>
  </si>
  <si>
    <t>2026-06-23 20:11:13</t>
  </si>
  <si>
    <t>2026-06-23 20:17:03</t>
  </si>
  <si>
    <t>Katherine Ashley completed the Adventure Inn Registration Card mini app: https://sys.akia.ai/mapp/2af17280-98d4-4245-97e3-22118a69441e?session=cbbd1cb9-e94c-4e03-ac6f-4ab8f1b1218d
* ID: Uploaded
* Email: kashmellor@gmail.com
* Vehicle Color/Make/Model: NA
* ETA: 4:00 PM
* Acknowledgment: ✓</t>
  </si>
  <si>
    <t>2492020644</t>
  </si>
  <si>
    <t>2026-06-23 20:31:42</t>
  </si>
  <si>
    <t>2492101493</t>
  </si>
  <si>
    <t>2026-06-23 22:32:34</t>
  </si>
  <si>
    <t>2026-06-23 22:49:24</t>
  </si>
  <si>
    <t>Mary Beth Grier completed the Adventure Inn Registration Card mini app: https://sys.akia.ai/mapp/47ddd162-59d6-4e39-aedf-6a346ec1fe26?session=79c12ede-94e8-4511-aeb4-71a500dad1ea
* ID: Uploaded
* Email: marybethgrier@gmail.com
* Vehicle Color/Make/Model: U-Haul truck
* ETA: 1:00 PM
* Acknowledgment: ✓</t>
  </si>
  <si>
    <t>HM3CXYPD4T</t>
  </si>
  <si>
    <t>2026-06-24 00:01:47</t>
  </si>
  <si>
    <t>2026-06-24 01:19:17</t>
  </si>
  <si>
    <t>2492228545</t>
  </si>
  <si>
    <t>2026-06-24 01:40:29</t>
  </si>
  <si>
    <t>2026-06-24 03:04:33</t>
  </si>
  <si>
    <t>2026-08-10</t>
  </si>
  <si>
    <t>2492543634</t>
  </si>
  <si>
    <t>2026-06-24 12:07:03</t>
  </si>
  <si>
    <t>2026-06-24 16:33:42</t>
  </si>
  <si>
    <t>Dominique Saindon completed the Adventure Inn Registration Card mini app: https://sys.akia.ai/mapp/9fa670bb-7072-4c8e-8730-e2ccde1aa3c6?session=c07a61ca-23b0-47e5-a002-a9b6857aa7af
* ID: Uploaded
* Email: jerseysaindon@gmail.com
* Vehicle Color/Make/Model: Silver Toyota RAV4 
* ETA: 4:30 PM
* Acknowledgment: ✓</t>
  </si>
  <si>
    <t>2026-06-24 16:37:51</t>
  </si>
  <si>
    <t>2492888693</t>
  </si>
  <si>
    <t>2026-06-24 20:15:54</t>
  </si>
  <si>
    <t>2026-06-24 20:29:40</t>
  </si>
  <si>
    <t>Clint Wagner completed the Adventure Inn Registration Card mini app: https://sys.akia.ai/mapp/02ae8371-b6b7-4320-9b99-f954b7c1ece9?session=0eccae55-b3c6-4b5f-8c02-1fc53485bc3b
* ID: Uploaded
* Email: rock_wagner@msn.com
* Vehicle Color/Make/Model: Gray F150
* ETA: 4:00 PM
* Acknowledgment: ✓</t>
  </si>
  <si>
    <t>2026-06-24 22:07:03</t>
  </si>
  <si>
    <t>2026-06-24 23:47:28</t>
  </si>
  <si>
    <t>2026-06-25 00:10:34</t>
  </si>
  <si>
    <t>Aubrey Jacobs completed the Adventure Inn Registration Card mini app: https://sys.akia.ai/mapp/f727c808-de79-4270-ace7-753ab47ad1b1?session=b80f9739-256f-47e0-b308-da1a6716acb3
* ID: Uploaded
* Email: aubreyat@outlook.com
* Vehicle Color/Make/Model: Black/Dodge/Durango
* ETA: 9:00 PM
* Acknowledgment: ✓</t>
  </si>
  <si>
    <t>2026-06-25 14:19:55</t>
  </si>
  <si>
    <t>Rebecca Foster completed the Adventure Inn Registration Card mini app: https://sys.akia.ai/mapp/cbbd2016-9824-4aac-8baf-0ff30df1867e?session=f04d1449-9db0-4321-ad0e-64655428f073
* ID: Uploaded
* Email: beccaknob@gmail.com
* Vehicle Color/Make/Model: White Toyota Tundra
* ETA: 4:00 PM
* Acknowledgment: ✓</t>
  </si>
  <si>
    <t>2493546137</t>
  </si>
  <si>
    <t>2026-06-25 15:30:46</t>
  </si>
  <si>
    <t>Eva Mccarty completed the Adventure Inn Registration Card mini app: https://sys.akia.ai/mapp/ad9b79fa-1570-4bed-b0c1-777a82e4125e?session=82acad65-a823-4de2-af4d-3626fbcee3df
* ID: Uploaded
* Email: evab-mccarty@sbcglobal.net
* Vehicle Color/Make/Model: Silver Chevy silverado 
* ETA: 5:10 PM
* Acknowledgment: ✓</t>
  </si>
  <si>
    <t>2026-06-25 15:33:48</t>
  </si>
  <si>
    <t>Kevin Dussart completed the Adventure Inn Registration Card mini app: https://sys.akia.ai/mapp/6c1627ee-d6b3-43a4-8a65-1c470a67c49d?session=0c78dba2-0c81-4fde-a0db-7382da49f638
* ID: Uploaded
* Email: kdussart@aol.com
* Vehicle Color/Make/Model: Silver/Toyota/26 Tundra 4x4
* ETA: 4:00 PM
* Acknowledgment: ✓</t>
  </si>
  <si>
    <t>2026-06-25 18:00:30</t>
  </si>
  <si>
    <t>Nathan Kirkland completed the Adventure Inn Registration Card mini app: https://sys.akia.ai/mapp/e75d188f-83f5-48d9-b852-4a62ad609ca2?session=ffe7ad47-03bd-4d09-b8c6-9a10c96ab430
* ID: Uploaded
* Email: nathan.kirkland@me.com
* Vehicle Color/Make/Model: Nissan pathfinder sl
* ETA: 4:00 PM
* Acknowledgment: ✓</t>
  </si>
  <si>
    <t>2026-06-25 18:54:56</t>
  </si>
  <si>
    <t>HMMA4BWMPP</t>
  </si>
  <si>
    <t>2026-06-25 20:27:42</t>
  </si>
  <si>
    <t>Emma Larson completed the Adventure Inn Registration Card mini app: https://sys.akia.ai/mapp/64b4c677-976b-4466-88a7-4f54d1f27e6d?session=d64a3703-2f03-469c-94db-c7034ef4c9b0
* ID: Uploaded
* Email: emma@minerswon.com
* Vehicle Color/Make/Model: silver ford fusion
* ETA: 4:30 PM
* Acknowledgment: ✓</t>
  </si>
  <si>
    <t>2493820053</t>
  </si>
  <si>
    <t>2026-06-25 22:02:20</t>
  </si>
  <si>
    <t>Jaelyn Ontiveros completed the Adventure Inn Registration Card mini app: https://sys.akia.ai/mapp/b9fef76b-86fa-4dad-8c0d-24e167142b65?session=83cb6df2-9c26-4c97-8a28-f78d3157d49e
* ID: Uploaded
* Email: ontiveros.jaelyn@gmail.com
* Vehicle Color/Make/Model: Black, Kia, Sportage 
* ETA: 7:15 PM
* Acknowledgment: ✓</t>
  </si>
  <si>
    <t>5761234484</t>
  </si>
  <si>
    <t>2026-06-25 23:14:33</t>
  </si>
  <si>
    <t>2026-06-25 23:29:51</t>
  </si>
  <si>
    <t>Clinton Bellew completed the Adventure Inn Registration Card mini app: https://sys.akia.ai/mapp/f1ed7e63-337c-4123-a682-cff4bd115d25?session=e927da07-e5c5-4f37-9b0d-50f9081c6b1d
* ID: Uploaded
* Email: clintonbellew@gmail.com
* Vehicle Color/Make/Model: Yellow/ jeep/ wrangler 
* ETA: 4:00 PM
* Acknowledgment: ✓</t>
  </si>
  <si>
    <t>2026-06-26 00:41:34</t>
  </si>
  <si>
    <t>Kyle Mason completed the Adventure Inn Registration Card mini app: https://sys.akia.ai/mapp/0d52d3d2-6700-4085-a2b7-76863e3fad70?session=716b34e0-bdeb-4d2a-9a2e-bf43600d1fc9
* ID: Uploaded
* Email: ksmason71@gmail.com
* Vehicle Color/Make/Model: Red Bicycle
* ETA: 4:00 PM
* Acknowledgment: ✓</t>
  </si>
  <si>
    <t>2493927732</t>
  </si>
  <si>
    <t>2026-06-26 00:50:56</t>
  </si>
  <si>
    <t>2026-06-26 01:00:05</t>
  </si>
  <si>
    <t>Base Rate, Friends and Family Discount</t>
  </si>
  <si>
    <t>2026-06-26 02:58:02</t>
  </si>
  <si>
    <t>2026-06-26 03:00:33</t>
  </si>
  <si>
    <t>2026-06-26 03:37:29</t>
  </si>
  <si>
    <t>Shaun Myers completed the Adventure Inn Registration Card mini app: https://sys.akia.ai/mapp/d9824678-4084-4472-8200-08e69447257b?session=117dd3c8-1c8e-4064-a0c2-fa8f392a16b8
* ID: Uploaded
* Email: shaunkm2014@hotmail.com
* Vehicle Color/Make/Model: Lt. gray dodge charger
* ETA: 8:00 PM
* Acknowledgment: ✓</t>
  </si>
  <si>
    <t>2494366918</t>
  </si>
  <si>
    <t>2026-06-26 14:51:49</t>
  </si>
  <si>
    <t>2026-06-26 17:01:39</t>
  </si>
  <si>
    <t>2026-06-26 19:12:49</t>
  </si>
  <si>
    <t>Jillian Staugler completed the Adventure Inn Registration Card mini app: https://sys.akia.ai/mapp/113ebe2f-fe5b-41fb-b137-0fc3847e28fa?session=3de5d0cf-cb52-47ec-b634-5dd3f87dc017
* ID: Uploaded
* Email: staugler175@gmail.com
* Vehicle Color/Make/Model: White Subaru outback
* ETA: 5:00 PM
* Acknowledgment: ✓</t>
  </si>
  <si>
    <t>5468066912</t>
  </si>
  <si>
    <t>2026-06-26 22:06:48</t>
  </si>
  <si>
    <t>Michael Holland completed the Adventure Inn Registration Card mini app: https://sys.akia.ai/mapp/f7a25f80-ed6a-4520-bb86-178ff08b0ac5?session=b0d4374b-a8e1-453f-9444-2de6a34d78da
* ID: Uploaded
* Email: gangsta1962@gmail.com
* Vehicle Color/Make/Model: Grey
* ETA: 4:00 PM
* Acknowledgment: ✓</t>
  </si>
  <si>
    <t>2026-06-26 23:20:53</t>
  </si>
  <si>
    <t>Discounted Rate for Military/AARP, Returning Guest</t>
  </si>
  <si>
    <t>2026-06-26 23:41:01</t>
  </si>
  <si>
    <t>2026-06-27 00:18:57</t>
  </si>
  <si>
    <t>2026-06-27 00:22:02</t>
  </si>
  <si>
    <t>2494829396</t>
  </si>
  <si>
    <t>2026-06-27 02:33:42</t>
  </si>
  <si>
    <t>2026-10-23</t>
  </si>
  <si>
    <t>2026-10-25</t>
  </si>
  <si>
    <t>2494873887</t>
  </si>
  <si>
    <t>2026-06-27 03:57:26</t>
  </si>
  <si>
    <t>2026-06-27 14:26:53</t>
  </si>
  <si>
    <t>Dirk Robison completed the Adventure Inn Registration Card mini app: https://sys.akia.ai/mapp/dc5eb1fc-4e3c-4198-9239-4393919945b3?session=ac0ee8d7-728f-4e9b-a3df-7710b6477c15
* ID: Uploaded
* Email: drobison_911@yahoo.com
* Vehicle Color/Make/Model: Gold/Ford/Excursion 
* ETA: 4:00 PM
* Acknowledgment: ✓</t>
  </si>
  <si>
    <t>HM8EE984MJ</t>
  </si>
  <si>
    <t>2026-06-27 16:00:20</t>
  </si>
  <si>
    <t>2495176932</t>
  </si>
  <si>
    <t>2026-06-27 16:17:19</t>
  </si>
  <si>
    <t>2026-06-27 17:25:55</t>
  </si>
  <si>
    <t>Les Rice completed the Adventure Inn Registration Card mini app: https://sys.akia.ai/mapp/8503985f-ca26-4dc5-aab0-bf30f602281d?session=7434c272-6565-4e69-9f32-232fd00f1d03
* ID: Uploaded
* Email: lexieakdg@icloud.com
* Vehicle Color/Make/Model: Red Ram 2500
* ETA: 6:30 PM
* Acknowledgment: ✓</t>
  </si>
  <si>
    <t>2026-06-27 18:18:19</t>
  </si>
  <si>
    <t>Brandon Anderson completed the Adventure Inn Registration Card mini app: https://sys.akia.ai/mapp/77337f0d-b4d7-426c-b7f6-1147755db565?session=9c7e99a5-9bd0-4086-b027-ac795cbaa576
* ID: Uploaded
* Email: ba9763@gmail.com
* Vehicle Color/Make/Model: Black Honda Passport 
* ETA: 4:00 PM
* Acknowledgment: ✓</t>
  </si>
  <si>
    <t>2495397832</t>
  </si>
  <si>
    <t>2026-06-27 22:26:58</t>
  </si>
  <si>
    <t>2495397834</t>
  </si>
  <si>
    <t>2026-06-27 22:27:03</t>
  </si>
  <si>
    <t>2495409980</t>
  </si>
  <si>
    <t>2026-06-27 22:49:21</t>
  </si>
  <si>
    <t>HM442FYMDM</t>
  </si>
  <si>
    <t>2026-06-27 22:51:39</t>
  </si>
  <si>
    <t>5203019245</t>
  </si>
  <si>
    <t>2026-06-27 23:20:29</t>
  </si>
  <si>
    <t>Raymond Durain completed the Adventure Inn Registration Card mini app: https://sys.akia.ai/mapp/b8370a20-00f4-41e3-9456-bedca6bb6dad?session=746e8dac-e1e3-4c50-a16d-6698d4324b54
* ID: Uploaded
* Email: radurain@gmail.com
* Vehicle Color/Make/Model: white Dodge Grand caravan 
* ETA: 4:00 PM
* Acknowledgment: ✓</t>
  </si>
  <si>
    <t>2026-06-27 23:48:54</t>
  </si>
  <si>
    <t>Dalton Coleman completed the Adventure Inn Registration Card mini app: https://sys.akia.ai/mapp/1cd7299c-d8ad-42d2-bf52-c93ed84efc0f?session=151eae03-107a-4a0c-a359-d8a57d01f861
* ID: Uploaded
* Email: dalton.coleman@sbcglobal.net
* Vehicle Color/Make/Model: Blue Subaru Outback 
* ETA: 4:00 PM
* Acknowledgment: ✓</t>
  </si>
  <si>
    <t>2026-10-22</t>
  </si>
  <si>
    <t>2026-10-24</t>
  </si>
  <si>
    <t>2026-06-28 12:47:59</t>
  </si>
  <si>
    <t>2026-10-29</t>
  </si>
  <si>
    <t>2026-10-30</t>
  </si>
  <si>
    <t>2026-06-28 12:49:58</t>
  </si>
  <si>
    <t>HM48KTDEWT</t>
  </si>
  <si>
    <t>2026-06-28 16:16:42</t>
  </si>
  <si>
    <t>2495982406</t>
  </si>
  <si>
    <t>2026-06-28 19:13:08</t>
  </si>
  <si>
    <t>2496011016</t>
  </si>
  <si>
    <t>2026-06-28 19:55:02</t>
  </si>
  <si>
    <t>Stephen Krieg completed the Adventure Inn Registration Card mini app: https://sys.akia.ai/mapp/7e0c5bea-d37f-4040-a8b3-50f8a42b4477?session=92bb4536-5046-47f1-8264-32a102cf4049
* ID: Uploaded
* Email: kriegfish@gmail.com
* Vehicle Color/Make/Model: White BMW X1
* ETA: 4:00 PM
* Acknowledgment: ✓</t>
  </si>
  <si>
    <t>2026-06-28 20:54:20</t>
  </si>
  <si>
    <t>2026-08-09</t>
  </si>
  <si>
    <t>2026-06-28 22:15:48</t>
  </si>
  <si>
    <t>Dan Lafond completed the Adventure Inn Registration Card mini app: https://sys.akia.ai/mapp/54b4c419-68b4-41b2-807c-708513d08db5?session=dc9d88e2-519d-409b-adaa-ecde633e7e60
* ID: Uploaded
* Email: bigdlafond@yahoo.com
* Vehicle Color/Make/Model: Black/Chevy/Silverado
* ETA: 1:00 PM
* Acknowledgment: ✓</t>
  </si>
  <si>
    <t>6096333960</t>
  </si>
  <si>
    <t>Bryce Throneberry completed the Adventure Inn Registration Card mini app: https://sys.akia.ai/mapp/4ed37e62-275c-458a-a31b-68f70728ff92?session=cf0fe5db-8295-44ca-8bce-962fa8399d35
* ID: Uploaded
* Email: bryceathroneberry@gmail.com
* Vehicle Color/Make/Model: Blue Mazda cx5
* ETA: 4:00 PM
* Acknowledgment: ✓</t>
  </si>
  <si>
    <t>2026-06-28 22:33:03</t>
  </si>
  <si>
    <t>Stephanie Lemke completed the Adventure Inn Registration Card mini app: https://sys.akia.ai/mapp/bd94051c-cacc-4186-b511-180a83aff0bf?session=e9fb4b3f-3639-40fa-b477-c7fcffdd5303
* ID: Uploaded
* Email: jsngdlemke@hotmail.com
* Vehicle Color/Make/Model: Toyota rav4 
* ETA: 4:00 PM
* Acknowledgment: ✓, Joshua Lemke. completed the Adventure Inn Registration Card mini app: https://sys.akia.ai/mapp/36cd5d94-fc71-498a-97e2-4ee838e2952b?session=e828cfea-8d24-4aa0-8564-f33e503ae579
* ID: Uploaded
* Email: jsngdlemke@hotmail.com
* Vehicle Color/Make/Model: Toyota Rav 4.  Black.  
* ETA: 4:00 PM
* Acknowledgment: ✓</t>
  </si>
  <si>
    <t>5080864474</t>
  </si>
  <si>
    <t>2026-06-28 22:43:40</t>
  </si>
  <si>
    <t>2026-06-28 23:25:49</t>
  </si>
  <si>
    <t>2496204533</t>
  </si>
  <si>
    <t>2026-06-29 01:03:30</t>
  </si>
  <si>
    <t>2496204535</t>
  </si>
  <si>
    <t>2026-06-29 01:03:38</t>
  </si>
  <si>
    <t>2496204538</t>
  </si>
  <si>
    <t>2026-06-29 01:03:40</t>
  </si>
  <si>
    <t>HMBEH882FP</t>
  </si>
  <si>
    <t>2026-06-29 14:47:53</t>
  </si>
  <si>
    <t>Friends and Family Discount, Base Rate</t>
  </si>
  <si>
    <t>2496646472</t>
  </si>
  <si>
    <t>2026-06-29 14:51:22</t>
  </si>
  <si>
    <t>Connor Basham completed the Adventure Inn Registration Card mini app: https://sys.akia.ai/mapp/3e80dfd4-2fb7-408b-baa5-698146de8255?session=e8c67f39-542f-4068-a8c8-6c6789b1a58b
* ID: Uploaded
* Email: substratus1121@gmail.com
* Vehicle Color/Make/Model: Red 2016 Ram 1500
* ETA: 3:00 PM
* Acknowledgment: ✓</t>
  </si>
  <si>
    <t>2026-06-29 15:42:52</t>
  </si>
  <si>
    <t>Jacob Davis completed the Adventure Inn Registration Card mini app: https://sys.akia.ai/mapp/22ce0d3d-ec61-49ff-a281-c116269e82bb?session=d55406e3-d3ab-40a3-8694-b6d928992b12
* ID: Uploaded
* Email: jacobfromnm@gmail.com
* Vehicle Color/Make/Model: Silver Toyota RAV4 Hybrid
* ETA: 4:00 PM
* Acknowledgment: ✓</t>
  </si>
  <si>
    <t>2026-06-29 16:11:24</t>
  </si>
  <si>
    <t>2026-06-29 16:49:30</t>
  </si>
  <si>
    <t>William Thomas completed the Adventure Inn Registration Card mini app: https://sys.akia.ai/mapp/18eef214-8f08-47a6-ab5b-1665c33dba7a?session=c252ca27-5b36-4b94-ba7f-2479aaba8b10
* ID: Uploaded
* Email: cthomas24@hotmail.com
* Vehicle Color/Make/Model: Black Chevy equinox
* ETA: 6:00 PM
* Acknowledgment: ✓</t>
  </si>
  <si>
    <t>2026-06-29 17:01:52</t>
  </si>
  <si>
    <t>Sylvia Aleman completed the Adventure Inn Registration Card mini app: https://sys.akia.ai/mapp/26b19de9-e5f9-4167-a21d-edf7c1dddc1c?session=5390dd64-82b4-40ca-a0a6-21d91fb8964b
* ID: Uploaded
* Email: sylvia.c.aleman@gmail.com
* Vehicle Color/Make/Model: Grey/ Ford/ Fusion
* ETA: 4:00 PM
* Acknowledgment: ✓</t>
  </si>
  <si>
    <t>2026-06-29 17:26:36</t>
  </si>
  <si>
    <t>Barbara Petersen completed the Adventure Inn Registration Card mini app: https://sys.akia.ai/mapp/df4aab76-ac9f-4e2d-921c-9e6a107d1f3f?session=21aab07d-9ac0-4647-afc9-c25c6b87c83a
* ID: Uploaded
* Email: barbarapetersen@live.com
* Vehicle Color/Make/Model: Chevy Trax rental
* ETA: 4:00 PM
* Acknowledgment: ✓</t>
  </si>
  <si>
    <t>5559779150</t>
  </si>
  <si>
    <t>2026-06-29 19:32:34</t>
  </si>
  <si>
    <t>2496964099</t>
  </si>
  <si>
    <t>2026-06-29 21:41:47</t>
  </si>
  <si>
    <t>Gabrielle Sandoval completed the Adventure Inn Registration Card mini app: https://sys.akia.ai/mapp/dff06e3f-72f4-43c6-8dc3-d69b1c94ce7f?session=62caaa47-5b70-4cae-8efa-f2a809a21976
* ID: Uploaded
* Email: gabbys2323@yahoo.com
* Vehicle Color/Make/Model: White gmc canyon
* ETA: 3:00 AM
* Acknowledgment: ✓</t>
  </si>
  <si>
    <t>5580391893</t>
  </si>
  <si>
    <t>2026-06-29 22:25:38</t>
  </si>
  <si>
    <t>2497003954</t>
  </si>
  <si>
    <t>2026-06-29 22:39:00</t>
  </si>
  <si>
    <t>6157333467</t>
  </si>
  <si>
    <t>2026-06-29 22:58:27</t>
  </si>
  <si>
    <t>Balum Kristi completed the Adventure Inn Registration Card mini app: https://sys.akia.ai/mapp/7887f3d6-3565-42dc-aac2-265802a79e8c?session=f554f670-b47b-4352-a0de-1274f4612eea
* ID: Uploaded
* Email: kristilorabalum@gmail.com
* Vehicle Color/Make/Model: Hyuandi Sante fe
* ETA: 5:35 PM
* Acknowledgment: ✓</t>
  </si>
  <si>
    <t>2497028021</t>
  </si>
  <si>
    <t>2026-06-29 23:15:45</t>
  </si>
  <si>
    <t>2497050640</t>
  </si>
  <si>
    <t>2026-06-29 23:51:33</t>
  </si>
  <si>
    <t>Viridiana Porras completed the Adventure Inn Registration Card mini app: https://sys.akia.ai/mapp/0dd16554-a7d1-4695-960e-30ead1b52a17?session=98b5d6cc-18ad-41b1-9bf3-be9d4ac99d2b
* ID: Uploaded
* Email: bisho0925@gmail.com
* Vehicle Color/Make/Model: Toyota Tacoma gray 
* ETA: 8:00 PM
* Acknowledgment: ✓</t>
  </si>
  <si>
    <t>2026-06-30 00:06:07</t>
  </si>
  <si>
    <t>2026-06-30 00:17:28</t>
  </si>
  <si>
    <t>Bret Mackay completed the Adventure Inn Registration Card mini app: https://sys.akia.ai/mapp/a4de0104-580b-44b5-9efc-a49904d0db18?session=14182bcf-7f43-4f9c-a61f-9740ceb34371
* ID: Uploaded
* Email: bretpm23@gmail.com
* Vehicle Color/Make/Model: Maroon Ford F150
* ETA: 4:00 PM
* Acknowledgment: ✓</t>
  </si>
  <si>
    <t>2026-06-30 01:45:35</t>
  </si>
  <si>
    <t>2026-06-30 01:46:47</t>
  </si>
  <si>
    <t>2026-06-30 02:07:47</t>
  </si>
  <si>
    <t>2497155311</t>
  </si>
  <si>
    <t>2026-06-30 02:20:23</t>
  </si>
  <si>
    <t>Chris Allison completed the Adventure Inn Registration Card mini app: https://sys.akia.ai/mapp/353b857f-84b1-4784-81b9-05f8e14856cf?session=9d3a8608-53b4-4a30-99cf-84e391937228
* ID: Uploaded
* Email: chrisallison325@gmail.com
* Vehicle Color/Make/Model: Black BMW X3
* ETA: 5:00 PM
* Acknowledgment: ✓</t>
  </si>
  <si>
    <t>2026-06-30 02:33:41</t>
  </si>
  <si>
    <t>5807034182</t>
  </si>
  <si>
    <t>2026-06-30 06:16:50</t>
  </si>
  <si>
    <t>2026-06-30 14:48:43</t>
  </si>
  <si>
    <t>2026-06-30 16:12:09</t>
  </si>
  <si>
    <t>Shannon Gancy completed the Adventure Inn Registration Card mini app: https://sys.akia.ai/mapp/a276dc29-1b69-4ab7-9884-6f4a5f5d4138?session=dcfcae94-baf2-42ab-88f3-a3d5e9c7f27c
* ID: Uploaded
* Email: sgancyhome@hotmail.com
* Vehicle Color/Make/Model: TBD.  Rental
* ETA: 8:00 PM
* Acknowledgment: ✓</t>
  </si>
  <si>
    <t>2497691832</t>
  </si>
  <si>
    <t>2026-06-30 17:38:32</t>
  </si>
  <si>
    <t>120 (STQ), 119 (STQ), 118 (STQ)</t>
  </si>
  <si>
    <t>2026-06-30 22:30:05</t>
  </si>
  <si>
    <t>Stacy Earnshaw completed the Adventure Inn Registration Card mini app: https://sys.akia.ai/mapp/16dcbb8a-d0d2-4a05-8976-641f0061d2e9?session=16266024-1ac5-4217-9430-b3925bbd510f
* ID: Uploaded
* Email: earnshaw33@gmail.com
* Vehicle Color/Make/Model: Silver/ Can Am Spyder 
* ETA: 4:00 PM
* Acknowledgment: ✓</t>
  </si>
  <si>
    <t>2497942091</t>
  </si>
  <si>
    <t>2026-06-30 23:13:29</t>
  </si>
  <si>
    <t>2026-08-25</t>
  </si>
  <si>
    <t>2026-07-01 05:27:51</t>
  </si>
  <si>
    <t>5333741880</t>
  </si>
  <si>
    <t>2026-07-01 08:09:15</t>
  </si>
  <si>
    <t>2026-07-01 15:54:08</t>
  </si>
  <si>
    <t>Sherry Brewer completed the Adventure Inn Registration Card mini app: https://sys.akia.ai/mapp/d7d42cb9-ad55-478e-bb41-7ef1c5ee7715?session=7355e255-b573-42a8-a43b-c44be369b3ed
* ID: Uploaded
* Email: sbakin22@yahoo.com
* Vehicle Color/Make/Model: Lexus RX 350 white 
* ETA: 3:00 PM
* Acknowledgment: ✓</t>
  </si>
  <si>
    <t>2026-07-01 18:13:36</t>
  </si>
  <si>
    <t>HMXWRJPP9J</t>
  </si>
  <si>
    <t>2026-07-01 22:12:37</t>
  </si>
  <si>
    <t>Clarisa Garcia completed the Adventure Inn Registration Card mini app: https://sys.akia.ai/mapp/2a327fab-57d9-47b6-b7ca-f6b56e746a4b?session=19fd311f-103d-44ea-b320-d5c5f7d63e76
* ID: Uploaded
* Email: clarisa_aguilar@live.com
* Vehicle Color/Make/Model: White dodge caravan
* ETA: 4:00 PM
* Acknowledgment: ✓</t>
  </si>
  <si>
    <t>2498868489</t>
  </si>
  <si>
    <t>2026-07-01 22:25:44</t>
  </si>
  <si>
    <t>2498883203</t>
  </si>
  <si>
    <t>2026-07-01 22:48:40</t>
  </si>
  <si>
    <t>2026-07-01 23:56:15</t>
  </si>
  <si>
    <t>2498990716</t>
  </si>
  <si>
    <t>2026-07-02 01:29:51</t>
  </si>
  <si>
    <t>Andrew Stoller completed the Adventure Inn Registration Card mini app: https://sys.akia.ai/mapp/bb1554e5-bf4b-415a-ab06-924f7cc9a014?session=4148ef63-1973-442c-b385-cbd87bd8ebe9
* ID: Uploaded
* Email: Stoller26@yahoo.com
* Vehicle Color/Make/Model: Subaru forester
* ETA: 4:00 PM
* Acknowledgment: ✓</t>
  </si>
  <si>
    <t>2499123396</t>
  </si>
  <si>
    <t>2026-07-02 05:00:23</t>
  </si>
  <si>
    <t>2499395827</t>
  </si>
  <si>
    <t>2026-07-02 13:58:50</t>
  </si>
  <si>
    <t>2499474733</t>
  </si>
  <si>
    <t>2026-07-02 15:35:40</t>
  </si>
  <si>
    <t>2026-07-02 17:04:35</t>
  </si>
  <si>
    <t>Micaela Gallegos completed the Adventure Inn Registration Card mini app: https://sys.akia.ai/mapp/a296de1e-a174-4ac8-8a11-47ceb4c737a1?session=c94f1ed7-fd20-4e79-a304-0768fcc5b87c
* ID: Uploaded
* Email: mikkifordiani@yahoo.com
* Vehicle Color/Make/Model: Gray Chevy Silverado
* ETA: 4:00 PM
* Acknowledgment: ✓</t>
  </si>
  <si>
    <t>2026-07-02 17:30:05</t>
  </si>
  <si>
    <t>2026-08-20</t>
  </si>
  <si>
    <t>2026-08-23</t>
  </si>
  <si>
    <t>2499573134</t>
  </si>
  <si>
    <t>2026-07-02 17:40:42</t>
  </si>
  <si>
    <t>2499577134</t>
  </si>
  <si>
    <t>2026-07-02 17:45:56</t>
  </si>
  <si>
    <t>Charlene Love Nicholson completed the Adventure Inn Registration Card mini app: https://sys.akia.ai/mapp/2a2cec87-8a46-45f5-a10e-b66a938baea1?session=50d9b32b-c721-48a4-afbc-89e849ab7962
* ID: Uploaded
* Email: lovecha68@gmail.com
* Vehicle Color/Make/Model: White:Kia
* ETA: 5:00 PM
* Acknowledgment: ✓</t>
  </si>
  <si>
    <t>2026-07-02 19:17:42</t>
  </si>
  <si>
    <t>Meredith Landin completed the Adventure Inn Registration Card mini app: https://sys.akia.ai/mapp/a17f3843-0d95-460c-b326-2f12b9008c27?session=5123c8c3-91c3-41e2-ab23-0469d39e0a5e
* ID: Uploaded
* Email: meredithlandin@yahoo.com
* Vehicle Color/Make/Model: Rental -Will add later 
* ETA: 12:00 PM
* Acknowledgment: ✓, Guest left a day earlier--do not credit. Made room available for another guest.</t>
  </si>
  <si>
    <t>2026-07-02 20:38:04</t>
  </si>
  <si>
    <t>2499719104</t>
  </si>
  <si>
    <t>2026-07-02 20:52:40</t>
  </si>
  <si>
    <t>2026-07-02 21:32:25</t>
  </si>
  <si>
    <t>2026-07-02 22:52:23</t>
  </si>
  <si>
    <t>2026-07-02 23:36:33</t>
  </si>
  <si>
    <t>2499841826</t>
  </si>
  <si>
    <t>2026-07-02 23:53:34</t>
  </si>
  <si>
    <t>Robert Ellis completed the Adventure Inn Registration Card mini app: https://sys.akia.ai/mapp/9fcc340c-f8c9-47b4-9c24-dd82c597d86e?session=d9602390-ec8b-4a9d-a22b-f5598205631e
* ID: Uploaded
* Email: robertellis2005@gmail.com
* Vehicle Color/Make/Model: White Chevy Tahoo
* ETA: 4:00 PM
* Acknowledgment: ✓</t>
  </si>
  <si>
    <t>2499877624</t>
  </si>
  <si>
    <t>2026-07-03 00:48:49</t>
  </si>
  <si>
    <t>Brendan Devine completed the Adventure Inn Registration Card mini app: https://sys.akia.ai/mapp/22cade53-d711-49ed-9bcc-de9b91f34351?session=0ddabe51-afa2-47d7-953e-f58b99a13216
* ID: Uploaded
* Email: Brendevine17@gmail.com
* Vehicle Color/Make/Model: Black Chevy Colorado 
* ETA: 5:52 PM
* Acknowledgment: ✓</t>
  </si>
  <si>
    <t>2499887253</t>
  </si>
  <si>
    <t>2026-07-03 01:03:59</t>
  </si>
  <si>
    <t>2499902376</t>
  </si>
  <si>
    <t>2026-07-03 01:27:27</t>
  </si>
  <si>
    <t>2026-07-03 01:41:11</t>
  </si>
  <si>
    <t>Margaret Harvey completed the Adventure Inn Registration Card mini app: https://sys.akia.ai/mapp/f36c386e-9bc0-4b16-9675-5b7902b580cc?session=6d543ff2-e7fc-40aa-bf12-bf3f942f9f7c
* ID: Uploaded
* Email: uupeggy@gmail.com
* Vehicle Color/Make/Model: Gray Toyota corolla 
* Acknowledgment: ✓</t>
  </si>
  <si>
    <t>2499928144</t>
  </si>
  <si>
    <t>2026-07-03 02:05:52</t>
  </si>
  <si>
    <t>Vernon Carroll completed the Adventure Inn Registration Card mini app: https://sys.akia.ai/mapp/09f95e9e-8e7a-46c6-b0a7-aafe31433f2f?session=42d7438e-b1ea-4968-8c64-2946a8da6a47
* ID: Uploaded
* Email: vlcarr2008@gmail.com
* Vehicle Color/Make/Model: Red Ford Escape 2020
* ETA: 4:00 PM
* Acknowledgment: ✓</t>
  </si>
  <si>
    <t>HMW8HQBFM9</t>
  </si>
  <si>
    <t>2026-07-03 02:07:35</t>
  </si>
  <si>
    <t>2499934608</t>
  </si>
  <si>
    <t>2026-07-03 02:15:30</t>
  </si>
  <si>
    <t>HMEPYTR2TN</t>
  </si>
  <si>
    <t>2026-07-03 03:18:49</t>
  </si>
  <si>
    <t>Sagar Desai completed the Adventure Inn Registration Card mini app: https://sys.akia.ai/mapp/d1373135-ac8d-4f4f-b139-235869e050da?session=9e0e429f-72ca-4db5-a728-3ed5dff6aae3
* ID: Uploaded
* Email: sagardesai680@gmail.com
* Vehicle Color/Make/Model: Honda CRV
* ETA: 4:00 PM
* Acknowledgment: ✓</t>
  </si>
  <si>
    <t>5352725099</t>
  </si>
  <si>
    <t>2026-07-03 03:58:58</t>
  </si>
  <si>
    <t>Kevin Hernandez completed the Adventure Inn Registration Card mini app: https://sys.akia.ai/mapp/725678ac-bc25-4b2f-8a65-c25f7c6c25bb?session=3e8babba-5fac-468f-b58a-9e83ee247133
* ID: Uploaded
* Email: kk122497@yahoo.com
* Vehicle Color/Make/Model: N/A
* ETA: 4:00 PM
* Acknowledgment: ✓</t>
  </si>
  <si>
    <t>2500007914</t>
  </si>
  <si>
    <t>2026-07-03 04:14:45</t>
  </si>
  <si>
    <t>2026-09-25</t>
  </si>
  <si>
    <t>2026-09-27</t>
  </si>
  <si>
    <t>2500016332</t>
  </si>
  <si>
    <t>2026-07-03 04:31:09</t>
  </si>
  <si>
    <t>2500286614</t>
  </si>
  <si>
    <t>2026-07-03 13:48:16</t>
  </si>
  <si>
    <t>2026-07-03 14:42:44</t>
  </si>
  <si>
    <t>Eric Ashworth completed the Adventure Inn Registration Card mini app: https://sys.akia.ai/mapp/4fb46dae-7996-4fb0-aecf-ae9bdd12ad1b?session=9e57fdce-20da-4e08-bc5d-be5bf958938a
* ID: Uploaded
* Email: eashworth2003@yahoo.com
* Vehicle Color/Make/Model: Greenish gray/GMC Canyon
* ETA: 11:59 PM
* Acknowledgment: ✓</t>
  </si>
  <si>
    <t>2500368026</t>
  </si>
  <si>
    <t>2026-07-03 15:35:21</t>
  </si>
  <si>
    <t>Elaine Douglas completed the Adventure Inn Registration Card mini app: https://sys.akia.ai/mapp/99b7f7a3-b541-425a-8f97-c6d83446f7db?session=0d63a966-51da-4262-bb33-d8443ce043ad
* ID: Uploaded
* Email: lainesho@hotmail.com
* Vehicle Color/Make/Model: Blue/Toyota/Highlander
* ETA: 4:00 PM
* Acknowledgment: ✓</t>
  </si>
  <si>
    <t>2500448843</t>
  </si>
  <si>
    <t>2026-07-03 17:24:52</t>
  </si>
  <si>
    <t>2026-10-03</t>
  </si>
  <si>
    <t>2026-10-06</t>
  </si>
  <si>
    <t>2500544137</t>
  </si>
  <si>
    <t>2026-07-03 19:42:37</t>
  </si>
  <si>
    <t>2500593737</t>
  </si>
  <si>
    <t>2026-07-03 20:57:14</t>
  </si>
  <si>
    <t>Clark Owen completed the Adventure Inn Registration Card mini app: https://sys.akia.ai/mapp/f6c8912e-c48e-4081-8fc3-b1d25ec425b2?session=c6ef7898-88f9-4808-bb43-87303b5b2be6
* ID: Uploaded
* Email: clarksellstexas@gmail.com
* Vehicle Color/Make/Model: Silver Ram 1500 Tx PRR 7547
* ETA: 5:20 PM
* Acknowledgment: ✓</t>
  </si>
  <si>
    <t>2026-07-03 21:44:32</t>
  </si>
  <si>
    <t>2026-10-02</t>
  </si>
  <si>
    <t>2500647821</t>
  </si>
  <si>
    <t>2026-07-03 22:25:21</t>
  </si>
  <si>
    <t>2026-07-04 00:08:18</t>
  </si>
  <si>
    <t>2026-07-04 02:37:13</t>
  </si>
  <si>
    <t>2026-08-15</t>
  </si>
  <si>
    <t>HMWK85AMAK</t>
  </si>
  <si>
    <t>2026-07-04 13:08:06</t>
  </si>
  <si>
    <t>2026-08-08</t>
  </si>
  <si>
    <t>2026-07-04 16:30:56</t>
  </si>
  <si>
    <t>6676471977</t>
  </si>
  <si>
    <t>2026-07-04 16:41:58</t>
  </si>
  <si>
    <t>2501210262</t>
  </si>
  <si>
    <t>2026-07-04 18:59:05</t>
  </si>
  <si>
    <t>2501256247</t>
  </si>
  <si>
    <t>2026-07-04 20:23:11</t>
  </si>
  <si>
    <t>Derrick Atkins completed the Adventure Inn Registration Card mini app: https://sys.akia.ai/mapp/7ceb7a49-9282-4c29-946f-eefd41e67e47?session=71be6c63-fb5a-4b0e-89f0-3196c0ed1030
* ID: Uploaded
* Email: dc4atkins@gmail.com
* Vehicle Color/Make/Model: Silver f350 2020
* ETA: 4:00 PM
* Acknowledgment: ✓</t>
  </si>
  <si>
    <t>HM9RPY532S</t>
  </si>
  <si>
    <t>2026-07-04 20:59:19</t>
  </si>
  <si>
    <t>2501350955</t>
  </si>
  <si>
    <t>2026-07-04 23:37:45</t>
  </si>
  <si>
    <t>HMJ8KX3BJT</t>
  </si>
  <si>
    <t>2026-07-05 00:27:01</t>
  </si>
  <si>
    <t>6487121427</t>
  </si>
  <si>
    <t>2026-07-05 04:49:37</t>
  </si>
  <si>
    <t>Curt Cariker completed the Adventure Inn Registration Card mini app: https://sys.akia.ai/mapp/f003fc9b-10da-4adb-ba0a-0a674fc4f9fd?session=842396cc-cb57-43af-93cb-373c643cd863
* ID: Uploaded
* Email: acariker07@gmail.com
* Vehicle Color/Make/Model: Chrysler mini Van 
* ETA: 3:00 PM
* Acknowledgment: ✓</t>
  </si>
  <si>
    <t>2501655867</t>
  </si>
  <si>
    <t>2026-07-05 13:39:06</t>
  </si>
  <si>
    <t>2026-08-22</t>
  </si>
  <si>
    <t>2026-07-05 14:34:03</t>
  </si>
  <si>
    <t>5335648107</t>
  </si>
  <si>
    <t>2026-07-05 15:38:23</t>
  </si>
  <si>
    <t>HMZYFP23FY</t>
  </si>
  <si>
    <t>2026-07-05 16:08:05</t>
  </si>
  <si>
    <t>2501757134</t>
  </si>
  <si>
    <t>2026-07-05 16:26:31</t>
  </si>
  <si>
    <t>6220328726</t>
  </si>
  <si>
    <t>2026-07-05 16:29:50</t>
  </si>
  <si>
    <t>Nicole Brandt Tait completed the Adventure Inn Registration Card mini app: https://sys.akia.ai/mapp/5a72ce4c-6d2d-425a-9f44-a6494dbdf20a?session=dbd32a93-7e9c-43ce-8646-0b2b1b63886c
* ID: Uploaded
* Email: nicolembrandt@gmail.com
* Vehicle Color/Make/Model: White ford transit
* ETA: 3:00 PM
* Acknowledgment: ✓</t>
  </si>
  <si>
    <t>2026-07-05 16:44:17</t>
  </si>
  <si>
    <t>HMY2CJP4BC</t>
  </si>
  <si>
    <t>2026-07-05 18:09:49</t>
  </si>
  <si>
    <t>Kevin Cole completed the Adventure Inn Registration Card mini app: https://sys.akia.ai/mapp/0d21448f-5db2-48c5-b8d9-4da97d6ae981?session=e3cafe7c-02c0-403f-a5aa-dcc759138066
* ID: Uploaded
* Email: kcole2377@gmail.com
* Vehicle Color/Make/Model: Grey Toyota tundra 
* ETA: 4:00 PM
* Acknowledgment: ✓</t>
  </si>
  <si>
    <t>2026-07-05 18:16:36</t>
  </si>
  <si>
    <t>Britt Felix completed the Adventure Inn Registration Card mini app: https://sys.akia.ai/mapp/fb778e9a-2cce-4df4-9815-0d589d9fd85e?session=c8922cc6-5442-4fe2-9729-da0a4ef48fa4
* ID: Uploaded
* Email: brittafelix@gmail.com
* Vehicle Color/Make/Model: White Chevrolet suburban 
* ETA: 6:30 PM
* Acknowledgment: ✓</t>
  </si>
  <si>
    <t>2501850021</t>
  </si>
  <si>
    <t>2026-07-05 18:45:39</t>
  </si>
  <si>
    <t>2026-07-05 19:04:00</t>
  </si>
  <si>
    <t>Jane Gaytan completed the Adventure Inn Registration Card mini app: https://sys.akia.ai/mapp/50143c39-5711-47e2-871b-399867c75bef?session=4bbb967c-fa26-4eed-b12d-83061d66d20d
* ID: Uploaded
* Email: janegaytan@yahoo.com
* Vehicle Color/Make/Model: Grey/Toyota/Tundra
* ETA: 4:00 PM
* Acknowledgment: ✓</t>
  </si>
  <si>
    <t>2026-07-05 19:13:57</t>
  </si>
  <si>
    <t>2501914981</t>
  </si>
  <si>
    <t>2026-07-05 20:20:42</t>
  </si>
  <si>
    <t>2501951639</t>
  </si>
  <si>
    <t>2026-07-05 21:17:55</t>
  </si>
  <si>
    <t>2501967204</t>
  </si>
  <si>
    <t>2026-07-05 21:41:55</t>
  </si>
  <si>
    <t>6500736127</t>
  </si>
  <si>
    <t>2026-07-05 21:53:47</t>
  </si>
  <si>
    <t>2501984978</t>
  </si>
  <si>
    <t>2026-07-05 22:13:04</t>
  </si>
  <si>
    <t>William S Denton completed the Adventure Inn Registration Card mini app: https://sys.akia.ai/mapp/d6b6bdf6-f815-4118-b654-e1e152fd9c93?session=d98054d4-b031-48d8-920d-9a35266ddb73
* ID: Uploaded
* Email: wsdenton3@aol.com
* Vehicle Color/Make/Model: Silver Land Rover Defender
* ETA: 4:00 PM
* Acknowledgment: ✓</t>
  </si>
  <si>
    <t>2026-07-05 22:49:39</t>
  </si>
  <si>
    <t>2502016797</t>
  </si>
  <si>
    <t>2026-07-05 23:06:37</t>
  </si>
  <si>
    <t>2502039750</t>
  </si>
  <si>
    <t>2026-07-05 23:45:00</t>
  </si>
  <si>
    <t>Pauletta Helling completed the Adventure Inn Registration Card mini app: https://sys.akia.ai/mapp/fbf75abb-4efb-4100-a7ed-5b285c551bc5?session=407d3bba-0234-46f0-b6f3-315433033b46
* ID: Uploaded
* Email: pollyhelling@gmail.com
* Vehicle Color/Make/Model: Ford F150 white 
* ETA: 7:15 PM
* Acknowledgment: ✓</t>
  </si>
  <si>
    <t>2502058295</t>
  </si>
  <si>
    <t>2026-07-06 00:15:42</t>
  </si>
  <si>
    <t>2502103762</t>
  </si>
  <si>
    <t>2026-07-06 01:28:51</t>
  </si>
  <si>
    <t>Kristen Keller completed the Adventure Inn Registration Card mini app: https://sys.akia.ai/mapp/3ea13b9c-a7b4-4090-ad0e-a2fc8908112c?session=462079c1-e39a-4754-ad1b-7b4f7c15bb28
* ID: Uploaded
* Email: kris10keller@yahoo.com
* Vehicle Color/Make/Model: Gray Nissan Rogue 
* ETA: 4:00 PM
* Acknowledgment: ✓</t>
  </si>
  <si>
    <t>2026-10-12</t>
  </si>
  <si>
    <t>2026-10-13</t>
  </si>
  <si>
    <t>2502108593</t>
  </si>
  <si>
    <t>2026-07-06 01:36:32</t>
  </si>
  <si>
    <t>2502111229</t>
  </si>
  <si>
    <t>2026-07-06 01:41:05</t>
  </si>
  <si>
    <t>Savannah Mares completed the Adventure Inn Registration Card mini app: https://sys.akia.ai/mapp/c4066960-a541-4b94-b551-a98e3eec4051?session=20dd2a36-30f3-43f6-8070-5de3d584cb24
* ID: Uploaded
* Email: savannahmolina311@gmail.com
* Vehicle Color/Make/Model: Jeep Rubicon White
* ETA: 8:00 PM
* Acknowledgment: ✓</t>
  </si>
  <si>
    <t>2026-10-07</t>
  </si>
  <si>
    <t>HMZMRBHNQ5</t>
  </si>
  <si>
    <t>2026-07-06 02:32:39</t>
  </si>
  <si>
    <t>2502193988</t>
  </si>
  <si>
    <t>2026-07-06 04:10:50</t>
  </si>
  <si>
    <t>Kevin Mccarthy completed the Adventure Inn Registration Card mini app: https://sys.akia.ai/mapp/d24d18d4-5875-426e-a15b-7f9c3cdb430a?session=23c79762-d01b-42ee-a3eb-7b863dc32845
* ID: Uploaded
* Email: mccarthykevin908@gmail.com
* Vehicle Color/Make/Model: White Chevy Silverado 
* ETA: 3:00 PM
* Acknowledgment: ✓</t>
  </si>
  <si>
    <t>2026-08-30</t>
  </si>
  <si>
    <t>2502506755</t>
  </si>
  <si>
    <t>2026-07-06 14:27:30</t>
  </si>
  <si>
    <t>HMXYTS993A</t>
  </si>
  <si>
    <t>2026-07-06 16:03:30</t>
  </si>
  <si>
    <t>106 (STQ), 109 (SMQ)</t>
  </si>
  <si>
    <t>6145286691</t>
  </si>
  <si>
    <t>2026-07-06 16:08:53</t>
  </si>
  <si>
    <t>HMCXTBZZES</t>
  </si>
  <si>
    <t>2026-07-06 16:38:07</t>
  </si>
  <si>
    <t>HMJBTRRPTZ</t>
  </si>
  <si>
    <t>2026-07-06 16:56:38</t>
  </si>
  <si>
    <t>Michelle Smith completed the Adventure Inn Registration Card mini app: https://sys.akia.ai/mapp/1ce07959-838f-4df0-a69e-9982b17a3a01?session=71ec0c49-bb5f-4875-9252-9db3b06c7167
* ID: Uploaded
* Email: micrr34@gmail.com
* Vehicle Color/Make/Model: Black 2012 Jeep
* ETA: 1:00 PM
* Acknowledgment: ✓</t>
  </si>
  <si>
    <t>2026-07-06 19:10:40</t>
  </si>
  <si>
    <t>2502746808</t>
  </si>
  <si>
    <t>2026-07-06 19:16:38</t>
  </si>
  <si>
    <t>2502748290</t>
  </si>
  <si>
    <t>2026-07-06 19:18:36</t>
  </si>
  <si>
    <t>Tyler Barrow completed the Adventure Inn Registration Card mini app: https://sys.akia.ai/mapp/2b67bd54-bdc3-4598-8074-cd139bf6858a?session=be2f672e-69d9-403f-9ab2-e27958b8e087
* ID: Uploaded
* Email: vdubr2012@yahoo.com
* Vehicle Color/Make/Model: Gray Ford F150
* ETA: 4:00 PM
* Acknowledgment: ✓</t>
  </si>
  <si>
    <t>HMQQTTS84R</t>
  </si>
  <si>
    <t>2026-07-06 19:26:01</t>
  </si>
  <si>
    <t>2502754764</t>
  </si>
  <si>
    <t>2026-07-06 19:26:29</t>
  </si>
  <si>
    <t>HMNZ2J5QN9</t>
  </si>
  <si>
    <t>2026-07-06 19:32:17</t>
  </si>
  <si>
    <t>Sarah Müller completed the Adventure Inn Registration Card mini app: https://sys.akia.ai/mapp/5a35f697-5c86-4eec-952a-8c069dd2a984?session=1e11e5e7-5540-4bfa-be03-63028f63490a
* ID: Uploaded
* Email: scmphotography@gmail.com
* Vehicle Color/Make/Model: Blue Subaru Outback
* ETA: 8:00 PM
* Acknowledgment: ✓</t>
  </si>
  <si>
    <t>2502829335</t>
  </si>
  <si>
    <t>2026-07-06 20:56:48</t>
  </si>
  <si>
    <t>HM8FMCD2XP</t>
  </si>
  <si>
    <t>2026-07-06 21:12:05</t>
  </si>
  <si>
    <t>HM8ZRRE3HK</t>
  </si>
  <si>
    <t>2026-07-06 21:56:53</t>
  </si>
  <si>
    <t>HMHSKFEWSR</t>
  </si>
  <si>
    <t>2026-07-06 22:10:20</t>
  </si>
  <si>
    <t>HMDFKTYEDM</t>
  </si>
  <si>
    <t>2026-07-06 22:18:38</t>
  </si>
  <si>
    <t>2502892009</t>
  </si>
  <si>
    <t>2026-07-06 22:20:59</t>
  </si>
  <si>
    <t>Victoria Peck completed the Adventure Inn Registration Card mini app: https://sys.akia.ai/mapp/a01e40d7-4111-4b35-a91b-250547f02e64?session=0b272764-6151-4773-b098-b706294ea408
* ID: Uploaded
* Email: tori.peck@hotmail.com
* Vehicle Color/Make/Model: Gold Toyota 4 runner
* ETA: 8:00 PM
* Acknowledgment: ✓</t>
  </si>
  <si>
    <t>2502905496</t>
  </si>
  <si>
    <t>2026-07-06 22:40:17</t>
  </si>
  <si>
    <t>2502916587</t>
  </si>
  <si>
    <t>2026-07-06 22:56:22</t>
  </si>
  <si>
    <t>2502916590</t>
  </si>
  <si>
    <t>2026-07-06 22:56:25</t>
  </si>
  <si>
    <t>2502963947</t>
  </si>
  <si>
    <t>2026-07-07 00:05:51</t>
  </si>
  <si>
    <t>2502963950</t>
  </si>
  <si>
    <t>2026-07-07 00:05:57</t>
  </si>
  <si>
    <t>2026-07-07 00:13:18</t>
  </si>
  <si>
    <t>Monty Dalton completed the Adventure Inn Registration Card mini app: https://sys.akia.ai/mapp/a546b4a1-8677-40ca-b6ff-c1c440000858?session=baf398bf-fc95-4b07-9f39-fb2ce35eded5
* ID: Uploaded
* Email: montydalton25@gmail.com
* Vehicle Color/Make/Model: Chevy 2500 Silverado White 
* ETA: 10:00 PM
* Acknowledgment: ✓</t>
  </si>
  <si>
    <t>2502972344</t>
  </si>
  <si>
    <t>2026-07-07 00:18:51</t>
  </si>
  <si>
    <t>2026-07-07 00:23:26</t>
  </si>
  <si>
    <t>6319815202</t>
  </si>
  <si>
    <t>2026-07-07 00:34:16</t>
  </si>
  <si>
    <t>Given complimentary upgrade from STQ to STK because we had to offer his first floor STQ to another guest that called ahead to confirm and she was assured a room on first floor. -Chris</t>
  </si>
  <si>
    <t>2503045085</t>
  </si>
  <si>
    <t>2026-07-07 02:04:01</t>
  </si>
  <si>
    <t>HMB4WS94ZY</t>
  </si>
  <si>
    <t>2026-07-07 03:25:30</t>
  </si>
  <si>
    <t>2503111533</t>
  </si>
  <si>
    <t>2026-07-07 03:46:46</t>
  </si>
  <si>
    <t>2026-08-14</t>
  </si>
  <si>
    <t>5485955051</t>
  </si>
  <si>
    <t>2026-07-07 06:29:20</t>
  </si>
  <si>
    <t>2503356361</t>
  </si>
  <si>
    <t>2026-07-07 12:34:25</t>
  </si>
  <si>
    <t>2026-07-07 14:10:59</t>
  </si>
  <si>
    <t>HMAYXMQ9HX</t>
  </si>
  <si>
    <t>2026-07-07 14:26:14</t>
  </si>
  <si>
    <t>2026-07-07 15:09:43</t>
  </si>
  <si>
    <t>2026-07-07 15:30:56</t>
  </si>
  <si>
    <t>HM4QP9NYCB</t>
  </si>
  <si>
    <t>2026-07-07 16:17:22</t>
  </si>
  <si>
    <t>Amy Kifner-Lopez completed the Adventure Inn Registration Card mini app: https://sys.akia.ai/mapp/2d60ef3b-ca76-47e4-8746-c9a1e3c4c8bf?session=6eb5fcf6-c73d-4acb-975e-b714739ed9c6
* ID: Uploaded
* Email: amelou2105@yahoo.com
* Vehicle Color/Make/Model: Rental car, unsure 
* ETA: 4:00 PM
* Acknowledgment: ✓</t>
  </si>
  <si>
    <t>HM8QCTA38S</t>
  </si>
  <si>
    <t>2026-07-07 17:43:29</t>
  </si>
  <si>
    <t>HMEBZ8B5JY</t>
  </si>
  <si>
    <t>2026-07-07 18:47:22</t>
  </si>
  <si>
    <t>2503648208</t>
  </si>
  <si>
    <t>2026-07-07 18:52:28</t>
  </si>
  <si>
    <t>2503720296</t>
  </si>
  <si>
    <t>2026-07-07 20:23:40</t>
  </si>
  <si>
    <t>2026-10-26</t>
  </si>
  <si>
    <t>2026-07-07 20:37:11</t>
  </si>
  <si>
    <t>Tracy Crowe completed the Adventure Inn Registration Card mini app: https://sys.akia.ai/mapp/c0d54891-9ac0-4e58-8637-bd7cc559598d?session=3b6529e7-98ec-4273-be9e-fe235f8547d0
* ID: Uploaded
* Email: Tracy6841@outlook.com
* Vehicle Color/Make/Model: Black/KIA/Sorento
* ETA: 4:00 PM
* Acknowledgment: ✓</t>
  </si>
  <si>
    <t>2503783316</t>
  </si>
  <si>
    <t>2026-07-07 21:46:21</t>
  </si>
  <si>
    <t>2503812244</t>
  </si>
  <si>
    <t>2026-07-07 22:28:38</t>
  </si>
  <si>
    <t>Nicole Wilson completed the Adventure Inn Registration Card mini app: https://sys.akia.ai/mapp/572679ca-0585-4987-adc7-cd7bea00efed?session=f985dafd-222b-4315-b614-74f748fb92e4
* ID: Uploaded
* Email: nicole.dubois82@yaoo.com
* Vehicle Color/Make/Model: White Toyota tacoma
* ETA: 5:30 PM
* Acknowledgment: ✓</t>
  </si>
  <si>
    <t>2503949293</t>
  </si>
  <si>
    <t>2026-07-08 01:45:55</t>
  </si>
  <si>
    <t>2503952108</t>
  </si>
  <si>
    <t>2026-07-08 01:49:58</t>
  </si>
  <si>
    <t>2026-07-08 02:14:23</t>
  </si>
  <si>
    <t>Debra Roe completed the Adventure Inn Registration Card mini app: https://sys.akia.ai/mapp/9bebfdbc-3fe6-4a32-9cfe-b0ce5777abff?session=692219d9-1b2e-49ae-8ca0-dc2f2fbdcf0f
* ID: Uploaded
* Email: jrsgoldengait@gmail.com
* Vehicle Color/Make/Model: Silver Chevrolet Silverado
* ETA: 4:00 PM
* Acknowledgment: ✓, Guest called two times to confirm a room on the first floor (Called Monday night to ask and called to book Tuesday morning). She was re-assigned from 104 to 205 due to the lock issue. Upon arrival she was not thrilled. I attempted to open 104, but could not open. Had to downgrade her to a STQ room to keep her on the 1st floor. She was ultimately cool with it and pleasant. Have not processed refund. Perhaps offer additional credit or future stay credit for inconvenience. -Chris</t>
  </si>
  <si>
    <t>2503973441</t>
  </si>
  <si>
    <t>2026-07-08 02:19:15</t>
  </si>
  <si>
    <t>Patti Szafranski completed the Adventure Inn Registration Card mini app: https://sys.akia.ai/mapp/1a3226e3-f03c-429d-afb9-fad02b6ecebd?session=69c2df55-034b-4bdf-91e1-9a75353a3253
* ID: Uploaded
* Email: pszafranski@hotmail.com
* Vehicle Color/Make/Model: White/Honda/CRV
* ETA: 1:00 PM
* Acknowledgment: ✓</t>
  </si>
  <si>
    <t>HMKASX9P9K</t>
  </si>
  <si>
    <t>2026-07-08 03:07:28</t>
  </si>
  <si>
    <t>2504012899</t>
  </si>
  <si>
    <t>2026-07-08 03:17:36</t>
  </si>
  <si>
    <t>2504037904</t>
  </si>
  <si>
    <t>2026-07-08 03:59:45</t>
  </si>
  <si>
    <t>Aaron Arman completed the Adventure Inn Registration Card mini app: https://sys.akia.ai/mapp/17fa3648-7ba7-428d-9129-88d655959312?session=c4370100-fc9d-4447-8dce-d2985e4b7f74
* ID: Uploaded
* Email: aaron.arman@icloud.com
* Vehicle Color/Make/Model: Navy/Lexus/RX450h
* ETA: 1:00 PM
* Acknowledgment: ✓</t>
  </si>
  <si>
    <t>5461148359</t>
  </si>
  <si>
    <t>2026-07-08 04:11:22</t>
  </si>
  <si>
    <t>2504061210</t>
  </si>
  <si>
    <t>2026-07-08 04:44:49</t>
  </si>
  <si>
    <t>2504066855</t>
  </si>
  <si>
    <t>2026-07-08 04:57:11</t>
  </si>
  <si>
    <t>Janny Hu completed the Adventure Inn Registration Card mini app: https://sys.akia.ai/mapp/4ade6af5-63da-467e-a99c-b290cbbe14cb?session=894485c7-0092-40e9-b9d3-88df26e4ff0d
* ID: Uploaded
* Email: janny.inc@gmail.com
* Vehicle Color/Make/Model: White Ford Taurus
* ETA: 4:00 PM
* Acknowledgment: ✓</t>
  </si>
  <si>
    <t>6059671456</t>
  </si>
  <si>
    <t>2026-07-08 12:27:57</t>
  </si>
  <si>
    <t>2026-11-24</t>
  </si>
  <si>
    <t>2026-11-26</t>
  </si>
  <si>
    <t>5798201064</t>
  </si>
  <si>
    <t>2026-07-08 12:42:22</t>
  </si>
  <si>
    <t>2026-07-08 15:54:23</t>
  </si>
  <si>
    <t>Taylor Loewen completed the Adventure Inn Registration Card mini app: https://sys.akia.ai/mapp/d723f0d4-a9c1-4555-8afa-091a13595583?session=69d0754f-fc1f-4f10-809c-976388caef15
* ID: Uploaded
* Email: taylor_loewen@hotmail.com
* Vehicle Color/Make/Model: Silver/Kia/Telluride 
* ETA: 4:00 PM
* Acknowledgment: ✓</t>
  </si>
  <si>
    <t>2026-09-11</t>
  </si>
  <si>
    <t>2026-07-08 17:35:12</t>
  </si>
  <si>
    <t>2026-07-08 18:27:46</t>
  </si>
  <si>
    <t>2504559864</t>
  </si>
  <si>
    <t>2026-07-08 18:56:22</t>
  </si>
  <si>
    <t>6710490861</t>
  </si>
  <si>
    <t>2026-07-08 19:26:23</t>
  </si>
  <si>
    <t>2026-08-29</t>
  </si>
  <si>
    <t>2504683568</t>
  </si>
  <si>
    <t>2026-07-08 21:41:05</t>
  </si>
  <si>
    <t>5670898285</t>
  </si>
  <si>
    <t>2026-07-08 21:59:09</t>
  </si>
  <si>
    <t>2504707077</t>
  </si>
  <si>
    <t>2026-07-08 22:15:08</t>
  </si>
  <si>
    <t>2026-07-08 22:40:41</t>
  </si>
  <si>
    <t>2504733098</t>
  </si>
  <si>
    <t>2026-07-08 22:53:40</t>
  </si>
  <si>
    <t>Monica Faver completed the Adventure Inn Registration Card mini app: https://sys.akia.ai/mapp/718e60d9-6aed-40eb-804f-e8f0b812ed2f?session=fd249dea-1e04-48a3-8b55-73b66d6522be
* ID: Uploaded
* Email: monicaculberson@gmail.com
* Vehicle Color/Make/Model: Gray Hyundai kona
* ETA: 4:00 PM
* Acknowledgment: ✓</t>
  </si>
  <si>
    <t>2026-07-08 22:55:02</t>
  </si>
  <si>
    <t>2504742387</t>
  </si>
  <si>
    <t>2026-07-08 23:07:53</t>
  </si>
  <si>
    <t>6672622444</t>
  </si>
  <si>
    <t>2026-07-09 00:07:42</t>
  </si>
  <si>
    <t>William Burnett completed the Adventure Inn Registration Card mini app: https://sys.akia.ai/mapp/570b51d3-c915-4f3e-9440-ab86d5563c23?session=05c94eae-359c-4696-ae59-137dc9238db9
* ID: Uploaded
* Email: higginsdenease@gmail.com
* Vehicle Color/Make/Model: Bli 2020 F150
* ETA: 2:30 PM
* Acknowledgment: ✓</t>
  </si>
  <si>
    <t>6554455444</t>
  </si>
  <si>
    <t>2026-07-09 00:31:20</t>
  </si>
  <si>
    <t>2026-09-10</t>
  </si>
  <si>
    <t>5896383555</t>
  </si>
  <si>
    <t>2026-07-09 00:33:46</t>
  </si>
  <si>
    <t>John Nowatkowski completed the Adventure Inn Registration Card mini app: https://sys.akia.ai/mapp/036e43da-ef97-4f6b-a93b-6c197f0de6ba?session=4d50c12f-7c71-4517-81b0-c07d924a9f76
* ID: Uploaded
* Email: jfnrun1@aol.com
* Vehicle Color/Make/Model: rental
* ETA: 8:45 PM
* Acknowledgment: ✓</t>
  </si>
  <si>
    <t>5896394201</t>
  </si>
  <si>
    <t>2026-07-09 00:34:16</t>
  </si>
  <si>
    <t>HMBH4R3ZBD</t>
  </si>
  <si>
    <t>2026-07-09 00:49:48</t>
  </si>
  <si>
    <t>HMR5AA854J</t>
  </si>
  <si>
    <t>2026-07-09 02:25:02</t>
  </si>
  <si>
    <t>2026-08-13</t>
  </si>
  <si>
    <t>2026-07-09 03:10:47</t>
  </si>
  <si>
    <t>2026-07-09 03:11:56</t>
  </si>
  <si>
    <t>Michael Konrath completed the Adventure Inn Registration Card mini app: https://sys.akia.ai/mapp/84613b60-b90c-4cfe-bfb3-bd18649e1a0f?session=bf8a405f-875f-486c-b499-3dfe58076379
* ID: Uploaded
* Email: mkonrath@gmail.com
* Vehicle Color/Make/Model: BMW x7 white 
* ETA: 4:00 PM
* Acknowledgment: ✓</t>
  </si>
  <si>
    <t>2026-07-09 03:12:50</t>
  </si>
  <si>
    <t>2026-07-09 03:13:26</t>
  </si>
  <si>
    <t>2026-07-09 03:41:48</t>
  </si>
  <si>
    <t>2026-07-09 05:05:04</t>
  </si>
  <si>
    <t>Kaylee Baker completed the Adventure Inn Registration Card mini app: https://sys.akia.ai/mapp/dbe50a11-d46b-4194-b0ed-d3c64f2bba0a?session=f3ff91a1-9511-4cdc-b972-6c151af9c41c
* ID: Uploaded
* Email: kayleebaker2103@gmail.com
* Vehicle Color/Make/Model: Red Jeep Compass
* ETA: 4:45 PM
* Acknowledgment: ✓</t>
  </si>
  <si>
    <t>6530453691</t>
  </si>
  <si>
    <t>2026-07-09 12:55:33</t>
  </si>
  <si>
    <t>2505225668</t>
  </si>
  <si>
    <t>2026-07-09 13:49:12</t>
  </si>
  <si>
    <t>2026-07-09 14:59:19</t>
  </si>
  <si>
    <t>2026-07-09 15:23:41</t>
  </si>
  <si>
    <t>2026-07-09 17:12:42</t>
  </si>
  <si>
    <t>2026-11-14</t>
  </si>
  <si>
    <t>2026-11-18</t>
  </si>
  <si>
    <t>HMT8KMMARH</t>
  </si>
  <si>
    <t>2026-07-09 17:39:50</t>
  </si>
  <si>
    <t>Jacob Ranson completed the Adventure Inn Registration Card mini app: https://sys.akia.ai/mapp/5d062bd9-5cf1-4253-ac4d-f23d668c27c1?session=f70dfd84-6e9e-46c9-8ed7-847eb6c8d082
* ID: Uploaded
* Email: jacobranson2@gmail.com
* Vehicle Color/Make/Model: Silver Toyota Sequoia
* ETA: 10:00 PM
* Acknowledgment: ✓</t>
  </si>
  <si>
    <t>6365142508</t>
  </si>
  <si>
    <t>2026-07-09 17:59:23</t>
  </si>
  <si>
    <t>2505441679</t>
  </si>
  <si>
    <t>2026-07-09 18:30:34</t>
  </si>
  <si>
    <t>2505468745</t>
  </si>
  <si>
    <t>2026-07-09 19:07:55</t>
  </si>
  <si>
    <t>2026-10-04</t>
  </si>
  <si>
    <t>HMTQMEPM9N</t>
  </si>
  <si>
    <t>2026-07-09 19:40:13</t>
  </si>
  <si>
    <t>2505512557</t>
  </si>
  <si>
    <t>2026-07-09 20:07:18</t>
  </si>
  <si>
    <t>Amy Kohler completed the Adventure Inn Registration Card mini app: https://sys.akia.ai/mapp/325ba9f5-2acb-4818-be10-9b8aff4ce1ac?session=4a883b42-6fba-49e0-8494-daadfd56a99b
* ID: Uploaded
* Email: amy@northstarhvac.com
* Vehicle Color/Make/Model: Silver Lexus 350
* ETA: 1:08 PM
* Acknowledgment: ✓</t>
  </si>
  <si>
    <t>2505527458</t>
  </si>
  <si>
    <t>2026-07-09 20:28:18</t>
  </si>
  <si>
    <t>2026-07-09 20:35:29</t>
  </si>
  <si>
    <t>Melissa Hood completed the Adventure Inn Registration Card mini app: https://sys.akia.ai/mapp/10ebc407-a3d0-4a10-b0d9-63cce4a123a2?session=d04f7cd2-5009-43ad-9391-6e04011b9946
* ID: Uploaded
* Email: melis.r.romero@gmail.com
* Vehicle Color/Make/Model: White/Chevrolet/traverse 
* ETA: 2:00 PM
* Acknowledgment: ✓</t>
  </si>
  <si>
    <t>HM284KHQPX</t>
  </si>
  <si>
    <t>2026-07-09 21:18:14</t>
  </si>
  <si>
    <t>Ginger Stillman completed the Adventure Inn Registration Card mini app: https://sys.akia.ai/mapp/34dab015-a392-4e79-ab20-6881326837cc?session=5e850ab7-956d-4741-890e-ec3db90f99d5
* ID: Uploaded
* Email: gdstillman@gmail.com
* Vehicle Color/Make/Model: GMC Canyon Gray
* ETA: 4:00 PM
* Acknowledgment: ✓</t>
  </si>
  <si>
    <t>2505574152</t>
  </si>
  <si>
    <t>2026-07-09 21:33:00</t>
  </si>
  <si>
    <t>2026-07-09 22:19:57</t>
  </si>
  <si>
    <t>2505625806</t>
  </si>
  <si>
    <t>2026-07-09 22:47:32</t>
  </si>
  <si>
    <t>2026-07-09 22:47:34</t>
  </si>
  <si>
    <t>2505634388</t>
  </si>
  <si>
    <t>2026-07-09 23:00:16</t>
  </si>
  <si>
    <t>2505644804</t>
  </si>
  <si>
    <t>2026-07-09 23:16:09</t>
  </si>
  <si>
    <t>James Parks completed the Adventure Inn Registration Card mini app: https://sys.akia.ai/mapp/8a6fa070-678e-4f77-b37b-64e37b72cb96?session=bbaa581d-004c-4bf9-8cd6-867bc7dc9a21
* ID: Uploaded
* Email: pastorjamesparks@gmail.com
* Vehicle Color/Make/Model: White GMC sierra 2500
* ETA: 7:00 PM
* Acknowledgment: ✓</t>
  </si>
  <si>
    <t>2026-09-18</t>
  </si>
  <si>
    <t>2505737537</t>
  </si>
  <si>
    <t>2026-07-10 01:30:22</t>
  </si>
  <si>
    <t>2505740721</t>
  </si>
  <si>
    <t>2026-07-10 01:34:46</t>
  </si>
  <si>
    <t>2505743646</t>
  </si>
  <si>
    <t>2026-07-10 01:38:52</t>
  </si>
  <si>
    <t>2505770805</t>
  </si>
  <si>
    <t>2026-07-10 02:16:13</t>
  </si>
  <si>
    <t>2505779937</t>
  </si>
  <si>
    <t>2026-07-10 02:29:06</t>
  </si>
  <si>
    <t>2026-07-10 03:56:09</t>
  </si>
  <si>
    <t>2026-12-16</t>
  </si>
  <si>
    <t>2026-12-17</t>
  </si>
  <si>
    <t>2505883693</t>
  </si>
  <si>
    <t>2026-07-10 05:38:58</t>
  </si>
  <si>
    <t>2505883692</t>
  </si>
  <si>
    <t>2026-07-10 05:39:03</t>
  </si>
  <si>
    <t>104 (STK), 101 (DQ), 103 (STK), 109 (SMQ)</t>
  </si>
  <si>
    <t>Standard King, Small Queen, Double Queen</t>
  </si>
  <si>
    <t>2026-08-31</t>
  </si>
  <si>
    <t>2026-07-10 12:37:24</t>
  </si>
  <si>
    <t>2506257300</t>
  </si>
  <si>
    <t>2026-07-10 16:59:47</t>
  </si>
  <si>
    <t>Radley Smiley completed the Adventure Inn Registration Card mini app: https://sys.akia.ai/mapp/c0cba6ec-70cd-4579-b54d-0217aa0d74bd?session=481d1f23-25fa-4999-bd29-730a0ec8a433
* ID: Uploaded
* Email: rsmiley15@yahoo.com
* Vehicle Color/Make/Model: White Subaru Forester 
* ETA: 6:00 PM
* Acknowledgment: ✓</t>
  </si>
  <si>
    <t>2506287995</t>
  </si>
  <si>
    <t>2026-07-10 17:42:19</t>
  </si>
  <si>
    <t>2506309238</t>
  </si>
  <si>
    <t>2026-07-10 18:11:43</t>
  </si>
  <si>
    <t>HMM2RWHZDX</t>
  </si>
  <si>
    <t>2026-07-10 20:10:13</t>
  </si>
  <si>
    <t>116 (DQ), 107 (DQ), 101 (DQ), 102 (DQ), 105 (DQ), 201 (DQ)</t>
  </si>
  <si>
    <t>2026-10-14</t>
  </si>
  <si>
    <t>2026-07-10 20:14:10</t>
  </si>
  <si>
    <t>2026-10-19</t>
  </si>
  <si>
    <t>2026-10-20</t>
  </si>
  <si>
    <t>2026-07-10 20:17:18</t>
  </si>
  <si>
    <t>2506430107</t>
  </si>
  <si>
    <t>2026-07-10 21:04:25</t>
  </si>
  <si>
    <t>2506437143</t>
  </si>
  <si>
    <t>2026-07-10 21:14:46</t>
  </si>
  <si>
    <t>Tahana Kerns completed the Adventure Inn Registration Card mini app: https://sys.akia.ai/mapp/836b1e12-f07f-4402-80f6-5b26fac73b5d?session=874e699d-b927-4cd1-a779-d739ad33add9
* ID: Uploaded
* Email: tanakerns@icloud.com
* Vehicle Color/Make/Model: Chevrolet Colorado Truck
* ETA: 4:00 PM
* Acknowledgment: ✓</t>
  </si>
  <si>
    <t>2026-07-10 21:22:47</t>
  </si>
  <si>
    <t>Stacey Wink completed the Adventure Inn Registration Card mini app: https://sys.akia.ai/mapp/6c9fe83c-e47e-4002-9d52-599c0319f6e8?session=4b490f89-00ae-47e4-864e-3daf99631058
* ID: Uploaded
* Email: staceyosburn@gmail.com
* Vehicle Color/Make/Model: Toyota/4Runner
* ETA: 2:00 PM
* Acknowledgment: ✓</t>
  </si>
  <si>
    <t>2506464539</t>
  </si>
  <si>
    <t>2026-07-10 21:54:45</t>
  </si>
  <si>
    <t>2506468648</t>
  </si>
  <si>
    <t>2026-07-10 22:00:57</t>
  </si>
  <si>
    <t>HMYQC4ETBT</t>
  </si>
  <si>
    <t>2026-07-11 00:15:23</t>
  </si>
  <si>
    <t>2026-07-11 00:40:00</t>
  </si>
  <si>
    <t>2506609925</t>
  </si>
  <si>
    <t>2026-07-11 01:47:08</t>
  </si>
  <si>
    <t>2026-07-11 02:02:39</t>
  </si>
  <si>
    <t>2026-07-11 02:11:06</t>
  </si>
  <si>
    <t>2026-07-11 02:22:04</t>
  </si>
  <si>
    <t>HMZTS4EXWM</t>
  </si>
  <si>
    <t>2026-07-11 04:30:20</t>
  </si>
  <si>
    <t>Sharron Webster completed the Adventure Inn Registration Card mini app: https://sys.akia.ai/mapp/5ae01a06-a1fb-4435-9dbb-7b8398213a43?session=d9d433e4-174d-4be5-bc00-e91a6e8e1556
* ID: Uploaded
* Email: sharinmichigan@gmail.com
* Vehicle Color/Make/Model: We will have 2 bicycles
* ETA: 5:00 PM
* Acknowledgment: ✓</t>
  </si>
  <si>
    <t>2026-12-04</t>
  </si>
  <si>
    <t>2026-12-06</t>
  </si>
  <si>
    <t>HMSKTE35S3</t>
  </si>
  <si>
    <t>2026-07-11 14:54:49</t>
  </si>
  <si>
    <t>5758552541</t>
  </si>
  <si>
    <t>2026-07-11 16:26:08</t>
  </si>
  <si>
    <t>Diane Black completed the Adventure Inn Registration Card mini app: https://sys.akia.ai/mapp/10cb4d1a-69ea-48b1-bfde-ae05d5223187?session=36634fc5-d346-4f3c-b4f1-dd3ad5083582
* ID: Uploaded
* Email: deblack64@hotmail.com
* Vehicle Color/Make/Model: Gray/Toyota/4runner
* ETA: 4:00 PM
* Acknowledgment: ✓, Karen Kitchen might be checking in for friend first.-JF</t>
  </si>
  <si>
    <t>2507024962</t>
  </si>
  <si>
    <t>2026-07-11 17:17:23</t>
  </si>
  <si>
    <t>2507024969</t>
  </si>
  <si>
    <t>2026-07-11 17:17:28</t>
  </si>
  <si>
    <t>2026-07-11 19:44:03</t>
  </si>
  <si>
    <t>HM5DKXARA8</t>
  </si>
  <si>
    <t>2026-07-11 20:00:45</t>
  </si>
  <si>
    <t>2507203426</t>
  </si>
  <si>
    <t>2026-07-11 22:18:52</t>
  </si>
  <si>
    <t>Hunter Hamilton completed the Adventure Inn Registration Card mini app: https://sys.akia.ai/mapp/eb317474-dfa5-4c20-b45b-fd85ed6ac06d?session=357d8767-6f8c-45c6-ac53-b85be67f3922
* ID: Uploaded
* Email: iamhunter123@gmail.com
* Vehicle Color/Make/Model: Maroon Chevy Suburban 
* ETA: 1:00 PM
* Acknowledgment: ✓</t>
  </si>
  <si>
    <t>2026-07-11 22:19:01</t>
  </si>
  <si>
    <t>2026-10-16</t>
  </si>
  <si>
    <t>6899276873</t>
  </si>
  <si>
    <t>2026-07-11 22:46:22</t>
  </si>
  <si>
    <t>2507251963</t>
  </si>
  <si>
    <t>2026-07-11 23:53:44</t>
  </si>
  <si>
    <t>Laura Leilich completed the Adventure Inn Registration Card mini app: https://sys.akia.ai/mapp/db56875e-33ec-4809-8640-555f0907eb39?session=b4b34afc-be77-4119-96de-760c294456f3
* ID: Uploaded
* Email: lauraleilich21@gmail.com
* Vehicle Color/Make/Model: Black F150 Ford truck 
* ETA: 7:30 PM
* Acknowledgment: ✓</t>
  </si>
  <si>
    <t>2507279075</t>
  </si>
  <si>
    <t>2026-07-12 00:45:48</t>
  </si>
  <si>
    <t>2507321741</t>
  </si>
  <si>
    <t>2026-07-12 02:07:50</t>
  </si>
  <si>
    <t>2507336045</t>
  </si>
  <si>
    <t>2026-07-12 02:35:31</t>
  </si>
  <si>
    <t>HMFJ9KNYEB</t>
  </si>
  <si>
    <t>2026-07-12 04:24:57</t>
  </si>
  <si>
    <t>Sherry Palmer completed the Adventure Inn Registration Card mini app: https://sys.akia.ai/mapp/d9eb52c0-455e-486f-a1ac-e644dd191cea?session=eab5e89e-7cb7-4fd0-9045-335e113b8226
* ID: Uploaded
* Email: palmerds01@outlook.com
* Vehicle Color/Make/Model: Grey Hyundai Elantra
* ETA: 4:00 PM
* Acknowledgment: ✓</t>
  </si>
  <si>
    <t>6390502493</t>
  </si>
  <si>
    <t>2026-07-12 05:09:08</t>
  </si>
  <si>
    <t>Natalie Taylor completed the Adventure Inn Registration Card mini app: https://sys.akia.ai/mapp/3b83eb68-0d04-4812-80e1-e6c94c3276ac?session=1a1e1890-0f4b-4ee9-987d-b6e677ad882e
* ID: Uploaded
* Email: natalietaylor14@gmail.com
* Vehicle Color/Make/Model: Gray/Ford/F150
* ETA: 10:00 PM
* Acknowledgment: ✓</t>
  </si>
  <si>
    <t>5702653187</t>
  </si>
  <si>
    <t>2026-07-12 13:23:14</t>
  </si>
  <si>
    <t>Karen Ringheiser completed the Adventure Inn Registration Card mini app: https://sys.akia.ai/mapp/7af1e387-fecb-4368-b813-a8adb24d674d?session=7aba66d2-6722-4a72-92b0-16f3235d8c24
* ID: Uploaded
* Email: karenringheiser@gmail.com
* Vehicle Color/Make/Model: White jeep wrangler 
* ETA: 3:00 PM
* Acknowledgment: ✓</t>
  </si>
  <si>
    <t>2507621504</t>
  </si>
  <si>
    <t>2026-07-12 15:13:20</t>
  </si>
  <si>
    <t>HMJYQRJAKR</t>
  </si>
  <si>
    <t>2026-07-12 15:39:32</t>
  </si>
  <si>
    <t>HM5QAPSYCB</t>
  </si>
  <si>
    <t>2026-07-12 15:53:08</t>
  </si>
  <si>
    <t>Heidi Wendt completed the Adventure Inn Registration Card mini app: https://sys.akia.ai/mapp/7aa3f27a-3823-436f-b0b7-719f542121dd?session=1f649661-b34f-4cdf-bc86-d33a60a25631
* ID: Uploaded
* Email: hwendt97@gmail.com
* Vehicle Color/Make/Model: Grey Hyundai Tucson 
* ETA: 10:45 PM
* Acknowledgment: ✓</t>
  </si>
  <si>
    <t>2026-07-12 17:15:38</t>
  </si>
  <si>
    <t>HM2FT45SXM</t>
  </si>
  <si>
    <t>2026-07-12 18:07:41</t>
  </si>
  <si>
    <t>2507760227</t>
  </si>
  <si>
    <t>2026-07-12 18:49:30</t>
  </si>
  <si>
    <t>Patrick Noonan completed the Adventure Inn Registration Card mini app: https://sys.akia.ai/mapp/ab031383-af2a-4e82-9aa1-d3010858d97c?session=afd4ec1d-9a88-4b6d-ba63-7ee3737ae3c1
* ID: Uploaded
* Email: pnoonan91@gmail.com
* Vehicle Color/Make/Model: Green Subaru Forester
* ETA: 5:00 PM
* Acknowledgment: ✓</t>
  </si>
  <si>
    <t>2507780205</t>
  </si>
  <si>
    <t>2026-07-12 19:19:58</t>
  </si>
  <si>
    <t>5605649659</t>
  </si>
  <si>
    <t>2026-07-12 19:22:37</t>
  </si>
  <si>
    <t>Gabriela Krol completed the Adventure Inn Registration Card mini app: https://sys.akia.ai/mapp/d5428610-8ab4-4831-aa10-fca4490a2ef7?session=64f30d2a-af16-4a28-9f69-e743952e4659
* ID: Uploaded
* Email: gabrielakrol94@gmail.com
* Vehicle Color/Make/Model: Dark grey/mazda/cx-5
* ETA: 7:45 PM
* Acknowledgment: ✓</t>
  </si>
  <si>
    <t>2507787103</t>
  </si>
  <si>
    <t>2026-07-12 19:30:06</t>
  </si>
  <si>
    <t>2026-07-12 19:48:13</t>
  </si>
  <si>
    <t>5605637055</t>
  </si>
  <si>
    <t>2026-07-12 20:10:47</t>
  </si>
  <si>
    <t>2026-07-12 20:11:41</t>
  </si>
  <si>
    <t>2026-10-01</t>
  </si>
  <si>
    <t>2026-07-12 20:24:32</t>
  </si>
  <si>
    <t>2507856873</t>
  </si>
  <si>
    <t>2026-07-12 21:13:07</t>
  </si>
  <si>
    <t>2026-07-12 21:28:55</t>
  </si>
  <si>
    <t>2026-07-12 23:03:33</t>
  </si>
  <si>
    <t>Stephanie Steiner completed the Adventure Inn Registration Card mini app: https://sys.akia.ai/mapp/05a82a15-1651-463c-b84a-d4f1a86bb009?session=3873bf2a-2e5d-48ea-afa9-bead565a5b2c
* ID: Uploaded
* Email: steph_steiner05@hotmail.com
* Vehicle Color/Make/Model: Red and black motorcycles (2)
* ETA: 8:00 PM
* Acknowledgment: ✓</t>
  </si>
  <si>
    <t>2507966455</t>
  </si>
  <si>
    <t>2026-07-13 00:09:44</t>
  </si>
  <si>
    <t>Laura Hartley completed the Adventure Inn Registration Card mini app: https://sys.akia.ai/mapp/efd8f877-982b-4ae8-9028-70e02f4c9142?session=b818b4f5-70ed-4ff4-83b3-70074a6dbb3d
* ID: Uploaded
* Email: lbhartley01@gmail.com
* Vehicle Color/Make/Model: Black Mazda CX5 
* ETA: 4:00 PM
* Acknowledgment: ✓</t>
  </si>
  <si>
    <t>2507967960</t>
  </si>
  <si>
    <t>2026-07-13 00:12:03</t>
  </si>
  <si>
    <t>2508090004</t>
  </si>
  <si>
    <t>2026-07-13 03:24:49</t>
  </si>
  <si>
    <t>2508343266</t>
  </si>
  <si>
    <t>2026-07-13 12:51:15</t>
  </si>
  <si>
    <t>2508372062</t>
  </si>
  <si>
    <t>2026-07-13 13:34:32</t>
  </si>
  <si>
    <t>2026-09-14</t>
  </si>
  <si>
    <t>6090324231</t>
  </si>
  <si>
    <t>2026-07-13 14:32:18</t>
  </si>
  <si>
    <t>2508470339</t>
  </si>
  <si>
    <t>2026-07-13 16:04:38</t>
  </si>
  <si>
    <t>Jordan Floyd completed the Adventure Inn Registration Card mini app: https://sys.akia.ai/mapp/5c606b4c-998a-4bba-9d98-5d5194f0da38?session=f02090a8-8d25-4539-9f7e-7585267366dc
* ID: Uploaded
* Email: jfloyd@moss.com
* Vehicle Color/Make/Model: Ford f150 white 
* ETA: 8:30 PM
* Acknowledgment: ✓</t>
  </si>
  <si>
    <t>2508504607</t>
  </si>
  <si>
    <t>2026-07-13 16:46:42</t>
  </si>
  <si>
    <t>Andrea Lafrance completed the Adventure Inn Registration Card mini app: https://sys.akia.ai/mapp/b5df15b9-76f4-4d41-b455-1ff6249341fc?session=e7a5901b-4074-4220-b91a-5a7d858a73b5
* ID: Uploaded
* Email: andrea.lafrance@gmail.com
* Vehicle Color/Make/Model: Gray Toyota Rav4
* ETA: 4:00 PM
* Acknowledgment: ✓</t>
  </si>
  <si>
    <t>2026-07-13 17:05:51</t>
  </si>
  <si>
    <t>Julia Ausloos-Bedinger completed the Adventure Inn Registration Card mini app: https://sys.akia.ai/mapp/2c7891c2-117b-4b2b-a771-03677afaf03b?session=d318fb76-82b1-41c7-b29c-3343ec1165bf
* ID: Uploaded
* Email: jaausloos@gmail.com
* Vehicle Color/Make/Model: Gray/Jeep/ DOM-Z10
* ETA: 9:00 PM
* Acknowledgment: ✓</t>
  </si>
  <si>
    <t>2026-07-13 19:00:41</t>
  </si>
  <si>
    <t>2026-07-13 19:44:35</t>
  </si>
  <si>
    <t>HM5BB8K9AT</t>
  </si>
  <si>
    <t>2026-07-13 19:53:00</t>
  </si>
  <si>
    <t>HMYPPZXJAE</t>
  </si>
  <si>
    <t>2026-07-13 19:56:04</t>
  </si>
  <si>
    <t>2026-07-13 22:59:12</t>
  </si>
  <si>
    <t>2026-07-13 23:04:57</t>
  </si>
  <si>
    <t>Hilary Fowler completed the Adventure Inn Registration Card mini app: https://sys.akia.ai/mapp/18dabc77-1030-4c66-b198-cf5c9bdbf310?session=824721ae-dd68-4f9e-9f43-9569ba0cd4d9
* ID: Uploaded
* Email: travelnursefowler@gmail.com
* Vehicle Color/Make/Model: Black Nissan payhfinder
* ETA: 3:00 PM
* Acknowledgment: ✓</t>
  </si>
  <si>
    <t>6351586178</t>
  </si>
  <si>
    <t>2026-07-13 23:44:05</t>
  </si>
  <si>
    <t>Joseph Ramsey completed the Adventure Inn Registration Card mini app: https://sys.akia.ai/mapp/655bcfdd-acbb-48db-99e0-ab0baf92546e?session=a8a50896-3d4a-4c7a-93a5-2e6334794945
* ID: Uploaded
* Email: josephrms6@gmail.com
* Vehicle Color/Make/Model: Blue Toyota Camry 
* ETA: 6:55 PM
* Acknowledgment: ✓</t>
  </si>
  <si>
    <t>2508873147</t>
  </si>
  <si>
    <t>2026-07-14 00:48:43</t>
  </si>
  <si>
    <t>Ellen Mcilroy completed the Adventure Inn Registration Card mini app: https://sys.akia.ai/mapp/2d014cb5-fcfe-4b5e-9fa3-c666b6f5b6d3?session=bcae3402-d28a-457e-82d6-f6fab121e957
* ID: Uploaded
* Email: emcilroy@yahoo.com
* Vehicle Color/Make/Model: Grey Audi Q3
* ETA: 4:00 PM
* Acknowledgment: ✓</t>
  </si>
  <si>
    <t>2026-07-14 02:30:07</t>
  </si>
  <si>
    <t>2026-07-14 03:01:05</t>
  </si>
  <si>
    <t>2026-07-14 05:33:36</t>
  </si>
  <si>
    <t>2509056365</t>
  </si>
  <si>
    <t>2026-07-14 05:50:23</t>
  </si>
  <si>
    <t>2026-10-11</t>
  </si>
  <si>
    <t>2509287631</t>
  </si>
  <si>
    <t>2026-07-14 13:49:11</t>
  </si>
  <si>
    <t>2509313238</t>
  </si>
  <si>
    <t>2026-07-14 14:21:19</t>
  </si>
  <si>
    <t>2509387443</t>
  </si>
  <si>
    <t>2026-07-14 15:55:19</t>
  </si>
  <si>
    <t>2509398112</t>
  </si>
  <si>
    <t>2026-07-14 16:08:53</t>
  </si>
  <si>
    <t>2509453943</t>
  </si>
  <si>
    <t>2026-07-14 17:21:40</t>
  </si>
  <si>
    <t>2026-07-14 17:40:09</t>
  </si>
  <si>
    <t>2026-07-14 18:02:43</t>
  </si>
  <si>
    <t>2509583722</t>
  </si>
  <si>
    <t>2026-07-14 20:17:12</t>
  </si>
  <si>
    <t>Joshua Salazar completed the Adventure Inn Registration Card mini app: https://sys.akia.ai/mapp/60856045-139f-4903-92bb-3464d3c8a3d5?session=f151ce32-0899-4361-b2f5-ffdaca64cdb5
* ID: Uploaded
* Email: 11747joshua@gmail.com
* Vehicle Color/Make/Model: Black, Sierra 1500, truck 
* ETA: 2:00 PM
* Acknowledgment: ✓</t>
  </si>
  <si>
    <t>2509680255</t>
  </si>
  <si>
    <t>2026-07-14 22:35:21</t>
  </si>
  <si>
    <t>2026-07-15 02:26:58</t>
  </si>
  <si>
    <t>Laura Miller completed the Adventure Inn Registration Card mini app: https://sys.akia.ai/mapp/8c4de7cc-c2f6-4774-bad5-3ee8c11ecd70?session=0f9ec0a3-e4e0-4a37-b312-b5462dc1f1a1
* ID: Uploaded
* Email: lmiller1291@gmail.com
* Vehicle Color/Make/Model: Dark grey Subaru Outback 
* ETA: 4:00 PM
* Acknowledgment: ✓</t>
  </si>
  <si>
    <t>5772742746</t>
  </si>
  <si>
    <t>2026-07-15 02:33:47</t>
  </si>
  <si>
    <t>6715544907</t>
  </si>
  <si>
    <t>2026-07-15 03:05:46</t>
  </si>
  <si>
    <t>Robert A Munoz completed the Adventure Inn Registration Card mini app: https://sys.akia.ai/mapp/71243c48-a720-4519-b4a4-fc8ca3acc409?session=911c156c-87a0-401f-8606-6bc20b3bf7bb
* ID: Uploaded
* Email: jamesmun0z5p5@gmail.com
* Vehicle Color/Make/Model: Gray jeep compass 
* ETA: 4:00 PM
* Acknowledgment: ✓</t>
  </si>
  <si>
    <t>2509890006</t>
  </si>
  <si>
    <t>2026-07-15 03:46:54</t>
  </si>
  <si>
    <t>2026-07-15 13:18:56</t>
  </si>
  <si>
    <t>HMJDP8KDBY</t>
  </si>
  <si>
    <t>2026-07-15 18:33:23</t>
  </si>
  <si>
    <t>HMF4WTYSDA</t>
  </si>
  <si>
    <t>2026-07-15 18:53:59</t>
  </si>
  <si>
    <t>2026-07-15 18:58:52</t>
  </si>
  <si>
    <t>2026-10-21</t>
  </si>
  <si>
    <t>6733817706</t>
  </si>
  <si>
    <t>2026-07-15 19:34:35</t>
  </si>
  <si>
    <t>5416569492</t>
  </si>
  <si>
    <t>2026-07-15 21:56:44</t>
  </si>
  <si>
    <t>Kristy Everson completed the Adventure Inn Registration Card mini app: https://sys.akia.ai/mapp/bc690974-f4ec-4f7d-8a44-14bc9ed21982?session=bfd714b7-e85c-4636-a6b7-936797234185
* ID: Uploaded
* Email: everson.kristy@gmail.com
* Vehicle Color/Make/Model: Black Audi q7 2018
* ETA: 8:00 PM
* Acknowledgment: ✓</t>
  </si>
  <si>
    <t>2026-07-15 21:59:56</t>
  </si>
  <si>
    <t>2510585621</t>
  </si>
  <si>
    <t>2026-07-15 23:23:13</t>
  </si>
  <si>
    <t>Tad Holt completed the Adventure Inn Registration Card mini app: https://sys.akia.ai/mapp/644cbc34-cce6-4ff0-bb61-4f522d0808cf?session=253b83fd-df82-4f07-b696-e8d87410fbf0
* ID: Uploaded
* Email: kenzieashtin@gmail.com
* Vehicle Color/Make/Model: Grey Ford F250
* ETA: 1:00 AM
* Acknowledgment: ✓</t>
  </si>
  <si>
    <t>HMQ9RBFAQB</t>
  </si>
  <si>
    <t>Sidney Hoskins completed the Adventure Inn Registration Card mini app: https://sys.akia.ai/mapp/b753fd5f-9e7f-4d14-a917-f89eb371c438?session=486a21f4-c340-481f-8208-2a874aecb796
* ID: Uploaded
* Email: sidneyhoskins@gmail.com
* Vehicle Color/Make/Model: Black Chevy Equinox
* ETA: 4:00 PM
* Acknowledgment: ✓</t>
  </si>
  <si>
    <t>2026-07-15 23:25:29</t>
  </si>
  <si>
    <t>2026-07-15 23:52:23</t>
  </si>
  <si>
    <t>2510770334</t>
  </si>
  <si>
    <t>2026-07-16 04:03:44</t>
  </si>
  <si>
    <t>2026-10-15</t>
  </si>
  <si>
    <t>6733863800</t>
  </si>
  <si>
    <t>2026-07-16 09:53:21</t>
  </si>
  <si>
    <t>2510993533</t>
  </si>
  <si>
    <t>2026-07-16 12:34:04</t>
  </si>
  <si>
    <t>2026-11-21</t>
  </si>
  <si>
    <t>2026-11-25</t>
  </si>
  <si>
    <t>2026-07-16 13:00:32</t>
  </si>
  <si>
    <t>5399872683</t>
  </si>
  <si>
    <t>2026-07-16 14:14:07</t>
  </si>
  <si>
    <t>Lanny Porter completed the Adventure Inn Registration Card mini app: https://sys.akia.ai/mapp/93db5395-bbfe-4873-924c-5e48504f6f92?session=fde9e856-9474-4012-bc8e-8636dbea028b
* ID: Uploaded
* Email: airghost1953@gmail.com
* Vehicle Color/Make/Model: VW Aflas. Rental car. Gray
* ETA: 2:30 PM
* Acknowledgment: ✓</t>
  </si>
  <si>
    <t>2511164236</t>
  </si>
  <si>
    <t>2026-07-16 16:33:08</t>
  </si>
  <si>
    <t>2511166838</t>
  </si>
  <si>
    <t>2026-07-16 16:36:37</t>
  </si>
  <si>
    <t>2511186495</t>
  </si>
  <si>
    <t>2026-07-16 17:03:44</t>
  </si>
  <si>
    <t>12 check out</t>
  </si>
  <si>
    <t>2026-07-16 17:33:22</t>
  </si>
  <si>
    <t>Sharon Platt completed the Adventure Inn Registration Card mini app: https://sys.akia.ai/mapp/8f1f59ea-14db-4587-a61f-909aca5a95ad?session=c8d6b102-a7e0-4fb0-8c4b-a1c54fb00be3
* ID: Uploaded
* Email: ssplatt_80901@yahoo.com
* Vehicle Color/Make/Model: Toyota Rav 4
* ETA: 4:00 PM
* Acknowledgment: ✓, David Kipp completed the Adventure Inn Registration Card mini app: https://sys.akia.ai/mapp/65786391-06ac-4774-b777-eda6a168d240?session=9153a99e-0bd3-480f-9a90-4ba063b56fcf
* ID: Uploaded
* Email: dkipp9@gmail.com
* Vehicle Color/Make/Model: Silver Toyota Tacoma
* ETA: 4:00 PM
* Acknowledgment: ✓</t>
  </si>
  <si>
    <t>2026-07-16 19:45:07</t>
  </si>
  <si>
    <t>2511342503</t>
  </si>
  <si>
    <t>2026-07-16 20:39:37</t>
  </si>
  <si>
    <t>Ronald Odaniel completed the Adventure Inn Registration Card mini app: https://sys.akia.ai/mapp/cd4f58f8-d8a1-4677-bc37-cfa9120c2495?session=c1afcd40-045c-40e0-8896-a1c8b05bca68
* ID: Uploaded
* Email: rodaniel1@inbox.com
* Vehicle Color/Make/Model: Black GMC Acadia
* ETA: 4:00 PM
* Acknowledgment: ✓</t>
  </si>
  <si>
    <t>2511413341</t>
  </si>
  <si>
    <t>2026-07-16 22:22:54</t>
  </si>
  <si>
    <t>2026-07-16 22:40:25</t>
  </si>
  <si>
    <t>6986332988</t>
  </si>
  <si>
    <t>2026-07-16 22:43:59</t>
  </si>
  <si>
    <t>Karen Bramer completed the Adventure Inn Registration Card mini app: https://sys.akia.ai/mapp/39fef018-3405-4c10-bf15-4684cf0c7318?session=d425e60a-13fc-4061-871e-7d43bfc6244f
* ID: Uploaded
* Email: karenjbramer@gmail.com
* Vehicle Color/Make/Model: Grey Tesla
* ETA: 4:00 PM
* Acknowledgment: ✓</t>
  </si>
  <si>
    <t>119 (STQ), 120 (STQ)</t>
  </si>
  <si>
    <t>2026-07-16 23:00:10</t>
  </si>
  <si>
    <t>Warren Lovell completed the Adventure Inn Registration Card mini app: https://sys.akia.ai/mapp/aedab52c-90c7-47ee-b241-48c3487a7d3b?session=b11c37a3-c82b-4f7e-b3b3-6674176a1840
* ID: Uploaded
* Email: warrenlovell@gmail.com
* Vehicle Color/Make/Model: Bronze /Toyota Trailhunter
* ETA: 4:00 PM
* Acknowledgment: ✓</t>
  </si>
  <si>
    <t>2026-07-16 23:01:35</t>
  </si>
  <si>
    <t>Lori Lowe completed the Adventure Inn Registration Card mini app: https://sys.akia.ai/mapp/dea87bca-af92-4336-9de6-ecb8e73cc56f?session=223ff570-ea30-48fc-b1d2-1135f8a4c71a
* ID: Uploaded
* Email: johnlowe59@gmail.com
* Vehicle Color/Make/Model: White/Lexus/RX350
* ETA: 4:00 PM
* Acknowledgment: ✓</t>
  </si>
  <si>
    <t>2026-07-17 00:17:02</t>
  </si>
  <si>
    <t>2511548961</t>
  </si>
  <si>
    <t>2026-07-17 01:48:44</t>
  </si>
  <si>
    <t>2511549092</t>
  </si>
  <si>
    <t>2026-07-17 01:48:56</t>
  </si>
  <si>
    <t>2026-10-05</t>
  </si>
  <si>
    <t>2511654398</t>
  </si>
  <si>
    <t>2026-07-17 04:53:09</t>
  </si>
  <si>
    <t>2511664097</t>
  </si>
  <si>
    <t>2026-07-17 05:16:27</t>
  </si>
  <si>
    <t>HM8MR2DXYP</t>
  </si>
  <si>
    <t>2026-07-17 06:09:34</t>
  </si>
  <si>
    <t>2511736291</t>
  </si>
  <si>
    <t>2026-07-17 08:20:26</t>
  </si>
  <si>
    <t>Anetor Asibor completed the Adventure Inn Registration Card mini app: https://sys.akia.ai/mapp/bd9bc1d1-d94d-4b02-b344-ad4ec1d13311?session=ad09591f-2361-4138-979a-23d8e92c7779
* ID: Uploaded
* Email: akeenana@gmail.com
* Vehicle Color/Make/Model: NA
* ETA: 1:00 PM
* Acknowledgment: ✓</t>
  </si>
  <si>
    <t>5902927703</t>
  </si>
  <si>
    <t>2026-07-17 13:42:50</t>
  </si>
  <si>
    <t>HMYEX884P3</t>
  </si>
  <si>
    <t>2026-07-17 13:47:35</t>
  </si>
  <si>
    <t>2026-07-17 16:56:14</t>
  </si>
  <si>
    <t>2512048954</t>
  </si>
  <si>
    <t>2026-07-17 17:13:43</t>
  </si>
  <si>
    <t>James M Kotick completed the Adventure Inn Registration Card mini app: https://sys.akia.ai/mapp/2e211a89-240c-4d54-bd72-d9bb6e3924de?session=63d2d3d0-79f5-4826-b571-e72f29e7dcde
* ID: Uploaded
* Email: kotickjr@yahoo.com
* Vehicle Color/Make/Model: Black Subaru Outback
* ETA: 4:00 PM
* Acknowledgment: ✓</t>
  </si>
  <si>
    <t>HMTFS4APMP</t>
  </si>
  <si>
    <t>2026-07-17 18:41:54</t>
  </si>
  <si>
    <t>HMPSQ5YFFZ</t>
  </si>
  <si>
    <t>2026-07-17 19:40:27</t>
  </si>
  <si>
    <t>Izaya Sanchez completed the Adventure Inn Registration Card mini app: https://sys.akia.ai/mapp/df2043bd-e4f7-416a-a172-f2eb222e42cb?session=06e4cab6-c9fb-4e01-a8d7-7b84d30a46cd
* ID: Uploaded
* Email: izayasanchez165@gmail.com
* Vehicle Color/Make/Model: Blue/dodge/charger
* ETA: 5:00 PM
* Acknowledgment: ✓</t>
  </si>
  <si>
    <t>2026-07-17 20:20:31</t>
  </si>
  <si>
    <t>Danielle Bohannan completed the Adventure Inn Registration Card mini app: https://sys.akia.ai/mapp/ecb5749f-e109-41c9-a886-78ff614d0f06?session=ff3f3e96-0f44-4378-96ce-4ac4be64096b
* ID: Uploaded
* Email: dffuchs@gmail.com
* Vehicle Color/Make/Model: Blue/mazda/cx-5
* ETA: 6:00 PM
* Acknowledgment: ✓</t>
  </si>
  <si>
    <t>2512187332</t>
  </si>
  <si>
    <t>2026-07-17 20:29:09</t>
  </si>
  <si>
    <t>2026-07-17 20:37:33</t>
  </si>
  <si>
    <t>2512242711</t>
  </si>
  <si>
    <t>2026-07-17 21:49:35</t>
  </si>
  <si>
    <t>2512245535</t>
  </si>
  <si>
    <t>2026-07-17 21:53:53</t>
  </si>
  <si>
    <t>2026-07-18 00:11:53</t>
  </si>
  <si>
    <t>6623228678</t>
  </si>
  <si>
    <t>2026-07-18 00:37:14</t>
  </si>
  <si>
    <t>2026-07-18 00:56:18</t>
  </si>
  <si>
    <t>2512386492</t>
  </si>
  <si>
    <t>2026-07-18 01:47:29</t>
  </si>
  <si>
    <t>2026-07-18 01:57:37</t>
  </si>
  <si>
    <t>2512404229</t>
  </si>
  <si>
    <t>2026-07-18 02:18:03</t>
  </si>
  <si>
    <t>HM9SCY5EJJ</t>
  </si>
  <si>
    <t>2026-07-18 03:58:52</t>
  </si>
  <si>
    <t>2026-07-18 04:32:26</t>
  </si>
  <si>
    <t>6425981424</t>
  </si>
  <si>
    <t>2026-07-18 13:13:20</t>
  </si>
  <si>
    <t>6412925780</t>
  </si>
  <si>
    <t>2026-07-18 16:40:40</t>
  </si>
  <si>
    <t>2512780313</t>
  </si>
  <si>
    <t>2026-07-18 17:03:24</t>
  </si>
  <si>
    <t>2512780315</t>
  </si>
  <si>
    <t>2026-07-18 17:03:30</t>
  </si>
  <si>
    <t>2026-07-18 17:59:08</t>
  </si>
  <si>
    <t>6868929820</t>
  </si>
  <si>
    <t>2026-07-18 19:21:25</t>
  </si>
  <si>
    <t>2512918576</t>
  </si>
  <si>
    <t>2026-07-18 20:47:18</t>
  </si>
  <si>
    <t>2026-07-18 21:34:25</t>
  </si>
  <si>
    <t>2026-07-18 22:02:13</t>
  </si>
  <si>
    <t>HM4KXACQWZ</t>
  </si>
  <si>
    <t>2026-07-18 22:05:34</t>
  </si>
  <si>
    <t>HM4ZA9KTRA</t>
  </si>
  <si>
    <t>2026-07-18 23:08:27</t>
  </si>
  <si>
    <t>2512999635</t>
  </si>
  <si>
    <t>2026-07-18 23:09:59</t>
  </si>
  <si>
    <t>2026-07-18 23:13:14</t>
  </si>
  <si>
    <t>Mario Lamantia completed the Adventure Inn Registration Card mini app: https://sys.akia.ai/mapp/2b0873ff-cdd8-4eb3-a320-600456a20e6b?session=c5addb00-3ee8-4c10-8607-b8310f20331c
* ID: Uploaded
* Email: busybeesdad@gmail.com
* Vehicle Color/Make/Model: Gray Harley Davidson street glide special
* ETA: 4:00 PM
* Acknowledgment: ✓</t>
  </si>
  <si>
    <t>2513023619</t>
  </si>
  <si>
    <t>2026-07-18 23:54:00</t>
  </si>
  <si>
    <t>Kylie Smith completed the Adventure Inn Registration Card mini app: https://sys.akia.ai/mapp/fe232266-0b32-40ee-8170-a11f330abef3?session=8a61c222-db12-4a59-b590-b64199a49b51
* ID: Uploaded
* Email: kylie.smith1125@gmail.com
* Vehicle Color/Make/Model: None
* ETA: 11:15 PM
* Acknowledgment: ✓</t>
  </si>
  <si>
    <t>2026-07-19 00:24:02</t>
  </si>
  <si>
    <t>2026-07-19 01:32:13</t>
  </si>
  <si>
    <t>Jennifer Horn completed the Adventure Inn Registration Card mini app: https://sys.akia.ai/mapp/4901927e-7989-4d2b-9e3d-63b8423c165b?session=8978b754-84fe-4efe-ab5b-18da3ff1a856
* ID: Uploaded
* Email: jhornz324@gmail.com
* Vehicle Color/Make/Model: Green Toyota Highlander 
* ETA: 7:00 PM
* Acknowledgment: ✓</t>
  </si>
  <si>
    <t>2026-10-18</t>
  </si>
  <si>
    <t>2026-07-19 02:40:32</t>
  </si>
  <si>
    <t>2513117511</t>
  </si>
  <si>
    <t>2026-07-19 02:47:18</t>
  </si>
  <si>
    <t>2513202599</t>
  </si>
  <si>
    <t>2026-07-19 06:35:24</t>
  </si>
  <si>
    <t>2513383366</t>
  </si>
  <si>
    <t>2026-07-19 14:47:26</t>
  </si>
  <si>
    <t>2026-07-19 15:10:22</t>
  </si>
  <si>
    <t>Amir Vohra completed the Adventure Inn Registration Card mini app: https://sys.akia.ai/mapp/eb7152e5-ca6f-4550-adbc-9bbe0f8e188d?session=48aad41c-787c-4c04-ab96-514a36fe2bc8
* ID: Uploaded
* Email: amirvohra30@gmail.com
* Vehicle Color/Make/Model: White/gmc/acadia
* ETA: 4:00 PM
* Acknowledgment: ✓</t>
  </si>
  <si>
    <t>102 (DQ), 105 (DQ), 106 (STQ), 107 (DQ)</t>
  </si>
  <si>
    <t>2026-07-19 15:35:18</t>
  </si>
  <si>
    <t>6699405846</t>
  </si>
  <si>
    <t>2026-07-19 16:22:02</t>
  </si>
  <si>
    <t>2513476072</t>
  </si>
  <si>
    <t>2026-07-19 17:17:50</t>
  </si>
  <si>
    <t>Tate Bernier completed the Adventure Inn Registration Card mini app: https://sys.akia.ai/mapp/9f059408-11f9-4f22-9ede-45e72636df77?session=c8b6dca3-8be4-403c-8da7-89139c2891c4
* ID: Uploaded
* Email: twbernier2@gmail.com
* Vehicle Color/Make/Model: Black , Harley Davidson, Street Glide 
* ETA: 1:00 PM
* Acknowledgment: ✓</t>
  </si>
  <si>
    <t>2513498536</t>
  </si>
  <si>
    <t>2026-07-19 17:54:23</t>
  </si>
  <si>
    <t>2513516079</t>
  </si>
  <si>
    <t>2026-07-19 18:22:23</t>
  </si>
  <si>
    <t>2513534108</t>
  </si>
  <si>
    <t>2026-07-19 18:51:32</t>
  </si>
  <si>
    <t>2026-07-19 19:06:13</t>
  </si>
  <si>
    <t>2513549057</t>
  </si>
  <si>
    <t>2026-07-19 19:17:24</t>
  </si>
  <si>
    <t>Stacey Hinckley completed the Adventure Inn Registration Card mini app: https://sys.akia.ai/mapp/5170ed28-eb93-4f6a-82a9-e0f85e3ff49b?session=236f793e-0dab-4eb7-9226-43490f533a73
* ID: Uploaded
* Email: shinckley2@yahoo.com
* Vehicle Color/Make/Model: Charcoal Jeep Grand Cherokee
* ETA: 4:00 PM
* Acknowledgment: ✓</t>
  </si>
  <si>
    <t>2513596799</t>
  </si>
  <si>
    <t>2026-07-19 20:39:01</t>
  </si>
  <si>
    <t>Paul Naylor completed the Adventure Inn Registration Card mini app: https://sys.akia.ai/mapp/54acfb29-5ec0-432c-9322-bc806056224d?session=3538e2ab-0842-4516-a7fe-6159e690df2b
* ID: Uploaded
* Email: paulnaylor025@gmail.com
* Vehicle Color/Make/Model: Grey Toyota 4Runner
* ETA: 4:00 PM
* Acknowledgment: ✓</t>
  </si>
  <si>
    <t>5981558022</t>
  </si>
  <si>
    <t>2026-07-19 21:01:07</t>
  </si>
  <si>
    <t>2513642548</t>
  </si>
  <si>
    <t>2026-07-19 22:04:48</t>
  </si>
  <si>
    <t>6828731721</t>
  </si>
  <si>
    <t>2026-07-19 22:14:37</t>
  </si>
  <si>
    <t>2026-09-26</t>
  </si>
  <si>
    <t>6888884572</t>
  </si>
  <si>
    <t>2026-07-19 22:20:03</t>
  </si>
  <si>
    <t>2513660758</t>
  </si>
  <si>
    <t>2026-07-19 22:40:17</t>
  </si>
  <si>
    <t>Richard Devenero completed the Adventure Inn Registration Card mini app: https://sys.akia.ai/mapp/26ba6bcb-abc7-4c2e-ae86-d097a86172e7?session=bcd1fdc2-c0de-48a6-b222-0f9cb4963730
* ID: Uploaded
* Email: rdevenero@yahoo.com
* Vehicle Color/Make/Model: Grey mini coop
* ETA: 4:00 PM
* Acknowledgment: ✓</t>
  </si>
  <si>
    <t>2513701362</t>
  </si>
  <si>
    <t>2026-07-19 23:53:57</t>
  </si>
  <si>
    <t>2026-07-20 00:55:32</t>
  </si>
  <si>
    <t>2513745953</t>
  </si>
  <si>
    <t>2026-07-20 01:09:08</t>
  </si>
  <si>
    <t>2513759078</t>
  </si>
  <si>
    <t>2026-07-20 01:30:44</t>
  </si>
  <si>
    <t>2513846324</t>
  </si>
  <si>
    <t>2026-07-20 04:04:14</t>
  </si>
  <si>
    <t>2026-07-20 05:13:53</t>
  </si>
  <si>
    <t>Scott Weaver completed the Adventure Inn Registration Card mini app: https://sys.akia.ai/mapp/4593cba5-6671-4443-9ffe-9d46267771a4?session=f1e3c4b5-bc58-4716-bf7d-423530c55265
* ID: Uploaded
* Email: scottweaver25@gmail.com
* Vehicle Color/Make/Model: Black gmc canyon
* ETA: 4:00 PM
* Acknowledgment: ✓</t>
  </si>
  <si>
    <t>104 (STK), 103 (STK), 108 (STK)</t>
  </si>
  <si>
    <t>5103971623</t>
  </si>
  <si>
    <t>2026-07-20 05:18:54</t>
  </si>
  <si>
    <t>203 (STK), 205 (STK)</t>
  </si>
  <si>
    <t>6401842941</t>
  </si>
  <si>
    <t>2026-07-20 05:26:27</t>
  </si>
  <si>
    <t>2513881284</t>
  </si>
  <si>
    <t>2026-07-20 05:31:06</t>
  </si>
  <si>
    <t>2026-07-20 13:46:34</t>
  </si>
  <si>
    <t>2514121932</t>
  </si>
  <si>
    <t>2026-07-20 13:57:38</t>
  </si>
  <si>
    <t>2514144439</t>
  </si>
  <si>
    <t>2026-07-20 14:28:17</t>
  </si>
  <si>
    <t>2026-07-20 15:22:11</t>
  </si>
  <si>
    <t>Ronald Long completed the Adventure Inn Registration Card mini app: https://sys.akia.ai/mapp/898ed41c-01cc-4ae5-a370-e14179826bc6?session=1d3859bf-195c-4593-90a5-53ca0f25be0b
* ID: Uploaded
* Email: ondemandron@gmail.com
* Vehicle Color/Make/Model: Black Harley Davidson limited 
* ETA: 4:00 PM
* Acknowledgment: ✓</t>
  </si>
  <si>
    <t>HM8BRHECKM</t>
  </si>
  <si>
    <t>2026-07-20 15:36:12</t>
  </si>
  <si>
    <t>Lindsey Riebe completed the Adventure Inn Registration Card mini app: https://sys.akia.ai/mapp/4459a689-9e3b-4161-a4a3-8480b8351339?session=78b0b381-48c6-4f84-89b8-932a3c76b2b9
* ID: Uploaded
* Email: lindsey.riebe@gmail.com
* Vehicle Color/Make/Model: Grey/Subaru/Ascent
* ETA: 4:00 PM
* Acknowledgment: ✓</t>
  </si>
  <si>
    <t>2514225096</t>
  </si>
  <si>
    <t>2026-07-20 16:09:17</t>
  </si>
  <si>
    <t>HMT3F4AQ8S</t>
  </si>
  <si>
    <t>2026-07-20 16:45:10</t>
  </si>
  <si>
    <t>2514283580</t>
  </si>
  <si>
    <t>2026-07-20 17:24:38</t>
  </si>
  <si>
    <t>2514303349</t>
  </si>
  <si>
    <t>2026-07-20 17:50:39</t>
  </si>
  <si>
    <t>2514331154</t>
  </si>
  <si>
    <t>2026-07-20 18:26:56</t>
  </si>
  <si>
    <t>2514338858</t>
  </si>
  <si>
    <t>2026-07-20 18:36:55</t>
  </si>
  <si>
    <t>2514338862</t>
  </si>
  <si>
    <t>2026-07-20 18:36:59</t>
  </si>
  <si>
    <t>2514428618</t>
  </si>
  <si>
    <t>2026-07-20 20:32:56</t>
  </si>
  <si>
    <t>2514443277</t>
  </si>
  <si>
    <t>2026-07-20 20:52:04</t>
  </si>
  <si>
    <t>2026-07-20 21:12:27</t>
  </si>
  <si>
    <t>5948979564</t>
  </si>
  <si>
    <t>2026-07-20 22:53:05</t>
  </si>
  <si>
    <t>2514535997</t>
  </si>
  <si>
    <t>2026-07-20 23:06:06</t>
  </si>
  <si>
    <t>HMEQFMCYP2</t>
  </si>
  <si>
    <t>2026-07-20 23:24:09</t>
  </si>
  <si>
    <t>2514566597</t>
  </si>
  <si>
    <t>2026-07-20 23:54:26</t>
  </si>
  <si>
    <t>2026-07-21 00:19:48</t>
  </si>
  <si>
    <t>Daniel Davis completed the Adventure Inn Registration Card mini app: https://sys.akia.ai/mapp/f21158d7-54c2-488f-b5d2-6b12e862569a?session=899001cc-8f5d-4758-b1cf-c4df815cf1b5
* ID: Uploaded
* Email: d.a.davis123@gmail.com
* Vehicle Color/Make/Model: Black Indian Motorcycle 
* ETA: 4:00 PM
* Acknowledgment: ✓</t>
  </si>
  <si>
    <t>2514598872</t>
  </si>
  <si>
    <t>2026-07-21 00:42:10</t>
  </si>
  <si>
    <t>2514618663</t>
  </si>
  <si>
    <t>2026-07-21 01:10:31</t>
  </si>
  <si>
    <t>2026-12-28</t>
  </si>
  <si>
    <t>2026-12-30</t>
  </si>
  <si>
    <t>HMB3F5ZDE4</t>
  </si>
  <si>
    <t>2026-07-21 01:41:39</t>
  </si>
  <si>
    <t>2514659533</t>
  </si>
  <si>
    <t>2026-07-21 02:08:16</t>
  </si>
  <si>
    <t>5481603296</t>
  </si>
  <si>
    <t>2026-07-21 02:18:20</t>
  </si>
  <si>
    <t>2514690531</t>
  </si>
  <si>
    <t>2026-07-21 02:54:00</t>
  </si>
  <si>
    <t>2514691403</t>
  </si>
  <si>
    <t>2026-07-21 02:55:24</t>
  </si>
  <si>
    <t>2026-07-21 03:01:17</t>
  </si>
  <si>
    <t>2514704576</t>
  </si>
  <si>
    <t>2026-07-21 03:16:58</t>
  </si>
  <si>
    <t>2514721494</t>
  </si>
  <si>
    <t>2026-07-21 03:45:55</t>
  </si>
  <si>
    <t>2514745156</t>
  </si>
  <si>
    <t>2026-07-21 04:31:21</t>
  </si>
  <si>
    <t>2026-10-31</t>
  </si>
  <si>
    <t>2026-11-01</t>
  </si>
  <si>
    <t>HMQXPHY3H9</t>
  </si>
  <si>
    <t>2026-07-21 04:37:33</t>
  </si>
  <si>
    <t>2026-11-03</t>
  </si>
  <si>
    <t>HM2D2RFF9K</t>
  </si>
  <si>
    <t>2026-07-21 05:07:59</t>
  </si>
  <si>
    <t>2026-07-21 07:11:46</t>
  </si>
  <si>
    <t>2026-10-17</t>
  </si>
  <si>
    <t>2514876499</t>
  </si>
  <si>
    <t>2026-07-21 09:47:53</t>
  </si>
  <si>
    <t>5481697522</t>
  </si>
  <si>
    <t>2026-07-21 15:41:23</t>
  </si>
  <si>
    <t>2515117775</t>
  </si>
  <si>
    <t>2026-07-21 16:15:44</t>
  </si>
  <si>
    <t>105 (DQ), 104 (STK), 102 (DQ)</t>
  </si>
  <si>
    <t>2026-07-21 17:27:36</t>
  </si>
  <si>
    <t>2515227149</t>
  </si>
  <si>
    <t>2026-07-21 18:39:05</t>
  </si>
  <si>
    <t>Rostyn Hamilton completed the Adventure Inn Registration Card mini app: https://sys.akia.ai/mapp/aa59846e-2445-45a2-b0cc-b2fae2457f17?session=a4b7db8c-17bf-4baa-89c1-2859d219f5c4
* ID: Uploaded
* Email: rostynhamilton@gmail.com
* Vehicle Color/Make/Model: White, Subaru, outback
* ETA: 4:00 PM
* Acknowledgment: ✓</t>
  </si>
  <si>
    <t>2515266989</t>
  </si>
  <si>
    <t>2026-07-21 19:32:02</t>
  </si>
  <si>
    <t>5112567418</t>
  </si>
  <si>
    <t>2026-07-21 20:06:26</t>
  </si>
  <si>
    <t>Charles Owens completed the Adventure Inn Registration Card mini app: https://sys.akia.ai/mapp/af4e2f2b-5b3b-46df-a3b8-258d063c6928?session=2b9fe38e-ca4c-4b5c-b9da-62a3d77a0346
* ID: Uploaded
* Email: cbarcfarms80@gmail.com
* Vehicle Color/Make/Model: BK Toyota  Camry
* ETA: 5:00 PM
* Acknowledgment: ✓</t>
  </si>
  <si>
    <t>5202075489</t>
  </si>
  <si>
    <t>2026-07-21 20:57:08</t>
  </si>
  <si>
    <t>2026-07-21 20:57:47</t>
  </si>
  <si>
    <t>2026-07-21 21:42:48</t>
  </si>
  <si>
    <t>2515385955</t>
  </si>
  <si>
    <t>2026-07-21 22:12:13</t>
  </si>
  <si>
    <t>Sandra Vanvoorhis completed the Adventure Inn Registration Card mini app: https://sys.akia.ai/mapp/d66c9bac-7440-46c6-b2c1-2dfbea17432e?session=0158987b-c216-43f3-9f64-7bc33bd68182
* ID: Uploaded
* Email: sanvan@grapevinetrading.com
* Vehicle Color/Make/Model: Uber
* ETA: 7:00 PM
* Acknowledgment: ✓</t>
  </si>
  <si>
    <t>6635865033</t>
  </si>
  <si>
    <t>2026-07-21 22:21:12</t>
  </si>
  <si>
    <t>2026-07-21 22:23:06</t>
  </si>
  <si>
    <t>2515441633</t>
  </si>
  <si>
    <t>2026-07-21 23:34:59</t>
  </si>
  <si>
    <t>2515443400</t>
  </si>
  <si>
    <t>2026-07-21 23:37:26</t>
  </si>
  <si>
    <t>5484667937</t>
  </si>
  <si>
    <t>2026-07-22 00:32:03</t>
  </si>
  <si>
    <t>Annette Reed completed the Adventure Inn Registration Card mini app: https://sys.akia.ai/mapp/53db258f-f494-4139-8110-edc316c5a409?session=f49497c3-d031-43a8-8f48-f14f0578785c
* ID: Uploaded
* Email: momtobatm@gmail.com
* Vehicle Color/Make/Model: Ford F150 Avalanche Gray
* ETA: 4:00 PM
* Acknowledgment: ✓</t>
  </si>
  <si>
    <t>2026-07-22 01:01:32</t>
  </si>
  <si>
    <t>6709798551</t>
  </si>
  <si>
    <t>2026-07-22 01:45:30</t>
  </si>
  <si>
    <t>2026-12-26</t>
  </si>
  <si>
    <t>2026-12-29</t>
  </si>
  <si>
    <t>HMEHNH8FDR</t>
  </si>
  <si>
    <t>2026-07-22 02:14:55</t>
  </si>
  <si>
    <t>2515563397</t>
  </si>
  <si>
    <t>2026-07-22 02:22:20</t>
  </si>
  <si>
    <t>2515649462</t>
  </si>
  <si>
    <t>2026-07-22 04:51:34</t>
  </si>
  <si>
    <t>2515934135</t>
  </si>
  <si>
    <t>2026-07-22 14:33:31</t>
  </si>
  <si>
    <t>HMTNXWBMHH</t>
  </si>
  <si>
    <t>2026-07-22 15:12:48</t>
  </si>
  <si>
    <t>2026-07-22 15:23:22</t>
  </si>
  <si>
    <t>HMXXPHHB8K</t>
  </si>
  <si>
    <t>2026-07-22 15:49:33</t>
  </si>
  <si>
    <t>HMRS4J9S5P</t>
  </si>
  <si>
    <t>2026-07-22 16:11:10</t>
  </si>
  <si>
    <t>Sam Guzman completed the Adventure Inn Registration Card mini app: https://sys.akia.ai/mapp/5ac1daa8-9b70-417a-902f-4ea7fa603aae?session=71cf71da-580e-4464-8191-42173ac32e29
* ID: Uploaded
* Email: sjo4400@yahoo.com
* Vehicle Color/Make/Model: GMC sierra 1500 black
* ETA: 4:00 PM
* Acknowledgment: ✓</t>
  </si>
  <si>
    <t>HMA48J8EKB</t>
  </si>
  <si>
    <t>2026-07-22 16:50:31</t>
  </si>
  <si>
    <t>HM8PBM9K8Z</t>
  </si>
  <si>
    <t>2026-07-22 17:24:01</t>
  </si>
  <si>
    <t>2516086561</t>
  </si>
  <si>
    <t>2026-07-22 17:54:11</t>
  </si>
  <si>
    <t>2516094081</t>
  </si>
  <si>
    <t>2026-07-22 18:04:22</t>
  </si>
  <si>
    <t>5138584907</t>
  </si>
  <si>
    <t>2026-07-22 18:34:27</t>
  </si>
  <si>
    <t>2516135002</t>
  </si>
  <si>
    <t>2026-07-22 19:00:16</t>
  </si>
  <si>
    <t>Shannon Allen completed the Adventure Inn Registration Card mini app: https://sys.akia.ai/mapp/a74ced9b-c05d-4eff-baf3-8cca5699370b?session=29c97780-8af6-4ee5-a4af-19d5a54d47c2
* ID: Uploaded
* Email: shanonap@hotmail.com
* Vehicle Color/Make/Model: Blue BMW X5
* ETA: 9:00 PM
* Acknowledgment: ✓</t>
  </si>
  <si>
    <t>2516151586</t>
  </si>
  <si>
    <t>2026-07-22 19:23:00</t>
  </si>
  <si>
    <t>2516177478</t>
  </si>
  <si>
    <t>2026-07-22 19:57:37</t>
  </si>
  <si>
    <t>2026-11-28</t>
  </si>
  <si>
    <t>HMSDFMCSNX</t>
  </si>
  <si>
    <t>2026-07-22 20:00:46</t>
  </si>
  <si>
    <t>2516193516</t>
  </si>
  <si>
    <t>2026-07-22 20:19:35</t>
  </si>
  <si>
    <t>2516228163</t>
  </si>
  <si>
    <t>2026-07-22 21:07:58</t>
  </si>
  <si>
    <t>5731173455</t>
  </si>
  <si>
    <t>2026-07-22 21:10:08</t>
  </si>
  <si>
    <t>2516231112</t>
  </si>
  <si>
    <t>2026-07-22 21:12:14</t>
  </si>
  <si>
    <t>2516240987</t>
  </si>
  <si>
    <t>2026-07-22 21:26:44</t>
  </si>
  <si>
    <t>Kristi Helgeson completed the Adventure Inn Registration Card mini app: https://sys.akia.ai/mapp/86c3494f-2f3a-499e-8a11-730ee6b4cc3e?session=be95f654-8c6a-42d4-9d0b-b4cda4e26cce
* ID: Uploaded
* Email: Kristi.weber@gmail.com
* Vehicle Color/Make/Model: Silver Kia EV 9
* ETA: 4:00 PM
* Acknowledgment: ✓</t>
  </si>
  <si>
    <t>HMSWFHPQWK</t>
  </si>
  <si>
    <t>2026-07-22 21:31:28</t>
  </si>
  <si>
    <t>HMA23KRN4E</t>
  </si>
  <si>
    <t>2026-07-22 21:43:50</t>
  </si>
  <si>
    <t>Kara Nichols completed the Adventure Inn Registration Card mini app: https://sys.akia.ai/mapp/acf3724e-5ce8-46b7-b3d0-17ddfeee4216?session=eb00f1e7-87e3-4859-84a0-e2bdc2785f0d
* ID: Uploaded
* Email: gwendagtaylor@gmail.com
* Vehicle Color/Make/Model: Black Infiniti   0919 ch 
* ETA: 7:33 PM
* Acknowledgment: ✓</t>
  </si>
  <si>
    <t>7742906288</t>
  </si>
  <si>
    <t>2026-07-22 22:19:37</t>
  </si>
  <si>
    <t>Ruth Flacke completed the Adventure Inn Registration Card mini app: https://sys.akia.ai/mapp/ed70c424-6fbc-4f7c-a762-d354f644ee39?session=5f2d6e64-34a5-4500-a72f-f91c5257e085
* ID: Uploaded
* Email: ruthflacke08@gmail.com
* Vehicle Color/Make/Model: No car
* ETA: 4:45 PM
* Acknowledgment: ✓</t>
  </si>
  <si>
    <t>2026-07-22 22:54:00</t>
  </si>
  <si>
    <t>2516304960</t>
  </si>
  <si>
    <t>2026-07-22 23:05:32</t>
  </si>
  <si>
    <t>6240380628</t>
  </si>
  <si>
    <t>2026-07-22 23:23:18</t>
  </si>
  <si>
    <t>6686163831</t>
  </si>
  <si>
    <t>2026-07-23 00:46:13</t>
  </si>
  <si>
    <t>Tracey Stratton completed the Adventure Inn Registration Card mini app: https://sys.akia.ai/mapp/6601462c-3a17-4347-8070-22714d643e27?session=c1224f3f-6a30-4297-9b65-f54cdc9519fb
* ID: Uploaded
* Email: traceygstratton@gmail.com
* Vehicle Color/Make/Model: Thunderbird Blue Ford Thunderbird 
* ETA: 8:02 PM
* Acknowledgment: ✓</t>
  </si>
  <si>
    <t>2516379572</t>
  </si>
  <si>
    <t>2026-07-23 01:00:00</t>
  </si>
  <si>
    <t>2026-07-23 01:14:26</t>
  </si>
  <si>
    <t>Total - sum</t>
  </si>
  <si>
    <t>Filters</t>
  </si>
  <si>
    <t>Booking Date Time - Property All Today AND Booking Date Time - Property All Today AND Check-In Date &gt;= 2024-01-01T00:00:00.000Z AND Check-In Date &lt;= 2026-12-31T00:00:00.000Z AND Reservation Source All  AND Primary Guest Full Name All  AND Reservation Number All  AND Reservation Status In ['Confirmation Pending', 'Confirmed', 'No Show', 'Checked Out', 'In-House'] AND Check-Out Date All Today AND Check-Out Date All Today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</si>
</sst>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20"/>
      <color rgb="FF3366FF"/>
      <name val="Calibri"/>
      <family val="2"/>
    </font>
    <font>
      <b/>
      <sz val="14"/>
      <color rgb="FF001238"/>
      <name val="Calibri"/>
      <family val="2"/>
    </font>
    <font>
      <b/>
      <sz val="12"/>
      <color rgb="FF001238"/>
      <name val="Calibri"/>
      <family val="2"/>
    </font>
  </fonts>
  <fills count="4">
    <fill>
      <patternFill patternType="none"/>
    </fill>
    <fill>
      <patternFill patternType="gray125"/>
    </fill>
    <fill>
      <patternFill patternType="solid">
        <fgColor rgb="FFF1F3F4"/>
      </patternFill>
    </fill>
    <fill>
      <patternFill patternType="solid">
        <fgColor rgb="FF99B3FF"/>
      </patternFill>
    </fill>
  </fills>
  <borders count="3">
    <border>
      <left/>
      <right/>
      <top/>
      <bottom/>
      <diagonal/>
    </border>
    <border>
      <left style="thin">
        <color auto="1"/>
      </left>
      <right style="thin">
        <color auto="1"/>
      </right>
      <top style="thin">
        <color auto="1"/>
      </top>
      <bottom style="thin">
        <color auto="1"/>
      </bottom>
      <diagonal/>
    </border>
    <border>
      <left/>
      <right/>
      <top/>
      <bottom/>
      <diagonal/>
    </border>
  </borders>
  <cellStyleXfs count="1">
    <xf numFmtId="0" fontId="0" fillId="0" borderId="0"/>
  </cellStyleXfs>
  <cellXfs count="7">
    <xf numFmtId="0" fontId="0" fillId="0" borderId="0" xfId="0"/>
    <xf numFmtId="0" fontId="2" fillId="0" borderId="0" xfId="0" applyFont="1"/>
    <xf numFmtId="0" fontId="3" fillId="0" borderId="0" xfId="0" applyFont="1"/>
    <xf numFmtId="0" fontId="1" fillId="0" borderId="2" xfId="0" applyFont="1" applyBorder="1" applyAlignment="1">
      <alignment horizontal="center" vertical="top"/>
    </xf>
    <xf numFmtId="0" fontId="4" fillId="2" borderId="1" xfId="0" applyFont="1" applyFill="1" applyBorder="1" applyAlignment="1">
      <alignment horizontal="center" vertical="top" wrapText="1"/>
    </xf>
    <xf numFmtId="0" fontId="4" fillId="3" borderId="1" xfId="0" applyFont="1" applyFill="1" applyBorder="1"/>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P9726"/>
  <sheetViews>
    <sheetView tabSelected="1" zoomScale="85" workbookViewId="0">
      <pane ySplit="6" topLeftCell="A7" activePane="bottomLeft" state="frozen"/>
      <selection pane="bottomLeft" activeCell="D1" sqref="D1:D1048576"/>
    </sheetView>
  </sheetViews>
  <sheetFormatPr baseColWidth="10" defaultColWidth="8.83203125" defaultRowHeight="15" x14ac:dyDescent="0.2"/>
  <cols>
    <col min="1" max="42" width="13" bestFit="1" customWidth="1"/>
  </cols>
  <sheetData>
    <row r="2" spans="1:42" ht="26" x14ac:dyDescent="0.3">
      <c r="A2" s="1" t="s">
        <v>0</v>
      </c>
    </row>
    <row r="3" spans="1:42" ht="19" x14ac:dyDescent="0.25">
      <c r="A3" s="2" t="s">
        <v>1</v>
      </c>
    </row>
    <row r="4" spans="1:42" x14ac:dyDescent="0.2">
      <c r="A4" t="s">
        <v>2</v>
      </c>
    </row>
    <row r="6" spans="1:42" ht="51" x14ac:dyDescent="0.2">
      <c r="A6" s="3"/>
      <c r="B6" s="4" t="s">
        <v>3</v>
      </c>
      <c r="C6" s="4" t="s">
        <v>4</v>
      </c>
      <c r="D6" s="4" t="s">
        <v>5</v>
      </c>
      <c r="E6" s="4" t="s">
        <v>6</v>
      </c>
      <c r="F6" s="4" t="s">
        <v>7</v>
      </c>
      <c r="G6" s="4" t="s">
        <v>8</v>
      </c>
      <c r="H6" s="4" t="s">
        <v>9</v>
      </c>
      <c r="I6" s="4" t="s">
        <v>10</v>
      </c>
      <c r="J6" s="4" t="s">
        <v>11</v>
      </c>
      <c r="K6" s="4" t="s">
        <v>12</v>
      </c>
      <c r="L6" s="4" t="s">
        <v>13</v>
      </c>
      <c r="M6" s="4" t="s">
        <v>14</v>
      </c>
      <c r="N6" s="4" t="s">
        <v>15</v>
      </c>
      <c r="O6" s="4" t="s">
        <v>16</v>
      </c>
      <c r="P6" s="4" t="s">
        <v>17</v>
      </c>
      <c r="Q6" s="4" t="s">
        <v>18</v>
      </c>
      <c r="R6" s="4" t="s">
        <v>19</v>
      </c>
      <c r="S6" s="4" t="s">
        <v>20</v>
      </c>
      <c r="T6" s="4" t="s">
        <v>21</v>
      </c>
      <c r="U6" s="4" t="s">
        <v>22</v>
      </c>
      <c r="V6" s="4" t="s">
        <v>23</v>
      </c>
      <c r="W6" s="4" t="s">
        <v>24</v>
      </c>
      <c r="X6" s="4" t="s">
        <v>25</v>
      </c>
      <c r="Y6" s="4" t="s">
        <v>26</v>
      </c>
      <c r="Z6" s="4" t="s">
        <v>27</v>
      </c>
      <c r="AA6" s="4" t="s">
        <v>28</v>
      </c>
      <c r="AB6" s="4" t="s">
        <v>29</v>
      </c>
      <c r="AC6" s="4" t="s">
        <v>30</v>
      </c>
      <c r="AD6" s="4" t="s">
        <v>31</v>
      </c>
      <c r="AE6" s="4" t="s">
        <v>32</v>
      </c>
      <c r="AF6" s="4" t="s">
        <v>33</v>
      </c>
      <c r="AG6" s="4" t="s">
        <v>34</v>
      </c>
      <c r="AH6" s="4" t="s">
        <v>35</v>
      </c>
      <c r="AI6" s="4" t="s">
        <v>36</v>
      </c>
      <c r="AJ6" s="4" t="s">
        <v>37</v>
      </c>
      <c r="AK6" s="4" t="s">
        <v>38</v>
      </c>
      <c r="AL6" s="4" t="s">
        <v>39</v>
      </c>
      <c r="AM6" s="4" t="s">
        <v>40</v>
      </c>
      <c r="AN6" s="4" t="s">
        <v>41</v>
      </c>
      <c r="AO6" s="4" t="s">
        <v>42</v>
      </c>
      <c r="AP6" s="4" t="s">
        <v>43</v>
      </c>
    </row>
    <row r="7" spans="1:42" x14ac:dyDescent="0.2">
      <c r="B7" t="s">
        <v>44</v>
      </c>
      <c r="C7" t="str">
        <f>HYPERLINK("https://us2.cloudbeds.com/connect/8493803454333002#/reservations/598330871965?display=E19ZEH1C&amp;reservation_id=598330871965", "E19ZEH1C")</f>
        <v>E19ZEH1C</v>
      </c>
      <c r="D7" t="s">
        <v>45</v>
      </c>
      <c r="E7" t="s">
        <v>46</v>
      </c>
      <c r="F7" t="s">
        <v>47</v>
      </c>
      <c r="G7" t="s">
        <v>48</v>
      </c>
      <c r="H7" t="s">
        <v>49</v>
      </c>
      <c r="I7" t="s">
        <v>50</v>
      </c>
      <c r="J7" t="s">
        <v>51</v>
      </c>
      <c r="K7" t="s">
        <v>52</v>
      </c>
      <c r="L7" t="s">
        <v>53</v>
      </c>
      <c r="N7" t="s">
        <v>54</v>
      </c>
      <c r="P7" t="s">
        <v>55</v>
      </c>
      <c r="R7" t="s">
        <v>56</v>
      </c>
      <c r="T7" t="s">
        <v>57</v>
      </c>
      <c r="U7" t="s">
        <v>58</v>
      </c>
      <c r="V7">
        <v>1</v>
      </c>
      <c r="W7">
        <v>1</v>
      </c>
      <c r="X7">
        <v>1</v>
      </c>
      <c r="Y7">
        <v>0</v>
      </c>
      <c r="Z7">
        <v>1</v>
      </c>
      <c r="AA7">
        <v>0</v>
      </c>
      <c r="AB7">
        <v>81.83</v>
      </c>
      <c r="AC7">
        <v>72</v>
      </c>
      <c r="AD7">
        <v>0</v>
      </c>
      <c r="AE7">
        <v>9.83</v>
      </c>
      <c r="AF7">
        <v>0</v>
      </c>
      <c r="AG7">
        <v>0</v>
      </c>
      <c r="AH7">
        <v>0</v>
      </c>
      <c r="AI7">
        <v>14.73</v>
      </c>
      <c r="AJ7">
        <v>81.83</v>
      </c>
      <c r="AK7">
        <v>0</v>
      </c>
      <c r="AL7" t="s">
        <v>53</v>
      </c>
      <c r="AM7" t="s">
        <v>53</v>
      </c>
      <c r="AN7" t="s">
        <v>59</v>
      </c>
      <c r="AO7" t="s">
        <v>53</v>
      </c>
      <c r="AP7" t="s">
        <v>53</v>
      </c>
    </row>
    <row r="8" spans="1:42" x14ac:dyDescent="0.2">
      <c r="B8" t="s">
        <v>44</v>
      </c>
      <c r="C8" t="str">
        <f>HYPERLINK("https://us2.cloudbeds.com/connect/8493803454333002#/reservations/598276698273?display=E18BP1PB&amp;reservation_id=598276698273", "E18BP1PB")</f>
        <v>E18BP1PB</v>
      </c>
      <c r="D8" t="s">
        <v>45</v>
      </c>
      <c r="E8" t="s">
        <v>60</v>
      </c>
      <c r="F8" t="s">
        <v>61</v>
      </c>
      <c r="G8" t="s">
        <v>48</v>
      </c>
      <c r="H8" t="s">
        <v>49</v>
      </c>
      <c r="I8" t="s">
        <v>62</v>
      </c>
      <c r="J8" t="s">
        <v>63</v>
      </c>
      <c r="K8" t="s">
        <v>64</v>
      </c>
      <c r="L8" t="s">
        <v>53</v>
      </c>
      <c r="N8" t="s">
        <v>65</v>
      </c>
      <c r="P8" t="s">
        <v>55</v>
      </c>
      <c r="R8" t="s">
        <v>66</v>
      </c>
      <c r="T8" t="s">
        <v>67</v>
      </c>
      <c r="U8" t="s">
        <v>58</v>
      </c>
      <c r="V8">
        <v>2</v>
      </c>
      <c r="W8">
        <v>2</v>
      </c>
      <c r="X8">
        <v>2</v>
      </c>
      <c r="Y8">
        <v>0</v>
      </c>
      <c r="Z8">
        <v>2</v>
      </c>
      <c r="AA8">
        <v>0</v>
      </c>
      <c r="AB8">
        <v>227.3</v>
      </c>
      <c r="AC8">
        <v>200</v>
      </c>
      <c r="AD8">
        <v>0</v>
      </c>
      <c r="AE8">
        <v>27.3</v>
      </c>
      <c r="AF8">
        <v>0</v>
      </c>
      <c r="AG8">
        <v>0</v>
      </c>
      <c r="AH8">
        <v>0</v>
      </c>
      <c r="AI8">
        <v>34.1</v>
      </c>
      <c r="AJ8">
        <v>227.3</v>
      </c>
      <c r="AK8">
        <v>0</v>
      </c>
      <c r="AL8" t="s">
        <v>53</v>
      </c>
      <c r="AM8" t="s">
        <v>53</v>
      </c>
      <c r="AN8" t="s">
        <v>68</v>
      </c>
      <c r="AO8" t="s">
        <v>53</v>
      </c>
      <c r="AP8" t="s">
        <v>53</v>
      </c>
    </row>
    <row r="9" spans="1:42" x14ac:dyDescent="0.2">
      <c r="B9" t="s">
        <v>44</v>
      </c>
      <c r="C9" t="str">
        <f>HYPERLINK("https://us2.cloudbeds.com/connect/8493803454333002#/reservations/598193741972?display=E167QM61&amp;reservation_id=598193741972", "E167QM61")</f>
        <v>E167QM61</v>
      </c>
      <c r="D9" t="s">
        <v>45</v>
      </c>
      <c r="E9" t="s">
        <v>69</v>
      </c>
      <c r="F9" t="s">
        <v>70</v>
      </c>
      <c r="G9" t="s">
        <v>48</v>
      </c>
      <c r="H9" t="s">
        <v>71</v>
      </c>
      <c r="I9" t="s">
        <v>72</v>
      </c>
      <c r="J9" t="s">
        <v>73</v>
      </c>
      <c r="K9" t="s">
        <v>74</v>
      </c>
      <c r="L9" t="s">
        <v>53</v>
      </c>
      <c r="N9" t="s">
        <v>75</v>
      </c>
      <c r="P9" t="s">
        <v>55</v>
      </c>
      <c r="R9" t="s">
        <v>56</v>
      </c>
      <c r="T9" t="s">
        <v>76</v>
      </c>
      <c r="U9" t="s">
        <v>58</v>
      </c>
      <c r="V9">
        <v>1</v>
      </c>
      <c r="W9">
        <v>1</v>
      </c>
      <c r="X9">
        <v>1</v>
      </c>
      <c r="Y9">
        <v>0</v>
      </c>
      <c r="Z9">
        <v>1</v>
      </c>
      <c r="AA9">
        <v>0</v>
      </c>
      <c r="AB9">
        <v>71.599999999999994</v>
      </c>
      <c r="AC9">
        <v>63</v>
      </c>
      <c r="AD9">
        <v>0</v>
      </c>
      <c r="AE9">
        <v>8.61</v>
      </c>
      <c r="AF9">
        <v>0</v>
      </c>
      <c r="AG9">
        <v>0</v>
      </c>
      <c r="AH9">
        <v>0</v>
      </c>
      <c r="AI9">
        <v>0</v>
      </c>
      <c r="AJ9">
        <v>71.61</v>
      </c>
      <c r="AK9">
        <v>0.01</v>
      </c>
      <c r="AL9" t="s">
        <v>53</v>
      </c>
      <c r="AM9" t="s">
        <v>53</v>
      </c>
      <c r="AN9" t="s">
        <v>77</v>
      </c>
      <c r="AO9" t="s">
        <v>53</v>
      </c>
      <c r="AP9" t="s">
        <v>53</v>
      </c>
    </row>
    <row r="10" spans="1:42" x14ac:dyDescent="0.2">
      <c r="B10" t="s">
        <v>44</v>
      </c>
      <c r="C10" t="str">
        <f>HYPERLINK("https://us2.cloudbeds.com/connect/8493803454333002#/reservations/597915664542?display=E0W4AP08&amp;reservation_id=597915664542", "E0W4AP08")</f>
        <v>E0W4AP08</v>
      </c>
      <c r="D10" t="s">
        <v>45</v>
      </c>
      <c r="E10" t="s">
        <v>78</v>
      </c>
      <c r="F10" t="s">
        <v>61</v>
      </c>
      <c r="G10" t="s">
        <v>48</v>
      </c>
      <c r="H10" t="s">
        <v>49</v>
      </c>
      <c r="I10" t="s">
        <v>79</v>
      </c>
      <c r="J10" t="s">
        <v>80</v>
      </c>
      <c r="K10" t="s">
        <v>81</v>
      </c>
      <c r="L10" t="s">
        <v>53</v>
      </c>
      <c r="N10" t="s">
        <v>82</v>
      </c>
      <c r="P10" t="s">
        <v>55</v>
      </c>
      <c r="R10" t="s">
        <v>56</v>
      </c>
      <c r="T10" t="s">
        <v>83</v>
      </c>
      <c r="U10" t="s">
        <v>58</v>
      </c>
      <c r="V10">
        <v>2</v>
      </c>
      <c r="W10">
        <v>1</v>
      </c>
      <c r="X10">
        <v>1</v>
      </c>
      <c r="Y10">
        <v>0</v>
      </c>
      <c r="Z10">
        <v>1</v>
      </c>
      <c r="AA10">
        <v>0</v>
      </c>
      <c r="AB10">
        <v>190.25</v>
      </c>
      <c r="AC10">
        <v>167.4</v>
      </c>
      <c r="AD10">
        <v>0</v>
      </c>
      <c r="AE10">
        <v>22.84</v>
      </c>
      <c r="AF10">
        <v>0</v>
      </c>
      <c r="AG10">
        <v>0</v>
      </c>
      <c r="AH10">
        <v>0</v>
      </c>
      <c r="AI10">
        <v>0</v>
      </c>
      <c r="AJ10">
        <v>190.24</v>
      </c>
      <c r="AK10">
        <v>-0.01</v>
      </c>
      <c r="AL10" t="s">
        <v>53</v>
      </c>
      <c r="AM10" t="s">
        <v>53</v>
      </c>
      <c r="AN10" t="s">
        <v>84</v>
      </c>
      <c r="AO10" t="s">
        <v>53</v>
      </c>
      <c r="AP10" t="s">
        <v>53</v>
      </c>
    </row>
    <row r="11" spans="1:42" x14ac:dyDescent="0.2">
      <c r="B11" t="s">
        <v>44</v>
      </c>
      <c r="C11" t="str">
        <f>HYPERLINK("https://us2.cloudbeds.com/connect/8493803454333002#/reservations/598410510585?display=E1BPJJ2T&amp;reservation_id=598410510585", "E1BPJJ2T")</f>
        <v>E1BPJJ2T</v>
      </c>
      <c r="D11" t="s">
        <v>45</v>
      </c>
      <c r="E11" t="s">
        <v>85</v>
      </c>
      <c r="F11" t="s">
        <v>86</v>
      </c>
      <c r="G11" t="s">
        <v>48</v>
      </c>
      <c r="H11" t="s">
        <v>49</v>
      </c>
      <c r="I11" t="s">
        <v>50</v>
      </c>
      <c r="J11" t="s">
        <v>87</v>
      </c>
      <c r="K11" t="s">
        <v>88</v>
      </c>
      <c r="L11" t="s">
        <v>53</v>
      </c>
      <c r="N11" t="s">
        <v>89</v>
      </c>
      <c r="P11" t="s">
        <v>55</v>
      </c>
      <c r="R11" t="s">
        <v>56</v>
      </c>
      <c r="T11" t="s">
        <v>90</v>
      </c>
      <c r="U11" t="s">
        <v>58</v>
      </c>
      <c r="V11">
        <v>1</v>
      </c>
      <c r="W11">
        <v>1</v>
      </c>
      <c r="X11">
        <v>1</v>
      </c>
      <c r="Y11">
        <v>0</v>
      </c>
      <c r="Z11">
        <v>1</v>
      </c>
      <c r="AA11">
        <v>0</v>
      </c>
      <c r="AB11">
        <v>153.43</v>
      </c>
      <c r="AC11">
        <v>135</v>
      </c>
      <c r="AD11">
        <v>0</v>
      </c>
      <c r="AE11">
        <v>18.440000000000001</v>
      </c>
      <c r="AF11">
        <v>0</v>
      </c>
      <c r="AG11">
        <v>0</v>
      </c>
      <c r="AH11">
        <v>0</v>
      </c>
      <c r="AI11">
        <v>27.62</v>
      </c>
      <c r="AJ11">
        <v>153.44</v>
      </c>
      <c r="AK11">
        <v>0.01</v>
      </c>
      <c r="AL11" t="s">
        <v>53</v>
      </c>
      <c r="AM11" t="s">
        <v>53</v>
      </c>
      <c r="AN11" t="s">
        <v>91</v>
      </c>
      <c r="AO11" t="s">
        <v>53</v>
      </c>
      <c r="AP11" t="s">
        <v>53</v>
      </c>
    </row>
    <row r="12" spans="1:42" x14ac:dyDescent="0.2">
      <c r="B12" t="s">
        <v>44</v>
      </c>
      <c r="C12" t="str">
        <f>HYPERLINK("https://us2.cloudbeds.com/connect/8493803454333002#/reservations/598548967618?display=E1FABBHX&amp;reservation_id=598548967618", "E1FABBHX")</f>
        <v>E1FABBHX</v>
      </c>
      <c r="D12" t="s">
        <v>45</v>
      </c>
      <c r="E12" t="s">
        <v>92</v>
      </c>
      <c r="F12" t="s">
        <v>86</v>
      </c>
      <c r="G12" t="s">
        <v>48</v>
      </c>
      <c r="H12" t="s">
        <v>49</v>
      </c>
      <c r="I12" t="s">
        <v>79</v>
      </c>
      <c r="J12" t="s">
        <v>93</v>
      </c>
      <c r="K12" t="s">
        <v>94</v>
      </c>
      <c r="L12" t="s">
        <v>53</v>
      </c>
      <c r="N12" t="s">
        <v>95</v>
      </c>
      <c r="P12" t="s">
        <v>55</v>
      </c>
      <c r="R12" t="s">
        <v>56</v>
      </c>
      <c r="T12" t="s">
        <v>96</v>
      </c>
      <c r="U12" t="s">
        <v>58</v>
      </c>
      <c r="V12">
        <v>2</v>
      </c>
      <c r="W12">
        <v>1</v>
      </c>
      <c r="X12">
        <v>1</v>
      </c>
      <c r="Y12">
        <v>0</v>
      </c>
      <c r="Z12">
        <v>1</v>
      </c>
      <c r="AA12">
        <v>0</v>
      </c>
      <c r="AB12">
        <v>378.45</v>
      </c>
      <c r="AC12">
        <v>333</v>
      </c>
      <c r="AD12">
        <v>0</v>
      </c>
      <c r="AE12">
        <v>45.46</v>
      </c>
      <c r="AF12">
        <v>0</v>
      </c>
      <c r="AG12">
        <v>0</v>
      </c>
      <c r="AH12">
        <v>0</v>
      </c>
      <c r="AI12">
        <v>0</v>
      </c>
      <c r="AJ12">
        <v>378.46</v>
      </c>
      <c r="AK12">
        <v>0.01</v>
      </c>
      <c r="AL12" t="s">
        <v>53</v>
      </c>
      <c r="AM12" t="s">
        <v>53</v>
      </c>
      <c r="AN12" t="s">
        <v>97</v>
      </c>
      <c r="AO12" t="s">
        <v>53</v>
      </c>
      <c r="AP12" t="s">
        <v>53</v>
      </c>
    </row>
    <row r="13" spans="1:42" x14ac:dyDescent="0.2">
      <c r="B13" t="s">
        <v>44</v>
      </c>
      <c r="C13" t="str">
        <f>HYPERLINK("https://us2.cloudbeds.com/connect/8493803454333002#/reservations/598570578106?display=E1FSXMSQ&amp;reservation_id=598570578106", "E1FSXMSQ")</f>
        <v>E1FSXMSQ</v>
      </c>
      <c r="D13" t="s">
        <v>45</v>
      </c>
      <c r="E13" t="s">
        <v>98</v>
      </c>
      <c r="F13" t="s">
        <v>86</v>
      </c>
      <c r="G13" t="s">
        <v>48</v>
      </c>
      <c r="H13" t="s">
        <v>49</v>
      </c>
      <c r="I13" t="s">
        <v>62</v>
      </c>
      <c r="J13" t="s">
        <v>99</v>
      </c>
      <c r="K13" t="s">
        <v>100</v>
      </c>
      <c r="L13" t="s">
        <v>53</v>
      </c>
      <c r="N13" t="s">
        <v>101</v>
      </c>
      <c r="P13" t="s">
        <v>55</v>
      </c>
      <c r="R13" t="s">
        <v>102</v>
      </c>
      <c r="T13" t="s">
        <v>103</v>
      </c>
      <c r="U13" t="s">
        <v>58</v>
      </c>
      <c r="V13">
        <v>2</v>
      </c>
      <c r="W13">
        <v>1</v>
      </c>
      <c r="X13">
        <v>1</v>
      </c>
      <c r="Y13">
        <v>0</v>
      </c>
      <c r="Z13">
        <v>1</v>
      </c>
      <c r="AA13">
        <v>0</v>
      </c>
      <c r="AB13">
        <v>372.77</v>
      </c>
      <c r="AC13">
        <v>328</v>
      </c>
      <c r="AD13">
        <v>0</v>
      </c>
      <c r="AE13">
        <v>44.78</v>
      </c>
      <c r="AF13">
        <v>0</v>
      </c>
      <c r="AG13">
        <v>0</v>
      </c>
      <c r="AH13">
        <v>0</v>
      </c>
      <c r="AI13">
        <v>55.92</v>
      </c>
      <c r="AJ13">
        <v>372.78</v>
      </c>
      <c r="AK13">
        <v>0.01</v>
      </c>
      <c r="AL13" t="s">
        <v>53</v>
      </c>
      <c r="AM13" t="s">
        <v>53</v>
      </c>
      <c r="AN13" t="s">
        <v>104</v>
      </c>
      <c r="AO13" t="s">
        <v>53</v>
      </c>
      <c r="AP13" t="s">
        <v>53</v>
      </c>
    </row>
    <row r="14" spans="1:42" x14ac:dyDescent="0.2">
      <c r="B14" t="s">
        <v>44</v>
      </c>
      <c r="C14" t="str">
        <f>HYPERLINK("https://us2.cloudbeds.com/connect/8493803454333002#/reservations/598308384983?display=E195FPRM&amp;reservation_id=598308384983", "E195FPRM")</f>
        <v>E195FPRM</v>
      </c>
      <c r="D14" t="s">
        <v>45</v>
      </c>
      <c r="E14" t="s">
        <v>105</v>
      </c>
      <c r="F14" t="s">
        <v>47</v>
      </c>
      <c r="G14" t="s">
        <v>48</v>
      </c>
      <c r="H14" t="s">
        <v>49</v>
      </c>
      <c r="I14" t="s">
        <v>50</v>
      </c>
      <c r="J14" t="s">
        <v>106</v>
      </c>
      <c r="K14" t="s">
        <v>107</v>
      </c>
      <c r="L14" t="s">
        <v>53</v>
      </c>
      <c r="N14" t="s">
        <v>108</v>
      </c>
      <c r="P14" t="s">
        <v>55</v>
      </c>
      <c r="R14" t="s">
        <v>56</v>
      </c>
      <c r="T14" t="s">
        <v>109</v>
      </c>
      <c r="U14" t="s">
        <v>58</v>
      </c>
      <c r="V14">
        <v>2</v>
      </c>
      <c r="W14">
        <v>1</v>
      </c>
      <c r="X14">
        <v>1</v>
      </c>
      <c r="Y14">
        <v>0</v>
      </c>
      <c r="Z14">
        <v>1</v>
      </c>
      <c r="AA14">
        <v>0</v>
      </c>
      <c r="AB14">
        <v>280.26</v>
      </c>
      <c r="AC14">
        <v>246.6</v>
      </c>
      <c r="AD14">
        <v>0</v>
      </c>
      <c r="AE14">
        <v>33.68</v>
      </c>
      <c r="AF14">
        <v>0</v>
      </c>
      <c r="AG14">
        <v>0</v>
      </c>
      <c r="AH14">
        <v>0</v>
      </c>
      <c r="AI14">
        <v>50.45</v>
      </c>
      <c r="AJ14">
        <v>280.27999999999997</v>
      </c>
      <c r="AK14">
        <v>0.02</v>
      </c>
      <c r="AL14" t="s">
        <v>53</v>
      </c>
      <c r="AM14" t="s">
        <v>53</v>
      </c>
      <c r="AN14" t="s">
        <v>97</v>
      </c>
      <c r="AO14" t="s">
        <v>53</v>
      </c>
      <c r="AP14" t="s">
        <v>53</v>
      </c>
    </row>
    <row r="15" spans="1:42" x14ac:dyDescent="0.2">
      <c r="B15" t="s">
        <v>44</v>
      </c>
      <c r="C15" t="str">
        <f>HYPERLINK("https://us2.cloudbeds.com/connect/8493803454333002#/reservations/598557175959?display=E1FH8P13&amp;reservation_id=598557175959", "E1FH8P13")</f>
        <v>E1FH8P13</v>
      </c>
      <c r="D15" t="s">
        <v>45</v>
      </c>
      <c r="E15" t="s">
        <v>110</v>
      </c>
      <c r="F15" t="s">
        <v>47</v>
      </c>
      <c r="G15" t="s">
        <v>48</v>
      </c>
      <c r="H15" t="s">
        <v>49</v>
      </c>
      <c r="I15" t="s">
        <v>50</v>
      </c>
      <c r="J15" t="s">
        <v>106</v>
      </c>
      <c r="K15" t="s">
        <v>107</v>
      </c>
      <c r="L15" t="s">
        <v>53</v>
      </c>
      <c r="N15" t="s">
        <v>111</v>
      </c>
      <c r="P15" t="s">
        <v>55</v>
      </c>
      <c r="R15" t="s">
        <v>56</v>
      </c>
      <c r="T15" t="s">
        <v>109</v>
      </c>
      <c r="U15" t="s">
        <v>58</v>
      </c>
      <c r="V15">
        <v>2</v>
      </c>
      <c r="W15">
        <v>1</v>
      </c>
      <c r="X15">
        <v>1</v>
      </c>
      <c r="Y15">
        <v>0</v>
      </c>
      <c r="Z15">
        <v>1</v>
      </c>
      <c r="AA15">
        <v>0</v>
      </c>
      <c r="AB15">
        <v>280.26</v>
      </c>
      <c r="AC15">
        <v>246.6</v>
      </c>
      <c r="AD15">
        <v>0</v>
      </c>
      <c r="AE15">
        <v>33.68</v>
      </c>
      <c r="AF15">
        <v>0</v>
      </c>
      <c r="AG15">
        <v>0</v>
      </c>
      <c r="AH15">
        <v>0</v>
      </c>
      <c r="AI15">
        <v>50.45</v>
      </c>
      <c r="AJ15">
        <v>280.27999999999997</v>
      </c>
      <c r="AK15">
        <v>0.02</v>
      </c>
      <c r="AL15" t="s">
        <v>53</v>
      </c>
      <c r="AM15" t="s">
        <v>53</v>
      </c>
      <c r="AN15" t="s">
        <v>112</v>
      </c>
      <c r="AO15" t="s">
        <v>53</v>
      </c>
      <c r="AP15" t="s">
        <v>53</v>
      </c>
    </row>
    <row r="16" spans="1:42" x14ac:dyDescent="0.2">
      <c r="B16" t="s">
        <v>44</v>
      </c>
      <c r="C16" t="str">
        <f>HYPERLINK("https://us2.cloudbeds.com/connect/8493803454333002#/reservations/598530937039?display=E1ES4KHC&amp;reservation_id=598530937039", "E1ES4KHC")</f>
        <v>E1ES4KHC</v>
      </c>
      <c r="D16" t="s">
        <v>45</v>
      </c>
      <c r="E16" t="s">
        <v>113</v>
      </c>
      <c r="F16" t="s">
        <v>61</v>
      </c>
      <c r="G16" t="s">
        <v>48</v>
      </c>
      <c r="H16" t="s">
        <v>49</v>
      </c>
      <c r="I16" t="s">
        <v>114</v>
      </c>
      <c r="J16" t="s">
        <v>115</v>
      </c>
      <c r="K16" t="s">
        <v>116</v>
      </c>
      <c r="L16" t="s">
        <v>53</v>
      </c>
      <c r="N16" t="s">
        <v>117</v>
      </c>
      <c r="P16" t="s">
        <v>58</v>
      </c>
      <c r="R16" t="s">
        <v>118</v>
      </c>
      <c r="T16" t="s">
        <v>119</v>
      </c>
      <c r="U16" t="s">
        <v>58</v>
      </c>
      <c r="V16">
        <v>1</v>
      </c>
      <c r="W16">
        <v>1</v>
      </c>
      <c r="X16">
        <v>1</v>
      </c>
      <c r="Y16">
        <v>0</v>
      </c>
      <c r="Z16">
        <v>1</v>
      </c>
      <c r="AA16">
        <v>0</v>
      </c>
      <c r="AB16">
        <v>100.01</v>
      </c>
      <c r="AC16">
        <v>88</v>
      </c>
      <c r="AD16">
        <v>0</v>
      </c>
      <c r="AE16">
        <v>12.01</v>
      </c>
      <c r="AF16">
        <v>0</v>
      </c>
      <c r="AG16">
        <v>0</v>
      </c>
      <c r="AH16">
        <v>0</v>
      </c>
      <c r="AI16">
        <v>0</v>
      </c>
      <c r="AJ16">
        <v>100.01</v>
      </c>
      <c r="AK16">
        <v>0</v>
      </c>
      <c r="AL16" t="s">
        <v>53</v>
      </c>
      <c r="AM16" t="s">
        <v>53</v>
      </c>
      <c r="AN16" t="s">
        <v>120</v>
      </c>
      <c r="AO16" t="s">
        <v>53</v>
      </c>
      <c r="AP16" t="s">
        <v>53</v>
      </c>
    </row>
    <row r="17" spans="2:42" x14ac:dyDescent="0.2">
      <c r="B17" t="s">
        <v>44</v>
      </c>
      <c r="C17" t="str">
        <f>HYPERLINK("https://us2.cloudbeds.com/connect/8493803454333002#/reservations/598577803415?display=E1G1YZMJ&amp;reservation_id=598577803415", "E1G1YZMJ")</f>
        <v>E1G1YZMJ</v>
      </c>
      <c r="D17" t="s">
        <v>45</v>
      </c>
      <c r="E17" t="s">
        <v>121</v>
      </c>
      <c r="F17" t="s">
        <v>86</v>
      </c>
      <c r="G17" t="s">
        <v>48</v>
      </c>
      <c r="H17" t="s">
        <v>49</v>
      </c>
      <c r="I17" t="s">
        <v>79</v>
      </c>
      <c r="J17" t="s">
        <v>122</v>
      </c>
      <c r="K17" t="s">
        <v>123</v>
      </c>
      <c r="L17" t="s">
        <v>53</v>
      </c>
      <c r="N17" t="s">
        <v>124</v>
      </c>
      <c r="P17" t="s">
        <v>55</v>
      </c>
      <c r="R17" t="s">
        <v>125</v>
      </c>
      <c r="T17" t="s">
        <v>126</v>
      </c>
      <c r="U17" t="s">
        <v>58</v>
      </c>
      <c r="V17">
        <v>1</v>
      </c>
      <c r="W17">
        <v>1</v>
      </c>
      <c r="X17">
        <v>1</v>
      </c>
      <c r="Y17">
        <v>0</v>
      </c>
      <c r="Z17">
        <v>1</v>
      </c>
      <c r="AA17">
        <v>0</v>
      </c>
      <c r="AB17">
        <v>159.56</v>
      </c>
      <c r="AC17">
        <v>140.4</v>
      </c>
      <c r="AD17">
        <v>0</v>
      </c>
      <c r="AE17">
        <v>19.16</v>
      </c>
      <c r="AF17">
        <v>0</v>
      </c>
      <c r="AG17">
        <v>0</v>
      </c>
      <c r="AH17">
        <v>0</v>
      </c>
      <c r="AI17">
        <v>0</v>
      </c>
      <c r="AJ17">
        <v>159.56</v>
      </c>
      <c r="AK17">
        <v>0</v>
      </c>
      <c r="AL17" t="s">
        <v>53</v>
      </c>
      <c r="AM17" t="s">
        <v>53</v>
      </c>
      <c r="AN17" t="s">
        <v>127</v>
      </c>
      <c r="AO17" t="s">
        <v>53</v>
      </c>
      <c r="AP17" t="s">
        <v>53</v>
      </c>
    </row>
    <row r="18" spans="2:42" x14ac:dyDescent="0.2">
      <c r="B18" t="s">
        <v>44</v>
      </c>
      <c r="C18" t="str">
        <f>HYPERLINK("https://us2.cloudbeds.com/connect/8493803454333002#/reservations/598464889065?display=E1D5EZDK&amp;reservation_id=598464889065", "E1D5EZDK")</f>
        <v>E1D5EZDK</v>
      </c>
      <c r="D18" t="s">
        <v>45</v>
      </c>
      <c r="E18" t="s">
        <v>128</v>
      </c>
      <c r="F18" t="s">
        <v>86</v>
      </c>
      <c r="G18" t="s">
        <v>48</v>
      </c>
      <c r="H18" t="s">
        <v>49</v>
      </c>
      <c r="I18" t="s">
        <v>62</v>
      </c>
      <c r="J18" t="s">
        <v>129</v>
      </c>
      <c r="K18" t="s">
        <v>130</v>
      </c>
      <c r="L18" t="s">
        <v>53</v>
      </c>
      <c r="N18" t="s">
        <v>131</v>
      </c>
      <c r="P18" t="s">
        <v>55</v>
      </c>
      <c r="R18" t="s">
        <v>118</v>
      </c>
      <c r="T18" t="s">
        <v>126</v>
      </c>
      <c r="U18" t="s">
        <v>58</v>
      </c>
      <c r="V18">
        <v>2</v>
      </c>
      <c r="W18">
        <v>1</v>
      </c>
      <c r="X18">
        <v>1</v>
      </c>
      <c r="Y18">
        <v>0</v>
      </c>
      <c r="Z18">
        <v>1</v>
      </c>
      <c r="AA18">
        <v>0</v>
      </c>
      <c r="AB18">
        <v>340.95</v>
      </c>
      <c r="AC18">
        <v>300</v>
      </c>
      <c r="AD18">
        <v>0</v>
      </c>
      <c r="AE18">
        <v>40.96</v>
      </c>
      <c r="AF18">
        <v>0</v>
      </c>
      <c r="AG18">
        <v>0</v>
      </c>
      <c r="AH18">
        <v>0</v>
      </c>
      <c r="AI18">
        <v>51.14</v>
      </c>
      <c r="AJ18">
        <v>340.96</v>
      </c>
      <c r="AK18">
        <v>0.01</v>
      </c>
      <c r="AL18" t="s">
        <v>53</v>
      </c>
      <c r="AM18" t="s">
        <v>53</v>
      </c>
      <c r="AN18" t="s">
        <v>132</v>
      </c>
      <c r="AO18" t="s">
        <v>53</v>
      </c>
      <c r="AP18" t="s">
        <v>53</v>
      </c>
    </row>
    <row r="19" spans="2:42" x14ac:dyDescent="0.2">
      <c r="B19" t="s">
        <v>44</v>
      </c>
      <c r="C19" t="str">
        <f>HYPERLINK("https://us2.cloudbeds.com/connect/8493803454333002#/reservations/598593601751?display=E1GEWBT0&amp;reservation_id=598593601751", "E1GEWBT0")</f>
        <v>E1GEWBT0</v>
      </c>
      <c r="D19" t="s">
        <v>45</v>
      </c>
      <c r="E19" t="s">
        <v>69</v>
      </c>
      <c r="F19" t="s">
        <v>70</v>
      </c>
      <c r="G19" t="s">
        <v>48</v>
      </c>
      <c r="H19" t="s">
        <v>49</v>
      </c>
      <c r="I19" t="s">
        <v>62</v>
      </c>
      <c r="J19" t="s">
        <v>133</v>
      </c>
      <c r="K19" t="s">
        <v>134</v>
      </c>
      <c r="L19" t="s">
        <v>53</v>
      </c>
      <c r="N19" t="s">
        <v>135</v>
      </c>
      <c r="P19" t="s">
        <v>55</v>
      </c>
      <c r="R19" t="s">
        <v>102</v>
      </c>
      <c r="T19" t="s">
        <v>136</v>
      </c>
      <c r="U19" t="s">
        <v>58</v>
      </c>
      <c r="V19">
        <v>2</v>
      </c>
      <c r="W19">
        <v>1</v>
      </c>
      <c r="X19">
        <v>1</v>
      </c>
      <c r="Y19">
        <v>0</v>
      </c>
      <c r="Z19">
        <v>1</v>
      </c>
      <c r="AA19">
        <v>0</v>
      </c>
      <c r="AB19">
        <v>284.13</v>
      </c>
      <c r="AC19">
        <v>250</v>
      </c>
      <c r="AD19">
        <v>0</v>
      </c>
      <c r="AE19">
        <v>34.14</v>
      </c>
      <c r="AF19">
        <v>0</v>
      </c>
      <c r="AG19">
        <v>0</v>
      </c>
      <c r="AH19">
        <v>0</v>
      </c>
      <c r="AI19">
        <v>42.62</v>
      </c>
      <c r="AJ19">
        <v>284.14</v>
      </c>
      <c r="AK19">
        <v>0.01</v>
      </c>
      <c r="AL19" t="s">
        <v>53</v>
      </c>
      <c r="AM19" t="s">
        <v>53</v>
      </c>
      <c r="AN19" t="s">
        <v>137</v>
      </c>
      <c r="AO19" t="s">
        <v>53</v>
      </c>
      <c r="AP19" t="s">
        <v>53</v>
      </c>
    </row>
    <row r="20" spans="2:42" x14ac:dyDescent="0.2">
      <c r="B20" t="s">
        <v>44</v>
      </c>
      <c r="C20" t="str">
        <f>HYPERLINK("https://us2.cloudbeds.com/connect/8493803454333002#/reservations/598165483735?display=E15GWBCR&amp;reservation_id=598165483735", "E15GWBCR")</f>
        <v>E15GWBCR</v>
      </c>
      <c r="D20" t="s">
        <v>45</v>
      </c>
      <c r="E20" t="s">
        <v>138</v>
      </c>
      <c r="F20" t="s">
        <v>70</v>
      </c>
      <c r="G20" t="s">
        <v>48</v>
      </c>
      <c r="H20" t="s">
        <v>49</v>
      </c>
      <c r="I20" t="s">
        <v>79</v>
      </c>
      <c r="J20" t="s">
        <v>64</v>
      </c>
      <c r="K20" t="s">
        <v>139</v>
      </c>
      <c r="L20" t="s">
        <v>53</v>
      </c>
      <c r="N20" t="s">
        <v>140</v>
      </c>
      <c r="P20" t="s">
        <v>55</v>
      </c>
      <c r="R20" t="s">
        <v>56</v>
      </c>
      <c r="T20" t="s">
        <v>141</v>
      </c>
      <c r="U20" t="s">
        <v>58</v>
      </c>
      <c r="V20">
        <v>1</v>
      </c>
      <c r="W20">
        <v>1</v>
      </c>
      <c r="X20">
        <v>1</v>
      </c>
      <c r="Y20">
        <v>0</v>
      </c>
      <c r="Z20">
        <v>1</v>
      </c>
      <c r="AA20">
        <v>0</v>
      </c>
      <c r="AB20">
        <v>81.83</v>
      </c>
      <c r="AC20">
        <v>72</v>
      </c>
      <c r="AD20">
        <v>0</v>
      </c>
      <c r="AE20">
        <v>9.83</v>
      </c>
      <c r="AF20">
        <v>0</v>
      </c>
      <c r="AG20">
        <v>0</v>
      </c>
      <c r="AH20">
        <v>0</v>
      </c>
      <c r="AI20">
        <v>0</v>
      </c>
      <c r="AJ20">
        <v>81.83</v>
      </c>
      <c r="AK20">
        <v>0</v>
      </c>
      <c r="AL20" t="s">
        <v>53</v>
      </c>
      <c r="AM20" t="s">
        <v>53</v>
      </c>
      <c r="AN20" t="s">
        <v>142</v>
      </c>
      <c r="AO20" t="s">
        <v>53</v>
      </c>
      <c r="AP20" t="s">
        <v>53</v>
      </c>
    </row>
    <row r="21" spans="2:42" x14ac:dyDescent="0.2">
      <c r="B21" t="s">
        <v>44</v>
      </c>
      <c r="C21" t="str">
        <f>HYPERLINK("https://us2.cloudbeds.com/connect/8493803454333002#/reservations/598551081142?display=E1FC45AZ&amp;reservation_id=598551081142", "E1FC45AZ")</f>
        <v>E1FC45AZ</v>
      </c>
      <c r="D21" t="s">
        <v>45</v>
      </c>
      <c r="E21" t="s">
        <v>121</v>
      </c>
      <c r="F21" t="s">
        <v>86</v>
      </c>
      <c r="G21" t="s">
        <v>48</v>
      </c>
      <c r="H21" t="s">
        <v>49</v>
      </c>
      <c r="I21" t="s">
        <v>62</v>
      </c>
      <c r="J21" t="s">
        <v>143</v>
      </c>
      <c r="K21" t="s">
        <v>144</v>
      </c>
      <c r="L21" t="s">
        <v>53</v>
      </c>
      <c r="N21" t="s">
        <v>145</v>
      </c>
      <c r="P21" t="s">
        <v>55</v>
      </c>
      <c r="R21" t="s">
        <v>56</v>
      </c>
      <c r="T21" t="s">
        <v>141</v>
      </c>
      <c r="U21" t="s">
        <v>58</v>
      </c>
      <c r="V21">
        <v>1</v>
      </c>
      <c r="W21">
        <v>1</v>
      </c>
      <c r="X21">
        <v>1</v>
      </c>
      <c r="Y21">
        <v>0</v>
      </c>
      <c r="Z21">
        <v>1</v>
      </c>
      <c r="AA21">
        <v>0</v>
      </c>
      <c r="AB21">
        <v>204.57</v>
      </c>
      <c r="AC21">
        <v>180</v>
      </c>
      <c r="AD21">
        <v>0</v>
      </c>
      <c r="AE21">
        <v>24.57</v>
      </c>
      <c r="AF21">
        <v>0</v>
      </c>
      <c r="AG21">
        <v>0</v>
      </c>
      <c r="AH21">
        <v>0</v>
      </c>
      <c r="AI21">
        <v>30.69</v>
      </c>
      <c r="AJ21">
        <v>204.57</v>
      </c>
      <c r="AK21">
        <v>0</v>
      </c>
      <c r="AL21" t="s">
        <v>53</v>
      </c>
      <c r="AM21" t="s">
        <v>53</v>
      </c>
      <c r="AN21" t="s">
        <v>146</v>
      </c>
      <c r="AO21" t="s">
        <v>53</v>
      </c>
      <c r="AP21" t="s">
        <v>53</v>
      </c>
    </row>
    <row r="22" spans="2:42" x14ac:dyDescent="0.2">
      <c r="B22" t="s">
        <v>44</v>
      </c>
      <c r="C22" t="str">
        <f>HYPERLINK("https://us2.cloudbeds.com/connect/8493803454333002#/reservations/598168449238?display=E15JFSHX&amp;reservation_id=598168449238", "E15JFSHX")</f>
        <v>E15JFSHX</v>
      </c>
      <c r="D22" t="s">
        <v>45</v>
      </c>
      <c r="E22" t="s">
        <v>69</v>
      </c>
      <c r="F22" t="s">
        <v>70</v>
      </c>
      <c r="G22" t="s">
        <v>48</v>
      </c>
      <c r="H22" t="s">
        <v>49</v>
      </c>
      <c r="I22" t="s">
        <v>50</v>
      </c>
      <c r="J22" t="s">
        <v>147</v>
      </c>
      <c r="K22" t="s">
        <v>148</v>
      </c>
      <c r="L22" t="s">
        <v>53</v>
      </c>
      <c r="N22" t="s">
        <v>149</v>
      </c>
      <c r="P22" t="s">
        <v>55</v>
      </c>
      <c r="R22" t="s">
        <v>56</v>
      </c>
      <c r="T22" t="s">
        <v>150</v>
      </c>
      <c r="U22" t="s">
        <v>58</v>
      </c>
      <c r="V22">
        <v>1</v>
      </c>
      <c r="W22">
        <v>1</v>
      </c>
      <c r="X22">
        <v>1</v>
      </c>
      <c r="Y22">
        <v>0</v>
      </c>
      <c r="Z22">
        <v>1</v>
      </c>
      <c r="AA22">
        <v>0</v>
      </c>
      <c r="AB22">
        <v>68.53</v>
      </c>
      <c r="AC22">
        <v>60.3</v>
      </c>
      <c r="AD22">
        <v>0</v>
      </c>
      <c r="AE22">
        <v>8.24</v>
      </c>
      <c r="AF22">
        <v>0</v>
      </c>
      <c r="AG22">
        <v>0</v>
      </c>
      <c r="AH22">
        <v>0</v>
      </c>
      <c r="AI22">
        <v>12.34</v>
      </c>
      <c r="AJ22">
        <v>68.540000000000006</v>
      </c>
      <c r="AK22">
        <v>0.01</v>
      </c>
      <c r="AL22" t="s">
        <v>53</v>
      </c>
      <c r="AM22" t="s">
        <v>53</v>
      </c>
      <c r="AN22" t="s">
        <v>151</v>
      </c>
      <c r="AO22" t="s">
        <v>53</v>
      </c>
      <c r="AP22" t="s">
        <v>53</v>
      </c>
    </row>
    <row r="23" spans="2:42" x14ac:dyDescent="0.2">
      <c r="B23" t="s">
        <v>44</v>
      </c>
      <c r="C23" t="str">
        <f>HYPERLINK("https://us2.cloudbeds.com/connect/8493803454333002#/reservations/598255157394?display=E17QJYBE&amp;reservation_id=598255157394", "E17QJYBE")</f>
        <v>E17QJYBE</v>
      </c>
      <c r="D23" t="s">
        <v>45</v>
      </c>
      <c r="E23" t="s">
        <v>121</v>
      </c>
      <c r="F23" t="s">
        <v>86</v>
      </c>
      <c r="G23" t="s">
        <v>48</v>
      </c>
      <c r="H23" t="s">
        <v>49</v>
      </c>
      <c r="I23" t="s">
        <v>79</v>
      </c>
      <c r="J23" t="s">
        <v>94</v>
      </c>
      <c r="K23" t="s">
        <v>152</v>
      </c>
      <c r="L23" t="s">
        <v>53</v>
      </c>
      <c r="N23" t="s">
        <v>153</v>
      </c>
      <c r="P23" t="s">
        <v>55</v>
      </c>
      <c r="R23" t="s">
        <v>56</v>
      </c>
      <c r="T23" t="s">
        <v>154</v>
      </c>
      <c r="U23" t="s">
        <v>58</v>
      </c>
      <c r="V23">
        <v>1</v>
      </c>
      <c r="W23">
        <v>1</v>
      </c>
      <c r="X23">
        <v>1</v>
      </c>
      <c r="Y23">
        <v>0</v>
      </c>
      <c r="Z23">
        <v>1</v>
      </c>
      <c r="AA23">
        <v>0</v>
      </c>
      <c r="AB23">
        <v>161.61000000000001</v>
      </c>
      <c r="AC23">
        <v>142.19999999999999</v>
      </c>
      <c r="AD23">
        <v>0</v>
      </c>
      <c r="AE23">
        <v>19.41</v>
      </c>
      <c r="AF23">
        <v>0</v>
      </c>
      <c r="AG23">
        <v>0</v>
      </c>
      <c r="AH23">
        <v>0</v>
      </c>
      <c r="AI23">
        <v>0</v>
      </c>
      <c r="AJ23">
        <v>161.61000000000001</v>
      </c>
      <c r="AK23">
        <v>0</v>
      </c>
      <c r="AL23" t="s">
        <v>53</v>
      </c>
      <c r="AM23" t="s">
        <v>53</v>
      </c>
      <c r="AN23" t="s">
        <v>97</v>
      </c>
      <c r="AO23" t="s">
        <v>53</v>
      </c>
      <c r="AP23" t="s">
        <v>53</v>
      </c>
    </row>
    <row r="24" spans="2:42" x14ac:dyDescent="0.2">
      <c r="B24" t="s">
        <v>44</v>
      </c>
      <c r="C24" t="str">
        <f>HYPERLINK("https://us2.cloudbeds.com/connect/8493803454333002#/reservations/598247469240?display=E17K3NH2&amp;reservation_id=598247469240", "E17K3NH2")</f>
        <v>E17K3NH2</v>
      </c>
      <c r="D24" t="s">
        <v>45</v>
      </c>
      <c r="E24" t="s">
        <v>155</v>
      </c>
      <c r="F24" t="s">
        <v>86</v>
      </c>
      <c r="G24" t="s">
        <v>48</v>
      </c>
      <c r="H24" t="s">
        <v>49</v>
      </c>
      <c r="I24" t="s">
        <v>79</v>
      </c>
      <c r="J24" t="s">
        <v>94</v>
      </c>
      <c r="K24" t="s">
        <v>152</v>
      </c>
      <c r="L24" t="s">
        <v>53</v>
      </c>
      <c r="N24" t="s">
        <v>156</v>
      </c>
      <c r="P24" t="s">
        <v>55</v>
      </c>
      <c r="R24" t="s">
        <v>56</v>
      </c>
      <c r="T24" t="s">
        <v>154</v>
      </c>
      <c r="U24" t="s">
        <v>58</v>
      </c>
      <c r="V24">
        <v>1</v>
      </c>
      <c r="W24">
        <v>1</v>
      </c>
      <c r="X24">
        <v>1</v>
      </c>
      <c r="Y24">
        <v>0</v>
      </c>
      <c r="Z24">
        <v>1</v>
      </c>
      <c r="AA24">
        <v>0</v>
      </c>
      <c r="AB24">
        <v>161.61000000000001</v>
      </c>
      <c r="AC24">
        <v>142.19999999999999</v>
      </c>
      <c r="AD24">
        <v>0</v>
      </c>
      <c r="AE24">
        <v>19.41</v>
      </c>
      <c r="AF24">
        <v>0</v>
      </c>
      <c r="AG24">
        <v>0</v>
      </c>
      <c r="AH24">
        <v>0</v>
      </c>
      <c r="AI24">
        <v>0</v>
      </c>
      <c r="AJ24">
        <v>161.61000000000001</v>
      </c>
      <c r="AK24">
        <v>0</v>
      </c>
      <c r="AL24" t="s">
        <v>53</v>
      </c>
      <c r="AM24" t="s">
        <v>53</v>
      </c>
      <c r="AN24" t="s">
        <v>142</v>
      </c>
      <c r="AO24" t="s">
        <v>53</v>
      </c>
      <c r="AP24" t="s">
        <v>53</v>
      </c>
    </row>
    <row r="25" spans="2:42" x14ac:dyDescent="0.2">
      <c r="B25" t="s">
        <v>44</v>
      </c>
      <c r="C25" t="str">
        <f>HYPERLINK("https://us2.cloudbeds.com/connect/8493803454333002#/reservations/598591054008?display=E1GCRFBM&amp;reservation_id=598591054008", "E1GCRFBM")</f>
        <v>E1GCRFBM</v>
      </c>
      <c r="D25" t="s">
        <v>45</v>
      </c>
      <c r="E25" t="s">
        <v>98</v>
      </c>
      <c r="F25" t="s">
        <v>86</v>
      </c>
      <c r="G25" t="s">
        <v>48</v>
      </c>
      <c r="H25" t="s">
        <v>49</v>
      </c>
      <c r="I25" t="s">
        <v>79</v>
      </c>
      <c r="J25" t="s">
        <v>94</v>
      </c>
      <c r="K25" t="s">
        <v>152</v>
      </c>
      <c r="L25" t="s">
        <v>53</v>
      </c>
      <c r="N25" t="s">
        <v>157</v>
      </c>
      <c r="P25" t="s">
        <v>55</v>
      </c>
      <c r="R25" t="s">
        <v>56</v>
      </c>
      <c r="T25" t="s">
        <v>154</v>
      </c>
      <c r="U25" t="s">
        <v>58</v>
      </c>
      <c r="V25">
        <v>1</v>
      </c>
      <c r="W25">
        <v>1</v>
      </c>
      <c r="X25">
        <v>1</v>
      </c>
      <c r="Y25">
        <v>0</v>
      </c>
      <c r="Z25">
        <v>1</v>
      </c>
      <c r="AA25">
        <v>0</v>
      </c>
      <c r="AB25">
        <v>161.61000000000001</v>
      </c>
      <c r="AC25">
        <v>142.19999999999999</v>
      </c>
      <c r="AD25">
        <v>0</v>
      </c>
      <c r="AE25">
        <v>19.41</v>
      </c>
      <c r="AF25">
        <v>0</v>
      </c>
      <c r="AG25">
        <v>0</v>
      </c>
      <c r="AH25">
        <v>0</v>
      </c>
      <c r="AI25">
        <v>0</v>
      </c>
      <c r="AJ25">
        <v>161.61000000000001</v>
      </c>
      <c r="AK25">
        <v>0</v>
      </c>
      <c r="AL25" t="s">
        <v>53</v>
      </c>
      <c r="AM25" t="s">
        <v>53</v>
      </c>
      <c r="AN25" t="s">
        <v>104</v>
      </c>
      <c r="AO25" t="s">
        <v>53</v>
      </c>
      <c r="AP25" t="s">
        <v>53</v>
      </c>
    </row>
    <row r="26" spans="2:42" x14ac:dyDescent="0.2">
      <c r="B26" t="s">
        <v>44</v>
      </c>
      <c r="C26" t="str">
        <f>HYPERLINK("https://us2.cloudbeds.com/connect/8493803454333002#/reservations/598544134331?display=E1F68S8A&amp;reservation_id=598544134331", "E1F68S8A")</f>
        <v>E1F68S8A</v>
      </c>
      <c r="D26" t="s">
        <v>45</v>
      </c>
      <c r="E26" t="s">
        <v>128</v>
      </c>
      <c r="F26" t="s">
        <v>86</v>
      </c>
      <c r="G26" t="s">
        <v>48</v>
      </c>
      <c r="H26" t="s">
        <v>49</v>
      </c>
      <c r="I26" t="s">
        <v>79</v>
      </c>
      <c r="J26" t="s">
        <v>94</v>
      </c>
      <c r="K26" t="s">
        <v>152</v>
      </c>
      <c r="L26" t="s">
        <v>53</v>
      </c>
      <c r="N26" t="s">
        <v>158</v>
      </c>
      <c r="P26" t="s">
        <v>55</v>
      </c>
      <c r="R26" t="s">
        <v>56</v>
      </c>
      <c r="T26" t="s">
        <v>154</v>
      </c>
      <c r="U26" t="s">
        <v>58</v>
      </c>
      <c r="V26">
        <v>1</v>
      </c>
      <c r="W26">
        <v>1</v>
      </c>
      <c r="X26">
        <v>1</v>
      </c>
      <c r="Y26">
        <v>0</v>
      </c>
      <c r="Z26">
        <v>1</v>
      </c>
      <c r="AA26">
        <v>0</v>
      </c>
      <c r="AB26">
        <v>161.61000000000001</v>
      </c>
      <c r="AC26">
        <v>142.19999999999999</v>
      </c>
      <c r="AD26">
        <v>0</v>
      </c>
      <c r="AE26">
        <v>19.41</v>
      </c>
      <c r="AF26">
        <v>0</v>
      </c>
      <c r="AG26">
        <v>0</v>
      </c>
      <c r="AH26">
        <v>0</v>
      </c>
      <c r="AI26">
        <v>0</v>
      </c>
      <c r="AJ26">
        <v>161.61000000000001</v>
      </c>
      <c r="AK26">
        <v>0</v>
      </c>
      <c r="AL26" t="s">
        <v>53</v>
      </c>
      <c r="AM26" t="s">
        <v>53</v>
      </c>
      <c r="AN26" t="s">
        <v>159</v>
      </c>
      <c r="AO26" t="s">
        <v>53</v>
      </c>
      <c r="AP26" t="s">
        <v>53</v>
      </c>
    </row>
    <row r="27" spans="2:42" x14ac:dyDescent="0.2">
      <c r="B27" t="s">
        <v>44</v>
      </c>
      <c r="C27" t="str">
        <f>HYPERLINK("https://us2.cloudbeds.com/connect/8493803454333002#/reservations/598216564926?display=E16R1ZTN&amp;reservation_id=598216564926", "E16R1ZTN")</f>
        <v>E16R1ZTN</v>
      </c>
      <c r="D27" t="s">
        <v>45</v>
      </c>
      <c r="E27" t="s">
        <v>128</v>
      </c>
      <c r="F27" t="s">
        <v>86</v>
      </c>
      <c r="G27" t="s">
        <v>48</v>
      </c>
      <c r="H27" t="s">
        <v>49</v>
      </c>
      <c r="I27" t="s">
        <v>79</v>
      </c>
      <c r="J27" t="s">
        <v>160</v>
      </c>
      <c r="K27" t="s">
        <v>161</v>
      </c>
      <c r="L27" t="s">
        <v>53</v>
      </c>
      <c r="N27" t="s">
        <v>162</v>
      </c>
      <c r="P27" t="s">
        <v>55</v>
      </c>
      <c r="R27" t="s">
        <v>56</v>
      </c>
      <c r="T27" t="s">
        <v>163</v>
      </c>
      <c r="U27" t="s">
        <v>58</v>
      </c>
      <c r="V27">
        <v>1</v>
      </c>
      <c r="W27">
        <v>1</v>
      </c>
      <c r="X27">
        <v>1</v>
      </c>
      <c r="Y27">
        <v>0</v>
      </c>
      <c r="Z27">
        <v>1</v>
      </c>
      <c r="AA27">
        <v>0</v>
      </c>
      <c r="AB27">
        <v>85.92</v>
      </c>
      <c r="AC27">
        <v>75.599999999999994</v>
      </c>
      <c r="AD27">
        <v>0</v>
      </c>
      <c r="AE27">
        <v>10.32</v>
      </c>
      <c r="AF27">
        <v>0</v>
      </c>
      <c r="AG27">
        <v>0</v>
      </c>
      <c r="AH27">
        <v>0</v>
      </c>
      <c r="AI27">
        <v>0</v>
      </c>
      <c r="AJ27">
        <v>85.92</v>
      </c>
      <c r="AK27">
        <v>0</v>
      </c>
      <c r="AL27" t="s">
        <v>53</v>
      </c>
      <c r="AM27" t="s">
        <v>53</v>
      </c>
      <c r="AN27" t="s">
        <v>146</v>
      </c>
      <c r="AO27" t="s">
        <v>53</v>
      </c>
      <c r="AP27" t="s">
        <v>53</v>
      </c>
    </row>
    <row r="28" spans="2:42" x14ac:dyDescent="0.2">
      <c r="B28" t="s">
        <v>44</v>
      </c>
      <c r="C28" t="str">
        <f>HYPERLINK("https://us2.cloudbeds.com/connect/8493803454333002#/reservations/598220931303?display=E16UZ8E5&amp;reservation_id=598220931303", "E16UZ8E5")</f>
        <v>E16UZ8E5</v>
      </c>
      <c r="D28" t="s">
        <v>45</v>
      </c>
      <c r="E28" t="s">
        <v>85</v>
      </c>
      <c r="F28" t="s">
        <v>86</v>
      </c>
      <c r="G28" t="s">
        <v>48</v>
      </c>
      <c r="H28" t="s">
        <v>49</v>
      </c>
      <c r="I28" t="s">
        <v>79</v>
      </c>
      <c r="J28" t="s">
        <v>160</v>
      </c>
      <c r="K28" t="s">
        <v>161</v>
      </c>
      <c r="L28" t="s">
        <v>53</v>
      </c>
      <c r="N28" t="s">
        <v>164</v>
      </c>
      <c r="P28" t="s">
        <v>55</v>
      </c>
      <c r="R28" t="s">
        <v>56</v>
      </c>
      <c r="T28" t="s">
        <v>163</v>
      </c>
      <c r="U28" t="s">
        <v>58</v>
      </c>
      <c r="V28">
        <v>1</v>
      </c>
      <c r="W28">
        <v>1</v>
      </c>
      <c r="X28">
        <v>1</v>
      </c>
      <c r="Y28">
        <v>0</v>
      </c>
      <c r="Z28">
        <v>1</v>
      </c>
      <c r="AA28">
        <v>0</v>
      </c>
      <c r="AB28">
        <v>85.92</v>
      </c>
      <c r="AC28">
        <v>75.599999999999994</v>
      </c>
      <c r="AD28">
        <v>0</v>
      </c>
      <c r="AE28">
        <v>10.32</v>
      </c>
      <c r="AF28">
        <v>0</v>
      </c>
      <c r="AG28">
        <v>0</v>
      </c>
      <c r="AH28">
        <v>0</v>
      </c>
      <c r="AI28">
        <v>0</v>
      </c>
      <c r="AJ28">
        <v>85.92</v>
      </c>
      <c r="AK28">
        <v>0</v>
      </c>
      <c r="AL28" t="s">
        <v>53</v>
      </c>
      <c r="AM28" t="s">
        <v>53</v>
      </c>
      <c r="AN28" t="s">
        <v>91</v>
      </c>
      <c r="AO28" t="s">
        <v>53</v>
      </c>
      <c r="AP28" t="s">
        <v>53</v>
      </c>
    </row>
    <row r="29" spans="2:42" x14ac:dyDescent="0.2">
      <c r="B29" t="s">
        <v>44</v>
      </c>
      <c r="C29" t="str">
        <f>HYPERLINK("https://us2.cloudbeds.com/connect/8493803454333002#/reservations/598325403781?display=E19JRBZR&amp;reservation_id=598325403781", "E19JRBZR")</f>
        <v>E19JRBZR</v>
      </c>
      <c r="D29" t="s">
        <v>45</v>
      </c>
      <c r="E29" t="s">
        <v>165</v>
      </c>
      <c r="F29" t="s">
        <v>61</v>
      </c>
      <c r="G29" t="s">
        <v>48</v>
      </c>
      <c r="H29" t="s">
        <v>49</v>
      </c>
      <c r="I29" t="s">
        <v>114</v>
      </c>
      <c r="J29" t="s">
        <v>166</v>
      </c>
      <c r="K29" t="s">
        <v>167</v>
      </c>
      <c r="L29" t="s">
        <v>53</v>
      </c>
      <c r="N29" t="s">
        <v>168</v>
      </c>
      <c r="P29" t="s">
        <v>55</v>
      </c>
      <c r="R29" t="s">
        <v>118</v>
      </c>
      <c r="T29" t="s">
        <v>169</v>
      </c>
      <c r="U29" t="s">
        <v>58</v>
      </c>
      <c r="V29">
        <v>1</v>
      </c>
      <c r="W29">
        <v>1</v>
      </c>
      <c r="X29">
        <v>1</v>
      </c>
      <c r="Y29">
        <v>0</v>
      </c>
      <c r="Z29">
        <v>1</v>
      </c>
      <c r="AA29">
        <v>0</v>
      </c>
      <c r="AB29">
        <v>78.42</v>
      </c>
      <c r="AC29">
        <v>69</v>
      </c>
      <c r="AD29">
        <v>0</v>
      </c>
      <c r="AE29">
        <v>9.42</v>
      </c>
      <c r="AF29">
        <v>0</v>
      </c>
      <c r="AG29">
        <v>0</v>
      </c>
      <c r="AH29">
        <v>0</v>
      </c>
      <c r="AI29">
        <v>0</v>
      </c>
      <c r="AJ29">
        <v>78.42</v>
      </c>
      <c r="AK29">
        <v>0</v>
      </c>
      <c r="AL29" t="s">
        <v>53</v>
      </c>
      <c r="AM29" t="s">
        <v>53</v>
      </c>
      <c r="AN29" t="s">
        <v>170</v>
      </c>
      <c r="AO29" t="s">
        <v>53</v>
      </c>
      <c r="AP29" t="s">
        <v>53</v>
      </c>
    </row>
    <row r="30" spans="2:42" x14ac:dyDescent="0.2">
      <c r="B30" t="s">
        <v>44</v>
      </c>
      <c r="C30" t="str">
        <f>HYPERLINK("https://us2.cloudbeds.com/connect/8493803454333002#/reservations/598406484194?display=E1BM6HP1&amp;reservation_id=598406484194", "E1BM6HP1")</f>
        <v>E1BM6HP1</v>
      </c>
      <c r="D30" t="s">
        <v>45</v>
      </c>
      <c r="E30" t="s">
        <v>165</v>
      </c>
      <c r="F30" t="s">
        <v>61</v>
      </c>
      <c r="G30" t="s">
        <v>48</v>
      </c>
      <c r="H30" t="s">
        <v>49</v>
      </c>
      <c r="I30" t="s">
        <v>62</v>
      </c>
      <c r="J30" t="s">
        <v>64</v>
      </c>
      <c r="K30" t="s">
        <v>80</v>
      </c>
      <c r="L30" t="s">
        <v>53</v>
      </c>
      <c r="N30" t="s">
        <v>171</v>
      </c>
      <c r="P30" t="s">
        <v>55</v>
      </c>
      <c r="R30" t="s">
        <v>172</v>
      </c>
      <c r="T30" t="s">
        <v>173</v>
      </c>
      <c r="U30" t="s">
        <v>58</v>
      </c>
      <c r="V30">
        <v>4</v>
      </c>
      <c r="W30">
        <v>1</v>
      </c>
      <c r="X30">
        <v>1</v>
      </c>
      <c r="Y30">
        <v>0</v>
      </c>
      <c r="Z30">
        <v>1</v>
      </c>
      <c r="AA30">
        <v>0</v>
      </c>
      <c r="AB30">
        <v>462.56</v>
      </c>
      <c r="AC30">
        <v>407</v>
      </c>
      <c r="AD30">
        <v>0</v>
      </c>
      <c r="AE30">
        <v>55.56</v>
      </c>
      <c r="AF30">
        <v>0</v>
      </c>
      <c r="AG30">
        <v>0</v>
      </c>
      <c r="AH30">
        <v>0</v>
      </c>
      <c r="AI30">
        <v>69.38</v>
      </c>
      <c r="AJ30">
        <v>462.56</v>
      </c>
      <c r="AK30">
        <v>0</v>
      </c>
      <c r="AL30" t="s">
        <v>53</v>
      </c>
      <c r="AM30" t="s">
        <v>53</v>
      </c>
      <c r="AN30" t="s">
        <v>132</v>
      </c>
      <c r="AO30" t="s">
        <v>53</v>
      </c>
      <c r="AP30" t="s">
        <v>53</v>
      </c>
    </row>
    <row r="31" spans="2:42" x14ac:dyDescent="0.2">
      <c r="B31" t="s">
        <v>44</v>
      </c>
      <c r="C31" t="str">
        <f>HYPERLINK("https://us2.cloudbeds.com/connect/8493803454333002#/reservations/597950324990?display=E100X7PS&amp;reservation_id=597950324990", "E100X7PS")</f>
        <v>E100X7PS</v>
      </c>
      <c r="D31" t="s">
        <v>45</v>
      </c>
      <c r="E31" t="s">
        <v>113</v>
      </c>
      <c r="F31" t="s">
        <v>61</v>
      </c>
      <c r="G31" t="s">
        <v>48</v>
      </c>
      <c r="H31" t="s">
        <v>49</v>
      </c>
      <c r="I31" t="s">
        <v>79</v>
      </c>
      <c r="J31" t="s">
        <v>174</v>
      </c>
      <c r="K31" t="s">
        <v>175</v>
      </c>
      <c r="L31" t="s">
        <v>53</v>
      </c>
      <c r="N31" t="s">
        <v>176</v>
      </c>
      <c r="P31" t="s">
        <v>55</v>
      </c>
      <c r="R31" t="s">
        <v>56</v>
      </c>
      <c r="T31" t="s">
        <v>177</v>
      </c>
      <c r="U31" t="s">
        <v>58</v>
      </c>
      <c r="V31">
        <v>1</v>
      </c>
      <c r="W31">
        <v>1</v>
      </c>
      <c r="X31">
        <v>1</v>
      </c>
      <c r="Y31">
        <v>0</v>
      </c>
      <c r="Z31">
        <v>1</v>
      </c>
      <c r="AA31">
        <v>0</v>
      </c>
      <c r="AB31">
        <v>85.92</v>
      </c>
      <c r="AC31">
        <v>75.599999999999994</v>
      </c>
      <c r="AD31">
        <v>0</v>
      </c>
      <c r="AE31">
        <v>10.32</v>
      </c>
      <c r="AF31">
        <v>0</v>
      </c>
      <c r="AG31">
        <v>0</v>
      </c>
      <c r="AH31">
        <v>0</v>
      </c>
      <c r="AI31">
        <v>0</v>
      </c>
      <c r="AJ31">
        <v>85.92</v>
      </c>
      <c r="AK31">
        <v>0</v>
      </c>
      <c r="AL31" t="s">
        <v>53</v>
      </c>
      <c r="AM31" t="s">
        <v>53</v>
      </c>
      <c r="AN31" t="s">
        <v>178</v>
      </c>
      <c r="AO31" t="s">
        <v>53</v>
      </c>
      <c r="AP31" t="s">
        <v>53</v>
      </c>
    </row>
    <row r="32" spans="2:42" x14ac:dyDescent="0.2">
      <c r="B32" t="s">
        <v>44</v>
      </c>
      <c r="C32" t="str">
        <f>HYPERLINK("https://us2.cloudbeds.com/connect/8493803454333002#/reservations/598273511621?display=E1892CX4&amp;reservation_id=598273511621", "E1892CX4")</f>
        <v>E1892CX4</v>
      </c>
      <c r="D32" t="s">
        <v>45</v>
      </c>
      <c r="E32" t="s">
        <v>179</v>
      </c>
      <c r="F32" t="s">
        <v>47</v>
      </c>
      <c r="G32" t="s">
        <v>48</v>
      </c>
      <c r="H32" t="s">
        <v>71</v>
      </c>
      <c r="I32" t="s">
        <v>72</v>
      </c>
      <c r="J32" t="s">
        <v>180</v>
      </c>
      <c r="K32" t="s">
        <v>181</v>
      </c>
      <c r="L32" t="s">
        <v>53</v>
      </c>
      <c r="N32" t="s">
        <v>182</v>
      </c>
      <c r="P32" t="s">
        <v>55</v>
      </c>
      <c r="R32" t="s">
        <v>56</v>
      </c>
      <c r="T32" t="s">
        <v>183</v>
      </c>
      <c r="U32" t="s">
        <v>58</v>
      </c>
      <c r="V32">
        <v>1</v>
      </c>
      <c r="W32">
        <v>1</v>
      </c>
      <c r="X32">
        <v>1</v>
      </c>
      <c r="Y32">
        <v>0</v>
      </c>
      <c r="Z32">
        <v>1</v>
      </c>
      <c r="AA32">
        <v>0</v>
      </c>
      <c r="AB32">
        <v>148.88</v>
      </c>
      <c r="AC32">
        <v>131</v>
      </c>
      <c r="AD32">
        <v>0</v>
      </c>
      <c r="AE32">
        <v>17.89</v>
      </c>
      <c r="AF32">
        <v>0</v>
      </c>
      <c r="AG32">
        <v>0</v>
      </c>
      <c r="AH32">
        <v>0</v>
      </c>
      <c r="AI32">
        <v>0</v>
      </c>
      <c r="AJ32">
        <v>148.88999999999999</v>
      </c>
      <c r="AK32">
        <v>0.01</v>
      </c>
      <c r="AL32" t="s">
        <v>53</v>
      </c>
      <c r="AM32" t="s">
        <v>53</v>
      </c>
      <c r="AN32" t="s">
        <v>184</v>
      </c>
      <c r="AO32" t="s">
        <v>53</v>
      </c>
      <c r="AP32" t="s">
        <v>53</v>
      </c>
    </row>
    <row r="33" spans="2:42" x14ac:dyDescent="0.2">
      <c r="B33" t="s">
        <v>44</v>
      </c>
      <c r="C33" t="str">
        <f>HYPERLINK("https://us2.cloudbeds.com/connect/8493803454333002#/reservations/598106239174?display=E1400PM3&amp;reservation_id=598106239174", "E1400PM3")</f>
        <v>E1400PM3</v>
      </c>
      <c r="D33" t="s">
        <v>45</v>
      </c>
      <c r="E33" t="s">
        <v>185</v>
      </c>
      <c r="F33" t="s">
        <v>47</v>
      </c>
      <c r="G33" t="s">
        <v>48</v>
      </c>
      <c r="H33" t="s">
        <v>49</v>
      </c>
      <c r="I33" t="s">
        <v>50</v>
      </c>
      <c r="J33" t="s">
        <v>186</v>
      </c>
      <c r="K33" t="s">
        <v>187</v>
      </c>
      <c r="L33" t="s">
        <v>53</v>
      </c>
      <c r="N33" t="s">
        <v>188</v>
      </c>
      <c r="P33" t="s">
        <v>55</v>
      </c>
      <c r="R33" t="s">
        <v>56</v>
      </c>
      <c r="T33" t="s">
        <v>189</v>
      </c>
      <c r="U33" t="s">
        <v>58</v>
      </c>
      <c r="V33">
        <v>1</v>
      </c>
      <c r="W33">
        <v>1</v>
      </c>
      <c r="X33">
        <v>1</v>
      </c>
      <c r="Y33">
        <v>0</v>
      </c>
      <c r="Z33">
        <v>1</v>
      </c>
      <c r="AA33">
        <v>0</v>
      </c>
      <c r="AB33">
        <v>81.83</v>
      </c>
      <c r="AC33">
        <v>72</v>
      </c>
      <c r="AD33">
        <v>0</v>
      </c>
      <c r="AE33">
        <v>9.83</v>
      </c>
      <c r="AF33">
        <v>0</v>
      </c>
      <c r="AG33">
        <v>0</v>
      </c>
      <c r="AH33">
        <v>0</v>
      </c>
      <c r="AI33">
        <v>14.73</v>
      </c>
      <c r="AJ33">
        <v>81.83</v>
      </c>
      <c r="AK33">
        <v>0</v>
      </c>
      <c r="AL33" t="s">
        <v>53</v>
      </c>
      <c r="AM33" t="s">
        <v>53</v>
      </c>
      <c r="AN33" t="s">
        <v>97</v>
      </c>
      <c r="AO33" t="s">
        <v>53</v>
      </c>
      <c r="AP33" t="s">
        <v>53</v>
      </c>
    </row>
    <row r="34" spans="2:42" x14ac:dyDescent="0.2">
      <c r="B34" t="s">
        <v>44</v>
      </c>
      <c r="C34" t="str">
        <f>HYPERLINK("https://us2.cloudbeds.com/connect/8493803454333002#/reservations/598503223432?display=E1E4PES3&amp;reservation_id=598503223432", "E1E4PES3")</f>
        <v>E1E4PES3</v>
      </c>
      <c r="D34" t="s">
        <v>45</v>
      </c>
      <c r="E34" t="s">
        <v>190</v>
      </c>
      <c r="F34" t="s">
        <v>61</v>
      </c>
      <c r="G34" t="s">
        <v>48</v>
      </c>
      <c r="H34" t="s">
        <v>71</v>
      </c>
      <c r="I34" t="s">
        <v>72</v>
      </c>
      <c r="J34" t="s">
        <v>191</v>
      </c>
      <c r="K34" t="s">
        <v>192</v>
      </c>
      <c r="L34" t="s">
        <v>53</v>
      </c>
      <c r="N34" t="s">
        <v>193</v>
      </c>
      <c r="P34" t="s">
        <v>55</v>
      </c>
      <c r="R34" t="s">
        <v>102</v>
      </c>
      <c r="T34" t="s">
        <v>194</v>
      </c>
      <c r="U34" t="s">
        <v>58</v>
      </c>
      <c r="V34">
        <v>1</v>
      </c>
      <c r="W34">
        <v>1</v>
      </c>
      <c r="X34">
        <v>1</v>
      </c>
      <c r="Y34">
        <v>0</v>
      </c>
      <c r="Z34">
        <v>1</v>
      </c>
      <c r="AA34">
        <v>0</v>
      </c>
      <c r="AB34">
        <v>120.47</v>
      </c>
      <c r="AC34">
        <v>106</v>
      </c>
      <c r="AD34">
        <v>0</v>
      </c>
      <c r="AE34">
        <v>14.47</v>
      </c>
      <c r="AF34">
        <v>0</v>
      </c>
      <c r="AG34">
        <v>0</v>
      </c>
      <c r="AH34">
        <v>0</v>
      </c>
      <c r="AI34">
        <v>0</v>
      </c>
      <c r="AJ34">
        <v>120.47</v>
      </c>
      <c r="AK34">
        <v>0</v>
      </c>
      <c r="AL34" t="s">
        <v>53</v>
      </c>
      <c r="AM34" t="s">
        <v>53</v>
      </c>
      <c r="AN34" t="s">
        <v>195</v>
      </c>
      <c r="AO34" t="s">
        <v>53</v>
      </c>
      <c r="AP34" t="s">
        <v>53</v>
      </c>
    </row>
    <row r="35" spans="2:42" x14ac:dyDescent="0.2">
      <c r="B35" t="s">
        <v>44</v>
      </c>
      <c r="C35" t="str">
        <f>HYPERLINK("https://us2.cloudbeds.com/connect/8493803454333002#/reservations/598392803544?display=E1BAYS5T&amp;reservation_id=598392803544", "E1BAYS5T")</f>
        <v>E1BAYS5T</v>
      </c>
      <c r="D35" t="s">
        <v>45</v>
      </c>
      <c r="E35" t="s">
        <v>128</v>
      </c>
      <c r="F35" t="s">
        <v>86</v>
      </c>
      <c r="G35" t="s">
        <v>48</v>
      </c>
      <c r="H35" t="s">
        <v>49</v>
      </c>
      <c r="I35" t="s">
        <v>62</v>
      </c>
      <c r="J35" t="s">
        <v>144</v>
      </c>
      <c r="K35" t="s">
        <v>196</v>
      </c>
      <c r="L35" t="s">
        <v>53</v>
      </c>
      <c r="N35" t="s">
        <v>197</v>
      </c>
      <c r="P35" t="s">
        <v>55</v>
      </c>
      <c r="R35" t="s">
        <v>56</v>
      </c>
      <c r="T35" t="s">
        <v>194</v>
      </c>
      <c r="U35" t="s">
        <v>58</v>
      </c>
      <c r="V35">
        <v>2</v>
      </c>
      <c r="W35">
        <v>1</v>
      </c>
      <c r="X35">
        <v>1</v>
      </c>
      <c r="Y35">
        <v>0</v>
      </c>
      <c r="Z35">
        <v>1</v>
      </c>
      <c r="AA35">
        <v>0</v>
      </c>
      <c r="AB35">
        <v>396.64</v>
      </c>
      <c r="AC35">
        <v>349</v>
      </c>
      <c r="AD35">
        <v>0</v>
      </c>
      <c r="AE35">
        <v>47.64</v>
      </c>
      <c r="AF35">
        <v>0</v>
      </c>
      <c r="AG35">
        <v>0</v>
      </c>
      <c r="AH35">
        <v>0</v>
      </c>
      <c r="AI35">
        <v>59.5</v>
      </c>
      <c r="AJ35">
        <v>396.64</v>
      </c>
      <c r="AK35">
        <v>0</v>
      </c>
      <c r="AL35" t="s">
        <v>53</v>
      </c>
      <c r="AM35" t="s">
        <v>53</v>
      </c>
      <c r="AN35" t="s">
        <v>198</v>
      </c>
      <c r="AO35" t="s">
        <v>53</v>
      </c>
      <c r="AP35" t="s">
        <v>53</v>
      </c>
    </row>
    <row r="36" spans="2:42" x14ac:dyDescent="0.2">
      <c r="B36" t="s">
        <v>44</v>
      </c>
      <c r="C36" t="str">
        <f>HYPERLINK("https://us2.cloudbeds.com/connect/8493803454333002#/reservations/598060937405?display=E12RR686&amp;reservation_id=598060937405", "E12RR686")</f>
        <v>E12RR686</v>
      </c>
      <c r="D36" t="s">
        <v>45</v>
      </c>
      <c r="E36" t="s">
        <v>138</v>
      </c>
      <c r="F36" t="s">
        <v>70</v>
      </c>
      <c r="G36" t="s">
        <v>48</v>
      </c>
      <c r="H36" t="s">
        <v>49</v>
      </c>
      <c r="I36" t="s">
        <v>62</v>
      </c>
      <c r="J36" t="s">
        <v>187</v>
      </c>
      <c r="K36" t="s">
        <v>199</v>
      </c>
      <c r="L36" t="s">
        <v>53</v>
      </c>
      <c r="N36" t="s">
        <v>200</v>
      </c>
      <c r="P36" t="s">
        <v>55</v>
      </c>
      <c r="R36" t="s">
        <v>201</v>
      </c>
      <c r="T36" t="s">
        <v>194</v>
      </c>
      <c r="U36" t="s">
        <v>58</v>
      </c>
      <c r="V36">
        <v>1</v>
      </c>
      <c r="W36">
        <v>1</v>
      </c>
      <c r="X36">
        <v>1</v>
      </c>
      <c r="Y36">
        <v>0</v>
      </c>
      <c r="Z36">
        <v>1</v>
      </c>
      <c r="AA36">
        <v>0</v>
      </c>
      <c r="AB36">
        <v>84.1</v>
      </c>
      <c r="AC36">
        <v>74</v>
      </c>
      <c r="AD36">
        <v>0</v>
      </c>
      <c r="AE36">
        <v>10.11</v>
      </c>
      <c r="AF36">
        <v>0</v>
      </c>
      <c r="AG36">
        <v>0</v>
      </c>
      <c r="AH36">
        <v>0</v>
      </c>
      <c r="AI36">
        <v>12.62</v>
      </c>
      <c r="AJ36">
        <v>84.11</v>
      </c>
      <c r="AK36">
        <v>0.01</v>
      </c>
      <c r="AL36" t="s">
        <v>53</v>
      </c>
      <c r="AM36" t="s">
        <v>53</v>
      </c>
      <c r="AN36" t="s">
        <v>159</v>
      </c>
      <c r="AO36" t="s">
        <v>53</v>
      </c>
      <c r="AP36" t="s">
        <v>53</v>
      </c>
    </row>
    <row r="37" spans="2:42" x14ac:dyDescent="0.2">
      <c r="B37" t="s">
        <v>44</v>
      </c>
      <c r="C37" t="str">
        <f>HYPERLINK("https://us2.cloudbeds.com/connect/8493803454333002#/reservations/598519730377?display=E1EXMPZX&amp;reservation_id=598519730377", "E1EXMPZX")</f>
        <v>E1EXMPZX</v>
      </c>
      <c r="D37" t="s">
        <v>45</v>
      </c>
      <c r="E37" t="s">
        <v>138</v>
      </c>
      <c r="F37" t="s">
        <v>70</v>
      </c>
      <c r="G37" t="s">
        <v>48</v>
      </c>
      <c r="H37" t="s">
        <v>49</v>
      </c>
      <c r="I37" t="s">
        <v>62</v>
      </c>
      <c r="J37" t="s">
        <v>202</v>
      </c>
      <c r="K37" t="s">
        <v>203</v>
      </c>
      <c r="L37" t="s">
        <v>53</v>
      </c>
      <c r="N37" t="s">
        <v>204</v>
      </c>
      <c r="P37" t="s">
        <v>55</v>
      </c>
      <c r="R37" t="s">
        <v>205</v>
      </c>
      <c r="T37" t="s">
        <v>206</v>
      </c>
      <c r="U37" t="s">
        <v>58</v>
      </c>
      <c r="V37">
        <v>2</v>
      </c>
      <c r="W37">
        <v>1</v>
      </c>
      <c r="X37">
        <v>1</v>
      </c>
      <c r="Y37">
        <v>0</v>
      </c>
      <c r="Z37">
        <v>1</v>
      </c>
      <c r="AA37">
        <v>0</v>
      </c>
      <c r="AB37">
        <v>147.75</v>
      </c>
      <c r="AC37">
        <v>130</v>
      </c>
      <c r="AD37">
        <v>0</v>
      </c>
      <c r="AE37">
        <v>17.760000000000002</v>
      </c>
      <c r="AF37">
        <v>0</v>
      </c>
      <c r="AG37">
        <v>0</v>
      </c>
      <c r="AH37">
        <v>0</v>
      </c>
      <c r="AI37">
        <v>22.16</v>
      </c>
      <c r="AJ37">
        <v>147.76</v>
      </c>
      <c r="AK37">
        <v>0.01</v>
      </c>
      <c r="AL37" t="s">
        <v>53</v>
      </c>
      <c r="AM37" t="s">
        <v>53</v>
      </c>
      <c r="AN37" t="s">
        <v>207</v>
      </c>
      <c r="AO37" t="s">
        <v>53</v>
      </c>
      <c r="AP37" t="s">
        <v>53</v>
      </c>
    </row>
    <row r="38" spans="2:42" x14ac:dyDescent="0.2">
      <c r="B38" t="s">
        <v>44</v>
      </c>
      <c r="C38" t="str">
        <f>HYPERLINK("https://us2.cloudbeds.com/connect/8493803454333002#/reservations/598448513223?display=E1CZY1TW&amp;reservation_id=598448513223", "E1CZY1TW")</f>
        <v>E1CZY1TW</v>
      </c>
      <c r="D38" t="s">
        <v>45</v>
      </c>
      <c r="E38" t="s">
        <v>155</v>
      </c>
      <c r="F38" t="s">
        <v>86</v>
      </c>
      <c r="G38" t="s">
        <v>48</v>
      </c>
      <c r="H38" t="s">
        <v>49</v>
      </c>
      <c r="I38" t="s">
        <v>79</v>
      </c>
      <c r="J38" t="s">
        <v>116</v>
      </c>
      <c r="K38" t="s">
        <v>208</v>
      </c>
      <c r="L38" t="s">
        <v>53</v>
      </c>
      <c r="N38" t="s">
        <v>209</v>
      </c>
      <c r="P38" t="s">
        <v>55</v>
      </c>
      <c r="R38" t="s">
        <v>56</v>
      </c>
      <c r="T38" t="s">
        <v>206</v>
      </c>
      <c r="U38" t="s">
        <v>58</v>
      </c>
      <c r="V38">
        <v>6</v>
      </c>
      <c r="W38">
        <v>1</v>
      </c>
      <c r="X38">
        <v>1</v>
      </c>
      <c r="Y38">
        <v>0</v>
      </c>
      <c r="Z38">
        <v>1</v>
      </c>
      <c r="AA38">
        <v>0</v>
      </c>
      <c r="AB38">
        <v>615.76</v>
      </c>
      <c r="AC38">
        <v>541.79999999999995</v>
      </c>
      <c r="AD38">
        <v>0</v>
      </c>
      <c r="AE38">
        <v>73.98</v>
      </c>
      <c r="AF38">
        <v>0</v>
      </c>
      <c r="AG38">
        <v>0</v>
      </c>
      <c r="AH38">
        <v>0</v>
      </c>
      <c r="AI38">
        <v>0</v>
      </c>
      <c r="AJ38">
        <v>615.78</v>
      </c>
      <c r="AK38">
        <v>0.02</v>
      </c>
      <c r="AL38" t="s">
        <v>53</v>
      </c>
      <c r="AM38" t="s">
        <v>53</v>
      </c>
      <c r="AN38" t="s">
        <v>210</v>
      </c>
      <c r="AO38" t="s">
        <v>53</v>
      </c>
      <c r="AP38" t="s">
        <v>53</v>
      </c>
    </row>
    <row r="39" spans="2:42" x14ac:dyDescent="0.2">
      <c r="B39" t="s">
        <v>44</v>
      </c>
      <c r="C39" t="str">
        <f>HYPERLINK("https://us2.cloudbeds.com/connect/8493803454333002#/reservations/598504177865?display=E1E5J09A&amp;reservation_id=598504177865", "E1E5J09A")</f>
        <v>E1E5J09A</v>
      </c>
      <c r="D39" t="s">
        <v>45</v>
      </c>
      <c r="E39" t="s">
        <v>128</v>
      </c>
      <c r="F39" t="s">
        <v>86</v>
      </c>
      <c r="G39" t="s">
        <v>48</v>
      </c>
      <c r="H39" t="s">
        <v>49</v>
      </c>
      <c r="I39" t="s">
        <v>50</v>
      </c>
      <c r="J39" t="s">
        <v>64</v>
      </c>
      <c r="K39" t="s">
        <v>52</v>
      </c>
      <c r="L39" t="s">
        <v>53</v>
      </c>
      <c r="N39" t="s">
        <v>211</v>
      </c>
      <c r="P39" t="s">
        <v>55</v>
      </c>
      <c r="R39" t="s">
        <v>56</v>
      </c>
      <c r="T39" t="s">
        <v>212</v>
      </c>
      <c r="U39" t="s">
        <v>58</v>
      </c>
      <c r="V39">
        <v>3</v>
      </c>
      <c r="W39">
        <v>1</v>
      </c>
      <c r="X39">
        <v>1</v>
      </c>
      <c r="Y39">
        <v>0</v>
      </c>
      <c r="Z39">
        <v>1</v>
      </c>
      <c r="AA39">
        <v>0</v>
      </c>
      <c r="AB39">
        <v>352.88</v>
      </c>
      <c r="AC39">
        <v>310.5</v>
      </c>
      <c r="AD39">
        <v>0</v>
      </c>
      <c r="AE39">
        <v>42.36</v>
      </c>
      <c r="AF39">
        <v>0</v>
      </c>
      <c r="AG39">
        <v>0</v>
      </c>
      <c r="AH39">
        <v>0</v>
      </c>
      <c r="AI39">
        <v>63.51</v>
      </c>
      <c r="AJ39">
        <v>352.86</v>
      </c>
      <c r="AK39">
        <v>-0.02</v>
      </c>
      <c r="AL39" t="s">
        <v>53</v>
      </c>
      <c r="AM39" t="s">
        <v>53</v>
      </c>
      <c r="AN39" t="s">
        <v>84</v>
      </c>
      <c r="AO39" t="s">
        <v>53</v>
      </c>
      <c r="AP39" t="s">
        <v>53</v>
      </c>
    </row>
    <row r="40" spans="2:42" x14ac:dyDescent="0.2">
      <c r="B40" t="s">
        <v>44</v>
      </c>
      <c r="C40" t="str">
        <f>HYPERLINK("https://us2.cloudbeds.com/connect/8493803454333002#/reservations/598313177312?display=E199H4GZ&amp;reservation_id=598313177312", "E199H4GZ")</f>
        <v>E199H4GZ</v>
      </c>
      <c r="D40" t="s">
        <v>45</v>
      </c>
      <c r="E40" t="s">
        <v>213</v>
      </c>
      <c r="F40" t="s">
        <v>86</v>
      </c>
      <c r="G40" t="s">
        <v>48</v>
      </c>
      <c r="H40" t="s">
        <v>71</v>
      </c>
      <c r="I40" t="s">
        <v>72</v>
      </c>
      <c r="J40" t="s">
        <v>214</v>
      </c>
      <c r="K40" t="s">
        <v>215</v>
      </c>
      <c r="L40" t="s">
        <v>53</v>
      </c>
      <c r="N40" t="s">
        <v>216</v>
      </c>
      <c r="P40" t="s">
        <v>58</v>
      </c>
      <c r="R40" t="s">
        <v>56</v>
      </c>
      <c r="T40" t="s">
        <v>217</v>
      </c>
      <c r="U40" t="s">
        <v>58</v>
      </c>
      <c r="V40">
        <v>1</v>
      </c>
      <c r="W40">
        <v>1</v>
      </c>
      <c r="X40">
        <v>1</v>
      </c>
      <c r="Y40">
        <v>0</v>
      </c>
      <c r="Z40">
        <v>1</v>
      </c>
      <c r="AA40">
        <v>0</v>
      </c>
      <c r="AB40">
        <v>190.93</v>
      </c>
      <c r="AC40">
        <v>168</v>
      </c>
      <c r="AD40">
        <v>0</v>
      </c>
      <c r="AE40">
        <v>22.93</v>
      </c>
      <c r="AF40">
        <v>0</v>
      </c>
      <c r="AG40">
        <v>0</v>
      </c>
      <c r="AH40">
        <v>0</v>
      </c>
      <c r="AI40">
        <v>0</v>
      </c>
      <c r="AJ40">
        <v>190.93</v>
      </c>
      <c r="AK40">
        <v>0</v>
      </c>
      <c r="AL40" t="s">
        <v>53</v>
      </c>
      <c r="AM40" t="s">
        <v>53</v>
      </c>
      <c r="AN40" t="s">
        <v>218</v>
      </c>
      <c r="AO40" t="s">
        <v>53</v>
      </c>
      <c r="AP40" t="s">
        <v>53</v>
      </c>
    </row>
    <row r="41" spans="2:42" x14ac:dyDescent="0.2">
      <c r="B41" t="s">
        <v>44</v>
      </c>
      <c r="C41" t="str">
        <f>HYPERLINK("https://us2.cloudbeds.com/connect/8493803454333002#/reservations/598300782810?display=E18W27VP&amp;reservation_id=598300782810", "E18W27VP")</f>
        <v>E18W27VP</v>
      </c>
      <c r="D41" t="s">
        <v>45</v>
      </c>
      <c r="E41" t="s">
        <v>128</v>
      </c>
      <c r="F41" t="s">
        <v>86</v>
      </c>
      <c r="G41" t="s">
        <v>48</v>
      </c>
      <c r="H41" t="s">
        <v>71</v>
      </c>
      <c r="I41" t="s">
        <v>72</v>
      </c>
      <c r="J41" t="s">
        <v>214</v>
      </c>
      <c r="K41" t="s">
        <v>215</v>
      </c>
      <c r="L41" t="s">
        <v>53</v>
      </c>
      <c r="N41" t="s">
        <v>219</v>
      </c>
      <c r="P41" t="s">
        <v>58</v>
      </c>
      <c r="R41" t="s">
        <v>56</v>
      </c>
      <c r="T41" t="s">
        <v>217</v>
      </c>
      <c r="U41" t="s">
        <v>58</v>
      </c>
      <c r="V41">
        <v>1</v>
      </c>
      <c r="W41">
        <v>1</v>
      </c>
      <c r="X41">
        <v>1</v>
      </c>
      <c r="Y41">
        <v>0</v>
      </c>
      <c r="Z41">
        <v>1</v>
      </c>
      <c r="AA41">
        <v>0</v>
      </c>
      <c r="AB41">
        <v>190.93</v>
      </c>
      <c r="AC41">
        <v>168</v>
      </c>
      <c r="AD41">
        <v>0</v>
      </c>
      <c r="AE41">
        <v>22.93</v>
      </c>
      <c r="AF41">
        <v>0</v>
      </c>
      <c r="AG41">
        <v>0</v>
      </c>
      <c r="AH41">
        <v>0</v>
      </c>
      <c r="AI41">
        <v>0</v>
      </c>
      <c r="AJ41">
        <v>190.93</v>
      </c>
      <c r="AK41">
        <v>0</v>
      </c>
      <c r="AL41" t="s">
        <v>53</v>
      </c>
      <c r="AM41" t="s">
        <v>53</v>
      </c>
      <c r="AN41" t="s">
        <v>220</v>
      </c>
      <c r="AO41" t="s">
        <v>53</v>
      </c>
      <c r="AP41" t="s">
        <v>53</v>
      </c>
    </row>
    <row r="42" spans="2:42" x14ac:dyDescent="0.2">
      <c r="B42" t="s">
        <v>44</v>
      </c>
      <c r="C42" t="str">
        <f>HYPERLINK("https://us2.cloudbeds.com/connect/8493803454333002#/reservations/598147715200?display=E14U2RJW&amp;reservation_id=598147715200", "E14U2RJW")</f>
        <v>E14U2RJW</v>
      </c>
      <c r="D42" t="s">
        <v>45</v>
      </c>
      <c r="E42" t="s">
        <v>165</v>
      </c>
      <c r="F42" t="s">
        <v>61</v>
      </c>
      <c r="G42" t="s">
        <v>48</v>
      </c>
      <c r="H42" t="s">
        <v>71</v>
      </c>
      <c r="I42" t="s">
        <v>72</v>
      </c>
      <c r="J42" t="s">
        <v>143</v>
      </c>
      <c r="K42" t="s">
        <v>196</v>
      </c>
      <c r="L42" t="s">
        <v>53</v>
      </c>
      <c r="N42" t="s">
        <v>221</v>
      </c>
      <c r="P42" t="s">
        <v>58</v>
      </c>
      <c r="R42" t="s">
        <v>56</v>
      </c>
      <c r="T42" t="s">
        <v>217</v>
      </c>
      <c r="U42" t="s">
        <v>58</v>
      </c>
      <c r="V42">
        <v>3</v>
      </c>
      <c r="W42">
        <v>1</v>
      </c>
      <c r="X42">
        <v>1</v>
      </c>
      <c r="Y42">
        <v>0</v>
      </c>
      <c r="Z42">
        <v>1</v>
      </c>
      <c r="AA42">
        <v>0</v>
      </c>
      <c r="AB42">
        <v>538.70000000000005</v>
      </c>
      <c r="AC42">
        <v>474</v>
      </c>
      <c r="AD42">
        <v>0</v>
      </c>
      <c r="AE42">
        <v>64.709999999999994</v>
      </c>
      <c r="AF42">
        <v>0</v>
      </c>
      <c r="AG42">
        <v>0</v>
      </c>
      <c r="AH42">
        <v>0</v>
      </c>
      <c r="AI42">
        <v>0</v>
      </c>
      <c r="AJ42">
        <v>538.71</v>
      </c>
      <c r="AK42">
        <v>0.01</v>
      </c>
      <c r="AL42" t="s">
        <v>53</v>
      </c>
      <c r="AM42" t="s">
        <v>53</v>
      </c>
      <c r="AN42" t="s">
        <v>222</v>
      </c>
      <c r="AO42" t="s">
        <v>53</v>
      </c>
      <c r="AP42" t="s">
        <v>53</v>
      </c>
    </row>
    <row r="43" spans="2:42" x14ac:dyDescent="0.2">
      <c r="B43" t="s">
        <v>44</v>
      </c>
      <c r="C43" t="str">
        <f>HYPERLINK("https://us2.cloudbeds.com/connect/8493803454333002#/reservations/598475272415?display=E1DE6M5J&amp;reservation_id=598475272415", "E1DE6M5J")</f>
        <v>E1DE6M5J</v>
      </c>
      <c r="D43" t="s">
        <v>45</v>
      </c>
      <c r="E43" t="s">
        <v>223</v>
      </c>
      <c r="F43" t="s">
        <v>47</v>
      </c>
      <c r="G43" t="s">
        <v>48</v>
      </c>
      <c r="H43" t="s">
        <v>49</v>
      </c>
      <c r="I43" t="s">
        <v>50</v>
      </c>
      <c r="J43" t="s">
        <v>51</v>
      </c>
      <c r="K43" t="s">
        <v>52</v>
      </c>
      <c r="L43" t="s">
        <v>53</v>
      </c>
      <c r="N43" t="s">
        <v>224</v>
      </c>
      <c r="P43" t="s">
        <v>55</v>
      </c>
      <c r="R43" t="s">
        <v>56</v>
      </c>
      <c r="T43" t="s">
        <v>217</v>
      </c>
      <c r="U43" t="s">
        <v>58</v>
      </c>
      <c r="V43">
        <v>1</v>
      </c>
      <c r="W43">
        <v>1</v>
      </c>
      <c r="X43">
        <v>1</v>
      </c>
      <c r="Y43">
        <v>0</v>
      </c>
      <c r="Z43">
        <v>1</v>
      </c>
      <c r="AA43">
        <v>0</v>
      </c>
      <c r="AB43">
        <v>94.1</v>
      </c>
      <c r="AC43">
        <v>82.8</v>
      </c>
      <c r="AD43">
        <v>0</v>
      </c>
      <c r="AE43">
        <v>11.31</v>
      </c>
      <c r="AF43">
        <v>0</v>
      </c>
      <c r="AG43">
        <v>0</v>
      </c>
      <c r="AH43">
        <v>0</v>
      </c>
      <c r="AI43">
        <v>16.940000000000001</v>
      </c>
      <c r="AJ43">
        <v>94.11</v>
      </c>
      <c r="AK43">
        <v>0.01</v>
      </c>
      <c r="AL43" t="s">
        <v>53</v>
      </c>
      <c r="AM43" t="s">
        <v>53</v>
      </c>
      <c r="AN43" t="s">
        <v>225</v>
      </c>
      <c r="AO43" t="s">
        <v>53</v>
      </c>
      <c r="AP43" t="s">
        <v>53</v>
      </c>
    </row>
    <row r="44" spans="2:42" x14ac:dyDescent="0.2">
      <c r="B44" t="s">
        <v>44</v>
      </c>
      <c r="C44" t="str">
        <f>HYPERLINK("https://us2.cloudbeds.com/connect/8493803454333002#/reservations/598308950233?display=E195VGTF&amp;reservation_id=598308950233", "E195VGTF")</f>
        <v>E195VGTF</v>
      </c>
      <c r="D44" t="s">
        <v>45</v>
      </c>
      <c r="E44" t="s">
        <v>98</v>
      </c>
      <c r="F44" t="s">
        <v>86</v>
      </c>
      <c r="G44" t="s">
        <v>48</v>
      </c>
      <c r="H44" t="s">
        <v>71</v>
      </c>
      <c r="I44" t="s">
        <v>72</v>
      </c>
      <c r="J44" t="s">
        <v>214</v>
      </c>
      <c r="K44" t="s">
        <v>215</v>
      </c>
      <c r="L44" t="s">
        <v>53</v>
      </c>
      <c r="N44" t="s">
        <v>226</v>
      </c>
      <c r="P44" t="s">
        <v>58</v>
      </c>
      <c r="R44" t="s">
        <v>56</v>
      </c>
      <c r="T44" t="s">
        <v>217</v>
      </c>
      <c r="U44" t="s">
        <v>58</v>
      </c>
      <c r="V44">
        <v>1</v>
      </c>
      <c r="W44">
        <v>1</v>
      </c>
      <c r="X44">
        <v>1</v>
      </c>
      <c r="Y44">
        <v>0</v>
      </c>
      <c r="Z44">
        <v>1</v>
      </c>
      <c r="AA44">
        <v>0</v>
      </c>
      <c r="AB44">
        <v>190.93</v>
      </c>
      <c r="AC44">
        <v>168</v>
      </c>
      <c r="AD44">
        <v>0</v>
      </c>
      <c r="AE44">
        <v>22.93</v>
      </c>
      <c r="AF44">
        <v>0</v>
      </c>
      <c r="AG44">
        <v>0</v>
      </c>
      <c r="AH44">
        <v>0</v>
      </c>
      <c r="AI44">
        <v>0</v>
      </c>
      <c r="AJ44">
        <v>190.93</v>
      </c>
      <c r="AK44">
        <v>0</v>
      </c>
      <c r="AL44" t="s">
        <v>53</v>
      </c>
      <c r="AM44" t="s">
        <v>53</v>
      </c>
      <c r="AN44" t="s">
        <v>227</v>
      </c>
      <c r="AO44" t="s">
        <v>53</v>
      </c>
      <c r="AP44" t="s">
        <v>53</v>
      </c>
    </row>
    <row r="45" spans="2:42" x14ac:dyDescent="0.2">
      <c r="B45" t="s">
        <v>44</v>
      </c>
      <c r="C45" t="str">
        <f>HYPERLINK("https://us2.cloudbeds.com/connect/8493803454333002#/reservations/597989879967?display=E110TU2H&amp;reservation_id=597989879967", "E110TU2H")</f>
        <v>E110TU2H</v>
      </c>
      <c r="D45" t="s">
        <v>45</v>
      </c>
      <c r="E45" t="s">
        <v>190</v>
      </c>
      <c r="F45" t="s">
        <v>61</v>
      </c>
      <c r="G45" t="s">
        <v>48</v>
      </c>
      <c r="H45" t="s">
        <v>71</v>
      </c>
      <c r="I45" t="s">
        <v>72</v>
      </c>
      <c r="J45" t="s">
        <v>174</v>
      </c>
      <c r="K45" t="s">
        <v>228</v>
      </c>
      <c r="L45" t="s">
        <v>53</v>
      </c>
      <c r="N45" t="s">
        <v>229</v>
      </c>
      <c r="P45" t="s">
        <v>55</v>
      </c>
      <c r="R45" t="s">
        <v>56</v>
      </c>
      <c r="T45" t="s">
        <v>230</v>
      </c>
      <c r="U45" t="s">
        <v>58</v>
      </c>
      <c r="V45">
        <v>3</v>
      </c>
      <c r="W45">
        <v>1</v>
      </c>
      <c r="X45">
        <v>1</v>
      </c>
      <c r="Y45">
        <v>0</v>
      </c>
      <c r="Z45">
        <v>1</v>
      </c>
      <c r="AA45">
        <v>0</v>
      </c>
      <c r="AB45">
        <v>267.08</v>
      </c>
      <c r="AC45">
        <v>235</v>
      </c>
      <c r="AD45">
        <v>0</v>
      </c>
      <c r="AE45">
        <v>32.07</v>
      </c>
      <c r="AF45">
        <v>0</v>
      </c>
      <c r="AG45">
        <v>0</v>
      </c>
      <c r="AH45">
        <v>0</v>
      </c>
      <c r="AI45">
        <v>0</v>
      </c>
      <c r="AJ45">
        <v>267.07</v>
      </c>
      <c r="AK45">
        <v>-0.01</v>
      </c>
      <c r="AL45" t="s">
        <v>53</v>
      </c>
      <c r="AM45" t="s">
        <v>53</v>
      </c>
      <c r="AN45" t="s">
        <v>231</v>
      </c>
      <c r="AO45" t="s">
        <v>53</v>
      </c>
      <c r="AP45" t="s">
        <v>53</v>
      </c>
    </row>
    <row r="46" spans="2:42" x14ac:dyDescent="0.2">
      <c r="B46" t="s">
        <v>44</v>
      </c>
      <c r="C46" t="str">
        <f>HYPERLINK("https://us2.cloudbeds.com/connect/8493803454333002#/reservations/598490677479?display=E1DR6B7N&amp;reservation_id=598490677479", "E1DR6B7N")</f>
        <v>E1DR6B7N</v>
      </c>
      <c r="D46" t="s">
        <v>45</v>
      </c>
      <c r="E46" t="s">
        <v>185</v>
      </c>
      <c r="F46" t="s">
        <v>47</v>
      </c>
      <c r="G46" t="s">
        <v>48</v>
      </c>
      <c r="H46" t="s">
        <v>49</v>
      </c>
      <c r="I46" t="s">
        <v>79</v>
      </c>
      <c r="J46" t="s">
        <v>232</v>
      </c>
      <c r="K46" t="s">
        <v>233</v>
      </c>
      <c r="L46" t="s">
        <v>53</v>
      </c>
      <c r="N46" t="s">
        <v>234</v>
      </c>
      <c r="P46" t="s">
        <v>55</v>
      </c>
      <c r="R46" t="s">
        <v>56</v>
      </c>
      <c r="T46" t="s">
        <v>235</v>
      </c>
      <c r="U46" t="s">
        <v>58</v>
      </c>
      <c r="V46">
        <v>1</v>
      </c>
      <c r="W46">
        <v>1</v>
      </c>
      <c r="X46">
        <v>1</v>
      </c>
      <c r="Y46">
        <v>0</v>
      </c>
      <c r="Z46">
        <v>1</v>
      </c>
      <c r="AA46">
        <v>0</v>
      </c>
      <c r="AB46">
        <v>76.709999999999994</v>
      </c>
      <c r="AC46">
        <v>67.5</v>
      </c>
      <c r="AD46">
        <v>0</v>
      </c>
      <c r="AE46">
        <v>9.2100000000000009</v>
      </c>
      <c r="AF46">
        <v>0</v>
      </c>
      <c r="AG46">
        <v>0</v>
      </c>
      <c r="AH46">
        <v>0</v>
      </c>
      <c r="AI46">
        <v>0</v>
      </c>
      <c r="AJ46">
        <v>76.709999999999994</v>
      </c>
      <c r="AK46">
        <v>0</v>
      </c>
      <c r="AL46" t="s">
        <v>53</v>
      </c>
      <c r="AM46" t="s">
        <v>53</v>
      </c>
      <c r="AN46" t="s">
        <v>59</v>
      </c>
      <c r="AO46" t="s">
        <v>53</v>
      </c>
      <c r="AP46" t="s">
        <v>53</v>
      </c>
    </row>
    <row r="47" spans="2:42" x14ac:dyDescent="0.2">
      <c r="B47" t="s">
        <v>44</v>
      </c>
      <c r="C47" t="str">
        <f>HYPERLINK("https://us2.cloudbeds.com/connect/8493803454333002#/reservations/598218023041?display=E16S9AS0&amp;reservation_id=598218023041", "E16S9AS0")</f>
        <v>E16S9AS0</v>
      </c>
      <c r="D47" t="s">
        <v>45</v>
      </c>
      <c r="E47" t="s">
        <v>69</v>
      </c>
      <c r="F47" t="s">
        <v>70</v>
      </c>
      <c r="G47" t="s">
        <v>48</v>
      </c>
      <c r="H47" t="s">
        <v>49</v>
      </c>
      <c r="I47" t="s">
        <v>62</v>
      </c>
      <c r="J47" t="s">
        <v>236</v>
      </c>
      <c r="K47" t="s">
        <v>237</v>
      </c>
      <c r="L47" t="s">
        <v>53</v>
      </c>
      <c r="N47" t="s">
        <v>238</v>
      </c>
      <c r="P47" t="s">
        <v>55</v>
      </c>
      <c r="R47" t="s">
        <v>118</v>
      </c>
      <c r="T47" t="s">
        <v>235</v>
      </c>
      <c r="U47" t="s">
        <v>58</v>
      </c>
      <c r="V47">
        <v>1</v>
      </c>
      <c r="W47">
        <v>1</v>
      </c>
      <c r="X47">
        <v>1</v>
      </c>
      <c r="Y47">
        <v>0</v>
      </c>
      <c r="Z47">
        <v>1</v>
      </c>
      <c r="AA47">
        <v>0</v>
      </c>
      <c r="AB47">
        <v>142.06</v>
      </c>
      <c r="AC47">
        <v>125</v>
      </c>
      <c r="AD47">
        <v>0</v>
      </c>
      <c r="AE47">
        <v>17.07</v>
      </c>
      <c r="AF47">
        <v>0</v>
      </c>
      <c r="AG47">
        <v>0</v>
      </c>
      <c r="AH47">
        <v>0</v>
      </c>
      <c r="AI47">
        <v>21.31</v>
      </c>
      <c r="AJ47">
        <v>142.07</v>
      </c>
      <c r="AK47">
        <v>0.01</v>
      </c>
      <c r="AL47" t="s">
        <v>53</v>
      </c>
      <c r="AM47" t="s">
        <v>53</v>
      </c>
      <c r="AN47" t="s">
        <v>59</v>
      </c>
      <c r="AO47" t="s">
        <v>53</v>
      </c>
      <c r="AP47" t="s">
        <v>53</v>
      </c>
    </row>
    <row r="48" spans="2:42" x14ac:dyDescent="0.2">
      <c r="B48" t="s">
        <v>44</v>
      </c>
      <c r="C48" t="str">
        <f>HYPERLINK("https://us2.cloudbeds.com/connect/8493803454333002#/reservations/598188347528?display=E1638XK0&amp;reservation_id=598188347528", "E1638XK0")</f>
        <v>E1638XK0</v>
      </c>
      <c r="D48" t="s">
        <v>45</v>
      </c>
      <c r="E48" t="s">
        <v>69</v>
      </c>
      <c r="F48" t="s">
        <v>70</v>
      </c>
      <c r="G48" t="s">
        <v>48</v>
      </c>
      <c r="H48" t="s">
        <v>49</v>
      </c>
      <c r="I48" t="s">
        <v>79</v>
      </c>
      <c r="J48" t="s">
        <v>239</v>
      </c>
      <c r="K48" t="s">
        <v>240</v>
      </c>
      <c r="L48" t="s">
        <v>53</v>
      </c>
      <c r="N48" t="s">
        <v>241</v>
      </c>
      <c r="P48" t="s">
        <v>55</v>
      </c>
      <c r="R48" t="s">
        <v>56</v>
      </c>
      <c r="T48" t="s">
        <v>235</v>
      </c>
      <c r="U48" t="s">
        <v>58</v>
      </c>
      <c r="V48">
        <v>3</v>
      </c>
      <c r="W48">
        <v>1</v>
      </c>
      <c r="X48">
        <v>1</v>
      </c>
      <c r="Y48">
        <v>0</v>
      </c>
      <c r="Z48">
        <v>1</v>
      </c>
      <c r="AA48">
        <v>0</v>
      </c>
      <c r="AB48">
        <v>230.71</v>
      </c>
      <c r="AC48">
        <v>203</v>
      </c>
      <c r="AD48">
        <v>0</v>
      </c>
      <c r="AE48">
        <v>27.69</v>
      </c>
      <c r="AF48">
        <v>0</v>
      </c>
      <c r="AG48">
        <v>0</v>
      </c>
      <c r="AH48">
        <v>0</v>
      </c>
      <c r="AI48">
        <v>0</v>
      </c>
      <c r="AJ48">
        <v>230.69</v>
      </c>
      <c r="AK48">
        <v>-0.02</v>
      </c>
      <c r="AL48" t="s">
        <v>53</v>
      </c>
      <c r="AM48" t="s">
        <v>53</v>
      </c>
      <c r="AN48" t="s">
        <v>91</v>
      </c>
      <c r="AO48" t="s">
        <v>53</v>
      </c>
      <c r="AP48" t="s">
        <v>53</v>
      </c>
    </row>
    <row r="49" spans="2:42" x14ac:dyDescent="0.2">
      <c r="B49" t="s">
        <v>44</v>
      </c>
      <c r="C49" t="str">
        <f>HYPERLINK("https://us2.cloudbeds.com/connect/8493803454333002#/reservations/598303441101?display=E191A702&amp;reservation_id=598303441101", "E191A702")</f>
        <v>E191A702</v>
      </c>
      <c r="D49" t="s">
        <v>45</v>
      </c>
      <c r="E49" t="s">
        <v>138</v>
      </c>
      <c r="F49" t="s">
        <v>70</v>
      </c>
      <c r="G49" t="s">
        <v>48</v>
      </c>
      <c r="H49" t="s">
        <v>49</v>
      </c>
      <c r="I49" t="s">
        <v>62</v>
      </c>
      <c r="J49" t="s">
        <v>242</v>
      </c>
      <c r="K49" t="s">
        <v>243</v>
      </c>
      <c r="L49" t="s">
        <v>53</v>
      </c>
      <c r="N49" t="s">
        <v>244</v>
      </c>
      <c r="P49" t="s">
        <v>55</v>
      </c>
      <c r="R49" t="s">
        <v>118</v>
      </c>
      <c r="T49" t="s">
        <v>235</v>
      </c>
      <c r="U49" t="s">
        <v>58</v>
      </c>
      <c r="V49">
        <v>2</v>
      </c>
      <c r="W49">
        <v>1</v>
      </c>
      <c r="X49">
        <v>1</v>
      </c>
      <c r="Y49">
        <v>0</v>
      </c>
      <c r="Z49">
        <v>1</v>
      </c>
      <c r="AA49">
        <v>0</v>
      </c>
      <c r="AB49">
        <v>143.19999999999999</v>
      </c>
      <c r="AC49">
        <v>126</v>
      </c>
      <c r="AD49">
        <v>0</v>
      </c>
      <c r="AE49">
        <v>17.22</v>
      </c>
      <c r="AF49">
        <v>0</v>
      </c>
      <c r="AG49">
        <v>0</v>
      </c>
      <c r="AH49">
        <v>0</v>
      </c>
      <c r="AI49">
        <v>21.48</v>
      </c>
      <c r="AJ49">
        <v>143.22</v>
      </c>
      <c r="AK49">
        <v>0.02</v>
      </c>
      <c r="AL49" t="s">
        <v>53</v>
      </c>
      <c r="AM49" t="s">
        <v>53</v>
      </c>
      <c r="AN49" t="s">
        <v>245</v>
      </c>
      <c r="AO49" t="s">
        <v>53</v>
      </c>
      <c r="AP49" t="s">
        <v>53</v>
      </c>
    </row>
    <row r="50" spans="2:42" x14ac:dyDescent="0.2">
      <c r="B50" t="s">
        <v>44</v>
      </c>
      <c r="C50" t="str">
        <f>HYPERLINK("https://us2.cloudbeds.com/connect/8493803454333002#/reservations/598162591892?display=E15EHST7&amp;reservation_id=598162591892", "E15EHST7")</f>
        <v>E15EHST7</v>
      </c>
      <c r="D50" t="s">
        <v>45</v>
      </c>
      <c r="E50" t="s">
        <v>128</v>
      </c>
      <c r="F50" t="s">
        <v>86</v>
      </c>
      <c r="G50" t="s">
        <v>48</v>
      </c>
      <c r="H50" t="s">
        <v>49</v>
      </c>
      <c r="I50" t="s">
        <v>79</v>
      </c>
      <c r="J50" t="s">
        <v>246</v>
      </c>
      <c r="K50" t="s">
        <v>73</v>
      </c>
      <c r="L50" t="s">
        <v>53</v>
      </c>
      <c r="N50" t="s">
        <v>247</v>
      </c>
      <c r="P50" t="s">
        <v>55</v>
      </c>
      <c r="R50" t="s">
        <v>56</v>
      </c>
      <c r="T50" t="s">
        <v>248</v>
      </c>
      <c r="U50" t="s">
        <v>58</v>
      </c>
      <c r="V50">
        <v>2</v>
      </c>
      <c r="W50">
        <v>1</v>
      </c>
      <c r="X50">
        <v>1</v>
      </c>
      <c r="Y50">
        <v>0</v>
      </c>
      <c r="Z50">
        <v>1</v>
      </c>
      <c r="AA50">
        <v>0</v>
      </c>
      <c r="AB50">
        <v>182.07</v>
      </c>
      <c r="AC50">
        <v>160.19999999999999</v>
      </c>
      <c r="AD50">
        <v>0</v>
      </c>
      <c r="AE50">
        <v>21.86</v>
      </c>
      <c r="AF50">
        <v>0</v>
      </c>
      <c r="AG50">
        <v>0</v>
      </c>
      <c r="AH50">
        <v>0</v>
      </c>
      <c r="AI50">
        <v>0</v>
      </c>
      <c r="AJ50">
        <v>182.06</v>
      </c>
      <c r="AK50">
        <v>-0.01</v>
      </c>
      <c r="AL50" t="s">
        <v>53</v>
      </c>
      <c r="AM50" t="s">
        <v>53</v>
      </c>
      <c r="AN50" t="s">
        <v>146</v>
      </c>
      <c r="AO50" t="s">
        <v>53</v>
      </c>
      <c r="AP50" t="s">
        <v>53</v>
      </c>
    </row>
    <row r="51" spans="2:42" x14ac:dyDescent="0.2">
      <c r="B51" t="s">
        <v>44</v>
      </c>
      <c r="C51" t="str">
        <f>HYPERLINK("https://us2.cloudbeds.com/connect/8493803454333002#/reservations/598294790282?display=E18R0G61&amp;reservation_id=598294790282", "E18R0G61")</f>
        <v>E18R0G61</v>
      </c>
      <c r="D51" t="s">
        <v>45</v>
      </c>
      <c r="E51" t="s">
        <v>138</v>
      </c>
      <c r="F51" t="s">
        <v>70</v>
      </c>
      <c r="G51" t="s">
        <v>48</v>
      </c>
      <c r="H51" t="s">
        <v>49</v>
      </c>
      <c r="I51" t="s">
        <v>79</v>
      </c>
      <c r="J51" t="s">
        <v>175</v>
      </c>
      <c r="K51" t="s">
        <v>249</v>
      </c>
      <c r="L51" t="s">
        <v>53</v>
      </c>
      <c r="N51" t="s">
        <v>250</v>
      </c>
      <c r="P51" t="s">
        <v>55</v>
      </c>
      <c r="R51" t="s">
        <v>56</v>
      </c>
      <c r="T51" t="s">
        <v>251</v>
      </c>
      <c r="U51" t="s">
        <v>58</v>
      </c>
      <c r="V51">
        <v>1</v>
      </c>
      <c r="W51">
        <v>1</v>
      </c>
      <c r="X51">
        <v>1</v>
      </c>
      <c r="Y51">
        <v>0</v>
      </c>
      <c r="Z51">
        <v>1</v>
      </c>
      <c r="AA51">
        <v>0</v>
      </c>
      <c r="AB51">
        <v>70.58</v>
      </c>
      <c r="AC51">
        <v>62.1</v>
      </c>
      <c r="AD51">
        <v>0</v>
      </c>
      <c r="AE51">
        <v>8.4700000000000006</v>
      </c>
      <c r="AF51">
        <v>0</v>
      </c>
      <c r="AG51">
        <v>0</v>
      </c>
      <c r="AH51">
        <v>0</v>
      </c>
      <c r="AI51">
        <v>0</v>
      </c>
      <c r="AJ51">
        <v>70.569999999999993</v>
      </c>
      <c r="AK51">
        <v>-0.01</v>
      </c>
      <c r="AL51" t="s">
        <v>53</v>
      </c>
      <c r="AM51" t="s">
        <v>53</v>
      </c>
      <c r="AN51" t="s">
        <v>252</v>
      </c>
      <c r="AO51" t="s">
        <v>53</v>
      </c>
      <c r="AP51" t="s">
        <v>53</v>
      </c>
    </row>
    <row r="52" spans="2:42" x14ac:dyDescent="0.2">
      <c r="B52" t="s">
        <v>44</v>
      </c>
      <c r="C52" t="str">
        <f>HYPERLINK("https://us2.cloudbeds.com/connect/8493803454333002#/reservations/598155485337?display=E158X442&amp;reservation_id=598155485337", "E158X442")</f>
        <v>E158X442</v>
      </c>
      <c r="D52" t="s">
        <v>45</v>
      </c>
      <c r="E52" t="s">
        <v>113</v>
      </c>
      <c r="F52" t="s">
        <v>61</v>
      </c>
      <c r="G52" t="s">
        <v>48</v>
      </c>
      <c r="H52" t="s">
        <v>49</v>
      </c>
      <c r="I52" t="s">
        <v>50</v>
      </c>
      <c r="J52" t="s">
        <v>192</v>
      </c>
      <c r="K52" t="s">
        <v>253</v>
      </c>
      <c r="L52" t="s">
        <v>53</v>
      </c>
      <c r="N52" t="s">
        <v>254</v>
      </c>
      <c r="P52" t="s">
        <v>55</v>
      </c>
      <c r="R52" t="s">
        <v>56</v>
      </c>
      <c r="T52" t="s">
        <v>255</v>
      </c>
      <c r="U52" t="s">
        <v>58</v>
      </c>
      <c r="V52">
        <v>2</v>
      </c>
      <c r="W52">
        <v>1</v>
      </c>
      <c r="X52">
        <v>1</v>
      </c>
      <c r="Y52">
        <v>0</v>
      </c>
      <c r="Z52">
        <v>1</v>
      </c>
      <c r="AA52">
        <v>0</v>
      </c>
      <c r="AB52">
        <v>225.03</v>
      </c>
      <c r="AC52">
        <v>198</v>
      </c>
      <c r="AD52">
        <v>0</v>
      </c>
      <c r="AE52">
        <v>27.04</v>
      </c>
      <c r="AF52">
        <v>0</v>
      </c>
      <c r="AG52">
        <v>0</v>
      </c>
      <c r="AH52">
        <v>0</v>
      </c>
      <c r="AI52">
        <v>40.51</v>
      </c>
      <c r="AJ52">
        <v>225.04</v>
      </c>
      <c r="AK52">
        <v>0.01</v>
      </c>
      <c r="AL52" t="s">
        <v>53</v>
      </c>
      <c r="AM52" t="s">
        <v>53</v>
      </c>
      <c r="AN52" t="s">
        <v>84</v>
      </c>
      <c r="AO52" t="s">
        <v>53</v>
      </c>
      <c r="AP52" t="s">
        <v>53</v>
      </c>
    </row>
    <row r="53" spans="2:42" x14ac:dyDescent="0.2">
      <c r="B53" t="s">
        <v>44</v>
      </c>
      <c r="C53" t="str">
        <f>HYPERLINK("https://us2.cloudbeds.com/connect/8493803454333002#/reservations/598492938461?display=E1DT38E9&amp;reservation_id=598492938461", "E1DT38E9")</f>
        <v>E1DT38E9</v>
      </c>
      <c r="D53" t="s">
        <v>45</v>
      </c>
      <c r="E53" t="s">
        <v>155</v>
      </c>
      <c r="F53" t="s">
        <v>86</v>
      </c>
      <c r="G53" t="s">
        <v>48</v>
      </c>
      <c r="H53" t="s">
        <v>71</v>
      </c>
      <c r="I53" t="s">
        <v>72</v>
      </c>
      <c r="J53" t="s">
        <v>148</v>
      </c>
      <c r="K53" t="s">
        <v>73</v>
      </c>
      <c r="L53" t="s">
        <v>53</v>
      </c>
      <c r="N53" t="s">
        <v>256</v>
      </c>
      <c r="P53" t="s">
        <v>55</v>
      </c>
      <c r="R53" t="s">
        <v>56</v>
      </c>
      <c r="T53" t="s">
        <v>257</v>
      </c>
      <c r="U53" t="s">
        <v>58</v>
      </c>
      <c r="V53">
        <v>3</v>
      </c>
      <c r="W53">
        <v>1</v>
      </c>
      <c r="X53">
        <v>1</v>
      </c>
      <c r="Y53">
        <v>0</v>
      </c>
      <c r="Z53">
        <v>1</v>
      </c>
      <c r="AA53">
        <v>0</v>
      </c>
      <c r="AB53">
        <v>317.08</v>
      </c>
      <c r="AC53">
        <v>279</v>
      </c>
      <c r="AD53">
        <v>0</v>
      </c>
      <c r="AE53">
        <v>38.1</v>
      </c>
      <c r="AF53">
        <v>0</v>
      </c>
      <c r="AG53">
        <v>0</v>
      </c>
      <c r="AH53">
        <v>0</v>
      </c>
      <c r="AI53">
        <v>0</v>
      </c>
      <c r="AJ53">
        <v>317.10000000000002</v>
      </c>
      <c r="AK53">
        <v>0.02</v>
      </c>
      <c r="AL53" t="s">
        <v>53</v>
      </c>
      <c r="AM53" t="s">
        <v>53</v>
      </c>
      <c r="AN53" t="s">
        <v>258</v>
      </c>
      <c r="AO53" t="s">
        <v>53</v>
      </c>
      <c r="AP53" t="s">
        <v>53</v>
      </c>
    </row>
    <row r="54" spans="2:42" x14ac:dyDescent="0.2">
      <c r="B54" t="s">
        <v>44</v>
      </c>
      <c r="C54" t="str">
        <f>HYPERLINK("https://us2.cloudbeds.com/connect/8493803454333002#/reservations/598578393243?display=E1G255A5&amp;reservation_id=598578393243", "E1G255A5")</f>
        <v>E1G255A5</v>
      </c>
      <c r="D54" t="s">
        <v>45</v>
      </c>
      <c r="E54" t="s">
        <v>69</v>
      </c>
      <c r="F54" t="s">
        <v>70</v>
      </c>
      <c r="G54" t="s">
        <v>48</v>
      </c>
      <c r="H54" t="s">
        <v>49</v>
      </c>
      <c r="I54" t="s">
        <v>79</v>
      </c>
      <c r="J54" t="s">
        <v>259</v>
      </c>
      <c r="K54" t="s">
        <v>260</v>
      </c>
      <c r="L54" t="s">
        <v>53</v>
      </c>
      <c r="N54" t="s">
        <v>261</v>
      </c>
      <c r="P54" t="s">
        <v>55</v>
      </c>
      <c r="R54" t="s">
        <v>56</v>
      </c>
      <c r="T54" t="s">
        <v>257</v>
      </c>
      <c r="U54" t="s">
        <v>58</v>
      </c>
      <c r="V54">
        <v>3</v>
      </c>
      <c r="W54">
        <v>1</v>
      </c>
      <c r="X54">
        <v>1</v>
      </c>
      <c r="Y54">
        <v>0</v>
      </c>
      <c r="Z54">
        <v>1</v>
      </c>
      <c r="AA54">
        <v>0</v>
      </c>
      <c r="AB54">
        <v>358</v>
      </c>
      <c r="AC54">
        <v>315</v>
      </c>
      <c r="AD54">
        <v>0</v>
      </c>
      <c r="AE54">
        <v>43.02</v>
      </c>
      <c r="AF54">
        <v>0</v>
      </c>
      <c r="AG54">
        <v>0</v>
      </c>
      <c r="AH54">
        <v>0</v>
      </c>
      <c r="AI54">
        <v>0</v>
      </c>
      <c r="AJ54">
        <v>358.02</v>
      </c>
      <c r="AK54">
        <v>0.02</v>
      </c>
      <c r="AL54" t="s">
        <v>53</v>
      </c>
      <c r="AM54" t="s">
        <v>53</v>
      </c>
      <c r="AN54" t="s">
        <v>245</v>
      </c>
      <c r="AO54" t="s">
        <v>53</v>
      </c>
      <c r="AP54" t="s">
        <v>53</v>
      </c>
    </row>
    <row r="55" spans="2:42" x14ac:dyDescent="0.2">
      <c r="B55" t="s">
        <v>44</v>
      </c>
      <c r="C55" t="str">
        <f>HYPERLINK("https://us2.cloudbeds.com/connect/8493803454333002#/reservations/598483620017?display=E1DY7VX7&amp;reservation_id=598483620017", "E1DY7VX7")</f>
        <v>E1DY7VX7</v>
      </c>
      <c r="D55" t="s">
        <v>45</v>
      </c>
      <c r="E55" t="s">
        <v>138</v>
      </c>
      <c r="F55" t="s">
        <v>70</v>
      </c>
      <c r="G55" t="s">
        <v>48</v>
      </c>
      <c r="H55" t="s">
        <v>49</v>
      </c>
      <c r="I55" t="s">
        <v>62</v>
      </c>
      <c r="J55" t="s">
        <v>262</v>
      </c>
      <c r="K55" t="s">
        <v>240</v>
      </c>
      <c r="L55" t="s">
        <v>53</v>
      </c>
      <c r="N55" t="s">
        <v>263</v>
      </c>
      <c r="P55" t="s">
        <v>55</v>
      </c>
      <c r="R55" t="s">
        <v>56</v>
      </c>
      <c r="T55" t="s">
        <v>264</v>
      </c>
      <c r="U55" t="s">
        <v>58</v>
      </c>
      <c r="V55">
        <v>1</v>
      </c>
      <c r="W55">
        <v>1</v>
      </c>
      <c r="X55">
        <v>1</v>
      </c>
      <c r="Y55">
        <v>0</v>
      </c>
      <c r="Z55">
        <v>1</v>
      </c>
      <c r="AA55">
        <v>0</v>
      </c>
      <c r="AB55">
        <v>76.150000000000006</v>
      </c>
      <c r="AC55">
        <v>67</v>
      </c>
      <c r="AD55">
        <v>0</v>
      </c>
      <c r="AE55">
        <v>9.15</v>
      </c>
      <c r="AF55">
        <v>0</v>
      </c>
      <c r="AG55">
        <v>0</v>
      </c>
      <c r="AH55">
        <v>0</v>
      </c>
      <c r="AI55">
        <v>11.42</v>
      </c>
      <c r="AJ55">
        <v>76.150000000000006</v>
      </c>
      <c r="AK55">
        <v>0</v>
      </c>
      <c r="AL55" t="s">
        <v>53</v>
      </c>
      <c r="AM55" t="s">
        <v>53</v>
      </c>
      <c r="AN55" t="s">
        <v>112</v>
      </c>
      <c r="AO55" t="s">
        <v>53</v>
      </c>
      <c r="AP55" t="s">
        <v>53</v>
      </c>
    </row>
    <row r="56" spans="2:42" x14ac:dyDescent="0.2">
      <c r="B56" t="s">
        <v>44</v>
      </c>
      <c r="C56" t="str">
        <f>HYPERLINK("https://us2.cloudbeds.com/connect/8493803454333002#/reservations/598095052948?display=E13NJGYX&amp;reservation_id=598095052948", "E13NJGYX")</f>
        <v>E13NJGYX</v>
      </c>
      <c r="D56" t="s">
        <v>45</v>
      </c>
      <c r="E56" t="s">
        <v>265</v>
      </c>
      <c r="F56" t="s">
        <v>61</v>
      </c>
      <c r="G56" t="s">
        <v>48</v>
      </c>
      <c r="H56" t="s">
        <v>49</v>
      </c>
      <c r="I56" t="s">
        <v>266</v>
      </c>
      <c r="J56" t="s">
        <v>267</v>
      </c>
      <c r="K56" t="s">
        <v>268</v>
      </c>
      <c r="L56" t="s">
        <v>53</v>
      </c>
      <c r="N56" t="s">
        <v>269</v>
      </c>
      <c r="P56" t="s">
        <v>55</v>
      </c>
      <c r="R56" t="s">
        <v>56</v>
      </c>
      <c r="T56" t="s">
        <v>270</v>
      </c>
      <c r="U56" t="s">
        <v>58</v>
      </c>
      <c r="V56">
        <v>1</v>
      </c>
      <c r="W56">
        <v>1</v>
      </c>
      <c r="X56">
        <v>1</v>
      </c>
      <c r="Y56">
        <v>0</v>
      </c>
      <c r="Z56">
        <v>1</v>
      </c>
      <c r="AA56">
        <v>0</v>
      </c>
      <c r="AB56">
        <v>74.67</v>
      </c>
      <c r="AC56">
        <v>65.7</v>
      </c>
      <c r="AD56">
        <v>0</v>
      </c>
      <c r="AE56">
        <v>8.9700000000000006</v>
      </c>
      <c r="AF56">
        <v>0</v>
      </c>
      <c r="AG56">
        <v>0</v>
      </c>
      <c r="AH56">
        <v>0</v>
      </c>
      <c r="AI56">
        <v>0</v>
      </c>
      <c r="AJ56">
        <v>74.67</v>
      </c>
      <c r="AK56">
        <v>0</v>
      </c>
      <c r="AL56" t="s">
        <v>53</v>
      </c>
      <c r="AM56" t="s">
        <v>53</v>
      </c>
      <c r="AN56" t="s">
        <v>271</v>
      </c>
      <c r="AO56" t="s">
        <v>53</v>
      </c>
      <c r="AP56" t="s">
        <v>53</v>
      </c>
    </row>
    <row r="57" spans="2:42" x14ac:dyDescent="0.2">
      <c r="B57" t="s">
        <v>44</v>
      </c>
      <c r="C57" t="str">
        <f>HYPERLINK("https://us2.cloudbeds.com/connect/8493803454333002#/reservations/598263541954?display=E180YVYW&amp;reservation_id=598263541954", "E180YVYW")</f>
        <v>E180YVYW</v>
      </c>
      <c r="D57" t="s">
        <v>45</v>
      </c>
      <c r="E57" t="s">
        <v>138</v>
      </c>
      <c r="F57" t="s">
        <v>70</v>
      </c>
      <c r="G57" t="s">
        <v>48</v>
      </c>
      <c r="H57" t="s">
        <v>49</v>
      </c>
      <c r="I57" t="s">
        <v>114</v>
      </c>
      <c r="J57" t="s">
        <v>272</v>
      </c>
      <c r="K57" t="s">
        <v>273</v>
      </c>
      <c r="L57" t="s">
        <v>53</v>
      </c>
      <c r="N57" t="s">
        <v>274</v>
      </c>
      <c r="P57" t="s">
        <v>55</v>
      </c>
      <c r="R57" t="s">
        <v>56</v>
      </c>
      <c r="T57" t="s">
        <v>275</v>
      </c>
      <c r="U57" t="s">
        <v>58</v>
      </c>
      <c r="V57">
        <v>1</v>
      </c>
      <c r="W57">
        <v>1</v>
      </c>
      <c r="X57">
        <v>1</v>
      </c>
      <c r="Y57">
        <v>0</v>
      </c>
      <c r="Z57">
        <v>1</v>
      </c>
      <c r="AA57">
        <v>0</v>
      </c>
      <c r="AB57">
        <v>71.599999999999994</v>
      </c>
      <c r="AC57">
        <v>63</v>
      </c>
      <c r="AD57">
        <v>0</v>
      </c>
      <c r="AE57">
        <v>8.61</v>
      </c>
      <c r="AF57">
        <v>0</v>
      </c>
      <c r="AG57">
        <v>0</v>
      </c>
      <c r="AH57">
        <v>0</v>
      </c>
      <c r="AI57">
        <v>0</v>
      </c>
      <c r="AJ57">
        <v>71.61</v>
      </c>
      <c r="AK57">
        <v>0.01</v>
      </c>
      <c r="AL57" t="s">
        <v>53</v>
      </c>
      <c r="AM57" t="s">
        <v>53</v>
      </c>
      <c r="AN57" t="s">
        <v>276</v>
      </c>
      <c r="AO57" t="s">
        <v>53</v>
      </c>
      <c r="AP57" t="s">
        <v>53</v>
      </c>
    </row>
    <row r="58" spans="2:42" x14ac:dyDescent="0.2">
      <c r="B58" t="s">
        <v>44</v>
      </c>
      <c r="C58" t="str">
        <f>HYPERLINK("https://us2.cloudbeds.com/connect/8493803454333002#/reservations/598486814890?display=E1DNUSAH&amp;reservation_id=598486814890", "E1DNUSAH")</f>
        <v>E1DNUSAH</v>
      </c>
      <c r="D58" t="s">
        <v>45</v>
      </c>
      <c r="E58" t="s">
        <v>223</v>
      </c>
      <c r="F58" t="s">
        <v>47</v>
      </c>
      <c r="G58" t="s">
        <v>48</v>
      </c>
      <c r="H58" t="s">
        <v>49</v>
      </c>
      <c r="I58" t="s">
        <v>79</v>
      </c>
      <c r="J58" t="s">
        <v>262</v>
      </c>
      <c r="K58" t="s">
        <v>277</v>
      </c>
      <c r="L58" t="s">
        <v>53</v>
      </c>
      <c r="N58" t="s">
        <v>278</v>
      </c>
      <c r="P58" t="s">
        <v>55</v>
      </c>
      <c r="R58" t="s">
        <v>56</v>
      </c>
      <c r="T58" t="s">
        <v>279</v>
      </c>
      <c r="U58" t="s">
        <v>58</v>
      </c>
      <c r="V58">
        <v>4</v>
      </c>
      <c r="W58">
        <v>1</v>
      </c>
      <c r="X58">
        <v>1</v>
      </c>
      <c r="Y58">
        <v>0</v>
      </c>
      <c r="Z58">
        <v>1</v>
      </c>
      <c r="AA58">
        <v>0</v>
      </c>
      <c r="AB58">
        <v>336.4</v>
      </c>
      <c r="AC58">
        <v>296</v>
      </c>
      <c r="AD58">
        <v>0</v>
      </c>
      <c r="AE58">
        <v>40.44</v>
      </c>
      <c r="AF58">
        <v>0</v>
      </c>
      <c r="AG58">
        <v>0</v>
      </c>
      <c r="AH58">
        <v>0</v>
      </c>
      <c r="AI58">
        <v>0</v>
      </c>
      <c r="AJ58">
        <v>336.44</v>
      </c>
      <c r="AK58">
        <v>0.04</v>
      </c>
      <c r="AL58" t="s">
        <v>53</v>
      </c>
      <c r="AM58" t="s">
        <v>53</v>
      </c>
      <c r="AN58" t="s">
        <v>280</v>
      </c>
      <c r="AO58" t="s">
        <v>53</v>
      </c>
      <c r="AP58" t="s">
        <v>53</v>
      </c>
    </row>
    <row r="59" spans="2:42" x14ac:dyDescent="0.2">
      <c r="B59" t="s">
        <v>44</v>
      </c>
      <c r="C59" t="str">
        <f>HYPERLINK("https://us2.cloudbeds.com/connect/8493803454333002#/reservations/598404292739?display=E1BKBXDA&amp;reservation_id=598404292739", "E1BKBXDA")</f>
        <v>E1BKBXDA</v>
      </c>
      <c r="D59" t="s">
        <v>45</v>
      </c>
      <c r="E59" t="s">
        <v>185</v>
      </c>
      <c r="F59" t="s">
        <v>47</v>
      </c>
      <c r="G59" t="s">
        <v>48</v>
      </c>
      <c r="H59" t="s">
        <v>49</v>
      </c>
      <c r="I59" t="s">
        <v>79</v>
      </c>
      <c r="J59" t="s">
        <v>281</v>
      </c>
      <c r="K59" t="s">
        <v>282</v>
      </c>
      <c r="L59" t="s">
        <v>53</v>
      </c>
      <c r="N59" t="s">
        <v>283</v>
      </c>
      <c r="P59" t="s">
        <v>55</v>
      </c>
      <c r="R59" t="s">
        <v>56</v>
      </c>
      <c r="T59" t="s">
        <v>284</v>
      </c>
      <c r="U59" t="s">
        <v>58</v>
      </c>
      <c r="V59">
        <v>2</v>
      </c>
      <c r="W59">
        <v>1</v>
      </c>
      <c r="X59">
        <v>1</v>
      </c>
      <c r="Y59">
        <v>0</v>
      </c>
      <c r="Z59">
        <v>1</v>
      </c>
      <c r="AA59">
        <v>0</v>
      </c>
      <c r="AB59">
        <v>206.62</v>
      </c>
      <c r="AC59">
        <v>181.8</v>
      </c>
      <c r="AD59">
        <v>0</v>
      </c>
      <c r="AE59">
        <v>24.82</v>
      </c>
      <c r="AF59">
        <v>0</v>
      </c>
      <c r="AG59">
        <v>0</v>
      </c>
      <c r="AH59">
        <v>0</v>
      </c>
      <c r="AI59">
        <v>0</v>
      </c>
      <c r="AJ59">
        <v>206.62</v>
      </c>
      <c r="AK59">
        <v>0</v>
      </c>
      <c r="AL59" t="s">
        <v>53</v>
      </c>
      <c r="AM59" t="s">
        <v>53</v>
      </c>
      <c r="AN59" t="s">
        <v>91</v>
      </c>
      <c r="AO59" t="s">
        <v>53</v>
      </c>
      <c r="AP59" t="s">
        <v>53</v>
      </c>
    </row>
    <row r="60" spans="2:42" x14ac:dyDescent="0.2">
      <c r="B60" t="s">
        <v>44</v>
      </c>
      <c r="C60" t="str">
        <f>HYPERLINK("https://us2.cloudbeds.com/connect/8493803454333002#/reservations/598367318157?display=E1AM5MKD&amp;reservation_id=598367318157", "E1AM5MKD")</f>
        <v>E1AM5MKD</v>
      </c>
      <c r="D60" t="s">
        <v>45</v>
      </c>
      <c r="E60" t="s">
        <v>138</v>
      </c>
      <c r="F60" t="s">
        <v>70</v>
      </c>
      <c r="G60" t="s">
        <v>48</v>
      </c>
      <c r="H60" t="s">
        <v>49</v>
      </c>
      <c r="I60" t="s">
        <v>62</v>
      </c>
      <c r="J60" t="s">
        <v>160</v>
      </c>
      <c r="K60" t="s">
        <v>161</v>
      </c>
      <c r="L60" t="s">
        <v>53</v>
      </c>
      <c r="N60" t="s">
        <v>285</v>
      </c>
      <c r="P60" t="s">
        <v>55</v>
      </c>
      <c r="R60" t="s">
        <v>56</v>
      </c>
      <c r="T60" t="s">
        <v>286</v>
      </c>
      <c r="U60" t="s">
        <v>58</v>
      </c>
      <c r="V60">
        <v>1</v>
      </c>
      <c r="W60">
        <v>1</v>
      </c>
      <c r="X60">
        <v>1</v>
      </c>
      <c r="Y60">
        <v>0</v>
      </c>
      <c r="Z60">
        <v>1</v>
      </c>
      <c r="AA60">
        <v>0</v>
      </c>
      <c r="AB60">
        <v>76.150000000000006</v>
      </c>
      <c r="AC60">
        <v>67</v>
      </c>
      <c r="AD60">
        <v>0</v>
      </c>
      <c r="AE60">
        <v>9.15</v>
      </c>
      <c r="AF60">
        <v>0</v>
      </c>
      <c r="AG60">
        <v>0</v>
      </c>
      <c r="AH60">
        <v>0</v>
      </c>
      <c r="AI60">
        <v>11.42</v>
      </c>
      <c r="AJ60">
        <v>76.150000000000006</v>
      </c>
      <c r="AK60">
        <v>0</v>
      </c>
      <c r="AL60" t="s">
        <v>53</v>
      </c>
      <c r="AM60" t="s">
        <v>53</v>
      </c>
      <c r="AN60" t="s">
        <v>287</v>
      </c>
      <c r="AO60" t="s">
        <v>53</v>
      </c>
      <c r="AP60" t="s">
        <v>53</v>
      </c>
    </row>
    <row r="61" spans="2:42" x14ac:dyDescent="0.2">
      <c r="B61" t="s">
        <v>44</v>
      </c>
      <c r="C61" t="str">
        <f>HYPERLINK("https://us2.cloudbeds.com/connect/8493803454333002#/reservations/598130311396?display=E14KAKXC&amp;reservation_id=598130311396", "E14KAKXC")</f>
        <v>E14KAKXC</v>
      </c>
      <c r="D61" t="s">
        <v>45</v>
      </c>
      <c r="E61" t="s">
        <v>223</v>
      </c>
      <c r="F61" t="s">
        <v>47</v>
      </c>
      <c r="G61" t="s">
        <v>48</v>
      </c>
      <c r="H61" t="s">
        <v>49</v>
      </c>
      <c r="I61" t="s">
        <v>62</v>
      </c>
      <c r="J61" t="s">
        <v>288</v>
      </c>
      <c r="K61" t="s">
        <v>289</v>
      </c>
      <c r="L61" t="s">
        <v>53</v>
      </c>
      <c r="N61" t="s">
        <v>290</v>
      </c>
      <c r="P61" t="s">
        <v>55</v>
      </c>
      <c r="R61" t="s">
        <v>56</v>
      </c>
      <c r="T61" t="s">
        <v>291</v>
      </c>
      <c r="U61" t="s">
        <v>58</v>
      </c>
      <c r="V61">
        <v>1</v>
      </c>
      <c r="W61">
        <v>1</v>
      </c>
      <c r="X61">
        <v>1</v>
      </c>
      <c r="Y61">
        <v>0</v>
      </c>
      <c r="Z61">
        <v>1</v>
      </c>
      <c r="AA61">
        <v>0</v>
      </c>
      <c r="AB61">
        <v>153.43</v>
      </c>
      <c r="AC61">
        <v>135</v>
      </c>
      <c r="AD61">
        <v>0</v>
      </c>
      <c r="AE61">
        <v>18.440000000000001</v>
      </c>
      <c r="AF61">
        <v>0</v>
      </c>
      <c r="AG61">
        <v>0</v>
      </c>
      <c r="AH61">
        <v>0</v>
      </c>
      <c r="AI61">
        <v>23.02</v>
      </c>
      <c r="AJ61">
        <v>153.44</v>
      </c>
      <c r="AK61">
        <v>0.01</v>
      </c>
      <c r="AL61" t="s">
        <v>53</v>
      </c>
      <c r="AM61" t="s">
        <v>53</v>
      </c>
      <c r="AN61" t="s">
        <v>112</v>
      </c>
      <c r="AO61" t="s">
        <v>53</v>
      </c>
      <c r="AP61" t="s">
        <v>53</v>
      </c>
    </row>
    <row r="62" spans="2:42" x14ac:dyDescent="0.2">
      <c r="B62" t="s">
        <v>44</v>
      </c>
      <c r="C62" t="str">
        <f>HYPERLINK("https://us2.cloudbeds.com/connect/8493803454333002#/reservations/598419472576?display=E1C04RV6&amp;reservation_id=598419472576", "E1C04RV6")</f>
        <v>E1C04RV6</v>
      </c>
      <c r="D62" t="s">
        <v>45</v>
      </c>
      <c r="E62" t="s">
        <v>98</v>
      </c>
      <c r="F62" t="s">
        <v>86</v>
      </c>
      <c r="G62" t="s">
        <v>48</v>
      </c>
      <c r="H62" t="s">
        <v>49</v>
      </c>
      <c r="I62" t="s">
        <v>62</v>
      </c>
      <c r="J62" t="s">
        <v>259</v>
      </c>
      <c r="K62" t="s">
        <v>292</v>
      </c>
      <c r="L62" t="s">
        <v>53</v>
      </c>
      <c r="N62" t="s">
        <v>293</v>
      </c>
      <c r="P62" t="s">
        <v>55</v>
      </c>
      <c r="R62" t="s">
        <v>56</v>
      </c>
      <c r="T62" t="s">
        <v>291</v>
      </c>
      <c r="U62" t="s">
        <v>58</v>
      </c>
      <c r="V62">
        <v>2</v>
      </c>
      <c r="W62">
        <v>1</v>
      </c>
      <c r="X62">
        <v>1</v>
      </c>
      <c r="Y62">
        <v>0</v>
      </c>
      <c r="Z62">
        <v>1</v>
      </c>
      <c r="AA62">
        <v>0</v>
      </c>
      <c r="AB62">
        <v>325.04000000000002</v>
      </c>
      <c r="AC62">
        <v>286</v>
      </c>
      <c r="AD62">
        <v>0</v>
      </c>
      <c r="AE62">
        <v>39.06</v>
      </c>
      <c r="AF62">
        <v>0</v>
      </c>
      <c r="AG62">
        <v>0</v>
      </c>
      <c r="AH62">
        <v>0</v>
      </c>
      <c r="AI62">
        <v>48.76</v>
      </c>
      <c r="AJ62">
        <v>325.06</v>
      </c>
      <c r="AK62">
        <v>0.02</v>
      </c>
      <c r="AL62" t="s">
        <v>53</v>
      </c>
      <c r="AM62" t="s">
        <v>53</v>
      </c>
      <c r="AN62" t="s">
        <v>294</v>
      </c>
      <c r="AO62" t="s">
        <v>53</v>
      </c>
      <c r="AP62" t="s">
        <v>53</v>
      </c>
    </row>
    <row r="63" spans="2:42" x14ac:dyDescent="0.2">
      <c r="B63" t="s">
        <v>44</v>
      </c>
      <c r="C63" t="str">
        <f>HYPERLINK("https://us2.cloudbeds.com/connect/8493803454333002#/reservations/598429880513?display=E1C8UXWD&amp;reservation_id=598429880513", "E1C8UXWD")</f>
        <v>E1C8UXWD</v>
      </c>
      <c r="D63" t="s">
        <v>45</v>
      </c>
      <c r="E63" t="s">
        <v>213</v>
      </c>
      <c r="F63" t="s">
        <v>86</v>
      </c>
      <c r="G63" t="s">
        <v>48</v>
      </c>
      <c r="H63" t="s">
        <v>49</v>
      </c>
      <c r="I63" t="s">
        <v>62</v>
      </c>
      <c r="J63" t="s">
        <v>259</v>
      </c>
      <c r="K63" t="s">
        <v>295</v>
      </c>
      <c r="L63" t="s">
        <v>53</v>
      </c>
      <c r="N63" t="s">
        <v>296</v>
      </c>
      <c r="P63" t="s">
        <v>55</v>
      </c>
      <c r="R63" t="s">
        <v>56</v>
      </c>
      <c r="T63" t="s">
        <v>291</v>
      </c>
      <c r="U63" t="s">
        <v>58</v>
      </c>
      <c r="V63">
        <v>1</v>
      </c>
      <c r="W63">
        <v>1</v>
      </c>
      <c r="X63">
        <v>1</v>
      </c>
      <c r="Y63">
        <v>0</v>
      </c>
      <c r="Z63">
        <v>1</v>
      </c>
      <c r="AA63">
        <v>0</v>
      </c>
      <c r="AB63">
        <v>147.75</v>
      </c>
      <c r="AC63">
        <v>130</v>
      </c>
      <c r="AD63">
        <v>0</v>
      </c>
      <c r="AE63">
        <v>17.75</v>
      </c>
      <c r="AF63">
        <v>0</v>
      </c>
      <c r="AG63">
        <v>0</v>
      </c>
      <c r="AH63">
        <v>0</v>
      </c>
      <c r="AI63">
        <v>22.16</v>
      </c>
      <c r="AJ63">
        <v>147.75</v>
      </c>
      <c r="AK63">
        <v>0</v>
      </c>
      <c r="AL63" t="s">
        <v>53</v>
      </c>
      <c r="AM63" t="s">
        <v>53</v>
      </c>
      <c r="AN63" t="s">
        <v>297</v>
      </c>
      <c r="AO63" t="s">
        <v>53</v>
      </c>
      <c r="AP63" t="s">
        <v>53</v>
      </c>
    </row>
    <row r="64" spans="2:42" x14ac:dyDescent="0.2">
      <c r="B64" t="s">
        <v>44</v>
      </c>
      <c r="C64" t="str">
        <f>HYPERLINK("https://us2.cloudbeds.com/connect/8493803454333002#/reservations/598046847196?display=E12FV3J5&amp;reservation_id=598046847196", "E12FV3J5")</f>
        <v>E12FV3J5</v>
      </c>
      <c r="D64" t="s">
        <v>45</v>
      </c>
      <c r="E64" t="s">
        <v>69</v>
      </c>
      <c r="F64" t="s">
        <v>70</v>
      </c>
      <c r="G64" t="s">
        <v>48</v>
      </c>
      <c r="H64" t="s">
        <v>71</v>
      </c>
      <c r="I64" t="s">
        <v>72</v>
      </c>
      <c r="J64" t="s">
        <v>116</v>
      </c>
      <c r="K64" t="s">
        <v>298</v>
      </c>
      <c r="L64" t="s">
        <v>53</v>
      </c>
      <c r="N64" t="s">
        <v>299</v>
      </c>
      <c r="P64" t="s">
        <v>55</v>
      </c>
      <c r="R64" t="s">
        <v>56</v>
      </c>
      <c r="T64" t="s">
        <v>300</v>
      </c>
      <c r="U64" t="s">
        <v>58</v>
      </c>
      <c r="V64">
        <v>1</v>
      </c>
      <c r="W64">
        <v>1</v>
      </c>
      <c r="X64">
        <v>1</v>
      </c>
      <c r="Y64">
        <v>0</v>
      </c>
      <c r="Z64">
        <v>1</v>
      </c>
      <c r="AA64">
        <v>0</v>
      </c>
      <c r="AB64">
        <v>84.1</v>
      </c>
      <c r="AC64">
        <v>74</v>
      </c>
      <c r="AD64">
        <v>0</v>
      </c>
      <c r="AE64">
        <v>10.11</v>
      </c>
      <c r="AF64">
        <v>0</v>
      </c>
      <c r="AG64">
        <v>0</v>
      </c>
      <c r="AH64">
        <v>0</v>
      </c>
      <c r="AI64">
        <v>0</v>
      </c>
      <c r="AJ64">
        <v>84.11</v>
      </c>
      <c r="AK64">
        <v>0.01</v>
      </c>
      <c r="AL64" t="s">
        <v>53</v>
      </c>
      <c r="AM64" t="s">
        <v>53</v>
      </c>
      <c r="AN64" t="s">
        <v>301</v>
      </c>
      <c r="AO64" t="s">
        <v>53</v>
      </c>
      <c r="AP64" t="s">
        <v>53</v>
      </c>
    </row>
    <row r="65" spans="2:42" x14ac:dyDescent="0.2">
      <c r="B65" t="s">
        <v>44</v>
      </c>
      <c r="C65" t="str">
        <f>HYPERLINK("https://us2.cloudbeds.com/connect/8493803454333002#/reservations/597954633866?display=E10464GS&amp;reservation_id=597954633866", "E10464GS")</f>
        <v>E10464GS</v>
      </c>
      <c r="D65" t="s">
        <v>45</v>
      </c>
      <c r="E65" t="s">
        <v>46</v>
      </c>
      <c r="F65" t="s">
        <v>47</v>
      </c>
      <c r="G65" t="s">
        <v>48</v>
      </c>
      <c r="H65" t="s">
        <v>71</v>
      </c>
      <c r="I65" t="s">
        <v>72</v>
      </c>
      <c r="J65" t="s">
        <v>175</v>
      </c>
      <c r="K65" t="s">
        <v>302</v>
      </c>
      <c r="L65" t="s">
        <v>53</v>
      </c>
      <c r="N65" t="s">
        <v>303</v>
      </c>
      <c r="P65" t="s">
        <v>55</v>
      </c>
      <c r="R65" t="s">
        <v>56</v>
      </c>
      <c r="T65" t="s">
        <v>300</v>
      </c>
      <c r="U65" t="s">
        <v>58</v>
      </c>
      <c r="V65">
        <v>4</v>
      </c>
      <c r="W65">
        <v>1</v>
      </c>
      <c r="X65">
        <v>1</v>
      </c>
      <c r="Y65">
        <v>0</v>
      </c>
      <c r="Z65">
        <v>1</v>
      </c>
      <c r="AA65">
        <v>0</v>
      </c>
      <c r="AB65">
        <v>284.13</v>
      </c>
      <c r="AC65">
        <v>250</v>
      </c>
      <c r="AD65">
        <v>0</v>
      </c>
      <c r="AE65">
        <v>34.119999999999997</v>
      </c>
      <c r="AF65">
        <v>0</v>
      </c>
      <c r="AG65">
        <v>0</v>
      </c>
      <c r="AH65">
        <v>0</v>
      </c>
      <c r="AI65">
        <v>0</v>
      </c>
      <c r="AJ65">
        <v>284.12</v>
      </c>
      <c r="AK65">
        <v>-0.01</v>
      </c>
      <c r="AL65" t="s">
        <v>53</v>
      </c>
      <c r="AM65" t="s">
        <v>53</v>
      </c>
      <c r="AN65" t="s">
        <v>304</v>
      </c>
      <c r="AO65" t="s">
        <v>53</v>
      </c>
      <c r="AP65" t="s">
        <v>53</v>
      </c>
    </row>
    <row r="66" spans="2:42" x14ac:dyDescent="0.2">
      <c r="B66" t="s">
        <v>44</v>
      </c>
      <c r="C66" t="str">
        <f>HYPERLINK("https://us2.cloudbeds.com/connect/8493803454333002#/reservations/598136328386?display=E14PD1QC&amp;reservation_id=598136328386", "E14PD1QC")</f>
        <v>E14PD1QC</v>
      </c>
      <c r="D66" t="s">
        <v>45</v>
      </c>
      <c r="E66" t="s">
        <v>305</v>
      </c>
      <c r="F66" t="s">
        <v>61</v>
      </c>
      <c r="G66" t="s">
        <v>48</v>
      </c>
      <c r="H66" t="s">
        <v>49</v>
      </c>
      <c r="I66" t="s">
        <v>50</v>
      </c>
      <c r="J66" t="s">
        <v>148</v>
      </c>
      <c r="K66" t="s">
        <v>306</v>
      </c>
      <c r="L66" t="s">
        <v>53</v>
      </c>
      <c r="N66" t="s">
        <v>307</v>
      </c>
      <c r="P66" t="s">
        <v>55</v>
      </c>
      <c r="R66" t="s">
        <v>56</v>
      </c>
      <c r="T66" t="s">
        <v>300</v>
      </c>
      <c r="U66" t="s">
        <v>58</v>
      </c>
      <c r="V66">
        <v>5</v>
      </c>
      <c r="W66">
        <v>1</v>
      </c>
      <c r="X66">
        <v>1</v>
      </c>
      <c r="Y66">
        <v>0</v>
      </c>
      <c r="Z66">
        <v>1</v>
      </c>
      <c r="AA66">
        <v>0</v>
      </c>
      <c r="AB66">
        <v>414.25</v>
      </c>
      <c r="AC66">
        <v>364.5</v>
      </c>
      <c r="AD66">
        <v>0</v>
      </c>
      <c r="AE66">
        <v>49.75</v>
      </c>
      <c r="AF66">
        <v>0</v>
      </c>
      <c r="AG66">
        <v>0</v>
      </c>
      <c r="AH66">
        <v>0</v>
      </c>
      <c r="AI66">
        <v>74.569999999999993</v>
      </c>
      <c r="AJ66">
        <v>414.25</v>
      </c>
      <c r="AK66">
        <v>0</v>
      </c>
      <c r="AL66" t="s">
        <v>53</v>
      </c>
      <c r="AM66" t="s">
        <v>53</v>
      </c>
      <c r="AN66" t="s">
        <v>308</v>
      </c>
      <c r="AO66" t="s">
        <v>53</v>
      </c>
      <c r="AP66" t="s">
        <v>53</v>
      </c>
    </row>
    <row r="67" spans="2:42" x14ac:dyDescent="0.2">
      <c r="B67" t="s">
        <v>44</v>
      </c>
      <c r="C67" t="str">
        <f>HYPERLINK("https://us2.cloudbeds.com/connect/8493803454333002#/reservations/598209351813?display=E16KW19H&amp;reservation_id=598209351813", "E16KW19H")</f>
        <v>E16KW19H</v>
      </c>
      <c r="D67" t="s">
        <v>45</v>
      </c>
      <c r="E67" t="s">
        <v>69</v>
      </c>
      <c r="F67" t="s">
        <v>70</v>
      </c>
      <c r="G67" t="s">
        <v>48</v>
      </c>
      <c r="H67" t="s">
        <v>49</v>
      </c>
      <c r="I67" t="s">
        <v>50</v>
      </c>
      <c r="J67" t="s">
        <v>260</v>
      </c>
      <c r="K67" t="s">
        <v>309</v>
      </c>
      <c r="L67" t="s">
        <v>53</v>
      </c>
      <c r="N67" t="s">
        <v>310</v>
      </c>
      <c r="P67" t="s">
        <v>55</v>
      </c>
      <c r="R67" t="s">
        <v>56</v>
      </c>
      <c r="T67" t="s">
        <v>311</v>
      </c>
      <c r="U67" t="s">
        <v>58</v>
      </c>
      <c r="V67">
        <v>2</v>
      </c>
      <c r="W67">
        <v>1</v>
      </c>
      <c r="X67">
        <v>1</v>
      </c>
      <c r="Y67">
        <v>0</v>
      </c>
      <c r="Z67">
        <v>1</v>
      </c>
      <c r="AA67">
        <v>0</v>
      </c>
      <c r="AB67">
        <v>255.71</v>
      </c>
      <c r="AC67">
        <v>225</v>
      </c>
      <c r="AD67">
        <v>0</v>
      </c>
      <c r="AE67">
        <v>30.72</v>
      </c>
      <c r="AF67">
        <v>0</v>
      </c>
      <c r="AG67">
        <v>0</v>
      </c>
      <c r="AH67">
        <v>0</v>
      </c>
      <c r="AI67">
        <v>46.03</v>
      </c>
      <c r="AJ67">
        <v>255.72</v>
      </c>
      <c r="AK67">
        <v>0.01</v>
      </c>
      <c r="AL67" t="s">
        <v>53</v>
      </c>
      <c r="AM67" t="s">
        <v>53</v>
      </c>
      <c r="AN67" t="s">
        <v>280</v>
      </c>
      <c r="AO67" t="s">
        <v>53</v>
      </c>
      <c r="AP67" t="s">
        <v>53</v>
      </c>
    </row>
    <row r="68" spans="2:42" x14ac:dyDescent="0.2">
      <c r="B68" t="s">
        <v>44</v>
      </c>
      <c r="C68" t="str">
        <f>HYPERLINK("https://us2.cloudbeds.com/connect/8493803454333002#/reservations/598476521692?display=E1DF8EBF&amp;reservation_id=598476521692", "E1DF8EBF")</f>
        <v>E1DF8EBF</v>
      </c>
      <c r="D68" t="s">
        <v>45</v>
      </c>
      <c r="E68" t="s">
        <v>85</v>
      </c>
      <c r="F68" t="s">
        <v>86</v>
      </c>
      <c r="G68" t="s">
        <v>48</v>
      </c>
      <c r="H68" t="s">
        <v>49</v>
      </c>
      <c r="I68" t="s">
        <v>79</v>
      </c>
      <c r="J68" t="s">
        <v>239</v>
      </c>
      <c r="K68" t="s">
        <v>312</v>
      </c>
      <c r="L68" t="s">
        <v>53</v>
      </c>
      <c r="N68" t="s">
        <v>313</v>
      </c>
      <c r="P68" t="s">
        <v>55</v>
      </c>
      <c r="R68" t="s">
        <v>56</v>
      </c>
      <c r="T68" t="s">
        <v>314</v>
      </c>
      <c r="U68" t="s">
        <v>58</v>
      </c>
      <c r="V68">
        <v>1</v>
      </c>
      <c r="W68">
        <v>1</v>
      </c>
      <c r="X68">
        <v>1</v>
      </c>
      <c r="Y68">
        <v>0</v>
      </c>
      <c r="Z68">
        <v>1</v>
      </c>
      <c r="AA68">
        <v>0</v>
      </c>
      <c r="AB68">
        <v>101.26</v>
      </c>
      <c r="AC68">
        <v>89.1</v>
      </c>
      <c r="AD68">
        <v>0</v>
      </c>
      <c r="AE68">
        <v>12.16</v>
      </c>
      <c r="AF68">
        <v>0</v>
      </c>
      <c r="AG68">
        <v>0</v>
      </c>
      <c r="AH68">
        <v>0</v>
      </c>
      <c r="AI68">
        <v>0</v>
      </c>
      <c r="AJ68">
        <v>101.26</v>
      </c>
      <c r="AK68">
        <v>0</v>
      </c>
      <c r="AL68" t="s">
        <v>53</v>
      </c>
      <c r="AM68" t="s">
        <v>53</v>
      </c>
      <c r="AN68" t="s">
        <v>59</v>
      </c>
      <c r="AO68" t="s">
        <v>53</v>
      </c>
      <c r="AP68" t="s">
        <v>53</v>
      </c>
    </row>
    <row r="69" spans="2:42" x14ac:dyDescent="0.2">
      <c r="B69" t="s">
        <v>44</v>
      </c>
      <c r="C69" t="str">
        <f>HYPERLINK("https://us2.cloudbeds.com/connect/8493803454333002#/reservations/598193123527?display=E1679F99&amp;reservation_id=598193123527", "E1679F99")</f>
        <v>E1679F99</v>
      </c>
      <c r="D69" t="s">
        <v>45</v>
      </c>
      <c r="E69" t="s">
        <v>128</v>
      </c>
      <c r="F69" t="s">
        <v>86</v>
      </c>
      <c r="G69" t="s">
        <v>48</v>
      </c>
      <c r="H69" t="s">
        <v>49</v>
      </c>
      <c r="I69" t="s">
        <v>79</v>
      </c>
      <c r="J69" t="s">
        <v>239</v>
      </c>
      <c r="K69" t="s">
        <v>312</v>
      </c>
      <c r="L69" t="s">
        <v>53</v>
      </c>
      <c r="N69" t="s">
        <v>315</v>
      </c>
      <c r="P69" t="s">
        <v>55</v>
      </c>
      <c r="R69" t="s">
        <v>56</v>
      </c>
      <c r="T69" t="s">
        <v>314</v>
      </c>
      <c r="U69" t="s">
        <v>58</v>
      </c>
      <c r="V69">
        <v>1</v>
      </c>
      <c r="W69">
        <v>1</v>
      </c>
      <c r="X69">
        <v>1</v>
      </c>
      <c r="Y69">
        <v>0</v>
      </c>
      <c r="Z69">
        <v>1</v>
      </c>
      <c r="AA69">
        <v>0</v>
      </c>
      <c r="AB69">
        <v>101.26</v>
      </c>
      <c r="AC69">
        <v>89.1</v>
      </c>
      <c r="AD69">
        <v>0</v>
      </c>
      <c r="AE69">
        <v>12.16</v>
      </c>
      <c r="AF69">
        <v>0</v>
      </c>
      <c r="AG69">
        <v>0</v>
      </c>
      <c r="AH69">
        <v>0</v>
      </c>
      <c r="AI69">
        <v>0</v>
      </c>
      <c r="AJ69">
        <v>101.26</v>
      </c>
      <c r="AK69">
        <v>0</v>
      </c>
      <c r="AL69" t="s">
        <v>53</v>
      </c>
      <c r="AM69" t="s">
        <v>53</v>
      </c>
      <c r="AN69" t="s">
        <v>316</v>
      </c>
      <c r="AO69" t="s">
        <v>53</v>
      </c>
      <c r="AP69" t="s">
        <v>53</v>
      </c>
    </row>
    <row r="70" spans="2:42" x14ac:dyDescent="0.2">
      <c r="B70" t="s">
        <v>44</v>
      </c>
      <c r="C70" t="str">
        <f>HYPERLINK("https://us2.cloudbeds.com/connect/8493803454333002#/reservations/598361567372?display=E1AHAYR7&amp;reservation_id=598361567372", "E1AHAYR7")</f>
        <v>E1AHAYR7</v>
      </c>
      <c r="D70" t="s">
        <v>45</v>
      </c>
      <c r="E70" t="s">
        <v>110</v>
      </c>
      <c r="F70" t="s">
        <v>47</v>
      </c>
      <c r="G70" t="s">
        <v>48</v>
      </c>
      <c r="H70" t="s">
        <v>49</v>
      </c>
      <c r="I70" t="s">
        <v>62</v>
      </c>
      <c r="J70" t="s">
        <v>317</v>
      </c>
      <c r="K70" t="s">
        <v>318</v>
      </c>
      <c r="L70" t="s">
        <v>53</v>
      </c>
      <c r="N70" t="s">
        <v>319</v>
      </c>
      <c r="P70" t="s">
        <v>55</v>
      </c>
      <c r="R70" t="s">
        <v>56</v>
      </c>
      <c r="T70" t="s">
        <v>320</v>
      </c>
      <c r="U70" t="s">
        <v>58</v>
      </c>
      <c r="V70">
        <v>4</v>
      </c>
      <c r="W70">
        <v>1</v>
      </c>
      <c r="X70">
        <v>1</v>
      </c>
      <c r="Y70">
        <v>0</v>
      </c>
      <c r="Z70">
        <v>1</v>
      </c>
      <c r="AA70">
        <v>0</v>
      </c>
      <c r="AB70">
        <v>329.36</v>
      </c>
      <c r="AC70">
        <v>289.8</v>
      </c>
      <c r="AD70">
        <v>0</v>
      </c>
      <c r="AE70">
        <v>39.56</v>
      </c>
      <c r="AF70">
        <v>0</v>
      </c>
      <c r="AG70">
        <v>0</v>
      </c>
      <c r="AH70">
        <v>0</v>
      </c>
      <c r="AI70">
        <v>49.4</v>
      </c>
      <c r="AJ70">
        <v>329.36</v>
      </c>
      <c r="AK70">
        <v>0</v>
      </c>
      <c r="AL70" t="s">
        <v>53</v>
      </c>
      <c r="AM70" t="s">
        <v>53</v>
      </c>
      <c r="AN70" t="s">
        <v>321</v>
      </c>
      <c r="AO70" t="s">
        <v>53</v>
      </c>
      <c r="AP70" t="s">
        <v>53</v>
      </c>
    </row>
    <row r="71" spans="2:42" x14ac:dyDescent="0.2">
      <c r="B71" t="s">
        <v>44</v>
      </c>
      <c r="C71" t="str">
        <f>HYPERLINK("https://us2.cloudbeds.com/connect/8493803454333002#/reservations/598601097352?display=E1GY9UTF&amp;reservation_id=598601097352", "E1GY9UTF")</f>
        <v>E1GY9UTF</v>
      </c>
      <c r="D71" t="s">
        <v>45</v>
      </c>
      <c r="E71" t="s">
        <v>155</v>
      </c>
      <c r="F71" t="s">
        <v>86</v>
      </c>
      <c r="G71" t="s">
        <v>48</v>
      </c>
      <c r="H71" t="s">
        <v>49</v>
      </c>
      <c r="I71" t="s">
        <v>50</v>
      </c>
      <c r="J71" t="s">
        <v>322</v>
      </c>
      <c r="K71" t="s">
        <v>323</v>
      </c>
      <c r="L71" t="s">
        <v>53</v>
      </c>
      <c r="N71" t="s">
        <v>324</v>
      </c>
      <c r="P71" t="s">
        <v>55</v>
      </c>
      <c r="R71" t="s">
        <v>56</v>
      </c>
      <c r="T71" t="s">
        <v>325</v>
      </c>
      <c r="U71" t="s">
        <v>58</v>
      </c>
      <c r="V71">
        <v>3</v>
      </c>
      <c r="W71">
        <v>1</v>
      </c>
      <c r="X71">
        <v>1</v>
      </c>
      <c r="Y71">
        <v>0</v>
      </c>
      <c r="Z71">
        <v>1</v>
      </c>
      <c r="AA71">
        <v>0</v>
      </c>
      <c r="AB71">
        <v>509.38</v>
      </c>
      <c r="AC71">
        <v>448.2</v>
      </c>
      <c r="AD71">
        <v>0</v>
      </c>
      <c r="AE71">
        <v>61.17</v>
      </c>
      <c r="AF71">
        <v>0</v>
      </c>
      <c r="AG71">
        <v>0</v>
      </c>
      <c r="AH71">
        <v>0</v>
      </c>
      <c r="AI71">
        <v>91.69</v>
      </c>
      <c r="AJ71">
        <v>509.37</v>
      </c>
      <c r="AK71">
        <v>-0.01</v>
      </c>
      <c r="AL71" t="s">
        <v>53</v>
      </c>
      <c r="AM71" t="s">
        <v>53</v>
      </c>
      <c r="AN71" t="s">
        <v>326</v>
      </c>
      <c r="AO71" t="s">
        <v>53</v>
      </c>
      <c r="AP71" t="s">
        <v>53</v>
      </c>
    </row>
    <row r="72" spans="2:42" x14ac:dyDescent="0.2">
      <c r="B72" t="s">
        <v>44</v>
      </c>
      <c r="C72" t="str">
        <f>HYPERLINK("https://us2.cloudbeds.com/connect/8493803454333002#/reservations/598547767432?display=E1F9AVE9&amp;reservation_id=598547767432", "E1F9AVE9")</f>
        <v>E1F9AVE9</v>
      </c>
      <c r="D72" t="s">
        <v>45</v>
      </c>
      <c r="E72" t="s">
        <v>155</v>
      </c>
      <c r="F72" t="s">
        <v>86</v>
      </c>
      <c r="G72" t="s">
        <v>48</v>
      </c>
      <c r="H72" t="s">
        <v>49</v>
      </c>
      <c r="I72" t="s">
        <v>62</v>
      </c>
      <c r="J72" t="s">
        <v>327</v>
      </c>
      <c r="K72" t="s">
        <v>288</v>
      </c>
      <c r="L72" t="s">
        <v>53</v>
      </c>
      <c r="N72" t="s">
        <v>328</v>
      </c>
      <c r="P72" t="s">
        <v>55</v>
      </c>
      <c r="R72" t="s">
        <v>329</v>
      </c>
      <c r="T72" t="s">
        <v>325</v>
      </c>
      <c r="U72" t="s">
        <v>58</v>
      </c>
      <c r="V72">
        <v>2</v>
      </c>
      <c r="W72">
        <v>1</v>
      </c>
      <c r="X72">
        <v>1</v>
      </c>
      <c r="Y72">
        <v>0</v>
      </c>
      <c r="Z72">
        <v>1</v>
      </c>
      <c r="AA72">
        <v>0</v>
      </c>
      <c r="AB72">
        <v>347.77</v>
      </c>
      <c r="AC72">
        <v>306</v>
      </c>
      <c r="AD72">
        <v>0</v>
      </c>
      <c r="AE72">
        <v>41.78</v>
      </c>
      <c r="AF72">
        <v>0</v>
      </c>
      <c r="AG72">
        <v>0</v>
      </c>
      <c r="AH72">
        <v>0</v>
      </c>
      <c r="AI72">
        <v>52.17</v>
      </c>
      <c r="AJ72">
        <v>347.78</v>
      </c>
      <c r="AK72">
        <v>0.01</v>
      </c>
      <c r="AL72" t="s">
        <v>53</v>
      </c>
      <c r="AM72" t="s">
        <v>53</v>
      </c>
      <c r="AN72" t="s">
        <v>97</v>
      </c>
      <c r="AO72" t="s">
        <v>53</v>
      </c>
      <c r="AP72" t="s">
        <v>53</v>
      </c>
    </row>
    <row r="73" spans="2:42" x14ac:dyDescent="0.2">
      <c r="B73" t="s">
        <v>44</v>
      </c>
      <c r="C73" t="str">
        <f>HYPERLINK("https://us2.cloudbeds.com/connect/8493803454333002#/reservations/598430134459?display=E1C94Y5Z&amp;reservation_id=598430134459", "E1C94Y5Z")</f>
        <v>E1C94Y5Z</v>
      </c>
      <c r="D73" t="s">
        <v>45</v>
      </c>
      <c r="E73" t="s">
        <v>46</v>
      </c>
      <c r="F73" t="s">
        <v>47</v>
      </c>
      <c r="G73" t="s">
        <v>48</v>
      </c>
      <c r="H73" t="s">
        <v>49</v>
      </c>
      <c r="I73" t="s">
        <v>50</v>
      </c>
      <c r="J73" t="s">
        <v>64</v>
      </c>
      <c r="K73" t="s">
        <v>139</v>
      </c>
      <c r="L73" t="s">
        <v>53</v>
      </c>
      <c r="N73" t="s">
        <v>330</v>
      </c>
      <c r="P73" t="s">
        <v>55</v>
      </c>
      <c r="R73" t="s">
        <v>56</v>
      </c>
      <c r="T73" t="s">
        <v>331</v>
      </c>
      <c r="U73" t="s">
        <v>58</v>
      </c>
      <c r="V73">
        <v>1</v>
      </c>
      <c r="W73">
        <v>1</v>
      </c>
      <c r="X73">
        <v>1</v>
      </c>
      <c r="Y73">
        <v>0</v>
      </c>
      <c r="Z73">
        <v>1</v>
      </c>
      <c r="AA73">
        <v>0</v>
      </c>
      <c r="AB73">
        <v>81.83</v>
      </c>
      <c r="AC73">
        <v>72</v>
      </c>
      <c r="AD73">
        <v>0</v>
      </c>
      <c r="AE73">
        <v>9.83</v>
      </c>
      <c r="AF73">
        <v>0</v>
      </c>
      <c r="AG73">
        <v>0</v>
      </c>
      <c r="AH73">
        <v>0</v>
      </c>
      <c r="AI73">
        <v>14.73</v>
      </c>
      <c r="AJ73">
        <v>81.83</v>
      </c>
      <c r="AK73">
        <v>0</v>
      </c>
      <c r="AL73" t="s">
        <v>53</v>
      </c>
      <c r="AM73" t="s">
        <v>53</v>
      </c>
      <c r="AN73" t="s">
        <v>332</v>
      </c>
      <c r="AO73" t="s">
        <v>53</v>
      </c>
      <c r="AP73" t="s">
        <v>53</v>
      </c>
    </row>
    <row r="74" spans="2:42" x14ac:dyDescent="0.2">
      <c r="B74" t="s">
        <v>44</v>
      </c>
      <c r="C74" t="str">
        <f>HYPERLINK("https://us2.cloudbeds.com/connect/8493803454333002#/reservations/598415843485?display=E1BU2W4U&amp;reservation_id=598415843485", "E1BU2W4U")</f>
        <v>E1BU2W4U</v>
      </c>
      <c r="D74" t="s">
        <v>45</v>
      </c>
      <c r="E74" t="s">
        <v>265</v>
      </c>
      <c r="F74" t="s">
        <v>61</v>
      </c>
      <c r="G74" t="s">
        <v>48</v>
      </c>
      <c r="H74" t="s">
        <v>49</v>
      </c>
      <c r="I74" t="s">
        <v>62</v>
      </c>
      <c r="J74" t="s">
        <v>333</v>
      </c>
      <c r="K74" t="s">
        <v>334</v>
      </c>
      <c r="L74" t="s">
        <v>53</v>
      </c>
      <c r="N74" t="s">
        <v>335</v>
      </c>
      <c r="P74" t="s">
        <v>55</v>
      </c>
      <c r="R74" t="s">
        <v>56</v>
      </c>
      <c r="T74" t="s">
        <v>331</v>
      </c>
      <c r="U74" t="s">
        <v>58</v>
      </c>
      <c r="V74">
        <v>1</v>
      </c>
      <c r="W74">
        <v>1</v>
      </c>
      <c r="X74">
        <v>1</v>
      </c>
      <c r="Y74">
        <v>0</v>
      </c>
      <c r="Z74">
        <v>1</v>
      </c>
      <c r="AA74">
        <v>0</v>
      </c>
      <c r="AB74">
        <v>136.38</v>
      </c>
      <c r="AC74">
        <v>120</v>
      </c>
      <c r="AD74">
        <v>0</v>
      </c>
      <c r="AE74">
        <v>16.38</v>
      </c>
      <c r="AF74">
        <v>0</v>
      </c>
      <c r="AG74">
        <v>0</v>
      </c>
      <c r="AH74">
        <v>0</v>
      </c>
      <c r="AI74">
        <v>20.46</v>
      </c>
      <c r="AJ74">
        <v>136.38</v>
      </c>
      <c r="AK74">
        <v>0</v>
      </c>
      <c r="AL74" t="s">
        <v>53</v>
      </c>
      <c r="AM74" t="s">
        <v>53</v>
      </c>
      <c r="AN74" t="s">
        <v>142</v>
      </c>
      <c r="AO74" t="s">
        <v>53</v>
      </c>
      <c r="AP74" t="s">
        <v>53</v>
      </c>
    </row>
    <row r="75" spans="2:42" x14ac:dyDescent="0.2">
      <c r="B75" t="s">
        <v>44</v>
      </c>
      <c r="C75" t="str">
        <f>HYPERLINK("https://us2.cloudbeds.com/connect/8493803454333002#/reservations/598475964669?display=E1DEPURW&amp;reservation_id=598475964669", "E1DEPURW")</f>
        <v>E1DEPURW</v>
      </c>
      <c r="D75" t="s">
        <v>45</v>
      </c>
      <c r="E75" t="s">
        <v>78</v>
      </c>
      <c r="F75" t="s">
        <v>61</v>
      </c>
      <c r="G75" t="s">
        <v>48</v>
      </c>
      <c r="H75" t="s">
        <v>71</v>
      </c>
      <c r="I75" t="s">
        <v>72</v>
      </c>
      <c r="J75" t="s">
        <v>336</v>
      </c>
      <c r="K75" t="s">
        <v>337</v>
      </c>
      <c r="L75" t="s">
        <v>53</v>
      </c>
      <c r="N75" t="s">
        <v>338</v>
      </c>
      <c r="P75" t="s">
        <v>58</v>
      </c>
      <c r="R75" t="s">
        <v>56</v>
      </c>
      <c r="T75" t="s">
        <v>339</v>
      </c>
      <c r="U75" t="s">
        <v>58</v>
      </c>
      <c r="V75">
        <v>1</v>
      </c>
      <c r="W75">
        <v>1</v>
      </c>
      <c r="X75">
        <v>1</v>
      </c>
      <c r="Y75">
        <v>0</v>
      </c>
      <c r="Z75">
        <v>1</v>
      </c>
      <c r="AA75">
        <v>0</v>
      </c>
      <c r="AB75">
        <v>90.92</v>
      </c>
      <c r="AC75">
        <v>80</v>
      </c>
      <c r="AD75">
        <v>0</v>
      </c>
      <c r="AE75">
        <v>10.92</v>
      </c>
      <c r="AF75">
        <v>0</v>
      </c>
      <c r="AG75">
        <v>0</v>
      </c>
      <c r="AH75">
        <v>0</v>
      </c>
      <c r="AI75">
        <v>0</v>
      </c>
      <c r="AJ75">
        <v>90.92</v>
      </c>
      <c r="AK75">
        <v>0</v>
      </c>
      <c r="AL75" t="s">
        <v>53</v>
      </c>
      <c r="AM75" t="s">
        <v>53</v>
      </c>
      <c r="AN75" t="s">
        <v>340</v>
      </c>
      <c r="AO75" t="s">
        <v>53</v>
      </c>
      <c r="AP75" t="s">
        <v>53</v>
      </c>
    </row>
    <row r="76" spans="2:42" x14ac:dyDescent="0.2">
      <c r="B76" t="s">
        <v>44</v>
      </c>
      <c r="C76" t="str">
        <f>HYPERLINK("https://us2.cloudbeds.com/connect/8493803454333002#/reservations/598489166054?display=E1DPU9AV&amp;reservation_id=598489166054", "E1DPU9AV")</f>
        <v>E1DPU9AV</v>
      </c>
      <c r="D76" t="s">
        <v>45</v>
      </c>
      <c r="E76" t="s">
        <v>85</v>
      </c>
      <c r="F76" t="s">
        <v>86</v>
      </c>
      <c r="G76" t="s">
        <v>48</v>
      </c>
      <c r="H76" t="s">
        <v>49</v>
      </c>
      <c r="I76" t="s">
        <v>62</v>
      </c>
      <c r="J76" t="s">
        <v>134</v>
      </c>
      <c r="K76" t="s">
        <v>341</v>
      </c>
      <c r="L76" t="s">
        <v>53</v>
      </c>
      <c r="N76" t="s">
        <v>342</v>
      </c>
      <c r="P76" t="s">
        <v>55</v>
      </c>
      <c r="R76" t="s">
        <v>56</v>
      </c>
      <c r="T76" t="s">
        <v>339</v>
      </c>
      <c r="U76" t="s">
        <v>58</v>
      </c>
      <c r="V76">
        <v>1</v>
      </c>
      <c r="W76">
        <v>1</v>
      </c>
      <c r="X76">
        <v>1</v>
      </c>
      <c r="Y76">
        <v>0</v>
      </c>
      <c r="Z76">
        <v>1</v>
      </c>
      <c r="AA76">
        <v>0</v>
      </c>
      <c r="AB76">
        <v>177.29</v>
      </c>
      <c r="AC76">
        <v>156</v>
      </c>
      <c r="AD76">
        <v>0</v>
      </c>
      <c r="AE76">
        <v>21.29</v>
      </c>
      <c r="AF76">
        <v>0</v>
      </c>
      <c r="AG76">
        <v>0</v>
      </c>
      <c r="AH76">
        <v>0</v>
      </c>
      <c r="AI76">
        <v>26.59</v>
      </c>
      <c r="AJ76">
        <v>177.29</v>
      </c>
      <c r="AK76">
        <v>0</v>
      </c>
      <c r="AL76" t="s">
        <v>53</v>
      </c>
      <c r="AM76" t="s">
        <v>53</v>
      </c>
      <c r="AN76" t="s">
        <v>68</v>
      </c>
      <c r="AO76" t="s">
        <v>53</v>
      </c>
      <c r="AP76" t="s">
        <v>53</v>
      </c>
    </row>
    <row r="77" spans="2:42" x14ac:dyDescent="0.2">
      <c r="B77" t="s">
        <v>44</v>
      </c>
      <c r="C77" t="str">
        <f>HYPERLINK("https://us2.cloudbeds.com/connect/8493803454333002#/reservations/598280196230?display=E18ENCS1&amp;reservation_id=598280196230", "E18ENCS1")</f>
        <v>E18ENCS1</v>
      </c>
      <c r="D77" t="s">
        <v>45</v>
      </c>
      <c r="E77" t="s">
        <v>165</v>
      </c>
      <c r="F77" t="s">
        <v>61</v>
      </c>
      <c r="G77" t="s">
        <v>48</v>
      </c>
      <c r="H77" t="s">
        <v>71</v>
      </c>
      <c r="I77" t="s">
        <v>72</v>
      </c>
      <c r="J77" t="s">
        <v>74</v>
      </c>
      <c r="K77" t="s">
        <v>306</v>
      </c>
      <c r="L77" t="s">
        <v>53</v>
      </c>
      <c r="N77" t="s">
        <v>343</v>
      </c>
      <c r="P77" t="s">
        <v>55</v>
      </c>
      <c r="R77" t="s">
        <v>56</v>
      </c>
      <c r="T77" t="s">
        <v>339</v>
      </c>
      <c r="U77" t="s">
        <v>58</v>
      </c>
      <c r="V77">
        <v>1</v>
      </c>
      <c r="W77">
        <v>1</v>
      </c>
      <c r="X77">
        <v>1</v>
      </c>
      <c r="Y77">
        <v>0</v>
      </c>
      <c r="Z77">
        <v>1</v>
      </c>
      <c r="AA77">
        <v>0</v>
      </c>
      <c r="AB77">
        <v>85.24</v>
      </c>
      <c r="AC77">
        <v>75</v>
      </c>
      <c r="AD77">
        <v>0</v>
      </c>
      <c r="AE77">
        <v>10.25</v>
      </c>
      <c r="AF77">
        <v>0</v>
      </c>
      <c r="AG77">
        <v>0</v>
      </c>
      <c r="AH77">
        <v>0</v>
      </c>
      <c r="AI77">
        <v>0</v>
      </c>
      <c r="AJ77">
        <v>85.25</v>
      </c>
      <c r="AK77">
        <v>0.01</v>
      </c>
      <c r="AL77" t="s">
        <v>53</v>
      </c>
      <c r="AM77" t="s">
        <v>53</v>
      </c>
      <c r="AN77" t="s">
        <v>344</v>
      </c>
      <c r="AO77" t="s">
        <v>53</v>
      </c>
      <c r="AP77" t="s">
        <v>53</v>
      </c>
    </row>
    <row r="78" spans="2:42" x14ac:dyDescent="0.2">
      <c r="B78" t="s">
        <v>44</v>
      </c>
      <c r="C78" t="str">
        <f>HYPERLINK("https://us2.cloudbeds.com/connect/8493803454333002#/reservations/598507892935?display=E1E8NCZ6&amp;reservation_id=598507892935", "E1E8NCZ6")</f>
        <v>E1E8NCZ6</v>
      </c>
      <c r="D78" t="s">
        <v>45</v>
      </c>
      <c r="E78" t="s">
        <v>110</v>
      </c>
      <c r="F78" t="s">
        <v>47</v>
      </c>
      <c r="G78" t="s">
        <v>48</v>
      </c>
      <c r="H78" t="s">
        <v>49</v>
      </c>
      <c r="I78" t="s">
        <v>62</v>
      </c>
      <c r="J78" t="s">
        <v>345</v>
      </c>
      <c r="K78" t="s">
        <v>346</v>
      </c>
      <c r="L78" t="s">
        <v>53</v>
      </c>
      <c r="N78" t="s">
        <v>347</v>
      </c>
      <c r="P78" t="s">
        <v>55</v>
      </c>
      <c r="R78" t="s">
        <v>102</v>
      </c>
      <c r="T78" t="s">
        <v>348</v>
      </c>
      <c r="U78" t="s">
        <v>58</v>
      </c>
      <c r="V78">
        <v>1</v>
      </c>
      <c r="W78">
        <v>1</v>
      </c>
      <c r="X78">
        <v>1</v>
      </c>
      <c r="Y78">
        <v>0</v>
      </c>
      <c r="Z78">
        <v>1</v>
      </c>
      <c r="AA78">
        <v>0</v>
      </c>
      <c r="AB78">
        <v>78.42</v>
      </c>
      <c r="AC78">
        <v>69</v>
      </c>
      <c r="AD78">
        <v>0</v>
      </c>
      <c r="AE78">
        <v>9.42</v>
      </c>
      <c r="AF78">
        <v>0</v>
      </c>
      <c r="AG78">
        <v>0</v>
      </c>
      <c r="AH78">
        <v>0</v>
      </c>
      <c r="AI78">
        <v>11.76</v>
      </c>
      <c r="AJ78">
        <v>78.42</v>
      </c>
      <c r="AK78">
        <v>0</v>
      </c>
      <c r="AL78" t="s">
        <v>53</v>
      </c>
      <c r="AM78" t="s">
        <v>53</v>
      </c>
      <c r="AN78" t="s">
        <v>349</v>
      </c>
      <c r="AO78" t="s">
        <v>53</v>
      </c>
      <c r="AP78" t="s">
        <v>53</v>
      </c>
    </row>
    <row r="79" spans="2:42" x14ac:dyDescent="0.2">
      <c r="B79" t="s">
        <v>44</v>
      </c>
      <c r="C79" t="str">
        <f>HYPERLINK("https://us2.cloudbeds.com/connect/8493803454333002#/reservations/597945270497?display=E0WT9JCC&amp;reservation_id=597945270497", "E0WT9JCC")</f>
        <v>E0WT9JCC</v>
      </c>
      <c r="D79" t="s">
        <v>45</v>
      </c>
      <c r="E79" t="s">
        <v>213</v>
      </c>
      <c r="F79" t="s">
        <v>86</v>
      </c>
      <c r="G79" t="s">
        <v>48</v>
      </c>
      <c r="H79" t="s">
        <v>49</v>
      </c>
      <c r="I79" t="s">
        <v>50</v>
      </c>
      <c r="J79" t="s">
        <v>161</v>
      </c>
      <c r="K79" t="s">
        <v>239</v>
      </c>
      <c r="L79" t="s">
        <v>53</v>
      </c>
      <c r="N79" t="s">
        <v>350</v>
      </c>
      <c r="P79" t="s">
        <v>55</v>
      </c>
      <c r="R79" t="s">
        <v>56</v>
      </c>
      <c r="T79" t="s">
        <v>348</v>
      </c>
      <c r="U79" t="s">
        <v>58</v>
      </c>
      <c r="V79">
        <v>2</v>
      </c>
      <c r="W79">
        <v>1</v>
      </c>
      <c r="X79">
        <v>1</v>
      </c>
      <c r="Y79">
        <v>0</v>
      </c>
      <c r="Z79">
        <v>1</v>
      </c>
      <c r="AA79">
        <v>0</v>
      </c>
      <c r="AB79">
        <v>176.95</v>
      </c>
      <c r="AC79">
        <v>155.69999999999999</v>
      </c>
      <c r="AD79">
        <v>0</v>
      </c>
      <c r="AE79">
        <v>21.26</v>
      </c>
      <c r="AF79">
        <v>0</v>
      </c>
      <c r="AG79">
        <v>0</v>
      </c>
      <c r="AH79">
        <v>0</v>
      </c>
      <c r="AI79">
        <v>31.85</v>
      </c>
      <c r="AJ79">
        <v>176.96</v>
      </c>
      <c r="AK79">
        <v>0.01</v>
      </c>
      <c r="AL79" t="s">
        <v>53</v>
      </c>
      <c r="AM79" t="s">
        <v>53</v>
      </c>
      <c r="AN79" t="s">
        <v>142</v>
      </c>
      <c r="AO79" t="s">
        <v>53</v>
      </c>
      <c r="AP79" t="s">
        <v>53</v>
      </c>
    </row>
    <row r="80" spans="2:42" x14ac:dyDescent="0.2">
      <c r="B80" t="s">
        <v>44</v>
      </c>
      <c r="C80" t="str">
        <f>HYPERLINK("https://us2.cloudbeds.com/connect/8493803454333002#/reservations/598438850695?display=E1CGG623&amp;reservation_id=598438850695", "E1CGG623")</f>
        <v>E1CGG623</v>
      </c>
      <c r="D80" t="s">
        <v>45</v>
      </c>
      <c r="E80" t="s">
        <v>69</v>
      </c>
      <c r="F80" t="s">
        <v>70</v>
      </c>
      <c r="G80" t="s">
        <v>48</v>
      </c>
      <c r="H80" t="s">
        <v>71</v>
      </c>
      <c r="I80" t="s">
        <v>72</v>
      </c>
      <c r="J80" t="s">
        <v>351</v>
      </c>
      <c r="K80" t="s">
        <v>323</v>
      </c>
      <c r="L80" t="s">
        <v>53</v>
      </c>
      <c r="N80" t="s">
        <v>352</v>
      </c>
      <c r="P80" t="s">
        <v>55</v>
      </c>
      <c r="R80" t="s">
        <v>56</v>
      </c>
      <c r="T80" t="s">
        <v>348</v>
      </c>
      <c r="U80" t="s">
        <v>58</v>
      </c>
      <c r="V80">
        <v>2</v>
      </c>
      <c r="W80">
        <v>1</v>
      </c>
      <c r="X80">
        <v>1</v>
      </c>
      <c r="Y80">
        <v>0</v>
      </c>
      <c r="Z80">
        <v>1</v>
      </c>
      <c r="AA80">
        <v>0</v>
      </c>
      <c r="AB80">
        <v>315.95</v>
      </c>
      <c r="AC80">
        <v>278</v>
      </c>
      <c r="AD80">
        <v>0</v>
      </c>
      <c r="AE80">
        <v>37.96</v>
      </c>
      <c r="AF80">
        <v>0</v>
      </c>
      <c r="AG80">
        <v>0</v>
      </c>
      <c r="AH80">
        <v>0</v>
      </c>
      <c r="AI80">
        <v>0</v>
      </c>
      <c r="AJ80">
        <v>315.95999999999998</v>
      </c>
      <c r="AK80">
        <v>0.01</v>
      </c>
      <c r="AL80" t="s">
        <v>53</v>
      </c>
      <c r="AM80" t="s">
        <v>53</v>
      </c>
      <c r="AN80" t="s">
        <v>353</v>
      </c>
      <c r="AO80" t="s">
        <v>53</v>
      </c>
      <c r="AP80" t="s">
        <v>53</v>
      </c>
    </row>
    <row r="81" spans="2:42" x14ac:dyDescent="0.2">
      <c r="B81" t="s">
        <v>44</v>
      </c>
      <c r="C81" t="str">
        <f>HYPERLINK("https://us2.cloudbeds.com/connect/8493803454333002#/reservations/598540972171?display=E1F3JSH8&amp;reservation_id=598540972171", "E1F3JSH8")</f>
        <v>E1F3JSH8</v>
      </c>
      <c r="D81" t="s">
        <v>45</v>
      </c>
      <c r="E81" t="s">
        <v>179</v>
      </c>
      <c r="F81" t="s">
        <v>47</v>
      </c>
      <c r="G81" t="s">
        <v>48</v>
      </c>
      <c r="H81" t="s">
        <v>49</v>
      </c>
      <c r="I81" t="s">
        <v>50</v>
      </c>
      <c r="J81" t="s">
        <v>253</v>
      </c>
      <c r="K81" t="s">
        <v>354</v>
      </c>
      <c r="L81" t="s">
        <v>53</v>
      </c>
      <c r="N81" t="s">
        <v>355</v>
      </c>
      <c r="P81" t="s">
        <v>55</v>
      </c>
      <c r="R81" t="s">
        <v>56</v>
      </c>
      <c r="T81" t="s">
        <v>348</v>
      </c>
      <c r="U81" t="s">
        <v>58</v>
      </c>
      <c r="V81">
        <v>1</v>
      </c>
      <c r="W81">
        <v>1</v>
      </c>
      <c r="X81">
        <v>1</v>
      </c>
      <c r="Y81">
        <v>0</v>
      </c>
      <c r="Z81">
        <v>1</v>
      </c>
      <c r="AA81">
        <v>0</v>
      </c>
      <c r="AB81">
        <v>103.31</v>
      </c>
      <c r="AC81">
        <v>90.9</v>
      </c>
      <c r="AD81">
        <v>0</v>
      </c>
      <c r="AE81">
        <v>12.41</v>
      </c>
      <c r="AF81">
        <v>0</v>
      </c>
      <c r="AG81">
        <v>0</v>
      </c>
      <c r="AH81">
        <v>0</v>
      </c>
      <c r="AI81">
        <v>18.600000000000001</v>
      </c>
      <c r="AJ81">
        <v>103.31</v>
      </c>
      <c r="AK81">
        <v>0</v>
      </c>
      <c r="AL81" t="s">
        <v>53</v>
      </c>
      <c r="AM81" t="s">
        <v>53</v>
      </c>
      <c r="AN81" t="s">
        <v>178</v>
      </c>
      <c r="AO81" t="s">
        <v>53</v>
      </c>
      <c r="AP81" t="s">
        <v>53</v>
      </c>
    </row>
    <row r="82" spans="2:42" x14ac:dyDescent="0.2">
      <c r="B82" t="s">
        <v>44</v>
      </c>
      <c r="C82" t="str">
        <f>HYPERLINK("https://us2.cloudbeds.com/connect/8493803454333002#/reservations/598586327205?display=E1G8RUS8&amp;reservation_id=598586327205", "E1G8RUS8")</f>
        <v>E1G8RUS8</v>
      </c>
      <c r="D82" t="s">
        <v>45</v>
      </c>
      <c r="E82" t="s">
        <v>78</v>
      </c>
      <c r="F82" t="s">
        <v>61</v>
      </c>
      <c r="G82" t="s">
        <v>48</v>
      </c>
      <c r="H82" t="s">
        <v>49</v>
      </c>
      <c r="I82" t="s">
        <v>79</v>
      </c>
      <c r="J82" t="s">
        <v>356</v>
      </c>
      <c r="K82" t="s">
        <v>236</v>
      </c>
      <c r="L82" t="s">
        <v>53</v>
      </c>
      <c r="N82" t="s">
        <v>357</v>
      </c>
      <c r="P82" t="s">
        <v>55</v>
      </c>
      <c r="R82" t="s">
        <v>56</v>
      </c>
      <c r="T82" t="s">
        <v>348</v>
      </c>
      <c r="U82" t="s">
        <v>58</v>
      </c>
      <c r="V82">
        <v>2</v>
      </c>
      <c r="W82">
        <v>1</v>
      </c>
      <c r="X82">
        <v>1</v>
      </c>
      <c r="Y82">
        <v>0</v>
      </c>
      <c r="Z82">
        <v>1</v>
      </c>
      <c r="AA82">
        <v>0</v>
      </c>
      <c r="AB82">
        <v>292.54000000000002</v>
      </c>
      <c r="AC82">
        <v>257.39999999999998</v>
      </c>
      <c r="AD82">
        <v>0</v>
      </c>
      <c r="AE82">
        <v>35.119999999999997</v>
      </c>
      <c r="AF82">
        <v>0</v>
      </c>
      <c r="AG82">
        <v>0</v>
      </c>
      <c r="AH82">
        <v>0</v>
      </c>
      <c r="AI82">
        <v>0</v>
      </c>
      <c r="AJ82">
        <v>292.52</v>
      </c>
      <c r="AK82">
        <v>-0.02</v>
      </c>
      <c r="AL82" t="s">
        <v>53</v>
      </c>
      <c r="AM82" t="s">
        <v>53</v>
      </c>
      <c r="AN82" t="s">
        <v>358</v>
      </c>
      <c r="AO82" t="s">
        <v>53</v>
      </c>
      <c r="AP82" t="s">
        <v>53</v>
      </c>
    </row>
    <row r="83" spans="2:42" x14ac:dyDescent="0.2">
      <c r="B83" t="s">
        <v>44</v>
      </c>
      <c r="C83" t="str">
        <f>HYPERLINK("https://us2.cloudbeds.com/connect/8493803454333002#/reservations/598547439828?display=E1F91RJT&amp;reservation_id=598547439828", "E1F91RJT")</f>
        <v>E1F91RJT</v>
      </c>
      <c r="D83" t="s">
        <v>45</v>
      </c>
      <c r="E83" t="s">
        <v>179</v>
      </c>
      <c r="F83" t="s">
        <v>47</v>
      </c>
      <c r="G83" t="s">
        <v>48</v>
      </c>
      <c r="H83" t="s">
        <v>49</v>
      </c>
      <c r="I83" t="s">
        <v>50</v>
      </c>
      <c r="J83" t="s">
        <v>359</v>
      </c>
      <c r="K83" t="s">
        <v>360</v>
      </c>
      <c r="L83" t="s">
        <v>53</v>
      </c>
      <c r="N83" t="s">
        <v>361</v>
      </c>
      <c r="P83" t="s">
        <v>55</v>
      </c>
      <c r="R83" t="s">
        <v>56</v>
      </c>
      <c r="T83" t="s">
        <v>348</v>
      </c>
      <c r="U83" t="s">
        <v>58</v>
      </c>
      <c r="V83">
        <v>1</v>
      </c>
      <c r="W83">
        <v>1</v>
      </c>
      <c r="X83">
        <v>1</v>
      </c>
      <c r="Y83">
        <v>0</v>
      </c>
      <c r="Z83">
        <v>1</v>
      </c>
      <c r="AA83">
        <v>0</v>
      </c>
      <c r="AB83">
        <v>103.31</v>
      </c>
      <c r="AC83">
        <v>90.9</v>
      </c>
      <c r="AD83">
        <v>0</v>
      </c>
      <c r="AE83">
        <v>12.41</v>
      </c>
      <c r="AF83">
        <v>0</v>
      </c>
      <c r="AG83">
        <v>0</v>
      </c>
      <c r="AH83">
        <v>0</v>
      </c>
      <c r="AI83">
        <v>18.600000000000001</v>
      </c>
      <c r="AJ83">
        <v>103.31</v>
      </c>
      <c r="AK83">
        <v>0</v>
      </c>
      <c r="AL83" t="s">
        <v>53</v>
      </c>
      <c r="AM83" t="s">
        <v>53</v>
      </c>
      <c r="AN83" t="s">
        <v>112</v>
      </c>
      <c r="AO83" t="s">
        <v>53</v>
      </c>
      <c r="AP83" t="s">
        <v>53</v>
      </c>
    </row>
    <row r="84" spans="2:42" x14ac:dyDescent="0.2">
      <c r="B84" t="s">
        <v>44</v>
      </c>
      <c r="C84" t="str">
        <f>HYPERLINK("https://us2.cloudbeds.com/connect/8493803454333002#/reservations/598621171916?display=E1H57HRJ&amp;reservation_id=598621171916", "E1H57HRJ")</f>
        <v>E1H57HRJ</v>
      </c>
      <c r="D84" t="s">
        <v>45</v>
      </c>
      <c r="E84" t="s">
        <v>85</v>
      </c>
      <c r="F84" t="s">
        <v>86</v>
      </c>
      <c r="G84" t="s">
        <v>48</v>
      </c>
      <c r="H84" t="s">
        <v>71</v>
      </c>
      <c r="I84" t="s">
        <v>72</v>
      </c>
      <c r="J84" t="s">
        <v>123</v>
      </c>
      <c r="K84" t="s">
        <v>356</v>
      </c>
      <c r="L84" t="s">
        <v>53</v>
      </c>
      <c r="N84" t="s">
        <v>362</v>
      </c>
      <c r="P84" t="s">
        <v>55</v>
      </c>
      <c r="R84" t="s">
        <v>56</v>
      </c>
      <c r="T84" t="s">
        <v>363</v>
      </c>
      <c r="U84" t="s">
        <v>58</v>
      </c>
      <c r="V84">
        <v>3</v>
      </c>
      <c r="W84">
        <v>1</v>
      </c>
      <c r="X84">
        <v>1</v>
      </c>
      <c r="Y84">
        <v>0</v>
      </c>
      <c r="Z84">
        <v>1</v>
      </c>
      <c r="AA84">
        <v>0</v>
      </c>
      <c r="AB84">
        <v>497.79</v>
      </c>
      <c r="AC84">
        <v>438</v>
      </c>
      <c r="AD84">
        <v>0</v>
      </c>
      <c r="AE84">
        <v>59.79</v>
      </c>
      <c r="AF84">
        <v>0</v>
      </c>
      <c r="AG84">
        <v>0</v>
      </c>
      <c r="AH84">
        <v>0</v>
      </c>
      <c r="AI84">
        <v>0</v>
      </c>
      <c r="AJ84">
        <v>497.79</v>
      </c>
      <c r="AK84">
        <v>0</v>
      </c>
      <c r="AL84" t="s">
        <v>53</v>
      </c>
      <c r="AM84" t="s">
        <v>53</v>
      </c>
      <c r="AN84" t="s">
        <v>364</v>
      </c>
      <c r="AO84" t="s">
        <v>53</v>
      </c>
      <c r="AP84" t="s">
        <v>53</v>
      </c>
    </row>
    <row r="85" spans="2:42" x14ac:dyDescent="0.2">
      <c r="B85" t="s">
        <v>44</v>
      </c>
      <c r="C85" t="str">
        <f>HYPERLINK("https://us2.cloudbeds.com/connect/8493803454333002#/reservations/598441574548?display=E1CXPWA3&amp;reservation_id=598441574548", "E1CXPWA3")</f>
        <v>E1CXPWA3</v>
      </c>
      <c r="D85" t="s">
        <v>45</v>
      </c>
      <c r="E85" t="s">
        <v>190</v>
      </c>
      <c r="F85" t="s">
        <v>61</v>
      </c>
      <c r="G85" t="s">
        <v>48</v>
      </c>
      <c r="H85" t="s">
        <v>71</v>
      </c>
      <c r="I85" t="s">
        <v>72</v>
      </c>
      <c r="J85" t="s">
        <v>123</v>
      </c>
      <c r="K85" t="s">
        <v>356</v>
      </c>
      <c r="L85" t="s">
        <v>53</v>
      </c>
      <c r="N85" t="s">
        <v>365</v>
      </c>
      <c r="P85" t="s">
        <v>58</v>
      </c>
      <c r="R85" t="s">
        <v>56</v>
      </c>
      <c r="T85" t="s">
        <v>363</v>
      </c>
      <c r="U85" t="s">
        <v>58</v>
      </c>
      <c r="V85">
        <v>3</v>
      </c>
      <c r="W85">
        <v>1</v>
      </c>
      <c r="X85">
        <v>1</v>
      </c>
      <c r="Y85">
        <v>0</v>
      </c>
      <c r="Z85">
        <v>1</v>
      </c>
      <c r="AA85">
        <v>0</v>
      </c>
      <c r="AB85">
        <v>473.92</v>
      </c>
      <c r="AC85">
        <v>417</v>
      </c>
      <c r="AD85">
        <v>0</v>
      </c>
      <c r="AE85">
        <v>56.94</v>
      </c>
      <c r="AF85">
        <v>0</v>
      </c>
      <c r="AG85">
        <v>0</v>
      </c>
      <c r="AH85">
        <v>0</v>
      </c>
      <c r="AI85">
        <v>0</v>
      </c>
      <c r="AJ85">
        <v>473.94</v>
      </c>
      <c r="AK85">
        <v>0.02</v>
      </c>
      <c r="AL85" t="s">
        <v>53</v>
      </c>
      <c r="AM85" t="s">
        <v>53</v>
      </c>
      <c r="AN85" t="s">
        <v>366</v>
      </c>
      <c r="AO85" t="s">
        <v>53</v>
      </c>
      <c r="AP85" t="s">
        <v>53</v>
      </c>
    </row>
    <row r="86" spans="2:42" x14ac:dyDescent="0.2">
      <c r="B86" t="s">
        <v>44</v>
      </c>
      <c r="C86" t="str">
        <f>HYPERLINK("https://us2.cloudbeds.com/connect/8493803454333002#/reservations/598470136016?display=E1D9SZHW&amp;reservation_id=598470136016", "E1D9SZHW")</f>
        <v>E1D9SZHW</v>
      </c>
      <c r="D86" t="s">
        <v>45</v>
      </c>
      <c r="E86" t="s">
        <v>165</v>
      </c>
      <c r="F86" t="s">
        <v>61</v>
      </c>
      <c r="G86" t="s">
        <v>48</v>
      </c>
      <c r="H86" t="s">
        <v>71</v>
      </c>
      <c r="I86" t="s">
        <v>72</v>
      </c>
      <c r="J86" t="s">
        <v>123</v>
      </c>
      <c r="K86" t="s">
        <v>356</v>
      </c>
      <c r="L86" t="s">
        <v>53</v>
      </c>
      <c r="N86" t="s">
        <v>367</v>
      </c>
      <c r="P86" t="s">
        <v>55</v>
      </c>
      <c r="R86" t="s">
        <v>56</v>
      </c>
      <c r="T86" t="s">
        <v>363</v>
      </c>
      <c r="U86" t="s">
        <v>58</v>
      </c>
      <c r="V86">
        <v>3</v>
      </c>
      <c r="W86">
        <v>1</v>
      </c>
      <c r="X86">
        <v>1</v>
      </c>
      <c r="Y86">
        <v>0</v>
      </c>
      <c r="Z86">
        <v>1</v>
      </c>
      <c r="AA86">
        <v>0</v>
      </c>
      <c r="AB86">
        <v>473.92</v>
      </c>
      <c r="AC86">
        <v>417</v>
      </c>
      <c r="AD86">
        <v>0</v>
      </c>
      <c r="AE86">
        <v>56.94</v>
      </c>
      <c r="AF86">
        <v>0</v>
      </c>
      <c r="AG86">
        <v>0</v>
      </c>
      <c r="AH86">
        <v>0</v>
      </c>
      <c r="AI86">
        <v>0</v>
      </c>
      <c r="AJ86">
        <v>473.94</v>
      </c>
      <c r="AK86">
        <v>0.02</v>
      </c>
      <c r="AL86" t="s">
        <v>53</v>
      </c>
      <c r="AM86" t="s">
        <v>53</v>
      </c>
      <c r="AN86" t="s">
        <v>368</v>
      </c>
      <c r="AO86" t="s">
        <v>53</v>
      </c>
      <c r="AP86" t="s">
        <v>53</v>
      </c>
    </row>
    <row r="87" spans="2:42" x14ac:dyDescent="0.2">
      <c r="B87" t="s">
        <v>44</v>
      </c>
      <c r="C87" t="str">
        <f>HYPERLINK("https://us2.cloudbeds.com/connect/8493803454333002#/reservations/598491226324?display=E1DRYK7C&amp;reservation_id=598491226324", "E1DRYK7C")</f>
        <v>E1DRYK7C</v>
      </c>
      <c r="D87" t="s">
        <v>45</v>
      </c>
      <c r="E87" t="s">
        <v>185</v>
      </c>
      <c r="F87" t="s">
        <v>47</v>
      </c>
      <c r="G87" t="s">
        <v>48</v>
      </c>
      <c r="H87" t="s">
        <v>49</v>
      </c>
      <c r="I87" t="s">
        <v>50</v>
      </c>
      <c r="J87" t="s">
        <v>161</v>
      </c>
      <c r="K87" t="s">
        <v>239</v>
      </c>
      <c r="L87" t="s">
        <v>53</v>
      </c>
      <c r="N87" t="s">
        <v>369</v>
      </c>
      <c r="P87" t="s">
        <v>55</v>
      </c>
      <c r="R87" t="s">
        <v>56</v>
      </c>
      <c r="T87" t="s">
        <v>363</v>
      </c>
      <c r="U87" t="s">
        <v>58</v>
      </c>
      <c r="V87">
        <v>2</v>
      </c>
      <c r="W87">
        <v>1</v>
      </c>
      <c r="X87">
        <v>1</v>
      </c>
      <c r="Y87">
        <v>0</v>
      </c>
      <c r="Z87">
        <v>1</v>
      </c>
      <c r="AA87">
        <v>0</v>
      </c>
      <c r="AB87">
        <v>139.11000000000001</v>
      </c>
      <c r="AC87">
        <v>122.4</v>
      </c>
      <c r="AD87">
        <v>0</v>
      </c>
      <c r="AE87">
        <v>16.68</v>
      </c>
      <c r="AF87">
        <v>0</v>
      </c>
      <c r="AG87">
        <v>0</v>
      </c>
      <c r="AH87">
        <v>0</v>
      </c>
      <c r="AI87">
        <v>25.03</v>
      </c>
      <c r="AJ87">
        <v>139.08000000000001</v>
      </c>
      <c r="AK87">
        <v>-0.03</v>
      </c>
      <c r="AL87" t="s">
        <v>53</v>
      </c>
      <c r="AM87" t="s">
        <v>53</v>
      </c>
      <c r="AN87" t="s">
        <v>146</v>
      </c>
      <c r="AO87" t="s">
        <v>53</v>
      </c>
      <c r="AP87" t="s">
        <v>53</v>
      </c>
    </row>
    <row r="88" spans="2:42" x14ac:dyDescent="0.2">
      <c r="B88" t="s">
        <v>44</v>
      </c>
      <c r="C88" t="str">
        <f>HYPERLINK("https://us2.cloudbeds.com/connect/8493803454333002#/reservations/598444994694?display=E1CYM4UT&amp;reservation_id=598444994694", "E1CYM4UT")</f>
        <v>E1CYM4UT</v>
      </c>
      <c r="D88" t="s">
        <v>45</v>
      </c>
      <c r="E88" t="s">
        <v>69</v>
      </c>
      <c r="F88" t="s">
        <v>70</v>
      </c>
      <c r="G88" t="s">
        <v>48</v>
      </c>
      <c r="H88" t="s">
        <v>71</v>
      </c>
      <c r="I88" t="s">
        <v>72</v>
      </c>
      <c r="J88" t="s">
        <v>123</v>
      </c>
      <c r="K88" t="s">
        <v>356</v>
      </c>
      <c r="L88" t="s">
        <v>53</v>
      </c>
      <c r="N88" t="s">
        <v>370</v>
      </c>
      <c r="P88" t="s">
        <v>55</v>
      </c>
      <c r="R88" t="s">
        <v>56</v>
      </c>
      <c r="T88" t="s">
        <v>363</v>
      </c>
      <c r="U88" t="s">
        <v>58</v>
      </c>
      <c r="V88">
        <v>3</v>
      </c>
      <c r="W88">
        <v>1</v>
      </c>
      <c r="X88">
        <v>1</v>
      </c>
      <c r="Y88">
        <v>0</v>
      </c>
      <c r="Z88">
        <v>1</v>
      </c>
      <c r="AA88">
        <v>0</v>
      </c>
      <c r="AB88">
        <v>392.09</v>
      </c>
      <c r="AC88">
        <v>345</v>
      </c>
      <c r="AD88">
        <v>0</v>
      </c>
      <c r="AE88">
        <v>47.13</v>
      </c>
      <c r="AF88">
        <v>0</v>
      </c>
      <c r="AG88">
        <v>0</v>
      </c>
      <c r="AH88">
        <v>0</v>
      </c>
      <c r="AI88">
        <v>0</v>
      </c>
      <c r="AJ88">
        <v>392.13</v>
      </c>
      <c r="AK88">
        <v>0.04</v>
      </c>
      <c r="AL88" t="s">
        <v>53</v>
      </c>
      <c r="AM88" t="s">
        <v>53</v>
      </c>
      <c r="AN88" t="s">
        <v>371</v>
      </c>
      <c r="AO88" t="s">
        <v>53</v>
      </c>
      <c r="AP88" t="s">
        <v>53</v>
      </c>
    </row>
    <row r="89" spans="2:42" x14ac:dyDescent="0.2">
      <c r="B89" t="s">
        <v>44</v>
      </c>
      <c r="C89" t="str">
        <f>HYPERLINK("https://us2.cloudbeds.com/connect/8493803454333002#/reservations/598471180489?display=E1DAZQYR&amp;reservation_id=598471180489", "E1DAZQYR")</f>
        <v>E1DAZQYR</v>
      </c>
      <c r="D89" t="s">
        <v>45</v>
      </c>
      <c r="E89" t="s">
        <v>223</v>
      </c>
      <c r="F89" t="s">
        <v>47</v>
      </c>
      <c r="G89" t="s">
        <v>48</v>
      </c>
      <c r="H89" t="s">
        <v>49</v>
      </c>
      <c r="I89" t="s">
        <v>50</v>
      </c>
      <c r="J89" t="s">
        <v>139</v>
      </c>
      <c r="K89" t="s">
        <v>51</v>
      </c>
      <c r="L89" t="s">
        <v>53</v>
      </c>
      <c r="N89" t="s">
        <v>372</v>
      </c>
      <c r="P89" t="s">
        <v>55</v>
      </c>
      <c r="R89" t="s">
        <v>56</v>
      </c>
      <c r="T89" t="s">
        <v>363</v>
      </c>
      <c r="U89" t="s">
        <v>58</v>
      </c>
      <c r="V89">
        <v>1</v>
      </c>
      <c r="W89">
        <v>1</v>
      </c>
      <c r="X89">
        <v>1</v>
      </c>
      <c r="Y89">
        <v>0</v>
      </c>
      <c r="Z89">
        <v>1</v>
      </c>
      <c r="AA89">
        <v>0</v>
      </c>
      <c r="AB89">
        <v>94.1</v>
      </c>
      <c r="AC89">
        <v>82.8</v>
      </c>
      <c r="AD89">
        <v>0</v>
      </c>
      <c r="AE89">
        <v>11.31</v>
      </c>
      <c r="AF89">
        <v>0</v>
      </c>
      <c r="AG89">
        <v>0</v>
      </c>
      <c r="AH89">
        <v>0</v>
      </c>
      <c r="AI89">
        <v>16.940000000000001</v>
      </c>
      <c r="AJ89">
        <v>94.11</v>
      </c>
      <c r="AK89">
        <v>0.01</v>
      </c>
      <c r="AL89" t="s">
        <v>53</v>
      </c>
      <c r="AM89" t="s">
        <v>53</v>
      </c>
      <c r="AN89" t="s">
        <v>159</v>
      </c>
      <c r="AO89" t="s">
        <v>53</v>
      </c>
      <c r="AP89" t="s">
        <v>53</v>
      </c>
    </row>
    <row r="90" spans="2:42" x14ac:dyDescent="0.2">
      <c r="B90" t="s">
        <v>44</v>
      </c>
      <c r="C90" t="str">
        <f>HYPERLINK("https://us2.cloudbeds.com/connect/8493803454333002#/reservations/598525616281?display=E1ENYXK8&amp;reservation_id=598525616281", "E1ENYXK8")</f>
        <v>E1ENYXK8</v>
      </c>
      <c r="D90" t="s">
        <v>45</v>
      </c>
      <c r="E90" t="s">
        <v>373</v>
      </c>
      <c r="F90" t="s">
        <v>47</v>
      </c>
      <c r="G90" t="s">
        <v>48</v>
      </c>
      <c r="H90" t="s">
        <v>71</v>
      </c>
      <c r="I90" t="s">
        <v>72</v>
      </c>
      <c r="J90" t="s">
        <v>374</v>
      </c>
      <c r="K90" t="s">
        <v>375</v>
      </c>
      <c r="L90" t="s">
        <v>53</v>
      </c>
      <c r="N90" t="s">
        <v>376</v>
      </c>
      <c r="P90" t="s">
        <v>58</v>
      </c>
      <c r="R90" t="s">
        <v>56</v>
      </c>
      <c r="T90" t="s">
        <v>377</v>
      </c>
      <c r="U90" t="s">
        <v>58</v>
      </c>
      <c r="V90">
        <v>3</v>
      </c>
      <c r="W90">
        <v>1</v>
      </c>
      <c r="X90">
        <v>1</v>
      </c>
      <c r="Y90">
        <v>0</v>
      </c>
      <c r="Z90">
        <v>1</v>
      </c>
      <c r="AA90">
        <v>0</v>
      </c>
      <c r="AB90">
        <v>238.67</v>
      </c>
      <c r="AC90">
        <v>210</v>
      </c>
      <c r="AD90">
        <v>0</v>
      </c>
      <c r="AE90">
        <v>28.68</v>
      </c>
      <c r="AF90">
        <v>0</v>
      </c>
      <c r="AG90">
        <v>0</v>
      </c>
      <c r="AH90">
        <v>0</v>
      </c>
      <c r="AI90">
        <v>0</v>
      </c>
      <c r="AJ90">
        <v>238.68</v>
      </c>
      <c r="AK90">
        <v>0.01</v>
      </c>
      <c r="AL90" t="s">
        <v>53</v>
      </c>
      <c r="AM90" t="s">
        <v>53</v>
      </c>
      <c r="AN90" t="s">
        <v>378</v>
      </c>
      <c r="AO90" t="s">
        <v>53</v>
      </c>
      <c r="AP90" t="s">
        <v>53</v>
      </c>
    </row>
    <row r="91" spans="2:42" x14ac:dyDescent="0.2">
      <c r="B91" t="s">
        <v>44</v>
      </c>
      <c r="C91" t="str">
        <f>HYPERLINK("https://us2.cloudbeds.com/connect/8493803454333002#/reservations/597955960983?display=E105A25G&amp;reservation_id=597955960983", "E105A25G")</f>
        <v>E105A25G</v>
      </c>
      <c r="D91" t="s">
        <v>45</v>
      </c>
      <c r="E91" t="s">
        <v>179</v>
      </c>
      <c r="F91" t="s">
        <v>47</v>
      </c>
      <c r="G91" t="s">
        <v>48</v>
      </c>
      <c r="H91" t="s">
        <v>71</v>
      </c>
      <c r="I91" t="s">
        <v>72</v>
      </c>
      <c r="J91" t="s">
        <v>51</v>
      </c>
      <c r="K91" t="s">
        <v>80</v>
      </c>
      <c r="L91" t="s">
        <v>53</v>
      </c>
      <c r="N91" t="s">
        <v>379</v>
      </c>
      <c r="P91" t="s">
        <v>55</v>
      </c>
      <c r="R91" t="s">
        <v>56</v>
      </c>
      <c r="T91" t="s">
        <v>377</v>
      </c>
      <c r="U91" t="s">
        <v>58</v>
      </c>
      <c r="V91">
        <v>2</v>
      </c>
      <c r="W91">
        <v>1</v>
      </c>
      <c r="X91">
        <v>1</v>
      </c>
      <c r="Y91">
        <v>0</v>
      </c>
      <c r="Z91">
        <v>1</v>
      </c>
      <c r="AA91">
        <v>0</v>
      </c>
      <c r="AB91">
        <v>206.84</v>
      </c>
      <c r="AC91">
        <v>182</v>
      </c>
      <c r="AD91">
        <v>0</v>
      </c>
      <c r="AE91">
        <v>24.86</v>
      </c>
      <c r="AF91">
        <v>0</v>
      </c>
      <c r="AG91">
        <v>0</v>
      </c>
      <c r="AH91">
        <v>0</v>
      </c>
      <c r="AI91">
        <v>0</v>
      </c>
      <c r="AJ91">
        <v>206.86</v>
      </c>
      <c r="AK91">
        <v>0.02</v>
      </c>
      <c r="AL91" t="s">
        <v>53</v>
      </c>
      <c r="AM91" t="s">
        <v>53</v>
      </c>
      <c r="AN91" t="s">
        <v>378</v>
      </c>
      <c r="AO91" t="s">
        <v>53</v>
      </c>
      <c r="AP91" t="s">
        <v>53</v>
      </c>
    </row>
    <row r="92" spans="2:42" x14ac:dyDescent="0.2">
      <c r="B92" t="s">
        <v>44</v>
      </c>
      <c r="C92" t="str">
        <f>HYPERLINK("https://us2.cloudbeds.com/connect/8493803454333002#/reservations/598453129373?display=E1CSHGQ9&amp;reservation_id=598453129373", "E1CSHGQ9")</f>
        <v>E1CSHGQ9</v>
      </c>
      <c r="D92" t="s">
        <v>45</v>
      </c>
      <c r="E92" t="s">
        <v>185</v>
      </c>
      <c r="F92" t="s">
        <v>47</v>
      </c>
      <c r="G92" t="s">
        <v>48</v>
      </c>
      <c r="H92" t="s">
        <v>71</v>
      </c>
      <c r="I92" t="s">
        <v>72</v>
      </c>
      <c r="J92" t="s">
        <v>51</v>
      </c>
      <c r="K92" t="s">
        <v>52</v>
      </c>
      <c r="L92" t="s">
        <v>53</v>
      </c>
      <c r="N92" t="s">
        <v>380</v>
      </c>
      <c r="P92" t="s">
        <v>55</v>
      </c>
      <c r="R92" t="s">
        <v>56</v>
      </c>
      <c r="T92" t="s">
        <v>377</v>
      </c>
      <c r="U92" t="s">
        <v>58</v>
      </c>
      <c r="V92">
        <v>1</v>
      </c>
      <c r="W92">
        <v>1</v>
      </c>
      <c r="X92">
        <v>1</v>
      </c>
      <c r="Y92">
        <v>0</v>
      </c>
      <c r="Z92">
        <v>1</v>
      </c>
      <c r="AA92">
        <v>0</v>
      </c>
      <c r="AB92">
        <v>98.88</v>
      </c>
      <c r="AC92">
        <v>87</v>
      </c>
      <c r="AD92">
        <v>0</v>
      </c>
      <c r="AE92">
        <v>11.88</v>
      </c>
      <c r="AF92">
        <v>0</v>
      </c>
      <c r="AG92">
        <v>0</v>
      </c>
      <c r="AH92">
        <v>0</v>
      </c>
      <c r="AI92">
        <v>0</v>
      </c>
      <c r="AJ92">
        <v>98.88</v>
      </c>
      <c r="AK92">
        <v>0</v>
      </c>
      <c r="AL92" t="s">
        <v>53</v>
      </c>
      <c r="AM92" t="s">
        <v>53</v>
      </c>
      <c r="AN92" t="s">
        <v>378</v>
      </c>
      <c r="AO92" t="s">
        <v>53</v>
      </c>
      <c r="AP92" t="s">
        <v>53</v>
      </c>
    </row>
    <row r="93" spans="2:42" x14ac:dyDescent="0.2">
      <c r="B93" t="s">
        <v>44</v>
      </c>
      <c r="C93" t="str">
        <f>HYPERLINK("https://us2.cloudbeds.com/connect/8493803454333002#/reservations/598456975540?display=E1CVPHKR&amp;reservation_id=598456975540", "E1CVPHKR")</f>
        <v>E1CVPHKR</v>
      </c>
      <c r="D93" t="s">
        <v>45</v>
      </c>
      <c r="E93" t="s">
        <v>381</v>
      </c>
      <c r="F93" t="s">
        <v>47</v>
      </c>
      <c r="G93" t="s">
        <v>48</v>
      </c>
      <c r="H93" t="s">
        <v>71</v>
      </c>
      <c r="I93" t="s">
        <v>72</v>
      </c>
      <c r="J93" t="s">
        <v>374</v>
      </c>
      <c r="K93" t="s">
        <v>375</v>
      </c>
      <c r="L93" t="s">
        <v>53</v>
      </c>
      <c r="N93" t="s">
        <v>382</v>
      </c>
      <c r="P93" t="s">
        <v>58</v>
      </c>
      <c r="R93" t="s">
        <v>56</v>
      </c>
      <c r="T93" t="s">
        <v>377</v>
      </c>
      <c r="U93" t="s">
        <v>58</v>
      </c>
      <c r="V93">
        <v>3</v>
      </c>
      <c r="W93">
        <v>1</v>
      </c>
      <c r="X93">
        <v>1</v>
      </c>
      <c r="Y93">
        <v>0</v>
      </c>
      <c r="Z93">
        <v>1</v>
      </c>
      <c r="AA93">
        <v>0</v>
      </c>
      <c r="AB93">
        <v>238.67</v>
      </c>
      <c r="AC93">
        <v>210</v>
      </c>
      <c r="AD93">
        <v>0</v>
      </c>
      <c r="AE93">
        <v>28.68</v>
      </c>
      <c r="AF93">
        <v>0</v>
      </c>
      <c r="AG93">
        <v>0</v>
      </c>
      <c r="AH93">
        <v>0</v>
      </c>
      <c r="AI93">
        <v>0</v>
      </c>
      <c r="AJ93">
        <v>238.68</v>
      </c>
      <c r="AK93">
        <v>0.01</v>
      </c>
      <c r="AL93" t="s">
        <v>53</v>
      </c>
      <c r="AM93" t="s">
        <v>53</v>
      </c>
      <c r="AN93" t="s">
        <v>378</v>
      </c>
      <c r="AO93" t="s">
        <v>53</v>
      </c>
      <c r="AP93" t="s">
        <v>53</v>
      </c>
    </row>
    <row r="94" spans="2:42" x14ac:dyDescent="0.2">
      <c r="B94" t="s">
        <v>44</v>
      </c>
      <c r="C94" t="str">
        <f>HYPERLINK("https://us2.cloudbeds.com/connect/8493803454333002#/reservations/598171082951?display=E15YN501&amp;reservation_id=598171082951", "E15YN501")</f>
        <v>E15YN501</v>
      </c>
      <c r="D94" t="s">
        <v>45</v>
      </c>
      <c r="E94" t="s">
        <v>113</v>
      </c>
      <c r="F94" t="s">
        <v>61</v>
      </c>
      <c r="G94" t="s">
        <v>48</v>
      </c>
      <c r="H94" t="s">
        <v>49</v>
      </c>
      <c r="I94" t="s">
        <v>62</v>
      </c>
      <c r="J94" t="s">
        <v>51</v>
      </c>
      <c r="K94" t="s">
        <v>80</v>
      </c>
      <c r="L94" t="s">
        <v>53</v>
      </c>
      <c r="N94" t="s">
        <v>383</v>
      </c>
      <c r="P94" t="s">
        <v>55</v>
      </c>
      <c r="R94" t="s">
        <v>118</v>
      </c>
      <c r="T94" t="s">
        <v>377</v>
      </c>
      <c r="U94" t="s">
        <v>58</v>
      </c>
      <c r="V94">
        <v>2</v>
      </c>
      <c r="W94">
        <v>1</v>
      </c>
      <c r="X94">
        <v>1</v>
      </c>
      <c r="Y94">
        <v>0</v>
      </c>
      <c r="Z94">
        <v>1</v>
      </c>
      <c r="AA94">
        <v>0</v>
      </c>
      <c r="AB94">
        <v>235.26</v>
      </c>
      <c r="AC94">
        <v>207</v>
      </c>
      <c r="AD94">
        <v>0</v>
      </c>
      <c r="AE94">
        <v>28.24</v>
      </c>
      <c r="AF94">
        <v>0</v>
      </c>
      <c r="AG94">
        <v>0</v>
      </c>
      <c r="AH94">
        <v>0</v>
      </c>
      <c r="AI94">
        <v>35.29</v>
      </c>
      <c r="AJ94">
        <v>235.24</v>
      </c>
      <c r="AK94">
        <v>-0.02</v>
      </c>
      <c r="AL94" t="s">
        <v>53</v>
      </c>
      <c r="AM94" t="s">
        <v>53</v>
      </c>
      <c r="AN94" t="s">
        <v>280</v>
      </c>
      <c r="AO94" t="s">
        <v>53</v>
      </c>
      <c r="AP94" t="s">
        <v>53</v>
      </c>
    </row>
    <row r="95" spans="2:42" x14ac:dyDescent="0.2">
      <c r="B95" t="s">
        <v>44</v>
      </c>
      <c r="C95" t="str">
        <f>HYPERLINK("https://us2.cloudbeds.com/connect/8493803454333002#/reservations/598441062540?display=E1CXBZ4M&amp;reservation_id=598441062540", "E1CXBZ4M")</f>
        <v>E1CXBZ4M</v>
      </c>
      <c r="D95" t="s">
        <v>45</v>
      </c>
      <c r="E95" t="s">
        <v>105</v>
      </c>
      <c r="F95" t="s">
        <v>47</v>
      </c>
      <c r="G95" t="s">
        <v>48</v>
      </c>
      <c r="H95" t="s">
        <v>49</v>
      </c>
      <c r="I95" t="s">
        <v>62</v>
      </c>
      <c r="J95" t="s">
        <v>51</v>
      </c>
      <c r="K95" t="s">
        <v>384</v>
      </c>
      <c r="L95" t="s">
        <v>53</v>
      </c>
      <c r="N95" t="s">
        <v>385</v>
      </c>
      <c r="P95" t="s">
        <v>55</v>
      </c>
      <c r="R95" t="s">
        <v>56</v>
      </c>
      <c r="T95" t="s">
        <v>377</v>
      </c>
      <c r="U95" t="s">
        <v>58</v>
      </c>
      <c r="V95">
        <v>3</v>
      </c>
      <c r="W95">
        <v>1</v>
      </c>
      <c r="X95">
        <v>1</v>
      </c>
      <c r="Y95">
        <v>0</v>
      </c>
      <c r="Z95">
        <v>1</v>
      </c>
      <c r="AA95">
        <v>0</v>
      </c>
      <c r="AB95">
        <v>330.55</v>
      </c>
      <c r="AC95">
        <v>290.85000000000002</v>
      </c>
      <c r="AD95">
        <v>0</v>
      </c>
      <c r="AE95">
        <v>39.69</v>
      </c>
      <c r="AF95">
        <v>0</v>
      </c>
      <c r="AG95">
        <v>0</v>
      </c>
      <c r="AH95">
        <v>0</v>
      </c>
      <c r="AI95">
        <v>49.58</v>
      </c>
      <c r="AJ95">
        <v>330.54</v>
      </c>
      <c r="AK95">
        <v>-0.01</v>
      </c>
      <c r="AL95" t="s">
        <v>53</v>
      </c>
      <c r="AM95" t="s">
        <v>53</v>
      </c>
      <c r="AN95" t="s">
        <v>386</v>
      </c>
      <c r="AO95" t="s">
        <v>53</v>
      </c>
      <c r="AP95" t="s">
        <v>53</v>
      </c>
    </row>
    <row r="96" spans="2:42" x14ac:dyDescent="0.2">
      <c r="B96" t="s">
        <v>44</v>
      </c>
      <c r="C96" t="str">
        <f>HYPERLINK("https://us2.cloudbeds.com/connect/8493803454333002#/reservations/598450294977?display=E1CQ4Y1H&amp;reservation_id=598450294977", "E1CQ4Y1H")</f>
        <v>E1CQ4Y1H</v>
      </c>
      <c r="D96" t="s">
        <v>45</v>
      </c>
      <c r="E96" t="s">
        <v>121</v>
      </c>
      <c r="F96" t="s">
        <v>86</v>
      </c>
      <c r="G96" t="s">
        <v>48</v>
      </c>
      <c r="H96" t="s">
        <v>71</v>
      </c>
      <c r="I96" t="s">
        <v>72</v>
      </c>
      <c r="J96" t="s">
        <v>387</v>
      </c>
      <c r="K96" t="s">
        <v>388</v>
      </c>
      <c r="L96" t="s">
        <v>53</v>
      </c>
      <c r="N96" t="s">
        <v>389</v>
      </c>
      <c r="P96" t="s">
        <v>55</v>
      </c>
      <c r="R96" t="s">
        <v>56</v>
      </c>
      <c r="T96" t="s">
        <v>390</v>
      </c>
      <c r="U96" t="s">
        <v>58</v>
      </c>
      <c r="V96">
        <v>1</v>
      </c>
      <c r="W96">
        <v>1</v>
      </c>
      <c r="X96">
        <v>1</v>
      </c>
      <c r="Y96">
        <v>0</v>
      </c>
      <c r="Z96">
        <v>1</v>
      </c>
      <c r="AA96">
        <v>0</v>
      </c>
      <c r="AB96">
        <v>196.61</v>
      </c>
      <c r="AC96">
        <v>173</v>
      </c>
      <c r="AD96">
        <v>0</v>
      </c>
      <c r="AE96">
        <v>23.62</v>
      </c>
      <c r="AF96">
        <v>0</v>
      </c>
      <c r="AG96">
        <v>0</v>
      </c>
      <c r="AH96">
        <v>0</v>
      </c>
      <c r="AI96">
        <v>0</v>
      </c>
      <c r="AJ96">
        <v>196.62</v>
      </c>
      <c r="AK96">
        <v>0.01</v>
      </c>
      <c r="AL96" t="s">
        <v>53</v>
      </c>
      <c r="AM96" t="s">
        <v>53</v>
      </c>
      <c r="AN96" t="s">
        <v>391</v>
      </c>
      <c r="AO96" t="s">
        <v>53</v>
      </c>
      <c r="AP96" t="s">
        <v>53</v>
      </c>
    </row>
    <row r="97" spans="2:42" x14ac:dyDescent="0.2">
      <c r="B97" t="s">
        <v>44</v>
      </c>
      <c r="C97" t="str">
        <f>HYPERLINK("https://us2.cloudbeds.com/connect/8493803454333002#/reservations/598532452572?display=E1ETDQ6K&amp;reservation_id=598532452572", "E1ETDQ6K")</f>
        <v>E1ETDQ6K</v>
      </c>
      <c r="D97" t="s">
        <v>45</v>
      </c>
      <c r="E97" t="s">
        <v>179</v>
      </c>
      <c r="F97" t="s">
        <v>47</v>
      </c>
      <c r="G97" t="s">
        <v>48</v>
      </c>
      <c r="H97" t="s">
        <v>49</v>
      </c>
      <c r="I97" t="s">
        <v>79</v>
      </c>
      <c r="J97" t="s">
        <v>387</v>
      </c>
      <c r="K97" t="s">
        <v>388</v>
      </c>
      <c r="L97" t="s">
        <v>53</v>
      </c>
      <c r="N97" t="s">
        <v>392</v>
      </c>
      <c r="P97" t="s">
        <v>55</v>
      </c>
      <c r="R97" t="s">
        <v>56</v>
      </c>
      <c r="T97" t="s">
        <v>390</v>
      </c>
      <c r="U97" t="s">
        <v>58</v>
      </c>
      <c r="V97">
        <v>1</v>
      </c>
      <c r="W97">
        <v>1</v>
      </c>
      <c r="X97">
        <v>1</v>
      </c>
      <c r="Y97">
        <v>0</v>
      </c>
      <c r="Z97">
        <v>1</v>
      </c>
      <c r="AA97">
        <v>0</v>
      </c>
      <c r="AB97">
        <v>153.43</v>
      </c>
      <c r="AC97">
        <v>135</v>
      </c>
      <c r="AD97">
        <v>0</v>
      </c>
      <c r="AE97">
        <v>18.440000000000001</v>
      </c>
      <c r="AF97">
        <v>0</v>
      </c>
      <c r="AG97">
        <v>0</v>
      </c>
      <c r="AH97">
        <v>0</v>
      </c>
      <c r="AI97">
        <v>0</v>
      </c>
      <c r="AJ97">
        <v>153.44</v>
      </c>
      <c r="AK97">
        <v>0.01</v>
      </c>
      <c r="AL97" t="s">
        <v>53</v>
      </c>
      <c r="AM97" t="s">
        <v>53</v>
      </c>
      <c r="AN97" t="s">
        <v>332</v>
      </c>
      <c r="AO97" t="s">
        <v>53</v>
      </c>
      <c r="AP97" t="s">
        <v>53</v>
      </c>
    </row>
    <row r="98" spans="2:42" x14ac:dyDescent="0.2">
      <c r="B98" t="s">
        <v>44</v>
      </c>
      <c r="C98" t="str">
        <f>HYPERLINK("https://us2.cloudbeds.com/connect/8493803454333002#/reservations/598224064722?display=E170CEP8&amp;reservation_id=598224064722", "E170CEP8")</f>
        <v>E170CEP8</v>
      </c>
      <c r="D98" t="s">
        <v>45</v>
      </c>
      <c r="E98" t="s">
        <v>78</v>
      </c>
      <c r="F98" t="s">
        <v>61</v>
      </c>
      <c r="G98" t="s">
        <v>48</v>
      </c>
      <c r="H98" t="s">
        <v>49</v>
      </c>
      <c r="I98" t="s">
        <v>79</v>
      </c>
      <c r="J98" t="s">
        <v>387</v>
      </c>
      <c r="K98" t="s">
        <v>388</v>
      </c>
      <c r="L98" t="s">
        <v>53</v>
      </c>
      <c r="N98" t="s">
        <v>393</v>
      </c>
      <c r="P98" t="s">
        <v>55</v>
      </c>
      <c r="R98" t="s">
        <v>56</v>
      </c>
      <c r="T98" t="s">
        <v>390</v>
      </c>
      <c r="U98" t="s">
        <v>58</v>
      </c>
      <c r="V98">
        <v>1</v>
      </c>
      <c r="W98">
        <v>1</v>
      </c>
      <c r="X98">
        <v>1</v>
      </c>
      <c r="Y98">
        <v>0</v>
      </c>
      <c r="Z98">
        <v>1</v>
      </c>
      <c r="AA98">
        <v>0</v>
      </c>
      <c r="AB98">
        <v>167.75</v>
      </c>
      <c r="AC98">
        <v>147.6</v>
      </c>
      <c r="AD98">
        <v>0</v>
      </c>
      <c r="AE98">
        <v>20.149999999999999</v>
      </c>
      <c r="AF98">
        <v>0</v>
      </c>
      <c r="AG98">
        <v>0</v>
      </c>
      <c r="AH98">
        <v>0</v>
      </c>
      <c r="AI98">
        <v>0</v>
      </c>
      <c r="AJ98">
        <v>167.75</v>
      </c>
      <c r="AK98">
        <v>0</v>
      </c>
      <c r="AL98" t="s">
        <v>53</v>
      </c>
      <c r="AM98" t="s">
        <v>53</v>
      </c>
      <c r="AN98" t="s">
        <v>245</v>
      </c>
      <c r="AO98" t="s">
        <v>53</v>
      </c>
      <c r="AP98" t="s">
        <v>53</v>
      </c>
    </row>
    <row r="99" spans="2:42" x14ac:dyDescent="0.2">
      <c r="B99" t="s">
        <v>44</v>
      </c>
      <c r="C99" t="str">
        <f>HYPERLINK("https://us2.cloudbeds.com/connect/8493803454333002#/reservations/598255050903?display=E17QGMXE&amp;reservation_id=598255050903", "E17QGMXE")</f>
        <v>E17QGMXE</v>
      </c>
      <c r="D99" t="s">
        <v>45</v>
      </c>
      <c r="E99" t="s">
        <v>98</v>
      </c>
      <c r="F99" t="s">
        <v>86</v>
      </c>
      <c r="G99" t="s">
        <v>48</v>
      </c>
      <c r="H99" t="s">
        <v>49</v>
      </c>
      <c r="I99" t="s">
        <v>114</v>
      </c>
      <c r="J99" t="s">
        <v>161</v>
      </c>
      <c r="K99" t="s">
        <v>239</v>
      </c>
      <c r="L99" t="s">
        <v>53</v>
      </c>
      <c r="N99" t="s">
        <v>394</v>
      </c>
      <c r="P99" t="s">
        <v>58</v>
      </c>
      <c r="R99" t="s">
        <v>56</v>
      </c>
      <c r="T99" t="s">
        <v>390</v>
      </c>
      <c r="U99" t="s">
        <v>58</v>
      </c>
      <c r="V99">
        <v>2</v>
      </c>
      <c r="W99">
        <v>1</v>
      </c>
      <c r="X99">
        <v>1</v>
      </c>
      <c r="Y99">
        <v>0</v>
      </c>
      <c r="Z99">
        <v>1</v>
      </c>
      <c r="AA99">
        <v>0</v>
      </c>
      <c r="AB99">
        <v>187.52</v>
      </c>
      <c r="AC99">
        <v>165</v>
      </c>
      <c r="AD99">
        <v>0</v>
      </c>
      <c r="AE99">
        <v>22.52</v>
      </c>
      <c r="AF99">
        <v>0</v>
      </c>
      <c r="AG99">
        <v>0</v>
      </c>
      <c r="AH99">
        <v>0</v>
      </c>
      <c r="AI99">
        <v>0</v>
      </c>
      <c r="AJ99">
        <v>187.52</v>
      </c>
      <c r="AK99">
        <v>0</v>
      </c>
      <c r="AL99" t="s">
        <v>53</v>
      </c>
      <c r="AM99" t="s">
        <v>53</v>
      </c>
      <c r="AN99" t="s">
        <v>395</v>
      </c>
      <c r="AO99" t="s">
        <v>53</v>
      </c>
      <c r="AP99" t="s">
        <v>53</v>
      </c>
    </row>
    <row r="100" spans="2:42" x14ac:dyDescent="0.2">
      <c r="B100" t="s">
        <v>44</v>
      </c>
      <c r="C100" t="str">
        <f>HYPERLINK("https://us2.cloudbeds.com/connect/8493803454333002#/reservations/598250709165?display=E17MRSYJ&amp;reservation_id=598250709165", "E17MRSYJ")</f>
        <v>E17MRSYJ</v>
      </c>
      <c r="D100" t="s">
        <v>45</v>
      </c>
      <c r="E100" t="s">
        <v>179</v>
      </c>
      <c r="F100" t="s">
        <v>47</v>
      </c>
      <c r="G100" t="s">
        <v>48</v>
      </c>
      <c r="H100" t="s">
        <v>49</v>
      </c>
      <c r="I100" t="s">
        <v>114</v>
      </c>
      <c r="J100" t="s">
        <v>161</v>
      </c>
      <c r="K100" t="s">
        <v>239</v>
      </c>
      <c r="L100" t="s">
        <v>53</v>
      </c>
      <c r="N100" t="s">
        <v>396</v>
      </c>
      <c r="P100" t="s">
        <v>58</v>
      </c>
      <c r="R100" t="s">
        <v>56</v>
      </c>
      <c r="T100" t="s">
        <v>390</v>
      </c>
      <c r="U100" t="s">
        <v>58</v>
      </c>
      <c r="V100">
        <v>2</v>
      </c>
      <c r="W100">
        <v>1</v>
      </c>
      <c r="X100">
        <v>1</v>
      </c>
      <c r="Y100">
        <v>0</v>
      </c>
      <c r="Z100">
        <v>1</v>
      </c>
      <c r="AA100">
        <v>0</v>
      </c>
      <c r="AB100">
        <v>162.52000000000001</v>
      </c>
      <c r="AC100">
        <v>143</v>
      </c>
      <c r="AD100">
        <v>0</v>
      </c>
      <c r="AE100">
        <v>19.5</v>
      </c>
      <c r="AF100">
        <v>0</v>
      </c>
      <c r="AG100">
        <v>0</v>
      </c>
      <c r="AH100">
        <v>0</v>
      </c>
      <c r="AI100">
        <v>0</v>
      </c>
      <c r="AJ100">
        <v>162.5</v>
      </c>
      <c r="AK100">
        <v>-0.02</v>
      </c>
      <c r="AL100" t="s">
        <v>53</v>
      </c>
      <c r="AM100" t="s">
        <v>53</v>
      </c>
      <c r="AN100" t="s">
        <v>397</v>
      </c>
      <c r="AO100" t="s">
        <v>53</v>
      </c>
      <c r="AP100" t="s">
        <v>53</v>
      </c>
    </row>
    <row r="101" spans="2:42" x14ac:dyDescent="0.2">
      <c r="B101" t="s">
        <v>44</v>
      </c>
      <c r="C101" t="str">
        <f>HYPERLINK("https://us2.cloudbeds.com/connect/8493803454333002#/reservations/598425153695?display=E1C4V1FG&amp;reservation_id=598425153695", "E1C4V1FG")</f>
        <v>E1C4V1FG</v>
      </c>
      <c r="D101" t="s">
        <v>45</v>
      </c>
      <c r="E101" t="s">
        <v>85</v>
      </c>
      <c r="F101" t="s">
        <v>86</v>
      </c>
      <c r="G101" t="s">
        <v>48</v>
      </c>
      <c r="H101" t="s">
        <v>49</v>
      </c>
      <c r="I101" t="s">
        <v>79</v>
      </c>
      <c r="J101" t="s">
        <v>387</v>
      </c>
      <c r="K101" t="s">
        <v>388</v>
      </c>
      <c r="L101" t="s">
        <v>53</v>
      </c>
      <c r="N101" t="s">
        <v>398</v>
      </c>
      <c r="P101" t="s">
        <v>55</v>
      </c>
      <c r="R101" t="s">
        <v>56</v>
      </c>
      <c r="T101" t="s">
        <v>390</v>
      </c>
      <c r="U101" t="s">
        <v>58</v>
      </c>
      <c r="V101">
        <v>1</v>
      </c>
      <c r="W101">
        <v>1</v>
      </c>
      <c r="X101">
        <v>1</v>
      </c>
      <c r="Y101">
        <v>0</v>
      </c>
      <c r="Z101">
        <v>1</v>
      </c>
      <c r="AA101">
        <v>0</v>
      </c>
      <c r="AB101">
        <v>173.88</v>
      </c>
      <c r="AC101">
        <v>153</v>
      </c>
      <c r="AD101">
        <v>0</v>
      </c>
      <c r="AE101">
        <v>20.89</v>
      </c>
      <c r="AF101">
        <v>0</v>
      </c>
      <c r="AG101">
        <v>0</v>
      </c>
      <c r="AH101">
        <v>0</v>
      </c>
      <c r="AI101">
        <v>0</v>
      </c>
      <c r="AJ101">
        <v>173.89</v>
      </c>
      <c r="AK101">
        <v>0.01</v>
      </c>
      <c r="AL101" t="s">
        <v>53</v>
      </c>
      <c r="AM101" t="s">
        <v>53</v>
      </c>
      <c r="AN101" t="s">
        <v>399</v>
      </c>
      <c r="AO101" t="s">
        <v>53</v>
      </c>
      <c r="AP101" t="s">
        <v>53</v>
      </c>
    </row>
    <row r="102" spans="2:42" x14ac:dyDescent="0.2">
      <c r="B102" t="s">
        <v>44</v>
      </c>
      <c r="C102" t="str">
        <f>HYPERLINK("https://us2.cloudbeds.com/connect/8493803454333002#/reservations/598431522978?display=E1CAA972&amp;reservation_id=598431522978", "E1CAA972")</f>
        <v>E1CAA972</v>
      </c>
      <c r="D102" t="s">
        <v>45</v>
      </c>
      <c r="E102" t="s">
        <v>305</v>
      </c>
      <c r="F102" t="s">
        <v>61</v>
      </c>
      <c r="G102" t="s">
        <v>48</v>
      </c>
      <c r="H102" t="s">
        <v>49</v>
      </c>
      <c r="I102" t="s">
        <v>50</v>
      </c>
      <c r="J102" t="s">
        <v>387</v>
      </c>
      <c r="K102" t="s">
        <v>388</v>
      </c>
      <c r="L102" t="s">
        <v>53</v>
      </c>
      <c r="N102" t="s">
        <v>400</v>
      </c>
      <c r="P102" t="s">
        <v>55</v>
      </c>
      <c r="R102" t="s">
        <v>56</v>
      </c>
      <c r="T102" t="s">
        <v>390</v>
      </c>
      <c r="U102" t="s">
        <v>58</v>
      </c>
      <c r="V102">
        <v>1</v>
      </c>
      <c r="W102">
        <v>1</v>
      </c>
      <c r="X102">
        <v>1</v>
      </c>
      <c r="Y102">
        <v>0</v>
      </c>
      <c r="Z102">
        <v>1</v>
      </c>
      <c r="AA102">
        <v>0</v>
      </c>
      <c r="AB102">
        <v>167.75</v>
      </c>
      <c r="AC102">
        <v>147.6</v>
      </c>
      <c r="AD102">
        <v>0</v>
      </c>
      <c r="AE102">
        <v>20.149999999999999</v>
      </c>
      <c r="AF102">
        <v>0</v>
      </c>
      <c r="AG102">
        <v>0</v>
      </c>
      <c r="AH102">
        <v>0</v>
      </c>
      <c r="AI102">
        <v>30.2</v>
      </c>
      <c r="AJ102">
        <v>167.75</v>
      </c>
      <c r="AK102">
        <v>0</v>
      </c>
      <c r="AL102" t="s">
        <v>53</v>
      </c>
      <c r="AM102" t="s">
        <v>53</v>
      </c>
      <c r="AN102" t="s">
        <v>97</v>
      </c>
      <c r="AO102" t="s">
        <v>53</v>
      </c>
      <c r="AP102" t="s">
        <v>53</v>
      </c>
    </row>
    <row r="103" spans="2:42" x14ac:dyDescent="0.2">
      <c r="B103" t="s">
        <v>44</v>
      </c>
      <c r="C103" t="str">
        <f>HYPERLINK("https://us2.cloudbeds.com/connect/8493803454333002#/reservations/598413705349?display=E1BS9FZU&amp;reservation_id=598413705349", "E1BS9FZU")</f>
        <v>E1BS9FZU</v>
      </c>
      <c r="D103" t="s">
        <v>45</v>
      </c>
      <c r="E103" t="s">
        <v>113</v>
      </c>
      <c r="F103" t="s">
        <v>61</v>
      </c>
      <c r="G103" t="s">
        <v>48</v>
      </c>
      <c r="H103" t="s">
        <v>71</v>
      </c>
      <c r="I103" t="s">
        <v>72</v>
      </c>
      <c r="J103" t="s">
        <v>387</v>
      </c>
      <c r="K103" t="s">
        <v>388</v>
      </c>
      <c r="L103" t="s">
        <v>53</v>
      </c>
      <c r="N103" t="s">
        <v>401</v>
      </c>
      <c r="P103" t="s">
        <v>55</v>
      </c>
      <c r="R103" t="s">
        <v>56</v>
      </c>
      <c r="T103" t="s">
        <v>390</v>
      </c>
      <c r="U103" t="s">
        <v>58</v>
      </c>
      <c r="V103">
        <v>1</v>
      </c>
      <c r="W103">
        <v>1</v>
      </c>
      <c r="X103">
        <v>1</v>
      </c>
      <c r="Y103">
        <v>0</v>
      </c>
      <c r="Z103">
        <v>1</v>
      </c>
      <c r="AA103">
        <v>0</v>
      </c>
      <c r="AB103">
        <v>181.84</v>
      </c>
      <c r="AC103">
        <v>160</v>
      </c>
      <c r="AD103">
        <v>0</v>
      </c>
      <c r="AE103">
        <v>21.84</v>
      </c>
      <c r="AF103">
        <v>0</v>
      </c>
      <c r="AG103">
        <v>0</v>
      </c>
      <c r="AH103">
        <v>0</v>
      </c>
      <c r="AI103">
        <v>0</v>
      </c>
      <c r="AJ103">
        <v>181.84</v>
      </c>
      <c r="AK103">
        <v>0</v>
      </c>
      <c r="AL103" t="s">
        <v>53</v>
      </c>
      <c r="AM103" t="s">
        <v>53</v>
      </c>
      <c r="AN103" t="s">
        <v>402</v>
      </c>
      <c r="AO103" t="s">
        <v>53</v>
      </c>
      <c r="AP103" t="s">
        <v>53</v>
      </c>
    </row>
    <row r="104" spans="2:42" x14ac:dyDescent="0.2">
      <c r="B104" t="s">
        <v>44</v>
      </c>
      <c r="C104" t="str">
        <f>HYPERLINK("https://us2.cloudbeds.com/connect/8493803454333002#/reservations/598462234865?display=E1D36T49&amp;reservation_id=598462234865", "E1D36T49")</f>
        <v>E1D36T49</v>
      </c>
      <c r="D104" t="s">
        <v>45</v>
      </c>
      <c r="E104" t="s">
        <v>373</v>
      </c>
      <c r="F104" t="s">
        <v>47</v>
      </c>
      <c r="G104" t="s">
        <v>48</v>
      </c>
      <c r="H104" t="s">
        <v>49</v>
      </c>
      <c r="I104" t="s">
        <v>62</v>
      </c>
      <c r="J104" t="s">
        <v>403</v>
      </c>
      <c r="K104" t="s">
        <v>404</v>
      </c>
      <c r="L104" t="s">
        <v>53</v>
      </c>
      <c r="N104" t="s">
        <v>405</v>
      </c>
      <c r="P104" t="s">
        <v>55</v>
      </c>
      <c r="R104" t="s">
        <v>56</v>
      </c>
      <c r="T104" t="s">
        <v>390</v>
      </c>
      <c r="U104" t="s">
        <v>58</v>
      </c>
      <c r="V104">
        <v>2</v>
      </c>
      <c r="W104">
        <v>1</v>
      </c>
      <c r="X104">
        <v>1</v>
      </c>
      <c r="Y104">
        <v>0</v>
      </c>
      <c r="Z104">
        <v>1</v>
      </c>
      <c r="AA104">
        <v>0</v>
      </c>
      <c r="AB104">
        <v>171.61</v>
      </c>
      <c r="AC104">
        <v>151</v>
      </c>
      <c r="AD104">
        <v>0</v>
      </c>
      <c r="AE104">
        <v>20.6</v>
      </c>
      <c r="AF104">
        <v>0</v>
      </c>
      <c r="AG104">
        <v>0</v>
      </c>
      <c r="AH104">
        <v>0</v>
      </c>
      <c r="AI104">
        <v>25.74</v>
      </c>
      <c r="AJ104">
        <v>171.6</v>
      </c>
      <c r="AK104">
        <v>-0.01</v>
      </c>
      <c r="AL104" t="s">
        <v>53</v>
      </c>
      <c r="AM104" t="s">
        <v>53</v>
      </c>
      <c r="AN104" t="s">
        <v>137</v>
      </c>
      <c r="AO104" t="s">
        <v>53</v>
      </c>
      <c r="AP104" t="s">
        <v>53</v>
      </c>
    </row>
    <row r="105" spans="2:42" x14ac:dyDescent="0.2">
      <c r="B105" t="s">
        <v>44</v>
      </c>
      <c r="C105" t="str">
        <f>HYPERLINK("https://us2.cloudbeds.com/connect/8493803454333002#/reservations/598560858263?display=E1FKC7D3&amp;reservation_id=598560858263", "E1FKC7D3")</f>
        <v>E1FKC7D3</v>
      </c>
      <c r="D105" t="s">
        <v>45</v>
      </c>
      <c r="E105" t="s">
        <v>406</v>
      </c>
      <c r="F105" t="s">
        <v>61</v>
      </c>
      <c r="G105" t="s">
        <v>48</v>
      </c>
      <c r="H105" t="s">
        <v>71</v>
      </c>
      <c r="I105" t="s">
        <v>72</v>
      </c>
      <c r="J105" t="s">
        <v>387</v>
      </c>
      <c r="K105" t="s">
        <v>388</v>
      </c>
      <c r="L105" t="s">
        <v>53</v>
      </c>
      <c r="N105" t="s">
        <v>407</v>
      </c>
      <c r="P105" t="s">
        <v>55</v>
      </c>
      <c r="R105" t="s">
        <v>56</v>
      </c>
      <c r="T105" t="s">
        <v>390</v>
      </c>
      <c r="U105" t="s">
        <v>58</v>
      </c>
      <c r="V105">
        <v>1</v>
      </c>
      <c r="W105">
        <v>1</v>
      </c>
      <c r="X105">
        <v>1</v>
      </c>
      <c r="Y105">
        <v>0</v>
      </c>
      <c r="Z105">
        <v>1</v>
      </c>
      <c r="AA105">
        <v>0</v>
      </c>
      <c r="AB105">
        <v>181.84</v>
      </c>
      <c r="AC105">
        <v>160</v>
      </c>
      <c r="AD105">
        <v>0</v>
      </c>
      <c r="AE105">
        <v>21.84</v>
      </c>
      <c r="AF105">
        <v>0</v>
      </c>
      <c r="AG105">
        <v>0</v>
      </c>
      <c r="AH105">
        <v>0</v>
      </c>
      <c r="AI105">
        <v>0</v>
      </c>
      <c r="AJ105">
        <v>181.84</v>
      </c>
      <c r="AK105">
        <v>0</v>
      </c>
      <c r="AL105" t="s">
        <v>53</v>
      </c>
      <c r="AM105" t="s">
        <v>53</v>
      </c>
      <c r="AN105" t="s">
        <v>408</v>
      </c>
      <c r="AO105" t="s">
        <v>53</v>
      </c>
      <c r="AP105" t="s">
        <v>53</v>
      </c>
    </row>
    <row r="106" spans="2:42" x14ac:dyDescent="0.2">
      <c r="B106" t="s">
        <v>44</v>
      </c>
      <c r="C106" t="str">
        <f>HYPERLINK("https://us2.cloudbeds.com/connect/8493803454333002#/reservations/598140641415?display=E14T12B8&amp;reservation_id=598140641415", "E14T12B8")</f>
        <v>E14T12B8</v>
      </c>
      <c r="D106" t="s">
        <v>45</v>
      </c>
      <c r="E106" t="s">
        <v>155</v>
      </c>
      <c r="F106" t="s">
        <v>86</v>
      </c>
      <c r="G106" t="s">
        <v>48</v>
      </c>
      <c r="H106" t="s">
        <v>49</v>
      </c>
      <c r="I106" t="s">
        <v>79</v>
      </c>
      <c r="J106" t="s">
        <v>409</v>
      </c>
      <c r="K106" t="s">
        <v>262</v>
      </c>
      <c r="L106" t="s">
        <v>53</v>
      </c>
      <c r="N106" t="s">
        <v>410</v>
      </c>
      <c r="P106" t="s">
        <v>55</v>
      </c>
      <c r="R106" t="s">
        <v>56</v>
      </c>
      <c r="T106" t="s">
        <v>390</v>
      </c>
      <c r="U106" t="s">
        <v>58</v>
      </c>
      <c r="V106">
        <v>3</v>
      </c>
      <c r="W106">
        <v>1</v>
      </c>
      <c r="X106">
        <v>1</v>
      </c>
      <c r="Y106">
        <v>0</v>
      </c>
      <c r="Z106">
        <v>1</v>
      </c>
      <c r="AA106">
        <v>0</v>
      </c>
      <c r="AB106">
        <v>267.99</v>
      </c>
      <c r="AC106">
        <v>235.8</v>
      </c>
      <c r="AD106">
        <v>0</v>
      </c>
      <c r="AE106">
        <v>32.19</v>
      </c>
      <c r="AF106">
        <v>0</v>
      </c>
      <c r="AG106">
        <v>0</v>
      </c>
      <c r="AH106">
        <v>0</v>
      </c>
      <c r="AI106">
        <v>0</v>
      </c>
      <c r="AJ106">
        <v>267.99</v>
      </c>
      <c r="AK106">
        <v>0</v>
      </c>
      <c r="AL106" t="s">
        <v>53</v>
      </c>
      <c r="AM106" t="s">
        <v>53</v>
      </c>
      <c r="AN106" t="s">
        <v>127</v>
      </c>
      <c r="AO106" t="s">
        <v>53</v>
      </c>
      <c r="AP106" t="s">
        <v>53</v>
      </c>
    </row>
    <row r="107" spans="2:42" x14ac:dyDescent="0.2">
      <c r="B107" t="s">
        <v>44</v>
      </c>
      <c r="C107" t="str">
        <f>HYPERLINK("https://us2.cloudbeds.com/connect/8493803454333002#/reservations/598465900795?display=E1D69TF2&amp;reservation_id=598465900795", "E1D69TF2")</f>
        <v>E1D69TF2</v>
      </c>
      <c r="D107" t="s">
        <v>45</v>
      </c>
      <c r="E107" t="s">
        <v>121</v>
      </c>
      <c r="F107" t="s">
        <v>86</v>
      </c>
      <c r="G107" t="s">
        <v>48</v>
      </c>
      <c r="H107" t="s">
        <v>49</v>
      </c>
      <c r="I107" t="s">
        <v>50</v>
      </c>
      <c r="J107" t="s">
        <v>180</v>
      </c>
      <c r="K107" t="s">
        <v>122</v>
      </c>
      <c r="L107" t="s">
        <v>53</v>
      </c>
      <c r="N107" t="s">
        <v>411</v>
      </c>
      <c r="P107" t="s">
        <v>55</v>
      </c>
      <c r="R107" t="s">
        <v>56</v>
      </c>
      <c r="T107" t="s">
        <v>390</v>
      </c>
      <c r="U107" t="s">
        <v>58</v>
      </c>
      <c r="V107">
        <v>2</v>
      </c>
      <c r="W107">
        <v>1</v>
      </c>
      <c r="X107">
        <v>1</v>
      </c>
      <c r="Y107">
        <v>0</v>
      </c>
      <c r="Z107">
        <v>1</v>
      </c>
      <c r="AA107">
        <v>0</v>
      </c>
      <c r="AB107">
        <v>312.99</v>
      </c>
      <c r="AC107">
        <v>275.39999999999998</v>
      </c>
      <c r="AD107">
        <v>0</v>
      </c>
      <c r="AE107">
        <v>37.58</v>
      </c>
      <c r="AF107">
        <v>0</v>
      </c>
      <c r="AG107">
        <v>0</v>
      </c>
      <c r="AH107">
        <v>0</v>
      </c>
      <c r="AI107">
        <v>56.34</v>
      </c>
      <c r="AJ107">
        <v>312.98</v>
      </c>
      <c r="AK107">
        <v>-0.01</v>
      </c>
      <c r="AL107" t="s">
        <v>53</v>
      </c>
      <c r="AM107" t="s">
        <v>53</v>
      </c>
      <c r="AN107" t="s">
        <v>349</v>
      </c>
      <c r="AO107" t="s">
        <v>53</v>
      </c>
      <c r="AP107" t="s">
        <v>53</v>
      </c>
    </row>
    <row r="108" spans="2:42" x14ac:dyDescent="0.2">
      <c r="B108" t="s">
        <v>44</v>
      </c>
      <c r="C108" t="str">
        <f>HYPERLINK("https://us2.cloudbeds.com/connect/8493803454333002#/reservations/598550556874?display=E1FBMXTR&amp;reservation_id=598550556874", "E1FBMXTR")</f>
        <v>E1FBMXTR</v>
      </c>
      <c r="D108" t="s">
        <v>45</v>
      </c>
      <c r="E108" t="s">
        <v>165</v>
      </c>
      <c r="F108" t="s">
        <v>61</v>
      </c>
      <c r="G108" t="s">
        <v>48</v>
      </c>
      <c r="H108" t="s">
        <v>49</v>
      </c>
      <c r="I108" t="s">
        <v>266</v>
      </c>
      <c r="J108" t="s">
        <v>334</v>
      </c>
      <c r="K108" t="s">
        <v>259</v>
      </c>
      <c r="L108" t="s">
        <v>53</v>
      </c>
      <c r="N108" t="s">
        <v>412</v>
      </c>
      <c r="P108" t="s">
        <v>55</v>
      </c>
      <c r="R108" t="s">
        <v>56</v>
      </c>
      <c r="T108" t="s">
        <v>390</v>
      </c>
      <c r="U108" t="s">
        <v>58</v>
      </c>
      <c r="V108">
        <v>2</v>
      </c>
      <c r="W108">
        <v>1</v>
      </c>
      <c r="X108">
        <v>1</v>
      </c>
      <c r="Y108">
        <v>0</v>
      </c>
      <c r="Z108">
        <v>1</v>
      </c>
      <c r="AA108">
        <v>0</v>
      </c>
      <c r="AB108">
        <v>245.48</v>
      </c>
      <c r="AC108">
        <v>216</v>
      </c>
      <c r="AD108">
        <v>0</v>
      </c>
      <c r="AE108">
        <v>29.48</v>
      </c>
      <c r="AF108">
        <v>0</v>
      </c>
      <c r="AG108">
        <v>0</v>
      </c>
      <c r="AH108">
        <v>0</v>
      </c>
      <c r="AI108">
        <v>0</v>
      </c>
      <c r="AJ108">
        <v>245.48</v>
      </c>
      <c r="AK108">
        <v>0</v>
      </c>
      <c r="AL108" t="s">
        <v>53</v>
      </c>
      <c r="AM108" t="s">
        <v>53</v>
      </c>
      <c r="AN108" t="s">
        <v>413</v>
      </c>
      <c r="AO108" t="s">
        <v>53</v>
      </c>
      <c r="AP108" t="s">
        <v>53</v>
      </c>
    </row>
    <row r="109" spans="2:42" x14ac:dyDescent="0.2">
      <c r="B109" t="s">
        <v>44</v>
      </c>
      <c r="C109" t="str">
        <f>HYPERLINK("https://us2.cloudbeds.com/connect/8493803454333002#/reservations/598367928545?display=E1AMMM41&amp;reservation_id=598367928545", "E1AMMM41")</f>
        <v>E1AMMM41</v>
      </c>
      <c r="D109" t="s">
        <v>45</v>
      </c>
      <c r="E109" t="s">
        <v>265</v>
      </c>
      <c r="F109" t="s">
        <v>61</v>
      </c>
      <c r="G109" t="s">
        <v>48</v>
      </c>
      <c r="H109" t="s">
        <v>49</v>
      </c>
      <c r="I109" t="s">
        <v>79</v>
      </c>
      <c r="J109" t="s">
        <v>387</v>
      </c>
      <c r="K109" t="s">
        <v>388</v>
      </c>
      <c r="L109" t="s">
        <v>53</v>
      </c>
      <c r="N109" t="s">
        <v>414</v>
      </c>
      <c r="P109" t="s">
        <v>55</v>
      </c>
      <c r="R109" t="s">
        <v>56</v>
      </c>
      <c r="T109" t="s">
        <v>390</v>
      </c>
      <c r="U109" t="s">
        <v>58</v>
      </c>
      <c r="V109">
        <v>1</v>
      </c>
      <c r="W109">
        <v>1</v>
      </c>
      <c r="X109">
        <v>1</v>
      </c>
      <c r="Y109">
        <v>0</v>
      </c>
      <c r="Z109">
        <v>1</v>
      </c>
      <c r="AA109">
        <v>0</v>
      </c>
      <c r="AB109">
        <v>167.75</v>
      </c>
      <c r="AC109">
        <v>147.6</v>
      </c>
      <c r="AD109">
        <v>0</v>
      </c>
      <c r="AE109">
        <v>20.149999999999999</v>
      </c>
      <c r="AF109">
        <v>0</v>
      </c>
      <c r="AG109">
        <v>0</v>
      </c>
      <c r="AH109">
        <v>0</v>
      </c>
      <c r="AI109">
        <v>0</v>
      </c>
      <c r="AJ109">
        <v>167.75</v>
      </c>
      <c r="AK109">
        <v>0</v>
      </c>
      <c r="AL109" t="s">
        <v>53</v>
      </c>
      <c r="AM109" t="s">
        <v>53</v>
      </c>
      <c r="AN109" t="s">
        <v>415</v>
      </c>
      <c r="AO109" t="s">
        <v>53</v>
      </c>
      <c r="AP109" t="s">
        <v>53</v>
      </c>
    </row>
    <row r="110" spans="2:42" x14ac:dyDescent="0.2">
      <c r="B110" t="s">
        <v>44</v>
      </c>
      <c r="C110" t="str">
        <f>HYPERLINK("https://us2.cloudbeds.com/connect/8493803454333002#/reservations/598519025869?display=E1EX35QR&amp;reservation_id=598519025869", "E1EX35QR")</f>
        <v>E1EX35QR</v>
      </c>
      <c r="D110" t="s">
        <v>45</v>
      </c>
      <c r="E110" t="s">
        <v>128</v>
      </c>
      <c r="F110" t="s">
        <v>86</v>
      </c>
      <c r="G110" t="s">
        <v>48</v>
      </c>
      <c r="H110" t="s">
        <v>49</v>
      </c>
      <c r="I110" t="s">
        <v>79</v>
      </c>
      <c r="J110" t="s">
        <v>387</v>
      </c>
      <c r="K110" t="s">
        <v>388</v>
      </c>
      <c r="L110" t="s">
        <v>53</v>
      </c>
      <c r="N110" t="s">
        <v>416</v>
      </c>
      <c r="P110" t="s">
        <v>55</v>
      </c>
      <c r="R110" t="s">
        <v>56</v>
      </c>
      <c r="T110" t="s">
        <v>390</v>
      </c>
      <c r="U110" t="s">
        <v>58</v>
      </c>
      <c r="V110">
        <v>1</v>
      </c>
      <c r="W110">
        <v>1</v>
      </c>
      <c r="X110">
        <v>1</v>
      </c>
      <c r="Y110">
        <v>0</v>
      </c>
      <c r="Z110">
        <v>1</v>
      </c>
      <c r="AA110">
        <v>0</v>
      </c>
      <c r="AB110">
        <v>173.88</v>
      </c>
      <c r="AC110">
        <v>153</v>
      </c>
      <c r="AD110">
        <v>0</v>
      </c>
      <c r="AE110">
        <v>20.89</v>
      </c>
      <c r="AF110">
        <v>0</v>
      </c>
      <c r="AG110">
        <v>0</v>
      </c>
      <c r="AH110">
        <v>0</v>
      </c>
      <c r="AI110">
        <v>0</v>
      </c>
      <c r="AJ110">
        <v>173.89</v>
      </c>
      <c r="AK110">
        <v>0.01</v>
      </c>
      <c r="AL110" t="s">
        <v>53</v>
      </c>
      <c r="AM110" t="s">
        <v>53</v>
      </c>
      <c r="AN110" t="s">
        <v>91</v>
      </c>
      <c r="AO110" t="s">
        <v>53</v>
      </c>
      <c r="AP110" t="s">
        <v>53</v>
      </c>
    </row>
    <row r="111" spans="2:42" x14ac:dyDescent="0.2">
      <c r="B111" t="s">
        <v>44</v>
      </c>
      <c r="C111" t="str">
        <f>HYPERLINK("https://us2.cloudbeds.com/connect/8493803454333002#/reservations/598525870321?display=E1ENSKTF&amp;reservation_id=598525870321", "E1ENSKTF")</f>
        <v>E1ENSKTF</v>
      </c>
      <c r="D111" t="s">
        <v>45</v>
      </c>
      <c r="E111" t="s">
        <v>69</v>
      </c>
      <c r="F111" t="s">
        <v>70</v>
      </c>
      <c r="G111" t="s">
        <v>48</v>
      </c>
      <c r="H111" t="s">
        <v>49</v>
      </c>
      <c r="I111" t="s">
        <v>79</v>
      </c>
      <c r="J111" t="s">
        <v>387</v>
      </c>
      <c r="K111" t="s">
        <v>388</v>
      </c>
      <c r="L111" t="s">
        <v>53</v>
      </c>
      <c r="N111" t="s">
        <v>417</v>
      </c>
      <c r="P111" t="s">
        <v>55</v>
      </c>
      <c r="R111" t="s">
        <v>56</v>
      </c>
      <c r="T111" t="s">
        <v>390</v>
      </c>
      <c r="U111" t="s">
        <v>58</v>
      </c>
      <c r="V111">
        <v>1</v>
      </c>
      <c r="W111">
        <v>1</v>
      </c>
      <c r="X111">
        <v>1</v>
      </c>
      <c r="Y111">
        <v>0</v>
      </c>
      <c r="Z111">
        <v>1</v>
      </c>
      <c r="AA111">
        <v>0</v>
      </c>
      <c r="AB111">
        <v>147.29</v>
      </c>
      <c r="AC111">
        <v>129.6</v>
      </c>
      <c r="AD111">
        <v>0</v>
      </c>
      <c r="AE111">
        <v>17.690000000000001</v>
      </c>
      <c r="AF111">
        <v>0</v>
      </c>
      <c r="AG111">
        <v>0</v>
      </c>
      <c r="AH111">
        <v>0</v>
      </c>
      <c r="AI111">
        <v>0</v>
      </c>
      <c r="AJ111">
        <v>147.29</v>
      </c>
      <c r="AK111">
        <v>0</v>
      </c>
      <c r="AL111" t="s">
        <v>53</v>
      </c>
      <c r="AM111" t="s">
        <v>53</v>
      </c>
      <c r="AN111" t="s">
        <v>112</v>
      </c>
      <c r="AO111" t="s">
        <v>53</v>
      </c>
      <c r="AP111" t="s">
        <v>53</v>
      </c>
    </row>
    <row r="112" spans="2:42" x14ac:dyDescent="0.2">
      <c r="B112" t="s">
        <v>44</v>
      </c>
      <c r="C112" t="str">
        <f>HYPERLINK("https://us2.cloudbeds.com/connect/8493803454333002#/reservations/598431518905?display=E1CAA5FY&amp;reservation_id=598431518905", "E1CAA5FY")</f>
        <v>E1CAA5FY</v>
      </c>
      <c r="D112" t="s">
        <v>45</v>
      </c>
      <c r="E112" t="s">
        <v>165</v>
      </c>
      <c r="F112" t="s">
        <v>61</v>
      </c>
      <c r="G112" t="s">
        <v>48</v>
      </c>
      <c r="H112" t="s">
        <v>49</v>
      </c>
      <c r="I112" t="s">
        <v>79</v>
      </c>
      <c r="J112" t="s">
        <v>387</v>
      </c>
      <c r="K112" t="s">
        <v>388</v>
      </c>
      <c r="L112" t="s">
        <v>53</v>
      </c>
      <c r="N112" t="s">
        <v>418</v>
      </c>
      <c r="P112" t="s">
        <v>55</v>
      </c>
      <c r="R112" t="s">
        <v>56</v>
      </c>
      <c r="T112" t="s">
        <v>390</v>
      </c>
      <c r="U112" t="s">
        <v>58</v>
      </c>
      <c r="V112">
        <v>1</v>
      </c>
      <c r="W112">
        <v>1</v>
      </c>
      <c r="X112">
        <v>1</v>
      </c>
      <c r="Y112">
        <v>0</v>
      </c>
      <c r="Z112">
        <v>1</v>
      </c>
      <c r="AA112">
        <v>0</v>
      </c>
      <c r="AB112">
        <v>167.75</v>
      </c>
      <c r="AC112">
        <v>147.6</v>
      </c>
      <c r="AD112">
        <v>0</v>
      </c>
      <c r="AE112">
        <v>20.149999999999999</v>
      </c>
      <c r="AF112">
        <v>0</v>
      </c>
      <c r="AG112">
        <v>0</v>
      </c>
      <c r="AH112">
        <v>0</v>
      </c>
      <c r="AI112">
        <v>0</v>
      </c>
      <c r="AJ112">
        <v>167.75</v>
      </c>
      <c r="AK112">
        <v>0</v>
      </c>
      <c r="AL112" t="s">
        <v>53</v>
      </c>
      <c r="AM112" t="s">
        <v>53</v>
      </c>
      <c r="AN112" t="s">
        <v>127</v>
      </c>
      <c r="AO112" t="s">
        <v>53</v>
      </c>
      <c r="AP112" t="s">
        <v>53</v>
      </c>
    </row>
    <row r="113" spans="2:42" x14ac:dyDescent="0.2">
      <c r="B113" t="s">
        <v>44</v>
      </c>
      <c r="C113" t="str">
        <f>HYPERLINK("https://us2.cloudbeds.com/connect/8493803454333002#/reservations/598477058236?display=E1DFNC1C&amp;reservation_id=598477058236", "E1DFNC1C")</f>
        <v>E1DFNC1C</v>
      </c>
      <c r="D113" t="s">
        <v>45</v>
      </c>
      <c r="E113" t="s">
        <v>305</v>
      </c>
      <c r="F113" t="s">
        <v>61</v>
      </c>
      <c r="G113" t="s">
        <v>48</v>
      </c>
      <c r="H113" t="s">
        <v>49</v>
      </c>
      <c r="I113" t="s">
        <v>50</v>
      </c>
      <c r="J113" t="s">
        <v>203</v>
      </c>
      <c r="K113" t="s">
        <v>419</v>
      </c>
      <c r="L113" t="s">
        <v>53</v>
      </c>
      <c r="N113" t="s">
        <v>420</v>
      </c>
      <c r="P113" t="s">
        <v>55</v>
      </c>
      <c r="R113" t="s">
        <v>56</v>
      </c>
      <c r="T113" t="s">
        <v>390</v>
      </c>
      <c r="U113" t="s">
        <v>58</v>
      </c>
      <c r="V113">
        <v>2</v>
      </c>
      <c r="W113">
        <v>1</v>
      </c>
      <c r="X113">
        <v>1</v>
      </c>
      <c r="Y113">
        <v>0</v>
      </c>
      <c r="Z113">
        <v>1</v>
      </c>
      <c r="AA113">
        <v>0</v>
      </c>
      <c r="AB113">
        <v>159.56</v>
      </c>
      <c r="AC113">
        <v>140.4</v>
      </c>
      <c r="AD113">
        <v>0</v>
      </c>
      <c r="AE113">
        <v>19.18</v>
      </c>
      <c r="AF113">
        <v>0</v>
      </c>
      <c r="AG113">
        <v>0</v>
      </c>
      <c r="AH113">
        <v>0</v>
      </c>
      <c r="AI113">
        <v>28.72</v>
      </c>
      <c r="AJ113">
        <v>159.58000000000001</v>
      </c>
      <c r="AK113">
        <v>0.02</v>
      </c>
      <c r="AL113" t="s">
        <v>53</v>
      </c>
      <c r="AM113" t="s">
        <v>53</v>
      </c>
      <c r="AN113" t="s">
        <v>127</v>
      </c>
      <c r="AO113" t="s">
        <v>53</v>
      </c>
      <c r="AP113" t="s">
        <v>53</v>
      </c>
    </row>
    <row r="114" spans="2:42" x14ac:dyDescent="0.2">
      <c r="B114" t="s">
        <v>44</v>
      </c>
      <c r="C114" t="str">
        <f>HYPERLINK("https://us2.cloudbeds.com/connect/8493803454333002#/reservations/597877199000?display=E0V4TD3P&amp;reservation_id=597877199000", "E0V4TD3P")</f>
        <v>E0V4TD3P</v>
      </c>
      <c r="D114" t="s">
        <v>45</v>
      </c>
      <c r="E114" t="s">
        <v>165</v>
      </c>
      <c r="F114" t="s">
        <v>61</v>
      </c>
      <c r="G114" t="s">
        <v>48</v>
      </c>
      <c r="H114" t="s">
        <v>49</v>
      </c>
      <c r="I114" t="s">
        <v>62</v>
      </c>
      <c r="J114" t="s">
        <v>148</v>
      </c>
      <c r="K114" t="s">
        <v>421</v>
      </c>
      <c r="L114" t="s">
        <v>53</v>
      </c>
      <c r="N114" t="s">
        <v>422</v>
      </c>
      <c r="P114" t="s">
        <v>55</v>
      </c>
      <c r="R114" t="s">
        <v>56</v>
      </c>
      <c r="T114" t="s">
        <v>423</v>
      </c>
      <c r="U114" t="s">
        <v>58</v>
      </c>
      <c r="V114">
        <v>2</v>
      </c>
      <c r="W114">
        <v>1</v>
      </c>
      <c r="X114">
        <v>1</v>
      </c>
      <c r="Y114">
        <v>0</v>
      </c>
      <c r="Z114">
        <v>1</v>
      </c>
      <c r="AA114">
        <v>0</v>
      </c>
      <c r="AB114">
        <v>185.25</v>
      </c>
      <c r="AC114">
        <v>163</v>
      </c>
      <c r="AD114">
        <v>0</v>
      </c>
      <c r="AE114">
        <v>22.24</v>
      </c>
      <c r="AF114">
        <v>0</v>
      </c>
      <c r="AG114">
        <v>0</v>
      </c>
      <c r="AH114">
        <v>0</v>
      </c>
      <c r="AI114">
        <v>27.79</v>
      </c>
      <c r="AJ114">
        <v>185.24</v>
      </c>
      <c r="AK114">
        <v>-0.01</v>
      </c>
      <c r="AL114" t="s">
        <v>53</v>
      </c>
      <c r="AM114" t="s">
        <v>53</v>
      </c>
      <c r="AN114" t="s">
        <v>198</v>
      </c>
      <c r="AO114" t="s">
        <v>53</v>
      </c>
      <c r="AP114" t="s">
        <v>53</v>
      </c>
    </row>
    <row r="115" spans="2:42" x14ac:dyDescent="0.2">
      <c r="B115" t="s">
        <v>44</v>
      </c>
      <c r="C115" t="str">
        <f>HYPERLINK("https://us2.cloudbeds.com/connect/8493803454333002#/reservations/598163988658?display=E15FNZGF&amp;reservation_id=598163988658", "E15FNZGF")</f>
        <v>E15FNZGF</v>
      </c>
      <c r="D115" t="s">
        <v>45</v>
      </c>
      <c r="E115" t="s">
        <v>305</v>
      </c>
      <c r="F115" t="s">
        <v>61</v>
      </c>
      <c r="G115" t="s">
        <v>48</v>
      </c>
      <c r="H115" t="s">
        <v>49</v>
      </c>
      <c r="I115" t="s">
        <v>62</v>
      </c>
      <c r="J115" t="s">
        <v>144</v>
      </c>
      <c r="K115" t="s">
        <v>333</v>
      </c>
      <c r="L115" t="s">
        <v>53</v>
      </c>
      <c r="N115" t="s">
        <v>424</v>
      </c>
      <c r="P115" t="s">
        <v>55</v>
      </c>
      <c r="R115" t="s">
        <v>118</v>
      </c>
      <c r="T115" t="s">
        <v>423</v>
      </c>
      <c r="U115" t="s">
        <v>58</v>
      </c>
      <c r="V115">
        <v>3</v>
      </c>
      <c r="W115">
        <v>1</v>
      </c>
      <c r="X115">
        <v>1</v>
      </c>
      <c r="Y115">
        <v>0</v>
      </c>
      <c r="Z115">
        <v>1</v>
      </c>
      <c r="AA115">
        <v>0</v>
      </c>
      <c r="AB115">
        <v>548.92999999999995</v>
      </c>
      <c r="AC115">
        <v>483</v>
      </c>
      <c r="AD115">
        <v>0</v>
      </c>
      <c r="AE115">
        <v>65.94</v>
      </c>
      <c r="AF115">
        <v>0</v>
      </c>
      <c r="AG115">
        <v>0</v>
      </c>
      <c r="AH115">
        <v>0</v>
      </c>
      <c r="AI115">
        <v>82.34</v>
      </c>
      <c r="AJ115">
        <v>548.94000000000005</v>
      </c>
      <c r="AK115">
        <v>0.01</v>
      </c>
      <c r="AL115" t="s">
        <v>53</v>
      </c>
      <c r="AM115" t="s">
        <v>53</v>
      </c>
      <c r="AN115" t="s">
        <v>425</v>
      </c>
      <c r="AO115" t="s">
        <v>53</v>
      </c>
      <c r="AP115" t="s">
        <v>53</v>
      </c>
    </row>
    <row r="116" spans="2:42" x14ac:dyDescent="0.2">
      <c r="B116" t="s">
        <v>44</v>
      </c>
      <c r="C116" t="str">
        <f>HYPERLINK("https://us2.cloudbeds.com/connect/8493803454333002#/reservations/597908578464?display=E0VVBJ1J&amp;reservation_id=597908578464", "E0VVBJ1J")</f>
        <v>E0VVBJ1J</v>
      </c>
      <c r="D116" t="s">
        <v>45</v>
      </c>
      <c r="E116" t="s">
        <v>305</v>
      </c>
      <c r="F116" t="s">
        <v>61</v>
      </c>
      <c r="G116" t="s">
        <v>48</v>
      </c>
      <c r="H116" t="s">
        <v>71</v>
      </c>
      <c r="I116" t="s">
        <v>72</v>
      </c>
      <c r="J116" t="s">
        <v>129</v>
      </c>
      <c r="K116" t="s">
        <v>426</v>
      </c>
      <c r="L116" t="s">
        <v>53</v>
      </c>
      <c r="N116" t="s">
        <v>427</v>
      </c>
      <c r="P116" t="s">
        <v>58</v>
      </c>
      <c r="R116" t="s">
        <v>56</v>
      </c>
      <c r="T116" t="s">
        <v>423</v>
      </c>
      <c r="U116" t="s">
        <v>58</v>
      </c>
      <c r="V116">
        <v>1</v>
      </c>
      <c r="W116">
        <v>1</v>
      </c>
      <c r="X116">
        <v>1</v>
      </c>
      <c r="Y116">
        <v>0</v>
      </c>
      <c r="Z116">
        <v>1</v>
      </c>
      <c r="AA116">
        <v>0</v>
      </c>
      <c r="AB116">
        <v>157.97</v>
      </c>
      <c r="AC116">
        <v>139</v>
      </c>
      <c r="AD116">
        <v>0</v>
      </c>
      <c r="AE116">
        <v>18.98</v>
      </c>
      <c r="AF116">
        <v>0</v>
      </c>
      <c r="AG116">
        <v>0</v>
      </c>
      <c r="AH116">
        <v>0</v>
      </c>
      <c r="AI116">
        <v>0</v>
      </c>
      <c r="AJ116">
        <v>157.97999999999999</v>
      </c>
      <c r="AK116">
        <v>0.01</v>
      </c>
      <c r="AL116" t="s">
        <v>53</v>
      </c>
      <c r="AM116" t="s">
        <v>53</v>
      </c>
      <c r="AN116" t="s">
        <v>428</v>
      </c>
      <c r="AO116" t="s">
        <v>53</v>
      </c>
      <c r="AP116" t="s">
        <v>53</v>
      </c>
    </row>
    <row r="117" spans="2:42" x14ac:dyDescent="0.2">
      <c r="B117" t="s">
        <v>44</v>
      </c>
      <c r="C117" t="str">
        <f>HYPERLINK("https://us2.cloudbeds.com/connect/8493803454333002#/reservations/598404600051?display=E1BKK3JQ&amp;reservation_id=598404600051", "E1BKK3JQ")</f>
        <v>E1BKK3JQ</v>
      </c>
      <c r="D117" t="s">
        <v>45</v>
      </c>
      <c r="E117" t="s">
        <v>381</v>
      </c>
      <c r="F117" t="s">
        <v>47</v>
      </c>
      <c r="G117" t="s">
        <v>48</v>
      </c>
      <c r="H117" t="s">
        <v>49</v>
      </c>
      <c r="I117" t="s">
        <v>114</v>
      </c>
      <c r="J117" t="s">
        <v>387</v>
      </c>
      <c r="K117" t="s">
        <v>388</v>
      </c>
      <c r="L117" t="s">
        <v>53</v>
      </c>
      <c r="N117" t="s">
        <v>429</v>
      </c>
      <c r="P117" t="s">
        <v>55</v>
      </c>
      <c r="R117" t="s">
        <v>56</v>
      </c>
      <c r="T117" t="s">
        <v>423</v>
      </c>
      <c r="U117" t="s">
        <v>58</v>
      </c>
      <c r="V117">
        <v>1</v>
      </c>
      <c r="W117">
        <v>1</v>
      </c>
      <c r="X117">
        <v>1</v>
      </c>
      <c r="Y117">
        <v>0</v>
      </c>
      <c r="Z117">
        <v>1</v>
      </c>
      <c r="AA117">
        <v>0</v>
      </c>
      <c r="AB117">
        <v>125.02</v>
      </c>
      <c r="AC117">
        <v>110</v>
      </c>
      <c r="AD117">
        <v>0</v>
      </c>
      <c r="AE117">
        <v>15.02</v>
      </c>
      <c r="AF117">
        <v>0</v>
      </c>
      <c r="AG117">
        <v>0</v>
      </c>
      <c r="AH117">
        <v>0</v>
      </c>
      <c r="AI117">
        <v>0</v>
      </c>
      <c r="AJ117">
        <v>125.02</v>
      </c>
      <c r="AK117">
        <v>0</v>
      </c>
      <c r="AL117" t="s">
        <v>53</v>
      </c>
      <c r="AM117" t="s">
        <v>53</v>
      </c>
      <c r="AN117" t="s">
        <v>430</v>
      </c>
      <c r="AO117" t="s">
        <v>53</v>
      </c>
      <c r="AP117" t="s">
        <v>53</v>
      </c>
    </row>
    <row r="118" spans="2:42" x14ac:dyDescent="0.2">
      <c r="B118" t="s">
        <v>44</v>
      </c>
      <c r="C118" t="str">
        <f>HYPERLINK("https://us2.cloudbeds.com/connect/8493803454333002#/reservations/598523220195?display=E1EYKTBK&amp;reservation_id=598523220195", "E1EYKTBK")</f>
        <v>E1EYKTBK</v>
      </c>
      <c r="D118" t="s">
        <v>45</v>
      </c>
      <c r="E118" t="s">
        <v>110</v>
      </c>
      <c r="F118" t="s">
        <v>47</v>
      </c>
      <c r="G118" t="s">
        <v>48</v>
      </c>
      <c r="H118" t="s">
        <v>49</v>
      </c>
      <c r="I118" t="s">
        <v>62</v>
      </c>
      <c r="J118" t="s">
        <v>387</v>
      </c>
      <c r="K118" t="s">
        <v>388</v>
      </c>
      <c r="L118" t="s">
        <v>53</v>
      </c>
      <c r="N118" t="s">
        <v>431</v>
      </c>
      <c r="P118" t="s">
        <v>55</v>
      </c>
      <c r="R118" t="s">
        <v>56</v>
      </c>
      <c r="T118" t="s">
        <v>423</v>
      </c>
      <c r="U118" t="s">
        <v>58</v>
      </c>
      <c r="V118">
        <v>1</v>
      </c>
      <c r="W118">
        <v>1</v>
      </c>
      <c r="X118">
        <v>1</v>
      </c>
      <c r="Y118">
        <v>0</v>
      </c>
      <c r="Z118">
        <v>1</v>
      </c>
      <c r="AA118">
        <v>0</v>
      </c>
      <c r="AB118">
        <v>170.48</v>
      </c>
      <c r="AC118">
        <v>150</v>
      </c>
      <c r="AD118">
        <v>0</v>
      </c>
      <c r="AE118">
        <v>20.48</v>
      </c>
      <c r="AF118">
        <v>0</v>
      </c>
      <c r="AG118">
        <v>0</v>
      </c>
      <c r="AH118">
        <v>0</v>
      </c>
      <c r="AI118">
        <v>25.57</v>
      </c>
      <c r="AJ118">
        <v>170.48</v>
      </c>
      <c r="AK118">
        <v>0</v>
      </c>
      <c r="AL118" t="s">
        <v>53</v>
      </c>
      <c r="AM118" t="s">
        <v>53</v>
      </c>
      <c r="AN118" t="s">
        <v>146</v>
      </c>
      <c r="AO118" t="s">
        <v>53</v>
      </c>
      <c r="AP118" t="s">
        <v>53</v>
      </c>
    </row>
    <row r="119" spans="2:42" x14ac:dyDescent="0.2">
      <c r="B119" t="s">
        <v>44</v>
      </c>
      <c r="C119" t="str">
        <f>HYPERLINK("https://us2.cloudbeds.com/connect/8493803454333002#/reservations/598461431950?display=E1D2HHRX&amp;reservation_id=598461431950", "E1D2HHRX")</f>
        <v>E1D2HHRX</v>
      </c>
      <c r="D119" t="s">
        <v>45</v>
      </c>
      <c r="E119" t="s">
        <v>69</v>
      </c>
      <c r="F119" t="s">
        <v>70</v>
      </c>
      <c r="G119" t="s">
        <v>48</v>
      </c>
      <c r="H119" t="s">
        <v>49</v>
      </c>
      <c r="I119" t="s">
        <v>50</v>
      </c>
      <c r="J119" t="s">
        <v>144</v>
      </c>
      <c r="K119" t="s">
        <v>196</v>
      </c>
      <c r="L119" t="s">
        <v>53</v>
      </c>
      <c r="N119" t="s">
        <v>432</v>
      </c>
      <c r="P119" t="s">
        <v>55</v>
      </c>
      <c r="R119" t="s">
        <v>56</v>
      </c>
      <c r="T119" t="s">
        <v>423</v>
      </c>
      <c r="U119" t="s">
        <v>58</v>
      </c>
      <c r="V119">
        <v>2</v>
      </c>
      <c r="W119">
        <v>1</v>
      </c>
      <c r="X119">
        <v>1</v>
      </c>
      <c r="Y119">
        <v>0</v>
      </c>
      <c r="Z119">
        <v>1</v>
      </c>
      <c r="AA119">
        <v>0</v>
      </c>
      <c r="AB119">
        <v>296.63</v>
      </c>
      <c r="AC119">
        <v>261</v>
      </c>
      <c r="AD119">
        <v>0</v>
      </c>
      <c r="AE119">
        <v>35.619999999999997</v>
      </c>
      <c r="AF119">
        <v>0</v>
      </c>
      <c r="AG119">
        <v>0</v>
      </c>
      <c r="AH119">
        <v>0</v>
      </c>
      <c r="AI119">
        <v>53.39</v>
      </c>
      <c r="AJ119">
        <v>296.62</v>
      </c>
      <c r="AK119">
        <v>-0.01</v>
      </c>
      <c r="AL119" t="s">
        <v>53</v>
      </c>
      <c r="AM119" t="s">
        <v>53</v>
      </c>
      <c r="AN119" t="s">
        <v>433</v>
      </c>
      <c r="AO119" t="s">
        <v>53</v>
      </c>
      <c r="AP119" t="s">
        <v>53</v>
      </c>
    </row>
    <row r="120" spans="2:42" x14ac:dyDescent="0.2">
      <c r="B120" t="s">
        <v>44</v>
      </c>
      <c r="C120" t="str">
        <f>HYPERLINK("https://us2.cloudbeds.com/connect/8493803454333002#/reservations/598512034044?display=E1EC6KDB&amp;reservation_id=598512034044", "E1EC6KDB")</f>
        <v>E1EC6KDB</v>
      </c>
      <c r="D120" t="s">
        <v>45</v>
      </c>
      <c r="E120" t="s">
        <v>213</v>
      </c>
      <c r="F120" t="s">
        <v>86</v>
      </c>
      <c r="G120" t="s">
        <v>48</v>
      </c>
      <c r="H120" t="s">
        <v>49</v>
      </c>
      <c r="I120" t="s">
        <v>50</v>
      </c>
      <c r="J120" t="s">
        <v>387</v>
      </c>
      <c r="K120" t="s">
        <v>388</v>
      </c>
      <c r="L120" t="s">
        <v>53</v>
      </c>
      <c r="N120" t="s">
        <v>434</v>
      </c>
      <c r="P120" t="s">
        <v>55</v>
      </c>
      <c r="R120" t="s">
        <v>56</v>
      </c>
      <c r="T120" t="s">
        <v>423</v>
      </c>
      <c r="U120" t="s">
        <v>58</v>
      </c>
      <c r="V120">
        <v>1</v>
      </c>
      <c r="W120">
        <v>1</v>
      </c>
      <c r="X120">
        <v>1</v>
      </c>
      <c r="Y120">
        <v>0</v>
      </c>
      <c r="Z120">
        <v>1</v>
      </c>
      <c r="AA120">
        <v>0</v>
      </c>
      <c r="AB120">
        <v>173.88</v>
      </c>
      <c r="AC120">
        <v>153</v>
      </c>
      <c r="AD120">
        <v>0</v>
      </c>
      <c r="AE120">
        <v>20.89</v>
      </c>
      <c r="AF120">
        <v>0</v>
      </c>
      <c r="AG120">
        <v>0</v>
      </c>
      <c r="AH120">
        <v>0</v>
      </c>
      <c r="AI120">
        <v>31.3</v>
      </c>
      <c r="AJ120">
        <v>173.89</v>
      </c>
      <c r="AK120">
        <v>0.01</v>
      </c>
      <c r="AL120" t="s">
        <v>53</v>
      </c>
      <c r="AM120" t="s">
        <v>53</v>
      </c>
      <c r="AN120" t="s">
        <v>435</v>
      </c>
      <c r="AO120" t="s">
        <v>53</v>
      </c>
      <c r="AP120" t="s">
        <v>53</v>
      </c>
    </row>
    <row r="121" spans="2:42" x14ac:dyDescent="0.2">
      <c r="B121" t="s">
        <v>44</v>
      </c>
      <c r="C121" t="str">
        <f>HYPERLINK("https://us2.cloudbeds.com/connect/8493803454333002#/reservations/598456746207?display=E1CVJ51A&amp;reservation_id=598456746207", "E1CVJ51A")</f>
        <v>E1CVJ51A</v>
      </c>
      <c r="D121" t="s">
        <v>45</v>
      </c>
      <c r="E121" t="s">
        <v>138</v>
      </c>
      <c r="F121" t="s">
        <v>70</v>
      </c>
      <c r="G121" t="s">
        <v>48</v>
      </c>
      <c r="H121" t="s">
        <v>49</v>
      </c>
      <c r="I121" t="s">
        <v>50</v>
      </c>
      <c r="J121" t="s">
        <v>239</v>
      </c>
      <c r="K121" t="s">
        <v>312</v>
      </c>
      <c r="L121" t="s">
        <v>53</v>
      </c>
      <c r="N121" t="s">
        <v>436</v>
      </c>
      <c r="P121" t="s">
        <v>55</v>
      </c>
      <c r="R121" t="s">
        <v>56</v>
      </c>
      <c r="T121" t="s">
        <v>437</v>
      </c>
      <c r="U121" t="s">
        <v>58</v>
      </c>
      <c r="V121">
        <v>1</v>
      </c>
      <c r="W121">
        <v>1</v>
      </c>
      <c r="X121">
        <v>1</v>
      </c>
      <c r="Y121">
        <v>0</v>
      </c>
      <c r="Z121">
        <v>1</v>
      </c>
      <c r="AA121">
        <v>0</v>
      </c>
      <c r="AB121">
        <v>70.58</v>
      </c>
      <c r="AC121">
        <v>62.1</v>
      </c>
      <c r="AD121">
        <v>0</v>
      </c>
      <c r="AE121">
        <v>8.4700000000000006</v>
      </c>
      <c r="AF121">
        <v>0</v>
      </c>
      <c r="AG121">
        <v>0</v>
      </c>
      <c r="AH121">
        <v>0</v>
      </c>
      <c r="AI121">
        <v>12.7</v>
      </c>
      <c r="AJ121">
        <v>70.569999999999993</v>
      </c>
      <c r="AK121">
        <v>-0.01</v>
      </c>
      <c r="AL121" t="s">
        <v>53</v>
      </c>
      <c r="AM121" t="s">
        <v>53</v>
      </c>
      <c r="AN121" t="s">
        <v>59</v>
      </c>
      <c r="AO121" t="s">
        <v>53</v>
      </c>
      <c r="AP121" t="s">
        <v>53</v>
      </c>
    </row>
    <row r="122" spans="2:42" x14ac:dyDescent="0.2">
      <c r="B122" t="s">
        <v>44</v>
      </c>
      <c r="C122" t="str">
        <f>HYPERLINK("https://us2.cloudbeds.com/connect/8493803454333002#/reservations/598525620361?display=E1ENYMBU&amp;reservation_id=598525620361", "E1ENYMBU")</f>
        <v>E1ENYMBU</v>
      </c>
      <c r="D122" t="s">
        <v>45</v>
      </c>
      <c r="E122" t="s">
        <v>46</v>
      </c>
      <c r="F122" t="s">
        <v>47</v>
      </c>
      <c r="G122" t="s">
        <v>48</v>
      </c>
      <c r="H122" t="s">
        <v>49</v>
      </c>
      <c r="I122" t="s">
        <v>62</v>
      </c>
      <c r="J122" t="s">
        <v>387</v>
      </c>
      <c r="K122" t="s">
        <v>388</v>
      </c>
      <c r="L122" t="s">
        <v>53</v>
      </c>
      <c r="N122" t="s">
        <v>438</v>
      </c>
      <c r="P122" t="s">
        <v>55</v>
      </c>
      <c r="R122" t="s">
        <v>56</v>
      </c>
      <c r="T122" t="s">
        <v>437</v>
      </c>
      <c r="U122" t="s">
        <v>58</v>
      </c>
      <c r="V122">
        <v>1</v>
      </c>
      <c r="W122">
        <v>1</v>
      </c>
      <c r="X122">
        <v>1</v>
      </c>
      <c r="Y122">
        <v>0</v>
      </c>
      <c r="Z122">
        <v>1</v>
      </c>
      <c r="AA122">
        <v>0</v>
      </c>
      <c r="AB122">
        <v>170.48</v>
      </c>
      <c r="AC122">
        <v>150</v>
      </c>
      <c r="AD122">
        <v>0</v>
      </c>
      <c r="AE122">
        <v>20.48</v>
      </c>
      <c r="AF122">
        <v>0</v>
      </c>
      <c r="AG122">
        <v>0</v>
      </c>
      <c r="AH122">
        <v>0</v>
      </c>
      <c r="AI122">
        <v>25.57</v>
      </c>
      <c r="AJ122">
        <v>170.48</v>
      </c>
      <c r="AK122">
        <v>0</v>
      </c>
      <c r="AL122" t="s">
        <v>53</v>
      </c>
      <c r="AM122" t="s">
        <v>53</v>
      </c>
      <c r="AN122" t="s">
        <v>137</v>
      </c>
      <c r="AO122" t="s">
        <v>53</v>
      </c>
      <c r="AP122" t="s">
        <v>53</v>
      </c>
    </row>
    <row r="123" spans="2:42" x14ac:dyDescent="0.2">
      <c r="B123" t="s">
        <v>44</v>
      </c>
      <c r="C123" t="str">
        <f>HYPERLINK("https://us2.cloudbeds.com/connect/8493803454333002#/reservations/598614298862?display=E1GWE9G6&amp;reservation_id=598614298862", "E1GWE9G6")</f>
        <v>E1GWE9G6</v>
      </c>
      <c r="D123" t="s">
        <v>45</v>
      </c>
      <c r="E123" t="s">
        <v>85</v>
      </c>
      <c r="F123" t="s">
        <v>86</v>
      </c>
      <c r="G123" t="s">
        <v>48</v>
      </c>
      <c r="H123" t="s">
        <v>49</v>
      </c>
      <c r="I123" t="s">
        <v>79</v>
      </c>
      <c r="J123" t="s">
        <v>292</v>
      </c>
      <c r="K123" t="s">
        <v>309</v>
      </c>
      <c r="L123" t="s">
        <v>53</v>
      </c>
      <c r="N123" t="s">
        <v>439</v>
      </c>
      <c r="P123" t="s">
        <v>55</v>
      </c>
      <c r="R123" t="s">
        <v>56</v>
      </c>
      <c r="T123" t="s">
        <v>437</v>
      </c>
      <c r="U123" t="s">
        <v>58</v>
      </c>
      <c r="V123">
        <v>3</v>
      </c>
      <c r="W123">
        <v>1</v>
      </c>
      <c r="X123">
        <v>1</v>
      </c>
      <c r="Y123">
        <v>0</v>
      </c>
      <c r="Z123">
        <v>1</v>
      </c>
      <c r="AA123">
        <v>0</v>
      </c>
      <c r="AB123">
        <v>438.8</v>
      </c>
      <c r="AC123">
        <v>386.1</v>
      </c>
      <c r="AD123">
        <v>0</v>
      </c>
      <c r="AE123">
        <v>52.68</v>
      </c>
      <c r="AF123">
        <v>0</v>
      </c>
      <c r="AG123">
        <v>0</v>
      </c>
      <c r="AH123">
        <v>0</v>
      </c>
      <c r="AI123">
        <v>0</v>
      </c>
      <c r="AJ123">
        <v>438.78</v>
      </c>
      <c r="AK123">
        <v>-0.02</v>
      </c>
      <c r="AL123" t="s">
        <v>53</v>
      </c>
      <c r="AM123" t="s">
        <v>53</v>
      </c>
      <c r="AN123" t="s">
        <v>84</v>
      </c>
      <c r="AO123" t="s">
        <v>53</v>
      </c>
      <c r="AP123" t="s">
        <v>53</v>
      </c>
    </row>
    <row r="124" spans="2:42" x14ac:dyDescent="0.2">
      <c r="B124" t="s">
        <v>44</v>
      </c>
      <c r="C124" t="str">
        <f>HYPERLINK("https://us2.cloudbeds.com/connect/8493803454333002#/reservations/598523216070?display=E1EYKPXK&amp;reservation_id=598523216070", "E1EYKPXK")</f>
        <v>E1EYKPXK</v>
      </c>
      <c r="D124" t="s">
        <v>45</v>
      </c>
      <c r="E124" t="s">
        <v>440</v>
      </c>
      <c r="F124" t="s">
        <v>47</v>
      </c>
      <c r="G124" t="s">
        <v>48</v>
      </c>
      <c r="H124" t="s">
        <v>49</v>
      </c>
      <c r="I124" t="s">
        <v>62</v>
      </c>
      <c r="J124" t="s">
        <v>246</v>
      </c>
      <c r="K124" t="s">
        <v>421</v>
      </c>
      <c r="L124" t="s">
        <v>53</v>
      </c>
      <c r="N124" t="s">
        <v>441</v>
      </c>
      <c r="P124" t="s">
        <v>55</v>
      </c>
      <c r="R124" t="s">
        <v>66</v>
      </c>
      <c r="T124" t="s">
        <v>437</v>
      </c>
      <c r="U124" t="s">
        <v>58</v>
      </c>
      <c r="V124">
        <v>2</v>
      </c>
      <c r="W124">
        <v>2</v>
      </c>
      <c r="X124">
        <v>2</v>
      </c>
      <c r="Y124">
        <v>0</v>
      </c>
      <c r="Z124">
        <v>2</v>
      </c>
      <c r="AA124">
        <v>0</v>
      </c>
      <c r="AB124">
        <v>171.84</v>
      </c>
      <c r="AC124">
        <v>151.19999999999999</v>
      </c>
      <c r="AD124">
        <v>0</v>
      </c>
      <c r="AE124">
        <v>20.64</v>
      </c>
      <c r="AF124">
        <v>0</v>
      </c>
      <c r="AG124">
        <v>0</v>
      </c>
      <c r="AH124">
        <v>0</v>
      </c>
      <c r="AI124">
        <v>25.78</v>
      </c>
      <c r="AJ124">
        <v>171.84</v>
      </c>
      <c r="AK124">
        <v>0</v>
      </c>
      <c r="AL124" t="s">
        <v>53</v>
      </c>
      <c r="AM124" t="s">
        <v>53</v>
      </c>
      <c r="AN124" t="s">
        <v>442</v>
      </c>
      <c r="AO124" t="s">
        <v>53</v>
      </c>
      <c r="AP124" t="s">
        <v>53</v>
      </c>
    </row>
    <row r="125" spans="2:42" x14ac:dyDescent="0.2">
      <c r="B125" t="s">
        <v>44</v>
      </c>
      <c r="C125" t="str">
        <f>HYPERLINK("https://us2.cloudbeds.com/connect/8493803454333002#/reservations/597963272416?display=E10BFH23&amp;reservation_id=597963272416", "E10BFH23")</f>
        <v>E10BFH23</v>
      </c>
      <c r="D125" t="s">
        <v>45</v>
      </c>
      <c r="E125" t="s">
        <v>155</v>
      </c>
      <c r="F125" t="s">
        <v>86</v>
      </c>
      <c r="G125" t="s">
        <v>48</v>
      </c>
      <c r="H125" t="s">
        <v>49</v>
      </c>
      <c r="I125" t="s">
        <v>79</v>
      </c>
      <c r="J125" t="s">
        <v>443</v>
      </c>
      <c r="K125" t="s">
        <v>404</v>
      </c>
      <c r="L125" t="s">
        <v>53</v>
      </c>
      <c r="N125" t="s">
        <v>444</v>
      </c>
      <c r="P125" t="s">
        <v>55</v>
      </c>
      <c r="R125" t="s">
        <v>56</v>
      </c>
      <c r="T125" t="s">
        <v>437</v>
      </c>
      <c r="U125" t="s">
        <v>58</v>
      </c>
      <c r="V125">
        <v>3</v>
      </c>
      <c r="W125">
        <v>1</v>
      </c>
      <c r="X125">
        <v>1</v>
      </c>
      <c r="Y125">
        <v>0</v>
      </c>
      <c r="Z125">
        <v>1</v>
      </c>
      <c r="AA125">
        <v>0</v>
      </c>
      <c r="AB125">
        <v>267.99</v>
      </c>
      <c r="AC125">
        <v>235.8</v>
      </c>
      <c r="AD125">
        <v>0</v>
      </c>
      <c r="AE125">
        <v>32.19</v>
      </c>
      <c r="AF125">
        <v>0</v>
      </c>
      <c r="AG125">
        <v>0</v>
      </c>
      <c r="AH125">
        <v>0</v>
      </c>
      <c r="AI125">
        <v>0</v>
      </c>
      <c r="AJ125">
        <v>267.99</v>
      </c>
      <c r="AK125">
        <v>0</v>
      </c>
      <c r="AL125" t="s">
        <v>53</v>
      </c>
      <c r="AM125" t="s">
        <v>53</v>
      </c>
      <c r="AN125" t="s">
        <v>445</v>
      </c>
      <c r="AO125" t="s">
        <v>53</v>
      </c>
      <c r="AP125" t="s">
        <v>53</v>
      </c>
    </row>
    <row r="126" spans="2:42" x14ac:dyDescent="0.2">
      <c r="B126" t="s">
        <v>44</v>
      </c>
      <c r="C126" t="str">
        <f>HYPERLINK("https://us2.cloudbeds.com/connect/8493803454333002#/reservations/598467227829?display=E1D7DR18&amp;reservation_id=598467227829", "E1D7DR18")</f>
        <v>E1D7DR18</v>
      </c>
      <c r="D126" t="s">
        <v>45</v>
      </c>
      <c r="E126" t="s">
        <v>179</v>
      </c>
      <c r="F126" t="s">
        <v>47</v>
      </c>
      <c r="G126" t="s">
        <v>48</v>
      </c>
      <c r="H126" t="s">
        <v>49</v>
      </c>
      <c r="I126" t="s">
        <v>50</v>
      </c>
      <c r="J126" t="s">
        <v>446</v>
      </c>
      <c r="K126" t="s">
        <v>447</v>
      </c>
      <c r="L126" t="s">
        <v>53</v>
      </c>
      <c r="N126" t="s">
        <v>448</v>
      </c>
      <c r="P126" t="s">
        <v>55</v>
      </c>
      <c r="R126" t="s">
        <v>56</v>
      </c>
      <c r="T126" t="s">
        <v>437</v>
      </c>
      <c r="U126" t="s">
        <v>58</v>
      </c>
      <c r="V126">
        <v>3</v>
      </c>
      <c r="W126">
        <v>1</v>
      </c>
      <c r="X126">
        <v>1</v>
      </c>
      <c r="Y126">
        <v>0</v>
      </c>
      <c r="Z126">
        <v>1</v>
      </c>
      <c r="AA126">
        <v>0</v>
      </c>
      <c r="AB126">
        <v>451.08</v>
      </c>
      <c r="AC126">
        <v>396.9</v>
      </c>
      <c r="AD126">
        <v>0</v>
      </c>
      <c r="AE126">
        <v>54.21</v>
      </c>
      <c r="AF126">
        <v>0</v>
      </c>
      <c r="AG126">
        <v>0</v>
      </c>
      <c r="AH126">
        <v>0</v>
      </c>
      <c r="AI126">
        <v>81.2</v>
      </c>
      <c r="AJ126">
        <v>451.11</v>
      </c>
      <c r="AK126">
        <v>0.03</v>
      </c>
      <c r="AL126" t="s">
        <v>53</v>
      </c>
      <c r="AM126" t="s">
        <v>53</v>
      </c>
      <c r="AN126" t="s">
        <v>449</v>
      </c>
      <c r="AO126" t="s">
        <v>53</v>
      </c>
      <c r="AP126" t="s">
        <v>53</v>
      </c>
    </row>
    <row r="127" spans="2:42" x14ac:dyDescent="0.2">
      <c r="B127" t="s">
        <v>44</v>
      </c>
      <c r="C127" t="str">
        <f>HYPERLINK("https://us2.cloudbeds.com/connect/8493803454333002#/reservations/598159007883?display=E15BH4PR&amp;reservation_id=598159007883", "E15BH4PR")</f>
        <v>E15BH4PR</v>
      </c>
      <c r="D127" t="s">
        <v>45</v>
      </c>
      <c r="E127" t="s">
        <v>92</v>
      </c>
      <c r="F127" t="s">
        <v>86</v>
      </c>
      <c r="G127" t="s">
        <v>48</v>
      </c>
      <c r="H127" t="s">
        <v>49</v>
      </c>
      <c r="I127" t="s">
        <v>79</v>
      </c>
      <c r="J127" t="s">
        <v>387</v>
      </c>
      <c r="K127" t="s">
        <v>388</v>
      </c>
      <c r="L127" t="s">
        <v>53</v>
      </c>
      <c r="N127" t="s">
        <v>450</v>
      </c>
      <c r="P127" t="s">
        <v>55</v>
      </c>
      <c r="R127" t="s">
        <v>56</v>
      </c>
      <c r="T127" t="s">
        <v>437</v>
      </c>
      <c r="U127" t="s">
        <v>58</v>
      </c>
      <c r="V127">
        <v>1</v>
      </c>
      <c r="W127">
        <v>1</v>
      </c>
      <c r="X127">
        <v>1</v>
      </c>
      <c r="Y127">
        <v>0</v>
      </c>
      <c r="Z127">
        <v>1</v>
      </c>
      <c r="AA127">
        <v>0</v>
      </c>
      <c r="AB127">
        <v>173.88</v>
      </c>
      <c r="AC127">
        <v>153</v>
      </c>
      <c r="AD127">
        <v>0</v>
      </c>
      <c r="AE127">
        <v>20.89</v>
      </c>
      <c r="AF127">
        <v>0</v>
      </c>
      <c r="AG127">
        <v>0</v>
      </c>
      <c r="AH127">
        <v>0</v>
      </c>
      <c r="AI127">
        <v>0</v>
      </c>
      <c r="AJ127">
        <v>173.89</v>
      </c>
      <c r="AK127">
        <v>0.01</v>
      </c>
      <c r="AL127" t="s">
        <v>53</v>
      </c>
      <c r="AM127" t="s">
        <v>53</v>
      </c>
      <c r="AN127" t="s">
        <v>280</v>
      </c>
      <c r="AO127" t="s">
        <v>53</v>
      </c>
      <c r="AP127" t="s">
        <v>53</v>
      </c>
    </row>
    <row r="128" spans="2:42" x14ac:dyDescent="0.2">
      <c r="B128" t="s">
        <v>44</v>
      </c>
      <c r="C128" t="str">
        <f>HYPERLINK("https://us2.cloudbeds.com/connect/8493803454333002#/reservations/598358450307?display=E1AEMQPD&amp;reservation_id=598358450307", "E1AEMQPD")</f>
        <v>E1AEMQPD</v>
      </c>
      <c r="D128" t="s">
        <v>45</v>
      </c>
      <c r="E128" t="s">
        <v>138</v>
      </c>
      <c r="F128" t="s">
        <v>70</v>
      </c>
      <c r="G128" t="s">
        <v>48</v>
      </c>
      <c r="H128" t="s">
        <v>49</v>
      </c>
      <c r="I128" t="s">
        <v>62</v>
      </c>
      <c r="J128" t="s">
        <v>273</v>
      </c>
      <c r="K128" t="s">
        <v>246</v>
      </c>
      <c r="L128" t="s">
        <v>53</v>
      </c>
      <c r="N128" t="s">
        <v>451</v>
      </c>
      <c r="P128" t="s">
        <v>55</v>
      </c>
      <c r="R128" t="s">
        <v>56</v>
      </c>
      <c r="T128" t="s">
        <v>452</v>
      </c>
      <c r="U128" t="s">
        <v>58</v>
      </c>
      <c r="V128">
        <v>3</v>
      </c>
      <c r="W128">
        <v>1</v>
      </c>
      <c r="X128">
        <v>1</v>
      </c>
      <c r="Y128">
        <v>0</v>
      </c>
      <c r="Z128">
        <v>1</v>
      </c>
      <c r="AA128">
        <v>0</v>
      </c>
      <c r="AB128">
        <v>222.75</v>
      </c>
      <c r="AC128">
        <v>196</v>
      </c>
      <c r="AD128">
        <v>0</v>
      </c>
      <c r="AE128">
        <v>26.76</v>
      </c>
      <c r="AF128">
        <v>0</v>
      </c>
      <c r="AG128">
        <v>0</v>
      </c>
      <c r="AH128">
        <v>0</v>
      </c>
      <c r="AI128">
        <v>33.409999999999997</v>
      </c>
      <c r="AJ128">
        <v>222.76</v>
      </c>
      <c r="AK128">
        <v>0.01</v>
      </c>
      <c r="AL128" t="s">
        <v>53</v>
      </c>
      <c r="AM128" t="s">
        <v>53</v>
      </c>
      <c r="AN128" t="s">
        <v>453</v>
      </c>
      <c r="AO128" t="s">
        <v>53</v>
      </c>
      <c r="AP128" t="s">
        <v>53</v>
      </c>
    </row>
    <row r="129" spans="2:42" x14ac:dyDescent="0.2">
      <c r="B129" t="s">
        <v>44</v>
      </c>
      <c r="C129" t="str">
        <f>HYPERLINK("https://us2.cloudbeds.com/connect/8493803454333002#/reservations/598474309814?display=E1DDCT7Q&amp;reservation_id=598474309814", "E1DDCT7Q")</f>
        <v>E1DDCT7Q</v>
      </c>
      <c r="D129" t="s">
        <v>45</v>
      </c>
      <c r="E129" t="s">
        <v>92</v>
      </c>
      <c r="F129" t="s">
        <v>86</v>
      </c>
      <c r="G129" t="s">
        <v>48</v>
      </c>
      <c r="H129" t="s">
        <v>49</v>
      </c>
      <c r="I129" t="s">
        <v>62</v>
      </c>
      <c r="J129" t="s">
        <v>454</v>
      </c>
      <c r="K129" t="s">
        <v>455</v>
      </c>
      <c r="L129" t="s">
        <v>53</v>
      </c>
      <c r="N129" t="s">
        <v>456</v>
      </c>
      <c r="P129" t="s">
        <v>55</v>
      </c>
      <c r="R129" t="s">
        <v>56</v>
      </c>
      <c r="T129" t="s">
        <v>452</v>
      </c>
      <c r="U129" t="s">
        <v>58</v>
      </c>
      <c r="V129">
        <v>1</v>
      </c>
      <c r="W129">
        <v>1</v>
      </c>
      <c r="X129">
        <v>1</v>
      </c>
      <c r="Y129">
        <v>0</v>
      </c>
      <c r="Z129">
        <v>1</v>
      </c>
      <c r="AA129">
        <v>0</v>
      </c>
      <c r="AB129">
        <v>125.02</v>
      </c>
      <c r="AC129">
        <v>110</v>
      </c>
      <c r="AD129">
        <v>0</v>
      </c>
      <c r="AE129">
        <v>15.02</v>
      </c>
      <c r="AF129">
        <v>0</v>
      </c>
      <c r="AG129">
        <v>0</v>
      </c>
      <c r="AH129">
        <v>0</v>
      </c>
      <c r="AI129">
        <v>18.75</v>
      </c>
      <c r="AJ129">
        <v>125.02</v>
      </c>
      <c r="AK129">
        <v>0</v>
      </c>
      <c r="AL129" t="s">
        <v>53</v>
      </c>
      <c r="AM129" t="s">
        <v>53</v>
      </c>
      <c r="AN129" t="s">
        <v>59</v>
      </c>
      <c r="AO129" t="s">
        <v>53</v>
      </c>
      <c r="AP129" t="s">
        <v>53</v>
      </c>
    </row>
    <row r="130" spans="2:42" x14ac:dyDescent="0.2">
      <c r="B130" t="s">
        <v>44</v>
      </c>
      <c r="C130" t="str">
        <f>HYPERLINK("https://us2.cloudbeds.com/connect/8493803454333002#/reservations/598197067984?display=E16AK7C7&amp;reservation_id=598197067984", "E16AK7C7")</f>
        <v>E16AK7C7</v>
      </c>
      <c r="D130" t="s">
        <v>45</v>
      </c>
      <c r="E130" t="s">
        <v>373</v>
      </c>
      <c r="F130" t="s">
        <v>47</v>
      </c>
      <c r="G130" t="s">
        <v>48</v>
      </c>
      <c r="H130" t="s">
        <v>71</v>
      </c>
      <c r="I130" t="s">
        <v>72</v>
      </c>
      <c r="J130" t="s">
        <v>409</v>
      </c>
      <c r="K130" t="s">
        <v>312</v>
      </c>
      <c r="L130" t="s">
        <v>53</v>
      </c>
      <c r="N130" t="s">
        <v>457</v>
      </c>
      <c r="P130" t="s">
        <v>55</v>
      </c>
      <c r="R130" t="s">
        <v>56</v>
      </c>
      <c r="T130" t="s">
        <v>452</v>
      </c>
      <c r="U130" t="s">
        <v>58</v>
      </c>
      <c r="V130">
        <v>2</v>
      </c>
      <c r="W130">
        <v>1</v>
      </c>
      <c r="X130">
        <v>1</v>
      </c>
      <c r="Y130">
        <v>0</v>
      </c>
      <c r="Z130">
        <v>1</v>
      </c>
      <c r="AA130">
        <v>0</v>
      </c>
      <c r="AB130">
        <v>163.66</v>
      </c>
      <c r="AC130">
        <v>144</v>
      </c>
      <c r="AD130">
        <v>0</v>
      </c>
      <c r="AE130">
        <v>19.66</v>
      </c>
      <c r="AF130">
        <v>0</v>
      </c>
      <c r="AG130">
        <v>0</v>
      </c>
      <c r="AH130">
        <v>0</v>
      </c>
      <c r="AI130">
        <v>0</v>
      </c>
      <c r="AJ130">
        <v>163.66</v>
      </c>
      <c r="AK130">
        <v>0</v>
      </c>
      <c r="AL130" t="s">
        <v>53</v>
      </c>
      <c r="AM130" t="s">
        <v>53</v>
      </c>
      <c r="AN130" t="s">
        <v>458</v>
      </c>
      <c r="AO130" t="s">
        <v>53</v>
      </c>
      <c r="AP130" t="s">
        <v>53</v>
      </c>
    </row>
    <row r="131" spans="2:42" x14ac:dyDescent="0.2">
      <c r="B131" t="s">
        <v>44</v>
      </c>
      <c r="C131" t="str">
        <f>HYPERLINK("https://us2.cloudbeds.com/connect/8493803454333002#/reservations/598521450723?display=E1EK4YG8&amp;reservation_id=598521450723", "E1EK4YG8")</f>
        <v>E1EK4YG8</v>
      </c>
      <c r="D131" t="s">
        <v>45</v>
      </c>
      <c r="E131" t="s">
        <v>165</v>
      </c>
      <c r="F131" t="s">
        <v>61</v>
      </c>
      <c r="G131" t="s">
        <v>48</v>
      </c>
      <c r="H131" t="s">
        <v>71</v>
      </c>
      <c r="I131" t="s">
        <v>72</v>
      </c>
      <c r="J131" t="s">
        <v>239</v>
      </c>
      <c r="K131" t="s">
        <v>312</v>
      </c>
      <c r="L131" t="s">
        <v>53</v>
      </c>
      <c r="N131" t="s">
        <v>459</v>
      </c>
      <c r="P131" t="s">
        <v>58</v>
      </c>
      <c r="R131" t="s">
        <v>56</v>
      </c>
      <c r="T131" t="s">
        <v>452</v>
      </c>
      <c r="U131" t="s">
        <v>58</v>
      </c>
      <c r="V131">
        <v>1</v>
      </c>
      <c r="W131">
        <v>1</v>
      </c>
      <c r="X131">
        <v>1</v>
      </c>
      <c r="Y131">
        <v>0</v>
      </c>
      <c r="Z131">
        <v>1</v>
      </c>
      <c r="AA131">
        <v>0</v>
      </c>
      <c r="AB131">
        <v>90.92</v>
      </c>
      <c r="AC131">
        <v>80</v>
      </c>
      <c r="AD131">
        <v>0</v>
      </c>
      <c r="AE131">
        <v>10.92</v>
      </c>
      <c r="AF131">
        <v>0</v>
      </c>
      <c r="AG131">
        <v>0</v>
      </c>
      <c r="AH131">
        <v>0</v>
      </c>
      <c r="AI131">
        <v>0</v>
      </c>
      <c r="AJ131">
        <v>90.92</v>
      </c>
      <c r="AK131">
        <v>0</v>
      </c>
      <c r="AL131" t="s">
        <v>53</v>
      </c>
      <c r="AM131" t="s">
        <v>53</v>
      </c>
      <c r="AN131" t="s">
        <v>460</v>
      </c>
      <c r="AO131" t="s">
        <v>53</v>
      </c>
      <c r="AP131" t="s">
        <v>53</v>
      </c>
    </row>
    <row r="132" spans="2:42" x14ac:dyDescent="0.2">
      <c r="B132" t="s">
        <v>44</v>
      </c>
      <c r="C132" t="str">
        <f>HYPERLINK("https://us2.cloudbeds.com/connect/8493803454333002#/reservations/598481965268?display=E1DJRU1A&amp;reservation_id=598481965268", "E1DJRU1A")</f>
        <v>E1DJRU1A</v>
      </c>
      <c r="D132" t="s">
        <v>45</v>
      </c>
      <c r="E132" t="s">
        <v>179</v>
      </c>
      <c r="F132" t="s">
        <v>47</v>
      </c>
      <c r="G132" t="s">
        <v>48</v>
      </c>
      <c r="H132" t="s">
        <v>49</v>
      </c>
      <c r="I132" t="s">
        <v>50</v>
      </c>
      <c r="J132" t="s">
        <v>461</v>
      </c>
      <c r="K132" t="s">
        <v>462</v>
      </c>
      <c r="L132" t="s">
        <v>53</v>
      </c>
      <c r="N132" t="s">
        <v>463</v>
      </c>
      <c r="P132" t="s">
        <v>55</v>
      </c>
      <c r="R132" t="s">
        <v>56</v>
      </c>
      <c r="T132" t="s">
        <v>452</v>
      </c>
      <c r="U132" t="s">
        <v>58</v>
      </c>
      <c r="V132">
        <v>2</v>
      </c>
      <c r="W132">
        <v>1</v>
      </c>
      <c r="X132">
        <v>1</v>
      </c>
      <c r="Y132">
        <v>0</v>
      </c>
      <c r="Z132">
        <v>1</v>
      </c>
      <c r="AA132">
        <v>0</v>
      </c>
      <c r="AB132">
        <v>151.38</v>
      </c>
      <c r="AC132">
        <v>133.19999999999999</v>
      </c>
      <c r="AD132">
        <v>0</v>
      </c>
      <c r="AE132">
        <v>18.18</v>
      </c>
      <c r="AF132">
        <v>0</v>
      </c>
      <c r="AG132">
        <v>0</v>
      </c>
      <c r="AH132">
        <v>0</v>
      </c>
      <c r="AI132">
        <v>27.25</v>
      </c>
      <c r="AJ132">
        <v>151.38</v>
      </c>
      <c r="AK132">
        <v>0</v>
      </c>
      <c r="AL132" t="s">
        <v>53</v>
      </c>
      <c r="AM132" t="s">
        <v>53</v>
      </c>
      <c r="AN132" t="s">
        <v>142</v>
      </c>
      <c r="AO132" t="s">
        <v>53</v>
      </c>
      <c r="AP132" t="s">
        <v>53</v>
      </c>
    </row>
    <row r="133" spans="2:42" x14ac:dyDescent="0.2">
      <c r="B133" t="s">
        <v>44</v>
      </c>
      <c r="C133" t="str">
        <f>HYPERLINK("https://us2.cloudbeds.com/connect/8493803454333002#/reservations/597925789900?display=E0WCSGS8&amp;reservation_id=597925789900", "E0WCSGS8")</f>
        <v>E0WCSGS8</v>
      </c>
      <c r="D133" t="s">
        <v>45</v>
      </c>
      <c r="E133" t="s">
        <v>213</v>
      </c>
      <c r="F133" t="s">
        <v>86</v>
      </c>
      <c r="G133" t="s">
        <v>48</v>
      </c>
      <c r="H133" t="s">
        <v>49</v>
      </c>
      <c r="I133" t="s">
        <v>50</v>
      </c>
      <c r="J133" t="s">
        <v>464</v>
      </c>
      <c r="K133" t="s">
        <v>337</v>
      </c>
      <c r="L133" t="s">
        <v>53</v>
      </c>
      <c r="N133" t="s">
        <v>465</v>
      </c>
      <c r="P133" t="s">
        <v>55</v>
      </c>
      <c r="R133" t="s">
        <v>56</v>
      </c>
      <c r="T133" t="s">
        <v>466</v>
      </c>
      <c r="U133" t="s">
        <v>58</v>
      </c>
      <c r="V133">
        <v>3</v>
      </c>
      <c r="W133">
        <v>1</v>
      </c>
      <c r="X133">
        <v>1</v>
      </c>
      <c r="Y133">
        <v>0</v>
      </c>
      <c r="Z133">
        <v>1</v>
      </c>
      <c r="AA133">
        <v>0</v>
      </c>
      <c r="AB133">
        <v>267.99</v>
      </c>
      <c r="AC133">
        <v>235.8</v>
      </c>
      <c r="AD133">
        <v>0</v>
      </c>
      <c r="AE133">
        <v>32.19</v>
      </c>
      <c r="AF133">
        <v>0</v>
      </c>
      <c r="AG133">
        <v>0</v>
      </c>
      <c r="AH133">
        <v>0</v>
      </c>
      <c r="AI133">
        <v>48.24</v>
      </c>
      <c r="AJ133">
        <v>267.99</v>
      </c>
      <c r="AK133">
        <v>0</v>
      </c>
      <c r="AL133" t="s">
        <v>53</v>
      </c>
      <c r="AM133" t="s">
        <v>53</v>
      </c>
      <c r="AN133" t="s">
        <v>413</v>
      </c>
      <c r="AO133" t="s">
        <v>53</v>
      </c>
      <c r="AP133" t="s">
        <v>53</v>
      </c>
    </row>
    <row r="134" spans="2:42" x14ac:dyDescent="0.2">
      <c r="B134" t="s">
        <v>44</v>
      </c>
      <c r="C134" t="str">
        <f>HYPERLINK("https://us2.cloudbeds.com/connect/8493803454333002#/reservations/598317355169?display=E19D1CUG&amp;reservation_id=598317355169", "E19D1CUG")</f>
        <v>E19D1CUG</v>
      </c>
      <c r="D134" t="s">
        <v>45</v>
      </c>
      <c r="E134" t="s">
        <v>113</v>
      </c>
      <c r="F134" t="s">
        <v>61</v>
      </c>
      <c r="G134" t="s">
        <v>48</v>
      </c>
      <c r="H134" t="s">
        <v>49</v>
      </c>
      <c r="I134" t="s">
        <v>50</v>
      </c>
      <c r="J134" t="s">
        <v>160</v>
      </c>
      <c r="K134" t="s">
        <v>161</v>
      </c>
      <c r="L134" t="s">
        <v>53</v>
      </c>
      <c r="N134" t="s">
        <v>467</v>
      </c>
      <c r="P134" t="s">
        <v>55</v>
      </c>
      <c r="R134" t="s">
        <v>56</v>
      </c>
      <c r="T134" t="s">
        <v>466</v>
      </c>
      <c r="U134" t="s">
        <v>58</v>
      </c>
      <c r="V134">
        <v>1</v>
      </c>
      <c r="W134">
        <v>1</v>
      </c>
      <c r="X134">
        <v>1</v>
      </c>
      <c r="Y134">
        <v>0</v>
      </c>
      <c r="Z134">
        <v>1</v>
      </c>
      <c r="AA134">
        <v>0</v>
      </c>
      <c r="AB134">
        <v>80.81</v>
      </c>
      <c r="AC134">
        <v>71.099999999999994</v>
      </c>
      <c r="AD134">
        <v>0</v>
      </c>
      <c r="AE134">
        <v>9.6999999999999993</v>
      </c>
      <c r="AF134">
        <v>0</v>
      </c>
      <c r="AG134">
        <v>0</v>
      </c>
      <c r="AH134">
        <v>0</v>
      </c>
      <c r="AI134">
        <v>14.54</v>
      </c>
      <c r="AJ134">
        <v>80.8</v>
      </c>
      <c r="AK134">
        <v>-0.01</v>
      </c>
      <c r="AL134" t="s">
        <v>53</v>
      </c>
      <c r="AM134" t="s">
        <v>53</v>
      </c>
      <c r="AN134" t="s">
        <v>91</v>
      </c>
      <c r="AO134" t="s">
        <v>53</v>
      </c>
      <c r="AP134" t="s">
        <v>53</v>
      </c>
    </row>
    <row r="135" spans="2:42" x14ac:dyDescent="0.2">
      <c r="B135" t="s">
        <v>44</v>
      </c>
      <c r="C135" t="str">
        <f>HYPERLINK("https://us2.cloudbeds.com/connect/8493803454333002#/reservations/598467276950?display=E1D7F64P&amp;reservation_id=598467276950", "E1D7F64P")</f>
        <v>E1D7F64P</v>
      </c>
      <c r="D135" t="s">
        <v>45</v>
      </c>
      <c r="E135" t="s">
        <v>165</v>
      </c>
      <c r="F135" t="s">
        <v>61</v>
      </c>
      <c r="G135" t="s">
        <v>48</v>
      </c>
      <c r="H135" t="s">
        <v>71</v>
      </c>
      <c r="I135" t="s">
        <v>72</v>
      </c>
      <c r="J135" t="s">
        <v>336</v>
      </c>
      <c r="K135" t="s">
        <v>374</v>
      </c>
      <c r="L135" t="s">
        <v>53</v>
      </c>
      <c r="N135" t="s">
        <v>468</v>
      </c>
      <c r="P135" t="s">
        <v>55</v>
      </c>
      <c r="R135" t="s">
        <v>56</v>
      </c>
      <c r="T135" t="s">
        <v>466</v>
      </c>
      <c r="U135" t="s">
        <v>58</v>
      </c>
      <c r="V135">
        <v>4</v>
      </c>
      <c r="W135">
        <v>1</v>
      </c>
      <c r="X135">
        <v>1</v>
      </c>
      <c r="Y135">
        <v>0</v>
      </c>
      <c r="Z135">
        <v>1</v>
      </c>
      <c r="AA135">
        <v>0</v>
      </c>
      <c r="AB135">
        <v>346.63</v>
      </c>
      <c r="AC135">
        <v>305</v>
      </c>
      <c r="AD135">
        <v>0</v>
      </c>
      <c r="AE135">
        <v>41.64</v>
      </c>
      <c r="AF135">
        <v>0</v>
      </c>
      <c r="AG135">
        <v>0</v>
      </c>
      <c r="AH135">
        <v>0</v>
      </c>
      <c r="AI135">
        <v>0</v>
      </c>
      <c r="AJ135">
        <v>346.64</v>
      </c>
      <c r="AK135">
        <v>0.01</v>
      </c>
      <c r="AL135" t="s">
        <v>53</v>
      </c>
      <c r="AM135" t="s">
        <v>53</v>
      </c>
      <c r="AN135" t="s">
        <v>469</v>
      </c>
      <c r="AO135" t="s">
        <v>53</v>
      </c>
      <c r="AP135" t="s">
        <v>53</v>
      </c>
    </row>
    <row r="136" spans="2:42" x14ac:dyDescent="0.2">
      <c r="B136" t="s">
        <v>44</v>
      </c>
      <c r="C136" t="str">
        <f>HYPERLINK("https://us2.cloudbeds.com/connect/8493803454333002#/reservations/598267551950?display=E1841HV1&amp;reservation_id=598267551950", "E1841HV1")</f>
        <v>E1841HV1</v>
      </c>
      <c r="D136" t="s">
        <v>45</v>
      </c>
      <c r="E136" t="s">
        <v>165</v>
      </c>
      <c r="F136" t="s">
        <v>61</v>
      </c>
      <c r="G136" t="s">
        <v>48</v>
      </c>
      <c r="H136" t="s">
        <v>49</v>
      </c>
      <c r="I136" t="s">
        <v>62</v>
      </c>
      <c r="J136" t="s">
        <v>470</v>
      </c>
      <c r="K136" t="s">
        <v>160</v>
      </c>
      <c r="L136" t="s">
        <v>53</v>
      </c>
      <c r="N136" t="s">
        <v>471</v>
      </c>
      <c r="P136" t="s">
        <v>55</v>
      </c>
      <c r="R136" t="s">
        <v>56</v>
      </c>
      <c r="T136" t="s">
        <v>466</v>
      </c>
      <c r="U136" t="s">
        <v>58</v>
      </c>
      <c r="V136">
        <v>1</v>
      </c>
      <c r="W136">
        <v>1</v>
      </c>
      <c r="X136">
        <v>1</v>
      </c>
      <c r="Y136">
        <v>0</v>
      </c>
      <c r="Z136">
        <v>1</v>
      </c>
      <c r="AA136">
        <v>0</v>
      </c>
      <c r="AB136">
        <v>89.78</v>
      </c>
      <c r="AC136">
        <v>79</v>
      </c>
      <c r="AD136">
        <v>0</v>
      </c>
      <c r="AE136">
        <v>10.79</v>
      </c>
      <c r="AF136">
        <v>0</v>
      </c>
      <c r="AG136">
        <v>0</v>
      </c>
      <c r="AH136">
        <v>0</v>
      </c>
      <c r="AI136">
        <v>13.47</v>
      </c>
      <c r="AJ136">
        <v>89.79</v>
      </c>
      <c r="AK136">
        <v>0.01</v>
      </c>
      <c r="AL136" t="s">
        <v>53</v>
      </c>
      <c r="AM136" t="s">
        <v>53</v>
      </c>
      <c r="AN136" t="s">
        <v>68</v>
      </c>
      <c r="AO136" t="s">
        <v>53</v>
      </c>
      <c r="AP136" t="s">
        <v>53</v>
      </c>
    </row>
    <row r="137" spans="2:42" x14ac:dyDescent="0.2">
      <c r="B137" t="s">
        <v>44</v>
      </c>
      <c r="C137" t="str">
        <f>HYPERLINK("https://us2.cloudbeds.com/connect/8493803454333002#/reservations/598368215241?display=E1AMUYCQ&amp;reservation_id=598368215241", "E1AMUYCQ")</f>
        <v>E1AMUYCQ</v>
      </c>
      <c r="D137" t="s">
        <v>45</v>
      </c>
      <c r="E137" t="s">
        <v>138</v>
      </c>
      <c r="F137" t="s">
        <v>70</v>
      </c>
      <c r="G137" t="s">
        <v>48</v>
      </c>
      <c r="H137" t="s">
        <v>49</v>
      </c>
      <c r="I137" t="s">
        <v>62</v>
      </c>
      <c r="J137" t="s">
        <v>472</v>
      </c>
      <c r="K137" t="s">
        <v>473</v>
      </c>
      <c r="L137" t="s">
        <v>53</v>
      </c>
      <c r="N137" t="s">
        <v>474</v>
      </c>
      <c r="P137" t="s">
        <v>55</v>
      </c>
      <c r="R137" t="s">
        <v>56</v>
      </c>
      <c r="T137" t="s">
        <v>466</v>
      </c>
      <c r="U137" t="s">
        <v>58</v>
      </c>
      <c r="V137">
        <v>4</v>
      </c>
      <c r="W137">
        <v>1</v>
      </c>
      <c r="X137">
        <v>1</v>
      </c>
      <c r="Y137">
        <v>0</v>
      </c>
      <c r="Z137">
        <v>1</v>
      </c>
      <c r="AA137">
        <v>0</v>
      </c>
      <c r="AB137">
        <v>310.26</v>
      </c>
      <c r="AC137">
        <v>273</v>
      </c>
      <c r="AD137">
        <v>0</v>
      </c>
      <c r="AE137">
        <v>37.28</v>
      </c>
      <c r="AF137">
        <v>0</v>
      </c>
      <c r="AG137">
        <v>0</v>
      </c>
      <c r="AH137">
        <v>0</v>
      </c>
      <c r="AI137">
        <v>46.54</v>
      </c>
      <c r="AJ137">
        <v>310.27999999999997</v>
      </c>
      <c r="AK137">
        <v>0.02</v>
      </c>
      <c r="AL137" t="s">
        <v>53</v>
      </c>
      <c r="AM137" t="s">
        <v>53</v>
      </c>
      <c r="AN137" t="s">
        <v>112</v>
      </c>
      <c r="AO137" t="s">
        <v>53</v>
      </c>
      <c r="AP137" t="s">
        <v>53</v>
      </c>
    </row>
    <row r="138" spans="2:42" x14ac:dyDescent="0.2">
      <c r="B138" t="s">
        <v>44</v>
      </c>
      <c r="C138" t="str">
        <f>HYPERLINK("https://us2.cloudbeds.com/connect/8493803454333002#/reservations/598452387969?display=E1CRTSWH&amp;reservation_id=598452387969", "E1CRTSWH")</f>
        <v>E1CRTSWH</v>
      </c>
      <c r="D138" t="s">
        <v>45</v>
      </c>
      <c r="E138" t="s">
        <v>138</v>
      </c>
      <c r="F138" t="s">
        <v>70</v>
      </c>
      <c r="G138" t="s">
        <v>48</v>
      </c>
      <c r="H138" t="s">
        <v>49</v>
      </c>
      <c r="I138" t="s">
        <v>62</v>
      </c>
      <c r="J138" t="s">
        <v>123</v>
      </c>
      <c r="K138" t="s">
        <v>475</v>
      </c>
      <c r="L138" t="s">
        <v>53</v>
      </c>
      <c r="N138" t="s">
        <v>476</v>
      </c>
      <c r="P138" t="s">
        <v>55</v>
      </c>
      <c r="R138" t="s">
        <v>118</v>
      </c>
      <c r="T138" t="s">
        <v>466</v>
      </c>
      <c r="U138" t="s">
        <v>58</v>
      </c>
      <c r="V138">
        <v>1</v>
      </c>
      <c r="W138">
        <v>1</v>
      </c>
      <c r="X138">
        <v>1</v>
      </c>
      <c r="Y138">
        <v>0</v>
      </c>
      <c r="Z138">
        <v>1</v>
      </c>
      <c r="AA138">
        <v>0</v>
      </c>
      <c r="AB138">
        <v>142.06</v>
      </c>
      <c r="AC138">
        <v>125</v>
      </c>
      <c r="AD138">
        <v>0</v>
      </c>
      <c r="AE138">
        <v>17.07</v>
      </c>
      <c r="AF138">
        <v>0</v>
      </c>
      <c r="AG138">
        <v>0</v>
      </c>
      <c r="AH138">
        <v>0</v>
      </c>
      <c r="AI138">
        <v>21.31</v>
      </c>
      <c r="AJ138">
        <v>142.07</v>
      </c>
      <c r="AK138">
        <v>0.01</v>
      </c>
      <c r="AL138" t="s">
        <v>53</v>
      </c>
      <c r="AM138" t="s">
        <v>53</v>
      </c>
      <c r="AN138" t="s">
        <v>91</v>
      </c>
      <c r="AO138" t="s">
        <v>53</v>
      </c>
      <c r="AP138" t="s">
        <v>53</v>
      </c>
    </row>
    <row r="139" spans="2:42" x14ac:dyDescent="0.2">
      <c r="B139" t="s">
        <v>44</v>
      </c>
      <c r="C139" t="str">
        <f>HYPERLINK("https://us2.cloudbeds.com/connect/8493803454333002#/reservations/598468477078?display=E1D8FJ69&amp;reservation_id=598468477078", "E1D8FJ69")</f>
        <v>E1D8FJ69</v>
      </c>
      <c r="D139" t="s">
        <v>45</v>
      </c>
      <c r="E139" t="s">
        <v>190</v>
      </c>
      <c r="F139" t="s">
        <v>61</v>
      </c>
      <c r="G139" t="s">
        <v>48</v>
      </c>
      <c r="H139" t="s">
        <v>49</v>
      </c>
      <c r="I139" t="s">
        <v>79</v>
      </c>
      <c r="J139" t="s">
        <v>409</v>
      </c>
      <c r="K139" t="s">
        <v>262</v>
      </c>
      <c r="L139" t="s">
        <v>53</v>
      </c>
      <c r="N139" t="s">
        <v>477</v>
      </c>
      <c r="P139" t="s">
        <v>55</v>
      </c>
      <c r="R139" t="s">
        <v>56</v>
      </c>
      <c r="T139" t="s">
        <v>466</v>
      </c>
      <c r="U139" t="s">
        <v>58</v>
      </c>
      <c r="V139">
        <v>3</v>
      </c>
      <c r="W139">
        <v>1</v>
      </c>
      <c r="X139">
        <v>1</v>
      </c>
      <c r="Y139">
        <v>0</v>
      </c>
      <c r="Z139">
        <v>1</v>
      </c>
      <c r="AA139">
        <v>0</v>
      </c>
      <c r="AB139">
        <v>252.64</v>
      </c>
      <c r="AC139">
        <v>222.3</v>
      </c>
      <c r="AD139">
        <v>0</v>
      </c>
      <c r="AE139">
        <v>30.33</v>
      </c>
      <c r="AF139">
        <v>0</v>
      </c>
      <c r="AG139">
        <v>0</v>
      </c>
      <c r="AH139">
        <v>0</v>
      </c>
      <c r="AI139">
        <v>0</v>
      </c>
      <c r="AJ139">
        <v>252.63</v>
      </c>
      <c r="AK139">
        <v>-0.01</v>
      </c>
      <c r="AL139" t="s">
        <v>53</v>
      </c>
      <c r="AM139" t="s">
        <v>53</v>
      </c>
      <c r="AN139" t="s">
        <v>112</v>
      </c>
      <c r="AO139" t="s">
        <v>53</v>
      </c>
      <c r="AP139" t="s">
        <v>53</v>
      </c>
    </row>
    <row r="140" spans="2:42" x14ac:dyDescent="0.2">
      <c r="B140" t="s">
        <v>44</v>
      </c>
      <c r="C140" t="str">
        <f>HYPERLINK("https://us2.cloudbeds.com/connect/8493803454333002#/reservations/598623051965?display=E1H6QS7Z&amp;reservation_id=598623051965", "E1H6QS7Z")</f>
        <v>E1H6QS7Z</v>
      </c>
      <c r="D140" t="s">
        <v>45</v>
      </c>
      <c r="E140" t="s">
        <v>69</v>
      </c>
      <c r="F140" t="s">
        <v>70</v>
      </c>
      <c r="G140" t="s">
        <v>48</v>
      </c>
      <c r="H140" t="s">
        <v>71</v>
      </c>
      <c r="I140" t="s">
        <v>72</v>
      </c>
      <c r="J140" t="s">
        <v>356</v>
      </c>
      <c r="K140" t="s">
        <v>478</v>
      </c>
      <c r="L140" t="s">
        <v>53</v>
      </c>
      <c r="N140" t="s">
        <v>479</v>
      </c>
      <c r="P140" t="s">
        <v>55</v>
      </c>
      <c r="R140" t="s">
        <v>56</v>
      </c>
      <c r="T140" t="s">
        <v>466</v>
      </c>
      <c r="U140" t="s">
        <v>58</v>
      </c>
      <c r="V140">
        <v>1</v>
      </c>
      <c r="W140">
        <v>1</v>
      </c>
      <c r="X140">
        <v>1</v>
      </c>
      <c r="Y140">
        <v>0</v>
      </c>
      <c r="Z140">
        <v>1</v>
      </c>
      <c r="AA140">
        <v>0</v>
      </c>
      <c r="AB140">
        <v>137.52000000000001</v>
      </c>
      <c r="AC140">
        <v>121</v>
      </c>
      <c r="AD140">
        <v>0</v>
      </c>
      <c r="AE140">
        <v>16.52</v>
      </c>
      <c r="AF140">
        <v>0</v>
      </c>
      <c r="AG140">
        <v>0</v>
      </c>
      <c r="AH140">
        <v>0</v>
      </c>
      <c r="AI140">
        <v>0</v>
      </c>
      <c r="AJ140">
        <v>137.52000000000001</v>
      </c>
      <c r="AK140">
        <v>0</v>
      </c>
      <c r="AL140" t="s">
        <v>53</v>
      </c>
      <c r="AM140" t="s">
        <v>53</v>
      </c>
      <c r="AN140" t="s">
        <v>480</v>
      </c>
      <c r="AO140" t="s">
        <v>53</v>
      </c>
      <c r="AP140" t="s">
        <v>53</v>
      </c>
    </row>
    <row r="141" spans="2:42" x14ac:dyDescent="0.2">
      <c r="B141" t="s">
        <v>44</v>
      </c>
      <c r="C141" t="str">
        <f>HYPERLINK("https://us2.cloudbeds.com/connect/8493803454333002#/reservations/598461653238?display=E1D2NN18&amp;reservation_id=598461653238", "E1D2NN18")</f>
        <v>E1D2NN18</v>
      </c>
      <c r="D141" t="s">
        <v>45</v>
      </c>
      <c r="E141" t="s">
        <v>165</v>
      </c>
      <c r="F141" t="s">
        <v>61</v>
      </c>
      <c r="G141" t="s">
        <v>48</v>
      </c>
      <c r="H141" t="s">
        <v>71</v>
      </c>
      <c r="I141" t="s">
        <v>72</v>
      </c>
      <c r="J141" t="s">
        <v>409</v>
      </c>
      <c r="K141" t="s">
        <v>239</v>
      </c>
      <c r="L141" t="s">
        <v>53</v>
      </c>
      <c r="N141" t="s">
        <v>481</v>
      </c>
      <c r="P141" t="s">
        <v>58</v>
      </c>
      <c r="R141" t="s">
        <v>56</v>
      </c>
      <c r="T141" t="s">
        <v>482</v>
      </c>
      <c r="U141" t="s">
        <v>58</v>
      </c>
      <c r="V141">
        <v>1</v>
      </c>
      <c r="W141">
        <v>1</v>
      </c>
      <c r="X141">
        <v>1</v>
      </c>
      <c r="Y141">
        <v>0</v>
      </c>
      <c r="Z141">
        <v>1</v>
      </c>
      <c r="AA141">
        <v>0</v>
      </c>
      <c r="AB141">
        <v>89.78</v>
      </c>
      <c r="AC141">
        <v>79</v>
      </c>
      <c r="AD141">
        <v>0</v>
      </c>
      <c r="AE141">
        <v>10.79</v>
      </c>
      <c r="AF141">
        <v>0</v>
      </c>
      <c r="AG141">
        <v>0</v>
      </c>
      <c r="AH141">
        <v>0</v>
      </c>
      <c r="AI141">
        <v>0</v>
      </c>
      <c r="AJ141">
        <v>89.79</v>
      </c>
      <c r="AK141">
        <v>0.01</v>
      </c>
      <c r="AL141" t="s">
        <v>53</v>
      </c>
      <c r="AM141" t="s">
        <v>53</v>
      </c>
      <c r="AN141" t="s">
        <v>483</v>
      </c>
      <c r="AO141" t="s">
        <v>53</v>
      </c>
      <c r="AP141" t="s">
        <v>53</v>
      </c>
    </row>
    <row r="142" spans="2:42" x14ac:dyDescent="0.2">
      <c r="B142" t="s">
        <v>44</v>
      </c>
      <c r="C142" t="str">
        <f>HYPERLINK("https://us2.cloudbeds.com/connect/8493803454333002#/reservations/597938335879?display=E0WNEKGF&amp;reservation_id=597938335879", "E0WNEKGF")</f>
        <v>E0WNEKGF</v>
      </c>
      <c r="D142" t="s">
        <v>45</v>
      </c>
      <c r="E142" t="s">
        <v>138</v>
      </c>
      <c r="F142" t="s">
        <v>70</v>
      </c>
      <c r="G142" t="s">
        <v>48</v>
      </c>
      <c r="H142" t="s">
        <v>49</v>
      </c>
      <c r="I142" t="s">
        <v>50</v>
      </c>
      <c r="J142" t="s">
        <v>409</v>
      </c>
      <c r="K142" t="s">
        <v>239</v>
      </c>
      <c r="L142" t="s">
        <v>53</v>
      </c>
      <c r="N142" t="s">
        <v>484</v>
      </c>
      <c r="P142" t="s">
        <v>55</v>
      </c>
      <c r="R142" t="s">
        <v>56</v>
      </c>
      <c r="T142" t="s">
        <v>482</v>
      </c>
      <c r="U142" t="s">
        <v>58</v>
      </c>
      <c r="V142">
        <v>1</v>
      </c>
      <c r="W142">
        <v>1</v>
      </c>
      <c r="X142">
        <v>1</v>
      </c>
      <c r="Y142">
        <v>0</v>
      </c>
      <c r="Z142">
        <v>1</v>
      </c>
      <c r="AA142">
        <v>0</v>
      </c>
      <c r="AB142">
        <v>70.58</v>
      </c>
      <c r="AC142">
        <v>62.1</v>
      </c>
      <c r="AD142">
        <v>0</v>
      </c>
      <c r="AE142">
        <v>8.4700000000000006</v>
      </c>
      <c r="AF142">
        <v>0</v>
      </c>
      <c r="AG142">
        <v>0</v>
      </c>
      <c r="AH142">
        <v>0</v>
      </c>
      <c r="AI142">
        <v>12.7</v>
      </c>
      <c r="AJ142">
        <v>70.569999999999993</v>
      </c>
      <c r="AK142">
        <v>-0.01</v>
      </c>
      <c r="AL142" t="s">
        <v>53</v>
      </c>
      <c r="AM142" t="s">
        <v>53</v>
      </c>
      <c r="AN142" t="s">
        <v>112</v>
      </c>
      <c r="AO142" t="s">
        <v>53</v>
      </c>
      <c r="AP142" t="s">
        <v>53</v>
      </c>
    </row>
    <row r="143" spans="2:42" x14ac:dyDescent="0.2">
      <c r="B143" t="s">
        <v>44</v>
      </c>
      <c r="C143" t="str">
        <f>HYPERLINK("https://us2.cloudbeds.com/connect/8493803454333002#/reservations/598468485323?display=E1D8FQP4&amp;reservation_id=598468485323", "E1D8FQP4")</f>
        <v>E1D8FQP4</v>
      </c>
      <c r="D143" t="s">
        <v>45</v>
      </c>
      <c r="E143" t="s">
        <v>85</v>
      </c>
      <c r="F143" t="s">
        <v>86</v>
      </c>
      <c r="G143" t="s">
        <v>48</v>
      </c>
      <c r="H143" t="s">
        <v>71</v>
      </c>
      <c r="I143" t="s">
        <v>72</v>
      </c>
      <c r="J143" t="s">
        <v>409</v>
      </c>
      <c r="K143" t="s">
        <v>239</v>
      </c>
      <c r="L143" t="s">
        <v>53</v>
      </c>
      <c r="N143" t="s">
        <v>485</v>
      </c>
      <c r="P143" t="s">
        <v>58</v>
      </c>
      <c r="R143" t="s">
        <v>56</v>
      </c>
      <c r="T143" t="s">
        <v>482</v>
      </c>
      <c r="U143" t="s">
        <v>58</v>
      </c>
      <c r="V143">
        <v>1</v>
      </c>
      <c r="W143">
        <v>1</v>
      </c>
      <c r="X143">
        <v>1</v>
      </c>
      <c r="Y143">
        <v>0</v>
      </c>
      <c r="Z143">
        <v>1</v>
      </c>
      <c r="AA143">
        <v>0</v>
      </c>
      <c r="AB143">
        <v>95.47</v>
      </c>
      <c r="AC143">
        <v>84</v>
      </c>
      <c r="AD143">
        <v>0</v>
      </c>
      <c r="AE143">
        <v>11.47</v>
      </c>
      <c r="AF143">
        <v>0</v>
      </c>
      <c r="AG143">
        <v>0</v>
      </c>
      <c r="AH143">
        <v>0</v>
      </c>
      <c r="AI143">
        <v>0</v>
      </c>
      <c r="AJ143">
        <v>95.47</v>
      </c>
      <c r="AK143">
        <v>0</v>
      </c>
      <c r="AL143" t="s">
        <v>53</v>
      </c>
      <c r="AM143" t="s">
        <v>53</v>
      </c>
      <c r="AN143" t="s">
        <v>486</v>
      </c>
      <c r="AO143" t="s">
        <v>53</v>
      </c>
      <c r="AP143" t="s">
        <v>53</v>
      </c>
    </row>
    <row r="144" spans="2:42" x14ac:dyDescent="0.2">
      <c r="B144" t="s">
        <v>44</v>
      </c>
      <c r="C144" t="str">
        <f>HYPERLINK("https://us2.cloudbeds.com/connect/8493803454333002#/reservations/598570659969?display=E1FSKW1H&amp;reservation_id=598570659969", "E1FSKW1H")</f>
        <v>E1FSKW1H</v>
      </c>
      <c r="D144" t="s">
        <v>45</v>
      </c>
      <c r="E144" t="s">
        <v>487</v>
      </c>
      <c r="F144" t="s">
        <v>61</v>
      </c>
      <c r="G144" t="s">
        <v>48</v>
      </c>
      <c r="H144" t="s">
        <v>49</v>
      </c>
      <c r="I144" t="s">
        <v>50</v>
      </c>
      <c r="J144" t="s">
        <v>488</v>
      </c>
      <c r="K144" t="s">
        <v>489</v>
      </c>
      <c r="L144" t="s">
        <v>53</v>
      </c>
      <c r="N144" t="s">
        <v>490</v>
      </c>
      <c r="P144" t="s">
        <v>55</v>
      </c>
      <c r="R144" t="s">
        <v>56</v>
      </c>
      <c r="T144" t="s">
        <v>491</v>
      </c>
      <c r="U144" t="s">
        <v>58</v>
      </c>
      <c r="V144">
        <v>1</v>
      </c>
      <c r="W144">
        <v>1</v>
      </c>
      <c r="X144">
        <v>1</v>
      </c>
      <c r="Y144">
        <v>0</v>
      </c>
      <c r="Z144">
        <v>1</v>
      </c>
      <c r="AA144">
        <v>0</v>
      </c>
      <c r="AB144">
        <v>157.52000000000001</v>
      </c>
      <c r="AC144">
        <v>138.6</v>
      </c>
      <c r="AD144">
        <v>0</v>
      </c>
      <c r="AE144">
        <v>18.920000000000002</v>
      </c>
      <c r="AF144">
        <v>0</v>
      </c>
      <c r="AG144">
        <v>0</v>
      </c>
      <c r="AH144">
        <v>0</v>
      </c>
      <c r="AI144">
        <v>28.35</v>
      </c>
      <c r="AJ144">
        <v>157.52000000000001</v>
      </c>
      <c r="AK144">
        <v>0</v>
      </c>
      <c r="AL144" t="s">
        <v>53</v>
      </c>
      <c r="AM144" t="s">
        <v>53</v>
      </c>
      <c r="AN144" t="s">
        <v>84</v>
      </c>
      <c r="AO144" t="s">
        <v>53</v>
      </c>
      <c r="AP144" t="s">
        <v>53</v>
      </c>
    </row>
    <row r="145" spans="2:42" x14ac:dyDescent="0.2">
      <c r="B145" t="s">
        <v>44</v>
      </c>
      <c r="C145" t="str">
        <f>HYPERLINK("https://us2.cloudbeds.com/connect/8493803454333002#/reservations/598245728462?display=E17XY906&amp;reservation_id=598245728462", "E17XY906")</f>
        <v>E17XY906</v>
      </c>
      <c r="D145" t="s">
        <v>45</v>
      </c>
      <c r="E145" t="s">
        <v>213</v>
      </c>
      <c r="F145" t="s">
        <v>86</v>
      </c>
      <c r="G145" t="s">
        <v>48</v>
      </c>
      <c r="H145" t="s">
        <v>49</v>
      </c>
      <c r="I145" t="s">
        <v>79</v>
      </c>
      <c r="J145" t="s">
        <v>312</v>
      </c>
      <c r="K145" t="s">
        <v>262</v>
      </c>
      <c r="L145" t="s">
        <v>53</v>
      </c>
      <c r="N145" t="s">
        <v>492</v>
      </c>
      <c r="P145" t="s">
        <v>55</v>
      </c>
      <c r="R145" t="s">
        <v>56</v>
      </c>
      <c r="T145" t="s">
        <v>491</v>
      </c>
      <c r="U145" t="s">
        <v>58</v>
      </c>
      <c r="V145">
        <v>1</v>
      </c>
      <c r="W145">
        <v>1</v>
      </c>
      <c r="X145">
        <v>1</v>
      </c>
      <c r="Y145">
        <v>0</v>
      </c>
      <c r="Z145">
        <v>1</v>
      </c>
      <c r="AA145">
        <v>0</v>
      </c>
      <c r="AB145">
        <v>85.92</v>
      </c>
      <c r="AC145">
        <v>75.599999999999994</v>
      </c>
      <c r="AD145">
        <v>0</v>
      </c>
      <c r="AE145">
        <v>10.32</v>
      </c>
      <c r="AF145">
        <v>0</v>
      </c>
      <c r="AG145">
        <v>0</v>
      </c>
      <c r="AH145">
        <v>0</v>
      </c>
      <c r="AI145">
        <v>0</v>
      </c>
      <c r="AJ145">
        <v>85.92</v>
      </c>
      <c r="AK145">
        <v>0</v>
      </c>
      <c r="AL145" t="s">
        <v>53</v>
      </c>
      <c r="AM145" t="s">
        <v>53</v>
      </c>
      <c r="AN145" t="s">
        <v>104</v>
      </c>
      <c r="AO145" t="s">
        <v>53</v>
      </c>
      <c r="AP145" t="s">
        <v>53</v>
      </c>
    </row>
    <row r="146" spans="2:42" x14ac:dyDescent="0.2">
      <c r="B146" t="s">
        <v>44</v>
      </c>
      <c r="C146" t="str">
        <f>HYPERLINK("https://us2.cloudbeds.com/connect/8493803454333002#/reservations/597923999902?display=E0WBBN4U&amp;reservation_id=597923999902", "E0WBBN4U")</f>
        <v>E0WBBN4U</v>
      </c>
      <c r="D146" t="s">
        <v>45</v>
      </c>
      <c r="E146" t="s">
        <v>121</v>
      </c>
      <c r="F146" t="s">
        <v>86</v>
      </c>
      <c r="G146" t="s">
        <v>48</v>
      </c>
      <c r="H146" t="s">
        <v>49</v>
      </c>
      <c r="I146" t="s">
        <v>79</v>
      </c>
      <c r="J146" t="s">
        <v>341</v>
      </c>
      <c r="K146" t="s">
        <v>129</v>
      </c>
      <c r="L146" t="s">
        <v>53</v>
      </c>
      <c r="N146" t="s">
        <v>493</v>
      </c>
      <c r="P146" t="s">
        <v>55</v>
      </c>
      <c r="R146" t="s">
        <v>56</v>
      </c>
      <c r="T146" t="s">
        <v>494</v>
      </c>
      <c r="U146" t="s">
        <v>58</v>
      </c>
      <c r="V146">
        <v>1</v>
      </c>
      <c r="W146">
        <v>1</v>
      </c>
      <c r="X146">
        <v>1</v>
      </c>
      <c r="Y146">
        <v>0</v>
      </c>
      <c r="Z146">
        <v>1</v>
      </c>
      <c r="AA146">
        <v>0</v>
      </c>
      <c r="AB146">
        <v>153.43</v>
      </c>
      <c r="AC146">
        <v>135</v>
      </c>
      <c r="AD146">
        <v>0</v>
      </c>
      <c r="AE146">
        <v>18.440000000000001</v>
      </c>
      <c r="AF146">
        <v>0</v>
      </c>
      <c r="AG146">
        <v>0</v>
      </c>
      <c r="AH146">
        <v>0</v>
      </c>
      <c r="AI146">
        <v>0</v>
      </c>
      <c r="AJ146">
        <v>153.44</v>
      </c>
      <c r="AK146">
        <v>0.01</v>
      </c>
      <c r="AL146" t="s">
        <v>53</v>
      </c>
      <c r="AM146" t="s">
        <v>53</v>
      </c>
      <c r="AN146" t="s">
        <v>178</v>
      </c>
      <c r="AO146" t="s">
        <v>53</v>
      </c>
      <c r="AP146" t="s">
        <v>53</v>
      </c>
    </row>
    <row r="147" spans="2:42" x14ac:dyDescent="0.2">
      <c r="B147" t="s">
        <v>44</v>
      </c>
      <c r="C147" t="str">
        <f>HYPERLINK("https://us2.cloudbeds.com/connect/8493803454333002#/reservations/598240735475?display=E17EEB2J&amp;reservation_id=598240735475", "E17EEB2J")</f>
        <v>E17EEB2J</v>
      </c>
      <c r="D147" t="s">
        <v>45</v>
      </c>
      <c r="E147" t="s">
        <v>113</v>
      </c>
      <c r="F147" t="s">
        <v>61</v>
      </c>
      <c r="G147" t="s">
        <v>48</v>
      </c>
      <c r="H147" t="s">
        <v>71</v>
      </c>
      <c r="I147" t="s">
        <v>72</v>
      </c>
      <c r="J147" t="s">
        <v>443</v>
      </c>
      <c r="K147" t="s">
        <v>495</v>
      </c>
      <c r="L147" t="s">
        <v>53</v>
      </c>
      <c r="N147" t="s">
        <v>496</v>
      </c>
      <c r="P147" t="s">
        <v>55</v>
      </c>
      <c r="R147" t="s">
        <v>56</v>
      </c>
      <c r="T147" t="s">
        <v>494</v>
      </c>
      <c r="U147" t="s">
        <v>58</v>
      </c>
      <c r="V147">
        <v>2</v>
      </c>
      <c r="W147">
        <v>1</v>
      </c>
      <c r="X147">
        <v>1</v>
      </c>
      <c r="Y147">
        <v>0</v>
      </c>
      <c r="Z147">
        <v>1</v>
      </c>
      <c r="AA147">
        <v>0</v>
      </c>
      <c r="AB147">
        <v>181.84</v>
      </c>
      <c r="AC147">
        <v>160</v>
      </c>
      <c r="AD147">
        <v>0</v>
      </c>
      <c r="AE147">
        <v>21.84</v>
      </c>
      <c r="AF147">
        <v>0</v>
      </c>
      <c r="AG147">
        <v>0</v>
      </c>
      <c r="AH147">
        <v>0</v>
      </c>
      <c r="AI147">
        <v>0</v>
      </c>
      <c r="AJ147">
        <v>181.84</v>
      </c>
      <c r="AK147">
        <v>0</v>
      </c>
      <c r="AL147" t="s">
        <v>53</v>
      </c>
      <c r="AM147" t="s">
        <v>53</v>
      </c>
      <c r="AN147" t="s">
        <v>497</v>
      </c>
      <c r="AO147" t="s">
        <v>53</v>
      </c>
      <c r="AP147" t="s">
        <v>53</v>
      </c>
    </row>
    <row r="148" spans="2:42" x14ac:dyDescent="0.2">
      <c r="B148" t="s">
        <v>44</v>
      </c>
      <c r="C148" t="str">
        <f>HYPERLINK("https://us2.cloudbeds.com/connect/8493803454333002#/reservations/598221512906?display=E16V7EGG&amp;reservation_id=598221512906", "E16V7EGG")</f>
        <v>E16V7EGG</v>
      </c>
      <c r="D148" t="s">
        <v>45</v>
      </c>
      <c r="E148" t="s">
        <v>78</v>
      </c>
      <c r="F148" t="s">
        <v>61</v>
      </c>
      <c r="G148" t="s">
        <v>48</v>
      </c>
      <c r="H148" t="s">
        <v>49</v>
      </c>
      <c r="I148" t="s">
        <v>62</v>
      </c>
      <c r="J148" t="s">
        <v>174</v>
      </c>
      <c r="K148" t="s">
        <v>228</v>
      </c>
      <c r="L148" t="s">
        <v>53</v>
      </c>
      <c r="N148" t="s">
        <v>498</v>
      </c>
      <c r="P148" t="s">
        <v>55</v>
      </c>
      <c r="R148" t="s">
        <v>56</v>
      </c>
      <c r="T148" t="s">
        <v>494</v>
      </c>
      <c r="U148" t="s">
        <v>58</v>
      </c>
      <c r="V148">
        <v>3</v>
      </c>
      <c r="W148">
        <v>1</v>
      </c>
      <c r="X148">
        <v>1</v>
      </c>
      <c r="Y148">
        <v>0</v>
      </c>
      <c r="Z148">
        <v>1</v>
      </c>
      <c r="AA148">
        <v>0</v>
      </c>
      <c r="AB148">
        <v>280.72000000000003</v>
      </c>
      <c r="AC148">
        <v>247</v>
      </c>
      <c r="AD148">
        <v>0</v>
      </c>
      <c r="AE148">
        <v>33.72</v>
      </c>
      <c r="AF148">
        <v>0</v>
      </c>
      <c r="AG148">
        <v>0</v>
      </c>
      <c r="AH148">
        <v>0</v>
      </c>
      <c r="AI148">
        <v>42.11</v>
      </c>
      <c r="AJ148">
        <v>280.72000000000003</v>
      </c>
      <c r="AK148">
        <v>0</v>
      </c>
      <c r="AL148" t="s">
        <v>53</v>
      </c>
      <c r="AM148" t="s">
        <v>53</v>
      </c>
      <c r="AN148" t="s">
        <v>68</v>
      </c>
      <c r="AO148" t="s">
        <v>53</v>
      </c>
      <c r="AP148" t="s">
        <v>53</v>
      </c>
    </row>
    <row r="149" spans="2:42" x14ac:dyDescent="0.2">
      <c r="B149" t="s">
        <v>44</v>
      </c>
      <c r="C149" t="str">
        <f>HYPERLINK("https://us2.cloudbeds.com/connect/8493803454333002#/reservations/598487134349?display=E1DZ6ZM4&amp;reservation_id=598487134349", "E1DZ6ZM4")</f>
        <v>E1DZ6ZM4</v>
      </c>
      <c r="D149" t="s">
        <v>45</v>
      </c>
      <c r="E149" t="s">
        <v>85</v>
      </c>
      <c r="F149" t="s">
        <v>86</v>
      </c>
      <c r="G149" t="s">
        <v>48</v>
      </c>
      <c r="H149" t="s">
        <v>71</v>
      </c>
      <c r="I149" t="s">
        <v>72</v>
      </c>
      <c r="J149" t="s">
        <v>499</v>
      </c>
      <c r="K149" t="s">
        <v>464</v>
      </c>
      <c r="L149" t="s">
        <v>53</v>
      </c>
      <c r="N149" t="s">
        <v>500</v>
      </c>
      <c r="P149" t="s">
        <v>55</v>
      </c>
      <c r="R149" t="s">
        <v>56</v>
      </c>
      <c r="T149" t="s">
        <v>494</v>
      </c>
      <c r="U149" t="s">
        <v>58</v>
      </c>
      <c r="V149">
        <v>1</v>
      </c>
      <c r="W149">
        <v>1</v>
      </c>
      <c r="X149">
        <v>1</v>
      </c>
      <c r="Y149">
        <v>0</v>
      </c>
      <c r="Z149">
        <v>1</v>
      </c>
      <c r="AA149">
        <v>0</v>
      </c>
      <c r="AB149">
        <v>90.92</v>
      </c>
      <c r="AC149">
        <v>80</v>
      </c>
      <c r="AD149">
        <v>0</v>
      </c>
      <c r="AE149">
        <v>10.92</v>
      </c>
      <c r="AF149">
        <v>0</v>
      </c>
      <c r="AG149">
        <v>0</v>
      </c>
      <c r="AH149">
        <v>0</v>
      </c>
      <c r="AI149">
        <v>0</v>
      </c>
      <c r="AJ149">
        <v>90.92</v>
      </c>
      <c r="AK149">
        <v>0</v>
      </c>
      <c r="AL149" t="s">
        <v>53</v>
      </c>
      <c r="AM149" t="s">
        <v>53</v>
      </c>
      <c r="AN149" t="s">
        <v>501</v>
      </c>
      <c r="AO149" t="s">
        <v>53</v>
      </c>
      <c r="AP149" t="s">
        <v>53</v>
      </c>
    </row>
    <row r="150" spans="2:42" x14ac:dyDescent="0.2">
      <c r="B150" t="s">
        <v>44</v>
      </c>
      <c r="C150" t="str">
        <f>HYPERLINK("https://us2.cloudbeds.com/connect/8493803454333002#/reservations/598225567883?display=E171Y92J&amp;reservation_id=598225567883", "E171Y92J")</f>
        <v>E171Y92J</v>
      </c>
      <c r="D150" t="s">
        <v>45</v>
      </c>
      <c r="E150" t="s">
        <v>113</v>
      </c>
      <c r="F150" t="s">
        <v>61</v>
      </c>
      <c r="G150" t="s">
        <v>48</v>
      </c>
      <c r="H150" t="s">
        <v>49</v>
      </c>
      <c r="I150" t="s">
        <v>62</v>
      </c>
      <c r="J150" t="s">
        <v>239</v>
      </c>
      <c r="K150" t="s">
        <v>312</v>
      </c>
      <c r="L150" t="s">
        <v>53</v>
      </c>
      <c r="N150" t="s">
        <v>502</v>
      </c>
      <c r="P150" t="s">
        <v>55</v>
      </c>
      <c r="R150" t="s">
        <v>56</v>
      </c>
      <c r="T150" t="s">
        <v>503</v>
      </c>
      <c r="U150" t="s">
        <v>58</v>
      </c>
      <c r="V150">
        <v>1</v>
      </c>
      <c r="W150">
        <v>1</v>
      </c>
      <c r="X150">
        <v>1</v>
      </c>
      <c r="Y150">
        <v>0</v>
      </c>
      <c r="Z150">
        <v>1</v>
      </c>
      <c r="AA150">
        <v>0</v>
      </c>
      <c r="AB150">
        <v>94.27</v>
      </c>
      <c r="AC150">
        <v>82.95</v>
      </c>
      <c r="AD150">
        <v>0</v>
      </c>
      <c r="AE150">
        <v>11.32</v>
      </c>
      <c r="AF150">
        <v>0</v>
      </c>
      <c r="AG150">
        <v>0</v>
      </c>
      <c r="AH150">
        <v>0</v>
      </c>
      <c r="AI150">
        <v>14.14</v>
      </c>
      <c r="AJ150">
        <v>94.27</v>
      </c>
      <c r="AK150">
        <v>0</v>
      </c>
      <c r="AL150" t="s">
        <v>53</v>
      </c>
      <c r="AM150" t="s">
        <v>53</v>
      </c>
      <c r="AN150" t="s">
        <v>321</v>
      </c>
      <c r="AO150" t="s">
        <v>53</v>
      </c>
      <c r="AP150" t="s">
        <v>53</v>
      </c>
    </row>
    <row r="151" spans="2:42" x14ac:dyDescent="0.2">
      <c r="B151" t="s">
        <v>44</v>
      </c>
      <c r="C151" t="str">
        <f>HYPERLINK("https://us2.cloudbeds.com/connect/8493803454333002#/reservations/598509375620?display=E1E9VY81&amp;reservation_id=598509375620", "E1E9VY81")</f>
        <v>E1E9VY81</v>
      </c>
      <c r="D151" t="s">
        <v>45</v>
      </c>
      <c r="E151" t="s">
        <v>165</v>
      </c>
      <c r="F151" t="s">
        <v>61</v>
      </c>
      <c r="G151" t="s">
        <v>48</v>
      </c>
      <c r="H151" t="s">
        <v>49</v>
      </c>
      <c r="I151" t="s">
        <v>62</v>
      </c>
      <c r="J151" t="s">
        <v>504</v>
      </c>
      <c r="K151" t="s">
        <v>505</v>
      </c>
      <c r="L151" t="s">
        <v>53</v>
      </c>
      <c r="N151" t="s">
        <v>506</v>
      </c>
      <c r="P151" t="s">
        <v>55</v>
      </c>
      <c r="R151" t="s">
        <v>329</v>
      </c>
      <c r="T151" t="s">
        <v>503</v>
      </c>
      <c r="U151" t="s">
        <v>58</v>
      </c>
      <c r="V151">
        <v>1</v>
      </c>
      <c r="W151">
        <v>1</v>
      </c>
      <c r="X151">
        <v>1</v>
      </c>
      <c r="Y151">
        <v>0</v>
      </c>
      <c r="Z151">
        <v>1</v>
      </c>
      <c r="AA151">
        <v>0</v>
      </c>
      <c r="AB151">
        <v>175.02</v>
      </c>
      <c r="AC151">
        <v>154</v>
      </c>
      <c r="AD151">
        <v>0</v>
      </c>
      <c r="AE151">
        <v>21.03</v>
      </c>
      <c r="AF151">
        <v>0</v>
      </c>
      <c r="AG151">
        <v>0</v>
      </c>
      <c r="AH151">
        <v>0</v>
      </c>
      <c r="AI151">
        <v>26.25</v>
      </c>
      <c r="AJ151">
        <v>175.03</v>
      </c>
      <c r="AK151">
        <v>0.01</v>
      </c>
      <c r="AL151" t="s">
        <v>53</v>
      </c>
      <c r="AM151" t="s">
        <v>53</v>
      </c>
      <c r="AN151" t="s">
        <v>84</v>
      </c>
      <c r="AO151" t="s">
        <v>53</v>
      </c>
      <c r="AP151" t="s">
        <v>53</v>
      </c>
    </row>
    <row r="152" spans="2:42" x14ac:dyDescent="0.2">
      <c r="B152" t="s">
        <v>44</v>
      </c>
      <c r="C152" t="str">
        <f>HYPERLINK("https://us2.cloudbeds.com/connect/8493803454333002#/reservations/598555500748?display=E1FFS4Z5&amp;reservation_id=598555500748", "E1FFS4Z5")</f>
        <v>E1FFS4Z5</v>
      </c>
      <c r="D152" t="s">
        <v>45</v>
      </c>
      <c r="E152" t="s">
        <v>223</v>
      </c>
      <c r="F152" t="s">
        <v>47</v>
      </c>
      <c r="G152" t="s">
        <v>48</v>
      </c>
      <c r="H152" t="s">
        <v>49</v>
      </c>
      <c r="I152" t="s">
        <v>50</v>
      </c>
      <c r="J152" t="s">
        <v>306</v>
      </c>
      <c r="K152" t="s">
        <v>302</v>
      </c>
      <c r="L152" t="s">
        <v>53</v>
      </c>
      <c r="N152" t="s">
        <v>507</v>
      </c>
      <c r="P152" t="s">
        <v>55</v>
      </c>
      <c r="R152" t="s">
        <v>56</v>
      </c>
      <c r="T152" t="s">
        <v>503</v>
      </c>
      <c r="U152" t="s">
        <v>58</v>
      </c>
      <c r="V152">
        <v>8</v>
      </c>
      <c r="W152">
        <v>1</v>
      </c>
      <c r="X152">
        <v>1</v>
      </c>
      <c r="Y152">
        <v>0</v>
      </c>
      <c r="Z152">
        <v>1</v>
      </c>
      <c r="AA152">
        <v>0</v>
      </c>
      <c r="AB152">
        <v>623.6</v>
      </c>
      <c r="AC152">
        <v>548.70000000000005</v>
      </c>
      <c r="AD152">
        <v>0</v>
      </c>
      <c r="AE152">
        <v>74.88</v>
      </c>
      <c r="AF152">
        <v>0</v>
      </c>
      <c r="AG152">
        <v>0</v>
      </c>
      <c r="AH152">
        <v>0</v>
      </c>
      <c r="AI152">
        <v>112.24</v>
      </c>
      <c r="AJ152">
        <v>623.58000000000004</v>
      </c>
      <c r="AK152">
        <v>-0.02</v>
      </c>
      <c r="AL152" t="s">
        <v>53</v>
      </c>
      <c r="AM152" t="s">
        <v>53</v>
      </c>
      <c r="AN152" t="s">
        <v>84</v>
      </c>
      <c r="AO152" t="s">
        <v>53</v>
      </c>
      <c r="AP152" t="s">
        <v>53</v>
      </c>
    </row>
    <row r="153" spans="2:42" x14ac:dyDescent="0.2">
      <c r="B153" t="s">
        <v>44</v>
      </c>
      <c r="C153" t="str">
        <f>HYPERLINK("https://us2.cloudbeds.com/connect/8493803454333002#/reservations/598469628104?display=E1D9EK4S&amp;reservation_id=598469628104", "E1D9EK4S")</f>
        <v>E1D9EK4S</v>
      </c>
      <c r="D153" t="s">
        <v>45</v>
      </c>
      <c r="E153" t="s">
        <v>487</v>
      </c>
      <c r="F153" t="s">
        <v>61</v>
      </c>
      <c r="G153" t="s">
        <v>48</v>
      </c>
      <c r="H153" t="s">
        <v>49</v>
      </c>
      <c r="I153" t="s">
        <v>50</v>
      </c>
      <c r="J153" t="s">
        <v>94</v>
      </c>
      <c r="K153" t="s">
        <v>152</v>
      </c>
      <c r="L153" t="s">
        <v>53</v>
      </c>
      <c r="N153" t="s">
        <v>508</v>
      </c>
      <c r="P153" t="s">
        <v>55</v>
      </c>
      <c r="R153" t="s">
        <v>56</v>
      </c>
      <c r="T153" t="s">
        <v>509</v>
      </c>
      <c r="U153" t="s">
        <v>58</v>
      </c>
      <c r="V153">
        <v>1</v>
      </c>
      <c r="W153">
        <v>1</v>
      </c>
      <c r="X153">
        <v>1</v>
      </c>
      <c r="Y153">
        <v>0</v>
      </c>
      <c r="Z153">
        <v>1</v>
      </c>
      <c r="AA153">
        <v>0</v>
      </c>
      <c r="AB153">
        <v>157.52000000000001</v>
      </c>
      <c r="AC153">
        <v>138.6</v>
      </c>
      <c r="AD153">
        <v>0</v>
      </c>
      <c r="AE153">
        <v>18.920000000000002</v>
      </c>
      <c r="AF153">
        <v>0</v>
      </c>
      <c r="AG153">
        <v>0</v>
      </c>
      <c r="AH153">
        <v>0</v>
      </c>
      <c r="AI153">
        <v>28.35</v>
      </c>
      <c r="AJ153">
        <v>157.52000000000001</v>
      </c>
      <c r="AK153">
        <v>0</v>
      </c>
      <c r="AL153" t="s">
        <v>53</v>
      </c>
      <c r="AM153" t="s">
        <v>53</v>
      </c>
      <c r="AN153" t="s">
        <v>332</v>
      </c>
      <c r="AO153" t="s">
        <v>53</v>
      </c>
      <c r="AP153" t="s">
        <v>53</v>
      </c>
    </row>
    <row r="154" spans="2:42" x14ac:dyDescent="0.2">
      <c r="B154" t="s">
        <v>44</v>
      </c>
      <c r="C154" t="str">
        <f>HYPERLINK("https://us2.cloudbeds.com/connect/8493803454333002#/reservations/598414442627?display=E1BSTWPM&amp;reservation_id=598414442627", "E1BSTWPM")</f>
        <v>E1BSTWPM</v>
      </c>
      <c r="D154" t="s">
        <v>45</v>
      </c>
      <c r="E154" t="s">
        <v>510</v>
      </c>
      <c r="F154" t="s">
        <v>511</v>
      </c>
      <c r="G154" t="s">
        <v>48</v>
      </c>
      <c r="H154" t="s">
        <v>49</v>
      </c>
      <c r="I154" t="s">
        <v>62</v>
      </c>
      <c r="J154" t="s">
        <v>346</v>
      </c>
      <c r="K154" t="s">
        <v>267</v>
      </c>
      <c r="L154" t="s">
        <v>53</v>
      </c>
      <c r="N154" t="s">
        <v>512</v>
      </c>
      <c r="P154" t="s">
        <v>55</v>
      </c>
      <c r="R154" t="s">
        <v>513</v>
      </c>
      <c r="T154" t="s">
        <v>509</v>
      </c>
      <c r="U154" t="s">
        <v>58</v>
      </c>
      <c r="V154">
        <v>3</v>
      </c>
      <c r="W154">
        <v>3</v>
      </c>
      <c r="X154">
        <v>3</v>
      </c>
      <c r="Y154">
        <v>0</v>
      </c>
      <c r="Z154">
        <v>3</v>
      </c>
      <c r="AA154">
        <v>0</v>
      </c>
      <c r="AB154">
        <v>232.98</v>
      </c>
      <c r="AC154">
        <v>205</v>
      </c>
      <c r="AD154">
        <v>0</v>
      </c>
      <c r="AE154">
        <v>28.01</v>
      </c>
      <c r="AF154">
        <v>0</v>
      </c>
      <c r="AG154">
        <v>0</v>
      </c>
      <c r="AH154">
        <v>0</v>
      </c>
      <c r="AI154">
        <v>34.950000000000003</v>
      </c>
      <c r="AJ154">
        <v>233.01</v>
      </c>
      <c r="AK154">
        <v>0.03</v>
      </c>
      <c r="AL154" t="s">
        <v>53</v>
      </c>
      <c r="AM154" t="s">
        <v>53</v>
      </c>
      <c r="AN154" t="s">
        <v>514</v>
      </c>
      <c r="AO154" t="s">
        <v>53</v>
      </c>
      <c r="AP154" t="s">
        <v>53</v>
      </c>
    </row>
    <row r="155" spans="2:42" x14ac:dyDescent="0.2">
      <c r="B155" t="s">
        <v>44</v>
      </c>
      <c r="C155" t="str">
        <f>HYPERLINK("https://us2.cloudbeds.com/connect/8493803454333002#/reservations/598479442119?display=E1DHNN38&amp;reservation_id=598479442119", "E1DHNN38")</f>
        <v>E1DHNN38</v>
      </c>
      <c r="D155" t="s">
        <v>45</v>
      </c>
      <c r="E155" t="s">
        <v>406</v>
      </c>
      <c r="F155" t="s">
        <v>61</v>
      </c>
      <c r="G155" t="s">
        <v>48</v>
      </c>
      <c r="H155" t="s">
        <v>49</v>
      </c>
      <c r="I155" t="s">
        <v>50</v>
      </c>
      <c r="J155" t="s">
        <v>94</v>
      </c>
      <c r="K155" t="s">
        <v>152</v>
      </c>
      <c r="L155" t="s">
        <v>53</v>
      </c>
      <c r="N155" t="s">
        <v>515</v>
      </c>
      <c r="P155" t="s">
        <v>55</v>
      </c>
      <c r="R155" t="s">
        <v>56</v>
      </c>
      <c r="T155" t="s">
        <v>509</v>
      </c>
      <c r="U155" t="s">
        <v>58</v>
      </c>
      <c r="V155">
        <v>1</v>
      </c>
      <c r="W155">
        <v>1</v>
      </c>
      <c r="X155">
        <v>1</v>
      </c>
      <c r="Y155">
        <v>0</v>
      </c>
      <c r="Z155">
        <v>1</v>
      </c>
      <c r="AA155">
        <v>0</v>
      </c>
      <c r="AB155">
        <v>157.52000000000001</v>
      </c>
      <c r="AC155">
        <v>138.6</v>
      </c>
      <c r="AD155">
        <v>0</v>
      </c>
      <c r="AE155">
        <v>18.920000000000002</v>
      </c>
      <c r="AF155">
        <v>0</v>
      </c>
      <c r="AG155">
        <v>0</v>
      </c>
      <c r="AH155">
        <v>0</v>
      </c>
      <c r="AI155">
        <v>28.35</v>
      </c>
      <c r="AJ155">
        <v>157.52000000000001</v>
      </c>
      <c r="AK155">
        <v>0</v>
      </c>
      <c r="AL155" t="s">
        <v>53</v>
      </c>
      <c r="AM155" t="s">
        <v>53</v>
      </c>
      <c r="AN155" t="s">
        <v>97</v>
      </c>
      <c r="AO155" t="s">
        <v>53</v>
      </c>
      <c r="AP155" t="s">
        <v>53</v>
      </c>
    </row>
    <row r="156" spans="2:42" x14ac:dyDescent="0.2">
      <c r="B156" t="s">
        <v>44</v>
      </c>
      <c r="C156" t="str">
        <f>HYPERLINK("https://us2.cloudbeds.com/connect/8493803454333002#/reservations/598475006128?display=E1DDW8Y9&amp;reservation_id=598475006128", "E1DDW8Y9")</f>
        <v>E1DDW8Y9</v>
      </c>
      <c r="D156" t="s">
        <v>45</v>
      </c>
      <c r="E156" t="s">
        <v>305</v>
      </c>
      <c r="F156" t="s">
        <v>61</v>
      </c>
      <c r="G156" t="s">
        <v>48</v>
      </c>
      <c r="H156" t="s">
        <v>49</v>
      </c>
      <c r="I156" t="s">
        <v>50</v>
      </c>
      <c r="J156" t="s">
        <v>94</v>
      </c>
      <c r="K156" t="s">
        <v>152</v>
      </c>
      <c r="L156" t="s">
        <v>53</v>
      </c>
      <c r="N156" t="s">
        <v>516</v>
      </c>
      <c r="P156" t="s">
        <v>55</v>
      </c>
      <c r="R156" t="s">
        <v>56</v>
      </c>
      <c r="T156" t="s">
        <v>509</v>
      </c>
      <c r="U156" t="s">
        <v>58</v>
      </c>
      <c r="V156">
        <v>1</v>
      </c>
      <c r="W156">
        <v>1</v>
      </c>
      <c r="X156">
        <v>1</v>
      </c>
      <c r="Y156">
        <v>0</v>
      </c>
      <c r="Z156">
        <v>1</v>
      </c>
      <c r="AA156">
        <v>0</v>
      </c>
      <c r="AB156">
        <v>157.52000000000001</v>
      </c>
      <c r="AC156">
        <v>138.6</v>
      </c>
      <c r="AD156">
        <v>0</v>
      </c>
      <c r="AE156">
        <v>18.920000000000002</v>
      </c>
      <c r="AF156">
        <v>0</v>
      </c>
      <c r="AG156">
        <v>0</v>
      </c>
      <c r="AH156">
        <v>0</v>
      </c>
      <c r="AI156">
        <v>28.35</v>
      </c>
      <c r="AJ156">
        <v>157.52000000000001</v>
      </c>
      <c r="AK156">
        <v>0</v>
      </c>
      <c r="AL156" t="s">
        <v>53</v>
      </c>
      <c r="AM156" t="s">
        <v>53</v>
      </c>
      <c r="AN156" t="s">
        <v>132</v>
      </c>
      <c r="AO156" t="s">
        <v>53</v>
      </c>
      <c r="AP156" t="s">
        <v>53</v>
      </c>
    </row>
    <row r="157" spans="2:42" x14ac:dyDescent="0.2">
      <c r="B157" t="s">
        <v>44</v>
      </c>
      <c r="C157" t="str">
        <f>HYPERLINK("https://us2.cloudbeds.com/connect/8493803454333002#/reservations/598314258629?display=E19AE7EV&amp;reservation_id=598314258629", "E19AE7EV")</f>
        <v>E19AE7EV</v>
      </c>
      <c r="D157" t="s">
        <v>45</v>
      </c>
      <c r="E157" t="s">
        <v>373</v>
      </c>
      <c r="F157" t="s">
        <v>47</v>
      </c>
      <c r="G157" t="s">
        <v>48</v>
      </c>
      <c r="H157" t="s">
        <v>49</v>
      </c>
      <c r="I157" t="s">
        <v>50</v>
      </c>
      <c r="J157" t="s">
        <v>443</v>
      </c>
      <c r="K157" t="s">
        <v>403</v>
      </c>
      <c r="L157" t="s">
        <v>53</v>
      </c>
      <c r="N157" t="s">
        <v>517</v>
      </c>
      <c r="P157" t="s">
        <v>55</v>
      </c>
      <c r="R157" t="s">
        <v>56</v>
      </c>
      <c r="T157" t="s">
        <v>509</v>
      </c>
      <c r="U157" t="s">
        <v>58</v>
      </c>
      <c r="V157">
        <v>1</v>
      </c>
      <c r="W157">
        <v>1</v>
      </c>
      <c r="X157">
        <v>1</v>
      </c>
      <c r="Y157">
        <v>0</v>
      </c>
      <c r="Z157">
        <v>1</v>
      </c>
      <c r="AA157">
        <v>0</v>
      </c>
      <c r="AB157">
        <v>78.760000000000005</v>
      </c>
      <c r="AC157">
        <v>69.3</v>
      </c>
      <c r="AD157">
        <v>0</v>
      </c>
      <c r="AE157">
        <v>9.4700000000000006</v>
      </c>
      <c r="AF157">
        <v>0</v>
      </c>
      <c r="AG157">
        <v>0</v>
      </c>
      <c r="AH157">
        <v>0</v>
      </c>
      <c r="AI157">
        <v>14.18</v>
      </c>
      <c r="AJ157">
        <v>78.77</v>
      </c>
      <c r="AK157">
        <v>0.01</v>
      </c>
      <c r="AL157" t="s">
        <v>53</v>
      </c>
      <c r="AM157" t="s">
        <v>53</v>
      </c>
      <c r="AN157" t="s">
        <v>84</v>
      </c>
      <c r="AO157" t="s">
        <v>53</v>
      </c>
      <c r="AP157" t="s">
        <v>53</v>
      </c>
    </row>
    <row r="158" spans="2:42" x14ac:dyDescent="0.2">
      <c r="B158" t="s">
        <v>44</v>
      </c>
      <c r="C158" t="str">
        <f>HYPERLINK("https://us2.cloudbeds.com/connect/8493803454333002#/reservations/598334103754?display=E19R5ENC&amp;reservation_id=598334103754", "E19R5ENC")</f>
        <v>E19R5ENC</v>
      </c>
      <c r="D158" t="s">
        <v>45</v>
      </c>
      <c r="E158" t="s">
        <v>487</v>
      </c>
      <c r="F158" t="s">
        <v>61</v>
      </c>
      <c r="G158" t="s">
        <v>48</v>
      </c>
      <c r="H158" t="s">
        <v>49</v>
      </c>
      <c r="I158" t="s">
        <v>50</v>
      </c>
      <c r="J158" t="s">
        <v>246</v>
      </c>
      <c r="K158" t="s">
        <v>174</v>
      </c>
      <c r="L158" t="s">
        <v>53</v>
      </c>
      <c r="N158" t="s">
        <v>518</v>
      </c>
      <c r="P158" t="s">
        <v>55</v>
      </c>
      <c r="R158" t="s">
        <v>56</v>
      </c>
      <c r="T158" t="s">
        <v>509</v>
      </c>
      <c r="U158" t="s">
        <v>58</v>
      </c>
      <c r="V158">
        <v>7</v>
      </c>
      <c r="W158">
        <v>1</v>
      </c>
      <c r="X158">
        <v>1</v>
      </c>
      <c r="Y158">
        <v>0</v>
      </c>
      <c r="Z158">
        <v>1</v>
      </c>
      <c r="AA158">
        <v>0</v>
      </c>
      <c r="AB158">
        <v>575.86</v>
      </c>
      <c r="AC158">
        <v>506.7</v>
      </c>
      <c r="AD158">
        <v>0</v>
      </c>
      <c r="AE158">
        <v>69.16</v>
      </c>
      <c r="AF158">
        <v>0</v>
      </c>
      <c r="AG158">
        <v>0</v>
      </c>
      <c r="AH158">
        <v>0</v>
      </c>
      <c r="AI158">
        <v>103.65</v>
      </c>
      <c r="AJ158">
        <v>575.86</v>
      </c>
      <c r="AK158">
        <v>0</v>
      </c>
      <c r="AL158" t="s">
        <v>53</v>
      </c>
      <c r="AM158" t="s">
        <v>53</v>
      </c>
      <c r="AN158" t="s">
        <v>97</v>
      </c>
      <c r="AO158" t="s">
        <v>53</v>
      </c>
      <c r="AP158" t="s">
        <v>53</v>
      </c>
    </row>
    <row r="159" spans="2:42" x14ac:dyDescent="0.2">
      <c r="B159" t="s">
        <v>44</v>
      </c>
      <c r="C159" t="str">
        <f>HYPERLINK("https://us2.cloudbeds.com/connect/8493803454333002#/reservations/598403141790?display=E1BJCHH2&amp;reservation_id=598403141790", "E1BJCHH2")</f>
        <v>E1BJCHH2</v>
      </c>
      <c r="D159" t="s">
        <v>45</v>
      </c>
      <c r="E159" t="s">
        <v>128</v>
      </c>
      <c r="F159" t="s">
        <v>86</v>
      </c>
      <c r="G159" t="s">
        <v>48</v>
      </c>
      <c r="H159" t="s">
        <v>49</v>
      </c>
      <c r="I159" t="s">
        <v>79</v>
      </c>
      <c r="J159" t="s">
        <v>106</v>
      </c>
      <c r="K159" t="s">
        <v>107</v>
      </c>
      <c r="L159" t="s">
        <v>53</v>
      </c>
      <c r="N159" t="s">
        <v>519</v>
      </c>
      <c r="P159" t="s">
        <v>55</v>
      </c>
      <c r="R159" t="s">
        <v>56</v>
      </c>
      <c r="T159" t="s">
        <v>509</v>
      </c>
      <c r="U159" t="s">
        <v>58</v>
      </c>
      <c r="V159">
        <v>2</v>
      </c>
      <c r="W159">
        <v>1</v>
      </c>
      <c r="X159">
        <v>1</v>
      </c>
      <c r="Y159">
        <v>0</v>
      </c>
      <c r="Z159">
        <v>1</v>
      </c>
      <c r="AA159">
        <v>0</v>
      </c>
      <c r="AB159">
        <v>347.77</v>
      </c>
      <c r="AC159">
        <v>306</v>
      </c>
      <c r="AD159">
        <v>0</v>
      </c>
      <c r="AE159">
        <v>41.78</v>
      </c>
      <c r="AF159">
        <v>0</v>
      </c>
      <c r="AG159">
        <v>0</v>
      </c>
      <c r="AH159">
        <v>0</v>
      </c>
      <c r="AI159">
        <v>0</v>
      </c>
      <c r="AJ159">
        <v>347.78</v>
      </c>
      <c r="AK159">
        <v>0.01</v>
      </c>
      <c r="AL159" t="s">
        <v>53</v>
      </c>
      <c r="AM159" t="s">
        <v>53</v>
      </c>
      <c r="AN159" t="s">
        <v>178</v>
      </c>
      <c r="AO159" t="s">
        <v>53</v>
      </c>
      <c r="AP159" t="s">
        <v>53</v>
      </c>
    </row>
    <row r="160" spans="2:42" x14ac:dyDescent="0.2">
      <c r="B160" t="s">
        <v>44</v>
      </c>
      <c r="C160" t="str">
        <f>HYPERLINK("https://us2.cloudbeds.com/connect/8493803454333002#/reservations/598455390439?display=E1CUEE2E&amp;reservation_id=598455390439", "E1CUEE2E")</f>
        <v>E1CUEE2E</v>
      </c>
      <c r="D160" t="s">
        <v>45</v>
      </c>
      <c r="E160" t="s">
        <v>98</v>
      </c>
      <c r="F160" t="s">
        <v>86</v>
      </c>
      <c r="G160" t="s">
        <v>48</v>
      </c>
      <c r="H160" t="s">
        <v>71</v>
      </c>
      <c r="I160" t="s">
        <v>72</v>
      </c>
      <c r="J160" t="s">
        <v>387</v>
      </c>
      <c r="K160" t="s">
        <v>388</v>
      </c>
      <c r="L160" t="s">
        <v>53</v>
      </c>
      <c r="N160" t="s">
        <v>520</v>
      </c>
      <c r="P160" t="s">
        <v>55</v>
      </c>
      <c r="R160" t="s">
        <v>56</v>
      </c>
      <c r="T160" t="s">
        <v>521</v>
      </c>
      <c r="U160" t="s">
        <v>58</v>
      </c>
      <c r="V160">
        <v>1</v>
      </c>
      <c r="W160">
        <v>1</v>
      </c>
      <c r="X160">
        <v>1</v>
      </c>
      <c r="Y160">
        <v>0</v>
      </c>
      <c r="Z160">
        <v>1</v>
      </c>
      <c r="AA160">
        <v>0</v>
      </c>
      <c r="AB160">
        <v>188.66</v>
      </c>
      <c r="AC160">
        <v>166</v>
      </c>
      <c r="AD160">
        <v>0</v>
      </c>
      <c r="AE160">
        <v>22.66</v>
      </c>
      <c r="AF160">
        <v>0</v>
      </c>
      <c r="AG160">
        <v>0</v>
      </c>
      <c r="AH160">
        <v>0</v>
      </c>
      <c r="AI160">
        <v>0</v>
      </c>
      <c r="AJ160">
        <v>188.66</v>
      </c>
      <c r="AK160">
        <v>0</v>
      </c>
      <c r="AL160" t="s">
        <v>53</v>
      </c>
      <c r="AM160" t="s">
        <v>53</v>
      </c>
      <c r="AN160" t="s">
        <v>522</v>
      </c>
      <c r="AO160" t="s">
        <v>53</v>
      </c>
      <c r="AP160" t="s">
        <v>53</v>
      </c>
    </row>
    <row r="161" spans="2:42" x14ac:dyDescent="0.2">
      <c r="B161" t="s">
        <v>44</v>
      </c>
      <c r="C161" t="str">
        <f>HYPERLINK("https://us2.cloudbeds.com/connect/8493803454333002#/reservations/598509379715?display=E1E9VP04&amp;reservation_id=598509379715", "E1E9VP04")</f>
        <v>E1E9VP04</v>
      </c>
      <c r="D161" t="s">
        <v>45</v>
      </c>
      <c r="E161" t="s">
        <v>138</v>
      </c>
      <c r="F161" t="s">
        <v>70</v>
      </c>
      <c r="G161" t="s">
        <v>48</v>
      </c>
      <c r="H161" t="s">
        <v>49</v>
      </c>
      <c r="I161" t="s">
        <v>62</v>
      </c>
      <c r="J161" t="s">
        <v>499</v>
      </c>
      <c r="K161" t="s">
        <v>337</v>
      </c>
      <c r="L161" t="s">
        <v>53</v>
      </c>
      <c r="N161" t="s">
        <v>523</v>
      </c>
      <c r="P161" t="s">
        <v>55</v>
      </c>
      <c r="R161" t="s">
        <v>56</v>
      </c>
      <c r="T161" t="s">
        <v>521</v>
      </c>
      <c r="U161" t="s">
        <v>58</v>
      </c>
      <c r="V161">
        <v>4</v>
      </c>
      <c r="W161">
        <v>1</v>
      </c>
      <c r="X161">
        <v>1</v>
      </c>
      <c r="Y161">
        <v>0</v>
      </c>
      <c r="Z161">
        <v>1</v>
      </c>
      <c r="AA161">
        <v>0</v>
      </c>
      <c r="AB161">
        <v>300.72000000000003</v>
      </c>
      <c r="AC161">
        <v>264.60000000000002</v>
      </c>
      <c r="AD161">
        <v>0</v>
      </c>
      <c r="AE161">
        <v>36.119999999999997</v>
      </c>
      <c r="AF161">
        <v>0</v>
      </c>
      <c r="AG161">
        <v>0</v>
      </c>
      <c r="AH161">
        <v>0</v>
      </c>
      <c r="AI161">
        <v>45.11</v>
      </c>
      <c r="AJ161">
        <v>300.72000000000003</v>
      </c>
      <c r="AK161">
        <v>0</v>
      </c>
      <c r="AL161" t="s">
        <v>53</v>
      </c>
      <c r="AM161" t="s">
        <v>53</v>
      </c>
      <c r="AN161" t="s">
        <v>524</v>
      </c>
      <c r="AO161" t="s">
        <v>53</v>
      </c>
      <c r="AP161" t="s">
        <v>53</v>
      </c>
    </row>
    <row r="162" spans="2:42" x14ac:dyDescent="0.2">
      <c r="B162" t="s">
        <v>44</v>
      </c>
      <c r="C162" t="str">
        <f>HYPERLINK("https://us2.cloudbeds.com/connect/8493803454333002#/reservations/598379679953?display=E1AWJM4A&amp;reservation_id=598379679953", "E1AWJM4A")</f>
        <v>E1AWJM4A</v>
      </c>
      <c r="D162" t="s">
        <v>45</v>
      </c>
      <c r="E162" t="s">
        <v>69</v>
      </c>
      <c r="F162" t="s">
        <v>70</v>
      </c>
      <c r="G162" t="s">
        <v>48</v>
      </c>
      <c r="H162" t="s">
        <v>49</v>
      </c>
      <c r="I162" t="s">
        <v>79</v>
      </c>
      <c r="J162" t="s">
        <v>237</v>
      </c>
      <c r="K162" t="s">
        <v>525</v>
      </c>
      <c r="L162" t="s">
        <v>53</v>
      </c>
      <c r="N162" t="s">
        <v>526</v>
      </c>
      <c r="P162" t="s">
        <v>55</v>
      </c>
      <c r="R162" t="s">
        <v>56</v>
      </c>
      <c r="T162" t="s">
        <v>521</v>
      </c>
      <c r="U162" t="s">
        <v>58</v>
      </c>
      <c r="V162">
        <v>1</v>
      </c>
      <c r="W162">
        <v>1</v>
      </c>
      <c r="X162">
        <v>1</v>
      </c>
      <c r="Y162">
        <v>0</v>
      </c>
      <c r="Z162">
        <v>1</v>
      </c>
      <c r="AA162">
        <v>0</v>
      </c>
      <c r="AB162">
        <v>127.86</v>
      </c>
      <c r="AC162">
        <v>112.5</v>
      </c>
      <c r="AD162">
        <v>0</v>
      </c>
      <c r="AE162">
        <v>15.36</v>
      </c>
      <c r="AF162">
        <v>0</v>
      </c>
      <c r="AG162">
        <v>0</v>
      </c>
      <c r="AH162">
        <v>0</v>
      </c>
      <c r="AI162">
        <v>0</v>
      </c>
      <c r="AJ162">
        <v>127.86</v>
      </c>
      <c r="AK162">
        <v>0</v>
      </c>
      <c r="AL162" t="s">
        <v>53</v>
      </c>
      <c r="AM162" t="s">
        <v>53</v>
      </c>
      <c r="AN162" t="s">
        <v>527</v>
      </c>
      <c r="AO162" t="s">
        <v>53</v>
      </c>
      <c r="AP162" t="s">
        <v>53</v>
      </c>
    </row>
    <row r="163" spans="2:42" x14ac:dyDescent="0.2">
      <c r="B163" t="s">
        <v>44</v>
      </c>
      <c r="C163" t="str">
        <f>HYPERLINK("https://us2.cloudbeds.com/connect/8493803454333002#/reservations/598530764987?display=E1ERWRHY&amp;reservation_id=598530764987", "E1ERWRHY")</f>
        <v>E1ERWRHY</v>
      </c>
      <c r="D163" t="s">
        <v>45</v>
      </c>
      <c r="E163" t="s">
        <v>179</v>
      </c>
      <c r="F163" t="s">
        <v>47</v>
      </c>
      <c r="G163" t="s">
        <v>48</v>
      </c>
      <c r="H163" t="s">
        <v>49</v>
      </c>
      <c r="I163" t="s">
        <v>62</v>
      </c>
      <c r="J163" t="s">
        <v>246</v>
      </c>
      <c r="K163" t="s">
        <v>421</v>
      </c>
      <c r="L163" t="s">
        <v>53</v>
      </c>
      <c r="N163" t="s">
        <v>528</v>
      </c>
      <c r="P163" t="s">
        <v>55</v>
      </c>
      <c r="R163" t="s">
        <v>66</v>
      </c>
      <c r="T163" t="s">
        <v>521</v>
      </c>
      <c r="U163" t="s">
        <v>58</v>
      </c>
      <c r="V163">
        <v>1</v>
      </c>
      <c r="W163">
        <v>1</v>
      </c>
      <c r="X163">
        <v>1</v>
      </c>
      <c r="Y163">
        <v>0</v>
      </c>
      <c r="Z163">
        <v>1</v>
      </c>
      <c r="AA163">
        <v>0</v>
      </c>
      <c r="AB163">
        <v>85.92</v>
      </c>
      <c r="AC163">
        <v>75.599999999999994</v>
      </c>
      <c r="AD163">
        <v>0</v>
      </c>
      <c r="AE163">
        <v>10.32</v>
      </c>
      <c r="AF163">
        <v>0</v>
      </c>
      <c r="AG163">
        <v>0</v>
      </c>
      <c r="AH163">
        <v>0</v>
      </c>
      <c r="AI163">
        <v>12.89</v>
      </c>
      <c r="AJ163">
        <v>85.92</v>
      </c>
      <c r="AK163">
        <v>0</v>
      </c>
      <c r="AL163" t="s">
        <v>53</v>
      </c>
      <c r="AM163" t="s">
        <v>53</v>
      </c>
      <c r="AN163" t="s">
        <v>529</v>
      </c>
      <c r="AO163" t="s">
        <v>53</v>
      </c>
      <c r="AP163" t="s">
        <v>53</v>
      </c>
    </row>
    <row r="164" spans="2:42" x14ac:dyDescent="0.2">
      <c r="B164" t="s">
        <v>44</v>
      </c>
      <c r="C164" t="str">
        <f>HYPERLINK("https://us2.cloudbeds.com/connect/8493803454333002#/reservations/598063055091?display=E12TK3SH&amp;reservation_id=598063055091", "E12TK3SH")</f>
        <v>E12TK3SH</v>
      </c>
      <c r="D164" t="s">
        <v>45</v>
      </c>
      <c r="E164" t="s">
        <v>98</v>
      </c>
      <c r="F164" t="s">
        <v>86</v>
      </c>
      <c r="G164" t="s">
        <v>48</v>
      </c>
      <c r="H164" t="s">
        <v>49</v>
      </c>
      <c r="I164" t="s">
        <v>79</v>
      </c>
      <c r="J164" t="s">
        <v>421</v>
      </c>
      <c r="K164" t="s">
        <v>73</v>
      </c>
      <c r="L164" t="s">
        <v>53</v>
      </c>
      <c r="N164" t="s">
        <v>530</v>
      </c>
      <c r="P164" t="s">
        <v>55</v>
      </c>
      <c r="R164" t="s">
        <v>56</v>
      </c>
      <c r="T164" t="s">
        <v>521</v>
      </c>
      <c r="U164" t="s">
        <v>58</v>
      </c>
      <c r="V164">
        <v>1</v>
      </c>
      <c r="W164">
        <v>1</v>
      </c>
      <c r="X164">
        <v>1</v>
      </c>
      <c r="Y164">
        <v>0</v>
      </c>
      <c r="Z164">
        <v>1</v>
      </c>
      <c r="AA164">
        <v>0</v>
      </c>
      <c r="AB164">
        <v>91.03</v>
      </c>
      <c r="AC164">
        <v>80.099999999999994</v>
      </c>
      <c r="AD164">
        <v>0</v>
      </c>
      <c r="AE164">
        <v>10.93</v>
      </c>
      <c r="AF164">
        <v>0</v>
      </c>
      <c r="AG164">
        <v>0</v>
      </c>
      <c r="AH164">
        <v>0</v>
      </c>
      <c r="AI164">
        <v>0</v>
      </c>
      <c r="AJ164">
        <v>91.03</v>
      </c>
      <c r="AK164">
        <v>0</v>
      </c>
      <c r="AL164" t="s">
        <v>53</v>
      </c>
      <c r="AM164" t="s">
        <v>53</v>
      </c>
      <c r="AN164" t="s">
        <v>245</v>
      </c>
      <c r="AO164" t="s">
        <v>53</v>
      </c>
      <c r="AP164" t="s">
        <v>53</v>
      </c>
    </row>
    <row r="165" spans="2:42" x14ac:dyDescent="0.2">
      <c r="B165" t="s">
        <v>44</v>
      </c>
      <c r="C165" t="str">
        <f>HYPERLINK("https://us2.cloudbeds.com/connect/8493803454333002#/reservations/598182064333?display=E15UVNU5&amp;reservation_id=598182064333", "E15UVNU5")</f>
        <v>E15UVNU5</v>
      </c>
      <c r="D165" t="s">
        <v>45</v>
      </c>
      <c r="E165" t="s">
        <v>85</v>
      </c>
      <c r="F165" t="s">
        <v>86</v>
      </c>
      <c r="G165" t="s">
        <v>48</v>
      </c>
      <c r="H165" t="s">
        <v>49</v>
      </c>
      <c r="I165" t="s">
        <v>50</v>
      </c>
      <c r="J165" t="s">
        <v>215</v>
      </c>
      <c r="K165" t="s">
        <v>446</v>
      </c>
      <c r="L165" t="s">
        <v>53</v>
      </c>
      <c r="N165" t="s">
        <v>531</v>
      </c>
      <c r="P165" t="s">
        <v>55</v>
      </c>
      <c r="R165" t="s">
        <v>56</v>
      </c>
      <c r="T165" t="s">
        <v>521</v>
      </c>
      <c r="U165" t="s">
        <v>58</v>
      </c>
      <c r="V165">
        <v>1</v>
      </c>
      <c r="W165">
        <v>1</v>
      </c>
      <c r="X165">
        <v>1</v>
      </c>
      <c r="Y165">
        <v>0</v>
      </c>
      <c r="Z165">
        <v>1</v>
      </c>
      <c r="AA165">
        <v>0</v>
      </c>
      <c r="AB165">
        <v>161.61000000000001</v>
      </c>
      <c r="AC165">
        <v>142.19999999999999</v>
      </c>
      <c r="AD165">
        <v>0</v>
      </c>
      <c r="AE165">
        <v>19.41</v>
      </c>
      <c r="AF165">
        <v>0</v>
      </c>
      <c r="AG165">
        <v>0</v>
      </c>
      <c r="AH165">
        <v>0</v>
      </c>
      <c r="AI165">
        <v>29.09</v>
      </c>
      <c r="AJ165">
        <v>161.61000000000001</v>
      </c>
      <c r="AK165">
        <v>0</v>
      </c>
      <c r="AL165" t="s">
        <v>53</v>
      </c>
      <c r="AM165" t="s">
        <v>53</v>
      </c>
      <c r="AN165" t="s">
        <v>280</v>
      </c>
      <c r="AO165" t="s">
        <v>53</v>
      </c>
      <c r="AP165" t="s">
        <v>53</v>
      </c>
    </row>
    <row r="166" spans="2:42" x14ac:dyDescent="0.2">
      <c r="B166" t="s">
        <v>44</v>
      </c>
      <c r="C166" t="str">
        <f>HYPERLINK("https://us2.cloudbeds.com/connect/8493803454333002#/reservations/598505509033?display=E1E6N1YZ&amp;reservation_id=598505509033", "E1E6N1YZ")</f>
        <v>E1E6N1YZ</v>
      </c>
      <c r="D166" t="s">
        <v>45</v>
      </c>
      <c r="E166" t="s">
        <v>165</v>
      </c>
      <c r="F166" t="s">
        <v>61</v>
      </c>
      <c r="G166" t="s">
        <v>48</v>
      </c>
      <c r="H166" t="s">
        <v>71</v>
      </c>
      <c r="I166" t="s">
        <v>72</v>
      </c>
      <c r="J166" t="s">
        <v>464</v>
      </c>
      <c r="K166" t="s">
        <v>277</v>
      </c>
      <c r="L166" t="s">
        <v>53</v>
      </c>
      <c r="N166" t="s">
        <v>532</v>
      </c>
      <c r="P166" t="s">
        <v>55</v>
      </c>
      <c r="R166" t="s">
        <v>56</v>
      </c>
      <c r="T166" t="s">
        <v>521</v>
      </c>
      <c r="U166" t="s">
        <v>58</v>
      </c>
      <c r="V166">
        <v>1</v>
      </c>
      <c r="W166">
        <v>1</v>
      </c>
      <c r="X166">
        <v>1</v>
      </c>
      <c r="Y166">
        <v>0</v>
      </c>
      <c r="Z166">
        <v>1</v>
      </c>
      <c r="AA166">
        <v>0</v>
      </c>
      <c r="AB166">
        <v>81.58</v>
      </c>
      <c r="AC166">
        <v>71.78</v>
      </c>
      <c r="AD166">
        <v>0</v>
      </c>
      <c r="AE166">
        <v>9.8000000000000007</v>
      </c>
      <c r="AF166">
        <v>0</v>
      </c>
      <c r="AG166">
        <v>0</v>
      </c>
      <c r="AH166">
        <v>0</v>
      </c>
      <c r="AI166">
        <v>0</v>
      </c>
      <c r="AJ166">
        <v>81.58</v>
      </c>
      <c r="AK166">
        <v>0</v>
      </c>
      <c r="AL166" t="s">
        <v>53</v>
      </c>
      <c r="AM166" t="s">
        <v>53</v>
      </c>
      <c r="AN166" t="s">
        <v>533</v>
      </c>
      <c r="AO166" t="s">
        <v>53</v>
      </c>
      <c r="AP166" t="s">
        <v>53</v>
      </c>
    </row>
    <row r="167" spans="2:42" x14ac:dyDescent="0.2">
      <c r="B167" t="s">
        <v>44</v>
      </c>
      <c r="C167" t="str">
        <f>HYPERLINK("https://us2.cloudbeds.com/connect/8493803454333002#/reservations/598245216404?display=E17X70Q9&amp;reservation_id=598245216404", "E17X70Q9")</f>
        <v>E17X70Q9</v>
      </c>
      <c r="D167" t="s">
        <v>45</v>
      </c>
      <c r="E167" t="s">
        <v>406</v>
      </c>
      <c r="F167" t="s">
        <v>61</v>
      </c>
      <c r="G167" t="s">
        <v>48</v>
      </c>
      <c r="H167" t="s">
        <v>49</v>
      </c>
      <c r="I167" t="s">
        <v>62</v>
      </c>
      <c r="J167" t="s">
        <v>475</v>
      </c>
      <c r="K167" t="s">
        <v>356</v>
      </c>
      <c r="L167" t="s">
        <v>53</v>
      </c>
      <c r="N167" t="s">
        <v>534</v>
      </c>
      <c r="P167" t="s">
        <v>55</v>
      </c>
      <c r="R167" t="s">
        <v>56</v>
      </c>
      <c r="T167" t="s">
        <v>521</v>
      </c>
      <c r="U167" t="s">
        <v>58</v>
      </c>
      <c r="V167">
        <v>2</v>
      </c>
      <c r="W167">
        <v>1</v>
      </c>
      <c r="X167">
        <v>1</v>
      </c>
      <c r="Y167">
        <v>0</v>
      </c>
      <c r="Z167">
        <v>1</v>
      </c>
      <c r="AA167">
        <v>0</v>
      </c>
      <c r="AB167">
        <v>325.04000000000002</v>
      </c>
      <c r="AC167">
        <v>286</v>
      </c>
      <c r="AD167">
        <v>0</v>
      </c>
      <c r="AE167">
        <v>39.06</v>
      </c>
      <c r="AF167">
        <v>0</v>
      </c>
      <c r="AG167">
        <v>0</v>
      </c>
      <c r="AH167">
        <v>0</v>
      </c>
      <c r="AI167">
        <v>48.76</v>
      </c>
      <c r="AJ167">
        <v>325.06</v>
      </c>
      <c r="AK167">
        <v>0.02</v>
      </c>
      <c r="AL167" t="s">
        <v>53</v>
      </c>
      <c r="AM167" t="s">
        <v>53</v>
      </c>
      <c r="AN167" t="s">
        <v>91</v>
      </c>
      <c r="AO167" t="s">
        <v>53</v>
      </c>
      <c r="AP167" t="s">
        <v>53</v>
      </c>
    </row>
    <row r="168" spans="2:42" x14ac:dyDescent="0.2">
      <c r="B168" t="s">
        <v>44</v>
      </c>
      <c r="C168" t="str">
        <f>HYPERLINK("https://us2.cloudbeds.com/connect/8493803454333002#/reservations/598621626578?display=E1H5K6B7&amp;reservation_id=598621626578", "E1H5K6B7")</f>
        <v>E1H5K6B7</v>
      </c>
      <c r="D168" t="s">
        <v>45</v>
      </c>
      <c r="E168" t="s">
        <v>185</v>
      </c>
      <c r="F168" t="s">
        <v>47</v>
      </c>
      <c r="G168" t="s">
        <v>48</v>
      </c>
      <c r="H168" t="s">
        <v>71</v>
      </c>
      <c r="I168" t="s">
        <v>72</v>
      </c>
      <c r="J168" t="s">
        <v>387</v>
      </c>
      <c r="K168" t="s">
        <v>388</v>
      </c>
      <c r="L168" t="s">
        <v>53</v>
      </c>
      <c r="N168" t="s">
        <v>535</v>
      </c>
      <c r="P168" t="s">
        <v>55</v>
      </c>
      <c r="R168" t="s">
        <v>56</v>
      </c>
      <c r="T168" t="s">
        <v>521</v>
      </c>
      <c r="U168" t="s">
        <v>58</v>
      </c>
      <c r="V168">
        <v>1</v>
      </c>
      <c r="W168">
        <v>1</v>
      </c>
      <c r="X168">
        <v>1</v>
      </c>
      <c r="Y168">
        <v>0</v>
      </c>
      <c r="Z168">
        <v>1</v>
      </c>
      <c r="AA168">
        <v>0</v>
      </c>
      <c r="AB168">
        <v>165.93</v>
      </c>
      <c r="AC168">
        <v>146</v>
      </c>
      <c r="AD168">
        <v>0</v>
      </c>
      <c r="AE168">
        <v>19.93</v>
      </c>
      <c r="AF168">
        <v>0</v>
      </c>
      <c r="AG168">
        <v>0</v>
      </c>
      <c r="AH168">
        <v>0</v>
      </c>
      <c r="AI168">
        <v>0</v>
      </c>
      <c r="AJ168">
        <v>165.93</v>
      </c>
      <c r="AK168">
        <v>0</v>
      </c>
      <c r="AL168" t="s">
        <v>53</v>
      </c>
      <c r="AM168" t="s">
        <v>53</v>
      </c>
      <c r="AN168" t="s">
        <v>536</v>
      </c>
      <c r="AO168" t="s">
        <v>53</v>
      </c>
      <c r="AP168" t="s">
        <v>53</v>
      </c>
    </row>
    <row r="169" spans="2:42" x14ac:dyDescent="0.2">
      <c r="B169" t="s">
        <v>44</v>
      </c>
      <c r="C169" t="str">
        <f>HYPERLINK("https://us2.cloudbeds.com/connect/8493803454333002#/reservations/598055375065?display=E12N4DGE&amp;reservation_id=598055375065", "E12N4DGE")</f>
        <v>E12N4DGE</v>
      </c>
      <c r="D169" t="s">
        <v>45</v>
      </c>
      <c r="E169" t="s">
        <v>98</v>
      </c>
      <c r="F169" t="s">
        <v>86</v>
      </c>
      <c r="G169" t="s">
        <v>48</v>
      </c>
      <c r="H169" t="s">
        <v>49</v>
      </c>
      <c r="I169" t="s">
        <v>79</v>
      </c>
      <c r="J169" t="s">
        <v>147</v>
      </c>
      <c r="K169" t="s">
        <v>421</v>
      </c>
      <c r="L169" t="s">
        <v>53</v>
      </c>
      <c r="N169" t="s">
        <v>537</v>
      </c>
      <c r="P169" t="s">
        <v>55</v>
      </c>
      <c r="R169" t="s">
        <v>56</v>
      </c>
      <c r="T169" t="s">
        <v>521</v>
      </c>
      <c r="U169" t="s">
        <v>58</v>
      </c>
      <c r="V169">
        <v>3</v>
      </c>
      <c r="W169">
        <v>1</v>
      </c>
      <c r="X169">
        <v>1</v>
      </c>
      <c r="Y169">
        <v>0</v>
      </c>
      <c r="Z169">
        <v>1</v>
      </c>
      <c r="AA169">
        <v>0</v>
      </c>
      <c r="AB169">
        <v>262.87</v>
      </c>
      <c r="AC169">
        <v>231.3</v>
      </c>
      <c r="AD169">
        <v>0</v>
      </c>
      <c r="AE169">
        <v>31.59</v>
      </c>
      <c r="AF169">
        <v>0</v>
      </c>
      <c r="AG169">
        <v>0</v>
      </c>
      <c r="AH169">
        <v>0</v>
      </c>
      <c r="AI169">
        <v>0</v>
      </c>
      <c r="AJ169">
        <v>262.89</v>
      </c>
      <c r="AK169">
        <v>0.02</v>
      </c>
      <c r="AL169" t="s">
        <v>53</v>
      </c>
      <c r="AM169" t="s">
        <v>53</v>
      </c>
      <c r="AN169" t="s">
        <v>142</v>
      </c>
      <c r="AO169" t="s">
        <v>53</v>
      </c>
      <c r="AP169" t="s">
        <v>53</v>
      </c>
    </row>
    <row r="170" spans="2:42" x14ac:dyDescent="0.2">
      <c r="B170" t="s">
        <v>44</v>
      </c>
      <c r="C170" t="str">
        <f>HYPERLINK("https://us2.cloudbeds.com/connect/8493803454333002#/reservations/598388408497?display=E1B6VXAH&amp;reservation_id=598388408497", "E1B6VXAH")</f>
        <v>E1B6VXAH</v>
      </c>
      <c r="D170" t="s">
        <v>45</v>
      </c>
      <c r="E170" t="s">
        <v>69</v>
      </c>
      <c r="F170" t="s">
        <v>70</v>
      </c>
      <c r="G170" t="s">
        <v>48</v>
      </c>
      <c r="H170" t="s">
        <v>49</v>
      </c>
      <c r="I170" t="s">
        <v>79</v>
      </c>
      <c r="J170" t="s">
        <v>538</v>
      </c>
      <c r="K170" t="s">
        <v>259</v>
      </c>
      <c r="L170" t="s">
        <v>53</v>
      </c>
      <c r="N170" t="s">
        <v>539</v>
      </c>
      <c r="P170" t="s">
        <v>55</v>
      </c>
      <c r="R170" t="s">
        <v>56</v>
      </c>
      <c r="T170" t="s">
        <v>540</v>
      </c>
      <c r="U170" t="s">
        <v>58</v>
      </c>
      <c r="V170">
        <v>1</v>
      </c>
      <c r="W170">
        <v>1</v>
      </c>
      <c r="X170">
        <v>1</v>
      </c>
      <c r="Y170">
        <v>0</v>
      </c>
      <c r="Z170">
        <v>1</v>
      </c>
      <c r="AA170">
        <v>0</v>
      </c>
      <c r="AB170">
        <v>100.24</v>
      </c>
      <c r="AC170">
        <v>88.2</v>
      </c>
      <c r="AD170">
        <v>0</v>
      </c>
      <c r="AE170">
        <v>12.04</v>
      </c>
      <c r="AF170">
        <v>0</v>
      </c>
      <c r="AG170">
        <v>0</v>
      </c>
      <c r="AH170">
        <v>0</v>
      </c>
      <c r="AI170">
        <v>0</v>
      </c>
      <c r="AJ170">
        <v>100.24</v>
      </c>
      <c r="AK170">
        <v>0</v>
      </c>
      <c r="AL170" t="s">
        <v>53</v>
      </c>
      <c r="AM170" t="s">
        <v>53</v>
      </c>
      <c r="AN170" t="s">
        <v>225</v>
      </c>
      <c r="AO170" t="s">
        <v>53</v>
      </c>
      <c r="AP170" t="s">
        <v>53</v>
      </c>
    </row>
    <row r="171" spans="2:42" x14ac:dyDescent="0.2">
      <c r="B171" t="s">
        <v>44</v>
      </c>
      <c r="C171" t="str">
        <f>HYPERLINK("https://us2.cloudbeds.com/connect/8493803454333002#/reservations/598422978779?display=E1C33H9M&amp;reservation_id=598422978779", "E1C33H9M")</f>
        <v>E1C33H9M</v>
      </c>
      <c r="D171" t="s">
        <v>45</v>
      </c>
      <c r="E171" t="s">
        <v>113</v>
      </c>
      <c r="F171" t="s">
        <v>61</v>
      </c>
      <c r="G171" t="s">
        <v>48</v>
      </c>
      <c r="H171" t="s">
        <v>71</v>
      </c>
      <c r="I171" t="s">
        <v>72</v>
      </c>
      <c r="J171" t="s">
        <v>133</v>
      </c>
      <c r="K171" t="s">
        <v>134</v>
      </c>
      <c r="L171" t="s">
        <v>53</v>
      </c>
      <c r="N171" t="s">
        <v>541</v>
      </c>
      <c r="P171" t="s">
        <v>55</v>
      </c>
      <c r="R171" t="s">
        <v>56</v>
      </c>
      <c r="T171" t="s">
        <v>540</v>
      </c>
      <c r="U171" t="s">
        <v>58</v>
      </c>
      <c r="V171">
        <v>2</v>
      </c>
      <c r="W171">
        <v>1</v>
      </c>
      <c r="X171">
        <v>1</v>
      </c>
      <c r="Y171">
        <v>0</v>
      </c>
      <c r="Z171">
        <v>1</v>
      </c>
      <c r="AA171">
        <v>0</v>
      </c>
      <c r="AB171">
        <v>319.36</v>
      </c>
      <c r="AC171">
        <v>281</v>
      </c>
      <c r="AD171">
        <v>0</v>
      </c>
      <c r="AE171">
        <v>38.36</v>
      </c>
      <c r="AF171">
        <v>0</v>
      </c>
      <c r="AG171">
        <v>0</v>
      </c>
      <c r="AH171">
        <v>0</v>
      </c>
      <c r="AI171">
        <v>0</v>
      </c>
      <c r="AJ171">
        <v>319.36</v>
      </c>
      <c r="AK171">
        <v>0</v>
      </c>
      <c r="AL171" t="s">
        <v>53</v>
      </c>
      <c r="AM171" t="s">
        <v>53</v>
      </c>
      <c r="AN171" t="s">
        <v>378</v>
      </c>
      <c r="AO171" t="s">
        <v>53</v>
      </c>
      <c r="AP171" t="s">
        <v>53</v>
      </c>
    </row>
    <row r="172" spans="2:42" x14ac:dyDescent="0.2">
      <c r="B172" t="s">
        <v>44</v>
      </c>
      <c r="C172" t="str">
        <f>HYPERLINK("https://us2.cloudbeds.com/connect/8493803454333002#/reservations/598464667838?display=E1D58J8Z&amp;reservation_id=598464667838", "E1D58J8Z")</f>
        <v>E1D58J8Z</v>
      </c>
      <c r="D172" t="s">
        <v>45</v>
      </c>
      <c r="E172" t="s">
        <v>155</v>
      </c>
      <c r="F172" t="s">
        <v>86</v>
      </c>
      <c r="G172" t="s">
        <v>48</v>
      </c>
      <c r="H172" t="s">
        <v>71</v>
      </c>
      <c r="I172" t="s">
        <v>72</v>
      </c>
      <c r="J172" t="s">
        <v>240</v>
      </c>
      <c r="K172" t="s">
        <v>464</v>
      </c>
      <c r="L172" t="s">
        <v>53</v>
      </c>
      <c r="N172" t="s">
        <v>542</v>
      </c>
      <c r="P172" t="s">
        <v>55</v>
      </c>
      <c r="R172" t="s">
        <v>56</v>
      </c>
      <c r="T172" t="s">
        <v>540</v>
      </c>
      <c r="U172" t="s">
        <v>58</v>
      </c>
      <c r="V172">
        <v>2</v>
      </c>
      <c r="W172">
        <v>1</v>
      </c>
      <c r="X172">
        <v>1</v>
      </c>
      <c r="Y172">
        <v>0</v>
      </c>
      <c r="Z172">
        <v>1</v>
      </c>
      <c r="AA172">
        <v>0</v>
      </c>
      <c r="AB172">
        <v>179.57</v>
      </c>
      <c r="AC172">
        <v>158</v>
      </c>
      <c r="AD172">
        <v>0</v>
      </c>
      <c r="AE172">
        <v>21.58</v>
      </c>
      <c r="AF172">
        <v>0</v>
      </c>
      <c r="AG172">
        <v>0</v>
      </c>
      <c r="AH172">
        <v>0</v>
      </c>
      <c r="AI172">
        <v>0</v>
      </c>
      <c r="AJ172">
        <v>179.58</v>
      </c>
      <c r="AK172">
        <v>0.01</v>
      </c>
      <c r="AL172" t="s">
        <v>53</v>
      </c>
      <c r="AM172" t="s">
        <v>53</v>
      </c>
      <c r="AN172" t="s">
        <v>378</v>
      </c>
      <c r="AO172" t="s">
        <v>53</v>
      </c>
      <c r="AP172" t="s">
        <v>53</v>
      </c>
    </row>
    <row r="173" spans="2:42" x14ac:dyDescent="0.2">
      <c r="B173" t="s">
        <v>44</v>
      </c>
      <c r="C173" t="str">
        <f>HYPERLINK("https://us2.cloudbeds.com/connect/8493803454333002#/reservations/598251790534?display=E17NZVYC&amp;reservation_id=598251790534", "E17NZVYC")</f>
        <v>E17NZVYC</v>
      </c>
      <c r="D173" t="s">
        <v>45</v>
      </c>
      <c r="E173" t="s">
        <v>69</v>
      </c>
      <c r="F173" t="s">
        <v>70</v>
      </c>
      <c r="G173" t="s">
        <v>48</v>
      </c>
      <c r="H173" t="s">
        <v>49</v>
      </c>
      <c r="I173" t="s">
        <v>62</v>
      </c>
      <c r="J173" t="s">
        <v>174</v>
      </c>
      <c r="K173" t="s">
        <v>175</v>
      </c>
      <c r="L173" t="s">
        <v>53</v>
      </c>
      <c r="N173" t="s">
        <v>543</v>
      </c>
      <c r="P173" t="s">
        <v>55</v>
      </c>
      <c r="R173" t="s">
        <v>544</v>
      </c>
      <c r="T173" t="s">
        <v>540</v>
      </c>
      <c r="U173" t="s">
        <v>58</v>
      </c>
      <c r="V173">
        <v>1</v>
      </c>
      <c r="W173">
        <v>1</v>
      </c>
      <c r="X173">
        <v>1</v>
      </c>
      <c r="Y173">
        <v>0</v>
      </c>
      <c r="Z173">
        <v>1</v>
      </c>
      <c r="AA173">
        <v>0</v>
      </c>
      <c r="AB173">
        <v>78.42</v>
      </c>
      <c r="AC173">
        <v>69</v>
      </c>
      <c r="AD173">
        <v>0</v>
      </c>
      <c r="AE173">
        <v>9.42</v>
      </c>
      <c r="AF173">
        <v>0</v>
      </c>
      <c r="AG173">
        <v>0</v>
      </c>
      <c r="AH173">
        <v>0</v>
      </c>
      <c r="AI173">
        <v>11.76</v>
      </c>
      <c r="AJ173">
        <v>78.42</v>
      </c>
      <c r="AK173">
        <v>0</v>
      </c>
      <c r="AL173" t="s">
        <v>53</v>
      </c>
      <c r="AM173" t="s">
        <v>53</v>
      </c>
      <c r="AN173" t="s">
        <v>545</v>
      </c>
      <c r="AO173" t="s">
        <v>53</v>
      </c>
      <c r="AP173" t="s">
        <v>53</v>
      </c>
    </row>
    <row r="174" spans="2:42" x14ac:dyDescent="0.2">
      <c r="B174" t="s">
        <v>44</v>
      </c>
      <c r="C174" t="str">
        <f>HYPERLINK("https://us2.cloudbeds.com/connect/8493803454333002#/reservations/597975285914?display=E10YJQZG&amp;reservation_id=597975285914", "E10YJQZG")</f>
        <v>E10YJQZG</v>
      </c>
      <c r="D174" t="s">
        <v>45</v>
      </c>
      <c r="E174" t="s">
        <v>110</v>
      </c>
      <c r="F174" t="s">
        <v>47</v>
      </c>
      <c r="G174" t="s">
        <v>48</v>
      </c>
      <c r="H174" t="s">
        <v>71</v>
      </c>
      <c r="I174" t="s">
        <v>72</v>
      </c>
      <c r="J174" t="s">
        <v>148</v>
      </c>
      <c r="K174" t="s">
        <v>421</v>
      </c>
      <c r="L174" t="s">
        <v>53</v>
      </c>
      <c r="N174" t="s">
        <v>546</v>
      </c>
      <c r="P174" t="s">
        <v>55</v>
      </c>
      <c r="R174" t="s">
        <v>56</v>
      </c>
      <c r="T174" t="s">
        <v>540</v>
      </c>
      <c r="U174" t="s">
        <v>58</v>
      </c>
      <c r="V174">
        <v>2</v>
      </c>
      <c r="W174">
        <v>1</v>
      </c>
      <c r="X174">
        <v>1</v>
      </c>
      <c r="Y174">
        <v>0</v>
      </c>
      <c r="Z174">
        <v>1</v>
      </c>
      <c r="AA174">
        <v>0</v>
      </c>
      <c r="AB174">
        <v>160.25</v>
      </c>
      <c r="AC174">
        <v>141</v>
      </c>
      <c r="AD174">
        <v>0</v>
      </c>
      <c r="AE174">
        <v>19.239999999999998</v>
      </c>
      <c r="AF174">
        <v>0</v>
      </c>
      <c r="AG174">
        <v>0</v>
      </c>
      <c r="AH174">
        <v>0</v>
      </c>
      <c r="AI174">
        <v>0</v>
      </c>
      <c r="AJ174">
        <v>160.24</v>
      </c>
      <c r="AK174">
        <v>-0.01</v>
      </c>
      <c r="AL174" t="s">
        <v>53</v>
      </c>
      <c r="AM174" t="s">
        <v>53</v>
      </c>
      <c r="AN174" t="s">
        <v>378</v>
      </c>
      <c r="AO174" t="s">
        <v>53</v>
      </c>
      <c r="AP174" t="s">
        <v>53</v>
      </c>
    </row>
    <row r="175" spans="2:42" x14ac:dyDescent="0.2">
      <c r="B175" t="s">
        <v>44</v>
      </c>
      <c r="C175" t="str">
        <f>HYPERLINK("https://us2.cloudbeds.com/connect/8493803454333002#/reservations/598288433368?display=E18YYJQ9&amp;reservation_id=598288433368", "E18YYJQ9")</f>
        <v>E18YYJQ9</v>
      </c>
      <c r="D175" t="s">
        <v>45</v>
      </c>
      <c r="E175" t="s">
        <v>185</v>
      </c>
      <c r="F175" t="s">
        <v>47</v>
      </c>
      <c r="G175" t="s">
        <v>48</v>
      </c>
      <c r="H175" t="s">
        <v>49</v>
      </c>
      <c r="I175" t="s">
        <v>79</v>
      </c>
      <c r="J175" t="s">
        <v>240</v>
      </c>
      <c r="K175" t="s">
        <v>499</v>
      </c>
      <c r="L175" t="s">
        <v>53</v>
      </c>
      <c r="N175" t="s">
        <v>547</v>
      </c>
      <c r="P175" t="s">
        <v>58</v>
      </c>
      <c r="R175" t="s">
        <v>56</v>
      </c>
      <c r="T175" t="s">
        <v>540</v>
      </c>
      <c r="U175" t="s">
        <v>58</v>
      </c>
      <c r="V175">
        <v>1</v>
      </c>
      <c r="W175">
        <v>1</v>
      </c>
      <c r="X175">
        <v>1</v>
      </c>
      <c r="Y175">
        <v>0</v>
      </c>
      <c r="Z175">
        <v>1</v>
      </c>
      <c r="AA175">
        <v>0</v>
      </c>
      <c r="AB175">
        <v>75.69</v>
      </c>
      <c r="AC175">
        <v>66.599999999999994</v>
      </c>
      <c r="AD175">
        <v>0</v>
      </c>
      <c r="AE175">
        <v>9.09</v>
      </c>
      <c r="AF175">
        <v>0</v>
      </c>
      <c r="AG175">
        <v>0</v>
      </c>
      <c r="AH175">
        <v>0</v>
      </c>
      <c r="AI175">
        <v>0</v>
      </c>
      <c r="AJ175">
        <v>75.69</v>
      </c>
      <c r="AK175">
        <v>0</v>
      </c>
      <c r="AL175" t="s">
        <v>53</v>
      </c>
      <c r="AM175" t="s">
        <v>53</v>
      </c>
      <c r="AN175" t="s">
        <v>548</v>
      </c>
      <c r="AO175" t="s">
        <v>53</v>
      </c>
      <c r="AP175" t="s">
        <v>53</v>
      </c>
    </row>
    <row r="176" spans="2:42" x14ac:dyDescent="0.2">
      <c r="B176" t="s">
        <v>44</v>
      </c>
      <c r="C176" t="str">
        <f>HYPERLINK("https://us2.cloudbeds.com/connect/8493803454333002#/reservations/598310846604?display=E197X998&amp;reservation_id=598310846604", "E197X998")</f>
        <v>E197X998</v>
      </c>
      <c r="D176" t="s">
        <v>45</v>
      </c>
      <c r="E176" t="s">
        <v>128</v>
      </c>
      <c r="F176" t="s">
        <v>86</v>
      </c>
      <c r="G176" t="s">
        <v>48</v>
      </c>
      <c r="H176" t="s">
        <v>49</v>
      </c>
      <c r="I176" t="s">
        <v>50</v>
      </c>
      <c r="J176" t="s">
        <v>549</v>
      </c>
      <c r="K176" t="s">
        <v>341</v>
      </c>
      <c r="L176" t="s">
        <v>53</v>
      </c>
      <c r="N176" t="s">
        <v>550</v>
      </c>
      <c r="P176" t="s">
        <v>55</v>
      </c>
      <c r="R176" t="s">
        <v>56</v>
      </c>
      <c r="T176" t="s">
        <v>540</v>
      </c>
      <c r="U176" t="s">
        <v>58</v>
      </c>
      <c r="V176">
        <v>2</v>
      </c>
      <c r="W176">
        <v>1</v>
      </c>
      <c r="X176">
        <v>1</v>
      </c>
      <c r="Y176">
        <v>0</v>
      </c>
      <c r="Z176">
        <v>1</v>
      </c>
      <c r="AA176">
        <v>0</v>
      </c>
      <c r="AB176">
        <v>319.13</v>
      </c>
      <c r="AC176">
        <v>280.8</v>
      </c>
      <c r="AD176">
        <v>0</v>
      </c>
      <c r="AE176">
        <v>38.32</v>
      </c>
      <c r="AF176">
        <v>0</v>
      </c>
      <c r="AG176">
        <v>0</v>
      </c>
      <c r="AH176">
        <v>0</v>
      </c>
      <c r="AI176">
        <v>57.44</v>
      </c>
      <c r="AJ176">
        <v>319.12</v>
      </c>
      <c r="AK176">
        <v>-0.01</v>
      </c>
      <c r="AL176" t="s">
        <v>53</v>
      </c>
      <c r="AM176" t="s">
        <v>53</v>
      </c>
      <c r="AN176" t="s">
        <v>178</v>
      </c>
      <c r="AO176" t="s">
        <v>53</v>
      </c>
      <c r="AP176" t="s">
        <v>53</v>
      </c>
    </row>
    <row r="177" spans="2:42" x14ac:dyDescent="0.2">
      <c r="B177" t="s">
        <v>44</v>
      </c>
      <c r="C177" t="str">
        <f>HYPERLINK("https://us2.cloudbeds.com/connect/8493803454333002#/reservations/598546915541?display=E1F8K85D&amp;reservation_id=598546915541", "E1F8K85D")</f>
        <v>E1F8K85D</v>
      </c>
      <c r="D177" t="s">
        <v>45</v>
      </c>
      <c r="E177" t="s">
        <v>155</v>
      </c>
      <c r="F177" t="s">
        <v>86</v>
      </c>
      <c r="G177" t="s">
        <v>48</v>
      </c>
      <c r="H177" t="s">
        <v>71</v>
      </c>
      <c r="I177" t="s">
        <v>72</v>
      </c>
      <c r="J177" t="s">
        <v>387</v>
      </c>
      <c r="K177" t="s">
        <v>388</v>
      </c>
      <c r="L177" t="s">
        <v>53</v>
      </c>
      <c r="N177" t="s">
        <v>551</v>
      </c>
      <c r="P177" t="s">
        <v>55</v>
      </c>
      <c r="R177" t="s">
        <v>56</v>
      </c>
      <c r="T177" t="s">
        <v>540</v>
      </c>
      <c r="U177" t="s">
        <v>58</v>
      </c>
      <c r="V177">
        <v>1</v>
      </c>
      <c r="W177">
        <v>1</v>
      </c>
      <c r="X177">
        <v>1</v>
      </c>
      <c r="Y177">
        <v>0</v>
      </c>
      <c r="Z177">
        <v>1</v>
      </c>
      <c r="AA177">
        <v>0</v>
      </c>
      <c r="AB177">
        <v>188.66</v>
      </c>
      <c r="AC177">
        <v>166</v>
      </c>
      <c r="AD177">
        <v>0</v>
      </c>
      <c r="AE177">
        <v>22.66</v>
      </c>
      <c r="AF177">
        <v>0</v>
      </c>
      <c r="AG177">
        <v>0</v>
      </c>
      <c r="AH177">
        <v>0</v>
      </c>
      <c r="AI177">
        <v>0</v>
      </c>
      <c r="AJ177">
        <v>188.66</v>
      </c>
      <c r="AK177">
        <v>0</v>
      </c>
      <c r="AL177" t="s">
        <v>53</v>
      </c>
      <c r="AM177" t="s">
        <v>53</v>
      </c>
      <c r="AN177" t="s">
        <v>552</v>
      </c>
      <c r="AO177" t="s">
        <v>53</v>
      </c>
      <c r="AP177" t="s">
        <v>53</v>
      </c>
    </row>
    <row r="178" spans="2:42" x14ac:dyDescent="0.2">
      <c r="B178" t="s">
        <v>44</v>
      </c>
      <c r="C178" t="str">
        <f>HYPERLINK("https://us2.cloudbeds.com/connect/8493803454333002#/reservations/598231077002?display=E1769XVJ&amp;reservation_id=598231077002", "E1769XVJ")</f>
        <v>E1769XVJ</v>
      </c>
      <c r="D178" t="s">
        <v>45</v>
      </c>
      <c r="E178" t="s">
        <v>138</v>
      </c>
      <c r="F178" t="s">
        <v>70</v>
      </c>
      <c r="G178" t="s">
        <v>48</v>
      </c>
      <c r="H178" t="s">
        <v>49</v>
      </c>
      <c r="I178" t="s">
        <v>79</v>
      </c>
      <c r="J178" t="s">
        <v>553</v>
      </c>
      <c r="K178" t="s">
        <v>554</v>
      </c>
      <c r="L178" t="s">
        <v>53</v>
      </c>
      <c r="N178" t="s">
        <v>555</v>
      </c>
      <c r="P178" t="s">
        <v>55</v>
      </c>
      <c r="R178" t="s">
        <v>56</v>
      </c>
      <c r="T178" t="s">
        <v>540</v>
      </c>
      <c r="U178" t="s">
        <v>58</v>
      </c>
      <c r="V178">
        <v>1</v>
      </c>
      <c r="W178">
        <v>1</v>
      </c>
      <c r="X178">
        <v>1</v>
      </c>
      <c r="Y178">
        <v>0</v>
      </c>
      <c r="Z178">
        <v>1</v>
      </c>
      <c r="AA178">
        <v>0</v>
      </c>
      <c r="AB178">
        <v>68.53</v>
      </c>
      <c r="AC178">
        <v>60.3</v>
      </c>
      <c r="AD178">
        <v>0</v>
      </c>
      <c r="AE178">
        <v>8.24</v>
      </c>
      <c r="AF178">
        <v>0</v>
      </c>
      <c r="AG178">
        <v>0</v>
      </c>
      <c r="AH178">
        <v>0</v>
      </c>
      <c r="AI178">
        <v>0</v>
      </c>
      <c r="AJ178">
        <v>68.540000000000006</v>
      </c>
      <c r="AK178">
        <v>0.01</v>
      </c>
      <c r="AL178" t="s">
        <v>53</v>
      </c>
      <c r="AM178" t="s">
        <v>53</v>
      </c>
      <c r="AN178" t="s">
        <v>178</v>
      </c>
      <c r="AO178" t="s">
        <v>53</v>
      </c>
      <c r="AP178" t="s">
        <v>53</v>
      </c>
    </row>
    <row r="179" spans="2:42" x14ac:dyDescent="0.2">
      <c r="B179" t="s">
        <v>44</v>
      </c>
      <c r="C179" t="str">
        <f>HYPERLINK("https://us2.cloudbeds.com/connect/8493803454333002#/reservations/598291980425?display=E18ZY9VS&amp;reservation_id=598291980425", "E18ZY9VS")</f>
        <v>E18ZY9VS</v>
      </c>
      <c r="D179" t="s">
        <v>45</v>
      </c>
      <c r="E179" t="s">
        <v>78</v>
      </c>
      <c r="F179" t="s">
        <v>61</v>
      </c>
      <c r="G179" t="s">
        <v>48</v>
      </c>
      <c r="H179" t="s">
        <v>49</v>
      </c>
      <c r="I179" t="s">
        <v>79</v>
      </c>
      <c r="J179" t="s">
        <v>556</v>
      </c>
      <c r="K179" t="s">
        <v>557</v>
      </c>
      <c r="L179" t="s">
        <v>53</v>
      </c>
      <c r="N179" t="s">
        <v>558</v>
      </c>
      <c r="P179" t="s">
        <v>55</v>
      </c>
      <c r="R179" t="s">
        <v>56</v>
      </c>
      <c r="T179" t="s">
        <v>559</v>
      </c>
      <c r="U179" t="s">
        <v>58</v>
      </c>
      <c r="V179">
        <v>3</v>
      </c>
      <c r="W179">
        <v>1</v>
      </c>
      <c r="X179">
        <v>1</v>
      </c>
      <c r="Y179">
        <v>0</v>
      </c>
      <c r="Z179">
        <v>1</v>
      </c>
      <c r="AA179">
        <v>0</v>
      </c>
      <c r="AB179">
        <v>260.83</v>
      </c>
      <c r="AC179">
        <v>229.5</v>
      </c>
      <c r="AD179">
        <v>0</v>
      </c>
      <c r="AE179">
        <v>31.35</v>
      </c>
      <c r="AF179">
        <v>0</v>
      </c>
      <c r="AG179">
        <v>0</v>
      </c>
      <c r="AH179">
        <v>0</v>
      </c>
      <c r="AI179">
        <v>0</v>
      </c>
      <c r="AJ179">
        <v>260.85000000000002</v>
      </c>
      <c r="AK179">
        <v>0.02</v>
      </c>
      <c r="AL179" t="s">
        <v>53</v>
      </c>
      <c r="AM179" t="s">
        <v>53</v>
      </c>
      <c r="AN179" t="s">
        <v>245</v>
      </c>
      <c r="AO179" t="s">
        <v>53</v>
      </c>
      <c r="AP179" t="s">
        <v>53</v>
      </c>
    </row>
    <row r="180" spans="2:42" x14ac:dyDescent="0.2">
      <c r="B180" t="s">
        <v>44</v>
      </c>
      <c r="C180" t="str">
        <f>HYPERLINK("https://us2.cloudbeds.com/connect/8493803454333002#/reservations/598316355827?display=E19C6J8D&amp;reservation_id=598316355827", "E19C6J8D")</f>
        <v>E19C6J8D</v>
      </c>
      <c r="D180" t="s">
        <v>45</v>
      </c>
      <c r="E180" t="s">
        <v>185</v>
      </c>
      <c r="F180" t="s">
        <v>47</v>
      </c>
      <c r="G180" t="s">
        <v>48</v>
      </c>
      <c r="H180" t="s">
        <v>49</v>
      </c>
      <c r="I180" t="s">
        <v>50</v>
      </c>
      <c r="J180" t="s">
        <v>455</v>
      </c>
      <c r="K180" t="s">
        <v>560</v>
      </c>
      <c r="L180" t="s">
        <v>53</v>
      </c>
      <c r="N180" t="s">
        <v>561</v>
      </c>
      <c r="P180" t="s">
        <v>58</v>
      </c>
      <c r="R180" t="s">
        <v>56</v>
      </c>
      <c r="T180" t="s">
        <v>559</v>
      </c>
      <c r="U180" t="s">
        <v>58</v>
      </c>
      <c r="V180">
        <v>1</v>
      </c>
      <c r="W180">
        <v>1</v>
      </c>
      <c r="X180">
        <v>1</v>
      </c>
      <c r="Y180">
        <v>0</v>
      </c>
      <c r="Z180">
        <v>1</v>
      </c>
      <c r="AA180">
        <v>0</v>
      </c>
      <c r="AB180">
        <v>85.78</v>
      </c>
      <c r="AC180">
        <v>75.48</v>
      </c>
      <c r="AD180">
        <v>0</v>
      </c>
      <c r="AE180">
        <v>10.3</v>
      </c>
      <c r="AF180">
        <v>0</v>
      </c>
      <c r="AG180">
        <v>0</v>
      </c>
      <c r="AH180">
        <v>0</v>
      </c>
      <c r="AI180">
        <v>15.44</v>
      </c>
      <c r="AJ180">
        <v>85.78</v>
      </c>
      <c r="AK180">
        <v>0</v>
      </c>
      <c r="AL180" t="s">
        <v>53</v>
      </c>
      <c r="AM180" t="s">
        <v>53</v>
      </c>
      <c r="AN180" t="s">
        <v>562</v>
      </c>
      <c r="AO180" t="s">
        <v>53</v>
      </c>
      <c r="AP180" t="s">
        <v>53</v>
      </c>
    </row>
    <row r="181" spans="2:42" x14ac:dyDescent="0.2">
      <c r="B181" t="s">
        <v>44</v>
      </c>
      <c r="C181" t="str">
        <f>HYPERLINK("https://us2.cloudbeds.com/connect/8493803454333002#/reservations/598294098101?display=E18QE7XZ&amp;reservation_id=598294098101", "E18QE7XZ")</f>
        <v>E18QE7XZ</v>
      </c>
      <c r="D181" t="s">
        <v>45</v>
      </c>
      <c r="E181" t="s">
        <v>185</v>
      </c>
      <c r="F181" t="s">
        <v>47</v>
      </c>
      <c r="G181" t="s">
        <v>48</v>
      </c>
      <c r="H181" t="s">
        <v>71</v>
      </c>
      <c r="I181" t="s">
        <v>72</v>
      </c>
      <c r="J181" t="s">
        <v>499</v>
      </c>
      <c r="K181" t="s">
        <v>464</v>
      </c>
      <c r="L181" t="s">
        <v>53</v>
      </c>
      <c r="N181" t="s">
        <v>563</v>
      </c>
      <c r="P181" t="s">
        <v>58</v>
      </c>
      <c r="R181" t="s">
        <v>56</v>
      </c>
      <c r="T181" t="s">
        <v>559</v>
      </c>
      <c r="U181" t="s">
        <v>58</v>
      </c>
      <c r="V181">
        <v>1</v>
      </c>
      <c r="W181">
        <v>1</v>
      </c>
      <c r="X181">
        <v>1</v>
      </c>
      <c r="Y181">
        <v>0</v>
      </c>
      <c r="Z181">
        <v>1</v>
      </c>
      <c r="AA181">
        <v>0</v>
      </c>
      <c r="AB181">
        <v>76.150000000000006</v>
      </c>
      <c r="AC181">
        <v>67</v>
      </c>
      <c r="AD181">
        <v>0</v>
      </c>
      <c r="AE181">
        <v>9.15</v>
      </c>
      <c r="AF181">
        <v>0</v>
      </c>
      <c r="AG181">
        <v>0</v>
      </c>
      <c r="AH181">
        <v>0</v>
      </c>
      <c r="AI181">
        <v>0</v>
      </c>
      <c r="AJ181">
        <v>76.150000000000006</v>
      </c>
      <c r="AK181">
        <v>0</v>
      </c>
      <c r="AL181" t="s">
        <v>53</v>
      </c>
      <c r="AM181" t="s">
        <v>53</v>
      </c>
      <c r="AN181" t="s">
        <v>564</v>
      </c>
      <c r="AO181" t="s">
        <v>53</v>
      </c>
      <c r="AP181" t="s">
        <v>53</v>
      </c>
    </row>
    <row r="182" spans="2:42" x14ac:dyDescent="0.2">
      <c r="B182" t="s">
        <v>44</v>
      </c>
      <c r="C182" t="str">
        <f>HYPERLINK("https://us2.cloudbeds.com/connect/8493803454333002#/reservations/598326608015?display=E19KRSXP&amp;reservation_id=598326608015", "E19KRSXP")</f>
        <v>E19KRSXP</v>
      </c>
      <c r="D182" t="s">
        <v>45</v>
      </c>
      <c r="E182" t="s">
        <v>223</v>
      </c>
      <c r="F182" t="s">
        <v>47</v>
      </c>
      <c r="G182" t="s">
        <v>48</v>
      </c>
      <c r="H182" t="s">
        <v>49</v>
      </c>
      <c r="I182" t="s">
        <v>50</v>
      </c>
      <c r="J182" t="s">
        <v>565</v>
      </c>
      <c r="K182" t="s">
        <v>566</v>
      </c>
      <c r="L182" t="s">
        <v>53</v>
      </c>
      <c r="N182" t="s">
        <v>567</v>
      </c>
      <c r="P182" t="s">
        <v>58</v>
      </c>
      <c r="R182" t="s">
        <v>56</v>
      </c>
      <c r="T182" t="s">
        <v>559</v>
      </c>
      <c r="U182" t="s">
        <v>58</v>
      </c>
      <c r="V182">
        <v>1</v>
      </c>
      <c r="W182">
        <v>1</v>
      </c>
      <c r="X182">
        <v>1</v>
      </c>
      <c r="Y182">
        <v>0</v>
      </c>
      <c r="Z182">
        <v>1</v>
      </c>
      <c r="AA182">
        <v>0</v>
      </c>
      <c r="AB182">
        <v>64.44</v>
      </c>
      <c r="AC182">
        <v>56.7</v>
      </c>
      <c r="AD182">
        <v>0</v>
      </c>
      <c r="AE182">
        <v>7.73</v>
      </c>
      <c r="AF182">
        <v>0</v>
      </c>
      <c r="AG182">
        <v>0</v>
      </c>
      <c r="AH182">
        <v>0</v>
      </c>
      <c r="AI182">
        <v>11.6</v>
      </c>
      <c r="AJ182">
        <v>64.430000000000007</v>
      </c>
      <c r="AK182">
        <v>-0.01</v>
      </c>
      <c r="AL182" t="s">
        <v>53</v>
      </c>
      <c r="AM182" t="s">
        <v>53</v>
      </c>
      <c r="AN182" t="s">
        <v>104</v>
      </c>
      <c r="AO182" t="s">
        <v>53</v>
      </c>
      <c r="AP182" t="s">
        <v>53</v>
      </c>
    </row>
    <row r="183" spans="2:42" x14ac:dyDescent="0.2">
      <c r="B183" t="s">
        <v>44</v>
      </c>
      <c r="C183" t="str">
        <f>HYPERLINK("https://us2.cloudbeds.com/connect/8493803454333002#/reservations/598460907739?display=E1D22VFC&amp;reservation_id=598460907739", "E1D22VFC")</f>
        <v>E1D22VFC</v>
      </c>
      <c r="D183" t="s">
        <v>45</v>
      </c>
      <c r="E183" t="s">
        <v>121</v>
      </c>
      <c r="F183" t="s">
        <v>86</v>
      </c>
      <c r="G183" t="s">
        <v>48</v>
      </c>
      <c r="H183" t="s">
        <v>49</v>
      </c>
      <c r="I183" t="s">
        <v>62</v>
      </c>
      <c r="J183" t="s">
        <v>288</v>
      </c>
      <c r="K183" t="s">
        <v>568</v>
      </c>
      <c r="L183" t="s">
        <v>53</v>
      </c>
      <c r="N183" t="s">
        <v>569</v>
      </c>
      <c r="P183" t="s">
        <v>55</v>
      </c>
      <c r="R183" t="s">
        <v>56</v>
      </c>
      <c r="T183" t="s">
        <v>559</v>
      </c>
      <c r="U183" t="s">
        <v>58</v>
      </c>
      <c r="V183">
        <v>2</v>
      </c>
      <c r="W183">
        <v>1</v>
      </c>
      <c r="X183">
        <v>1</v>
      </c>
      <c r="Y183">
        <v>0</v>
      </c>
      <c r="Z183">
        <v>1</v>
      </c>
      <c r="AA183">
        <v>0</v>
      </c>
      <c r="AB183">
        <v>340.95</v>
      </c>
      <c r="AC183">
        <v>300</v>
      </c>
      <c r="AD183">
        <v>0</v>
      </c>
      <c r="AE183">
        <v>40.96</v>
      </c>
      <c r="AF183">
        <v>0</v>
      </c>
      <c r="AG183">
        <v>0</v>
      </c>
      <c r="AH183">
        <v>0</v>
      </c>
      <c r="AI183">
        <v>51.14</v>
      </c>
      <c r="AJ183">
        <v>340.96</v>
      </c>
      <c r="AK183">
        <v>0.01</v>
      </c>
      <c r="AL183" t="s">
        <v>53</v>
      </c>
      <c r="AM183" t="s">
        <v>53</v>
      </c>
      <c r="AN183" t="s">
        <v>146</v>
      </c>
      <c r="AO183" t="s">
        <v>53</v>
      </c>
      <c r="AP183" t="s">
        <v>53</v>
      </c>
    </row>
    <row r="184" spans="2:42" x14ac:dyDescent="0.2">
      <c r="B184" t="s">
        <v>44</v>
      </c>
      <c r="C184" t="str">
        <f>HYPERLINK("https://us2.cloudbeds.com/connect/8493803454333002#/reservations/598351474829?display=E1A8QR3J&amp;reservation_id=598351474829", "E1A8QR3J")</f>
        <v>E1A8QR3J</v>
      </c>
      <c r="D184" t="s">
        <v>45</v>
      </c>
      <c r="E184" t="s">
        <v>69</v>
      </c>
      <c r="F184" t="s">
        <v>70</v>
      </c>
      <c r="G184" t="s">
        <v>48</v>
      </c>
      <c r="H184" t="s">
        <v>49</v>
      </c>
      <c r="I184" t="s">
        <v>79</v>
      </c>
      <c r="J184" t="s">
        <v>499</v>
      </c>
      <c r="K184" t="s">
        <v>464</v>
      </c>
      <c r="L184" t="s">
        <v>53</v>
      </c>
      <c r="N184" t="s">
        <v>570</v>
      </c>
      <c r="P184" t="s">
        <v>55</v>
      </c>
      <c r="R184" t="s">
        <v>56</v>
      </c>
      <c r="T184" t="s">
        <v>559</v>
      </c>
      <c r="U184" t="s">
        <v>58</v>
      </c>
      <c r="V184">
        <v>1</v>
      </c>
      <c r="W184">
        <v>1</v>
      </c>
      <c r="X184">
        <v>1</v>
      </c>
      <c r="Y184">
        <v>0</v>
      </c>
      <c r="Z184">
        <v>1</v>
      </c>
      <c r="AA184">
        <v>0</v>
      </c>
      <c r="AB184">
        <v>68.53</v>
      </c>
      <c r="AC184">
        <v>60.3</v>
      </c>
      <c r="AD184">
        <v>0</v>
      </c>
      <c r="AE184">
        <v>8.24</v>
      </c>
      <c r="AF184">
        <v>0</v>
      </c>
      <c r="AG184">
        <v>0</v>
      </c>
      <c r="AH184">
        <v>0</v>
      </c>
      <c r="AI184">
        <v>0</v>
      </c>
      <c r="AJ184">
        <v>68.540000000000006</v>
      </c>
      <c r="AK184">
        <v>0.01</v>
      </c>
      <c r="AL184" t="s">
        <v>53</v>
      </c>
      <c r="AM184" t="s">
        <v>53</v>
      </c>
      <c r="AN184" t="s">
        <v>132</v>
      </c>
      <c r="AO184" t="s">
        <v>53</v>
      </c>
      <c r="AP184" t="s">
        <v>53</v>
      </c>
    </row>
    <row r="185" spans="2:42" x14ac:dyDescent="0.2">
      <c r="B185" t="s">
        <v>44</v>
      </c>
      <c r="C185" t="str">
        <f>HYPERLINK("https://us2.cloudbeds.com/connect/8493803454333002#/reservations/598148890764?display=E152WKGH&amp;reservation_id=598148890764", "E152WKGH")</f>
        <v>E152WKGH</v>
      </c>
      <c r="D185" t="s">
        <v>45</v>
      </c>
      <c r="E185" t="s">
        <v>373</v>
      </c>
      <c r="F185" t="s">
        <v>47</v>
      </c>
      <c r="G185" t="s">
        <v>48</v>
      </c>
      <c r="H185" t="s">
        <v>49</v>
      </c>
      <c r="I185" t="s">
        <v>79</v>
      </c>
      <c r="J185" t="s">
        <v>499</v>
      </c>
      <c r="K185" t="s">
        <v>464</v>
      </c>
      <c r="L185" t="s">
        <v>53</v>
      </c>
      <c r="N185" t="s">
        <v>571</v>
      </c>
      <c r="P185" t="s">
        <v>55</v>
      </c>
      <c r="R185" t="s">
        <v>56</v>
      </c>
      <c r="T185" t="s">
        <v>559</v>
      </c>
      <c r="U185" t="s">
        <v>58</v>
      </c>
      <c r="V185">
        <v>1</v>
      </c>
      <c r="W185">
        <v>1</v>
      </c>
      <c r="X185">
        <v>1</v>
      </c>
      <c r="Y185">
        <v>0</v>
      </c>
      <c r="Z185">
        <v>1</v>
      </c>
      <c r="AA185">
        <v>0</v>
      </c>
      <c r="AB185">
        <v>75.69</v>
      </c>
      <c r="AC185">
        <v>66.599999999999994</v>
      </c>
      <c r="AD185">
        <v>0</v>
      </c>
      <c r="AE185">
        <v>9.09</v>
      </c>
      <c r="AF185">
        <v>0</v>
      </c>
      <c r="AG185">
        <v>0</v>
      </c>
      <c r="AH185">
        <v>0</v>
      </c>
      <c r="AI185">
        <v>0</v>
      </c>
      <c r="AJ185">
        <v>75.69</v>
      </c>
      <c r="AK185">
        <v>0</v>
      </c>
      <c r="AL185" t="s">
        <v>53</v>
      </c>
      <c r="AM185" t="s">
        <v>53</v>
      </c>
      <c r="AN185" t="s">
        <v>104</v>
      </c>
      <c r="AO185" t="s">
        <v>53</v>
      </c>
      <c r="AP185" t="s">
        <v>53</v>
      </c>
    </row>
    <row r="186" spans="2:42" x14ac:dyDescent="0.2">
      <c r="B186" t="s">
        <v>44</v>
      </c>
      <c r="C186" t="str">
        <f>HYPERLINK("https://us2.cloudbeds.com/connect/8493803454333002#/reservations/598503227523?display=E1E4PXK2&amp;reservation_id=598503227523", "E1E4PXK2")</f>
        <v>E1E4PXK2</v>
      </c>
      <c r="D186" t="s">
        <v>45</v>
      </c>
      <c r="E186" t="s">
        <v>373</v>
      </c>
      <c r="F186" t="s">
        <v>47</v>
      </c>
      <c r="G186" t="s">
        <v>48</v>
      </c>
      <c r="H186" t="s">
        <v>71</v>
      </c>
      <c r="I186" t="s">
        <v>72</v>
      </c>
      <c r="J186" t="s">
        <v>122</v>
      </c>
      <c r="K186" t="s">
        <v>475</v>
      </c>
      <c r="L186" t="s">
        <v>53</v>
      </c>
      <c r="N186" t="s">
        <v>572</v>
      </c>
      <c r="P186" t="s">
        <v>55</v>
      </c>
      <c r="R186" t="s">
        <v>56</v>
      </c>
      <c r="T186" t="s">
        <v>559</v>
      </c>
      <c r="U186" t="s">
        <v>58</v>
      </c>
      <c r="V186">
        <v>2</v>
      </c>
      <c r="W186">
        <v>1</v>
      </c>
      <c r="X186">
        <v>1</v>
      </c>
      <c r="Y186">
        <v>0</v>
      </c>
      <c r="Z186">
        <v>1</v>
      </c>
      <c r="AA186">
        <v>0</v>
      </c>
      <c r="AB186">
        <v>301.17</v>
      </c>
      <c r="AC186">
        <v>265</v>
      </c>
      <c r="AD186">
        <v>0</v>
      </c>
      <c r="AE186">
        <v>36.18</v>
      </c>
      <c r="AF186">
        <v>0</v>
      </c>
      <c r="AG186">
        <v>0</v>
      </c>
      <c r="AH186">
        <v>0</v>
      </c>
      <c r="AI186">
        <v>0</v>
      </c>
      <c r="AJ186">
        <v>301.18</v>
      </c>
      <c r="AK186">
        <v>0.01</v>
      </c>
      <c r="AL186" t="s">
        <v>53</v>
      </c>
      <c r="AM186" t="s">
        <v>53</v>
      </c>
      <c r="AN186" t="s">
        <v>573</v>
      </c>
      <c r="AO186" t="s">
        <v>53</v>
      </c>
      <c r="AP186" t="s">
        <v>53</v>
      </c>
    </row>
    <row r="187" spans="2:42" x14ac:dyDescent="0.2">
      <c r="B187" t="s">
        <v>44</v>
      </c>
      <c r="C187" t="str">
        <f>HYPERLINK("https://us2.cloudbeds.com/connect/8493803454333002#/reservations/597933281447?display=E0WJ5W4S&amp;reservation_id=597933281447", "E0WJ5W4S")</f>
        <v>E0WJ5W4S</v>
      </c>
      <c r="D187" t="s">
        <v>45</v>
      </c>
      <c r="E187" t="s">
        <v>113</v>
      </c>
      <c r="F187" t="s">
        <v>61</v>
      </c>
      <c r="G187" t="s">
        <v>48</v>
      </c>
      <c r="H187" t="s">
        <v>49</v>
      </c>
      <c r="I187" t="s">
        <v>79</v>
      </c>
      <c r="J187" t="s">
        <v>464</v>
      </c>
      <c r="K187" t="s">
        <v>277</v>
      </c>
      <c r="L187" t="s">
        <v>53</v>
      </c>
      <c r="N187" t="s">
        <v>574</v>
      </c>
      <c r="P187" t="s">
        <v>55</v>
      </c>
      <c r="R187" t="s">
        <v>56</v>
      </c>
      <c r="T187" t="s">
        <v>575</v>
      </c>
      <c r="U187" t="s">
        <v>58</v>
      </c>
      <c r="V187">
        <v>1</v>
      </c>
      <c r="W187">
        <v>1</v>
      </c>
      <c r="X187">
        <v>1</v>
      </c>
      <c r="Y187">
        <v>0</v>
      </c>
      <c r="Z187">
        <v>1</v>
      </c>
      <c r="AA187">
        <v>0</v>
      </c>
      <c r="AB187">
        <v>80.81</v>
      </c>
      <c r="AC187">
        <v>71.099999999999994</v>
      </c>
      <c r="AD187">
        <v>0</v>
      </c>
      <c r="AE187">
        <v>9.6999999999999993</v>
      </c>
      <c r="AF187">
        <v>0</v>
      </c>
      <c r="AG187">
        <v>0</v>
      </c>
      <c r="AH187">
        <v>0</v>
      </c>
      <c r="AI187">
        <v>0</v>
      </c>
      <c r="AJ187">
        <v>80.8</v>
      </c>
      <c r="AK187">
        <v>-0.01</v>
      </c>
      <c r="AL187" t="s">
        <v>53</v>
      </c>
      <c r="AM187" t="s">
        <v>53</v>
      </c>
      <c r="AN187" t="s">
        <v>112</v>
      </c>
      <c r="AO187" t="s">
        <v>53</v>
      </c>
      <c r="AP187" t="s">
        <v>53</v>
      </c>
    </row>
    <row r="188" spans="2:42" x14ac:dyDescent="0.2">
      <c r="B188" t="s">
        <v>44</v>
      </c>
      <c r="C188" t="str">
        <f>HYPERLINK("https://us2.cloudbeds.com/connect/8493803454333002#/reservations/598430752986?display=E1C9YS4W&amp;reservation_id=598430752986", "E1C9YS4W")</f>
        <v>E1C9YS4W</v>
      </c>
      <c r="D188" t="s">
        <v>45</v>
      </c>
      <c r="E188" t="s">
        <v>213</v>
      </c>
      <c r="F188" t="s">
        <v>86</v>
      </c>
      <c r="G188" t="s">
        <v>48</v>
      </c>
      <c r="H188" t="s">
        <v>49</v>
      </c>
      <c r="I188" t="s">
        <v>79</v>
      </c>
      <c r="J188" t="s">
        <v>478</v>
      </c>
      <c r="K188" t="s">
        <v>237</v>
      </c>
      <c r="L188" t="s">
        <v>53</v>
      </c>
      <c r="N188" t="s">
        <v>576</v>
      </c>
      <c r="P188" t="s">
        <v>55</v>
      </c>
      <c r="R188" t="s">
        <v>56</v>
      </c>
      <c r="T188" t="s">
        <v>575</v>
      </c>
      <c r="U188" t="s">
        <v>58</v>
      </c>
      <c r="V188">
        <v>2</v>
      </c>
      <c r="W188">
        <v>1</v>
      </c>
      <c r="X188">
        <v>1</v>
      </c>
      <c r="Y188">
        <v>0</v>
      </c>
      <c r="Z188">
        <v>1</v>
      </c>
      <c r="AA188">
        <v>0</v>
      </c>
      <c r="AB188">
        <v>306.86</v>
      </c>
      <c r="AC188">
        <v>270</v>
      </c>
      <c r="AD188">
        <v>0</v>
      </c>
      <c r="AE188">
        <v>36.880000000000003</v>
      </c>
      <c r="AF188">
        <v>0</v>
      </c>
      <c r="AG188">
        <v>0</v>
      </c>
      <c r="AH188">
        <v>0</v>
      </c>
      <c r="AI188">
        <v>0</v>
      </c>
      <c r="AJ188">
        <v>306.88</v>
      </c>
      <c r="AK188">
        <v>0.02</v>
      </c>
      <c r="AL188" t="s">
        <v>53</v>
      </c>
      <c r="AM188" t="s">
        <v>53</v>
      </c>
      <c r="AN188" t="s">
        <v>225</v>
      </c>
      <c r="AO188" t="s">
        <v>53</v>
      </c>
      <c r="AP188" t="s">
        <v>53</v>
      </c>
    </row>
    <row r="189" spans="2:42" x14ac:dyDescent="0.2">
      <c r="B189" t="s">
        <v>44</v>
      </c>
      <c r="C189" t="str">
        <f>HYPERLINK("https://us2.cloudbeds.com/connect/8493803454333002#/reservations/598434529428?display=E1CCRUVJ&amp;reservation_id=598434529428", "E1CCRUVJ")</f>
        <v>E1CCRUVJ</v>
      </c>
      <c r="D189" t="s">
        <v>45</v>
      </c>
      <c r="E189" t="s">
        <v>381</v>
      </c>
      <c r="F189" t="s">
        <v>47</v>
      </c>
      <c r="G189" t="s">
        <v>48</v>
      </c>
      <c r="H189" t="s">
        <v>71</v>
      </c>
      <c r="I189" t="s">
        <v>72</v>
      </c>
      <c r="J189" t="s">
        <v>464</v>
      </c>
      <c r="K189" t="s">
        <v>277</v>
      </c>
      <c r="L189" t="s">
        <v>53</v>
      </c>
      <c r="N189" t="s">
        <v>577</v>
      </c>
      <c r="P189" t="s">
        <v>58</v>
      </c>
      <c r="R189" t="s">
        <v>56</v>
      </c>
      <c r="T189" t="s">
        <v>575</v>
      </c>
      <c r="U189" t="s">
        <v>58</v>
      </c>
      <c r="V189">
        <v>1</v>
      </c>
      <c r="W189">
        <v>1</v>
      </c>
      <c r="X189">
        <v>1</v>
      </c>
      <c r="Y189">
        <v>0</v>
      </c>
      <c r="Z189">
        <v>1</v>
      </c>
      <c r="AA189">
        <v>0</v>
      </c>
      <c r="AB189">
        <v>78.42</v>
      </c>
      <c r="AC189">
        <v>69</v>
      </c>
      <c r="AD189">
        <v>0</v>
      </c>
      <c r="AE189">
        <v>9.42</v>
      </c>
      <c r="AF189">
        <v>0</v>
      </c>
      <c r="AG189">
        <v>0</v>
      </c>
      <c r="AH189">
        <v>0</v>
      </c>
      <c r="AI189">
        <v>0</v>
      </c>
      <c r="AJ189">
        <v>78.42</v>
      </c>
      <c r="AK189">
        <v>0</v>
      </c>
      <c r="AL189" t="s">
        <v>53</v>
      </c>
      <c r="AM189" t="s">
        <v>53</v>
      </c>
      <c r="AN189" t="s">
        <v>378</v>
      </c>
      <c r="AO189" t="s">
        <v>53</v>
      </c>
      <c r="AP189" t="s">
        <v>53</v>
      </c>
    </row>
    <row r="190" spans="2:42" x14ac:dyDescent="0.2">
      <c r="B190" t="s">
        <v>44</v>
      </c>
      <c r="C190" t="str">
        <f>HYPERLINK("https://us2.cloudbeds.com/connect/8493803454333002#/reservations/598336622845?display=E19T9HUF&amp;reservation_id=598336622845", "E19T9HUF")</f>
        <v>E19T9HUF</v>
      </c>
      <c r="D190" t="s">
        <v>45</v>
      </c>
      <c r="E190" t="s">
        <v>110</v>
      </c>
      <c r="F190" t="s">
        <v>47</v>
      </c>
      <c r="G190" t="s">
        <v>48</v>
      </c>
      <c r="H190" t="s">
        <v>71</v>
      </c>
      <c r="I190" t="s">
        <v>72</v>
      </c>
      <c r="J190" t="s">
        <v>464</v>
      </c>
      <c r="K190" t="s">
        <v>336</v>
      </c>
      <c r="L190" t="s">
        <v>53</v>
      </c>
      <c r="N190" t="s">
        <v>578</v>
      </c>
      <c r="P190" t="s">
        <v>55</v>
      </c>
      <c r="R190" t="s">
        <v>56</v>
      </c>
      <c r="T190" t="s">
        <v>575</v>
      </c>
      <c r="U190" t="s">
        <v>58</v>
      </c>
      <c r="V190">
        <v>2</v>
      </c>
      <c r="W190">
        <v>1</v>
      </c>
      <c r="X190">
        <v>1</v>
      </c>
      <c r="Y190">
        <v>0</v>
      </c>
      <c r="Z190">
        <v>1</v>
      </c>
      <c r="AA190">
        <v>0</v>
      </c>
      <c r="AB190">
        <v>160.25</v>
      </c>
      <c r="AC190">
        <v>141</v>
      </c>
      <c r="AD190">
        <v>0</v>
      </c>
      <c r="AE190">
        <v>19.239999999999998</v>
      </c>
      <c r="AF190">
        <v>0</v>
      </c>
      <c r="AG190">
        <v>0</v>
      </c>
      <c r="AH190">
        <v>0</v>
      </c>
      <c r="AI190">
        <v>0</v>
      </c>
      <c r="AJ190">
        <v>160.24</v>
      </c>
      <c r="AK190">
        <v>-0.01</v>
      </c>
      <c r="AL190" t="s">
        <v>53</v>
      </c>
      <c r="AM190" t="s">
        <v>53</v>
      </c>
      <c r="AN190" t="s">
        <v>378</v>
      </c>
      <c r="AO190" t="s">
        <v>53</v>
      </c>
      <c r="AP190" t="s">
        <v>53</v>
      </c>
    </row>
    <row r="191" spans="2:42" x14ac:dyDescent="0.2">
      <c r="B191" t="s">
        <v>44</v>
      </c>
      <c r="C191" t="str">
        <f>HYPERLINK("https://us2.cloudbeds.com/connect/8493803454333002#/reservations/598296944852?display=E18SREM1&amp;reservation_id=598296944852", "E18SREM1")</f>
        <v>E18SREM1</v>
      </c>
      <c r="D191" t="s">
        <v>45</v>
      </c>
      <c r="E191" t="s">
        <v>46</v>
      </c>
      <c r="F191" t="s">
        <v>47</v>
      </c>
      <c r="G191" t="s">
        <v>48</v>
      </c>
      <c r="H191" t="s">
        <v>49</v>
      </c>
      <c r="I191" t="s">
        <v>79</v>
      </c>
      <c r="J191" t="s">
        <v>464</v>
      </c>
      <c r="K191" t="s">
        <v>277</v>
      </c>
      <c r="L191" t="s">
        <v>53</v>
      </c>
      <c r="N191" t="s">
        <v>579</v>
      </c>
      <c r="P191" t="s">
        <v>55</v>
      </c>
      <c r="R191" t="s">
        <v>56</v>
      </c>
      <c r="T191" t="s">
        <v>575</v>
      </c>
      <c r="U191" t="s">
        <v>58</v>
      </c>
      <c r="V191">
        <v>1</v>
      </c>
      <c r="W191">
        <v>1</v>
      </c>
      <c r="X191">
        <v>1</v>
      </c>
      <c r="Y191">
        <v>0</v>
      </c>
      <c r="Z191">
        <v>1</v>
      </c>
      <c r="AA191">
        <v>0</v>
      </c>
      <c r="AB191">
        <v>75.69</v>
      </c>
      <c r="AC191">
        <v>66.599999999999994</v>
      </c>
      <c r="AD191">
        <v>0</v>
      </c>
      <c r="AE191">
        <v>9.09</v>
      </c>
      <c r="AF191">
        <v>0</v>
      </c>
      <c r="AG191">
        <v>0</v>
      </c>
      <c r="AH191">
        <v>0</v>
      </c>
      <c r="AI191">
        <v>0</v>
      </c>
      <c r="AJ191">
        <v>75.69</v>
      </c>
      <c r="AK191">
        <v>0</v>
      </c>
      <c r="AL191" t="s">
        <v>53</v>
      </c>
      <c r="AM191" t="s">
        <v>53</v>
      </c>
      <c r="AN191" t="s">
        <v>252</v>
      </c>
      <c r="AO191" t="s">
        <v>53</v>
      </c>
      <c r="AP191" t="s">
        <v>53</v>
      </c>
    </row>
    <row r="192" spans="2:42" x14ac:dyDescent="0.2">
      <c r="B192" t="s">
        <v>44</v>
      </c>
      <c r="C192" t="str">
        <f>HYPERLINK("https://us2.cloudbeds.com/connect/8493803454333002#/reservations/598463406208?display=E1CSHKXY&amp;reservation_id=598463406208", "E1CSHKXY")</f>
        <v>E1CSHKXY</v>
      </c>
      <c r="D192" t="s">
        <v>45</v>
      </c>
      <c r="E192" t="s">
        <v>110</v>
      </c>
      <c r="F192" t="s">
        <v>47</v>
      </c>
      <c r="G192" t="s">
        <v>48</v>
      </c>
      <c r="H192" t="s">
        <v>49</v>
      </c>
      <c r="I192" t="s">
        <v>79</v>
      </c>
      <c r="J192" t="s">
        <v>336</v>
      </c>
      <c r="K192" t="s">
        <v>337</v>
      </c>
      <c r="L192" t="s">
        <v>53</v>
      </c>
      <c r="N192" t="s">
        <v>580</v>
      </c>
      <c r="P192" t="s">
        <v>55</v>
      </c>
      <c r="R192" t="s">
        <v>56</v>
      </c>
      <c r="T192" t="s">
        <v>575</v>
      </c>
      <c r="U192" t="s">
        <v>58</v>
      </c>
      <c r="V192">
        <v>1</v>
      </c>
      <c r="W192">
        <v>1</v>
      </c>
      <c r="X192">
        <v>1</v>
      </c>
      <c r="Y192">
        <v>0</v>
      </c>
      <c r="Z192">
        <v>1</v>
      </c>
      <c r="AA192">
        <v>0</v>
      </c>
      <c r="AB192">
        <v>78.760000000000005</v>
      </c>
      <c r="AC192">
        <v>69.3</v>
      </c>
      <c r="AD192">
        <v>0</v>
      </c>
      <c r="AE192">
        <v>9.4700000000000006</v>
      </c>
      <c r="AF192">
        <v>0</v>
      </c>
      <c r="AG192">
        <v>0</v>
      </c>
      <c r="AH192">
        <v>0</v>
      </c>
      <c r="AI192">
        <v>0</v>
      </c>
      <c r="AJ192">
        <v>78.77</v>
      </c>
      <c r="AK192">
        <v>0.01</v>
      </c>
      <c r="AL192" t="s">
        <v>53</v>
      </c>
      <c r="AM192" t="s">
        <v>53</v>
      </c>
      <c r="AN192" t="s">
        <v>245</v>
      </c>
      <c r="AO192" t="s">
        <v>53</v>
      </c>
      <c r="AP192" t="s">
        <v>53</v>
      </c>
    </row>
    <row r="193" spans="2:42" x14ac:dyDescent="0.2">
      <c r="B193" t="s">
        <v>44</v>
      </c>
      <c r="C193" t="str">
        <f>HYPERLINK("https://us2.cloudbeds.com/connect/8493803454333002#/reservations/598305636490?display=E19359VW&amp;reservation_id=598305636490", "E19359VW")</f>
        <v>E19359VW</v>
      </c>
      <c r="D193" t="s">
        <v>45</v>
      </c>
      <c r="E193" t="s">
        <v>69</v>
      </c>
      <c r="F193" t="s">
        <v>70</v>
      </c>
      <c r="G193" t="s">
        <v>48</v>
      </c>
      <c r="H193" t="s">
        <v>49</v>
      </c>
      <c r="I193" t="s">
        <v>50</v>
      </c>
      <c r="J193" t="s">
        <v>336</v>
      </c>
      <c r="K193" t="s">
        <v>337</v>
      </c>
      <c r="L193" t="s">
        <v>53</v>
      </c>
      <c r="N193" t="s">
        <v>581</v>
      </c>
      <c r="P193" t="s">
        <v>55</v>
      </c>
      <c r="R193" t="s">
        <v>56</v>
      </c>
      <c r="T193" t="s">
        <v>582</v>
      </c>
      <c r="U193" t="s">
        <v>58</v>
      </c>
      <c r="V193">
        <v>1</v>
      </c>
      <c r="W193">
        <v>1</v>
      </c>
      <c r="X193">
        <v>1</v>
      </c>
      <c r="Y193">
        <v>0</v>
      </c>
      <c r="Z193">
        <v>1</v>
      </c>
      <c r="AA193">
        <v>0</v>
      </c>
      <c r="AB193">
        <v>70.58</v>
      </c>
      <c r="AC193">
        <v>62.1</v>
      </c>
      <c r="AD193">
        <v>0</v>
      </c>
      <c r="AE193">
        <v>8.4700000000000006</v>
      </c>
      <c r="AF193">
        <v>0</v>
      </c>
      <c r="AG193">
        <v>0</v>
      </c>
      <c r="AH193">
        <v>0</v>
      </c>
      <c r="AI193">
        <v>12.7</v>
      </c>
      <c r="AJ193">
        <v>70.569999999999993</v>
      </c>
      <c r="AK193">
        <v>-0.01</v>
      </c>
      <c r="AL193" t="s">
        <v>53</v>
      </c>
      <c r="AM193" t="s">
        <v>53</v>
      </c>
      <c r="AN193" t="s">
        <v>252</v>
      </c>
      <c r="AO193" t="s">
        <v>53</v>
      </c>
      <c r="AP193" t="s">
        <v>53</v>
      </c>
    </row>
    <row r="194" spans="2:42" x14ac:dyDescent="0.2">
      <c r="B194" t="s">
        <v>44</v>
      </c>
      <c r="C194" t="str">
        <f>HYPERLINK("https://us2.cloudbeds.com/connect/8493803454333002#/reservations/598044090617?display=E12DKD9G&amp;reservation_id=598044090617", "E12DKD9G")</f>
        <v>E12DKD9G</v>
      </c>
      <c r="D194" t="s">
        <v>45</v>
      </c>
      <c r="E194" t="s">
        <v>190</v>
      </c>
      <c r="F194" t="s">
        <v>61</v>
      </c>
      <c r="G194" t="s">
        <v>48</v>
      </c>
      <c r="H194" t="s">
        <v>71</v>
      </c>
      <c r="I194" t="s">
        <v>72</v>
      </c>
      <c r="J194" t="s">
        <v>148</v>
      </c>
      <c r="K194" t="s">
        <v>73</v>
      </c>
      <c r="L194" t="s">
        <v>53</v>
      </c>
      <c r="N194" t="s">
        <v>583</v>
      </c>
      <c r="P194" t="s">
        <v>58</v>
      </c>
      <c r="R194" t="s">
        <v>56</v>
      </c>
      <c r="T194" t="s">
        <v>582</v>
      </c>
      <c r="U194" t="s">
        <v>58</v>
      </c>
      <c r="V194">
        <v>3</v>
      </c>
      <c r="W194">
        <v>1</v>
      </c>
      <c r="X194">
        <v>1</v>
      </c>
      <c r="Y194">
        <v>0</v>
      </c>
      <c r="Z194">
        <v>1</v>
      </c>
      <c r="AA194">
        <v>0</v>
      </c>
      <c r="AB194">
        <v>136.38</v>
      </c>
      <c r="AC194">
        <v>120</v>
      </c>
      <c r="AD194">
        <v>0</v>
      </c>
      <c r="AE194">
        <v>16.38</v>
      </c>
      <c r="AF194">
        <v>0</v>
      </c>
      <c r="AG194">
        <v>0</v>
      </c>
      <c r="AH194">
        <v>0</v>
      </c>
      <c r="AI194">
        <v>0</v>
      </c>
      <c r="AJ194">
        <v>136.38</v>
      </c>
      <c r="AK194">
        <v>0</v>
      </c>
      <c r="AL194" t="s">
        <v>53</v>
      </c>
      <c r="AM194" t="s">
        <v>53</v>
      </c>
      <c r="AN194" t="s">
        <v>584</v>
      </c>
      <c r="AO194" t="s">
        <v>53</v>
      </c>
      <c r="AP194" t="s">
        <v>53</v>
      </c>
    </row>
    <row r="195" spans="2:42" x14ac:dyDescent="0.2">
      <c r="B195" t="s">
        <v>44</v>
      </c>
      <c r="C195" t="str">
        <f>HYPERLINK("https://us2.cloudbeds.com/connect/8493803454333002#/reservations/598023741590?display=E11TF5AA&amp;reservation_id=598023741590", "E11TF5AA")</f>
        <v>E11TF5AA</v>
      </c>
      <c r="D195" t="s">
        <v>45</v>
      </c>
      <c r="E195" t="s">
        <v>185</v>
      </c>
      <c r="F195" t="s">
        <v>47</v>
      </c>
      <c r="G195" t="s">
        <v>48</v>
      </c>
      <c r="H195" t="s">
        <v>49</v>
      </c>
      <c r="I195" t="s">
        <v>50</v>
      </c>
      <c r="J195" t="s">
        <v>585</v>
      </c>
      <c r="K195" t="s">
        <v>586</v>
      </c>
      <c r="L195" t="s">
        <v>53</v>
      </c>
      <c r="N195" t="s">
        <v>587</v>
      </c>
      <c r="P195" t="s">
        <v>58</v>
      </c>
      <c r="R195" t="s">
        <v>56</v>
      </c>
      <c r="T195" t="s">
        <v>582</v>
      </c>
      <c r="U195" t="s">
        <v>58</v>
      </c>
      <c r="V195">
        <v>1</v>
      </c>
      <c r="W195">
        <v>1</v>
      </c>
      <c r="X195">
        <v>1</v>
      </c>
      <c r="Y195">
        <v>0</v>
      </c>
      <c r="Z195">
        <v>1</v>
      </c>
      <c r="AA195">
        <v>0</v>
      </c>
      <c r="AB195">
        <v>70.58</v>
      </c>
      <c r="AC195">
        <v>62.1</v>
      </c>
      <c r="AD195">
        <v>0</v>
      </c>
      <c r="AE195">
        <v>8.4700000000000006</v>
      </c>
      <c r="AF195">
        <v>0</v>
      </c>
      <c r="AG195">
        <v>0</v>
      </c>
      <c r="AH195">
        <v>0</v>
      </c>
      <c r="AI195">
        <v>12.7</v>
      </c>
      <c r="AJ195">
        <v>70.569999999999993</v>
      </c>
      <c r="AK195">
        <v>-0.01</v>
      </c>
      <c r="AL195" t="s">
        <v>53</v>
      </c>
      <c r="AM195" t="s">
        <v>53</v>
      </c>
      <c r="AN195" t="s">
        <v>112</v>
      </c>
      <c r="AO195" t="s">
        <v>53</v>
      </c>
      <c r="AP195" t="s">
        <v>53</v>
      </c>
    </row>
    <row r="196" spans="2:42" x14ac:dyDescent="0.2">
      <c r="B196" t="s">
        <v>44</v>
      </c>
      <c r="C196" t="str">
        <f>HYPERLINK("https://us2.cloudbeds.com/connect/8493803454333002#/reservations/598435692673?display=E1CDRA4F&amp;reservation_id=598435692673", "E1CDRA4F")</f>
        <v>E1CDRA4F</v>
      </c>
      <c r="D196" t="s">
        <v>45</v>
      </c>
      <c r="E196" t="s">
        <v>190</v>
      </c>
      <c r="F196" t="s">
        <v>61</v>
      </c>
      <c r="G196" t="s">
        <v>48</v>
      </c>
      <c r="H196" t="s">
        <v>71</v>
      </c>
      <c r="I196" t="s">
        <v>72</v>
      </c>
      <c r="J196" t="s">
        <v>180</v>
      </c>
      <c r="K196" t="s">
        <v>122</v>
      </c>
      <c r="L196" t="s">
        <v>53</v>
      </c>
      <c r="N196" t="s">
        <v>588</v>
      </c>
      <c r="P196" t="s">
        <v>55</v>
      </c>
      <c r="R196" t="s">
        <v>56</v>
      </c>
      <c r="T196" t="s">
        <v>589</v>
      </c>
      <c r="U196" t="s">
        <v>58</v>
      </c>
      <c r="V196">
        <v>2</v>
      </c>
      <c r="W196">
        <v>1</v>
      </c>
      <c r="X196">
        <v>1</v>
      </c>
      <c r="Y196">
        <v>0</v>
      </c>
      <c r="Z196">
        <v>1</v>
      </c>
      <c r="AA196">
        <v>0</v>
      </c>
      <c r="AB196">
        <v>321.63</v>
      </c>
      <c r="AC196">
        <v>283</v>
      </c>
      <c r="AD196">
        <v>0</v>
      </c>
      <c r="AE196">
        <v>38.619999999999997</v>
      </c>
      <c r="AF196">
        <v>0</v>
      </c>
      <c r="AG196">
        <v>0</v>
      </c>
      <c r="AH196">
        <v>0</v>
      </c>
      <c r="AI196">
        <v>0</v>
      </c>
      <c r="AJ196">
        <v>321.62</v>
      </c>
      <c r="AK196">
        <v>-0.01</v>
      </c>
      <c r="AL196" t="s">
        <v>53</v>
      </c>
      <c r="AM196" t="s">
        <v>53</v>
      </c>
      <c r="AN196" t="s">
        <v>590</v>
      </c>
      <c r="AO196" t="s">
        <v>53</v>
      </c>
      <c r="AP196" t="s">
        <v>53</v>
      </c>
    </row>
    <row r="197" spans="2:42" x14ac:dyDescent="0.2">
      <c r="B197" t="s">
        <v>44</v>
      </c>
      <c r="C197" t="str">
        <f>HYPERLINK("https://us2.cloudbeds.com/connect/8493803454333002#/reservations/598491181290?display=E1DRKBSN&amp;reservation_id=598491181290", "E1DRKBSN")</f>
        <v>E1DRKBSN</v>
      </c>
      <c r="D197" t="s">
        <v>45</v>
      </c>
      <c r="E197" t="s">
        <v>92</v>
      </c>
      <c r="F197" t="s">
        <v>86</v>
      </c>
      <c r="G197" t="s">
        <v>48</v>
      </c>
      <c r="H197" t="s">
        <v>49</v>
      </c>
      <c r="I197" t="s">
        <v>50</v>
      </c>
      <c r="J197" t="s">
        <v>478</v>
      </c>
      <c r="K197" t="s">
        <v>237</v>
      </c>
      <c r="L197" t="s">
        <v>53</v>
      </c>
      <c r="N197" t="s">
        <v>591</v>
      </c>
      <c r="P197" t="s">
        <v>55</v>
      </c>
      <c r="R197" t="s">
        <v>56</v>
      </c>
      <c r="T197" t="s">
        <v>589</v>
      </c>
      <c r="U197" t="s">
        <v>58</v>
      </c>
      <c r="V197">
        <v>2</v>
      </c>
      <c r="W197">
        <v>1</v>
      </c>
      <c r="X197">
        <v>1</v>
      </c>
      <c r="Y197">
        <v>0</v>
      </c>
      <c r="Z197">
        <v>1</v>
      </c>
      <c r="AA197">
        <v>0</v>
      </c>
      <c r="AB197">
        <v>327.31</v>
      </c>
      <c r="AC197">
        <v>288</v>
      </c>
      <c r="AD197">
        <v>0</v>
      </c>
      <c r="AE197">
        <v>39.32</v>
      </c>
      <c r="AF197">
        <v>0</v>
      </c>
      <c r="AG197">
        <v>0</v>
      </c>
      <c r="AH197">
        <v>0</v>
      </c>
      <c r="AI197">
        <v>58.92</v>
      </c>
      <c r="AJ197">
        <v>327.32</v>
      </c>
      <c r="AK197">
        <v>0.01</v>
      </c>
      <c r="AL197" t="s">
        <v>53</v>
      </c>
      <c r="AM197" t="s">
        <v>53</v>
      </c>
      <c r="AN197" t="s">
        <v>252</v>
      </c>
      <c r="AO197" t="s">
        <v>53</v>
      </c>
      <c r="AP197" t="s">
        <v>53</v>
      </c>
    </row>
    <row r="198" spans="2:42" x14ac:dyDescent="0.2">
      <c r="B198" t="s">
        <v>44</v>
      </c>
      <c r="C198" t="str">
        <f>HYPERLINK("https://us2.cloudbeds.com/connect/8493803454333002#/reservations/598516465799?display=E1EFUUVU&amp;reservation_id=598516465799", "E1EFUUVU")</f>
        <v>E1EFUUVU</v>
      </c>
      <c r="D198" t="s">
        <v>45</v>
      </c>
      <c r="E198" t="s">
        <v>179</v>
      </c>
      <c r="F198" t="s">
        <v>47</v>
      </c>
      <c r="G198" t="s">
        <v>48</v>
      </c>
      <c r="H198" t="s">
        <v>49</v>
      </c>
      <c r="I198" t="s">
        <v>114</v>
      </c>
      <c r="J198" t="s">
        <v>336</v>
      </c>
      <c r="K198" t="s">
        <v>337</v>
      </c>
      <c r="L198" t="s">
        <v>53</v>
      </c>
      <c r="N198" t="s">
        <v>592</v>
      </c>
      <c r="P198" t="s">
        <v>55</v>
      </c>
      <c r="R198" t="s">
        <v>56</v>
      </c>
      <c r="T198" t="s">
        <v>589</v>
      </c>
      <c r="U198" t="s">
        <v>58</v>
      </c>
      <c r="V198">
        <v>1</v>
      </c>
      <c r="W198">
        <v>1</v>
      </c>
      <c r="X198">
        <v>1</v>
      </c>
      <c r="Y198">
        <v>0</v>
      </c>
      <c r="Z198">
        <v>1</v>
      </c>
      <c r="AA198">
        <v>0</v>
      </c>
      <c r="AB198">
        <v>81.83</v>
      </c>
      <c r="AC198">
        <v>72</v>
      </c>
      <c r="AD198">
        <v>0</v>
      </c>
      <c r="AE198">
        <v>9.83</v>
      </c>
      <c r="AF198">
        <v>0</v>
      </c>
      <c r="AG198">
        <v>0</v>
      </c>
      <c r="AH198">
        <v>0</v>
      </c>
      <c r="AI198">
        <v>0</v>
      </c>
      <c r="AJ198">
        <v>81.83</v>
      </c>
      <c r="AK198">
        <v>0</v>
      </c>
      <c r="AL198" t="s">
        <v>53</v>
      </c>
      <c r="AM198" t="s">
        <v>53</v>
      </c>
      <c r="AN198" t="s">
        <v>593</v>
      </c>
      <c r="AO198" t="s">
        <v>53</v>
      </c>
      <c r="AP198" t="s">
        <v>53</v>
      </c>
    </row>
    <row r="199" spans="2:42" x14ac:dyDescent="0.2">
      <c r="B199" t="s">
        <v>44</v>
      </c>
      <c r="C199" t="str">
        <f>HYPERLINK("https://us2.cloudbeds.com/connect/8493803454333002#/reservations/598482866339?display=E1DKJWFF&amp;reservation_id=598482866339", "E1DKJWFF")</f>
        <v>E1DKJWFF</v>
      </c>
      <c r="D199" t="s">
        <v>45</v>
      </c>
      <c r="E199" t="s">
        <v>487</v>
      </c>
      <c r="F199" t="s">
        <v>61</v>
      </c>
      <c r="G199" t="s">
        <v>48</v>
      </c>
      <c r="H199" t="s">
        <v>49</v>
      </c>
      <c r="I199" t="s">
        <v>50</v>
      </c>
      <c r="J199" t="s">
        <v>478</v>
      </c>
      <c r="K199" t="s">
        <v>237</v>
      </c>
      <c r="L199" t="s">
        <v>53</v>
      </c>
      <c r="N199" t="s">
        <v>594</v>
      </c>
      <c r="P199" t="s">
        <v>55</v>
      </c>
      <c r="R199" t="s">
        <v>56</v>
      </c>
      <c r="T199" t="s">
        <v>589</v>
      </c>
      <c r="U199" t="s">
        <v>58</v>
      </c>
      <c r="V199">
        <v>2</v>
      </c>
      <c r="W199">
        <v>1</v>
      </c>
      <c r="X199">
        <v>1</v>
      </c>
      <c r="Y199">
        <v>0</v>
      </c>
      <c r="Z199">
        <v>1</v>
      </c>
      <c r="AA199">
        <v>0</v>
      </c>
      <c r="AB199">
        <v>312.99</v>
      </c>
      <c r="AC199">
        <v>275.39999999999998</v>
      </c>
      <c r="AD199">
        <v>0</v>
      </c>
      <c r="AE199">
        <v>37.58</v>
      </c>
      <c r="AF199">
        <v>0</v>
      </c>
      <c r="AG199">
        <v>0</v>
      </c>
      <c r="AH199">
        <v>0</v>
      </c>
      <c r="AI199">
        <v>56.34</v>
      </c>
      <c r="AJ199">
        <v>312.98</v>
      </c>
      <c r="AK199">
        <v>-0.01</v>
      </c>
      <c r="AL199" t="s">
        <v>53</v>
      </c>
      <c r="AM199" t="s">
        <v>53</v>
      </c>
      <c r="AN199" t="s">
        <v>280</v>
      </c>
      <c r="AO199" t="s">
        <v>53</v>
      </c>
      <c r="AP199" t="s">
        <v>53</v>
      </c>
    </row>
    <row r="200" spans="2:42" x14ac:dyDescent="0.2">
      <c r="B200" t="s">
        <v>44</v>
      </c>
      <c r="C200" t="str">
        <f>HYPERLINK("https://us2.cloudbeds.com/connect/8493803454333002#/reservations/598526615713?display=E1EZGCC2&amp;reservation_id=598526615713", "E1EZGCC2")</f>
        <v>E1EZGCC2</v>
      </c>
      <c r="D200" t="s">
        <v>45</v>
      </c>
      <c r="E200" t="s">
        <v>69</v>
      </c>
      <c r="F200" t="s">
        <v>70</v>
      </c>
      <c r="G200" t="s">
        <v>48</v>
      </c>
      <c r="H200" t="s">
        <v>49</v>
      </c>
      <c r="I200" t="s">
        <v>114</v>
      </c>
      <c r="J200" t="s">
        <v>375</v>
      </c>
      <c r="K200" t="s">
        <v>595</v>
      </c>
      <c r="L200" t="s">
        <v>53</v>
      </c>
      <c r="N200" t="s">
        <v>596</v>
      </c>
      <c r="P200" t="s">
        <v>55</v>
      </c>
      <c r="R200" t="s">
        <v>56</v>
      </c>
      <c r="T200" t="s">
        <v>589</v>
      </c>
      <c r="U200" t="s">
        <v>58</v>
      </c>
      <c r="V200">
        <v>1</v>
      </c>
      <c r="W200">
        <v>1</v>
      </c>
      <c r="X200">
        <v>1</v>
      </c>
      <c r="Y200">
        <v>0</v>
      </c>
      <c r="Z200">
        <v>1</v>
      </c>
      <c r="AA200">
        <v>0</v>
      </c>
      <c r="AB200">
        <v>73.87</v>
      </c>
      <c r="AC200">
        <v>65</v>
      </c>
      <c r="AD200">
        <v>0</v>
      </c>
      <c r="AE200">
        <v>8.8800000000000008</v>
      </c>
      <c r="AF200">
        <v>0</v>
      </c>
      <c r="AG200">
        <v>0</v>
      </c>
      <c r="AH200">
        <v>0</v>
      </c>
      <c r="AI200">
        <v>0</v>
      </c>
      <c r="AJ200">
        <v>73.88</v>
      </c>
      <c r="AK200">
        <v>0.01</v>
      </c>
      <c r="AL200" t="s">
        <v>53</v>
      </c>
      <c r="AM200" t="s">
        <v>53</v>
      </c>
      <c r="AN200" t="s">
        <v>597</v>
      </c>
      <c r="AO200" t="s">
        <v>53</v>
      </c>
      <c r="AP200" t="s">
        <v>53</v>
      </c>
    </row>
    <row r="201" spans="2:42" x14ac:dyDescent="0.2">
      <c r="B201" t="s">
        <v>44</v>
      </c>
      <c r="C201" t="str">
        <f>HYPERLINK("https://us2.cloudbeds.com/connect/8493803454333002#/reservations/598341894303?display=E1A0Z7XK&amp;reservation_id=598341894303", "E1A0Z7XK")</f>
        <v>E1A0Z7XK</v>
      </c>
      <c r="D201" t="s">
        <v>45</v>
      </c>
      <c r="E201" t="s">
        <v>113</v>
      </c>
      <c r="F201" t="s">
        <v>61</v>
      </c>
      <c r="G201" t="s">
        <v>48</v>
      </c>
      <c r="H201" t="s">
        <v>71</v>
      </c>
      <c r="I201" t="s">
        <v>72</v>
      </c>
      <c r="J201" t="s">
        <v>318</v>
      </c>
      <c r="K201" t="s">
        <v>595</v>
      </c>
      <c r="L201" t="s">
        <v>53</v>
      </c>
      <c r="N201" t="s">
        <v>598</v>
      </c>
      <c r="P201" t="s">
        <v>55</v>
      </c>
      <c r="R201" t="s">
        <v>56</v>
      </c>
      <c r="T201" t="s">
        <v>589</v>
      </c>
      <c r="U201" t="s">
        <v>58</v>
      </c>
      <c r="V201">
        <v>2</v>
      </c>
      <c r="W201">
        <v>1</v>
      </c>
      <c r="X201">
        <v>1</v>
      </c>
      <c r="Y201">
        <v>0</v>
      </c>
      <c r="Z201">
        <v>1</v>
      </c>
      <c r="AA201">
        <v>0</v>
      </c>
      <c r="AB201">
        <v>179.57</v>
      </c>
      <c r="AC201">
        <v>158</v>
      </c>
      <c r="AD201">
        <v>0</v>
      </c>
      <c r="AE201">
        <v>21.58</v>
      </c>
      <c r="AF201">
        <v>0</v>
      </c>
      <c r="AG201">
        <v>0</v>
      </c>
      <c r="AH201">
        <v>0</v>
      </c>
      <c r="AI201">
        <v>0</v>
      </c>
      <c r="AJ201">
        <v>179.58</v>
      </c>
      <c r="AK201">
        <v>0.01</v>
      </c>
      <c r="AL201" t="s">
        <v>53</v>
      </c>
      <c r="AM201" t="s">
        <v>53</v>
      </c>
      <c r="AN201" t="s">
        <v>599</v>
      </c>
      <c r="AO201" t="s">
        <v>53</v>
      </c>
      <c r="AP201" t="s">
        <v>53</v>
      </c>
    </row>
    <row r="202" spans="2:42" x14ac:dyDescent="0.2">
      <c r="B202" t="s">
        <v>44</v>
      </c>
      <c r="C202" t="str">
        <f>HYPERLINK("https://us2.cloudbeds.com/connect/8493803454333002#/reservations/598189977754?display=E164KUJR&amp;reservation_id=598189977754", "E164KUJR")</f>
        <v>E164KUJR</v>
      </c>
      <c r="D202" t="s">
        <v>45</v>
      </c>
      <c r="E202" t="s">
        <v>69</v>
      </c>
      <c r="F202" t="s">
        <v>70</v>
      </c>
      <c r="G202" t="s">
        <v>48</v>
      </c>
      <c r="H202" t="s">
        <v>49</v>
      </c>
      <c r="I202" t="s">
        <v>79</v>
      </c>
      <c r="J202" t="s">
        <v>600</v>
      </c>
      <c r="K202" t="s">
        <v>107</v>
      </c>
      <c r="L202" t="s">
        <v>53</v>
      </c>
      <c r="N202" t="s">
        <v>601</v>
      </c>
      <c r="P202" t="s">
        <v>55</v>
      </c>
      <c r="R202" t="s">
        <v>56</v>
      </c>
      <c r="T202" t="s">
        <v>589</v>
      </c>
      <c r="U202" t="s">
        <v>58</v>
      </c>
      <c r="V202">
        <v>3</v>
      </c>
      <c r="W202">
        <v>1</v>
      </c>
      <c r="X202">
        <v>1</v>
      </c>
      <c r="Y202">
        <v>0</v>
      </c>
      <c r="Z202">
        <v>1</v>
      </c>
      <c r="AA202">
        <v>0</v>
      </c>
      <c r="AB202">
        <v>396.64</v>
      </c>
      <c r="AC202">
        <v>349</v>
      </c>
      <c r="AD202">
        <v>0</v>
      </c>
      <c r="AE202">
        <v>47.64</v>
      </c>
      <c r="AF202">
        <v>0</v>
      </c>
      <c r="AG202">
        <v>0</v>
      </c>
      <c r="AH202">
        <v>0</v>
      </c>
      <c r="AI202">
        <v>0</v>
      </c>
      <c r="AJ202">
        <v>396.64</v>
      </c>
      <c r="AK202">
        <v>0</v>
      </c>
      <c r="AL202" t="s">
        <v>53</v>
      </c>
      <c r="AM202" t="s">
        <v>53</v>
      </c>
      <c r="AN202" t="s">
        <v>127</v>
      </c>
      <c r="AO202" t="s">
        <v>53</v>
      </c>
      <c r="AP202" t="s">
        <v>53</v>
      </c>
    </row>
    <row r="203" spans="2:42" x14ac:dyDescent="0.2">
      <c r="B203" t="s">
        <v>44</v>
      </c>
      <c r="C203" t="str">
        <f>HYPERLINK("https://us2.cloudbeds.com/connect/8493803454333002#/reservations/579212857576?display=DJG7KJ90&amp;reservation_id=579212857576", "DJG7KJ90")</f>
        <v>DJG7KJ90</v>
      </c>
      <c r="D203" t="s">
        <v>602</v>
      </c>
      <c r="E203" t="s">
        <v>53</v>
      </c>
      <c r="F203" t="s">
        <v>70</v>
      </c>
      <c r="G203" t="s">
        <v>48</v>
      </c>
      <c r="H203" t="s">
        <v>49</v>
      </c>
      <c r="I203" t="s">
        <v>79</v>
      </c>
      <c r="J203" t="s">
        <v>505</v>
      </c>
      <c r="K203" t="s">
        <v>603</v>
      </c>
      <c r="L203" t="s">
        <v>53</v>
      </c>
      <c r="N203" t="s">
        <v>604</v>
      </c>
      <c r="P203" t="s">
        <v>55</v>
      </c>
      <c r="R203" t="s">
        <v>56</v>
      </c>
      <c r="T203" t="s">
        <v>589</v>
      </c>
      <c r="U203" t="s">
        <v>58</v>
      </c>
      <c r="V203">
        <v>1</v>
      </c>
      <c r="W203">
        <v>1</v>
      </c>
      <c r="X203">
        <v>1</v>
      </c>
      <c r="Y203">
        <v>0</v>
      </c>
      <c r="Z203">
        <v>1</v>
      </c>
      <c r="AA203">
        <v>0</v>
      </c>
      <c r="AB203">
        <v>0</v>
      </c>
      <c r="AC203">
        <v>0</v>
      </c>
      <c r="AD203">
        <v>0</v>
      </c>
      <c r="AE203">
        <v>0</v>
      </c>
      <c r="AF203">
        <v>0</v>
      </c>
      <c r="AG203">
        <v>0</v>
      </c>
      <c r="AH203">
        <v>0</v>
      </c>
      <c r="AI203">
        <v>0</v>
      </c>
      <c r="AJ203">
        <v>0</v>
      </c>
      <c r="AK203">
        <v>0</v>
      </c>
      <c r="AL203">
        <v>121.5</v>
      </c>
      <c r="AM203">
        <v>138.08000000000001</v>
      </c>
      <c r="AN203" t="s">
        <v>605</v>
      </c>
      <c r="AO203" t="s">
        <v>53</v>
      </c>
      <c r="AP203" t="s">
        <v>53</v>
      </c>
    </row>
    <row r="204" spans="2:42" x14ac:dyDescent="0.2">
      <c r="B204" t="s">
        <v>44</v>
      </c>
      <c r="C204" t="str">
        <f>HYPERLINK("https://us2.cloudbeds.com/connect/8493803454333002#/reservations/597941788822?display=E0WQBN83&amp;reservation_id=597941788822", "E0WQBN83")</f>
        <v>E0WQBN83</v>
      </c>
      <c r="D204" t="s">
        <v>45</v>
      </c>
      <c r="E204" t="s">
        <v>185</v>
      </c>
      <c r="F204" t="s">
        <v>47</v>
      </c>
      <c r="G204" t="s">
        <v>48</v>
      </c>
      <c r="H204" t="s">
        <v>71</v>
      </c>
      <c r="I204" t="s">
        <v>72</v>
      </c>
      <c r="J204" t="s">
        <v>337</v>
      </c>
      <c r="K204" t="s">
        <v>461</v>
      </c>
      <c r="L204" t="s">
        <v>53</v>
      </c>
      <c r="N204" t="s">
        <v>606</v>
      </c>
      <c r="P204" t="s">
        <v>55</v>
      </c>
      <c r="R204" t="s">
        <v>56</v>
      </c>
      <c r="T204" t="s">
        <v>607</v>
      </c>
      <c r="U204" t="s">
        <v>58</v>
      </c>
      <c r="V204">
        <v>2</v>
      </c>
      <c r="W204">
        <v>1</v>
      </c>
      <c r="X204">
        <v>1</v>
      </c>
      <c r="Y204">
        <v>0</v>
      </c>
      <c r="Z204">
        <v>1</v>
      </c>
      <c r="AA204">
        <v>0</v>
      </c>
      <c r="AB204">
        <v>140.93</v>
      </c>
      <c r="AC204">
        <v>124</v>
      </c>
      <c r="AD204">
        <v>0</v>
      </c>
      <c r="AE204">
        <v>16.940000000000001</v>
      </c>
      <c r="AF204">
        <v>0</v>
      </c>
      <c r="AG204">
        <v>0</v>
      </c>
      <c r="AH204">
        <v>0</v>
      </c>
      <c r="AI204">
        <v>0</v>
      </c>
      <c r="AJ204">
        <v>140.94</v>
      </c>
      <c r="AK204">
        <v>0.01</v>
      </c>
      <c r="AL204" t="s">
        <v>53</v>
      </c>
      <c r="AM204" t="s">
        <v>53</v>
      </c>
      <c r="AN204" t="s">
        <v>378</v>
      </c>
      <c r="AO204" t="s">
        <v>53</v>
      </c>
      <c r="AP204" t="s">
        <v>53</v>
      </c>
    </row>
    <row r="205" spans="2:42" x14ac:dyDescent="0.2">
      <c r="B205" t="s">
        <v>44</v>
      </c>
      <c r="C205" t="str">
        <f>HYPERLINK("https://us2.cloudbeds.com/connect/8493803454333002#/reservations/598489120917?display=E1DPT0T5&amp;reservation_id=598489120917", "E1DPT0T5")</f>
        <v>E1DPT0T5</v>
      </c>
      <c r="D205" t="s">
        <v>45</v>
      </c>
      <c r="E205" t="s">
        <v>381</v>
      </c>
      <c r="F205" t="s">
        <v>47</v>
      </c>
      <c r="G205" t="s">
        <v>48</v>
      </c>
      <c r="H205" t="s">
        <v>49</v>
      </c>
      <c r="I205" t="s">
        <v>50</v>
      </c>
      <c r="J205" t="s">
        <v>246</v>
      </c>
      <c r="K205" t="s">
        <v>421</v>
      </c>
      <c r="L205" t="s">
        <v>53</v>
      </c>
      <c r="N205" t="s">
        <v>608</v>
      </c>
      <c r="P205" t="s">
        <v>55</v>
      </c>
      <c r="R205" t="s">
        <v>56</v>
      </c>
      <c r="T205" t="s">
        <v>607</v>
      </c>
      <c r="U205" t="s">
        <v>58</v>
      </c>
      <c r="V205">
        <v>1</v>
      </c>
      <c r="W205">
        <v>1</v>
      </c>
      <c r="X205">
        <v>1</v>
      </c>
      <c r="Y205">
        <v>0</v>
      </c>
      <c r="Z205">
        <v>1</v>
      </c>
      <c r="AA205">
        <v>0</v>
      </c>
      <c r="AB205">
        <v>78.760000000000005</v>
      </c>
      <c r="AC205">
        <v>69.3</v>
      </c>
      <c r="AD205">
        <v>0</v>
      </c>
      <c r="AE205">
        <v>9.4700000000000006</v>
      </c>
      <c r="AF205">
        <v>0</v>
      </c>
      <c r="AG205">
        <v>0</v>
      </c>
      <c r="AH205">
        <v>0</v>
      </c>
      <c r="AI205">
        <v>14.18</v>
      </c>
      <c r="AJ205">
        <v>78.77</v>
      </c>
      <c r="AK205">
        <v>0.01</v>
      </c>
      <c r="AL205" t="s">
        <v>53</v>
      </c>
      <c r="AM205" t="s">
        <v>53</v>
      </c>
      <c r="AN205" t="s">
        <v>132</v>
      </c>
      <c r="AO205" t="s">
        <v>53</v>
      </c>
      <c r="AP205" t="s">
        <v>53</v>
      </c>
    </row>
    <row r="206" spans="2:42" x14ac:dyDescent="0.2">
      <c r="B206" t="s">
        <v>44</v>
      </c>
      <c r="C206" t="str">
        <f>HYPERLINK("https://us2.cloudbeds.com/connect/8493803454333002#/reservations/598192648414?display=E166T7WU&amp;reservation_id=598192648414", "E166T7WU")</f>
        <v>E166T7WU</v>
      </c>
      <c r="D206" t="s">
        <v>45</v>
      </c>
      <c r="E206" t="s">
        <v>110</v>
      </c>
      <c r="F206" t="s">
        <v>47</v>
      </c>
      <c r="G206" t="s">
        <v>48</v>
      </c>
      <c r="H206" t="s">
        <v>49</v>
      </c>
      <c r="I206" t="s">
        <v>50</v>
      </c>
      <c r="J206" t="s">
        <v>609</v>
      </c>
      <c r="K206" t="s">
        <v>228</v>
      </c>
      <c r="L206" t="s">
        <v>53</v>
      </c>
      <c r="N206" t="s">
        <v>610</v>
      </c>
      <c r="P206" t="s">
        <v>55</v>
      </c>
      <c r="R206" t="s">
        <v>56</v>
      </c>
      <c r="T206" t="s">
        <v>607</v>
      </c>
      <c r="U206" t="s">
        <v>58</v>
      </c>
      <c r="V206">
        <v>4</v>
      </c>
      <c r="W206">
        <v>1</v>
      </c>
      <c r="X206">
        <v>1</v>
      </c>
      <c r="Y206">
        <v>0</v>
      </c>
      <c r="Z206">
        <v>1</v>
      </c>
      <c r="AA206">
        <v>0</v>
      </c>
      <c r="AB206">
        <v>308.89999999999998</v>
      </c>
      <c r="AC206">
        <v>271.8</v>
      </c>
      <c r="AD206">
        <v>0</v>
      </c>
      <c r="AE206">
        <v>37.119999999999997</v>
      </c>
      <c r="AF206">
        <v>0</v>
      </c>
      <c r="AG206">
        <v>0</v>
      </c>
      <c r="AH206">
        <v>0</v>
      </c>
      <c r="AI206">
        <v>55.61</v>
      </c>
      <c r="AJ206">
        <v>308.92</v>
      </c>
      <c r="AK206">
        <v>0.02</v>
      </c>
      <c r="AL206" t="s">
        <v>53</v>
      </c>
      <c r="AM206" t="s">
        <v>53</v>
      </c>
      <c r="AN206" t="s">
        <v>91</v>
      </c>
      <c r="AO206" t="s">
        <v>53</v>
      </c>
      <c r="AP206" t="s">
        <v>53</v>
      </c>
    </row>
    <row r="207" spans="2:42" x14ac:dyDescent="0.2">
      <c r="B207" t="s">
        <v>44</v>
      </c>
      <c r="C207" t="str">
        <f>HYPERLINK("https://us2.cloudbeds.com/connect/8493803454333002#/reservations/598501912765?display=E1E3YW9U&amp;reservation_id=598501912765", "E1E3YW9U")</f>
        <v>E1E3YW9U</v>
      </c>
      <c r="D207" t="s">
        <v>45</v>
      </c>
      <c r="E207" t="s">
        <v>128</v>
      </c>
      <c r="F207" t="s">
        <v>86</v>
      </c>
      <c r="G207" t="s">
        <v>48</v>
      </c>
      <c r="H207" t="s">
        <v>49</v>
      </c>
      <c r="I207" t="s">
        <v>79</v>
      </c>
      <c r="J207" t="s">
        <v>360</v>
      </c>
      <c r="K207" t="s">
        <v>611</v>
      </c>
      <c r="L207" t="s">
        <v>53</v>
      </c>
      <c r="N207" t="s">
        <v>612</v>
      </c>
      <c r="P207" t="s">
        <v>55</v>
      </c>
      <c r="R207" t="s">
        <v>56</v>
      </c>
      <c r="T207" t="s">
        <v>613</v>
      </c>
      <c r="U207" t="s">
        <v>58</v>
      </c>
      <c r="V207">
        <v>1</v>
      </c>
      <c r="W207">
        <v>1</v>
      </c>
      <c r="X207">
        <v>1</v>
      </c>
      <c r="Y207">
        <v>0</v>
      </c>
      <c r="Z207">
        <v>1</v>
      </c>
      <c r="AA207">
        <v>0</v>
      </c>
      <c r="AB207">
        <v>119.67</v>
      </c>
      <c r="AC207">
        <v>105.3</v>
      </c>
      <c r="AD207">
        <v>0</v>
      </c>
      <c r="AE207">
        <v>14.38</v>
      </c>
      <c r="AF207">
        <v>0</v>
      </c>
      <c r="AG207">
        <v>0</v>
      </c>
      <c r="AH207">
        <v>0</v>
      </c>
      <c r="AI207">
        <v>0</v>
      </c>
      <c r="AJ207">
        <v>119.68</v>
      </c>
      <c r="AK207">
        <v>0.01</v>
      </c>
      <c r="AL207" t="s">
        <v>53</v>
      </c>
      <c r="AM207" t="s">
        <v>53</v>
      </c>
      <c r="AN207" t="s">
        <v>104</v>
      </c>
      <c r="AO207" t="s">
        <v>53</v>
      </c>
      <c r="AP207" t="s">
        <v>53</v>
      </c>
    </row>
    <row r="208" spans="2:42" x14ac:dyDescent="0.2">
      <c r="B208" t="s">
        <v>44</v>
      </c>
      <c r="C208" t="str">
        <f>HYPERLINK("https://us2.cloudbeds.com/connect/8493803454333002#/reservations/598330867842?display=E19ZED8E&amp;reservation_id=598330867842", "E19ZED8E")</f>
        <v>E19ZED8E</v>
      </c>
      <c r="D208" t="s">
        <v>45</v>
      </c>
      <c r="E208" t="s">
        <v>185</v>
      </c>
      <c r="F208" t="s">
        <v>47</v>
      </c>
      <c r="G208" t="s">
        <v>48</v>
      </c>
      <c r="H208" t="s">
        <v>49</v>
      </c>
      <c r="I208" t="s">
        <v>50</v>
      </c>
      <c r="J208" t="s">
        <v>374</v>
      </c>
      <c r="K208" t="s">
        <v>462</v>
      </c>
      <c r="L208" t="s">
        <v>53</v>
      </c>
      <c r="N208" t="s">
        <v>614</v>
      </c>
      <c r="P208" t="s">
        <v>55</v>
      </c>
      <c r="R208" t="s">
        <v>56</v>
      </c>
      <c r="T208" t="s">
        <v>613</v>
      </c>
      <c r="U208" t="s">
        <v>58</v>
      </c>
      <c r="V208">
        <v>1</v>
      </c>
      <c r="W208">
        <v>1</v>
      </c>
      <c r="X208">
        <v>1</v>
      </c>
      <c r="Y208">
        <v>0</v>
      </c>
      <c r="Z208">
        <v>1</v>
      </c>
      <c r="AA208">
        <v>0</v>
      </c>
      <c r="AB208">
        <v>68.53</v>
      </c>
      <c r="AC208">
        <v>60.3</v>
      </c>
      <c r="AD208">
        <v>0</v>
      </c>
      <c r="AE208">
        <v>8.24</v>
      </c>
      <c r="AF208">
        <v>0</v>
      </c>
      <c r="AG208">
        <v>0</v>
      </c>
      <c r="AH208">
        <v>0</v>
      </c>
      <c r="AI208">
        <v>12.34</v>
      </c>
      <c r="AJ208">
        <v>68.540000000000006</v>
      </c>
      <c r="AK208">
        <v>0.01</v>
      </c>
      <c r="AL208" t="s">
        <v>53</v>
      </c>
      <c r="AM208" t="s">
        <v>53</v>
      </c>
      <c r="AN208" t="s">
        <v>349</v>
      </c>
      <c r="AO208" t="s">
        <v>53</v>
      </c>
      <c r="AP208" t="s">
        <v>53</v>
      </c>
    </row>
    <row r="209" spans="2:42" x14ac:dyDescent="0.2">
      <c r="B209" t="s">
        <v>44</v>
      </c>
      <c r="C209" t="str">
        <f>HYPERLINK("https://us2.cloudbeds.com/connect/8493803454333002#/reservations/598186963105?display=E16231AR&amp;reservation_id=598186963105", "E16231AR")</f>
        <v>E16231AR</v>
      </c>
      <c r="D209" t="s">
        <v>45</v>
      </c>
      <c r="E209" t="s">
        <v>128</v>
      </c>
      <c r="F209" t="s">
        <v>86</v>
      </c>
      <c r="G209" t="s">
        <v>48</v>
      </c>
      <c r="H209" t="s">
        <v>49</v>
      </c>
      <c r="I209" t="s">
        <v>79</v>
      </c>
      <c r="J209" t="s">
        <v>489</v>
      </c>
      <c r="K209" t="s">
        <v>93</v>
      </c>
      <c r="L209" t="s">
        <v>53</v>
      </c>
      <c r="N209" t="s">
        <v>615</v>
      </c>
      <c r="P209" t="s">
        <v>55</v>
      </c>
      <c r="R209" t="s">
        <v>56</v>
      </c>
      <c r="T209" t="s">
        <v>616</v>
      </c>
      <c r="U209" t="s">
        <v>58</v>
      </c>
      <c r="V209">
        <v>2</v>
      </c>
      <c r="W209">
        <v>1</v>
      </c>
      <c r="X209">
        <v>1</v>
      </c>
      <c r="Y209">
        <v>0</v>
      </c>
      <c r="Z209">
        <v>1</v>
      </c>
      <c r="AA209">
        <v>0</v>
      </c>
      <c r="AB209">
        <v>364.13</v>
      </c>
      <c r="AC209">
        <v>320.39999999999998</v>
      </c>
      <c r="AD209">
        <v>0</v>
      </c>
      <c r="AE209">
        <v>43.74</v>
      </c>
      <c r="AF209">
        <v>0</v>
      </c>
      <c r="AG209">
        <v>0</v>
      </c>
      <c r="AH209">
        <v>0</v>
      </c>
      <c r="AI209">
        <v>0</v>
      </c>
      <c r="AJ209">
        <v>364.14</v>
      </c>
      <c r="AK209">
        <v>0.01</v>
      </c>
      <c r="AL209" t="s">
        <v>53</v>
      </c>
      <c r="AM209" t="s">
        <v>53</v>
      </c>
      <c r="AN209" t="s">
        <v>545</v>
      </c>
      <c r="AO209" t="s">
        <v>53</v>
      </c>
      <c r="AP209" t="s">
        <v>53</v>
      </c>
    </row>
    <row r="210" spans="2:42" x14ac:dyDescent="0.2">
      <c r="B210" t="s">
        <v>44</v>
      </c>
      <c r="C210" t="str">
        <f>HYPERLINK("https://us2.cloudbeds.com/connect/8493803454333002#/reservations/598593138835?display=E1GEJFQ9&amp;reservation_id=598593138835", "E1GEJFQ9")</f>
        <v>E1GEJFQ9</v>
      </c>
      <c r="D210" t="s">
        <v>45</v>
      </c>
      <c r="E210" t="s">
        <v>617</v>
      </c>
      <c r="F210" t="s">
        <v>86</v>
      </c>
      <c r="G210" t="s">
        <v>48</v>
      </c>
      <c r="H210" t="s">
        <v>49</v>
      </c>
      <c r="I210" t="s">
        <v>62</v>
      </c>
      <c r="J210" t="s">
        <v>554</v>
      </c>
      <c r="K210" t="s">
        <v>618</v>
      </c>
      <c r="L210" t="s">
        <v>53</v>
      </c>
      <c r="N210" t="s">
        <v>619</v>
      </c>
      <c r="P210" t="s">
        <v>55</v>
      </c>
      <c r="R210" t="s">
        <v>118</v>
      </c>
      <c r="T210" t="s">
        <v>616</v>
      </c>
      <c r="U210" t="s">
        <v>58</v>
      </c>
      <c r="V210">
        <v>34</v>
      </c>
      <c r="W210">
        <v>2</v>
      </c>
      <c r="X210">
        <v>2</v>
      </c>
      <c r="Y210">
        <v>0</v>
      </c>
      <c r="Z210">
        <v>2</v>
      </c>
      <c r="AA210">
        <v>0</v>
      </c>
      <c r="AB210">
        <v>3889.1</v>
      </c>
      <c r="AC210">
        <v>3422</v>
      </c>
      <c r="AD210">
        <v>0</v>
      </c>
      <c r="AE210">
        <v>466.82</v>
      </c>
      <c r="AF210">
        <v>0</v>
      </c>
      <c r="AG210">
        <v>0</v>
      </c>
      <c r="AH210">
        <v>0</v>
      </c>
      <c r="AI210">
        <v>583.32000000000005</v>
      </c>
      <c r="AJ210">
        <v>3888.82</v>
      </c>
      <c r="AK210">
        <v>-0.28000000000000003</v>
      </c>
      <c r="AL210" t="s">
        <v>53</v>
      </c>
      <c r="AM210" t="s">
        <v>53</v>
      </c>
      <c r="AN210" t="s">
        <v>620</v>
      </c>
      <c r="AO210" t="s">
        <v>53</v>
      </c>
      <c r="AP210" t="s">
        <v>53</v>
      </c>
    </row>
    <row r="211" spans="2:42" x14ac:dyDescent="0.2">
      <c r="B211" t="s">
        <v>44</v>
      </c>
      <c r="C211" t="str">
        <f>HYPERLINK("https://us2.cloudbeds.com/connect/8493803454333002#/reservations/598183772301?display=E15WD89Q&amp;reservation_id=598183772301", "E15WD89Q")</f>
        <v>E15WD89Q</v>
      </c>
      <c r="D211" t="s">
        <v>45</v>
      </c>
      <c r="E211" t="s">
        <v>138</v>
      </c>
      <c r="F211" t="s">
        <v>70</v>
      </c>
      <c r="G211" t="s">
        <v>48</v>
      </c>
      <c r="H211" t="s">
        <v>49</v>
      </c>
      <c r="I211" t="s">
        <v>79</v>
      </c>
      <c r="J211" t="s">
        <v>318</v>
      </c>
      <c r="K211" t="s">
        <v>595</v>
      </c>
      <c r="L211" t="s">
        <v>53</v>
      </c>
      <c r="N211" t="s">
        <v>621</v>
      </c>
      <c r="P211" t="s">
        <v>55</v>
      </c>
      <c r="R211" t="s">
        <v>56</v>
      </c>
      <c r="T211" t="s">
        <v>616</v>
      </c>
      <c r="U211" t="s">
        <v>58</v>
      </c>
      <c r="V211">
        <v>2</v>
      </c>
      <c r="W211">
        <v>1</v>
      </c>
      <c r="X211">
        <v>1</v>
      </c>
      <c r="Y211">
        <v>0</v>
      </c>
      <c r="Z211">
        <v>1</v>
      </c>
      <c r="AA211">
        <v>0</v>
      </c>
      <c r="AB211">
        <v>141.15</v>
      </c>
      <c r="AC211">
        <v>124.2</v>
      </c>
      <c r="AD211">
        <v>0</v>
      </c>
      <c r="AE211">
        <v>16.940000000000001</v>
      </c>
      <c r="AF211">
        <v>0</v>
      </c>
      <c r="AG211">
        <v>0</v>
      </c>
      <c r="AH211">
        <v>0</v>
      </c>
      <c r="AI211">
        <v>0</v>
      </c>
      <c r="AJ211">
        <v>141.13999999999999</v>
      </c>
      <c r="AK211">
        <v>-0.01</v>
      </c>
      <c r="AL211" t="s">
        <v>53</v>
      </c>
      <c r="AM211" t="s">
        <v>53</v>
      </c>
      <c r="AN211" t="s">
        <v>59</v>
      </c>
      <c r="AO211" t="s">
        <v>53</v>
      </c>
      <c r="AP211" t="s">
        <v>53</v>
      </c>
    </row>
    <row r="212" spans="2:42" x14ac:dyDescent="0.2">
      <c r="B212" t="s">
        <v>44</v>
      </c>
      <c r="C212" t="str">
        <f>HYPERLINK("https://us2.cloudbeds.com/connect/8493803454333002#/reservations/597949685961?display=E1000EWB&amp;reservation_id=597949685961", "E1000EWB")</f>
        <v>E1000EWB</v>
      </c>
      <c r="D212" t="s">
        <v>45</v>
      </c>
      <c r="E212" t="s">
        <v>46</v>
      </c>
      <c r="F212" t="s">
        <v>47</v>
      </c>
      <c r="G212" t="s">
        <v>48</v>
      </c>
      <c r="H212" t="s">
        <v>71</v>
      </c>
      <c r="I212" t="s">
        <v>72</v>
      </c>
      <c r="J212" t="s">
        <v>461</v>
      </c>
      <c r="K212" t="s">
        <v>375</v>
      </c>
      <c r="L212" t="s">
        <v>53</v>
      </c>
      <c r="N212" t="s">
        <v>622</v>
      </c>
      <c r="P212" t="s">
        <v>55</v>
      </c>
      <c r="R212" t="s">
        <v>56</v>
      </c>
      <c r="T212" t="s">
        <v>616</v>
      </c>
      <c r="U212" t="s">
        <v>58</v>
      </c>
      <c r="V212">
        <v>4</v>
      </c>
      <c r="W212">
        <v>1</v>
      </c>
      <c r="X212">
        <v>1</v>
      </c>
      <c r="Y212">
        <v>0</v>
      </c>
      <c r="Z212">
        <v>1</v>
      </c>
      <c r="AA212">
        <v>0</v>
      </c>
      <c r="AB212">
        <v>300.04000000000002</v>
      </c>
      <c r="AC212">
        <v>264</v>
      </c>
      <c r="AD212">
        <v>0</v>
      </c>
      <c r="AE212">
        <v>36.04</v>
      </c>
      <c r="AF212">
        <v>0</v>
      </c>
      <c r="AG212">
        <v>0</v>
      </c>
      <c r="AH212">
        <v>0</v>
      </c>
      <c r="AI212">
        <v>0</v>
      </c>
      <c r="AJ212">
        <v>300.04000000000002</v>
      </c>
      <c r="AK212">
        <v>0</v>
      </c>
      <c r="AL212" t="s">
        <v>53</v>
      </c>
      <c r="AM212" t="s">
        <v>53</v>
      </c>
      <c r="AN212" t="s">
        <v>378</v>
      </c>
      <c r="AO212" t="s">
        <v>53</v>
      </c>
      <c r="AP212" t="s">
        <v>53</v>
      </c>
    </row>
    <row r="213" spans="2:42" x14ac:dyDescent="0.2">
      <c r="B213" t="s">
        <v>44</v>
      </c>
      <c r="C213" t="str">
        <f>HYPERLINK("https://us2.cloudbeds.com/connect/8493803454333002#/reservations/598183735515?display=E15WC7H2&amp;reservation_id=598183735515", "E15WC7H2")</f>
        <v>E15WC7H2</v>
      </c>
      <c r="D213" t="s">
        <v>45</v>
      </c>
      <c r="E213" t="s">
        <v>138</v>
      </c>
      <c r="F213" t="s">
        <v>70</v>
      </c>
      <c r="G213" t="s">
        <v>48</v>
      </c>
      <c r="H213" t="s">
        <v>49</v>
      </c>
      <c r="I213" t="s">
        <v>62</v>
      </c>
      <c r="J213" t="s">
        <v>623</v>
      </c>
      <c r="K213" t="s">
        <v>345</v>
      </c>
      <c r="L213" t="s">
        <v>53</v>
      </c>
      <c r="N213" t="s">
        <v>624</v>
      </c>
      <c r="P213" t="s">
        <v>55</v>
      </c>
      <c r="R213" t="s">
        <v>56</v>
      </c>
      <c r="T213" t="s">
        <v>616</v>
      </c>
      <c r="U213" t="s">
        <v>58</v>
      </c>
      <c r="V213">
        <v>1</v>
      </c>
      <c r="W213">
        <v>1</v>
      </c>
      <c r="X213">
        <v>1</v>
      </c>
      <c r="Y213">
        <v>0</v>
      </c>
      <c r="Z213">
        <v>1</v>
      </c>
      <c r="AA213">
        <v>0</v>
      </c>
      <c r="AB213">
        <v>81.83</v>
      </c>
      <c r="AC213">
        <v>72</v>
      </c>
      <c r="AD213">
        <v>0</v>
      </c>
      <c r="AE213">
        <v>9.83</v>
      </c>
      <c r="AF213">
        <v>0</v>
      </c>
      <c r="AG213">
        <v>0</v>
      </c>
      <c r="AH213">
        <v>0</v>
      </c>
      <c r="AI213">
        <v>12.27</v>
      </c>
      <c r="AJ213">
        <v>81.83</v>
      </c>
      <c r="AK213">
        <v>0</v>
      </c>
      <c r="AL213" t="s">
        <v>53</v>
      </c>
      <c r="AM213" t="s">
        <v>53</v>
      </c>
      <c r="AN213" t="s">
        <v>316</v>
      </c>
      <c r="AO213" t="s">
        <v>53</v>
      </c>
      <c r="AP213" t="s">
        <v>53</v>
      </c>
    </row>
    <row r="214" spans="2:42" x14ac:dyDescent="0.2">
      <c r="B214" t="s">
        <v>44</v>
      </c>
      <c r="C214" t="str">
        <f>HYPERLINK("https://us2.cloudbeds.com/connect/8493803454333002#/reservations/598469054691?display=E1D8VYJY&amp;reservation_id=598469054691", "E1D8VYJY")</f>
        <v>E1D8VYJY</v>
      </c>
      <c r="D214" t="s">
        <v>45</v>
      </c>
      <c r="E214" t="s">
        <v>78</v>
      </c>
      <c r="F214" t="s">
        <v>61</v>
      </c>
      <c r="G214" t="s">
        <v>48</v>
      </c>
      <c r="H214" t="s">
        <v>71</v>
      </c>
      <c r="I214" t="s">
        <v>72</v>
      </c>
      <c r="J214" t="s">
        <v>461</v>
      </c>
      <c r="K214" t="s">
        <v>374</v>
      </c>
      <c r="L214" t="s">
        <v>53</v>
      </c>
      <c r="N214" t="s">
        <v>625</v>
      </c>
      <c r="P214" t="s">
        <v>55</v>
      </c>
      <c r="R214" t="s">
        <v>329</v>
      </c>
      <c r="T214" t="s">
        <v>616</v>
      </c>
      <c r="U214" t="s">
        <v>58</v>
      </c>
      <c r="V214">
        <v>1</v>
      </c>
      <c r="W214">
        <v>1</v>
      </c>
      <c r="X214">
        <v>1</v>
      </c>
      <c r="Y214">
        <v>0</v>
      </c>
      <c r="Z214">
        <v>1</v>
      </c>
      <c r="AA214">
        <v>0</v>
      </c>
      <c r="AB214">
        <v>77.28</v>
      </c>
      <c r="AC214">
        <v>68</v>
      </c>
      <c r="AD214">
        <v>0</v>
      </c>
      <c r="AE214">
        <v>9.2799999999999994</v>
      </c>
      <c r="AF214">
        <v>0</v>
      </c>
      <c r="AG214">
        <v>0</v>
      </c>
      <c r="AH214">
        <v>0</v>
      </c>
      <c r="AI214">
        <v>0</v>
      </c>
      <c r="AJ214">
        <v>77.28</v>
      </c>
      <c r="AK214">
        <v>0</v>
      </c>
      <c r="AL214" t="s">
        <v>53</v>
      </c>
      <c r="AM214" t="s">
        <v>53</v>
      </c>
      <c r="AN214" t="s">
        <v>626</v>
      </c>
      <c r="AO214" t="s">
        <v>53</v>
      </c>
      <c r="AP214" t="s">
        <v>53</v>
      </c>
    </row>
    <row r="215" spans="2:42" x14ac:dyDescent="0.2">
      <c r="B215" t="s">
        <v>44</v>
      </c>
      <c r="C215" t="str">
        <f>HYPERLINK("https://us2.cloudbeds.com/connect/8493803454333002#/reservations/598216384733?display=E16QTZEA&amp;reservation_id=598216384733", "E16QTZEA")</f>
        <v>E16QTZEA</v>
      </c>
      <c r="D215" t="s">
        <v>45</v>
      </c>
      <c r="E215" t="s">
        <v>165</v>
      </c>
      <c r="F215" t="s">
        <v>61</v>
      </c>
      <c r="G215" t="s">
        <v>48</v>
      </c>
      <c r="H215" t="s">
        <v>49</v>
      </c>
      <c r="I215" t="s">
        <v>50</v>
      </c>
      <c r="J215" t="s">
        <v>196</v>
      </c>
      <c r="K215" t="s">
        <v>334</v>
      </c>
      <c r="L215" t="s">
        <v>53</v>
      </c>
      <c r="N215" t="s">
        <v>627</v>
      </c>
      <c r="P215" t="s">
        <v>55</v>
      </c>
      <c r="R215" t="s">
        <v>56</v>
      </c>
      <c r="T215" t="s">
        <v>616</v>
      </c>
      <c r="U215" t="s">
        <v>58</v>
      </c>
      <c r="V215">
        <v>2</v>
      </c>
      <c r="W215">
        <v>1</v>
      </c>
      <c r="X215">
        <v>1</v>
      </c>
      <c r="Y215">
        <v>0</v>
      </c>
      <c r="Z215">
        <v>1</v>
      </c>
      <c r="AA215">
        <v>0</v>
      </c>
      <c r="AB215">
        <v>286.39999999999998</v>
      </c>
      <c r="AC215">
        <v>252</v>
      </c>
      <c r="AD215">
        <v>0</v>
      </c>
      <c r="AE215">
        <v>34.4</v>
      </c>
      <c r="AF215">
        <v>0</v>
      </c>
      <c r="AG215">
        <v>0</v>
      </c>
      <c r="AH215">
        <v>0</v>
      </c>
      <c r="AI215">
        <v>51.55</v>
      </c>
      <c r="AJ215">
        <v>286.39999999999998</v>
      </c>
      <c r="AK215">
        <v>0</v>
      </c>
      <c r="AL215" t="s">
        <v>53</v>
      </c>
      <c r="AM215" t="s">
        <v>53</v>
      </c>
      <c r="AN215" t="s">
        <v>127</v>
      </c>
      <c r="AO215" t="s">
        <v>53</v>
      </c>
      <c r="AP215" t="s">
        <v>53</v>
      </c>
    </row>
    <row r="216" spans="2:42" x14ac:dyDescent="0.2">
      <c r="B216" t="s">
        <v>44</v>
      </c>
      <c r="C216" t="str">
        <f>HYPERLINK("https://us2.cloudbeds.com/connect/8493803454333002#/reservations/598447993041?display=E1CZ6J7T&amp;reservation_id=598447993041", "E1CZ6J7T")</f>
        <v>E1CZ6J7T</v>
      </c>
      <c r="D216" t="s">
        <v>45</v>
      </c>
      <c r="E216" t="s">
        <v>69</v>
      </c>
      <c r="F216" t="s">
        <v>70</v>
      </c>
      <c r="G216" t="s">
        <v>48</v>
      </c>
      <c r="H216" t="s">
        <v>49</v>
      </c>
      <c r="I216" t="s">
        <v>50</v>
      </c>
      <c r="J216" t="s">
        <v>318</v>
      </c>
      <c r="K216" t="s">
        <v>375</v>
      </c>
      <c r="L216" t="s">
        <v>53</v>
      </c>
      <c r="N216" t="s">
        <v>628</v>
      </c>
      <c r="P216" t="s">
        <v>55</v>
      </c>
      <c r="R216" t="s">
        <v>56</v>
      </c>
      <c r="T216" t="s">
        <v>616</v>
      </c>
      <c r="U216" t="s">
        <v>58</v>
      </c>
      <c r="V216">
        <v>1</v>
      </c>
      <c r="W216">
        <v>1</v>
      </c>
      <c r="X216">
        <v>1</v>
      </c>
      <c r="Y216">
        <v>0</v>
      </c>
      <c r="Z216">
        <v>1</v>
      </c>
      <c r="AA216">
        <v>0</v>
      </c>
      <c r="AB216">
        <v>70.58</v>
      </c>
      <c r="AC216">
        <v>62.1</v>
      </c>
      <c r="AD216">
        <v>0</v>
      </c>
      <c r="AE216">
        <v>8.4700000000000006</v>
      </c>
      <c r="AF216">
        <v>0</v>
      </c>
      <c r="AG216">
        <v>0</v>
      </c>
      <c r="AH216">
        <v>0</v>
      </c>
      <c r="AI216">
        <v>12.7</v>
      </c>
      <c r="AJ216">
        <v>70.569999999999993</v>
      </c>
      <c r="AK216">
        <v>-0.01</v>
      </c>
      <c r="AL216" t="s">
        <v>53</v>
      </c>
      <c r="AM216" t="s">
        <v>53</v>
      </c>
      <c r="AN216" t="s">
        <v>178</v>
      </c>
      <c r="AO216" t="s">
        <v>53</v>
      </c>
      <c r="AP216" t="s">
        <v>53</v>
      </c>
    </row>
    <row r="217" spans="2:42" x14ac:dyDescent="0.2">
      <c r="B217" t="s">
        <v>44</v>
      </c>
      <c r="C217" t="str">
        <f>HYPERLINK("https://us2.cloudbeds.com/connect/8493803454333002#/reservations/598534135983?display=E1EURY12&amp;reservation_id=598534135983", "E1EURY12")</f>
        <v>E1EURY12</v>
      </c>
      <c r="D217" t="s">
        <v>45</v>
      </c>
      <c r="E217" t="s">
        <v>113</v>
      </c>
      <c r="F217" t="s">
        <v>61</v>
      </c>
      <c r="G217" t="s">
        <v>48</v>
      </c>
      <c r="H217" t="s">
        <v>71</v>
      </c>
      <c r="I217" t="s">
        <v>72</v>
      </c>
      <c r="J217" t="s">
        <v>116</v>
      </c>
      <c r="K217" t="s">
        <v>298</v>
      </c>
      <c r="L217" t="s">
        <v>53</v>
      </c>
      <c r="N217" t="s">
        <v>629</v>
      </c>
      <c r="P217" t="s">
        <v>58</v>
      </c>
      <c r="R217" t="s">
        <v>118</v>
      </c>
      <c r="T217" t="s">
        <v>616</v>
      </c>
      <c r="U217" t="s">
        <v>58</v>
      </c>
      <c r="V217">
        <v>1</v>
      </c>
      <c r="W217">
        <v>1</v>
      </c>
      <c r="X217">
        <v>1</v>
      </c>
      <c r="Y217">
        <v>0</v>
      </c>
      <c r="Z217">
        <v>1</v>
      </c>
      <c r="AA217">
        <v>0</v>
      </c>
      <c r="AB217">
        <v>100.01</v>
      </c>
      <c r="AC217">
        <v>88</v>
      </c>
      <c r="AD217">
        <v>0</v>
      </c>
      <c r="AE217">
        <v>12.01</v>
      </c>
      <c r="AF217">
        <v>0</v>
      </c>
      <c r="AG217">
        <v>0</v>
      </c>
      <c r="AH217">
        <v>0</v>
      </c>
      <c r="AI217">
        <v>0</v>
      </c>
      <c r="AJ217">
        <v>100.01</v>
      </c>
      <c r="AK217">
        <v>0</v>
      </c>
      <c r="AL217" t="s">
        <v>53</v>
      </c>
      <c r="AM217" t="s">
        <v>53</v>
      </c>
      <c r="AN217" t="s">
        <v>630</v>
      </c>
      <c r="AO217" t="s">
        <v>53</v>
      </c>
      <c r="AP217" t="s">
        <v>53</v>
      </c>
    </row>
    <row r="218" spans="2:42" x14ac:dyDescent="0.2">
      <c r="B218" t="s">
        <v>44</v>
      </c>
      <c r="C218" t="str">
        <f>HYPERLINK("https://us2.cloudbeds.com/connect/8493803454333002#/reservations/597977022605?display=E10N24GG&amp;reservation_id=597977022605", "E10N24GG")</f>
        <v>E10N24GG</v>
      </c>
      <c r="D218" t="s">
        <v>45</v>
      </c>
      <c r="E218" t="s">
        <v>69</v>
      </c>
      <c r="F218" t="s">
        <v>70</v>
      </c>
      <c r="G218" t="s">
        <v>48</v>
      </c>
      <c r="H218" t="s">
        <v>49</v>
      </c>
      <c r="I218" t="s">
        <v>50</v>
      </c>
      <c r="J218" t="s">
        <v>288</v>
      </c>
      <c r="K218" t="s">
        <v>122</v>
      </c>
      <c r="L218" t="s">
        <v>53</v>
      </c>
      <c r="N218" t="s">
        <v>631</v>
      </c>
      <c r="P218" t="s">
        <v>55</v>
      </c>
      <c r="R218" t="s">
        <v>56</v>
      </c>
      <c r="T218" t="s">
        <v>616</v>
      </c>
      <c r="U218" t="s">
        <v>58</v>
      </c>
      <c r="V218">
        <v>5</v>
      </c>
      <c r="W218">
        <v>1</v>
      </c>
      <c r="X218">
        <v>1</v>
      </c>
      <c r="Y218">
        <v>0</v>
      </c>
      <c r="Z218">
        <v>1</v>
      </c>
      <c r="AA218">
        <v>0</v>
      </c>
      <c r="AB218">
        <v>639.28</v>
      </c>
      <c r="AC218">
        <v>562.5</v>
      </c>
      <c r="AD218">
        <v>0</v>
      </c>
      <c r="AE218">
        <v>76.8</v>
      </c>
      <c r="AF218">
        <v>0</v>
      </c>
      <c r="AG218">
        <v>0</v>
      </c>
      <c r="AH218">
        <v>0</v>
      </c>
      <c r="AI218">
        <v>115.07</v>
      </c>
      <c r="AJ218">
        <v>639.29999999999995</v>
      </c>
      <c r="AK218">
        <v>0.02</v>
      </c>
      <c r="AL218" t="s">
        <v>53</v>
      </c>
      <c r="AM218" t="s">
        <v>53</v>
      </c>
      <c r="AN218" t="s">
        <v>178</v>
      </c>
      <c r="AO218" t="s">
        <v>53</v>
      </c>
      <c r="AP218" t="s">
        <v>53</v>
      </c>
    </row>
    <row r="219" spans="2:42" x14ac:dyDescent="0.2">
      <c r="B219" t="s">
        <v>44</v>
      </c>
      <c r="C219" t="str">
        <f>HYPERLINK("https://us2.cloudbeds.com/connect/8493803454333002#/reservations/598193127624?display=E1679J1D&amp;reservation_id=598193127624", "E1679J1D")</f>
        <v>E1679J1D</v>
      </c>
      <c r="D219" t="s">
        <v>45</v>
      </c>
      <c r="E219" t="s">
        <v>138</v>
      </c>
      <c r="F219" t="s">
        <v>70</v>
      </c>
      <c r="G219" t="s">
        <v>48</v>
      </c>
      <c r="H219" t="s">
        <v>49</v>
      </c>
      <c r="I219" t="s">
        <v>62</v>
      </c>
      <c r="J219" t="s">
        <v>462</v>
      </c>
      <c r="K219" t="s">
        <v>318</v>
      </c>
      <c r="L219" t="s">
        <v>53</v>
      </c>
      <c r="N219" t="s">
        <v>632</v>
      </c>
      <c r="P219" t="s">
        <v>55</v>
      </c>
      <c r="R219" t="s">
        <v>56</v>
      </c>
      <c r="T219" t="s">
        <v>633</v>
      </c>
      <c r="U219" t="s">
        <v>58</v>
      </c>
      <c r="V219">
        <v>1</v>
      </c>
      <c r="W219">
        <v>1</v>
      </c>
      <c r="X219">
        <v>1</v>
      </c>
      <c r="Y219">
        <v>0</v>
      </c>
      <c r="Z219">
        <v>1</v>
      </c>
      <c r="AA219">
        <v>0</v>
      </c>
      <c r="AB219">
        <v>73.989999999999995</v>
      </c>
      <c r="AC219">
        <v>65.099999999999994</v>
      </c>
      <c r="AD219">
        <v>0</v>
      </c>
      <c r="AE219">
        <v>8.89</v>
      </c>
      <c r="AF219">
        <v>0</v>
      </c>
      <c r="AG219">
        <v>0</v>
      </c>
      <c r="AH219">
        <v>0</v>
      </c>
      <c r="AI219">
        <v>11.1</v>
      </c>
      <c r="AJ219">
        <v>73.989999999999995</v>
      </c>
      <c r="AK219">
        <v>0</v>
      </c>
      <c r="AL219" t="s">
        <v>53</v>
      </c>
      <c r="AM219" t="s">
        <v>53</v>
      </c>
      <c r="AN219" t="s">
        <v>634</v>
      </c>
      <c r="AO219" t="s">
        <v>53</v>
      </c>
      <c r="AP219" t="s">
        <v>53</v>
      </c>
    </row>
    <row r="220" spans="2:42" x14ac:dyDescent="0.2">
      <c r="B220" t="s">
        <v>44</v>
      </c>
      <c r="C220" t="str">
        <f>HYPERLINK("https://us2.cloudbeds.com/connect/8493803454333002#/reservations/597849788602?display=E0UEPYSY&amp;reservation_id=597849788602", "E0UEPYSY")</f>
        <v>E0UEPYSY</v>
      </c>
      <c r="D220" t="s">
        <v>45</v>
      </c>
      <c r="E220" t="s">
        <v>381</v>
      </c>
      <c r="F220" t="s">
        <v>47</v>
      </c>
      <c r="G220" t="s">
        <v>48</v>
      </c>
      <c r="H220" t="s">
        <v>71</v>
      </c>
      <c r="I220" t="s">
        <v>72</v>
      </c>
      <c r="J220" t="s">
        <v>443</v>
      </c>
      <c r="K220" t="s">
        <v>495</v>
      </c>
      <c r="L220" t="s">
        <v>53</v>
      </c>
      <c r="N220" t="s">
        <v>635</v>
      </c>
      <c r="P220" t="s">
        <v>55</v>
      </c>
      <c r="R220" t="s">
        <v>56</v>
      </c>
      <c r="T220" t="s">
        <v>633</v>
      </c>
      <c r="U220" t="s">
        <v>58</v>
      </c>
      <c r="V220">
        <v>2</v>
      </c>
      <c r="W220">
        <v>1</v>
      </c>
      <c r="X220">
        <v>1</v>
      </c>
      <c r="Y220">
        <v>0</v>
      </c>
      <c r="Z220">
        <v>1</v>
      </c>
      <c r="AA220">
        <v>0</v>
      </c>
      <c r="AB220">
        <v>163.66</v>
      </c>
      <c r="AC220">
        <v>144</v>
      </c>
      <c r="AD220">
        <v>0</v>
      </c>
      <c r="AE220">
        <v>19.66</v>
      </c>
      <c r="AF220">
        <v>0</v>
      </c>
      <c r="AG220">
        <v>0</v>
      </c>
      <c r="AH220">
        <v>0</v>
      </c>
      <c r="AI220">
        <v>0</v>
      </c>
      <c r="AJ220">
        <v>163.66</v>
      </c>
      <c r="AK220">
        <v>0</v>
      </c>
      <c r="AL220" t="s">
        <v>53</v>
      </c>
      <c r="AM220" t="s">
        <v>53</v>
      </c>
      <c r="AN220" t="s">
        <v>636</v>
      </c>
      <c r="AO220" t="s">
        <v>53</v>
      </c>
      <c r="AP220" t="s">
        <v>53</v>
      </c>
    </row>
    <row r="221" spans="2:42" x14ac:dyDescent="0.2">
      <c r="B221" t="s">
        <v>44</v>
      </c>
      <c r="C221" t="str">
        <f>HYPERLINK("https://us2.cloudbeds.com/connect/8493803454333002#/reservations/598232391848?display=E177D5BC&amp;reservation_id=598232391848", "E177D5BC")</f>
        <v>E177D5BC</v>
      </c>
      <c r="D221" t="s">
        <v>45</v>
      </c>
      <c r="E221" t="s">
        <v>105</v>
      </c>
      <c r="F221" t="s">
        <v>47</v>
      </c>
      <c r="G221" t="s">
        <v>48</v>
      </c>
      <c r="H221" t="s">
        <v>49</v>
      </c>
      <c r="I221" t="s">
        <v>79</v>
      </c>
      <c r="J221" t="s">
        <v>143</v>
      </c>
      <c r="K221" t="s">
        <v>144</v>
      </c>
      <c r="L221" t="s">
        <v>53</v>
      </c>
      <c r="N221" t="s">
        <v>637</v>
      </c>
      <c r="P221" t="s">
        <v>55</v>
      </c>
      <c r="R221" t="s">
        <v>56</v>
      </c>
      <c r="T221" t="s">
        <v>633</v>
      </c>
      <c r="U221" t="s">
        <v>58</v>
      </c>
      <c r="V221">
        <v>1</v>
      </c>
      <c r="W221">
        <v>1</v>
      </c>
      <c r="X221">
        <v>1</v>
      </c>
      <c r="Y221">
        <v>0</v>
      </c>
      <c r="Z221">
        <v>1</v>
      </c>
      <c r="AA221">
        <v>0</v>
      </c>
      <c r="AB221">
        <v>157.52000000000001</v>
      </c>
      <c r="AC221">
        <v>138.6</v>
      </c>
      <c r="AD221">
        <v>0</v>
      </c>
      <c r="AE221">
        <v>18.920000000000002</v>
      </c>
      <c r="AF221">
        <v>0</v>
      </c>
      <c r="AG221">
        <v>0</v>
      </c>
      <c r="AH221">
        <v>0</v>
      </c>
      <c r="AI221">
        <v>0</v>
      </c>
      <c r="AJ221">
        <v>157.52000000000001</v>
      </c>
      <c r="AK221">
        <v>0</v>
      </c>
      <c r="AL221" t="s">
        <v>53</v>
      </c>
      <c r="AM221" t="s">
        <v>53</v>
      </c>
      <c r="AN221" t="s">
        <v>280</v>
      </c>
      <c r="AO221" t="s">
        <v>53</v>
      </c>
      <c r="AP221" t="s">
        <v>53</v>
      </c>
    </row>
    <row r="222" spans="2:42" x14ac:dyDescent="0.2">
      <c r="B222" t="s">
        <v>44</v>
      </c>
      <c r="C222" t="str">
        <f>HYPERLINK("https://us2.cloudbeds.com/connect/8493803454333002#/reservations/598317351064?display=E19D1952&amp;reservation_id=598317351064", "E19D1952")</f>
        <v>E19D1952</v>
      </c>
      <c r="D222" t="s">
        <v>45</v>
      </c>
      <c r="E222" t="s">
        <v>138</v>
      </c>
      <c r="F222" t="s">
        <v>70</v>
      </c>
      <c r="G222" t="s">
        <v>48</v>
      </c>
      <c r="H222" t="s">
        <v>49</v>
      </c>
      <c r="I222" t="s">
        <v>62</v>
      </c>
      <c r="J222" t="s">
        <v>374</v>
      </c>
      <c r="K222" t="s">
        <v>462</v>
      </c>
      <c r="L222" t="s">
        <v>53</v>
      </c>
      <c r="N222" t="s">
        <v>638</v>
      </c>
      <c r="P222" t="s">
        <v>55</v>
      </c>
      <c r="R222" t="s">
        <v>56</v>
      </c>
      <c r="T222" t="s">
        <v>633</v>
      </c>
      <c r="U222" t="s">
        <v>58</v>
      </c>
      <c r="V222">
        <v>1</v>
      </c>
      <c r="W222">
        <v>1</v>
      </c>
      <c r="X222">
        <v>1</v>
      </c>
      <c r="Y222">
        <v>0</v>
      </c>
      <c r="Z222">
        <v>1</v>
      </c>
      <c r="AA222">
        <v>0</v>
      </c>
      <c r="AB222">
        <v>73.989999999999995</v>
      </c>
      <c r="AC222">
        <v>65.099999999999994</v>
      </c>
      <c r="AD222">
        <v>0</v>
      </c>
      <c r="AE222">
        <v>8.89</v>
      </c>
      <c r="AF222">
        <v>0</v>
      </c>
      <c r="AG222">
        <v>0</v>
      </c>
      <c r="AH222">
        <v>0</v>
      </c>
      <c r="AI222">
        <v>11.1</v>
      </c>
      <c r="AJ222">
        <v>73.989999999999995</v>
      </c>
      <c r="AK222">
        <v>0</v>
      </c>
      <c r="AL222" t="s">
        <v>53</v>
      </c>
      <c r="AM222" t="s">
        <v>53</v>
      </c>
      <c r="AN222" t="s">
        <v>639</v>
      </c>
      <c r="AO222" t="s">
        <v>53</v>
      </c>
      <c r="AP222" t="s">
        <v>53</v>
      </c>
    </row>
    <row r="223" spans="2:42" x14ac:dyDescent="0.2">
      <c r="B223" t="s">
        <v>44</v>
      </c>
      <c r="C223" t="str">
        <f>HYPERLINK("https://us2.cloudbeds.com/connect/8493803454333002#/reservations/598398857419?display=E1BFPA9Y&amp;reservation_id=598398857419", "E1BFPA9Y")</f>
        <v>E1BFPA9Y</v>
      </c>
      <c r="D223" t="s">
        <v>45</v>
      </c>
      <c r="E223" t="s">
        <v>128</v>
      </c>
      <c r="F223" t="s">
        <v>86</v>
      </c>
      <c r="G223" t="s">
        <v>48</v>
      </c>
      <c r="H223" t="s">
        <v>49</v>
      </c>
      <c r="I223" t="s">
        <v>50</v>
      </c>
      <c r="J223" t="s">
        <v>260</v>
      </c>
      <c r="K223" t="s">
        <v>640</v>
      </c>
      <c r="L223" t="s">
        <v>53</v>
      </c>
      <c r="N223" t="s">
        <v>641</v>
      </c>
      <c r="P223" t="s">
        <v>55</v>
      </c>
      <c r="R223" t="s">
        <v>56</v>
      </c>
      <c r="T223" t="s">
        <v>642</v>
      </c>
      <c r="U223" t="s">
        <v>58</v>
      </c>
      <c r="V223">
        <v>1</v>
      </c>
      <c r="W223">
        <v>1</v>
      </c>
      <c r="X223">
        <v>1</v>
      </c>
      <c r="Y223">
        <v>0</v>
      </c>
      <c r="Z223">
        <v>1</v>
      </c>
      <c r="AA223">
        <v>0</v>
      </c>
      <c r="AB223">
        <v>153.43</v>
      </c>
      <c r="AC223">
        <v>135</v>
      </c>
      <c r="AD223">
        <v>0</v>
      </c>
      <c r="AE223">
        <v>18.440000000000001</v>
      </c>
      <c r="AF223">
        <v>0</v>
      </c>
      <c r="AG223">
        <v>0</v>
      </c>
      <c r="AH223">
        <v>0</v>
      </c>
      <c r="AI223">
        <v>27.62</v>
      </c>
      <c r="AJ223">
        <v>153.44</v>
      </c>
      <c r="AK223">
        <v>0.01</v>
      </c>
      <c r="AL223" t="s">
        <v>53</v>
      </c>
      <c r="AM223" t="s">
        <v>53</v>
      </c>
      <c r="AN223" t="s">
        <v>280</v>
      </c>
      <c r="AO223" t="s">
        <v>53</v>
      </c>
      <c r="AP223" t="s">
        <v>53</v>
      </c>
    </row>
    <row r="224" spans="2:42" x14ac:dyDescent="0.2">
      <c r="B224" t="s">
        <v>44</v>
      </c>
      <c r="C224" t="str">
        <f>HYPERLINK("https://us2.cloudbeds.com/connect/8493803454333002#/reservations/597961625795?display=E10A2N0G&amp;reservation_id=597961625795", "E10A2N0G")</f>
        <v>E10A2N0G</v>
      </c>
      <c r="D224" t="s">
        <v>45</v>
      </c>
      <c r="E224" t="s">
        <v>223</v>
      </c>
      <c r="F224" t="s">
        <v>47</v>
      </c>
      <c r="G224" t="s">
        <v>48</v>
      </c>
      <c r="H224" t="s">
        <v>49</v>
      </c>
      <c r="I224" t="s">
        <v>62</v>
      </c>
      <c r="J224" t="s">
        <v>462</v>
      </c>
      <c r="K224" t="s">
        <v>318</v>
      </c>
      <c r="L224" t="s">
        <v>53</v>
      </c>
      <c r="N224" t="s">
        <v>643</v>
      </c>
      <c r="P224" t="s">
        <v>55</v>
      </c>
      <c r="R224" t="s">
        <v>56</v>
      </c>
      <c r="T224" t="s">
        <v>642</v>
      </c>
      <c r="U224" t="s">
        <v>58</v>
      </c>
      <c r="V224">
        <v>1</v>
      </c>
      <c r="W224">
        <v>1</v>
      </c>
      <c r="X224">
        <v>1</v>
      </c>
      <c r="Y224">
        <v>0</v>
      </c>
      <c r="Z224">
        <v>1</v>
      </c>
      <c r="AA224">
        <v>0</v>
      </c>
      <c r="AB224">
        <v>82.34</v>
      </c>
      <c r="AC224">
        <v>72.45</v>
      </c>
      <c r="AD224">
        <v>0</v>
      </c>
      <c r="AE224">
        <v>9.89</v>
      </c>
      <c r="AF224">
        <v>0</v>
      </c>
      <c r="AG224">
        <v>0</v>
      </c>
      <c r="AH224">
        <v>0</v>
      </c>
      <c r="AI224">
        <v>12.35</v>
      </c>
      <c r="AJ224">
        <v>82.34</v>
      </c>
      <c r="AK224">
        <v>0</v>
      </c>
      <c r="AL224" t="s">
        <v>53</v>
      </c>
      <c r="AM224" t="s">
        <v>53</v>
      </c>
      <c r="AN224" t="s">
        <v>442</v>
      </c>
      <c r="AO224" t="s">
        <v>53</v>
      </c>
      <c r="AP224" t="s">
        <v>53</v>
      </c>
    </row>
    <row r="225" spans="2:42" x14ac:dyDescent="0.2">
      <c r="B225" t="s">
        <v>44</v>
      </c>
      <c r="C225" t="str">
        <f>HYPERLINK("https://us2.cloudbeds.com/connect/8493803454333002#/reservations/598276694148?display=E18BZUWB&amp;reservation_id=598276694148", "E18BZUWB")</f>
        <v>E18BZUWB</v>
      </c>
      <c r="D225" t="s">
        <v>45</v>
      </c>
      <c r="E225" t="s">
        <v>69</v>
      </c>
      <c r="F225" t="s">
        <v>70</v>
      </c>
      <c r="G225" t="s">
        <v>48</v>
      </c>
      <c r="H225" t="s">
        <v>71</v>
      </c>
      <c r="I225" t="s">
        <v>72</v>
      </c>
      <c r="J225" t="s">
        <v>462</v>
      </c>
      <c r="K225" t="s">
        <v>318</v>
      </c>
      <c r="L225" t="s">
        <v>53</v>
      </c>
      <c r="N225" t="s">
        <v>644</v>
      </c>
      <c r="P225" t="s">
        <v>58</v>
      </c>
      <c r="R225" t="s">
        <v>56</v>
      </c>
      <c r="T225" t="s">
        <v>642</v>
      </c>
      <c r="U225" t="s">
        <v>58</v>
      </c>
      <c r="V225">
        <v>1</v>
      </c>
      <c r="W225">
        <v>1</v>
      </c>
      <c r="X225">
        <v>1</v>
      </c>
      <c r="Y225">
        <v>0</v>
      </c>
      <c r="Z225">
        <v>1</v>
      </c>
      <c r="AA225">
        <v>0</v>
      </c>
      <c r="AB225">
        <v>70.459999999999994</v>
      </c>
      <c r="AC225">
        <v>62</v>
      </c>
      <c r="AD225">
        <v>0</v>
      </c>
      <c r="AE225">
        <v>8.4700000000000006</v>
      </c>
      <c r="AF225">
        <v>0</v>
      </c>
      <c r="AG225">
        <v>0</v>
      </c>
      <c r="AH225">
        <v>0</v>
      </c>
      <c r="AI225">
        <v>0</v>
      </c>
      <c r="AJ225">
        <v>70.47</v>
      </c>
      <c r="AK225">
        <v>0.01</v>
      </c>
      <c r="AL225" t="s">
        <v>53</v>
      </c>
      <c r="AM225" t="s">
        <v>53</v>
      </c>
      <c r="AN225" t="s">
        <v>645</v>
      </c>
      <c r="AO225" t="s">
        <v>53</v>
      </c>
      <c r="AP225" t="s">
        <v>53</v>
      </c>
    </row>
    <row r="226" spans="2:42" x14ac:dyDescent="0.2">
      <c r="B226" t="s">
        <v>44</v>
      </c>
      <c r="C226" t="str">
        <f>HYPERLINK("https://us2.cloudbeds.com/connect/8493803454333002#/reservations/598324076746?display=E19XNE5Y&amp;reservation_id=598324076746", "E19XNE5Y")</f>
        <v>E19XNE5Y</v>
      </c>
      <c r="D226" t="s">
        <v>45</v>
      </c>
      <c r="E226" t="s">
        <v>46</v>
      </c>
      <c r="F226" t="s">
        <v>47</v>
      </c>
      <c r="G226" t="s">
        <v>48</v>
      </c>
      <c r="H226" t="s">
        <v>49</v>
      </c>
      <c r="I226" t="s">
        <v>79</v>
      </c>
      <c r="J226" t="s">
        <v>73</v>
      </c>
      <c r="K226" t="s">
        <v>175</v>
      </c>
      <c r="L226" t="s">
        <v>53</v>
      </c>
      <c r="N226" t="s">
        <v>646</v>
      </c>
      <c r="P226" t="s">
        <v>55</v>
      </c>
      <c r="R226" t="s">
        <v>56</v>
      </c>
      <c r="T226" t="s">
        <v>642</v>
      </c>
      <c r="U226" t="s">
        <v>58</v>
      </c>
      <c r="V226">
        <v>6</v>
      </c>
      <c r="W226">
        <v>1</v>
      </c>
      <c r="X226">
        <v>1</v>
      </c>
      <c r="Y226">
        <v>0</v>
      </c>
      <c r="Z226">
        <v>1</v>
      </c>
      <c r="AA226">
        <v>0</v>
      </c>
      <c r="AB226">
        <v>457.21</v>
      </c>
      <c r="AC226">
        <v>402.3</v>
      </c>
      <c r="AD226">
        <v>0</v>
      </c>
      <c r="AE226">
        <v>54.9</v>
      </c>
      <c r="AF226">
        <v>0</v>
      </c>
      <c r="AG226">
        <v>0</v>
      </c>
      <c r="AH226">
        <v>0</v>
      </c>
      <c r="AI226">
        <v>0</v>
      </c>
      <c r="AJ226">
        <v>457.2</v>
      </c>
      <c r="AK226">
        <v>-0.01</v>
      </c>
      <c r="AL226" t="s">
        <v>53</v>
      </c>
      <c r="AM226" t="s">
        <v>53</v>
      </c>
      <c r="AN226" t="s">
        <v>91</v>
      </c>
      <c r="AO226" t="s">
        <v>53</v>
      </c>
      <c r="AP226" t="s">
        <v>53</v>
      </c>
    </row>
    <row r="227" spans="2:42" x14ac:dyDescent="0.2">
      <c r="B227" t="s">
        <v>44</v>
      </c>
      <c r="C227" t="str">
        <f>HYPERLINK("https://us2.cloudbeds.com/connect/8493803454333002#/reservations/598434484430?display=E1CCQMY0&amp;reservation_id=598434484430", "E1CCQMY0")</f>
        <v>E1CCQMY0</v>
      </c>
      <c r="D227" t="s">
        <v>45</v>
      </c>
      <c r="E227" t="s">
        <v>265</v>
      </c>
      <c r="F227" t="s">
        <v>61</v>
      </c>
      <c r="G227" t="s">
        <v>48</v>
      </c>
      <c r="H227" t="s">
        <v>49</v>
      </c>
      <c r="I227" t="s">
        <v>79</v>
      </c>
      <c r="J227" t="s">
        <v>388</v>
      </c>
      <c r="K227" t="s">
        <v>647</v>
      </c>
      <c r="L227" t="s">
        <v>53</v>
      </c>
      <c r="N227" t="s">
        <v>648</v>
      </c>
      <c r="P227" t="s">
        <v>55</v>
      </c>
      <c r="R227" t="s">
        <v>118</v>
      </c>
      <c r="T227" t="s">
        <v>642</v>
      </c>
      <c r="U227" t="s">
        <v>58</v>
      </c>
      <c r="V227">
        <v>1</v>
      </c>
      <c r="W227">
        <v>1</v>
      </c>
      <c r="X227">
        <v>1</v>
      </c>
      <c r="Y227">
        <v>0</v>
      </c>
      <c r="Z227">
        <v>1</v>
      </c>
      <c r="AA227">
        <v>0</v>
      </c>
      <c r="AB227">
        <v>157.52000000000001</v>
      </c>
      <c r="AC227">
        <v>138.6</v>
      </c>
      <c r="AD227">
        <v>0</v>
      </c>
      <c r="AE227">
        <v>18.920000000000002</v>
      </c>
      <c r="AF227">
        <v>0</v>
      </c>
      <c r="AG227">
        <v>0</v>
      </c>
      <c r="AH227">
        <v>0</v>
      </c>
      <c r="AI227">
        <v>0</v>
      </c>
      <c r="AJ227">
        <v>157.52000000000001</v>
      </c>
      <c r="AK227">
        <v>0</v>
      </c>
      <c r="AL227" t="s">
        <v>53</v>
      </c>
      <c r="AM227" t="s">
        <v>53</v>
      </c>
      <c r="AN227" t="s">
        <v>142</v>
      </c>
      <c r="AO227" t="s">
        <v>53</v>
      </c>
      <c r="AP227" t="s">
        <v>53</v>
      </c>
    </row>
    <row r="228" spans="2:42" x14ac:dyDescent="0.2">
      <c r="B228" t="s">
        <v>44</v>
      </c>
      <c r="C228" t="str">
        <f>HYPERLINK("https://us2.cloudbeds.com/connect/8493803454333002#/reservations/598310846675?display=E197X9BD&amp;reservation_id=598310846675", "E197X9BD")</f>
        <v>E197X9BD</v>
      </c>
      <c r="D228" t="s">
        <v>45</v>
      </c>
      <c r="E228" t="s">
        <v>69</v>
      </c>
      <c r="F228" t="s">
        <v>70</v>
      </c>
      <c r="G228" t="s">
        <v>48</v>
      </c>
      <c r="H228" t="s">
        <v>49</v>
      </c>
      <c r="I228" t="s">
        <v>79</v>
      </c>
      <c r="J228" t="s">
        <v>246</v>
      </c>
      <c r="K228" t="s">
        <v>421</v>
      </c>
      <c r="L228" t="s">
        <v>53</v>
      </c>
      <c r="N228" t="s">
        <v>649</v>
      </c>
      <c r="P228" t="s">
        <v>55</v>
      </c>
      <c r="R228" t="s">
        <v>56</v>
      </c>
      <c r="T228" t="s">
        <v>642</v>
      </c>
      <c r="U228" t="s">
        <v>58</v>
      </c>
      <c r="V228">
        <v>1</v>
      </c>
      <c r="W228">
        <v>1</v>
      </c>
      <c r="X228">
        <v>1</v>
      </c>
      <c r="Y228">
        <v>0</v>
      </c>
      <c r="Z228">
        <v>1</v>
      </c>
      <c r="AA228">
        <v>0</v>
      </c>
      <c r="AB228">
        <v>70.58</v>
      </c>
      <c r="AC228">
        <v>62.1</v>
      </c>
      <c r="AD228">
        <v>0</v>
      </c>
      <c r="AE228">
        <v>8.4700000000000006</v>
      </c>
      <c r="AF228">
        <v>0</v>
      </c>
      <c r="AG228">
        <v>0</v>
      </c>
      <c r="AH228">
        <v>0</v>
      </c>
      <c r="AI228">
        <v>0</v>
      </c>
      <c r="AJ228">
        <v>70.569999999999993</v>
      </c>
      <c r="AK228">
        <v>-0.01</v>
      </c>
      <c r="AL228" t="s">
        <v>53</v>
      </c>
      <c r="AM228" t="s">
        <v>53</v>
      </c>
      <c r="AN228" t="s">
        <v>142</v>
      </c>
      <c r="AO228" t="s">
        <v>53</v>
      </c>
      <c r="AP228" t="s">
        <v>53</v>
      </c>
    </row>
    <row r="229" spans="2:42" x14ac:dyDescent="0.2">
      <c r="B229" t="s">
        <v>44</v>
      </c>
      <c r="C229" t="str">
        <f>HYPERLINK("https://us2.cloudbeds.com/connect/8493803454333002#/reservations/598294794380?display=E18R0JV7&amp;reservation_id=598294794380", "E18R0JV7")</f>
        <v>E18R0JV7</v>
      </c>
      <c r="D229" t="s">
        <v>45</v>
      </c>
      <c r="E229" t="s">
        <v>85</v>
      </c>
      <c r="F229" t="s">
        <v>86</v>
      </c>
      <c r="G229" t="s">
        <v>48</v>
      </c>
      <c r="H229" t="s">
        <v>71</v>
      </c>
      <c r="I229" t="s">
        <v>72</v>
      </c>
      <c r="J229" t="s">
        <v>650</v>
      </c>
      <c r="K229" t="s">
        <v>651</v>
      </c>
      <c r="L229" t="s">
        <v>53</v>
      </c>
      <c r="N229" t="s">
        <v>652</v>
      </c>
      <c r="P229" t="s">
        <v>55</v>
      </c>
      <c r="R229" t="s">
        <v>56</v>
      </c>
      <c r="T229" t="s">
        <v>653</v>
      </c>
      <c r="U229" t="s">
        <v>58</v>
      </c>
      <c r="V229">
        <v>1</v>
      </c>
      <c r="W229">
        <v>1</v>
      </c>
      <c r="X229">
        <v>1</v>
      </c>
      <c r="Y229">
        <v>0</v>
      </c>
      <c r="Z229">
        <v>1</v>
      </c>
      <c r="AA229">
        <v>0</v>
      </c>
      <c r="AB229">
        <v>95.47</v>
      </c>
      <c r="AC229">
        <v>84</v>
      </c>
      <c r="AD229">
        <v>0</v>
      </c>
      <c r="AE229">
        <v>11.47</v>
      </c>
      <c r="AF229">
        <v>0</v>
      </c>
      <c r="AG229">
        <v>0</v>
      </c>
      <c r="AH229">
        <v>0</v>
      </c>
      <c r="AI229">
        <v>0</v>
      </c>
      <c r="AJ229">
        <v>95.47</v>
      </c>
      <c r="AK229">
        <v>0</v>
      </c>
      <c r="AL229" t="s">
        <v>53</v>
      </c>
      <c r="AM229" t="s">
        <v>53</v>
      </c>
      <c r="AN229" t="s">
        <v>654</v>
      </c>
      <c r="AO229" t="s">
        <v>53</v>
      </c>
      <c r="AP229" t="s">
        <v>53</v>
      </c>
    </row>
    <row r="230" spans="2:42" x14ac:dyDescent="0.2">
      <c r="B230" t="s">
        <v>44</v>
      </c>
      <c r="C230" t="str">
        <f>HYPERLINK("https://us2.cloudbeds.com/connect/8493803454333002#/reservations/598441394403?display=E1CXKVT5&amp;reservation_id=598441394403", "E1CXKVT5")</f>
        <v>E1CXKVT5</v>
      </c>
      <c r="D230" t="s">
        <v>45</v>
      </c>
      <c r="E230" t="s">
        <v>223</v>
      </c>
      <c r="F230" t="s">
        <v>47</v>
      </c>
      <c r="G230" t="s">
        <v>48</v>
      </c>
      <c r="H230" t="s">
        <v>49</v>
      </c>
      <c r="I230" t="s">
        <v>50</v>
      </c>
      <c r="J230" t="s">
        <v>556</v>
      </c>
      <c r="K230" t="s">
        <v>655</v>
      </c>
      <c r="L230" t="s">
        <v>53</v>
      </c>
      <c r="N230" t="s">
        <v>656</v>
      </c>
      <c r="P230" t="s">
        <v>55</v>
      </c>
      <c r="R230" t="s">
        <v>56</v>
      </c>
      <c r="T230" t="s">
        <v>653</v>
      </c>
      <c r="U230" t="s">
        <v>58</v>
      </c>
      <c r="V230">
        <v>1</v>
      </c>
      <c r="W230">
        <v>1</v>
      </c>
      <c r="X230">
        <v>1</v>
      </c>
      <c r="Y230">
        <v>0</v>
      </c>
      <c r="Z230">
        <v>1</v>
      </c>
      <c r="AA230">
        <v>0</v>
      </c>
      <c r="AB230">
        <v>75.69</v>
      </c>
      <c r="AC230">
        <v>66.599999999999994</v>
      </c>
      <c r="AD230">
        <v>0</v>
      </c>
      <c r="AE230">
        <v>9.09</v>
      </c>
      <c r="AF230">
        <v>0</v>
      </c>
      <c r="AG230">
        <v>0</v>
      </c>
      <c r="AH230">
        <v>0</v>
      </c>
      <c r="AI230">
        <v>13.62</v>
      </c>
      <c r="AJ230">
        <v>75.69</v>
      </c>
      <c r="AK230">
        <v>0</v>
      </c>
      <c r="AL230" t="s">
        <v>53</v>
      </c>
      <c r="AM230" t="s">
        <v>53</v>
      </c>
      <c r="AN230" t="s">
        <v>252</v>
      </c>
      <c r="AO230" t="s">
        <v>53</v>
      </c>
      <c r="AP230" t="s">
        <v>53</v>
      </c>
    </row>
    <row r="231" spans="2:42" x14ac:dyDescent="0.2">
      <c r="B231" t="s">
        <v>44</v>
      </c>
      <c r="C231" t="str">
        <f>HYPERLINK("https://us2.cloudbeds.com/connect/8493803454333002#/reservations/598518325391?display=E1EHGMJ7&amp;reservation_id=598518325391", "E1EHGMJ7")</f>
        <v>E1EHGMJ7</v>
      </c>
      <c r="D231" t="s">
        <v>45</v>
      </c>
      <c r="E231" t="s">
        <v>128</v>
      </c>
      <c r="F231" t="s">
        <v>86</v>
      </c>
      <c r="G231" t="s">
        <v>48</v>
      </c>
      <c r="H231" t="s">
        <v>71</v>
      </c>
      <c r="I231" t="s">
        <v>72</v>
      </c>
      <c r="J231" t="s">
        <v>650</v>
      </c>
      <c r="K231" t="s">
        <v>651</v>
      </c>
      <c r="L231" t="s">
        <v>53</v>
      </c>
      <c r="N231" t="s">
        <v>657</v>
      </c>
      <c r="P231" t="s">
        <v>55</v>
      </c>
      <c r="R231" t="s">
        <v>56</v>
      </c>
      <c r="T231" t="s">
        <v>653</v>
      </c>
      <c r="U231" t="s">
        <v>58</v>
      </c>
      <c r="V231">
        <v>1</v>
      </c>
      <c r="W231">
        <v>1</v>
      </c>
      <c r="X231">
        <v>1</v>
      </c>
      <c r="Y231">
        <v>0</v>
      </c>
      <c r="Z231">
        <v>1</v>
      </c>
      <c r="AA231">
        <v>0</v>
      </c>
      <c r="AB231">
        <v>95.47</v>
      </c>
      <c r="AC231">
        <v>84</v>
      </c>
      <c r="AD231">
        <v>0</v>
      </c>
      <c r="AE231">
        <v>11.47</v>
      </c>
      <c r="AF231">
        <v>0</v>
      </c>
      <c r="AG231">
        <v>0</v>
      </c>
      <c r="AH231">
        <v>0</v>
      </c>
      <c r="AI231">
        <v>0</v>
      </c>
      <c r="AJ231">
        <v>95.47</v>
      </c>
      <c r="AK231">
        <v>0</v>
      </c>
      <c r="AL231" t="s">
        <v>53</v>
      </c>
      <c r="AM231" t="s">
        <v>53</v>
      </c>
      <c r="AN231" t="s">
        <v>378</v>
      </c>
      <c r="AO231" t="s">
        <v>53</v>
      </c>
      <c r="AP231" t="s">
        <v>53</v>
      </c>
    </row>
    <row r="232" spans="2:42" x14ac:dyDescent="0.2">
      <c r="B232" t="s">
        <v>44</v>
      </c>
      <c r="C232" t="str">
        <f>HYPERLINK("https://us2.cloudbeds.com/connect/8493803454333002#/reservations/598175232171?display=E15P6K3W&amp;reservation_id=598175232171", "E15P6K3W")</f>
        <v>E15P6K3W</v>
      </c>
      <c r="D232" t="s">
        <v>45</v>
      </c>
      <c r="E232" t="s">
        <v>165</v>
      </c>
      <c r="F232" t="s">
        <v>61</v>
      </c>
      <c r="G232" t="s">
        <v>48</v>
      </c>
      <c r="H232" t="s">
        <v>49</v>
      </c>
      <c r="I232" t="s">
        <v>62</v>
      </c>
      <c r="J232" t="s">
        <v>318</v>
      </c>
      <c r="K232" t="s">
        <v>375</v>
      </c>
      <c r="L232" t="s">
        <v>53</v>
      </c>
      <c r="N232" t="s">
        <v>658</v>
      </c>
      <c r="P232" t="s">
        <v>55</v>
      </c>
      <c r="R232" t="s">
        <v>56</v>
      </c>
      <c r="T232" t="s">
        <v>653</v>
      </c>
      <c r="U232" t="s">
        <v>58</v>
      </c>
      <c r="V232">
        <v>1</v>
      </c>
      <c r="W232">
        <v>1</v>
      </c>
      <c r="X232">
        <v>1</v>
      </c>
      <c r="Y232">
        <v>0</v>
      </c>
      <c r="Z232">
        <v>1</v>
      </c>
      <c r="AA232">
        <v>0</v>
      </c>
      <c r="AB232">
        <v>94.27</v>
      </c>
      <c r="AC232">
        <v>82.95</v>
      </c>
      <c r="AD232">
        <v>0</v>
      </c>
      <c r="AE232">
        <v>11.32</v>
      </c>
      <c r="AF232">
        <v>0</v>
      </c>
      <c r="AG232">
        <v>0</v>
      </c>
      <c r="AH232">
        <v>0</v>
      </c>
      <c r="AI232">
        <v>14.14</v>
      </c>
      <c r="AJ232">
        <v>94.27</v>
      </c>
      <c r="AK232">
        <v>0</v>
      </c>
      <c r="AL232" t="s">
        <v>53</v>
      </c>
      <c r="AM232" t="s">
        <v>53</v>
      </c>
      <c r="AN232" t="s">
        <v>659</v>
      </c>
      <c r="AO232" t="s">
        <v>53</v>
      </c>
      <c r="AP232" t="s">
        <v>53</v>
      </c>
    </row>
    <row r="233" spans="2:42" x14ac:dyDescent="0.2">
      <c r="B233" t="s">
        <v>44</v>
      </c>
      <c r="C233" t="str">
        <f>HYPERLINK("https://us2.cloudbeds.com/connect/8493803454333002#/reservations/598472941805?display=E1DC7R11&amp;reservation_id=598472941805", "E1DC7R11")</f>
        <v>E1DC7R11</v>
      </c>
      <c r="D233" t="s">
        <v>45</v>
      </c>
      <c r="E233" t="s">
        <v>265</v>
      </c>
      <c r="F233" t="s">
        <v>61</v>
      </c>
      <c r="G233" t="s">
        <v>48</v>
      </c>
      <c r="H233" t="s">
        <v>71</v>
      </c>
      <c r="I233" t="s">
        <v>72</v>
      </c>
      <c r="J233" t="s">
        <v>148</v>
      </c>
      <c r="K233" t="s">
        <v>421</v>
      </c>
      <c r="L233" t="s">
        <v>53</v>
      </c>
      <c r="N233" t="s">
        <v>660</v>
      </c>
      <c r="P233" t="s">
        <v>55</v>
      </c>
      <c r="R233" t="s">
        <v>56</v>
      </c>
      <c r="T233" t="s">
        <v>661</v>
      </c>
      <c r="U233" t="s">
        <v>58</v>
      </c>
      <c r="V233">
        <v>2</v>
      </c>
      <c r="W233">
        <v>1</v>
      </c>
      <c r="X233">
        <v>1</v>
      </c>
      <c r="Y233">
        <v>0</v>
      </c>
      <c r="Z233">
        <v>1</v>
      </c>
      <c r="AA233">
        <v>0</v>
      </c>
      <c r="AB233">
        <v>173.88</v>
      </c>
      <c r="AC233">
        <v>153</v>
      </c>
      <c r="AD233">
        <v>0</v>
      </c>
      <c r="AE233">
        <v>20.9</v>
      </c>
      <c r="AF233">
        <v>0</v>
      </c>
      <c r="AG233">
        <v>0</v>
      </c>
      <c r="AH233">
        <v>0</v>
      </c>
      <c r="AI233">
        <v>0</v>
      </c>
      <c r="AJ233">
        <v>173.9</v>
      </c>
      <c r="AK233">
        <v>0.02</v>
      </c>
      <c r="AL233" t="s">
        <v>53</v>
      </c>
      <c r="AM233" t="s">
        <v>53</v>
      </c>
      <c r="AN233" t="s">
        <v>378</v>
      </c>
      <c r="AO233" t="s">
        <v>53</v>
      </c>
      <c r="AP233" t="s">
        <v>53</v>
      </c>
    </row>
    <row r="234" spans="2:42" x14ac:dyDescent="0.2">
      <c r="B234" t="s">
        <v>44</v>
      </c>
      <c r="C234" t="str">
        <f>HYPERLINK("https://us2.cloudbeds.com/connect/8493803454333002#/reservations/598099853507?display=E13RY2T1&amp;reservation_id=598099853507", "E13RY2T1")</f>
        <v>E13RY2T1</v>
      </c>
      <c r="D234" t="s">
        <v>45</v>
      </c>
      <c r="E234" t="s">
        <v>223</v>
      </c>
      <c r="F234" t="s">
        <v>47</v>
      </c>
      <c r="G234" t="s">
        <v>48</v>
      </c>
      <c r="H234" t="s">
        <v>49</v>
      </c>
      <c r="I234" t="s">
        <v>50</v>
      </c>
      <c r="J234" t="s">
        <v>273</v>
      </c>
      <c r="K234" t="s">
        <v>148</v>
      </c>
      <c r="L234" t="s">
        <v>53</v>
      </c>
      <c r="N234" t="s">
        <v>662</v>
      </c>
      <c r="P234" t="s">
        <v>55</v>
      </c>
      <c r="R234" t="s">
        <v>56</v>
      </c>
      <c r="T234" t="s">
        <v>663</v>
      </c>
      <c r="U234" t="s">
        <v>58</v>
      </c>
      <c r="V234">
        <v>2</v>
      </c>
      <c r="W234">
        <v>1</v>
      </c>
      <c r="X234">
        <v>1</v>
      </c>
      <c r="Y234">
        <v>0</v>
      </c>
      <c r="Z234">
        <v>1</v>
      </c>
      <c r="AA234">
        <v>0</v>
      </c>
      <c r="AB234">
        <v>151.38</v>
      </c>
      <c r="AC234">
        <v>133.19999999999999</v>
      </c>
      <c r="AD234">
        <v>0</v>
      </c>
      <c r="AE234">
        <v>18.18</v>
      </c>
      <c r="AF234">
        <v>0</v>
      </c>
      <c r="AG234">
        <v>0</v>
      </c>
      <c r="AH234">
        <v>0</v>
      </c>
      <c r="AI234">
        <v>27.25</v>
      </c>
      <c r="AJ234">
        <v>151.38</v>
      </c>
      <c r="AK234">
        <v>0</v>
      </c>
      <c r="AL234" t="s">
        <v>53</v>
      </c>
      <c r="AM234" t="s">
        <v>53</v>
      </c>
      <c r="AN234" t="s">
        <v>59</v>
      </c>
      <c r="AO234" t="s">
        <v>53</v>
      </c>
      <c r="AP234" t="s">
        <v>53</v>
      </c>
    </row>
    <row r="235" spans="2:42" x14ac:dyDescent="0.2">
      <c r="B235" t="s">
        <v>44</v>
      </c>
      <c r="C235" t="str">
        <f>HYPERLINK("https://us2.cloudbeds.com/connect/8493803454333002#/reservations/598382391501?display=E1B1T42E&amp;reservation_id=598382391501", "E1B1T42E")</f>
        <v>E1B1T42E</v>
      </c>
      <c r="D235" t="s">
        <v>45</v>
      </c>
      <c r="E235" t="s">
        <v>165</v>
      </c>
      <c r="F235" t="s">
        <v>61</v>
      </c>
      <c r="G235" t="s">
        <v>48</v>
      </c>
      <c r="H235" t="s">
        <v>71</v>
      </c>
      <c r="I235" t="s">
        <v>72</v>
      </c>
      <c r="J235" t="s">
        <v>421</v>
      </c>
      <c r="K235" t="s">
        <v>73</v>
      </c>
      <c r="L235" t="s">
        <v>53</v>
      </c>
      <c r="N235" t="s">
        <v>664</v>
      </c>
      <c r="P235" t="s">
        <v>58</v>
      </c>
      <c r="R235" t="s">
        <v>56</v>
      </c>
      <c r="T235" t="s">
        <v>663</v>
      </c>
      <c r="U235" t="s">
        <v>58</v>
      </c>
      <c r="V235">
        <v>1</v>
      </c>
      <c r="W235">
        <v>1</v>
      </c>
      <c r="X235">
        <v>1</v>
      </c>
      <c r="Y235">
        <v>0</v>
      </c>
      <c r="Z235">
        <v>1</v>
      </c>
      <c r="AA235">
        <v>0</v>
      </c>
      <c r="AB235">
        <v>90.92</v>
      </c>
      <c r="AC235">
        <v>80</v>
      </c>
      <c r="AD235">
        <v>0</v>
      </c>
      <c r="AE235">
        <v>10.92</v>
      </c>
      <c r="AF235">
        <v>0</v>
      </c>
      <c r="AG235">
        <v>0</v>
      </c>
      <c r="AH235">
        <v>0</v>
      </c>
      <c r="AI235">
        <v>0</v>
      </c>
      <c r="AJ235">
        <v>90.92</v>
      </c>
      <c r="AK235">
        <v>0</v>
      </c>
      <c r="AL235" t="s">
        <v>53</v>
      </c>
      <c r="AM235" t="s">
        <v>53</v>
      </c>
      <c r="AN235" t="s">
        <v>665</v>
      </c>
      <c r="AO235" t="s">
        <v>53</v>
      </c>
      <c r="AP235" t="s">
        <v>53</v>
      </c>
    </row>
    <row r="236" spans="2:42" x14ac:dyDescent="0.2">
      <c r="B236" t="s">
        <v>44</v>
      </c>
      <c r="C236" t="str">
        <f>HYPERLINK("https://us2.cloudbeds.com/connect/8493803454333002#/reservations/598073938081?display=E135PVE3&amp;reservation_id=598073938081", "E135PVE3")</f>
        <v>E135PVE3</v>
      </c>
      <c r="D236" t="s">
        <v>45</v>
      </c>
      <c r="E236" t="s">
        <v>105</v>
      </c>
      <c r="F236" t="s">
        <v>47</v>
      </c>
      <c r="G236" t="s">
        <v>48</v>
      </c>
      <c r="H236" t="s">
        <v>71</v>
      </c>
      <c r="I236" t="s">
        <v>72</v>
      </c>
      <c r="J236" t="s">
        <v>443</v>
      </c>
      <c r="K236" t="s">
        <v>495</v>
      </c>
      <c r="L236" t="s">
        <v>53</v>
      </c>
      <c r="N236" t="s">
        <v>666</v>
      </c>
      <c r="P236" t="s">
        <v>55</v>
      </c>
      <c r="R236" t="s">
        <v>56</v>
      </c>
      <c r="T236" t="s">
        <v>663</v>
      </c>
      <c r="U236" t="s">
        <v>58</v>
      </c>
      <c r="V236">
        <v>2</v>
      </c>
      <c r="W236">
        <v>1</v>
      </c>
      <c r="X236">
        <v>1</v>
      </c>
      <c r="Y236">
        <v>0</v>
      </c>
      <c r="Z236">
        <v>1</v>
      </c>
      <c r="AA236">
        <v>0</v>
      </c>
      <c r="AB236">
        <v>158.75</v>
      </c>
      <c r="AC236">
        <v>139.68</v>
      </c>
      <c r="AD236">
        <v>0</v>
      </c>
      <c r="AE236">
        <v>19.079999999999998</v>
      </c>
      <c r="AF236">
        <v>0</v>
      </c>
      <c r="AG236">
        <v>0</v>
      </c>
      <c r="AH236">
        <v>0</v>
      </c>
      <c r="AI236">
        <v>0</v>
      </c>
      <c r="AJ236">
        <v>158.76</v>
      </c>
      <c r="AK236">
        <v>0.01</v>
      </c>
      <c r="AL236" t="s">
        <v>53</v>
      </c>
      <c r="AM236" t="s">
        <v>53</v>
      </c>
      <c r="AN236" t="s">
        <v>667</v>
      </c>
      <c r="AO236" t="s">
        <v>53</v>
      </c>
      <c r="AP236" t="s">
        <v>53</v>
      </c>
    </row>
    <row r="237" spans="2:42" x14ac:dyDescent="0.2">
      <c r="B237" t="s">
        <v>44</v>
      </c>
      <c r="C237" t="str">
        <f>HYPERLINK("https://us2.cloudbeds.com/connect/8493803454333002#/reservations/598315135149?display=E19B5KB5&amp;reservation_id=598315135149", "E19B5KB5")</f>
        <v>E19B5KB5</v>
      </c>
      <c r="D237" t="s">
        <v>45</v>
      </c>
      <c r="E237" t="s">
        <v>185</v>
      </c>
      <c r="F237" t="s">
        <v>47</v>
      </c>
      <c r="G237" t="s">
        <v>48</v>
      </c>
      <c r="H237" t="s">
        <v>49</v>
      </c>
      <c r="I237" t="s">
        <v>79</v>
      </c>
      <c r="J237" t="s">
        <v>272</v>
      </c>
      <c r="K237" t="s">
        <v>148</v>
      </c>
      <c r="L237" t="s">
        <v>53</v>
      </c>
      <c r="N237" t="s">
        <v>668</v>
      </c>
      <c r="P237" t="s">
        <v>55</v>
      </c>
      <c r="R237" t="s">
        <v>56</v>
      </c>
      <c r="T237" t="s">
        <v>663</v>
      </c>
      <c r="U237" t="s">
        <v>58</v>
      </c>
      <c r="V237">
        <v>3</v>
      </c>
      <c r="W237">
        <v>1</v>
      </c>
      <c r="X237">
        <v>1</v>
      </c>
      <c r="Y237">
        <v>0</v>
      </c>
      <c r="Z237">
        <v>1</v>
      </c>
      <c r="AA237">
        <v>0</v>
      </c>
      <c r="AB237">
        <v>227.07</v>
      </c>
      <c r="AC237">
        <v>199.8</v>
      </c>
      <c r="AD237">
        <v>0</v>
      </c>
      <c r="AE237">
        <v>27.27</v>
      </c>
      <c r="AF237">
        <v>0</v>
      </c>
      <c r="AG237">
        <v>0</v>
      </c>
      <c r="AH237">
        <v>0</v>
      </c>
      <c r="AI237">
        <v>0</v>
      </c>
      <c r="AJ237">
        <v>227.07</v>
      </c>
      <c r="AK237">
        <v>0</v>
      </c>
      <c r="AL237" t="s">
        <v>53</v>
      </c>
      <c r="AM237" t="s">
        <v>53</v>
      </c>
      <c r="AN237" t="s">
        <v>252</v>
      </c>
      <c r="AO237" t="s">
        <v>53</v>
      </c>
      <c r="AP237" t="s">
        <v>53</v>
      </c>
    </row>
    <row r="238" spans="2:42" x14ac:dyDescent="0.2">
      <c r="B238" t="s">
        <v>44</v>
      </c>
      <c r="C238" t="str">
        <f>HYPERLINK("https://us2.cloudbeds.com/connect/8493803454333002#/reservations/598491795710?display=E1DS4F2G&amp;reservation_id=598491795710", "E1DS4F2G")</f>
        <v>E1DS4F2G</v>
      </c>
      <c r="D238" t="s">
        <v>45</v>
      </c>
      <c r="E238" t="s">
        <v>98</v>
      </c>
      <c r="F238" t="s">
        <v>86</v>
      </c>
      <c r="G238" t="s">
        <v>48</v>
      </c>
      <c r="H238" t="s">
        <v>71</v>
      </c>
      <c r="I238" t="s">
        <v>72</v>
      </c>
      <c r="J238" t="s">
        <v>272</v>
      </c>
      <c r="K238" t="s">
        <v>273</v>
      </c>
      <c r="L238" t="s">
        <v>53</v>
      </c>
      <c r="N238" t="s">
        <v>669</v>
      </c>
      <c r="P238" t="s">
        <v>55</v>
      </c>
      <c r="R238" t="s">
        <v>56</v>
      </c>
      <c r="T238" t="s">
        <v>663</v>
      </c>
      <c r="U238" t="s">
        <v>58</v>
      </c>
      <c r="V238">
        <v>1</v>
      </c>
      <c r="W238">
        <v>1</v>
      </c>
      <c r="X238">
        <v>1</v>
      </c>
      <c r="Y238">
        <v>0</v>
      </c>
      <c r="Z238">
        <v>1</v>
      </c>
      <c r="AA238">
        <v>0</v>
      </c>
      <c r="AB238">
        <v>89.78</v>
      </c>
      <c r="AC238">
        <v>79</v>
      </c>
      <c r="AD238">
        <v>0</v>
      </c>
      <c r="AE238">
        <v>10.79</v>
      </c>
      <c r="AF238">
        <v>0</v>
      </c>
      <c r="AG238">
        <v>0</v>
      </c>
      <c r="AH238">
        <v>0</v>
      </c>
      <c r="AI238">
        <v>0</v>
      </c>
      <c r="AJ238">
        <v>89.79</v>
      </c>
      <c r="AK238">
        <v>0.01</v>
      </c>
      <c r="AL238" t="s">
        <v>53</v>
      </c>
      <c r="AM238" t="s">
        <v>53</v>
      </c>
      <c r="AN238" t="s">
        <v>378</v>
      </c>
      <c r="AO238" t="s">
        <v>53</v>
      </c>
      <c r="AP238" t="s">
        <v>53</v>
      </c>
    </row>
    <row r="239" spans="2:42" x14ac:dyDescent="0.2">
      <c r="B239" t="s">
        <v>44</v>
      </c>
      <c r="C239" t="str">
        <f>HYPERLINK("https://us2.cloudbeds.com/connect/8493803454333002#/reservations/598260093089?display=E17UZWYV&amp;reservation_id=598260093089", "E17UZWYV")</f>
        <v>E17UZWYV</v>
      </c>
      <c r="D239" t="s">
        <v>45</v>
      </c>
      <c r="E239" t="s">
        <v>113</v>
      </c>
      <c r="F239" t="s">
        <v>61</v>
      </c>
      <c r="G239" t="s">
        <v>48</v>
      </c>
      <c r="H239" t="s">
        <v>49</v>
      </c>
      <c r="I239" t="s">
        <v>62</v>
      </c>
      <c r="J239" t="s">
        <v>273</v>
      </c>
      <c r="K239" t="s">
        <v>609</v>
      </c>
      <c r="L239" t="s">
        <v>53</v>
      </c>
      <c r="N239" t="s">
        <v>670</v>
      </c>
      <c r="P239" t="s">
        <v>58</v>
      </c>
      <c r="R239" t="s">
        <v>56</v>
      </c>
      <c r="T239" t="s">
        <v>663</v>
      </c>
      <c r="U239" t="s">
        <v>58</v>
      </c>
      <c r="V239">
        <v>9</v>
      </c>
      <c r="W239">
        <v>1</v>
      </c>
      <c r="X239">
        <v>1</v>
      </c>
      <c r="Y239">
        <v>0</v>
      </c>
      <c r="Z239">
        <v>1</v>
      </c>
      <c r="AA239">
        <v>0</v>
      </c>
      <c r="AB239">
        <v>792.25</v>
      </c>
      <c r="AC239">
        <v>697.1</v>
      </c>
      <c r="AD239">
        <v>0</v>
      </c>
      <c r="AE239">
        <v>95.21</v>
      </c>
      <c r="AF239">
        <v>0</v>
      </c>
      <c r="AG239">
        <v>0</v>
      </c>
      <c r="AH239">
        <v>0</v>
      </c>
      <c r="AI239">
        <v>118.85</v>
      </c>
      <c r="AJ239">
        <v>792.31</v>
      </c>
      <c r="AK239">
        <v>0.06</v>
      </c>
      <c r="AL239" t="s">
        <v>53</v>
      </c>
      <c r="AM239" t="s">
        <v>53</v>
      </c>
      <c r="AN239" t="s">
        <v>671</v>
      </c>
      <c r="AO239" t="s">
        <v>53</v>
      </c>
      <c r="AP239" t="s">
        <v>53</v>
      </c>
    </row>
    <row r="240" spans="2:42" x14ac:dyDescent="0.2">
      <c r="B240" t="s">
        <v>44</v>
      </c>
      <c r="C240" t="str">
        <f>HYPERLINK("https://us2.cloudbeds.com/connect/8493803454333002#/reservations/598214123726?display=E16ZWR6U&amp;reservation_id=598214123726", "E16ZWR6U")</f>
        <v>E16ZWR6U</v>
      </c>
      <c r="D240" t="s">
        <v>45</v>
      </c>
      <c r="E240" t="s">
        <v>373</v>
      </c>
      <c r="F240" t="s">
        <v>47</v>
      </c>
      <c r="G240" t="s">
        <v>48</v>
      </c>
      <c r="H240" t="s">
        <v>71</v>
      </c>
      <c r="I240" t="s">
        <v>72</v>
      </c>
      <c r="J240" t="s">
        <v>147</v>
      </c>
      <c r="K240" t="s">
        <v>73</v>
      </c>
      <c r="L240" t="s">
        <v>53</v>
      </c>
      <c r="N240" t="s">
        <v>672</v>
      </c>
      <c r="P240" t="s">
        <v>58</v>
      </c>
      <c r="R240" t="s">
        <v>56</v>
      </c>
      <c r="T240" t="s">
        <v>663</v>
      </c>
      <c r="U240" t="s">
        <v>58</v>
      </c>
      <c r="V240">
        <v>4</v>
      </c>
      <c r="W240">
        <v>1</v>
      </c>
      <c r="X240">
        <v>1</v>
      </c>
      <c r="Y240">
        <v>0</v>
      </c>
      <c r="Z240">
        <v>1</v>
      </c>
      <c r="AA240">
        <v>0</v>
      </c>
      <c r="AB240">
        <v>320.49</v>
      </c>
      <c r="AC240">
        <v>282</v>
      </c>
      <c r="AD240">
        <v>0</v>
      </c>
      <c r="AE240">
        <v>38.479999999999997</v>
      </c>
      <c r="AF240">
        <v>0</v>
      </c>
      <c r="AG240">
        <v>0</v>
      </c>
      <c r="AH240">
        <v>0</v>
      </c>
      <c r="AI240">
        <v>0</v>
      </c>
      <c r="AJ240">
        <v>320.48</v>
      </c>
      <c r="AK240">
        <v>-0.01</v>
      </c>
      <c r="AL240" t="s">
        <v>53</v>
      </c>
      <c r="AM240" t="s">
        <v>53</v>
      </c>
      <c r="AN240" t="s">
        <v>673</v>
      </c>
      <c r="AO240" t="s">
        <v>53</v>
      </c>
      <c r="AP240" t="s">
        <v>53</v>
      </c>
    </row>
    <row r="241" spans="2:42" x14ac:dyDescent="0.2">
      <c r="B241" t="s">
        <v>44</v>
      </c>
      <c r="C241" t="str">
        <f>HYPERLINK("https://us2.cloudbeds.com/connect/8493803454333002#/reservations/597998264557?display=E117W7E0&amp;reservation_id=597998264557", "E117W7E0")</f>
        <v>E117W7E0</v>
      </c>
      <c r="D241" t="s">
        <v>45</v>
      </c>
      <c r="E241" t="s">
        <v>185</v>
      </c>
      <c r="F241" t="s">
        <v>47</v>
      </c>
      <c r="G241" t="s">
        <v>48</v>
      </c>
      <c r="H241" t="s">
        <v>49</v>
      </c>
      <c r="I241" t="s">
        <v>114</v>
      </c>
      <c r="J241" t="s">
        <v>246</v>
      </c>
      <c r="K241" t="s">
        <v>73</v>
      </c>
      <c r="L241" t="s">
        <v>53</v>
      </c>
      <c r="N241" t="s">
        <v>674</v>
      </c>
      <c r="P241" t="s">
        <v>55</v>
      </c>
      <c r="R241" t="s">
        <v>56</v>
      </c>
      <c r="T241" t="s">
        <v>663</v>
      </c>
      <c r="U241" t="s">
        <v>58</v>
      </c>
      <c r="V241">
        <v>2</v>
      </c>
      <c r="W241">
        <v>1</v>
      </c>
      <c r="X241">
        <v>1</v>
      </c>
      <c r="Y241">
        <v>0</v>
      </c>
      <c r="Z241">
        <v>1</v>
      </c>
      <c r="AA241">
        <v>0</v>
      </c>
      <c r="AB241">
        <v>165.93</v>
      </c>
      <c r="AC241">
        <v>146</v>
      </c>
      <c r="AD241">
        <v>0</v>
      </c>
      <c r="AE241">
        <v>19.940000000000001</v>
      </c>
      <c r="AF241">
        <v>0</v>
      </c>
      <c r="AG241">
        <v>0</v>
      </c>
      <c r="AH241">
        <v>0</v>
      </c>
      <c r="AI241">
        <v>0</v>
      </c>
      <c r="AJ241">
        <v>165.94</v>
      </c>
      <c r="AK241">
        <v>0.01</v>
      </c>
      <c r="AL241" t="s">
        <v>53</v>
      </c>
      <c r="AM241" t="s">
        <v>53</v>
      </c>
      <c r="AN241" t="s">
        <v>675</v>
      </c>
      <c r="AO241" t="s">
        <v>53</v>
      </c>
      <c r="AP241" t="s">
        <v>53</v>
      </c>
    </row>
    <row r="242" spans="2:42" x14ac:dyDescent="0.2">
      <c r="B242" t="s">
        <v>44</v>
      </c>
      <c r="C242" t="str">
        <f>HYPERLINK("https://us2.cloudbeds.com/connect/8493803454333002#/reservations/598454247590?display=E1CTFKKM&amp;reservation_id=598454247590", "E1CTFKKM")</f>
        <v>E1CTFKKM</v>
      </c>
      <c r="D242" t="s">
        <v>45</v>
      </c>
      <c r="E242" t="s">
        <v>110</v>
      </c>
      <c r="F242" t="s">
        <v>47</v>
      </c>
      <c r="G242" t="s">
        <v>48</v>
      </c>
      <c r="H242" t="s">
        <v>49</v>
      </c>
      <c r="I242" t="s">
        <v>62</v>
      </c>
      <c r="J242" t="s">
        <v>273</v>
      </c>
      <c r="K242" t="s">
        <v>147</v>
      </c>
      <c r="L242" t="s">
        <v>53</v>
      </c>
      <c r="N242" t="s">
        <v>676</v>
      </c>
      <c r="P242" t="s">
        <v>55</v>
      </c>
      <c r="R242" t="s">
        <v>56</v>
      </c>
      <c r="T242" t="s">
        <v>663</v>
      </c>
      <c r="U242" t="s">
        <v>58</v>
      </c>
      <c r="V242">
        <v>1</v>
      </c>
      <c r="W242">
        <v>1</v>
      </c>
      <c r="X242">
        <v>1</v>
      </c>
      <c r="Y242">
        <v>0</v>
      </c>
      <c r="Z242">
        <v>1</v>
      </c>
      <c r="AA242">
        <v>0</v>
      </c>
      <c r="AB242">
        <v>82.34</v>
      </c>
      <c r="AC242">
        <v>72.45</v>
      </c>
      <c r="AD242">
        <v>0</v>
      </c>
      <c r="AE242">
        <v>9.89</v>
      </c>
      <c r="AF242">
        <v>0</v>
      </c>
      <c r="AG242">
        <v>0</v>
      </c>
      <c r="AH242">
        <v>0</v>
      </c>
      <c r="AI242">
        <v>12.35</v>
      </c>
      <c r="AJ242">
        <v>82.34</v>
      </c>
      <c r="AK242">
        <v>0</v>
      </c>
      <c r="AL242" t="s">
        <v>53</v>
      </c>
      <c r="AM242" t="s">
        <v>53</v>
      </c>
      <c r="AN242" t="s">
        <v>677</v>
      </c>
      <c r="AO242" t="s">
        <v>53</v>
      </c>
      <c r="AP242" t="s">
        <v>53</v>
      </c>
    </row>
    <row r="243" spans="2:42" x14ac:dyDescent="0.2">
      <c r="B243" t="s">
        <v>44</v>
      </c>
      <c r="C243" t="str">
        <f>HYPERLINK("https://us2.cloudbeds.com/connect/8493803454333002#/reservations/598339797149?display=E19VVSQF&amp;reservation_id=598339797149", "E19VVSQF")</f>
        <v>E19VVSQF</v>
      </c>
      <c r="D243" t="s">
        <v>45</v>
      </c>
      <c r="E243" t="s">
        <v>85</v>
      </c>
      <c r="F243" t="s">
        <v>86</v>
      </c>
      <c r="G243" t="s">
        <v>48</v>
      </c>
      <c r="H243" t="s">
        <v>71</v>
      </c>
      <c r="I243" t="s">
        <v>72</v>
      </c>
      <c r="J243" t="s">
        <v>246</v>
      </c>
      <c r="K243" t="s">
        <v>421</v>
      </c>
      <c r="L243" t="s">
        <v>53</v>
      </c>
      <c r="N243" t="s">
        <v>678</v>
      </c>
      <c r="P243" t="s">
        <v>55</v>
      </c>
      <c r="R243" t="s">
        <v>56</v>
      </c>
      <c r="T243" t="s">
        <v>679</v>
      </c>
      <c r="U243" t="s">
        <v>58</v>
      </c>
      <c r="V243">
        <v>1</v>
      </c>
      <c r="W243">
        <v>1</v>
      </c>
      <c r="X243">
        <v>1</v>
      </c>
      <c r="Y243">
        <v>0</v>
      </c>
      <c r="Z243">
        <v>1</v>
      </c>
      <c r="AA243">
        <v>0</v>
      </c>
      <c r="AB243">
        <v>96.6</v>
      </c>
      <c r="AC243">
        <v>85</v>
      </c>
      <c r="AD243">
        <v>0</v>
      </c>
      <c r="AE243">
        <v>11.61</v>
      </c>
      <c r="AF243">
        <v>0</v>
      </c>
      <c r="AG243">
        <v>0</v>
      </c>
      <c r="AH243">
        <v>0</v>
      </c>
      <c r="AI243">
        <v>0</v>
      </c>
      <c r="AJ243">
        <v>96.61</v>
      </c>
      <c r="AK243">
        <v>0.01</v>
      </c>
      <c r="AL243" t="s">
        <v>53</v>
      </c>
      <c r="AM243" t="s">
        <v>53</v>
      </c>
      <c r="AN243" t="s">
        <v>680</v>
      </c>
      <c r="AO243" t="s">
        <v>53</v>
      </c>
      <c r="AP243" t="s">
        <v>53</v>
      </c>
    </row>
    <row r="244" spans="2:42" x14ac:dyDescent="0.2">
      <c r="B244" t="s">
        <v>44</v>
      </c>
      <c r="C244" t="str">
        <f>HYPERLINK("https://us2.cloudbeds.com/connect/8493803454333002#/reservations/598509359233?display=E1E9V66F&amp;reservation_id=598509359233", "E1E9V66F")</f>
        <v>E1E9V66F</v>
      </c>
      <c r="D244" t="s">
        <v>45</v>
      </c>
      <c r="E244" t="s">
        <v>373</v>
      </c>
      <c r="F244" t="s">
        <v>47</v>
      </c>
      <c r="G244" t="s">
        <v>48</v>
      </c>
      <c r="H244" t="s">
        <v>71</v>
      </c>
      <c r="I244" t="s">
        <v>72</v>
      </c>
      <c r="J244" t="s">
        <v>273</v>
      </c>
      <c r="K244" t="s">
        <v>147</v>
      </c>
      <c r="L244" t="s">
        <v>53</v>
      </c>
      <c r="N244" t="s">
        <v>681</v>
      </c>
      <c r="P244" t="s">
        <v>55</v>
      </c>
      <c r="R244" t="s">
        <v>56</v>
      </c>
      <c r="T244" t="s">
        <v>682</v>
      </c>
      <c r="U244" t="s">
        <v>58</v>
      </c>
      <c r="V244">
        <v>1</v>
      </c>
      <c r="W244">
        <v>1</v>
      </c>
      <c r="X244">
        <v>1</v>
      </c>
      <c r="Y244">
        <v>0</v>
      </c>
      <c r="Z244">
        <v>1</v>
      </c>
      <c r="AA244">
        <v>0</v>
      </c>
      <c r="AB244">
        <v>81.83</v>
      </c>
      <c r="AC244">
        <v>72</v>
      </c>
      <c r="AD244">
        <v>0</v>
      </c>
      <c r="AE244">
        <v>9.83</v>
      </c>
      <c r="AF244">
        <v>0</v>
      </c>
      <c r="AG244">
        <v>0</v>
      </c>
      <c r="AH244">
        <v>0</v>
      </c>
      <c r="AI244">
        <v>0</v>
      </c>
      <c r="AJ244">
        <v>81.83</v>
      </c>
      <c r="AK244">
        <v>0</v>
      </c>
      <c r="AL244" t="s">
        <v>53</v>
      </c>
      <c r="AM244" t="s">
        <v>53</v>
      </c>
      <c r="AN244" t="s">
        <v>683</v>
      </c>
      <c r="AO244" t="s">
        <v>53</v>
      </c>
      <c r="AP244" t="s">
        <v>53</v>
      </c>
    </row>
    <row r="245" spans="2:42" x14ac:dyDescent="0.2">
      <c r="B245" t="s">
        <v>44</v>
      </c>
      <c r="C245" t="str">
        <f>HYPERLINK("https://us2.cloudbeds.com/connect/8493803454333002#/reservations/597837811910?display=E0U4MCWJ&amp;reservation_id=597837811910", "E0U4MCWJ")</f>
        <v>E0U4MCWJ</v>
      </c>
      <c r="D245" t="s">
        <v>45</v>
      </c>
      <c r="E245" t="s">
        <v>165</v>
      </c>
      <c r="F245" t="s">
        <v>61</v>
      </c>
      <c r="G245" t="s">
        <v>48</v>
      </c>
      <c r="H245" t="s">
        <v>49</v>
      </c>
      <c r="I245" t="s">
        <v>114</v>
      </c>
      <c r="J245" t="s">
        <v>175</v>
      </c>
      <c r="K245" t="s">
        <v>249</v>
      </c>
      <c r="L245" t="s">
        <v>53</v>
      </c>
      <c r="N245" t="s">
        <v>684</v>
      </c>
      <c r="P245" t="s">
        <v>55</v>
      </c>
      <c r="R245" t="s">
        <v>56</v>
      </c>
      <c r="T245" t="s">
        <v>682</v>
      </c>
      <c r="U245" t="s">
        <v>58</v>
      </c>
      <c r="V245">
        <v>1</v>
      </c>
      <c r="W245">
        <v>1</v>
      </c>
      <c r="X245">
        <v>1</v>
      </c>
      <c r="Y245">
        <v>0</v>
      </c>
      <c r="Z245">
        <v>1</v>
      </c>
      <c r="AA245">
        <v>0</v>
      </c>
      <c r="AB245">
        <v>89.78</v>
      </c>
      <c r="AC245">
        <v>79</v>
      </c>
      <c r="AD245">
        <v>0</v>
      </c>
      <c r="AE245">
        <v>10.79</v>
      </c>
      <c r="AF245">
        <v>0</v>
      </c>
      <c r="AG245">
        <v>0</v>
      </c>
      <c r="AH245">
        <v>0</v>
      </c>
      <c r="AI245">
        <v>0</v>
      </c>
      <c r="AJ245">
        <v>89.79</v>
      </c>
      <c r="AK245">
        <v>0.01</v>
      </c>
      <c r="AL245" t="s">
        <v>53</v>
      </c>
      <c r="AM245" t="s">
        <v>53</v>
      </c>
      <c r="AN245" t="s">
        <v>685</v>
      </c>
      <c r="AO245" t="s">
        <v>53</v>
      </c>
      <c r="AP245" t="s">
        <v>53</v>
      </c>
    </row>
    <row r="246" spans="2:42" x14ac:dyDescent="0.2">
      <c r="B246" t="s">
        <v>44</v>
      </c>
      <c r="C246" t="str">
        <f>HYPERLINK("https://us2.cloudbeds.com/connect/8493803454333002#/reservations/598483554466?display=E1DY64BR&amp;reservation_id=598483554466", "E1DY64BR")</f>
        <v>E1DY64BR</v>
      </c>
      <c r="D246" t="s">
        <v>45</v>
      </c>
      <c r="E246" t="s">
        <v>381</v>
      </c>
      <c r="F246" t="s">
        <v>47</v>
      </c>
      <c r="G246" t="s">
        <v>48</v>
      </c>
      <c r="H246" t="s">
        <v>71</v>
      </c>
      <c r="I246" t="s">
        <v>72</v>
      </c>
      <c r="J246" t="s">
        <v>273</v>
      </c>
      <c r="K246" t="s">
        <v>147</v>
      </c>
      <c r="L246" t="s">
        <v>53</v>
      </c>
      <c r="N246" t="s">
        <v>686</v>
      </c>
      <c r="P246" t="s">
        <v>55</v>
      </c>
      <c r="R246" t="s">
        <v>56</v>
      </c>
      <c r="T246" t="s">
        <v>682</v>
      </c>
      <c r="U246" t="s">
        <v>58</v>
      </c>
      <c r="V246">
        <v>1</v>
      </c>
      <c r="W246">
        <v>1</v>
      </c>
      <c r="X246">
        <v>1</v>
      </c>
      <c r="Y246">
        <v>0</v>
      </c>
      <c r="Z246">
        <v>1</v>
      </c>
      <c r="AA246">
        <v>0</v>
      </c>
      <c r="AB246">
        <v>78.42</v>
      </c>
      <c r="AC246">
        <v>69</v>
      </c>
      <c r="AD246">
        <v>0</v>
      </c>
      <c r="AE246">
        <v>9.42</v>
      </c>
      <c r="AF246">
        <v>0</v>
      </c>
      <c r="AG246">
        <v>0</v>
      </c>
      <c r="AH246">
        <v>0</v>
      </c>
      <c r="AI246">
        <v>0</v>
      </c>
      <c r="AJ246">
        <v>78.42</v>
      </c>
      <c r="AK246">
        <v>0</v>
      </c>
      <c r="AL246" t="s">
        <v>53</v>
      </c>
      <c r="AM246" t="s">
        <v>53</v>
      </c>
      <c r="AN246" t="s">
        <v>378</v>
      </c>
      <c r="AO246" t="s">
        <v>53</v>
      </c>
      <c r="AP246" t="s">
        <v>53</v>
      </c>
    </row>
    <row r="247" spans="2:42" x14ac:dyDescent="0.2">
      <c r="B247" t="s">
        <v>44</v>
      </c>
      <c r="C247" t="str">
        <f>HYPERLINK("https://us2.cloudbeds.com/connect/8493803454333002#/reservations/598233997531?display=E178ZRQF&amp;reservation_id=598233997531", "E178ZRQF")</f>
        <v>E178ZRQF</v>
      </c>
      <c r="D247" t="s">
        <v>45</v>
      </c>
      <c r="E247" t="s">
        <v>373</v>
      </c>
      <c r="F247" t="s">
        <v>47</v>
      </c>
      <c r="G247" t="s">
        <v>48</v>
      </c>
      <c r="H247" t="s">
        <v>71</v>
      </c>
      <c r="I247" t="s">
        <v>72</v>
      </c>
      <c r="J247" t="s">
        <v>609</v>
      </c>
      <c r="K247" t="s">
        <v>175</v>
      </c>
      <c r="L247" t="s">
        <v>53</v>
      </c>
      <c r="N247" t="s">
        <v>687</v>
      </c>
      <c r="P247" t="s">
        <v>55</v>
      </c>
      <c r="R247" t="s">
        <v>56</v>
      </c>
      <c r="T247" t="s">
        <v>682</v>
      </c>
      <c r="U247" t="s">
        <v>58</v>
      </c>
      <c r="V247">
        <v>2</v>
      </c>
      <c r="W247">
        <v>1</v>
      </c>
      <c r="X247">
        <v>1</v>
      </c>
      <c r="Y247">
        <v>0</v>
      </c>
      <c r="Z247">
        <v>1</v>
      </c>
      <c r="AA247">
        <v>0</v>
      </c>
      <c r="AB247">
        <v>162.52000000000001</v>
      </c>
      <c r="AC247">
        <v>143</v>
      </c>
      <c r="AD247">
        <v>0</v>
      </c>
      <c r="AE247">
        <v>19.5</v>
      </c>
      <c r="AF247">
        <v>0</v>
      </c>
      <c r="AG247">
        <v>0</v>
      </c>
      <c r="AH247">
        <v>0</v>
      </c>
      <c r="AI247">
        <v>0</v>
      </c>
      <c r="AJ247">
        <v>162.5</v>
      </c>
      <c r="AK247">
        <v>-0.02</v>
      </c>
      <c r="AL247" t="s">
        <v>53</v>
      </c>
      <c r="AM247" t="s">
        <v>53</v>
      </c>
      <c r="AN247" t="s">
        <v>688</v>
      </c>
      <c r="AO247" t="s">
        <v>53</v>
      </c>
      <c r="AP247" t="s">
        <v>53</v>
      </c>
    </row>
    <row r="248" spans="2:42" x14ac:dyDescent="0.2">
      <c r="B248" t="s">
        <v>44</v>
      </c>
      <c r="C248" t="str">
        <f>HYPERLINK("https://us2.cloudbeds.com/connect/8493803454333002#/reservations/598492836018?display=E1DT0DBW&amp;reservation_id=598492836018", "E1DT0DBW")</f>
        <v>E1DT0DBW</v>
      </c>
      <c r="D248" t="s">
        <v>45</v>
      </c>
      <c r="E248" t="s">
        <v>213</v>
      </c>
      <c r="F248" t="s">
        <v>86</v>
      </c>
      <c r="G248" t="s">
        <v>48</v>
      </c>
      <c r="H248" t="s">
        <v>49</v>
      </c>
      <c r="I248" t="s">
        <v>50</v>
      </c>
      <c r="J248" t="s">
        <v>246</v>
      </c>
      <c r="K248" t="s">
        <v>73</v>
      </c>
      <c r="L248" t="s">
        <v>53</v>
      </c>
      <c r="N248" t="s">
        <v>689</v>
      </c>
      <c r="P248" t="s">
        <v>55</v>
      </c>
      <c r="R248" t="s">
        <v>56</v>
      </c>
      <c r="T248" t="s">
        <v>690</v>
      </c>
      <c r="U248" t="s">
        <v>58</v>
      </c>
      <c r="V248">
        <v>2</v>
      </c>
      <c r="W248">
        <v>1</v>
      </c>
      <c r="X248">
        <v>1</v>
      </c>
      <c r="Y248">
        <v>0</v>
      </c>
      <c r="Z248">
        <v>1</v>
      </c>
      <c r="AA248">
        <v>0</v>
      </c>
      <c r="AB248">
        <v>182.07</v>
      </c>
      <c r="AC248">
        <v>160.19999999999999</v>
      </c>
      <c r="AD248">
        <v>0</v>
      </c>
      <c r="AE248">
        <v>21.86</v>
      </c>
      <c r="AF248">
        <v>0</v>
      </c>
      <c r="AG248">
        <v>0</v>
      </c>
      <c r="AH248">
        <v>0</v>
      </c>
      <c r="AI248">
        <v>32.770000000000003</v>
      </c>
      <c r="AJ248">
        <v>182.06</v>
      </c>
      <c r="AK248">
        <v>-0.01</v>
      </c>
      <c r="AL248" t="s">
        <v>53</v>
      </c>
      <c r="AM248" t="s">
        <v>53</v>
      </c>
      <c r="AN248" t="s">
        <v>691</v>
      </c>
      <c r="AO248" t="s">
        <v>53</v>
      </c>
      <c r="AP248" t="s">
        <v>53</v>
      </c>
    </row>
    <row r="249" spans="2:42" x14ac:dyDescent="0.2">
      <c r="B249" t="s">
        <v>44</v>
      </c>
      <c r="C249" t="str">
        <f>HYPERLINK("https://us2.cloudbeds.com/connect/8493803454333002#/reservations/598549491951?display=E1FAPV0E&amp;reservation_id=598549491951", "E1FAPV0E")</f>
        <v>E1FAPV0E</v>
      </c>
      <c r="D249" t="s">
        <v>45</v>
      </c>
      <c r="E249" t="s">
        <v>46</v>
      </c>
      <c r="F249" t="s">
        <v>47</v>
      </c>
      <c r="G249" t="s">
        <v>48</v>
      </c>
      <c r="H249" t="s">
        <v>49</v>
      </c>
      <c r="I249" t="s">
        <v>50</v>
      </c>
      <c r="J249" t="s">
        <v>148</v>
      </c>
      <c r="K249" t="s">
        <v>246</v>
      </c>
      <c r="L249" t="s">
        <v>53</v>
      </c>
      <c r="N249" t="s">
        <v>692</v>
      </c>
      <c r="P249" t="s">
        <v>55</v>
      </c>
      <c r="R249" t="s">
        <v>56</v>
      </c>
      <c r="T249" t="s">
        <v>690</v>
      </c>
      <c r="U249" t="s">
        <v>58</v>
      </c>
      <c r="V249">
        <v>1</v>
      </c>
      <c r="W249">
        <v>1</v>
      </c>
      <c r="X249">
        <v>1</v>
      </c>
      <c r="Y249">
        <v>0</v>
      </c>
      <c r="Z249">
        <v>1</v>
      </c>
      <c r="AA249">
        <v>0</v>
      </c>
      <c r="AB249">
        <v>84.1</v>
      </c>
      <c r="AC249">
        <v>74</v>
      </c>
      <c r="AD249">
        <v>0</v>
      </c>
      <c r="AE249">
        <v>10.11</v>
      </c>
      <c r="AF249">
        <v>0</v>
      </c>
      <c r="AG249">
        <v>0</v>
      </c>
      <c r="AH249">
        <v>0</v>
      </c>
      <c r="AI249">
        <v>15.14</v>
      </c>
      <c r="AJ249">
        <v>84.11</v>
      </c>
      <c r="AK249">
        <v>0.01</v>
      </c>
      <c r="AL249" t="s">
        <v>53</v>
      </c>
      <c r="AM249" t="s">
        <v>53</v>
      </c>
      <c r="AN249" t="s">
        <v>127</v>
      </c>
      <c r="AO249" t="s">
        <v>53</v>
      </c>
      <c r="AP249" t="s">
        <v>53</v>
      </c>
    </row>
    <row r="250" spans="2:42" x14ac:dyDescent="0.2">
      <c r="B250" t="s">
        <v>44</v>
      </c>
      <c r="C250" t="str">
        <f>HYPERLINK("https://us2.cloudbeds.com/connect/8493803454333002#/reservations/598326517935?display=E19KPBS1&amp;reservation_id=598326517935", "E19KPBS1")</f>
        <v>E19KPBS1</v>
      </c>
      <c r="D250" t="s">
        <v>45</v>
      </c>
      <c r="E250" t="s">
        <v>185</v>
      </c>
      <c r="F250" t="s">
        <v>47</v>
      </c>
      <c r="G250" t="s">
        <v>48</v>
      </c>
      <c r="H250" t="s">
        <v>49</v>
      </c>
      <c r="I250" t="s">
        <v>79</v>
      </c>
      <c r="J250" t="s">
        <v>148</v>
      </c>
      <c r="K250" t="s">
        <v>246</v>
      </c>
      <c r="L250" t="s">
        <v>53</v>
      </c>
      <c r="N250" t="s">
        <v>693</v>
      </c>
      <c r="P250" t="s">
        <v>55</v>
      </c>
      <c r="R250" t="s">
        <v>56</v>
      </c>
      <c r="T250" t="s">
        <v>690</v>
      </c>
      <c r="U250" t="s">
        <v>58</v>
      </c>
      <c r="V250">
        <v>1</v>
      </c>
      <c r="W250">
        <v>1</v>
      </c>
      <c r="X250">
        <v>1</v>
      </c>
      <c r="Y250">
        <v>0</v>
      </c>
      <c r="Z250">
        <v>1</v>
      </c>
      <c r="AA250">
        <v>0</v>
      </c>
      <c r="AB250">
        <v>75.69</v>
      </c>
      <c r="AC250">
        <v>66.599999999999994</v>
      </c>
      <c r="AD250">
        <v>0</v>
      </c>
      <c r="AE250">
        <v>9.09</v>
      </c>
      <c r="AF250">
        <v>0</v>
      </c>
      <c r="AG250">
        <v>0</v>
      </c>
      <c r="AH250">
        <v>0</v>
      </c>
      <c r="AI250">
        <v>0</v>
      </c>
      <c r="AJ250">
        <v>75.69</v>
      </c>
      <c r="AK250">
        <v>0</v>
      </c>
      <c r="AL250" t="s">
        <v>53</v>
      </c>
      <c r="AM250" t="s">
        <v>53</v>
      </c>
      <c r="AN250" t="s">
        <v>137</v>
      </c>
      <c r="AO250" t="s">
        <v>53</v>
      </c>
      <c r="AP250" t="s">
        <v>53</v>
      </c>
    </row>
    <row r="251" spans="2:42" x14ac:dyDescent="0.2">
      <c r="B251" t="s">
        <v>44</v>
      </c>
      <c r="C251" t="str">
        <f>HYPERLINK("https://us2.cloudbeds.com/connect/8493803454333002#/reservations/597983334645?display=E10SCPME&amp;reservation_id=597983334645", "E10SCPME")</f>
        <v>E10SCPME</v>
      </c>
      <c r="D251" t="s">
        <v>45</v>
      </c>
      <c r="E251" t="s">
        <v>105</v>
      </c>
      <c r="F251" t="s">
        <v>47</v>
      </c>
      <c r="G251" t="s">
        <v>48</v>
      </c>
      <c r="H251" t="s">
        <v>49</v>
      </c>
      <c r="I251" t="s">
        <v>62</v>
      </c>
      <c r="J251" t="s">
        <v>421</v>
      </c>
      <c r="K251" t="s">
        <v>74</v>
      </c>
      <c r="L251" t="s">
        <v>53</v>
      </c>
      <c r="N251" t="s">
        <v>694</v>
      </c>
      <c r="P251" t="s">
        <v>55</v>
      </c>
      <c r="R251" t="s">
        <v>56</v>
      </c>
      <c r="T251" t="s">
        <v>695</v>
      </c>
      <c r="U251" t="s">
        <v>58</v>
      </c>
      <c r="V251">
        <v>2</v>
      </c>
      <c r="W251">
        <v>1</v>
      </c>
      <c r="X251">
        <v>1</v>
      </c>
      <c r="Y251">
        <v>0</v>
      </c>
      <c r="Z251">
        <v>1</v>
      </c>
      <c r="AA251">
        <v>0</v>
      </c>
      <c r="AB251">
        <v>171.61</v>
      </c>
      <c r="AC251">
        <v>151</v>
      </c>
      <c r="AD251">
        <v>0</v>
      </c>
      <c r="AE251">
        <v>20.6</v>
      </c>
      <c r="AF251">
        <v>0</v>
      </c>
      <c r="AG251">
        <v>0</v>
      </c>
      <c r="AH251">
        <v>0</v>
      </c>
      <c r="AI251">
        <v>25.74</v>
      </c>
      <c r="AJ251">
        <v>171.6</v>
      </c>
      <c r="AK251">
        <v>-0.01</v>
      </c>
      <c r="AL251" t="s">
        <v>53</v>
      </c>
      <c r="AM251" t="s">
        <v>53</v>
      </c>
      <c r="AN251" t="s">
        <v>545</v>
      </c>
      <c r="AO251" t="s">
        <v>53</v>
      </c>
      <c r="AP251" t="s">
        <v>53</v>
      </c>
    </row>
    <row r="252" spans="2:42" x14ac:dyDescent="0.2">
      <c r="B252" t="s">
        <v>44</v>
      </c>
      <c r="C252" t="str">
        <f>HYPERLINK("https://us2.cloudbeds.com/connect/8493803454333002#/reservations/598246445255?display=E17J8776&amp;reservation_id=598246445255", "E17J8776")</f>
        <v>E17J8776</v>
      </c>
      <c r="D252" t="s">
        <v>45</v>
      </c>
      <c r="E252" t="s">
        <v>78</v>
      </c>
      <c r="F252" t="s">
        <v>61</v>
      </c>
      <c r="G252" t="s">
        <v>48</v>
      </c>
      <c r="H252" t="s">
        <v>71</v>
      </c>
      <c r="I252" t="s">
        <v>72</v>
      </c>
      <c r="J252" t="s">
        <v>443</v>
      </c>
      <c r="K252" t="s">
        <v>403</v>
      </c>
      <c r="L252" t="s">
        <v>53</v>
      </c>
      <c r="N252" t="s">
        <v>696</v>
      </c>
      <c r="P252" t="s">
        <v>55</v>
      </c>
      <c r="R252" t="s">
        <v>56</v>
      </c>
      <c r="T252" t="s">
        <v>695</v>
      </c>
      <c r="U252" t="s">
        <v>58</v>
      </c>
      <c r="V252">
        <v>1</v>
      </c>
      <c r="W252">
        <v>1</v>
      </c>
      <c r="X252">
        <v>1</v>
      </c>
      <c r="Y252">
        <v>0</v>
      </c>
      <c r="Z252">
        <v>1</v>
      </c>
      <c r="AA252">
        <v>0</v>
      </c>
      <c r="AB252">
        <v>89.78</v>
      </c>
      <c r="AC252">
        <v>79</v>
      </c>
      <c r="AD252">
        <v>0</v>
      </c>
      <c r="AE252">
        <v>10.79</v>
      </c>
      <c r="AF252">
        <v>0</v>
      </c>
      <c r="AG252">
        <v>0</v>
      </c>
      <c r="AH252">
        <v>0</v>
      </c>
      <c r="AI252">
        <v>0</v>
      </c>
      <c r="AJ252">
        <v>89.79</v>
      </c>
      <c r="AK252">
        <v>0.01</v>
      </c>
      <c r="AL252" t="s">
        <v>53</v>
      </c>
      <c r="AM252" t="s">
        <v>53</v>
      </c>
      <c r="AN252" t="s">
        <v>697</v>
      </c>
      <c r="AO252" t="s">
        <v>53</v>
      </c>
      <c r="AP252" t="s">
        <v>53</v>
      </c>
    </row>
    <row r="253" spans="2:42" x14ac:dyDescent="0.2">
      <c r="B253" t="s">
        <v>44</v>
      </c>
      <c r="C253" t="str">
        <f>HYPERLINK("https://us2.cloudbeds.com/connect/8493803454333002#/reservations/598505324767?display=E1E6HUEU&amp;reservation_id=598505324767", "E1E6HUEU")</f>
        <v>E1E6HUEU</v>
      </c>
      <c r="D253" t="s">
        <v>45</v>
      </c>
      <c r="E253" t="s">
        <v>381</v>
      </c>
      <c r="F253" t="s">
        <v>47</v>
      </c>
      <c r="G253" t="s">
        <v>48</v>
      </c>
      <c r="H253" t="s">
        <v>71</v>
      </c>
      <c r="I253" t="s">
        <v>72</v>
      </c>
      <c r="J253" t="s">
        <v>148</v>
      </c>
      <c r="K253" t="s">
        <v>246</v>
      </c>
      <c r="L253" t="s">
        <v>53</v>
      </c>
      <c r="N253" t="s">
        <v>698</v>
      </c>
      <c r="P253" t="s">
        <v>58</v>
      </c>
      <c r="R253" t="s">
        <v>56</v>
      </c>
      <c r="T253" t="s">
        <v>695</v>
      </c>
      <c r="U253" t="s">
        <v>58</v>
      </c>
      <c r="V253">
        <v>1</v>
      </c>
      <c r="W253">
        <v>1</v>
      </c>
      <c r="X253">
        <v>1</v>
      </c>
      <c r="Y253">
        <v>0</v>
      </c>
      <c r="Z253">
        <v>1</v>
      </c>
      <c r="AA253">
        <v>0</v>
      </c>
      <c r="AB253">
        <v>78.42</v>
      </c>
      <c r="AC253">
        <v>69</v>
      </c>
      <c r="AD253">
        <v>0</v>
      </c>
      <c r="AE253">
        <v>9.42</v>
      </c>
      <c r="AF253">
        <v>0</v>
      </c>
      <c r="AG253">
        <v>0</v>
      </c>
      <c r="AH253">
        <v>0</v>
      </c>
      <c r="AI253">
        <v>0</v>
      </c>
      <c r="AJ253">
        <v>78.42</v>
      </c>
      <c r="AK253">
        <v>0</v>
      </c>
      <c r="AL253" t="s">
        <v>53</v>
      </c>
      <c r="AM253" t="s">
        <v>53</v>
      </c>
      <c r="AN253" t="s">
        <v>378</v>
      </c>
      <c r="AO253" t="s">
        <v>53</v>
      </c>
      <c r="AP253" t="s">
        <v>53</v>
      </c>
    </row>
    <row r="254" spans="2:42" x14ac:dyDescent="0.2">
      <c r="B254" t="s">
        <v>44</v>
      </c>
      <c r="C254" t="str">
        <f>HYPERLINK("https://us2.cloudbeds.com/connect/8493803454333002#/reservations/598426603648?display=E1C65977&amp;reservation_id=598426603648", "E1C65977")</f>
        <v>E1C65977</v>
      </c>
      <c r="D254" t="s">
        <v>45</v>
      </c>
      <c r="E254" t="s">
        <v>110</v>
      </c>
      <c r="F254" t="s">
        <v>47</v>
      </c>
      <c r="G254" t="s">
        <v>48</v>
      </c>
      <c r="H254" t="s">
        <v>49</v>
      </c>
      <c r="I254" t="s">
        <v>79</v>
      </c>
      <c r="J254" t="s">
        <v>699</v>
      </c>
      <c r="K254" t="s">
        <v>144</v>
      </c>
      <c r="L254" t="s">
        <v>53</v>
      </c>
      <c r="N254" t="s">
        <v>700</v>
      </c>
      <c r="P254" t="s">
        <v>55</v>
      </c>
      <c r="R254" t="s">
        <v>56</v>
      </c>
      <c r="T254" t="s">
        <v>701</v>
      </c>
      <c r="U254" t="s">
        <v>58</v>
      </c>
      <c r="V254">
        <v>2</v>
      </c>
      <c r="W254">
        <v>1</v>
      </c>
      <c r="X254">
        <v>1</v>
      </c>
      <c r="Y254">
        <v>0</v>
      </c>
      <c r="Z254">
        <v>1</v>
      </c>
      <c r="AA254">
        <v>0</v>
      </c>
      <c r="AB254">
        <v>310.95</v>
      </c>
      <c r="AC254">
        <v>273.60000000000002</v>
      </c>
      <c r="AD254">
        <v>0</v>
      </c>
      <c r="AE254">
        <v>37.36</v>
      </c>
      <c r="AF254">
        <v>0</v>
      </c>
      <c r="AG254">
        <v>0</v>
      </c>
      <c r="AH254">
        <v>0</v>
      </c>
      <c r="AI254">
        <v>0</v>
      </c>
      <c r="AJ254">
        <v>310.95999999999998</v>
      </c>
      <c r="AK254">
        <v>0.01</v>
      </c>
      <c r="AL254" t="s">
        <v>53</v>
      </c>
      <c r="AM254" t="s">
        <v>53</v>
      </c>
      <c r="AN254" t="s">
        <v>349</v>
      </c>
      <c r="AO254" t="s">
        <v>53</v>
      </c>
      <c r="AP254" t="s">
        <v>53</v>
      </c>
    </row>
    <row r="255" spans="2:42" x14ac:dyDescent="0.2">
      <c r="B255" t="s">
        <v>44</v>
      </c>
      <c r="C255" t="str">
        <f>HYPERLINK("https://us2.cloudbeds.com/connect/8493803454333002#/reservations/598529085675?display=E1EQJ3FE&amp;reservation_id=598529085675", "E1EQJ3FE")</f>
        <v>E1EQJ3FE</v>
      </c>
      <c r="D255" t="s">
        <v>45</v>
      </c>
      <c r="E255" t="s">
        <v>190</v>
      </c>
      <c r="F255" t="s">
        <v>61</v>
      </c>
      <c r="G255" t="s">
        <v>48</v>
      </c>
      <c r="H255" t="s">
        <v>49</v>
      </c>
      <c r="I255" t="s">
        <v>79</v>
      </c>
      <c r="J255" t="s">
        <v>87</v>
      </c>
      <c r="K255" t="s">
        <v>327</v>
      </c>
      <c r="L255" t="s">
        <v>53</v>
      </c>
      <c r="N255" t="s">
        <v>702</v>
      </c>
      <c r="P255" t="s">
        <v>55</v>
      </c>
      <c r="R255" t="s">
        <v>56</v>
      </c>
      <c r="T255" t="s">
        <v>701</v>
      </c>
      <c r="U255" t="s">
        <v>58</v>
      </c>
      <c r="V255">
        <v>2</v>
      </c>
      <c r="W255">
        <v>1</v>
      </c>
      <c r="X255">
        <v>1</v>
      </c>
      <c r="Y255">
        <v>0</v>
      </c>
      <c r="Z255">
        <v>1</v>
      </c>
      <c r="AA255">
        <v>0</v>
      </c>
      <c r="AB255">
        <v>297.64999999999998</v>
      </c>
      <c r="AC255">
        <v>261.89999999999998</v>
      </c>
      <c r="AD255">
        <v>0</v>
      </c>
      <c r="AE255">
        <v>35.74</v>
      </c>
      <c r="AF255">
        <v>0</v>
      </c>
      <c r="AG255">
        <v>0</v>
      </c>
      <c r="AH255">
        <v>0</v>
      </c>
      <c r="AI255">
        <v>0</v>
      </c>
      <c r="AJ255">
        <v>297.64</v>
      </c>
      <c r="AK255">
        <v>-0.01</v>
      </c>
      <c r="AL255" t="s">
        <v>53</v>
      </c>
      <c r="AM255" t="s">
        <v>53</v>
      </c>
      <c r="AN255" t="s">
        <v>68</v>
      </c>
      <c r="AO255" t="s">
        <v>53</v>
      </c>
      <c r="AP255" t="s">
        <v>53</v>
      </c>
    </row>
    <row r="256" spans="2:42" x14ac:dyDescent="0.2">
      <c r="B256" t="s">
        <v>44</v>
      </c>
      <c r="C256" t="str">
        <f>HYPERLINK("https://us2.cloudbeds.com/connect/8493803454333002#/reservations/598497984680?display=E1E0BM81&amp;reservation_id=598497984680", "E1E0BM81")</f>
        <v>E1E0BM81</v>
      </c>
      <c r="D256" t="s">
        <v>45</v>
      </c>
      <c r="E256" t="s">
        <v>98</v>
      </c>
      <c r="F256" t="s">
        <v>86</v>
      </c>
      <c r="G256" t="s">
        <v>48</v>
      </c>
      <c r="H256" t="s">
        <v>49</v>
      </c>
      <c r="I256" t="s">
        <v>79</v>
      </c>
      <c r="J256" t="s">
        <v>180</v>
      </c>
      <c r="K256" t="s">
        <v>475</v>
      </c>
      <c r="L256" t="s">
        <v>53</v>
      </c>
      <c r="N256" t="s">
        <v>703</v>
      </c>
      <c r="P256" t="s">
        <v>55</v>
      </c>
      <c r="R256" t="s">
        <v>56</v>
      </c>
      <c r="T256" t="s">
        <v>701</v>
      </c>
      <c r="U256" t="s">
        <v>58</v>
      </c>
      <c r="V256">
        <v>4</v>
      </c>
      <c r="W256">
        <v>1</v>
      </c>
      <c r="X256">
        <v>1</v>
      </c>
      <c r="Y256">
        <v>0</v>
      </c>
      <c r="Z256">
        <v>1</v>
      </c>
      <c r="AA256">
        <v>0</v>
      </c>
      <c r="AB256">
        <v>625.98</v>
      </c>
      <c r="AC256">
        <v>550.79999999999995</v>
      </c>
      <c r="AD256">
        <v>0</v>
      </c>
      <c r="AE256">
        <v>75.16</v>
      </c>
      <c r="AF256">
        <v>0</v>
      </c>
      <c r="AG256">
        <v>0</v>
      </c>
      <c r="AH256">
        <v>0</v>
      </c>
      <c r="AI256">
        <v>0</v>
      </c>
      <c r="AJ256">
        <v>625.96</v>
      </c>
      <c r="AK256">
        <v>-0.02</v>
      </c>
      <c r="AL256" t="s">
        <v>53</v>
      </c>
      <c r="AM256" t="s">
        <v>53</v>
      </c>
      <c r="AN256" t="s">
        <v>112</v>
      </c>
      <c r="AO256" t="s">
        <v>53</v>
      </c>
      <c r="AP256" t="s">
        <v>53</v>
      </c>
    </row>
    <row r="257" spans="2:42" x14ac:dyDescent="0.2">
      <c r="B257" t="s">
        <v>44</v>
      </c>
      <c r="C257" t="str">
        <f>HYPERLINK("https://us2.cloudbeds.com/connect/8493803454333002#/reservations/598302720211?display=E190N50U&amp;reservation_id=598302720211", "E190N50U")</f>
        <v>E190N50U</v>
      </c>
      <c r="D257" t="s">
        <v>45</v>
      </c>
      <c r="E257" t="s">
        <v>69</v>
      </c>
      <c r="F257" t="s">
        <v>70</v>
      </c>
      <c r="G257" t="s">
        <v>48</v>
      </c>
      <c r="H257" t="s">
        <v>71</v>
      </c>
      <c r="I257" t="s">
        <v>72</v>
      </c>
      <c r="J257" t="s">
        <v>421</v>
      </c>
      <c r="K257" t="s">
        <v>73</v>
      </c>
      <c r="L257" t="s">
        <v>53</v>
      </c>
      <c r="N257" t="s">
        <v>704</v>
      </c>
      <c r="P257" t="s">
        <v>55</v>
      </c>
      <c r="R257" t="s">
        <v>56</v>
      </c>
      <c r="T257" t="s">
        <v>701</v>
      </c>
      <c r="U257" t="s">
        <v>58</v>
      </c>
      <c r="V257">
        <v>1</v>
      </c>
      <c r="W257">
        <v>1</v>
      </c>
      <c r="X257">
        <v>1</v>
      </c>
      <c r="Y257">
        <v>0</v>
      </c>
      <c r="Z257">
        <v>1</v>
      </c>
      <c r="AA257">
        <v>0</v>
      </c>
      <c r="AB257">
        <v>72.739999999999995</v>
      </c>
      <c r="AC257">
        <v>64</v>
      </c>
      <c r="AD257">
        <v>0</v>
      </c>
      <c r="AE257">
        <v>8.74</v>
      </c>
      <c r="AF257">
        <v>0</v>
      </c>
      <c r="AG257">
        <v>0</v>
      </c>
      <c r="AH257">
        <v>0</v>
      </c>
      <c r="AI257">
        <v>0</v>
      </c>
      <c r="AJ257">
        <v>72.739999999999995</v>
      </c>
      <c r="AK257">
        <v>0</v>
      </c>
      <c r="AL257" t="s">
        <v>53</v>
      </c>
      <c r="AM257" t="s">
        <v>53</v>
      </c>
      <c r="AN257" t="s">
        <v>378</v>
      </c>
      <c r="AO257" t="s">
        <v>53</v>
      </c>
      <c r="AP257" t="s">
        <v>53</v>
      </c>
    </row>
    <row r="258" spans="2:42" x14ac:dyDescent="0.2">
      <c r="B258" t="s">
        <v>44</v>
      </c>
      <c r="C258" t="str">
        <f>HYPERLINK("https://us2.cloudbeds.com/connect/8493803454333002#/reservations/598379675858?display=E1AWJXC7&amp;reservation_id=598379675858", "E1AWJXC7")</f>
        <v>E1AWJXC7</v>
      </c>
      <c r="D258" t="s">
        <v>45</v>
      </c>
      <c r="E258" t="s">
        <v>179</v>
      </c>
      <c r="F258" t="s">
        <v>47</v>
      </c>
      <c r="G258" t="s">
        <v>48</v>
      </c>
      <c r="H258" t="s">
        <v>49</v>
      </c>
      <c r="I258" t="s">
        <v>50</v>
      </c>
      <c r="J258" t="s">
        <v>705</v>
      </c>
      <c r="K258" t="s">
        <v>706</v>
      </c>
      <c r="L258" t="s">
        <v>53</v>
      </c>
      <c r="N258" t="s">
        <v>707</v>
      </c>
      <c r="P258" t="s">
        <v>55</v>
      </c>
      <c r="R258" t="s">
        <v>56</v>
      </c>
      <c r="T258" t="s">
        <v>701</v>
      </c>
      <c r="U258" t="s">
        <v>58</v>
      </c>
      <c r="V258">
        <v>1</v>
      </c>
      <c r="W258">
        <v>1</v>
      </c>
      <c r="X258">
        <v>1</v>
      </c>
      <c r="Y258">
        <v>0</v>
      </c>
      <c r="Z258">
        <v>1</v>
      </c>
      <c r="AA258">
        <v>0</v>
      </c>
      <c r="AB258">
        <v>76.709999999999994</v>
      </c>
      <c r="AC258">
        <v>67.5</v>
      </c>
      <c r="AD258">
        <v>0</v>
      </c>
      <c r="AE258">
        <v>9.2100000000000009</v>
      </c>
      <c r="AF258">
        <v>0</v>
      </c>
      <c r="AG258">
        <v>0</v>
      </c>
      <c r="AH258">
        <v>0</v>
      </c>
      <c r="AI258">
        <v>13.81</v>
      </c>
      <c r="AJ258">
        <v>76.709999999999994</v>
      </c>
      <c r="AK258">
        <v>0</v>
      </c>
      <c r="AL258" t="s">
        <v>53</v>
      </c>
      <c r="AM258" t="s">
        <v>53</v>
      </c>
      <c r="AN258" t="s">
        <v>708</v>
      </c>
      <c r="AO258" t="s">
        <v>53</v>
      </c>
      <c r="AP258" t="s">
        <v>53</v>
      </c>
    </row>
    <row r="259" spans="2:42" x14ac:dyDescent="0.2">
      <c r="B259" t="s">
        <v>44</v>
      </c>
      <c r="C259" t="str">
        <f>HYPERLINK("https://us2.cloudbeds.com/connect/8493803454333002#/reservations/598548938946?display=E1FAAX6N&amp;reservation_id=598548938946", "E1FAAX6N")</f>
        <v>E1FAAX6N</v>
      </c>
      <c r="D259" t="s">
        <v>45</v>
      </c>
      <c r="E259" t="s">
        <v>406</v>
      </c>
      <c r="F259" t="s">
        <v>61</v>
      </c>
      <c r="G259" t="s">
        <v>48</v>
      </c>
      <c r="H259" t="s">
        <v>49</v>
      </c>
      <c r="I259" t="s">
        <v>79</v>
      </c>
      <c r="J259" t="s">
        <v>282</v>
      </c>
      <c r="K259" t="s">
        <v>709</v>
      </c>
      <c r="L259" t="s">
        <v>53</v>
      </c>
      <c r="N259" t="s">
        <v>710</v>
      </c>
      <c r="P259" t="s">
        <v>55</v>
      </c>
      <c r="R259" t="s">
        <v>56</v>
      </c>
      <c r="T259" t="s">
        <v>701</v>
      </c>
      <c r="U259" t="s">
        <v>58</v>
      </c>
      <c r="V259">
        <v>2</v>
      </c>
      <c r="W259">
        <v>1</v>
      </c>
      <c r="X259">
        <v>1</v>
      </c>
      <c r="Y259">
        <v>0</v>
      </c>
      <c r="Z259">
        <v>1</v>
      </c>
      <c r="AA259">
        <v>0</v>
      </c>
      <c r="AB259">
        <v>280.26</v>
      </c>
      <c r="AC259">
        <v>246.6</v>
      </c>
      <c r="AD259">
        <v>0</v>
      </c>
      <c r="AE259">
        <v>33.68</v>
      </c>
      <c r="AF259">
        <v>0</v>
      </c>
      <c r="AG259">
        <v>0</v>
      </c>
      <c r="AH259">
        <v>0</v>
      </c>
      <c r="AI259">
        <v>0</v>
      </c>
      <c r="AJ259">
        <v>280.27999999999997</v>
      </c>
      <c r="AK259">
        <v>0.02</v>
      </c>
      <c r="AL259" t="s">
        <v>53</v>
      </c>
      <c r="AM259" t="s">
        <v>53</v>
      </c>
      <c r="AN259" t="s">
        <v>142</v>
      </c>
      <c r="AO259" t="s">
        <v>53</v>
      </c>
      <c r="AP259" t="s">
        <v>53</v>
      </c>
    </row>
    <row r="260" spans="2:42" x14ac:dyDescent="0.2">
      <c r="B260" t="s">
        <v>44</v>
      </c>
      <c r="C260" t="str">
        <f>HYPERLINK("https://us2.cloudbeds.com/connect/8493803454333002#/reservations/598151364769?display=E1552FAB&amp;reservation_id=598151364769", "E1552FAB")</f>
        <v>E1552FAB</v>
      </c>
      <c r="D260" t="s">
        <v>45</v>
      </c>
      <c r="E260" t="s">
        <v>138</v>
      </c>
      <c r="F260" t="s">
        <v>70</v>
      </c>
      <c r="G260" t="s">
        <v>48</v>
      </c>
      <c r="H260" t="s">
        <v>71</v>
      </c>
      <c r="I260" t="s">
        <v>72</v>
      </c>
      <c r="J260" t="s">
        <v>421</v>
      </c>
      <c r="K260" t="s">
        <v>74</v>
      </c>
      <c r="L260" t="s">
        <v>53</v>
      </c>
      <c r="N260" t="s">
        <v>711</v>
      </c>
      <c r="P260" t="s">
        <v>55</v>
      </c>
      <c r="R260" t="s">
        <v>56</v>
      </c>
      <c r="T260" t="s">
        <v>701</v>
      </c>
      <c r="U260" t="s">
        <v>58</v>
      </c>
      <c r="V260">
        <v>2</v>
      </c>
      <c r="W260">
        <v>1</v>
      </c>
      <c r="X260">
        <v>1</v>
      </c>
      <c r="Y260">
        <v>0</v>
      </c>
      <c r="Z260">
        <v>1</v>
      </c>
      <c r="AA260">
        <v>0</v>
      </c>
      <c r="AB260">
        <v>145.47</v>
      </c>
      <c r="AC260">
        <v>128</v>
      </c>
      <c r="AD260">
        <v>0</v>
      </c>
      <c r="AE260">
        <v>17.48</v>
      </c>
      <c r="AF260">
        <v>0</v>
      </c>
      <c r="AG260">
        <v>0</v>
      </c>
      <c r="AH260">
        <v>0</v>
      </c>
      <c r="AI260">
        <v>0</v>
      </c>
      <c r="AJ260">
        <v>145.47999999999999</v>
      </c>
      <c r="AK260">
        <v>0.01</v>
      </c>
      <c r="AL260" t="s">
        <v>53</v>
      </c>
      <c r="AM260" t="s">
        <v>53</v>
      </c>
      <c r="AN260" t="s">
        <v>378</v>
      </c>
      <c r="AO260" t="s">
        <v>53</v>
      </c>
      <c r="AP260" t="s">
        <v>53</v>
      </c>
    </row>
    <row r="261" spans="2:42" x14ac:dyDescent="0.2">
      <c r="B261" t="s">
        <v>44</v>
      </c>
      <c r="C261" t="str">
        <f>HYPERLINK("https://us2.cloudbeds.com/connect/8493803454333002#/reservations/598510399667?display=E1EAR4JP&amp;reservation_id=598510399667", "E1EAR4JP")</f>
        <v>E1EAR4JP</v>
      </c>
      <c r="D261" t="s">
        <v>45</v>
      </c>
      <c r="E261" t="s">
        <v>78</v>
      </c>
      <c r="F261" t="s">
        <v>61</v>
      </c>
      <c r="G261" t="s">
        <v>48</v>
      </c>
      <c r="H261" t="s">
        <v>71</v>
      </c>
      <c r="I261" t="s">
        <v>72</v>
      </c>
      <c r="J261" t="s">
        <v>421</v>
      </c>
      <c r="K261" t="s">
        <v>73</v>
      </c>
      <c r="L261" t="s">
        <v>53</v>
      </c>
      <c r="N261" t="s">
        <v>712</v>
      </c>
      <c r="P261" t="s">
        <v>55</v>
      </c>
      <c r="R261" t="s">
        <v>56</v>
      </c>
      <c r="T261" t="s">
        <v>701</v>
      </c>
      <c r="U261" t="s">
        <v>58</v>
      </c>
      <c r="V261">
        <v>1</v>
      </c>
      <c r="W261">
        <v>1</v>
      </c>
      <c r="X261">
        <v>1</v>
      </c>
      <c r="Y261">
        <v>0</v>
      </c>
      <c r="Z261">
        <v>1</v>
      </c>
      <c r="AA261">
        <v>0</v>
      </c>
      <c r="AB261">
        <v>89.78</v>
      </c>
      <c r="AC261">
        <v>79</v>
      </c>
      <c r="AD261">
        <v>0</v>
      </c>
      <c r="AE261">
        <v>10.79</v>
      </c>
      <c r="AF261">
        <v>0</v>
      </c>
      <c r="AG261">
        <v>0</v>
      </c>
      <c r="AH261">
        <v>0</v>
      </c>
      <c r="AI261">
        <v>0</v>
      </c>
      <c r="AJ261">
        <v>89.79</v>
      </c>
      <c r="AK261">
        <v>0.01</v>
      </c>
      <c r="AL261" t="s">
        <v>53</v>
      </c>
      <c r="AM261" t="s">
        <v>53</v>
      </c>
      <c r="AN261" t="s">
        <v>378</v>
      </c>
      <c r="AO261" t="s">
        <v>53</v>
      </c>
      <c r="AP261" t="s">
        <v>53</v>
      </c>
    </row>
    <row r="262" spans="2:42" x14ac:dyDescent="0.2">
      <c r="B262" t="s">
        <v>44</v>
      </c>
      <c r="C262" t="str">
        <f>HYPERLINK("https://us2.cloudbeds.com/connect/8493803454333002#/reservations/598186045625?display=E161AGRD&amp;reservation_id=598186045625", "E161AGRD")</f>
        <v>E161AGRD</v>
      </c>
      <c r="D262" t="s">
        <v>45</v>
      </c>
      <c r="E262" t="s">
        <v>223</v>
      </c>
      <c r="F262" t="s">
        <v>47</v>
      </c>
      <c r="G262" t="s">
        <v>48</v>
      </c>
      <c r="H262" t="s">
        <v>71</v>
      </c>
      <c r="I262" t="s">
        <v>72</v>
      </c>
      <c r="J262" t="s">
        <v>421</v>
      </c>
      <c r="K262" t="s">
        <v>73</v>
      </c>
      <c r="L262" t="s">
        <v>53</v>
      </c>
      <c r="N262" t="s">
        <v>713</v>
      </c>
      <c r="P262" t="s">
        <v>55</v>
      </c>
      <c r="R262" t="s">
        <v>56</v>
      </c>
      <c r="T262" t="s">
        <v>701</v>
      </c>
      <c r="U262" t="s">
        <v>58</v>
      </c>
      <c r="V262">
        <v>1</v>
      </c>
      <c r="W262">
        <v>1</v>
      </c>
      <c r="X262">
        <v>1</v>
      </c>
      <c r="Y262">
        <v>0</v>
      </c>
      <c r="Z262">
        <v>1</v>
      </c>
      <c r="AA262">
        <v>0</v>
      </c>
      <c r="AB262">
        <v>81.83</v>
      </c>
      <c r="AC262">
        <v>72</v>
      </c>
      <c r="AD262">
        <v>0</v>
      </c>
      <c r="AE262">
        <v>9.83</v>
      </c>
      <c r="AF262">
        <v>0</v>
      </c>
      <c r="AG262">
        <v>0</v>
      </c>
      <c r="AH262">
        <v>0</v>
      </c>
      <c r="AI262">
        <v>0</v>
      </c>
      <c r="AJ262">
        <v>81.83</v>
      </c>
      <c r="AK262">
        <v>0</v>
      </c>
      <c r="AL262" t="s">
        <v>53</v>
      </c>
      <c r="AM262" t="s">
        <v>53</v>
      </c>
      <c r="AN262" t="s">
        <v>378</v>
      </c>
      <c r="AO262" t="s">
        <v>53</v>
      </c>
      <c r="AP262" t="s">
        <v>53</v>
      </c>
    </row>
    <row r="263" spans="2:42" x14ac:dyDescent="0.2">
      <c r="B263" t="s">
        <v>44</v>
      </c>
      <c r="C263" t="str">
        <f>HYPERLINK("https://us2.cloudbeds.com/connect/8493803454333002#/reservations/598516531436?display=E1EFWP7V&amp;reservation_id=598516531436", "E1EFWP7V")</f>
        <v>E1EFWP7V</v>
      </c>
      <c r="D263" t="s">
        <v>45</v>
      </c>
      <c r="E263" t="s">
        <v>213</v>
      </c>
      <c r="F263" t="s">
        <v>86</v>
      </c>
      <c r="G263" t="s">
        <v>48</v>
      </c>
      <c r="H263" t="s">
        <v>49</v>
      </c>
      <c r="I263" t="s">
        <v>79</v>
      </c>
      <c r="J263" t="s">
        <v>714</v>
      </c>
      <c r="K263" t="s">
        <v>705</v>
      </c>
      <c r="L263" t="s">
        <v>53</v>
      </c>
      <c r="N263" t="s">
        <v>715</v>
      </c>
      <c r="P263" t="s">
        <v>55</v>
      </c>
      <c r="R263" t="s">
        <v>56</v>
      </c>
      <c r="T263" t="s">
        <v>716</v>
      </c>
      <c r="U263" t="s">
        <v>58</v>
      </c>
      <c r="V263">
        <v>1</v>
      </c>
      <c r="W263">
        <v>1</v>
      </c>
      <c r="X263">
        <v>1</v>
      </c>
      <c r="Y263">
        <v>0</v>
      </c>
      <c r="Z263">
        <v>1</v>
      </c>
      <c r="AA263">
        <v>0</v>
      </c>
      <c r="AB263">
        <v>107.4</v>
      </c>
      <c r="AC263">
        <v>94.5</v>
      </c>
      <c r="AD263">
        <v>0</v>
      </c>
      <c r="AE263">
        <v>12.9</v>
      </c>
      <c r="AF263">
        <v>0</v>
      </c>
      <c r="AG263">
        <v>0</v>
      </c>
      <c r="AH263">
        <v>0</v>
      </c>
      <c r="AI263">
        <v>0</v>
      </c>
      <c r="AJ263">
        <v>107.4</v>
      </c>
      <c r="AK263">
        <v>0</v>
      </c>
      <c r="AL263" t="s">
        <v>53</v>
      </c>
      <c r="AM263" t="s">
        <v>53</v>
      </c>
      <c r="AN263" t="s">
        <v>59</v>
      </c>
      <c r="AO263" t="s">
        <v>53</v>
      </c>
      <c r="AP263" t="s">
        <v>53</v>
      </c>
    </row>
    <row r="264" spans="2:42" x14ac:dyDescent="0.2">
      <c r="B264" t="s">
        <v>44</v>
      </c>
      <c r="C264" t="str">
        <f>HYPERLINK("https://us2.cloudbeds.com/connect/8493803454333002#/reservations/598402052239?display=E1BXF70C&amp;reservation_id=598402052239", "E1BXF70C")</f>
        <v>E1BXF70C</v>
      </c>
      <c r="D264" t="s">
        <v>45</v>
      </c>
      <c r="E264" t="s">
        <v>113</v>
      </c>
      <c r="F264" t="s">
        <v>61</v>
      </c>
      <c r="G264" t="s">
        <v>48</v>
      </c>
      <c r="H264" t="s">
        <v>49</v>
      </c>
      <c r="I264" t="s">
        <v>79</v>
      </c>
      <c r="J264" t="s">
        <v>143</v>
      </c>
      <c r="K264" t="s">
        <v>144</v>
      </c>
      <c r="L264" t="s">
        <v>53</v>
      </c>
      <c r="N264" t="s">
        <v>717</v>
      </c>
      <c r="P264" t="s">
        <v>55</v>
      </c>
      <c r="R264" t="s">
        <v>56</v>
      </c>
      <c r="T264" t="s">
        <v>716</v>
      </c>
      <c r="U264" t="s">
        <v>58</v>
      </c>
      <c r="V264">
        <v>1</v>
      </c>
      <c r="W264">
        <v>1</v>
      </c>
      <c r="X264">
        <v>1</v>
      </c>
      <c r="Y264">
        <v>0</v>
      </c>
      <c r="Z264">
        <v>1</v>
      </c>
      <c r="AA264">
        <v>0</v>
      </c>
      <c r="AB264">
        <v>166.72</v>
      </c>
      <c r="AC264">
        <v>146.69999999999999</v>
      </c>
      <c r="AD264">
        <v>0</v>
      </c>
      <c r="AE264">
        <v>20.010000000000002</v>
      </c>
      <c r="AF264">
        <v>0</v>
      </c>
      <c r="AG264">
        <v>0</v>
      </c>
      <c r="AH264">
        <v>0</v>
      </c>
      <c r="AI264">
        <v>0</v>
      </c>
      <c r="AJ264">
        <v>166.71</v>
      </c>
      <c r="AK264">
        <v>-0.01</v>
      </c>
      <c r="AL264" t="s">
        <v>53</v>
      </c>
      <c r="AM264" t="s">
        <v>53</v>
      </c>
      <c r="AN264" t="s">
        <v>225</v>
      </c>
      <c r="AO264" t="s">
        <v>53</v>
      </c>
      <c r="AP264" t="s">
        <v>53</v>
      </c>
    </row>
    <row r="265" spans="2:42" x14ac:dyDescent="0.2">
      <c r="B265" t="s">
        <v>44</v>
      </c>
      <c r="C265" t="str">
        <f>HYPERLINK("https://us2.cloudbeds.com/connect/8493803454333002#/reservations/598178328735?display=E15RQPK8&amp;reservation_id=598178328735", "E15RQPK8")</f>
        <v>E15RQPK8</v>
      </c>
      <c r="D265" t="s">
        <v>45</v>
      </c>
      <c r="E265" t="s">
        <v>92</v>
      </c>
      <c r="F265" t="s">
        <v>86</v>
      </c>
      <c r="G265" t="s">
        <v>48</v>
      </c>
      <c r="H265" t="s">
        <v>49</v>
      </c>
      <c r="I265" t="s">
        <v>50</v>
      </c>
      <c r="J265" t="s">
        <v>174</v>
      </c>
      <c r="K265" t="s">
        <v>228</v>
      </c>
      <c r="L265" t="s">
        <v>53</v>
      </c>
      <c r="N265" t="s">
        <v>718</v>
      </c>
      <c r="P265" t="s">
        <v>55</v>
      </c>
      <c r="R265" t="s">
        <v>56</v>
      </c>
      <c r="T265" t="s">
        <v>716</v>
      </c>
      <c r="U265" t="s">
        <v>58</v>
      </c>
      <c r="V265">
        <v>3</v>
      </c>
      <c r="W265">
        <v>1</v>
      </c>
      <c r="X265">
        <v>1</v>
      </c>
      <c r="Y265">
        <v>0</v>
      </c>
      <c r="Z265">
        <v>1</v>
      </c>
      <c r="AA265">
        <v>0</v>
      </c>
      <c r="AB265">
        <v>277.52999999999997</v>
      </c>
      <c r="AC265">
        <v>244.2</v>
      </c>
      <c r="AD265">
        <v>0</v>
      </c>
      <c r="AE265">
        <v>33.33</v>
      </c>
      <c r="AF265">
        <v>0</v>
      </c>
      <c r="AG265">
        <v>0</v>
      </c>
      <c r="AH265">
        <v>0</v>
      </c>
      <c r="AI265">
        <v>49.96</v>
      </c>
      <c r="AJ265">
        <v>277.52999999999997</v>
      </c>
      <c r="AK265">
        <v>0</v>
      </c>
      <c r="AL265" t="s">
        <v>53</v>
      </c>
      <c r="AM265" t="s">
        <v>53</v>
      </c>
      <c r="AN265" t="s">
        <v>349</v>
      </c>
      <c r="AO265" t="s">
        <v>53</v>
      </c>
      <c r="AP265" t="s">
        <v>53</v>
      </c>
    </row>
    <row r="266" spans="2:42" x14ac:dyDescent="0.2">
      <c r="B266" t="s">
        <v>44</v>
      </c>
      <c r="C266" t="str">
        <f>HYPERLINK("https://us2.cloudbeds.com/connect/8493803454333002#/reservations/598466146529?display=E1D6GZ3J&amp;reservation_id=598466146529", "E1D6GZ3J")</f>
        <v>E1D6GZ3J</v>
      </c>
      <c r="D266" t="s">
        <v>45</v>
      </c>
      <c r="E266" t="s">
        <v>190</v>
      </c>
      <c r="F266" t="s">
        <v>61</v>
      </c>
      <c r="G266" t="s">
        <v>48</v>
      </c>
      <c r="H266" t="s">
        <v>71</v>
      </c>
      <c r="I266" t="s">
        <v>72</v>
      </c>
      <c r="J266" t="s">
        <v>719</v>
      </c>
      <c r="K266" t="s">
        <v>651</v>
      </c>
      <c r="L266" t="s">
        <v>53</v>
      </c>
      <c r="N266" t="s">
        <v>720</v>
      </c>
      <c r="P266" t="s">
        <v>55</v>
      </c>
      <c r="R266" t="s">
        <v>56</v>
      </c>
      <c r="T266" t="s">
        <v>716</v>
      </c>
      <c r="U266" t="s">
        <v>58</v>
      </c>
      <c r="V266">
        <v>3</v>
      </c>
      <c r="W266">
        <v>1</v>
      </c>
      <c r="X266">
        <v>1</v>
      </c>
      <c r="Y266">
        <v>0</v>
      </c>
      <c r="Z266">
        <v>1</v>
      </c>
      <c r="AA266">
        <v>0</v>
      </c>
      <c r="AB266">
        <v>257.99</v>
      </c>
      <c r="AC266">
        <v>227</v>
      </c>
      <c r="AD266">
        <v>0</v>
      </c>
      <c r="AE266">
        <v>30.96</v>
      </c>
      <c r="AF266">
        <v>0</v>
      </c>
      <c r="AG266">
        <v>0</v>
      </c>
      <c r="AH266">
        <v>0</v>
      </c>
      <c r="AI266">
        <v>0</v>
      </c>
      <c r="AJ266">
        <v>257.95999999999998</v>
      </c>
      <c r="AK266">
        <v>-0.03</v>
      </c>
      <c r="AL266" t="s">
        <v>53</v>
      </c>
      <c r="AM266" t="s">
        <v>53</v>
      </c>
      <c r="AN266" t="s">
        <v>721</v>
      </c>
      <c r="AO266" t="s">
        <v>53</v>
      </c>
      <c r="AP266" t="s">
        <v>53</v>
      </c>
    </row>
    <row r="267" spans="2:42" x14ac:dyDescent="0.2">
      <c r="B267" t="s">
        <v>44</v>
      </c>
      <c r="C267" t="str">
        <f>HYPERLINK("https://us2.cloudbeds.com/connect/8493803454333002#/reservations/598615552192?display=E1H0G1MZ&amp;reservation_id=598615552192", "E1H0G1MZ")</f>
        <v>E1H0G1MZ</v>
      </c>
      <c r="D267" t="s">
        <v>45</v>
      </c>
      <c r="E267" t="s">
        <v>179</v>
      </c>
      <c r="F267" t="s">
        <v>47</v>
      </c>
      <c r="G267" t="s">
        <v>48</v>
      </c>
      <c r="H267" t="s">
        <v>71</v>
      </c>
      <c r="I267" t="s">
        <v>72</v>
      </c>
      <c r="J267" t="s">
        <v>388</v>
      </c>
      <c r="K267" t="s">
        <v>215</v>
      </c>
      <c r="L267" t="s">
        <v>53</v>
      </c>
      <c r="N267" t="s">
        <v>722</v>
      </c>
      <c r="P267" t="s">
        <v>55</v>
      </c>
      <c r="R267" t="s">
        <v>56</v>
      </c>
      <c r="T267" t="s">
        <v>723</v>
      </c>
      <c r="U267" t="s">
        <v>58</v>
      </c>
      <c r="V267">
        <v>3</v>
      </c>
      <c r="W267">
        <v>1</v>
      </c>
      <c r="X267">
        <v>1</v>
      </c>
      <c r="Y267">
        <v>0</v>
      </c>
      <c r="Z267">
        <v>1</v>
      </c>
      <c r="AA267">
        <v>0</v>
      </c>
      <c r="AB267">
        <v>467.1</v>
      </c>
      <c r="AC267">
        <v>411</v>
      </c>
      <c r="AD267">
        <v>0</v>
      </c>
      <c r="AE267">
        <v>56.1</v>
      </c>
      <c r="AF267">
        <v>0</v>
      </c>
      <c r="AG267">
        <v>0</v>
      </c>
      <c r="AH267">
        <v>0</v>
      </c>
      <c r="AI267">
        <v>0</v>
      </c>
      <c r="AJ267">
        <v>467.1</v>
      </c>
      <c r="AK267">
        <v>0</v>
      </c>
      <c r="AL267" t="s">
        <v>53</v>
      </c>
      <c r="AM267" t="s">
        <v>53</v>
      </c>
      <c r="AN267" t="s">
        <v>724</v>
      </c>
      <c r="AO267" t="s">
        <v>53</v>
      </c>
      <c r="AP267" t="s">
        <v>53</v>
      </c>
    </row>
    <row r="268" spans="2:42" x14ac:dyDescent="0.2">
      <c r="B268" t="s">
        <v>44</v>
      </c>
      <c r="C268" t="str">
        <f>HYPERLINK("https://us2.cloudbeds.com/connect/8493803454333002#/reservations/598342897911?display=E1A1J54V&amp;reservation_id=598342897911", "E1A1J54V")</f>
        <v>E1A1J54V</v>
      </c>
      <c r="D268" t="s">
        <v>45</v>
      </c>
      <c r="E268" t="s">
        <v>128</v>
      </c>
      <c r="F268" t="s">
        <v>86</v>
      </c>
      <c r="G268" t="s">
        <v>48</v>
      </c>
      <c r="H268" t="s">
        <v>71</v>
      </c>
      <c r="I268" t="s">
        <v>72</v>
      </c>
      <c r="J268" t="s">
        <v>74</v>
      </c>
      <c r="K268" t="s">
        <v>306</v>
      </c>
      <c r="L268" t="s">
        <v>53</v>
      </c>
      <c r="N268" t="s">
        <v>725</v>
      </c>
      <c r="P268" t="s">
        <v>55</v>
      </c>
      <c r="R268" t="s">
        <v>56</v>
      </c>
      <c r="T268" t="s">
        <v>723</v>
      </c>
      <c r="U268" t="s">
        <v>58</v>
      </c>
      <c r="V268">
        <v>1</v>
      </c>
      <c r="W268">
        <v>1</v>
      </c>
      <c r="X268">
        <v>1</v>
      </c>
      <c r="Y268">
        <v>0</v>
      </c>
      <c r="Z268">
        <v>1</v>
      </c>
      <c r="AA268">
        <v>0</v>
      </c>
      <c r="AB268">
        <v>89.78</v>
      </c>
      <c r="AC268">
        <v>79</v>
      </c>
      <c r="AD268">
        <v>0</v>
      </c>
      <c r="AE268">
        <v>10.79</v>
      </c>
      <c r="AF268">
        <v>0</v>
      </c>
      <c r="AG268">
        <v>0</v>
      </c>
      <c r="AH268">
        <v>0</v>
      </c>
      <c r="AI268">
        <v>0</v>
      </c>
      <c r="AJ268">
        <v>89.79</v>
      </c>
      <c r="AK268">
        <v>0.01</v>
      </c>
      <c r="AL268" t="s">
        <v>53</v>
      </c>
      <c r="AM268" t="s">
        <v>53</v>
      </c>
      <c r="AN268" t="s">
        <v>726</v>
      </c>
      <c r="AO268" t="s">
        <v>53</v>
      </c>
      <c r="AP268" t="s">
        <v>53</v>
      </c>
    </row>
    <row r="269" spans="2:42" x14ac:dyDescent="0.2">
      <c r="B269" t="s">
        <v>44</v>
      </c>
      <c r="C269" t="str">
        <f>HYPERLINK("https://us2.cloudbeds.com/connect/8493803454333002#/reservations/598413545631?display=E1BS512W&amp;reservation_id=598413545631", "E1BS512W")</f>
        <v>E1BS512W</v>
      </c>
      <c r="D269" t="s">
        <v>45</v>
      </c>
      <c r="E269" t="s">
        <v>165</v>
      </c>
      <c r="F269" t="s">
        <v>61</v>
      </c>
      <c r="G269" t="s">
        <v>48</v>
      </c>
      <c r="H269" t="s">
        <v>71</v>
      </c>
      <c r="I269" t="s">
        <v>72</v>
      </c>
      <c r="J269" t="s">
        <v>208</v>
      </c>
      <c r="K269" t="s">
        <v>232</v>
      </c>
      <c r="L269" t="s">
        <v>53</v>
      </c>
      <c r="N269" t="s">
        <v>727</v>
      </c>
      <c r="P269" t="s">
        <v>55</v>
      </c>
      <c r="R269" t="s">
        <v>56</v>
      </c>
      <c r="T269" t="s">
        <v>723</v>
      </c>
      <c r="U269" t="s">
        <v>58</v>
      </c>
      <c r="V269">
        <v>2</v>
      </c>
      <c r="W269">
        <v>1</v>
      </c>
      <c r="X269">
        <v>1</v>
      </c>
      <c r="Y269">
        <v>0</v>
      </c>
      <c r="Z269">
        <v>1</v>
      </c>
      <c r="AA269">
        <v>0</v>
      </c>
      <c r="AB269">
        <v>188.66</v>
      </c>
      <c r="AC269">
        <v>166</v>
      </c>
      <c r="AD269">
        <v>0</v>
      </c>
      <c r="AE269">
        <v>22.68</v>
      </c>
      <c r="AF269">
        <v>0</v>
      </c>
      <c r="AG269">
        <v>0</v>
      </c>
      <c r="AH269">
        <v>0</v>
      </c>
      <c r="AI269">
        <v>0</v>
      </c>
      <c r="AJ269">
        <v>188.68</v>
      </c>
      <c r="AK269">
        <v>0.02</v>
      </c>
      <c r="AL269" t="s">
        <v>53</v>
      </c>
      <c r="AM269" t="s">
        <v>53</v>
      </c>
      <c r="AN269" t="s">
        <v>378</v>
      </c>
      <c r="AO269" t="s">
        <v>53</v>
      </c>
      <c r="AP269" t="s">
        <v>53</v>
      </c>
    </row>
    <row r="270" spans="2:42" x14ac:dyDescent="0.2">
      <c r="B270" t="s">
        <v>44</v>
      </c>
      <c r="C270" t="str">
        <f>HYPERLINK("https://us2.cloudbeds.com/connect/8493803454333002#/reservations/598173016302?display=E15NAVBE&amp;reservation_id=598173016302", "E15NAVBE")</f>
        <v>E15NAVBE</v>
      </c>
      <c r="D270" t="s">
        <v>45</v>
      </c>
      <c r="E270" t="s">
        <v>85</v>
      </c>
      <c r="F270" t="s">
        <v>86</v>
      </c>
      <c r="G270" t="s">
        <v>48</v>
      </c>
      <c r="H270" t="s">
        <v>71</v>
      </c>
      <c r="I270" t="s">
        <v>72</v>
      </c>
      <c r="J270" t="s">
        <v>74</v>
      </c>
      <c r="K270" t="s">
        <v>609</v>
      </c>
      <c r="L270" t="s">
        <v>53</v>
      </c>
      <c r="N270" t="s">
        <v>728</v>
      </c>
      <c r="P270" t="s">
        <v>55</v>
      </c>
      <c r="R270" t="s">
        <v>56</v>
      </c>
      <c r="T270" t="s">
        <v>723</v>
      </c>
      <c r="U270" t="s">
        <v>58</v>
      </c>
      <c r="V270">
        <v>3</v>
      </c>
      <c r="W270">
        <v>1</v>
      </c>
      <c r="X270">
        <v>1</v>
      </c>
      <c r="Y270">
        <v>0</v>
      </c>
      <c r="Z270">
        <v>1</v>
      </c>
      <c r="AA270">
        <v>0</v>
      </c>
      <c r="AB270">
        <v>269.35000000000002</v>
      </c>
      <c r="AC270">
        <v>237</v>
      </c>
      <c r="AD270">
        <v>0</v>
      </c>
      <c r="AE270">
        <v>32.369999999999997</v>
      </c>
      <c r="AF270">
        <v>0</v>
      </c>
      <c r="AG270">
        <v>0</v>
      </c>
      <c r="AH270">
        <v>0</v>
      </c>
      <c r="AI270">
        <v>0</v>
      </c>
      <c r="AJ270">
        <v>269.37</v>
      </c>
      <c r="AK270">
        <v>0.02</v>
      </c>
      <c r="AL270" t="s">
        <v>53</v>
      </c>
      <c r="AM270" t="s">
        <v>53</v>
      </c>
      <c r="AN270" t="s">
        <v>729</v>
      </c>
      <c r="AO270" t="s">
        <v>53</v>
      </c>
      <c r="AP270" t="s">
        <v>53</v>
      </c>
    </row>
    <row r="271" spans="2:42" x14ac:dyDescent="0.2">
      <c r="B271" t="s">
        <v>44</v>
      </c>
      <c r="C271" t="str">
        <f>HYPERLINK("https://us2.cloudbeds.com/connect/8493803454333002#/reservations/598519832816?display=E1EXPKQP&amp;reservation_id=598519832816", "E1EXPKQP")</f>
        <v>E1EXPKQP</v>
      </c>
      <c r="D271" t="s">
        <v>45</v>
      </c>
      <c r="E271" t="s">
        <v>223</v>
      </c>
      <c r="F271" t="s">
        <v>47</v>
      </c>
      <c r="G271" t="s">
        <v>48</v>
      </c>
      <c r="H271" t="s">
        <v>49</v>
      </c>
      <c r="I271" t="s">
        <v>50</v>
      </c>
      <c r="J271" t="s">
        <v>260</v>
      </c>
      <c r="K271" t="s">
        <v>640</v>
      </c>
      <c r="L271" t="s">
        <v>53</v>
      </c>
      <c r="N271" t="s">
        <v>730</v>
      </c>
      <c r="P271" t="s">
        <v>55</v>
      </c>
      <c r="R271" t="s">
        <v>56</v>
      </c>
      <c r="T271" t="s">
        <v>723</v>
      </c>
      <c r="U271" t="s">
        <v>58</v>
      </c>
      <c r="V271">
        <v>1</v>
      </c>
      <c r="W271">
        <v>1</v>
      </c>
      <c r="X271">
        <v>1</v>
      </c>
      <c r="Y271">
        <v>0</v>
      </c>
      <c r="Z271">
        <v>1</v>
      </c>
      <c r="AA271">
        <v>0</v>
      </c>
      <c r="AB271">
        <v>138.08000000000001</v>
      </c>
      <c r="AC271">
        <v>121.5</v>
      </c>
      <c r="AD271">
        <v>0</v>
      </c>
      <c r="AE271">
        <v>16.579999999999998</v>
      </c>
      <c r="AF271">
        <v>0</v>
      </c>
      <c r="AG271">
        <v>0</v>
      </c>
      <c r="AH271">
        <v>0</v>
      </c>
      <c r="AI271">
        <v>24.85</v>
      </c>
      <c r="AJ271">
        <v>138.08000000000001</v>
      </c>
      <c r="AK271">
        <v>0</v>
      </c>
      <c r="AL271" t="s">
        <v>53</v>
      </c>
      <c r="AM271" t="s">
        <v>53</v>
      </c>
      <c r="AN271" t="s">
        <v>280</v>
      </c>
      <c r="AO271" t="s">
        <v>53</v>
      </c>
      <c r="AP271" t="s">
        <v>53</v>
      </c>
    </row>
    <row r="272" spans="2:42" x14ac:dyDescent="0.2">
      <c r="B272" t="s">
        <v>44</v>
      </c>
      <c r="C272" t="str">
        <f>HYPERLINK("https://us2.cloudbeds.com/connect/8493803454333002#/reservations/598213222631?display=E16Z7ZP1&amp;reservation_id=598213222631", "E16Z7ZP1")</f>
        <v>E16Z7ZP1</v>
      </c>
      <c r="D272" t="s">
        <v>45</v>
      </c>
      <c r="E272" t="s">
        <v>179</v>
      </c>
      <c r="F272" t="s">
        <v>47</v>
      </c>
      <c r="G272" t="s">
        <v>48</v>
      </c>
      <c r="H272" t="s">
        <v>49</v>
      </c>
      <c r="I272" t="s">
        <v>79</v>
      </c>
      <c r="J272" t="s">
        <v>123</v>
      </c>
      <c r="K272" t="s">
        <v>475</v>
      </c>
      <c r="L272" t="s">
        <v>53</v>
      </c>
      <c r="N272" t="s">
        <v>731</v>
      </c>
      <c r="P272" t="s">
        <v>55</v>
      </c>
      <c r="R272" t="s">
        <v>56</v>
      </c>
      <c r="T272" t="s">
        <v>732</v>
      </c>
      <c r="U272" t="s">
        <v>58</v>
      </c>
      <c r="V272">
        <v>1</v>
      </c>
      <c r="W272">
        <v>1</v>
      </c>
      <c r="X272">
        <v>1</v>
      </c>
      <c r="Y272">
        <v>0</v>
      </c>
      <c r="Z272">
        <v>1</v>
      </c>
      <c r="AA272">
        <v>0</v>
      </c>
      <c r="AB272">
        <v>138.08000000000001</v>
      </c>
      <c r="AC272">
        <v>121.5</v>
      </c>
      <c r="AD272">
        <v>0</v>
      </c>
      <c r="AE272">
        <v>16.579999999999998</v>
      </c>
      <c r="AF272">
        <v>0</v>
      </c>
      <c r="AG272">
        <v>0</v>
      </c>
      <c r="AH272">
        <v>0</v>
      </c>
      <c r="AI272">
        <v>0</v>
      </c>
      <c r="AJ272">
        <v>138.08000000000001</v>
      </c>
      <c r="AK272">
        <v>0</v>
      </c>
      <c r="AL272" t="s">
        <v>53</v>
      </c>
      <c r="AM272" t="s">
        <v>53</v>
      </c>
      <c r="AN272" t="s">
        <v>349</v>
      </c>
      <c r="AO272" t="s">
        <v>53</v>
      </c>
      <c r="AP272" t="s">
        <v>53</v>
      </c>
    </row>
    <row r="273" spans="2:42" x14ac:dyDescent="0.2">
      <c r="B273" t="s">
        <v>44</v>
      </c>
      <c r="C273" t="str">
        <f>HYPERLINK("https://us2.cloudbeds.com/connect/8493803454333002#/reservations/597854511330?display=E0UXP2KK&amp;reservation_id=597854511330", "E0UXP2KK")</f>
        <v>E0UXP2KK</v>
      </c>
      <c r="D273" t="s">
        <v>45</v>
      </c>
      <c r="E273" t="s">
        <v>373</v>
      </c>
      <c r="F273" t="s">
        <v>47</v>
      </c>
      <c r="G273" t="s">
        <v>48</v>
      </c>
      <c r="H273" t="s">
        <v>71</v>
      </c>
      <c r="I273" t="s">
        <v>72</v>
      </c>
      <c r="J273" t="s">
        <v>306</v>
      </c>
      <c r="K273" t="s">
        <v>733</v>
      </c>
      <c r="L273" t="s">
        <v>53</v>
      </c>
      <c r="N273" t="s">
        <v>734</v>
      </c>
      <c r="P273" t="s">
        <v>58</v>
      </c>
      <c r="R273" t="s">
        <v>56</v>
      </c>
      <c r="T273" t="s">
        <v>732</v>
      </c>
      <c r="U273" t="s">
        <v>58</v>
      </c>
      <c r="V273">
        <v>1</v>
      </c>
      <c r="W273">
        <v>1</v>
      </c>
      <c r="X273">
        <v>1</v>
      </c>
      <c r="Y273">
        <v>0</v>
      </c>
      <c r="Z273">
        <v>1</v>
      </c>
      <c r="AA273">
        <v>0</v>
      </c>
      <c r="AB273">
        <v>78.42</v>
      </c>
      <c r="AC273">
        <v>69</v>
      </c>
      <c r="AD273">
        <v>0</v>
      </c>
      <c r="AE273">
        <v>9.42</v>
      </c>
      <c r="AF273">
        <v>0</v>
      </c>
      <c r="AG273">
        <v>0</v>
      </c>
      <c r="AH273">
        <v>0</v>
      </c>
      <c r="AI273">
        <v>0</v>
      </c>
      <c r="AJ273">
        <v>78.42</v>
      </c>
      <c r="AK273">
        <v>0</v>
      </c>
      <c r="AL273" t="s">
        <v>53</v>
      </c>
      <c r="AM273" t="s">
        <v>53</v>
      </c>
      <c r="AN273" t="s">
        <v>378</v>
      </c>
      <c r="AO273" t="s">
        <v>53</v>
      </c>
      <c r="AP273" t="s">
        <v>53</v>
      </c>
    </row>
    <row r="274" spans="2:42" x14ac:dyDescent="0.2">
      <c r="B274" t="s">
        <v>44</v>
      </c>
      <c r="C274" t="str">
        <f>HYPERLINK("https://us2.cloudbeds.com/connect/8493803454333002#/reservations/598167572622?display=E15XZFXE&amp;reservation_id=598167572622", "E15XZFXE")</f>
        <v>E15XZFXE</v>
      </c>
      <c r="D274" t="s">
        <v>45</v>
      </c>
      <c r="E274" t="s">
        <v>155</v>
      </c>
      <c r="F274" t="s">
        <v>86</v>
      </c>
      <c r="G274" t="s">
        <v>48</v>
      </c>
      <c r="H274" t="s">
        <v>49</v>
      </c>
      <c r="I274" t="s">
        <v>50</v>
      </c>
      <c r="J274" t="s">
        <v>306</v>
      </c>
      <c r="K274" t="s">
        <v>733</v>
      </c>
      <c r="L274" t="s">
        <v>53</v>
      </c>
      <c r="N274" t="s">
        <v>735</v>
      </c>
      <c r="P274" t="s">
        <v>55</v>
      </c>
      <c r="R274" t="s">
        <v>56</v>
      </c>
      <c r="T274" t="s">
        <v>732</v>
      </c>
      <c r="U274" t="s">
        <v>58</v>
      </c>
      <c r="V274">
        <v>1</v>
      </c>
      <c r="W274">
        <v>1</v>
      </c>
      <c r="X274">
        <v>1</v>
      </c>
      <c r="Y274">
        <v>0</v>
      </c>
      <c r="Z274">
        <v>1</v>
      </c>
      <c r="AA274">
        <v>0</v>
      </c>
      <c r="AB274">
        <v>85.92</v>
      </c>
      <c r="AC274">
        <v>75.599999999999994</v>
      </c>
      <c r="AD274">
        <v>0</v>
      </c>
      <c r="AE274">
        <v>10.32</v>
      </c>
      <c r="AF274">
        <v>0</v>
      </c>
      <c r="AG274">
        <v>0</v>
      </c>
      <c r="AH274">
        <v>0</v>
      </c>
      <c r="AI274">
        <v>15.47</v>
      </c>
      <c r="AJ274">
        <v>85.92</v>
      </c>
      <c r="AK274">
        <v>0</v>
      </c>
      <c r="AL274" t="s">
        <v>53</v>
      </c>
      <c r="AM274" t="s">
        <v>53</v>
      </c>
      <c r="AN274" t="s">
        <v>59</v>
      </c>
      <c r="AO274" t="s">
        <v>53</v>
      </c>
      <c r="AP274" t="s">
        <v>53</v>
      </c>
    </row>
    <row r="275" spans="2:42" x14ac:dyDescent="0.2">
      <c r="B275" t="s">
        <v>44</v>
      </c>
      <c r="C275" t="str">
        <f>HYPERLINK("https://us2.cloudbeds.com/connect/8493803454333002#/reservations/597928247539?display=E0WEUTY6&amp;reservation_id=597928247539", "E0WEUTY6")</f>
        <v>E0WEUTY6</v>
      </c>
      <c r="D275" t="s">
        <v>45</v>
      </c>
      <c r="E275" t="s">
        <v>373</v>
      </c>
      <c r="F275" t="s">
        <v>47</v>
      </c>
      <c r="G275" t="s">
        <v>48</v>
      </c>
      <c r="H275" t="s">
        <v>49</v>
      </c>
      <c r="I275" t="s">
        <v>50</v>
      </c>
      <c r="J275" t="s">
        <v>253</v>
      </c>
      <c r="K275" t="s">
        <v>359</v>
      </c>
      <c r="L275" t="s">
        <v>53</v>
      </c>
      <c r="N275" t="s">
        <v>736</v>
      </c>
      <c r="P275" t="s">
        <v>55</v>
      </c>
      <c r="R275" t="s">
        <v>56</v>
      </c>
      <c r="T275" t="s">
        <v>737</v>
      </c>
      <c r="U275" t="s">
        <v>58</v>
      </c>
      <c r="V275">
        <v>3</v>
      </c>
      <c r="W275">
        <v>1</v>
      </c>
      <c r="X275">
        <v>1</v>
      </c>
      <c r="Y275">
        <v>0</v>
      </c>
      <c r="Z275">
        <v>1</v>
      </c>
      <c r="AA275">
        <v>0</v>
      </c>
      <c r="AB275">
        <v>318.11</v>
      </c>
      <c r="AC275">
        <v>279.89999999999998</v>
      </c>
      <c r="AD275">
        <v>0</v>
      </c>
      <c r="AE275">
        <v>38.25</v>
      </c>
      <c r="AF275">
        <v>0</v>
      </c>
      <c r="AG275">
        <v>0</v>
      </c>
      <c r="AH275">
        <v>0</v>
      </c>
      <c r="AI275">
        <v>57.27</v>
      </c>
      <c r="AJ275">
        <v>318.14999999999998</v>
      </c>
      <c r="AK275">
        <v>0.04</v>
      </c>
      <c r="AL275" t="s">
        <v>53</v>
      </c>
      <c r="AM275" t="s">
        <v>53</v>
      </c>
      <c r="AN275" t="s">
        <v>142</v>
      </c>
      <c r="AO275" t="s">
        <v>53</v>
      </c>
      <c r="AP275" t="s">
        <v>53</v>
      </c>
    </row>
    <row r="276" spans="2:42" x14ac:dyDescent="0.2">
      <c r="B276" t="s">
        <v>44</v>
      </c>
      <c r="C276" t="str">
        <f>HYPERLINK("https://us2.cloudbeds.com/connect/8493803454333002#/reservations/597861314737?display=E0UZGD0F&amp;reservation_id=597861314737", "E0UZGD0F")</f>
        <v>E0UZGD0F</v>
      </c>
      <c r="D276" t="s">
        <v>45</v>
      </c>
      <c r="E276" t="s">
        <v>381</v>
      </c>
      <c r="F276" t="s">
        <v>47</v>
      </c>
      <c r="G276" t="s">
        <v>48</v>
      </c>
      <c r="H276" t="s">
        <v>71</v>
      </c>
      <c r="I276" t="s">
        <v>72</v>
      </c>
      <c r="J276" t="s">
        <v>733</v>
      </c>
      <c r="K276" t="s">
        <v>174</v>
      </c>
      <c r="L276" t="s">
        <v>53</v>
      </c>
      <c r="N276" t="s">
        <v>738</v>
      </c>
      <c r="P276" t="s">
        <v>58</v>
      </c>
      <c r="R276" t="s">
        <v>56</v>
      </c>
      <c r="T276" t="s">
        <v>737</v>
      </c>
      <c r="U276" t="s">
        <v>58</v>
      </c>
      <c r="V276">
        <v>2</v>
      </c>
      <c r="W276">
        <v>1</v>
      </c>
      <c r="X276">
        <v>1</v>
      </c>
      <c r="Y276">
        <v>0</v>
      </c>
      <c r="Z276">
        <v>1</v>
      </c>
      <c r="AA276">
        <v>0</v>
      </c>
      <c r="AB276">
        <v>156.84</v>
      </c>
      <c r="AC276">
        <v>138</v>
      </c>
      <c r="AD276">
        <v>0</v>
      </c>
      <c r="AE276">
        <v>18.84</v>
      </c>
      <c r="AF276">
        <v>0</v>
      </c>
      <c r="AG276">
        <v>0</v>
      </c>
      <c r="AH276">
        <v>0</v>
      </c>
      <c r="AI276">
        <v>0</v>
      </c>
      <c r="AJ276">
        <v>156.84</v>
      </c>
      <c r="AK276">
        <v>0</v>
      </c>
      <c r="AL276" t="s">
        <v>53</v>
      </c>
      <c r="AM276" t="s">
        <v>53</v>
      </c>
      <c r="AN276" t="s">
        <v>378</v>
      </c>
      <c r="AO276" t="s">
        <v>53</v>
      </c>
      <c r="AP276" t="s">
        <v>53</v>
      </c>
    </row>
    <row r="277" spans="2:42" x14ac:dyDescent="0.2">
      <c r="B277" t="s">
        <v>44</v>
      </c>
      <c r="C277" t="str">
        <f>HYPERLINK("https://us2.cloudbeds.com/connect/8493803454333002#/reservations/597826552040?display=E0TS62BD&amp;reservation_id=597826552040", "E0TS62BD")</f>
        <v>E0TS62BD</v>
      </c>
      <c r="D277" t="s">
        <v>45</v>
      </c>
      <c r="E277" t="s">
        <v>185</v>
      </c>
      <c r="F277" t="s">
        <v>47</v>
      </c>
      <c r="G277" t="s">
        <v>48</v>
      </c>
      <c r="H277" t="s">
        <v>49</v>
      </c>
      <c r="I277" t="s">
        <v>62</v>
      </c>
      <c r="J277" t="s">
        <v>228</v>
      </c>
      <c r="K277" t="s">
        <v>739</v>
      </c>
      <c r="L277" t="s">
        <v>53</v>
      </c>
      <c r="N277" t="s">
        <v>740</v>
      </c>
      <c r="P277" t="s">
        <v>55</v>
      </c>
      <c r="R277" t="s">
        <v>56</v>
      </c>
      <c r="T277" t="s">
        <v>741</v>
      </c>
      <c r="U277" t="s">
        <v>58</v>
      </c>
      <c r="V277">
        <v>3</v>
      </c>
      <c r="W277">
        <v>1</v>
      </c>
      <c r="X277">
        <v>1</v>
      </c>
      <c r="Y277">
        <v>0</v>
      </c>
      <c r="Z277">
        <v>1</v>
      </c>
      <c r="AA277">
        <v>0</v>
      </c>
      <c r="AB277">
        <v>247.02</v>
      </c>
      <c r="AC277">
        <v>217.35</v>
      </c>
      <c r="AD277">
        <v>0</v>
      </c>
      <c r="AE277">
        <v>29.67</v>
      </c>
      <c r="AF277">
        <v>0</v>
      </c>
      <c r="AG277">
        <v>0</v>
      </c>
      <c r="AH277">
        <v>0</v>
      </c>
      <c r="AI277">
        <v>37.049999999999997</v>
      </c>
      <c r="AJ277">
        <v>247.02</v>
      </c>
      <c r="AK277">
        <v>0</v>
      </c>
      <c r="AL277" t="s">
        <v>53</v>
      </c>
      <c r="AM277" t="s">
        <v>53</v>
      </c>
      <c r="AN277" t="s">
        <v>742</v>
      </c>
      <c r="AO277" t="s">
        <v>53</v>
      </c>
      <c r="AP277" t="s">
        <v>53</v>
      </c>
    </row>
    <row r="278" spans="2:42" x14ac:dyDescent="0.2">
      <c r="B278" t="s">
        <v>44</v>
      </c>
      <c r="C278" t="str">
        <f>HYPERLINK("https://us2.cloudbeds.com/connect/8493803454333002#/reservations/598399627435?display=E1BGDZCF&amp;reservation_id=598399627435", "E1BGDZCF")</f>
        <v>E1BGDZCF</v>
      </c>
      <c r="D278" t="s">
        <v>45</v>
      </c>
      <c r="E278" t="s">
        <v>185</v>
      </c>
      <c r="F278" t="s">
        <v>47</v>
      </c>
      <c r="G278" t="s">
        <v>48</v>
      </c>
      <c r="H278" t="s">
        <v>49</v>
      </c>
      <c r="I278" t="s">
        <v>50</v>
      </c>
      <c r="J278" t="s">
        <v>743</v>
      </c>
      <c r="K278" t="s">
        <v>744</v>
      </c>
      <c r="L278" t="s">
        <v>53</v>
      </c>
      <c r="N278" t="s">
        <v>745</v>
      </c>
      <c r="P278" t="s">
        <v>55</v>
      </c>
      <c r="R278" t="s">
        <v>56</v>
      </c>
      <c r="T278" t="s">
        <v>741</v>
      </c>
      <c r="U278" t="s">
        <v>58</v>
      </c>
      <c r="V278">
        <v>1</v>
      </c>
      <c r="W278">
        <v>1</v>
      </c>
      <c r="X278">
        <v>1</v>
      </c>
      <c r="Y278">
        <v>0</v>
      </c>
      <c r="Z278">
        <v>1</v>
      </c>
      <c r="AA278">
        <v>0</v>
      </c>
      <c r="AB278">
        <v>76.709999999999994</v>
      </c>
      <c r="AC278">
        <v>67.5</v>
      </c>
      <c r="AD278">
        <v>0</v>
      </c>
      <c r="AE278">
        <v>9.2100000000000009</v>
      </c>
      <c r="AF278">
        <v>0</v>
      </c>
      <c r="AG278">
        <v>0</v>
      </c>
      <c r="AH278">
        <v>0</v>
      </c>
      <c r="AI278">
        <v>13.81</v>
      </c>
      <c r="AJ278">
        <v>76.709999999999994</v>
      </c>
      <c r="AK278">
        <v>0</v>
      </c>
      <c r="AL278" t="s">
        <v>53</v>
      </c>
      <c r="AM278" t="s">
        <v>53</v>
      </c>
      <c r="AN278" t="s">
        <v>68</v>
      </c>
      <c r="AO278" t="s">
        <v>53</v>
      </c>
      <c r="AP278" t="s">
        <v>53</v>
      </c>
    </row>
    <row r="279" spans="2:42" x14ac:dyDescent="0.2">
      <c r="B279" t="s">
        <v>44</v>
      </c>
      <c r="C279" t="str">
        <f>HYPERLINK("https://us2.cloudbeds.com/connect/8493803454333002#/reservations/598406209690?display=E1BYVTMZ&amp;reservation_id=598406209690", "E1BYVTMZ")</f>
        <v>E1BYVTMZ</v>
      </c>
      <c r="D279" t="s">
        <v>45</v>
      </c>
      <c r="E279" t="s">
        <v>128</v>
      </c>
      <c r="F279" t="s">
        <v>86</v>
      </c>
      <c r="G279" t="s">
        <v>48</v>
      </c>
      <c r="H279" t="s">
        <v>71</v>
      </c>
      <c r="I279" t="s">
        <v>72</v>
      </c>
      <c r="J279" t="s">
        <v>167</v>
      </c>
      <c r="K279" t="s">
        <v>746</v>
      </c>
      <c r="L279" t="s">
        <v>53</v>
      </c>
      <c r="N279" t="s">
        <v>747</v>
      </c>
      <c r="P279" t="s">
        <v>58</v>
      </c>
      <c r="R279" t="s">
        <v>56</v>
      </c>
      <c r="T279" t="s">
        <v>741</v>
      </c>
      <c r="U279" t="s">
        <v>58</v>
      </c>
      <c r="V279">
        <v>2</v>
      </c>
      <c r="W279">
        <v>1</v>
      </c>
      <c r="X279">
        <v>1</v>
      </c>
      <c r="Y279">
        <v>0</v>
      </c>
      <c r="Z279">
        <v>1</v>
      </c>
      <c r="AA279">
        <v>0</v>
      </c>
      <c r="AB279">
        <v>184.11</v>
      </c>
      <c r="AC279">
        <v>162</v>
      </c>
      <c r="AD279">
        <v>0</v>
      </c>
      <c r="AE279">
        <v>22.12</v>
      </c>
      <c r="AF279">
        <v>0</v>
      </c>
      <c r="AG279">
        <v>0</v>
      </c>
      <c r="AH279">
        <v>0</v>
      </c>
      <c r="AI279">
        <v>0</v>
      </c>
      <c r="AJ279">
        <v>184.12</v>
      </c>
      <c r="AK279">
        <v>0.01</v>
      </c>
      <c r="AL279" t="s">
        <v>53</v>
      </c>
      <c r="AM279" t="s">
        <v>53</v>
      </c>
      <c r="AN279" t="s">
        <v>748</v>
      </c>
      <c r="AO279" t="s">
        <v>53</v>
      </c>
      <c r="AP279" t="s">
        <v>53</v>
      </c>
    </row>
    <row r="280" spans="2:42" x14ac:dyDescent="0.2">
      <c r="B280" t="s">
        <v>44</v>
      </c>
      <c r="C280" t="str">
        <f>HYPERLINK("https://us2.cloudbeds.com/connect/8493803454333002#/reservations/598422163608?display=E1C2DRZQ&amp;reservation_id=598422163608", "E1C2DRZQ")</f>
        <v>E1C2DRZQ</v>
      </c>
      <c r="D280" t="s">
        <v>45</v>
      </c>
      <c r="E280" t="s">
        <v>110</v>
      </c>
      <c r="F280" t="s">
        <v>47</v>
      </c>
      <c r="G280" t="s">
        <v>48</v>
      </c>
      <c r="H280" t="s">
        <v>71</v>
      </c>
      <c r="I280" t="s">
        <v>72</v>
      </c>
      <c r="J280" t="s">
        <v>475</v>
      </c>
      <c r="K280" t="s">
        <v>489</v>
      </c>
      <c r="L280" t="s">
        <v>53</v>
      </c>
      <c r="N280" t="s">
        <v>749</v>
      </c>
      <c r="P280" t="s">
        <v>58</v>
      </c>
      <c r="R280" t="s">
        <v>56</v>
      </c>
      <c r="T280" t="s">
        <v>741</v>
      </c>
      <c r="U280" t="s">
        <v>58</v>
      </c>
      <c r="V280">
        <v>10</v>
      </c>
      <c r="W280">
        <v>1</v>
      </c>
      <c r="X280">
        <v>1</v>
      </c>
      <c r="Y280">
        <v>0</v>
      </c>
      <c r="Z280">
        <v>1</v>
      </c>
      <c r="AA280">
        <v>0</v>
      </c>
      <c r="AB280">
        <v>1516.09</v>
      </c>
      <c r="AC280">
        <v>1334</v>
      </c>
      <c r="AD280">
        <v>0</v>
      </c>
      <c r="AE280">
        <v>182.1</v>
      </c>
      <c r="AF280">
        <v>0</v>
      </c>
      <c r="AG280">
        <v>0</v>
      </c>
      <c r="AH280">
        <v>0</v>
      </c>
      <c r="AI280">
        <v>0</v>
      </c>
      <c r="AJ280">
        <v>1516.1</v>
      </c>
      <c r="AK280">
        <v>0.01</v>
      </c>
      <c r="AL280" t="s">
        <v>53</v>
      </c>
      <c r="AM280" t="s">
        <v>53</v>
      </c>
      <c r="AN280" t="s">
        <v>750</v>
      </c>
      <c r="AO280" t="s">
        <v>53</v>
      </c>
      <c r="AP280" t="s">
        <v>53</v>
      </c>
    </row>
    <row r="281" spans="2:42" x14ac:dyDescent="0.2">
      <c r="B281" t="s">
        <v>44</v>
      </c>
      <c r="C281" t="str">
        <f>HYPERLINK("https://us2.cloudbeds.com/connect/8493803454333002#/reservations/598370050196?display=E1AZFNCG&amp;reservation_id=598370050196", "E1AZFNCG")</f>
        <v>E1AZFNCG</v>
      </c>
      <c r="D281" t="s">
        <v>45</v>
      </c>
      <c r="E281" t="s">
        <v>98</v>
      </c>
      <c r="F281" t="s">
        <v>86</v>
      </c>
      <c r="G281" t="s">
        <v>48</v>
      </c>
      <c r="H281" t="s">
        <v>49</v>
      </c>
      <c r="I281" t="s">
        <v>50</v>
      </c>
      <c r="J281" t="s">
        <v>174</v>
      </c>
      <c r="K281" t="s">
        <v>175</v>
      </c>
      <c r="L281" t="s">
        <v>53</v>
      </c>
      <c r="N281" t="s">
        <v>751</v>
      </c>
      <c r="P281" t="s">
        <v>55</v>
      </c>
      <c r="R281" t="s">
        <v>56</v>
      </c>
      <c r="T281" t="s">
        <v>752</v>
      </c>
      <c r="U281" t="s">
        <v>58</v>
      </c>
      <c r="V281">
        <v>1</v>
      </c>
      <c r="W281">
        <v>1</v>
      </c>
      <c r="X281">
        <v>1</v>
      </c>
      <c r="Y281">
        <v>0</v>
      </c>
      <c r="Z281">
        <v>1</v>
      </c>
      <c r="AA281">
        <v>0</v>
      </c>
      <c r="AB281">
        <v>91.03</v>
      </c>
      <c r="AC281">
        <v>80.099999999999994</v>
      </c>
      <c r="AD281">
        <v>0</v>
      </c>
      <c r="AE281">
        <v>10.93</v>
      </c>
      <c r="AF281">
        <v>0</v>
      </c>
      <c r="AG281">
        <v>0</v>
      </c>
      <c r="AH281">
        <v>0</v>
      </c>
      <c r="AI281">
        <v>16.39</v>
      </c>
      <c r="AJ281">
        <v>91.03</v>
      </c>
      <c r="AK281">
        <v>0</v>
      </c>
      <c r="AL281" t="s">
        <v>53</v>
      </c>
      <c r="AM281" t="s">
        <v>53</v>
      </c>
      <c r="AN281" t="s">
        <v>84</v>
      </c>
      <c r="AO281" t="s">
        <v>53</v>
      </c>
      <c r="AP281" t="s">
        <v>53</v>
      </c>
    </row>
    <row r="282" spans="2:42" x14ac:dyDescent="0.2">
      <c r="B282" t="s">
        <v>44</v>
      </c>
      <c r="C282" t="str">
        <f>HYPERLINK("https://us2.cloudbeds.com/connect/8493803454333002#/reservations/598333702350?display=E19QR93K&amp;reservation_id=598333702350", "E19QR93K")</f>
        <v>E19QR93K</v>
      </c>
      <c r="D282" t="s">
        <v>45</v>
      </c>
      <c r="E282" t="s">
        <v>381</v>
      </c>
      <c r="F282" t="s">
        <v>47</v>
      </c>
      <c r="G282" t="s">
        <v>48</v>
      </c>
      <c r="H282" t="s">
        <v>71</v>
      </c>
      <c r="I282" t="s">
        <v>72</v>
      </c>
      <c r="J282" t="s">
        <v>174</v>
      </c>
      <c r="K282" t="s">
        <v>753</v>
      </c>
      <c r="L282" t="s">
        <v>53</v>
      </c>
      <c r="N282" t="s">
        <v>754</v>
      </c>
      <c r="P282" t="s">
        <v>55</v>
      </c>
      <c r="R282" t="s">
        <v>56</v>
      </c>
      <c r="T282" t="s">
        <v>752</v>
      </c>
      <c r="U282" t="s">
        <v>58</v>
      </c>
      <c r="V282">
        <v>4</v>
      </c>
      <c r="W282">
        <v>1</v>
      </c>
      <c r="X282">
        <v>1</v>
      </c>
      <c r="Y282">
        <v>0</v>
      </c>
      <c r="Z282">
        <v>1</v>
      </c>
      <c r="AA282">
        <v>0</v>
      </c>
      <c r="AB282">
        <v>320.49</v>
      </c>
      <c r="AC282">
        <v>282</v>
      </c>
      <c r="AD282">
        <v>0</v>
      </c>
      <c r="AE282">
        <v>38.479999999999997</v>
      </c>
      <c r="AF282">
        <v>0</v>
      </c>
      <c r="AG282">
        <v>0</v>
      </c>
      <c r="AH282">
        <v>0</v>
      </c>
      <c r="AI282">
        <v>0</v>
      </c>
      <c r="AJ282">
        <v>320.48</v>
      </c>
      <c r="AK282">
        <v>-0.01</v>
      </c>
      <c r="AL282" t="s">
        <v>53</v>
      </c>
      <c r="AM282" t="s">
        <v>53</v>
      </c>
      <c r="AN282" t="s">
        <v>378</v>
      </c>
      <c r="AO282" t="s">
        <v>53</v>
      </c>
      <c r="AP282" t="s">
        <v>53</v>
      </c>
    </row>
    <row r="283" spans="2:42" x14ac:dyDescent="0.2">
      <c r="B283" t="s">
        <v>44</v>
      </c>
      <c r="C283" t="str">
        <f>HYPERLINK("https://us2.cloudbeds.com/connect/8493803454333002#/reservations/598051491997?display=E12JSBPZ&amp;reservation_id=598051491997", "E12JSBPZ")</f>
        <v>E12JSBPZ</v>
      </c>
      <c r="D283" t="s">
        <v>45</v>
      </c>
      <c r="E283" t="s">
        <v>98</v>
      </c>
      <c r="F283" t="s">
        <v>86</v>
      </c>
      <c r="G283" t="s">
        <v>48</v>
      </c>
      <c r="H283" t="s">
        <v>49</v>
      </c>
      <c r="I283" t="s">
        <v>50</v>
      </c>
      <c r="J283" t="s">
        <v>755</v>
      </c>
      <c r="K283" t="s">
        <v>454</v>
      </c>
      <c r="L283" t="s">
        <v>53</v>
      </c>
      <c r="N283" t="s">
        <v>756</v>
      </c>
      <c r="P283" t="s">
        <v>55</v>
      </c>
      <c r="R283" t="s">
        <v>56</v>
      </c>
      <c r="T283" t="s">
        <v>757</v>
      </c>
      <c r="U283" t="s">
        <v>58</v>
      </c>
      <c r="V283">
        <v>1</v>
      </c>
      <c r="W283">
        <v>1</v>
      </c>
      <c r="X283">
        <v>1</v>
      </c>
      <c r="Y283">
        <v>0</v>
      </c>
      <c r="Z283">
        <v>1</v>
      </c>
      <c r="AA283">
        <v>0</v>
      </c>
      <c r="AB283">
        <v>56.83</v>
      </c>
      <c r="AC283">
        <v>50</v>
      </c>
      <c r="AD283">
        <v>0</v>
      </c>
      <c r="AE283">
        <v>6.83</v>
      </c>
      <c r="AF283">
        <v>0</v>
      </c>
      <c r="AG283">
        <v>0</v>
      </c>
      <c r="AH283">
        <v>0</v>
      </c>
      <c r="AI283">
        <v>10.23</v>
      </c>
      <c r="AJ283">
        <v>56.83</v>
      </c>
      <c r="AK283">
        <v>0</v>
      </c>
      <c r="AL283" t="s">
        <v>53</v>
      </c>
      <c r="AM283" t="s">
        <v>53</v>
      </c>
      <c r="AN283" t="s">
        <v>758</v>
      </c>
      <c r="AO283" t="s">
        <v>53</v>
      </c>
      <c r="AP283" t="s">
        <v>53</v>
      </c>
    </row>
    <row r="284" spans="2:42" x14ac:dyDescent="0.2">
      <c r="B284" t="s">
        <v>44</v>
      </c>
      <c r="C284" t="str">
        <f>HYPERLINK("https://us2.cloudbeds.com/connect/8493803454333002#/reservations/597866270930?display=E0USMA53&amp;reservation_id=597866270930", "E0USMA53")</f>
        <v>E0USMA53</v>
      </c>
      <c r="D284" t="s">
        <v>45</v>
      </c>
      <c r="E284" t="s">
        <v>165</v>
      </c>
      <c r="F284" t="s">
        <v>61</v>
      </c>
      <c r="G284" t="s">
        <v>48</v>
      </c>
      <c r="H284" t="s">
        <v>49</v>
      </c>
      <c r="I284" t="s">
        <v>62</v>
      </c>
      <c r="J284" t="s">
        <v>472</v>
      </c>
      <c r="K284" t="s">
        <v>556</v>
      </c>
      <c r="L284" t="s">
        <v>53</v>
      </c>
      <c r="N284" t="s">
        <v>759</v>
      </c>
      <c r="P284" t="s">
        <v>55</v>
      </c>
      <c r="R284" t="s">
        <v>56</v>
      </c>
      <c r="T284" t="s">
        <v>757</v>
      </c>
      <c r="U284" t="s">
        <v>58</v>
      </c>
      <c r="V284">
        <v>2</v>
      </c>
      <c r="W284">
        <v>1</v>
      </c>
      <c r="X284">
        <v>1</v>
      </c>
      <c r="Y284">
        <v>0</v>
      </c>
      <c r="Z284">
        <v>1</v>
      </c>
      <c r="AA284">
        <v>0</v>
      </c>
      <c r="AB284">
        <v>176.61</v>
      </c>
      <c r="AC284">
        <v>155.4</v>
      </c>
      <c r="AD284">
        <v>0</v>
      </c>
      <c r="AE284">
        <v>21.2</v>
      </c>
      <c r="AF284">
        <v>0</v>
      </c>
      <c r="AG284">
        <v>0</v>
      </c>
      <c r="AH284">
        <v>0</v>
      </c>
      <c r="AI284">
        <v>26.49</v>
      </c>
      <c r="AJ284">
        <v>176.6</v>
      </c>
      <c r="AK284">
        <v>-0.01</v>
      </c>
      <c r="AL284" t="s">
        <v>53</v>
      </c>
      <c r="AM284" t="s">
        <v>53</v>
      </c>
      <c r="AN284" t="s">
        <v>760</v>
      </c>
      <c r="AO284" t="s">
        <v>53</v>
      </c>
      <c r="AP284" t="s">
        <v>53</v>
      </c>
    </row>
    <row r="285" spans="2:42" x14ac:dyDescent="0.2">
      <c r="B285" t="s">
        <v>44</v>
      </c>
      <c r="C285" t="str">
        <f>HYPERLINK("https://us2.cloudbeds.com/connect/8493803454333002#/reservations/598390546639?display=E1B8P1NR&amp;reservation_id=598390546639", "E1B8P1NR")</f>
        <v>E1B8P1NR</v>
      </c>
      <c r="D285" t="s">
        <v>45</v>
      </c>
      <c r="E285" t="s">
        <v>69</v>
      </c>
      <c r="F285" t="s">
        <v>70</v>
      </c>
      <c r="G285" t="s">
        <v>48</v>
      </c>
      <c r="H285" t="s">
        <v>71</v>
      </c>
      <c r="I285" t="s">
        <v>72</v>
      </c>
      <c r="J285" t="s">
        <v>175</v>
      </c>
      <c r="K285" t="s">
        <v>249</v>
      </c>
      <c r="L285" t="s">
        <v>53</v>
      </c>
      <c r="N285" t="s">
        <v>761</v>
      </c>
      <c r="P285" t="s">
        <v>55</v>
      </c>
      <c r="R285" t="s">
        <v>56</v>
      </c>
      <c r="T285" t="s">
        <v>757</v>
      </c>
      <c r="U285" t="s">
        <v>58</v>
      </c>
      <c r="V285">
        <v>1</v>
      </c>
      <c r="W285">
        <v>1</v>
      </c>
      <c r="X285">
        <v>1</v>
      </c>
      <c r="Y285">
        <v>0</v>
      </c>
      <c r="Z285">
        <v>1</v>
      </c>
      <c r="AA285">
        <v>0</v>
      </c>
      <c r="AB285">
        <v>72.739999999999995</v>
      </c>
      <c r="AC285">
        <v>64</v>
      </c>
      <c r="AD285">
        <v>0</v>
      </c>
      <c r="AE285">
        <v>8.74</v>
      </c>
      <c r="AF285">
        <v>0</v>
      </c>
      <c r="AG285">
        <v>0</v>
      </c>
      <c r="AH285">
        <v>0</v>
      </c>
      <c r="AI285">
        <v>0</v>
      </c>
      <c r="AJ285">
        <v>72.739999999999995</v>
      </c>
      <c r="AK285">
        <v>0</v>
      </c>
      <c r="AL285" t="s">
        <v>53</v>
      </c>
      <c r="AM285" t="s">
        <v>53</v>
      </c>
      <c r="AN285" t="s">
        <v>378</v>
      </c>
      <c r="AO285" t="s">
        <v>53</v>
      </c>
      <c r="AP285" t="s">
        <v>53</v>
      </c>
    </row>
    <row r="286" spans="2:42" x14ac:dyDescent="0.2">
      <c r="B286" t="s">
        <v>44</v>
      </c>
      <c r="C286" t="str">
        <f>HYPERLINK("https://us2.cloudbeds.com/connect/8493803454333002#/reservations/598399520902?display=E1BGAPX6&amp;reservation_id=598399520902", "E1BGAPX6")</f>
        <v>E1BGAPX6</v>
      </c>
      <c r="D286" t="s">
        <v>45</v>
      </c>
      <c r="E286" t="s">
        <v>381</v>
      </c>
      <c r="F286" t="s">
        <v>47</v>
      </c>
      <c r="G286" t="s">
        <v>48</v>
      </c>
      <c r="H286" t="s">
        <v>49</v>
      </c>
      <c r="I286" t="s">
        <v>62</v>
      </c>
      <c r="J286" t="s">
        <v>475</v>
      </c>
      <c r="K286" t="s">
        <v>762</v>
      </c>
      <c r="L286" t="s">
        <v>53</v>
      </c>
      <c r="N286" t="s">
        <v>763</v>
      </c>
      <c r="P286" t="s">
        <v>55</v>
      </c>
      <c r="R286" t="s">
        <v>764</v>
      </c>
      <c r="T286" t="s">
        <v>757</v>
      </c>
      <c r="U286" t="s">
        <v>58</v>
      </c>
      <c r="V286">
        <v>1</v>
      </c>
      <c r="W286">
        <v>1</v>
      </c>
      <c r="X286">
        <v>1</v>
      </c>
      <c r="Y286">
        <v>0</v>
      </c>
      <c r="Z286">
        <v>1</v>
      </c>
      <c r="AA286">
        <v>0</v>
      </c>
      <c r="AB286">
        <v>153.43</v>
      </c>
      <c r="AC286">
        <v>135</v>
      </c>
      <c r="AD286">
        <v>0</v>
      </c>
      <c r="AE286">
        <v>18.440000000000001</v>
      </c>
      <c r="AF286">
        <v>0</v>
      </c>
      <c r="AG286">
        <v>0</v>
      </c>
      <c r="AH286">
        <v>0</v>
      </c>
      <c r="AI286">
        <v>23.02</v>
      </c>
      <c r="AJ286">
        <v>153.44</v>
      </c>
      <c r="AK286">
        <v>0.01</v>
      </c>
      <c r="AL286" t="s">
        <v>53</v>
      </c>
      <c r="AM286" t="s">
        <v>53</v>
      </c>
      <c r="AN286" t="s">
        <v>59</v>
      </c>
      <c r="AO286" t="s">
        <v>53</v>
      </c>
      <c r="AP286" t="s">
        <v>53</v>
      </c>
    </row>
    <row r="287" spans="2:42" x14ac:dyDescent="0.2">
      <c r="B287" t="s">
        <v>44</v>
      </c>
      <c r="C287" t="str">
        <f>HYPERLINK("https://us2.cloudbeds.com/connect/8493803454333002#/reservations/598408749237?display=E1BZ3XMN&amp;reservation_id=598408749237", "E1BZ3XMN")</f>
        <v>E1BZ3XMN</v>
      </c>
      <c r="D287" t="s">
        <v>45</v>
      </c>
      <c r="E287" t="s">
        <v>165</v>
      </c>
      <c r="F287" t="s">
        <v>61</v>
      </c>
      <c r="G287" t="s">
        <v>48</v>
      </c>
      <c r="H287" t="s">
        <v>49</v>
      </c>
      <c r="I287" t="s">
        <v>62</v>
      </c>
      <c r="J287" t="s">
        <v>743</v>
      </c>
      <c r="K287" t="s">
        <v>345</v>
      </c>
      <c r="L287" t="s">
        <v>53</v>
      </c>
      <c r="N287" t="s">
        <v>765</v>
      </c>
      <c r="P287" t="s">
        <v>55</v>
      </c>
      <c r="R287" t="s">
        <v>56</v>
      </c>
      <c r="T287" t="s">
        <v>766</v>
      </c>
      <c r="U287" t="s">
        <v>58</v>
      </c>
      <c r="V287">
        <v>3</v>
      </c>
      <c r="W287">
        <v>1</v>
      </c>
      <c r="X287">
        <v>1</v>
      </c>
      <c r="Y287">
        <v>0</v>
      </c>
      <c r="Z287">
        <v>1</v>
      </c>
      <c r="AA287">
        <v>0</v>
      </c>
      <c r="AB287">
        <v>293.56</v>
      </c>
      <c r="AC287">
        <v>258.3</v>
      </c>
      <c r="AD287">
        <v>0</v>
      </c>
      <c r="AE287">
        <v>35.25</v>
      </c>
      <c r="AF287">
        <v>0</v>
      </c>
      <c r="AG287">
        <v>0</v>
      </c>
      <c r="AH287">
        <v>0</v>
      </c>
      <c r="AI287">
        <v>44.03</v>
      </c>
      <c r="AJ287">
        <v>293.55</v>
      </c>
      <c r="AK287">
        <v>-0.01</v>
      </c>
      <c r="AL287" t="s">
        <v>53</v>
      </c>
      <c r="AM287" t="s">
        <v>53</v>
      </c>
      <c r="AN287" t="s">
        <v>767</v>
      </c>
      <c r="AO287" t="s">
        <v>53</v>
      </c>
      <c r="AP287" t="s">
        <v>53</v>
      </c>
    </row>
    <row r="288" spans="2:42" x14ac:dyDescent="0.2">
      <c r="B288" t="s">
        <v>44</v>
      </c>
      <c r="C288" t="str">
        <f>HYPERLINK("https://us2.cloudbeds.com/connect/8493803454333002#/reservations/598478061728?display=E1DGX9H7&amp;reservation_id=598478061728", "E1DGX9H7")</f>
        <v>E1DGX9H7</v>
      </c>
      <c r="D288" t="s">
        <v>45</v>
      </c>
      <c r="E288" t="s">
        <v>128</v>
      </c>
      <c r="F288" t="s">
        <v>86</v>
      </c>
      <c r="G288" t="s">
        <v>48</v>
      </c>
      <c r="H288" t="s">
        <v>71</v>
      </c>
      <c r="I288" t="s">
        <v>72</v>
      </c>
      <c r="J288" t="s">
        <v>768</v>
      </c>
      <c r="K288" t="s">
        <v>489</v>
      </c>
      <c r="L288" t="s">
        <v>53</v>
      </c>
      <c r="N288" t="s">
        <v>769</v>
      </c>
      <c r="P288" t="s">
        <v>55</v>
      </c>
      <c r="R288" t="s">
        <v>56</v>
      </c>
      <c r="T288" t="s">
        <v>766</v>
      </c>
      <c r="U288" t="s">
        <v>58</v>
      </c>
      <c r="V288">
        <v>2</v>
      </c>
      <c r="W288">
        <v>1</v>
      </c>
      <c r="X288">
        <v>1</v>
      </c>
      <c r="Y288">
        <v>0</v>
      </c>
      <c r="Z288">
        <v>1</v>
      </c>
      <c r="AA288">
        <v>0</v>
      </c>
      <c r="AB288">
        <v>350.04</v>
      </c>
      <c r="AC288">
        <v>308</v>
      </c>
      <c r="AD288">
        <v>0</v>
      </c>
      <c r="AE288">
        <v>42.06</v>
      </c>
      <c r="AF288">
        <v>0</v>
      </c>
      <c r="AG288">
        <v>0</v>
      </c>
      <c r="AH288">
        <v>0</v>
      </c>
      <c r="AI288">
        <v>0</v>
      </c>
      <c r="AJ288">
        <v>350.06</v>
      </c>
      <c r="AK288">
        <v>0.02</v>
      </c>
      <c r="AL288" t="s">
        <v>53</v>
      </c>
      <c r="AM288" t="s">
        <v>53</v>
      </c>
      <c r="AN288" t="s">
        <v>770</v>
      </c>
      <c r="AO288" t="s">
        <v>53</v>
      </c>
      <c r="AP288" t="s">
        <v>53</v>
      </c>
    </row>
    <row r="289" spans="2:42" x14ac:dyDescent="0.2">
      <c r="B289" t="s">
        <v>44</v>
      </c>
      <c r="C289" t="str">
        <f>HYPERLINK("https://us2.cloudbeds.com/connect/8493803454333002#/reservations/598320124119?display=E19FCEJ2&amp;reservation_id=598320124119", "E19FCEJ2")</f>
        <v>E19FCEJ2</v>
      </c>
      <c r="D289" t="s">
        <v>45</v>
      </c>
      <c r="E289" t="s">
        <v>381</v>
      </c>
      <c r="F289" t="s">
        <v>47</v>
      </c>
      <c r="G289" t="s">
        <v>48</v>
      </c>
      <c r="H289" t="s">
        <v>49</v>
      </c>
      <c r="I289" t="s">
        <v>79</v>
      </c>
      <c r="J289" t="s">
        <v>746</v>
      </c>
      <c r="K289" t="s">
        <v>242</v>
      </c>
      <c r="L289" t="s">
        <v>53</v>
      </c>
      <c r="N289" t="s">
        <v>771</v>
      </c>
      <c r="P289" t="s">
        <v>55</v>
      </c>
      <c r="R289" t="s">
        <v>56</v>
      </c>
      <c r="T289" t="s">
        <v>766</v>
      </c>
      <c r="U289" t="s">
        <v>58</v>
      </c>
      <c r="V289">
        <v>1</v>
      </c>
      <c r="W289">
        <v>1</v>
      </c>
      <c r="X289">
        <v>1</v>
      </c>
      <c r="Y289">
        <v>0</v>
      </c>
      <c r="Z289">
        <v>1</v>
      </c>
      <c r="AA289">
        <v>0</v>
      </c>
      <c r="AB289">
        <v>69.55</v>
      </c>
      <c r="AC289">
        <v>61.2</v>
      </c>
      <c r="AD289">
        <v>0</v>
      </c>
      <c r="AE289">
        <v>8.34</v>
      </c>
      <c r="AF289">
        <v>0</v>
      </c>
      <c r="AG289">
        <v>0</v>
      </c>
      <c r="AH289">
        <v>0</v>
      </c>
      <c r="AI289">
        <v>0</v>
      </c>
      <c r="AJ289">
        <v>69.540000000000006</v>
      </c>
      <c r="AK289">
        <v>-0.01</v>
      </c>
      <c r="AL289" t="s">
        <v>53</v>
      </c>
      <c r="AM289" t="s">
        <v>53</v>
      </c>
      <c r="AN289" t="s">
        <v>772</v>
      </c>
      <c r="AO289" t="s">
        <v>53</v>
      </c>
      <c r="AP289" t="s">
        <v>53</v>
      </c>
    </row>
    <row r="290" spans="2:42" x14ac:dyDescent="0.2">
      <c r="B290" t="s">
        <v>44</v>
      </c>
      <c r="C290" t="str">
        <f>HYPERLINK("https://us2.cloudbeds.com/connect/8493803454333002#/reservations/598061088962?display=E12RVDDS&amp;reservation_id=598061088962", "E12RVDDS")</f>
        <v>E12RVDDS</v>
      </c>
      <c r="D290" t="s">
        <v>45</v>
      </c>
      <c r="E290" t="s">
        <v>113</v>
      </c>
      <c r="F290" t="s">
        <v>61</v>
      </c>
      <c r="G290" t="s">
        <v>48</v>
      </c>
      <c r="H290" t="s">
        <v>49</v>
      </c>
      <c r="I290" t="s">
        <v>79</v>
      </c>
      <c r="J290" t="s">
        <v>743</v>
      </c>
      <c r="K290" t="s">
        <v>345</v>
      </c>
      <c r="L290" t="s">
        <v>53</v>
      </c>
      <c r="N290" t="s">
        <v>773</v>
      </c>
      <c r="P290" t="s">
        <v>55</v>
      </c>
      <c r="R290" t="s">
        <v>56</v>
      </c>
      <c r="T290" t="s">
        <v>766</v>
      </c>
      <c r="U290" t="s">
        <v>58</v>
      </c>
      <c r="V290">
        <v>3</v>
      </c>
      <c r="W290">
        <v>1</v>
      </c>
      <c r="X290">
        <v>1</v>
      </c>
      <c r="Y290">
        <v>0</v>
      </c>
      <c r="Z290">
        <v>1</v>
      </c>
      <c r="AA290">
        <v>0</v>
      </c>
      <c r="AB290">
        <v>266.95999999999998</v>
      </c>
      <c r="AC290">
        <v>234.9</v>
      </c>
      <c r="AD290">
        <v>0</v>
      </c>
      <c r="AE290">
        <v>32.07</v>
      </c>
      <c r="AF290">
        <v>0</v>
      </c>
      <c r="AG290">
        <v>0</v>
      </c>
      <c r="AH290">
        <v>0</v>
      </c>
      <c r="AI290">
        <v>0</v>
      </c>
      <c r="AJ290">
        <v>266.97000000000003</v>
      </c>
      <c r="AK290">
        <v>0.01</v>
      </c>
      <c r="AL290" t="s">
        <v>53</v>
      </c>
      <c r="AM290" t="s">
        <v>53</v>
      </c>
      <c r="AN290" t="s">
        <v>104</v>
      </c>
      <c r="AO290" t="s">
        <v>53</v>
      </c>
      <c r="AP290" t="s">
        <v>53</v>
      </c>
    </row>
    <row r="291" spans="2:42" x14ac:dyDescent="0.2">
      <c r="B291" t="s">
        <v>44</v>
      </c>
      <c r="C291" t="str">
        <f>HYPERLINK("https://us2.cloudbeds.com/connect/8493803454333002#/reservations/598362063045?display=E1AHZEWK&amp;reservation_id=598362063045", "E1AHZEWK")</f>
        <v>E1AHZEWK</v>
      </c>
      <c r="D291" t="s">
        <v>45</v>
      </c>
      <c r="E291" t="s">
        <v>774</v>
      </c>
      <c r="F291" t="s">
        <v>47</v>
      </c>
      <c r="G291" t="s">
        <v>48</v>
      </c>
      <c r="H291" t="s">
        <v>49</v>
      </c>
      <c r="I291" t="s">
        <v>62</v>
      </c>
      <c r="J291" t="s">
        <v>268</v>
      </c>
      <c r="K291" t="s">
        <v>755</v>
      </c>
      <c r="L291" t="s">
        <v>53</v>
      </c>
      <c r="N291" t="s">
        <v>775</v>
      </c>
      <c r="P291" t="s">
        <v>55</v>
      </c>
      <c r="R291" t="s">
        <v>201</v>
      </c>
      <c r="T291" t="s">
        <v>766</v>
      </c>
      <c r="U291" t="s">
        <v>58</v>
      </c>
      <c r="V291">
        <v>2</v>
      </c>
      <c r="W291">
        <v>2</v>
      </c>
      <c r="X291">
        <v>2</v>
      </c>
      <c r="Y291">
        <v>0</v>
      </c>
      <c r="Z291">
        <v>2</v>
      </c>
      <c r="AA291">
        <v>0</v>
      </c>
      <c r="AB291">
        <v>154.56</v>
      </c>
      <c r="AC291">
        <v>136</v>
      </c>
      <c r="AD291">
        <v>0</v>
      </c>
      <c r="AE291">
        <v>18.559999999999999</v>
      </c>
      <c r="AF291">
        <v>0</v>
      </c>
      <c r="AG291">
        <v>0</v>
      </c>
      <c r="AH291">
        <v>0</v>
      </c>
      <c r="AI291">
        <v>23.18</v>
      </c>
      <c r="AJ291">
        <v>154.56</v>
      </c>
      <c r="AK291">
        <v>0</v>
      </c>
      <c r="AL291" t="s">
        <v>53</v>
      </c>
      <c r="AM291" t="s">
        <v>53</v>
      </c>
      <c r="AN291" t="s">
        <v>146</v>
      </c>
      <c r="AO291" t="s">
        <v>53</v>
      </c>
      <c r="AP291" t="s">
        <v>53</v>
      </c>
    </row>
    <row r="292" spans="2:42" x14ac:dyDescent="0.2">
      <c r="B292" t="s">
        <v>44</v>
      </c>
      <c r="C292" t="str">
        <f>HYPERLINK("https://us2.cloudbeds.com/connect/8493803454333002#/reservations/598308429981?display=E195H158&amp;reservation_id=598308429981", "E195H158")</f>
        <v>E195H158</v>
      </c>
      <c r="D292" t="s">
        <v>45</v>
      </c>
      <c r="E292" t="s">
        <v>85</v>
      </c>
      <c r="F292" t="s">
        <v>86</v>
      </c>
      <c r="G292" t="s">
        <v>48</v>
      </c>
      <c r="H292" t="s">
        <v>49</v>
      </c>
      <c r="I292" t="s">
        <v>50</v>
      </c>
      <c r="J292" t="s">
        <v>228</v>
      </c>
      <c r="K292" t="s">
        <v>753</v>
      </c>
      <c r="L292" t="s">
        <v>53</v>
      </c>
      <c r="N292" t="s">
        <v>776</v>
      </c>
      <c r="P292" t="s">
        <v>55</v>
      </c>
      <c r="R292" t="s">
        <v>56</v>
      </c>
      <c r="T292" t="s">
        <v>777</v>
      </c>
      <c r="U292" t="s">
        <v>58</v>
      </c>
      <c r="V292">
        <v>1</v>
      </c>
      <c r="W292">
        <v>1</v>
      </c>
      <c r="X292">
        <v>1</v>
      </c>
      <c r="Y292">
        <v>0</v>
      </c>
      <c r="Z292">
        <v>1</v>
      </c>
      <c r="AA292">
        <v>0</v>
      </c>
      <c r="AB292">
        <v>85.92</v>
      </c>
      <c r="AC292">
        <v>75.599999999999994</v>
      </c>
      <c r="AD292">
        <v>0</v>
      </c>
      <c r="AE292">
        <v>10.32</v>
      </c>
      <c r="AF292">
        <v>0</v>
      </c>
      <c r="AG292">
        <v>0</v>
      </c>
      <c r="AH292">
        <v>0</v>
      </c>
      <c r="AI292">
        <v>15.47</v>
      </c>
      <c r="AJ292">
        <v>85.92</v>
      </c>
      <c r="AK292">
        <v>0</v>
      </c>
      <c r="AL292" t="s">
        <v>53</v>
      </c>
      <c r="AM292" t="s">
        <v>53</v>
      </c>
      <c r="AN292" t="s">
        <v>778</v>
      </c>
      <c r="AO292" t="s">
        <v>53</v>
      </c>
      <c r="AP292" t="s">
        <v>53</v>
      </c>
    </row>
    <row r="293" spans="2:42" x14ac:dyDescent="0.2">
      <c r="B293" t="s">
        <v>44</v>
      </c>
      <c r="C293" t="str">
        <f>HYPERLINK("https://us2.cloudbeds.com/connect/8493803454333002#/reservations/597946486937?display=E0WUAED6&amp;reservation_id=597946486937", "E0WUAED6")</f>
        <v>E0WUAED6</v>
      </c>
      <c r="D293" t="s">
        <v>45</v>
      </c>
      <c r="E293" t="s">
        <v>165</v>
      </c>
      <c r="F293" t="s">
        <v>61</v>
      </c>
      <c r="G293" t="s">
        <v>48</v>
      </c>
      <c r="H293" t="s">
        <v>49</v>
      </c>
      <c r="I293" t="s">
        <v>62</v>
      </c>
      <c r="J293" t="s">
        <v>753</v>
      </c>
      <c r="K293" t="s">
        <v>302</v>
      </c>
      <c r="L293" t="s">
        <v>53</v>
      </c>
      <c r="N293" t="s">
        <v>779</v>
      </c>
      <c r="P293" t="s">
        <v>55</v>
      </c>
      <c r="R293" t="s">
        <v>56</v>
      </c>
      <c r="T293" t="s">
        <v>777</v>
      </c>
      <c r="U293" t="s">
        <v>58</v>
      </c>
      <c r="V293">
        <v>1</v>
      </c>
      <c r="W293">
        <v>1</v>
      </c>
      <c r="X293">
        <v>1</v>
      </c>
      <c r="Y293">
        <v>0</v>
      </c>
      <c r="Z293">
        <v>1</v>
      </c>
      <c r="AA293">
        <v>0</v>
      </c>
      <c r="AB293">
        <v>88.31</v>
      </c>
      <c r="AC293">
        <v>77.7</v>
      </c>
      <c r="AD293">
        <v>0</v>
      </c>
      <c r="AE293">
        <v>10.6</v>
      </c>
      <c r="AF293">
        <v>0</v>
      </c>
      <c r="AG293">
        <v>0</v>
      </c>
      <c r="AH293">
        <v>0</v>
      </c>
      <c r="AI293">
        <v>13.25</v>
      </c>
      <c r="AJ293">
        <v>88.3</v>
      </c>
      <c r="AK293">
        <v>-0.01</v>
      </c>
      <c r="AL293" t="s">
        <v>53</v>
      </c>
      <c r="AM293" t="s">
        <v>53</v>
      </c>
      <c r="AN293" t="s">
        <v>780</v>
      </c>
      <c r="AO293" t="s">
        <v>53</v>
      </c>
      <c r="AP293" t="s">
        <v>53</v>
      </c>
    </row>
    <row r="294" spans="2:42" x14ac:dyDescent="0.2">
      <c r="B294" t="s">
        <v>44</v>
      </c>
      <c r="C294" t="str">
        <f>HYPERLINK("https://us2.cloudbeds.com/connect/8493803454333002#/reservations/598306087144?display=E193HRQ6&amp;reservation_id=598306087144", "E193HRQ6")</f>
        <v>E193HRQ6</v>
      </c>
      <c r="D294" t="s">
        <v>45</v>
      </c>
      <c r="E294" t="s">
        <v>85</v>
      </c>
      <c r="F294" t="s">
        <v>86</v>
      </c>
      <c r="G294" t="s">
        <v>48</v>
      </c>
      <c r="H294" t="s">
        <v>71</v>
      </c>
      <c r="I294" t="s">
        <v>72</v>
      </c>
      <c r="J294" t="s">
        <v>403</v>
      </c>
      <c r="K294" t="s">
        <v>495</v>
      </c>
      <c r="L294" t="s">
        <v>53</v>
      </c>
      <c r="N294" t="s">
        <v>781</v>
      </c>
      <c r="P294" t="s">
        <v>55</v>
      </c>
      <c r="R294" t="s">
        <v>56</v>
      </c>
      <c r="T294" t="s">
        <v>777</v>
      </c>
      <c r="U294" t="s">
        <v>58</v>
      </c>
      <c r="V294">
        <v>1</v>
      </c>
      <c r="W294">
        <v>1</v>
      </c>
      <c r="X294">
        <v>1</v>
      </c>
      <c r="Y294">
        <v>0</v>
      </c>
      <c r="Z294">
        <v>1</v>
      </c>
      <c r="AA294">
        <v>0</v>
      </c>
      <c r="AB294">
        <v>92.6</v>
      </c>
      <c r="AC294">
        <v>81.48</v>
      </c>
      <c r="AD294">
        <v>0</v>
      </c>
      <c r="AE294">
        <v>11.12</v>
      </c>
      <c r="AF294">
        <v>0</v>
      </c>
      <c r="AG294">
        <v>0</v>
      </c>
      <c r="AH294">
        <v>0</v>
      </c>
      <c r="AI294">
        <v>0</v>
      </c>
      <c r="AJ294">
        <v>92.6</v>
      </c>
      <c r="AK294">
        <v>0</v>
      </c>
      <c r="AL294" t="s">
        <v>53</v>
      </c>
      <c r="AM294" t="s">
        <v>53</v>
      </c>
      <c r="AN294" t="s">
        <v>782</v>
      </c>
      <c r="AO294" t="s">
        <v>53</v>
      </c>
      <c r="AP294" t="s">
        <v>53</v>
      </c>
    </row>
    <row r="295" spans="2:42" x14ac:dyDescent="0.2">
      <c r="B295" t="s">
        <v>44</v>
      </c>
      <c r="C295" t="str">
        <f>HYPERLINK("https://us2.cloudbeds.com/connect/8493803454333002#/reservations/597580226754?display=E0NXFNAQ&amp;reservation_id=597580226754", "E0NXFNAQ")</f>
        <v>E0NXFNAQ</v>
      </c>
      <c r="D295" t="s">
        <v>45</v>
      </c>
      <c r="E295" t="s">
        <v>110</v>
      </c>
      <c r="F295" t="s">
        <v>47</v>
      </c>
      <c r="G295" t="s">
        <v>48</v>
      </c>
      <c r="H295" t="s">
        <v>49</v>
      </c>
      <c r="I295" t="s">
        <v>50</v>
      </c>
      <c r="J295" t="s">
        <v>144</v>
      </c>
      <c r="K295" t="s">
        <v>783</v>
      </c>
      <c r="L295" t="s">
        <v>53</v>
      </c>
      <c r="N295" t="s">
        <v>784</v>
      </c>
      <c r="P295" t="s">
        <v>55</v>
      </c>
      <c r="R295" t="s">
        <v>56</v>
      </c>
      <c r="T295" t="s">
        <v>777</v>
      </c>
      <c r="U295" t="s">
        <v>58</v>
      </c>
      <c r="V295">
        <v>1</v>
      </c>
      <c r="W295">
        <v>1</v>
      </c>
      <c r="X295">
        <v>1</v>
      </c>
      <c r="Y295">
        <v>0</v>
      </c>
      <c r="Z295">
        <v>1</v>
      </c>
      <c r="AA295">
        <v>0</v>
      </c>
      <c r="AB295">
        <v>157.52000000000001</v>
      </c>
      <c r="AC295">
        <v>138.6</v>
      </c>
      <c r="AD295">
        <v>0</v>
      </c>
      <c r="AE295">
        <v>18.920000000000002</v>
      </c>
      <c r="AF295">
        <v>0</v>
      </c>
      <c r="AG295">
        <v>0</v>
      </c>
      <c r="AH295">
        <v>0</v>
      </c>
      <c r="AI295">
        <v>28.35</v>
      </c>
      <c r="AJ295">
        <v>157.52000000000001</v>
      </c>
      <c r="AK295">
        <v>0</v>
      </c>
      <c r="AL295" t="s">
        <v>53</v>
      </c>
      <c r="AM295" t="s">
        <v>53</v>
      </c>
      <c r="AN295" t="s">
        <v>280</v>
      </c>
      <c r="AO295" t="s">
        <v>53</v>
      </c>
      <c r="AP295" t="s">
        <v>53</v>
      </c>
    </row>
    <row r="296" spans="2:42" x14ac:dyDescent="0.2">
      <c r="B296" t="s">
        <v>44</v>
      </c>
      <c r="C296" t="str">
        <f>HYPERLINK("https://us2.cloudbeds.com/connect/8493803454333002#/reservations/598301802638?display=E18WUKEM&amp;reservation_id=598301802638", "E18WUKEM")</f>
        <v>E18WUKEM</v>
      </c>
      <c r="D296" t="s">
        <v>45</v>
      </c>
      <c r="E296" t="s">
        <v>85</v>
      </c>
      <c r="F296" t="s">
        <v>86</v>
      </c>
      <c r="G296" t="s">
        <v>48</v>
      </c>
      <c r="H296" t="s">
        <v>71</v>
      </c>
      <c r="I296" t="s">
        <v>72</v>
      </c>
      <c r="J296" t="s">
        <v>739</v>
      </c>
      <c r="K296" t="s">
        <v>443</v>
      </c>
      <c r="L296" t="s">
        <v>53</v>
      </c>
      <c r="N296" t="s">
        <v>785</v>
      </c>
      <c r="P296" t="s">
        <v>55</v>
      </c>
      <c r="R296" t="s">
        <v>56</v>
      </c>
      <c r="T296" t="s">
        <v>777</v>
      </c>
      <c r="U296" t="s">
        <v>58</v>
      </c>
      <c r="V296">
        <v>1</v>
      </c>
      <c r="W296">
        <v>1</v>
      </c>
      <c r="X296">
        <v>1</v>
      </c>
      <c r="Y296">
        <v>0</v>
      </c>
      <c r="Z296">
        <v>1</v>
      </c>
      <c r="AA296">
        <v>0</v>
      </c>
      <c r="AB296">
        <v>92.77</v>
      </c>
      <c r="AC296">
        <v>81.63</v>
      </c>
      <c r="AD296">
        <v>0</v>
      </c>
      <c r="AE296">
        <v>11.15</v>
      </c>
      <c r="AF296">
        <v>0</v>
      </c>
      <c r="AG296">
        <v>0</v>
      </c>
      <c r="AH296">
        <v>0</v>
      </c>
      <c r="AI296">
        <v>0</v>
      </c>
      <c r="AJ296">
        <v>92.78</v>
      </c>
      <c r="AK296">
        <v>0.01</v>
      </c>
      <c r="AL296" t="s">
        <v>53</v>
      </c>
      <c r="AM296" t="s">
        <v>53</v>
      </c>
      <c r="AN296" t="s">
        <v>786</v>
      </c>
      <c r="AO296" t="s">
        <v>53</v>
      </c>
      <c r="AP296" t="s">
        <v>53</v>
      </c>
    </row>
    <row r="297" spans="2:42" x14ac:dyDescent="0.2">
      <c r="B297" t="s">
        <v>44</v>
      </c>
      <c r="C297" t="str">
        <f>HYPERLINK("https://us2.cloudbeds.com/connect/8493803454333002#/reservations/598370054306?display=E1AZFR51&amp;reservation_id=598370054306", "E1AZFR51")</f>
        <v>E1AZFR51</v>
      </c>
      <c r="D297" t="s">
        <v>45</v>
      </c>
      <c r="E297" t="s">
        <v>265</v>
      </c>
      <c r="F297" t="s">
        <v>61</v>
      </c>
      <c r="G297" t="s">
        <v>48</v>
      </c>
      <c r="H297" t="s">
        <v>71</v>
      </c>
      <c r="I297" t="s">
        <v>72</v>
      </c>
      <c r="J297" t="s">
        <v>115</v>
      </c>
      <c r="K297" t="s">
        <v>298</v>
      </c>
      <c r="L297" t="s">
        <v>53</v>
      </c>
      <c r="N297" t="s">
        <v>787</v>
      </c>
      <c r="P297" t="s">
        <v>55</v>
      </c>
      <c r="R297" t="s">
        <v>56</v>
      </c>
      <c r="T297" t="s">
        <v>777</v>
      </c>
      <c r="U297" t="s">
        <v>58</v>
      </c>
      <c r="V297">
        <v>2</v>
      </c>
      <c r="W297">
        <v>1</v>
      </c>
      <c r="X297">
        <v>1</v>
      </c>
      <c r="Y297">
        <v>0</v>
      </c>
      <c r="Z297">
        <v>1</v>
      </c>
      <c r="AA297">
        <v>0</v>
      </c>
      <c r="AB297">
        <v>202.3</v>
      </c>
      <c r="AC297">
        <v>178</v>
      </c>
      <c r="AD297">
        <v>0</v>
      </c>
      <c r="AE297">
        <v>24.3</v>
      </c>
      <c r="AF297">
        <v>0</v>
      </c>
      <c r="AG297">
        <v>0</v>
      </c>
      <c r="AH297">
        <v>0</v>
      </c>
      <c r="AI297">
        <v>0</v>
      </c>
      <c r="AJ297">
        <v>202.3</v>
      </c>
      <c r="AK297">
        <v>0</v>
      </c>
      <c r="AL297" t="s">
        <v>53</v>
      </c>
      <c r="AM297" t="s">
        <v>53</v>
      </c>
      <c r="AN297" t="s">
        <v>788</v>
      </c>
      <c r="AO297" t="s">
        <v>53</v>
      </c>
      <c r="AP297" t="s">
        <v>53</v>
      </c>
    </row>
    <row r="298" spans="2:42" x14ac:dyDescent="0.2">
      <c r="B298" t="s">
        <v>44</v>
      </c>
      <c r="C298" t="str">
        <f>HYPERLINK("https://us2.cloudbeds.com/connect/8493803454333002#/reservations/598492795121?display=E1DSW8QM&amp;reservation_id=598492795121", "E1DSW8QM")</f>
        <v>E1DSW8QM</v>
      </c>
      <c r="D298" t="s">
        <v>45</v>
      </c>
      <c r="E298" t="s">
        <v>179</v>
      </c>
      <c r="F298" t="s">
        <v>47</v>
      </c>
      <c r="G298" t="s">
        <v>48</v>
      </c>
      <c r="H298" t="s">
        <v>49</v>
      </c>
      <c r="I298" t="s">
        <v>50</v>
      </c>
      <c r="J298" t="s">
        <v>553</v>
      </c>
      <c r="K298" t="s">
        <v>554</v>
      </c>
      <c r="L298" t="s">
        <v>53</v>
      </c>
      <c r="N298" t="s">
        <v>789</v>
      </c>
      <c r="P298" t="s">
        <v>55</v>
      </c>
      <c r="R298" t="s">
        <v>56</v>
      </c>
      <c r="T298" t="s">
        <v>790</v>
      </c>
      <c r="U298" t="s">
        <v>58</v>
      </c>
      <c r="V298">
        <v>1</v>
      </c>
      <c r="W298">
        <v>1</v>
      </c>
      <c r="X298">
        <v>1</v>
      </c>
      <c r="Y298">
        <v>0</v>
      </c>
      <c r="Z298">
        <v>1</v>
      </c>
      <c r="AA298">
        <v>0</v>
      </c>
      <c r="AB298">
        <v>73.650000000000006</v>
      </c>
      <c r="AC298">
        <v>64.8</v>
      </c>
      <c r="AD298">
        <v>0</v>
      </c>
      <c r="AE298">
        <v>8.85</v>
      </c>
      <c r="AF298">
        <v>0</v>
      </c>
      <c r="AG298">
        <v>0</v>
      </c>
      <c r="AH298">
        <v>0</v>
      </c>
      <c r="AI298">
        <v>13.26</v>
      </c>
      <c r="AJ298">
        <v>73.650000000000006</v>
      </c>
      <c r="AK298">
        <v>0</v>
      </c>
      <c r="AL298" t="s">
        <v>53</v>
      </c>
      <c r="AM298" t="s">
        <v>53</v>
      </c>
      <c r="AN298" t="s">
        <v>112</v>
      </c>
      <c r="AO298" t="s">
        <v>53</v>
      </c>
      <c r="AP298" t="s">
        <v>53</v>
      </c>
    </row>
    <row r="299" spans="2:42" x14ac:dyDescent="0.2">
      <c r="B299" t="s">
        <v>44</v>
      </c>
      <c r="C299" t="str">
        <f>HYPERLINK("https://us2.cloudbeds.com/connect/8493803454333002#/reservations/598487941248?display=E1DYBCED&amp;reservation_id=598487941248", "E1DYBCED")</f>
        <v>E1DYBCED</v>
      </c>
      <c r="D299" t="s">
        <v>45</v>
      </c>
      <c r="E299" t="s">
        <v>179</v>
      </c>
      <c r="F299" t="s">
        <v>47</v>
      </c>
      <c r="G299" t="s">
        <v>48</v>
      </c>
      <c r="H299" t="s">
        <v>49</v>
      </c>
      <c r="I299" t="s">
        <v>50</v>
      </c>
      <c r="J299" t="s">
        <v>167</v>
      </c>
      <c r="K299" t="s">
        <v>791</v>
      </c>
      <c r="L299" t="s">
        <v>53</v>
      </c>
      <c r="N299" t="s">
        <v>792</v>
      </c>
      <c r="P299" t="s">
        <v>55</v>
      </c>
      <c r="R299" t="s">
        <v>56</v>
      </c>
      <c r="T299" t="s">
        <v>790</v>
      </c>
      <c r="U299" t="s">
        <v>58</v>
      </c>
      <c r="V299">
        <v>1</v>
      </c>
      <c r="W299">
        <v>1</v>
      </c>
      <c r="X299">
        <v>1</v>
      </c>
      <c r="Y299">
        <v>0</v>
      </c>
      <c r="Z299">
        <v>1</v>
      </c>
      <c r="AA299">
        <v>0</v>
      </c>
      <c r="AB299">
        <v>73.650000000000006</v>
      </c>
      <c r="AC299">
        <v>64.8</v>
      </c>
      <c r="AD299">
        <v>0</v>
      </c>
      <c r="AE299">
        <v>8.85</v>
      </c>
      <c r="AF299">
        <v>0</v>
      </c>
      <c r="AG299">
        <v>0</v>
      </c>
      <c r="AH299">
        <v>0</v>
      </c>
      <c r="AI299">
        <v>13.26</v>
      </c>
      <c r="AJ299">
        <v>73.650000000000006</v>
      </c>
      <c r="AK299">
        <v>0</v>
      </c>
      <c r="AL299" t="s">
        <v>53</v>
      </c>
      <c r="AM299" t="s">
        <v>53</v>
      </c>
      <c r="AN299" t="s">
        <v>142</v>
      </c>
      <c r="AO299" t="s">
        <v>53</v>
      </c>
      <c r="AP299" t="s">
        <v>53</v>
      </c>
    </row>
    <row r="300" spans="2:42" x14ac:dyDescent="0.2">
      <c r="B300" t="s">
        <v>44</v>
      </c>
      <c r="C300" t="str">
        <f>HYPERLINK("https://us2.cloudbeds.com/connect/8493803454333002#/reservations/598488064129?display=E1DZWKF9&amp;reservation_id=598488064129", "E1DZWKF9")</f>
        <v>E1DZWKF9</v>
      </c>
      <c r="D300" t="s">
        <v>45</v>
      </c>
      <c r="E300" t="s">
        <v>85</v>
      </c>
      <c r="F300" t="s">
        <v>86</v>
      </c>
      <c r="G300" t="s">
        <v>48</v>
      </c>
      <c r="H300" t="s">
        <v>49</v>
      </c>
      <c r="I300" t="s">
        <v>50</v>
      </c>
      <c r="J300" t="s">
        <v>753</v>
      </c>
      <c r="K300" t="s">
        <v>302</v>
      </c>
      <c r="L300" t="s">
        <v>53</v>
      </c>
      <c r="N300" t="s">
        <v>793</v>
      </c>
      <c r="P300" t="s">
        <v>55</v>
      </c>
      <c r="R300" t="s">
        <v>56</v>
      </c>
      <c r="T300" t="s">
        <v>790</v>
      </c>
      <c r="U300" t="s">
        <v>58</v>
      </c>
      <c r="V300">
        <v>1</v>
      </c>
      <c r="W300">
        <v>1</v>
      </c>
      <c r="X300">
        <v>1</v>
      </c>
      <c r="Y300">
        <v>0</v>
      </c>
      <c r="Z300">
        <v>1</v>
      </c>
      <c r="AA300">
        <v>0</v>
      </c>
      <c r="AB300">
        <v>85.92</v>
      </c>
      <c r="AC300">
        <v>75.599999999999994</v>
      </c>
      <c r="AD300">
        <v>0</v>
      </c>
      <c r="AE300">
        <v>10.32</v>
      </c>
      <c r="AF300">
        <v>0</v>
      </c>
      <c r="AG300">
        <v>0</v>
      </c>
      <c r="AH300">
        <v>0</v>
      </c>
      <c r="AI300">
        <v>15.47</v>
      </c>
      <c r="AJ300">
        <v>85.92</v>
      </c>
      <c r="AK300">
        <v>0</v>
      </c>
      <c r="AL300" t="s">
        <v>53</v>
      </c>
      <c r="AM300" t="s">
        <v>53</v>
      </c>
      <c r="AN300" t="s">
        <v>112</v>
      </c>
      <c r="AO300" t="s">
        <v>53</v>
      </c>
      <c r="AP300" t="s">
        <v>53</v>
      </c>
    </row>
    <row r="301" spans="2:42" x14ac:dyDescent="0.2">
      <c r="B301" t="s">
        <v>44</v>
      </c>
      <c r="C301" t="str">
        <f>HYPERLINK("https://us2.cloudbeds.com/connect/8493803454333002#/reservations/598489387225?display=E1DQ3EE3&amp;reservation_id=598489387225", "E1DQ3EE3")</f>
        <v>E1DQ3EE3</v>
      </c>
      <c r="D301" t="s">
        <v>45</v>
      </c>
      <c r="E301" t="s">
        <v>98</v>
      </c>
      <c r="F301" t="s">
        <v>86</v>
      </c>
      <c r="G301" t="s">
        <v>48</v>
      </c>
      <c r="H301" t="s">
        <v>49</v>
      </c>
      <c r="I301" t="s">
        <v>50</v>
      </c>
      <c r="J301" t="s">
        <v>167</v>
      </c>
      <c r="K301" t="s">
        <v>791</v>
      </c>
      <c r="L301" t="s">
        <v>53</v>
      </c>
      <c r="N301" t="s">
        <v>794</v>
      </c>
      <c r="P301" t="s">
        <v>55</v>
      </c>
      <c r="R301" t="s">
        <v>56</v>
      </c>
      <c r="T301" t="s">
        <v>790</v>
      </c>
      <c r="U301" t="s">
        <v>58</v>
      </c>
      <c r="V301">
        <v>1</v>
      </c>
      <c r="W301">
        <v>1</v>
      </c>
      <c r="X301">
        <v>1</v>
      </c>
      <c r="Y301">
        <v>0</v>
      </c>
      <c r="Z301">
        <v>1</v>
      </c>
      <c r="AA301">
        <v>0</v>
      </c>
      <c r="AB301">
        <v>73.650000000000006</v>
      </c>
      <c r="AC301">
        <v>64.8</v>
      </c>
      <c r="AD301">
        <v>0</v>
      </c>
      <c r="AE301">
        <v>8.85</v>
      </c>
      <c r="AF301">
        <v>0</v>
      </c>
      <c r="AG301">
        <v>0</v>
      </c>
      <c r="AH301">
        <v>0</v>
      </c>
      <c r="AI301">
        <v>13.26</v>
      </c>
      <c r="AJ301">
        <v>73.650000000000006</v>
      </c>
      <c r="AK301">
        <v>0</v>
      </c>
      <c r="AL301" t="s">
        <v>53</v>
      </c>
      <c r="AM301" t="s">
        <v>53</v>
      </c>
      <c r="AN301" t="s">
        <v>59</v>
      </c>
      <c r="AO301" t="s">
        <v>53</v>
      </c>
      <c r="AP301" t="s">
        <v>53</v>
      </c>
    </row>
    <row r="302" spans="2:42" x14ac:dyDescent="0.2">
      <c r="B302" t="s">
        <v>44</v>
      </c>
      <c r="C302" t="str">
        <f>HYPERLINK("https://us2.cloudbeds.com/connect/8493803454333002#/reservations/598146658498?display=E1513GM3&amp;reservation_id=598146658498", "E1513GM3")</f>
        <v>E1513GM3</v>
      </c>
      <c r="D302" t="s">
        <v>45</v>
      </c>
      <c r="E302" t="s">
        <v>85</v>
      </c>
      <c r="F302" t="s">
        <v>86</v>
      </c>
      <c r="G302" t="s">
        <v>48</v>
      </c>
      <c r="H302" t="s">
        <v>49</v>
      </c>
      <c r="I302" t="s">
        <v>50</v>
      </c>
      <c r="J302" t="s">
        <v>443</v>
      </c>
      <c r="K302" t="s">
        <v>403</v>
      </c>
      <c r="L302" t="s">
        <v>53</v>
      </c>
      <c r="N302" t="s">
        <v>795</v>
      </c>
      <c r="P302" t="s">
        <v>55</v>
      </c>
      <c r="R302" t="s">
        <v>56</v>
      </c>
      <c r="T302" t="s">
        <v>796</v>
      </c>
      <c r="U302" t="s">
        <v>58</v>
      </c>
      <c r="V302">
        <v>1</v>
      </c>
      <c r="W302">
        <v>1</v>
      </c>
      <c r="X302">
        <v>1</v>
      </c>
      <c r="Y302">
        <v>0</v>
      </c>
      <c r="Z302">
        <v>1</v>
      </c>
      <c r="AA302">
        <v>0</v>
      </c>
      <c r="AB302">
        <v>91.03</v>
      </c>
      <c r="AC302">
        <v>80.099999999999994</v>
      </c>
      <c r="AD302">
        <v>0</v>
      </c>
      <c r="AE302">
        <v>10.93</v>
      </c>
      <c r="AF302">
        <v>0</v>
      </c>
      <c r="AG302">
        <v>0</v>
      </c>
      <c r="AH302">
        <v>0</v>
      </c>
      <c r="AI302">
        <v>16.39</v>
      </c>
      <c r="AJ302">
        <v>91.03</v>
      </c>
      <c r="AK302">
        <v>0</v>
      </c>
      <c r="AL302" t="s">
        <v>53</v>
      </c>
      <c r="AM302" t="s">
        <v>53</v>
      </c>
      <c r="AN302" t="s">
        <v>245</v>
      </c>
      <c r="AO302" t="s">
        <v>53</v>
      </c>
      <c r="AP302" t="s">
        <v>53</v>
      </c>
    </row>
    <row r="303" spans="2:42" x14ac:dyDescent="0.2">
      <c r="B303" t="s">
        <v>44</v>
      </c>
      <c r="C303" t="str">
        <f>HYPERLINK("https://us2.cloudbeds.com/connect/8493803454333002#/reservations/598199820450?display=E16CUQTB&amp;reservation_id=598199820450", "E16CUQTB")</f>
        <v>E16CUQTB</v>
      </c>
      <c r="D303" t="s">
        <v>45</v>
      </c>
      <c r="E303" t="s">
        <v>373</v>
      </c>
      <c r="F303" t="s">
        <v>47</v>
      </c>
      <c r="G303" t="s">
        <v>48</v>
      </c>
      <c r="H303" t="s">
        <v>71</v>
      </c>
      <c r="I303" t="s">
        <v>72</v>
      </c>
      <c r="J303" t="s">
        <v>302</v>
      </c>
      <c r="K303" t="s">
        <v>739</v>
      </c>
      <c r="L303" t="s">
        <v>53</v>
      </c>
      <c r="N303" t="s">
        <v>797</v>
      </c>
      <c r="P303" t="s">
        <v>55</v>
      </c>
      <c r="R303" t="s">
        <v>56</v>
      </c>
      <c r="T303" t="s">
        <v>796</v>
      </c>
      <c r="U303" t="s">
        <v>58</v>
      </c>
      <c r="V303">
        <v>1</v>
      </c>
      <c r="W303">
        <v>1</v>
      </c>
      <c r="X303">
        <v>1</v>
      </c>
      <c r="Y303">
        <v>0</v>
      </c>
      <c r="Z303">
        <v>1</v>
      </c>
      <c r="AA303">
        <v>0</v>
      </c>
      <c r="AB303">
        <v>78.42</v>
      </c>
      <c r="AC303">
        <v>69</v>
      </c>
      <c r="AD303">
        <v>0</v>
      </c>
      <c r="AE303">
        <v>9.42</v>
      </c>
      <c r="AF303">
        <v>0</v>
      </c>
      <c r="AG303">
        <v>0</v>
      </c>
      <c r="AH303">
        <v>0</v>
      </c>
      <c r="AI303">
        <v>0</v>
      </c>
      <c r="AJ303">
        <v>78.42</v>
      </c>
      <c r="AK303">
        <v>0</v>
      </c>
      <c r="AL303" t="s">
        <v>53</v>
      </c>
      <c r="AM303" t="s">
        <v>53</v>
      </c>
      <c r="AN303" t="s">
        <v>378</v>
      </c>
      <c r="AO303" t="s">
        <v>53</v>
      </c>
      <c r="AP303" t="s">
        <v>53</v>
      </c>
    </row>
    <row r="304" spans="2:42" x14ac:dyDescent="0.2">
      <c r="B304" t="s">
        <v>44</v>
      </c>
      <c r="C304" t="str">
        <f>HYPERLINK("https://us2.cloudbeds.com/connect/8493803454333002#/reservations/598333698272?display=E19QR5C1&amp;reservation_id=598333698272", "E19QR5C1")</f>
        <v>E19QR5C1</v>
      </c>
      <c r="D304" t="s">
        <v>45</v>
      </c>
      <c r="E304" t="s">
        <v>138</v>
      </c>
      <c r="F304" t="s">
        <v>70</v>
      </c>
      <c r="G304" t="s">
        <v>48</v>
      </c>
      <c r="H304" t="s">
        <v>49</v>
      </c>
      <c r="I304" t="s">
        <v>114</v>
      </c>
      <c r="J304" t="s">
        <v>473</v>
      </c>
      <c r="K304" t="s">
        <v>798</v>
      </c>
      <c r="L304" t="s">
        <v>53</v>
      </c>
      <c r="N304" t="s">
        <v>799</v>
      </c>
      <c r="P304" t="s">
        <v>55</v>
      </c>
      <c r="R304" t="s">
        <v>56</v>
      </c>
      <c r="T304" t="s">
        <v>796</v>
      </c>
      <c r="U304" t="s">
        <v>58</v>
      </c>
      <c r="V304">
        <v>2</v>
      </c>
      <c r="W304">
        <v>1</v>
      </c>
      <c r="X304">
        <v>1</v>
      </c>
      <c r="Y304">
        <v>0</v>
      </c>
      <c r="Z304">
        <v>1</v>
      </c>
      <c r="AA304">
        <v>0</v>
      </c>
      <c r="AB304">
        <v>151.15</v>
      </c>
      <c r="AC304">
        <v>133</v>
      </c>
      <c r="AD304">
        <v>0</v>
      </c>
      <c r="AE304">
        <v>18.16</v>
      </c>
      <c r="AF304">
        <v>0</v>
      </c>
      <c r="AG304">
        <v>0</v>
      </c>
      <c r="AH304">
        <v>0</v>
      </c>
      <c r="AI304">
        <v>0</v>
      </c>
      <c r="AJ304">
        <v>151.16</v>
      </c>
      <c r="AK304">
        <v>0.01</v>
      </c>
      <c r="AL304" t="s">
        <v>53</v>
      </c>
      <c r="AM304" t="s">
        <v>53</v>
      </c>
      <c r="AN304" t="s">
        <v>800</v>
      </c>
      <c r="AO304" t="s">
        <v>53</v>
      </c>
      <c r="AP304" t="s">
        <v>53</v>
      </c>
    </row>
    <row r="305" spans="2:42" x14ac:dyDescent="0.2">
      <c r="B305" t="s">
        <v>44</v>
      </c>
      <c r="C305" t="str">
        <f>HYPERLINK("https://us2.cloudbeds.com/connect/8493803454333002#/reservations/598371942616?display=E1AQ2C4X&amp;reservation_id=598371942616", "E1AQ2C4X")</f>
        <v>E1AQ2C4X</v>
      </c>
      <c r="D305" t="s">
        <v>45</v>
      </c>
      <c r="E305" t="s">
        <v>138</v>
      </c>
      <c r="F305" t="s">
        <v>70</v>
      </c>
      <c r="G305" t="s">
        <v>48</v>
      </c>
      <c r="H305" t="s">
        <v>71</v>
      </c>
      <c r="I305" t="s">
        <v>72</v>
      </c>
      <c r="J305" t="s">
        <v>801</v>
      </c>
      <c r="K305" t="s">
        <v>202</v>
      </c>
      <c r="L305" t="s">
        <v>53</v>
      </c>
      <c r="N305" t="s">
        <v>802</v>
      </c>
      <c r="P305" t="s">
        <v>58</v>
      </c>
      <c r="R305" t="s">
        <v>56</v>
      </c>
      <c r="T305" t="s">
        <v>803</v>
      </c>
      <c r="U305" t="s">
        <v>58</v>
      </c>
      <c r="V305">
        <v>1</v>
      </c>
      <c r="W305">
        <v>1</v>
      </c>
      <c r="X305">
        <v>1</v>
      </c>
      <c r="Y305">
        <v>0</v>
      </c>
      <c r="Z305">
        <v>1</v>
      </c>
      <c r="AA305">
        <v>0</v>
      </c>
      <c r="AB305">
        <v>67.05</v>
      </c>
      <c r="AC305">
        <v>59</v>
      </c>
      <c r="AD305">
        <v>0</v>
      </c>
      <c r="AE305">
        <v>8.06</v>
      </c>
      <c r="AF305">
        <v>0</v>
      </c>
      <c r="AG305">
        <v>0</v>
      </c>
      <c r="AH305">
        <v>0</v>
      </c>
      <c r="AI305">
        <v>0</v>
      </c>
      <c r="AJ305">
        <v>67.06</v>
      </c>
      <c r="AK305">
        <v>0.01</v>
      </c>
      <c r="AL305" t="s">
        <v>53</v>
      </c>
      <c r="AM305" t="s">
        <v>53</v>
      </c>
      <c r="AN305" t="s">
        <v>804</v>
      </c>
      <c r="AO305" t="s">
        <v>53</v>
      </c>
      <c r="AP305" t="s">
        <v>53</v>
      </c>
    </row>
    <row r="306" spans="2:42" x14ac:dyDescent="0.2">
      <c r="B306" t="s">
        <v>44</v>
      </c>
      <c r="C306" t="str">
        <f>HYPERLINK("https://us2.cloudbeds.com/connect/8493803454333002#/reservations/598500479129?display=E1E2F2RD&amp;reservation_id=598500479129", "E1E2F2RD")</f>
        <v>E1E2F2RD</v>
      </c>
      <c r="D306" t="s">
        <v>45</v>
      </c>
      <c r="E306" t="s">
        <v>138</v>
      </c>
      <c r="F306" t="s">
        <v>70</v>
      </c>
      <c r="G306" t="s">
        <v>48</v>
      </c>
      <c r="H306" t="s">
        <v>49</v>
      </c>
      <c r="I306" t="s">
        <v>79</v>
      </c>
      <c r="J306" t="s">
        <v>443</v>
      </c>
      <c r="K306" t="s">
        <v>403</v>
      </c>
      <c r="L306" t="s">
        <v>53</v>
      </c>
      <c r="N306" t="s">
        <v>805</v>
      </c>
      <c r="P306" t="s">
        <v>55</v>
      </c>
      <c r="R306" t="s">
        <v>56</v>
      </c>
      <c r="T306" t="s">
        <v>803</v>
      </c>
      <c r="U306" t="s">
        <v>58</v>
      </c>
      <c r="V306">
        <v>1</v>
      </c>
      <c r="W306">
        <v>1</v>
      </c>
      <c r="X306">
        <v>1</v>
      </c>
      <c r="Y306">
        <v>0</v>
      </c>
      <c r="Z306">
        <v>1</v>
      </c>
      <c r="AA306">
        <v>0</v>
      </c>
      <c r="AB306">
        <v>70.58</v>
      </c>
      <c r="AC306">
        <v>62.1</v>
      </c>
      <c r="AD306">
        <v>0</v>
      </c>
      <c r="AE306">
        <v>8.4700000000000006</v>
      </c>
      <c r="AF306">
        <v>0</v>
      </c>
      <c r="AG306">
        <v>0</v>
      </c>
      <c r="AH306">
        <v>0</v>
      </c>
      <c r="AI306">
        <v>0</v>
      </c>
      <c r="AJ306">
        <v>70.569999999999993</v>
      </c>
      <c r="AK306">
        <v>-0.01</v>
      </c>
      <c r="AL306" t="s">
        <v>53</v>
      </c>
      <c r="AM306" t="s">
        <v>53</v>
      </c>
      <c r="AN306" t="s">
        <v>112</v>
      </c>
      <c r="AO306" t="s">
        <v>53</v>
      </c>
      <c r="AP306" t="s">
        <v>53</v>
      </c>
    </row>
    <row r="307" spans="2:42" x14ac:dyDescent="0.2">
      <c r="B307" t="s">
        <v>44</v>
      </c>
      <c r="C307" t="str">
        <f>HYPERLINK("https://us2.cloudbeds.com/connect/8493803454333002#/reservations/598515925151?display=E1EFFTGY&amp;reservation_id=598515925151", "E1EFFTGY")</f>
        <v>E1EFFTGY</v>
      </c>
      <c r="D307" t="s">
        <v>45</v>
      </c>
      <c r="E307" t="s">
        <v>69</v>
      </c>
      <c r="F307" t="s">
        <v>70</v>
      </c>
      <c r="G307" t="s">
        <v>48</v>
      </c>
      <c r="H307" t="s">
        <v>49</v>
      </c>
      <c r="I307" t="s">
        <v>50</v>
      </c>
      <c r="J307" t="s">
        <v>443</v>
      </c>
      <c r="K307" t="s">
        <v>495</v>
      </c>
      <c r="L307" t="s">
        <v>53</v>
      </c>
      <c r="N307" t="s">
        <v>806</v>
      </c>
      <c r="P307" t="s">
        <v>55</v>
      </c>
      <c r="R307" t="s">
        <v>56</v>
      </c>
      <c r="T307" t="s">
        <v>803</v>
      </c>
      <c r="U307" t="s">
        <v>58</v>
      </c>
      <c r="V307">
        <v>2</v>
      </c>
      <c r="W307">
        <v>1</v>
      </c>
      <c r="X307">
        <v>1</v>
      </c>
      <c r="Y307">
        <v>0</v>
      </c>
      <c r="Z307">
        <v>1</v>
      </c>
      <c r="AA307">
        <v>0</v>
      </c>
      <c r="AB307">
        <v>141.15</v>
      </c>
      <c r="AC307">
        <v>124.2</v>
      </c>
      <c r="AD307">
        <v>0</v>
      </c>
      <c r="AE307">
        <v>16.940000000000001</v>
      </c>
      <c r="AF307">
        <v>0</v>
      </c>
      <c r="AG307">
        <v>0</v>
      </c>
      <c r="AH307">
        <v>0</v>
      </c>
      <c r="AI307">
        <v>25.41</v>
      </c>
      <c r="AJ307">
        <v>141.13999999999999</v>
      </c>
      <c r="AK307">
        <v>-0.01</v>
      </c>
      <c r="AL307" t="s">
        <v>53</v>
      </c>
      <c r="AM307" t="s">
        <v>53</v>
      </c>
      <c r="AN307" t="s">
        <v>413</v>
      </c>
      <c r="AO307" t="s">
        <v>53</v>
      </c>
      <c r="AP307" t="s">
        <v>53</v>
      </c>
    </row>
    <row r="308" spans="2:42" x14ac:dyDescent="0.2">
      <c r="B308" t="s">
        <v>44</v>
      </c>
      <c r="C308" t="str">
        <f>HYPERLINK("https://us2.cloudbeds.com/connect/8493803454333002#/reservations/597952970964?display=E102PSGT&amp;reservation_id=597952970964", "E102PSGT")</f>
        <v>E102PSGT</v>
      </c>
      <c r="D308" t="s">
        <v>45</v>
      </c>
      <c r="E308" t="s">
        <v>138</v>
      </c>
      <c r="F308" t="s">
        <v>70</v>
      </c>
      <c r="G308" t="s">
        <v>48</v>
      </c>
      <c r="H308" t="s">
        <v>71</v>
      </c>
      <c r="I308" t="s">
        <v>72</v>
      </c>
      <c r="J308" t="s">
        <v>426</v>
      </c>
      <c r="K308" t="s">
        <v>130</v>
      </c>
      <c r="L308" t="s">
        <v>53</v>
      </c>
      <c r="N308" t="s">
        <v>807</v>
      </c>
      <c r="P308" t="s">
        <v>55</v>
      </c>
      <c r="R308" t="s">
        <v>56</v>
      </c>
      <c r="T308" t="s">
        <v>803</v>
      </c>
      <c r="U308" t="s">
        <v>58</v>
      </c>
      <c r="V308">
        <v>1</v>
      </c>
      <c r="W308">
        <v>1</v>
      </c>
      <c r="X308">
        <v>1</v>
      </c>
      <c r="Y308">
        <v>0</v>
      </c>
      <c r="Z308">
        <v>1</v>
      </c>
      <c r="AA308">
        <v>0</v>
      </c>
      <c r="AB308">
        <v>137.52000000000001</v>
      </c>
      <c r="AC308">
        <v>121</v>
      </c>
      <c r="AD308">
        <v>0</v>
      </c>
      <c r="AE308">
        <v>16.52</v>
      </c>
      <c r="AF308">
        <v>0</v>
      </c>
      <c r="AG308">
        <v>0</v>
      </c>
      <c r="AH308">
        <v>0</v>
      </c>
      <c r="AI308">
        <v>0</v>
      </c>
      <c r="AJ308">
        <v>137.52000000000001</v>
      </c>
      <c r="AK308">
        <v>0</v>
      </c>
      <c r="AL308" t="s">
        <v>53</v>
      </c>
      <c r="AM308" t="s">
        <v>53</v>
      </c>
      <c r="AN308" t="s">
        <v>808</v>
      </c>
      <c r="AO308" t="s">
        <v>53</v>
      </c>
      <c r="AP308" t="s">
        <v>53</v>
      </c>
    </row>
    <row r="309" spans="2:42" x14ac:dyDescent="0.2">
      <c r="B309" t="s">
        <v>44</v>
      </c>
      <c r="C309" t="str">
        <f>HYPERLINK("https://us2.cloudbeds.com/connect/8493803454333002#/reservations/598347374770?display=E1A5BZ4C&amp;reservation_id=598347374770", "E1A5BZ4C")</f>
        <v>E1A5BZ4C</v>
      </c>
      <c r="D309" t="s">
        <v>45</v>
      </c>
      <c r="E309" t="s">
        <v>179</v>
      </c>
      <c r="F309" t="s">
        <v>47</v>
      </c>
      <c r="G309" t="s">
        <v>48</v>
      </c>
      <c r="H309" t="s">
        <v>49</v>
      </c>
      <c r="I309" t="s">
        <v>50</v>
      </c>
      <c r="J309" t="s">
        <v>443</v>
      </c>
      <c r="K309" t="s">
        <v>495</v>
      </c>
      <c r="L309" t="s">
        <v>53</v>
      </c>
      <c r="N309" t="s">
        <v>809</v>
      </c>
      <c r="P309" t="s">
        <v>55</v>
      </c>
      <c r="R309" t="s">
        <v>56</v>
      </c>
      <c r="T309" t="s">
        <v>803</v>
      </c>
      <c r="U309" t="s">
        <v>58</v>
      </c>
      <c r="V309">
        <v>2</v>
      </c>
      <c r="W309">
        <v>1</v>
      </c>
      <c r="X309">
        <v>1</v>
      </c>
      <c r="Y309">
        <v>0</v>
      </c>
      <c r="Z309">
        <v>1</v>
      </c>
      <c r="AA309">
        <v>0</v>
      </c>
      <c r="AB309">
        <v>157.52000000000001</v>
      </c>
      <c r="AC309">
        <v>138.6</v>
      </c>
      <c r="AD309">
        <v>0</v>
      </c>
      <c r="AE309">
        <v>18.940000000000001</v>
      </c>
      <c r="AF309">
        <v>0</v>
      </c>
      <c r="AG309">
        <v>0</v>
      </c>
      <c r="AH309">
        <v>0</v>
      </c>
      <c r="AI309">
        <v>28.36</v>
      </c>
      <c r="AJ309">
        <v>157.54</v>
      </c>
      <c r="AK309">
        <v>0.02</v>
      </c>
      <c r="AL309" t="s">
        <v>53</v>
      </c>
      <c r="AM309" t="s">
        <v>53</v>
      </c>
      <c r="AN309" t="s">
        <v>142</v>
      </c>
      <c r="AO309" t="s">
        <v>53</v>
      </c>
      <c r="AP309" t="s">
        <v>53</v>
      </c>
    </row>
    <row r="310" spans="2:42" x14ac:dyDescent="0.2">
      <c r="B310" t="s">
        <v>44</v>
      </c>
      <c r="C310" t="str">
        <f>HYPERLINK("https://us2.cloudbeds.com/connect/8493803454333002#/reservations/598158966979?display=E15BG07C&amp;reservation_id=598158966979", "E15BG07C")</f>
        <v>E15BG07C</v>
      </c>
      <c r="D310" t="s">
        <v>45</v>
      </c>
      <c r="E310" t="s">
        <v>121</v>
      </c>
      <c r="F310" t="s">
        <v>86</v>
      </c>
      <c r="G310" t="s">
        <v>48</v>
      </c>
      <c r="H310" t="s">
        <v>71</v>
      </c>
      <c r="I310" t="s">
        <v>72</v>
      </c>
      <c r="J310" t="s">
        <v>739</v>
      </c>
      <c r="K310" t="s">
        <v>443</v>
      </c>
      <c r="L310" t="s">
        <v>53</v>
      </c>
      <c r="N310" t="s">
        <v>810</v>
      </c>
      <c r="P310" t="s">
        <v>55</v>
      </c>
      <c r="R310" t="s">
        <v>56</v>
      </c>
      <c r="T310" t="s">
        <v>803</v>
      </c>
      <c r="U310" t="s">
        <v>58</v>
      </c>
      <c r="V310">
        <v>1</v>
      </c>
      <c r="W310">
        <v>1</v>
      </c>
      <c r="X310">
        <v>1</v>
      </c>
      <c r="Y310">
        <v>0</v>
      </c>
      <c r="Z310">
        <v>1</v>
      </c>
      <c r="AA310">
        <v>0</v>
      </c>
      <c r="AB310">
        <v>89.78</v>
      </c>
      <c r="AC310">
        <v>79</v>
      </c>
      <c r="AD310">
        <v>0</v>
      </c>
      <c r="AE310">
        <v>10.79</v>
      </c>
      <c r="AF310">
        <v>0</v>
      </c>
      <c r="AG310">
        <v>0</v>
      </c>
      <c r="AH310">
        <v>0</v>
      </c>
      <c r="AI310">
        <v>0</v>
      </c>
      <c r="AJ310">
        <v>89.79</v>
      </c>
      <c r="AK310">
        <v>0.01</v>
      </c>
      <c r="AL310" t="s">
        <v>53</v>
      </c>
      <c r="AM310" t="s">
        <v>53</v>
      </c>
      <c r="AN310" t="s">
        <v>378</v>
      </c>
      <c r="AO310" t="s">
        <v>53</v>
      </c>
      <c r="AP310" t="s">
        <v>53</v>
      </c>
    </row>
    <row r="311" spans="2:42" x14ac:dyDescent="0.2">
      <c r="B311" t="s">
        <v>44</v>
      </c>
      <c r="C311" t="str">
        <f>HYPERLINK("https://us2.cloudbeds.com/connect/8493803454333002#/reservations/598369415298?display=E1ANV1C5&amp;reservation_id=598369415298", "E1ANV1C5")</f>
        <v>E1ANV1C5</v>
      </c>
      <c r="D311" t="s">
        <v>45</v>
      </c>
      <c r="E311" t="s">
        <v>105</v>
      </c>
      <c r="F311" t="s">
        <v>47</v>
      </c>
      <c r="G311" t="s">
        <v>48</v>
      </c>
      <c r="H311" t="s">
        <v>71</v>
      </c>
      <c r="I311" t="s">
        <v>72</v>
      </c>
      <c r="J311" t="s">
        <v>553</v>
      </c>
      <c r="K311" t="s">
        <v>554</v>
      </c>
      <c r="L311" t="s">
        <v>53</v>
      </c>
      <c r="N311" t="s">
        <v>811</v>
      </c>
      <c r="P311" t="s">
        <v>58</v>
      </c>
      <c r="R311" t="s">
        <v>56</v>
      </c>
      <c r="T311" t="s">
        <v>803</v>
      </c>
      <c r="U311" t="s">
        <v>58</v>
      </c>
      <c r="V311">
        <v>1</v>
      </c>
      <c r="W311">
        <v>1</v>
      </c>
      <c r="X311">
        <v>1</v>
      </c>
      <c r="Y311">
        <v>0</v>
      </c>
      <c r="Z311">
        <v>1</v>
      </c>
      <c r="AA311">
        <v>0</v>
      </c>
      <c r="AB311">
        <v>71.599999999999994</v>
      </c>
      <c r="AC311">
        <v>63</v>
      </c>
      <c r="AD311">
        <v>0</v>
      </c>
      <c r="AE311">
        <v>8.61</v>
      </c>
      <c r="AF311">
        <v>0</v>
      </c>
      <c r="AG311">
        <v>0</v>
      </c>
      <c r="AH311">
        <v>0</v>
      </c>
      <c r="AI311">
        <v>0</v>
      </c>
      <c r="AJ311">
        <v>71.61</v>
      </c>
      <c r="AK311">
        <v>0.01</v>
      </c>
      <c r="AL311" t="s">
        <v>53</v>
      </c>
      <c r="AM311" t="s">
        <v>53</v>
      </c>
      <c r="AN311" t="s">
        <v>812</v>
      </c>
      <c r="AO311" t="s">
        <v>53</v>
      </c>
      <c r="AP311" t="s">
        <v>53</v>
      </c>
    </row>
    <row r="312" spans="2:42" x14ac:dyDescent="0.2">
      <c r="B312" t="s">
        <v>44</v>
      </c>
      <c r="C312" t="str">
        <f>HYPERLINK("https://us2.cloudbeds.com/connect/8493803454333002#/reservations/598371242197?display=E1APFSVZ&amp;reservation_id=598371242197", "E1APFSVZ")</f>
        <v>E1APFSVZ</v>
      </c>
      <c r="D312" t="s">
        <v>45</v>
      </c>
      <c r="E312" t="s">
        <v>105</v>
      </c>
      <c r="F312" t="s">
        <v>47</v>
      </c>
      <c r="G312" t="s">
        <v>48</v>
      </c>
      <c r="H312" t="s">
        <v>49</v>
      </c>
      <c r="I312" t="s">
        <v>79</v>
      </c>
      <c r="J312" t="s">
        <v>116</v>
      </c>
      <c r="K312" t="s">
        <v>199</v>
      </c>
      <c r="L312" t="s">
        <v>53</v>
      </c>
      <c r="N312" t="s">
        <v>813</v>
      </c>
      <c r="P312" t="s">
        <v>55</v>
      </c>
      <c r="R312" t="s">
        <v>56</v>
      </c>
      <c r="T312" t="s">
        <v>803</v>
      </c>
      <c r="U312" t="s">
        <v>58</v>
      </c>
      <c r="V312">
        <v>4</v>
      </c>
      <c r="W312">
        <v>1</v>
      </c>
      <c r="X312">
        <v>1</v>
      </c>
      <c r="Y312">
        <v>0</v>
      </c>
      <c r="Z312">
        <v>1</v>
      </c>
      <c r="AA312">
        <v>0</v>
      </c>
      <c r="AB312">
        <v>332.43</v>
      </c>
      <c r="AC312">
        <v>292.5</v>
      </c>
      <c r="AD312">
        <v>0</v>
      </c>
      <c r="AE312">
        <v>39.92</v>
      </c>
      <c r="AF312">
        <v>0</v>
      </c>
      <c r="AG312">
        <v>0</v>
      </c>
      <c r="AH312">
        <v>0</v>
      </c>
      <c r="AI312">
        <v>0</v>
      </c>
      <c r="AJ312">
        <v>332.42</v>
      </c>
      <c r="AK312">
        <v>-0.01</v>
      </c>
      <c r="AL312" t="s">
        <v>53</v>
      </c>
      <c r="AM312" t="s">
        <v>53</v>
      </c>
      <c r="AN312" t="s">
        <v>59</v>
      </c>
      <c r="AO312" t="s">
        <v>53</v>
      </c>
      <c r="AP312" t="s">
        <v>53</v>
      </c>
    </row>
    <row r="313" spans="2:42" x14ac:dyDescent="0.2">
      <c r="B313" t="s">
        <v>44</v>
      </c>
      <c r="C313" t="str">
        <f>HYPERLINK("https://us2.cloudbeds.com/connect/8493803454333002#/reservations/598115999928?display=E1488CMB&amp;reservation_id=598115999928", "E1488CMB")</f>
        <v>E1488CMB</v>
      </c>
      <c r="D313" t="s">
        <v>45</v>
      </c>
      <c r="E313" t="s">
        <v>190</v>
      </c>
      <c r="F313" t="s">
        <v>61</v>
      </c>
      <c r="G313" t="s">
        <v>48</v>
      </c>
      <c r="H313" t="s">
        <v>49</v>
      </c>
      <c r="I313" t="s">
        <v>50</v>
      </c>
      <c r="J313" t="s">
        <v>443</v>
      </c>
      <c r="K313" t="s">
        <v>495</v>
      </c>
      <c r="L313" t="s">
        <v>53</v>
      </c>
      <c r="N313" t="s">
        <v>814</v>
      </c>
      <c r="P313" t="s">
        <v>55</v>
      </c>
      <c r="R313" t="s">
        <v>56</v>
      </c>
      <c r="T313" t="s">
        <v>803</v>
      </c>
      <c r="U313" t="s">
        <v>58</v>
      </c>
      <c r="V313">
        <v>2</v>
      </c>
      <c r="W313">
        <v>1</v>
      </c>
      <c r="X313">
        <v>1</v>
      </c>
      <c r="Y313">
        <v>0</v>
      </c>
      <c r="Z313">
        <v>1</v>
      </c>
      <c r="AA313">
        <v>0</v>
      </c>
      <c r="AB313">
        <v>190.93</v>
      </c>
      <c r="AC313">
        <v>168</v>
      </c>
      <c r="AD313">
        <v>0</v>
      </c>
      <c r="AE313">
        <v>22.94</v>
      </c>
      <c r="AF313">
        <v>0</v>
      </c>
      <c r="AG313">
        <v>0</v>
      </c>
      <c r="AH313">
        <v>0</v>
      </c>
      <c r="AI313">
        <v>34.369999999999997</v>
      </c>
      <c r="AJ313">
        <v>190.94</v>
      </c>
      <c r="AK313">
        <v>0.01</v>
      </c>
      <c r="AL313" t="s">
        <v>53</v>
      </c>
      <c r="AM313" t="s">
        <v>53</v>
      </c>
      <c r="AN313" t="s">
        <v>413</v>
      </c>
      <c r="AO313" t="s">
        <v>53</v>
      </c>
      <c r="AP313" t="s">
        <v>53</v>
      </c>
    </row>
    <row r="314" spans="2:42" x14ac:dyDescent="0.2">
      <c r="B314" t="s">
        <v>44</v>
      </c>
      <c r="C314" t="str">
        <f>HYPERLINK("https://us2.cloudbeds.com/connect/8493803454333002#/reservations/598503342242?display=E1E4SZVD&amp;reservation_id=598503342242", "E1E4SZVD")</f>
        <v>E1E4SZVD</v>
      </c>
      <c r="D314" t="s">
        <v>45</v>
      </c>
      <c r="E314" t="s">
        <v>165</v>
      </c>
      <c r="F314" t="s">
        <v>61</v>
      </c>
      <c r="G314" t="s">
        <v>48</v>
      </c>
      <c r="H314" t="s">
        <v>49</v>
      </c>
      <c r="I314" t="s">
        <v>50</v>
      </c>
      <c r="J314" t="s">
        <v>443</v>
      </c>
      <c r="K314" t="s">
        <v>403</v>
      </c>
      <c r="L314" t="s">
        <v>53</v>
      </c>
      <c r="N314" t="s">
        <v>815</v>
      </c>
      <c r="P314" t="s">
        <v>55</v>
      </c>
      <c r="R314" t="s">
        <v>56</v>
      </c>
      <c r="T314" t="s">
        <v>816</v>
      </c>
      <c r="U314" t="s">
        <v>58</v>
      </c>
      <c r="V314">
        <v>1</v>
      </c>
      <c r="W314">
        <v>1</v>
      </c>
      <c r="X314">
        <v>1</v>
      </c>
      <c r="Y314">
        <v>0</v>
      </c>
      <c r="Z314">
        <v>1</v>
      </c>
      <c r="AA314">
        <v>0</v>
      </c>
      <c r="AB314">
        <v>85.92</v>
      </c>
      <c r="AC314">
        <v>75.599999999999994</v>
      </c>
      <c r="AD314">
        <v>0</v>
      </c>
      <c r="AE314">
        <v>10.32</v>
      </c>
      <c r="AF314">
        <v>0</v>
      </c>
      <c r="AG314">
        <v>0</v>
      </c>
      <c r="AH314">
        <v>0</v>
      </c>
      <c r="AI314">
        <v>15.47</v>
      </c>
      <c r="AJ314">
        <v>85.92</v>
      </c>
      <c r="AK314">
        <v>0</v>
      </c>
      <c r="AL314" t="s">
        <v>53</v>
      </c>
      <c r="AM314" t="s">
        <v>53</v>
      </c>
      <c r="AN314" t="s">
        <v>159</v>
      </c>
      <c r="AO314" t="s">
        <v>53</v>
      </c>
      <c r="AP314" t="s">
        <v>53</v>
      </c>
    </row>
    <row r="315" spans="2:42" x14ac:dyDescent="0.2">
      <c r="B315" t="s">
        <v>44</v>
      </c>
      <c r="C315" t="str">
        <f>HYPERLINK("https://us2.cloudbeds.com/connect/8493803454333002#/reservations/598593904842?display=E1GF7Q6K&amp;reservation_id=598593904842", "E1GF7Q6K")</f>
        <v>E1GF7Q6K</v>
      </c>
      <c r="D315" t="s">
        <v>45</v>
      </c>
      <c r="E315" t="s">
        <v>105</v>
      </c>
      <c r="F315" t="s">
        <v>47</v>
      </c>
      <c r="G315" t="s">
        <v>48</v>
      </c>
      <c r="H315" t="s">
        <v>49</v>
      </c>
      <c r="I315" t="s">
        <v>62</v>
      </c>
      <c r="J315" t="s">
        <v>236</v>
      </c>
      <c r="K315" t="s">
        <v>525</v>
      </c>
      <c r="L315" t="s">
        <v>53</v>
      </c>
      <c r="N315" t="s">
        <v>817</v>
      </c>
      <c r="P315" t="s">
        <v>55</v>
      </c>
      <c r="R315" t="s">
        <v>118</v>
      </c>
      <c r="T315" t="s">
        <v>816</v>
      </c>
      <c r="U315" t="s">
        <v>58</v>
      </c>
      <c r="V315">
        <v>2</v>
      </c>
      <c r="W315">
        <v>1</v>
      </c>
      <c r="X315">
        <v>1</v>
      </c>
      <c r="Y315">
        <v>0</v>
      </c>
      <c r="Z315">
        <v>1</v>
      </c>
      <c r="AA315">
        <v>0</v>
      </c>
      <c r="AB315">
        <v>313.67</v>
      </c>
      <c r="AC315">
        <v>276</v>
      </c>
      <c r="AD315">
        <v>0</v>
      </c>
      <c r="AE315">
        <v>37.68</v>
      </c>
      <c r="AF315">
        <v>0</v>
      </c>
      <c r="AG315">
        <v>0</v>
      </c>
      <c r="AH315">
        <v>0</v>
      </c>
      <c r="AI315">
        <v>47.05</v>
      </c>
      <c r="AJ315">
        <v>313.68</v>
      </c>
      <c r="AK315">
        <v>0.01</v>
      </c>
      <c r="AL315" t="s">
        <v>53</v>
      </c>
      <c r="AM315" t="s">
        <v>53</v>
      </c>
      <c r="AN315" t="s">
        <v>142</v>
      </c>
      <c r="AO315" t="s">
        <v>53</v>
      </c>
      <c r="AP315" t="s">
        <v>53</v>
      </c>
    </row>
    <row r="316" spans="2:42" x14ac:dyDescent="0.2">
      <c r="B316" t="s">
        <v>44</v>
      </c>
      <c r="C316" t="str">
        <f>HYPERLINK("https://us2.cloudbeds.com/connect/8493803454333002#/reservations/598183321765?display=E15W0NJ4&amp;reservation_id=598183321765", "E15W0NJ4")</f>
        <v>E15W0NJ4</v>
      </c>
      <c r="D316" t="s">
        <v>45</v>
      </c>
      <c r="E316" t="s">
        <v>128</v>
      </c>
      <c r="F316" t="s">
        <v>86</v>
      </c>
      <c r="G316" t="s">
        <v>48</v>
      </c>
      <c r="H316" t="s">
        <v>71</v>
      </c>
      <c r="I316" t="s">
        <v>72</v>
      </c>
      <c r="J316" t="s">
        <v>443</v>
      </c>
      <c r="K316" t="s">
        <v>403</v>
      </c>
      <c r="L316" t="s">
        <v>53</v>
      </c>
      <c r="N316" t="s">
        <v>818</v>
      </c>
      <c r="P316" t="s">
        <v>55</v>
      </c>
      <c r="R316" t="s">
        <v>56</v>
      </c>
      <c r="T316" t="s">
        <v>816</v>
      </c>
      <c r="U316" t="s">
        <v>58</v>
      </c>
      <c r="V316">
        <v>1</v>
      </c>
      <c r="W316">
        <v>1</v>
      </c>
      <c r="X316">
        <v>1</v>
      </c>
      <c r="Y316">
        <v>0</v>
      </c>
      <c r="Z316">
        <v>1</v>
      </c>
      <c r="AA316">
        <v>0</v>
      </c>
      <c r="AB316">
        <v>95.47</v>
      </c>
      <c r="AC316">
        <v>84</v>
      </c>
      <c r="AD316">
        <v>0</v>
      </c>
      <c r="AE316">
        <v>11.47</v>
      </c>
      <c r="AF316">
        <v>0</v>
      </c>
      <c r="AG316">
        <v>0</v>
      </c>
      <c r="AH316">
        <v>0</v>
      </c>
      <c r="AI316">
        <v>0</v>
      </c>
      <c r="AJ316">
        <v>95.47</v>
      </c>
      <c r="AK316">
        <v>0</v>
      </c>
      <c r="AL316" t="s">
        <v>53</v>
      </c>
      <c r="AM316" t="s">
        <v>53</v>
      </c>
      <c r="AN316" t="s">
        <v>378</v>
      </c>
      <c r="AO316" t="s">
        <v>53</v>
      </c>
      <c r="AP316" t="s">
        <v>53</v>
      </c>
    </row>
    <row r="317" spans="2:42" x14ac:dyDescent="0.2">
      <c r="B317" t="s">
        <v>44</v>
      </c>
      <c r="C317" t="str">
        <f>HYPERLINK("https://us2.cloudbeds.com/connect/8493803454333002#/reservations/598086648017?display=E13GGKKM&amp;reservation_id=598086648017", "E13GGKKM")</f>
        <v>E13GGKKM</v>
      </c>
      <c r="D317" t="s">
        <v>45</v>
      </c>
      <c r="E317" t="s">
        <v>373</v>
      </c>
      <c r="F317" t="s">
        <v>47</v>
      </c>
      <c r="G317" t="s">
        <v>48</v>
      </c>
      <c r="H317" t="s">
        <v>49</v>
      </c>
      <c r="I317" t="s">
        <v>79</v>
      </c>
      <c r="J317" t="s">
        <v>566</v>
      </c>
      <c r="K317" t="s">
        <v>166</v>
      </c>
      <c r="L317" t="s">
        <v>53</v>
      </c>
      <c r="N317" t="s">
        <v>819</v>
      </c>
      <c r="P317" t="s">
        <v>55</v>
      </c>
      <c r="R317" t="s">
        <v>56</v>
      </c>
      <c r="T317" t="s">
        <v>816</v>
      </c>
      <c r="U317" t="s">
        <v>58</v>
      </c>
      <c r="V317">
        <v>1</v>
      </c>
      <c r="W317">
        <v>1</v>
      </c>
      <c r="X317">
        <v>1</v>
      </c>
      <c r="Y317">
        <v>0</v>
      </c>
      <c r="Z317">
        <v>1</v>
      </c>
      <c r="AA317">
        <v>0</v>
      </c>
      <c r="AB317">
        <v>69.55</v>
      </c>
      <c r="AC317">
        <v>61.2</v>
      </c>
      <c r="AD317">
        <v>0</v>
      </c>
      <c r="AE317">
        <v>8.34</v>
      </c>
      <c r="AF317">
        <v>0</v>
      </c>
      <c r="AG317">
        <v>0</v>
      </c>
      <c r="AH317">
        <v>0</v>
      </c>
      <c r="AI317">
        <v>0</v>
      </c>
      <c r="AJ317">
        <v>69.540000000000006</v>
      </c>
      <c r="AK317">
        <v>-0.01</v>
      </c>
      <c r="AL317" t="s">
        <v>53</v>
      </c>
      <c r="AM317" t="s">
        <v>53</v>
      </c>
      <c r="AN317" t="s">
        <v>84</v>
      </c>
      <c r="AO317" t="s">
        <v>53</v>
      </c>
      <c r="AP317" t="s">
        <v>53</v>
      </c>
    </row>
    <row r="318" spans="2:42" x14ac:dyDescent="0.2">
      <c r="B318" t="s">
        <v>44</v>
      </c>
      <c r="C318" t="str">
        <f>HYPERLINK("https://us2.cloudbeds.com/connect/8493803454333002#/reservations/598329581777?display=E19NBK9P&amp;reservation_id=598329581777", "E19NBK9P")</f>
        <v>E19NBK9P</v>
      </c>
      <c r="D318" t="s">
        <v>45</v>
      </c>
      <c r="E318" t="s">
        <v>185</v>
      </c>
      <c r="F318" t="s">
        <v>47</v>
      </c>
      <c r="G318" t="s">
        <v>48</v>
      </c>
      <c r="H318" t="s">
        <v>49</v>
      </c>
      <c r="I318" t="s">
        <v>50</v>
      </c>
      <c r="J318" t="s">
        <v>443</v>
      </c>
      <c r="K318" t="s">
        <v>403</v>
      </c>
      <c r="L318" t="s">
        <v>53</v>
      </c>
      <c r="N318" t="s">
        <v>820</v>
      </c>
      <c r="P318" t="s">
        <v>55</v>
      </c>
      <c r="R318" t="s">
        <v>56</v>
      </c>
      <c r="T318" t="s">
        <v>816</v>
      </c>
      <c r="U318" t="s">
        <v>58</v>
      </c>
      <c r="V318">
        <v>1</v>
      </c>
      <c r="W318">
        <v>1</v>
      </c>
      <c r="X318">
        <v>1</v>
      </c>
      <c r="Y318">
        <v>0</v>
      </c>
      <c r="Z318">
        <v>1</v>
      </c>
      <c r="AA318">
        <v>0</v>
      </c>
      <c r="AB318">
        <v>78.760000000000005</v>
      </c>
      <c r="AC318">
        <v>69.3</v>
      </c>
      <c r="AD318">
        <v>0</v>
      </c>
      <c r="AE318">
        <v>9.4700000000000006</v>
      </c>
      <c r="AF318">
        <v>0</v>
      </c>
      <c r="AG318">
        <v>0</v>
      </c>
      <c r="AH318">
        <v>0</v>
      </c>
      <c r="AI318">
        <v>14.18</v>
      </c>
      <c r="AJ318">
        <v>78.77</v>
      </c>
      <c r="AK318">
        <v>0.01</v>
      </c>
      <c r="AL318" t="s">
        <v>53</v>
      </c>
      <c r="AM318" t="s">
        <v>53</v>
      </c>
      <c r="AN318" t="s">
        <v>245</v>
      </c>
      <c r="AO318" t="s">
        <v>53</v>
      </c>
      <c r="AP318" t="s">
        <v>53</v>
      </c>
    </row>
    <row r="319" spans="2:42" x14ac:dyDescent="0.2">
      <c r="B319" t="s">
        <v>44</v>
      </c>
      <c r="C319" t="str">
        <f>HYPERLINK("https://us2.cloudbeds.com/connect/8493803454333002#/reservations/598088114313?display=E13HZE2T&amp;reservation_id=598088114313", "E13HZE2T")</f>
        <v>E13HZE2T</v>
      </c>
      <c r="D319" t="s">
        <v>45</v>
      </c>
      <c r="E319" t="s">
        <v>185</v>
      </c>
      <c r="F319" t="s">
        <v>47</v>
      </c>
      <c r="G319" t="s">
        <v>48</v>
      </c>
      <c r="H319" t="s">
        <v>49</v>
      </c>
      <c r="I319" t="s">
        <v>50</v>
      </c>
      <c r="J319" t="s">
        <v>403</v>
      </c>
      <c r="K319" t="s">
        <v>495</v>
      </c>
      <c r="L319" t="s">
        <v>53</v>
      </c>
      <c r="N319" t="s">
        <v>821</v>
      </c>
      <c r="P319" t="s">
        <v>55</v>
      </c>
      <c r="R319" t="s">
        <v>56</v>
      </c>
      <c r="T319" t="s">
        <v>816</v>
      </c>
      <c r="U319" t="s">
        <v>58</v>
      </c>
      <c r="V319">
        <v>1</v>
      </c>
      <c r="W319">
        <v>1</v>
      </c>
      <c r="X319">
        <v>1</v>
      </c>
      <c r="Y319">
        <v>0</v>
      </c>
      <c r="Z319">
        <v>1</v>
      </c>
      <c r="AA319">
        <v>0</v>
      </c>
      <c r="AB319">
        <v>78.760000000000005</v>
      </c>
      <c r="AC319">
        <v>69.3</v>
      </c>
      <c r="AD319">
        <v>0</v>
      </c>
      <c r="AE319">
        <v>9.4700000000000006</v>
      </c>
      <c r="AF319">
        <v>0</v>
      </c>
      <c r="AG319">
        <v>0</v>
      </c>
      <c r="AH319">
        <v>0</v>
      </c>
      <c r="AI319">
        <v>14.18</v>
      </c>
      <c r="AJ319">
        <v>78.77</v>
      </c>
      <c r="AK319">
        <v>0.01</v>
      </c>
      <c r="AL319" t="s">
        <v>53</v>
      </c>
      <c r="AM319" t="s">
        <v>53</v>
      </c>
      <c r="AN319" t="s">
        <v>178</v>
      </c>
      <c r="AO319" t="s">
        <v>53</v>
      </c>
      <c r="AP319" t="s">
        <v>53</v>
      </c>
    </row>
    <row r="320" spans="2:42" x14ac:dyDescent="0.2">
      <c r="B320" t="s">
        <v>44</v>
      </c>
      <c r="C320" t="str">
        <f>HYPERLINK("https://us2.cloudbeds.com/connect/8493803454333002#/reservations/598348034188?display=E1A5U2YZ&amp;reservation_id=598348034188", "E1A5U2YZ")</f>
        <v>E1A5U2YZ</v>
      </c>
      <c r="D320" t="s">
        <v>45</v>
      </c>
      <c r="E320" t="s">
        <v>165</v>
      </c>
      <c r="F320" t="s">
        <v>61</v>
      </c>
      <c r="G320" t="s">
        <v>48</v>
      </c>
      <c r="H320" t="s">
        <v>49</v>
      </c>
      <c r="I320" t="s">
        <v>62</v>
      </c>
      <c r="J320" t="s">
        <v>403</v>
      </c>
      <c r="K320" t="s">
        <v>495</v>
      </c>
      <c r="L320" t="s">
        <v>53</v>
      </c>
      <c r="N320" t="s">
        <v>822</v>
      </c>
      <c r="P320" t="s">
        <v>55</v>
      </c>
      <c r="R320" t="s">
        <v>56</v>
      </c>
      <c r="T320" t="s">
        <v>816</v>
      </c>
      <c r="U320" t="s">
        <v>58</v>
      </c>
      <c r="V320">
        <v>1</v>
      </c>
      <c r="W320">
        <v>1</v>
      </c>
      <c r="X320">
        <v>1</v>
      </c>
      <c r="Y320">
        <v>0</v>
      </c>
      <c r="Z320">
        <v>1</v>
      </c>
      <c r="AA320">
        <v>0</v>
      </c>
      <c r="AB320">
        <v>95.47</v>
      </c>
      <c r="AC320">
        <v>84</v>
      </c>
      <c r="AD320">
        <v>0</v>
      </c>
      <c r="AE320">
        <v>11.47</v>
      </c>
      <c r="AF320">
        <v>0</v>
      </c>
      <c r="AG320">
        <v>0</v>
      </c>
      <c r="AH320">
        <v>0</v>
      </c>
      <c r="AI320">
        <v>14.32</v>
      </c>
      <c r="AJ320">
        <v>95.47</v>
      </c>
      <c r="AK320">
        <v>0</v>
      </c>
      <c r="AL320" t="s">
        <v>53</v>
      </c>
      <c r="AM320" t="s">
        <v>53</v>
      </c>
      <c r="AN320" t="s">
        <v>823</v>
      </c>
      <c r="AO320" t="s">
        <v>53</v>
      </c>
      <c r="AP320" t="s">
        <v>53</v>
      </c>
    </row>
    <row r="321" spans="2:42" x14ac:dyDescent="0.2">
      <c r="B321" t="s">
        <v>44</v>
      </c>
      <c r="C321" t="str">
        <f>HYPERLINK("https://us2.cloudbeds.com/connect/8493803454333002#/reservations/598211580105?display=E16MS1FG&amp;reservation_id=598211580105", "E16MS1FG")</f>
        <v>E16MS1FG</v>
      </c>
      <c r="D321" t="s">
        <v>45</v>
      </c>
      <c r="E321" t="s">
        <v>110</v>
      </c>
      <c r="F321" t="s">
        <v>47</v>
      </c>
      <c r="G321" t="s">
        <v>48</v>
      </c>
      <c r="H321" t="s">
        <v>49</v>
      </c>
      <c r="I321" t="s">
        <v>50</v>
      </c>
      <c r="J321" t="s">
        <v>443</v>
      </c>
      <c r="K321" t="s">
        <v>403</v>
      </c>
      <c r="L321" t="s">
        <v>53</v>
      </c>
      <c r="N321" t="s">
        <v>824</v>
      </c>
      <c r="P321" t="s">
        <v>55</v>
      </c>
      <c r="R321" t="s">
        <v>56</v>
      </c>
      <c r="T321" t="s">
        <v>816</v>
      </c>
      <c r="U321" t="s">
        <v>58</v>
      </c>
      <c r="V321">
        <v>1</v>
      </c>
      <c r="W321">
        <v>1</v>
      </c>
      <c r="X321">
        <v>1</v>
      </c>
      <c r="Y321">
        <v>0</v>
      </c>
      <c r="Z321">
        <v>1</v>
      </c>
      <c r="AA321">
        <v>0</v>
      </c>
      <c r="AB321">
        <v>78.760000000000005</v>
      </c>
      <c r="AC321">
        <v>69.3</v>
      </c>
      <c r="AD321">
        <v>0</v>
      </c>
      <c r="AE321">
        <v>9.4700000000000006</v>
      </c>
      <c r="AF321">
        <v>0</v>
      </c>
      <c r="AG321">
        <v>0</v>
      </c>
      <c r="AH321">
        <v>0</v>
      </c>
      <c r="AI321">
        <v>14.18</v>
      </c>
      <c r="AJ321">
        <v>78.77</v>
      </c>
      <c r="AK321">
        <v>0.01</v>
      </c>
      <c r="AL321" t="s">
        <v>53</v>
      </c>
      <c r="AM321" t="s">
        <v>53</v>
      </c>
      <c r="AN321" t="s">
        <v>132</v>
      </c>
      <c r="AO321" t="s">
        <v>53</v>
      </c>
      <c r="AP321" t="s">
        <v>53</v>
      </c>
    </row>
    <row r="322" spans="2:42" x14ac:dyDescent="0.2">
      <c r="B322" t="s">
        <v>44</v>
      </c>
      <c r="C322" t="str">
        <f>HYPERLINK("https://us2.cloudbeds.com/connect/8493803454333002#/reservations/598511886531?display=E1EC2GV7&amp;reservation_id=598511886531", "E1EC2GV7")</f>
        <v>E1EC2GV7</v>
      </c>
      <c r="D322" t="s">
        <v>45</v>
      </c>
      <c r="E322" t="s">
        <v>223</v>
      </c>
      <c r="F322" t="s">
        <v>47</v>
      </c>
      <c r="G322" t="s">
        <v>48</v>
      </c>
      <c r="H322" t="s">
        <v>49</v>
      </c>
      <c r="I322" t="s">
        <v>62</v>
      </c>
      <c r="J322" t="s">
        <v>443</v>
      </c>
      <c r="K322" t="s">
        <v>495</v>
      </c>
      <c r="L322" t="s">
        <v>53</v>
      </c>
      <c r="N322" t="s">
        <v>825</v>
      </c>
      <c r="P322" t="s">
        <v>55</v>
      </c>
      <c r="R322" t="s">
        <v>56</v>
      </c>
      <c r="T322" t="s">
        <v>816</v>
      </c>
      <c r="U322" t="s">
        <v>58</v>
      </c>
      <c r="V322">
        <v>2</v>
      </c>
      <c r="W322">
        <v>1</v>
      </c>
      <c r="X322">
        <v>1</v>
      </c>
      <c r="Y322">
        <v>0</v>
      </c>
      <c r="Z322">
        <v>1</v>
      </c>
      <c r="AA322">
        <v>0</v>
      </c>
      <c r="AB322">
        <v>171.84</v>
      </c>
      <c r="AC322">
        <v>151.19999999999999</v>
      </c>
      <c r="AD322">
        <v>0</v>
      </c>
      <c r="AE322">
        <v>20.64</v>
      </c>
      <c r="AF322">
        <v>0</v>
      </c>
      <c r="AG322">
        <v>0</v>
      </c>
      <c r="AH322">
        <v>0</v>
      </c>
      <c r="AI322">
        <v>25.78</v>
      </c>
      <c r="AJ322">
        <v>171.84</v>
      </c>
      <c r="AK322">
        <v>0</v>
      </c>
      <c r="AL322" t="s">
        <v>53</v>
      </c>
      <c r="AM322" t="s">
        <v>53</v>
      </c>
      <c r="AN322" t="s">
        <v>767</v>
      </c>
      <c r="AO322" t="s">
        <v>53</v>
      </c>
      <c r="AP322" t="s">
        <v>53</v>
      </c>
    </row>
    <row r="323" spans="2:42" x14ac:dyDescent="0.2">
      <c r="B323" t="s">
        <v>44</v>
      </c>
      <c r="C323" t="str">
        <f>HYPERLINK("https://us2.cloudbeds.com/connect/8493803454333002#/reservations/597944807562?display=E0WSTN92&amp;reservation_id=597944807562", "E0WSTN92")</f>
        <v>E0WSTN92</v>
      </c>
      <c r="D323" t="s">
        <v>45</v>
      </c>
      <c r="E323" t="s">
        <v>138</v>
      </c>
      <c r="F323" t="s">
        <v>70</v>
      </c>
      <c r="G323" t="s">
        <v>48</v>
      </c>
      <c r="H323" t="s">
        <v>49</v>
      </c>
      <c r="I323" t="s">
        <v>50</v>
      </c>
      <c r="J323" t="s">
        <v>475</v>
      </c>
      <c r="K323" t="s">
        <v>478</v>
      </c>
      <c r="L323" t="s">
        <v>53</v>
      </c>
      <c r="N323" t="s">
        <v>826</v>
      </c>
      <c r="P323" t="s">
        <v>55</v>
      </c>
      <c r="R323" t="s">
        <v>56</v>
      </c>
      <c r="T323" t="s">
        <v>816</v>
      </c>
      <c r="U323" t="s">
        <v>58</v>
      </c>
      <c r="V323">
        <v>3</v>
      </c>
      <c r="W323">
        <v>1</v>
      </c>
      <c r="X323">
        <v>1</v>
      </c>
      <c r="Y323">
        <v>0</v>
      </c>
      <c r="Z323">
        <v>1</v>
      </c>
      <c r="AA323">
        <v>0</v>
      </c>
      <c r="AB323">
        <v>426.19</v>
      </c>
      <c r="AC323">
        <v>375</v>
      </c>
      <c r="AD323">
        <v>0</v>
      </c>
      <c r="AE323">
        <v>51.21</v>
      </c>
      <c r="AF323">
        <v>0</v>
      </c>
      <c r="AG323">
        <v>0</v>
      </c>
      <c r="AH323">
        <v>0</v>
      </c>
      <c r="AI323">
        <v>76.72</v>
      </c>
      <c r="AJ323">
        <v>426.21</v>
      </c>
      <c r="AK323">
        <v>0.02</v>
      </c>
      <c r="AL323" t="s">
        <v>53</v>
      </c>
      <c r="AM323" t="s">
        <v>53</v>
      </c>
      <c r="AN323" t="s">
        <v>827</v>
      </c>
      <c r="AO323" t="s">
        <v>53</v>
      </c>
      <c r="AP323" t="s">
        <v>53</v>
      </c>
    </row>
    <row r="324" spans="2:42" x14ac:dyDescent="0.2">
      <c r="B324" t="s">
        <v>44</v>
      </c>
      <c r="C324" t="str">
        <f>HYPERLINK("https://us2.cloudbeds.com/connect/8493803454333002#/reservations/598477058184?display=E1DFNBWQ&amp;reservation_id=598477058184", "E1DFNBWQ")</f>
        <v>E1DFNBWQ</v>
      </c>
      <c r="D324" t="s">
        <v>45</v>
      </c>
      <c r="E324" t="s">
        <v>121</v>
      </c>
      <c r="F324" t="s">
        <v>86</v>
      </c>
      <c r="G324" t="s">
        <v>48</v>
      </c>
      <c r="H324" t="s">
        <v>49</v>
      </c>
      <c r="I324" t="s">
        <v>114</v>
      </c>
      <c r="J324" t="s">
        <v>705</v>
      </c>
      <c r="K324" t="s">
        <v>706</v>
      </c>
      <c r="L324" t="s">
        <v>53</v>
      </c>
      <c r="N324" t="s">
        <v>828</v>
      </c>
      <c r="P324" t="s">
        <v>55</v>
      </c>
      <c r="R324" t="s">
        <v>56</v>
      </c>
      <c r="T324" t="s">
        <v>816</v>
      </c>
      <c r="U324" t="s">
        <v>58</v>
      </c>
      <c r="V324">
        <v>1</v>
      </c>
      <c r="W324">
        <v>1</v>
      </c>
      <c r="X324">
        <v>1</v>
      </c>
      <c r="Y324">
        <v>0</v>
      </c>
      <c r="Z324">
        <v>1</v>
      </c>
      <c r="AA324">
        <v>0</v>
      </c>
      <c r="AB324">
        <v>103.42</v>
      </c>
      <c r="AC324">
        <v>91</v>
      </c>
      <c r="AD324">
        <v>0</v>
      </c>
      <c r="AE324">
        <v>12.43</v>
      </c>
      <c r="AF324">
        <v>0</v>
      </c>
      <c r="AG324">
        <v>0</v>
      </c>
      <c r="AH324">
        <v>0</v>
      </c>
      <c r="AI324">
        <v>0</v>
      </c>
      <c r="AJ324">
        <v>103.43</v>
      </c>
      <c r="AK324">
        <v>0.01</v>
      </c>
      <c r="AL324" t="s">
        <v>53</v>
      </c>
      <c r="AM324" t="s">
        <v>53</v>
      </c>
      <c r="AN324" t="s">
        <v>829</v>
      </c>
      <c r="AO324" t="s">
        <v>53</v>
      </c>
      <c r="AP324" t="s">
        <v>53</v>
      </c>
    </row>
    <row r="325" spans="2:42" x14ac:dyDescent="0.2">
      <c r="B325" t="s">
        <v>44</v>
      </c>
      <c r="C325" t="str">
        <f>HYPERLINK("https://us2.cloudbeds.com/connect/8493803454333002#/reservations/598476685514?display=E1DFCWPP&amp;reservation_id=598476685514", "E1DFCWPP")</f>
        <v>E1DFCWPP</v>
      </c>
      <c r="D325" t="s">
        <v>45</v>
      </c>
      <c r="E325" t="s">
        <v>92</v>
      </c>
      <c r="F325" t="s">
        <v>86</v>
      </c>
      <c r="G325" t="s">
        <v>48</v>
      </c>
      <c r="H325" t="s">
        <v>49</v>
      </c>
      <c r="I325" t="s">
        <v>114</v>
      </c>
      <c r="J325" t="s">
        <v>705</v>
      </c>
      <c r="K325" t="s">
        <v>706</v>
      </c>
      <c r="L325" t="s">
        <v>53</v>
      </c>
      <c r="N325" t="s">
        <v>830</v>
      </c>
      <c r="P325" t="s">
        <v>55</v>
      </c>
      <c r="R325" t="s">
        <v>56</v>
      </c>
      <c r="T325" t="s">
        <v>816</v>
      </c>
      <c r="U325" t="s">
        <v>58</v>
      </c>
      <c r="V325">
        <v>1</v>
      </c>
      <c r="W325">
        <v>1</v>
      </c>
      <c r="X325">
        <v>1</v>
      </c>
      <c r="Y325">
        <v>0</v>
      </c>
      <c r="Z325">
        <v>1</v>
      </c>
      <c r="AA325">
        <v>0</v>
      </c>
      <c r="AB325">
        <v>103.42</v>
      </c>
      <c r="AC325">
        <v>91</v>
      </c>
      <c r="AD325">
        <v>0</v>
      </c>
      <c r="AE325">
        <v>12.43</v>
      </c>
      <c r="AF325">
        <v>0</v>
      </c>
      <c r="AG325">
        <v>0</v>
      </c>
      <c r="AH325">
        <v>0</v>
      </c>
      <c r="AI325">
        <v>0</v>
      </c>
      <c r="AJ325">
        <v>103.43</v>
      </c>
      <c r="AK325">
        <v>0.01</v>
      </c>
      <c r="AL325" t="s">
        <v>53</v>
      </c>
      <c r="AM325" t="s">
        <v>53</v>
      </c>
      <c r="AN325" t="s">
        <v>831</v>
      </c>
      <c r="AO325" t="s">
        <v>53</v>
      </c>
      <c r="AP325" t="s">
        <v>53</v>
      </c>
    </row>
    <row r="326" spans="2:42" x14ac:dyDescent="0.2">
      <c r="B326" t="s">
        <v>44</v>
      </c>
      <c r="C326" t="str">
        <f>HYPERLINK("https://us2.cloudbeds.com/connect/8493803454333002#/reservations/598581436617?display=E1G4NRVK&amp;reservation_id=598581436617", "E1G4NRVK")</f>
        <v>E1G4NRVK</v>
      </c>
      <c r="D326" t="s">
        <v>45</v>
      </c>
      <c r="E326" t="s">
        <v>92</v>
      </c>
      <c r="F326" t="s">
        <v>86</v>
      </c>
      <c r="G326" t="s">
        <v>48</v>
      </c>
      <c r="H326" t="s">
        <v>49</v>
      </c>
      <c r="I326" t="s">
        <v>79</v>
      </c>
      <c r="J326" t="s">
        <v>94</v>
      </c>
      <c r="K326" t="s">
        <v>152</v>
      </c>
      <c r="L326" t="s">
        <v>53</v>
      </c>
      <c r="N326" t="s">
        <v>832</v>
      </c>
      <c r="P326" t="s">
        <v>55</v>
      </c>
      <c r="R326" t="s">
        <v>56</v>
      </c>
      <c r="T326" t="s">
        <v>816</v>
      </c>
      <c r="U326" t="s">
        <v>58</v>
      </c>
      <c r="V326">
        <v>1</v>
      </c>
      <c r="W326">
        <v>1</v>
      </c>
      <c r="X326">
        <v>1</v>
      </c>
      <c r="Y326">
        <v>0</v>
      </c>
      <c r="Z326">
        <v>1</v>
      </c>
      <c r="AA326">
        <v>0</v>
      </c>
      <c r="AB326">
        <v>161.61000000000001</v>
      </c>
      <c r="AC326">
        <v>142.19999999999999</v>
      </c>
      <c r="AD326">
        <v>0</v>
      </c>
      <c r="AE326">
        <v>19.41</v>
      </c>
      <c r="AF326">
        <v>0</v>
      </c>
      <c r="AG326">
        <v>0</v>
      </c>
      <c r="AH326">
        <v>0</v>
      </c>
      <c r="AI326">
        <v>0</v>
      </c>
      <c r="AJ326">
        <v>161.61000000000001</v>
      </c>
      <c r="AK326">
        <v>0</v>
      </c>
      <c r="AL326" t="s">
        <v>53</v>
      </c>
      <c r="AM326" t="s">
        <v>53</v>
      </c>
      <c r="AN326" t="s">
        <v>545</v>
      </c>
      <c r="AO326" t="s">
        <v>53</v>
      </c>
      <c r="AP326" t="s">
        <v>53</v>
      </c>
    </row>
    <row r="327" spans="2:42" x14ac:dyDescent="0.2">
      <c r="B327" t="s">
        <v>44</v>
      </c>
      <c r="C327" t="str">
        <f>HYPERLINK("https://us2.cloudbeds.com/connect/8493803454333002#/reservations/598306082972?display=E193HNVP&amp;reservation_id=598306082972", "E193HNVP")</f>
        <v>E193HNVP</v>
      </c>
      <c r="D327" t="s">
        <v>45</v>
      </c>
      <c r="E327" t="s">
        <v>138</v>
      </c>
      <c r="F327" t="s">
        <v>70</v>
      </c>
      <c r="G327" t="s">
        <v>48</v>
      </c>
      <c r="H327" t="s">
        <v>49</v>
      </c>
      <c r="I327" t="s">
        <v>50</v>
      </c>
      <c r="J327" t="s">
        <v>833</v>
      </c>
      <c r="K327" t="s">
        <v>714</v>
      </c>
      <c r="L327" t="s">
        <v>53</v>
      </c>
      <c r="N327" t="s">
        <v>834</v>
      </c>
      <c r="P327" t="s">
        <v>55</v>
      </c>
      <c r="R327" t="s">
        <v>56</v>
      </c>
      <c r="T327" t="s">
        <v>816</v>
      </c>
      <c r="U327" t="s">
        <v>58</v>
      </c>
      <c r="V327">
        <v>1</v>
      </c>
      <c r="W327">
        <v>1</v>
      </c>
      <c r="X327">
        <v>1</v>
      </c>
      <c r="Y327">
        <v>0</v>
      </c>
      <c r="Z327">
        <v>1</v>
      </c>
      <c r="AA327">
        <v>0</v>
      </c>
      <c r="AB327">
        <v>73.650000000000006</v>
      </c>
      <c r="AC327">
        <v>64.8</v>
      </c>
      <c r="AD327">
        <v>0</v>
      </c>
      <c r="AE327">
        <v>8.85</v>
      </c>
      <c r="AF327">
        <v>0</v>
      </c>
      <c r="AG327">
        <v>0</v>
      </c>
      <c r="AH327">
        <v>0</v>
      </c>
      <c r="AI327">
        <v>13.26</v>
      </c>
      <c r="AJ327">
        <v>73.650000000000006</v>
      </c>
      <c r="AK327">
        <v>0</v>
      </c>
      <c r="AL327" t="s">
        <v>53</v>
      </c>
      <c r="AM327" t="s">
        <v>53</v>
      </c>
      <c r="AN327" t="s">
        <v>280</v>
      </c>
      <c r="AO327" t="s">
        <v>53</v>
      </c>
      <c r="AP327" t="s">
        <v>53</v>
      </c>
    </row>
    <row r="328" spans="2:42" x14ac:dyDescent="0.2">
      <c r="B328" t="s">
        <v>44</v>
      </c>
      <c r="C328" t="str">
        <f>HYPERLINK("https://us2.cloudbeds.com/connect/8493803454333002#/reservations/598283042965?display=E18H3JUZ&amp;reservation_id=598283042965", "E18H3JUZ")</f>
        <v>E18H3JUZ</v>
      </c>
      <c r="D328" t="s">
        <v>45</v>
      </c>
      <c r="E328" t="s">
        <v>138</v>
      </c>
      <c r="F328" t="s">
        <v>70</v>
      </c>
      <c r="G328" t="s">
        <v>48</v>
      </c>
      <c r="H328" t="s">
        <v>49</v>
      </c>
      <c r="I328" t="s">
        <v>50</v>
      </c>
      <c r="J328" t="s">
        <v>403</v>
      </c>
      <c r="K328" t="s">
        <v>404</v>
      </c>
      <c r="L328" t="s">
        <v>53</v>
      </c>
      <c r="N328" t="s">
        <v>835</v>
      </c>
      <c r="P328" t="s">
        <v>55</v>
      </c>
      <c r="R328" t="s">
        <v>56</v>
      </c>
      <c r="T328" t="s">
        <v>816</v>
      </c>
      <c r="U328" t="s">
        <v>58</v>
      </c>
      <c r="V328">
        <v>2</v>
      </c>
      <c r="W328">
        <v>1</v>
      </c>
      <c r="X328">
        <v>1</v>
      </c>
      <c r="Y328">
        <v>0</v>
      </c>
      <c r="Z328">
        <v>1</v>
      </c>
      <c r="AA328">
        <v>0</v>
      </c>
      <c r="AB328">
        <v>139.11000000000001</v>
      </c>
      <c r="AC328">
        <v>122.4</v>
      </c>
      <c r="AD328">
        <v>0</v>
      </c>
      <c r="AE328">
        <v>16.68</v>
      </c>
      <c r="AF328">
        <v>0</v>
      </c>
      <c r="AG328">
        <v>0</v>
      </c>
      <c r="AH328">
        <v>0</v>
      </c>
      <c r="AI328">
        <v>25.03</v>
      </c>
      <c r="AJ328">
        <v>139.08000000000001</v>
      </c>
      <c r="AK328">
        <v>-0.03</v>
      </c>
      <c r="AL328" t="s">
        <v>53</v>
      </c>
      <c r="AM328" t="s">
        <v>53</v>
      </c>
      <c r="AN328" t="s">
        <v>142</v>
      </c>
      <c r="AO328" t="s">
        <v>53</v>
      </c>
      <c r="AP328" t="s">
        <v>53</v>
      </c>
    </row>
    <row r="329" spans="2:42" x14ac:dyDescent="0.2">
      <c r="B329" t="s">
        <v>44</v>
      </c>
      <c r="C329" t="str">
        <f>HYPERLINK("https://us2.cloudbeds.com/connect/8493803454333002#/reservations/598524985527?display=E1EN40DH&amp;reservation_id=598524985527", "E1EN40DH")</f>
        <v>E1EN40DH</v>
      </c>
      <c r="D329" t="s">
        <v>45</v>
      </c>
      <c r="E329" t="s">
        <v>138</v>
      </c>
      <c r="F329" t="s">
        <v>70</v>
      </c>
      <c r="G329" t="s">
        <v>48</v>
      </c>
      <c r="H329" t="s">
        <v>49</v>
      </c>
      <c r="I329" t="s">
        <v>50</v>
      </c>
      <c r="J329" t="s">
        <v>744</v>
      </c>
      <c r="K329" t="s">
        <v>623</v>
      </c>
      <c r="L329" t="s">
        <v>53</v>
      </c>
      <c r="N329" t="s">
        <v>836</v>
      </c>
      <c r="P329" t="s">
        <v>55</v>
      </c>
      <c r="R329" t="s">
        <v>56</v>
      </c>
      <c r="T329" t="s">
        <v>837</v>
      </c>
      <c r="U329" t="s">
        <v>58</v>
      </c>
      <c r="V329">
        <v>1</v>
      </c>
      <c r="W329">
        <v>1</v>
      </c>
      <c r="X329">
        <v>1</v>
      </c>
      <c r="Y329">
        <v>0</v>
      </c>
      <c r="Z329">
        <v>1</v>
      </c>
      <c r="AA329">
        <v>0</v>
      </c>
      <c r="AB329">
        <v>73.650000000000006</v>
      </c>
      <c r="AC329">
        <v>64.8</v>
      </c>
      <c r="AD329">
        <v>0</v>
      </c>
      <c r="AE329">
        <v>8.85</v>
      </c>
      <c r="AF329">
        <v>0</v>
      </c>
      <c r="AG329">
        <v>0</v>
      </c>
      <c r="AH329">
        <v>0</v>
      </c>
      <c r="AI329">
        <v>13.26</v>
      </c>
      <c r="AJ329">
        <v>73.650000000000006</v>
      </c>
      <c r="AK329">
        <v>0</v>
      </c>
      <c r="AL329" t="s">
        <v>53</v>
      </c>
      <c r="AM329" t="s">
        <v>53</v>
      </c>
      <c r="AN329" t="s">
        <v>178</v>
      </c>
      <c r="AO329" t="s">
        <v>53</v>
      </c>
      <c r="AP329" t="s">
        <v>53</v>
      </c>
    </row>
    <row r="330" spans="2:42" x14ac:dyDescent="0.2">
      <c r="B330" t="s">
        <v>44</v>
      </c>
      <c r="C330" t="str">
        <f>HYPERLINK("https://us2.cloudbeds.com/connect/8493803454333002#/reservations/598449320125?display=E1CPAGSX&amp;reservation_id=598449320125", "E1CPAGSX")</f>
        <v>E1CPAGSX</v>
      </c>
      <c r="D330" t="s">
        <v>45</v>
      </c>
      <c r="E330" t="s">
        <v>128</v>
      </c>
      <c r="F330" t="s">
        <v>86</v>
      </c>
      <c r="G330" t="s">
        <v>48</v>
      </c>
      <c r="H330" t="s">
        <v>49</v>
      </c>
      <c r="I330" t="s">
        <v>50</v>
      </c>
      <c r="J330" t="s">
        <v>403</v>
      </c>
      <c r="K330" t="s">
        <v>495</v>
      </c>
      <c r="L330" t="s">
        <v>53</v>
      </c>
      <c r="N330" t="s">
        <v>838</v>
      </c>
      <c r="P330" t="s">
        <v>55</v>
      </c>
      <c r="R330" t="s">
        <v>56</v>
      </c>
      <c r="T330" t="s">
        <v>837</v>
      </c>
      <c r="U330" t="s">
        <v>58</v>
      </c>
      <c r="V330">
        <v>1</v>
      </c>
      <c r="W330">
        <v>1</v>
      </c>
      <c r="X330">
        <v>1</v>
      </c>
      <c r="Y330">
        <v>0</v>
      </c>
      <c r="Z330">
        <v>1</v>
      </c>
      <c r="AA330">
        <v>0</v>
      </c>
      <c r="AB330">
        <v>91.03</v>
      </c>
      <c r="AC330">
        <v>80.099999999999994</v>
      </c>
      <c r="AD330">
        <v>0</v>
      </c>
      <c r="AE330">
        <v>10.93</v>
      </c>
      <c r="AF330">
        <v>0</v>
      </c>
      <c r="AG330">
        <v>0</v>
      </c>
      <c r="AH330">
        <v>0</v>
      </c>
      <c r="AI330">
        <v>16.39</v>
      </c>
      <c r="AJ330">
        <v>91.03</v>
      </c>
      <c r="AK330">
        <v>0</v>
      </c>
      <c r="AL330" t="s">
        <v>53</v>
      </c>
      <c r="AM330" t="s">
        <v>53</v>
      </c>
      <c r="AN330" t="s">
        <v>245</v>
      </c>
      <c r="AO330" t="s">
        <v>53</v>
      </c>
      <c r="AP330" t="s">
        <v>53</v>
      </c>
    </row>
    <row r="331" spans="2:42" x14ac:dyDescent="0.2">
      <c r="B331" t="s">
        <v>44</v>
      </c>
      <c r="C331" t="str">
        <f>HYPERLINK("https://us2.cloudbeds.com/connect/8493803454333002#/reservations/598478991596?display=E1DHB5D1&amp;reservation_id=598478991596", "E1DHB5D1")</f>
        <v>E1DHB5D1</v>
      </c>
      <c r="D331" t="s">
        <v>45</v>
      </c>
      <c r="E331" t="s">
        <v>98</v>
      </c>
      <c r="F331" t="s">
        <v>86</v>
      </c>
      <c r="G331" t="s">
        <v>48</v>
      </c>
      <c r="H331" t="s">
        <v>49</v>
      </c>
      <c r="I331" t="s">
        <v>50</v>
      </c>
      <c r="J331" t="s">
        <v>651</v>
      </c>
      <c r="K331" t="s">
        <v>839</v>
      </c>
      <c r="L331" t="s">
        <v>53</v>
      </c>
      <c r="N331" t="s">
        <v>840</v>
      </c>
      <c r="P331" t="s">
        <v>55</v>
      </c>
      <c r="R331" t="s">
        <v>56</v>
      </c>
      <c r="T331" t="s">
        <v>837</v>
      </c>
      <c r="U331" t="s">
        <v>58</v>
      </c>
      <c r="V331">
        <v>2</v>
      </c>
      <c r="W331">
        <v>1</v>
      </c>
      <c r="X331">
        <v>1</v>
      </c>
      <c r="Y331">
        <v>0</v>
      </c>
      <c r="Z331">
        <v>1</v>
      </c>
      <c r="AA331">
        <v>0</v>
      </c>
      <c r="AB331">
        <v>176.95</v>
      </c>
      <c r="AC331">
        <v>155.69999999999999</v>
      </c>
      <c r="AD331">
        <v>0</v>
      </c>
      <c r="AE331">
        <v>21.26</v>
      </c>
      <c r="AF331">
        <v>0</v>
      </c>
      <c r="AG331">
        <v>0</v>
      </c>
      <c r="AH331">
        <v>0</v>
      </c>
      <c r="AI331">
        <v>31.85</v>
      </c>
      <c r="AJ331">
        <v>176.96</v>
      </c>
      <c r="AK331">
        <v>0.01</v>
      </c>
      <c r="AL331" t="s">
        <v>53</v>
      </c>
      <c r="AM331" t="s">
        <v>53</v>
      </c>
      <c r="AN331" t="s">
        <v>545</v>
      </c>
      <c r="AO331" t="s">
        <v>53</v>
      </c>
      <c r="AP331" t="s">
        <v>53</v>
      </c>
    </row>
    <row r="332" spans="2:42" x14ac:dyDescent="0.2">
      <c r="B332" t="s">
        <v>44</v>
      </c>
      <c r="C332" t="str">
        <f>HYPERLINK("https://us2.cloudbeds.com/connect/8493803454333002#/reservations/598386098407?display=E1B5090U&amp;reservation_id=598386098407", "E1B5090U")</f>
        <v>E1B5090U</v>
      </c>
      <c r="D332" t="s">
        <v>45</v>
      </c>
      <c r="E332" t="s">
        <v>105</v>
      </c>
      <c r="F332" t="s">
        <v>47</v>
      </c>
      <c r="G332" t="s">
        <v>48</v>
      </c>
      <c r="H332" t="s">
        <v>71</v>
      </c>
      <c r="I332" t="s">
        <v>72</v>
      </c>
      <c r="J332" t="s">
        <v>650</v>
      </c>
      <c r="K332" t="s">
        <v>841</v>
      </c>
      <c r="L332" t="s">
        <v>53</v>
      </c>
      <c r="N332" t="s">
        <v>842</v>
      </c>
      <c r="P332" t="s">
        <v>55</v>
      </c>
      <c r="R332" t="s">
        <v>56</v>
      </c>
      <c r="T332" t="s">
        <v>837</v>
      </c>
      <c r="U332" t="s">
        <v>58</v>
      </c>
      <c r="V332">
        <v>2</v>
      </c>
      <c r="W332">
        <v>1</v>
      </c>
      <c r="X332">
        <v>1</v>
      </c>
      <c r="Y332">
        <v>0</v>
      </c>
      <c r="Z332">
        <v>1</v>
      </c>
      <c r="AA332">
        <v>0</v>
      </c>
      <c r="AB332">
        <v>147.75</v>
      </c>
      <c r="AC332">
        <v>130</v>
      </c>
      <c r="AD332">
        <v>0</v>
      </c>
      <c r="AE332">
        <v>17.760000000000002</v>
      </c>
      <c r="AF332">
        <v>0</v>
      </c>
      <c r="AG332">
        <v>0</v>
      </c>
      <c r="AH332">
        <v>0</v>
      </c>
      <c r="AI332">
        <v>0</v>
      </c>
      <c r="AJ332">
        <v>147.76</v>
      </c>
      <c r="AK332">
        <v>0.01</v>
      </c>
      <c r="AL332" t="s">
        <v>53</v>
      </c>
      <c r="AM332" t="s">
        <v>53</v>
      </c>
      <c r="AN332" t="s">
        <v>843</v>
      </c>
      <c r="AO332" t="s">
        <v>53</v>
      </c>
      <c r="AP332" t="s">
        <v>53</v>
      </c>
    </row>
    <row r="333" spans="2:42" x14ac:dyDescent="0.2">
      <c r="B333" t="s">
        <v>44</v>
      </c>
      <c r="C333" t="str">
        <f>HYPERLINK("https://us2.cloudbeds.com/connect/8493803454333002#/reservations/598373515407?display=E1ARD4CT&amp;reservation_id=598373515407", "E1ARD4CT")</f>
        <v>E1ARD4CT</v>
      </c>
      <c r="D333" t="s">
        <v>45</v>
      </c>
      <c r="E333" t="s">
        <v>69</v>
      </c>
      <c r="F333" t="s">
        <v>70</v>
      </c>
      <c r="G333" t="s">
        <v>48</v>
      </c>
      <c r="H333" t="s">
        <v>49</v>
      </c>
      <c r="I333" t="s">
        <v>50</v>
      </c>
      <c r="J333" t="s">
        <v>844</v>
      </c>
      <c r="K333" t="s">
        <v>116</v>
      </c>
      <c r="L333" t="s">
        <v>53</v>
      </c>
      <c r="N333" t="s">
        <v>845</v>
      </c>
      <c r="P333" t="s">
        <v>55</v>
      </c>
      <c r="R333" t="s">
        <v>56</v>
      </c>
      <c r="T333" t="s">
        <v>837</v>
      </c>
      <c r="U333" t="s">
        <v>58</v>
      </c>
      <c r="V333">
        <v>2</v>
      </c>
      <c r="W333">
        <v>1</v>
      </c>
      <c r="X333">
        <v>1</v>
      </c>
      <c r="Y333">
        <v>0</v>
      </c>
      <c r="Z333">
        <v>1</v>
      </c>
      <c r="AA333">
        <v>0</v>
      </c>
      <c r="AB333">
        <v>155.47</v>
      </c>
      <c r="AC333">
        <v>136.80000000000001</v>
      </c>
      <c r="AD333">
        <v>0</v>
      </c>
      <c r="AE333">
        <v>18.66</v>
      </c>
      <c r="AF333">
        <v>0</v>
      </c>
      <c r="AG333">
        <v>0</v>
      </c>
      <c r="AH333">
        <v>0</v>
      </c>
      <c r="AI333">
        <v>27.98</v>
      </c>
      <c r="AJ333">
        <v>155.46</v>
      </c>
      <c r="AK333">
        <v>-0.01</v>
      </c>
      <c r="AL333" t="s">
        <v>53</v>
      </c>
      <c r="AM333" t="s">
        <v>53</v>
      </c>
      <c r="AN333" t="s">
        <v>545</v>
      </c>
      <c r="AO333" t="s">
        <v>53</v>
      </c>
      <c r="AP333" t="s">
        <v>53</v>
      </c>
    </row>
    <row r="334" spans="2:42" x14ac:dyDescent="0.2">
      <c r="B334" t="s">
        <v>44</v>
      </c>
      <c r="C334" t="str">
        <f>HYPERLINK("https://us2.cloudbeds.com/connect/8493803454333002#/reservations/598361264304?display=E1AH27HB&amp;reservation_id=598361264304", "E1AH27HB")</f>
        <v>E1AH27HB</v>
      </c>
      <c r="D334" t="s">
        <v>45</v>
      </c>
      <c r="E334" t="s">
        <v>185</v>
      </c>
      <c r="F334" t="s">
        <v>47</v>
      </c>
      <c r="G334" t="s">
        <v>48</v>
      </c>
      <c r="H334" t="s">
        <v>49</v>
      </c>
      <c r="I334" t="s">
        <v>62</v>
      </c>
      <c r="J334" t="s">
        <v>495</v>
      </c>
      <c r="K334" t="s">
        <v>404</v>
      </c>
      <c r="L334" t="s">
        <v>53</v>
      </c>
      <c r="N334" t="s">
        <v>846</v>
      </c>
      <c r="P334" t="s">
        <v>55</v>
      </c>
      <c r="R334" t="s">
        <v>56</v>
      </c>
      <c r="T334" t="s">
        <v>837</v>
      </c>
      <c r="U334" t="s">
        <v>58</v>
      </c>
      <c r="V334">
        <v>1</v>
      </c>
      <c r="W334">
        <v>1</v>
      </c>
      <c r="X334">
        <v>1</v>
      </c>
      <c r="Y334">
        <v>0</v>
      </c>
      <c r="Z334">
        <v>1</v>
      </c>
      <c r="AA334">
        <v>0</v>
      </c>
      <c r="AB334">
        <v>73.989999999999995</v>
      </c>
      <c r="AC334">
        <v>65.099999999999994</v>
      </c>
      <c r="AD334">
        <v>0</v>
      </c>
      <c r="AE334">
        <v>8.89</v>
      </c>
      <c r="AF334">
        <v>0</v>
      </c>
      <c r="AG334">
        <v>0</v>
      </c>
      <c r="AH334">
        <v>0</v>
      </c>
      <c r="AI334">
        <v>11.1</v>
      </c>
      <c r="AJ334">
        <v>73.989999999999995</v>
      </c>
      <c r="AK334">
        <v>0</v>
      </c>
      <c r="AL334" t="s">
        <v>53</v>
      </c>
      <c r="AM334" t="s">
        <v>53</v>
      </c>
      <c r="AN334" t="s">
        <v>847</v>
      </c>
      <c r="AO334" t="s">
        <v>53</v>
      </c>
      <c r="AP334" t="s">
        <v>53</v>
      </c>
    </row>
    <row r="335" spans="2:42" x14ac:dyDescent="0.2">
      <c r="B335" t="s">
        <v>44</v>
      </c>
      <c r="C335" t="str">
        <f>HYPERLINK("https://us2.cloudbeds.com/connect/8493803454333002#/reservations/598350409889?display=E1A7U66M&amp;reservation_id=598350409889", "E1A7U66M")</f>
        <v>E1A7U66M</v>
      </c>
      <c r="D335" t="s">
        <v>45</v>
      </c>
      <c r="E335" t="s">
        <v>223</v>
      </c>
      <c r="F335" t="s">
        <v>47</v>
      </c>
      <c r="G335" t="s">
        <v>48</v>
      </c>
      <c r="H335" t="s">
        <v>49</v>
      </c>
      <c r="I335" t="s">
        <v>114</v>
      </c>
      <c r="J335" t="s">
        <v>495</v>
      </c>
      <c r="K335" t="s">
        <v>404</v>
      </c>
      <c r="L335" t="s">
        <v>53</v>
      </c>
      <c r="N335" t="s">
        <v>848</v>
      </c>
      <c r="P335" t="s">
        <v>55</v>
      </c>
      <c r="R335" t="s">
        <v>56</v>
      </c>
      <c r="T335" t="s">
        <v>837</v>
      </c>
      <c r="U335" t="s">
        <v>58</v>
      </c>
      <c r="V335">
        <v>1</v>
      </c>
      <c r="W335">
        <v>1</v>
      </c>
      <c r="X335">
        <v>1</v>
      </c>
      <c r="Y335">
        <v>0</v>
      </c>
      <c r="Z335">
        <v>1</v>
      </c>
      <c r="AA335">
        <v>0</v>
      </c>
      <c r="AB335">
        <v>76.069999999999993</v>
      </c>
      <c r="AC335">
        <v>66.930000000000007</v>
      </c>
      <c r="AD335">
        <v>0</v>
      </c>
      <c r="AE335">
        <v>9.1300000000000008</v>
      </c>
      <c r="AF335">
        <v>0</v>
      </c>
      <c r="AG335">
        <v>0</v>
      </c>
      <c r="AH335">
        <v>0</v>
      </c>
      <c r="AI335">
        <v>0</v>
      </c>
      <c r="AJ335">
        <v>76.06</v>
      </c>
      <c r="AK335">
        <v>-0.01</v>
      </c>
      <c r="AL335" t="s">
        <v>53</v>
      </c>
      <c r="AM335" t="s">
        <v>53</v>
      </c>
      <c r="AN335" t="s">
        <v>849</v>
      </c>
      <c r="AO335" t="s">
        <v>53</v>
      </c>
      <c r="AP335" t="s">
        <v>53</v>
      </c>
    </row>
    <row r="336" spans="2:42" x14ac:dyDescent="0.2">
      <c r="B336" t="s">
        <v>44</v>
      </c>
      <c r="C336" t="str">
        <f>HYPERLINK("https://us2.cloudbeds.com/connect/8493803454333002#/reservations/598450008294?display=E1CPTYQ5&amp;reservation_id=598450008294", "E1CPTYQ5")</f>
        <v>E1CPTYQ5</v>
      </c>
      <c r="D336" t="s">
        <v>45</v>
      </c>
      <c r="E336" t="s">
        <v>121</v>
      </c>
      <c r="F336" t="s">
        <v>86</v>
      </c>
      <c r="G336" t="s">
        <v>48</v>
      </c>
      <c r="H336" t="s">
        <v>49</v>
      </c>
      <c r="I336" t="s">
        <v>50</v>
      </c>
      <c r="J336" t="s">
        <v>706</v>
      </c>
      <c r="K336" t="s">
        <v>850</v>
      </c>
      <c r="L336" t="s">
        <v>53</v>
      </c>
      <c r="N336" t="s">
        <v>851</v>
      </c>
      <c r="P336" t="s">
        <v>55</v>
      </c>
      <c r="R336" t="s">
        <v>56</v>
      </c>
      <c r="T336" t="s">
        <v>837</v>
      </c>
      <c r="U336" t="s">
        <v>58</v>
      </c>
      <c r="V336">
        <v>2</v>
      </c>
      <c r="W336">
        <v>1</v>
      </c>
      <c r="X336">
        <v>1</v>
      </c>
      <c r="Y336">
        <v>0</v>
      </c>
      <c r="Z336">
        <v>1</v>
      </c>
      <c r="AA336">
        <v>0</v>
      </c>
      <c r="AB336">
        <v>225.03</v>
      </c>
      <c r="AC336">
        <v>198</v>
      </c>
      <c r="AD336">
        <v>0</v>
      </c>
      <c r="AE336">
        <v>27.04</v>
      </c>
      <c r="AF336">
        <v>0</v>
      </c>
      <c r="AG336">
        <v>0</v>
      </c>
      <c r="AH336">
        <v>0</v>
      </c>
      <c r="AI336">
        <v>40.51</v>
      </c>
      <c r="AJ336">
        <v>225.04</v>
      </c>
      <c r="AK336">
        <v>0.01</v>
      </c>
      <c r="AL336" t="s">
        <v>53</v>
      </c>
      <c r="AM336" t="s">
        <v>53</v>
      </c>
      <c r="AN336" t="s">
        <v>225</v>
      </c>
      <c r="AO336" t="s">
        <v>53</v>
      </c>
      <c r="AP336" t="s">
        <v>53</v>
      </c>
    </row>
    <row r="337" spans="2:42" x14ac:dyDescent="0.2">
      <c r="B337" t="s">
        <v>44</v>
      </c>
      <c r="C337" t="str">
        <f>HYPERLINK("https://us2.cloudbeds.com/connect/8493803454333002#/reservations/598523723952?display=E1EM1TUW&amp;reservation_id=598523723952", "E1EM1TUW")</f>
        <v>E1EM1TUW</v>
      </c>
      <c r="D337" t="s">
        <v>45</v>
      </c>
      <c r="E337" t="s">
        <v>121</v>
      </c>
      <c r="F337" t="s">
        <v>86</v>
      </c>
      <c r="G337" t="s">
        <v>48</v>
      </c>
      <c r="H337" t="s">
        <v>49</v>
      </c>
      <c r="I337" t="s">
        <v>50</v>
      </c>
      <c r="J337" t="s">
        <v>403</v>
      </c>
      <c r="K337" t="s">
        <v>404</v>
      </c>
      <c r="L337" t="s">
        <v>53</v>
      </c>
      <c r="N337" t="s">
        <v>852</v>
      </c>
      <c r="P337" t="s">
        <v>55</v>
      </c>
      <c r="R337" t="s">
        <v>56</v>
      </c>
      <c r="T337" t="s">
        <v>837</v>
      </c>
      <c r="U337" t="s">
        <v>58</v>
      </c>
      <c r="V337">
        <v>2</v>
      </c>
      <c r="W337">
        <v>1</v>
      </c>
      <c r="X337">
        <v>1</v>
      </c>
      <c r="Y337">
        <v>0</v>
      </c>
      <c r="Z337">
        <v>1</v>
      </c>
      <c r="AA337">
        <v>0</v>
      </c>
      <c r="AB337">
        <v>182.07</v>
      </c>
      <c r="AC337">
        <v>160.19999999999999</v>
      </c>
      <c r="AD337">
        <v>0</v>
      </c>
      <c r="AE337">
        <v>21.86</v>
      </c>
      <c r="AF337">
        <v>0</v>
      </c>
      <c r="AG337">
        <v>0</v>
      </c>
      <c r="AH337">
        <v>0</v>
      </c>
      <c r="AI337">
        <v>32.770000000000003</v>
      </c>
      <c r="AJ337">
        <v>182.06</v>
      </c>
      <c r="AK337">
        <v>-0.01</v>
      </c>
      <c r="AL337" t="s">
        <v>53</v>
      </c>
      <c r="AM337" t="s">
        <v>53</v>
      </c>
      <c r="AN337" t="s">
        <v>853</v>
      </c>
      <c r="AO337" t="s">
        <v>53</v>
      </c>
      <c r="AP337" t="s">
        <v>53</v>
      </c>
    </row>
    <row r="338" spans="2:42" x14ac:dyDescent="0.2">
      <c r="B338" t="s">
        <v>44</v>
      </c>
      <c r="C338" t="str">
        <f>HYPERLINK("https://us2.cloudbeds.com/connect/8493803454333002#/reservations/598127259848?display=E14HZND7&amp;reservation_id=598127259848", "E14HZND7")</f>
        <v>E14HZND7</v>
      </c>
      <c r="D338" t="s">
        <v>45</v>
      </c>
      <c r="E338" t="s">
        <v>46</v>
      </c>
      <c r="F338" t="s">
        <v>47</v>
      </c>
      <c r="G338" t="s">
        <v>48</v>
      </c>
      <c r="H338" t="s">
        <v>49</v>
      </c>
      <c r="I338" t="s">
        <v>50</v>
      </c>
      <c r="J338" t="s">
        <v>403</v>
      </c>
      <c r="K338" t="s">
        <v>495</v>
      </c>
      <c r="L338" t="s">
        <v>53</v>
      </c>
      <c r="N338" t="s">
        <v>854</v>
      </c>
      <c r="P338" t="s">
        <v>55</v>
      </c>
      <c r="R338" t="s">
        <v>56</v>
      </c>
      <c r="T338" t="s">
        <v>837</v>
      </c>
      <c r="U338" t="s">
        <v>58</v>
      </c>
      <c r="V338">
        <v>1</v>
      </c>
      <c r="W338">
        <v>1</v>
      </c>
      <c r="X338">
        <v>1</v>
      </c>
      <c r="Y338">
        <v>0</v>
      </c>
      <c r="Z338">
        <v>1</v>
      </c>
      <c r="AA338">
        <v>0</v>
      </c>
      <c r="AB338">
        <v>78.760000000000005</v>
      </c>
      <c r="AC338">
        <v>69.3</v>
      </c>
      <c r="AD338">
        <v>0</v>
      </c>
      <c r="AE338">
        <v>9.4700000000000006</v>
      </c>
      <c r="AF338">
        <v>0</v>
      </c>
      <c r="AG338">
        <v>0</v>
      </c>
      <c r="AH338">
        <v>0</v>
      </c>
      <c r="AI338">
        <v>14.18</v>
      </c>
      <c r="AJ338">
        <v>78.77</v>
      </c>
      <c r="AK338">
        <v>0.01</v>
      </c>
      <c r="AL338" t="s">
        <v>53</v>
      </c>
      <c r="AM338" t="s">
        <v>53</v>
      </c>
      <c r="AN338" t="s">
        <v>332</v>
      </c>
      <c r="AO338" t="s">
        <v>53</v>
      </c>
      <c r="AP338" t="s">
        <v>53</v>
      </c>
    </row>
    <row r="339" spans="2:42" x14ac:dyDescent="0.2">
      <c r="B339" t="s">
        <v>44</v>
      </c>
      <c r="C339" t="str">
        <f>HYPERLINK("https://us2.cloudbeds.com/connect/8493803454333002#/reservations/598130712822?display=E14KYQ5P&amp;reservation_id=598130712822", "E14KYQ5P")</f>
        <v>E14KYQ5P</v>
      </c>
      <c r="D339" t="s">
        <v>45</v>
      </c>
      <c r="E339" t="s">
        <v>98</v>
      </c>
      <c r="F339" t="s">
        <v>86</v>
      </c>
      <c r="G339" t="s">
        <v>48</v>
      </c>
      <c r="H339" t="s">
        <v>49</v>
      </c>
      <c r="I339" t="s">
        <v>62</v>
      </c>
      <c r="J339" t="s">
        <v>403</v>
      </c>
      <c r="K339" t="s">
        <v>495</v>
      </c>
      <c r="L339" t="s">
        <v>53</v>
      </c>
      <c r="N339" t="s">
        <v>855</v>
      </c>
      <c r="P339" t="s">
        <v>55</v>
      </c>
      <c r="R339" t="s">
        <v>56</v>
      </c>
      <c r="T339" t="s">
        <v>837</v>
      </c>
      <c r="U339" t="s">
        <v>58</v>
      </c>
      <c r="V339">
        <v>1</v>
      </c>
      <c r="W339">
        <v>1</v>
      </c>
      <c r="X339">
        <v>1</v>
      </c>
      <c r="Y339">
        <v>0</v>
      </c>
      <c r="Z339">
        <v>1</v>
      </c>
      <c r="AA339">
        <v>0</v>
      </c>
      <c r="AB339">
        <v>101.15</v>
      </c>
      <c r="AC339">
        <v>89</v>
      </c>
      <c r="AD339">
        <v>0</v>
      </c>
      <c r="AE339">
        <v>12.15</v>
      </c>
      <c r="AF339">
        <v>0</v>
      </c>
      <c r="AG339">
        <v>0</v>
      </c>
      <c r="AH339">
        <v>0</v>
      </c>
      <c r="AI339">
        <v>15.17</v>
      </c>
      <c r="AJ339">
        <v>101.15</v>
      </c>
      <c r="AK339">
        <v>0</v>
      </c>
      <c r="AL339" t="s">
        <v>53</v>
      </c>
      <c r="AM339" t="s">
        <v>53</v>
      </c>
      <c r="AN339" t="s">
        <v>137</v>
      </c>
      <c r="AO339" t="s">
        <v>53</v>
      </c>
      <c r="AP339" t="s">
        <v>53</v>
      </c>
    </row>
    <row r="340" spans="2:42" x14ac:dyDescent="0.2">
      <c r="B340" t="s">
        <v>44</v>
      </c>
      <c r="C340" t="str">
        <f>HYPERLINK("https://us2.cloudbeds.com/connect/8493803454333002#/reservations/598216020178?display=E16QJJM4&amp;reservation_id=598216020178", "E16QJJM4")</f>
        <v>E16QJJM4</v>
      </c>
      <c r="D340" t="s">
        <v>45</v>
      </c>
      <c r="E340" t="s">
        <v>128</v>
      </c>
      <c r="F340" t="s">
        <v>86</v>
      </c>
      <c r="G340" t="s">
        <v>48</v>
      </c>
      <c r="H340" t="s">
        <v>49</v>
      </c>
      <c r="I340" t="s">
        <v>79</v>
      </c>
      <c r="J340" t="s">
        <v>288</v>
      </c>
      <c r="K340" t="s">
        <v>289</v>
      </c>
      <c r="L340" t="s">
        <v>53</v>
      </c>
      <c r="N340" t="s">
        <v>856</v>
      </c>
      <c r="P340" t="s">
        <v>55</v>
      </c>
      <c r="R340" t="s">
        <v>56</v>
      </c>
      <c r="T340" t="s">
        <v>857</v>
      </c>
      <c r="U340" t="s">
        <v>58</v>
      </c>
      <c r="V340">
        <v>1</v>
      </c>
      <c r="W340">
        <v>1</v>
      </c>
      <c r="X340">
        <v>1</v>
      </c>
      <c r="Y340">
        <v>0</v>
      </c>
      <c r="Z340">
        <v>1</v>
      </c>
      <c r="AA340">
        <v>0</v>
      </c>
      <c r="AB340">
        <v>153.43</v>
      </c>
      <c r="AC340">
        <v>135</v>
      </c>
      <c r="AD340">
        <v>0</v>
      </c>
      <c r="AE340">
        <v>18.440000000000001</v>
      </c>
      <c r="AF340">
        <v>0</v>
      </c>
      <c r="AG340">
        <v>0</v>
      </c>
      <c r="AH340">
        <v>0</v>
      </c>
      <c r="AI340">
        <v>0</v>
      </c>
      <c r="AJ340">
        <v>153.44</v>
      </c>
      <c r="AK340">
        <v>0.01</v>
      </c>
      <c r="AL340" t="s">
        <v>53</v>
      </c>
      <c r="AM340" t="s">
        <v>53</v>
      </c>
      <c r="AN340" t="s">
        <v>252</v>
      </c>
      <c r="AO340" t="s">
        <v>53</v>
      </c>
      <c r="AP340" t="s">
        <v>53</v>
      </c>
    </row>
    <row r="341" spans="2:42" x14ac:dyDescent="0.2">
      <c r="B341" t="s">
        <v>44</v>
      </c>
      <c r="C341" t="str">
        <f>HYPERLINK("https://us2.cloudbeds.com/connect/8493803454333002#/reservations/598304018651?display=E191Q9BJ&amp;reservation_id=598304018651", "E191Q9BJ")</f>
        <v>E191Q9BJ</v>
      </c>
      <c r="D341" t="s">
        <v>45</v>
      </c>
      <c r="E341" t="s">
        <v>46</v>
      </c>
      <c r="F341" t="s">
        <v>47</v>
      </c>
      <c r="G341" t="s">
        <v>48</v>
      </c>
      <c r="H341" t="s">
        <v>49</v>
      </c>
      <c r="I341" t="s">
        <v>50</v>
      </c>
      <c r="J341" t="s">
        <v>651</v>
      </c>
      <c r="K341" t="s">
        <v>841</v>
      </c>
      <c r="L341" t="s">
        <v>53</v>
      </c>
      <c r="N341" t="s">
        <v>858</v>
      </c>
      <c r="P341" t="s">
        <v>55</v>
      </c>
      <c r="R341" t="s">
        <v>56</v>
      </c>
      <c r="T341" t="s">
        <v>857</v>
      </c>
      <c r="U341" t="s">
        <v>58</v>
      </c>
      <c r="V341">
        <v>1</v>
      </c>
      <c r="W341">
        <v>1</v>
      </c>
      <c r="X341">
        <v>1</v>
      </c>
      <c r="Y341">
        <v>0</v>
      </c>
      <c r="Z341">
        <v>1</v>
      </c>
      <c r="AA341">
        <v>0</v>
      </c>
      <c r="AB341">
        <v>78.760000000000005</v>
      </c>
      <c r="AC341">
        <v>69.3</v>
      </c>
      <c r="AD341">
        <v>0</v>
      </c>
      <c r="AE341">
        <v>9.4700000000000006</v>
      </c>
      <c r="AF341">
        <v>0</v>
      </c>
      <c r="AG341">
        <v>0</v>
      </c>
      <c r="AH341">
        <v>0</v>
      </c>
      <c r="AI341">
        <v>14.18</v>
      </c>
      <c r="AJ341">
        <v>78.77</v>
      </c>
      <c r="AK341">
        <v>0.01</v>
      </c>
      <c r="AL341" t="s">
        <v>53</v>
      </c>
      <c r="AM341" t="s">
        <v>53</v>
      </c>
      <c r="AN341" t="s">
        <v>859</v>
      </c>
      <c r="AO341" t="s">
        <v>53</v>
      </c>
      <c r="AP341" t="s">
        <v>53</v>
      </c>
    </row>
    <row r="342" spans="2:42" x14ac:dyDescent="0.2">
      <c r="B342" t="s">
        <v>44</v>
      </c>
      <c r="C342" t="str">
        <f>HYPERLINK("https://us2.cloudbeds.com/connect/8493803454333002#/reservations/598070583510?display=E132VK0E&amp;reservation_id=598070583510", "E132VK0E")</f>
        <v>E132VK0E</v>
      </c>
      <c r="D342" t="s">
        <v>45</v>
      </c>
      <c r="E342" t="s">
        <v>138</v>
      </c>
      <c r="F342" t="s">
        <v>70</v>
      </c>
      <c r="G342" t="s">
        <v>48</v>
      </c>
      <c r="H342" t="s">
        <v>71</v>
      </c>
      <c r="I342" t="s">
        <v>72</v>
      </c>
      <c r="J342" t="s">
        <v>549</v>
      </c>
      <c r="K342" t="s">
        <v>341</v>
      </c>
      <c r="L342" t="s">
        <v>53</v>
      </c>
      <c r="N342" t="s">
        <v>860</v>
      </c>
      <c r="P342" t="s">
        <v>55</v>
      </c>
      <c r="R342" t="s">
        <v>56</v>
      </c>
      <c r="T342" t="s">
        <v>857</v>
      </c>
      <c r="U342" t="s">
        <v>58</v>
      </c>
      <c r="V342">
        <v>2</v>
      </c>
      <c r="W342">
        <v>1</v>
      </c>
      <c r="X342">
        <v>1</v>
      </c>
      <c r="Y342">
        <v>0</v>
      </c>
      <c r="Z342">
        <v>1</v>
      </c>
      <c r="AA342">
        <v>0</v>
      </c>
      <c r="AB342">
        <v>275.02999999999997</v>
      </c>
      <c r="AC342">
        <v>242</v>
      </c>
      <c r="AD342">
        <v>0</v>
      </c>
      <c r="AE342">
        <v>33.04</v>
      </c>
      <c r="AF342">
        <v>0</v>
      </c>
      <c r="AG342">
        <v>0</v>
      </c>
      <c r="AH342">
        <v>0</v>
      </c>
      <c r="AI342">
        <v>0</v>
      </c>
      <c r="AJ342">
        <v>275.04000000000002</v>
      </c>
      <c r="AK342">
        <v>0.01</v>
      </c>
      <c r="AL342" t="s">
        <v>53</v>
      </c>
      <c r="AM342" t="s">
        <v>53</v>
      </c>
      <c r="AN342" t="s">
        <v>861</v>
      </c>
      <c r="AO342" t="s">
        <v>53</v>
      </c>
      <c r="AP342" t="s">
        <v>53</v>
      </c>
    </row>
    <row r="343" spans="2:42" x14ac:dyDescent="0.2">
      <c r="B343" t="s">
        <v>44</v>
      </c>
      <c r="C343" t="str">
        <f>HYPERLINK("https://us2.cloudbeds.com/connect/8493803454333002#/reservations/598607028385?display=E1GQ9W6Z&amp;reservation_id=598607028385", "E1GQ9W6Z")</f>
        <v>E1GQ9W6Z</v>
      </c>
      <c r="D343" t="s">
        <v>45</v>
      </c>
      <c r="E343" t="s">
        <v>92</v>
      </c>
      <c r="F343" t="s">
        <v>86</v>
      </c>
      <c r="G343" t="s">
        <v>48</v>
      </c>
      <c r="H343" t="s">
        <v>49</v>
      </c>
      <c r="I343" t="s">
        <v>79</v>
      </c>
      <c r="J343" t="s">
        <v>489</v>
      </c>
      <c r="K343" t="s">
        <v>93</v>
      </c>
      <c r="L343" t="s">
        <v>53</v>
      </c>
      <c r="N343" t="s">
        <v>862</v>
      </c>
      <c r="P343" t="s">
        <v>55</v>
      </c>
      <c r="R343" t="s">
        <v>56</v>
      </c>
      <c r="T343" t="s">
        <v>857</v>
      </c>
      <c r="U343" t="s">
        <v>58</v>
      </c>
      <c r="V343">
        <v>2</v>
      </c>
      <c r="W343">
        <v>1</v>
      </c>
      <c r="X343">
        <v>1</v>
      </c>
      <c r="Y343">
        <v>0</v>
      </c>
      <c r="Z343">
        <v>1</v>
      </c>
      <c r="AA343">
        <v>0</v>
      </c>
      <c r="AB343">
        <v>392.77</v>
      </c>
      <c r="AC343">
        <v>345.6</v>
      </c>
      <c r="AD343">
        <v>0</v>
      </c>
      <c r="AE343">
        <v>47.18</v>
      </c>
      <c r="AF343">
        <v>0</v>
      </c>
      <c r="AG343">
        <v>0</v>
      </c>
      <c r="AH343">
        <v>0</v>
      </c>
      <c r="AI343">
        <v>0</v>
      </c>
      <c r="AJ343">
        <v>392.78</v>
      </c>
      <c r="AK343">
        <v>0.01</v>
      </c>
      <c r="AL343" t="s">
        <v>53</v>
      </c>
      <c r="AM343" t="s">
        <v>53</v>
      </c>
      <c r="AN343" t="s">
        <v>225</v>
      </c>
      <c r="AO343" t="s">
        <v>53</v>
      </c>
      <c r="AP343" t="s">
        <v>53</v>
      </c>
    </row>
    <row r="344" spans="2:42" x14ac:dyDescent="0.2">
      <c r="B344" t="s">
        <v>44</v>
      </c>
      <c r="C344" t="str">
        <f>HYPERLINK("https://us2.cloudbeds.com/connect/8493803454333002#/reservations/598301475051?display=E18WYGKQ&amp;reservation_id=598301475051", "E18WYGKQ")</f>
        <v>E18WYGKQ</v>
      </c>
      <c r="D344" t="s">
        <v>45</v>
      </c>
      <c r="E344" t="s">
        <v>373</v>
      </c>
      <c r="F344" t="s">
        <v>47</v>
      </c>
      <c r="G344" t="s">
        <v>48</v>
      </c>
      <c r="H344" t="s">
        <v>49</v>
      </c>
      <c r="I344" t="s">
        <v>50</v>
      </c>
      <c r="J344" t="s">
        <v>651</v>
      </c>
      <c r="K344" t="s">
        <v>841</v>
      </c>
      <c r="L344" t="s">
        <v>53</v>
      </c>
      <c r="N344" t="s">
        <v>863</v>
      </c>
      <c r="P344" t="s">
        <v>55</v>
      </c>
      <c r="R344" t="s">
        <v>56</v>
      </c>
      <c r="T344" t="s">
        <v>857</v>
      </c>
      <c r="U344" t="s">
        <v>58</v>
      </c>
      <c r="V344">
        <v>1</v>
      </c>
      <c r="W344">
        <v>1</v>
      </c>
      <c r="X344">
        <v>1</v>
      </c>
      <c r="Y344">
        <v>0</v>
      </c>
      <c r="Z344">
        <v>1</v>
      </c>
      <c r="AA344">
        <v>0</v>
      </c>
      <c r="AB344">
        <v>78.760000000000005</v>
      </c>
      <c r="AC344">
        <v>69.3</v>
      </c>
      <c r="AD344">
        <v>0</v>
      </c>
      <c r="AE344">
        <v>9.4700000000000006</v>
      </c>
      <c r="AF344">
        <v>0</v>
      </c>
      <c r="AG344">
        <v>0</v>
      </c>
      <c r="AH344">
        <v>0</v>
      </c>
      <c r="AI344">
        <v>14.18</v>
      </c>
      <c r="AJ344">
        <v>78.77</v>
      </c>
      <c r="AK344">
        <v>0.01</v>
      </c>
      <c r="AL344" t="s">
        <v>53</v>
      </c>
      <c r="AM344" t="s">
        <v>53</v>
      </c>
      <c r="AN344" t="s">
        <v>864</v>
      </c>
      <c r="AO344" t="s">
        <v>53</v>
      </c>
      <c r="AP344" t="s">
        <v>53</v>
      </c>
    </row>
    <row r="345" spans="2:42" x14ac:dyDescent="0.2">
      <c r="B345" t="s">
        <v>44</v>
      </c>
      <c r="C345" t="str">
        <f>HYPERLINK("https://us2.cloudbeds.com/connect/8493803454333002#/reservations/598353780982?display=E1AAZWQ0&amp;reservation_id=598353780982", "E1AAZWQ0")</f>
        <v>E1AAZWQ0</v>
      </c>
      <c r="D345" t="s">
        <v>45</v>
      </c>
      <c r="E345" t="s">
        <v>69</v>
      </c>
      <c r="F345" t="s">
        <v>70</v>
      </c>
      <c r="G345" t="s">
        <v>48</v>
      </c>
      <c r="H345" t="s">
        <v>49</v>
      </c>
      <c r="I345" t="s">
        <v>50</v>
      </c>
      <c r="J345" t="s">
        <v>841</v>
      </c>
      <c r="K345" t="s">
        <v>839</v>
      </c>
      <c r="L345" t="s">
        <v>53</v>
      </c>
      <c r="N345" t="s">
        <v>865</v>
      </c>
      <c r="P345" t="s">
        <v>55</v>
      </c>
      <c r="R345" t="s">
        <v>56</v>
      </c>
      <c r="T345" t="s">
        <v>866</v>
      </c>
      <c r="U345" t="s">
        <v>58</v>
      </c>
      <c r="V345">
        <v>1</v>
      </c>
      <c r="W345">
        <v>1</v>
      </c>
      <c r="X345">
        <v>1</v>
      </c>
      <c r="Y345">
        <v>0</v>
      </c>
      <c r="Z345">
        <v>1</v>
      </c>
      <c r="AA345">
        <v>0</v>
      </c>
      <c r="AB345">
        <v>68.53</v>
      </c>
      <c r="AC345">
        <v>60.3</v>
      </c>
      <c r="AD345">
        <v>0</v>
      </c>
      <c r="AE345">
        <v>8.24</v>
      </c>
      <c r="AF345">
        <v>0</v>
      </c>
      <c r="AG345">
        <v>0</v>
      </c>
      <c r="AH345">
        <v>0</v>
      </c>
      <c r="AI345">
        <v>12.34</v>
      </c>
      <c r="AJ345">
        <v>68.540000000000006</v>
      </c>
      <c r="AK345">
        <v>0.01</v>
      </c>
      <c r="AL345" t="s">
        <v>53</v>
      </c>
      <c r="AM345" t="s">
        <v>53</v>
      </c>
      <c r="AN345" t="s">
        <v>91</v>
      </c>
      <c r="AO345" t="s">
        <v>53</v>
      </c>
      <c r="AP345" t="s">
        <v>53</v>
      </c>
    </row>
    <row r="346" spans="2:42" x14ac:dyDescent="0.2">
      <c r="B346" t="s">
        <v>44</v>
      </c>
      <c r="C346" t="str">
        <f>HYPERLINK("https://us2.cloudbeds.com/connect/8493803454333002#/reservations/598541517019?display=E1F420RR&amp;reservation_id=598541517019", "E1F420RR")</f>
        <v>E1F420RR</v>
      </c>
      <c r="D346" t="s">
        <v>45</v>
      </c>
      <c r="E346" t="s">
        <v>92</v>
      </c>
      <c r="F346" t="s">
        <v>86</v>
      </c>
      <c r="G346" t="s">
        <v>48</v>
      </c>
      <c r="H346" t="s">
        <v>49</v>
      </c>
      <c r="I346" t="s">
        <v>62</v>
      </c>
      <c r="J346" t="s">
        <v>167</v>
      </c>
      <c r="K346" t="s">
        <v>791</v>
      </c>
      <c r="L346" t="s">
        <v>53</v>
      </c>
      <c r="N346" t="s">
        <v>867</v>
      </c>
      <c r="P346" t="s">
        <v>55</v>
      </c>
      <c r="R346" t="s">
        <v>56</v>
      </c>
      <c r="T346" t="s">
        <v>866</v>
      </c>
      <c r="U346" t="s">
        <v>58</v>
      </c>
      <c r="V346">
        <v>1</v>
      </c>
      <c r="W346">
        <v>1</v>
      </c>
      <c r="X346">
        <v>1</v>
      </c>
      <c r="Y346">
        <v>0</v>
      </c>
      <c r="Z346">
        <v>1</v>
      </c>
      <c r="AA346">
        <v>0</v>
      </c>
      <c r="AB346">
        <v>96.6</v>
      </c>
      <c r="AC346">
        <v>85</v>
      </c>
      <c r="AD346">
        <v>0</v>
      </c>
      <c r="AE346">
        <v>11.61</v>
      </c>
      <c r="AF346">
        <v>0</v>
      </c>
      <c r="AG346">
        <v>0</v>
      </c>
      <c r="AH346">
        <v>0</v>
      </c>
      <c r="AI346">
        <v>14.49</v>
      </c>
      <c r="AJ346">
        <v>96.61</v>
      </c>
      <c r="AK346">
        <v>0.01</v>
      </c>
      <c r="AL346" t="s">
        <v>53</v>
      </c>
      <c r="AM346" t="s">
        <v>53</v>
      </c>
      <c r="AN346" t="s">
        <v>245</v>
      </c>
      <c r="AO346" t="s">
        <v>53</v>
      </c>
      <c r="AP346" t="s">
        <v>53</v>
      </c>
    </row>
    <row r="347" spans="2:42" x14ac:dyDescent="0.2">
      <c r="B347" t="s">
        <v>44</v>
      </c>
      <c r="C347" t="str">
        <f>HYPERLINK("https://us2.cloudbeds.com/connect/8493803454333002#/reservations/598524907674?display=E1EN1RUB&amp;reservation_id=598524907674", "E1EN1RUB")</f>
        <v>E1EN1RUB</v>
      </c>
      <c r="D347" t="s">
        <v>45</v>
      </c>
      <c r="E347" t="s">
        <v>265</v>
      </c>
      <c r="F347" t="s">
        <v>61</v>
      </c>
      <c r="G347" t="s">
        <v>48</v>
      </c>
      <c r="H347" t="s">
        <v>49</v>
      </c>
      <c r="I347" t="s">
        <v>50</v>
      </c>
      <c r="J347" t="s">
        <v>215</v>
      </c>
      <c r="K347" t="s">
        <v>446</v>
      </c>
      <c r="L347" t="s">
        <v>53</v>
      </c>
      <c r="N347" t="s">
        <v>868</v>
      </c>
      <c r="P347" t="s">
        <v>55</v>
      </c>
      <c r="R347" t="s">
        <v>56</v>
      </c>
      <c r="T347" t="s">
        <v>866</v>
      </c>
      <c r="U347" t="s">
        <v>58</v>
      </c>
      <c r="V347">
        <v>1</v>
      </c>
      <c r="W347">
        <v>1</v>
      </c>
      <c r="X347">
        <v>1</v>
      </c>
      <c r="Y347">
        <v>0</v>
      </c>
      <c r="Z347">
        <v>1</v>
      </c>
      <c r="AA347">
        <v>0</v>
      </c>
      <c r="AB347">
        <v>157.52000000000001</v>
      </c>
      <c r="AC347">
        <v>138.6</v>
      </c>
      <c r="AD347">
        <v>0</v>
      </c>
      <c r="AE347">
        <v>18.920000000000002</v>
      </c>
      <c r="AF347">
        <v>0</v>
      </c>
      <c r="AG347">
        <v>0</v>
      </c>
      <c r="AH347">
        <v>0</v>
      </c>
      <c r="AI347">
        <v>28.35</v>
      </c>
      <c r="AJ347">
        <v>157.52000000000001</v>
      </c>
      <c r="AK347">
        <v>0</v>
      </c>
      <c r="AL347" t="s">
        <v>53</v>
      </c>
      <c r="AM347" t="s">
        <v>53</v>
      </c>
      <c r="AN347" t="s">
        <v>869</v>
      </c>
      <c r="AO347" t="s">
        <v>53</v>
      </c>
      <c r="AP347" t="s">
        <v>53</v>
      </c>
    </row>
    <row r="348" spans="2:42" x14ac:dyDescent="0.2">
      <c r="B348" t="s">
        <v>44</v>
      </c>
      <c r="C348" t="str">
        <f>HYPERLINK("https://us2.cloudbeds.com/connect/8493803454333002#/reservations/598410162329?display=E1BP9T9M&amp;reservation_id=598410162329", "E1BP9T9M")</f>
        <v>E1BP9T9M</v>
      </c>
      <c r="D348" t="s">
        <v>45</v>
      </c>
      <c r="E348" t="s">
        <v>128</v>
      </c>
      <c r="F348" t="s">
        <v>86</v>
      </c>
      <c r="G348" t="s">
        <v>48</v>
      </c>
      <c r="H348" t="s">
        <v>49</v>
      </c>
      <c r="I348" t="s">
        <v>62</v>
      </c>
      <c r="J348" t="s">
        <v>130</v>
      </c>
      <c r="K348" t="s">
        <v>88</v>
      </c>
      <c r="L348" t="s">
        <v>53</v>
      </c>
      <c r="N348" t="s">
        <v>870</v>
      </c>
      <c r="P348" t="s">
        <v>55</v>
      </c>
      <c r="R348" t="s">
        <v>871</v>
      </c>
      <c r="T348" t="s">
        <v>866</v>
      </c>
      <c r="U348" t="s">
        <v>58</v>
      </c>
      <c r="V348">
        <v>2</v>
      </c>
      <c r="W348">
        <v>1</v>
      </c>
      <c r="X348">
        <v>1</v>
      </c>
      <c r="Y348">
        <v>0</v>
      </c>
      <c r="Z348">
        <v>1</v>
      </c>
      <c r="AA348">
        <v>0</v>
      </c>
      <c r="AB348">
        <v>340.95</v>
      </c>
      <c r="AC348">
        <v>300</v>
      </c>
      <c r="AD348">
        <v>0</v>
      </c>
      <c r="AE348">
        <v>40.96</v>
      </c>
      <c r="AF348">
        <v>0</v>
      </c>
      <c r="AG348">
        <v>0</v>
      </c>
      <c r="AH348">
        <v>0</v>
      </c>
      <c r="AI348">
        <v>51.14</v>
      </c>
      <c r="AJ348">
        <v>340.96</v>
      </c>
      <c r="AK348">
        <v>0.01</v>
      </c>
      <c r="AL348" t="s">
        <v>53</v>
      </c>
      <c r="AM348" t="s">
        <v>53</v>
      </c>
      <c r="AN348" t="s">
        <v>84</v>
      </c>
      <c r="AO348" t="s">
        <v>53</v>
      </c>
      <c r="AP348" t="s">
        <v>53</v>
      </c>
    </row>
    <row r="349" spans="2:42" x14ac:dyDescent="0.2">
      <c r="B349" t="s">
        <v>44</v>
      </c>
      <c r="C349" t="str">
        <f>HYPERLINK("https://us2.cloudbeds.com/connect/8493803454333002#/reservations/598425325781?display=E1C52RG7&amp;reservation_id=598425325781", "E1C52RG7")</f>
        <v>E1C52RG7</v>
      </c>
      <c r="D349" t="s">
        <v>45</v>
      </c>
      <c r="E349" t="s">
        <v>138</v>
      </c>
      <c r="F349" t="s">
        <v>70</v>
      </c>
      <c r="G349" t="s">
        <v>48</v>
      </c>
      <c r="H349" t="s">
        <v>49</v>
      </c>
      <c r="I349" t="s">
        <v>62</v>
      </c>
      <c r="J349" t="s">
        <v>341</v>
      </c>
      <c r="K349" t="s">
        <v>129</v>
      </c>
      <c r="L349" t="s">
        <v>53</v>
      </c>
      <c r="N349" t="s">
        <v>872</v>
      </c>
      <c r="P349" t="s">
        <v>55</v>
      </c>
      <c r="R349" t="s">
        <v>201</v>
      </c>
      <c r="T349" t="s">
        <v>866</v>
      </c>
      <c r="U349" t="s">
        <v>58</v>
      </c>
      <c r="V349">
        <v>1</v>
      </c>
      <c r="W349">
        <v>1</v>
      </c>
      <c r="X349">
        <v>1</v>
      </c>
      <c r="Y349">
        <v>0</v>
      </c>
      <c r="Z349">
        <v>1</v>
      </c>
      <c r="AA349">
        <v>0</v>
      </c>
      <c r="AB349">
        <v>142.06</v>
      </c>
      <c r="AC349">
        <v>125</v>
      </c>
      <c r="AD349">
        <v>0</v>
      </c>
      <c r="AE349">
        <v>17.07</v>
      </c>
      <c r="AF349">
        <v>0</v>
      </c>
      <c r="AG349">
        <v>0</v>
      </c>
      <c r="AH349">
        <v>0</v>
      </c>
      <c r="AI349">
        <v>21.31</v>
      </c>
      <c r="AJ349">
        <v>142.07</v>
      </c>
      <c r="AK349">
        <v>0.01</v>
      </c>
      <c r="AL349" t="s">
        <v>53</v>
      </c>
      <c r="AM349" t="s">
        <v>53</v>
      </c>
      <c r="AN349" t="s">
        <v>91</v>
      </c>
      <c r="AO349" t="s">
        <v>53</v>
      </c>
      <c r="AP349" t="s">
        <v>53</v>
      </c>
    </row>
    <row r="350" spans="2:42" x14ac:dyDescent="0.2">
      <c r="B350" t="s">
        <v>44</v>
      </c>
      <c r="C350" t="str">
        <f>HYPERLINK("https://us2.cloudbeds.com/connect/8493803454333002#/reservations/598500286612?display=E1E29Z1X&amp;reservation_id=598500286612", "E1E29Z1X")</f>
        <v>E1E29Z1X</v>
      </c>
      <c r="D350" t="s">
        <v>45</v>
      </c>
      <c r="E350" t="s">
        <v>113</v>
      </c>
      <c r="F350" t="s">
        <v>61</v>
      </c>
      <c r="G350" t="s">
        <v>48</v>
      </c>
      <c r="H350" t="s">
        <v>71</v>
      </c>
      <c r="I350" t="s">
        <v>72</v>
      </c>
      <c r="J350" t="s">
        <v>719</v>
      </c>
      <c r="K350" t="s">
        <v>873</v>
      </c>
      <c r="L350" t="s">
        <v>53</v>
      </c>
      <c r="N350" t="s">
        <v>874</v>
      </c>
      <c r="P350" t="s">
        <v>58</v>
      </c>
      <c r="R350" t="s">
        <v>56</v>
      </c>
      <c r="T350" t="s">
        <v>866</v>
      </c>
      <c r="U350" t="s">
        <v>58</v>
      </c>
      <c r="V350">
        <v>1</v>
      </c>
      <c r="W350">
        <v>1</v>
      </c>
      <c r="X350">
        <v>1</v>
      </c>
      <c r="Y350">
        <v>0</v>
      </c>
      <c r="Z350">
        <v>1</v>
      </c>
      <c r="AA350">
        <v>0</v>
      </c>
      <c r="AB350">
        <v>84.1</v>
      </c>
      <c r="AC350">
        <v>74</v>
      </c>
      <c r="AD350">
        <v>0</v>
      </c>
      <c r="AE350">
        <v>10.11</v>
      </c>
      <c r="AF350">
        <v>0</v>
      </c>
      <c r="AG350">
        <v>0</v>
      </c>
      <c r="AH350">
        <v>0</v>
      </c>
      <c r="AI350">
        <v>0</v>
      </c>
      <c r="AJ350">
        <v>84.11</v>
      </c>
      <c r="AK350">
        <v>0.01</v>
      </c>
      <c r="AL350" t="s">
        <v>53</v>
      </c>
      <c r="AM350" t="s">
        <v>53</v>
      </c>
      <c r="AN350" t="s">
        <v>378</v>
      </c>
      <c r="AO350" t="s">
        <v>53</v>
      </c>
      <c r="AP350" t="s">
        <v>53</v>
      </c>
    </row>
    <row r="351" spans="2:42" x14ac:dyDescent="0.2">
      <c r="B351" t="s">
        <v>44</v>
      </c>
      <c r="C351" t="str">
        <f>HYPERLINK("https://us2.cloudbeds.com/connect/8493803454333002#/reservations/598291149029?display=E18NV5H1&amp;reservation_id=598291149029", "E18NV5H1")</f>
        <v>E18NV5H1</v>
      </c>
      <c r="D351" t="s">
        <v>45</v>
      </c>
      <c r="E351" t="s">
        <v>138</v>
      </c>
      <c r="F351" t="s">
        <v>70</v>
      </c>
      <c r="G351" t="s">
        <v>48</v>
      </c>
      <c r="H351" t="s">
        <v>49</v>
      </c>
      <c r="I351" t="s">
        <v>62</v>
      </c>
      <c r="J351" t="s">
        <v>404</v>
      </c>
      <c r="K351" t="s">
        <v>875</v>
      </c>
      <c r="L351" t="s">
        <v>53</v>
      </c>
      <c r="N351" t="s">
        <v>876</v>
      </c>
      <c r="P351" t="s">
        <v>55</v>
      </c>
      <c r="R351" t="s">
        <v>56</v>
      </c>
      <c r="T351" t="s">
        <v>866</v>
      </c>
      <c r="U351" t="s">
        <v>58</v>
      </c>
      <c r="V351">
        <v>1</v>
      </c>
      <c r="W351">
        <v>1</v>
      </c>
      <c r="X351">
        <v>1</v>
      </c>
      <c r="Y351">
        <v>0</v>
      </c>
      <c r="Z351">
        <v>1</v>
      </c>
      <c r="AA351">
        <v>0</v>
      </c>
      <c r="AB351">
        <v>73.989999999999995</v>
      </c>
      <c r="AC351">
        <v>65.099999999999994</v>
      </c>
      <c r="AD351">
        <v>0</v>
      </c>
      <c r="AE351">
        <v>8.89</v>
      </c>
      <c r="AF351">
        <v>0</v>
      </c>
      <c r="AG351">
        <v>0</v>
      </c>
      <c r="AH351">
        <v>0</v>
      </c>
      <c r="AI351">
        <v>11.1</v>
      </c>
      <c r="AJ351">
        <v>73.989999999999995</v>
      </c>
      <c r="AK351">
        <v>0</v>
      </c>
      <c r="AL351" t="s">
        <v>53</v>
      </c>
      <c r="AM351" t="s">
        <v>53</v>
      </c>
      <c r="AN351" t="s">
        <v>877</v>
      </c>
      <c r="AO351" t="s">
        <v>53</v>
      </c>
      <c r="AP351" t="s">
        <v>53</v>
      </c>
    </row>
    <row r="352" spans="2:42" x14ac:dyDescent="0.2">
      <c r="B352" t="s">
        <v>44</v>
      </c>
      <c r="C352" t="str">
        <f>HYPERLINK("https://us2.cloudbeds.com/connect/8493803454333002#/reservations/598403879150?display=E1BK01KA&amp;reservation_id=598403879150", "E1BK01KA")</f>
        <v>E1BK01KA</v>
      </c>
      <c r="D352" t="s">
        <v>45</v>
      </c>
      <c r="E352" t="s">
        <v>155</v>
      </c>
      <c r="F352" t="s">
        <v>86</v>
      </c>
      <c r="G352" t="s">
        <v>48</v>
      </c>
      <c r="H352" t="s">
        <v>49</v>
      </c>
      <c r="I352" t="s">
        <v>50</v>
      </c>
      <c r="J352" t="s">
        <v>762</v>
      </c>
      <c r="K352" t="s">
        <v>356</v>
      </c>
      <c r="L352" t="s">
        <v>53</v>
      </c>
      <c r="N352" t="s">
        <v>878</v>
      </c>
      <c r="P352" t="s">
        <v>55</v>
      </c>
      <c r="R352" t="s">
        <v>56</v>
      </c>
      <c r="T352" t="s">
        <v>866</v>
      </c>
      <c r="U352" t="s">
        <v>58</v>
      </c>
      <c r="V352">
        <v>1</v>
      </c>
      <c r="W352">
        <v>1</v>
      </c>
      <c r="X352">
        <v>1</v>
      </c>
      <c r="Y352">
        <v>0</v>
      </c>
      <c r="Z352">
        <v>1</v>
      </c>
      <c r="AA352">
        <v>0</v>
      </c>
      <c r="AB352">
        <v>153.43</v>
      </c>
      <c r="AC352">
        <v>135</v>
      </c>
      <c r="AD352">
        <v>0</v>
      </c>
      <c r="AE352">
        <v>18.440000000000001</v>
      </c>
      <c r="AF352">
        <v>0</v>
      </c>
      <c r="AG352">
        <v>0</v>
      </c>
      <c r="AH352">
        <v>0</v>
      </c>
      <c r="AI352">
        <v>27.62</v>
      </c>
      <c r="AJ352">
        <v>153.44</v>
      </c>
      <c r="AK352">
        <v>0.01</v>
      </c>
      <c r="AL352" t="s">
        <v>53</v>
      </c>
      <c r="AM352" t="s">
        <v>53</v>
      </c>
      <c r="AN352" t="s">
        <v>349</v>
      </c>
      <c r="AO352" t="s">
        <v>53</v>
      </c>
      <c r="AP352" t="s">
        <v>53</v>
      </c>
    </row>
    <row r="353" spans="2:42" x14ac:dyDescent="0.2">
      <c r="B353" t="s">
        <v>44</v>
      </c>
      <c r="C353" t="str">
        <f>HYPERLINK("https://us2.cloudbeds.com/connect/8493803454333002#/reservations/598228320466?display=E173VSN6&amp;reservation_id=598228320466", "E173VSN6")</f>
        <v>E173VSN6</v>
      </c>
      <c r="D353" t="s">
        <v>45</v>
      </c>
      <c r="E353" t="s">
        <v>110</v>
      </c>
      <c r="F353" t="s">
        <v>47</v>
      </c>
      <c r="G353" t="s">
        <v>48</v>
      </c>
      <c r="H353" t="s">
        <v>71</v>
      </c>
      <c r="I353" t="s">
        <v>72</v>
      </c>
      <c r="J353" t="s">
        <v>295</v>
      </c>
      <c r="K353" t="s">
        <v>640</v>
      </c>
      <c r="L353" t="s">
        <v>53</v>
      </c>
      <c r="N353" t="s">
        <v>879</v>
      </c>
      <c r="P353" t="s">
        <v>55</v>
      </c>
      <c r="R353" t="s">
        <v>56</v>
      </c>
      <c r="T353" t="s">
        <v>866</v>
      </c>
      <c r="U353" t="s">
        <v>58</v>
      </c>
      <c r="V353">
        <v>3</v>
      </c>
      <c r="W353">
        <v>1</v>
      </c>
      <c r="X353">
        <v>1</v>
      </c>
      <c r="Y353">
        <v>0</v>
      </c>
      <c r="Z353">
        <v>1</v>
      </c>
      <c r="AA353">
        <v>0</v>
      </c>
      <c r="AB353">
        <v>450.05</v>
      </c>
      <c r="AC353">
        <v>396</v>
      </c>
      <c r="AD353">
        <v>0</v>
      </c>
      <c r="AE353">
        <v>54.06</v>
      </c>
      <c r="AF353">
        <v>0</v>
      </c>
      <c r="AG353">
        <v>0</v>
      </c>
      <c r="AH353">
        <v>0</v>
      </c>
      <c r="AI353">
        <v>0</v>
      </c>
      <c r="AJ353">
        <v>450.06</v>
      </c>
      <c r="AK353">
        <v>0.01</v>
      </c>
      <c r="AL353" t="s">
        <v>53</v>
      </c>
      <c r="AM353" t="s">
        <v>53</v>
      </c>
      <c r="AN353" t="s">
        <v>880</v>
      </c>
      <c r="AO353" t="s">
        <v>53</v>
      </c>
      <c r="AP353" t="s">
        <v>53</v>
      </c>
    </row>
    <row r="354" spans="2:42" x14ac:dyDescent="0.2">
      <c r="B354" t="s">
        <v>44</v>
      </c>
      <c r="C354" t="str">
        <f>HYPERLINK("https://us2.cloudbeds.com/connect/8493803454333002#/reservations/598315139222?display=E19B5Z2J&amp;reservation_id=598315139222", "E19B5Z2J")</f>
        <v>E19B5Z2J</v>
      </c>
      <c r="D354" t="s">
        <v>45</v>
      </c>
      <c r="E354" t="s">
        <v>78</v>
      </c>
      <c r="F354" t="s">
        <v>61</v>
      </c>
      <c r="G354" t="s">
        <v>48</v>
      </c>
      <c r="H354" t="s">
        <v>71</v>
      </c>
      <c r="I354" t="s">
        <v>72</v>
      </c>
      <c r="J354" t="s">
        <v>881</v>
      </c>
      <c r="K354" t="s">
        <v>882</v>
      </c>
      <c r="L354" t="s">
        <v>53</v>
      </c>
      <c r="N354" t="s">
        <v>883</v>
      </c>
      <c r="P354" t="s">
        <v>55</v>
      </c>
      <c r="R354" t="s">
        <v>56</v>
      </c>
      <c r="T354" t="s">
        <v>884</v>
      </c>
      <c r="U354" t="s">
        <v>58</v>
      </c>
      <c r="V354">
        <v>1</v>
      </c>
      <c r="W354">
        <v>1</v>
      </c>
      <c r="X354">
        <v>1</v>
      </c>
      <c r="Y354">
        <v>0</v>
      </c>
      <c r="Z354">
        <v>1</v>
      </c>
      <c r="AA354">
        <v>0</v>
      </c>
      <c r="AB354">
        <v>78.42</v>
      </c>
      <c r="AC354">
        <v>69</v>
      </c>
      <c r="AD354">
        <v>0</v>
      </c>
      <c r="AE354">
        <v>9.42</v>
      </c>
      <c r="AF354">
        <v>0</v>
      </c>
      <c r="AG354">
        <v>0</v>
      </c>
      <c r="AH354">
        <v>0</v>
      </c>
      <c r="AI354">
        <v>0</v>
      </c>
      <c r="AJ354">
        <v>78.42</v>
      </c>
      <c r="AK354">
        <v>0</v>
      </c>
      <c r="AL354" t="s">
        <v>53</v>
      </c>
      <c r="AM354" t="s">
        <v>53</v>
      </c>
      <c r="AN354" t="s">
        <v>885</v>
      </c>
      <c r="AO354" t="s">
        <v>53</v>
      </c>
      <c r="AP354" t="s">
        <v>53</v>
      </c>
    </row>
    <row r="355" spans="2:42" x14ac:dyDescent="0.2">
      <c r="B355" t="s">
        <v>44</v>
      </c>
      <c r="C355" t="str">
        <f>HYPERLINK("https://us2.cloudbeds.com/connect/8493803454333002#/reservations/598263943360?display=E17RWUG4&amp;reservation_id=598263943360", "E17RWUG4")</f>
        <v>E17RWUG4</v>
      </c>
      <c r="D355" t="s">
        <v>45</v>
      </c>
      <c r="E355" t="s">
        <v>223</v>
      </c>
      <c r="F355" t="s">
        <v>47</v>
      </c>
      <c r="G355" t="s">
        <v>48</v>
      </c>
      <c r="H355" t="s">
        <v>71</v>
      </c>
      <c r="I355" t="s">
        <v>72</v>
      </c>
      <c r="J355" t="s">
        <v>719</v>
      </c>
      <c r="K355" t="s">
        <v>841</v>
      </c>
      <c r="L355" t="s">
        <v>53</v>
      </c>
      <c r="N355" t="s">
        <v>886</v>
      </c>
      <c r="P355" t="s">
        <v>58</v>
      </c>
      <c r="R355" t="s">
        <v>56</v>
      </c>
      <c r="T355" t="s">
        <v>884</v>
      </c>
      <c r="U355" t="s">
        <v>58</v>
      </c>
      <c r="V355">
        <v>4</v>
      </c>
      <c r="W355">
        <v>1</v>
      </c>
      <c r="X355">
        <v>1</v>
      </c>
      <c r="Y355">
        <v>0</v>
      </c>
      <c r="Z355">
        <v>1</v>
      </c>
      <c r="AA355">
        <v>0</v>
      </c>
      <c r="AB355">
        <v>325.04000000000002</v>
      </c>
      <c r="AC355">
        <v>286</v>
      </c>
      <c r="AD355">
        <v>0</v>
      </c>
      <c r="AE355">
        <v>39</v>
      </c>
      <c r="AF355">
        <v>0</v>
      </c>
      <c r="AG355">
        <v>0</v>
      </c>
      <c r="AH355">
        <v>0</v>
      </c>
      <c r="AI355">
        <v>0</v>
      </c>
      <c r="AJ355">
        <v>325</v>
      </c>
      <c r="AK355">
        <v>-0.04</v>
      </c>
      <c r="AL355" t="s">
        <v>53</v>
      </c>
      <c r="AM355" t="s">
        <v>53</v>
      </c>
      <c r="AN355" t="s">
        <v>887</v>
      </c>
      <c r="AO355" t="s">
        <v>53</v>
      </c>
      <c r="AP355" t="s">
        <v>53</v>
      </c>
    </row>
    <row r="356" spans="2:42" x14ac:dyDescent="0.2">
      <c r="B356" t="s">
        <v>44</v>
      </c>
      <c r="C356" t="str">
        <f>HYPERLINK("https://us2.cloudbeds.com/connect/8493803454333002#/reservations/598255730823?display=E17R2JU2&amp;reservation_id=598255730823", "E17R2JU2")</f>
        <v>E17R2JU2</v>
      </c>
      <c r="D356" t="s">
        <v>45</v>
      </c>
      <c r="E356" t="s">
        <v>185</v>
      </c>
      <c r="F356" t="s">
        <v>47</v>
      </c>
      <c r="G356" t="s">
        <v>48</v>
      </c>
      <c r="H356" t="s">
        <v>49</v>
      </c>
      <c r="I356" t="s">
        <v>79</v>
      </c>
      <c r="J356" t="s">
        <v>875</v>
      </c>
      <c r="K356" t="s">
        <v>719</v>
      </c>
      <c r="L356" t="s">
        <v>53</v>
      </c>
      <c r="N356" t="s">
        <v>888</v>
      </c>
      <c r="P356" t="s">
        <v>55</v>
      </c>
      <c r="R356" t="s">
        <v>56</v>
      </c>
      <c r="T356" t="s">
        <v>884</v>
      </c>
      <c r="U356" t="s">
        <v>58</v>
      </c>
      <c r="V356">
        <v>1</v>
      </c>
      <c r="W356">
        <v>1</v>
      </c>
      <c r="X356">
        <v>1</v>
      </c>
      <c r="Y356">
        <v>0</v>
      </c>
      <c r="Z356">
        <v>1</v>
      </c>
      <c r="AA356">
        <v>0</v>
      </c>
      <c r="AB356">
        <v>75.69</v>
      </c>
      <c r="AC356">
        <v>66.599999999999994</v>
      </c>
      <c r="AD356">
        <v>0</v>
      </c>
      <c r="AE356">
        <v>9.09</v>
      </c>
      <c r="AF356">
        <v>0</v>
      </c>
      <c r="AG356">
        <v>0</v>
      </c>
      <c r="AH356">
        <v>0</v>
      </c>
      <c r="AI356">
        <v>0</v>
      </c>
      <c r="AJ356">
        <v>75.69</v>
      </c>
      <c r="AK356">
        <v>0</v>
      </c>
      <c r="AL356" t="s">
        <v>53</v>
      </c>
      <c r="AM356" t="s">
        <v>53</v>
      </c>
      <c r="AN356" t="s">
        <v>84</v>
      </c>
      <c r="AO356" t="s">
        <v>53</v>
      </c>
      <c r="AP356" t="s">
        <v>53</v>
      </c>
    </row>
    <row r="357" spans="2:42" x14ac:dyDescent="0.2">
      <c r="B357" t="s">
        <v>44</v>
      </c>
      <c r="C357" t="str">
        <f>HYPERLINK("https://us2.cloudbeds.com/connect/8493803454333002#/reservations/598097752230?display=E13PSKAV&amp;reservation_id=598097752230", "E13PSKAV")</f>
        <v>E13PSKAV</v>
      </c>
      <c r="D357" t="s">
        <v>45</v>
      </c>
      <c r="E357" t="s">
        <v>78</v>
      </c>
      <c r="F357" t="s">
        <v>61</v>
      </c>
      <c r="G357" t="s">
        <v>48</v>
      </c>
      <c r="H357" t="s">
        <v>49</v>
      </c>
      <c r="I357" t="s">
        <v>79</v>
      </c>
      <c r="J357" t="s">
        <v>743</v>
      </c>
      <c r="K357" t="s">
        <v>744</v>
      </c>
      <c r="L357" t="s">
        <v>53</v>
      </c>
      <c r="N357" t="s">
        <v>889</v>
      </c>
      <c r="P357" t="s">
        <v>55</v>
      </c>
      <c r="R357" t="s">
        <v>56</v>
      </c>
      <c r="T357" t="s">
        <v>884</v>
      </c>
      <c r="U357" t="s">
        <v>58</v>
      </c>
      <c r="V357">
        <v>1</v>
      </c>
      <c r="W357">
        <v>1</v>
      </c>
      <c r="X357">
        <v>1</v>
      </c>
      <c r="Y357">
        <v>0</v>
      </c>
      <c r="Z357">
        <v>1</v>
      </c>
      <c r="AA357">
        <v>0</v>
      </c>
      <c r="AB357">
        <v>70.58</v>
      </c>
      <c r="AC357">
        <v>62.1</v>
      </c>
      <c r="AD357">
        <v>0</v>
      </c>
      <c r="AE357">
        <v>8.4700000000000006</v>
      </c>
      <c r="AF357">
        <v>0</v>
      </c>
      <c r="AG357">
        <v>0</v>
      </c>
      <c r="AH357">
        <v>0</v>
      </c>
      <c r="AI357">
        <v>0</v>
      </c>
      <c r="AJ357">
        <v>70.569999999999993</v>
      </c>
      <c r="AK357">
        <v>-0.01</v>
      </c>
      <c r="AL357" t="s">
        <v>53</v>
      </c>
      <c r="AM357" t="s">
        <v>53</v>
      </c>
      <c r="AN357" t="s">
        <v>890</v>
      </c>
      <c r="AO357" t="s">
        <v>53</v>
      </c>
      <c r="AP357" t="s">
        <v>53</v>
      </c>
    </row>
    <row r="358" spans="2:42" x14ac:dyDescent="0.2">
      <c r="B358" t="s">
        <v>44</v>
      </c>
      <c r="C358" t="str">
        <f>HYPERLINK("https://us2.cloudbeds.com/connect/8493803454333002#/reservations/598444748949?display=E1CYFA92&amp;reservation_id=598444748949", "E1CYFA92")</f>
        <v>E1CYFA92</v>
      </c>
      <c r="D358" t="s">
        <v>45</v>
      </c>
      <c r="E358" t="s">
        <v>85</v>
      </c>
      <c r="F358" t="s">
        <v>86</v>
      </c>
      <c r="G358" t="s">
        <v>48</v>
      </c>
      <c r="H358" t="s">
        <v>71</v>
      </c>
      <c r="I358" t="s">
        <v>72</v>
      </c>
      <c r="J358" t="s">
        <v>166</v>
      </c>
      <c r="K358" t="s">
        <v>791</v>
      </c>
      <c r="L358" t="s">
        <v>53</v>
      </c>
      <c r="N358" t="s">
        <v>891</v>
      </c>
      <c r="P358" t="s">
        <v>55</v>
      </c>
      <c r="R358" t="s">
        <v>56</v>
      </c>
      <c r="T358" t="s">
        <v>884</v>
      </c>
      <c r="U358" t="s">
        <v>58</v>
      </c>
      <c r="V358">
        <v>2</v>
      </c>
      <c r="W358">
        <v>1</v>
      </c>
      <c r="X358">
        <v>1</v>
      </c>
      <c r="Y358">
        <v>0</v>
      </c>
      <c r="Z358">
        <v>1</v>
      </c>
      <c r="AA358">
        <v>0</v>
      </c>
      <c r="AB358">
        <v>200.02</v>
      </c>
      <c r="AC358">
        <v>176</v>
      </c>
      <c r="AD358">
        <v>0</v>
      </c>
      <c r="AE358">
        <v>24.02</v>
      </c>
      <c r="AF358">
        <v>0</v>
      </c>
      <c r="AG358">
        <v>0</v>
      </c>
      <c r="AH358">
        <v>0</v>
      </c>
      <c r="AI358">
        <v>0</v>
      </c>
      <c r="AJ358">
        <v>200.02</v>
      </c>
      <c r="AK358">
        <v>0</v>
      </c>
      <c r="AL358" t="s">
        <v>53</v>
      </c>
      <c r="AM358" t="s">
        <v>53</v>
      </c>
      <c r="AN358" t="s">
        <v>892</v>
      </c>
      <c r="AO358" t="s">
        <v>53</v>
      </c>
      <c r="AP358" t="s">
        <v>53</v>
      </c>
    </row>
    <row r="359" spans="2:42" x14ac:dyDescent="0.2">
      <c r="B359" t="s">
        <v>44</v>
      </c>
      <c r="C359" t="str">
        <f>HYPERLINK("https://us2.cloudbeds.com/connect/8493803454333002#/reservations/597980086402?display=E10PYCTR&amp;reservation_id=597980086402", "E10PYCTR")</f>
        <v>E10PYCTR</v>
      </c>
      <c r="D359" t="s">
        <v>45</v>
      </c>
      <c r="E359" t="s">
        <v>373</v>
      </c>
      <c r="F359" t="s">
        <v>47</v>
      </c>
      <c r="G359" t="s">
        <v>48</v>
      </c>
      <c r="H359" t="s">
        <v>49</v>
      </c>
      <c r="I359" t="s">
        <v>62</v>
      </c>
      <c r="J359" t="s">
        <v>875</v>
      </c>
      <c r="K359" t="s">
        <v>873</v>
      </c>
      <c r="L359" t="s">
        <v>53</v>
      </c>
      <c r="N359" t="s">
        <v>893</v>
      </c>
      <c r="P359" t="s">
        <v>55</v>
      </c>
      <c r="R359" t="s">
        <v>201</v>
      </c>
      <c r="T359" t="s">
        <v>884</v>
      </c>
      <c r="U359" t="s">
        <v>58</v>
      </c>
      <c r="V359">
        <v>2</v>
      </c>
      <c r="W359">
        <v>1</v>
      </c>
      <c r="X359">
        <v>1</v>
      </c>
      <c r="Y359">
        <v>0</v>
      </c>
      <c r="Z359">
        <v>1</v>
      </c>
      <c r="AA359">
        <v>0</v>
      </c>
      <c r="AB359">
        <v>161.88999999999999</v>
      </c>
      <c r="AC359">
        <v>142.44999999999999</v>
      </c>
      <c r="AD359">
        <v>0</v>
      </c>
      <c r="AE359">
        <v>19.440000000000001</v>
      </c>
      <c r="AF359">
        <v>0</v>
      </c>
      <c r="AG359">
        <v>0</v>
      </c>
      <c r="AH359">
        <v>0</v>
      </c>
      <c r="AI359">
        <v>24.28</v>
      </c>
      <c r="AJ359">
        <v>161.88999999999999</v>
      </c>
      <c r="AK359">
        <v>0</v>
      </c>
      <c r="AL359" t="s">
        <v>53</v>
      </c>
      <c r="AM359" t="s">
        <v>53</v>
      </c>
      <c r="AN359" t="s">
        <v>442</v>
      </c>
      <c r="AO359" t="s">
        <v>53</v>
      </c>
      <c r="AP359" t="s">
        <v>53</v>
      </c>
    </row>
    <row r="360" spans="2:42" x14ac:dyDescent="0.2">
      <c r="B360" t="s">
        <v>44</v>
      </c>
      <c r="C360" t="str">
        <f>HYPERLINK("https://us2.cloudbeds.com/connect/8493803454333002#/reservations/598103314560?display=E13UX9C8&amp;reservation_id=598103314560", "E13UX9C8")</f>
        <v>E13UX9C8</v>
      </c>
      <c r="D360" t="s">
        <v>45</v>
      </c>
      <c r="E360" t="s">
        <v>487</v>
      </c>
      <c r="F360" t="s">
        <v>61</v>
      </c>
      <c r="G360" t="s">
        <v>48</v>
      </c>
      <c r="H360" t="s">
        <v>49</v>
      </c>
      <c r="I360" t="s">
        <v>62</v>
      </c>
      <c r="J360" t="s">
        <v>144</v>
      </c>
      <c r="K360" t="s">
        <v>783</v>
      </c>
      <c r="L360" t="s">
        <v>53</v>
      </c>
      <c r="N360" t="s">
        <v>894</v>
      </c>
      <c r="P360" t="s">
        <v>55</v>
      </c>
      <c r="R360" t="s">
        <v>56</v>
      </c>
      <c r="T360" t="s">
        <v>895</v>
      </c>
      <c r="U360" t="s">
        <v>58</v>
      </c>
      <c r="V360">
        <v>1</v>
      </c>
      <c r="W360">
        <v>1</v>
      </c>
      <c r="X360">
        <v>1</v>
      </c>
      <c r="Y360">
        <v>0</v>
      </c>
      <c r="Z360">
        <v>1</v>
      </c>
      <c r="AA360">
        <v>0</v>
      </c>
      <c r="AB360">
        <v>185.25</v>
      </c>
      <c r="AC360">
        <v>163</v>
      </c>
      <c r="AD360">
        <v>0</v>
      </c>
      <c r="AE360">
        <v>22.26</v>
      </c>
      <c r="AF360">
        <v>0</v>
      </c>
      <c r="AG360">
        <v>0</v>
      </c>
      <c r="AH360">
        <v>0</v>
      </c>
      <c r="AI360">
        <v>27.79</v>
      </c>
      <c r="AJ360">
        <v>185.26</v>
      </c>
      <c r="AK360">
        <v>0.01</v>
      </c>
      <c r="AL360" t="s">
        <v>53</v>
      </c>
      <c r="AM360" t="s">
        <v>53</v>
      </c>
      <c r="AN360" t="s">
        <v>146</v>
      </c>
      <c r="AO360" t="s">
        <v>53</v>
      </c>
      <c r="AP360" t="s">
        <v>53</v>
      </c>
    </row>
    <row r="361" spans="2:42" x14ac:dyDescent="0.2">
      <c r="B361" t="s">
        <v>44</v>
      </c>
      <c r="C361" t="str">
        <f>HYPERLINK("https://us2.cloudbeds.com/connect/8493803454333002#/reservations/598083866781?display=E13E57MQ&amp;reservation_id=598083866781", "E13E57MQ")</f>
        <v>E13E57MQ</v>
      </c>
      <c r="D361" t="s">
        <v>45</v>
      </c>
      <c r="E361" t="s">
        <v>92</v>
      </c>
      <c r="F361" t="s">
        <v>86</v>
      </c>
      <c r="G361" t="s">
        <v>48</v>
      </c>
      <c r="H361" t="s">
        <v>49</v>
      </c>
      <c r="I361" t="s">
        <v>50</v>
      </c>
      <c r="J361" t="s">
        <v>706</v>
      </c>
      <c r="K361" t="s">
        <v>844</v>
      </c>
      <c r="L361" t="s">
        <v>53</v>
      </c>
      <c r="N361" t="s">
        <v>896</v>
      </c>
      <c r="P361" t="s">
        <v>55</v>
      </c>
      <c r="R361" t="s">
        <v>56</v>
      </c>
      <c r="T361" t="s">
        <v>895</v>
      </c>
      <c r="U361" t="s">
        <v>58</v>
      </c>
      <c r="V361">
        <v>3</v>
      </c>
      <c r="W361">
        <v>1</v>
      </c>
      <c r="X361">
        <v>1</v>
      </c>
      <c r="Y361">
        <v>0</v>
      </c>
      <c r="Z361">
        <v>1</v>
      </c>
      <c r="AA361">
        <v>0</v>
      </c>
      <c r="AB361">
        <v>306.86</v>
      </c>
      <c r="AC361">
        <v>270</v>
      </c>
      <c r="AD361">
        <v>0</v>
      </c>
      <c r="AE361">
        <v>36.869999999999997</v>
      </c>
      <c r="AF361">
        <v>0</v>
      </c>
      <c r="AG361">
        <v>0</v>
      </c>
      <c r="AH361">
        <v>0</v>
      </c>
      <c r="AI361">
        <v>55.24</v>
      </c>
      <c r="AJ361">
        <v>306.87</v>
      </c>
      <c r="AK361">
        <v>0.01</v>
      </c>
      <c r="AL361" t="s">
        <v>53</v>
      </c>
      <c r="AM361" t="s">
        <v>53</v>
      </c>
      <c r="AN361" t="s">
        <v>104</v>
      </c>
      <c r="AO361" t="s">
        <v>53</v>
      </c>
      <c r="AP361" t="s">
        <v>53</v>
      </c>
    </row>
    <row r="362" spans="2:42" x14ac:dyDescent="0.2">
      <c r="B362" t="s">
        <v>44</v>
      </c>
      <c r="C362" t="str">
        <f>HYPERLINK("https://us2.cloudbeds.com/connect/8493803454333002#/reservations/598077710543?display=E138VUJ4&amp;reservation_id=598077710543", "E138VUJ4")</f>
        <v>E138VUJ4</v>
      </c>
      <c r="D362" t="s">
        <v>45</v>
      </c>
      <c r="E362" t="s">
        <v>85</v>
      </c>
      <c r="F362" t="s">
        <v>86</v>
      </c>
      <c r="G362" t="s">
        <v>48</v>
      </c>
      <c r="H362" t="s">
        <v>49</v>
      </c>
      <c r="I362" t="s">
        <v>50</v>
      </c>
      <c r="J362" t="s">
        <v>719</v>
      </c>
      <c r="K362" t="s">
        <v>873</v>
      </c>
      <c r="L362" t="s">
        <v>53</v>
      </c>
      <c r="N362" t="s">
        <v>897</v>
      </c>
      <c r="P362" t="s">
        <v>55</v>
      </c>
      <c r="R362" t="s">
        <v>56</v>
      </c>
      <c r="T362" t="s">
        <v>895</v>
      </c>
      <c r="U362" t="s">
        <v>58</v>
      </c>
      <c r="V362">
        <v>1</v>
      </c>
      <c r="W362">
        <v>1</v>
      </c>
      <c r="X362">
        <v>1</v>
      </c>
      <c r="Y362">
        <v>0</v>
      </c>
      <c r="Z362">
        <v>1</v>
      </c>
      <c r="AA362">
        <v>0</v>
      </c>
      <c r="AB362">
        <v>85.92</v>
      </c>
      <c r="AC362">
        <v>75.599999999999994</v>
      </c>
      <c r="AD362">
        <v>0</v>
      </c>
      <c r="AE362">
        <v>10.32</v>
      </c>
      <c r="AF362">
        <v>0</v>
      </c>
      <c r="AG362">
        <v>0</v>
      </c>
      <c r="AH362">
        <v>0</v>
      </c>
      <c r="AI362">
        <v>15.47</v>
      </c>
      <c r="AJ362">
        <v>85.92</v>
      </c>
      <c r="AK362">
        <v>0</v>
      </c>
      <c r="AL362" t="s">
        <v>53</v>
      </c>
      <c r="AM362" t="s">
        <v>53</v>
      </c>
      <c r="AN362" t="s">
        <v>59</v>
      </c>
      <c r="AO362" t="s">
        <v>53</v>
      </c>
      <c r="AP362" t="s">
        <v>53</v>
      </c>
    </row>
    <row r="363" spans="2:42" x14ac:dyDescent="0.2">
      <c r="B363" t="s">
        <v>44</v>
      </c>
      <c r="C363" t="str">
        <f>HYPERLINK("https://us2.cloudbeds.com/connect/8493803454333002#/reservations/598286663928?display=E18K5BVT&amp;reservation_id=598286663928", "E18K5BVT")</f>
        <v>E18K5BVT</v>
      </c>
      <c r="D363" t="s">
        <v>45</v>
      </c>
      <c r="E363" t="s">
        <v>155</v>
      </c>
      <c r="F363" t="s">
        <v>86</v>
      </c>
      <c r="G363" t="s">
        <v>48</v>
      </c>
      <c r="H363" t="s">
        <v>49</v>
      </c>
      <c r="I363" t="s">
        <v>79</v>
      </c>
      <c r="J363" t="s">
        <v>650</v>
      </c>
      <c r="K363" t="s">
        <v>651</v>
      </c>
      <c r="L363" t="s">
        <v>53</v>
      </c>
      <c r="N363" t="s">
        <v>898</v>
      </c>
      <c r="P363" t="s">
        <v>55</v>
      </c>
      <c r="R363" t="s">
        <v>56</v>
      </c>
      <c r="T363" t="s">
        <v>895</v>
      </c>
      <c r="U363" t="s">
        <v>58</v>
      </c>
      <c r="V363">
        <v>1</v>
      </c>
      <c r="W363">
        <v>1</v>
      </c>
      <c r="X363">
        <v>1</v>
      </c>
      <c r="Y363">
        <v>0</v>
      </c>
      <c r="Z363">
        <v>1</v>
      </c>
      <c r="AA363">
        <v>0</v>
      </c>
      <c r="AB363">
        <v>91.03</v>
      </c>
      <c r="AC363">
        <v>80.099999999999994</v>
      </c>
      <c r="AD363">
        <v>0</v>
      </c>
      <c r="AE363">
        <v>10.93</v>
      </c>
      <c r="AF363">
        <v>0</v>
      </c>
      <c r="AG363">
        <v>0</v>
      </c>
      <c r="AH363">
        <v>0</v>
      </c>
      <c r="AI363">
        <v>0</v>
      </c>
      <c r="AJ363">
        <v>91.03</v>
      </c>
      <c r="AK363">
        <v>0</v>
      </c>
      <c r="AL363" t="s">
        <v>53</v>
      </c>
      <c r="AM363" t="s">
        <v>53</v>
      </c>
      <c r="AN363" t="s">
        <v>252</v>
      </c>
      <c r="AO363" t="s">
        <v>53</v>
      </c>
      <c r="AP363" t="s">
        <v>53</v>
      </c>
    </row>
    <row r="364" spans="2:42" x14ac:dyDescent="0.2">
      <c r="B364" t="s">
        <v>44</v>
      </c>
      <c r="C364" t="str">
        <f>HYPERLINK("https://us2.cloudbeds.com/connect/8493803454333002#/reservations/598249787583?display=E17M27CT&amp;reservation_id=598249787583", "E17M27CT")</f>
        <v>E17M27CT</v>
      </c>
      <c r="D364" t="s">
        <v>45</v>
      </c>
      <c r="E364" t="s">
        <v>105</v>
      </c>
      <c r="F364" t="s">
        <v>47</v>
      </c>
      <c r="G364" t="s">
        <v>48</v>
      </c>
      <c r="H364" t="s">
        <v>71</v>
      </c>
      <c r="I364" t="s">
        <v>72</v>
      </c>
      <c r="J364" t="s">
        <v>719</v>
      </c>
      <c r="K364" t="s">
        <v>873</v>
      </c>
      <c r="L364" t="s">
        <v>53</v>
      </c>
      <c r="N364" t="s">
        <v>899</v>
      </c>
      <c r="P364" t="s">
        <v>55</v>
      </c>
      <c r="R364" t="s">
        <v>56</v>
      </c>
      <c r="T364" t="s">
        <v>895</v>
      </c>
      <c r="U364" t="s">
        <v>58</v>
      </c>
      <c r="V364">
        <v>1</v>
      </c>
      <c r="W364">
        <v>1</v>
      </c>
      <c r="X364">
        <v>1</v>
      </c>
      <c r="Y364">
        <v>0</v>
      </c>
      <c r="Z364">
        <v>1</v>
      </c>
      <c r="AA364">
        <v>0</v>
      </c>
      <c r="AB364">
        <v>79.56</v>
      </c>
      <c r="AC364">
        <v>70</v>
      </c>
      <c r="AD364">
        <v>0</v>
      </c>
      <c r="AE364">
        <v>9.56</v>
      </c>
      <c r="AF364">
        <v>0</v>
      </c>
      <c r="AG364">
        <v>0</v>
      </c>
      <c r="AH364">
        <v>0</v>
      </c>
      <c r="AI364">
        <v>0</v>
      </c>
      <c r="AJ364">
        <v>79.56</v>
      </c>
      <c r="AK364">
        <v>0</v>
      </c>
      <c r="AL364" t="s">
        <v>53</v>
      </c>
      <c r="AM364" t="s">
        <v>53</v>
      </c>
      <c r="AN364" t="s">
        <v>683</v>
      </c>
      <c r="AO364" t="s">
        <v>53</v>
      </c>
      <c r="AP364" t="s">
        <v>53</v>
      </c>
    </row>
    <row r="365" spans="2:42" x14ac:dyDescent="0.2">
      <c r="B365" t="s">
        <v>44</v>
      </c>
      <c r="C365" t="str">
        <f>HYPERLINK("https://us2.cloudbeds.com/connect/8493803454333002#/reservations/598218920164?display=E16T19YX&amp;reservation_id=598218920164", "E16T19YX")</f>
        <v>E16T19YX</v>
      </c>
      <c r="D365" t="s">
        <v>45</v>
      </c>
      <c r="E365" t="s">
        <v>381</v>
      </c>
      <c r="F365" t="s">
        <v>47</v>
      </c>
      <c r="G365" t="s">
        <v>48</v>
      </c>
      <c r="H365" t="s">
        <v>49</v>
      </c>
      <c r="I365" t="s">
        <v>79</v>
      </c>
      <c r="J365" t="s">
        <v>833</v>
      </c>
      <c r="K365" t="s">
        <v>850</v>
      </c>
      <c r="L365" t="s">
        <v>53</v>
      </c>
      <c r="N365" t="s">
        <v>900</v>
      </c>
      <c r="P365" t="s">
        <v>55</v>
      </c>
      <c r="R365" t="s">
        <v>56</v>
      </c>
      <c r="T365" t="s">
        <v>895</v>
      </c>
      <c r="U365" t="s">
        <v>58</v>
      </c>
      <c r="V365">
        <v>5</v>
      </c>
      <c r="W365">
        <v>1</v>
      </c>
      <c r="X365">
        <v>1</v>
      </c>
      <c r="Y365">
        <v>0</v>
      </c>
      <c r="Z365">
        <v>1</v>
      </c>
      <c r="AA365">
        <v>0</v>
      </c>
      <c r="AB365">
        <v>404.03</v>
      </c>
      <c r="AC365">
        <v>355.5</v>
      </c>
      <c r="AD365">
        <v>0</v>
      </c>
      <c r="AE365">
        <v>48.5</v>
      </c>
      <c r="AF365">
        <v>0</v>
      </c>
      <c r="AG365">
        <v>0</v>
      </c>
      <c r="AH365">
        <v>0</v>
      </c>
      <c r="AI365">
        <v>0</v>
      </c>
      <c r="AJ365">
        <v>404</v>
      </c>
      <c r="AK365">
        <v>-0.03</v>
      </c>
      <c r="AL365" t="s">
        <v>53</v>
      </c>
      <c r="AM365" t="s">
        <v>53</v>
      </c>
      <c r="AN365" t="s">
        <v>198</v>
      </c>
      <c r="AO365" t="s">
        <v>53</v>
      </c>
      <c r="AP365" t="s">
        <v>53</v>
      </c>
    </row>
    <row r="366" spans="2:42" x14ac:dyDescent="0.2">
      <c r="B366" t="s">
        <v>44</v>
      </c>
      <c r="C366" t="str">
        <f>HYPERLINK("https://us2.cloudbeds.com/connect/8493803454333002#/reservations/598383976615?display=E1B377Y6&amp;reservation_id=598383976615", "E1B377Y6")</f>
        <v>E1B377Y6</v>
      </c>
      <c r="D366" t="s">
        <v>45</v>
      </c>
      <c r="E366" t="s">
        <v>190</v>
      </c>
      <c r="F366" t="s">
        <v>61</v>
      </c>
      <c r="G366" t="s">
        <v>48</v>
      </c>
      <c r="H366" t="s">
        <v>49</v>
      </c>
      <c r="I366" t="s">
        <v>50</v>
      </c>
      <c r="J366" t="s">
        <v>901</v>
      </c>
      <c r="K366" t="s">
        <v>115</v>
      </c>
      <c r="L366" t="s">
        <v>53</v>
      </c>
      <c r="N366" t="s">
        <v>902</v>
      </c>
      <c r="P366" t="s">
        <v>55</v>
      </c>
      <c r="R366" t="s">
        <v>56</v>
      </c>
      <c r="T366" t="s">
        <v>895</v>
      </c>
      <c r="U366" t="s">
        <v>58</v>
      </c>
      <c r="V366">
        <v>3</v>
      </c>
      <c r="W366">
        <v>1</v>
      </c>
      <c r="X366">
        <v>1</v>
      </c>
      <c r="Y366">
        <v>0</v>
      </c>
      <c r="Z366">
        <v>1</v>
      </c>
      <c r="AA366">
        <v>0</v>
      </c>
      <c r="AB366">
        <v>276.17</v>
      </c>
      <c r="AC366">
        <v>243</v>
      </c>
      <c r="AD366">
        <v>0</v>
      </c>
      <c r="AE366">
        <v>33.18</v>
      </c>
      <c r="AF366">
        <v>0</v>
      </c>
      <c r="AG366">
        <v>0</v>
      </c>
      <c r="AH366">
        <v>0</v>
      </c>
      <c r="AI366">
        <v>49.71</v>
      </c>
      <c r="AJ366">
        <v>276.18</v>
      </c>
      <c r="AK366">
        <v>0.01</v>
      </c>
      <c r="AL366" t="s">
        <v>53</v>
      </c>
      <c r="AM366" t="s">
        <v>53</v>
      </c>
      <c r="AN366" t="s">
        <v>91</v>
      </c>
      <c r="AO366" t="s">
        <v>53</v>
      </c>
      <c r="AP366" t="s">
        <v>53</v>
      </c>
    </row>
    <row r="367" spans="2:42" x14ac:dyDescent="0.2">
      <c r="B367" t="s">
        <v>44</v>
      </c>
      <c r="C367" t="str">
        <f>HYPERLINK("https://us2.cloudbeds.com/connect/8493803454333002#/reservations/598525022434?display=E1EN519U&amp;reservation_id=598525022434", "E1EN519U")</f>
        <v>E1EN519U</v>
      </c>
      <c r="D367" t="s">
        <v>45</v>
      </c>
      <c r="E367" t="s">
        <v>138</v>
      </c>
      <c r="F367" t="s">
        <v>70</v>
      </c>
      <c r="G367" t="s">
        <v>48</v>
      </c>
      <c r="H367" t="s">
        <v>49</v>
      </c>
      <c r="I367" t="s">
        <v>50</v>
      </c>
      <c r="J367" t="s">
        <v>706</v>
      </c>
      <c r="K367" t="s">
        <v>901</v>
      </c>
      <c r="L367" t="s">
        <v>53</v>
      </c>
      <c r="N367" t="s">
        <v>903</v>
      </c>
      <c r="P367" t="s">
        <v>55</v>
      </c>
      <c r="R367" t="s">
        <v>56</v>
      </c>
      <c r="T367" t="s">
        <v>904</v>
      </c>
      <c r="U367" t="s">
        <v>58</v>
      </c>
      <c r="V367">
        <v>1</v>
      </c>
      <c r="W367">
        <v>1</v>
      </c>
      <c r="X367">
        <v>1</v>
      </c>
      <c r="Y367">
        <v>0</v>
      </c>
      <c r="Z367">
        <v>1</v>
      </c>
      <c r="AA367">
        <v>0</v>
      </c>
      <c r="AB367">
        <v>75.69</v>
      </c>
      <c r="AC367">
        <v>66.599999999999994</v>
      </c>
      <c r="AD367">
        <v>0</v>
      </c>
      <c r="AE367">
        <v>9.09</v>
      </c>
      <c r="AF367">
        <v>0</v>
      </c>
      <c r="AG367">
        <v>0</v>
      </c>
      <c r="AH367">
        <v>0</v>
      </c>
      <c r="AI367">
        <v>13.62</v>
      </c>
      <c r="AJ367">
        <v>75.69</v>
      </c>
      <c r="AK367">
        <v>0</v>
      </c>
      <c r="AL367" t="s">
        <v>53</v>
      </c>
      <c r="AM367" t="s">
        <v>53</v>
      </c>
      <c r="AN367" t="s">
        <v>159</v>
      </c>
      <c r="AO367" t="s">
        <v>53</v>
      </c>
      <c r="AP367" t="s">
        <v>53</v>
      </c>
    </row>
    <row r="368" spans="2:42" x14ac:dyDescent="0.2">
      <c r="B368" t="s">
        <v>44</v>
      </c>
      <c r="C368" t="str">
        <f>HYPERLINK("https://us2.cloudbeds.com/connect/8493803454333002#/reservations/598374973677?display=E1ASKNFT&amp;reservation_id=598374973677", "E1ASKNFT")</f>
        <v>E1ASKNFT</v>
      </c>
      <c r="D368" t="s">
        <v>45</v>
      </c>
      <c r="E368" t="s">
        <v>113</v>
      </c>
      <c r="F368" t="s">
        <v>61</v>
      </c>
      <c r="G368" t="s">
        <v>48</v>
      </c>
      <c r="H368" t="s">
        <v>49</v>
      </c>
      <c r="I368" t="s">
        <v>50</v>
      </c>
      <c r="J368" t="s">
        <v>650</v>
      </c>
      <c r="K368" t="s">
        <v>839</v>
      </c>
      <c r="L368" t="s">
        <v>53</v>
      </c>
      <c r="N368" t="s">
        <v>905</v>
      </c>
      <c r="P368" t="s">
        <v>55</v>
      </c>
      <c r="R368" t="s">
        <v>56</v>
      </c>
      <c r="T368" t="s">
        <v>904</v>
      </c>
      <c r="U368" t="s">
        <v>58</v>
      </c>
      <c r="V368">
        <v>3</v>
      </c>
      <c r="W368">
        <v>1</v>
      </c>
      <c r="X368">
        <v>1</v>
      </c>
      <c r="Y368">
        <v>0</v>
      </c>
      <c r="Z368">
        <v>1</v>
      </c>
      <c r="AA368">
        <v>0</v>
      </c>
      <c r="AB368">
        <v>252.64</v>
      </c>
      <c r="AC368">
        <v>222.3</v>
      </c>
      <c r="AD368">
        <v>0</v>
      </c>
      <c r="AE368">
        <v>30.33</v>
      </c>
      <c r="AF368">
        <v>0</v>
      </c>
      <c r="AG368">
        <v>0</v>
      </c>
      <c r="AH368">
        <v>0</v>
      </c>
      <c r="AI368">
        <v>45.47</v>
      </c>
      <c r="AJ368">
        <v>252.63</v>
      </c>
      <c r="AK368">
        <v>-0.01</v>
      </c>
      <c r="AL368" t="s">
        <v>53</v>
      </c>
      <c r="AM368" t="s">
        <v>53</v>
      </c>
      <c r="AN368" t="s">
        <v>137</v>
      </c>
      <c r="AO368" t="s">
        <v>53</v>
      </c>
      <c r="AP368" t="s">
        <v>53</v>
      </c>
    </row>
    <row r="369" spans="2:42" x14ac:dyDescent="0.2">
      <c r="B369" t="s">
        <v>44</v>
      </c>
      <c r="C369" t="str">
        <f>HYPERLINK("https://us2.cloudbeds.com/connect/8493803454333002#/reservations/598431957201?display=E1CAMBVA&amp;reservation_id=598431957201", "E1CAMBVA")</f>
        <v>E1CAMBVA</v>
      </c>
      <c r="D369" t="s">
        <v>45</v>
      </c>
      <c r="E369" t="s">
        <v>138</v>
      </c>
      <c r="F369" t="s">
        <v>70</v>
      </c>
      <c r="G369" t="s">
        <v>48</v>
      </c>
      <c r="H369" t="s">
        <v>71</v>
      </c>
      <c r="I369" t="s">
        <v>72</v>
      </c>
      <c r="J369" t="s">
        <v>354</v>
      </c>
      <c r="K369" t="s">
        <v>359</v>
      </c>
      <c r="L369" t="s">
        <v>53</v>
      </c>
      <c r="N369" t="s">
        <v>906</v>
      </c>
      <c r="P369" t="s">
        <v>55</v>
      </c>
      <c r="R369" t="s">
        <v>56</v>
      </c>
      <c r="T369" t="s">
        <v>904</v>
      </c>
      <c r="U369" t="s">
        <v>58</v>
      </c>
      <c r="V369">
        <v>2</v>
      </c>
      <c r="W369">
        <v>1</v>
      </c>
      <c r="X369">
        <v>1</v>
      </c>
      <c r="Y369">
        <v>0</v>
      </c>
      <c r="Z369">
        <v>1</v>
      </c>
      <c r="AA369">
        <v>0</v>
      </c>
      <c r="AB369">
        <v>209.46</v>
      </c>
      <c r="AC369">
        <v>184.3</v>
      </c>
      <c r="AD369">
        <v>0</v>
      </c>
      <c r="AE369">
        <v>25.16</v>
      </c>
      <c r="AF369">
        <v>0</v>
      </c>
      <c r="AG369">
        <v>0</v>
      </c>
      <c r="AH369">
        <v>0</v>
      </c>
      <c r="AI369">
        <v>0</v>
      </c>
      <c r="AJ369">
        <v>209.46</v>
      </c>
      <c r="AK369">
        <v>0</v>
      </c>
      <c r="AL369" t="s">
        <v>53</v>
      </c>
      <c r="AM369" t="s">
        <v>53</v>
      </c>
      <c r="AN369" t="s">
        <v>907</v>
      </c>
      <c r="AO369" t="s">
        <v>53</v>
      </c>
      <c r="AP369" t="s">
        <v>53</v>
      </c>
    </row>
    <row r="370" spans="2:42" x14ac:dyDescent="0.2">
      <c r="B370" t="s">
        <v>44</v>
      </c>
      <c r="C370" t="str">
        <f>HYPERLINK("https://us2.cloudbeds.com/connect/8493803454333002#/reservations/598276051138?display=E18B71H6&amp;reservation_id=598276051138", "E18B71H6")</f>
        <v>E18B71H6</v>
      </c>
      <c r="D370" t="s">
        <v>45</v>
      </c>
      <c r="E370" t="s">
        <v>105</v>
      </c>
      <c r="F370" t="s">
        <v>47</v>
      </c>
      <c r="G370" t="s">
        <v>48</v>
      </c>
      <c r="H370" t="s">
        <v>49</v>
      </c>
      <c r="I370" t="s">
        <v>50</v>
      </c>
      <c r="J370" t="s">
        <v>882</v>
      </c>
      <c r="K370" t="s">
        <v>801</v>
      </c>
      <c r="L370" t="s">
        <v>53</v>
      </c>
      <c r="N370" t="s">
        <v>908</v>
      </c>
      <c r="P370" t="s">
        <v>55</v>
      </c>
      <c r="R370" t="s">
        <v>56</v>
      </c>
      <c r="T370" t="s">
        <v>904</v>
      </c>
      <c r="U370" t="s">
        <v>58</v>
      </c>
      <c r="V370">
        <v>1</v>
      </c>
      <c r="W370">
        <v>1</v>
      </c>
      <c r="X370">
        <v>1</v>
      </c>
      <c r="Y370">
        <v>0</v>
      </c>
      <c r="Z370">
        <v>1</v>
      </c>
      <c r="AA370">
        <v>0</v>
      </c>
      <c r="AB370">
        <v>69.55</v>
      </c>
      <c r="AC370">
        <v>61.2</v>
      </c>
      <c r="AD370">
        <v>0</v>
      </c>
      <c r="AE370">
        <v>8.34</v>
      </c>
      <c r="AF370">
        <v>0</v>
      </c>
      <c r="AG370">
        <v>0</v>
      </c>
      <c r="AH370">
        <v>0</v>
      </c>
      <c r="AI370">
        <v>12.52</v>
      </c>
      <c r="AJ370">
        <v>69.540000000000006</v>
      </c>
      <c r="AK370">
        <v>-0.01</v>
      </c>
      <c r="AL370" t="s">
        <v>53</v>
      </c>
      <c r="AM370" t="s">
        <v>53</v>
      </c>
      <c r="AN370" t="s">
        <v>413</v>
      </c>
      <c r="AO370" t="s">
        <v>53</v>
      </c>
      <c r="AP370" t="s">
        <v>53</v>
      </c>
    </row>
    <row r="371" spans="2:42" x14ac:dyDescent="0.2">
      <c r="B371" t="s">
        <v>44</v>
      </c>
      <c r="C371" t="str">
        <f>HYPERLINK("https://us2.cloudbeds.com/connect/8493803454333002#/reservations/598536655077?display=E1EWVZ86&amp;reservation_id=598536655077", "E1EWVZ86")</f>
        <v>E1EWVZ86</v>
      </c>
      <c r="D371" t="s">
        <v>45</v>
      </c>
      <c r="E371" t="s">
        <v>110</v>
      </c>
      <c r="F371" t="s">
        <v>47</v>
      </c>
      <c r="G371" t="s">
        <v>48</v>
      </c>
      <c r="H371" t="s">
        <v>49</v>
      </c>
      <c r="I371" t="s">
        <v>50</v>
      </c>
      <c r="J371" t="s">
        <v>650</v>
      </c>
      <c r="K371" t="s">
        <v>841</v>
      </c>
      <c r="L371" t="s">
        <v>53</v>
      </c>
      <c r="N371" t="s">
        <v>909</v>
      </c>
      <c r="P371" t="s">
        <v>55</v>
      </c>
      <c r="R371" t="s">
        <v>56</v>
      </c>
      <c r="T371" t="s">
        <v>904</v>
      </c>
      <c r="U371" t="s">
        <v>58</v>
      </c>
      <c r="V371">
        <v>2</v>
      </c>
      <c r="W371">
        <v>1</v>
      </c>
      <c r="X371">
        <v>1</v>
      </c>
      <c r="Y371">
        <v>0</v>
      </c>
      <c r="Z371">
        <v>1</v>
      </c>
      <c r="AA371">
        <v>0</v>
      </c>
      <c r="AB371">
        <v>157.52000000000001</v>
      </c>
      <c r="AC371">
        <v>138.6</v>
      </c>
      <c r="AD371">
        <v>0</v>
      </c>
      <c r="AE371">
        <v>18.940000000000001</v>
      </c>
      <c r="AF371">
        <v>0</v>
      </c>
      <c r="AG371">
        <v>0</v>
      </c>
      <c r="AH371">
        <v>0</v>
      </c>
      <c r="AI371">
        <v>28.36</v>
      </c>
      <c r="AJ371">
        <v>157.54</v>
      </c>
      <c r="AK371">
        <v>0.02</v>
      </c>
      <c r="AL371" t="s">
        <v>53</v>
      </c>
      <c r="AM371" t="s">
        <v>53</v>
      </c>
      <c r="AN371" t="s">
        <v>84</v>
      </c>
      <c r="AO371" t="s">
        <v>53</v>
      </c>
      <c r="AP371" t="s">
        <v>53</v>
      </c>
    </row>
    <row r="372" spans="2:42" x14ac:dyDescent="0.2">
      <c r="B372" t="s">
        <v>44</v>
      </c>
      <c r="C372" t="str">
        <f>HYPERLINK("https://us2.cloudbeds.com/connect/8493803454333002#/reservations/597950128355?display=E100CP77&amp;reservation_id=597950128355", "E100CP77")</f>
        <v>E100CP77</v>
      </c>
      <c r="D372" t="s">
        <v>45</v>
      </c>
      <c r="E372" t="s">
        <v>381</v>
      </c>
      <c r="F372" t="s">
        <v>47</v>
      </c>
      <c r="G372" t="s">
        <v>48</v>
      </c>
      <c r="H372" t="s">
        <v>71</v>
      </c>
      <c r="I372" t="s">
        <v>72</v>
      </c>
      <c r="J372" t="s">
        <v>106</v>
      </c>
      <c r="K372" t="s">
        <v>107</v>
      </c>
      <c r="L372" t="s">
        <v>53</v>
      </c>
      <c r="N372" t="s">
        <v>910</v>
      </c>
      <c r="P372" t="s">
        <v>55</v>
      </c>
      <c r="R372" t="s">
        <v>56</v>
      </c>
      <c r="T372" t="s">
        <v>904</v>
      </c>
      <c r="U372" t="s">
        <v>58</v>
      </c>
      <c r="V372">
        <v>2</v>
      </c>
      <c r="W372">
        <v>1</v>
      </c>
      <c r="X372">
        <v>1</v>
      </c>
      <c r="Y372">
        <v>0</v>
      </c>
      <c r="Z372">
        <v>1</v>
      </c>
      <c r="AA372">
        <v>0</v>
      </c>
      <c r="AB372">
        <v>302.31</v>
      </c>
      <c r="AC372">
        <v>266</v>
      </c>
      <c r="AD372">
        <v>0</v>
      </c>
      <c r="AE372">
        <v>36.32</v>
      </c>
      <c r="AF372">
        <v>0</v>
      </c>
      <c r="AG372">
        <v>0</v>
      </c>
      <c r="AH372">
        <v>0</v>
      </c>
      <c r="AI372">
        <v>0</v>
      </c>
      <c r="AJ372">
        <v>302.32</v>
      </c>
      <c r="AK372">
        <v>0.01</v>
      </c>
      <c r="AL372" t="s">
        <v>53</v>
      </c>
      <c r="AM372" t="s">
        <v>53</v>
      </c>
      <c r="AN372" t="s">
        <v>911</v>
      </c>
      <c r="AO372" t="s">
        <v>53</v>
      </c>
      <c r="AP372" t="s">
        <v>53</v>
      </c>
    </row>
    <row r="373" spans="2:42" x14ac:dyDescent="0.2">
      <c r="B373" t="s">
        <v>44</v>
      </c>
      <c r="C373" t="str">
        <f>HYPERLINK("https://us2.cloudbeds.com/connect/8493803454333002#/reservations/598241341652?display=E17EV6NJ&amp;reservation_id=598241341652", "E17EV6NJ")</f>
        <v>E17EV6NJ</v>
      </c>
      <c r="D373" t="s">
        <v>45</v>
      </c>
      <c r="E373" t="s">
        <v>46</v>
      </c>
      <c r="F373" t="s">
        <v>47</v>
      </c>
      <c r="G373" t="s">
        <v>48</v>
      </c>
      <c r="H373" t="s">
        <v>71</v>
      </c>
      <c r="I373" t="s">
        <v>72</v>
      </c>
      <c r="J373" t="s">
        <v>873</v>
      </c>
      <c r="K373" t="s">
        <v>650</v>
      </c>
      <c r="L373" t="s">
        <v>53</v>
      </c>
      <c r="N373" t="s">
        <v>912</v>
      </c>
      <c r="P373" t="s">
        <v>55</v>
      </c>
      <c r="R373" t="s">
        <v>56</v>
      </c>
      <c r="T373" t="s">
        <v>904</v>
      </c>
      <c r="U373" t="s">
        <v>58</v>
      </c>
      <c r="V373">
        <v>1</v>
      </c>
      <c r="W373">
        <v>1</v>
      </c>
      <c r="X373">
        <v>1</v>
      </c>
      <c r="Y373">
        <v>0</v>
      </c>
      <c r="Z373">
        <v>1</v>
      </c>
      <c r="AA373">
        <v>0</v>
      </c>
      <c r="AB373">
        <v>70.459999999999994</v>
      </c>
      <c r="AC373">
        <v>62</v>
      </c>
      <c r="AD373">
        <v>0</v>
      </c>
      <c r="AE373">
        <v>8.4700000000000006</v>
      </c>
      <c r="AF373">
        <v>0</v>
      </c>
      <c r="AG373">
        <v>0</v>
      </c>
      <c r="AH373">
        <v>0</v>
      </c>
      <c r="AI373">
        <v>0</v>
      </c>
      <c r="AJ373">
        <v>70.47</v>
      </c>
      <c r="AK373">
        <v>0.01</v>
      </c>
      <c r="AL373" t="s">
        <v>53</v>
      </c>
      <c r="AM373" t="s">
        <v>53</v>
      </c>
      <c r="AN373" t="s">
        <v>378</v>
      </c>
      <c r="AO373" t="s">
        <v>53</v>
      </c>
      <c r="AP373" t="s">
        <v>53</v>
      </c>
    </row>
    <row r="374" spans="2:42" x14ac:dyDescent="0.2">
      <c r="B374" t="s">
        <v>44</v>
      </c>
      <c r="C374" t="str">
        <f>HYPERLINK("https://us2.cloudbeds.com/connect/8493803454333002#/reservations/598053077180?display=E12Y6FDX&amp;reservation_id=598053077180", "E12Y6FDX")</f>
        <v>E12Y6FDX</v>
      </c>
      <c r="D374" t="s">
        <v>45</v>
      </c>
      <c r="E374" t="s">
        <v>69</v>
      </c>
      <c r="F374" t="s">
        <v>70</v>
      </c>
      <c r="G374" t="s">
        <v>48</v>
      </c>
      <c r="H374" t="s">
        <v>49</v>
      </c>
      <c r="I374" t="s">
        <v>50</v>
      </c>
      <c r="J374" t="s">
        <v>651</v>
      </c>
      <c r="K374" t="s">
        <v>841</v>
      </c>
      <c r="L374" t="s">
        <v>53</v>
      </c>
      <c r="N374" t="s">
        <v>913</v>
      </c>
      <c r="P374" t="s">
        <v>55</v>
      </c>
      <c r="R374" t="s">
        <v>56</v>
      </c>
      <c r="T374" t="s">
        <v>914</v>
      </c>
      <c r="U374" t="s">
        <v>58</v>
      </c>
      <c r="V374">
        <v>1</v>
      </c>
      <c r="W374">
        <v>1</v>
      </c>
      <c r="X374">
        <v>1</v>
      </c>
      <c r="Y374">
        <v>0</v>
      </c>
      <c r="Z374">
        <v>1</v>
      </c>
      <c r="AA374">
        <v>0</v>
      </c>
      <c r="AB374">
        <v>70.58</v>
      </c>
      <c r="AC374">
        <v>62.1</v>
      </c>
      <c r="AD374">
        <v>0</v>
      </c>
      <c r="AE374">
        <v>8.4700000000000006</v>
      </c>
      <c r="AF374">
        <v>0</v>
      </c>
      <c r="AG374">
        <v>0</v>
      </c>
      <c r="AH374">
        <v>0</v>
      </c>
      <c r="AI374">
        <v>12.7</v>
      </c>
      <c r="AJ374">
        <v>70.569999999999993</v>
      </c>
      <c r="AK374">
        <v>-0.01</v>
      </c>
      <c r="AL374" t="s">
        <v>53</v>
      </c>
      <c r="AM374" t="s">
        <v>53</v>
      </c>
      <c r="AN374" t="s">
        <v>142</v>
      </c>
      <c r="AO374" t="s">
        <v>53</v>
      </c>
      <c r="AP374" t="s">
        <v>53</v>
      </c>
    </row>
    <row r="375" spans="2:42" x14ac:dyDescent="0.2">
      <c r="B375" t="s">
        <v>44</v>
      </c>
      <c r="C375" t="str">
        <f>HYPERLINK("https://us2.cloudbeds.com/connect/8493803454333002#/reservations/598294974609?display=E18R5KEN&amp;reservation_id=598294974609", "E18R5KEN")</f>
        <v>E18R5KEN</v>
      </c>
      <c r="D375" t="s">
        <v>45</v>
      </c>
      <c r="E375" t="s">
        <v>138</v>
      </c>
      <c r="F375" t="s">
        <v>70</v>
      </c>
      <c r="G375" t="s">
        <v>48</v>
      </c>
      <c r="H375" t="s">
        <v>49</v>
      </c>
      <c r="I375" t="s">
        <v>62</v>
      </c>
      <c r="J375" t="s">
        <v>915</v>
      </c>
      <c r="K375" t="s">
        <v>232</v>
      </c>
      <c r="L375" t="s">
        <v>53</v>
      </c>
      <c r="N375" t="s">
        <v>916</v>
      </c>
      <c r="P375" t="s">
        <v>55</v>
      </c>
      <c r="R375" t="s">
        <v>56</v>
      </c>
      <c r="T375" t="s">
        <v>914</v>
      </c>
      <c r="U375" t="s">
        <v>58</v>
      </c>
      <c r="V375">
        <v>1</v>
      </c>
      <c r="W375">
        <v>1</v>
      </c>
      <c r="X375">
        <v>1</v>
      </c>
      <c r="Y375">
        <v>0</v>
      </c>
      <c r="Z375">
        <v>1</v>
      </c>
      <c r="AA375">
        <v>0</v>
      </c>
      <c r="AB375">
        <v>79.95</v>
      </c>
      <c r="AC375">
        <v>70.349999999999994</v>
      </c>
      <c r="AD375">
        <v>0</v>
      </c>
      <c r="AE375">
        <v>9.6</v>
      </c>
      <c r="AF375">
        <v>0</v>
      </c>
      <c r="AG375">
        <v>0</v>
      </c>
      <c r="AH375">
        <v>0</v>
      </c>
      <c r="AI375">
        <v>11.99</v>
      </c>
      <c r="AJ375">
        <v>79.95</v>
      </c>
      <c r="AK375">
        <v>0</v>
      </c>
      <c r="AL375" t="s">
        <v>53</v>
      </c>
      <c r="AM375" t="s">
        <v>53</v>
      </c>
      <c r="AN375" t="s">
        <v>917</v>
      </c>
      <c r="AO375" t="s">
        <v>53</v>
      </c>
      <c r="AP375" t="s">
        <v>53</v>
      </c>
    </row>
    <row r="376" spans="2:42" x14ac:dyDescent="0.2">
      <c r="B376" t="s">
        <v>44</v>
      </c>
      <c r="C376" t="str">
        <f>HYPERLINK("https://us2.cloudbeds.com/connect/8493803454333002#/reservations/598573330659?display=E1FUT9FG&amp;reservation_id=598573330659", "E1FUT9FG")</f>
        <v>E1FUT9FG</v>
      </c>
      <c r="D376" t="s">
        <v>45</v>
      </c>
      <c r="E376" t="s">
        <v>265</v>
      </c>
      <c r="F376" t="s">
        <v>61</v>
      </c>
      <c r="G376" t="s">
        <v>48</v>
      </c>
      <c r="H376" t="s">
        <v>71</v>
      </c>
      <c r="I376" t="s">
        <v>72</v>
      </c>
      <c r="J376" t="s">
        <v>143</v>
      </c>
      <c r="K376" t="s">
        <v>196</v>
      </c>
      <c r="L376" t="s">
        <v>53</v>
      </c>
      <c r="N376" t="s">
        <v>918</v>
      </c>
      <c r="P376" t="s">
        <v>55</v>
      </c>
      <c r="R376" t="s">
        <v>56</v>
      </c>
      <c r="T376" t="s">
        <v>914</v>
      </c>
      <c r="U376" t="s">
        <v>58</v>
      </c>
      <c r="V376">
        <v>3</v>
      </c>
      <c r="W376">
        <v>1</v>
      </c>
      <c r="X376">
        <v>1</v>
      </c>
      <c r="Y376">
        <v>0</v>
      </c>
      <c r="Z376">
        <v>1</v>
      </c>
      <c r="AA376">
        <v>0</v>
      </c>
      <c r="AB376">
        <v>538.70000000000005</v>
      </c>
      <c r="AC376">
        <v>474</v>
      </c>
      <c r="AD376">
        <v>0</v>
      </c>
      <c r="AE376">
        <v>64.709999999999994</v>
      </c>
      <c r="AF376">
        <v>0</v>
      </c>
      <c r="AG376">
        <v>0</v>
      </c>
      <c r="AH376">
        <v>0</v>
      </c>
      <c r="AI376">
        <v>0</v>
      </c>
      <c r="AJ376">
        <v>538.71</v>
      </c>
      <c r="AK376">
        <v>0.01</v>
      </c>
      <c r="AL376" t="s">
        <v>53</v>
      </c>
      <c r="AM376" t="s">
        <v>53</v>
      </c>
      <c r="AN376" t="s">
        <v>919</v>
      </c>
      <c r="AO376" t="s">
        <v>53</v>
      </c>
      <c r="AP376" t="s">
        <v>53</v>
      </c>
    </row>
    <row r="377" spans="2:42" x14ac:dyDescent="0.2">
      <c r="B377" t="s">
        <v>44</v>
      </c>
      <c r="C377" t="str">
        <f>HYPERLINK("https://us2.cloudbeds.com/connect/8493803454333002#/reservations/598519230656?display=E1EDBXR1&amp;reservation_id=598519230656", "E1EDBXR1")</f>
        <v>E1EDBXR1</v>
      </c>
      <c r="D377" t="s">
        <v>45</v>
      </c>
      <c r="E377" t="s">
        <v>121</v>
      </c>
      <c r="F377" t="s">
        <v>86</v>
      </c>
      <c r="G377" t="s">
        <v>48</v>
      </c>
      <c r="H377" t="s">
        <v>71</v>
      </c>
      <c r="I377" t="s">
        <v>72</v>
      </c>
      <c r="J377" t="s">
        <v>167</v>
      </c>
      <c r="K377" t="s">
        <v>791</v>
      </c>
      <c r="L377" t="s">
        <v>53</v>
      </c>
      <c r="N377" t="s">
        <v>920</v>
      </c>
      <c r="P377" t="s">
        <v>55</v>
      </c>
      <c r="R377" t="s">
        <v>56</v>
      </c>
      <c r="T377" t="s">
        <v>914</v>
      </c>
      <c r="U377" t="s">
        <v>58</v>
      </c>
      <c r="V377">
        <v>1</v>
      </c>
      <c r="W377">
        <v>1</v>
      </c>
      <c r="X377">
        <v>1</v>
      </c>
      <c r="Y377">
        <v>0</v>
      </c>
      <c r="Z377">
        <v>1</v>
      </c>
      <c r="AA377">
        <v>0</v>
      </c>
      <c r="AB377">
        <v>97.74</v>
      </c>
      <c r="AC377">
        <v>86</v>
      </c>
      <c r="AD377">
        <v>0</v>
      </c>
      <c r="AE377">
        <v>11.74</v>
      </c>
      <c r="AF377">
        <v>0</v>
      </c>
      <c r="AG377">
        <v>0</v>
      </c>
      <c r="AH377">
        <v>0</v>
      </c>
      <c r="AI377">
        <v>0</v>
      </c>
      <c r="AJ377">
        <v>97.74</v>
      </c>
      <c r="AK377">
        <v>0</v>
      </c>
      <c r="AL377" t="s">
        <v>53</v>
      </c>
      <c r="AM377" t="s">
        <v>53</v>
      </c>
      <c r="AN377" t="s">
        <v>921</v>
      </c>
      <c r="AO377" t="s">
        <v>53</v>
      </c>
      <c r="AP377" t="s">
        <v>53</v>
      </c>
    </row>
    <row r="378" spans="2:42" x14ac:dyDescent="0.2">
      <c r="B378" t="s">
        <v>44</v>
      </c>
      <c r="C378" t="str">
        <f>HYPERLINK("https://us2.cloudbeds.com/connect/8493803454333002#/reservations/598471454926?display=E1DAWEM3&amp;reservation_id=598471454926", "E1DAWEM3")</f>
        <v>E1DAWEM3</v>
      </c>
      <c r="D378" t="s">
        <v>45</v>
      </c>
      <c r="E378" t="s">
        <v>46</v>
      </c>
      <c r="F378" t="s">
        <v>47</v>
      </c>
      <c r="G378" t="s">
        <v>48</v>
      </c>
      <c r="H378" t="s">
        <v>49</v>
      </c>
      <c r="I378" t="s">
        <v>62</v>
      </c>
      <c r="J378" t="s">
        <v>922</v>
      </c>
      <c r="K378" t="s">
        <v>107</v>
      </c>
      <c r="L378" t="s">
        <v>53</v>
      </c>
      <c r="N378" t="s">
        <v>923</v>
      </c>
      <c r="P378" t="s">
        <v>55</v>
      </c>
      <c r="R378" t="s">
        <v>118</v>
      </c>
      <c r="T378" t="s">
        <v>914</v>
      </c>
      <c r="U378" t="s">
        <v>58</v>
      </c>
      <c r="V378">
        <v>1</v>
      </c>
      <c r="W378">
        <v>1</v>
      </c>
      <c r="X378">
        <v>1</v>
      </c>
      <c r="Y378">
        <v>0</v>
      </c>
      <c r="Z378">
        <v>1</v>
      </c>
      <c r="AA378">
        <v>0</v>
      </c>
      <c r="AB378">
        <v>155.69999999999999</v>
      </c>
      <c r="AC378">
        <v>137</v>
      </c>
      <c r="AD378">
        <v>0</v>
      </c>
      <c r="AE378">
        <v>18.7</v>
      </c>
      <c r="AF378">
        <v>0</v>
      </c>
      <c r="AG378">
        <v>0</v>
      </c>
      <c r="AH378">
        <v>0</v>
      </c>
      <c r="AI378">
        <v>23.36</v>
      </c>
      <c r="AJ378">
        <v>155.69999999999999</v>
      </c>
      <c r="AK378">
        <v>0</v>
      </c>
      <c r="AL378" t="s">
        <v>53</v>
      </c>
      <c r="AM378" t="s">
        <v>53</v>
      </c>
      <c r="AN378" t="s">
        <v>146</v>
      </c>
      <c r="AO378" t="s">
        <v>53</v>
      </c>
      <c r="AP378" t="s">
        <v>53</v>
      </c>
    </row>
    <row r="379" spans="2:42" x14ac:dyDescent="0.2">
      <c r="B379" t="s">
        <v>44</v>
      </c>
      <c r="C379" t="str">
        <f>HYPERLINK("https://us2.cloudbeds.com/connect/8493803454333002#/reservations/598148075737?display=E1529V2Z&amp;reservation_id=598148075737", "E1529V2Z")</f>
        <v>E1529V2Z</v>
      </c>
      <c r="D379" t="s">
        <v>45</v>
      </c>
      <c r="E379" t="s">
        <v>113</v>
      </c>
      <c r="F379" t="s">
        <v>61</v>
      </c>
      <c r="G379" t="s">
        <v>48</v>
      </c>
      <c r="H379" t="s">
        <v>71</v>
      </c>
      <c r="I379" t="s">
        <v>72</v>
      </c>
      <c r="J379" t="s">
        <v>134</v>
      </c>
      <c r="K379" t="s">
        <v>327</v>
      </c>
      <c r="L379" t="s">
        <v>53</v>
      </c>
      <c r="N379" t="s">
        <v>924</v>
      </c>
      <c r="P379" t="s">
        <v>58</v>
      </c>
      <c r="R379" t="s">
        <v>56</v>
      </c>
      <c r="T379" t="s">
        <v>914</v>
      </c>
      <c r="U379" t="s">
        <v>58</v>
      </c>
      <c r="V379">
        <v>7</v>
      </c>
      <c r="W379">
        <v>1</v>
      </c>
      <c r="X379">
        <v>1</v>
      </c>
      <c r="Y379">
        <v>0</v>
      </c>
      <c r="Z379">
        <v>1</v>
      </c>
      <c r="AA379">
        <v>0</v>
      </c>
      <c r="AB379">
        <v>1109.22</v>
      </c>
      <c r="AC379">
        <v>976</v>
      </c>
      <c r="AD379">
        <v>0</v>
      </c>
      <c r="AE379">
        <v>133.21</v>
      </c>
      <c r="AF379">
        <v>0</v>
      </c>
      <c r="AG379">
        <v>0</v>
      </c>
      <c r="AH379">
        <v>0</v>
      </c>
      <c r="AI379">
        <v>0</v>
      </c>
      <c r="AJ379">
        <v>1109.21</v>
      </c>
      <c r="AK379">
        <v>-0.01</v>
      </c>
      <c r="AL379" t="s">
        <v>53</v>
      </c>
      <c r="AM379" t="s">
        <v>53</v>
      </c>
      <c r="AN379" t="s">
        <v>378</v>
      </c>
      <c r="AO379" t="s">
        <v>53</v>
      </c>
      <c r="AP379" t="s">
        <v>53</v>
      </c>
    </row>
    <row r="380" spans="2:42" x14ac:dyDescent="0.2">
      <c r="B380" t="s">
        <v>44</v>
      </c>
      <c r="C380" t="str">
        <f>HYPERLINK("https://us2.cloudbeds.com/connect/8493803454333002#/reservations/598395928802?display=E1BD9R0M&amp;reservation_id=598395928802", "E1BD9R0M")</f>
        <v>E1BD9R0M</v>
      </c>
      <c r="D380" t="s">
        <v>45</v>
      </c>
      <c r="E380" t="s">
        <v>213</v>
      </c>
      <c r="F380" t="s">
        <v>86</v>
      </c>
      <c r="G380" t="s">
        <v>48</v>
      </c>
      <c r="H380" t="s">
        <v>71</v>
      </c>
      <c r="I380" t="s">
        <v>72</v>
      </c>
      <c r="J380" t="s">
        <v>650</v>
      </c>
      <c r="K380" t="s">
        <v>651</v>
      </c>
      <c r="L380" t="s">
        <v>53</v>
      </c>
      <c r="N380" t="s">
        <v>925</v>
      </c>
      <c r="P380" t="s">
        <v>55</v>
      </c>
      <c r="R380" t="s">
        <v>56</v>
      </c>
      <c r="T380" t="s">
        <v>914</v>
      </c>
      <c r="U380" t="s">
        <v>58</v>
      </c>
      <c r="V380">
        <v>1</v>
      </c>
      <c r="W380">
        <v>1</v>
      </c>
      <c r="X380">
        <v>1</v>
      </c>
      <c r="Y380">
        <v>0</v>
      </c>
      <c r="Z380">
        <v>1</v>
      </c>
      <c r="AA380">
        <v>0</v>
      </c>
      <c r="AB380">
        <v>95.47</v>
      </c>
      <c r="AC380">
        <v>84</v>
      </c>
      <c r="AD380">
        <v>0</v>
      </c>
      <c r="AE380">
        <v>11.47</v>
      </c>
      <c r="AF380">
        <v>0</v>
      </c>
      <c r="AG380">
        <v>0</v>
      </c>
      <c r="AH380">
        <v>0</v>
      </c>
      <c r="AI380">
        <v>0</v>
      </c>
      <c r="AJ380">
        <v>95.47</v>
      </c>
      <c r="AK380">
        <v>0</v>
      </c>
      <c r="AL380" t="s">
        <v>53</v>
      </c>
      <c r="AM380" t="s">
        <v>53</v>
      </c>
      <c r="AN380" t="s">
        <v>378</v>
      </c>
      <c r="AO380" t="s">
        <v>53</v>
      </c>
      <c r="AP380" t="s">
        <v>53</v>
      </c>
    </row>
    <row r="381" spans="2:42" x14ac:dyDescent="0.2">
      <c r="B381" t="s">
        <v>44</v>
      </c>
      <c r="C381" t="str">
        <f>HYPERLINK("https://us2.cloudbeds.com/connect/8493803454333002#/reservations/598068015239?display=E130Q4Y1&amp;reservation_id=598068015239", "E130Q4Y1")</f>
        <v>E130Q4Y1</v>
      </c>
      <c r="D381" t="s">
        <v>45</v>
      </c>
      <c r="E381" t="s">
        <v>105</v>
      </c>
      <c r="F381" t="s">
        <v>47</v>
      </c>
      <c r="G381" t="s">
        <v>48</v>
      </c>
      <c r="H381" t="s">
        <v>49</v>
      </c>
      <c r="I381" t="s">
        <v>50</v>
      </c>
      <c r="J381" t="s">
        <v>714</v>
      </c>
      <c r="K381" t="s">
        <v>705</v>
      </c>
      <c r="L381" t="s">
        <v>53</v>
      </c>
      <c r="N381" t="s">
        <v>926</v>
      </c>
      <c r="P381" t="s">
        <v>55</v>
      </c>
      <c r="R381" t="s">
        <v>56</v>
      </c>
      <c r="T381" t="s">
        <v>914</v>
      </c>
      <c r="U381" t="s">
        <v>58</v>
      </c>
      <c r="V381">
        <v>1</v>
      </c>
      <c r="W381">
        <v>1</v>
      </c>
      <c r="X381">
        <v>1</v>
      </c>
      <c r="Y381">
        <v>0</v>
      </c>
      <c r="Z381">
        <v>1</v>
      </c>
      <c r="AA381">
        <v>0</v>
      </c>
      <c r="AB381">
        <v>81.83</v>
      </c>
      <c r="AC381">
        <v>72</v>
      </c>
      <c r="AD381">
        <v>0</v>
      </c>
      <c r="AE381">
        <v>9.83</v>
      </c>
      <c r="AF381">
        <v>0</v>
      </c>
      <c r="AG381">
        <v>0</v>
      </c>
      <c r="AH381">
        <v>0</v>
      </c>
      <c r="AI381">
        <v>14.73</v>
      </c>
      <c r="AJ381">
        <v>81.83</v>
      </c>
      <c r="AK381">
        <v>0</v>
      </c>
      <c r="AL381" t="s">
        <v>53</v>
      </c>
      <c r="AM381" t="s">
        <v>53</v>
      </c>
      <c r="AN381" t="s">
        <v>927</v>
      </c>
      <c r="AO381" t="s">
        <v>53</v>
      </c>
      <c r="AP381" t="s">
        <v>53</v>
      </c>
    </row>
    <row r="382" spans="2:42" x14ac:dyDescent="0.2">
      <c r="B382" t="s">
        <v>44</v>
      </c>
      <c r="C382" t="str">
        <f>HYPERLINK("https://us2.cloudbeds.com/connect/8493803454333002#/reservations/598227108034?display=E172V4BQ&amp;reservation_id=598227108034", "E172V4BQ")</f>
        <v>E172V4BQ</v>
      </c>
      <c r="D382" t="s">
        <v>45</v>
      </c>
      <c r="E382" t="s">
        <v>185</v>
      </c>
      <c r="F382" t="s">
        <v>47</v>
      </c>
      <c r="G382" t="s">
        <v>48</v>
      </c>
      <c r="H382" t="s">
        <v>49</v>
      </c>
      <c r="I382" t="s">
        <v>266</v>
      </c>
      <c r="J382" t="s">
        <v>650</v>
      </c>
      <c r="K382" t="s">
        <v>651</v>
      </c>
      <c r="L382" t="s">
        <v>53</v>
      </c>
      <c r="N382" t="s">
        <v>928</v>
      </c>
      <c r="P382" t="s">
        <v>55</v>
      </c>
      <c r="R382" t="s">
        <v>56</v>
      </c>
      <c r="T382" t="s">
        <v>914</v>
      </c>
      <c r="U382" t="s">
        <v>58</v>
      </c>
      <c r="V382">
        <v>1</v>
      </c>
      <c r="W382">
        <v>1</v>
      </c>
      <c r="X382">
        <v>1</v>
      </c>
      <c r="Y382">
        <v>0</v>
      </c>
      <c r="Z382">
        <v>1</v>
      </c>
      <c r="AA382">
        <v>0</v>
      </c>
      <c r="AB382">
        <v>78.760000000000005</v>
      </c>
      <c r="AC382">
        <v>69.3</v>
      </c>
      <c r="AD382">
        <v>0</v>
      </c>
      <c r="AE382">
        <v>9.4700000000000006</v>
      </c>
      <c r="AF382">
        <v>0</v>
      </c>
      <c r="AG382">
        <v>0</v>
      </c>
      <c r="AH382">
        <v>0</v>
      </c>
      <c r="AI382">
        <v>0</v>
      </c>
      <c r="AJ382">
        <v>78.77</v>
      </c>
      <c r="AK382">
        <v>0.01</v>
      </c>
      <c r="AL382" t="s">
        <v>53</v>
      </c>
      <c r="AM382" t="s">
        <v>53</v>
      </c>
      <c r="AN382" t="s">
        <v>137</v>
      </c>
      <c r="AO382" t="s">
        <v>53</v>
      </c>
      <c r="AP382" t="s">
        <v>53</v>
      </c>
    </row>
    <row r="383" spans="2:42" x14ac:dyDescent="0.2">
      <c r="B383" t="s">
        <v>44</v>
      </c>
      <c r="C383" t="str">
        <f>HYPERLINK("https://us2.cloudbeds.com/connect/8493803454333002#/reservations/598519029985?display=E1EX39JX&amp;reservation_id=598519029985", "E1EX39JX")</f>
        <v>E1EX39JX</v>
      </c>
      <c r="D383" t="s">
        <v>45</v>
      </c>
      <c r="E383" t="s">
        <v>185</v>
      </c>
      <c r="F383" t="s">
        <v>47</v>
      </c>
      <c r="G383" t="s">
        <v>48</v>
      </c>
      <c r="H383" t="s">
        <v>49</v>
      </c>
      <c r="I383" t="s">
        <v>114</v>
      </c>
      <c r="J383" t="s">
        <v>714</v>
      </c>
      <c r="K383" t="s">
        <v>850</v>
      </c>
      <c r="L383" t="s">
        <v>53</v>
      </c>
      <c r="N383" t="s">
        <v>929</v>
      </c>
      <c r="P383" t="s">
        <v>55</v>
      </c>
      <c r="R383" t="s">
        <v>56</v>
      </c>
      <c r="T383" t="s">
        <v>914</v>
      </c>
      <c r="U383" t="s">
        <v>58</v>
      </c>
      <c r="V383">
        <v>4</v>
      </c>
      <c r="W383">
        <v>1</v>
      </c>
      <c r="X383">
        <v>1</v>
      </c>
      <c r="Y383">
        <v>0</v>
      </c>
      <c r="Z383">
        <v>1</v>
      </c>
      <c r="AA383">
        <v>0</v>
      </c>
      <c r="AB383">
        <v>339.81</v>
      </c>
      <c r="AC383">
        <v>299</v>
      </c>
      <c r="AD383">
        <v>0</v>
      </c>
      <c r="AE383">
        <v>40.840000000000003</v>
      </c>
      <c r="AF383">
        <v>0</v>
      </c>
      <c r="AG383">
        <v>0</v>
      </c>
      <c r="AH383">
        <v>0</v>
      </c>
      <c r="AI383">
        <v>0</v>
      </c>
      <c r="AJ383">
        <v>339.84</v>
      </c>
      <c r="AK383">
        <v>0.03</v>
      </c>
      <c r="AL383" t="s">
        <v>53</v>
      </c>
      <c r="AM383" t="s">
        <v>53</v>
      </c>
      <c r="AN383" t="s">
        <v>930</v>
      </c>
      <c r="AO383" t="s">
        <v>53</v>
      </c>
      <c r="AP383" t="s">
        <v>53</v>
      </c>
    </row>
    <row r="384" spans="2:42" x14ac:dyDescent="0.2">
      <c r="B384" t="s">
        <v>44</v>
      </c>
      <c r="C384" t="str">
        <f>HYPERLINK("https://us2.cloudbeds.com/connect/8493803454333002#/reservations/598093389952?display=E13M63SX&amp;reservation_id=598093389952", "E13M63SX")</f>
        <v>E13M63SX</v>
      </c>
      <c r="D384" t="s">
        <v>45</v>
      </c>
      <c r="E384" t="s">
        <v>138</v>
      </c>
      <c r="F384" t="s">
        <v>70</v>
      </c>
      <c r="G384" t="s">
        <v>48</v>
      </c>
      <c r="H384" t="s">
        <v>49</v>
      </c>
      <c r="I384" t="s">
        <v>50</v>
      </c>
      <c r="J384" t="s">
        <v>292</v>
      </c>
      <c r="K384" t="s">
        <v>309</v>
      </c>
      <c r="L384" t="s">
        <v>53</v>
      </c>
      <c r="N384" t="s">
        <v>931</v>
      </c>
      <c r="P384" t="s">
        <v>55</v>
      </c>
      <c r="R384" t="s">
        <v>56</v>
      </c>
      <c r="T384" t="s">
        <v>914</v>
      </c>
      <c r="U384" t="s">
        <v>58</v>
      </c>
      <c r="V384">
        <v>3</v>
      </c>
      <c r="W384">
        <v>1</v>
      </c>
      <c r="X384">
        <v>1</v>
      </c>
      <c r="Y384">
        <v>0</v>
      </c>
      <c r="Z384">
        <v>1</v>
      </c>
      <c r="AA384">
        <v>0</v>
      </c>
      <c r="AB384">
        <v>383.57</v>
      </c>
      <c r="AC384">
        <v>337.5</v>
      </c>
      <c r="AD384">
        <v>0</v>
      </c>
      <c r="AE384">
        <v>46.08</v>
      </c>
      <c r="AF384">
        <v>0</v>
      </c>
      <c r="AG384">
        <v>0</v>
      </c>
      <c r="AH384">
        <v>0</v>
      </c>
      <c r="AI384">
        <v>69.040000000000006</v>
      </c>
      <c r="AJ384">
        <v>383.58</v>
      </c>
      <c r="AK384">
        <v>0.01</v>
      </c>
      <c r="AL384" t="s">
        <v>53</v>
      </c>
      <c r="AM384" t="s">
        <v>53</v>
      </c>
      <c r="AN384" t="s">
        <v>332</v>
      </c>
      <c r="AO384" t="s">
        <v>53</v>
      </c>
      <c r="AP384" t="s">
        <v>53</v>
      </c>
    </row>
    <row r="385" spans="2:42" x14ac:dyDescent="0.2">
      <c r="B385" t="s">
        <v>44</v>
      </c>
      <c r="C385" t="str">
        <f>HYPERLINK("https://us2.cloudbeds.com/connect/8493803454333002#/reservations/598163230920?display=E15F2YMN&amp;reservation_id=598163230920", "E15F2YMN")</f>
        <v>E15F2YMN</v>
      </c>
      <c r="D385" t="s">
        <v>45</v>
      </c>
      <c r="E385" t="s">
        <v>165</v>
      </c>
      <c r="F385" t="s">
        <v>61</v>
      </c>
      <c r="G385" t="s">
        <v>48</v>
      </c>
      <c r="H385" t="s">
        <v>71</v>
      </c>
      <c r="I385" t="s">
        <v>72</v>
      </c>
      <c r="J385" t="s">
        <v>134</v>
      </c>
      <c r="K385" t="s">
        <v>327</v>
      </c>
      <c r="L385" t="s">
        <v>53</v>
      </c>
      <c r="N385" t="s">
        <v>932</v>
      </c>
      <c r="P385" t="s">
        <v>58</v>
      </c>
      <c r="R385" t="s">
        <v>56</v>
      </c>
      <c r="T385" t="s">
        <v>914</v>
      </c>
      <c r="U385" t="s">
        <v>58</v>
      </c>
      <c r="V385">
        <v>7</v>
      </c>
      <c r="W385">
        <v>1</v>
      </c>
      <c r="X385">
        <v>1</v>
      </c>
      <c r="Y385">
        <v>0</v>
      </c>
      <c r="Z385">
        <v>1</v>
      </c>
      <c r="AA385">
        <v>0</v>
      </c>
      <c r="AB385">
        <v>1109.22</v>
      </c>
      <c r="AC385">
        <v>976</v>
      </c>
      <c r="AD385">
        <v>0</v>
      </c>
      <c r="AE385">
        <v>133.21</v>
      </c>
      <c r="AF385">
        <v>0</v>
      </c>
      <c r="AG385">
        <v>0</v>
      </c>
      <c r="AH385">
        <v>0</v>
      </c>
      <c r="AI385">
        <v>0</v>
      </c>
      <c r="AJ385">
        <v>1109.21</v>
      </c>
      <c r="AK385">
        <v>-0.01</v>
      </c>
      <c r="AL385" t="s">
        <v>53</v>
      </c>
      <c r="AM385" t="s">
        <v>53</v>
      </c>
      <c r="AN385" t="s">
        <v>378</v>
      </c>
      <c r="AO385" t="s">
        <v>53</v>
      </c>
      <c r="AP385" t="s">
        <v>53</v>
      </c>
    </row>
    <row r="386" spans="2:42" x14ac:dyDescent="0.2">
      <c r="B386" t="s">
        <v>44</v>
      </c>
      <c r="C386" t="str">
        <f>HYPERLINK("https://us2.cloudbeds.com/connect/8493803454333002#/reservations/598328955083?display=E19MR5R1&amp;reservation_id=598328955083", "E19MR5R1")</f>
        <v>E19MR5R1</v>
      </c>
      <c r="D386" t="s">
        <v>45</v>
      </c>
      <c r="E386" t="s">
        <v>155</v>
      </c>
      <c r="F386" t="s">
        <v>86</v>
      </c>
      <c r="G386" t="s">
        <v>48</v>
      </c>
      <c r="H386" t="s">
        <v>49</v>
      </c>
      <c r="I386" t="s">
        <v>79</v>
      </c>
      <c r="J386" t="s">
        <v>236</v>
      </c>
      <c r="K386" t="s">
        <v>237</v>
      </c>
      <c r="L386" t="s">
        <v>53</v>
      </c>
      <c r="N386" t="s">
        <v>933</v>
      </c>
      <c r="P386" t="s">
        <v>55</v>
      </c>
      <c r="R386" t="s">
        <v>56</v>
      </c>
      <c r="T386" t="s">
        <v>914</v>
      </c>
      <c r="U386" t="s">
        <v>58</v>
      </c>
      <c r="V386">
        <v>1</v>
      </c>
      <c r="W386">
        <v>1</v>
      </c>
      <c r="X386">
        <v>1</v>
      </c>
      <c r="Y386">
        <v>0</v>
      </c>
      <c r="Z386">
        <v>1</v>
      </c>
      <c r="AA386">
        <v>0</v>
      </c>
      <c r="AB386">
        <v>159.56</v>
      </c>
      <c r="AC386">
        <v>140.4</v>
      </c>
      <c r="AD386">
        <v>0</v>
      </c>
      <c r="AE386">
        <v>19.16</v>
      </c>
      <c r="AF386">
        <v>0</v>
      </c>
      <c r="AG386">
        <v>0</v>
      </c>
      <c r="AH386">
        <v>0</v>
      </c>
      <c r="AI386">
        <v>0</v>
      </c>
      <c r="AJ386">
        <v>159.56</v>
      </c>
      <c r="AK386">
        <v>0</v>
      </c>
      <c r="AL386" t="s">
        <v>53</v>
      </c>
      <c r="AM386" t="s">
        <v>53</v>
      </c>
      <c r="AN386" t="s">
        <v>332</v>
      </c>
      <c r="AO386" t="s">
        <v>53</v>
      </c>
      <c r="AP386" t="s">
        <v>53</v>
      </c>
    </row>
    <row r="387" spans="2:42" x14ac:dyDescent="0.2">
      <c r="B387" t="s">
        <v>44</v>
      </c>
      <c r="C387" t="str">
        <f>HYPERLINK("https://us2.cloudbeds.com/connect/8493803454333002#/reservations/598311575755?display=E1985XRZ&amp;reservation_id=598311575755", "E1985XRZ")</f>
        <v>E1985XRZ</v>
      </c>
      <c r="D387" t="s">
        <v>45</v>
      </c>
      <c r="E387" t="s">
        <v>138</v>
      </c>
      <c r="F387" t="s">
        <v>70</v>
      </c>
      <c r="G387" t="s">
        <v>48</v>
      </c>
      <c r="H387" t="s">
        <v>49</v>
      </c>
      <c r="I387" t="s">
        <v>50</v>
      </c>
      <c r="J387" t="s">
        <v>651</v>
      </c>
      <c r="K387" t="s">
        <v>839</v>
      </c>
      <c r="L387" t="s">
        <v>53</v>
      </c>
      <c r="N387" t="s">
        <v>934</v>
      </c>
      <c r="P387" t="s">
        <v>55</v>
      </c>
      <c r="R387" t="s">
        <v>56</v>
      </c>
      <c r="T387" t="s">
        <v>914</v>
      </c>
      <c r="U387" t="s">
        <v>58</v>
      </c>
      <c r="V387">
        <v>2</v>
      </c>
      <c r="W387">
        <v>1</v>
      </c>
      <c r="X387">
        <v>1</v>
      </c>
      <c r="Y387">
        <v>0</v>
      </c>
      <c r="Z387">
        <v>1</v>
      </c>
      <c r="AA387">
        <v>0</v>
      </c>
      <c r="AB387">
        <v>139.11000000000001</v>
      </c>
      <c r="AC387">
        <v>122.4</v>
      </c>
      <c r="AD387">
        <v>0</v>
      </c>
      <c r="AE387">
        <v>16.68</v>
      </c>
      <c r="AF387">
        <v>0</v>
      </c>
      <c r="AG387">
        <v>0</v>
      </c>
      <c r="AH387">
        <v>0</v>
      </c>
      <c r="AI387">
        <v>25.03</v>
      </c>
      <c r="AJ387">
        <v>139.08000000000001</v>
      </c>
      <c r="AK387">
        <v>-0.03</v>
      </c>
      <c r="AL387" t="s">
        <v>53</v>
      </c>
      <c r="AM387" t="s">
        <v>53</v>
      </c>
      <c r="AN387" t="s">
        <v>935</v>
      </c>
      <c r="AO387" t="s">
        <v>53</v>
      </c>
      <c r="AP387" t="s">
        <v>53</v>
      </c>
    </row>
    <row r="388" spans="2:42" x14ac:dyDescent="0.2">
      <c r="B388" t="s">
        <v>44</v>
      </c>
      <c r="C388" t="str">
        <f>HYPERLINK("https://us2.cloudbeds.com/connect/8493803454333002#/reservations/598571241606?display=E1FT454T&amp;reservation_id=598571241606", "E1FT454T")</f>
        <v>E1FT454T</v>
      </c>
      <c r="D388" t="s">
        <v>45</v>
      </c>
      <c r="E388" t="s">
        <v>105</v>
      </c>
      <c r="F388" t="s">
        <v>47</v>
      </c>
      <c r="G388" t="s">
        <v>48</v>
      </c>
      <c r="H388" t="s">
        <v>49</v>
      </c>
      <c r="I388" t="s">
        <v>50</v>
      </c>
      <c r="J388" t="s">
        <v>134</v>
      </c>
      <c r="K388" t="s">
        <v>341</v>
      </c>
      <c r="L388" t="s">
        <v>53</v>
      </c>
      <c r="N388" t="s">
        <v>936</v>
      </c>
      <c r="P388" t="s">
        <v>55</v>
      </c>
      <c r="R388" t="s">
        <v>56</v>
      </c>
      <c r="T388" t="s">
        <v>914</v>
      </c>
      <c r="U388" t="s">
        <v>58</v>
      </c>
      <c r="V388">
        <v>1</v>
      </c>
      <c r="W388">
        <v>1</v>
      </c>
      <c r="X388">
        <v>1</v>
      </c>
      <c r="Y388">
        <v>0</v>
      </c>
      <c r="Z388">
        <v>1</v>
      </c>
      <c r="AA388">
        <v>0</v>
      </c>
      <c r="AB388">
        <v>152.4</v>
      </c>
      <c r="AC388">
        <v>134.1</v>
      </c>
      <c r="AD388">
        <v>0</v>
      </c>
      <c r="AE388">
        <v>18.3</v>
      </c>
      <c r="AF388">
        <v>0</v>
      </c>
      <c r="AG388">
        <v>0</v>
      </c>
      <c r="AH388">
        <v>0</v>
      </c>
      <c r="AI388">
        <v>27.43</v>
      </c>
      <c r="AJ388">
        <v>152.4</v>
      </c>
      <c r="AK388">
        <v>0</v>
      </c>
      <c r="AL388" t="s">
        <v>53</v>
      </c>
      <c r="AM388" t="s">
        <v>53</v>
      </c>
      <c r="AN388" t="s">
        <v>252</v>
      </c>
      <c r="AO388" t="s">
        <v>53</v>
      </c>
      <c r="AP388" t="s">
        <v>53</v>
      </c>
    </row>
    <row r="389" spans="2:42" x14ac:dyDescent="0.2">
      <c r="B389" t="s">
        <v>44</v>
      </c>
      <c r="C389" t="str">
        <f>HYPERLINK("https://us2.cloudbeds.com/connect/8493803454333002#/reservations/598448283782?display=E1CZEM76&amp;reservation_id=598448283782", "E1CZEM76")</f>
        <v>E1CZEM76</v>
      </c>
      <c r="D389" t="s">
        <v>45</v>
      </c>
      <c r="E389" t="s">
        <v>128</v>
      </c>
      <c r="F389" t="s">
        <v>86</v>
      </c>
      <c r="G389" t="s">
        <v>48</v>
      </c>
      <c r="H389" t="s">
        <v>49</v>
      </c>
      <c r="I389" t="s">
        <v>50</v>
      </c>
      <c r="J389" t="s">
        <v>556</v>
      </c>
      <c r="K389" t="s">
        <v>473</v>
      </c>
      <c r="L389" t="s">
        <v>53</v>
      </c>
      <c r="N389" t="s">
        <v>937</v>
      </c>
      <c r="P389" t="s">
        <v>55</v>
      </c>
      <c r="R389" t="s">
        <v>56</v>
      </c>
      <c r="T389" t="s">
        <v>914</v>
      </c>
      <c r="U389" t="s">
        <v>58</v>
      </c>
      <c r="V389">
        <v>2</v>
      </c>
      <c r="W389">
        <v>1</v>
      </c>
      <c r="X389">
        <v>1</v>
      </c>
      <c r="Y389">
        <v>0</v>
      </c>
      <c r="Z389">
        <v>1</v>
      </c>
      <c r="AA389">
        <v>0</v>
      </c>
      <c r="AB389">
        <v>193.32</v>
      </c>
      <c r="AC389">
        <v>170.1</v>
      </c>
      <c r="AD389">
        <v>0</v>
      </c>
      <c r="AE389">
        <v>23.24</v>
      </c>
      <c r="AF389">
        <v>0</v>
      </c>
      <c r="AG389">
        <v>0</v>
      </c>
      <c r="AH389">
        <v>0</v>
      </c>
      <c r="AI389">
        <v>34.799999999999997</v>
      </c>
      <c r="AJ389">
        <v>193.34</v>
      </c>
      <c r="AK389">
        <v>0.02</v>
      </c>
      <c r="AL389" t="s">
        <v>53</v>
      </c>
      <c r="AM389" t="s">
        <v>53</v>
      </c>
      <c r="AN389" t="s">
        <v>413</v>
      </c>
      <c r="AO389" t="s">
        <v>53</v>
      </c>
      <c r="AP389" t="s">
        <v>53</v>
      </c>
    </row>
    <row r="390" spans="2:42" x14ac:dyDescent="0.2">
      <c r="B390" t="s">
        <v>44</v>
      </c>
      <c r="C390" t="str">
        <f>HYPERLINK("https://us2.cloudbeds.com/connect/8493803454333002#/reservations/598573215875?display=E1FUQ327&amp;reservation_id=598573215875", "E1FUQ327")</f>
        <v>E1FUQ327</v>
      </c>
      <c r="D390" t="s">
        <v>45</v>
      </c>
      <c r="E390" t="s">
        <v>69</v>
      </c>
      <c r="F390" t="s">
        <v>70</v>
      </c>
      <c r="G390" t="s">
        <v>48</v>
      </c>
      <c r="H390" t="s">
        <v>49</v>
      </c>
      <c r="I390" t="s">
        <v>50</v>
      </c>
      <c r="J390" t="s">
        <v>354</v>
      </c>
      <c r="K390" t="s">
        <v>938</v>
      </c>
      <c r="L390" t="s">
        <v>53</v>
      </c>
      <c r="N390" t="s">
        <v>939</v>
      </c>
      <c r="P390" t="s">
        <v>55</v>
      </c>
      <c r="R390" t="s">
        <v>56</v>
      </c>
      <c r="T390" t="s">
        <v>940</v>
      </c>
      <c r="U390" t="s">
        <v>58</v>
      </c>
      <c r="V390">
        <v>1</v>
      </c>
      <c r="W390">
        <v>1</v>
      </c>
      <c r="X390">
        <v>1</v>
      </c>
      <c r="Y390">
        <v>0</v>
      </c>
      <c r="Z390">
        <v>1</v>
      </c>
      <c r="AA390">
        <v>0</v>
      </c>
      <c r="AB390">
        <v>102.29</v>
      </c>
      <c r="AC390">
        <v>90</v>
      </c>
      <c r="AD390">
        <v>0</v>
      </c>
      <c r="AE390">
        <v>12.29</v>
      </c>
      <c r="AF390">
        <v>0</v>
      </c>
      <c r="AG390">
        <v>0</v>
      </c>
      <c r="AH390">
        <v>0</v>
      </c>
      <c r="AI390">
        <v>18.41</v>
      </c>
      <c r="AJ390">
        <v>102.29</v>
      </c>
      <c r="AK390">
        <v>0</v>
      </c>
      <c r="AL390" t="s">
        <v>53</v>
      </c>
      <c r="AM390" t="s">
        <v>53</v>
      </c>
      <c r="AN390" t="s">
        <v>97</v>
      </c>
      <c r="AO390" t="s">
        <v>53</v>
      </c>
      <c r="AP390" t="s">
        <v>53</v>
      </c>
    </row>
    <row r="391" spans="2:42" x14ac:dyDescent="0.2">
      <c r="B391" t="s">
        <v>44</v>
      </c>
      <c r="C391" t="str">
        <f>HYPERLINK("https://us2.cloudbeds.com/connect/8493803454333002#/reservations/598523965572?display=E1EM8KQQ&amp;reservation_id=598523965572", "E1EM8KQQ")</f>
        <v>E1EM8KQQ</v>
      </c>
      <c r="D391" t="s">
        <v>45</v>
      </c>
      <c r="E391" t="s">
        <v>185</v>
      </c>
      <c r="F391" t="s">
        <v>47</v>
      </c>
      <c r="G391" t="s">
        <v>48</v>
      </c>
      <c r="H391" t="s">
        <v>71</v>
      </c>
      <c r="I391" t="s">
        <v>72</v>
      </c>
      <c r="J391" t="s">
        <v>651</v>
      </c>
      <c r="K391" t="s">
        <v>841</v>
      </c>
      <c r="L391" t="s">
        <v>53</v>
      </c>
      <c r="N391" t="s">
        <v>941</v>
      </c>
      <c r="P391" t="s">
        <v>58</v>
      </c>
      <c r="R391" t="s">
        <v>56</v>
      </c>
      <c r="T391" t="s">
        <v>940</v>
      </c>
      <c r="U391" t="s">
        <v>58</v>
      </c>
      <c r="V391">
        <v>1</v>
      </c>
      <c r="W391">
        <v>1</v>
      </c>
      <c r="X391">
        <v>1</v>
      </c>
      <c r="Y391">
        <v>0</v>
      </c>
      <c r="Z391">
        <v>1</v>
      </c>
      <c r="AA391">
        <v>0</v>
      </c>
      <c r="AB391">
        <v>81.83</v>
      </c>
      <c r="AC391">
        <v>72</v>
      </c>
      <c r="AD391">
        <v>0</v>
      </c>
      <c r="AE391">
        <v>9.83</v>
      </c>
      <c r="AF391">
        <v>0</v>
      </c>
      <c r="AG391">
        <v>0</v>
      </c>
      <c r="AH391">
        <v>0</v>
      </c>
      <c r="AI391">
        <v>0</v>
      </c>
      <c r="AJ391">
        <v>81.83</v>
      </c>
      <c r="AK391">
        <v>0</v>
      </c>
      <c r="AL391" t="s">
        <v>53</v>
      </c>
      <c r="AM391" t="s">
        <v>53</v>
      </c>
      <c r="AN391" t="s">
        <v>378</v>
      </c>
      <c r="AO391" t="s">
        <v>53</v>
      </c>
      <c r="AP391" t="s">
        <v>53</v>
      </c>
    </row>
    <row r="392" spans="2:42" x14ac:dyDescent="0.2">
      <c r="B392" t="s">
        <v>44</v>
      </c>
      <c r="C392" t="str">
        <f>HYPERLINK("https://us2.cloudbeds.com/connect/8493803454333002#/reservations/597873361151?display=E0V1YJUA&amp;reservation_id=597873361151", "E0V1YJUA")</f>
        <v>E0V1YJUA</v>
      </c>
      <c r="D392" t="s">
        <v>45</v>
      </c>
      <c r="E392" t="s">
        <v>165</v>
      </c>
      <c r="F392" t="s">
        <v>61</v>
      </c>
      <c r="G392" t="s">
        <v>48</v>
      </c>
      <c r="H392" t="s">
        <v>49</v>
      </c>
      <c r="I392" t="s">
        <v>50</v>
      </c>
      <c r="J392" t="s">
        <v>651</v>
      </c>
      <c r="K392" t="s">
        <v>841</v>
      </c>
      <c r="L392" t="s">
        <v>53</v>
      </c>
      <c r="N392" t="s">
        <v>942</v>
      </c>
      <c r="P392" t="s">
        <v>55</v>
      </c>
      <c r="R392" t="s">
        <v>56</v>
      </c>
      <c r="T392" t="s">
        <v>940</v>
      </c>
      <c r="U392" t="s">
        <v>58</v>
      </c>
      <c r="V392">
        <v>1</v>
      </c>
      <c r="W392">
        <v>1</v>
      </c>
      <c r="X392">
        <v>1</v>
      </c>
      <c r="Y392">
        <v>0</v>
      </c>
      <c r="Z392">
        <v>1</v>
      </c>
      <c r="AA392">
        <v>0</v>
      </c>
      <c r="AB392">
        <v>85.92</v>
      </c>
      <c r="AC392">
        <v>75.599999999999994</v>
      </c>
      <c r="AD392">
        <v>0</v>
      </c>
      <c r="AE392">
        <v>10.32</v>
      </c>
      <c r="AF392">
        <v>0</v>
      </c>
      <c r="AG392">
        <v>0</v>
      </c>
      <c r="AH392">
        <v>0</v>
      </c>
      <c r="AI392">
        <v>15.47</v>
      </c>
      <c r="AJ392">
        <v>85.92</v>
      </c>
      <c r="AK392">
        <v>0</v>
      </c>
      <c r="AL392" t="s">
        <v>53</v>
      </c>
      <c r="AM392" t="s">
        <v>53</v>
      </c>
      <c r="AN392" t="s">
        <v>280</v>
      </c>
      <c r="AO392" t="s">
        <v>53</v>
      </c>
      <c r="AP392" t="s">
        <v>53</v>
      </c>
    </row>
    <row r="393" spans="2:42" x14ac:dyDescent="0.2">
      <c r="B393" t="s">
        <v>44</v>
      </c>
      <c r="C393" t="str">
        <f>HYPERLINK("https://us2.cloudbeds.com/connect/8493803454333002#/reservations/598455574665?display=E1CUJX82&amp;reservation_id=598455574665", "E1CUJX82")</f>
        <v>E1CUJX82</v>
      </c>
      <c r="D393" t="s">
        <v>45</v>
      </c>
      <c r="E393" t="s">
        <v>190</v>
      </c>
      <c r="F393" t="s">
        <v>61</v>
      </c>
      <c r="G393" t="s">
        <v>48</v>
      </c>
      <c r="H393" t="s">
        <v>49</v>
      </c>
      <c r="I393" t="s">
        <v>50</v>
      </c>
      <c r="J393" t="s">
        <v>922</v>
      </c>
      <c r="K393" t="s">
        <v>191</v>
      </c>
      <c r="L393" t="s">
        <v>53</v>
      </c>
      <c r="N393" t="s">
        <v>943</v>
      </c>
      <c r="P393" t="s">
        <v>55</v>
      </c>
      <c r="R393" t="s">
        <v>56</v>
      </c>
      <c r="T393" t="s">
        <v>940</v>
      </c>
      <c r="U393" t="s">
        <v>58</v>
      </c>
      <c r="V393">
        <v>2</v>
      </c>
      <c r="W393">
        <v>1</v>
      </c>
      <c r="X393">
        <v>1</v>
      </c>
      <c r="Y393">
        <v>0</v>
      </c>
      <c r="Z393">
        <v>1</v>
      </c>
      <c r="AA393">
        <v>0</v>
      </c>
      <c r="AB393">
        <v>301.17</v>
      </c>
      <c r="AC393">
        <v>265</v>
      </c>
      <c r="AD393">
        <v>0</v>
      </c>
      <c r="AE393">
        <v>36.18</v>
      </c>
      <c r="AF393">
        <v>0</v>
      </c>
      <c r="AG393">
        <v>0</v>
      </c>
      <c r="AH393">
        <v>0</v>
      </c>
      <c r="AI393">
        <v>54.21</v>
      </c>
      <c r="AJ393">
        <v>301.18</v>
      </c>
      <c r="AK393">
        <v>0.01</v>
      </c>
      <c r="AL393" t="s">
        <v>53</v>
      </c>
      <c r="AM393" t="s">
        <v>53</v>
      </c>
      <c r="AN393" t="s">
        <v>97</v>
      </c>
      <c r="AO393" t="s">
        <v>53</v>
      </c>
      <c r="AP393" t="s">
        <v>53</v>
      </c>
    </row>
    <row r="394" spans="2:42" x14ac:dyDescent="0.2">
      <c r="B394" t="s">
        <v>44</v>
      </c>
      <c r="C394" t="str">
        <f>HYPERLINK("https://us2.cloudbeds.com/connect/8493803454333002#/reservations/598528884940?display=E1EQDH4X&amp;reservation_id=598528884940", "E1EQDH4X")</f>
        <v>E1EQDH4X</v>
      </c>
      <c r="D394" t="s">
        <v>45</v>
      </c>
      <c r="E394" t="s">
        <v>190</v>
      </c>
      <c r="F394" t="s">
        <v>61</v>
      </c>
      <c r="G394" t="s">
        <v>48</v>
      </c>
      <c r="H394" t="s">
        <v>71</v>
      </c>
      <c r="I394" t="s">
        <v>72</v>
      </c>
      <c r="J394" t="s">
        <v>651</v>
      </c>
      <c r="K394" t="s">
        <v>841</v>
      </c>
      <c r="L394" t="s">
        <v>53</v>
      </c>
      <c r="N394" t="s">
        <v>944</v>
      </c>
      <c r="P394" t="s">
        <v>58</v>
      </c>
      <c r="R394" t="s">
        <v>56</v>
      </c>
      <c r="T394" t="s">
        <v>940</v>
      </c>
      <c r="U394" t="s">
        <v>58</v>
      </c>
      <c r="V394">
        <v>1</v>
      </c>
      <c r="W394">
        <v>1</v>
      </c>
      <c r="X394">
        <v>1</v>
      </c>
      <c r="Y394">
        <v>0</v>
      </c>
      <c r="Z394">
        <v>1</v>
      </c>
      <c r="AA394">
        <v>0</v>
      </c>
      <c r="AB394">
        <v>89.78</v>
      </c>
      <c r="AC394">
        <v>79</v>
      </c>
      <c r="AD394">
        <v>0</v>
      </c>
      <c r="AE394">
        <v>10.79</v>
      </c>
      <c r="AF394">
        <v>0</v>
      </c>
      <c r="AG394">
        <v>0</v>
      </c>
      <c r="AH394">
        <v>0</v>
      </c>
      <c r="AI394">
        <v>0</v>
      </c>
      <c r="AJ394">
        <v>89.79</v>
      </c>
      <c r="AK394">
        <v>0.01</v>
      </c>
      <c r="AL394" t="s">
        <v>53</v>
      </c>
      <c r="AM394" t="s">
        <v>53</v>
      </c>
      <c r="AN394" t="s">
        <v>378</v>
      </c>
      <c r="AO394" t="s">
        <v>53</v>
      </c>
      <c r="AP394" t="s">
        <v>53</v>
      </c>
    </row>
    <row r="395" spans="2:42" x14ac:dyDescent="0.2">
      <c r="B395" t="s">
        <v>44</v>
      </c>
      <c r="C395" t="str">
        <f>HYPERLINK("https://us2.cloudbeds.com/connect/8493803454333002#/reservations/598614900951?display=E1GWV1CB&amp;reservation_id=598614900951", "E1GWV1CB")</f>
        <v>E1GWV1CB</v>
      </c>
      <c r="D395" t="s">
        <v>45</v>
      </c>
      <c r="E395" t="s">
        <v>179</v>
      </c>
      <c r="F395" t="s">
        <v>47</v>
      </c>
      <c r="G395" t="s">
        <v>48</v>
      </c>
      <c r="H395" t="s">
        <v>71</v>
      </c>
      <c r="I395" t="s">
        <v>72</v>
      </c>
      <c r="J395" t="s">
        <v>333</v>
      </c>
      <c r="K395" t="s">
        <v>259</v>
      </c>
      <c r="L395" t="s">
        <v>53</v>
      </c>
      <c r="N395" t="s">
        <v>945</v>
      </c>
      <c r="P395" t="s">
        <v>55</v>
      </c>
      <c r="R395" t="s">
        <v>946</v>
      </c>
      <c r="T395" t="s">
        <v>940</v>
      </c>
      <c r="U395" t="s">
        <v>58</v>
      </c>
      <c r="V395">
        <v>3</v>
      </c>
      <c r="W395">
        <v>1</v>
      </c>
      <c r="X395">
        <v>1</v>
      </c>
      <c r="Y395">
        <v>0</v>
      </c>
      <c r="Z395">
        <v>1</v>
      </c>
      <c r="AA395">
        <v>0</v>
      </c>
      <c r="AB395">
        <v>336.4</v>
      </c>
      <c r="AC395">
        <v>296</v>
      </c>
      <c r="AD395">
        <v>0</v>
      </c>
      <c r="AE395">
        <v>40.380000000000003</v>
      </c>
      <c r="AF395">
        <v>0</v>
      </c>
      <c r="AG395">
        <v>0</v>
      </c>
      <c r="AH395">
        <v>0</v>
      </c>
      <c r="AI395">
        <v>0</v>
      </c>
      <c r="AJ395">
        <v>336.38</v>
      </c>
      <c r="AK395">
        <v>-0.02</v>
      </c>
      <c r="AL395" t="s">
        <v>53</v>
      </c>
      <c r="AM395" t="s">
        <v>53</v>
      </c>
      <c r="AN395" t="s">
        <v>947</v>
      </c>
      <c r="AO395" t="s">
        <v>53</v>
      </c>
      <c r="AP395" t="s">
        <v>53</v>
      </c>
    </row>
    <row r="396" spans="2:42" x14ac:dyDescent="0.2">
      <c r="B396" t="s">
        <v>44</v>
      </c>
      <c r="C396" t="str">
        <f>HYPERLINK("https://us2.cloudbeds.com/connect/8493803454333002#/reservations/598326227081?display=E19KH8PA&amp;reservation_id=598326227081", "E19KH8PA")</f>
        <v>E19KH8PA</v>
      </c>
      <c r="D396" t="s">
        <v>45</v>
      </c>
      <c r="E396" t="s">
        <v>46</v>
      </c>
      <c r="F396" t="s">
        <v>47</v>
      </c>
      <c r="G396" t="s">
        <v>48</v>
      </c>
      <c r="H396" t="s">
        <v>49</v>
      </c>
      <c r="I396" t="s">
        <v>79</v>
      </c>
      <c r="J396" t="s">
        <v>473</v>
      </c>
      <c r="K396" t="s">
        <v>557</v>
      </c>
      <c r="L396" t="s">
        <v>53</v>
      </c>
      <c r="N396" t="s">
        <v>948</v>
      </c>
      <c r="P396" t="s">
        <v>55</v>
      </c>
      <c r="R396" t="s">
        <v>56</v>
      </c>
      <c r="T396" t="s">
        <v>940</v>
      </c>
      <c r="U396" t="s">
        <v>58</v>
      </c>
      <c r="V396">
        <v>1</v>
      </c>
      <c r="W396">
        <v>1</v>
      </c>
      <c r="X396">
        <v>1</v>
      </c>
      <c r="Y396">
        <v>0</v>
      </c>
      <c r="Z396">
        <v>1</v>
      </c>
      <c r="AA396">
        <v>0</v>
      </c>
      <c r="AB396">
        <v>73.650000000000006</v>
      </c>
      <c r="AC396">
        <v>64.8</v>
      </c>
      <c r="AD396">
        <v>0</v>
      </c>
      <c r="AE396">
        <v>8.85</v>
      </c>
      <c r="AF396">
        <v>0</v>
      </c>
      <c r="AG396">
        <v>0</v>
      </c>
      <c r="AH396">
        <v>0</v>
      </c>
      <c r="AI396">
        <v>0</v>
      </c>
      <c r="AJ396">
        <v>73.650000000000006</v>
      </c>
      <c r="AK396">
        <v>0</v>
      </c>
      <c r="AL396" t="s">
        <v>53</v>
      </c>
      <c r="AM396" t="s">
        <v>53</v>
      </c>
      <c r="AN396" t="s">
        <v>137</v>
      </c>
      <c r="AO396" t="s">
        <v>53</v>
      </c>
      <c r="AP396" t="s">
        <v>53</v>
      </c>
    </row>
    <row r="397" spans="2:42" x14ac:dyDescent="0.2">
      <c r="B397" t="s">
        <v>44</v>
      </c>
      <c r="C397" t="str">
        <f>HYPERLINK("https://us2.cloudbeds.com/connect/8493803454333002#/reservations/598539985076?display=E1F2PD3A&amp;reservation_id=598539985076", "E1F2PD3A")</f>
        <v>E1F2PD3A</v>
      </c>
      <c r="D397" t="s">
        <v>45</v>
      </c>
      <c r="E397" t="s">
        <v>165</v>
      </c>
      <c r="F397" t="s">
        <v>61</v>
      </c>
      <c r="G397" t="s">
        <v>48</v>
      </c>
      <c r="H397" t="s">
        <v>49</v>
      </c>
      <c r="I397" t="s">
        <v>50</v>
      </c>
      <c r="J397" t="s">
        <v>922</v>
      </c>
      <c r="K397" t="s">
        <v>191</v>
      </c>
      <c r="L397" t="s">
        <v>53</v>
      </c>
      <c r="N397" t="s">
        <v>949</v>
      </c>
      <c r="P397" t="s">
        <v>55</v>
      </c>
      <c r="R397" t="s">
        <v>56</v>
      </c>
      <c r="T397" t="s">
        <v>940</v>
      </c>
      <c r="U397" t="s">
        <v>58</v>
      </c>
      <c r="V397">
        <v>2</v>
      </c>
      <c r="W397">
        <v>1</v>
      </c>
      <c r="X397">
        <v>1</v>
      </c>
      <c r="Y397">
        <v>0</v>
      </c>
      <c r="Z397">
        <v>1</v>
      </c>
      <c r="AA397">
        <v>0</v>
      </c>
      <c r="AB397">
        <v>301.17</v>
      </c>
      <c r="AC397">
        <v>265</v>
      </c>
      <c r="AD397">
        <v>0</v>
      </c>
      <c r="AE397">
        <v>36.18</v>
      </c>
      <c r="AF397">
        <v>0</v>
      </c>
      <c r="AG397">
        <v>0</v>
      </c>
      <c r="AH397">
        <v>0</v>
      </c>
      <c r="AI397">
        <v>54.21</v>
      </c>
      <c r="AJ397">
        <v>301.18</v>
      </c>
      <c r="AK397">
        <v>0.01</v>
      </c>
      <c r="AL397" t="s">
        <v>53</v>
      </c>
      <c r="AM397" t="s">
        <v>53</v>
      </c>
      <c r="AN397" t="s">
        <v>84</v>
      </c>
      <c r="AO397" t="s">
        <v>53</v>
      </c>
      <c r="AP397" t="s">
        <v>53</v>
      </c>
    </row>
    <row r="398" spans="2:42" x14ac:dyDescent="0.2">
      <c r="B398" t="s">
        <v>44</v>
      </c>
      <c r="C398" t="str">
        <f>HYPERLINK("https://us2.cloudbeds.com/connect/8493803454333002#/reservations/598177869974?display=E15RE0BD&amp;reservation_id=598177869974", "E15RE0BD")</f>
        <v>E15RE0BD</v>
      </c>
      <c r="D398" t="s">
        <v>45</v>
      </c>
      <c r="E398" t="s">
        <v>85</v>
      </c>
      <c r="F398" t="s">
        <v>86</v>
      </c>
      <c r="G398" t="s">
        <v>48</v>
      </c>
      <c r="H398" t="s">
        <v>49</v>
      </c>
      <c r="I398" t="s">
        <v>79</v>
      </c>
      <c r="J398" t="s">
        <v>651</v>
      </c>
      <c r="K398" t="s">
        <v>841</v>
      </c>
      <c r="L398" t="s">
        <v>53</v>
      </c>
      <c r="N398" t="s">
        <v>950</v>
      </c>
      <c r="P398" t="s">
        <v>55</v>
      </c>
      <c r="R398" t="s">
        <v>56</v>
      </c>
      <c r="T398" t="s">
        <v>940</v>
      </c>
      <c r="U398" t="s">
        <v>58</v>
      </c>
      <c r="V398">
        <v>1</v>
      </c>
      <c r="W398">
        <v>1</v>
      </c>
      <c r="X398">
        <v>1</v>
      </c>
      <c r="Y398">
        <v>0</v>
      </c>
      <c r="Z398">
        <v>1</v>
      </c>
      <c r="AA398">
        <v>0</v>
      </c>
      <c r="AB398">
        <v>91.03</v>
      </c>
      <c r="AC398">
        <v>80.099999999999994</v>
      </c>
      <c r="AD398">
        <v>0</v>
      </c>
      <c r="AE398">
        <v>10.93</v>
      </c>
      <c r="AF398">
        <v>0</v>
      </c>
      <c r="AG398">
        <v>0</v>
      </c>
      <c r="AH398">
        <v>0</v>
      </c>
      <c r="AI398">
        <v>0</v>
      </c>
      <c r="AJ398">
        <v>91.03</v>
      </c>
      <c r="AK398">
        <v>0</v>
      </c>
      <c r="AL398" t="s">
        <v>53</v>
      </c>
      <c r="AM398" t="s">
        <v>53</v>
      </c>
      <c r="AN398" t="s">
        <v>59</v>
      </c>
      <c r="AO398" t="s">
        <v>53</v>
      </c>
      <c r="AP398" t="s">
        <v>53</v>
      </c>
    </row>
    <row r="399" spans="2:42" x14ac:dyDescent="0.2">
      <c r="B399" t="s">
        <v>44</v>
      </c>
      <c r="C399" t="str">
        <f>HYPERLINK("https://us2.cloudbeds.com/connect/8493803454333002#/reservations/597973115073?display=E10JPDAE&amp;reservation_id=597973115073", "E10JPDAE")</f>
        <v>E10JPDAE</v>
      </c>
      <c r="D399" t="s">
        <v>45</v>
      </c>
      <c r="E399" t="s">
        <v>381</v>
      </c>
      <c r="F399" t="s">
        <v>47</v>
      </c>
      <c r="G399" t="s">
        <v>48</v>
      </c>
      <c r="H399" t="s">
        <v>49</v>
      </c>
      <c r="I399" t="s">
        <v>50</v>
      </c>
      <c r="J399" t="s">
        <v>651</v>
      </c>
      <c r="K399" t="s">
        <v>841</v>
      </c>
      <c r="L399" t="s">
        <v>53</v>
      </c>
      <c r="N399" t="s">
        <v>951</v>
      </c>
      <c r="P399" t="s">
        <v>55</v>
      </c>
      <c r="R399" t="s">
        <v>56</v>
      </c>
      <c r="T399" t="s">
        <v>940</v>
      </c>
      <c r="U399" t="s">
        <v>58</v>
      </c>
      <c r="V399">
        <v>1</v>
      </c>
      <c r="W399">
        <v>1</v>
      </c>
      <c r="X399">
        <v>1</v>
      </c>
      <c r="Y399">
        <v>0</v>
      </c>
      <c r="Z399">
        <v>1</v>
      </c>
      <c r="AA399">
        <v>0</v>
      </c>
      <c r="AB399">
        <v>78.760000000000005</v>
      </c>
      <c r="AC399">
        <v>69.3</v>
      </c>
      <c r="AD399">
        <v>0</v>
      </c>
      <c r="AE399">
        <v>9.4700000000000006</v>
      </c>
      <c r="AF399">
        <v>0</v>
      </c>
      <c r="AG399">
        <v>0</v>
      </c>
      <c r="AH399">
        <v>0</v>
      </c>
      <c r="AI399">
        <v>14.18</v>
      </c>
      <c r="AJ399">
        <v>78.77</v>
      </c>
      <c r="AK399">
        <v>0.01</v>
      </c>
      <c r="AL399" t="s">
        <v>53</v>
      </c>
      <c r="AM399" t="s">
        <v>53</v>
      </c>
      <c r="AN399" t="s">
        <v>280</v>
      </c>
      <c r="AO399" t="s">
        <v>53</v>
      </c>
      <c r="AP399" t="s">
        <v>53</v>
      </c>
    </row>
    <row r="400" spans="2:42" x14ac:dyDescent="0.2">
      <c r="B400" t="s">
        <v>44</v>
      </c>
      <c r="C400" t="str">
        <f>HYPERLINK("https://us2.cloudbeds.com/connect/8493803454333002#/reservations/598328959169?display=E19MR9XS&amp;reservation_id=598328959169", "E19MR9XS")</f>
        <v>E19MR9XS</v>
      </c>
      <c r="D400" t="s">
        <v>45</v>
      </c>
      <c r="E400" t="s">
        <v>179</v>
      </c>
      <c r="F400" t="s">
        <v>47</v>
      </c>
      <c r="G400" t="s">
        <v>48</v>
      </c>
      <c r="H400" t="s">
        <v>49</v>
      </c>
      <c r="I400" t="s">
        <v>50</v>
      </c>
      <c r="J400" t="s">
        <v>744</v>
      </c>
      <c r="K400" t="s">
        <v>623</v>
      </c>
      <c r="L400" t="s">
        <v>53</v>
      </c>
      <c r="N400" t="s">
        <v>952</v>
      </c>
      <c r="P400" t="s">
        <v>55</v>
      </c>
      <c r="R400" t="s">
        <v>56</v>
      </c>
      <c r="T400" t="s">
        <v>940</v>
      </c>
      <c r="U400" t="s">
        <v>58</v>
      </c>
      <c r="V400">
        <v>1</v>
      </c>
      <c r="W400">
        <v>1</v>
      </c>
      <c r="X400">
        <v>1</v>
      </c>
      <c r="Y400">
        <v>0</v>
      </c>
      <c r="Z400">
        <v>1</v>
      </c>
      <c r="AA400">
        <v>0</v>
      </c>
      <c r="AB400">
        <v>81.83</v>
      </c>
      <c r="AC400">
        <v>72</v>
      </c>
      <c r="AD400">
        <v>0</v>
      </c>
      <c r="AE400">
        <v>9.83</v>
      </c>
      <c r="AF400">
        <v>0</v>
      </c>
      <c r="AG400">
        <v>0</v>
      </c>
      <c r="AH400">
        <v>0</v>
      </c>
      <c r="AI400">
        <v>14.73</v>
      </c>
      <c r="AJ400">
        <v>81.83</v>
      </c>
      <c r="AK400">
        <v>0</v>
      </c>
      <c r="AL400" t="s">
        <v>53</v>
      </c>
      <c r="AM400" t="s">
        <v>53</v>
      </c>
      <c r="AN400" t="s">
        <v>953</v>
      </c>
      <c r="AO400" t="s">
        <v>53</v>
      </c>
      <c r="AP400" t="s">
        <v>53</v>
      </c>
    </row>
    <row r="401" spans="2:42" x14ac:dyDescent="0.2">
      <c r="B401" t="s">
        <v>44</v>
      </c>
      <c r="C401" t="str">
        <f>HYPERLINK("https://us2.cloudbeds.com/connect/8493803454333002#/reservations/598542885010?display=E1F57313&amp;reservation_id=598542885010", "E1F57313")</f>
        <v>E1F57313</v>
      </c>
      <c r="D401" t="s">
        <v>45</v>
      </c>
      <c r="E401" t="s">
        <v>69</v>
      </c>
      <c r="F401" t="s">
        <v>70</v>
      </c>
      <c r="G401" t="s">
        <v>48</v>
      </c>
      <c r="H401" t="s">
        <v>71</v>
      </c>
      <c r="I401" t="s">
        <v>72</v>
      </c>
      <c r="J401" t="s">
        <v>333</v>
      </c>
      <c r="K401" t="s">
        <v>334</v>
      </c>
      <c r="L401" t="s">
        <v>53</v>
      </c>
      <c r="N401" t="s">
        <v>954</v>
      </c>
      <c r="P401" t="s">
        <v>55</v>
      </c>
      <c r="R401" t="s">
        <v>56</v>
      </c>
      <c r="T401" t="s">
        <v>940</v>
      </c>
      <c r="U401" t="s">
        <v>58</v>
      </c>
      <c r="V401">
        <v>1</v>
      </c>
      <c r="W401">
        <v>1</v>
      </c>
      <c r="X401">
        <v>1</v>
      </c>
      <c r="Y401">
        <v>0</v>
      </c>
      <c r="Z401">
        <v>1</v>
      </c>
      <c r="AA401">
        <v>0</v>
      </c>
      <c r="AB401">
        <v>106.83</v>
      </c>
      <c r="AC401">
        <v>94</v>
      </c>
      <c r="AD401">
        <v>0</v>
      </c>
      <c r="AE401">
        <v>12.84</v>
      </c>
      <c r="AF401">
        <v>0</v>
      </c>
      <c r="AG401">
        <v>0</v>
      </c>
      <c r="AH401">
        <v>0</v>
      </c>
      <c r="AI401">
        <v>0</v>
      </c>
      <c r="AJ401">
        <v>106.84</v>
      </c>
      <c r="AK401">
        <v>0.01</v>
      </c>
      <c r="AL401" t="s">
        <v>53</v>
      </c>
      <c r="AM401" t="s">
        <v>53</v>
      </c>
      <c r="AN401" t="s">
        <v>955</v>
      </c>
      <c r="AO401" t="s">
        <v>53</v>
      </c>
      <c r="AP401" t="s">
        <v>53</v>
      </c>
    </row>
    <row r="402" spans="2:42" x14ac:dyDescent="0.2">
      <c r="B402" t="s">
        <v>44</v>
      </c>
      <c r="C402" t="str">
        <f>HYPERLINK("https://us2.cloudbeds.com/connect/8493803454333002#/reservations/598364901614?display=E1AK4EXS&amp;reservation_id=598364901614", "E1AK4EXS")</f>
        <v>E1AK4EXS</v>
      </c>
      <c r="D402" t="s">
        <v>45</v>
      </c>
      <c r="E402" t="s">
        <v>165</v>
      </c>
      <c r="F402" t="s">
        <v>61</v>
      </c>
      <c r="G402" t="s">
        <v>48</v>
      </c>
      <c r="H402" t="s">
        <v>49</v>
      </c>
      <c r="I402" t="s">
        <v>62</v>
      </c>
      <c r="J402" t="s">
        <v>956</v>
      </c>
      <c r="K402" t="s">
        <v>743</v>
      </c>
      <c r="L402" t="s">
        <v>53</v>
      </c>
      <c r="N402" t="s">
        <v>957</v>
      </c>
      <c r="P402" t="s">
        <v>55</v>
      </c>
      <c r="R402" t="s">
        <v>56</v>
      </c>
      <c r="T402" t="s">
        <v>940</v>
      </c>
      <c r="U402" t="s">
        <v>58</v>
      </c>
      <c r="V402">
        <v>1</v>
      </c>
      <c r="W402">
        <v>1</v>
      </c>
      <c r="X402">
        <v>1</v>
      </c>
      <c r="Y402">
        <v>0</v>
      </c>
      <c r="Z402">
        <v>1</v>
      </c>
      <c r="AA402">
        <v>0</v>
      </c>
      <c r="AB402">
        <v>96.6</v>
      </c>
      <c r="AC402">
        <v>85</v>
      </c>
      <c r="AD402">
        <v>0</v>
      </c>
      <c r="AE402">
        <v>11.61</v>
      </c>
      <c r="AF402">
        <v>0</v>
      </c>
      <c r="AG402">
        <v>0</v>
      </c>
      <c r="AH402">
        <v>0</v>
      </c>
      <c r="AI402">
        <v>14.49</v>
      </c>
      <c r="AJ402">
        <v>96.61</v>
      </c>
      <c r="AK402">
        <v>0.01</v>
      </c>
      <c r="AL402" t="s">
        <v>53</v>
      </c>
      <c r="AM402" t="s">
        <v>53</v>
      </c>
      <c r="AN402" t="s">
        <v>280</v>
      </c>
      <c r="AO402" t="s">
        <v>53</v>
      </c>
      <c r="AP402" t="s">
        <v>53</v>
      </c>
    </row>
    <row r="403" spans="2:42" x14ac:dyDescent="0.2">
      <c r="B403" t="s">
        <v>44</v>
      </c>
      <c r="C403" t="str">
        <f>HYPERLINK("https://us2.cloudbeds.com/connect/8493803454333002#/reservations/598597157009?display=E1GHW9J4&amp;reservation_id=598597157009", "E1GHW9J4")</f>
        <v>E1GHW9J4</v>
      </c>
      <c r="D403" t="s">
        <v>45</v>
      </c>
      <c r="E403" t="s">
        <v>265</v>
      </c>
      <c r="F403" t="s">
        <v>61</v>
      </c>
      <c r="G403" t="s">
        <v>48</v>
      </c>
      <c r="H403" t="s">
        <v>49</v>
      </c>
      <c r="I403" t="s">
        <v>50</v>
      </c>
      <c r="J403" t="s">
        <v>538</v>
      </c>
      <c r="K403" t="s">
        <v>295</v>
      </c>
      <c r="L403" t="s">
        <v>53</v>
      </c>
      <c r="N403" t="s">
        <v>958</v>
      </c>
      <c r="P403" t="s">
        <v>55</v>
      </c>
      <c r="R403" t="s">
        <v>56</v>
      </c>
      <c r="T403" t="s">
        <v>959</v>
      </c>
      <c r="U403" t="s">
        <v>58</v>
      </c>
      <c r="V403">
        <v>2</v>
      </c>
      <c r="W403">
        <v>1</v>
      </c>
      <c r="X403">
        <v>1</v>
      </c>
      <c r="Y403">
        <v>0</v>
      </c>
      <c r="Z403">
        <v>1</v>
      </c>
      <c r="AA403">
        <v>0</v>
      </c>
      <c r="AB403">
        <v>245.48</v>
      </c>
      <c r="AC403">
        <v>216</v>
      </c>
      <c r="AD403">
        <v>0</v>
      </c>
      <c r="AE403">
        <v>29.48</v>
      </c>
      <c r="AF403">
        <v>0</v>
      </c>
      <c r="AG403">
        <v>0</v>
      </c>
      <c r="AH403">
        <v>0</v>
      </c>
      <c r="AI403">
        <v>44.19</v>
      </c>
      <c r="AJ403">
        <v>245.48</v>
      </c>
      <c r="AK403">
        <v>0</v>
      </c>
      <c r="AL403" t="s">
        <v>53</v>
      </c>
      <c r="AM403" t="s">
        <v>53</v>
      </c>
      <c r="AN403" t="s">
        <v>142</v>
      </c>
      <c r="AO403" t="s">
        <v>53</v>
      </c>
      <c r="AP403" t="s">
        <v>53</v>
      </c>
    </row>
    <row r="404" spans="2:42" x14ac:dyDescent="0.2">
      <c r="B404" t="s">
        <v>44</v>
      </c>
      <c r="C404" t="str">
        <f>HYPERLINK("https://us2.cloudbeds.com/connect/8493803454333002#/reservations/598576935063?display=E1G0UJ9T&amp;reservation_id=598576935063", "E1G0UJ9T")</f>
        <v>E1G0UJ9T</v>
      </c>
      <c r="D404" t="s">
        <v>45</v>
      </c>
      <c r="E404" t="s">
        <v>265</v>
      </c>
      <c r="F404" t="s">
        <v>61</v>
      </c>
      <c r="G404" t="s">
        <v>48</v>
      </c>
      <c r="H404" t="s">
        <v>49</v>
      </c>
      <c r="I404" t="s">
        <v>79</v>
      </c>
      <c r="J404" t="s">
        <v>123</v>
      </c>
      <c r="K404" t="s">
        <v>475</v>
      </c>
      <c r="L404" t="s">
        <v>53</v>
      </c>
      <c r="N404" t="s">
        <v>960</v>
      </c>
      <c r="P404" t="s">
        <v>55</v>
      </c>
      <c r="R404" t="s">
        <v>56</v>
      </c>
      <c r="T404" t="s">
        <v>959</v>
      </c>
      <c r="U404" t="s">
        <v>58</v>
      </c>
      <c r="V404">
        <v>1</v>
      </c>
      <c r="W404">
        <v>1</v>
      </c>
      <c r="X404">
        <v>1</v>
      </c>
      <c r="Y404">
        <v>0</v>
      </c>
      <c r="Z404">
        <v>1</v>
      </c>
      <c r="AA404">
        <v>0</v>
      </c>
      <c r="AB404">
        <v>146.27000000000001</v>
      </c>
      <c r="AC404">
        <v>128.69999999999999</v>
      </c>
      <c r="AD404">
        <v>0</v>
      </c>
      <c r="AE404">
        <v>17.559999999999999</v>
      </c>
      <c r="AF404">
        <v>0</v>
      </c>
      <c r="AG404">
        <v>0</v>
      </c>
      <c r="AH404">
        <v>0</v>
      </c>
      <c r="AI404">
        <v>0</v>
      </c>
      <c r="AJ404">
        <v>146.26</v>
      </c>
      <c r="AK404">
        <v>-0.01</v>
      </c>
      <c r="AL404" t="s">
        <v>53</v>
      </c>
      <c r="AM404" t="s">
        <v>53</v>
      </c>
      <c r="AN404" t="s">
        <v>178</v>
      </c>
      <c r="AO404" t="s">
        <v>53</v>
      </c>
      <c r="AP404" t="s">
        <v>53</v>
      </c>
    </row>
    <row r="405" spans="2:42" x14ac:dyDescent="0.2">
      <c r="B405" t="s">
        <v>44</v>
      </c>
      <c r="C405" t="str">
        <f>HYPERLINK("https://us2.cloudbeds.com/connect/8493803454333002#/reservations/598432772230?display=E1CBC1C6&amp;reservation_id=598432772230", "E1CBC1C6")</f>
        <v>E1CBC1C6</v>
      </c>
      <c r="D405" t="s">
        <v>45</v>
      </c>
      <c r="E405" t="s">
        <v>190</v>
      </c>
      <c r="F405" t="s">
        <v>61</v>
      </c>
      <c r="G405" t="s">
        <v>48</v>
      </c>
      <c r="H405" t="s">
        <v>49</v>
      </c>
      <c r="I405" t="s">
        <v>79</v>
      </c>
      <c r="J405" t="s">
        <v>116</v>
      </c>
      <c r="K405" t="s">
        <v>961</v>
      </c>
      <c r="L405" t="s">
        <v>53</v>
      </c>
      <c r="N405" t="s">
        <v>962</v>
      </c>
      <c r="P405" t="s">
        <v>55</v>
      </c>
      <c r="R405" t="s">
        <v>56</v>
      </c>
      <c r="T405" t="s">
        <v>959</v>
      </c>
      <c r="U405" t="s">
        <v>58</v>
      </c>
      <c r="V405">
        <v>5</v>
      </c>
      <c r="W405">
        <v>1</v>
      </c>
      <c r="X405">
        <v>1</v>
      </c>
      <c r="Y405">
        <v>0</v>
      </c>
      <c r="Z405">
        <v>1</v>
      </c>
      <c r="AA405">
        <v>0</v>
      </c>
      <c r="AB405">
        <v>458.24</v>
      </c>
      <c r="AC405">
        <v>403.2</v>
      </c>
      <c r="AD405">
        <v>0</v>
      </c>
      <c r="AE405">
        <v>55</v>
      </c>
      <c r="AF405">
        <v>0</v>
      </c>
      <c r="AG405">
        <v>0</v>
      </c>
      <c r="AH405">
        <v>0</v>
      </c>
      <c r="AI405">
        <v>0</v>
      </c>
      <c r="AJ405">
        <v>458.2</v>
      </c>
      <c r="AK405">
        <v>-0.04</v>
      </c>
      <c r="AL405" t="s">
        <v>53</v>
      </c>
      <c r="AM405" t="s">
        <v>53</v>
      </c>
      <c r="AN405" t="s">
        <v>112</v>
      </c>
      <c r="AO405" t="s">
        <v>53</v>
      </c>
      <c r="AP405" t="s">
        <v>53</v>
      </c>
    </row>
    <row r="406" spans="2:42" x14ac:dyDescent="0.2">
      <c r="B406" t="s">
        <v>44</v>
      </c>
      <c r="C406" t="str">
        <f>HYPERLINK("https://us2.cloudbeds.com/connect/8493803454333002#/reservations/598532284564?display=E1ET93UF&amp;reservation_id=598532284564", "E1ET93UF")</f>
        <v>E1ET93UF</v>
      </c>
      <c r="D406" t="s">
        <v>45</v>
      </c>
      <c r="E406" t="s">
        <v>113</v>
      </c>
      <c r="F406" t="s">
        <v>61</v>
      </c>
      <c r="G406" t="s">
        <v>48</v>
      </c>
      <c r="H406" t="s">
        <v>49</v>
      </c>
      <c r="I406" t="s">
        <v>79</v>
      </c>
      <c r="J406" t="s">
        <v>538</v>
      </c>
      <c r="K406" t="s">
        <v>295</v>
      </c>
      <c r="L406" t="s">
        <v>53</v>
      </c>
      <c r="N406" t="s">
        <v>963</v>
      </c>
      <c r="P406" t="s">
        <v>55</v>
      </c>
      <c r="R406" t="s">
        <v>56</v>
      </c>
      <c r="T406" t="s">
        <v>959</v>
      </c>
      <c r="U406" t="s">
        <v>58</v>
      </c>
      <c r="V406">
        <v>2</v>
      </c>
      <c r="W406">
        <v>1</v>
      </c>
      <c r="X406">
        <v>1</v>
      </c>
      <c r="Y406">
        <v>0</v>
      </c>
      <c r="Z406">
        <v>1</v>
      </c>
      <c r="AA406">
        <v>0</v>
      </c>
      <c r="AB406">
        <v>245.48</v>
      </c>
      <c r="AC406">
        <v>216</v>
      </c>
      <c r="AD406">
        <v>0</v>
      </c>
      <c r="AE406">
        <v>29.48</v>
      </c>
      <c r="AF406">
        <v>0</v>
      </c>
      <c r="AG406">
        <v>0</v>
      </c>
      <c r="AH406">
        <v>0</v>
      </c>
      <c r="AI406">
        <v>0</v>
      </c>
      <c r="AJ406">
        <v>245.48</v>
      </c>
      <c r="AK406">
        <v>0</v>
      </c>
      <c r="AL406" t="s">
        <v>53</v>
      </c>
      <c r="AM406" t="s">
        <v>53</v>
      </c>
      <c r="AN406" t="s">
        <v>316</v>
      </c>
      <c r="AO406" t="s">
        <v>53</v>
      </c>
      <c r="AP406" t="s">
        <v>53</v>
      </c>
    </row>
    <row r="407" spans="2:42" x14ac:dyDescent="0.2">
      <c r="B407" t="s">
        <v>44</v>
      </c>
      <c r="C407" t="str">
        <f>HYPERLINK("https://us2.cloudbeds.com/connect/8493803454333002#/reservations/598582010012?display=E1G56QG7&amp;reservation_id=598582010012", "E1G56QG7")</f>
        <v>E1G56QG7</v>
      </c>
      <c r="D407" t="s">
        <v>45</v>
      </c>
      <c r="E407" t="s">
        <v>165</v>
      </c>
      <c r="F407" t="s">
        <v>61</v>
      </c>
      <c r="G407" t="s">
        <v>48</v>
      </c>
      <c r="H407" t="s">
        <v>49</v>
      </c>
      <c r="I407" t="s">
        <v>50</v>
      </c>
      <c r="J407" t="s">
        <v>253</v>
      </c>
      <c r="K407" t="s">
        <v>938</v>
      </c>
      <c r="L407" t="s">
        <v>53</v>
      </c>
      <c r="N407" t="s">
        <v>964</v>
      </c>
      <c r="P407" t="s">
        <v>55</v>
      </c>
      <c r="R407" t="s">
        <v>56</v>
      </c>
      <c r="T407" t="s">
        <v>959</v>
      </c>
      <c r="U407" t="s">
        <v>58</v>
      </c>
      <c r="V407">
        <v>2</v>
      </c>
      <c r="W407">
        <v>1</v>
      </c>
      <c r="X407">
        <v>1</v>
      </c>
      <c r="Y407">
        <v>0</v>
      </c>
      <c r="Z407">
        <v>1</v>
      </c>
      <c r="AA407">
        <v>0</v>
      </c>
      <c r="AB407">
        <v>235.26</v>
      </c>
      <c r="AC407">
        <v>207</v>
      </c>
      <c r="AD407">
        <v>0</v>
      </c>
      <c r="AE407">
        <v>28.24</v>
      </c>
      <c r="AF407">
        <v>0</v>
      </c>
      <c r="AG407">
        <v>0</v>
      </c>
      <c r="AH407">
        <v>0</v>
      </c>
      <c r="AI407">
        <v>42.34</v>
      </c>
      <c r="AJ407">
        <v>235.24</v>
      </c>
      <c r="AK407">
        <v>-0.02</v>
      </c>
      <c r="AL407" t="s">
        <v>53</v>
      </c>
      <c r="AM407" t="s">
        <v>53</v>
      </c>
      <c r="AN407" t="s">
        <v>316</v>
      </c>
      <c r="AO407" t="s">
        <v>53</v>
      </c>
      <c r="AP407" t="s">
        <v>53</v>
      </c>
    </row>
    <row r="408" spans="2:42" x14ac:dyDescent="0.2">
      <c r="B408" t="s">
        <v>44</v>
      </c>
      <c r="C408" t="str">
        <f>HYPERLINK("https://us2.cloudbeds.com/connect/8493803454333002#/reservations/598236885128?display=E17B66DD&amp;reservation_id=598236885128", "E17B66DD")</f>
        <v>E17B66DD</v>
      </c>
      <c r="D408" t="s">
        <v>45</v>
      </c>
      <c r="E408" t="s">
        <v>92</v>
      </c>
      <c r="F408" t="s">
        <v>86</v>
      </c>
      <c r="G408" t="s">
        <v>48</v>
      </c>
      <c r="H408" t="s">
        <v>71</v>
      </c>
      <c r="I408" t="s">
        <v>72</v>
      </c>
      <c r="J408" t="s">
        <v>549</v>
      </c>
      <c r="K408" t="s">
        <v>134</v>
      </c>
      <c r="L408" t="s">
        <v>53</v>
      </c>
      <c r="N408" t="s">
        <v>965</v>
      </c>
      <c r="P408" t="s">
        <v>55</v>
      </c>
      <c r="R408" t="s">
        <v>56</v>
      </c>
      <c r="T408" t="s">
        <v>959</v>
      </c>
      <c r="U408" t="s">
        <v>58</v>
      </c>
      <c r="V408">
        <v>1</v>
      </c>
      <c r="W408">
        <v>1</v>
      </c>
      <c r="X408">
        <v>1</v>
      </c>
      <c r="Y408">
        <v>0</v>
      </c>
      <c r="Z408">
        <v>1</v>
      </c>
      <c r="AA408">
        <v>0</v>
      </c>
      <c r="AB408">
        <v>166.46</v>
      </c>
      <c r="AC408">
        <v>146.47</v>
      </c>
      <c r="AD408">
        <v>0</v>
      </c>
      <c r="AE408">
        <v>20</v>
      </c>
      <c r="AF408">
        <v>0</v>
      </c>
      <c r="AG408">
        <v>0</v>
      </c>
      <c r="AH408">
        <v>0</v>
      </c>
      <c r="AI408">
        <v>0</v>
      </c>
      <c r="AJ408">
        <v>166.47</v>
      </c>
      <c r="AK408">
        <v>0.01</v>
      </c>
      <c r="AL408" t="s">
        <v>53</v>
      </c>
      <c r="AM408" t="s">
        <v>53</v>
      </c>
      <c r="AN408" t="s">
        <v>966</v>
      </c>
      <c r="AO408" t="s">
        <v>53</v>
      </c>
      <c r="AP408" t="s">
        <v>53</v>
      </c>
    </row>
    <row r="409" spans="2:42" x14ac:dyDescent="0.2">
      <c r="B409" t="s">
        <v>44</v>
      </c>
      <c r="C409" t="str">
        <f>HYPERLINK("https://us2.cloudbeds.com/connect/8493803454333002#/reservations/598565269653?display=E1FZ2W8K&amp;reservation_id=598565269653", "E1FZ2W8K")</f>
        <v>E1FZ2W8K</v>
      </c>
      <c r="D409" t="s">
        <v>45</v>
      </c>
      <c r="E409" t="s">
        <v>487</v>
      </c>
      <c r="F409" t="s">
        <v>61</v>
      </c>
      <c r="G409" t="s">
        <v>48</v>
      </c>
      <c r="H409" t="s">
        <v>49</v>
      </c>
      <c r="I409" t="s">
        <v>79</v>
      </c>
      <c r="J409" t="s">
        <v>289</v>
      </c>
      <c r="K409" t="s">
        <v>180</v>
      </c>
      <c r="L409" t="s">
        <v>53</v>
      </c>
      <c r="N409" t="s">
        <v>967</v>
      </c>
      <c r="P409" t="s">
        <v>55</v>
      </c>
      <c r="R409" t="s">
        <v>56</v>
      </c>
      <c r="T409" t="s">
        <v>959</v>
      </c>
      <c r="U409" t="s">
        <v>58</v>
      </c>
      <c r="V409">
        <v>2</v>
      </c>
      <c r="W409">
        <v>1</v>
      </c>
      <c r="X409">
        <v>1</v>
      </c>
      <c r="Y409">
        <v>0</v>
      </c>
      <c r="Z409">
        <v>1</v>
      </c>
      <c r="AA409">
        <v>0</v>
      </c>
      <c r="AB409">
        <v>331.4</v>
      </c>
      <c r="AC409">
        <v>291.60000000000002</v>
      </c>
      <c r="AD409">
        <v>0</v>
      </c>
      <c r="AE409">
        <v>39.799999999999997</v>
      </c>
      <c r="AF409">
        <v>0</v>
      </c>
      <c r="AG409">
        <v>0</v>
      </c>
      <c r="AH409">
        <v>0</v>
      </c>
      <c r="AI409">
        <v>0</v>
      </c>
      <c r="AJ409">
        <v>331.4</v>
      </c>
      <c r="AK409">
        <v>0</v>
      </c>
      <c r="AL409" t="s">
        <v>53</v>
      </c>
      <c r="AM409" t="s">
        <v>53</v>
      </c>
      <c r="AN409" t="s">
        <v>280</v>
      </c>
      <c r="AO409" t="s">
        <v>53</v>
      </c>
      <c r="AP409" t="s">
        <v>53</v>
      </c>
    </row>
    <row r="410" spans="2:42" x14ac:dyDescent="0.2">
      <c r="B410" t="s">
        <v>44</v>
      </c>
      <c r="C410" t="str">
        <f>HYPERLINK("https://us2.cloudbeds.com/connect/8493803454333002#/reservations/597842661536?display=E0U8PB8V&amp;reservation_id=597842661536", "E0U8PB8V")</f>
        <v>E0U8PB8V</v>
      </c>
      <c r="D410" t="s">
        <v>45</v>
      </c>
      <c r="E410" t="s">
        <v>69</v>
      </c>
      <c r="F410" t="s">
        <v>70</v>
      </c>
      <c r="G410" t="s">
        <v>48</v>
      </c>
      <c r="H410" t="s">
        <v>49</v>
      </c>
      <c r="I410" t="s">
        <v>50</v>
      </c>
      <c r="J410" t="s">
        <v>839</v>
      </c>
      <c r="K410" t="s">
        <v>472</v>
      </c>
      <c r="L410" t="s">
        <v>53</v>
      </c>
      <c r="N410" t="s">
        <v>968</v>
      </c>
      <c r="P410" t="s">
        <v>55</v>
      </c>
      <c r="R410" t="s">
        <v>56</v>
      </c>
      <c r="T410" t="s">
        <v>969</v>
      </c>
      <c r="U410" t="s">
        <v>58</v>
      </c>
      <c r="V410">
        <v>1</v>
      </c>
      <c r="W410">
        <v>1</v>
      </c>
      <c r="X410">
        <v>1</v>
      </c>
      <c r="Y410">
        <v>0</v>
      </c>
      <c r="Z410">
        <v>1</v>
      </c>
      <c r="AA410">
        <v>0</v>
      </c>
      <c r="AB410">
        <v>68.53</v>
      </c>
      <c r="AC410">
        <v>60.3</v>
      </c>
      <c r="AD410">
        <v>0</v>
      </c>
      <c r="AE410">
        <v>8.24</v>
      </c>
      <c r="AF410">
        <v>0</v>
      </c>
      <c r="AG410">
        <v>0</v>
      </c>
      <c r="AH410">
        <v>0</v>
      </c>
      <c r="AI410">
        <v>12.34</v>
      </c>
      <c r="AJ410">
        <v>68.540000000000006</v>
      </c>
      <c r="AK410">
        <v>0.01</v>
      </c>
      <c r="AL410" t="s">
        <v>53</v>
      </c>
      <c r="AM410" t="s">
        <v>53</v>
      </c>
      <c r="AN410" t="s">
        <v>252</v>
      </c>
      <c r="AO410" t="s">
        <v>53</v>
      </c>
      <c r="AP410" t="s">
        <v>53</v>
      </c>
    </row>
    <row r="411" spans="2:42" x14ac:dyDescent="0.2">
      <c r="B411" t="s">
        <v>44</v>
      </c>
      <c r="C411" t="str">
        <f>HYPERLINK("https://us2.cloudbeds.com/connect/8493803454333002#/reservations/598367838431?display=E1AMK5CA&amp;reservation_id=598367838431", "E1AMK5CA")</f>
        <v>E1AMK5CA</v>
      </c>
      <c r="D411" t="s">
        <v>45</v>
      </c>
      <c r="E411" t="s">
        <v>98</v>
      </c>
      <c r="F411" t="s">
        <v>86</v>
      </c>
      <c r="G411" t="s">
        <v>48</v>
      </c>
      <c r="H411" t="s">
        <v>49</v>
      </c>
      <c r="I411" t="s">
        <v>62</v>
      </c>
      <c r="J411" t="s">
        <v>970</v>
      </c>
      <c r="K411" t="s">
        <v>289</v>
      </c>
      <c r="L411" t="s">
        <v>53</v>
      </c>
      <c r="N411" t="s">
        <v>971</v>
      </c>
      <c r="P411" t="s">
        <v>55</v>
      </c>
      <c r="R411" t="s">
        <v>56</v>
      </c>
      <c r="T411" t="s">
        <v>969</v>
      </c>
      <c r="U411" t="s">
        <v>58</v>
      </c>
      <c r="V411">
        <v>2</v>
      </c>
      <c r="W411">
        <v>1</v>
      </c>
      <c r="X411">
        <v>1</v>
      </c>
      <c r="Y411">
        <v>0</v>
      </c>
      <c r="Z411">
        <v>1</v>
      </c>
      <c r="AA411">
        <v>0</v>
      </c>
      <c r="AB411">
        <v>340.95</v>
      </c>
      <c r="AC411">
        <v>300</v>
      </c>
      <c r="AD411">
        <v>0</v>
      </c>
      <c r="AE411">
        <v>40.96</v>
      </c>
      <c r="AF411">
        <v>0</v>
      </c>
      <c r="AG411">
        <v>0</v>
      </c>
      <c r="AH411">
        <v>0</v>
      </c>
      <c r="AI411">
        <v>51.14</v>
      </c>
      <c r="AJ411">
        <v>340.96</v>
      </c>
      <c r="AK411">
        <v>0.01</v>
      </c>
      <c r="AL411" t="s">
        <v>53</v>
      </c>
      <c r="AM411" t="s">
        <v>53</v>
      </c>
      <c r="AN411" t="s">
        <v>137</v>
      </c>
      <c r="AO411" t="s">
        <v>53</v>
      </c>
      <c r="AP411" t="s">
        <v>53</v>
      </c>
    </row>
    <row r="412" spans="2:42" x14ac:dyDescent="0.2">
      <c r="B412" t="s">
        <v>44</v>
      </c>
      <c r="C412" t="str">
        <f>HYPERLINK("https://us2.cloudbeds.com/connect/8493803454333002#/reservations/598088110213?display=E13HZAAY&amp;reservation_id=598088110213", "E13HZAAY")</f>
        <v>E13HZAAY</v>
      </c>
      <c r="D412" t="s">
        <v>45</v>
      </c>
      <c r="E412" t="s">
        <v>185</v>
      </c>
      <c r="F412" t="s">
        <v>47</v>
      </c>
      <c r="G412" t="s">
        <v>48</v>
      </c>
      <c r="H412" t="s">
        <v>49</v>
      </c>
      <c r="I412" t="s">
        <v>62</v>
      </c>
      <c r="J412" t="s">
        <v>839</v>
      </c>
      <c r="K412" t="s">
        <v>472</v>
      </c>
      <c r="L412" t="s">
        <v>53</v>
      </c>
      <c r="N412" t="s">
        <v>972</v>
      </c>
      <c r="P412" t="s">
        <v>55</v>
      </c>
      <c r="R412" t="s">
        <v>56</v>
      </c>
      <c r="T412" t="s">
        <v>969</v>
      </c>
      <c r="U412" t="s">
        <v>58</v>
      </c>
      <c r="V412">
        <v>1</v>
      </c>
      <c r="W412">
        <v>1</v>
      </c>
      <c r="X412">
        <v>1</v>
      </c>
      <c r="Y412">
        <v>0</v>
      </c>
      <c r="Z412">
        <v>1</v>
      </c>
      <c r="AA412">
        <v>0</v>
      </c>
      <c r="AB412">
        <v>73.989999999999995</v>
      </c>
      <c r="AC412">
        <v>65.099999999999994</v>
      </c>
      <c r="AD412">
        <v>0</v>
      </c>
      <c r="AE412">
        <v>8.89</v>
      </c>
      <c r="AF412">
        <v>0</v>
      </c>
      <c r="AG412">
        <v>0</v>
      </c>
      <c r="AH412">
        <v>0</v>
      </c>
      <c r="AI412">
        <v>11.1</v>
      </c>
      <c r="AJ412">
        <v>73.989999999999995</v>
      </c>
      <c r="AK412">
        <v>0</v>
      </c>
      <c r="AL412" t="s">
        <v>53</v>
      </c>
      <c r="AM412" t="s">
        <v>53</v>
      </c>
      <c r="AN412" t="s">
        <v>973</v>
      </c>
      <c r="AO412" t="s">
        <v>53</v>
      </c>
      <c r="AP412" t="s">
        <v>53</v>
      </c>
    </row>
    <row r="413" spans="2:42" x14ac:dyDescent="0.2">
      <c r="B413" t="s">
        <v>44</v>
      </c>
      <c r="C413" t="str">
        <f>HYPERLINK("https://us2.cloudbeds.com/connect/8493803454333002#/reservations/598225633425?display=E171N38N&amp;reservation_id=598225633425", "E171N38N")</f>
        <v>E171N38N</v>
      </c>
      <c r="D413" t="s">
        <v>45</v>
      </c>
      <c r="E413" t="s">
        <v>69</v>
      </c>
      <c r="F413" t="s">
        <v>70</v>
      </c>
      <c r="G413" t="s">
        <v>48</v>
      </c>
      <c r="H413" t="s">
        <v>49</v>
      </c>
      <c r="I413" t="s">
        <v>79</v>
      </c>
      <c r="J413" t="s">
        <v>699</v>
      </c>
      <c r="K413" t="s">
        <v>143</v>
      </c>
      <c r="L413" t="s">
        <v>53</v>
      </c>
      <c r="N413" t="s">
        <v>974</v>
      </c>
      <c r="P413" t="s">
        <v>55</v>
      </c>
      <c r="R413" t="s">
        <v>56</v>
      </c>
      <c r="T413" t="s">
        <v>969</v>
      </c>
      <c r="U413" t="s">
        <v>58</v>
      </c>
      <c r="V413">
        <v>1</v>
      </c>
      <c r="W413">
        <v>1</v>
      </c>
      <c r="X413">
        <v>1</v>
      </c>
      <c r="Y413">
        <v>0</v>
      </c>
      <c r="Z413">
        <v>1</v>
      </c>
      <c r="AA413">
        <v>0</v>
      </c>
      <c r="AB413">
        <v>145.24</v>
      </c>
      <c r="AC413">
        <v>127.8</v>
      </c>
      <c r="AD413">
        <v>0</v>
      </c>
      <c r="AE413">
        <v>17.45</v>
      </c>
      <c r="AF413">
        <v>0</v>
      </c>
      <c r="AG413">
        <v>0</v>
      </c>
      <c r="AH413">
        <v>0</v>
      </c>
      <c r="AI413">
        <v>0</v>
      </c>
      <c r="AJ413">
        <v>145.25</v>
      </c>
      <c r="AK413">
        <v>0.01</v>
      </c>
      <c r="AL413" t="s">
        <v>53</v>
      </c>
      <c r="AM413" t="s">
        <v>53</v>
      </c>
      <c r="AN413" t="s">
        <v>349</v>
      </c>
      <c r="AO413" t="s">
        <v>53</v>
      </c>
      <c r="AP413" t="s">
        <v>53</v>
      </c>
    </row>
    <row r="414" spans="2:42" x14ac:dyDescent="0.2">
      <c r="B414" t="s">
        <v>44</v>
      </c>
      <c r="C414" t="str">
        <f>HYPERLINK("https://us2.cloudbeds.com/connect/8493803454333002#/reservations/598518124736?display=E1EC2KZC&amp;reservation_id=598518124736", "E1EC2KZC")</f>
        <v>E1EC2KZC</v>
      </c>
      <c r="D414" t="s">
        <v>45</v>
      </c>
      <c r="E414" t="s">
        <v>373</v>
      </c>
      <c r="F414" t="s">
        <v>47</v>
      </c>
      <c r="G414" t="s">
        <v>48</v>
      </c>
      <c r="H414" t="s">
        <v>49</v>
      </c>
      <c r="I414" t="s">
        <v>50</v>
      </c>
      <c r="J414" t="s">
        <v>472</v>
      </c>
      <c r="K414" t="s">
        <v>975</v>
      </c>
      <c r="L414" t="s">
        <v>53</v>
      </c>
      <c r="N414" t="s">
        <v>976</v>
      </c>
      <c r="P414" t="s">
        <v>55</v>
      </c>
      <c r="R414" t="s">
        <v>56</v>
      </c>
      <c r="T414" t="s">
        <v>969</v>
      </c>
      <c r="U414" t="s">
        <v>58</v>
      </c>
      <c r="V414">
        <v>1</v>
      </c>
      <c r="W414">
        <v>1</v>
      </c>
      <c r="X414">
        <v>1</v>
      </c>
      <c r="Y414">
        <v>0</v>
      </c>
      <c r="Z414">
        <v>1</v>
      </c>
      <c r="AA414">
        <v>0</v>
      </c>
      <c r="AB414">
        <v>75.69</v>
      </c>
      <c r="AC414">
        <v>66.599999999999994</v>
      </c>
      <c r="AD414">
        <v>0</v>
      </c>
      <c r="AE414">
        <v>9.09</v>
      </c>
      <c r="AF414">
        <v>0</v>
      </c>
      <c r="AG414">
        <v>0</v>
      </c>
      <c r="AH414">
        <v>0</v>
      </c>
      <c r="AI414">
        <v>13.62</v>
      </c>
      <c r="AJ414">
        <v>75.69</v>
      </c>
      <c r="AK414">
        <v>0</v>
      </c>
      <c r="AL414" t="s">
        <v>53</v>
      </c>
      <c r="AM414" t="s">
        <v>53</v>
      </c>
      <c r="AN414" t="s">
        <v>280</v>
      </c>
      <c r="AO414" t="s">
        <v>53</v>
      </c>
      <c r="AP414" t="s">
        <v>53</v>
      </c>
    </row>
    <row r="415" spans="2:42" x14ac:dyDescent="0.2">
      <c r="B415" t="s">
        <v>44</v>
      </c>
      <c r="C415" t="str">
        <f>HYPERLINK("https://us2.cloudbeds.com/connect/8493803454333002#/reservations/598203830491?display=E16GAD6N&amp;reservation_id=598203830491", "E16GAD6N")</f>
        <v>E16GAD6N</v>
      </c>
      <c r="D415" t="s">
        <v>45</v>
      </c>
      <c r="E415" t="s">
        <v>138</v>
      </c>
      <c r="F415" t="s">
        <v>70</v>
      </c>
      <c r="G415" t="s">
        <v>48</v>
      </c>
      <c r="H415" t="s">
        <v>49</v>
      </c>
      <c r="I415" t="s">
        <v>62</v>
      </c>
      <c r="J415" t="s">
        <v>839</v>
      </c>
      <c r="K415" t="s">
        <v>472</v>
      </c>
      <c r="L415" t="s">
        <v>53</v>
      </c>
      <c r="N415" t="s">
        <v>977</v>
      </c>
      <c r="P415" t="s">
        <v>55</v>
      </c>
      <c r="R415" t="s">
        <v>56</v>
      </c>
      <c r="T415" t="s">
        <v>969</v>
      </c>
      <c r="U415" t="s">
        <v>58</v>
      </c>
      <c r="V415">
        <v>1</v>
      </c>
      <c r="W415">
        <v>1</v>
      </c>
      <c r="X415">
        <v>1</v>
      </c>
      <c r="Y415">
        <v>0</v>
      </c>
      <c r="Z415">
        <v>1</v>
      </c>
      <c r="AA415">
        <v>0</v>
      </c>
      <c r="AB415">
        <v>76.150000000000006</v>
      </c>
      <c r="AC415">
        <v>67</v>
      </c>
      <c r="AD415">
        <v>0</v>
      </c>
      <c r="AE415">
        <v>9.15</v>
      </c>
      <c r="AF415">
        <v>0</v>
      </c>
      <c r="AG415">
        <v>0</v>
      </c>
      <c r="AH415">
        <v>0</v>
      </c>
      <c r="AI415">
        <v>11.42</v>
      </c>
      <c r="AJ415">
        <v>76.150000000000006</v>
      </c>
      <c r="AK415">
        <v>0</v>
      </c>
      <c r="AL415" t="s">
        <v>53</v>
      </c>
      <c r="AM415" t="s">
        <v>53</v>
      </c>
      <c r="AN415" t="s">
        <v>178</v>
      </c>
      <c r="AO415" t="s">
        <v>53</v>
      </c>
      <c r="AP415" t="s">
        <v>53</v>
      </c>
    </row>
    <row r="416" spans="2:42" x14ac:dyDescent="0.2">
      <c r="B416" t="s">
        <v>44</v>
      </c>
      <c r="C416" t="str">
        <f>HYPERLINK("https://us2.cloudbeds.com/connect/8493803454333002#/reservations/598359773422?display=E1AFQZG3&amp;reservation_id=598359773422", "E1AFQZG3")</f>
        <v>E1AFQZG3</v>
      </c>
      <c r="D416" t="s">
        <v>45</v>
      </c>
      <c r="E416" t="s">
        <v>406</v>
      </c>
      <c r="F416" t="s">
        <v>61</v>
      </c>
      <c r="G416" t="s">
        <v>48</v>
      </c>
      <c r="H416" t="s">
        <v>71</v>
      </c>
      <c r="I416" t="s">
        <v>72</v>
      </c>
      <c r="J416" t="s">
        <v>586</v>
      </c>
      <c r="K416" t="s">
        <v>850</v>
      </c>
      <c r="L416" t="s">
        <v>53</v>
      </c>
      <c r="N416" t="s">
        <v>978</v>
      </c>
      <c r="P416" t="s">
        <v>58</v>
      </c>
      <c r="R416" t="s">
        <v>56</v>
      </c>
      <c r="T416" t="s">
        <v>969</v>
      </c>
      <c r="U416" t="s">
        <v>58</v>
      </c>
      <c r="V416">
        <v>6</v>
      </c>
      <c r="W416">
        <v>1</v>
      </c>
      <c r="X416">
        <v>1</v>
      </c>
      <c r="Y416">
        <v>0</v>
      </c>
      <c r="Z416">
        <v>1</v>
      </c>
      <c r="AA416">
        <v>0</v>
      </c>
      <c r="AB416">
        <v>570.52</v>
      </c>
      <c r="AC416">
        <v>502</v>
      </c>
      <c r="AD416">
        <v>0</v>
      </c>
      <c r="AE416">
        <v>68.52</v>
      </c>
      <c r="AF416">
        <v>0</v>
      </c>
      <c r="AG416">
        <v>0</v>
      </c>
      <c r="AH416">
        <v>0</v>
      </c>
      <c r="AI416">
        <v>0</v>
      </c>
      <c r="AJ416">
        <v>570.52</v>
      </c>
      <c r="AK416">
        <v>0</v>
      </c>
      <c r="AL416" t="s">
        <v>53</v>
      </c>
      <c r="AM416" t="s">
        <v>53</v>
      </c>
      <c r="AN416" t="s">
        <v>979</v>
      </c>
      <c r="AO416" t="s">
        <v>53</v>
      </c>
      <c r="AP416" t="s">
        <v>53</v>
      </c>
    </row>
    <row r="417" spans="2:42" x14ac:dyDescent="0.2">
      <c r="B417" t="s">
        <v>44</v>
      </c>
      <c r="C417" t="str">
        <f>HYPERLINK("https://us2.cloudbeds.com/connect/8493803454333002#/reservations/598209351922?display=E16HYVPN&amp;reservation_id=598209351922", "E16HYVPN")</f>
        <v>E16HYVPN</v>
      </c>
      <c r="D417" t="s">
        <v>45</v>
      </c>
      <c r="E417" t="s">
        <v>179</v>
      </c>
      <c r="F417" t="s">
        <v>47</v>
      </c>
      <c r="G417" t="s">
        <v>48</v>
      </c>
      <c r="H417" t="s">
        <v>49</v>
      </c>
      <c r="I417" t="s">
        <v>79</v>
      </c>
      <c r="J417" t="s">
        <v>472</v>
      </c>
      <c r="K417" t="s">
        <v>975</v>
      </c>
      <c r="L417" t="s">
        <v>53</v>
      </c>
      <c r="N417" t="s">
        <v>980</v>
      </c>
      <c r="P417" t="s">
        <v>55</v>
      </c>
      <c r="R417" t="s">
        <v>56</v>
      </c>
      <c r="T417" t="s">
        <v>969</v>
      </c>
      <c r="U417" t="s">
        <v>58</v>
      </c>
      <c r="V417">
        <v>1</v>
      </c>
      <c r="W417">
        <v>1</v>
      </c>
      <c r="X417">
        <v>1</v>
      </c>
      <c r="Y417">
        <v>0</v>
      </c>
      <c r="Z417">
        <v>1</v>
      </c>
      <c r="AA417">
        <v>0</v>
      </c>
      <c r="AB417">
        <v>68.53</v>
      </c>
      <c r="AC417">
        <v>60.3</v>
      </c>
      <c r="AD417">
        <v>0</v>
      </c>
      <c r="AE417">
        <v>8.24</v>
      </c>
      <c r="AF417">
        <v>0</v>
      </c>
      <c r="AG417">
        <v>0</v>
      </c>
      <c r="AH417">
        <v>0</v>
      </c>
      <c r="AI417">
        <v>0</v>
      </c>
      <c r="AJ417">
        <v>68.540000000000006</v>
      </c>
      <c r="AK417">
        <v>0.01</v>
      </c>
      <c r="AL417" t="s">
        <v>53</v>
      </c>
      <c r="AM417" t="s">
        <v>53</v>
      </c>
      <c r="AN417" t="s">
        <v>84</v>
      </c>
      <c r="AO417" t="s">
        <v>53</v>
      </c>
      <c r="AP417" t="s">
        <v>53</v>
      </c>
    </row>
    <row r="418" spans="2:42" x14ac:dyDescent="0.2">
      <c r="B418" t="s">
        <v>44</v>
      </c>
      <c r="C418" t="str">
        <f>HYPERLINK("https://us2.cloudbeds.com/connect/8493803454333002#/reservations/598141407434?display=E14TMCZV&amp;reservation_id=598141407434", "E14TMCZV")</f>
        <v>E14TMCZV</v>
      </c>
      <c r="D418" t="s">
        <v>45</v>
      </c>
      <c r="E418" t="s">
        <v>98</v>
      </c>
      <c r="F418" t="s">
        <v>86</v>
      </c>
      <c r="G418" t="s">
        <v>48</v>
      </c>
      <c r="H418" t="s">
        <v>49</v>
      </c>
      <c r="I418" t="s">
        <v>50</v>
      </c>
      <c r="J418" t="s">
        <v>106</v>
      </c>
      <c r="K418" t="s">
        <v>107</v>
      </c>
      <c r="L418" t="s">
        <v>53</v>
      </c>
      <c r="N418" t="s">
        <v>981</v>
      </c>
      <c r="P418" t="s">
        <v>55</v>
      </c>
      <c r="R418" t="s">
        <v>56</v>
      </c>
      <c r="T418" t="s">
        <v>969</v>
      </c>
      <c r="U418" t="s">
        <v>58</v>
      </c>
      <c r="V418">
        <v>2</v>
      </c>
      <c r="W418">
        <v>1</v>
      </c>
      <c r="X418">
        <v>1</v>
      </c>
      <c r="Y418">
        <v>0</v>
      </c>
      <c r="Z418">
        <v>1</v>
      </c>
      <c r="AA418">
        <v>0</v>
      </c>
      <c r="AB418">
        <v>347.77</v>
      </c>
      <c r="AC418">
        <v>306</v>
      </c>
      <c r="AD418">
        <v>0</v>
      </c>
      <c r="AE418">
        <v>41.78</v>
      </c>
      <c r="AF418">
        <v>0</v>
      </c>
      <c r="AG418">
        <v>0</v>
      </c>
      <c r="AH418">
        <v>0</v>
      </c>
      <c r="AI418">
        <v>62.6</v>
      </c>
      <c r="AJ418">
        <v>347.78</v>
      </c>
      <c r="AK418">
        <v>0.01</v>
      </c>
      <c r="AL418" t="s">
        <v>53</v>
      </c>
      <c r="AM418" t="s">
        <v>53</v>
      </c>
      <c r="AN418" t="s">
        <v>245</v>
      </c>
      <c r="AO418" t="s">
        <v>53</v>
      </c>
      <c r="AP418" t="s">
        <v>53</v>
      </c>
    </row>
    <row r="419" spans="2:42" x14ac:dyDescent="0.2">
      <c r="B419" t="s">
        <v>44</v>
      </c>
      <c r="C419" t="str">
        <f>HYPERLINK("https://us2.cloudbeds.com/connect/8493803454333002#/reservations/598522618021?display=E1EY44CU&amp;reservation_id=598522618021", "E1EY44CU")</f>
        <v>E1EY44CU</v>
      </c>
      <c r="D419" t="s">
        <v>45</v>
      </c>
      <c r="E419" t="s">
        <v>138</v>
      </c>
      <c r="F419" t="s">
        <v>70</v>
      </c>
      <c r="G419" t="s">
        <v>48</v>
      </c>
      <c r="H419" t="s">
        <v>49</v>
      </c>
      <c r="I419" t="s">
        <v>50</v>
      </c>
      <c r="J419" t="s">
        <v>699</v>
      </c>
      <c r="K419" t="s">
        <v>783</v>
      </c>
      <c r="L419" t="s">
        <v>53</v>
      </c>
      <c r="N419" t="s">
        <v>982</v>
      </c>
      <c r="P419" t="s">
        <v>55</v>
      </c>
      <c r="R419" t="s">
        <v>56</v>
      </c>
      <c r="T419" t="s">
        <v>969</v>
      </c>
      <c r="U419" t="s">
        <v>58</v>
      </c>
      <c r="V419">
        <v>3</v>
      </c>
      <c r="W419">
        <v>1</v>
      </c>
      <c r="X419">
        <v>1</v>
      </c>
      <c r="Y419">
        <v>0</v>
      </c>
      <c r="Z419">
        <v>1</v>
      </c>
      <c r="AA419">
        <v>0</v>
      </c>
      <c r="AB419">
        <v>441.87</v>
      </c>
      <c r="AC419">
        <v>388.8</v>
      </c>
      <c r="AD419">
        <v>0</v>
      </c>
      <c r="AE419">
        <v>53.07</v>
      </c>
      <c r="AF419">
        <v>0</v>
      </c>
      <c r="AG419">
        <v>0</v>
      </c>
      <c r="AH419">
        <v>0</v>
      </c>
      <c r="AI419">
        <v>79.540000000000006</v>
      </c>
      <c r="AJ419">
        <v>441.87</v>
      </c>
      <c r="AK419">
        <v>0</v>
      </c>
      <c r="AL419" t="s">
        <v>53</v>
      </c>
      <c r="AM419" t="s">
        <v>53</v>
      </c>
      <c r="AN419" t="s">
        <v>280</v>
      </c>
      <c r="AO419" t="s">
        <v>53</v>
      </c>
      <c r="AP419" t="s">
        <v>53</v>
      </c>
    </row>
    <row r="420" spans="2:42" x14ac:dyDescent="0.2">
      <c r="B420" t="s">
        <v>44</v>
      </c>
      <c r="C420" t="str">
        <f>HYPERLINK("https://us2.cloudbeds.com/connect/8493803454333002#/reservations/598444777719?display=E1CYG3MT&amp;reservation_id=598444777719", "E1CYG3MT")</f>
        <v>E1CYG3MT</v>
      </c>
      <c r="D420" t="s">
        <v>45</v>
      </c>
      <c r="E420" t="s">
        <v>138</v>
      </c>
      <c r="F420" t="s">
        <v>70</v>
      </c>
      <c r="G420" t="s">
        <v>48</v>
      </c>
      <c r="H420" t="s">
        <v>49</v>
      </c>
      <c r="I420" t="s">
        <v>79</v>
      </c>
      <c r="J420" t="s">
        <v>970</v>
      </c>
      <c r="K420" t="s">
        <v>288</v>
      </c>
      <c r="L420" t="s">
        <v>53</v>
      </c>
      <c r="N420" t="s">
        <v>983</v>
      </c>
      <c r="P420" t="s">
        <v>55</v>
      </c>
      <c r="R420" t="s">
        <v>56</v>
      </c>
      <c r="T420" t="s">
        <v>969</v>
      </c>
      <c r="U420" t="s">
        <v>58</v>
      </c>
      <c r="V420">
        <v>1</v>
      </c>
      <c r="W420">
        <v>1</v>
      </c>
      <c r="X420">
        <v>1</v>
      </c>
      <c r="Y420">
        <v>0</v>
      </c>
      <c r="Z420">
        <v>1</v>
      </c>
      <c r="AA420">
        <v>0</v>
      </c>
      <c r="AB420">
        <v>127.86</v>
      </c>
      <c r="AC420">
        <v>112.5</v>
      </c>
      <c r="AD420">
        <v>0</v>
      </c>
      <c r="AE420">
        <v>15.36</v>
      </c>
      <c r="AF420">
        <v>0</v>
      </c>
      <c r="AG420">
        <v>0</v>
      </c>
      <c r="AH420">
        <v>0</v>
      </c>
      <c r="AI420">
        <v>0</v>
      </c>
      <c r="AJ420">
        <v>127.86</v>
      </c>
      <c r="AK420">
        <v>0</v>
      </c>
      <c r="AL420" t="s">
        <v>53</v>
      </c>
      <c r="AM420" t="s">
        <v>53</v>
      </c>
      <c r="AN420" t="s">
        <v>545</v>
      </c>
      <c r="AO420" t="s">
        <v>53</v>
      </c>
      <c r="AP420" t="s">
        <v>53</v>
      </c>
    </row>
    <row r="421" spans="2:42" x14ac:dyDescent="0.2">
      <c r="B421" t="s">
        <v>44</v>
      </c>
      <c r="C421" t="str">
        <f>HYPERLINK("https://us2.cloudbeds.com/connect/8493803454333002#/reservations/598299005137?display=E18UXPXU&amp;reservation_id=598299005137", "E18UXPXU")</f>
        <v>E18UXPXU</v>
      </c>
      <c r="D421" t="s">
        <v>45</v>
      </c>
      <c r="E421" t="s">
        <v>85</v>
      </c>
      <c r="F421" t="s">
        <v>86</v>
      </c>
      <c r="G421" t="s">
        <v>48</v>
      </c>
      <c r="H421" t="s">
        <v>71</v>
      </c>
      <c r="I421" t="s">
        <v>72</v>
      </c>
      <c r="J421" t="s">
        <v>556</v>
      </c>
      <c r="K421" t="s">
        <v>655</v>
      </c>
      <c r="L421" t="s">
        <v>53</v>
      </c>
      <c r="N421" t="s">
        <v>984</v>
      </c>
      <c r="P421" t="s">
        <v>55</v>
      </c>
      <c r="R421" t="s">
        <v>56</v>
      </c>
      <c r="T421" t="s">
        <v>985</v>
      </c>
      <c r="U421" t="s">
        <v>58</v>
      </c>
      <c r="V421">
        <v>1</v>
      </c>
      <c r="W421">
        <v>1</v>
      </c>
      <c r="X421">
        <v>1</v>
      </c>
      <c r="Y421">
        <v>0</v>
      </c>
      <c r="Z421">
        <v>1</v>
      </c>
      <c r="AA421">
        <v>0</v>
      </c>
      <c r="AB421">
        <v>90.92</v>
      </c>
      <c r="AC421">
        <v>80</v>
      </c>
      <c r="AD421">
        <v>0</v>
      </c>
      <c r="AE421">
        <v>10.92</v>
      </c>
      <c r="AF421">
        <v>0</v>
      </c>
      <c r="AG421">
        <v>0</v>
      </c>
      <c r="AH421">
        <v>0</v>
      </c>
      <c r="AI421">
        <v>0</v>
      </c>
      <c r="AJ421">
        <v>90.92</v>
      </c>
      <c r="AK421">
        <v>0</v>
      </c>
      <c r="AL421" t="s">
        <v>53</v>
      </c>
      <c r="AM421" t="s">
        <v>53</v>
      </c>
      <c r="AN421" t="s">
        <v>986</v>
      </c>
      <c r="AO421" t="s">
        <v>53</v>
      </c>
      <c r="AP421" t="s">
        <v>53</v>
      </c>
    </row>
    <row r="422" spans="2:42" x14ac:dyDescent="0.2">
      <c r="B422" t="s">
        <v>44</v>
      </c>
      <c r="C422" t="str">
        <f>HYPERLINK("https://us2.cloudbeds.com/connect/8493803454333002#/reservations/597882146963?display=E0V922N1&amp;reservation_id=597882146963", "E0V922N1")</f>
        <v>E0V922N1</v>
      </c>
      <c r="D422" t="s">
        <v>45</v>
      </c>
      <c r="E422" t="s">
        <v>98</v>
      </c>
      <c r="F422" t="s">
        <v>86</v>
      </c>
      <c r="G422" t="s">
        <v>48</v>
      </c>
      <c r="H422" t="s">
        <v>71</v>
      </c>
      <c r="I422" t="s">
        <v>72</v>
      </c>
      <c r="J422" t="s">
        <v>472</v>
      </c>
      <c r="K422" t="s">
        <v>975</v>
      </c>
      <c r="L422" t="s">
        <v>53</v>
      </c>
      <c r="N422" t="s">
        <v>987</v>
      </c>
      <c r="P422" t="s">
        <v>58</v>
      </c>
      <c r="R422" t="s">
        <v>56</v>
      </c>
      <c r="T422" t="s">
        <v>985</v>
      </c>
      <c r="U422" t="s">
        <v>58</v>
      </c>
      <c r="V422">
        <v>1</v>
      </c>
      <c r="W422">
        <v>1</v>
      </c>
      <c r="X422">
        <v>1</v>
      </c>
      <c r="Y422">
        <v>0</v>
      </c>
      <c r="Z422">
        <v>1</v>
      </c>
      <c r="AA422">
        <v>0</v>
      </c>
      <c r="AB422">
        <v>89.78</v>
      </c>
      <c r="AC422">
        <v>79</v>
      </c>
      <c r="AD422">
        <v>0</v>
      </c>
      <c r="AE422">
        <v>10.79</v>
      </c>
      <c r="AF422">
        <v>0</v>
      </c>
      <c r="AG422">
        <v>0</v>
      </c>
      <c r="AH422">
        <v>0</v>
      </c>
      <c r="AI422">
        <v>0</v>
      </c>
      <c r="AJ422">
        <v>89.79</v>
      </c>
      <c r="AK422">
        <v>0.01</v>
      </c>
      <c r="AL422" t="s">
        <v>53</v>
      </c>
      <c r="AM422" t="s">
        <v>53</v>
      </c>
      <c r="AN422" t="s">
        <v>378</v>
      </c>
      <c r="AO422" t="s">
        <v>53</v>
      </c>
      <c r="AP422" t="s">
        <v>53</v>
      </c>
    </row>
    <row r="423" spans="2:42" x14ac:dyDescent="0.2">
      <c r="B423" t="s">
        <v>44</v>
      </c>
      <c r="C423" t="str">
        <f>HYPERLINK("https://us2.cloudbeds.com/connect/8493803454333002#/reservations/598444888279?display=E1CYJ676&amp;reservation_id=598444888279", "E1CYJ676")</f>
        <v>E1CYJ676</v>
      </c>
      <c r="D423" t="s">
        <v>45</v>
      </c>
      <c r="E423" t="s">
        <v>138</v>
      </c>
      <c r="F423" t="s">
        <v>70</v>
      </c>
      <c r="G423" t="s">
        <v>48</v>
      </c>
      <c r="H423" t="s">
        <v>49</v>
      </c>
      <c r="I423" t="s">
        <v>50</v>
      </c>
      <c r="J423" t="s">
        <v>447</v>
      </c>
      <c r="K423" t="s">
        <v>988</v>
      </c>
      <c r="L423" t="s">
        <v>53</v>
      </c>
      <c r="N423" t="s">
        <v>989</v>
      </c>
      <c r="P423" t="s">
        <v>55</v>
      </c>
      <c r="R423" t="s">
        <v>56</v>
      </c>
      <c r="T423" t="s">
        <v>985</v>
      </c>
      <c r="U423" t="s">
        <v>58</v>
      </c>
      <c r="V423">
        <v>2</v>
      </c>
      <c r="W423">
        <v>1</v>
      </c>
      <c r="X423">
        <v>1</v>
      </c>
      <c r="Y423">
        <v>0</v>
      </c>
      <c r="Z423">
        <v>1</v>
      </c>
      <c r="AA423">
        <v>0</v>
      </c>
      <c r="AB423">
        <v>276.17</v>
      </c>
      <c r="AC423">
        <v>243</v>
      </c>
      <c r="AD423">
        <v>0</v>
      </c>
      <c r="AE423">
        <v>33.159999999999997</v>
      </c>
      <c r="AF423">
        <v>0</v>
      </c>
      <c r="AG423">
        <v>0</v>
      </c>
      <c r="AH423">
        <v>0</v>
      </c>
      <c r="AI423">
        <v>49.71</v>
      </c>
      <c r="AJ423">
        <v>276.16000000000003</v>
      </c>
      <c r="AK423">
        <v>-0.01</v>
      </c>
      <c r="AL423" t="s">
        <v>53</v>
      </c>
      <c r="AM423" t="s">
        <v>53</v>
      </c>
      <c r="AN423" t="s">
        <v>198</v>
      </c>
      <c r="AO423" t="s">
        <v>53</v>
      </c>
      <c r="AP423" t="s">
        <v>53</v>
      </c>
    </row>
    <row r="424" spans="2:42" x14ac:dyDescent="0.2">
      <c r="B424" t="s">
        <v>44</v>
      </c>
      <c r="C424" t="str">
        <f>HYPERLINK("https://us2.cloudbeds.com/connect/8493803454333002#/reservations/598321615052?display=E19GKUYS&amp;reservation_id=598321615052", "E19GKUYS")</f>
        <v>E19GKUYS</v>
      </c>
      <c r="D424" t="s">
        <v>45</v>
      </c>
      <c r="E424" t="s">
        <v>406</v>
      </c>
      <c r="F424" t="s">
        <v>61</v>
      </c>
      <c r="G424" t="s">
        <v>48</v>
      </c>
      <c r="H424" t="s">
        <v>49</v>
      </c>
      <c r="I424" t="s">
        <v>62</v>
      </c>
      <c r="J424" t="s">
        <v>143</v>
      </c>
      <c r="K424" t="s">
        <v>144</v>
      </c>
      <c r="L424" t="s">
        <v>53</v>
      </c>
      <c r="N424" t="s">
        <v>990</v>
      </c>
      <c r="P424" t="s">
        <v>55</v>
      </c>
      <c r="R424" t="s">
        <v>56</v>
      </c>
      <c r="T424" t="s">
        <v>985</v>
      </c>
      <c r="U424" t="s">
        <v>58</v>
      </c>
      <c r="V424">
        <v>1</v>
      </c>
      <c r="W424">
        <v>1</v>
      </c>
      <c r="X424">
        <v>1</v>
      </c>
      <c r="Y424">
        <v>0</v>
      </c>
      <c r="Z424">
        <v>1</v>
      </c>
      <c r="AA424">
        <v>0</v>
      </c>
      <c r="AB424">
        <v>185.25</v>
      </c>
      <c r="AC424">
        <v>163</v>
      </c>
      <c r="AD424">
        <v>0</v>
      </c>
      <c r="AE424">
        <v>22.26</v>
      </c>
      <c r="AF424">
        <v>0</v>
      </c>
      <c r="AG424">
        <v>0</v>
      </c>
      <c r="AH424">
        <v>0</v>
      </c>
      <c r="AI424">
        <v>27.79</v>
      </c>
      <c r="AJ424">
        <v>185.26</v>
      </c>
      <c r="AK424">
        <v>0.01</v>
      </c>
      <c r="AL424" t="s">
        <v>53</v>
      </c>
      <c r="AM424" t="s">
        <v>53</v>
      </c>
      <c r="AN424" t="s">
        <v>84</v>
      </c>
      <c r="AO424" t="s">
        <v>53</v>
      </c>
      <c r="AP424" t="s">
        <v>53</v>
      </c>
    </row>
    <row r="425" spans="2:42" x14ac:dyDescent="0.2">
      <c r="B425" t="s">
        <v>44</v>
      </c>
      <c r="C425" t="str">
        <f>HYPERLINK("https://us2.cloudbeds.com/connect/8493803454333002#/reservations/598137200794?display=E14Q4AU0&amp;reservation_id=598137200794", "E14Q4AU0")</f>
        <v>E14Q4AU0</v>
      </c>
      <c r="D425" t="s">
        <v>45</v>
      </c>
      <c r="E425" t="s">
        <v>155</v>
      </c>
      <c r="F425" t="s">
        <v>86</v>
      </c>
      <c r="G425" t="s">
        <v>48</v>
      </c>
      <c r="H425" t="s">
        <v>49</v>
      </c>
      <c r="I425" t="s">
        <v>62</v>
      </c>
      <c r="J425" t="s">
        <v>106</v>
      </c>
      <c r="K425" t="s">
        <v>107</v>
      </c>
      <c r="L425" t="s">
        <v>53</v>
      </c>
      <c r="N425" t="s">
        <v>991</v>
      </c>
      <c r="P425" t="s">
        <v>58</v>
      </c>
      <c r="R425" t="s">
        <v>56</v>
      </c>
      <c r="T425" t="s">
        <v>985</v>
      </c>
      <c r="U425" t="s">
        <v>58</v>
      </c>
      <c r="V425">
        <v>2</v>
      </c>
      <c r="W425">
        <v>1</v>
      </c>
      <c r="X425">
        <v>1</v>
      </c>
      <c r="Y425">
        <v>0</v>
      </c>
      <c r="Z425">
        <v>1</v>
      </c>
      <c r="AA425">
        <v>0</v>
      </c>
      <c r="AB425">
        <v>386.41</v>
      </c>
      <c r="AC425">
        <v>340</v>
      </c>
      <c r="AD425">
        <v>0</v>
      </c>
      <c r="AE425">
        <v>46.42</v>
      </c>
      <c r="AF425">
        <v>0</v>
      </c>
      <c r="AG425">
        <v>0</v>
      </c>
      <c r="AH425">
        <v>0</v>
      </c>
      <c r="AI425">
        <v>57.96</v>
      </c>
      <c r="AJ425">
        <v>386.42</v>
      </c>
      <c r="AK425">
        <v>0.01</v>
      </c>
      <c r="AL425" t="s">
        <v>53</v>
      </c>
      <c r="AM425" t="s">
        <v>53</v>
      </c>
      <c r="AN425" t="s">
        <v>198</v>
      </c>
      <c r="AO425" t="s">
        <v>53</v>
      </c>
      <c r="AP425" t="s">
        <v>53</v>
      </c>
    </row>
    <row r="426" spans="2:42" x14ac:dyDescent="0.2">
      <c r="B426" t="s">
        <v>44</v>
      </c>
      <c r="C426" t="str">
        <f>HYPERLINK("https://us2.cloudbeds.com/connect/8493803454333002#/reservations/598623436993?display=E1H74XQ9&amp;reservation_id=598623436993", "E1H74XQ9")</f>
        <v>E1H74XQ9</v>
      </c>
      <c r="D426" t="s">
        <v>45</v>
      </c>
      <c r="E426" t="s">
        <v>69</v>
      </c>
      <c r="F426" t="s">
        <v>70</v>
      </c>
      <c r="G426" t="s">
        <v>48</v>
      </c>
      <c r="H426" t="s">
        <v>49</v>
      </c>
      <c r="I426" t="s">
        <v>62</v>
      </c>
      <c r="J426" t="s">
        <v>768</v>
      </c>
      <c r="K426" t="s">
        <v>489</v>
      </c>
      <c r="L426" t="s">
        <v>53</v>
      </c>
      <c r="N426" t="s">
        <v>992</v>
      </c>
      <c r="P426" t="s">
        <v>55</v>
      </c>
      <c r="R426" t="s">
        <v>56</v>
      </c>
      <c r="T426" t="s">
        <v>985</v>
      </c>
      <c r="U426" t="s">
        <v>58</v>
      </c>
      <c r="V426">
        <v>2</v>
      </c>
      <c r="W426">
        <v>1</v>
      </c>
      <c r="X426">
        <v>1</v>
      </c>
      <c r="Y426">
        <v>0</v>
      </c>
      <c r="Z426">
        <v>1</v>
      </c>
      <c r="AA426">
        <v>0</v>
      </c>
      <c r="AB426">
        <v>306.86</v>
      </c>
      <c r="AC426">
        <v>270</v>
      </c>
      <c r="AD426">
        <v>0</v>
      </c>
      <c r="AE426">
        <v>36.880000000000003</v>
      </c>
      <c r="AF426">
        <v>0</v>
      </c>
      <c r="AG426">
        <v>0</v>
      </c>
      <c r="AH426">
        <v>0</v>
      </c>
      <c r="AI426">
        <v>46.03</v>
      </c>
      <c r="AJ426">
        <v>306.88</v>
      </c>
      <c r="AK426">
        <v>0.02</v>
      </c>
      <c r="AL426" t="s">
        <v>53</v>
      </c>
      <c r="AM426" t="s">
        <v>53</v>
      </c>
      <c r="AN426" t="s">
        <v>127</v>
      </c>
      <c r="AO426" t="s">
        <v>53</v>
      </c>
      <c r="AP426" t="s">
        <v>53</v>
      </c>
    </row>
    <row r="427" spans="2:42" x14ac:dyDescent="0.2">
      <c r="B427" t="s">
        <v>44</v>
      </c>
      <c r="C427" t="str">
        <f>HYPERLINK("https://us2.cloudbeds.com/connect/8493803454333002#/reservations/598035726498?display=E126XYZB&amp;reservation_id=598035726498", "E126XYZB")</f>
        <v>E126XYZB</v>
      </c>
      <c r="D427" t="s">
        <v>45</v>
      </c>
      <c r="E427" t="s">
        <v>223</v>
      </c>
      <c r="F427" t="s">
        <v>47</v>
      </c>
      <c r="G427" t="s">
        <v>48</v>
      </c>
      <c r="H427" t="s">
        <v>71</v>
      </c>
      <c r="I427" t="s">
        <v>72</v>
      </c>
      <c r="J427" t="s">
        <v>472</v>
      </c>
      <c r="K427" t="s">
        <v>975</v>
      </c>
      <c r="L427" t="s">
        <v>53</v>
      </c>
      <c r="N427" t="s">
        <v>993</v>
      </c>
      <c r="P427" t="s">
        <v>58</v>
      </c>
      <c r="R427" t="s">
        <v>56</v>
      </c>
      <c r="T427" t="s">
        <v>985</v>
      </c>
      <c r="U427" t="s">
        <v>58</v>
      </c>
      <c r="V427">
        <v>1</v>
      </c>
      <c r="W427">
        <v>1</v>
      </c>
      <c r="X427">
        <v>1</v>
      </c>
      <c r="Y427">
        <v>0</v>
      </c>
      <c r="Z427">
        <v>1</v>
      </c>
      <c r="AA427">
        <v>0</v>
      </c>
      <c r="AB427">
        <v>78.42</v>
      </c>
      <c r="AC427">
        <v>69</v>
      </c>
      <c r="AD427">
        <v>0</v>
      </c>
      <c r="AE427">
        <v>9.42</v>
      </c>
      <c r="AF427">
        <v>0</v>
      </c>
      <c r="AG427">
        <v>0</v>
      </c>
      <c r="AH427">
        <v>0</v>
      </c>
      <c r="AI427">
        <v>0</v>
      </c>
      <c r="AJ427">
        <v>78.42</v>
      </c>
      <c r="AK427">
        <v>0</v>
      </c>
      <c r="AL427" t="s">
        <v>53</v>
      </c>
      <c r="AM427" t="s">
        <v>53</v>
      </c>
      <c r="AN427" t="s">
        <v>378</v>
      </c>
      <c r="AO427" t="s">
        <v>53</v>
      </c>
      <c r="AP427" t="s">
        <v>53</v>
      </c>
    </row>
    <row r="428" spans="2:42" x14ac:dyDescent="0.2">
      <c r="B428" t="s">
        <v>44</v>
      </c>
      <c r="C428" t="str">
        <f>HYPERLINK("https://us2.cloudbeds.com/connect/8493803454333002#/reservations/598343114960?display=E1A1P6F7&amp;reservation_id=598343114960", "E1A1P6F7")</f>
        <v>E1A1P6F7</v>
      </c>
      <c r="D428" t="s">
        <v>45</v>
      </c>
      <c r="E428" t="s">
        <v>128</v>
      </c>
      <c r="F428" t="s">
        <v>86</v>
      </c>
      <c r="G428" t="s">
        <v>48</v>
      </c>
      <c r="H428" t="s">
        <v>49</v>
      </c>
      <c r="I428" t="s">
        <v>79</v>
      </c>
      <c r="J428" t="s">
        <v>755</v>
      </c>
      <c r="K428" t="s">
        <v>454</v>
      </c>
      <c r="L428" t="s">
        <v>53</v>
      </c>
      <c r="N428" t="s">
        <v>994</v>
      </c>
      <c r="P428" t="s">
        <v>55</v>
      </c>
      <c r="R428" t="s">
        <v>56</v>
      </c>
      <c r="T428" t="s">
        <v>985</v>
      </c>
      <c r="U428" t="s">
        <v>58</v>
      </c>
      <c r="V428">
        <v>1</v>
      </c>
      <c r="W428">
        <v>1</v>
      </c>
      <c r="X428">
        <v>1</v>
      </c>
      <c r="Y428">
        <v>0</v>
      </c>
      <c r="Z428">
        <v>1</v>
      </c>
      <c r="AA428">
        <v>0</v>
      </c>
      <c r="AB428">
        <v>74.67</v>
      </c>
      <c r="AC428">
        <v>65.7</v>
      </c>
      <c r="AD428">
        <v>0</v>
      </c>
      <c r="AE428">
        <v>8.9700000000000006</v>
      </c>
      <c r="AF428">
        <v>0</v>
      </c>
      <c r="AG428">
        <v>0</v>
      </c>
      <c r="AH428">
        <v>0</v>
      </c>
      <c r="AI428">
        <v>0</v>
      </c>
      <c r="AJ428">
        <v>74.67</v>
      </c>
      <c r="AK428">
        <v>0</v>
      </c>
      <c r="AL428" t="s">
        <v>53</v>
      </c>
      <c r="AM428" t="s">
        <v>53</v>
      </c>
      <c r="AN428" t="s">
        <v>252</v>
      </c>
      <c r="AO428" t="s">
        <v>53</v>
      </c>
      <c r="AP428" t="s">
        <v>53</v>
      </c>
    </row>
    <row r="429" spans="2:42" x14ac:dyDescent="0.2">
      <c r="B429" t="s">
        <v>44</v>
      </c>
      <c r="C429" t="str">
        <f>HYPERLINK("https://us2.cloudbeds.com/connect/8493803454333002#/reservations/598236889223?display=E17B6A5G&amp;reservation_id=598236889223", "E17B6A5G")</f>
        <v>E17B6A5G</v>
      </c>
      <c r="D429" t="s">
        <v>45</v>
      </c>
      <c r="E429" t="s">
        <v>110</v>
      </c>
      <c r="F429" t="s">
        <v>47</v>
      </c>
      <c r="G429" t="s">
        <v>48</v>
      </c>
      <c r="H429" t="s">
        <v>49</v>
      </c>
      <c r="I429" t="s">
        <v>62</v>
      </c>
      <c r="J429" t="s">
        <v>181</v>
      </c>
      <c r="K429" t="s">
        <v>122</v>
      </c>
      <c r="L429" t="s">
        <v>53</v>
      </c>
      <c r="N429" t="s">
        <v>995</v>
      </c>
      <c r="P429" t="s">
        <v>55</v>
      </c>
      <c r="R429" t="s">
        <v>125</v>
      </c>
      <c r="T429" t="s">
        <v>985</v>
      </c>
      <c r="U429" t="s">
        <v>58</v>
      </c>
      <c r="V429">
        <v>1</v>
      </c>
      <c r="W429">
        <v>1</v>
      </c>
      <c r="X429">
        <v>1</v>
      </c>
      <c r="Y429">
        <v>0</v>
      </c>
      <c r="Z429">
        <v>1</v>
      </c>
      <c r="AA429">
        <v>0</v>
      </c>
      <c r="AB429">
        <v>156.84</v>
      </c>
      <c r="AC429">
        <v>138</v>
      </c>
      <c r="AD429">
        <v>0</v>
      </c>
      <c r="AE429">
        <v>18.84</v>
      </c>
      <c r="AF429">
        <v>0</v>
      </c>
      <c r="AG429">
        <v>0</v>
      </c>
      <c r="AH429">
        <v>0</v>
      </c>
      <c r="AI429">
        <v>23.53</v>
      </c>
      <c r="AJ429">
        <v>156.84</v>
      </c>
      <c r="AK429">
        <v>0</v>
      </c>
      <c r="AL429" t="s">
        <v>53</v>
      </c>
      <c r="AM429" t="s">
        <v>53</v>
      </c>
      <c r="AN429" t="s">
        <v>112</v>
      </c>
      <c r="AO429" t="s">
        <v>53</v>
      </c>
      <c r="AP429" t="s">
        <v>53</v>
      </c>
    </row>
    <row r="430" spans="2:42" x14ac:dyDescent="0.2">
      <c r="B430" t="s">
        <v>44</v>
      </c>
      <c r="C430" t="str">
        <f>HYPERLINK("https://us2.cloudbeds.com/connect/8493803454333002#/reservations/598284869817?display=E18XYEFT&amp;reservation_id=598284869817", "E18XYEFT")</f>
        <v>E18XYEFT</v>
      </c>
      <c r="D430" t="s">
        <v>45</v>
      </c>
      <c r="E430" t="s">
        <v>46</v>
      </c>
      <c r="F430" t="s">
        <v>47</v>
      </c>
      <c r="G430" t="s">
        <v>48</v>
      </c>
      <c r="H430" t="s">
        <v>71</v>
      </c>
      <c r="I430" t="s">
        <v>72</v>
      </c>
      <c r="J430" t="s">
        <v>472</v>
      </c>
      <c r="K430" t="s">
        <v>975</v>
      </c>
      <c r="L430" t="s">
        <v>53</v>
      </c>
      <c r="N430" t="s">
        <v>996</v>
      </c>
      <c r="P430" t="s">
        <v>58</v>
      </c>
      <c r="R430" t="s">
        <v>56</v>
      </c>
      <c r="T430" t="s">
        <v>985</v>
      </c>
      <c r="U430" t="s">
        <v>58</v>
      </c>
      <c r="V430">
        <v>1</v>
      </c>
      <c r="W430">
        <v>1</v>
      </c>
      <c r="X430">
        <v>1</v>
      </c>
      <c r="Y430">
        <v>0</v>
      </c>
      <c r="Z430">
        <v>1</v>
      </c>
      <c r="AA430">
        <v>0</v>
      </c>
      <c r="AB430">
        <v>78.42</v>
      </c>
      <c r="AC430">
        <v>69</v>
      </c>
      <c r="AD430">
        <v>0</v>
      </c>
      <c r="AE430">
        <v>9.42</v>
      </c>
      <c r="AF430">
        <v>0</v>
      </c>
      <c r="AG430">
        <v>0</v>
      </c>
      <c r="AH430">
        <v>0</v>
      </c>
      <c r="AI430">
        <v>0</v>
      </c>
      <c r="AJ430">
        <v>78.42</v>
      </c>
      <c r="AK430">
        <v>0</v>
      </c>
      <c r="AL430" t="s">
        <v>53</v>
      </c>
      <c r="AM430" t="s">
        <v>53</v>
      </c>
      <c r="AN430" t="s">
        <v>378</v>
      </c>
      <c r="AO430" t="s">
        <v>53</v>
      </c>
      <c r="AP430" t="s">
        <v>53</v>
      </c>
    </row>
    <row r="431" spans="2:42" x14ac:dyDescent="0.2">
      <c r="B431" t="s">
        <v>44</v>
      </c>
      <c r="C431" t="str">
        <f>HYPERLINK("https://us2.cloudbeds.com/connect/8493803454333002#/reservations/598356320441?display=E1ACTYN9&amp;reservation_id=598356320441", "E1ACTYN9")</f>
        <v>E1ACTYN9</v>
      </c>
      <c r="D431" t="s">
        <v>45</v>
      </c>
      <c r="E431" t="s">
        <v>138</v>
      </c>
      <c r="F431" t="s">
        <v>70</v>
      </c>
      <c r="G431" t="s">
        <v>48</v>
      </c>
      <c r="H431" t="s">
        <v>49</v>
      </c>
      <c r="I431" t="s">
        <v>62</v>
      </c>
      <c r="J431" t="s">
        <v>208</v>
      </c>
      <c r="K431" t="s">
        <v>915</v>
      </c>
      <c r="L431" t="s">
        <v>53</v>
      </c>
      <c r="N431" t="s">
        <v>997</v>
      </c>
      <c r="P431" t="s">
        <v>55</v>
      </c>
      <c r="R431" t="s">
        <v>56</v>
      </c>
      <c r="T431" t="s">
        <v>985</v>
      </c>
      <c r="U431" t="s">
        <v>58</v>
      </c>
      <c r="V431">
        <v>1</v>
      </c>
      <c r="W431">
        <v>1</v>
      </c>
      <c r="X431">
        <v>1</v>
      </c>
      <c r="Y431">
        <v>0</v>
      </c>
      <c r="Z431">
        <v>1</v>
      </c>
      <c r="AA431">
        <v>0</v>
      </c>
      <c r="AB431">
        <v>81.83</v>
      </c>
      <c r="AC431">
        <v>72</v>
      </c>
      <c r="AD431">
        <v>0</v>
      </c>
      <c r="AE431">
        <v>9.83</v>
      </c>
      <c r="AF431">
        <v>0</v>
      </c>
      <c r="AG431">
        <v>0</v>
      </c>
      <c r="AH431">
        <v>0</v>
      </c>
      <c r="AI431">
        <v>12.27</v>
      </c>
      <c r="AJ431">
        <v>81.83</v>
      </c>
      <c r="AK431">
        <v>0</v>
      </c>
      <c r="AL431" t="s">
        <v>53</v>
      </c>
      <c r="AM431" t="s">
        <v>53</v>
      </c>
      <c r="AN431" t="s">
        <v>68</v>
      </c>
      <c r="AO431" t="s">
        <v>53</v>
      </c>
      <c r="AP431" t="s">
        <v>53</v>
      </c>
    </row>
    <row r="432" spans="2:42" x14ac:dyDescent="0.2">
      <c r="B432" t="s">
        <v>44</v>
      </c>
      <c r="C432" t="str">
        <f>HYPERLINK("https://us2.cloudbeds.com/connect/8493803454333002#/reservations/598306091169?display=E193HVG5&amp;reservation_id=598306091169", "E193HVG5")</f>
        <v>E193HVG5</v>
      </c>
      <c r="D432" t="s">
        <v>45</v>
      </c>
      <c r="E432" t="s">
        <v>78</v>
      </c>
      <c r="F432" t="s">
        <v>61</v>
      </c>
      <c r="G432" t="s">
        <v>48</v>
      </c>
      <c r="H432" t="s">
        <v>49</v>
      </c>
      <c r="I432" t="s">
        <v>79</v>
      </c>
      <c r="J432" t="s">
        <v>553</v>
      </c>
      <c r="K432" t="s">
        <v>881</v>
      </c>
      <c r="L432" t="s">
        <v>53</v>
      </c>
      <c r="N432" t="s">
        <v>998</v>
      </c>
      <c r="P432" t="s">
        <v>55</v>
      </c>
      <c r="R432" t="s">
        <v>56</v>
      </c>
      <c r="T432" t="s">
        <v>985</v>
      </c>
      <c r="U432" t="s">
        <v>58</v>
      </c>
      <c r="V432">
        <v>2</v>
      </c>
      <c r="W432">
        <v>1</v>
      </c>
      <c r="X432">
        <v>1</v>
      </c>
      <c r="Y432">
        <v>0</v>
      </c>
      <c r="Z432">
        <v>1</v>
      </c>
      <c r="AA432">
        <v>0</v>
      </c>
      <c r="AB432">
        <v>159.56</v>
      </c>
      <c r="AC432">
        <v>140.4</v>
      </c>
      <c r="AD432">
        <v>0</v>
      </c>
      <c r="AE432">
        <v>19.18</v>
      </c>
      <c r="AF432">
        <v>0</v>
      </c>
      <c r="AG432">
        <v>0</v>
      </c>
      <c r="AH432">
        <v>0</v>
      </c>
      <c r="AI432">
        <v>0</v>
      </c>
      <c r="AJ432">
        <v>159.58000000000001</v>
      </c>
      <c r="AK432">
        <v>0.02</v>
      </c>
      <c r="AL432" t="s">
        <v>53</v>
      </c>
      <c r="AM432" t="s">
        <v>53</v>
      </c>
      <c r="AN432" t="s">
        <v>999</v>
      </c>
      <c r="AO432" t="s">
        <v>53</v>
      </c>
      <c r="AP432" t="s">
        <v>53</v>
      </c>
    </row>
    <row r="433" spans="2:42" x14ac:dyDescent="0.2">
      <c r="B433" t="s">
        <v>44</v>
      </c>
      <c r="C433" t="str">
        <f>HYPERLINK("https://us2.cloudbeds.com/connect/8493803454333002#/reservations/598506569960?display=E1E7JXT1&amp;reservation_id=598506569960", "E1E7JXT1")</f>
        <v>E1E7JXT1</v>
      </c>
      <c r="D433" t="s">
        <v>45</v>
      </c>
      <c r="E433" t="s">
        <v>113</v>
      </c>
      <c r="F433" t="s">
        <v>61</v>
      </c>
      <c r="G433" t="s">
        <v>48</v>
      </c>
      <c r="H433" t="s">
        <v>49</v>
      </c>
      <c r="I433" t="s">
        <v>50</v>
      </c>
      <c r="J433" t="s">
        <v>655</v>
      </c>
      <c r="K433" t="s">
        <v>557</v>
      </c>
      <c r="L433" t="s">
        <v>53</v>
      </c>
      <c r="N433" t="s">
        <v>1000</v>
      </c>
      <c r="P433" t="s">
        <v>55</v>
      </c>
      <c r="R433" t="s">
        <v>56</v>
      </c>
      <c r="T433" t="s">
        <v>985</v>
      </c>
      <c r="U433" t="s">
        <v>58</v>
      </c>
      <c r="V433">
        <v>2</v>
      </c>
      <c r="W433">
        <v>1</v>
      </c>
      <c r="X433">
        <v>1</v>
      </c>
      <c r="Y433">
        <v>0</v>
      </c>
      <c r="Z433">
        <v>1</v>
      </c>
      <c r="AA433">
        <v>0</v>
      </c>
      <c r="AB433">
        <v>200.02</v>
      </c>
      <c r="AC433">
        <v>176</v>
      </c>
      <c r="AD433">
        <v>0</v>
      </c>
      <c r="AE433">
        <v>24.02</v>
      </c>
      <c r="AF433">
        <v>0</v>
      </c>
      <c r="AG433">
        <v>0</v>
      </c>
      <c r="AH433">
        <v>0</v>
      </c>
      <c r="AI433">
        <v>36</v>
      </c>
      <c r="AJ433">
        <v>200.02</v>
      </c>
      <c r="AK433">
        <v>0</v>
      </c>
      <c r="AL433" t="s">
        <v>53</v>
      </c>
      <c r="AM433" t="s">
        <v>53</v>
      </c>
      <c r="AN433" t="s">
        <v>59</v>
      </c>
      <c r="AO433" t="s">
        <v>53</v>
      </c>
      <c r="AP433" t="s">
        <v>53</v>
      </c>
    </row>
    <row r="434" spans="2:42" x14ac:dyDescent="0.2">
      <c r="B434" t="s">
        <v>44</v>
      </c>
      <c r="C434" t="str">
        <f>HYPERLINK("https://us2.cloudbeds.com/connect/8493803454333002#/reservations/598498324640?display=E1E0Y4DS&amp;reservation_id=598498324640", "E1E0Y4DS")</f>
        <v>E1E0Y4DS</v>
      </c>
      <c r="D434" t="s">
        <v>45</v>
      </c>
      <c r="E434" t="s">
        <v>185</v>
      </c>
      <c r="F434" t="s">
        <v>47</v>
      </c>
      <c r="G434" t="s">
        <v>48</v>
      </c>
      <c r="H434" t="s">
        <v>49</v>
      </c>
      <c r="I434" t="s">
        <v>50</v>
      </c>
      <c r="J434" t="s">
        <v>143</v>
      </c>
      <c r="K434" t="s">
        <v>783</v>
      </c>
      <c r="L434" t="s">
        <v>53</v>
      </c>
      <c r="N434" t="s">
        <v>1001</v>
      </c>
      <c r="P434" t="s">
        <v>55</v>
      </c>
      <c r="R434" t="s">
        <v>56</v>
      </c>
      <c r="T434" t="s">
        <v>1002</v>
      </c>
      <c r="U434" t="s">
        <v>58</v>
      </c>
      <c r="V434">
        <v>2</v>
      </c>
      <c r="W434">
        <v>1</v>
      </c>
      <c r="X434">
        <v>1</v>
      </c>
      <c r="Y434">
        <v>0</v>
      </c>
      <c r="Z434">
        <v>1</v>
      </c>
      <c r="AA434">
        <v>0</v>
      </c>
      <c r="AB434">
        <v>315.04000000000002</v>
      </c>
      <c r="AC434">
        <v>277.2</v>
      </c>
      <c r="AD434">
        <v>0</v>
      </c>
      <c r="AE434">
        <v>37.840000000000003</v>
      </c>
      <c r="AF434">
        <v>0</v>
      </c>
      <c r="AG434">
        <v>0</v>
      </c>
      <c r="AH434">
        <v>0</v>
      </c>
      <c r="AI434">
        <v>56.71</v>
      </c>
      <c r="AJ434">
        <v>315.04000000000002</v>
      </c>
      <c r="AK434">
        <v>0</v>
      </c>
      <c r="AL434" t="s">
        <v>53</v>
      </c>
      <c r="AM434" t="s">
        <v>53</v>
      </c>
      <c r="AN434" t="s">
        <v>127</v>
      </c>
      <c r="AO434" t="s">
        <v>53</v>
      </c>
      <c r="AP434" t="s">
        <v>53</v>
      </c>
    </row>
    <row r="435" spans="2:42" x14ac:dyDescent="0.2">
      <c r="B435" t="s">
        <v>44</v>
      </c>
      <c r="C435" t="str">
        <f>HYPERLINK("https://us2.cloudbeds.com/connect/8493803454333002#/reservations/598154121361?display=E157D5KF&amp;reservation_id=598154121361", "E157D5KF")</f>
        <v>E157D5KF</v>
      </c>
      <c r="D435" t="s">
        <v>45</v>
      </c>
      <c r="E435" t="s">
        <v>185</v>
      </c>
      <c r="F435" t="s">
        <v>47</v>
      </c>
      <c r="G435" t="s">
        <v>48</v>
      </c>
      <c r="H435" t="s">
        <v>71</v>
      </c>
      <c r="I435" t="s">
        <v>72</v>
      </c>
      <c r="J435" t="s">
        <v>975</v>
      </c>
      <c r="K435" t="s">
        <v>556</v>
      </c>
      <c r="L435" t="s">
        <v>53</v>
      </c>
      <c r="N435" t="s">
        <v>1003</v>
      </c>
      <c r="P435" t="s">
        <v>55</v>
      </c>
      <c r="R435" t="s">
        <v>56</v>
      </c>
      <c r="T435" t="s">
        <v>1002</v>
      </c>
      <c r="U435" t="s">
        <v>58</v>
      </c>
      <c r="V435">
        <v>1</v>
      </c>
      <c r="W435">
        <v>1</v>
      </c>
      <c r="X435">
        <v>1</v>
      </c>
      <c r="Y435">
        <v>0</v>
      </c>
      <c r="Z435">
        <v>1</v>
      </c>
      <c r="AA435">
        <v>0</v>
      </c>
      <c r="AB435">
        <v>78.42</v>
      </c>
      <c r="AC435">
        <v>69</v>
      </c>
      <c r="AD435">
        <v>0</v>
      </c>
      <c r="AE435">
        <v>9.42</v>
      </c>
      <c r="AF435">
        <v>0</v>
      </c>
      <c r="AG435">
        <v>0</v>
      </c>
      <c r="AH435">
        <v>0</v>
      </c>
      <c r="AI435">
        <v>0</v>
      </c>
      <c r="AJ435">
        <v>78.42</v>
      </c>
      <c r="AK435">
        <v>0</v>
      </c>
      <c r="AL435" t="s">
        <v>53</v>
      </c>
      <c r="AM435" t="s">
        <v>53</v>
      </c>
      <c r="AN435" t="s">
        <v>683</v>
      </c>
      <c r="AO435" t="s">
        <v>53</v>
      </c>
      <c r="AP435" t="s">
        <v>53</v>
      </c>
    </row>
    <row r="436" spans="2:42" x14ac:dyDescent="0.2">
      <c r="B436" t="s">
        <v>44</v>
      </c>
      <c r="C436" t="str">
        <f>HYPERLINK("https://us2.cloudbeds.com/connect/8493803454333002#/reservations/598540959950?display=E1F3JH9V&amp;reservation_id=598540959950", "E1F3JH9V")</f>
        <v>E1F3JH9V</v>
      </c>
      <c r="D436" t="s">
        <v>45</v>
      </c>
      <c r="E436" t="s">
        <v>46</v>
      </c>
      <c r="F436" t="s">
        <v>47</v>
      </c>
      <c r="G436" t="s">
        <v>48</v>
      </c>
      <c r="H436" t="s">
        <v>71</v>
      </c>
      <c r="I436" t="s">
        <v>72</v>
      </c>
      <c r="J436" t="s">
        <v>975</v>
      </c>
      <c r="K436" t="s">
        <v>655</v>
      </c>
      <c r="L436" t="s">
        <v>53</v>
      </c>
      <c r="N436" t="s">
        <v>1004</v>
      </c>
      <c r="P436" t="s">
        <v>58</v>
      </c>
      <c r="R436" t="s">
        <v>56</v>
      </c>
      <c r="T436" t="s">
        <v>1002</v>
      </c>
      <c r="U436" t="s">
        <v>58</v>
      </c>
      <c r="V436">
        <v>2</v>
      </c>
      <c r="W436">
        <v>1</v>
      </c>
      <c r="X436">
        <v>1</v>
      </c>
      <c r="Y436">
        <v>0</v>
      </c>
      <c r="Z436">
        <v>1</v>
      </c>
      <c r="AA436">
        <v>0</v>
      </c>
      <c r="AB436">
        <v>145.47</v>
      </c>
      <c r="AC436">
        <v>128</v>
      </c>
      <c r="AD436">
        <v>0</v>
      </c>
      <c r="AE436">
        <v>17.48</v>
      </c>
      <c r="AF436">
        <v>0</v>
      </c>
      <c r="AG436">
        <v>0</v>
      </c>
      <c r="AH436">
        <v>0</v>
      </c>
      <c r="AI436">
        <v>0</v>
      </c>
      <c r="AJ436">
        <v>145.47999999999999</v>
      </c>
      <c r="AK436">
        <v>0.01</v>
      </c>
      <c r="AL436" t="s">
        <v>53</v>
      </c>
      <c r="AM436" t="s">
        <v>53</v>
      </c>
      <c r="AN436" t="s">
        <v>1005</v>
      </c>
      <c r="AO436" t="s">
        <v>53</v>
      </c>
      <c r="AP436" t="s">
        <v>53</v>
      </c>
    </row>
    <row r="437" spans="2:42" x14ac:dyDescent="0.2">
      <c r="B437" t="s">
        <v>44</v>
      </c>
      <c r="C437" t="str">
        <f>HYPERLINK("https://us2.cloudbeds.com/connect/8493803454333002#/reservations/598403317974?display=E1BJHE9W&amp;reservation_id=598403317974", "E1BJHE9W")</f>
        <v>E1BJHE9W</v>
      </c>
      <c r="D437" t="s">
        <v>45</v>
      </c>
      <c r="E437" t="s">
        <v>138</v>
      </c>
      <c r="F437" t="s">
        <v>70</v>
      </c>
      <c r="G437" t="s">
        <v>48</v>
      </c>
      <c r="H437" t="s">
        <v>49</v>
      </c>
      <c r="I437" t="s">
        <v>62</v>
      </c>
      <c r="J437" t="s">
        <v>586</v>
      </c>
      <c r="K437" t="s">
        <v>833</v>
      </c>
      <c r="L437" t="s">
        <v>53</v>
      </c>
      <c r="N437" t="s">
        <v>1006</v>
      </c>
      <c r="P437" t="s">
        <v>55</v>
      </c>
      <c r="R437" t="s">
        <v>56</v>
      </c>
      <c r="T437" t="s">
        <v>1002</v>
      </c>
      <c r="U437" t="s">
        <v>58</v>
      </c>
      <c r="V437">
        <v>1</v>
      </c>
      <c r="W437">
        <v>1</v>
      </c>
      <c r="X437">
        <v>1</v>
      </c>
      <c r="Y437">
        <v>0</v>
      </c>
      <c r="Z437">
        <v>1</v>
      </c>
      <c r="AA437">
        <v>0</v>
      </c>
      <c r="AB437">
        <v>78.42</v>
      </c>
      <c r="AC437">
        <v>69</v>
      </c>
      <c r="AD437">
        <v>0</v>
      </c>
      <c r="AE437">
        <v>9.42</v>
      </c>
      <c r="AF437">
        <v>0</v>
      </c>
      <c r="AG437">
        <v>0</v>
      </c>
      <c r="AH437">
        <v>0</v>
      </c>
      <c r="AI437">
        <v>11.76</v>
      </c>
      <c r="AJ437">
        <v>78.42</v>
      </c>
      <c r="AK437">
        <v>0</v>
      </c>
      <c r="AL437" t="s">
        <v>53</v>
      </c>
      <c r="AM437" t="s">
        <v>53</v>
      </c>
      <c r="AN437" t="s">
        <v>316</v>
      </c>
      <c r="AO437" t="s">
        <v>53</v>
      </c>
      <c r="AP437" t="s">
        <v>53</v>
      </c>
    </row>
    <row r="438" spans="2:42" x14ac:dyDescent="0.2">
      <c r="B438" t="s">
        <v>44</v>
      </c>
      <c r="C438" t="str">
        <f>HYPERLINK("https://us2.cloudbeds.com/connect/8493803454333002#/reservations/598612820199?display=E1GV64M8&amp;reservation_id=598612820199", "E1GV64M8")</f>
        <v>E1GV64M8</v>
      </c>
      <c r="D438" t="s">
        <v>45</v>
      </c>
      <c r="E438" t="s">
        <v>78</v>
      </c>
      <c r="F438" t="s">
        <v>61</v>
      </c>
      <c r="G438" t="s">
        <v>48</v>
      </c>
      <c r="H438" t="s">
        <v>71</v>
      </c>
      <c r="I438" t="s">
        <v>72</v>
      </c>
      <c r="J438" t="s">
        <v>129</v>
      </c>
      <c r="K438" t="s">
        <v>426</v>
      </c>
      <c r="L438" t="s">
        <v>53</v>
      </c>
      <c r="N438" t="s">
        <v>1007</v>
      </c>
      <c r="P438" t="s">
        <v>55</v>
      </c>
      <c r="R438" t="s">
        <v>56</v>
      </c>
      <c r="T438" t="s">
        <v>1002</v>
      </c>
      <c r="U438" t="s">
        <v>58</v>
      </c>
      <c r="V438">
        <v>1</v>
      </c>
      <c r="W438">
        <v>1</v>
      </c>
      <c r="X438">
        <v>1</v>
      </c>
      <c r="Y438">
        <v>0</v>
      </c>
      <c r="Z438">
        <v>1</v>
      </c>
      <c r="AA438">
        <v>0</v>
      </c>
      <c r="AB438">
        <v>146.61000000000001</v>
      </c>
      <c r="AC438">
        <v>129</v>
      </c>
      <c r="AD438">
        <v>0</v>
      </c>
      <c r="AE438">
        <v>17.61</v>
      </c>
      <c r="AF438">
        <v>0</v>
      </c>
      <c r="AG438">
        <v>0</v>
      </c>
      <c r="AH438">
        <v>0</v>
      </c>
      <c r="AI438">
        <v>0</v>
      </c>
      <c r="AJ438">
        <v>146.61000000000001</v>
      </c>
      <c r="AK438">
        <v>0</v>
      </c>
      <c r="AL438" t="s">
        <v>53</v>
      </c>
      <c r="AM438" t="s">
        <v>53</v>
      </c>
      <c r="AN438" t="s">
        <v>1005</v>
      </c>
      <c r="AO438" t="s">
        <v>53</v>
      </c>
      <c r="AP438" t="s">
        <v>53</v>
      </c>
    </row>
    <row r="439" spans="2:42" x14ac:dyDescent="0.2">
      <c r="B439" t="s">
        <v>44</v>
      </c>
      <c r="C439" t="str">
        <f>HYPERLINK("https://us2.cloudbeds.com/connect/8493803454333002#/reservations/598460739761?display=E1D1V974&amp;reservation_id=598460739761", "E1D1V974")</f>
        <v>E1D1V974</v>
      </c>
      <c r="D439" t="s">
        <v>45</v>
      </c>
      <c r="E439" t="s">
        <v>223</v>
      </c>
      <c r="F439" t="s">
        <v>47</v>
      </c>
      <c r="G439" t="s">
        <v>48</v>
      </c>
      <c r="H439" t="s">
        <v>49</v>
      </c>
      <c r="I439" t="s">
        <v>50</v>
      </c>
      <c r="J439" t="s">
        <v>714</v>
      </c>
      <c r="K439" t="s">
        <v>850</v>
      </c>
      <c r="L439" t="s">
        <v>53</v>
      </c>
      <c r="N439" t="s">
        <v>1008</v>
      </c>
      <c r="P439" t="s">
        <v>55</v>
      </c>
      <c r="R439" t="s">
        <v>56</v>
      </c>
      <c r="T439" t="s">
        <v>1002</v>
      </c>
      <c r="U439" t="s">
        <v>58</v>
      </c>
      <c r="V439">
        <v>4</v>
      </c>
      <c r="W439">
        <v>1</v>
      </c>
      <c r="X439">
        <v>1</v>
      </c>
      <c r="Y439">
        <v>0</v>
      </c>
      <c r="Z439">
        <v>1</v>
      </c>
      <c r="AA439">
        <v>0</v>
      </c>
      <c r="AB439">
        <v>358</v>
      </c>
      <c r="AC439">
        <v>315</v>
      </c>
      <c r="AD439">
        <v>0</v>
      </c>
      <c r="AE439">
        <v>43</v>
      </c>
      <c r="AF439">
        <v>0</v>
      </c>
      <c r="AG439">
        <v>0</v>
      </c>
      <c r="AH439">
        <v>0</v>
      </c>
      <c r="AI439">
        <v>64.44</v>
      </c>
      <c r="AJ439">
        <v>358</v>
      </c>
      <c r="AK439">
        <v>0</v>
      </c>
      <c r="AL439" t="s">
        <v>53</v>
      </c>
      <c r="AM439" t="s">
        <v>53</v>
      </c>
      <c r="AN439" t="s">
        <v>245</v>
      </c>
      <c r="AO439" t="s">
        <v>53</v>
      </c>
      <c r="AP439" t="s">
        <v>53</v>
      </c>
    </row>
    <row r="440" spans="2:42" x14ac:dyDescent="0.2">
      <c r="B440" t="s">
        <v>44</v>
      </c>
      <c r="C440" t="str">
        <f>HYPERLINK("https://us2.cloudbeds.com/connect/8493803454333002#/reservations/598479839392?display=E1DX1ZTR&amp;reservation_id=598479839392", "E1DX1ZTR")</f>
        <v>E1DX1ZTR</v>
      </c>
      <c r="D440" t="s">
        <v>45</v>
      </c>
      <c r="E440" t="s">
        <v>213</v>
      </c>
      <c r="F440" t="s">
        <v>86</v>
      </c>
      <c r="G440" t="s">
        <v>48</v>
      </c>
      <c r="H440" t="s">
        <v>71</v>
      </c>
      <c r="I440" t="s">
        <v>72</v>
      </c>
      <c r="J440" t="s">
        <v>975</v>
      </c>
      <c r="K440" t="s">
        <v>655</v>
      </c>
      <c r="L440" t="s">
        <v>53</v>
      </c>
      <c r="N440" t="s">
        <v>1009</v>
      </c>
      <c r="P440" t="s">
        <v>55</v>
      </c>
      <c r="R440" t="s">
        <v>56</v>
      </c>
      <c r="T440" t="s">
        <v>1002</v>
      </c>
      <c r="U440" t="s">
        <v>58</v>
      </c>
      <c r="V440">
        <v>2</v>
      </c>
      <c r="W440">
        <v>1</v>
      </c>
      <c r="X440">
        <v>1</v>
      </c>
      <c r="Y440">
        <v>0</v>
      </c>
      <c r="Z440">
        <v>1</v>
      </c>
      <c r="AA440">
        <v>0</v>
      </c>
      <c r="AB440">
        <v>113.65</v>
      </c>
      <c r="AC440">
        <v>100</v>
      </c>
      <c r="AD440">
        <v>0</v>
      </c>
      <c r="AE440">
        <v>13.66</v>
      </c>
      <c r="AF440">
        <v>0</v>
      </c>
      <c r="AG440">
        <v>0</v>
      </c>
      <c r="AH440">
        <v>0</v>
      </c>
      <c r="AI440">
        <v>0</v>
      </c>
      <c r="AJ440">
        <v>113.66</v>
      </c>
      <c r="AK440">
        <v>0.01</v>
      </c>
      <c r="AL440" t="s">
        <v>53</v>
      </c>
      <c r="AM440" t="s">
        <v>53</v>
      </c>
      <c r="AN440" t="s">
        <v>378</v>
      </c>
      <c r="AO440" t="s">
        <v>53</v>
      </c>
      <c r="AP440" t="s">
        <v>53</v>
      </c>
    </row>
    <row r="441" spans="2:42" x14ac:dyDescent="0.2">
      <c r="B441" t="s">
        <v>44</v>
      </c>
      <c r="C441" t="str">
        <f>HYPERLINK("https://us2.cloudbeds.com/connect/8493803454333002#/reservations/598323294440?display=E19X1YQ7&amp;reservation_id=598323294440", "E19X1YQ7")</f>
        <v>E19X1YQ7</v>
      </c>
      <c r="D441" t="s">
        <v>45</v>
      </c>
      <c r="E441" t="s">
        <v>138</v>
      </c>
      <c r="F441" t="s">
        <v>70</v>
      </c>
      <c r="G441" t="s">
        <v>48</v>
      </c>
      <c r="H441" t="s">
        <v>49</v>
      </c>
      <c r="I441" t="s">
        <v>79</v>
      </c>
      <c r="J441" t="s">
        <v>798</v>
      </c>
      <c r="K441" t="s">
        <v>586</v>
      </c>
      <c r="L441" t="s">
        <v>53</v>
      </c>
      <c r="N441" t="s">
        <v>1010</v>
      </c>
      <c r="P441" t="s">
        <v>55</v>
      </c>
      <c r="R441" t="s">
        <v>56</v>
      </c>
      <c r="T441" t="s">
        <v>1011</v>
      </c>
      <c r="U441" t="s">
        <v>58</v>
      </c>
      <c r="V441">
        <v>3</v>
      </c>
      <c r="W441">
        <v>1</v>
      </c>
      <c r="X441">
        <v>1</v>
      </c>
      <c r="Y441">
        <v>0</v>
      </c>
      <c r="Z441">
        <v>1</v>
      </c>
      <c r="AA441">
        <v>0</v>
      </c>
      <c r="AB441">
        <v>211.73</v>
      </c>
      <c r="AC441">
        <v>186.3</v>
      </c>
      <c r="AD441">
        <v>0</v>
      </c>
      <c r="AE441">
        <v>25.41</v>
      </c>
      <c r="AF441">
        <v>0</v>
      </c>
      <c r="AG441">
        <v>0</v>
      </c>
      <c r="AH441">
        <v>0</v>
      </c>
      <c r="AI441">
        <v>0</v>
      </c>
      <c r="AJ441">
        <v>211.71</v>
      </c>
      <c r="AK441">
        <v>-0.02</v>
      </c>
      <c r="AL441" t="s">
        <v>53</v>
      </c>
      <c r="AM441" t="s">
        <v>53</v>
      </c>
      <c r="AN441" t="s">
        <v>1012</v>
      </c>
      <c r="AO441" t="s">
        <v>53</v>
      </c>
      <c r="AP441" t="s">
        <v>53</v>
      </c>
    </row>
    <row r="442" spans="2:42" x14ac:dyDescent="0.2">
      <c r="B442" t="s">
        <v>44</v>
      </c>
      <c r="C442" t="str">
        <f>HYPERLINK("https://us2.cloudbeds.com/connect/8493803454333002#/reservations/598361763991?display=E1AHG4CC&amp;reservation_id=598361763991", "E1AHG4CC")</f>
        <v>E1AHG4CC</v>
      </c>
      <c r="D442" t="s">
        <v>45</v>
      </c>
      <c r="E442" t="s">
        <v>128</v>
      </c>
      <c r="F442" t="s">
        <v>86</v>
      </c>
      <c r="G442" t="s">
        <v>48</v>
      </c>
      <c r="H442" t="s">
        <v>49</v>
      </c>
      <c r="I442" t="s">
        <v>79</v>
      </c>
      <c r="J442" t="s">
        <v>116</v>
      </c>
      <c r="K442" t="s">
        <v>186</v>
      </c>
      <c r="L442" t="s">
        <v>53</v>
      </c>
      <c r="N442" t="s">
        <v>1013</v>
      </c>
      <c r="P442" t="s">
        <v>55</v>
      </c>
      <c r="R442" t="s">
        <v>56</v>
      </c>
      <c r="T442" t="s">
        <v>1011</v>
      </c>
      <c r="U442" t="s">
        <v>58</v>
      </c>
      <c r="V442">
        <v>2</v>
      </c>
      <c r="W442">
        <v>1</v>
      </c>
      <c r="X442">
        <v>1</v>
      </c>
      <c r="Y442">
        <v>0</v>
      </c>
      <c r="Z442">
        <v>1</v>
      </c>
      <c r="AA442">
        <v>0</v>
      </c>
      <c r="AB442">
        <v>216.84</v>
      </c>
      <c r="AC442">
        <v>190.8</v>
      </c>
      <c r="AD442">
        <v>0</v>
      </c>
      <c r="AE442">
        <v>26.06</v>
      </c>
      <c r="AF442">
        <v>0</v>
      </c>
      <c r="AG442">
        <v>0</v>
      </c>
      <c r="AH442">
        <v>0</v>
      </c>
      <c r="AI442">
        <v>0</v>
      </c>
      <c r="AJ442">
        <v>216.86</v>
      </c>
      <c r="AK442">
        <v>0.02</v>
      </c>
      <c r="AL442" t="s">
        <v>53</v>
      </c>
      <c r="AM442" t="s">
        <v>53</v>
      </c>
      <c r="AN442" t="s">
        <v>252</v>
      </c>
      <c r="AO442" t="s">
        <v>53</v>
      </c>
      <c r="AP442" t="s">
        <v>53</v>
      </c>
    </row>
    <row r="443" spans="2:42" x14ac:dyDescent="0.2">
      <c r="B443" t="s">
        <v>44</v>
      </c>
      <c r="C443" t="str">
        <f>HYPERLINK("https://us2.cloudbeds.com/connect/8493803454333002#/reservations/598350250197?display=E1A7PZXG&amp;reservation_id=598350250197", "E1A7PZXG")</f>
        <v>E1A7PZXG</v>
      </c>
      <c r="D443" t="s">
        <v>45</v>
      </c>
      <c r="E443" t="s">
        <v>138</v>
      </c>
      <c r="F443" t="s">
        <v>70</v>
      </c>
      <c r="G443" t="s">
        <v>48</v>
      </c>
      <c r="H443" t="s">
        <v>49</v>
      </c>
      <c r="I443" t="s">
        <v>62</v>
      </c>
      <c r="J443" t="s">
        <v>850</v>
      </c>
      <c r="K443" t="s">
        <v>844</v>
      </c>
      <c r="L443" t="s">
        <v>53</v>
      </c>
      <c r="N443" t="s">
        <v>1014</v>
      </c>
      <c r="P443" t="s">
        <v>55</v>
      </c>
      <c r="R443" t="s">
        <v>56</v>
      </c>
      <c r="T443" t="s">
        <v>1011</v>
      </c>
      <c r="U443" t="s">
        <v>58</v>
      </c>
      <c r="V443">
        <v>1</v>
      </c>
      <c r="W443">
        <v>1</v>
      </c>
      <c r="X443">
        <v>1</v>
      </c>
      <c r="Y443">
        <v>0</v>
      </c>
      <c r="Z443">
        <v>1</v>
      </c>
      <c r="AA443">
        <v>0</v>
      </c>
      <c r="AB443">
        <v>82.34</v>
      </c>
      <c r="AC443">
        <v>72.45</v>
      </c>
      <c r="AD443">
        <v>0</v>
      </c>
      <c r="AE443">
        <v>9.89</v>
      </c>
      <c r="AF443">
        <v>0</v>
      </c>
      <c r="AG443">
        <v>0</v>
      </c>
      <c r="AH443">
        <v>0</v>
      </c>
      <c r="AI443">
        <v>12.35</v>
      </c>
      <c r="AJ443">
        <v>82.34</v>
      </c>
      <c r="AK443">
        <v>0</v>
      </c>
      <c r="AL443" t="s">
        <v>53</v>
      </c>
      <c r="AM443" t="s">
        <v>53</v>
      </c>
      <c r="AN443" t="s">
        <v>321</v>
      </c>
      <c r="AO443" t="s">
        <v>53</v>
      </c>
      <c r="AP443" t="s">
        <v>53</v>
      </c>
    </row>
    <row r="444" spans="2:42" x14ac:dyDescent="0.2">
      <c r="B444" t="s">
        <v>44</v>
      </c>
      <c r="C444" t="str">
        <f>HYPERLINK("https://us2.cloudbeds.com/connect/8493803454333002#/reservations/598470131929?display=E1D9SKQ9&amp;reservation_id=598470131929", "E1D9SKQ9")</f>
        <v>E1D9SKQ9</v>
      </c>
      <c r="D444" t="s">
        <v>45</v>
      </c>
      <c r="E444" t="s">
        <v>155</v>
      </c>
      <c r="F444" t="s">
        <v>86</v>
      </c>
      <c r="G444" t="s">
        <v>48</v>
      </c>
      <c r="H444" t="s">
        <v>49</v>
      </c>
      <c r="I444" t="s">
        <v>50</v>
      </c>
      <c r="J444" t="s">
        <v>130</v>
      </c>
      <c r="K444" t="s">
        <v>88</v>
      </c>
      <c r="L444" t="s">
        <v>53</v>
      </c>
      <c r="N444" t="s">
        <v>1015</v>
      </c>
      <c r="P444" t="s">
        <v>55</v>
      </c>
      <c r="R444" t="s">
        <v>56</v>
      </c>
      <c r="T444" t="s">
        <v>1011</v>
      </c>
      <c r="U444" t="s">
        <v>58</v>
      </c>
      <c r="V444">
        <v>2</v>
      </c>
      <c r="W444">
        <v>1</v>
      </c>
      <c r="X444">
        <v>1</v>
      </c>
      <c r="Y444">
        <v>0</v>
      </c>
      <c r="Z444">
        <v>1</v>
      </c>
      <c r="AA444">
        <v>0</v>
      </c>
      <c r="AB444">
        <v>306.86</v>
      </c>
      <c r="AC444">
        <v>270</v>
      </c>
      <c r="AD444">
        <v>0</v>
      </c>
      <c r="AE444">
        <v>36.880000000000003</v>
      </c>
      <c r="AF444">
        <v>0</v>
      </c>
      <c r="AG444">
        <v>0</v>
      </c>
      <c r="AH444">
        <v>0</v>
      </c>
      <c r="AI444">
        <v>55.24</v>
      </c>
      <c r="AJ444">
        <v>306.88</v>
      </c>
      <c r="AK444">
        <v>0.02</v>
      </c>
      <c r="AL444" t="s">
        <v>53</v>
      </c>
      <c r="AM444" t="s">
        <v>53</v>
      </c>
      <c r="AN444" t="s">
        <v>59</v>
      </c>
      <c r="AO444" t="s">
        <v>53</v>
      </c>
      <c r="AP444" t="s">
        <v>53</v>
      </c>
    </row>
    <row r="445" spans="2:42" x14ac:dyDescent="0.2">
      <c r="B445" t="s">
        <v>44</v>
      </c>
      <c r="C445" t="str">
        <f>HYPERLINK("https://us2.cloudbeds.com/connect/8493803454333002#/reservations/598548684928?display=E1F3XNWP&amp;reservation_id=598548684928", "E1F3XNWP")</f>
        <v>E1F3XNWP</v>
      </c>
      <c r="D445" t="s">
        <v>45</v>
      </c>
      <c r="E445" t="s">
        <v>165</v>
      </c>
      <c r="F445" t="s">
        <v>61</v>
      </c>
      <c r="G445" t="s">
        <v>48</v>
      </c>
      <c r="H445" t="s">
        <v>49</v>
      </c>
      <c r="I445" t="s">
        <v>62</v>
      </c>
      <c r="J445" t="s">
        <v>115</v>
      </c>
      <c r="K445" t="s">
        <v>116</v>
      </c>
      <c r="L445" t="s">
        <v>53</v>
      </c>
      <c r="N445" t="s">
        <v>1016</v>
      </c>
      <c r="P445" t="s">
        <v>55</v>
      </c>
      <c r="R445" t="s">
        <v>56</v>
      </c>
      <c r="T445" t="s">
        <v>1011</v>
      </c>
      <c r="U445" t="s">
        <v>58</v>
      </c>
      <c r="V445">
        <v>1</v>
      </c>
      <c r="W445">
        <v>1</v>
      </c>
      <c r="X445">
        <v>1</v>
      </c>
      <c r="Y445">
        <v>0</v>
      </c>
      <c r="Z445">
        <v>1</v>
      </c>
      <c r="AA445">
        <v>0</v>
      </c>
      <c r="AB445">
        <v>105.69</v>
      </c>
      <c r="AC445">
        <v>93</v>
      </c>
      <c r="AD445">
        <v>0</v>
      </c>
      <c r="AE445">
        <v>12.7</v>
      </c>
      <c r="AF445">
        <v>0</v>
      </c>
      <c r="AG445">
        <v>0</v>
      </c>
      <c r="AH445">
        <v>0</v>
      </c>
      <c r="AI445">
        <v>15.86</v>
      </c>
      <c r="AJ445">
        <v>105.7</v>
      </c>
      <c r="AK445">
        <v>0.01</v>
      </c>
      <c r="AL445" t="s">
        <v>53</v>
      </c>
      <c r="AM445" t="s">
        <v>53</v>
      </c>
      <c r="AN445" t="s">
        <v>104</v>
      </c>
      <c r="AO445" t="s">
        <v>53</v>
      </c>
      <c r="AP445" t="s">
        <v>53</v>
      </c>
    </row>
    <row r="446" spans="2:42" x14ac:dyDescent="0.2">
      <c r="B446" t="s">
        <v>44</v>
      </c>
      <c r="C446" t="str">
        <f>HYPERLINK("https://us2.cloudbeds.com/connect/8493803454333002#/reservations/598290137318?display=E18N30G4&amp;reservation_id=598290137318", "E18N30G4")</f>
        <v>E18N30G4</v>
      </c>
      <c r="D446" t="s">
        <v>45</v>
      </c>
      <c r="E446" t="s">
        <v>110</v>
      </c>
      <c r="F446" t="s">
        <v>47</v>
      </c>
      <c r="G446" t="s">
        <v>48</v>
      </c>
      <c r="H446" t="s">
        <v>49</v>
      </c>
      <c r="I446" t="s">
        <v>114</v>
      </c>
      <c r="J446" t="s">
        <v>1017</v>
      </c>
      <c r="K446" t="s">
        <v>554</v>
      </c>
      <c r="L446" t="s">
        <v>53</v>
      </c>
      <c r="N446" t="s">
        <v>1018</v>
      </c>
      <c r="P446" t="s">
        <v>55</v>
      </c>
      <c r="R446" t="s">
        <v>56</v>
      </c>
      <c r="T446" t="s">
        <v>1011</v>
      </c>
      <c r="U446" t="s">
        <v>58</v>
      </c>
      <c r="V446">
        <v>2</v>
      </c>
      <c r="W446">
        <v>1</v>
      </c>
      <c r="X446">
        <v>1</v>
      </c>
      <c r="Y446">
        <v>0</v>
      </c>
      <c r="Z446">
        <v>1</v>
      </c>
      <c r="AA446">
        <v>0</v>
      </c>
      <c r="AB446">
        <v>154.56</v>
      </c>
      <c r="AC446">
        <v>136</v>
      </c>
      <c r="AD446">
        <v>0</v>
      </c>
      <c r="AE446">
        <v>18.559999999999999</v>
      </c>
      <c r="AF446">
        <v>0</v>
      </c>
      <c r="AG446">
        <v>0</v>
      </c>
      <c r="AH446">
        <v>0</v>
      </c>
      <c r="AI446">
        <v>0</v>
      </c>
      <c r="AJ446">
        <v>154.56</v>
      </c>
      <c r="AK446">
        <v>0</v>
      </c>
      <c r="AL446" t="s">
        <v>53</v>
      </c>
      <c r="AM446" t="s">
        <v>53</v>
      </c>
      <c r="AN446" t="s">
        <v>1019</v>
      </c>
      <c r="AO446" t="s">
        <v>53</v>
      </c>
      <c r="AP446" t="s">
        <v>53</v>
      </c>
    </row>
    <row r="447" spans="2:42" x14ac:dyDescent="0.2">
      <c r="B447" t="s">
        <v>44</v>
      </c>
      <c r="C447" t="str">
        <f>HYPERLINK("https://us2.cloudbeds.com/connect/8493803454333002#/reservations/598425321674?display=E1C52NNZ&amp;reservation_id=598425321674", "E1C52NNZ")</f>
        <v>E1C52NNZ</v>
      </c>
      <c r="D447" t="s">
        <v>45</v>
      </c>
      <c r="E447" t="s">
        <v>110</v>
      </c>
      <c r="F447" t="s">
        <v>47</v>
      </c>
      <c r="G447" t="s">
        <v>48</v>
      </c>
      <c r="H447" t="s">
        <v>71</v>
      </c>
      <c r="I447" t="s">
        <v>72</v>
      </c>
      <c r="J447" t="s">
        <v>232</v>
      </c>
      <c r="K447" t="s">
        <v>233</v>
      </c>
      <c r="L447" t="s">
        <v>53</v>
      </c>
      <c r="N447" t="s">
        <v>1020</v>
      </c>
      <c r="P447" t="s">
        <v>55</v>
      </c>
      <c r="R447" t="s">
        <v>56</v>
      </c>
      <c r="T447" t="s">
        <v>1011</v>
      </c>
      <c r="U447" t="s">
        <v>58</v>
      </c>
      <c r="V447">
        <v>1</v>
      </c>
      <c r="W447">
        <v>1</v>
      </c>
      <c r="X447">
        <v>1</v>
      </c>
      <c r="Y447">
        <v>0</v>
      </c>
      <c r="Z447">
        <v>1</v>
      </c>
      <c r="AA447">
        <v>0</v>
      </c>
      <c r="AB447">
        <v>80.69</v>
      </c>
      <c r="AC447">
        <v>71</v>
      </c>
      <c r="AD447">
        <v>0</v>
      </c>
      <c r="AE447">
        <v>9.6999999999999993</v>
      </c>
      <c r="AF447">
        <v>0</v>
      </c>
      <c r="AG447">
        <v>0</v>
      </c>
      <c r="AH447">
        <v>0</v>
      </c>
      <c r="AI447">
        <v>0</v>
      </c>
      <c r="AJ447">
        <v>80.7</v>
      </c>
      <c r="AK447">
        <v>0.01</v>
      </c>
      <c r="AL447" t="s">
        <v>53</v>
      </c>
      <c r="AM447" t="s">
        <v>53</v>
      </c>
      <c r="AN447" t="s">
        <v>1021</v>
      </c>
      <c r="AO447" t="s">
        <v>53</v>
      </c>
      <c r="AP447" t="s">
        <v>53</v>
      </c>
    </row>
    <row r="448" spans="2:42" x14ac:dyDescent="0.2">
      <c r="B448" t="s">
        <v>44</v>
      </c>
      <c r="C448" t="str">
        <f>HYPERLINK("https://us2.cloudbeds.com/connect/8493803454333002#/reservations/598214156417?display=E16P0Z7J&amp;reservation_id=598214156417", "E16P0Z7J")</f>
        <v>E16P0Z7J</v>
      </c>
      <c r="D448" t="s">
        <v>45</v>
      </c>
      <c r="E448" t="s">
        <v>165</v>
      </c>
      <c r="F448" t="s">
        <v>61</v>
      </c>
      <c r="G448" t="s">
        <v>48</v>
      </c>
      <c r="H448" t="s">
        <v>49</v>
      </c>
      <c r="I448" t="s">
        <v>79</v>
      </c>
      <c r="J448" t="s">
        <v>268</v>
      </c>
      <c r="K448" t="s">
        <v>455</v>
      </c>
      <c r="L448" t="s">
        <v>53</v>
      </c>
      <c r="N448" t="s">
        <v>1022</v>
      </c>
      <c r="P448" t="s">
        <v>55</v>
      </c>
      <c r="R448" t="s">
        <v>56</v>
      </c>
      <c r="T448" t="s">
        <v>1011</v>
      </c>
      <c r="U448" t="s">
        <v>58</v>
      </c>
      <c r="V448">
        <v>3</v>
      </c>
      <c r="W448">
        <v>1</v>
      </c>
      <c r="X448">
        <v>1</v>
      </c>
      <c r="Y448">
        <v>0</v>
      </c>
      <c r="Z448">
        <v>1</v>
      </c>
      <c r="AA448">
        <v>0</v>
      </c>
      <c r="AB448">
        <v>251.62</v>
      </c>
      <c r="AC448">
        <v>221.4</v>
      </c>
      <c r="AD448">
        <v>0</v>
      </c>
      <c r="AE448">
        <v>30.21</v>
      </c>
      <c r="AF448">
        <v>0</v>
      </c>
      <c r="AG448">
        <v>0</v>
      </c>
      <c r="AH448">
        <v>0</v>
      </c>
      <c r="AI448">
        <v>0</v>
      </c>
      <c r="AJ448">
        <v>251.61</v>
      </c>
      <c r="AK448">
        <v>-0.01</v>
      </c>
      <c r="AL448" t="s">
        <v>53</v>
      </c>
      <c r="AM448" t="s">
        <v>53</v>
      </c>
      <c r="AN448" t="s">
        <v>349</v>
      </c>
      <c r="AO448" t="s">
        <v>53</v>
      </c>
      <c r="AP448" t="s">
        <v>53</v>
      </c>
    </row>
    <row r="449" spans="2:42" x14ac:dyDescent="0.2">
      <c r="B449" t="s">
        <v>44</v>
      </c>
      <c r="C449" t="str">
        <f>HYPERLINK("https://us2.cloudbeds.com/connect/8493803454333002#/reservations/579216662698?display=DJGARFDN&amp;reservation_id=579216662698", "DJGARFDN")</f>
        <v>DJGARFDN</v>
      </c>
      <c r="D449" t="s">
        <v>602</v>
      </c>
      <c r="E449" t="s">
        <v>53</v>
      </c>
      <c r="F449" t="s">
        <v>70</v>
      </c>
      <c r="G449" t="s">
        <v>48</v>
      </c>
      <c r="H449" t="s">
        <v>49</v>
      </c>
      <c r="I449" t="s">
        <v>50</v>
      </c>
      <c r="J449" t="s">
        <v>504</v>
      </c>
      <c r="K449" t="s">
        <v>603</v>
      </c>
      <c r="L449" t="s">
        <v>53</v>
      </c>
      <c r="N449" t="s">
        <v>1023</v>
      </c>
      <c r="P449" t="s">
        <v>55</v>
      </c>
      <c r="R449" t="s">
        <v>56</v>
      </c>
      <c r="T449" t="s">
        <v>1011</v>
      </c>
      <c r="U449" t="s">
        <v>58</v>
      </c>
      <c r="V449">
        <v>2</v>
      </c>
      <c r="W449">
        <v>1</v>
      </c>
      <c r="X449">
        <v>1</v>
      </c>
      <c r="Y449">
        <v>0</v>
      </c>
      <c r="Z449">
        <v>1</v>
      </c>
      <c r="AA449">
        <v>0</v>
      </c>
      <c r="AB449">
        <v>0</v>
      </c>
      <c r="AC449">
        <v>0</v>
      </c>
      <c r="AD449">
        <v>0</v>
      </c>
      <c r="AE449">
        <v>0</v>
      </c>
      <c r="AF449">
        <v>0</v>
      </c>
      <c r="AG449">
        <v>0</v>
      </c>
      <c r="AH449">
        <v>0</v>
      </c>
      <c r="AI449">
        <v>49.71</v>
      </c>
      <c r="AJ449">
        <v>0</v>
      </c>
      <c r="AK449">
        <v>0</v>
      </c>
      <c r="AL449">
        <v>243</v>
      </c>
      <c r="AM449">
        <v>276.16000000000003</v>
      </c>
      <c r="AN449" t="s">
        <v>605</v>
      </c>
      <c r="AO449" t="s">
        <v>53</v>
      </c>
      <c r="AP449" t="s">
        <v>53</v>
      </c>
    </row>
    <row r="450" spans="2:42" x14ac:dyDescent="0.2">
      <c r="B450" t="s">
        <v>44</v>
      </c>
      <c r="C450" t="str">
        <f>HYPERLINK("https://us2.cloudbeds.com/connect/8493803454333002#/reservations/598375649511?display=E1AT6H2N&amp;reservation_id=598375649511", "E1AT6H2N")</f>
        <v>E1AT6H2N</v>
      </c>
      <c r="D450" t="s">
        <v>45</v>
      </c>
      <c r="E450" t="s">
        <v>223</v>
      </c>
      <c r="F450" t="s">
        <v>47</v>
      </c>
      <c r="G450" t="s">
        <v>48</v>
      </c>
      <c r="H450" t="s">
        <v>49</v>
      </c>
      <c r="I450" t="s">
        <v>79</v>
      </c>
      <c r="J450" t="s">
        <v>655</v>
      </c>
      <c r="K450" t="s">
        <v>557</v>
      </c>
      <c r="L450" t="s">
        <v>53</v>
      </c>
      <c r="N450" t="s">
        <v>1024</v>
      </c>
      <c r="P450" t="s">
        <v>55</v>
      </c>
      <c r="R450" t="s">
        <v>56</v>
      </c>
      <c r="T450" t="s">
        <v>1025</v>
      </c>
      <c r="U450" t="s">
        <v>58</v>
      </c>
      <c r="V450">
        <v>2</v>
      </c>
      <c r="W450">
        <v>1</v>
      </c>
      <c r="X450">
        <v>1</v>
      </c>
      <c r="Y450">
        <v>0</v>
      </c>
      <c r="Z450">
        <v>1</v>
      </c>
      <c r="AA450">
        <v>0</v>
      </c>
      <c r="AB450">
        <v>163.66</v>
      </c>
      <c r="AC450">
        <v>144</v>
      </c>
      <c r="AD450">
        <v>0</v>
      </c>
      <c r="AE450">
        <v>19.66</v>
      </c>
      <c r="AF450">
        <v>0</v>
      </c>
      <c r="AG450">
        <v>0</v>
      </c>
      <c r="AH450">
        <v>0</v>
      </c>
      <c r="AI450">
        <v>0</v>
      </c>
      <c r="AJ450">
        <v>163.66</v>
      </c>
      <c r="AK450">
        <v>0</v>
      </c>
      <c r="AL450" t="s">
        <v>53</v>
      </c>
      <c r="AM450" t="s">
        <v>53</v>
      </c>
      <c r="AN450" t="s">
        <v>1026</v>
      </c>
      <c r="AO450" t="s">
        <v>53</v>
      </c>
      <c r="AP450" t="s">
        <v>53</v>
      </c>
    </row>
    <row r="451" spans="2:42" x14ac:dyDescent="0.2">
      <c r="B451" t="s">
        <v>44</v>
      </c>
      <c r="C451" t="str">
        <f>HYPERLINK("https://us2.cloudbeds.com/connect/8493803454333002#/reservations/598450000049?display=E1CPTE7A&amp;reservation_id=598450000049", "E1CPTE7A")</f>
        <v>E1CPTE7A</v>
      </c>
      <c r="D451" t="s">
        <v>45</v>
      </c>
      <c r="E451" t="s">
        <v>179</v>
      </c>
      <c r="F451" t="s">
        <v>47</v>
      </c>
      <c r="G451" t="s">
        <v>48</v>
      </c>
      <c r="H451" t="s">
        <v>49</v>
      </c>
      <c r="I451" t="s">
        <v>62</v>
      </c>
      <c r="J451" t="s">
        <v>1027</v>
      </c>
      <c r="K451" t="s">
        <v>709</v>
      </c>
      <c r="L451" t="s">
        <v>53</v>
      </c>
      <c r="N451" t="s">
        <v>1028</v>
      </c>
      <c r="P451" t="s">
        <v>55</v>
      </c>
      <c r="R451" t="s">
        <v>172</v>
      </c>
      <c r="T451" t="s">
        <v>1025</v>
      </c>
      <c r="U451" t="s">
        <v>58</v>
      </c>
      <c r="V451">
        <v>1</v>
      </c>
      <c r="W451">
        <v>1</v>
      </c>
      <c r="X451">
        <v>1</v>
      </c>
      <c r="Y451">
        <v>0</v>
      </c>
      <c r="Z451">
        <v>1</v>
      </c>
      <c r="AA451">
        <v>0</v>
      </c>
      <c r="AB451">
        <v>142.06</v>
      </c>
      <c r="AC451">
        <v>125</v>
      </c>
      <c r="AD451">
        <v>0</v>
      </c>
      <c r="AE451">
        <v>17.07</v>
      </c>
      <c r="AF451">
        <v>0</v>
      </c>
      <c r="AG451">
        <v>0</v>
      </c>
      <c r="AH451">
        <v>0</v>
      </c>
      <c r="AI451">
        <v>21.31</v>
      </c>
      <c r="AJ451">
        <v>142.07</v>
      </c>
      <c r="AK451">
        <v>0.01</v>
      </c>
      <c r="AL451" t="s">
        <v>53</v>
      </c>
      <c r="AM451" t="s">
        <v>53</v>
      </c>
      <c r="AN451" t="s">
        <v>178</v>
      </c>
      <c r="AO451" t="s">
        <v>53</v>
      </c>
      <c r="AP451" t="s">
        <v>53</v>
      </c>
    </row>
    <row r="452" spans="2:42" x14ac:dyDescent="0.2">
      <c r="B452" t="s">
        <v>44</v>
      </c>
      <c r="C452" t="str">
        <f>HYPERLINK("https://us2.cloudbeds.com/connect/8493803454333002#/reservations/598198358169?display=E16BN43Q&amp;reservation_id=598198358169", "E16BN43Q")</f>
        <v>E16BN43Q</v>
      </c>
      <c r="D452" t="s">
        <v>45</v>
      </c>
      <c r="E452" t="s">
        <v>373</v>
      </c>
      <c r="F452" t="s">
        <v>47</v>
      </c>
      <c r="G452" t="s">
        <v>48</v>
      </c>
      <c r="H452" t="s">
        <v>71</v>
      </c>
      <c r="I452" t="s">
        <v>72</v>
      </c>
      <c r="J452" t="s">
        <v>655</v>
      </c>
      <c r="K452" t="s">
        <v>473</v>
      </c>
      <c r="L452" t="s">
        <v>53</v>
      </c>
      <c r="N452" t="s">
        <v>1029</v>
      </c>
      <c r="P452" t="s">
        <v>55</v>
      </c>
      <c r="R452" t="s">
        <v>56</v>
      </c>
      <c r="T452" t="s">
        <v>1025</v>
      </c>
      <c r="U452" t="s">
        <v>58</v>
      </c>
      <c r="V452">
        <v>1</v>
      </c>
      <c r="W452">
        <v>1</v>
      </c>
      <c r="X452">
        <v>1</v>
      </c>
      <c r="Y452">
        <v>0</v>
      </c>
      <c r="Z452">
        <v>1</v>
      </c>
      <c r="AA452">
        <v>0</v>
      </c>
      <c r="AB452">
        <v>85.24</v>
      </c>
      <c r="AC452">
        <v>75</v>
      </c>
      <c r="AD452">
        <v>0</v>
      </c>
      <c r="AE452">
        <v>10.25</v>
      </c>
      <c r="AF452">
        <v>0</v>
      </c>
      <c r="AG452">
        <v>0</v>
      </c>
      <c r="AH452">
        <v>0</v>
      </c>
      <c r="AI452">
        <v>0</v>
      </c>
      <c r="AJ452">
        <v>85.25</v>
      </c>
      <c r="AK452">
        <v>0.01</v>
      </c>
      <c r="AL452" t="s">
        <v>53</v>
      </c>
      <c r="AM452" t="s">
        <v>53</v>
      </c>
      <c r="AN452" t="s">
        <v>378</v>
      </c>
      <c r="AO452" t="s">
        <v>53</v>
      </c>
      <c r="AP452" t="s">
        <v>53</v>
      </c>
    </row>
    <row r="453" spans="2:42" x14ac:dyDescent="0.2">
      <c r="B453" t="s">
        <v>44</v>
      </c>
      <c r="C453" t="str">
        <f>HYPERLINK("https://us2.cloudbeds.com/connect/8493803454333002#/reservations/598085836936?display=E13FR1RF&amp;reservation_id=598085836936", "E13FR1RF")</f>
        <v>E13FR1RF</v>
      </c>
      <c r="D453" t="s">
        <v>45</v>
      </c>
      <c r="E453" t="s">
        <v>110</v>
      </c>
      <c r="F453" t="s">
        <v>47</v>
      </c>
      <c r="G453" t="s">
        <v>48</v>
      </c>
      <c r="H453" t="s">
        <v>49</v>
      </c>
      <c r="I453" t="s">
        <v>50</v>
      </c>
      <c r="J453" t="s">
        <v>655</v>
      </c>
      <c r="K453" t="s">
        <v>557</v>
      </c>
      <c r="L453" t="s">
        <v>53</v>
      </c>
      <c r="N453" t="s">
        <v>1030</v>
      </c>
      <c r="P453" t="s">
        <v>55</v>
      </c>
      <c r="R453" t="s">
        <v>56</v>
      </c>
      <c r="T453" t="s">
        <v>1025</v>
      </c>
      <c r="U453" t="s">
        <v>58</v>
      </c>
      <c r="V453">
        <v>2</v>
      </c>
      <c r="W453">
        <v>1</v>
      </c>
      <c r="X453">
        <v>1</v>
      </c>
      <c r="Y453">
        <v>0</v>
      </c>
      <c r="Z453">
        <v>1</v>
      </c>
      <c r="AA453">
        <v>0</v>
      </c>
      <c r="AB453">
        <v>163.66</v>
      </c>
      <c r="AC453">
        <v>144</v>
      </c>
      <c r="AD453">
        <v>0</v>
      </c>
      <c r="AE453">
        <v>19.66</v>
      </c>
      <c r="AF453">
        <v>0</v>
      </c>
      <c r="AG453">
        <v>0</v>
      </c>
      <c r="AH453">
        <v>0</v>
      </c>
      <c r="AI453">
        <v>29.46</v>
      </c>
      <c r="AJ453">
        <v>163.66</v>
      </c>
      <c r="AK453">
        <v>0</v>
      </c>
      <c r="AL453" t="s">
        <v>53</v>
      </c>
      <c r="AM453" t="s">
        <v>53</v>
      </c>
      <c r="AN453" t="s">
        <v>413</v>
      </c>
      <c r="AO453" t="s">
        <v>53</v>
      </c>
      <c r="AP453" t="s">
        <v>53</v>
      </c>
    </row>
    <row r="454" spans="2:42" x14ac:dyDescent="0.2">
      <c r="B454" t="s">
        <v>44</v>
      </c>
      <c r="C454" t="str">
        <f>HYPERLINK("https://us2.cloudbeds.com/connect/8493803454333002#/reservations/598414364900?display=E1BSRRDA&amp;reservation_id=598414364900", "E1BSRRDA")</f>
        <v>E1BSRRDA</v>
      </c>
      <c r="D454" t="s">
        <v>45</v>
      </c>
      <c r="E454" t="s">
        <v>78</v>
      </c>
      <c r="F454" t="s">
        <v>61</v>
      </c>
      <c r="G454" t="s">
        <v>48</v>
      </c>
      <c r="H454" t="s">
        <v>71</v>
      </c>
      <c r="I454" t="s">
        <v>72</v>
      </c>
      <c r="J454" t="s">
        <v>833</v>
      </c>
      <c r="K454" t="s">
        <v>705</v>
      </c>
      <c r="L454" t="s">
        <v>53</v>
      </c>
      <c r="N454" t="s">
        <v>1031</v>
      </c>
      <c r="P454" t="s">
        <v>55</v>
      </c>
      <c r="R454" t="s">
        <v>56</v>
      </c>
      <c r="T454" t="s">
        <v>1025</v>
      </c>
      <c r="U454" t="s">
        <v>58</v>
      </c>
      <c r="V454">
        <v>2</v>
      </c>
      <c r="W454">
        <v>1</v>
      </c>
      <c r="X454">
        <v>1</v>
      </c>
      <c r="Y454">
        <v>0</v>
      </c>
      <c r="Z454">
        <v>1</v>
      </c>
      <c r="AA454">
        <v>0</v>
      </c>
      <c r="AB454">
        <v>188.66</v>
      </c>
      <c r="AC454">
        <v>166</v>
      </c>
      <c r="AD454">
        <v>0</v>
      </c>
      <c r="AE454">
        <v>22.68</v>
      </c>
      <c r="AF454">
        <v>0</v>
      </c>
      <c r="AG454">
        <v>0</v>
      </c>
      <c r="AH454">
        <v>0</v>
      </c>
      <c r="AI454">
        <v>0</v>
      </c>
      <c r="AJ454">
        <v>188.68</v>
      </c>
      <c r="AK454">
        <v>0.02</v>
      </c>
      <c r="AL454" t="s">
        <v>53</v>
      </c>
      <c r="AM454" t="s">
        <v>53</v>
      </c>
      <c r="AN454" t="s">
        <v>1032</v>
      </c>
      <c r="AO454" t="s">
        <v>53</v>
      </c>
      <c r="AP454" t="s">
        <v>53</v>
      </c>
    </row>
    <row r="455" spans="2:42" x14ac:dyDescent="0.2">
      <c r="B455" t="s">
        <v>44</v>
      </c>
      <c r="C455" t="str">
        <f>HYPERLINK("https://us2.cloudbeds.com/connect/8493803454333002#/reservations/598348779680?display=E1A6HR7D&amp;reservation_id=598348779680", "E1A6HR7D")</f>
        <v>E1A6HR7D</v>
      </c>
      <c r="D455" t="s">
        <v>45</v>
      </c>
      <c r="E455" t="s">
        <v>155</v>
      </c>
      <c r="F455" t="s">
        <v>86</v>
      </c>
      <c r="G455" t="s">
        <v>48</v>
      </c>
      <c r="H455" t="s">
        <v>71</v>
      </c>
      <c r="I455" t="s">
        <v>72</v>
      </c>
      <c r="J455" t="s">
        <v>655</v>
      </c>
      <c r="K455" t="s">
        <v>473</v>
      </c>
      <c r="L455" t="s">
        <v>53</v>
      </c>
      <c r="N455" t="s">
        <v>1033</v>
      </c>
      <c r="P455" t="s">
        <v>55</v>
      </c>
      <c r="R455" t="s">
        <v>56</v>
      </c>
      <c r="T455" t="s">
        <v>1025</v>
      </c>
      <c r="U455" t="s">
        <v>58</v>
      </c>
      <c r="V455">
        <v>1</v>
      </c>
      <c r="W455">
        <v>1</v>
      </c>
      <c r="X455">
        <v>1</v>
      </c>
      <c r="Y455">
        <v>0</v>
      </c>
      <c r="Z455">
        <v>1</v>
      </c>
      <c r="AA455">
        <v>0</v>
      </c>
      <c r="AB455">
        <v>113.65</v>
      </c>
      <c r="AC455">
        <v>100</v>
      </c>
      <c r="AD455">
        <v>0</v>
      </c>
      <c r="AE455">
        <v>13.65</v>
      </c>
      <c r="AF455">
        <v>0</v>
      </c>
      <c r="AG455">
        <v>0</v>
      </c>
      <c r="AH455">
        <v>0</v>
      </c>
      <c r="AI455">
        <v>0</v>
      </c>
      <c r="AJ455">
        <v>113.65</v>
      </c>
      <c r="AK455">
        <v>0</v>
      </c>
      <c r="AL455" t="s">
        <v>53</v>
      </c>
      <c r="AM455" t="s">
        <v>53</v>
      </c>
      <c r="AN455" t="s">
        <v>378</v>
      </c>
      <c r="AO455" t="s">
        <v>53</v>
      </c>
      <c r="AP455" t="s">
        <v>53</v>
      </c>
    </row>
    <row r="456" spans="2:42" x14ac:dyDescent="0.2">
      <c r="B456" t="s">
        <v>44</v>
      </c>
      <c r="C456" t="str">
        <f>HYPERLINK("https://us2.cloudbeds.com/connect/8493803454333002#/reservations/598326231181?display=E19KHCHX&amp;reservation_id=598326231181", "E19KHCHX")</f>
        <v>E19KHCHX</v>
      </c>
      <c r="D456" t="s">
        <v>45</v>
      </c>
      <c r="E456" t="s">
        <v>381</v>
      </c>
      <c r="F456" t="s">
        <v>47</v>
      </c>
      <c r="G456" t="s">
        <v>48</v>
      </c>
      <c r="H456" t="s">
        <v>49</v>
      </c>
      <c r="I456" t="s">
        <v>79</v>
      </c>
      <c r="J456" t="s">
        <v>655</v>
      </c>
      <c r="K456" t="s">
        <v>473</v>
      </c>
      <c r="L456" t="s">
        <v>53</v>
      </c>
      <c r="N456" t="s">
        <v>1034</v>
      </c>
      <c r="P456" t="s">
        <v>55</v>
      </c>
      <c r="R456" t="s">
        <v>56</v>
      </c>
      <c r="T456" t="s">
        <v>1025</v>
      </c>
      <c r="U456" t="s">
        <v>58</v>
      </c>
      <c r="V456">
        <v>1</v>
      </c>
      <c r="W456">
        <v>1</v>
      </c>
      <c r="X456">
        <v>1</v>
      </c>
      <c r="Y456">
        <v>0</v>
      </c>
      <c r="Z456">
        <v>1</v>
      </c>
      <c r="AA456">
        <v>0</v>
      </c>
      <c r="AB456">
        <v>81.83</v>
      </c>
      <c r="AC456">
        <v>72</v>
      </c>
      <c r="AD456">
        <v>0</v>
      </c>
      <c r="AE456">
        <v>9.83</v>
      </c>
      <c r="AF456">
        <v>0</v>
      </c>
      <c r="AG456">
        <v>0</v>
      </c>
      <c r="AH456">
        <v>0</v>
      </c>
      <c r="AI456">
        <v>0</v>
      </c>
      <c r="AJ456">
        <v>81.83</v>
      </c>
      <c r="AK456">
        <v>0</v>
      </c>
      <c r="AL456" t="s">
        <v>53</v>
      </c>
      <c r="AM456" t="s">
        <v>53</v>
      </c>
      <c r="AN456" t="s">
        <v>112</v>
      </c>
      <c r="AO456" t="s">
        <v>53</v>
      </c>
      <c r="AP456" t="s">
        <v>53</v>
      </c>
    </row>
    <row r="457" spans="2:42" x14ac:dyDescent="0.2">
      <c r="B457" t="s">
        <v>44</v>
      </c>
      <c r="C457" t="str">
        <f>HYPERLINK("https://us2.cloudbeds.com/connect/8493803454333002#/reservations/598286659839?display=E18K586W&amp;reservation_id=598286659839", "E18K586W")</f>
        <v>E18K586W</v>
      </c>
      <c r="D457" t="s">
        <v>45</v>
      </c>
      <c r="E457" t="s">
        <v>190</v>
      </c>
      <c r="F457" t="s">
        <v>61</v>
      </c>
      <c r="G457" t="s">
        <v>48</v>
      </c>
      <c r="H457" t="s">
        <v>71</v>
      </c>
      <c r="I457" t="s">
        <v>72</v>
      </c>
      <c r="J457" t="s">
        <v>473</v>
      </c>
      <c r="K457" t="s">
        <v>557</v>
      </c>
      <c r="L457" t="s">
        <v>53</v>
      </c>
      <c r="N457" t="s">
        <v>1035</v>
      </c>
      <c r="P457" t="s">
        <v>55</v>
      </c>
      <c r="R457" t="s">
        <v>56</v>
      </c>
      <c r="T457" t="s">
        <v>1036</v>
      </c>
      <c r="U457" t="s">
        <v>58</v>
      </c>
      <c r="V457">
        <v>1</v>
      </c>
      <c r="W457">
        <v>1</v>
      </c>
      <c r="X457">
        <v>1</v>
      </c>
      <c r="Y457">
        <v>0</v>
      </c>
      <c r="Z457">
        <v>1</v>
      </c>
      <c r="AA457">
        <v>0</v>
      </c>
      <c r="AB457">
        <v>94.33</v>
      </c>
      <c r="AC457">
        <v>83</v>
      </c>
      <c r="AD457">
        <v>0</v>
      </c>
      <c r="AE457">
        <v>11.34</v>
      </c>
      <c r="AF457">
        <v>0</v>
      </c>
      <c r="AG457">
        <v>0</v>
      </c>
      <c r="AH457">
        <v>0</v>
      </c>
      <c r="AI457">
        <v>0</v>
      </c>
      <c r="AJ457">
        <v>94.34</v>
      </c>
      <c r="AK457">
        <v>0.01</v>
      </c>
      <c r="AL457" t="s">
        <v>53</v>
      </c>
      <c r="AM457" t="s">
        <v>53</v>
      </c>
      <c r="AN457" t="s">
        <v>378</v>
      </c>
      <c r="AO457" t="s">
        <v>53</v>
      </c>
      <c r="AP457" t="s">
        <v>53</v>
      </c>
    </row>
    <row r="458" spans="2:42" x14ac:dyDescent="0.2">
      <c r="B458" t="s">
        <v>44</v>
      </c>
      <c r="C458" t="str">
        <f>HYPERLINK("https://us2.cloudbeds.com/connect/8493803454333002#/reservations/598330151052?display=E19NRF1H&amp;reservation_id=598330151052", "E19NRF1H")</f>
        <v>E19NRF1H</v>
      </c>
      <c r="D458" t="s">
        <v>45</v>
      </c>
      <c r="E458" t="s">
        <v>165</v>
      </c>
      <c r="F458" t="s">
        <v>61</v>
      </c>
      <c r="G458" t="s">
        <v>48</v>
      </c>
      <c r="H458" t="s">
        <v>49</v>
      </c>
      <c r="I458" t="s">
        <v>79</v>
      </c>
      <c r="J458" t="s">
        <v>473</v>
      </c>
      <c r="K458" t="s">
        <v>557</v>
      </c>
      <c r="L458" t="s">
        <v>53</v>
      </c>
      <c r="N458" t="s">
        <v>1037</v>
      </c>
      <c r="P458" t="s">
        <v>55</v>
      </c>
      <c r="R458" t="s">
        <v>56</v>
      </c>
      <c r="T458" t="s">
        <v>1036</v>
      </c>
      <c r="U458" t="s">
        <v>58</v>
      </c>
      <c r="V458">
        <v>1</v>
      </c>
      <c r="W458">
        <v>1</v>
      </c>
      <c r="X458">
        <v>1</v>
      </c>
      <c r="Y458">
        <v>0</v>
      </c>
      <c r="Z458">
        <v>1</v>
      </c>
      <c r="AA458">
        <v>0</v>
      </c>
      <c r="AB458">
        <v>90.01</v>
      </c>
      <c r="AC458">
        <v>79.2</v>
      </c>
      <c r="AD458">
        <v>0</v>
      </c>
      <c r="AE458">
        <v>10.81</v>
      </c>
      <c r="AF458">
        <v>0</v>
      </c>
      <c r="AG458">
        <v>0</v>
      </c>
      <c r="AH458">
        <v>0</v>
      </c>
      <c r="AI458">
        <v>0</v>
      </c>
      <c r="AJ458">
        <v>90.01</v>
      </c>
      <c r="AK458">
        <v>0</v>
      </c>
      <c r="AL458" t="s">
        <v>53</v>
      </c>
      <c r="AM458" t="s">
        <v>53</v>
      </c>
      <c r="AN458" t="s">
        <v>137</v>
      </c>
      <c r="AO458" t="s">
        <v>53</v>
      </c>
      <c r="AP458" t="s">
        <v>53</v>
      </c>
    </row>
    <row r="459" spans="2:42" x14ac:dyDescent="0.2">
      <c r="B459" t="s">
        <v>44</v>
      </c>
      <c r="C459" t="str">
        <f>HYPERLINK("https://us2.cloudbeds.com/connect/8493803454333002#/reservations/598343671941?display=E1A27MUD&amp;reservation_id=598343671941", "E1A27MUD")</f>
        <v>E1A27MUD</v>
      </c>
      <c r="D459" t="s">
        <v>45</v>
      </c>
      <c r="E459" t="s">
        <v>381</v>
      </c>
      <c r="F459" t="s">
        <v>47</v>
      </c>
      <c r="G459" t="s">
        <v>48</v>
      </c>
      <c r="H459" t="s">
        <v>49</v>
      </c>
      <c r="I459" t="s">
        <v>79</v>
      </c>
      <c r="J459" t="s">
        <v>473</v>
      </c>
      <c r="K459" t="s">
        <v>557</v>
      </c>
      <c r="L459" t="s">
        <v>53</v>
      </c>
      <c r="N459" t="s">
        <v>1038</v>
      </c>
      <c r="P459" t="s">
        <v>55</v>
      </c>
      <c r="R459" t="s">
        <v>56</v>
      </c>
      <c r="T459" t="s">
        <v>1036</v>
      </c>
      <c r="U459" t="s">
        <v>58</v>
      </c>
      <c r="V459">
        <v>1</v>
      </c>
      <c r="W459">
        <v>1</v>
      </c>
      <c r="X459">
        <v>1</v>
      </c>
      <c r="Y459">
        <v>0</v>
      </c>
      <c r="Z459">
        <v>1</v>
      </c>
      <c r="AA459">
        <v>0</v>
      </c>
      <c r="AB459">
        <v>81.83</v>
      </c>
      <c r="AC459">
        <v>72</v>
      </c>
      <c r="AD459">
        <v>0</v>
      </c>
      <c r="AE459">
        <v>9.83</v>
      </c>
      <c r="AF459">
        <v>0</v>
      </c>
      <c r="AG459">
        <v>0</v>
      </c>
      <c r="AH459">
        <v>0</v>
      </c>
      <c r="AI459">
        <v>0</v>
      </c>
      <c r="AJ459">
        <v>81.83</v>
      </c>
      <c r="AK459">
        <v>0</v>
      </c>
      <c r="AL459" t="s">
        <v>53</v>
      </c>
      <c r="AM459" t="s">
        <v>53</v>
      </c>
      <c r="AN459" t="s">
        <v>132</v>
      </c>
      <c r="AO459" t="s">
        <v>53</v>
      </c>
      <c r="AP459" t="s">
        <v>53</v>
      </c>
    </row>
    <row r="460" spans="2:42" x14ac:dyDescent="0.2">
      <c r="B460" t="s">
        <v>44</v>
      </c>
      <c r="C460" t="str">
        <f>HYPERLINK("https://us2.cloudbeds.com/connect/8493803454333002#/reservations/598366384380?display=E1AYCN55&amp;reservation_id=598366384380", "E1AYCN55")</f>
        <v>E1AYCN55</v>
      </c>
      <c r="D460" t="s">
        <v>45</v>
      </c>
      <c r="E460" t="s">
        <v>113</v>
      </c>
      <c r="F460" t="s">
        <v>61</v>
      </c>
      <c r="G460" t="s">
        <v>48</v>
      </c>
      <c r="H460" t="s">
        <v>49</v>
      </c>
      <c r="I460" t="s">
        <v>62</v>
      </c>
      <c r="J460" t="s">
        <v>798</v>
      </c>
      <c r="K460" t="s">
        <v>1039</v>
      </c>
      <c r="L460" t="s">
        <v>53</v>
      </c>
      <c r="N460" t="s">
        <v>1040</v>
      </c>
      <c r="P460" t="s">
        <v>55</v>
      </c>
      <c r="R460" t="s">
        <v>56</v>
      </c>
      <c r="T460" t="s">
        <v>1036</v>
      </c>
      <c r="U460" t="s">
        <v>58</v>
      </c>
      <c r="V460">
        <v>1</v>
      </c>
      <c r="W460">
        <v>1</v>
      </c>
      <c r="X460">
        <v>1</v>
      </c>
      <c r="Y460">
        <v>0</v>
      </c>
      <c r="Z460">
        <v>1</v>
      </c>
      <c r="AA460">
        <v>0</v>
      </c>
      <c r="AB460">
        <v>95.47</v>
      </c>
      <c r="AC460">
        <v>84</v>
      </c>
      <c r="AD460">
        <v>0</v>
      </c>
      <c r="AE460">
        <v>11.47</v>
      </c>
      <c r="AF460">
        <v>0</v>
      </c>
      <c r="AG460">
        <v>0</v>
      </c>
      <c r="AH460">
        <v>0</v>
      </c>
      <c r="AI460">
        <v>14.32</v>
      </c>
      <c r="AJ460">
        <v>95.47</v>
      </c>
      <c r="AK460">
        <v>0</v>
      </c>
      <c r="AL460" t="s">
        <v>53</v>
      </c>
      <c r="AM460" t="s">
        <v>53</v>
      </c>
      <c r="AN460" t="s">
        <v>1041</v>
      </c>
      <c r="AO460" t="s">
        <v>53</v>
      </c>
      <c r="AP460" t="s">
        <v>53</v>
      </c>
    </row>
    <row r="461" spans="2:42" x14ac:dyDescent="0.2">
      <c r="B461" t="s">
        <v>44</v>
      </c>
      <c r="C461" t="str">
        <f>HYPERLINK("https://us2.cloudbeds.com/connect/8493803454333002#/reservations/598054789252?display=E12MY3XX&amp;reservation_id=598054789252", "E12MY3XX")</f>
        <v>E12MY3XX</v>
      </c>
      <c r="D461" t="s">
        <v>45</v>
      </c>
      <c r="E461" t="s">
        <v>185</v>
      </c>
      <c r="F461" t="s">
        <v>47</v>
      </c>
      <c r="G461" t="s">
        <v>48</v>
      </c>
      <c r="H461" t="s">
        <v>71</v>
      </c>
      <c r="I461" t="s">
        <v>72</v>
      </c>
      <c r="J461" t="s">
        <v>473</v>
      </c>
      <c r="K461" t="s">
        <v>557</v>
      </c>
      <c r="L461" t="s">
        <v>53</v>
      </c>
      <c r="N461" t="s">
        <v>1042</v>
      </c>
      <c r="P461" t="s">
        <v>55</v>
      </c>
      <c r="R461" t="s">
        <v>56</v>
      </c>
      <c r="T461" t="s">
        <v>1036</v>
      </c>
      <c r="U461" t="s">
        <v>58</v>
      </c>
      <c r="V461">
        <v>1</v>
      </c>
      <c r="W461">
        <v>1</v>
      </c>
      <c r="X461">
        <v>1</v>
      </c>
      <c r="Y461">
        <v>0</v>
      </c>
      <c r="Z461">
        <v>1</v>
      </c>
      <c r="AA461">
        <v>0</v>
      </c>
      <c r="AB461">
        <v>85.24</v>
      </c>
      <c r="AC461">
        <v>75</v>
      </c>
      <c r="AD461">
        <v>0</v>
      </c>
      <c r="AE461">
        <v>10.25</v>
      </c>
      <c r="AF461">
        <v>0</v>
      </c>
      <c r="AG461">
        <v>0</v>
      </c>
      <c r="AH461">
        <v>0</v>
      </c>
      <c r="AI461">
        <v>0</v>
      </c>
      <c r="AJ461">
        <v>85.25</v>
      </c>
      <c r="AK461">
        <v>0.01</v>
      </c>
      <c r="AL461" t="s">
        <v>53</v>
      </c>
      <c r="AM461" t="s">
        <v>53</v>
      </c>
      <c r="AN461" t="s">
        <v>378</v>
      </c>
      <c r="AO461" t="s">
        <v>53</v>
      </c>
      <c r="AP461" t="s">
        <v>53</v>
      </c>
    </row>
    <row r="462" spans="2:42" x14ac:dyDescent="0.2">
      <c r="B462" t="s">
        <v>44</v>
      </c>
      <c r="C462" t="str">
        <f>HYPERLINK("https://us2.cloudbeds.com/connect/8493803454333002#/reservations/598370230408?display=E1AZKNSF&amp;reservation_id=598370230408", "E1AZKNSF")</f>
        <v>E1AZKNSF</v>
      </c>
      <c r="D462" t="s">
        <v>45</v>
      </c>
      <c r="E462" t="s">
        <v>85</v>
      </c>
      <c r="F462" t="s">
        <v>86</v>
      </c>
      <c r="G462" t="s">
        <v>48</v>
      </c>
      <c r="H462" t="s">
        <v>49</v>
      </c>
      <c r="I462" t="s">
        <v>62</v>
      </c>
      <c r="J462" t="s">
        <v>473</v>
      </c>
      <c r="K462" t="s">
        <v>798</v>
      </c>
      <c r="L462" t="s">
        <v>53</v>
      </c>
      <c r="N462" t="s">
        <v>1043</v>
      </c>
      <c r="P462" t="s">
        <v>55</v>
      </c>
      <c r="R462" t="s">
        <v>56</v>
      </c>
      <c r="T462" t="s">
        <v>1036</v>
      </c>
      <c r="U462" t="s">
        <v>58</v>
      </c>
      <c r="V462">
        <v>2</v>
      </c>
      <c r="W462">
        <v>1</v>
      </c>
      <c r="X462">
        <v>1</v>
      </c>
      <c r="Y462">
        <v>0</v>
      </c>
      <c r="Z462">
        <v>1</v>
      </c>
      <c r="AA462">
        <v>0</v>
      </c>
      <c r="AB462">
        <v>227.3</v>
      </c>
      <c r="AC462">
        <v>200</v>
      </c>
      <c r="AD462">
        <v>0</v>
      </c>
      <c r="AE462">
        <v>27.3</v>
      </c>
      <c r="AF462">
        <v>0</v>
      </c>
      <c r="AG462">
        <v>0</v>
      </c>
      <c r="AH462">
        <v>0</v>
      </c>
      <c r="AI462">
        <v>34.1</v>
      </c>
      <c r="AJ462">
        <v>227.3</v>
      </c>
      <c r="AK462">
        <v>0</v>
      </c>
      <c r="AL462" t="s">
        <v>53</v>
      </c>
      <c r="AM462" t="s">
        <v>53</v>
      </c>
      <c r="AN462" t="s">
        <v>413</v>
      </c>
      <c r="AO462" t="s">
        <v>53</v>
      </c>
      <c r="AP462" t="s">
        <v>53</v>
      </c>
    </row>
    <row r="463" spans="2:42" x14ac:dyDescent="0.2">
      <c r="B463" t="s">
        <v>44</v>
      </c>
      <c r="C463" t="str">
        <f>HYPERLINK("https://us2.cloudbeds.com/connect/8493803454333002#/reservations/598382395596?display=E1B1T7RG&amp;reservation_id=598382395596", "E1B1T7RG")</f>
        <v>E1B1T7RG</v>
      </c>
      <c r="D463" t="s">
        <v>45</v>
      </c>
      <c r="E463" t="s">
        <v>105</v>
      </c>
      <c r="F463" t="s">
        <v>47</v>
      </c>
      <c r="G463" t="s">
        <v>48</v>
      </c>
      <c r="H463" t="s">
        <v>49</v>
      </c>
      <c r="I463" t="s">
        <v>266</v>
      </c>
      <c r="J463" t="s">
        <v>833</v>
      </c>
      <c r="K463" t="s">
        <v>714</v>
      </c>
      <c r="L463" t="s">
        <v>53</v>
      </c>
      <c r="N463" t="s">
        <v>1044</v>
      </c>
      <c r="P463" t="s">
        <v>55</v>
      </c>
      <c r="R463" t="s">
        <v>56</v>
      </c>
      <c r="T463" t="s">
        <v>1036</v>
      </c>
      <c r="U463" t="s">
        <v>58</v>
      </c>
      <c r="V463">
        <v>1</v>
      </c>
      <c r="W463">
        <v>1</v>
      </c>
      <c r="X463">
        <v>1</v>
      </c>
      <c r="Y463">
        <v>0</v>
      </c>
      <c r="Z463">
        <v>1</v>
      </c>
      <c r="AA463">
        <v>0</v>
      </c>
      <c r="AB463">
        <v>81.83</v>
      </c>
      <c r="AC463">
        <v>72</v>
      </c>
      <c r="AD463">
        <v>0</v>
      </c>
      <c r="AE463">
        <v>9.83</v>
      </c>
      <c r="AF463">
        <v>0</v>
      </c>
      <c r="AG463">
        <v>0</v>
      </c>
      <c r="AH463">
        <v>0</v>
      </c>
      <c r="AI463">
        <v>0</v>
      </c>
      <c r="AJ463">
        <v>81.83</v>
      </c>
      <c r="AK463">
        <v>0</v>
      </c>
      <c r="AL463" t="s">
        <v>53</v>
      </c>
      <c r="AM463" t="s">
        <v>53</v>
      </c>
      <c r="AN463" t="s">
        <v>280</v>
      </c>
      <c r="AO463" t="s">
        <v>53</v>
      </c>
      <c r="AP463" t="s">
        <v>53</v>
      </c>
    </row>
    <row r="464" spans="2:42" x14ac:dyDescent="0.2">
      <c r="B464" t="s">
        <v>44</v>
      </c>
      <c r="C464" t="str">
        <f>HYPERLINK("https://us2.cloudbeds.com/connect/8493803454333002#/reservations/598074785941?display=E136GHWQ&amp;reservation_id=598074785941", "E136GHWQ")</f>
        <v>E136GHWQ</v>
      </c>
      <c r="D464" t="s">
        <v>45</v>
      </c>
      <c r="E464" t="s">
        <v>179</v>
      </c>
      <c r="F464" t="s">
        <v>47</v>
      </c>
      <c r="G464" t="s">
        <v>48</v>
      </c>
      <c r="H464" t="s">
        <v>49</v>
      </c>
      <c r="I464" t="s">
        <v>79</v>
      </c>
      <c r="J464" t="s">
        <v>473</v>
      </c>
      <c r="K464" t="s">
        <v>557</v>
      </c>
      <c r="L464" t="s">
        <v>53</v>
      </c>
      <c r="N464" t="s">
        <v>1045</v>
      </c>
      <c r="P464" t="s">
        <v>55</v>
      </c>
      <c r="R464" t="s">
        <v>56</v>
      </c>
      <c r="T464" t="s">
        <v>1036</v>
      </c>
      <c r="U464" t="s">
        <v>58</v>
      </c>
      <c r="V464">
        <v>1</v>
      </c>
      <c r="W464">
        <v>1</v>
      </c>
      <c r="X464">
        <v>1</v>
      </c>
      <c r="Y464">
        <v>0</v>
      </c>
      <c r="Z464">
        <v>1</v>
      </c>
      <c r="AA464">
        <v>0</v>
      </c>
      <c r="AB464">
        <v>81.83</v>
      </c>
      <c r="AC464">
        <v>72</v>
      </c>
      <c r="AD464">
        <v>0</v>
      </c>
      <c r="AE464">
        <v>9.83</v>
      </c>
      <c r="AF464">
        <v>0</v>
      </c>
      <c r="AG464">
        <v>0</v>
      </c>
      <c r="AH464">
        <v>0</v>
      </c>
      <c r="AI464">
        <v>0</v>
      </c>
      <c r="AJ464">
        <v>81.83</v>
      </c>
      <c r="AK464">
        <v>0</v>
      </c>
      <c r="AL464" t="s">
        <v>53</v>
      </c>
      <c r="AM464" t="s">
        <v>53</v>
      </c>
      <c r="AN464" t="s">
        <v>146</v>
      </c>
      <c r="AO464" t="s">
        <v>53</v>
      </c>
      <c r="AP464" t="s">
        <v>53</v>
      </c>
    </row>
    <row r="465" spans="2:42" x14ac:dyDescent="0.2">
      <c r="B465" t="s">
        <v>44</v>
      </c>
      <c r="C465" t="str">
        <f>HYPERLINK("https://us2.cloudbeds.com/connect/8493803454333002#/reservations/598394396862?display=E1BC0698&amp;reservation_id=598394396862", "E1BC0698")</f>
        <v>E1BC0698</v>
      </c>
      <c r="D465" t="s">
        <v>45</v>
      </c>
      <c r="E465" t="s">
        <v>373</v>
      </c>
      <c r="F465" t="s">
        <v>47</v>
      </c>
      <c r="G465" t="s">
        <v>48</v>
      </c>
      <c r="H465" t="s">
        <v>71</v>
      </c>
      <c r="I465" t="s">
        <v>72</v>
      </c>
      <c r="J465" t="s">
        <v>106</v>
      </c>
      <c r="K465" t="s">
        <v>107</v>
      </c>
      <c r="L465" t="s">
        <v>53</v>
      </c>
      <c r="N465" t="s">
        <v>1046</v>
      </c>
      <c r="P465" t="s">
        <v>55</v>
      </c>
      <c r="R465" t="s">
        <v>56</v>
      </c>
      <c r="T465" t="s">
        <v>1036</v>
      </c>
      <c r="U465" t="s">
        <v>58</v>
      </c>
      <c r="V465">
        <v>2</v>
      </c>
      <c r="W465">
        <v>1</v>
      </c>
      <c r="X465">
        <v>1</v>
      </c>
      <c r="Y465">
        <v>0</v>
      </c>
      <c r="Z465">
        <v>1</v>
      </c>
      <c r="AA465">
        <v>0</v>
      </c>
      <c r="AB465">
        <v>302.31</v>
      </c>
      <c r="AC465">
        <v>266</v>
      </c>
      <c r="AD465">
        <v>0</v>
      </c>
      <c r="AE465">
        <v>36.32</v>
      </c>
      <c r="AF465">
        <v>0</v>
      </c>
      <c r="AG465">
        <v>0</v>
      </c>
      <c r="AH465">
        <v>0</v>
      </c>
      <c r="AI465">
        <v>0</v>
      </c>
      <c r="AJ465">
        <v>302.32</v>
      </c>
      <c r="AK465">
        <v>0.01</v>
      </c>
      <c r="AL465" t="s">
        <v>53</v>
      </c>
      <c r="AM465" t="s">
        <v>53</v>
      </c>
      <c r="AN465" t="s">
        <v>1047</v>
      </c>
      <c r="AO465" t="s">
        <v>53</v>
      </c>
      <c r="AP465" t="s">
        <v>53</v>
      </c>
    </row>
    <row r="466" spans="2:42" x14ac:dyDescent="0.2">
      <c r="B466" t="s">
        <v>44</v>
      </c>
      <c r="C466" t="str">
        <f>HYPERLINK("https://us2.cloudbeds.com/connect/8493803454333002#/reservations/598108209396?display=E141MJSQ&amp;reservation_id=598108209396", "E141MJSQ")</f>
        <v>E141MJSQ</v>
      </c>
      <c r="D466" t="s">
        <v>45</v>
      </c>
      <c r="E466" t="s">
        <v>105</v>
      </c>
      <c r="F466" t="s">
        <v>47</v>
      </c>
      <c r="G466" t="s">
        <v>48</v>
      </c>
      <c r="H466" t="s">
        <v>49</v>
      </c>
      <c r="I466" t="s">
        <v>114</v>
      </c>
      <c r="J466" t="s">
        <v>557</v>
      </c>
      <c r="K466" t="s">
        <v>798</v>
      </c>
      <c r="L466" t="s">
        <v>53</v>
      </c>
      <c r="N466" t="s">
        <v>1048</v>
      </c>
      <c r="P466" t="s">
        <v>55</v>
      </c>
      <c r="R466" t="s">
        <v>56</v>
      </c>
      <c r="T466" t="s">
        <v>1036</v>
      </c>
      <c r="U466" t="s">
        <v>58</v>
      </c>
      <c r="V466">
        <v>1</v>
      </c>
      <c r="W466">
        <v>1</v>
      </c>
      <c r="X466">
        <v>1</v>
      </c>
      <c r="Y466">
        <v>0</v>
      </c>
      <c r="Z466">
        <v>1</v>
      </c>
      <c r="AA466">
        <v>0</v>
      </c>
      <c r="AB466">
        <v>73.87</v>
      </c>
      <c r="AC466">
        <v>65</v>
      </c>
      <c r="AD466">
        <v>0</v>
      </c>
      <c r="AE466">
        <v>8.8800000000000008</v>
      </c>
      <c r="AF466">
        <v>0</v>
      </c>
      <c r="AG466">
        <v>0</v>
      </c>
      <c r="AH466">
        <v>0</v>
      </c>
      <c r="AI466">
        <v>0</v>
      </c>
      <c r="AJ466">
        <v>73.88</v>
      </c>
      <c r="AK466">
        <v>0.01</v>
      </c>
      <c r="AL466" t="s">
        <v>53</v>
      </c>
      <c r="AM466" t="s">
        <v>53</v>
      </c>
      <c r="AN466" t="s">
        <v>1049</v>
      </c>
      <c r="AO466" t="s">
        <v>53</v>
      </c>
      <c r="AP466" t="s">
        <v>53</v>
      </c>
    </row>
    <row r="467" spans="2:42" x14ac:dyDescent="0.2">
      <c r="B467" t="s">
        <v>44</v>
      </c>
      <c r="C467" t="str">
        <f>HYPERLINK("https://us2.cloudbeds.com/connect/8493803454333002#/reservations/598112374987?display=E1456H0R&amp;reservation_id=598112374987", "E1456H0R")</f>
        <v>E1456H0R</v>
      </c>
      <c r="D467" t="s">
        <v>45</v>
      </c>
      <c r="E467" t="s">
        <v>213</v>
      </c>
      <c r="F467" t="s">
        <v>86</v>
      </c>
      <c r="G467" t="s">
        <v>48</v>
      </c>
      <c r="H467" t="s">
        <v>49</v>
      </c>
      <c r="I467" t="s">
        <v>50</v>
      </c>
      <c r="J467" t="s">
        <v>106</v>
      </c>
      <c r="K467" t="s">
        <v>107</v>
      </c>
      <c r="L467" t="s">
        <v>53</v>
      </c>
      <c r="N467" t="s">
        <v>1050</v>
      </c>
      <c r="P467" t="s">
        <v>55</v>
      </c>
      <c r="R467" t="s">
        <v>56</v>
      </c>
      <c r="T467" t="s">
        <v>1036</v>
      </c>
      <c r="U467" t="s">
        <v>58</v>
      </c>
      <c r="V467">
        <v>2</v>
      </c>
      <c r="W467">
        <v>1</v>
      </c>
      <c r="X467">
        <v>1</v>
      </c>
      <c r="Y467">
        <v>0</v>
      </c>
      <c r="Z467">
        <v>1</v>
      </c>
      <c r="AA467">
        <v>0</v>
      </c>
      <c r="AB467">
        <v>347.77</v>
      </c>
      <c r="AC467">
        <v>306</v>
      </c>
      <c r="AD467">
        <v>0</v>
      </c>
      <c r="AE467">
        <v>41.78</v>
      </c>
      <c r="AF467">
        <v>0</v>
      </c>
      <c r="AG467">
        <v>0</v>
      </c>
      <c r="AH467">
        <v>0</v>
      </c>
      <c r="AI467">
        <v>62.6</v>
      </c>
      <c r="AJ467">
        <v>347.78</v>
      </c>
      <c r="AK467">
        <v>0.01</v>
      </c>
      <c r="AL467" t="s">
        <v>53</v>
      </c>
      <c r="AM467" t="s">
        <v>53</v>
      </c>
      <c r="AN467" t="s">
        <v>68</v>
      </c>
      <c r="AO467" t="s">
        <v>53</v>
      </c>
      <c r="AP467" t="s">
        <v>53</v>
      </c>
    </row>
    <row r="468" spans="2:42" x14ac:dyDescent="0.2">
      <c r="B468" t="s">
        <v>44</v>
      </c>
      <c r="C468" t="str">
        <f>HYPERLINK("https://us2.cloudbeds.com/connect/8493803454333002#/reservations/598594633952?display=E1GFS2NS&amp;reservation_id=598594633952", "E1GFS2NS")</f>
        <v>E1GFS2NS</v>
      </c>
      <c r="D468" t="s">
        <v>45</v>
      </c>
      <c r="E468" t="s">
        <v>113</v>
      </c>
      <c r="F468" t="s">
        <v>61</v>
      </c>
      <c r="G468" t="s">
        <v>48</v>
      </c>
      <c r="H468" t="s">
        <v>71</v>
      </c>
      <c r="I468" t="s">
        <v>72</v>
      </c>
      <c r="J468" t="s">
        <v>106</v>
      </c>
      <c r="K468" t="s">
        <v>107</v>
      </c>
      <c r="L468" t="s">
        <v>53</v>
      </c>
      <c r="N468" t="s">
        <v>1051</v>
      </c>
      <c r="P468" t="s">
        <v>55</v>
      </c>
      <c r="R468" t="s">
        <v>56</v>
      </c>
      <c r="T468" t="s">
        <v>1036</v>
      </c>
      <c r="U468" t="s">
        <v>58</v>
      </c>
      <c r="V468">
        <v>2</v>
      </c>
      <c r="W468">
        <v>1</v>
      </c>
      <c r="X468">
        <v>1</v>
      </c>
      <c r="Y468">
        <v>0</v>
      </c>
      <c r="Z468">
        <v>1</v>
      </c>
      <c r="AA468">
        <v>0</v>
      </c>
      <c r="AB468">
        <v>331.86</v>
      </c>
      <c r="AC468">
        <v>292</v>
      </c>
      <c r="AD468">
        <v>0</v>
      </c>
      <c r="AE468">
        <v>39.86</v>
      </c>
      <c r="AF468">
        <v>0</v>
      </c>
      <c r="AG468">
        <v>0</v>
      </c>
      <c r="AH468">
        <v>0</v>
      </c>
      <c r="AI468">
        <v>0</v>
      </c>
      <c r="AJ468">
        <v>331.86</v>
      </c>
      <c r="AK468">
        <v>0</v>
      </c>
      <c r="AL468" t="s">
        <v>53</v>
      </c>
      <c r="AM468" t="s">
        <v>53</v>
      </c>
      <c r="AN468" t="s">
        <v>1052</v>
      </c>
      <c r="AO468" t="s">
        <v>53</v>
      </c>
      <c r="AP468" t="s">
        <v>53</v>
      </c>
    </row>
    <row r="469" spans="2:42" x14ac:dyDescent="0.2">
      <c r="B469" t="s">
        <v>44</v>
      </c>
      <c r="C469" t="str">
        <f>HYPERLINK("https://us2.cloudbeds.com/connect/8493803454333002#/reservations/598436188298?display=E1CE838D&amp;reservation_id=598436188298", "E1CE838D")</f>
        <v>E1CE838D</v>
      </c>
      <c r="D469" t="s">
        <v>45</v>
      </c>
      <c r="E469" t="s">
        <v>373</v>
      </c>
      <c r="F469" t="s">
        <v>47</v>
      </c>
      <c r="G469" t="s">
        <v>48</v>
      </c>
      <c r="H469" t="s">
        <v>49</v>
      </c>
      <c r="I469" t="s">
        <v>79</v>
      </c>
      <c r="J469" t="s">
        <v>473</v>
      </c>
      <c r="K469" t="s">
        <v>557</v>
      </c>
      <c r="L469" t="s">
        <v>53</v>
      </c>
      <c r="N469" t="s">
        <v>1053</v>
      </c>
      <c r="P469" t="s">
        <v>55</v>
      </c>
      <c r="R469" t="s">
        <v>56</v>
      </c>
      <c r="T469" t="s">
        <v>1036</v>
      </c>
      <c r="U469" t="s">
        <v>58</v>
      </c>
      <c r="V469">
        <v>1</v>
      </c>
      <c r="W469">
        <v>1</v>
      </c>
      <c r="X469">
        <v>1</v>
      </c>
      <c r="Y469">
        <v>0</v>
      </c>
      <c r="Z469">
        <v>1</v>
      </c>
      <c r="AA469">
        <v>0</v>
      </c>
      <c r="AB469">
        <v>73.650000000000006</v>
      </c>
      <c r="AC469">
        <v>64.8</v>
      </c>
      <c r="AD469">
        <v>0</v>
      </c>
      <c r="AE469">
        <v>8.85</v>
      </c>
      <c r="AF469">
        <v>0</v>
      </c>
      <c r="AG469">
        <v>0</v>
      </c>
      <c r="AH469">
        <v>0</v>
      </c>
      <c r="AI469">
        <v>0</v>
      </c>
      <c r="AJ469">
        <v>73.650000000000006</v>
      </c>
      <c r="AK469">
        <v>0</v>
      </c>
      <c r="AL469" t="s">
        <v>53</v>
      </c>
      <c r="AM469" t="s">
        <v>53</v>
      </c>
      <c r="AN469" t="s">
        <v>413</v>
      </c>
      <c r="AO469" t="s">
        <v>53</v>
      </c>
      <c r="AP469" t="s">
        <v>53</v>
      </c>
    </row>
    <row r="470" spans="2:42" x14ac:dyDescent="0.2">
      <c r="B470" t="s">
        <v>44</v>
      </c>
      <c r="C470" t="str">
        <f>HYPERLINK("https://us2.cloudbeds.com/connect/8493803454333002#/reservations/598087356549?display=E13H3B8A&amp;reservation_id=598087356549", "E13H3B8A")</f>
        <v>E13H3B8A</v>
      </c>
      <c r="D470" t="s">
        <v>45</v>
      </c>
      <c r="E470" t="s">
        <v>105</v>
      </c>
      <c r="F470" t="s">
        <v>47</v>
      </c>
      <c r="G470" t="s">
        <v>48</v>
      </c>
      <c r="H470" t="s">
        <v>49</v>
      </c>
      <c r="I470" t="s">
        <v>50</v>
      </c>
      <c r="J470" t="s">
        <v>473</v>
      </c>
      <c r="K470" t="s">
        <v>557</v>
      </c>
      <c r="L470" t="s">
        <v>53</v>
      </c>
      <c r="N470" t="s">
        <v>1054</v>
      </c>
      <c r="P470" t="s">
        <v>55</v>
      </c>
      <c r="R470" t="s">
        <v>56</v>
      </c>
      <c r="T470" t="s">
        <v>1036</v>
      </c>
      <c r="U470" t="s">
        <v>58</v>
      </c>
      <c r="V470">
        <v>1</v>
      </c>
      <c r="W470">
        <v>1</v>
      </c>
      <c r="X470">
        <v>1</v>
      </c>
      <c r="Y470">
        <v>0</v>
      </c>
      <c r="Z470">
        <v>1</v>
      </c>
      <c r="AA470">
        <v>0</v>
      </c>
      <c r="AB470">
        <v>81.83</v>
      </c>
      <c r="AC470">
        <v>72</v>
      </c>
      <c r="AD470">
        <v>0</v>
      </c>
      <c r="AE470">
        <v>9.83</v>
      </c>
      <c r="AF470">
        <v>0</v>
      </c>
      <c r="AG470">
        <v>0</v>
      </c>
      <c r="AH470">
        <v>0</v>
      </c>
      <c r="AI470">
        <v>14.73</v>
      </c>
      <c r="AJ470">
        <v>81.83</v>
      </c>
      <c r="AK470">
        <v>0</v>
      </c>
      <c r="AL470" t="s">
        <v>53</v>
      </c>
      <c r="AM470" t="s">
        <v>53</v>
      </c>
      <c r="AN470" t="s">
        <v>97</v>
      </c>
      <c r="AO470" t="s">
        <v>53</v>
      </c>
      <c r="AP470" t="s">
        <v>53</v>
      </c>
    </row>
    <row r="471" spans="2:42" x14ac:dyDescent="0.2">
      <c r="B471" t="s">
        <v>44</v>
      </c>
      <c r="C471" t="str">
        <f>HYPERLINK("https://us2.cloudbeds.com/connect/8493803454333002#/reservations/598512091365?display=E1EC871B&amp;reservation_id=598512091365", "E1EC871B")</f>
        <v>E1EC871B</v>
      </c>
      <c r="D471" t="s">
        <v>45</v>
      </c>
      <c r="E471" t="s">
        <v>138</v>
      </c>
      <c r="F471" t="s">
        <v>70</v>
      </c>
      <c r="G471" t="s">
        <v>48</v>
      </c>
      <c r="H471" t="s">
        <v>49</v>
      </c>
      <c r="I471" t="s">
        <v>50</v>
      </c>
      <c r="J471" t="s">
        <v>844</v>
      </c>
      <c r="K471" t="s">
        <v>115</v>
      </c>
      <c r="L471" t="s">
        <v>53</v>
      </c>
      <c r="N471" t="s">
        <v>1055</v>
      </c>
      <c r="P471" t="s">
        <v>55</v>
      </c>
      <c r="R471" t="s">
        <v>56</v>
      </c>
      <c r="T471" t="s">
        <v>1056</v>
      </c>
      <c r="U471" t="s">
        <v>58</v>
      </c>
      <c r="V471">
        <v>1</v>
      </c>
      <c r="W471">
        <v>1</v>
      </c>
      <c r="X471">
        <v>1</v>
      </c>
      <c r="Y471">
        <v>0</v>
      </c>
      <c r="Z471">
        <v>1</v>
      </c>
      <c r="AA471">
        <v>0</v>
      </c>
      <c r="AB471">
        <v>75.69</v>
      </c>
      <c r="AC471">
        <v>66.599999999999994</v>
      </c>
      <c r="AD471">
        <v>0</v>
      </c>
      <c r="AE471">
        <v>9.09</v>
      </c>
      <c r="AF471">
        <v>0</v>
      </c>
      <c r="AG471">
        <v>0</v>
      </c>
      <c r="AH471">
        <v>0</v>
      </c>
      <c r="AI471">
        <v>13.62</v>
      </c>
      <c r="AJ471">
        <v>75.69</v>
      </c>
      <c r="AK471">
        <v>0</v>
      </c>
      <c r="AL471" t="s">
        <v>53</v>
      </c>
      <c r="AM471" t="s">
        <v>53</v>
      </c>
      <c r="AN471" t="s">
        <v>280</v>
      </c>
      <c r="AO471" t="s">
        <v>53</v>
      </c>
      <c r="AP471" t="s">
        <v>53</v>
      </c>
    </row>
    <row r="472" spans="2:42" x14ac:dyDescent="0.2">
      <c r="B472" t="s">
        <v>44</v>
      </c>
      <c r="C472" t="str">
        <f>HYPERLINK("https://us2.cloudbeds.com/connect/8493803454333002#/reservations/598048755905?display=E12HX3JY&amp;reservation_id=598048755905", "E12HX3JY")</f>
        <v>E12HX3JY</v>
      </c>
      <c r="D472" t="s">
        <v>45</v>
      </c>
      <c r="E472" t="s">
        <v>190</v>
      </c>
      <c r="F472" t="s">
        <v>61</v>
      </c>
      <c r="G472" t="s">
        <v>48</v>
      </c>
      <c r="H472" t="s">
        <v>71</v>
      </c>
      <c r="I472" t="s">
        <v>72</v>
      </c>
      <c r="J472" t="s">
        <v>557</v>
      </c>
      <c r="K472" t="s">
        <v>798</v>
      </c>
      <c r="L472" t="s">
        <v>53</v>
      </c>
      <c r="N472" t="s">
        <v>1057</v>
      </c>
      <c r="P472" t="s">
        <v>55</v>
      </c>
      <c r="R472" t="s">
        <v>56</v>
      </c>
      <c r="T472" t="s">
        <v>1056</v>
      </c>
      <c r="U472" t="s">
        <v>58</v>
      </c>
      <c r="V472">
        <v>1</v>
      </c>
      <c r="W472">
        <v>1</v>
      </c>
      <c r="X472">
        <v>1</v>
      </c>
      <c r="Y472">
        <v>0</v>
      </c>
      <c r="Z472">
        <v>1</v>
      </c>
      <c r="AA472">
        <v>0</v>
      </c>
      <c r="AB472">
        <v>90.92</v>
      </c>
      <c r="AC472">
        <v>80</v>
      </c>
      <c r="AD472">
        <v>0</v>
      </c>
      <c r="AE472">
        <v>10.92</v>
      </c>
      <c r="AF472">
        <v>0</v>
      </c>
      <c r="AG472">
        <v>0</v>
      </c>
      <c r="AH472">
        <v>0</v>
      </c>
      <c r="AI472">
        <v>0</v>
      </c>
      <c r="AJ472">
        <v>90.92</v>
      </c>
      <c r="AK472">
        <v>0</v>
      </c>
      <c r="AL472" t="s">
        <v>53</v>
      </c>
      <c r="AM472" t="s">
        <v>53</v>
      </c>
      <c r="AN472" t="s">
        <v>378</v>
      </c>
      <c r="AO472" t="s">
        <v>53</v>
      </c>
      <c r="AP472" t="s">
        <v>53</v>
      </c>
    </row>
    <row r="473" spans="2:42" x14ac:dyDescent="0.2">
      <c r="B473" t="s">
        <v>44</v>
      </c>
      <c r="C473" t="str">
        <f>HYPERLINK("https://us2.cloudbeds.com/connect/8493803454333002#/reservations/598518718706?display=E1EHRKZS&amp;reservation_id=598518718706", "E1EHRKZS")</f>
        <v>E1EHRKZS</v>
      </c>
      <c r="D473" t="s">
        <v>45</v>
      </c>
      <c r="E473" t="s">
        <v>69</v>
      </c>
      <c r="F473" t="s">
        <v>70</v>
      </c>
      <c r="G473" t="s">
        <v>48</v>
      </c>
      <c r="H473" t="s">
        <v>49</v>
      </c>
      <c r="I473" t="s">
        <v>50</v>
      </c>
      <c r="J473" t="s">
        <v>586</v>
      </c>
      <c r="K473" t="s">
        <v>833</v>
      </c>
      <c r="L473" t="s">
        <v>53</v>
      </c>
      <c r="N473" t="s">
        <v>1058</v>
      </c>
      <c r="P473" t="s">
        <v>55</v>
      </c>
      <c r="R473" t="s">
        <v>56</v>
      </c>
      <c r="T473" t="s">
        <v>1056</v>
      </c>
      <c r="U473" t="s">
        <v>58</v>
      </c>
      <c r="V473">
        <v>1</v>
      </c>
      <c r="W473">
        <v>1</v>
      </c>
      <c r="X473">
        <v>1</v>
      </c>
      <c r="Y473">
        <v>0</v>
      </c>
      <c r="Z473">
        <v>1</v>
      </c>
      <c r="AA473">
        <v>0</v>
      </c>
      <c r="AB473">
        <v>70.58</v>
      </c>
      <c r="AC473">
        <v>62.1</v>
      </c>
      <c r="AD473">
        <v>0</v>
      </c>
      <c r="AE473">
        <v>8.4700000000000006</v>
      </c>
      <c r="AF473">
        <v>0</v>
      </c>
      <c r="AG473">
        <v>0</v>
      </c>
      <c r="AH473">
        <v>0</v>
      </c>
      <c r="AI473">
        <v>12.7</v>
      </c>
      <c r="AJ473">
        <v>70.569999999999993</v>
      </c>
      <c r="AK473">
        <v>-0.01</v>
      </c>
      <c r="AL473" t="s">
        <v>53</v>
      </c>
      <c r="AM473" t="s">
        <v>53</v>
      </c>
      <c r="AN473" t="s">
        <v>112</v>
      </c>
      <c r="AO473" t="s">
        <v>53</v>
      </c>
      <c r="AP473" t="s">
        <v>53</v>
      </c>
    </row>
    <row r="474" spans="2:42" x14ac:dyDescent="0.2">
      <c r="B474" t="s">
        <v>44</v>
      </c>
      <c r="C474" t="str">
        <f>HYPERLINK("https://us2.cloudbeds.com/connect/8493803454333002#/reservations/598566699230?display=E1FP9P03&amp;reservation_id=598566699230", "E1FP9P03")</f>
        <v>E1FP9P03</v>
      </c>
      <c r="D474" t="s">
        <v>45</v>
      </c>
      <c r="E474" t="s">
        <v>373</v>
      </c>
      <c r="F474" t="s">
        <v>47</v>
      </c>
      <c r="G474" t="s">
        <v>48</v>
      </c>
      <c r="H474" t="s">
        <v>49</v>
      </c>
      <c r="I474" t="s">
        <v>50</v>
      </c>
      <c r="J474" t="s">
        <v>181</v>
      </c>
      <c r="K474" t="s">
        <v>122</v>
      </c>
      <c r="L474" t="s">
        <v>53</v>
      </c>
      <c r="N474" t="s">
        <v>1059</v>
      </c>
      <c r="P474" t="s">
        <v>55</v>
      </c>
      <c r="R474" t="s">
        <v>56</v>
      </c>
      <c r="T474" t="s">
        <v>1056</v>
      </c>
      <c r="U474" t="s">
        <v>58</v>
      </c>
      <c r="V474">
        <v>1</v>
      </c>
      <c r="W474">
        <v>1</v>
      </c>
      <c r="X474">
        <v>1</v>
      </c>
      <c r="Y474">
        <v>0</v>
      </c>
      <c r="Z474">
        <v>1</v>
      </c>
      <c r="AA474">
        <v>0</v>
      </c>
      <c r="AB474">
        <v>141.15</v>
      </c>
      <c r="AC474">
        <v>124.2</v>
      </c>
      <c r="AD474">
        <v>0</v>
      </c>
      <c r="AE474">
        <v>16.95</v>
      </c>
      <c r="AF474">
        <v>0</v>
      </c>
      <c r="AG474">
        <v>0</v>
      </c>
      <c r="AH474">
        <v>0</v>
      </c>
      <c r="AI474">
        <v>25.41</v>
      </c>
      <c r="AJ474">
        <v>141.15</v>
      </c>
      <c r="AK474">
        <v>0</v>
      </c>
      <c r="AL474" t="s">
        <v>53</v>
      </c>
      <c r="AM474" t="s">
        <v>53</v>
      </c>
      <c r="AN474" t="s">
        <v>316</v>
      </c>
      <c r="AO474" t="s">
        <v>53</v>
      </c>
      <c r="AP474" t="s">
        <v>53</v>
      </c>
    </row>
    <row r="475" spans="2:42" x14ac:dyDescent="0.2">
      <c r="B475" t="s">
        <v>44</v>
      </c>
      <c r="C475" t="str">
        <f>HYPERLINK("https://us2.cloudbeds.com/connect/8493803454333002#/reservations/598561931500?display=E1FY92UE&amp;reservation_id=598561931500", "E1FY92UE")</f>
        <v>E1FY92UE</v>
      </c>
      <c r="D475" t="s">
        <v>45</v>
      </c>
      <c r="E475" t="s">
        <v>223</v>
      </c>
      <c r="F475" t="s">
        <v>47</v>
      </c>
      <c r="G475" t="s">
        <v>48</v>
      </c>
      <c r="H475" t="s">
        <v>49</v>
      </c>
      <c r="I475" t="s">
        <v>50</v>
      </c>
      <c r="J475" t="s">
        <v>181</v>
      </c>
      <c r="K475" t="s">
        <v>122</v>
      </c>
      <c r="L475" t="s">
        <v>53</v>
      </c>
      <c r="N475" t="s">
        <v>1060</v>
      </c>
      <c r="P475" t="s">
        <v>55</v>
      </c>
      <c r="R475" t="s">
        <v>56</v>
      </c>
      <c r="T475" t="s">
        <v>1056</v>
      </c>
      <c r="U475" t="s">
        <v>58</v>
      </c>
      <c r="V475">
        <v>1</v>
      </c>
      <c r="W475">
        <v>1</v>
      </c>
      <c r="X475">
        <v>1</v>
      </c>
      <c r="Y475">
        <v>0</v>
      </c>
      <c r="Z475">
        <v>1</v>
      </c>
      <c r="AA475">
        <v>0</v>
      </c>
      <c r="AB475">
        <v>141.15</v>
      </c>
      <c r="AC475">
        <v>124.2</v>
      </c>
      <c r="AD475">
        <v>0</v>
      </c>
      <c r="AE475">
        <v>16.95</v>
      </c>
      <c r="AF475">
        <v>0</v>
      </c>
      <c r="AG475">
        <v>0</v>
      </c>
      <c r="AH475">
        <v>0</v>
      </c>
      <c r="AI475">
        <v>25.41</v>
      </c>
      <c r="AJ475">
        <v>141.15</v>
      </c>
      <c r="AK475">
        <v>0</v>
      </c>
      <c r="AL475" t="s">
        <v>53</v>
      </c>
      <c r="AM475" t="s">
        <v>53</v>
      </c>
      <c r="AN475" t="s">
        <v>59</v>
      </c>
      <c r="AO475" t="s">
        <v>53</v>
      </c>
      <c r="AP475" t="s">
        <v>53</v>
      </c>
    </row>
    <row r="476" spans="2:42" x14ac:dyDescent="0.2">
      <c r="B476" t="s">
        <v>44</v>
      </c>
      <c r="C476" t="str">
        <f>HYPERLINK("https://us2.cloudbeds.com/connect/8493803454333002#/reservations/598272561286?display=E1888UT3&amp;reservation_id=598272561286", "E1888UT3")</f>
        <v>E1888UT3</v>
      </c>
      <c r="D476" t="s">
        <v>45</v>
      </c>
      <c r="E476" t="s">
        <v>128</v>
      </c>
      <c r="F476" t="s">
        <v>86</v>
      </c>
      <c r="G476" t="s">
        <v>48</v>
      </c>
      <c r="H476" t="s">
        <v>49</v>
      </c>
      <c r="I476" t="s">
        <v>50</v>
      </c>
      <c r="J476" t="s">
        <v>181</v>
      </c>
      <c r="K476" t="s">
        <v>123</v>
      </c>
      <c r="L476" t="s">
        <v>53</v>
      </c>
      <c r="N476" t="s">
        <v>1061</v>
      </c>
      <c r="P476" t="s">
        <v>55</v>
      </c>
      <c r="R476" t="s">
        <v>56</v>
      </c>
      <c r="T476" t="s">
        <v>1056</v>
      </c>
      <c r="U476" t="s">
        <v>58</v>
      </c>
      <c r="V476">
        <v>2</v>
      </c>
      <c r="W476">
        <v>1</v>
      </c>
      <c r="X476">
        <v>1</v>
      </c>
      <c r="Y476">
        <v>0</v>
      </c>
      <c r="Z476">
        <v>1</v>
      </c>
      <c r="AA476">
        <v>0</v>
      </c>
      <c r="AB476">
        <v>319.13</v>
      </c>
      <c r="AC476">
        <v>280.8</v>
      </c>
      <c r="AD476">
        <v>0</v>
      </c>
      <c r="AE476">
        <v>38.32</v>
      </c>
      <c r="AF476">
        <v>0</v>
      </c>
      <c r="AG476">
        <v>0</v>
      </c>
      <c r="AH476">
        <v>0</v>
      </c>
      <c r="AI476">
        <v>57.44</v>
      </c>
      <c r="AJ476">
        <v>319.12</v>
      </c>
      <c r="AK476">
        <v>-0.01</v>
      </c>
      <c r="AL476" t="s">
        <v>53</v>
      </c>
      <c r="AM476" t="s">
        <v>53</v>
      </c>
      <c r="AN476" t="s">
        <v>198</v>
      </c>
      <c r="AO476" t="s">
        <v>53</v>
      </c>
      <c r="AP476" t="s">
        <v>53</v>
      </c>
    </row>
    <row r="477" spans="2:42" x14ac:dyDescent="0.2">
      <c r="B477" t="s">
        <v>44</v>
      </c>
      <c r="C477" t="str">
        <f>HYPERLINK("https://us2.cloudbeds.com/connect/8493803454333002#/reservations/598334210198?display=E19R8DEV&amp;reservation_id=598334210198", "E19R8DEV")</f>
        <v>E19R8DEV</v>
      </c>
      <c r="D477" t="s">
        <v>45</v>
      </c>
      <c r="E477" t="s">
        <v>774</v>
      </c>
      <c r="F477" t="s">
        <v>47</v>
      </c>
      <c r="G477" t="s">
        <v>48</v>
      </c>
      <c r="H477" t="s">
        <v>49</v>
      </c>
      <c r="I477" t="s">
        <v>62</v>
      </c>
      <c r="J477" t="s">
        <v>289</v>
      </c>
      <c r="K477" t="s">
        <v>568</v>
      </c>
      <c r="L477" t="s">
        <v>53</v>
      </c>
      <c r="N477" t="s">
        <v>1062</v>
      </c>
      <c r="P477" t="s">
        <v>55</v>
      </c>
      <c r="R477" t="s">
        <v>56</v>
      </c>
      <c r="T477" t="s">
        <v>1056</v>
      </c>
      <c r="U477" t="s">
        <v>58</v>
      </c>
      <c r="V477">
        <v>2</v>
      </c>
      <c r="W477">
        <v>2</v>
      </c>
      <c r="X477">
        <v>2</v>
      </c>
      <c r="Y477">
        <v>0</v>
      </c>
      <c r="Z477">
        <v>2</v>
      </c>
      <c r="AA477">
        <v>0</v>
      </c>
      <c r="AB477">
        <v>306.86</v>
      </c>
      <c r="AC477">
        <v>270</v>
      </c>
      <c r="AD477">
        <v>0</v>
      </c>
      <c r="AE477">
        <v>36.880000000000003</v>
      </c>
      <c r="AF477">
        <v>0</v>
      </c>
      <c r="AG477">
        <v>0</v>
      </c>
      <c r="AH477">
        <v>0</v>
      </c>
      <c r="AI477">
        <v>46.03</v>
      </c>
      <c r="AJ477">
        <v>306.88</v>
      </c>
      <c r="AK477">
        <v>0.02</v>
      </c>
      <c r="AL477" t="s">
        <v>53</v>
      </c>
      <c r="AM477" t="s">
        <v>53</v>
      </c>
      <c r="AN477" t="s">
        <v>112</v>
      </c>
      <c r="AO477" t="s">
        <v>53</v>
      </c>
      <c r="AP477" t="s">
        <v>53</v>
      </c>
    </row>
    <row r="478" spans="2:42" x14ac:dyDescent="0.2">
      <c r="B478" t="s">
        <v>44</v>
      </c>
      <c r="C478" t="str">
        <f>HYPERLINK("https://us2.cloudbeds.com/connect/8493803454333002#/reservations/598068019349?display=E130Q8DJ&amp;reservation_id=598068019349", "E130Q8DJ")</f>
        <v>E130Q8DJ</v>
      </c>
      <c r="D478" t="s">
        <v>45</v>
      </c>
      <c r="E478" t="s">
        <v>98</v>
      </c>
      <c r="F478" t="s">
        <v>86</v>
      </c>
      <c r="G478" t="s">
        <v>48</v>
      </c>
      <c r="H478" t="s">
        <v>71</v>
      </c>
      <c r="I478" t="s">
        <v>72</v>
      </c>
      <c r="J478" t="s">
        <v>557</v>
      </c>
      <c r="K478" t="s">
        <v>798</v>
      </c>
      <c r="L478" t="s">
        <v>53</v>
      </c>
      <c r="N478" t="s">
        <v>1063</v>
      </c>
      <c r="P478" t="s">
        <v>55</v>
      </c>
      <c r="R478" t="s">
        <v>56</v>
      </c>
      <c r="T478" t="s">
        <v>1056</v>
      </c>
      <c r="U478" t="s">
        <v>58</v>
      </c>
      <c r="V478">
        <v>1</v>
      </c>
      <c r="W478">
        <v>1</v>
      </c>
      <c r="X478">
        <v>1</v>
      </c>
      <c r="Y478">
        <v>0</v>
      </c>
      <c r="Z478">
        <v>1</v>
      </c>
      <c r="AA478">
        <v>0</v>
      </c>
      <c r="AB478">
        <v>102.29</v>
      </c>
      <c r="AC478">
        <v>90</v>
      </c>
      <c r="AD478">
        <v>0</v>
      </c>
      <c r="AE478">
        <v>12.29</v>
      </c>
      <c r="AF478">
        <v>0</v>
      </c>
      <c r="AG478">
        <v>0</v>
      </c>
      <c r="AH478">
        <v>0</v>
      </c>
      <c r="AI478">
        <v>0</v>
      </c>
      <c r="AJ478">
        <v>102.29</v>
      </c>
      <c r="AK478">
        <v>0</v>
      </c>
      <c r="AL478" t="s">
        <v>53</v>
      </c>
      <c r="AM478" t="s">
        <v>53</v>
      </c>
      <c r="AN478" t="s">
        <v>378</v>
      </c>
      <c r="AO478" t="s">
        <v>53</v>
      </c>
      <c r="AP478" t="s">
        <v>53</v>
      </c>
    </row>
    <row r="479" spans="2:42" x14ac:dyDescent="0.2">
      <c r="B479" t="s">
        <v>44</v>
      </c>
      <c r="C479" t="str">
        <f>HYPERLINK("https://us2.cloudbeds.com/connect/8493803454333002#/reservations/598393626754?display=E1BBBP3Y&amp;reservation_id=598393626754", "E1BBBP3Y")</f>
        <v>E1BBBP3Y</v>
      </c>
      <c r="D479" t="s">
        <v>45</v>
      </c>
      <c r="E479" t="s">
        <v>190</v>
      </c>
      <c r="F479" t="s">
        <v>61</v>
      </c>
      <c r="G479" t="s">
        <v>48</v>
      </c>
      <c r="H479" t="s">
        <v>49</v>
      </c>
      <c r="I479" t="s">
        <v>62</v>
      </c>
      <c r="J479" t="s">
        <v>714</v>
      </c>
      <c r="K479" t="s">
        <v>705</v>
      </c>
      <c r="L479" t="s">
        <v>53</v>
      </c>
      <c r="N479" t="s">
        <v>1064</v>
      </c>
      <c r="P479" t="s">
        <v>55</v>
      </c>
      <c r="R479" t="s">
        <v>56</v>
      </c>
      <c r="T479" t="s">
        <v>1065</v>
      </c>
      <c r="U479" t="s">
        <v>58</v>
      </c>
      <c r="V479">
        <v>1</v>
      </c>
      <c r="W479">
        <v>1</v>
      </c>
      <c r="X479">
        <v>1</v>
      </c>
      <c r="Y479">
        <v>0</v>
      </c>
      <c r="Z479">
        <v>1</v>
      </c>
      <c r="AA479">
        <v>0</v>
      </c>
      <c r="AB479">
        <v>100.01</v>
      </c>
      <c r="AC479">
        <v>88</v>
      </c>
      <c r="AD479">
        <v>0</v>
      </c>
      <c r="AE479">
        <v>12.01</v>
      </c>
      <c r="AF479">
        <v>0</v>
      </c>
      <c r="AG479">
        <v>0</v>
      </c>
      <c r="AH479">
        <v>0</v>
      </c>
      <c r="AI479">
        <v>15</v>
      </c>
      <c r="AJ479">
        <v>100.01</v>
      </c>
      <c r="AK479">
        <v>0</v>
      </c>
      <c r="AL479" t="s">
        <v>53</v>
      </c>
      <c r="AM479" t="s">
        <v>53</v>
      </c>
      <c r="AN479" t="s">
        <v>104</v>
      </c>
      <c r="AO479" t="s">
        <v>53</v>
      </c>
      <c r="AP479" t="s">
        <v>53</v>
      </c>
    </row>
    <row r="480" spans="2:42" x14ac:dyDescent="0.2">
      <c r="B480" t="s">
        <v>44</v>
      </c>
      <c r="C480" t="str">
        <f>HYPERLINK("https://us2.cloudbeds.com/connect/8493803454333002#/reservations/598408753311?display=E1BZ3ME5&amp;reservation_id=598408753311", "E1BZ3ME5")</f>
        <v>E1BZ3ME5</v>
      </c>
      <c r="D480" t="s">
        <v>45</v>
      </c>
      <c r="E480" t="s">
        <v>373</v>
      </c>
      <c r="F480" t="s">
        <v>47</v>
      </c>
      <c r="G480" t="s">
        <v>48</v>
      </c>
      <c r="H480" t="s">
        <v>49</v>
      </c>
      <c r="I480" t="s">
        <v>50</v>
      </c>
      <c r="J480" t="s">
        <v>798</v>
      </c>
      <c r="K480" t="s">
        <v>1039</v>
      </c>
      <c r="L480" t="s">
        <v>53</v>
      </c>
      <c r="N480" t="s">
        <v>1066</v>
      </c>
      <c r="P480" t="s">
        <v>55</v>
      </c>
      <c r="R480" t="s">
        <v>56</v>
      </c>
      <c r="T480" t="s">
        <v>1065</v>
      </c>
      <c r="U480" t="s">
        <v>58</v>
      </c>
      <c r="V480">
        <v>1</v>
      </c>
      <c r="W480">
        <v>1</v>
      </c>
      <c r="X480">
        <v>1</v>
      </c>
      <c r="Y480">
        <v>0</v>
      </c>
      <c r="Z480">
        <v>1</v>
      </c>
      <c r="AA480">
        <v>0</v>
      </c>
      <c r="AB480">
        <v>76.709999999999994</v>
      </c>
      <c r="AC480">
        <v>67.5</v>
      </c>
      <c r="AD480">
        <v>0</v>
      </c>
      <c r="AE480">
        <v>9.2100000000000009</v>
      </c>
      <c r="AF480">
        <v>0</v>
      </c>
      <c r="AG480">
        <v>0</v>
      </c>
      <c r="AH480">
        <v>0</v>
      </c>
      <c r="AI480">
        <v>13.81</v>
      </c>
      <c r="AJ480">
        <v>76.709999999999994</v>
      </c>
      <c r="AK480">
        <v>0</v>
      </c>
      <c r="AL480" t="s">
        <v>53</v>
      </c>
      <c r="AM480" t="s">
        <v>53</v>
      </c>
      <c r="AN480" t="s">
        <v>225</v>
      </c>
      <c r="AO480" t="s">
        <v>53</v>
      </c>
      <c r="AP480" t="s">
        <v>53</v>
      </c>
    </row>
    <row r="481" spans="2:42" x14ac:dyDescent="0.2">
      <c r="B481" t="s">
        <v>44</v>
      </c>
      <c r="C481" t="str">
        <f>HYPERLINK("https://us2.cloudbeds.com/connect/8493803454333002#/reservations/598529966226?display=E1ERAK1P&amp;reservation_id=598529966226", "E1ERAK1P")</f>
        <v>E1ERAK1P</v>
      </c>
      <c r="D481" t="s">
        <v>45</v>
      </c>
      <c r="E481" t="s">
        <v>223</v>
      </c>
      <c r="F481" t="s">
        <v>47</v>
      </c>
      <c r="G481" t="s">
        <v>48</v>
      </c>
      <c r="H481" t="s">
        <v>49</v>
      </c>
      <c r="I481" t="s">
        <v>50</v>
      </c>
      <c r="J481" t="s">
        <v>144</v>
      </c>
      <c r="K481" t="s">
        <v>333</v>
      </c>
      <c r="L481" t="s">
        <v>53</v>
      </c>
      <c r="N481" t="s">
        <v>1067</v>
      </c>
      <c r="P481" t="s">
        <v>55</v>
      </c>
      <c r="R481" t="s">
        <v>56</v>
      </c>
      <c r="T481" t="s">
        <v>1065</v>
      </c>
      <c r="U481" t="s">
        <v>58</v>
      </c>
      <c r="V481">
        <v>3</v>
      </c>
      <c r="W481">
        <v>1</v>
      </c>
      <c r="X481">
        <v>1</v>
      </c>
      <c r="Y481">
        <v>0</v>
      </c>
      <c r="Z481">
        <v>1</v>
      </c>
      <c r="AA481">
        <v>0</v>
      </c>
      <c r="AB481">
        <v>464.37</v>
      </c>
      <c r="AC481">
        <v>408.6</v>
      </c>
      <c r="AD481">
        <v>0</v>
      </c>
      <c r="AE481">
        <v>55.77</v>
      </c>
      <c r="AF481">
        <v>0</v>
      </c>
      <c r="AG481">
        <v>0</v>
      </c>
      <c r="AH481">
        <v>0</v>
      </c>
      <c r="AI481">
        <v>83.59</v>
      </c>
      <c r="AJ481">
        <v>464.37</v>
      </c>
      <c r="AK481">
        <v>0</v>
      </c>
      <c r="AL481" t="s">
        <v>53</v>
      </c>
      <c r="AM481" t="s">
        <v>53</v>
      </c>
      <c r="AN481" t="s">
        <v>280</v>
      </c>
      <c r="AO481" t="s">
        <v>53</v>
      </c>
      <c r="AP481" t="s">
        <v>53</v>
      </c>
    </row>
    <row r="482" spans="2:42" x14ac:dyDescent="0.2">
      <c r="B482" t="s">
        <v>44</v>
      </c>
      <c r="C482" t="str">
        <f>HYPERLINK("https://us2.cloudbeds.com/connect/8493803454333002#/reservations/598159175890?display=E15BYR20&amp;reservation_id=598159175890", "E15BYR20")</f>
        <v>E15BYR20</v>
      </c>
      <c r="D482" t="s">
        <v>45</v>
      </c>
      <c r="E482" t="s">
        <v>128</v>
      </c>
      <c r="F482" t="s">
        <v>86</v>
      </c>
      <c r="G482" t="s">
        <v>48</v>
      </c>
      <c r="H482" t="s">
        <v>49</v>
      </c>
      <c r="I482" t="s">
        <v>114</v>
      </c>
      <c r="J482" t="s">
        <v>192</v>
      </c>
      <c r="K482" t="s">
        <v>1068</v>
      </c>
      <c r="L482" t="s">
        <v>53</v>
      </c>
      <c r="N482" t="s">
        <v>1069</v>
      </c>
      <c r="P482" t="s">
        <v>55</v>
      </c>
      <c r="R482" t="s">
        <v>56</v>
      </c>
      <c r="T482" t="s">
        <v>1065</v>
      </c>
      <c r="U482" t="s">
        <v>58</v>
      </c>
      <c r="V482">
        <v>1</v>
      </c>
      <c r="W482">
        <v>1</v>
      </c>
      <c r="X482">
        <v>1</v>
      </c>
      <c r="Y482">
        <v>0</v>
      </c>
      <c r="Z482">
        <v>1</v>
      </c>
      <c r="AA482">
        <v>0</v>
      </c>
      <c r="AB482">
        <v>127.29</v>
      </c>
      <c r="AC482">
        <v>112</v>
      </c>
      <c r="AD482">
        <v>0</v>
      </c>
      <c r="AE482">
        <v>15.29</v>
      </c>
      <c r="AF482">
        <v>0</v>
      </c>
      <c r="AG482">
        <v>0</v>
      </c>
      <c r="AH482">
        <v>0</v>
      </c>
      <c r="AI482">
        <v>0</v>
      </c>
      <c r="AJ482">
        <v>127.29</v>
      </c>
      <c r="AK482">
        <v>0</v>
      </c>
      <c r="AL482" t="s">
        <v>53</v>
      </c>
      <c r="AM482" t="s">
        <v>53</v>
      </c>
      <c r="AN482" t="s">
        <v>1070</v>
      </c>
      <c r="AO482" t="s">
        <v>53</v>
      </c>
      <c r="AP482" t="s">
        <v>53</v>
      </c>
    </row>
    <row r="483" spans="2:42" x14ac:dyDescent="0.2">
      <c r="B483" t="s">
        <v>44</v>
      </c>
      <c r="C483" t="str">
        <f>HYPERLINK("https://us2.cloudbeds.com/connect/8493803454333002#/reservations/598414442684?display=E1BSTWRD&amp;reservation_id=598414442684", "E1BSTWRD")</f>
        <v>E1BSTWRD</v>
      </c>
      <c r="D483" t="s">
        <v>45</v>
      </c>
      <c r="E483" t="s">
        <v>85</v>
      </c>
      <c r="F483" t="s">
        <v>86</v>
      </c>
      <c r="G483" t="s">
        <v>48</v>
      </c>
      <c r="H483" t="s">
        <v>49</v>
      </c>
      <c r="I483" t="s">
        <v>79</v>
      </c>
      <c r="J483" t="s">
        <v>586</v>
      </c>
      <c r="K483" t="s">
        <v>705</v>
      </c>
      <c r="L483" t="s">
        <v>53</v>
      </c>
      <c r="N483" t="s">
        <v>1071</v>
      </c>
      <c r="P483" t="s">
        <v>55</v>
      </c>
      <c r="R483" t="s">
        <v>56</v>
      </c>
      <c r="T483" t="s">
        <v>1065</v>
      </c>
      <c r="U483" t="s">
        <v>58</v>
      </c>
      <c r="V483">
        <v>3</v>
      </c>
      <c r="W483">
        <v>1</v>
      </c>
      <c r="X483">
        <v>1</v>
      </c>
      <c r="Y483">
        <v>0</v>
      </c>
      <c r="Z483">
        <v>1</v>
      </c>
      <c r="AA483">
        <v>0</v>
      </c>
      <c r="AB483">
        <v>311.97000000000003</v>
      </c>
      <c r="AC483">
        <v>274.5</v>
      </c>
      <c r="AD483">
        <v>0</v>
      </c>
      <c r="AE483">
        <v>37.44</v>
      </c>
      <c r="AF483">
        <v>0</v>
      </c>
      <c r="AG483">
        <v>0</v>
      </c>
      <c r="AH483">
        <v>0</v>
      </c>
      <c r="AI483">
        <v>0</v>
      </c>
      <c r="AJ483">
        <v>311.94</v>
      </c>
      <c r="AK483">
        <v>-0.03</v>
      </c>
      <c r="AL483" t="s">
        <v>53</v>
      </c>
      <c r="AM483" t="s">
        <v>53</v>
      </c>
      <c r="AN483" t="s">
        <v>1072</v>
      </c>
      <c r="AO483" t="s">
        <v>53</v>
      </c>
      <c r="AP483" t="s">
        <v>53</v>
      </c>
    </row>
    <row r="484" spans="2:42" x14ac:dyDescent="0.2">
      <c r="B484" t="s">
        <v>44</v>
      </c>
      <c r="C484" t="str">
        <f>HYPERLINK("https://us2.cloudbeds.com/connect/8493803454333002#/reservations/598534189208?display=E1EUT3TV&amp;reservation_id=598534189208", "E1EUT3TV")</f>
        <v>E1EUT3TV</v>
      </c>
      <c r="D484" t="s">
        <v>45</v>
      </c>
      <c r="E484" t="s">
        <v>69</v>
      </c>
      <c r="F484" t="s">
        <v>70</v>
      </c>
      <c r="G484" t="s">
        <v>48</v>
      </c>
      <c r="H484" t="s">
        <v>71</v>
      </c>
      <c r="I484" t="s">
        <v>72</v>
      </c>
      <c r="J484" t="s">
        <v>833</v>
      </c>
      <c r="K484" t="s">
        <v>714</v>
      </c>
      <c r="L484" t="s">
        <v>53</v>
      </c>
      <c r="N484" t="s">
        <v>1073</v>
      </c>
      <c r="P484" t="s">
        <v>55</v>
      </c>
      <c r="R484" t="s">
        <v>56</v>
      </c>
      <c r="T484" t="s">
        <v>1065</v>
      </c>
      <c r="U484" t="s">
        <v>58</v>
      </c>
      <c r="V484">
        <v>1</v>
      </c>
      <c r="W484">
        <v>1</v>
      </c>
      <c r="X484">
        <v>1</v>
      </c>
      <c r="Y484">
        <v>0</v>
      </c>
      <c r="Z484">
        <v>1</v>
      </c>
      <c r="AA484">
        <v>0</v>
      </c>
      <c r="AB484">
        <v>77.28</v>
      </c>
      <c r="AC484">
        <v>68</v>
      </c>
      <c r="AD484">
        <v>0</v>
      </c>
      <c r="AE484">
        <v>9.2799999999999994</v>
      </c>
      <c r="AF484">
        <v>0</v>
      </c>
      <c r="AG484">
        <v>0</v>
      </c>
      <c r="AH484">
        <v>0</v>
      </c>
      <c r="AI484">
        <v>0</v>
      </c>
      <c r="AJ484">
        <v>77.28</v>
      </c>
      <c r="AK484">
        <v>0</v>
      </c>
      <c r="AL484" t="s">
        <v>53</v>
      </c>
      <c r="AM484" t="s">
        <v>53</v>
      </c>
      <c r="AN484" t="s">
        <v>1074</v>
      </c>
      <c r="AO484" t="s">
        <v>53</v>
      </c>
      <c r="AP484" t="s">
        <v>53</v>
      </c>
    </row>
    <row r="485" spans="2:42" x14ac:dyDescent="0.2">
      <c r="B485" t="s">
        <v>44</v>
      </c>
      <c r="C485" t="str">
        <f>HYPERLINK("https://us2.cloudbeds.com/connect/8493803454333002#/reservations/598523728030?display=E1EM20MH&amp;reservation_id=598523728030", "E1EM20MH")</f>
        <v>E1EM20MH</v>
      </c>
      <c r="D485" t="s">
        <v>45</v>
      </c>
      <c r="E485" t="s">
        <v>1075</v>
      </c>
      <c r="F485" t="s">
        <v>1076</v>
      </c>
      <c r="G485" t="s">
        <v>48</v>
      </c>
      <c r="H485" t="s">
        <v>49</v>
      </c>
      <c r="I485" t="s">
        <v>62</v>
      </c>
      <c r="J485" t="s">
        <v>87</v>
      </c>
      <c r="K485" t="s">
        <v>327</v>
      </c>
      <c r="L485" t="s">
        <v>53</v>
      </c>
      <c r="N485" t="s">
        <v>1077</v>
      </c>
      <c r="P485" t="s">
        <v>55</v>
      </c>
      <c r="R485" t="s">
        <v>125</v>
      </c>
      <c r="T485" t="s">
        <v>1065</v>
      </c>
      <c r="U485" t="s">
        <v>58</v>
      </c>
      <c r="V485">
        <v>4</v>
      </c>
      <c r="W485">
        <v>2</v>
      </c>
      <c r="X485">
        <v>2</v>
      </c>
      <c r="Y485">
        <v>0</v>
      </c>
      <c r="Z485">
        <v>2</v>
      </c>
      <c r="AA485">
        <v>0</v>
      </c>
      <c r="AB485">
        <v>614.85</v>
      </c>
      <c r="AC485">
        <v>541</v>
      </c>
      <c r="AD485">
        <v>0</v>
      </c>
      <c r="AE485">
        <v>73.86</v>
      </c>
      <c r="AF485">
        <v>0</v>
      </c>
      <c r="AG485">
        <v>0</v>
      </c>
      <c r="AH485">
        <v>0</v>
      </c>
      <c r="AI485">
        <v>92.23</v>
      </c>
      <c r="AJ485">
        <v>614.86</v>
      </c>
      <c r="AK485">
        <v>0.01</v>
      </c>
      <c r="AL485" t="s">
        <v>53</v>
      </c>
      <c r="AM485" t="s">
        <v>53</v>
      </c>
      <c r="AN485" t="s">
        <v>178</v>
      </c>
      <c r="AO485" t="s">
        <v>53</v>
      </c>
      <c r="AP485" t="s">
        <v>53</v>
      </c>
    </row>
    <row r="486" spans="2:42" x14ac:dyDescent="0.2">
      <c r="B486" t="s">
        <v>44</v>
      </c>
      <c r="C486" t="str">
        <f>HYPERLINK("https://us2.cloudbeds.com/connect/8493803454333002#/reservations/598475845813?display=E1DEMKN9&amp;reservation_id=598475845813", "E1DEMKN9")</f>
        <v>E1DEMKN9</v>
      </c>
      <c r="D486" t="s">
        <v>45</v>
      </c>
      <c r="E486" t="s">
        <v>69</v>
      </c>
      <c r="F486" t="s">
        <v>70</v>
      </c>
      <c r="G486" t="s">
        <v>48</v>
      </c>
      <c r="H486" t="s">
        <v>71</v>
      </c>
      <c r="I486" t="s">
        <v>72</v>
      </c>
      <c r="J486" t="s">
        <v>850</v>
      </c>
      <c r="K486" t="s">
        <v>844</v>
      </c>
      <c r="L486" t="s">
        <v>53</v>
      </c>
      <c r="N486" t="s">
        <v>1078</v>
      </c>
      <c r="P486" t="s">
        <v>55</v>
      </c>
      <c r="R486" t="s">
        <v>56</v>
      </c>
      <c r="T486" t="s">
        <v>1065</v>
      </c>
      <c r="U486" t="s">
        <v>58</v>
      </c>
      <c r="V486">
        <v>1</v>
      </c>
      <c r="W486">
        <v>1</v>
      </c>
      <c r="X486">
        <v>1</v>
      </c>
      <c r="Y486">
        <v>0</v>
      </c>
      <c r="Z486">
        <v>1</v>
      </c>
      <c r="AA486">
        <v>0</v>
      </c>
      <c r="AB486">
        <v>78.42</v>
      </c>
      <c r="AC486">
        <v>69</v>
      </c>
      <c r="AD486">
        <v>0</v>
      </c>
      <c r="AE486">
        <v>9.42</v>
      </c>
      <c r="AF486">
        <v>0</v>
      </c>
      <c r="AG486">
        <v>0</v>
      </c>
      <c r="AH486">
        <v>0</v>
      </c>
      <c r="AI486">
        <v>0</v>
      </c>
      <c r="AJ486">
        <v>78.42</v>
      </c>
      <c r="AK486">
        <v>0</v>
      </c>
      <c r="AL486" t="s">
        <v>53</v>
      </c>
      <c r="AM486" t="s">
        <v>53</v>
      </c>
      <c r="AN486" t="s">
        <v>378</v>
      </c>
      <c r="AO486" t="s">
        <v>53</v>
      </c>
      <c r="AP486" t="s">
        <v>53</v>
      </c>
    </row>
    <row r="487" spans="2:42" x14ac:dyDescent="0.2">
      <c r="B487" t="s">
        <v>44</v>
      </c>
      <c r="C487" t="str">
        <f>HYPERLINK("https://us2.cloudbeds.com/connect/8493803454333002#/reservations/598292938974?display=E18PEW5Q&amp;reservation_id=598292938974", "E18PEW5Q")</f>
        <v>E18PEW5Q</v>
      </c>
      <c r="D487" t="s">
        <v>45</v>
      </c>
      <c r="E487" t="s">
        <v>265</v>
      </c>
      <c r="F487" t="s">
        <v>61</v>
      </c>
      <c r="G487" t="s">
        <v>48</v>
      </c>
      <c r="H487" t="s">
        <v>49</v>
      </c>
      <c r="I487" t="s">
        <v>62</v>
      </c>
      <c r="J487" t="s">
        <v>356</v>
      </c>
      <c r="K487" t="s">
        <v>236</v>
      </c>
      <c r="L487" t="s">
        <v>53</v>
      </c>
      <c r="N487" t="s">
        <v>1079</v>
      </c>
      <c r="P487" t="s">
        <v>55</v>
      </c>
      <c r="R487" t="s">
        <v>56</v>
      </c>
      <c r="T487" t="s">
        <v>1065</v>
      </c>
      <c r="U487" t="s">
        <v>58</v>
      </c>
      <c r="V487">
        <v>2</v>
      </c>
      <c r="W487">
        <v>1</v>
      </c>
      <c r="X487">
        <v>1</v>
      </c>
      <c r="Y487">
        <v>0</v>
      </c>
      <c r="Z487">
        <v>1</v>
      </c>
      <c r="AA487">
        <v>0</v>
      </c>
      <c r="AB487">
        <v>306.86</v>
      </c>
      <c r="AC487">
        <v>270</v>
      </c>
      <c r="AD487">
        <v>0</v>
      </c>
      <c r="AE487">
        <v>36.880000000000003</v>
      </c>
      <c r="AF487">
        <v>0</v>
      </c>
      <c r="AG487">
        <v>0</v>
      </c>
      <c r="AH487">
        <v>0</v>
      </c>
      <c r="AI487">
        <v>46.03</v>
      </c>
      <c r="AJ487">
        <v>306.88</v>
      </c>
      <c r="AK487">
        <v>0.02</v>
      </c>
      <c r="AL487" t="s">
        <v>53</v>
      </c>
      <c r="AM487" t="s">
        <v>53</v>
      </c>
      <c r="AN487" t="s">
        <v>1080</v>
      </c>
      <c r="AO487" t="s">
        <v>53</v>
      </c>
      <c r="AP487" t="s">
        <v>53</v>
      </c>
    </row>
    <row r="488" spans="2:42" x14ac:dyDescent="0.2">
      <c r="B488" t="s">
        <v>44</v>
      </c>
      <c r="C488" t="str">
        <f>HYPERLINK("https://us2.cloudbeds.com/connect/8493803454333002#/reservations/598080893096?display=E13BYG14&amp;reservation_id=598080893096", "E13BYG14")</f>
        <v>E13BYG14</v>
      </c>
      <c r="D488" t="s">
        <v>45</v>
      </c>
      <c r="E488" t="s">
        <v>92</v>
      </c>
      <c r="F488" t="s">
        <v>86</v>
      </c>
      <c r="G488" t="s">
        <v>48</v>
      </c>
      <c r="H488" t="s">
        <v>49</v>
      </c>
      <c r="I488" t="s">
        <v>50</v>
      </c>
      <c r="J488" t="s">
        <v>1017</v>
      </c>
      <c r="K488" t="s">
        <v>553</v>
      </c>
      <c r="L488" t="s">
        <v>53</v>
      </c>
      <c r="N488" t="s">
        <v>1081</v>
      </c>
      <c r="P488" t="s">
        <v>55</v>
      </c>
      <c r="R488" t="s">
        <v>56</v>
      </c>
      <c r="T488" t="s">
        <v>1065</v>
      </c>
      <c r="U488" t="s">
        <v>58</v>
      </c>
      <c r="V488">
        <v>1</v>
      </c>
      <c r="W488">
        <v>1</v>
      </c>
      <c r="X488">
        <v>1</v>
      </c>
      <c r="Y488">
        <v>0</v>
      </c>
      <c r="Z488">
        <v>1</v>
      </c>
      <c r="AA488">
        <v>0</v>
      </c>
      <c r="AB488">
        <v>86.94</v>
      </c>
      <c r="AC488">
        <v>76.5</v>
      </c>
      <c r="AD488">
        <v>0</v>
      </c>
      <c r="AE488">
        <v>10.45</v>
      </c>
      <c r="AF488">
        <v>0</v>
      </c>
      <c r="AG488">
        <v>0</v>
      </c>
      <c r="AH488">
        <v>0</v>
      </c>
      <c r="AI488">
        <v>15.65</v>
      </c>
      <c r="AJ488">
        <v>86.95</v>
      </c>
      <c r="AK488">
        <v>0.01</v>
      </c>
      <c r="AL488" t="s">
        <v>53</v>
      </c>
      <c r="AM488" t="s">
        <v>53</v>
      </c>
      <c r="AN488" t="s">
        <v>84</v>
      </c>
      <c r="AO488" t="s">
        <v>53</v>
      </c>
      <c r="AP488" t="s">
        <v>53</v>
      </c>
    </row>
    <row r="489" spans="2:42" x14ac:dyDescent="0.2">
      <c r="B489" t="s">
        <v>44</v>
      </c>
      <c r="C489" t="str">
        <f>HYPERLINK("https://us2.cloudbeds.com/connect/8493803454333002#/reservations/598285885589?display=E18JGN7S&amp;reservation_id=598285885589", "E18JGN7S")</f>
        <v>E18JGN7S</v>
      </c>
      <c r="D489" t="s">
        <v>45</v>
      </c>
      <c r="E489" t="s">
        <v>98</v>
      </c>
      <c r="F489" t="s">
        <v>86</v>
      </c>
      <c r="G489" t="s">
        <v>48</v>
      </c>
      <c r="H489" t="s">
        <v>49</v>
      </c>
      <c r="I489" t="s">
        <v>62</v>
      </c>
      <c r="J489" t="s">
        <v>289</v>
      </c>
      <c r="K489" t="s">
        <v>568</v>
      </c>
      <c r="L489" t="s">
        <v>53</v>
      </c>
      <c r="N489" t="s">
        <v>1082</v>
      </c>
      <c r="P489" t="s">
        <v>55</v>
      </c>
      <c r="R489" t="s">
        <v>56</v>
      </c>
      <c r="T489" t="s">
        <v>1065</v>
      </c>
      <c r="U489" t="s">
        <v>58</v>
      </c>
      <c r="V489">
        <v>1</v>
      </c>
      <c r="W489">
        <v>1</v>
      </c>
      <c r="X489">
        <v>1</v>
      </c>
      <c r="Y489">
        <v>0</v>
      </c>
      <c r="Z489">
        <v>1</v>
      </c>
      <c r="AA489">
        <v>0</v>
      </c>
      <c r="AB489">
        <v>153.43</v>
      </c>
      <c r="AC489">
        <v>135</v>
      </c>
      <c r="AD489">
        <v>0</v>
      </c>
      <c r="AE489">
        <v>18.440000000000001</v>
      </c>
      <c r="AF489">
        <v>0</v>
      </c>
      <c r="AG489">
        <v>0</v>
      </c>
      <c r="AH489">
        <v>0</v>
      </c>
      <c r="AI489">
        <v>23.02</v>
      </c>
      <c r="AJ489">
        <v>153.44</v>
      </c>
      <c r="AK489">
        <v>0.01</v>
      </c>
      <c r="AL489" t="s">
        <v>53</v>
      </c>
      <c r="AM489" t="s">
        <v>53</v>
      </c>
      <c r="AN489" t="s">
        <v>59</v>
      </c>
      <c r="AO489" t="s">
        <v>53</v>
      </c>
      <c r="AP489" t="s">
        <v>53</v>
      </c>
    </row>
    <row r="490" spans="2:42" x14ac:dyDescent="0.2">
      <c r="B490" t="s">
        <v>44</v>
      </c>
      <c r="C490" t="str">
        <f>HYPERLINK("https://us2.cloudbeds.com/connect/8493803454333002#/reservations/598213156998?display=E16Z5UG5&amp;reservation_id=598213156998", "E16Z5UG5")</f>
        <v>E16Z5UG5</v>
      </c>
      <c r="D490" t="s">
        <v>45</v>
      </c>
      <c r="E490" t="s">
        <v>190</v>
      </c>
      <c r="F490" t="s">
        <v>61</v>
      </c>
      <c r="G490" t="s">
        <v>48</v>
      </c>
      <c r="H490" t="s">
        <v>49</v>
      </c>
      <c r="I490" t="s">
        <v>79</v>
      </c>
      <c r="J490" t="s">
        <v>798</v>
      </c>
      <c r="K490" t="s">
        <v>585</v>
      </c>
      <c r="L490" t="s">
        <v>53</v>
      </c>
      <c r="N490" t="s">
        <v>1083</v>
      </c>
      <c r="P490" t="s">
        <v>55</v>
      </c>
      <c r="R490" t="s">
        <v>56</v>
      </c>
      <c r="T490" t="s">
        <v>1065</v>
      </c>
      <c r="U490" t="s">
        <v>58</v>
      </c>
      <c r="V490">
        <v>2</v>
      </c>
      <c r="W490">
        <v>1</v>
      </c>
      <c r="X490">
        <v>1</v>
      </c>
      <c r="Y490">
        <v>0</v>
      </c>
      <c r="Z490">
        <v>1</v>
      </c>
      <c r="AA490">
        <v>0</v>
      </c>
      <c r="AB490">
        <v>173.88</v>
      </c>
      <c r="AC490">
        <v>153</v>
      </c>
      <c r="AD490">
        <v>0</v>
      </c>
      <c r="AE490">
        <v>20.9</v>
      </c>
      <c r="AF490">
        <v>0</v>
      </c>
      <c r="AG490">
        <v>0</v>
      </c>
      <c r="AH490">
        <v>0</v>
      </c>
      <c r="AI490">
        <v>0</v>
      </c>
      <c r="AJ490">
        <v>173.9</v>
      </c>
      <c r="AK490">
        <v>0.02</v>
      </c>
      <c r="AL490" t="s">
        <v>53</v>
      </c>
      <c r="AM490" t="s">
        <v>53</v>
      </c>
      <c r="AN490" t="s">
        <v>349</v>
      </c>
      <c r="AO490" t="s">
        <v>53</v>
      </c>
      <c r="AP490" t="s">
        <v>53</v>
      </c>
    </row>
    <row r="491" spans="2:42" x14ac:dyDescent="0.2">
      <c r="B491" t="s">
        <v>44</v>
      </c>
      <c r="C491" t="str">
        <f>HYPERLINK("https://us2.cloudbeds.com/connect/8493803454333002#/reservations/598509883619?display=E1EACPNU&amp;reservation_id=598509883619", "E1EACPNU")</f>
        <v>E1EACPNU</v>
      </c>
      <c r="D491" t="s">
        <v>45</v>
      </c>
      <c r="E491" t="s">
        <v>92</v>
      </c>
      <c r="F491" t="s">
        <v>86</v>
      </c>
      <c r="G491" t="s">
        <v>48</v>
      </c>
      <c r="H491" t="s">
        <v>49</v>
      </c>
      <c r="I491" t="s">
        <v>62</v>
      </c>
      <c r="J491" t="s">
        <v>115</v>
      </c>
      <c r="K491" t="s">
        <v>298</v>
      </c>
      <c r="L491" t="s">
        <v>53</v>
      </c>
      <c r="N491" t="s">
        <v>1084</v>
      </c>
      <c r="P491" t="s">
        <v>55</v>
      </c>
      <c r="R491" t="s">
        <v>56</v>
      </c>
      <c r="T491" t="s">
        <v>1065</v>
      </c>
      <c r="U491" t="s">
        <v>58</v>
      </c>
      <c r="V491">
        <v>2</v>
      </c>
      <c r="W491">
        <v>1</v>
      </c>
      <c r="X491">
        <v>1</v>
      </c>
      <c r="Y491">
        <v>0</v>
      </c>
      <c r="Z491">
        <v>1</v>
      </c>
      <c r="AA491">
        <v>0</v>
      </c>
      <c r="AB491">
        <v>254.58</v>
      </c>
      <c r="AC491">
        <v>224</v>
      </c>
      <c r="AD491">
        <v>0</v>
      </c>
      <c r="AE491">
        <v>30.58</v>
      </c>
      <c r="AF491">
        <v>0</v>
      </c>
      <c r="AG491">
        <v>0</v>
      </c>
      <c r="AH491">
        <v>0</v>
      </c>
      <c r="AI491">
        <v>38.19</v>
      </c>
      <c r="AJ491">
        <v>254.58</v>
      </c>
      <c r="AK491">
        <v>0</v>
      </c>
      <c r="AL491" t="s">
        <v>53</v>
      </c>
      <c r="AM491" t="s">
        <v>53</v>
      </c>
      <c r="AN491" t="s">
        <v>68</v>
      </c>
      <c r="AO491" t="s">
        <v>53</v>
      </c>
      <c r="AP491" t="s">
        <v>53</v>
      </c>
    </row>
    <row r="492" spans="2:42" x14ac:dyDescent="0.2">
      <c r="B492" t="s">
        <v>44</v>
      </c>
      <c r="C492" t="str">
        <f>HYPERLINK("https://us2.cloudbeds.com/connect/8493803454333002#/reservations/598412390602?display=E1BR5TF3&amp;reservation_id=598412390602", "E1BR5TF3")</f>
        <v>E1BR5TF3</v>
      </c>
      <c r="D492" t="s">
        <v>45</v>
      </c>
      <c r="E492" t="s">
        <v>185</v>
      </c>
      <c r="F492" t="s">
        <v>47</v>
      </c>
      <c r="G492" t="s">
        <v>48</v>
      </c>
      <c r="H492" t="s">
        <v>49</v>
      </c>
      <c r="I492" t="s">
        <v>50</v>
      </c>
      <c r="J492" t="s">
        <v>354</v>
      </c>
      <c r="K492" t="s">
        <v>359</v>
      </c>
      <c r="L492" t="s">
        <v>53</v>
      </c>
      <c r="N492" t="s">
        <v>1085</v>
      </c>
      <c r="P492" t="s">
        <v>55</v>
      </c>
      <c r="R492" t="s">
        <v>56</v>
      </c>
      <c r="T492" t="s">
        <v>1065</v>
      </c>
      <c r="U492" t="s">
        <v>58</v>
      </c>
      <c r="V492">
        <v>2</v>
      </c>
      <c r="W492">
        <v>1</v>
      </c>
      <c r="X492">
        <v>1</v>
      </c>
      <c r="Y492">
        <v>0</v>
      </c>
      <c r="Z492">
        <v>1</v>
      </c>
      <c r="AA492">
        <v>0</v>
      </c>
      <c r="AB492">
        <v>214.8</v>
      </c>
      <c r="AC492">
        <v>189</v>
      </c>
      <c r="AD492">
        <v>0</v>
      </c>
      <c r="AE492">
        <v>25.8</v>
      </c>
      <c r="AF492">
        <v>0</v>
      </c>
      <c r="AG492">
        <v>0</v>
      </c>
      <c r="AH492">
        <v>0</v>
      </c>
      <c r="AI492">
        <v>38.659999999999997</v>
      </c>
      <c r="AJ492">
        <v>214.8</v>
      </c>
      <c r="AK492">
        <v>0</v>
      </c>
      <c r="AL492" t="s">
        <v>53</v>
      </c>
      <c r="AM492" t="s">
        <v>53</v>
      </c>
      <c r="AN492" t="s">
        <v>225</v>
      </c>
      <c r="AO492" t="s">
        <v>53</v>
      </c>
      <c r="AP492" t="s">
        <v>53</v>
      </c>
    </row>
    <row r="493" spans="2:42" x14ac:dyDescent="0.2">
      <c r="B493" t="s">
        <v>44</v>
      </c>
      <c r="C493" t="str">
        <f>HYPERLINK("https://us2.cloudbeds.com/connect/8493803454333002#/reservations/598098305155?display=E13QB028&amp;reservation_id=598098305155", "E13QB028")</f>
        <v>E13QB028</v>
      </c>
      <c r="D493" t="s">
        <v>45</v>
      </c>
      <c r="E493" t="s">
        <v>85</v>
      </c>
      <c r="F493" t="s">
        <v>86</v>
      </c>
      <c r="G493" t="s">
        <v>48</v>
      </c>
      <c r="H493" t="s">
        <v>49</v>
      </c>
      <c r="I493" t="s">
        <v>50</v>
      </c>
      <c r="J493" t="s">
        <v>798</v>
      </c>
      <c r="K493" t="s">
        <v>585</v>
      </c>
      <c r="L493" t="s">
        <v>53</v>
      </c>
      <c r="N493" t="s">
        <v>1086</v>
      </c>
      <c r="P493" t="s">
        <v>55</v>
      </c>
      <c r="R493" t="s">
        <v>56</v>
      </c>
      <c r="T493" t="s">
        <v>1065</v>
      </c>
      <c r="U493" t="s">
        <v>58</v>
      </c>
      <c r="V493">
        <v>2</v>
      </c>
      <c r="W493">
        <v>1</v>
      </c>
      <c r="X493">
        <v>1</v>
      </c>
      <c r="Y493">
        <v>0</v>
      </c>
      <c r="Z493">
        <v>1</v>
      </c>
      <c r="AA493">
        <v>0</v>
      </c>
      <c r="AB493">
        <v>194.34</v>
      </c>
      <c r="AC493">
        <v>171</v>
      </c>
      <c r="AD493">
        <v>0</v>
      </c>
      <c r="AE493">
        <v>23.34</v>
      </c>
      <c r="AF493">
        <v>0</v>
      </c>
      <c r="AG493">
        <v>0</v>
      </c>
      <c r="AH493">
        <v>0</v>
      </c>
      <c r="AI493">
        <v>34.979999999999997</v>
      </c>
      <c r="AJ493">
        <v>194.34</v>
      </c>
      <c r="AK493">
        <v>0</v>
      </c>
      <c r="AL493" t="s">
        <v>53</v>
      </c>
      <c r="AM493" t="s">
        <v>53</v>
      </c>
      <c r="AN493" t="s">
        <v>1087</v>
      </c>
      <c r="AO493" t="s">
        <v>53</v>
      </c>
      <c r="AP493" t="s">
        <v>53</v>
      </c>
    </row>
    <row r="494" spans="2:42" x14ac:dyDescent="0.2">
      <c r="B494" t="s">
        <v>44</v>
      </c>
      <c r="C494" t="str">
        <f>HYPERLINK("https://us2.cloudbeds.com/connect/8493803454333002#/reservations/598383481022?display=E1B2QEX7&amp;reservation_id=598383481022", "E1B2QEX7")</f>
        <v>E1B2QEX7</v>
      </c>
      <c r="D494" t="s">
        <v>45</v>
      </c>
      <c r="E494" t="s">
        <v>98</v>
      </c>
      <c r="F494" t="s">
        <v>86</v>
      </c>
      <c r="G494" t="s">
        <v>48</v>
      </c>
      <c r="H494" t="s">
        <v>71</v>
      </c>
      <c r="I494" t="s">
        <v>72</v>
      </c>
      <c r="J494" t="s">
        <v>232</v>
      </c>
      <c r="K494" t="s">
        <v>233</v>
      </c>
      <c r="L494" t="s">
        <v>53</v>
      </c>
      <c r="N494" t="s">
        <v>1088</v>
      </c>
      <c r="P494" t="s">
        <v>55</v>
      </c>
      <c r="R494" t="s">
        <v>56</v>
      </c>
      <c r="T494" t="s">
        <v>1089</v>
      </c>
      <c r="U494" t="s">
        <v>58</v>
      </c>
      <c r="V494">
        <v>1</v>
      </c>
      <c r="W494">
        <v>1</v>
      </c>
      <c r="X494">
        <v>1</v>
      </c>
      <c r="Y494">
        <v>0</v>
      </c>
      <c r="Z494">
        <v>1</v>
      </c>
      <c r="AA494">
        <v>0</v>
      </c>
      <c r="AB494">
        <v>103.42</v>
      </c>
      <c r="AC494">
        <v>91</v>
      </c>
      <c r="AD494">
        <v>0</v>
      </c>
      <c r="AE494">
        <v>12.43</v>
      </c>
      <c r="AF494">
        <v>0</v>
      </c>
      <c r="AG494">
        <v>0</v>
      </c>
      <c r="AH494">
        <v>0</v>
      </c>
      <c r="AI494">
        <v>0</v>
      </c>
      <c r="AJ494">
        <v>103.43</v>
      </c>
      <c r="AK494">
        <v>0.01</v>
      </c>
      <c r="AL494" t="s">
        <v>53</v>
      </c>
      <c r="AM494" t="s">
        <v>53</v>
      </c>
      <c r="AN494" t="s">
        <v>1090</v>
      </c>
      <c r="AO494" t="s">
        <v>53</v>
      </c>
      <c r="AP494" t="s">
        <v>53</v>
      </c>
    </row>
    <row r="495" spans="2:42" x14ac:dyDescent="0.2">
      <c r="B495" t="s">
        <v>44</v>
      </c>
      <c r="C495" t="str">
        <f>HYPERLINK("https://us2.cloudbeds.com/connect/8493803454333002#/reservations/598129176742?display=E14JC1KU&amp;reservation_id=598129176742", "E14JC1KU")</f>
        <v>E14JC1KU</v>
      </c>
      <c r="D495" t="s">
        <v>45</v>
      </c>
      <c r="E495" t="s">
        <v>179</v>
      </c>
      <c r="F495" t="s">
        <v>47</v>
      </c>
      <c r="G495" t="s">
        <v>48</v>
      </c>
      <c r="H495" t="s">
        <v>49</v>
      </c>
      <c r="I495" t="s">
        <v>50</v>
      </c>
      <c r="J495" t="s">
        <v>354</v>
      </c>
      <c r="K495" t="s">
        <v>938</v>
      </c>
      <c r="L495" t="s">
        <v>53</v>
      </c>
      <c r="N495" t="s">
        <v>1091</v>
      </c>
      <c r="P495" t="s">
        <v>55</v>
      </c>
      <c r="R495" t="s">
        <v>56</v>
      </c>
      <c r="T495" t="s">
        <v>1089</v>
      </c>
      <c r="U495" t="s">
        <v>58</v>
      </c>
      <c r="V495">
        <v>1</v>
      </c>
      <c r="W495">
        <v>1</v>
      </c>
      <c r="X495">
        <v>1</v>
      </c>
      <c r="Y495">
        <v>0</v>
      </c>
      <c r="Z495">
        <v>1</v>
      </c>
      <c r="AA495">
        <v>0</v>
      </c>
      <c r="AB495">
        <v>107.4</v>
      </c>
      <c r="AC495">
        <v>94.5</v>
      </c>
      <c r="AD495">
        <v>0</v>
      </c>
      <c r="AE495">
        <v>12.9</v>
      </c>
      <c r="AF495">
        <v>0</v>
      </c>
      <c r="AG495">
        <v>0</v>
      </c>
      <c r="AH495">
        <v>0</v>
      </c>
      <c r="AI495">
        <v>19.329999999999998</v>
      </c>
      <c r="AJ495">
        <v>107.4</v>
      </c>
      <c r="AK495">
        <v>0</v>
      </c>
      <c r="AL495" t="s">
        <v>53</v>
      </c>
      <c r="AM495" t="s">
        <v>53</v>
      </c>
      <c r="AN495" t="s">
        <v>112</v>
      </c>
      <c r="AO495" t="s">
        <v>53</v>
      </c>
      <c r="AP495" t="s">
        <v>53</v>
      </c>
    </row>
    <row r="496" spans="2:42" x14ac:dyDescent="0.2">
      <c r="B496" t="s">
        <v>44</v>
      </c>
      <c r="C496" t="str">
        <f>HYPERLINK("https://us2.cloudbeds.com/connect/8493803454333002#/reservations/598577533074?display=E1G1E7EE&amp;reservation_id=598577533074", "E1G1E7EE")</f>
        <v>E1G1E7EE</v>
      </c>
      <c r="D496" t="s">
        <v>45</v>
      </c>
      <c r="E496" t="s">
        <v>138</v>
      </c>
      <c r="F496" t="s">
        <v>70</v>
      </c>
      <c r="G496" t="s">
        <v>48</v>
      </c>
      <c r="H496" t="s">
        <v>49</v>
      </c>
      <c r="I496" t="s">
        <v>62</v>
      </c>
      <c r="J496" t="s">
        <v>203</v>
      </c>
      <c r="K496" t="s">
        <v>1092</v>
      </c>
      <c r="L496" t="s">
        <v>53</v>
      </c>
      <c r="N496" t="s">
        <v>1093</v>
      </c>
      <c r="P496" t="s">
        <v>55</v>
      </c>
      <c r="R496" t="s">
        <v>56</v>
      </c>
      <c r="T496" t="s">
        <v>1089</v>
      </c>
      <c r="U496" t="s">
        <v>58</v>
      </c>
      <c r="V496">
        <v>1</v>
      </c>
      <c r="W496">
        <v>1</v>
      </c>
      <c r="X496">
        <v>1</v>
      </c>
      <c r="Y496">
        <v>0</v>
      </c>
      <c r="Z496">
        <v>1</v>
      </c>
      <c r="AA496">
        <v>0</v>
      </c>
      <c r="AB496">
        <v>76.150000000000006</v>
      </c>
      <c r="AC496">
        <v>67</v>
      </c>
      <c r="AD496">
        <v>0</v>
      </c>
      <c r="AE496">
        <v>9.15</v>
      </c>
      <c r="AF496">
        <v>0</v>
      </c>
      <c r="AG496">
        <v>0</v>
      </c>
      <c r="AH496">
        <v>0</v>
      </c>
      <c r="AI496">
        <v>11.42</v>
      </c>
      <c r="AJ496">
        <v>76.150000000000006</v>
      </c>
      <c r="AK496">
        <v>0</v>
      </c>
      <c r="AL496" t="s">
        <v>53</v>
      </c>
      <c r="AM496" t="s">
        <v>53</v>
      </c>
      <c r="AN496" t="s">
        <v>225</v>
      </c>
      <c r="AO496" t="s">
        <v>53</v>
      </c>
      <c r="AP496" t="s">
        <v>53</v>
      </c>
    </row>
    <row r="497" spans="2:42" x14ac:dyDescent="0.2">
      <c r="B497" t="s">
        <v>44</v>
      </c>
      <c r="C497" t="str">
        <f>HYPERLINK("https://us2.cloudbeds.com/connect/8493803454333002#/reservations/598127259901?display=E14HZNER&amp;reservation_id=598127259901", "E14HZNER")</f>
        <v>E14HZNER</v>
      </c>
      <c r="D497" t="s">
        <v>45</v>
      </c>
      <c r="E497" t="s">
        <v>46</v>
      </c>
      <c r="F497" t="s">
        <v>47</v>
      </c>
      <c r="G497" t="s">
        <v>48</v>
      </c>
      <c r="H497" t="s">
        <v>49</v>
      </c>
      <c r="I497" t="s">
        <v>79</v>
      </c>
      <c r="J497" t="s">
        <v>586</v>
      </c>
      <c r="K497" t="s">
        <v>705</v>
      </c>
      <c r="L497" t="s">
        <v>53</v>
      </c>
      <c r="N497" t="s">
        <v>1094</v>
      </c>
      <c r="P497" t="s">
        <v>55</v>
      </c>
      <c r="R497" t="s">
        <v>56</v>
      </c>
      <c r="T497" t="s">
        <v>1089</v>
      </c>
      <c r="U497" t="s">
        <v>58</v>
      </c>
      <c r="V497">
        <v>3</v>
      </c>
      <c r="W497">
        <v>1</v>
      </c>
      <c r="X497">
        <v>1</v>
      </c>
      <c r="Y497">
        <v>0</v>
      </c>
      <c r="Z497">
        <v>1</v>
      </c>
      <c r="AA497">
        <v>0</v>
      </c>
      <c r="AB497">
        <v>240.37</v>
      </c>
      <c r="AC497">
        <v>211.5</v>
      </c>
      <c r="AD497">
        <v>0</v>
      </c>
      <c r="AE497">
        <v>28.86</v>
      </c>
      <c r="AF497">
        <v>0</v>
      </c>
      <c r="AG497">
        <v>0</v>
      </c>
      <c r="AH497">
        <v>0</v>
      </c>
      <c r="AI497">
        <v>0</v>
      </c>
      <c r="AJ497">
        <v>240.36</v>
      </c>
      <c r="AK497">
        <v>-0.01</v>
      </c>
      <c r="AL497" t="s">
        <v>53</v>
      </c>
      <c r="AM497" t="s">
        <v>53</v>
      </c>
      <c r="AN497" t="s">
        <v>1095</v>
      </c>
      <c r="AO497" t="s">
        <v>53</v>
      </c>
      <c r="AP497" t="s">
        <v>53</v>
      </c>
    </row>
    <row r="498" spans="2:42" x14ac:dyDescent="0.2">
      <c r="B498" t="s">
        <v>44</v>
      </c>
      <c r="C498" t="str">
        <f>HYPERLINK("https://us2.cloudbeds.com/connect/8493803454333002#/reservations/598306091218?display=E193HVHK&amp;reservation_id=598306091218", "E193HVHK")</f>
        <v>E193HVHK</v>
      </c>
      <c r="D498" t="s">
        <v>45</v>
      </c>
      <c r="E498" t="s">
        <v>165</v>
      </c>
      <c r="F498" t="s">
        <v>61</v>
      </c>
      <c r="G498" t="s">
        <v>48</v>
      </c>
      <c r="H498" t="s">
        <v>49</v>
      </c>
      <c r="I498" t="s">
        <v>79</v>
      </c>
      <c r="J498" t="s">
        <v>714</v>
      </c>
      <c r="K498" t="s">
        <v>706</v>
      </c>
      <c r="L498" t="s">
        <v>53</v>
      </c>
      <c r="N498" t="s">
        <v>1096</v>
      </c>
      <c r="P498" t="s">
        <v>55</v>
      </c>
      <c r="R498" t="s">
        <v>56</v>
      </c>
      <c r="T498" t="s">
        <v>1089</v>
      </c>
      <c r="U498" t="s">
        <v>58</v>
      </c>
      <c r="V498">
        <v>2</v>
      </c>
      <c r="W498">
        <v>1</v>
      </c>
      <c r="X498">
        <v>1</v>
      </c>
      <c r="Y498">
        <v>0</v>
      </c>
      <c r="Z498">
        <v>1</v>
      </c>
      <c r="AA498">
        <v>0</v>
      </c>
      <c r="AB498">
        <v>176.95</v>
      </c>
      <c r="AC498">
        <v>155.69999999999999</v>
      </c>
      <c r="AD498">
        <v>0</v>
      </c>
      <c r="AE498">
        <v>21.26</v>
      </c>
      <c r="AF498">
        <v>0</v>
      </c>
      <c r="AG498">
        <v>0</v>
      </c>
      <c r="AH498">
        <v>0</v>
      </c>
      <c r="AI498">
        <v>0</v>
      </c>
      <c r="AJ498">
        <v>176.96</v>
      </c>
      <c r="AK498">
        <v>0.01</v>
      </c>
      <c r="AL498" t="s">
        <v>53</v>
      </c>
      <c r="AM498" t="s">
        <v>53</v>
      </c>
      <c r="AN498" t="s">
        <v>137</v>
      </c>
      <c r="AO498" t="s">
        <v>53</v>
      </c>
      <c r="AP498" t="s">
        <v>53</v>
      </c>
    </row>
    <row r="499" spans="2:42" x14ac:dyDescent="0.2">
      <c r="B499" t="s">
        <v>44</v>
      </c>
      <c r="C499" t="str">
        <f>HYPERLINK("https://us2.cloudbeds.com/connect/8493803454333002#/reservations/598447997150?display=E1CZ6N0D&amp;reservation_id=598447997150", "E1CZ6N0D")</f>
        <v>E1CZ6N0D</v>
      </c>
      <c r="D499" t="s">
        <v>45</v>
      </c>
      <c r="E499" t="s">
        <v>110</v>
      </c>
      <c r="F499" t="s">
        <v>47</v>
      </c>
      <c r="G499" t="s">
        <v>48</v>
      </c>
      <c r="H499" t="s">
        <v>49</v>
      </c>
      <c r="I499" t="s">
        <v>62</v>
      </c>
      <c r="J499" t="s">
        <v>202</v>
      </c>
      <c r="K499" t="s">
        <v>203</v>
      </c>
      <c r="L499" t="s">
        <v>53</v>
      </c>
      <c r="N499" t="s">
        <v>1097</v>
      </c>
      <c r="P499" t="s">
        <v>55</v>
      </c>
      <c r="R499" t="s">
        <v>946</v>
      </c>
      <c r="T499" t="s">
        <v>1089</v>
      </c>
      <c r="U499" t="s">
        <v>58</v>
      </c>
      <c r="V499">
        <v>2</v>
      </c>
      <c r="W499">
        <v>1</v>
      </c>
      <c r="X499">
        <v>1</v>
      </c>
      <c r="Y499">
        <v>0</v>
      </c>
      <c r="Z499">
        <v>1</v>
      </c>
      <c r="AA499">
        <v>0</v>
      </c>
      <c r="AB499">
        <v>159.11000000000001</v>
      </c>
      <c r="AC499">
        <v>140</v>
      </c>
      <c r="AD499">
        <v>0</v>
      </c>
      <c r="AE499">
        <v>19.12</v>
      </c>
      <c r="AF499">
        <v>0</v>
      </c>
      <c r="AG499">
        <v>0</v>
      </c>
      <c r="AH499">
        <v>0</v>
      </c>
      <c r="AI499">
        <v>23.87</v>
      </c>
      <c r="AJ499">
        <v>159.12</v>
      </c>
      <c r="AK499">
        <v>0.01</v>
      </c>
      <c r="AL499" t="s">
        <v>53</v>
      </c>
      <c r="AM499" t="s">
        <v>53</v>
      </c>
      <c r="AN499" t="s">
        <v>245</v>
      </c>
      <c r="AO499" t="s">
        <v>53</v>
      </c>
      <c r="AP499" t="s">
        <v>53</v>
      </c>
    </row>
    <row r="500" spans="2:42" x14ac:dyDescent="0.2">
      <c r="B500" t="s">
        <v>44</v>
      </c>
      <c r="C500" t="str">
        <f>HYPERLINK("https://us2.cloudbeds.com/connect/8493803454333002#/reservations/598070661331?display=E1330PFK&amp;reservation_id=598070661331", "E1330PFK")</f>
        <v>E1330PFK</v>
      </c>
      <c r="D500" t="s">
        <v>45</v>
      </c>
      <c r="E500" t="s">
        <v>128</v>
      </c>
      <c r="F500" t="s">
        <v>86</v>
      </c>
      <c r="G500" t="s">
        <v>48</v>
      </c>
      <c r="H500" t="s">
        <v>49</v>
      </c>
      <c r="I500" t="s">
        <v>79</v>
      </c>
      <c r="J500" t="s">
        <v>327</v>
      </c>
      <c r="K500" t="s">
        <v>970</v>
      </c>
      <c r="L500" t="s">
        <v>53</v>
      </c>
      <c r="N500" t="s">
        <v>1098</v>
      </c>
      <c r="P500" t="s">
        <v>55</v>
      </c>
      <c r="R500" t="s">
        <v>56</v>
      </c>
      <c r="T500" t="s">
        <v>1089</v>
      </c>
      <c r="U500" t="s">
        <v>58</v>
      </c>
      <c r="V500">
        <v>1</v>
      </c>
      <c r="W500">
        <v>1</v>
      </c>
      <c r="X500">
        <v>1</v>
      </c>
      <c r="Y500">
        <v>0</v>
      </c>
      <c r="Z500">
        <v>1</v>
      </c>
      <c r="AA500">
        <v>0</v>
      </c>
      <c r="AB500">
        <v>159.56</v>
      </c>
      <c r="AC500">
        <v>140.4</v>
      </c>
      <c r="AD500">
        <v>0</v>
      </c>
      <c r="AE500">
        <v>19.16</v>
      </c>
      <c r="AF500">
        <v>0</v>
      </c>
      <c r="AG500">
        <v>0</v>
      </c>
      <c r="AH500">
        <v>0</v>
      </c>
      <c r="AI500">
        <v>0</v>
      </c>
      <c r="AJ500">
        <v>159.56</v>
      </c>
      <c r="AK500">
        <v>0</v>
      </c>
      <c r="AL500" t="s">
        <v>53</v>
      </c>
      <c r="AM500" t="s">
        <v>53</v>
      </c>
      <c r="AN500" t="s">
        <v>198</v>
      </c>
      <c r="AO500" t="s">
        <v>53</v>
      </c>
      <c r="AP500" t="s">
        <v>53</v>
      </c>
    </row>
    <row r="501" spans="2:42" x14ac:dyDescent="0.2">
      <c r="B501" t="s">
        <v>44</v>
      </c>
      <c r="C501" t="str">
        <f>HYPERLINK("https://us2.cloudbeds.com/connect/8493803454333002#/reservations/598366650522?display=E1AYK3X2&amp;reservation_id=598366650522", "E1AYK3X2")</f>
        <v>E1AYK3X2</v>
      </c>
      <c r="D501" t="s">
        <v>45</v>
      </c>
      <c r="E501" t="s">
        <v>110</v>
      </c>
      <c r="F501" t="s">
        <v>47</v>
      </c>
      <c r="G501" t="s">
        <v>48</v>
      </c>
      <c r="H501" t="s">
        <v>49</v>
      </c>
      <c r="I501" t="s">
        <v>79</v>
      </c>
      <c r="J501" t="s">
        <v>915</v>
      </c>
      <c r="K501" t="s">
        <v>232</v>
      </c>
      <c r="L501" t="s">
        <v>53</v>
      </c>
      <c r="N501" t="s">
        <v>1099</v>
      </c>
      <c r="P501" t="s">
        <v>55</v>
      </c>
      <c r="R501" t="s">
        <v>56</v>
      </c>
      <c r="T501" t="s">
        <v>1089</v>
      </c>
      <c r="U501" t="s">
        <v>58</v>
      </c>
      <c r="V501">
        <v>1</v>
      </c>
      <c r="W501">
        <v>1</v>
      </c>
      <c r="X501">
        <v>1</v>
      </c>
      <c r="Y501">
        <v>0</v>
      </c>
      <c r="Z501">
        <v>1</v>
      </c>
      <c r="AA501">
        <v>0</v>
      </c>
      <c r="AB501">
        <v>81.83</v>
      </c>
      <c r="AC501">
        <v>72</v>
      </c>
      <c r="AD501">
        <v>0</v>
      </c>
      <c r="AE501">
        <v>9.83</v>
      </c>
      <c r="AF501">
        <v>0</v>
      </c>
      <c r="AG501">
        <v>0</v>
      </c>
      <c r="AH501">
        <v>0</v>
      </c>
      <c r="AI501">
        <v>0</v>
      </c>
      <c r="AJ501">
        <v>81.83</v>
      </c>
      <c r="AK501">
        <v>0</v>
      </c>
      <c r="AL501" t="s">
        <v>53</v>
      </c>
      <c r="AM501" t="s">
        <v>53</v>
      </c>
      <c r="AN501" t="s">
        <v>349</v>
      </c>
      <c r="AO501" t="s">
        <v>53</v>
      </c>
      <c r="AP501" t="s">
        <v>53</v>
      </c>
    </row>
    <row r="502" spans="2:42" x14ac:dyDescent="0.2">
      <c r="B502" t="s">
        <v>44</v>
      </c>
      <c r="C502" t="str">
        <f>HYPERLINK("https://us2.cloudbeds.com/connect/8493803454333002#/reservations/598048100503?display=E12GWWF6&amp;reservation_id=598048100503", "E12GWWF6")</f>
        <v>E12GWWF6</v>
      </c>
      <c r="D502" t="s">
        <v>45</v>
      </c>
      <c r="E502" t="s">
        <v>185</v>
      </c>
      <c r="F502" t="s">
        <v>47</v>
      </c>
      <c r="G502" t="s">
        <v>48</v>
      </c>
      <c r="H502" t="s">
        <v>49</v>
      </c>
      <c r="I502" t="s">
        <v>62</v>
      </c>
      <c r="J502" t="s">
        <v>586</v>
      </c>
      <c r="K502" t="s">
        <v>714</v>
      </c>
      <c r="L502" t="s">
        <v>53</v>
      </c>
      <c r="N502" t="s">
        <v>1100</v>
      </c>
      <c r="P502" t="s">
        <v>55</v>
      </c>
      <c r="R502" t="s">
        <v>56</v>
      </c>
      <c r="T502" t="s">
        <v>1089</v>
      </c>
      <c r="U502" t="s">
        <v>58</v>
      </c>
      <c r="V502">
        <v>2</v>
      </c>
      <c r="W502">
        <v>1</v>
      </c>
      <c r="X502">
        <v>1</v>
      </c>
      <c r="Y502">
        <v>0</v>
      </c>
      <c r="Z502">
        <v>1</v>
      </c>
      <c r="AA502">
        <v>0</v>
      </c>
      <c r="AB502">
        <v>173.03</v>
      </c>
      <c r="AC502">
        <v>152.25</v>
      </c>
      <c r="AD502">
        <v>0</v>
      </c>
      <c r="AE502">
        <v>20.78</v>
      </c>
      <c r="AF502">
        <v>0</v>
      </c>
      <c r="AG502">
        <v>0</v>
      </c>
      <c r="AH502">
        <v>0</v>
      </c>
      <c r="AI502">
        <v>25.95</v>
      </c>
      <c r="AJ502">
        <v>173.03</v>
      </c>
      <c r="AK502">
        <v>0</v>
      </c>
      <c r="AL502" t="s">
        <v>53</v>
      </c>
      <c r="AM502" t="s">
        <v>53</v>
      </c>
      <c r="AN502" t="s">
        <v>1101</v>
      </c>
      <c r="AO502" t="s">
        <v>53</v>
      </c>
      <c r="AP502" t="s">
        <v>53</v>
      </c>
    </row>
    <row r="503" spans="2:42" x14ac:dyDescent="0.2">
      <c r="B503" t="s">
        <v>44</v>
      </c>
      <c r="C503" t="str">
        <f>HYPERLINK("https://us2.cloudbeds.com/connect/8493803454333002#/reservations/598136324308?display=E14PCV1R&amp;reservation_id=598136324308", "E14PCV1R")</f>
        <v>E14PCV1R</v>
      </c>
      <c r="D503" t="s">
        <v>45</v>
      </c>
      <c r="E503" t="s">
        <v>373</v>
      </c>
      <c r="F503" t="s">
        <v>47</v>
      </c>
      <c r="G503" t="s">
        <v>48</v>
      </c>
      <c r="H503" t="s">
        <v>49</v>
      </c>
      <c r="I503" t="s">
        <v>79</v>
      </c>
      <c r="J503" t="s">
        <v>586</v>
      </c>
      <c r="K503" t="s">
        <v>705</v>
      </c>
      <c r="L503" t="s">
        <v>53</v>
      </c>
      <c r="N503" t="s">
        <v>1102</v>
      </c>
      <c r="P503" t="s">
        <v>55</v>
      </c>
      <c r="R503" t="s">
        <v>56</v>
      </c>
      <c r="T503" t="s">
        <v>1089</v>
      </c>
      <c r="U503" t="s">
        <v>58</v>
      </c>
      <c r="V503">
        <v>3</v>
      </c>
      <c r="W503">
        <v>1</v>
      </c>
      <c r="X503">
        <v>1</v>
      </c>
      <c r="Y503">
        <v>0</v>
      </c>
      <c r="Z503">
        <v>1</v>
      </c>
      <c r="AA503">
        <v>0</v>
      </c>
      <c r="AB503">
        <v>240.37</v>
      </c>
      <c r="AC503">
        <v>211.5</v>
      </c>
      <c r="AD503">
        <v>0</v>
      </c>
      <c r="AE503">
        <v>28.86</v>
      </c>
      <c r="AF503">
        <v>0</v>
      </c>
      <c r="AG503">
        <v>0</v>
      </c>
      <c r="AH503">
        <v>0</v>
      </c>
      <c r="AI503">
        <v>0</v>
      </c>
      <c r="AJ503">
        <v>240.36</v>
      </c>
      <c r="AK503">
        <v>-0.01</v>
      </c>
      <c r="AL503" t="s">
        <v>53</v>
      </c>
      <c r="AM503" t="s">
        <v>53</v>
      </c>
      <c r="AN503" t="s">
        <v>1103</v>
      </c>
      <c r="AO503" t="s">
        <v>53</v>
      </c>
      <c r="AP503" t="s">
        <v>53</v>
      </c>
    </row>
    <row r="504" spans="2:42" x14ac:dyDescent="0.2">
      <c r="B504" t="s">
        <v>44</v>
      </c>
      <c r="C504" t="str">
        <f>HYPERLINK("https://us2.cloudbeds.com/connect/8493803454333002#/reservations/598430929136?display=E1C9QZTS&amp;reservation_id=598430929136", "E1C9QZTS")</f>
        <v>E1C9QZTS</v>
      </c>
      <c r="D504" t="s">
        <v>45</v>
      </c>
      <c r="E504" t="s">
        <v>223</v>
      </c>
      <c r="F504" t="s">
        <v>47</v>
      </c>
      <c r="G504" t="s">
        <v>48</v>
      </c>
      <c r="H504" t="s">
        <v>49</v>
      </c>
      <c r="I504" t="s">
        <v>62</v>
      </c>
      <c r="J504" t="s">
        <v>1039</v>
      </c>
      <c r="K504" t="s">
        <v>585</v>
      </c>
      <c r="L504" t="s">
        <v>53</v>
      </c>
      <c r="N504" t="s">
        <v>1104</v>
      </c>
      <c r="P504" t="s">
        <v>55</v>
      </c>
      <c r="R504" t="s">
        <v>56</v>
      </c>
      <c r="T504" t="s">
        <v>1089</v>
      </c>
      <c r="U504" t="s">
        <v>58</v>
      </c>
      <c r="V504">
        <v>1</v>
      </c>
      <c r="W504">
        <v>1</v>
      </c>
      <c r="X504">
        <v>1</v>
      </c>
      <c r="Y504">
        <v>0</v>
      </c>
      <c r="Z504">
        <v>1</v>
      </c>
      <c r="AA504">
        <v>0</v>
      </c>
      <c r="AB504">
        <v>83.53</v>
      </c>
      <c r="AC504">
        <v>73.5</v>
      </c>
      <c r="AD504">
        <v>0</v>
      </c>
      <c r="AE504">
        <v>10.029999999999999</v>
      </c>
      <c r="AF504">
        <v>0</v>
      </c>
      <c r="AG504">
        <v>0</v>
      </c>
      <c r="AH504">
        <v>0</v>
      </c>
      <c r="AI504">
        <v>12.53</v>
      </c>
      <c r="AJ504">
        <v>83.53</v>
      </c>
      <c r="AK504">
        <v>0</v>
      </c>
      <c r="AL504" t="s">
        <v>53</v>
      </c>
      <c r="AM504" t="s">
        <v>53</v>
      </c>
      <c r="AN504" t="s">
        <v>847</v>
      </c>
      <c r="AO504" t="s">
        <v>53</v>
      </c>
      <c r="AP504" t="s">
        <v>53</v>
      </c>
    </row>
    <row r="505" spans="2:42" x14ac:dyDescent="0.2">
      <c r="B505" t="s">
        <v>44</v>
      </c>
      <c r="C505" t="str">
        <f>HYPERLINK("https://us2.cloudbeds.com/connect/8493803454333002#/reservations/598342336667?display=E1A13HPJ&amp;reservation_id=598342336667", "E1A13HPJ")</f>
        <v>E1A13HPJ</v>
      </c>
      <c r="D505" t="s">
        <v>45</v>
      </c>
      <c r="E505" t="s">
        <v>110</v>
      </c>
      <c r="F505" t="s">
        <v>47</v>
      </c>
      <c r="G505" t="s">
        <v>48</v>
      </c>
      <c r="H505" t="s">
        <v>71</v>
      </c>
      <c r="I505" t="s">
        <v>72</v>
      </c>
      <c r="J505" t="s">
        <v>850</v>
      </c>
      <c r="K505" t="s">
        <v>115</v>
      </c>
      <c r="L505" t="s">
        <v>53</v>
      </c>
      <c r="N505" t="s">
        <v>1105</v>
      </c>
      <c r="P505" t="s">
        <v>55</v>
      </c>
      <c r="R505" t="s">
        <v>56</v>
      </c>
      <c r="T505" t="s">
        <v>1106</v>
      </c>
      <c r="U505" t="s">
        <v>58</v>
      </c>
      <c r="V505">
        <v>2</v>
      </c>
      <c r="W505">
        <v>1</v>
      </c>
      <c r="X505">
        <v>1</v>
      </c>
      <c r="Y505">
        <v>0</v>
      </c>
      <c r="Z505">
        <v>1</v>
      </c>
      <c r="AA505">
        <v>0</v>
      </c>
      <c r="AB505">
        <v>170.48</v>
      </c>
      <c r="AC505">
        <v>150</v>
      </c>
      <c r="AD505">
        <v>0</v>
      </c>
      <c r="AE505">
        <v>20.5</v>
      </c>
      <c r="AF505">
        <v>0</v>
      </c>
      <c r="AG505">
        <v>0</v>
      </c>
      <c r="AH505">
        <v>0</v>
      </c>
      <c r="AI505">
        <v>0</v>
      </c>
      <c r="AJ505">
        <v>170.5</v>
      </c>
      <c r="AK505">
        <v>0.02</v>
      </c>
      <c r="AL505" t="s">
        <v>53</v>
      </c>
      <c r="AM505" t="s">
        <v>53</v>
      </c>
      <c r="AN505" t="s">
        <v>1107</v>
      </c>
      <c r="AO505" t="s">
        <v>53</v>
      </c>
      <c r="AP505" t="s">
        <v>53</v>
      </c>
    </row>
    <row r="506" spans="2:42" x14ac:dyDescent="0.2">
      <c r="B506" t="s">
        <v>44</v>
      </c>
      <c r="C506" t="str">
        <f>HYPERLINK("https://us2.cloudbeds.com/connect/8493803454333002#/reservations/598362960072?display=E1AXGDN8&amp;reservation_id=598362960072", "E1AXGDN8")</f>
        <v>E1AXGDN8</v>
      </c>
      <c r="D506" t="s">
        <v>45</v>
      </c>
      <c r="E506" t="s">
        <v>85</v>
      </c>
      <c r="F506" t="s">
        <v>86</v>
      </c>
      <c r="G506" t="s">
        <v>48</v>
      </c>
      <c r="H506" t="s">
        <v>49</v>
      </c>
      <c r="I506" t="s">
        <v>266</v>
      </c>
      <c r="J506" t="s">
        <v>901</v>
      </c>
      <c r="K506" t="s">
        <v>850</v>
      </c>
      <c r="L506" t="s">
        <v>53</v>
      </c>
      <c r="N506" t="s">
        <v>1108</v>
      </c>
      <c r="P506" t="s">
        <v>55</v>
      </c>
      <c r="R506" t="s">
        <v>56</v>
      </c>
      <c r="T506" t="s">
        <v>1106</v>
      </c>
      <c r="U506" t="s">
        <v>58</v>
      </c>
      <c r="V506">
        <v>1</v>
      </c>
      <c r="W506">
        <v>1</v>
      </c>
      <c r="X506">
        <v>1</v>
      </c>
      <c r="Y506">
        <v>0</v>
      </c>
      <c r="Z506">
        <v>1</v>
      </c>
      <c r="AA506">
        <v>0</v>
      </c>
      <c r="AB506">
        <v>102.29</v>
      </c>
      <c r="AC506">
        <v>90</v>
      </c>
      <c r="AD506">
        <v>0</v>
      </c>
      <c r="AE506">
        <v>12.29</v>
      </c>
      <c r="AF506">
        <v>0</v>
      </c>
      <c r="AG506">
        <v>0</v>
      </c>
      <c r="AH506">
        <v>0</v>
      </c>
      <c r="AI506">
        <v>0</v>
      </c>
      <c r="AJ506">
        <v>102.29</v>
      </c>
      <c r="AK506">
        <v>0</v>
      </c>
      <c r="AL506" t="s">
        <v>53</v>
      </c>
      <c r="AM506" t="s">
        <v>53</v>
      </c>
      <c r="AN506" t="s">
        <v>178</v>
      </c>
      <c r="AO506" t="s">
        <v>53</v>
      </c>
      <c r="AP506" t="s">
        <v>53</v>
      </c>
    </row>
    <row r="507" spans="2:42" x14ac:dyDescent="0.2">
      <c r="B507" t="s">
        <v>44</v>
      </c>
      <c r="C507" t="str">
        <f>HYPERLINK("https://us2.cloudbeds.com/connect/8493803454333002#/reservations/598558503090?display=E1FXCMN8&amp;reservation_id=598558503090", "E1FXCMN8")</f>
        <v>E1FXCMN8</v>
      </c>
      <c r="D507" t="s">
        <v>45</v>
      </c>
      <c r="E507" t="s">
        <v>113</v>
      </c>
      <c r="F507" t="s">
        <v>61</v>
      </c>
      <c r="G507" t="s">
        <v>48</v>
      </c>
      <c r="H507" t="s">
        <v>71</v>
      </c>
      <c r="I507" t="s">
        <v>72</v>
      </c>
      <c r="J507" t="s">
        <v>203</v>
      </c>
      <c r="K507" t="s">
        <v>419</v>
      </c>
      <c r="L507" t="s">
        <v>53</v>
      </c>
      <c r="N507" t="s">
        <v>1109</v>
      </c>
      <c r="P507" t="s">
        <v>55</v>
      </c>
      <c r="R507" t="s">
        <v>56</v>
      </c>
      <c r="T507" t="s">
        <v>1106</v>
      </c>
      <c r="U507" t="s">
        <v>58</v>
      </c>
      <c r="V507">
        <v>2</v>
      </c>
      <c r="W507">
        <v>1</v>
      </c>
      <c r="X507">
        <v>1</v>
      </c>
      <c r="Y507">
        <v>0</v>
      </c>
      <c r="Z507">
        <v>1</v>
      </c>
      <c r="AA507">
        <v>0</v>
      </c>
      <c r="AB507">
        <v>168.2</v>
      </c>
      <c r="AC507">
        <v>148</v>
      </c>
      <c r="AD507">
        <v>0</v>
      </c>
      <c r="AE507">
        <v>20.22</v>
      </c>
      <c r="AF507">
        <v>0</v>
      </c>
      <c r="AG507">
        <v>0</v>
      </c>
      <c r="AH507">
        <v>0</v>
      </c>
      <c r="AI507">
        <v>0</v>
      </c>
      <c r="AJ507">
        <v>168.22</v>
      </c>
      <c r="AK507">
        <v>0.02</v>
      </c>
      <c r="AL507" t="s">
        <v>53</v>
      </c>
      <c r="AM507" t="s">
        <v>53</v>
      </c>
      <c r="AN507" t="s">
        <v>1110</v>
      </c>
      <c r="AO507" t="s">
        <v>53</v>
      </c>
      <c r="AP507" t="s">
        <v>53</v>
      </c>
    </row>
    <row r="508" spans="2:42" x14ac:dyDescent="0.2">
      <c r="B508" t="s">
        <v>44</v>
      </c>
      <c r="C508" t="str">
        <f>HYPERLINK("https://us2.cloudbeds.com/connect/8493803454333002#/reservations/598275043538?display=E18AC08S&amp;reservation_id=598275043538", "E18AC08S")</f>
        <v>E18AC08S</v>
      </c>
      <c r="D508" t="s">
        <v>45</v>
      </c>
      <c r="E508" t="s">
        <v>406</v>
      </c>
      <c r="F508" t="s">
        <v>61</v>
      </c>
      <c r="G508" t="s">
        <v>48</v>
      </c>
      <c r="H508" t="s">
        <v>71</v>
      </c>
      <c r="I508" t="s">
        <v>72</v>
      </c>
      <c r="J508" t="s">
        <v>454</v>
      </c>
      <c r="K508" t="s">
        <v>455</v>
      </c>
      <c r="L508" t="s">
        <v>53</v>
      </c>
      <c r="N508" t="s">
        <v>1111</v>
      </c>
      <c r="P508" t="s">
        <v>55</v>
      </c>
      <c r="R508" t="s">
        <v>56</v>
      </c>
      <c r="T508" t="s">
        <v>1106</v>
      </c>
      <c r="U508" t="s">
        <v>58</v>
      </c>
      <c r="V508">
        <v>1</v>
      </c>
      <c r="W508">
        <v>1</v>
      </c>
      <c r="X508">
        <v>1</v>
      </c>
      <c r="Y508">
        <v>0</v>
      </c>
      <c r="Z508">
        <v>1</v>
      </c>
      <c r="AA508">
        <v>0</v>
      </c>
      <c r="AB508">
        <v>109.1</v>
      </c>
      <c r="AC508">
        <v>96</v>
      </c>
      <c r="AD508">
        <v>0</v>
      </c>
      <c r="AE508">
        <v>13.1</v>
      </c>
      <c r="AF508">
        <v>0</v>
      </c>
      <c r="AG508">
        <v>0</v>
      </c>
      <c r="AH508">
        <v>0</v>
      </c>
      <c r="AI508">
        <v>0</v>
      </c>
      <c r="AJ508">
        <v>109.1</v>
      </c>
      <c r="AK508">
        <v>0</v>
      </c>
      <c r="AL508" t="s">
        <v>53</v>
      </c>
      <c r="AM508" t="s">
        <v>53</v>
      </c>
      <c r="AN508" t="s">
        <v>1112</v>
      </c>
      <c r="AO508" t="s">
        <v>53</v>
      </c>
      <c r="AP508" t="s">
        <v>53</v>
      </c>
    </row>
    <row r="509" spans="2:42" x14ac:dyDescent="0.2">
      <c r="B509" t="s">
        <v>44</v>
      </c>
      <c r="C509" t="str">
        <f>HYPERLINK("https://us2.cloudbeds.com/connect/8493803454333002#/reservations/598338629849?display=E19UWCTP&amp;reservation_id=598338629849", "E19UWCTP")</f>
        <v>E19UWCTP</v>
      </c>
      <c r="D509" t="s">
        <v>45</v>
      </c>
      <c r="E509" t="s">
        <v>179</v>
      </c>
      <c r="F509" t="s">
        <v>47</v>
      </c>
      <c r="G509" t="s">
        <v>48</v>
      </c>
      <c r="H509" t="s">
        <v>49</v>
      </c>
      <c r="I509" t="s">
        <v>50</v>
      </c>
      <c r="J509" t="s">
        <v>791</v>
      </c>
      <c r="K509" t="s">
        <v>1113</v>
      </c>
      <c r="L509" t="s">
        <v>53</v>
      </c>
      <c r="N509" t="s">
        <v>1114</v>
      </c>
      <c r="P509" t="s">
        <v>55</v>
      </c>
      <c r="R509" t="s">
        <v>56</v>
      </c>
      <c r="T509" t="s">
        <v>1106</v>
      </c>
      <c r="U509" t="s">
        <v>58</v>
      </c>
      <c r="V509">
        <v>3</v>
      </c>
      <c r="W509">
        <v>1</v>
      </c>
      <c r="X509">
        <v>1</v>
      </c>
      <c r="Y509">
        <v>0</v>
      </c>
      <c r="Z509">
        <v>1</v>
      </c>
      <c r="AA509">
        <v>0</v>
      </c>
      <c r="AB509">
        <v>212.75</v>
      </c>
      <c r="AC509">
        <v>187.2</v>
      </c>
      <c r="AD509">
        <v>0</v>
      </c>
      <c r="AE509">
        <v>25.56</v>
      </c>
      <c r="AF509">
        <v>0</v>
      </c>
      <c r="AG509">
        <v>0</v>
      </c>
      <c r="AH509">
        <v>0</v>
      </c>
      <c r="AI509">
        <v>38.299999999999997</v>
      </c>
      <c r="AJ509">
        <v>212.76</v>
      </c>
      <c r="AK509">
        <v>0.01</v>
      </c>
      <c r="AL509" t="s">
        <v>53</v>
      </c>
      <c r="AM509" t="s">
        <v>53</v>
      </c>
      <c r="AN509" t="s">
        <v>245</v>
      </c>
      <c r="AO509" t="s">
        <v>53</v>
      </c>
      <c r="AP509" t="s">
        <v>53</v>
      </c>
    </row>
    <row r="510" spans="2:42" x14ac:dyDescent="0.2">
      <c r="B510" t="s">
        <v>44</v>
      </c>
      <c r="C510" t="str">
        <f>HYPERLINK("https://us2.cloudbeds.com/connect/8493803454333002#/reservations/598102565033?display=E13TUHQG&amp;reservation_id=598102565033", "E13TUHQG")</f>
        <v>E13TUHQG</v>
      </c>
      <c r="D510" t="s">
        <v>45</v>
      </c>
      <c r="E510" t="s">
        <v>105</v>
      </c>
      <c r="F510" t="s">
        <v>47</v>
      </c>
      <c r="G510" t="s">
        <v>48</v>
      </c>
      <c r="H510" t="s">
        <v>49</v>
      </c>
      <c r="I510" t="s">
        <v>50</v>
      </c>
      <c r="J510" t="s">
        <v>705</v>
      </c>
      <c r="K510" t="s">
        <v>706</v>
      </c>
      <c r="L510" t="s">
        <v>53</v>
      </c>
      <c r="N510" t="s">
        <v>1115</v>
      </c>
      <c r="P510" t="s">
        <v>55</v>
      </c>
      <c r="R510" t="s">
        <v>56</v>
      </c>
      <c r="T510" t="s">
        <v>1106</v>
      </c>
      <c r="U510" t="s">
        <v>58</v>
      </c>
      <c r="V510">
        <v>1</v>
      </c>
      <c r="W510">
        <v>1</v>
      </c>
      <c r="X510">
        <v>1</v>
      </c>
      <c r="Y510">
        <v>0</v>
      </c>
      <c r="Z510">
        <v>1</v>
      </c>
      <c r="AA510">
        <v>0</v>
      </c>
      <c r="AB510">
        <v>76.709999999999994</v>
      </c>
      <c r="AC510">
        <v>67.5</v>
      </c>
      <c r="AD510">
        <v>0</v>
      </c>
      <c r="AE510">
        <v>9.2100000000000009</v>
      </c>
      <c r="AF510">
        <v>0</v>
      </c>
      <c r="AG510">
        <v>0</v>
      </c>
      <c r="AH510">
        <v>0</v>
      </c>
      <c r="AI510">
        <v>13.81</v>
      </c>
      <c r="AJ510">
        <v>76.709999999999994</v>
      </c>
      <c r="AK510">
        <v>0</v>
      </c>
      <c r="AL510" t="s">
        <v>53</v>
      </c>
      <c r="AM510" t="s">
        <v>53</v>
      </c>
      <c r="AN510" t="s">
        <v>1116</v>
      </c>
      <c r="AO510" t="s">
        <v>53</v>
      </c>
      <c r="AP510" t="s">
        <v>53</v>
      </c>
    </row>
    <row r="511" spans="2:42" x14ac:dyDescent="0.2">
      <c r="B511" t="s">
        <v>44</v>
      </c>
      <c r="C511" t="str">
        <f>HYPERLINK("https://us2.cloudbeds.com/connect/8493803454333002#/reservations/598021726411?display=E11RP2R4&amp;reservation_id=598021726411", "E11RP2R4")</f>
        <v>E11RP2R4</v>
      </c>
      <c r="D511" t="s">
        <v>45</v>
      </c>
      <c r="E511" t="s">
        <v>213</v>
      </c>
      <c r="F511" t="s">
        <v>86</v>
      </c>
      <c r="G511" t="s">
        <v>48</v>
      </c>
      <c r="H511" t="s">
        <v>71</v>
      </c>
      <c r="I511" t="s">
        <v>72</v>
      </c>
      <c r="J511" t="s">
        <v>1117</v>
      </c>
      <c r="K511" t="s">
        <v>699</v>
      </c>
      <c r="L511" t="s">
        <v>53</v>
      </c>
      <c r="N511" t="s">
        <v>1118</v>
      </c>
      <c r="P511" t="s">
        <v>55</v>
      </c>
      <c r="R511" t="s">
        <v>56</v>
      </c>
      <c r="T511" t="s">
        <v>1106</v>
      </c>
      <c r="U511" t="s">
        <v>58</v>
      </c>
      <c r="V511">
        <v>1</v>
      </c>
      <c r="W511">
        <v>1</v>
      </c>
      <c r="X511">
        <v>1</v>
      </c>
      <c r="Y511">
        <v>0</v>
      </c>
      <c r="Z511">
        <v>1</v>
      </c>
      <c r="AA511">
        <v>0</v>
      </c>
      <c r="AB511">
        <v>128.41999999999999</v>
      </c>
      <c r="AC511">
        <v>113</v>
      </c>
      <c r="AD511">
        <v>0</v>
      </c>
      <c r="AE511">
        <v>15.43</v>
      </c>
      <c r="AF511">
        <v>0</v>
      </c>
      <c r="AG511">
        <v>0</v>
      </c>
      <c r="AH511">
        <v>0</v>
      </c>
      <c r="AI511">
        <v>0</v>
      </c>
      <c r="AJ511">
        <v>128.43</v>
      </c>
      <c r="AK511">
        <v>0.01</v>
      </c>
      <c r="AL511" t="s">
        <v>53</v>
      </c>
      <c r="AM511" t="s">
        <v>53</v>
      </c>
      <c r="AN511" t="s">
        <v>1119</v>
      </c>
      <c r="AO511" t="s">
        <v>53</v>
      </c>
      <c r="AP511" t="s">
        <v>53</v>
      </c>
    </row>
    <row r="512" spans="2:42" x14ac:dyDescent="0.2">
      <c r="B512" t="s">
        <v>44</v>
      </c>
      <c r="C512" t="str">
        <f>HYPERLINK("https://us2.cloudbeds.com/connect/8493803454333002#/reservations/598084370645?display=E13EJ8CD&amp;reservation_id=598084370645", "E13EJ8CD")</f>
        <v>E13EJ8CD</v>
      </c>
      <c r="D512" t="s">
        <v>45</v>
      </c>
      <c r="E512" t="s">
        <v>179</v>
      </c>
      <c r="F512" t="s">
        <v>47</v>
      </c>
      <c r="G512" t="s">
        <v>48</v>
      </c>
      <c r="H512" t="s">
        <v>49</v>
      </c>
      <c r="I512" t="s">
        <v>114</v>
      </c>
      <c r="J512" t="s">
        <v>833</v>
      </c>
      <c r="K512" t="s">
        <v>714</v>
      </c>
      <c r="L512" t="s">
        <v>53</v>
      </c>
      <c r="N512" t="s">
        <v>1120</v>
      </c>
      <c r="P512" t="s">
        <v>55</v>
      </c>
      <c r="R512" t="s">
        <v>56</v>
      </c>
      <c r="T512" t="s">
        <v>1106</v>
      </c>
      <c r="U512" t="s">
        <v>58</v>
      </c>
      <c r="V512">
        <v>1</v>
      </c>
      <c r="W512">
        <v>1</v>
      </c>
      <c r="X512">
        <v>1</v>
      </c>
      <c r="Y512">
        <v>0</v>
      </c>
      <c r="Z512">
        <v>1</v>
      </c>
      <c r="AA512">
        <v>0</v>
      </c>
      <c r="AB512">
        <v>86.37</v>
      </c>
      <c r="AC512">
        <v>76</v>
      </c>
      <c r="AD512">
        <v>0</v>
      </c>
      <c r="AE512">
        <v>10.37</v>
      </c>
      <c r="AF512">
        <v>0</v>
      </c>
      <c r="AG512">
        <v>0</v>
      </c>
      <c r="AH512">
        <v>0</v>
      </c>
      <c r="AI512">
        <v>0</v>
      </c>
      <c r="AJ512">
        <v>86.37</v>
      </c>
      <c r="AK512">
        <v>0</v>
      </c>
      <c r="AL512" t="s">
        <v>53</v>
      </c>
      <c r="AM512" t="s">
        <v>53</v>
      </c>
      <c r="AN512" t="s">
        <v>1121</v>
      </c>
      <c r="AO512" t="s">
        <v>53</v>
      </c>
      <c r="AP512" t="s">
        <v>53</v>
      </c>
    </row>
    <row r="513" spans="2:42" x14ac:dyDescent="0.2">
      <c r="B513" t="s">
        <v>44</v>
      </c>
      <c r="C513" t="str">
        <f>HYPERLINK("https://us2.cloudbeds.com/connect/8493803454333002#/reservations/598529089749?display=E1EQJ76T&amp;reservation_id=598529089749", "E1EQJ76T")</f>
        <v>E1EQJ76T</v>
      </c>
      <c r="D513" t="s">
        <v>45</v>
      </c>
      <c r="E513" t="s">
        <v>223</v>
      </c>
      <c r="F513" t="s">
        <v>47</v>
      </c>
      <c r="G513" t="s">
        <v>48</v>
      </c>
      <c r="H513" t="s">
        <v>71</v>
      </c>
      <c r="I513" t="s">
        <v>72</v>
      </c>
      <c r="J513" t="s">
        <v>833</v>
      </c>
      <c r="K513" t="s">
        <v>714</v>
      </c>
      <c r="L513" t="s">
        <v>53</v>
      </c>
      <c r="N513" t="s">
        <v>1122</v>
      </c>
      <c r="P513" t="s">
        <v>58</v>
      </c>
      <c r="R513" t="s">
        <v>56</v>
      </c>
      <c r="T513" t="s">
        <v>1106</v>
      </c>
      <c r="U513" t="s">
        <v>58</v>
      </c>
      <c r="V513">
        <v>1</v>
      </c>
      <c r="W513">
        <v>1</v>
      </c>
      <c r="X513">
        <v>1</v>
      </c>
      <c r="Y513">
        <v>0</v>
      </c>
      <c r="Z513">
        <v>1</v>
      </c>
      <c r="AA513">
        <v>0</v>
      </c>
      <c r="AB513">
        <v>85.24</v>
      </c>
      <c r="AC513">
        <v>75</v>
      </c>
      <c r="AD513">
        <v>0</v>
      </c>
      <c r="AE513">
        <v>10.25</v>
      </c>
      <c r="AF513">
        <v>0</v>
      </c>
      <c r="AG513">
        <v>0</v>
      </c>
      <c r="AH513">
        <v>0</v>
      </c>
      <c r="AI513">
        <v>0</v>
      </c>
      <c r="AJ513">
        <v>85.25</v>
      </c>
      <c r="AK513">
        <v>0.01</v>
      </c>
      <c r="AL513" t="s">
        <v>53</v>
      </c>
      <c r="AM513" t="s">
        <v>53</v>
      </c>
      <c r="AN513" t="s">
        <v>1123</v>
      </c>
      <c r="AO513" t="s">
        <v>53</v>
      </c>
      <c r="AP513" t="s">
        <v>53</v>
      </c>
    </row>
    <row r="514" spans="2:42" x14ac:dyDescent="0.2">
      <c r="B514" t="s">
        <v>44</v>
      </c>
      <c r="C514" t="str">
        <f>HYPERLINK("https://us2.cloudbeds.com/connect/8493803454333002#/reservations/598324076747?display=E19XNE5K&amp;reservation_id=598324076747", "E19XNE5K")</f>
        <v>E19XNE5K</v>
      </c>
      <c r="D514" t="s">
        <v>45</v>
      </c>
      <c r="E514" t="s">
        <v>190</v>
      </c>
      <c r="F514" t="s">
        <v>61</v>
      </c>
      <c r="G514" t="s">
        <v>48</v>
      </c>
      <c r="H514" t="s">
        <v>49</v>
      </c>
      <c r="I514" t="s">
        <v>79</v>
      </c>
      <c r="J514" t="s">
        <v>233</v>
      </c>
      <c r="K514" t="s">
        <v>1124</v>
      </c>
      <c r="L514" t="s">
        <v>53</v>
      </c>
      <c r="N514" t="s">
        <v>1125</v>
      </c>
      <c r="P514" t="s">
        <v>55</v>
      </c>
      <c r="R514" t="s">
        <v>56</v>
      </c>
      <c r="T514" t="s">
        <v>1106</v>
      </c>
      <c r="U514" t="s">
        <v>58</v>
      </c>
      <c r="V514">
        <v>1</v>
      </c>
      <c r="W514">
        <v>1</v>
      </c>
      <c r="X514">
        <v>1</v>
      </c>
      <c r="Y514">
        <v>0</v>
      </c>
      <c r="Z514">
        <v>1</v>
      </c>
      <c r="AA514">
        <v>0</v>
      </c>
      <c r="AB514">
        <v>86.94</v>
      </c>
      <c r="AC514">
        <v>76.5</v>
      </c>
      <c r="AD514">
        <v>0</v>
      </c>
      <c r="AE514">
        <v>10.45</v>
      </c>
      <c r="AF514">
        <v>0</v>
      </c>
      <c r="AG514">
        <v>0</v>
      </c>
      <c r="AH514">
        <v>0</v>
      </c>
      <c r="AI514">
        <v>0</v>
      </c>
      <c r="AJ514">
        <v>86.95</v>
      </c>
      <c r="AK514">
        <v>0.01</v>
      </c>
      <c r="AL514" t="s">
        <v>53</v>
      </c>
      <c r="AM514" t="s">
        <v>53</v>
      </c>
      <c r="AN514" t="s">
        <v>316</v>
      </c>
      <c r="AO514" t="s">
        <v>53</v>
      </c>
      <c r="AP514" t="s">
        <v>53</v>
      </c>
    </row>
    <row r="515" spans="2:42" x14ac:dyDescent="0.2">
      <c r="B515" t="s">
        <v>44</v>
      </c>
      <c r="C515" t="str">
        <f>HYPERLINK("https://us2.cloudbeds.com/connect/8493803454333002#/reservations/598384881857?display=E1B3WA6X&amp;reservation_id=598384881857", "E1B3WA6X")</f>
        <v>E1B3WA6X</v>
      </c>
      <c r="D515" t="s">
        <v>45</v>
      </c>
      <c r="E515" t="s">
        <v>46</v>
      </c>
      <c r="F515" t="s">
        <v>47</v>
      </c>
      <c r="G515" t="s">
        <v>48</v>
      </c>
      <c r="H515" t="s">
        <v>49</v>
      </c>
      <c r="I515" t="s">
        <v>50</v>
      </c>
      <c r="J515" t="s">
        <v>901</v>
      </c>
      <c r="K515" t="s">
        <v>116</v>
      </c>
      <c r="L515" t="s">
        <v>53</v>
      </c>
      <c r="N515" t="s">
        <v>1126</v>
      </c>
      <c r="P515" t="s">
        <v>55</v>
      </c>
      <c r="R515" t="s">
        <v>56</v>
      </c>
      <c r="T515" t="s">
        <v>1106</v>
      </c>
      <c r="U515" t="s">
        <v>58</v>
      </c>
      <c r="V515">
        <v>4</v>
      </c>
      <c r="W515">
        <v>1</v>
      </c>
      <c r="X515">
        <v>1</v>
      </c>
      <c r="Y515">
        <v>0</v>
      </c>
      <c r="Z515">
        <v>1</v>
      </c>
      <c r="AA515">
        <v>0</v>
      </c>
      <c r="AB515">
        <v>332.43</v>
      </c>
      <c r="AC515">
        <v>292.5</v>
      </c>
      <c r="AD515">
        <v>0</v>
      </c>
      <c r="AE515">
        <v>39.92</v>
      </c>
      <c r="AF515">
        <v>0</v>
      </c>
      <c r="AG515">
        <v>0</v>
      </c>
      <c r="AH515">
        <v>0</v>
      </c>
      <c r="AI515">
        <v>59.84</v>
      </c>
      <c r="AJ515">
        <v>332.42</v>
      </c>
      <c r="AK515">
        <v>-0.01</v>
      </c>
      <c r="AL515" t="s">
        <v>53</v>
      </c>
      <c r="AM515" t="s">
        <v>53</v>
      </c>
      <c r="AN515" t="s">
        <v>112</v>
      </c>
      <c r="AO515" t="s">
        <v>53</v>
      </c>
      <c r="AP515" t="s">
        <v>53</v>
      </c>
    </row>
    <row r="516" spans="2:42" x14ac:dyDescent="0.2">
      <c r="B516" t="s">
        <v>44</v>
      </c>
      <c r="C516" t="str">
        <f>HYPERLINK("https://us2.cloudbeds.com/connect/8493803454333002#/reservations/598239367390?display=E17D98QF&amp;reservation_id=598239367390", "E17D98QF")</f>
        <v>E17D98QF</v>
      </c>
      <c r="D516" t="s">
        <v>45</v>
      </c>
      <c r="E516" t="s">
        <v>265</v>
      </c>
      <c r="F516" t="s">
        <v>61</v>
      </c>
      <c r="G516" t="s">
        <v>48</v>
      </c>
      <c r="H516" t="s">
        <v>71</v>
      </c>
      <c r="I516" t="s">
        <v>72</v>
      </c>
      <c r="J516" t="s">
        <v>833</v>
      </c>
      <c r="K516" t="s">
        <v>706</v>
      </c>
      <c r="L516" t="s">
        <v>53</v>
      </c>
      <c r="N516" t="s">
        <v>1127</v>
      </c>
      <c r="P516" t="s">
        <v>55</v>
      </c>
      <c r="R516" t="s">
        <v>56</v>
      </c>
      <c r="T516" t="s">
        <v>1128</v>
      </c>
      <c r="U516" t="s">
        <v>58</v>
      </c>
      <c r="V516">
        <v>3</v>
      </c>
      <c r="W516">
        <v>1</v>
      </c>
      <c r="X516">
        <v>1</v>
      </c>
      <c r="Y516">
        <v>0</v>
      </c>
      <c r="Z516">
        <v>1</v>
      </c>
      <c r="AA516">
        <v>0</v>
      </c>
      <c r="AB516">
        <v>282.99</v>
      </c>
      <c r="AC516">
        <v>249</v>
      </c>
      <c r="AD516">
        <v>0</v>
      </c>
      <c r="AE516">
        <v>34.020000000000003</v>
      </c>
      <c r="AF516">
        <v>0</v>
      </c>
      <c r="AG516">
        <v>0</v>
      </c>
      <c r="AH516">
        <v>0</v>
      </c>
      <c r="AI516">
        <v>0</v>
      </c>
      <c r="AJ516">
        <v>283.02</v>
      </c>
      <c r="AK516">
        <v>0.03</v>
      </c>
      <c r="AL516" t="s">
        <v>53</v>
      </c>
      <c r="AM516" t="s">
        <v>53</v>
      </c>
      <c r="AN516" t="s">
        <v>1129</v>
      </c>
      <c r="AO516" t="s">
        <v>53</v>
      </c>
      <c r="AP516" t="s">
        <v>53</v>
      </c>
    </row>
    <row r="517" spans="2:42" x14ac:dyDescent="0.2">
      <c r="B517" t="s">
        <v>44</v>
      </c>
      <c r="C517" t="str">
        <f>HYPERLINK("https://us2.cloudbeds.com/connect/8493803454333002#/reservations/598508929235?display=E1E9J7B7&amp;reservation_id=598508929235", "E1E9J7B7")</f>
        <v>E1E9J7B7</v>
      </c>
      <c r="D517" t="s">
        <v>45</v>
      </c>
      <c r="E517" t="s">
        <v>110</v>
      </c>
      <c r="F517" t="s">
        <v>47</v>
      </c>
      <c r="G517" t="s">
        <v>48</v>
      </c>
      <c r="H517" t="s">
        <v>49</v>
      </c>
      <c r="I517" t="s">
        <v>114</v>
      </c>
      <c r="J517" t="s">
        <v>192</v>
      </c>
      <c r="K517" t="s">
        <v>938</v>
      </c>
      <c r="L517" t="s">
        <v>53</v>
      </c>
      <c r="N517" t="s">
        <v>1130</v>
      </c>
      <c r="P517" t="s">
        <v>55</v>
      </c>
      <c r="R517" t="s">
        <v>56</v>
      </c>
      <c r="T517" t="s">
        <v>1128</v>
      </c>
      <c r="U517" t="s">
        <v>58</v>
      </c>
      <c r="V517">
        <v>4</v>
      </c>
      <c r="W517">
        <v>1</v>
      </c>
      <c r="X517">
        <v>1</v>
      </c>
      <c r="Y517">
        <v>0</v>
      </c>
      <c r="Z517">
        <v>1</v>
      </c>
      <c r="AA517">
        <v>0</v>
      </c>
      <c r="AB517">
        <v>445.51</v>
      </c>
      <c r="AC517">
        <v>392</v>
      </c>
      <c r="AD517">
        <v>0</v>
      </c>
      <c r="AE517">
        <v>53.52</v>
      </c>
      <c r="AF517">
        <v>0</v>
      </c>
      <c r="AG517">
        <v>0</v>
      </c>
      <c r="AH517">
        <v>0</v>
      </c>
      <c r="AI517">
        <v>0</v>
      </c>
      <c r="AJ517">
        <v>445.52</v>
      </c>
      <c r="AK517">
        <v>0.01</v>
      </c>
      <c r="AL517" t="s">
        <v>53</v>
      </c>
      <c r="AM517" t="s">
        <v>53</v>
      </c>
      <c r="AN517" t="s">
        <v>1131</v>
      </c>
      <c r="AO517" t="s">
        <v>53</v>
      </c>
      <c r="AP517" t="s">
        <v>53</v>
      </c>
    </row>
    <row r="518" spans="2:42" x14ac:dyDescent="0.2">
      <c r="B518" t="s">
        <v>44</v>
      </c>
      <c r="C518" t="str">
        <f>HYPERLINK("https://us2.cloudbeds.com/connect/8493803454333002#/reservations/598151360658?display=E1552BHQ&amp;reservation_id=598151360658", "E1552BHQ")</f>
        <v>E1552BHQ</v>
      </c>
      <c r="D518" t="s">
        <v>45</v>
      </c>
      <c r="E518" t="s">
        <v>69</v>
      </c>
      <c r="F518" t="s">
        <v>70</v>
      </c>
      <c r="G518" t="s">
        <v>48</v>
      </c>
      <c r="H518" t="s">
        <v>49</v>
      </c>
      <c r="I518" t="s">
        <v>50</v>
      </c>
      <c r="J518" t="s">
        <v>186</v>
      </c>
      <c r="K518" t="s">
        <v>187</v>
      </c>
      <c r="L518" t="s">
        <v>53</v>
      </c>
      <c r="N518" t="s">
        <v>1132</v>
      </c>
      <c r="P518" t="s">
        <v>55</v>
      </c>
      <c r="R518" t="s">
        <v>56</v>
      </c>
      <c r="T518" t="s">
        <v>1128</v>
      </c>
      <c r="U518" t="s">
        <v>58</v>
      </c>
      <c r="V518">
        <v>1</v>
      </c>
      <c r="W518">
        <v>1</v>
      </c>
      <c r="X518">
        <v>1</v>
      </c>
      <c r="Y518">
        <v>0</v>
      </c>
      <c r="Z518">
        <v>1</v>
      </c>
      <c r="AA518">
        <v>0</v>
      </c>
      <c r="AB518">
        <v>75.69</v>
      </c>
      <c r="AC518">
        <v>66.599999999999994</v>
      </c>
      <c r="AD518">
        <v>0</v>
      </c>
      <c r="AE518">
        <v>9.09</v>
      </c>
      <c r="AF518">
        <v>0</v>
      </c>
      <c r="AG518">
        <v>0</v>
      </c>
      <c r="AH518">
        <v>0</v>
      </c>
      <c r="AI518">
        <v>13.62</v>
      </c>
      <c r="AJ518">
        <v>75.69</v>
      </c>
      <c r="AK518">
        <v>0</v>
      </c>
      <c r="AL518" t="s">
        <v>53</v>
      </c>
      <c r="AM518" t="s">
        <v>53</v>
      </c>
      <c r="AN518" t="s">
        <v>137</v>
      </c>
      <c r="AO518" t="s">
        <v>53</v>
      </c>
      <c r="AP518" t="s">
        <v>53</v>
      </c>
    </row>
    <row r="519" spans="2:42" x14ac:dyDescent="0.2">
      <c r="B519" t="s">
        <v>44</v>
      </c>
      <c r="C519" t="str">
        <f>HYPERLINK("https://us2.cloudbeds.com/connect/8493803454333002#/reservations/598510067929?display=E1EAHTW3&amp;reservation_id=598510067929", "E1EAHTW3")</f>
        <v>E1EAHTW3</v>
      </c>
      <c r="D519" t="s">
        <v>45</v>
      </c>
      <c r="E519" t="s">
        <v>98</v>
      </c>
      <c r="F519" t="s">
        <v>86</v>
      </c>
      <c r="G519" t="s">
        <v>48</v>
      </c>
      <c r="H519" t="s">
        <v>49</v>
      </c>
      <c r="I519" t="s">
        <v>50</v>
      </c>
      <c r="J519" t="s">
        <v>130</v>
      </c>
      <c r="K519" t="s">
        <v>87</v>
      </c>
      <c r="L519" t="s">
        <v>53</v>
      </c>
      <c r="N519" t="s">
        <v>1133</v>
      </c>
      <c r="P519" t="s">
        <v>55</v>
      </c>
      <c r="R519" t="s">
        <v>56</v>
      </c>
      <c r="T519" t="s">
        <v>1128</v>
      </c>
      <c r="U519" t="s">
        <v>58</v>
      </c>
      <c r="V519">
        <v>1</v>
      </c>
      <c r="W519">
        <v>1</v>
      </c>
      <c r="X519">
        <v>1</v>
      </c>
      <c r="Y519">
        <v>0</v>
      </c>
      <c r="Z519">
        <v>1</v>
      </c>
      <c r="AA519">
        <v>0</v>
      </c>
      <c r="AB519">
        <v>153.43</v>
      </c>
      <c r="AC519">
        <v>135</v>
      </c>
      <c r="AD519">
        <v>0</v>
      </c>
      <c r="AE519">
        <v>18.440000000000001</v>
      </c>
      <c r="AF519">
        <v>0</v>
      </c>
      <c r="AG519">
        <v>0</v>
      </c>
      <c r="AH519">
        <v>0</v>
      </c>
      <c r="AI519">
        <v>27.62</v>
      </c>
      <c r="AJ519">
        <v>153.44</v>
      </c>
      <c r="AK519">
        <v>0.01</v>
      </c>
      <c r="AL519" t="s">
        <v>53</v>
      </c>
      <c r="AM519" t="s">
        <v>53</v>
      </c>
      <c r="AN519" t="s">
        <v>1134</v>
      </c>
      <c r="AO519" t="s">
        <v>53</v>
      </c>
      <c r="AP519" t="s">
        <v>53</v>
      </c>
    </row>
    <row r="520" spans="2:42" x14ac:dyDescent="0.2">
      <c r="B520" t="s">
        <v>44</v>
      </c>
      <c r="C520" t="str">
        <f>HYPERLINK("https://us2.cloudbeds.com/connect/8493803454333002#/reservations/598569238677?display=E1FREDU2&amp;reservation_id=598569238677", "E1FREDU2")</f>
        <v>E1FREDU2</v>
      </c>
      <c r="D520" t="s">
        <v>45</v>
      </c>
      <c r="E520" t="s">
        <v>78</v>
      </c>
      <c r="F520" t="s">
        <v>61</v>
      </c>
      <c r="G520" t="s">
        <v>48</v>
      </c>
      <c r="H520" t="s">
        <v>49</v>
      </c>
      <c r="I520" t="s">
        <v>50</v>
      </c>
      <c r="J520" t="s">
        <v>130</v>
      </c>
      <c r="K520" t="s">
        <v>87</v>
      </c>
      <c r="L520" t="s">
        <v>53</v>
      </c>
      <c r="N520" t="s">
        <v>1135</v>
      </c>
      <c r="P520" t="s">
        <v>55</v>
      </c>
      <c r="R520" t="s">
        <v>56</v>
      </c>
      <c r="T520" t="s">
        <v>1128</v>
      </c>
      <c r="U520" t="s">
        <v>58</v>
      </c>
      <c r="V520">
        <v>1</v>
      </c>
      <c r="W520">
        <v>1</v>
      </c>
      <c r="X520">
        <v>1</v>
      </c>
      <c r="Y520">
        <v>0</v>
      </c>
      <c r="Z520">
        <v>1</v>
      </c>
      <c r="AA520">
        <v>0</v>
      </c>
      <c r="AB520">
        <v>146.27000000000001</v>
      </c>
      <c r="AC520">
        <v>128.69999999999999</v>
      </c>
      <c r="AD520">
        <v>0</v>
      </c>
      <c r="AE520">
        <v>17.559999999999999</v>
      </c>
      <c r="AF520">
        <v>0</v>
      </c>
      <c r="AG520">
        <v>0</v>
      </c>
      <c r="AH520">
        <v>0</v>
      </c>
      <c r="AI520">
        <v>26.33</v>
      </c>
      <c r="AJ520">
        <v>146.26</v>
      </c>
      <c r="AK520">
        <v>-0.01</v>
      </c>
      <c r="AL520" t="s">
        <v>53</v>
      </c>
      <c r="AM520" t="s">
        <v>53</v>
      </c>
      <c r="AN520" t="s">
        <v>198</v>
      </c>
      <c r="AO520" t="s">
        <v>53</v>
      </c>
      <c r="AP520" t="s">
        <v>53</v>
      </c>
    </row>
    <row r="521" spans="2:42" x14ac:dyDescent="0.2">
      <c r="B521" t="s">
        <v>44</v>
      </c>
      <c r="C521" t="str">
        <f>HYPERLINK("https://us2.cloudbeds.com/connect/8493803454333002#/reservations/598403313869?display=E1BJHAHJ&amp;reservation_id=598403313869", "E1BJHAHJ")</f>
        <v>E1BJHAHJ</v>
      </c>
      <c r="D521" t="s">
        <v>45</v>
      </c>
      <c r="E521" t="s">
        <v>113</v>
      </c>
      <c r="F521" t="s">
        <v>61</v>
      </c>
      <c r="G521" t="s">
        <v>48</v>
      </c>
      <c r="H521" t="s">
        <v>71</v>
      </c>
      <c r="I521" t="s">
        <v>72</v>
      </c>
      <c r="J521" t="s">
        <v>833</v>
      </c>
      <c r="K521" t="s">
        <v>705</v>
      </c>
      <c r="L521" t="s">
        <v>53</v>
      </c>
      <c r="N521" t="s">
        <v>1136</v>
      </c>
      <c r="P521" t="s">
        <v>55</v>
      </c>
      <c r="R521" t="s">
        <v>56</v>
      </c>
      <c r="T521" t="s">
        <v>1128</v>
      </c>
      <c r="U521" t="s">
        <v>58</v>
      </c>
      <c r="V521">
        <v>2</v>
      </c>
      <c r="W521">
        <v>1</v>
      </c>
      <c r="X521">
        <v>1</v>
      </c>
      <c r="Y521">
        <v>0</v>
      </c>
      <c r="Z521">
        <v>1</v>
      </c>
      <c r="AA521">
        <v>0</v>
      </c>
      <c r="AB521">
        <v>188.66</v>
      </c>
      <c r="AC521">
        <v>166</v>
      </c>
      <c r="AD521">
        <v>0</v>
      </c>
      <c r="AE521">
        <v>22.68</v>
      </c>
      <c r="AF521">
        <v>0</v>
      </c>
      <c r="AG521">
        <v>0</v>
      </c>
      <c r="AH521">
        <v>0</v>
      </c>
      <c r="AI521">
        <v>0</v>
      </c>
      <c r="AJ521">
        <v>188.68</v>
      </c>
      <c r="AK521">
        <v>0.02</v>
      </c>
      <c r="AL521" t="s">
        <v>53</v>
      </c>
      <c r="AM521" t="s">
        <v>53</v>
      </c>
      <c r="AN521" t="s">
        <v>1137</v>
      </c>
      <c r="AO521" t="s">
        <v>53</v>
      </c>
      <c r="AP521" t="s">
        <v>53</v>
      </c>
    </row>
    <row r="522" spans="2:42" x14ac:dyDescent="0.2">
      <c r="B522" t="s">
        <v>44</v>
      </c>
      <c r="C522" t="str">
        <f>HYPERLINK("https://us2.cloudbeds.com/connect/8493803454333002#/reservations/598106542276?display=E1409700&amp;reservation_id=598106542276", "E1409700")</f>
        <v>E1409700</v>
      </c>
      <c r="D522" t="s">
        <v>45</v>
      </c>
      <c r="E522" t="s">
        <v>138</v>
      </c>
      <c r="F522" t="s">
        <v>70</v>
      </c>
      <c r="G522" t="s">
        <v>48</v>
      </c>
      <c r="H522" t="s">
        <v>49</v>
      </c>
      <c r="I522" t="s">
        <v>62</v>
      </c>
      <c r="J522" t="s">
        <v>115</v>
      </c>
      <c r="K522" t="s">
        <v>298</v>
      </c>
      <c r="L522" t="s">
        <v>53</v>
      </c>
      <c r="N522" t="s">
        <v>1138</v>
      </c>
      <c r="P522" t="s">
        <v>55</v>
      </c>
      <c r="R522" t="s">
        <v>56</v>
      </c>
      <c r="T522" t="s">
        <v>1128</v>
      </c>
      <c r="U522" t="s">
        <v>58</v>
      </c>
      <c r="V522">
        <v>2</v>
      </c>
      <c r="W522">
        <v>1</v>
      </c>
      <c r="X522">
        <v>1</v>
      </c>
      <c r="Y522">
        <v>0</v>
      </c>
      <c r="Z522">
        <v>1</v>
      </c>
      <c r="AA522">
        <v>0</v>
      </c>
      <c r="AB522">
        <v>177.29</v>
      </c>
      <c r="AC522">
        <v>156</v>
      </c>
      <c r="AD522">
        <v>0</v>
      </c>
      <c r="AE522">
        <v>21.3</v>
      </c>
      <c r="AF522">
        <v>0</v>
      </c>
      <c r="AG522">
        <v>0</v>
      </c>
      <c r="AH522">
        <v>0</v>
      </c>
      <c r="AI522">
        <v>26.6</v>
      </c>
      <c r="AJ522">
        <v>177.3</v>
      </c>
      <c r="AK522">
        <v>0.01</v>
      </c>
      <c r="AL522" t="s">
        <v>53</v>
      </c>
      <c r="AM522" t="s">
        <v>53</v>
      </c>
      <c r="AN522" t="s">
        <v>198</v>
      </c>
      <c r="AO522" t="s">
        <v>53</v>
      </c>
      <c r="AP522" t="s">
        <v>53</v>
      </c>
    </row>
    <row r="523" spans="2:42" x14ac:dyDescent="0.2">
      <c r="B523" t="s">
        <v>44</v>
      </c>
      <c r="C523" t="str">
        <f>HYPERLINK("https://us2.cloudbeds.com/connect/8493803454333002#/reservations/598034784415?display=E125PEYC&amp;reservation_id=598034784415", "E125PEYC")</f>
        <v>E125PEYC</v>
      </c>
      <c r="D523" t="s">
        <v>45</v>
      </c>
      <c r="E523" t="s">
        <v>223</v>
      </c>
      <c r="F523" t="s">
        <v>47</v>
      </c>
      <c r="G523" t="s">
        <v>48</v>
      </c>
      <c r="H523" t="s">
        <v>71</v>
      </c>
      <c r="I523" t="s">
        <v>72</v>
      </c>
      <c r="J523" t="s">
        <v>586</v>
      </c>
      <c r="K523" t="s">
        <v>833</v>
      </c>
      <c r="L523" t="s">
        <v>53</v>
      </c>
      <c r="N523" t="s">
        <v>1139</v>
      </c>
      <c r="P523" t="s">
        <v>58</v>
      </c>
      <c r="R523" t="s">
        <v>56</v>
      </c>
      <c r="T523" t="s">
        <v>1128</v>
      </c>
      <c r="U523" t="s">
        <v>58</v>
      </c>
      <c r="V523">
        <v>1</v>
      </c>
      <c r="W523">
        <v>1</v>
      </c>
      <c r="X523">
        <v>1</v>
      </c>
      <c r="Y523">
        <v>0</v>
      </c>
      <c r="Z523">
        <v>1</v>
      </c>
      <c r="AA523">
        <v>0</v>
      </c>
      <c r="AB523">
        <v>79.56</v>
      </c>
      <c r="AC523">
        <v>70</v>
      </c>
      <c r="AD523">
        <v>0</v>
      </c>
      <c r="AE523">
        <v>9.56</v>
      </c>
      <c r="AF523">
        <v>0</v>
      </c>
      <c r="AG523">
        <v>0</v>
      </c>
      <c r="AH523">
        <v>0</v>
      </c>
      <c r="AI523">
        <v>0</v>
      </c>
      <c r="AJ523">
        <v>79.56</v>
      </c>
      <c r="AK523">
        <v>0</v>
      </c>
      <c r="AL523" t="s">
        <v>53</v>
      </c>
      <c r="AM523" t="s">
        <v>53</v>
      </c>
      <c r="AN523" t="s">
        <v>378</v>
      </c>
      <c r="AO523" t="s">
        <v>53</v>
      </c>
      <c r="AP523" t="s">
        <v>53</v>
      </c>
    </row>
    <row r="524" spans="2:42" x14ac:dyDescent="0.2">
      <c r="B524" t="s">
        <v>44</v>
      </c>
      <c r="C524" t="str">
        <f>HYPERLINK("https://us2.cloudbeds.com/connect/8493803454333002#/reservations/579247198460?display=DJH3J5JS&amp;reservation_id=579247198460", "DJH3J5JS")</f>
        <v>DJH3J5JS</v>
      </c>
      <c r="D524" t="s">
        <v>45</v>
      </c>
      <c r="E524" t="s">
        <v>265</v>
      </c>
      <c r="F524" t="s">
        <v>61</v>
      </c>
      <c r="G524" t="s">
        <v>48</v>
      </c>
      <c r="H524" t="s">
        <v>49</v>
      </c>
      <c r="I524" t="s">
        <v>50</v>
      </c>
      <c r="J524" t="s">
        <v>1140</v>
      </c>
      <c r="K524" t="s">
        <v>1141</v>
      </c>
      <c r="L524" t="s">
        <v>53</v>
      </c>
      <c r="N524" t="s">
        <v>1142</v>
      </c>
      <c r="P524" t="s">
        <v>55</v>
      </c>
      <c r="R524" t="s">
        <v>56</v>
      </c>
      <c r="T524" t="s">
        <v>1128</v>
      </c>
      <c r="U524" t="s">
        <v>58</v>
      </c>
      <c r="V524">
        <v>2</v>
      </c>
      <c r="W524">
        <v>1</v>
      </c>
      <c r="X524">
        <v>1</v>
      </c>
      <c r="Y524">
        <v>0</v>
      </c>
      <c r="Z524">
        <v>1</v>
      </c>
      <c r="AA524">
        <v>0</v>
      </c>
      <c r="AB524">
        <v>312.98</v>
      </c>
      <c r="AC524">
        <v>275.39999999999998</v>
      </c>
      <c r="AD524">
        <v>0</v>
      </c>
      <c r="AE524">
        <v>37.58</v>
      </c>
      <c r="AF524">
        <v>0</v>
      </c>
      <c r="AG524">
        <v>0</v>
      </c>
      <c r="AH524">
        <v>0</v>
      </c>
      <c r="AI524">
        <v>56.34</v>
      </c>
      <c r="AJ524">
        <v>312.98</v>
      </c>
      <c r="AK524">
        <v>0</v>
      </c>
      <c r="AL524" t="s">
        <v>53</v>
      </c>
      <c r="AM524" t="s">
        <v>53</v>
      </c>
      <c r="AN524" t="s">
        <v>132</v>
      </c>
      <c r="AO524" t="s">
        <v>53</v>
      </c>
      <c r="AP524" t="s">
        <v>53</v>
      </c>
    </row>
    <row r="525" spans="2:42" x14ac:dyDescent="0.2">
      <c r="B525" t="s">
        <v>44</v>
      </c>
      <c r="C525" t="str">
        <f>HYPERLINK("https://us2.cloudbeds.com/connect/8493803454333002#/reservations/598348144879?display=E1A605A0&amp;reservation_id=598348144879", "E1A605A0")</f>
        <v>E1A605A0</v>
      </c>
      <c r="D525" t="s">
        <v>45</v>
      </c>
      <c r="E525" t="s">
        <v>185</v>
      </c>
      <c r="F525" t="s">
        <v>47</v>
      </c>
      <c r="G525" t="s">
        <v>48</v>
      </c>
      <c r="H525" t="s">
        <v>49</v>
      </c>
      <c r="I525" t="s">
        <v>50</v>
      </c>
      <c r="J525" t="s">
        <v>1143</v>
      </c>
      <c r="K525" t="s">
        <v>565</v>
      </c>
      <c r="L525" t="s">
        <v>53</v>
      </c>
      <c r="N525" t="s">
        <v>1144</v>
      </c>
      <c r="P525" t="s">
        <v>55</v>
      </c>
      <c r="R525" t="s">
        <v>56</v>
      </c>
      <c r="T525" t="s">
        <v>1128</v>
      </c>
      <c r="U525" t="s">
        <v>58</v>
      </c>
      <c r="V525">
        <v>1</v>
      </c>
      <c r="W525">
        <v>1</v>
      </c>
      <c r="X525">
        <v>1</v>
      </c>
      <c r="Y525">
        <v>0</v>
      </c>
      <c r="Z525">
        <v>1</v>
      </c>
      <c r="AA525">
        <v>0</v>
      </c>
      <c r="AB525">
        <v>64.44</v>
      </c>
      <c r="AC525">
        <v>56.7</v>
      </c>
      <c r="AD525">
        <v>0</v>
      </c>
      <c r="AE525">
        <v>7.73</v>
      </c>
      <c r="AF525">
        <v>0</v>
      </c>
      <c r="AG525">
        <v>0</v>
      </c>
      <c r="AH525">
        <v>0</v>
      </c>
      <c r="AI525">
        <v>11.6</v>
      </c>
      <c r="AJ525">
        <v>64.430000000000007</v>
      </c>
      <c r="AK525">
        <v>-0.01</v>
      </c>
      <c r="AL525" t="s">
        <v>53</v>
      </c>
      <c r="AM525" t="s">
        <v>53</v>
      </c>
      <c r="AN525" t="s">
        <v>59</v>
      </c>
      <c r="AO525" t="s">
        <v>53</v>
      </c>
      <c r="AP525" t="s">
        <v>53</v>
      </c>
    </row>
    <row r="526" spans="2:42" x14ac:dyDescent="0.2">
      <c r="B526" t="s">
        <v>44</v>
      </c>
      <c r="C526" t="str">
        <f>HYPERLINK("https://us2.cloudbeds.com/connect/8493803454333002#/reservations/598583222449?display=E1G67HRZ&amp;reservation_id=598583222449", "E1G67HRZ")</f>
        <v>E1G67HRZ</v>
      </c>
      <c r="D526" t="s">
        <v>45</v>
      </c>
      <c r="E526" t="s">
        <v>213</v>
      </c>
      <c r="F526" t="s">
        <v>86</v>
      </c>
      <c r="G526" t="s">
        <v>48</v>
      </c>
      <c r="H526" t="s">
        <v>49</v>
      </c>
      <c r="I526" t="s">
        <v>50</v>
      </c>
      <c r="J526" t="s">
        <v>130</v>
      </c>
      <c r="K526" t="s">
        <v>87</v>
      </c>
      <c r="L526" t="s">
        <v>53</v>
      </c>
      <c r="N526" t="s">
        <v>1145</v>
      </c>
      <c r="P526" t="s">
        <v>55</v>
      </c>
      <c r="R526" t="s">
        <v>56</v>
      </c>
      <c r="T526" t="s">
        <v>1128</v>
      </c>
      <c r="U526" t="s">
        <v>58</v>
      </c>
      <c r="V526">
        <v>1</v>
      </c>
      <c r="W526">
        <v>1</v>
      </c>
      <c r="X526">
        <v>1</v>
      </c>
      <c r="Y526">
        <v>0</v>
      </c>
      <c r="Z526">
        <v>1</v>
      </c>
      <c r="AA526">
        <v>0</v>
      </c>
      <c r="AB526">
        <v>153.43</v>
      </c>
      <c r="AC526">
        <v>135</v>
      </c>
      <c r="AD526">
        <v>0</v>
      </c>
      <c r="AE526">
        <v>18.440000000000001</v>
      </c>
      <c r="AF526">
        <v>0</v>
      </c>
      <c r="AG526">
        <v>0</v>
      </c>
      <c r="AH526">
        <v>0</v>
      </c>
      <c r="AI526">
        <v>27.62</v>
      </c>
      <c r="AJ526">
        <v>153.44</v>
      </c>
      <c r="AK526">
        <v>0.01</v>
      </c>
      <c r="AL526" t="s">
        <v>53</v>
      </c>
      <c r="AM526" t="s">
        <v>53</v>
      </c>
      <c r="AN526" t="s">
        <v>104</v>
      </c>
      <c r="AO526" t="s">
        <v>53</v>
      </c>
      <c r="AP526" t="s">
        <v>53</v>
      </c>
    </row>
    <row r="527" spans="2:42" x14ac:dyDescent="0.2">
      <c r="B527" t="s">
        <v>44</v>
      </c>
      <c r="C527" t="str">
        <f>HYPERLINK("https://us2.cloudbeds.com/connect/8493803454333002#/reservations/598347813063?display=E1A5NUJV&amp;reservation_id=598347813063", "E1A5NUJV")</f>
        <v>E1A5NUJV</v>
      </c>
      <c r="D527" t="s">
        <v>45</v>
      </c>
      <c r="E527" t="s">
        <v>155</v>
      </c>
      <c r="F527" t="s">
        <v>86</v>
      </c>
      <c r="G527" t="s">
        <v>48</v>
      </c>
      <c r="H527" t="s">
        <v>71</v>
      </c>
      <c r="I527" t="s">
        <v>72</v>
      </c>
      <c r="J527" t="s">
        <v>844</v>
      </c>
      <c r="K527" t="s">
        <v>116</v>
      </c>
      <c r="L527" t="s">
        <v>53</v>
      </c>
      <c r="N527" t="s">
        <v>1146</v>
      </c>
      <c r="P527" t="s">
        <v>58</v>
      </c>
      <c r="R527" t="s">
        <v>56</v>
      </c>
      <c r="T527" t="s">
        <v>1128</v>
      </c>
      <c r="U527" t="s">
        <v>58</v>
      </c>
      <c r="V527">
        <v>2</v>
      </c>
      <c r="W527">
        <v>1</v>
      </c>
      <c r="X527">
        <v>1</v>
      </c>
      <c r="Y527">
        <v>0</v>
      </c>
      <c r="Z527">
        <v>1</v>
      </c>
      <c r="AA527">
        <v>0</v>
      </c>
      <c r="AB527">
        <v>193.21</v>
      </c>
      <c r="AC527">
        <v>170</v>
      </c>
      <c r="AD527">
        <v>0</v>
      </c>
      <c r="AE527">
        <v>23.22</v>
      </c>
      <c r="AF527">
        <v>0</v>
      </c>
      <c r="AG527">
        <v>0</v>
      </c>
      <c r="AH527">
        <v>0</v>
      </c>
      <c r="AI527">
        <v>0</v>
      </c>
      <c r="AJ527">
        <v>193.22</v>
      </c>
      <c r="AK527">
        <v>0.01</v>
      </c>
      <c r="AL527" t="s">
        <v>53</v>
      </c>
      <c r="AM527" t="s">
        <v>53</v>
      </c>
      <c r="AN527" t="s">
        <v>1147</v>
      </c>
      <c r="AO527" t="s">
        <v>53</v>
      </c>
      <c r="AP527" t="s">
        <v>53</v>
      </c>
    </row>
    <row r="528" spans="2:42" x14ac:dyDescent="0.2">
      <c r="B528" t="s">
        <v>44</v>
      </c>
      <c r="C528" t="str">
        <f>HYPERLINK("https://us2.cloudbeds.com/connect/8493803454333002#/reservations/598342332576?display=E1A13E0K&amp;reservation_id=598342332576", "E1A13E0K")</f>
        <v>E1A13E0K</v>
      </c>
      <c r="D528" t="s">
        <v>45</v>
      </c>
      <c r="E528" t="s">
        <v>85</v>
      </c>
      <c r="F528" t="s">
        <v>86</v>
      </c>
      <c r="G528" t="s">
        <v>48</v>
      </c>
      <c r="H528" t="s">
        <v>49</v>
      </c>
      <c r="I528" t="s">
        <v>50</v>
      </c>
      <c r="J528" t="s">
        <v>130</v>
      </c>
      <c r="K528" t="s">
        <v>87</v>
      </c>
      <c r="L528" t="s">
        <v>53</v>
      </c>
      <c r="N528" t="s">
        <v>1148</v>
      </c>
      <c r="P528" t="s">
        <v>55</v>
      </c>
      <c r="R528" t="s">
        <v>56</v>
      </c>
      <c r="T528" t="s">
        <v>1128</v>
      </c>
      <c r="U528" t="s">
        <v>58</v>
      </c>
      <c r="V528">
        <v>1</v>
      </c>
      <c r="W528">
        <v>1</v>
      </c>
      <c r="X528">
        <v>1</v>
      </c>
      <c r="Y528">
        <v>0</v>
      </c>
      <c r="Z528">
        <v>1</v>
      </c>
      <c r="AA528">
        <v>0</v>
      </c>
      <c r="AB528">
        <v>153.43</v>
      </c>
      <c r="AC528">
        <v>135</v>
      </c>
      <c r="AD528">
        <v>0</v>
      </c>
      <c r="AE528">
        <v>18.440000000000001</v>
      </c>
      <c r="AF528">
        <v>0</v>
      </c>
      <c r="AG528">
        <v>0</v>
      </c>
      <c r="AH528">
        <v>0</v>
      </c>
      <c r="AI528">
        <v>27.62</v>
      </c>
      <c r="AJ528">
        <v>153.44</v>
      </c>
      <c r="AK528">
        <v>0.01</v>
      </c>
      <c r="AL528" t="s">
        <v>53</v>
      </c>
      <c r="AM528" t="s">
        <v>53</v>
      </c>
      <c r="AN528" t="s">
        <v>142</v>
      </c>
      <c r="AO528" t="s">
        <v>53</v>
      </c>
      <c r="AP528" t="s">
        <v>53</v>
      </c>
    </row>
    <row r="529" spans="2:42" x14ac:dyDescent="0.2">
      <c r="B529" t="s">
        <v>44</v>
      </c>
      <c r="C529" t="str">
        <f>HYPERLINK("https://us2.cloudbeds.com/connect/8493803454333002#/reservations/598593306803?display=E1GEZ517&amp;reservation_id=598593306803", "E1GEZ517")</f>
        <v>E1GEZ517</v>
      </c>
      <c r="D529" t="s">
        <v>45</v>
      </c>
      <c r="E529" t="s">
        <v>121</v>
      </c>
      <c r="F529" t="s">
        <v>86</v>
      </c>
      <c r="G529" t="s">
        <v>48</v>
      </c>
      <c r="H529" t="s">
        <v>49</v>
      </c>
      <c r="I529" t="s">
        <v>50</v>
      </c>
      <c r="J529" t="s">
        <v>130</v>
      </c>
      <c r="K529" t="s">
        <v>87</v>
      </c>
      <c r="L529" t="s">
        <v>53</v>
      </c>
      <c r="N529" t="s">
        <v>1149</v>
      </c>
      <c r="P529" t="s">
        <v>55</v>
      </c>
      <c r="R529" t="s">
        <v>56</v>
      </c>
      <c r="T529" t="s">
        <v>1128</v>
      </c>
      <c r="U529" t="s">
        <v>58</v>
      </c>
      <c r="V529">
        <v>1</v>
      </c>
      <c r="W529">
        <v>1</v>
      </c>
      <c r="X529">
        <v>1</v>
      </c>
      <c r="Y529">
        <v>0</v>
      </c>
      <c r="Z529">
        <v>1</v>
      </c>
      <c r="AA529">
        <v>0</v>
      </c>
      <c r="AB529">
        <v>153.43</v>
      </c>
      <c r="AC529">
        <v>135</v>
      </c>
      <c r="AD529">
        <v>0</v>
      </c>
      <c r="AE529">
        <v>18.440000000000001</v>
      </c>
      <c r="AF529">
        <v>0</v>
      </c>
      <c r="AG529">
        <v>0</v>
      </c>
      <c r="AH529">
        <v>0</v>
      </c>
      <c r="AI529">
        <v>27.62</v>
      </c>
      <c r="AJ529">
        <v>153.44</v>
      </c>
      <c r="AK529">
        <v>0.01</v>
      </c>
      <c r="AL529" t="s">
        <v>53</v>
      </c>
      <c r="AM529" t="s">
        <v>53</v>
      </c>
      <c r="AN529" t="s">
        <v>332</v>
      </c>
      <c r="AO529" t="s">
        <v>53</v>
      </c>
      <c r="AP529" t="s">
        <v>53</v>
      </c>
    </row>
    <row r="530" spans="2:42" x14ac:dyDescent="0.2">
      <c r="B530" t="s">
        <v>44</v>
      </c>
      <c r="C530" t="str">
        <f>HYPERLINK("https://us2.cloudbeds.com/connect/8493803454333002#/reservations/598336827539?display=E19TF7TA&amp;reservation_id=598336827539", "E19TF7TA")</f>
        <v>E19TF7TA</v>
      </c>
      <c r="D530" t="s">
        <v>45</v>
      </c>
      <c r="E530" t="s">
        <v>110</v>
      </c>
      <c r="F530" t="s">
        <v>47</v>
      </c>
      <c r="G530" t="s">
        <v>48</v>
      </c>
      <c r="H530" t="s">
        <v>71</v>
      </c>
      <c r="I530" t="s">
        <v>72</v>
      </c>
      <c r="J530" t="s">
        <v>901</v>
      </c>
      <c r="K530" t="s">
        <v>850</v>
      </c>
      <c r="L530" t="s">
        <v>53</v>
      </c>
      <c r="N530" t="s">
        <v>1150</v>
      </c>
      <c r="P530" t="s">
        <v>58</v>
      </c>
      <c r="R530" t="s">
        <v>56</v>
      </c>
      <c r="T530" t="s">
        <v>1128</v>
      </c>
      <c r="U530" t="s">
        <v>58</v>
      </c>
      <c r="V530">
        <v>1</v>
      </c>
      <c r="W530">
        <v>1</v>
      </c>
      <c r="X530">
        <v>1</v>
      </c>
      <c r="Y530">
        <v>0</v>
      </c>
      <c r="Z530">
        <v>1</v>
      </c>
      <c r="AA530">
        <v>0</v>
      </c>
      <c r="AB530">
        <v>86.37</v>
      </c>
      <c r="AC530">
        <v>76</v>
      </c>
      <c r="AD530">
        <v>0</v>
      </c>
      <c r="AE530">
        <v>10.37</v>
      </c>
      <c r="AF530">
        <v>0</v>
      </c>
      <c r="AG530">
        <v>0</v>
      </c>
      <c r="AH530">
        <v>0</v>
      </c>
      <c r="AI530">
        <v>0</v>
      </c>
      <c r="AJ530">
        <v>86.37</v>
      </c>
      <c r="AK530">
        <v>0</v>
      </c>
      <c r="AL530" t="s">
        <v>53</v>
      </c>
      <c r="AM530" t="s">
        <v>53</v>
      </c>
      <c r="AN530" t="s">
        <v>1151</v>
      </c>
      <c r="AO530" t="s">
        <v>53</v>
      </c>
      <c r="AP530" t="s">
        <v>53</v>
      </c>
    </row>
    <row r="531" spans="2:42" x14ac:dyDescent="0.2">
      <c r="B531" t="s">
        <v>44</v>
      </c>
      <c r="C531" t="str">
        <f>HYPERLINK("https://us2.cloudbeds.com/connect/8493803454333002#/reservations/598497874120?display=E1E08JNN&amp;reservation_id=598497874120", "E1E08JNN")</f>
        <v>E1E08JNN</v>
      </c>
      <c r="D531" t="s">
        <v>45</v>
      </c>
      <c r="E531" t="s">
        <v>98</v>
      </c>
      <c r="F531" t="s">
        <v>86</v>
      </c>
      <c r="G531" t="s">
        <v>48</v>
      </c>
      <c r="H531" t="s">
        <v>49</v>
      </c>
      <c r="I531" t="s">
        <v>50</v>
      </c>
      <c r="J531" t="s">
        <v>199</v>
      </c>
      <c r="K531" t="s">
        <v>232</v>
      </c>
      <c r="L531" t="s">
        <v>53</v>
      </c>
      <c r="N531" t="s">
        <v>1152</v>
      </c>
      <c r="P531" t="s">
        <v>55</v>
      </c>
      <c r="R531" t="s">
        <v>56</v>
      </c>
      <c r="T531" t="s">
        <v>1128</v>
      </c>
      <c r="U531" t="s">
        <v>58</v>
      </c>
      <c r="V531">
        <v>4</v>
      </c>
      <c r="W531">
        <v>1</v>
      </c>
      <c r="X531">
        <v>1</v>
      </c>
      <c r="Y531">
        <v>0</v>
      </c>
      <c r="Z531">
        <v>1</v>
      </c>
      <c r="AA531">
        <v>0</v>
      </c>
      <c r="AB531">
        <v>409.14</v>
      </c>
      <c r="AC531">
        <v>360</v>
      </c>
      <c r="AD531">
        <v>0</v>
      </c>
      <c r="AE531">
        <v>49.16</v>
      </c>
      <c r="AF531">
        <v>0</v>
      </c>
      <c r="AG531">
        <v>0</v>
      </c>
      <c r="AH531">
        <v>0</v>
      </c>
      <c r="AI531">
        <v>73.650000000000006</v>
      </c>
      <c r="AJ531">
        <v>409.16</v>
      </c>
      <c r="AK531">
        <v>0.02</v>
      </c>
      <c r="AL531" t="s">
        <v>53</v>
      </c>
      <c r="AM531" t="s">
        <v>53</v>
      </c>
      <c r="AN531" t="s">
        <v>545</v>
      </c>
      <c r="AO531" t="s">
        <v>53</v>
      </c>
      <c r="AP531" t="s">
        <v>53</v>
      </c>
    </row>
    <row r="532" spans="2:42" x14ac:dyDescent="0.2">
      <c r="B532" t="s">
        <v>44</v>
      </c>
      <c r="C532" t="str">
        <f>HYPERLINK("https://us2.cloudbeds.com/connect/8493803454333002#/reservations/579196985514?display=DJFR7UCE&amp;reservation_id=579196985514", "DJFR7UCE")</f>
        <v>DJFR7UCE</v>
      </c>
      <c r="D532" t="s">
        <v>45</v>
      </c>
      <c r="E532" t="s">
        <v>69</v>
      </c>
      <c r="F532" t="s">
        <v>70</v>
      </c>
      <c r="G532" t="s">
        <v>48</v>
      </c>
      <c r="H532" t="s">
        <v>49</v>
      </c>
      <c r="I532" t="s">
        <v>50</v>
      </c>
      <c r="J532" t="s">
        <v>1140</v>
      </c>
      <c r="K532" t="s">
        <v>1141</v>
      </c>
      <c r="L532" t="s">
        <v>53</v>
      </c>
      <c r="N532" t="s">
        <v>1153</v>
      </c>
      <c r="P532" t="s">
        <v>55</v>
      </c>
      <c r="R532" t="s">
        <v>56</v>
      </c>
      <c r="T532" t="s">
        <v>1128</v>
      </c>
      <c r="U532" t="s">
        <v>58</v>
      </c>
      <c r="V532">
        <v>2</v>
      </c>
      <c r="W532">
        <v>1</v>
      </c>
      <c r="X532">
        <v>1</v>
      </c>
      <c r="Y532">
        <v>0</v>
      </c>
      <c r="Z532">
        <v>1</v>
      </c>
      <c r="AA532">
        <v>0</v>
      </c>
      <c r="AB532">
        <v>274.12</v>
      </c>
      <c r="AC532">
        <v>241.2</v>
      </c>
      <c r="AD532">
        <v>0</v>
      </c>
      <c r="AE532">
        <v>32.92</v>
      </c>
      <c r="AF532">
        <v>0</v>
      </c>
      <c r="AG532">
        <v>0</v>
      </c>
      <c r="AH532">
        <v>0</v>
      </c>
      <c r="AI532">
        <v>49.34</v>
      </c>
      <c r="AJ532">
        <v>274.12</v>
      </c>
      <c r="AK532">
        <v>0</v>
      </c>
      <c r="AL532" t="s">
        <v>53</v>
      </c>
      <c r="AM532" t="s">
        <v>53</v>
      </c>
      <c r="AN532" t="s">
        <v>91</v>
      </c>
      <c r="AO532" t="s">
        <v>53</v>
      </c>
      <c r="AP532" t="s">
        <v>53</v>
      </c>
    </row>
    <row r="533" spans="2:42" x14ac:dyDescent="0.2">
      <c r="B533" t="s">
        <v>44</v>
      </c>
      <c r="C533" t="str">
        <f>HYPERLINK("https://us2.cloudbeds.com/connect/8493803454333002#/reservations/598326997209?display=E19EMWX6&amp;reservation_id=598326997209", "E19EMWX6")</f>
        <v>E19EMWX6</v>
      </c>
      <c r="D533" t="s">
        <v>45</v>
      </c>
      <c r="E533" t="s">
        <v>185</v>
      </c>
      <c r="F533" t="s">
        <v>47</v>
      </c>
      <c r="G533" t="s">
        <v>48</v>
      </c>
      <c r="H533" t="s">
        <v>49</v>
      </c>
      <c r="I533" t="s">
        <v>50</v>
      </c>
      <c r="J533" t="s">
        <v>844</v>
      </c>
      <c r="K533" t="s">
        <v>115</v>
      </c>
      <c r="L533" t="s">
        <v>53</v>
      </c>
      <c r="N533" t="s">
        <v>1154</v>
      </c>
      <c r="P533" t="s">
        <v>55</v>
      </c>
      <c r="R533" t="s">
        <v>56</v>
      </c>
      <c r="T533" t="s">
        <v>1128</v>
      </c>
      <c r="U533" t="s">
        <v>58</v>
      </c>
      <c r="V533">
        <v>1</v>
      </c>
      <c r="W533">
        <v>1</v>
      </c>
      <c r="X533">
        <v>1</v>
      </c>
      <c r="Y533">
        <v>0</v>
      </c>
      <c r="Z533">
        <v>1</v>
      </c>
      <c r="AA533">
        <v>0</v>
      </c>
      <c r="AB533">
        <v>81.83</v>
      </c>
      <c r="AC533">
        <v>72</v>
      </c>
      <c r="AD533">
        <v>0</v>
      </c>
      <c r="AE533">
        <v>9.83</v>
      </c>
      <c r="AF533">
        <v>0</v>
      </c>
      <c r="AG533">
        <v>0</v>
      </c>
      <c r="AH533">
        <v>0</v>
      </c>
      <c r="AI533">
        <v>14.73</v>
      </c>
      <c r="AJ533">
        <v>81.83</v>
      </c>
      <c r="AK533">
        <v>0</v>
      </c>
      <c r="AL533" t="s">
        <v>53</v>
      </c>
      <c r="AM533" t="s">
        <v>53</v>
      </c>
      <c r="AN533" t="s">
        <v>104</v>
      </c>
      <c r="AO533" t="s">
        <v>53</v>
      </c>
      <c r="AP533" t="s">
        <v>53</v>
      </c>
    </row>
    <row r="534" spans="2:42" x14ac:dyDescent="0.2">
      <c r="B534" t="s">
        <v>44</v>
      </c>
      <c r="C534" t="str">
        <f>HYPERLINK("https://us2.cloudbeds.com/connect/8493803454333002#/reservations/598496034954?display=E1DVNDSE&amp;reservation_id=598496034954", "E1DVNDSE")</f>
        <v>E1DVNDSE</v>
      </c>
      <c r="D534" t="s">
        <v>45</v>
      </c>
      <c r="E534" t="s">
        <v>213</v>
      </c>
      <c r="F534" t="s">
        <v>86</v>
      </c>
      <c r="G534" t="s">
        <v>48</v>
      </c>
      <c r="H534" t="s">
        <v>49</v>
      </c>
      <c r="I534" t="s">
        <v>50</v>
      </c>
      <c r="J534" t="s">
        <v>267</v>
      </c>
      <c r="K534" t="s">
        <v>268</v>
      </c>
      <c r="L534" t="s">
        <v>53</v>
      </c>
      <c r="N534" t="s">
        <v>1155</v>
      </c>
      <c r="P534" t="s">
        <v>55</v>
      </c>
      <c r="R534" t="s">
        <v>56</v>
      </c>
      <c r="T534" t="s">
        <v>1128</v>
      </c>
      <c r="U534" t="s">
        <v>58</v>
      </c>
      <c r="V534">
        <v>1</v>
      </c>
      <c r="W534">
        <v>1</v>
      </c>
      <c r="X534">
        <v>1</v>
      </c>
      <c r="Y534">
        <v>0</v>
      </c>
      <c r="Z534">
        <v>1</v>
      </c>
      <c r="AA534">
        <v>0</v>
      </c>
      <c r="AB534">
        <v>80.81</v>
      </c>
      <c r="AC534">
        <v>71.099999999999994</v>
      </c>
      <c r="AD534">
        <v>0</v>
      </c>
      <c r="AE534">
        <v>9.6999999999999993</v>
      </c>
      <c r="AF534">
        <v>0</v>
      </c>
      <c r="AG534">
        <v>0</v>
      </c>
      <c r="AH534">
        <v>0</v>
      </c>
      <c r="AI534">
        <v>14.54</v>
      </c>
      <c r="AJ534">
        <v>80.8</v>
      </c>
      <c r="AK534">
        <v>-0.01</v>
      </c>
      <c r="AL534" t="s">
        <v>53</v>
      </c>
      <c r="AM534" t="s">
        <v>53</v>
      </c>
      <c r="AN534" t="s">
        <v>1156</v>
      </c>
      <c r="AO534" t="s">
        <v>53</v>
      </c>
      <c r="AP534" t="s">
        <v>53</v>
      </c>
    </row>
    <row r="535" spans="2:42" x14ac:dyDescent="0.2">
      <c r="B535" t="s">
        <v>44</v>
      </c>
      <c r="C535" t="str">
        <f>HYPERLINK("https://us2.cloudbeds.com/connect/8493803454333002#/reservations/598280851696?display=E18F8KZY&amp;reservation_id=598280851696", "E18F8KZY")</f>
        <v>E18F8KZY</v>
      </c>
      <c r="D535" t="s">
        <v>45</v>
      </c>
      <c r="E535" t="s">
        <v>487</v>
      </c>
      <c r="F535" t="s">
        <v>61</v>
      </c>
      <c r="G535" t="s">
        <v>48</v>
      </c>
      <c r="H535" t="s">
        <v>49</v>
      </c>
      <c r="I535" t="s">
        <v>50</v>
      </c>
      <c r="J535" t="s">
        <v>833</v>
      </c>
      <c r="K535" t="s">
        <v>705</v>
      </c>
      <c r="L535" t="s">
        <v>53</v>
      </c>
      <c r="N535" t="s">
        <v>1157</v>
      </c>
      <c r="P535" t="s">
        <v>55</v>
      </c>
      <c r="R535" t="s">
        <v>56</v>
      </c>
      <c r="T535" t="s">
        <v>1128</v>
      </c>
      <c r="U535" t="s">
        <v>58</v>
      </c>
      <c r="V535">
        <v>2</v>
      </c>
      <c r="W535">
        <v>1</v>
      </c>
      <c r="X535">
        <v>1</v>
      </c>
      <c r="Y535">
        <v>0</v>
      </c>
      <c r="Z535">
        <v>1</v>
      </c>
      <c r="AA535">
        <v>0</v>
      </c>
      <c r="AB535">
        <v>180.02</v>
      </c>
      <c r="AC535">
        <v>158.4</v>
      </c>
      <c r="AD535">
        <v>0</v>
      </c>
      <c r="AE535">
        <v>21.62</v>
      </c>
      <c r="AF535">
        <v>0</v>
      </c>
      <c r="AG535">
        <v>0</v>
      </c>
      <c r="AH535">
        <v>0</v>
      </c>
      <c r="AI535">
        <v>32.4</v>
      </c>
      <c r="AJ535">
        <v>180.02</v>
      </c>
      <c r="AK535">
        <v>0</v>
      </c>
      <c r="AL535" t="s">
        <v>53</v>
      </c>
      <c r="AM535" t="s">
        <v>53</v>
      </c>
      <c r="AN535" t="s">
        <v>91</v>
      </c>
      <c r="AO535" t="s">
        <v>53</v>
      </c>
      <c r="AP535" t="s">
        <v>53</v>
      </c>
    </row>
    <row r="536" spans="2:42" x14ac:dyDescent="0.2">
      <c r="B536" t="s">
        <v>44</v>
      </c>
      <c r="C536" t="str">
        <f>HYPERLINK("https://us2.cloudbeds.com/connect/8493803454333002#/reservations/598285570244?display=E18J7UYV&amp;reservation_id=598285570244", "E18J7UYV")</f>
        <v>E18J7UYV</v>
      </c>
      <c r="D536" t="s">
        <v>45</v>
      </c>
      <c r="E536" t="s">
        <v>138</v>
      </c>
      <c r="F536" t="s">
        <v>70</v>
      </c>
      <c r="G536" t="s">
        <v>48</v>
      </c>
      <c r="H536" t="s">
        <v>49</v>
      </c>
      <c r="I536" t="s">
        <v>50</v>
      </c>
      <c r="J536" t="s">
        <v>186</v>
      </c>
      <c r="K536" t="s">
        <v>187</v>
      </c>
      <c r="L536" t="s">
        <v>53</v>
      </c>
      <c r="N536" t="s">
        <v>1158</v>
      </c>
      <c r="P536" t="s">
        <v>55</v>
      </c>
      <c r="R536" t="s">
        <v>56</v>
      </c>
      <c r="T536" t="s">
        <v>1128</v>
      </c>
      <c r="U536" t="s">
        <v>58</v>
      </c>
      <c r="V536">
        <v>1</v>
      </c>
      <c r="W536">
        <v>1</v>
      </c>
      <c r="X536">
        <v>1</v>
      </c>
      <c r="Y536">
        <v>0</v>
      </c>
      <c r="Z536">
        <v>1</v>
      </c>
      <c r="AA536">
        <v>0</v>
      </c>
      <c r="AB536">
        <v>75.69</v>
      </c>
      <c r="AC536">
        <v>66.599999999999994</v>
      </c>
      <c r="AD536">
        <v>0</v>
      </c>
      <c r="AE536">
        <v>9.09</v>
      </c>
      <c r="AF536">
        <v>0</v>
      </c>
      <c r="AG536">
        <v>0</v>
      </c>
      <c r="AH536">
        <v>0</v>
      </c>
      <c r="AI536">
        <v>13.62</v>
      </c>
      <c r="AJ536">
        <v>75.69</v>
      </c>
      <c r="AK536">
        <v>0</v>
      </c>
      <c r="AL536" t="s">
        <v>53</v>
      </c>
      <c r="AM536" t="s">
        <v>53</v>
      </c>
      <c r="AN536" t="s">
        <v>413</v>
      </c>
      <c r="AO536" t="s">
        <v>53</v>
      </c>
      <c r="AP536" t="s">
        <v>53</v>
      </c>
    </row>
    <row r="537" spans="2:42" x14ac:dyDescent="0.2">
      <c r="B537" t="s">
        <v>44</v>
      </c>
      <c r="C537" t="str">
        <f>HYPERLINK("https://us2.cloudbeds.com/connect/8493803454333002#/reservations/598387339427?display=E1B61QKJ&amp;reservation_id=598387339427", "E1B61QKJ")</f>
        <v>E1B61QKJ</v>
      </c>
      <c r="D537" t="s">
        <v>45</v>
      </c>
      <c r="E537" t="s">
        <v>110</v>
      </c>
      <c r="F537" t="s">
        <v>47</v>
      </c>
      <c r="G537" t="s">
        <v>48</v>
      </c>
      <c r="H537" t="s">
        <v>71</v>
      </c>
      <c r="I537" t="s">
        <v>72</v>
      </c>
      <c r="J537" t="s">
        <v>586</v>
      </c>
      <c r="K537" t="s">
        <v>833</v>
      </c>
      <c r="L537" t="s">
        <v>53</v>
      </c>
      <c r="N537" t="s">
        <v>1159</v>
      </c>
      <c r="P537" t="s">
        <v>58</v>
      </c>
      <c r="R537" t="s">
        <v>56</v>
      </c>
      <c r="T537" t="s">
        <v>1128</v>
      </c>
      <c r="U537" t="s">
        <v>58</v>
      </c>
      <c r="V537">
        <v>1</v>
      </c>
      <c r="W537">
        <v>1</v>
      </c>
      <c r="X537">
        <v>1</v>
      </c>
      <c r="Y537">
        <v>0</v>
      </c>
      <c r="Z537">
        <v>1</v>
      </c>
      <c r="AA537">
        <v>0</v>
      </c>
      <c r="AB537">
        <v>79.56</v>
      </c>
      <c r="AC537">
        <v>70</v>
      </c>
      <c r="AD537">
        <v>0</v>
      </c>
      <c r="AE537">
        <v>9.56</v>
      </c>
      <c r="AF537">
        <v>0</v>
      </c>
      <c r="AG537">
        <v>0</v>
      </c>
      <c r="AH537">
        <v>0</v>
      </c>
      <c r="AI537">
        <v>0</v>
      </c>
      <c r="AJ537">
        <v>79.56</v>
      </c>
      <c r="AK537">
        <v>0</v>
      </c>
      <c r="AL537" t="s">
        <v>53</v>
      </c>
      <c r="AM537" t="s">
        <v>53</v>
      </c>
      <c r="AN537" t="s">
        <v>378</v>
      </c>
      <c r="AO537" t="s">
        <v>53</v>
      </c>
      <c r="AP537" t="s">
        <v>53</v>
      </c>
    </row>
    <row r="538" spans="2:42" x14ac:dyDescent="0.2">
      <c r="B538" t="s">
        <v>44</v>
      </c>
      <c r="C538" t="str">
        <f>HYPERLINK("https://us2.cloudbeds.com/connect/8493803454333002#/reservations/598520877194?display=E1EJYMRX&amp;reservation_id=598520877194", "E1EJYMRX")</f>
        <v>E1EJYMRX</v>
      </c>
      <c r="D538" t="s">
        <v>45</v>
      </c>
      <c r="E538" t="s">
        <v>155</v>
      </c>
      <c r="F538" t="s">
        <v>86</v>
      </c>
      <c r="G538" t="s">
        <v>48</v>
      </c>
      <c r="H538" t="s">
        <v>49</v>
      </c>
      <c r="I538" t="s">
        <v>50</v>
      </c>
      <c r="J538" t="s">
        <v>833</v>
      </c>
      <c r="K538" t="s">
        <v>714</v>
      </c>
      <c r="L538" t="s">
        <v>53</v>
      </c>
      <c r="N538" t="s">
        <v>1160</v>
      </c>
      <c r="P538" t="s">
        <v>55</v>
      </c>
      <c r="R538" t="s">
        <v>56</v>
      </c>
      <c r="T538" t="s">
        <v>1128</v>
      </c>
      <c r="U538" t="s">
        <v>58</v>
      </c>
      <c r="V538">
        <v>1</v>
      </c>
      <c r="W538">
        <v>1</v>
      </c>
      <c r="X538">
        <v>1</v>
      </c>
      <c r="Y538">
        <v>0</v>
      </c>
      <c r="Z538">
        <v>1</v>
      </c>
      <c r="AA538">
        <v>0</v>
      </c>
      <c r="AB538">
        <v>107.4</v>
      </c>
      <c r="AC538">
        <v>94.5</v>
      </c>
      <c r="AD538">
        <v>0</v>
      </c>
      <c r="AE538">
        <v>12.9</v>
      </c>
      <c r="AF538">
        <v>0</v>
      </c>
      <c r="AG538">
        <v>0</v>
      </c>
      <c r="AH538">
        <v>0</v>
      </c>
      <c r="AI538">
        <v>19.329999999999998</v>
      </c>
      <c r="AJ538">
        <v>107.4</v>
      </c>
      <c r="AK538">
        <v>0</v>
      </c>
      <c r="AL538" t="s">
        <v>53</v>
      </c>
      <c r="AM538" t="s">
        <v>53</v>
      </c>
      <c r="AN538" t="s">
        <v>225</v>
      </c>
      <c r="AO538" t="s">
        <v>53</v>
      </c>
      <c r="AP538" t="s">
        <v>53</v>
      </c>
    </row>
    <row r="539" spans="2:42" x14ac:dyDescent="0.2">
      <c r="B539" t="s">
        <v>44</v>
      </c>
      <c r="C539" t="str">
        <f>HYPERLINK("https://us2.cloudbeds.com/connect/8493803454333002#/reservations/579402764534?display=DJY2P0R9&amp;reservation_id=579402764534", "DJY2P0R9")</f>
        <v>DJY2P0R9</v>
      </c>
      <c r="D539" t="s">
        <v>45</v>
      </c>
      <c r="E539" t="s">
        <v>138</v>
      </c>
      <c r="F539" t="s">
        <v>70</v>
      </c>
      <c r="G539" t="s">
        <v>48</v>
      </c>
      <c r="H539" t="s">
        <v>49</v>
      </c>
      <c r="I539" t="s">
        <v>79</v>
      </c>
      <c r="J539" t="s">
        <v>1161</v>
      </c>
      <c r="K539" t="s">
        <v>1162</v>
      </c>
      <c r="L539" t="s">
        <v>53</v>
      </c>
      <c r="N539" t="s">
        <v>1163</v>
      </c>
      <c r="P539" t="s">
        <v>55</v>
      </c>
      <c r="R539" t="s">
        <v>56</v>
      </c>
      <c r="T539" t="s">
        <v>1164</v>
      </c>
      <c r="U539" t="s">
        <v>58</v>
      </c>
      <c r="V539">
        <v>2</v>
      </c>
      <c r="W539">
        <v>1</v>
      </c>
      <c r="X539">
        <v>1</v>
      </c>
      <c r="Y539">
        <v>0</v>
      </c>
      <c r="Z539">
        <v>1</v>
      </c>
      <c r="AA539">
        <v>0</v>
      </c>
      <c r="AB539">
        <v>215.8</v>
      </c>
      <c r="AC539">
        <v>189.9</v>
      </c>
      <c r="AD539">
        <v>0</v>
      </c>
      <c r="AE539">
        <v>25.9</v>
      </c>
      <c r="AF539">
        <v>0</v>
      </c>
      <c r="AG539">
        <v>0</v>
      </c>
      <c r="AH539">
        <v>0</v>
      </c>
      <c r="AI539">
        <v>0</v>
      </c>
      <c r="AJ539">
        <v>215.8</v>
      </c>
      <c r="AK539">
        <v>0</v>
      </c>
      <c r="AL539" t="s">
        <v>53</v>
      </c>
      <c r="AM539" t="s">
        <v>53</v>
      </c>
      <c r="AN539" t="s">
        <v>252</v>
      </c>
      <c r="AO539" t="s">
        <v>53</v>
      </c>
      <c r="AP539" t="s">
        <v>53</v>
      </c>
    </row>
    <row r="540" spans="2:42" x14ac:dyDescent="0.2">
      <c r="B540" t="s">
        <v>44</v>
      </c>
      <c r="C540" t="str">
        <f>HYPERLINK("https://us2.cloudbeds.com/connect/8493803454333002#/reservations/579389137132?display=DJKZ8R4Z&amp;reservation_id=579389137132", "DJKZ8R4Z")</f>
        <v>DJKZ8R4Z</v>
      </c>
      <c r="D540" t="s">
        <v>45</v>
      </c>
      <c r="E540" t="s">
        <v>69</v>
      </c>
      <c r="F540" t="s">
        <v>70</v>
      </c>
      <c r="G540" t="s">
        <v>48</v>
      </c>
      <c r="H540" t="s">
        <v>49</v>
      </c>
      <c r="I540" t="s">
        <v>79</v>
      </c>
      <c r="J540" t="s">
        <v>1161</v>
      </c>
      <c r="K540" t="s">
        <v>1162</v>
      </c>
      <c r="L540" t="s">
        <v>53</v>
      </c>
      <c r="N540" t="s">
        <v>1165</v>
      </c>
      <c r="P540" t="s">
        <v>55</v>
      </c>
      <c r="R540" t="s">
        <v>56</v>
      </c>
      <c r="T540" t="s">
        <v>1164</v>
      </c>
      <c r="U540" t="s">
        <v>58</v>
      </c>
      <c r="V540">
        <v>2</v>
      </c>
      <c r="W540">
        <v>1</v>
      </c>
      <c r="X540">
        <v>1</v>
      </c>
      <c r="Y540">
        <v>0</v>
      </c>
      <c r="Z540">
        <v>1</v>
      </c>
      <c r="AA540">
        <v>0</v>
      </c>
      <c r="AB540">
        <v>215.8</v>
      </c>
      <c r="AC540">
        <v>189.9</v>
      </c>
      <c r="AD540">
        <v>0</v>
      </c>
      <c r="AE540">
        <v>25.9</v>
      </c>
      <c r="AF540">
        <v>0</v>
      </c>
      <c r="AG540">
        <v>0</v>
      </c>
      <c r="AH540">
        <v>0</v>
      </c>
      <c r="AI540">
        <v>0</v>
      </c>
      <c r="AJ540">
        <v>215.8</v>
      </c>
      <c r="AK540">
        <v>0</v>
      </c>
      <c r="AL540" t="s">
        <v>53</v>
      </c>
      <c r="AM540" t="s">
        <v>53</v>
      </c>
      <c r="AN540" t="s">
        <v>132</v>
      </c>
      <c r="AO540" t="s">
        <v>53</v>
      </c>
      <c r="AP540" t="s">
        <v>53</v>
      </c>
    </row>
    <row r="541" spans="2:42" x14ac:dyDescent="0.2">
      <c r="B541" t="s">
        <v>44</v>
      </c>
      <c r="C541" t="str">
        <f>HYPERLINK("https://us2.cloudbeds.com/connect/8493803454333002#/reservations/598316122304?display=E197JP6X&amp;reservation_id=598316122304", "E197JP6X")</f>
        <v>E197JP6X</v>
      </c>
      <c r="D541" t="s">
        <v>45</v>
      </c>
      <c r="E541" t="s">
        <v>138</v>
      </c>
      <c r="F541" t="s">
        <v>70</v>
      </c>
      <c r="G541" t="s">
        <v>48</v>
      </c>
      <c r="H541" t="s">
        <v>49</v>
      </c>
      <c r="I541" t="s">
        <v>50</v>
      </c>
      <c r="J541" t="s">
        <v>714</v>
      </c>
      <c r="K541" t="s">
        <v>705</v>
      </c>
      <c r="L541" t="s">
        <v>53</v>
      </c>
      <c r="N541" t="s">
        <v>1166</v>
      </c>
      <c r="P541" t="s">
        <v>55</v>
      </c>
      <c r="R541" t="s">
        <v>56</v>
      </c>
      <c r="T541" t="s">
        <v>1164</v>
      </c>
      <c r="U541" t="s">
        <v>58</v>
      </c>
      <c r="V541">
        <v>1</v>
      </c>
      <c r="W541">
        <v>1</v>
      </c>
      <c r="X541">
        <v>1</v>
      </c>
      <c r="Y541">
        <v>0</v>
      </c>
      <c r="Z541">
        <v>1</v>
      </c>
      <c r="AA541">
        <v>0</v>
      </c>
      <c r="AB541">
        <v>73.650000000000006</v>
      </c>
      <c r="AC541">
        <v>64.8</v>
      </c>
      <c r="AD541">
        <v>0</v>
      </c>
      <c r="AE541">
        <v>8.85</v>
      </c>
      <c r="AF541">
        <v>0</v>
      </c>
      <c r="AG541">
        <v>0</v>
      </c>
      <c r="AH541">
        <v>0</v>
      </c>
      <c r="AI541">
        <v>13.26</v>
      </c>
      <c r="AJ541">
        <v>73.650000000000006</v>
      </c>
      <c r="AK541">
        <v>0</v>
      </c>
      <c r="AL541" t="s">
        <v>53</v>
      </c>
      <c r="AM541" t="s">
        <v>53</v>
      </c>
      <c r="AN541" t="s">
        <v>1167</v>
      </c>
      <c r="AO541" t="s">
        <v>53</v>
      </c>
      <c r="AP541" t="s">
        <v>53</v>
      </c>
    </row>
    <row r="542" spans="2:42" x14ac:dyDescent="0.2">
      <c r="B542" t="s">
        <v>44</v>
      </c>
      <c r="C542" t="str">
        <f>HYPERLINK("https://us2.cloudbeds.com/connect/8493803454333002#/reservations/598490382553?display=E1DQV4DX&amp;reservation_id=598490382553", "E1DQV4DX")</f>
        <v>E1DQV4DX</v>
      </c>
      <c r="D542" t="s">
        <v>45</v>
      </c>
      <c r="E542" t="s">
        <v>155</v>
      </c>
      <c r="F542" t="s">
        <v>86</v>
      </c>
      <c r="G542" t="s">
        <v>48</v>
      </c>
      <c r="H542" t="s">
        <v>49</v>
      </c>
      <c r="I542" t="s">
        <v>50</v>
      </c>
      <c r="J542" t="s">
        <v>714</v>
      </c>
      <c r="K542" t="s">
        <v>705</v>
      </c>
      <c r="L542" t="s">
        <v>53</v>
      </c>
      <c r="N542" t="s">
        <v>1168</v>
      </c>
      <c r="P542" t="s">
        <v>55</v>
      </c>
      <c r="R542" t="s">
        <v>56</v>
      </c>
      <c r="T542" t="s">
        <v>1164</v>
      </c>
      <c r="U542" t="s">
        <v>58</v>
      </c>
      <c r="V542">
        <v>1</v>
      </c>
      <c r="W542">
        <v>1</v>
      </c>
      <c r="X542">
        <v>1</v>
      </c>
      <c r="Y542">
        <v>0</v>
      </c>
      <c r="Z542">
        <v>1</v>
      </c>
      <c r="AA542">
        <v>0</v>
      </c>
      <c r="AB542">
        <v>107.4</v>
      </c>
      <c r="AC542">
        <v>94.5</v>
      </c>
      <c r="AD542">
        <v>0</v>
      </c>
      <c r="AE542">
        <v>12.9</v>
      </c>
      <c r="AF542">
        <v>0</v>
      </c>
      <c r="AG542">
        <v>0</v>
      </c>
      <c r="AH542">
        <v>0</v>
      </c>
      <c r="AI542">
        <v>19.329999999999998</v>
      </c>
      <c r="AJ542">
        <v>107.4</v>
      </c>
      <c r="AK542">
        <v>0</v>
      </c>
      <c r="AL542" t="s">
        <v>53</v>
      </c>
      <c r="AM542" t="s">
        <v>53</v>
      </c>
      <c r="AN542" t="s">
        <v>178</v>
      </c>
      <c r="AO542" t="s">
        <v>53</v>
      </c>
      <c r="AP542" t="s">
        <v>53</v>
      </c>
    </row>
    <row r="543" spans="2:42" x14ac:dyDescent="0.2">
      <c r="B543" t="s">
        <v>44</v>
      </c>
      <c r="C543" t="str">
        <f>HYPERLINK("https://us2.cloudbeds.com/connect/8493803454333002#/reservations/598366654621?display=E1AYK7A9&amp;reservation_id=598366654621", "E1AYK7A9")</f>
        <v>E1AYK7A9</v>
      </c>
      <c r="D543" t="s">
        <v>45</v>
      </c>
      <c r="E543" t="s">
        <v>113</v>
      </c>
      <c r="F543" t="s">
        <v>61</v>
      </c>
      <c r="G543" t="s">
        <v>48</v>
      </c>
      <c r="H543" t="s">
        <v>49</v>
      </c>
      <c r="I543" t="s">
        <v>79</v>
      </c>
      <c r="J543" t="s">
        <v>844</v>
      </c>
      <c r="K543" t="s">
        <v>115</v>
      </c>
      <c r="L543" t="s">
        <v>53</v>
      </c>
      <c r="N543" t="s">
        <v>1169</v>
      </c>
      <c r="P543" t="s">
        <v>55</v>
      </c>
      <c r="R543" t="s">
        <v>56</v>
      </c>
      <c r="T543" t="s">
        <v>1164</v>
      </c>
      <c r="U543" t="s">
        <v>58</v>
      </c>
      <c r="V543">
        <v>1</v>
      </c>
      <c r="W543">
        <v>1</v>
      </c>
      <c r="X543">
        <v>1</v>
      </c>
      <c r="Y543">
        <v>0</v>
      </c>
      <c r="Z543">
        <v>1</v>
      </c>
      <c r="AA543">
        <v>0</v>
      </c>
      <c r="AB543">
        <v>92.06</v>
      </c>
      <c r="AC543">
        <v>81</v>
      </c>
      <c r="AD543">
        <v>0</v>
      </c>
      <c r="AE543">
        <v>11.06</v>
      </c>
      <c r="AF543">
        <v>0</v>
      </c>
      <c r="AG543">
        <v>0</v>
      </c>
      <c r="AH543">
        <v>0</v>
      </c>
      <c r="AI543">
        <v>0</v>
      </c>
      <c r="AJ543">
        <v>92.06</v>
      </c>
      <c r="AK543">
        <v>0</v>
      </c>
      <c r="AL543" t="s">
        <v>53</v>
      </c>
      <c r="AM543" t="s">
        <v>53</v>
      </c>
      <c r="AN543" t="s">
        <v>413</v>
      </c>
      <c r="AO543" t="s">
        <v>53</v>
      </c>
      <c r="AP543" t="s">
        <v>53</v>
      </c>
    </row>
    <row r="544" spans="2:42" x14ac:dyDescent="0.2">
      <c r="B544" t="s">
        <v>44</v>
      </c>
      <c r="C544" t="str">
        <f>HYPERLINK("https://us2.cloudbeds.com/connect/8493803454333002#/reservations/598500528335?display=E1E2GF0G&amp;reservation_id=598500528335", "E1E2GF0G")</f>
        <v>E1E2GF0G</v>
      </c>
      <c r="D544" t="s">
        <v>45</v>
      </c>
      <c r="E544" t="s">
        <v>98</v>
      </c>
      <c r="F544" t="s">
        <v>86</v>
      </c>
      <c r="G544" t="s">
        <v>48</v>
      </c>
      <c r="H544" t="s">
        <v>49</v>
      </c>
      <c r="I544" t="s">
        <v>50</v>
      </c>
      <c r="J544" t="s">
        <v>714</v>
      </c>
      <c r="K544" t="s">
        <v>705</v>
      </c>
      <c r="L544" t="s">
        <v>53</v>
      </c>
      <c r="N544" t="s">
        <v>1170</v>
      </c>
      <c r="P544" t="s">
        <v>55</v>
      </c>
      <c r="R544" t="s">
        <v>56</v>
      </c>
      <c r="T544" t="s">
        <v>1164</v>
      </c>
      <c r="U544" t="s">
        <v>58</v>
      </c>
      <c r="V544">
        <v>1</v>
      </c>
      <c r="W544">
        <v>1</v>
      </c>
      <c r="X544">
        <v>1</v>
      </c>
      <c r="Y544">
        <v>0</v>
      </c>
      <c r="Z544">
        <v>1</v>
      </c>
      <c r="AA544">
        <v>0</v>
      </c>
      <c r="AB544">
        <v>112.51</v>
      </c>
      <c r="AC544">
        <v>99</v>
      </c>
      <c r="AD544">
        <v>0</v>
      </c>
      <c r="AE544">
        <v>13.52</v>
      </c>
      <c r="AF544">
        <v>0</v>
      </c>
      <c r="AG544">
        <v>0</v>
      </c>
      <c r="AH544">
        <v>0</v>
      </c>
      <c r="AI544">
        <v>20.25</v>
      </c>
      <c r="AJ544">
        <v>112.52</v>
      </c>
      <c r="AK544">
        <v>0.01</v>
      </c>
      <c r="AL544" t="s">
        <v>53</v>
      </c>
      <c r="AM544" t="s">
        <v>53</v>
      </c>
      <c r="AN544" t="s">
        <v>178</v>
      </c>
      <c r="AO544" t="s">
        <v>53</v>
      </c>
      <c r="AP544" t="s">
        <v>53</v>
      </c>
    </row>
    <row r="545" spans="2:42" x14ac:dyDescent="0.2">
      <c r="B545" t="s">
        <v>44</v>
      </c>
      <c r="C545" t="str">
        <f>HYPERLINK("https://us2.cloudbeds.com/connect/8493803454333002#/reservations/598219526384?display=E16TX5AS&amp;reservation_id=598219526384", "E16TX5AS")</f>
        <v>E16TX5AS</v>
      </c>
      <c r="D545" t="s">
        <v>45</v>
      </c>
      <c r="E545" t="s">
        <v>190</v>
      </c>
      <c r="F545" t="s">
        <v>61</v>
      </c>
      <c r="G545" t="s">
        <v>48</v>
      </c>
      <c r="H545" t="s">
        <v>49</v>
      </c>
      <c r="I545" t="s">
        <v>79</v>
      </c>
      <c r="J545" t="s">
        <v>705</v>
      </c>
      <c r="K545" t="s">
        <v>901</v>
      </c>
      <c r="L545" t="s">
        <v>53</v>
      </c>
      <c r="N545" t="s">
        <v>1171</v>
      </c>
      <c r="P545" t="s">
        <v>55</v>
      </c>
      <c r="R545" t="s">
        <v>56</v>
      </c>
      <c r="T545" t="s">
        <v>1164</v>
      </c>
      <c r="U545" t="s">
        <v>58</v>
      </c>
      <c r="V545">
        <v>2</v>
      </c>
      <c r="W545">
        <v>1</v>
      </c>
      <c r="X545">
        <v>1</v>
      </c>
      <c r="Y545">
        <v>0</v>
      </c>
      <c r="Z545">
        <v>1</v>
      </c>
      <c r="AA545">
        <v>0</v>
      </c>
      <c r="AB545">
        <v>198.89</v>
      </c>
      <c r="AC545">
        <v>175</v>
      </c>
      <c r="AD545">
        <v>0</v>
      </c>
      <c r="AE545">
        <v>23.88</v>
      </c>
      <c r="AF545">
        <v>0</v>
      </c>
      <c r="AG545">
        <v>0</v>
      </c>
      <c r="AH545">
        <v>0</v>
      </c>
      <c r="AI545">
        <v>0</v>
      </c>
      <c r="AJ545">
        <v>198.88</v>
      </c>
      <c r="AK545">
        <v>-0.01</v>
      </c>
      <c r="AL545" t="s">
        <v>53</v>
      </c>
      <c r="AM545" t="s">
        <v>53</v>
      </c>
      <c r="AN545" t="s">
        <v>316</v>
      </c>
      <c r="AO545" t="s">
        <v>53</v>
      </c>
      <c r="AP545" t="s">
        <v>53</v>
      </c>
    </row>
    <row r="546" spans="2:42" x14ac:dyDescent="0.2">
      <c r="B546" t="s">
        <v>44</v>
      </c>
      <c r="C546" t="str">
        <f>HYPERLINK("https://us2.cloudbeds.com/connect/8493803454333002#/reservations/598574194921?display=E1FVKB39&amp;reservation_id=598574194921", "E1FVKB39")</f>
        <v>E1FVKB39</v>
      </c>
      <c r="D546" t="s">
        <v>45</v>
      </c>
      <c r="E546" t="s">
        <v>128</v>
      </c>
      <c r="F546" t="s">
        <v>86</v>
      </c>
      <c r="G546" t="s">
        <v>48</v>
      </c>
      <c r="H546" t="s">
        <v>49</v>
      </c>
      <c r="I546" t="s">
        <v>50</v>
      </c>
      <c r="J546" t="s">
        <v>988</v>
      </c>
      <c r="K546" t="s">
        <v>351</v>
      </c>
      <c r="L546" t="s">
        <v>53</v>
      </c>
      <c r="N546" t="s">
        <v>1172</v>
      </c>
      <c r="P546" t="s">
        <v>55</v>
      </c>
      <c r="R546" t="s">
        <v>56</v>
      </c>
      <c r="T546" t="s">
        <v>1164</v>
      </c>
      <c r="U546" t="s">
        <v>58</v>
      </c>
      <c r="V546">
        <v>3</v>
      </c>
      <c r="W546">
        <v>1</v>
      </c>
      <c r="X546">
        <v>1</v>
      </c>
      <c r="Y546">
        <v>0</v>
      </c>
      <c r="Z546">
        <v>1</v>
      </c>
      <c r="AA546">
        <v>0</v>
      </c>
      <c r="AB546">
        <v>484.83</v>
      </c>
      <c r="AC546">
        <v>426.6</v>
      </c>
      <c r="AD546">
        <v>0</v>
      </c>
      <c r="AE546">
        <v>58.23</v>
      </c>
      <c r="AF546">
        <v>0</v>
      </c>
      <c r="AG546">
        <v>0</v>
      </c>
      <c r="AH546">
        <v>0</v>
      </c>
      <c r="AI546">
        <v>87.27</v>
      </c>
      <c r="AJ546">
        <v>484.83</v>
      </c>
      <c r="AK546">
        <v>0</v>
      </c>
      <c r="AL546" t="s">
        <v>53</v>
      </c>
      <c r="AM546" t="s">
        <v>53</v>
      </c>
      <c r="AN546" t="s">
        <v>132</v>
      </c>
      <c r="AO546" t="s">
        <v>53</v>
      </c>
      <c r="AP546" t="s">
        <v>53</v>
      </c>
    </row>
    <row r="547" spans="2:42" x14ac:dyDescent="0.2">
      <c r="B547" t="s">
        <v>44</v>
      </c>
      <c r="C547" t="str">
        <f>HYPERLINK("https://us2.cloudbeds.com/connect/8493803454333002#/reservations/598457528474?display=E1CW7UCD&amp;reservation_id=598457528474", "E1CW7UCD")</f>
        <v>E1CW7UCD</v>
      </c>
      <c r="D547" t="s">
        <v>45</v>
      </c>
      <c r="E547" t="s">
        <v>69</v>
      </c>
      <c r="F547" t="s">
        <v>70</v>
      </c>
      <c r="G547" t="s">
        <v>48</v>
      </c>
      <c r="H547" t="s">
        <v>49</v>
      </c>
      <c r="I547" t="s">
        <v>50</v>
      </c>
      <c r="J547" t="s">
        <v>714</v>
      </c>
      <c r="K547" t="s">
        <v>705</v>
      </c>
      <c r="L547" t="s">
        <v>53</v>
      </c>
      <c r="N547" t="s">
        <v>1173</v>
      </c>
      <c r="P547" t="s">
        <v>55</v>
      </c>
      <c r="R547" t="s">
        <v>56</v>
      </c>
      <c r="T547" t="s">
        <v>1164</v>
      </c>
      <c r="U547" t="s">
        <v>58</v>
      </c>
      <c r="V547">
        <v>1</v>
      </c>
      <c r="W547">
        <v>1</v>
      </c>
      <c r="X547">
        <v>1</v>
      </c>
      <c r="Y547">
        <v>0</v>
      </c>
      <c r="Z547">
        <v>1</v>
      </c>
      <c r="AA547">
        <v>0</v>
      </c>
      <c r="AB547">
        <v>73.650000000000006</v>
      </c>
      <c r="AC547">
        <v>64.8</v>
      </c>
      <c r="AD547">
        <v>0</v>
      </c>
      <c r="AE547">
        <v>8.85</v>
      </c>
      <c r="AF547">
        <v>0</v>
      </c>
      <c r="AG547">
        <v>0</v>
      </c>
      <c r="AH547">
        <v>0</v>
      </c>
      <c r="AI547">
        <v>13.26</v>
      </c>
      <c r="AJ547">
        <v>73.650000000000006</v>
      </c>
      <c r="AK547">
        <v>0</v>
      </c>
      <c r="AL547" t="s">
        <v>53</v>
      </c>
      <c r="AM547" t="s">
        <v>53</v>
      </c>
      <c r="AN547" t="s">
        <v>159</v>
      </c>
      <c r="AO547" t="s">
        <v>53</v>
      </c>
      <c r="AP547" t="s">
        <v>53</v>
      </c>
    </row>
    <row r="548" spans="2:42" x14ac:dyDescent="0.2">
      <c r="B548" t="s">
        <v>44</v>
      </c>
      <c r="C548" t="str">
        <f>HYPERLINK("https://us2.cloudbeds.com/connect/8493803454333002#/reservations/598224830659?display=E1710P3F&amp;reservation_id=598224830659", "E1710P3F")</f>
        <v>E1710P3F</v>
      </c>
      <c r="D548" t="s">
        <v>45</v>
      </c>
      <c r="E548" t="s">
        <v>165</v>
      </c>
      <c r="F548" t="s">
        <v>61</v>
      </c>
      <c r="G548" t="s">
        <v>48</v>
      </c>
      <c r="H548" t="s">
        <v>71</v>
      </c>
      <c r="I548" t="s">
        <v>72</v>
      </c>
      <c r="J548" t="s">
        <v>833</v>
      </c>
      <c r="K548" t="s">
        <v>714</v>
      </c>
      <c r="L548" t="s">
        <v>53</v>
      </c>
      <c r="N548" t="s">
        <v>1174</v>
      </c>
      <c r="P548" t="s">
        <v>55</v>
      </c>
      <c r="R548" t="s">
        <v>56</v>
      </c>
      <c r="T548" t="s">
        <v>1164</v>
      </c>
      <c r="U548" t="s">
        <v>58</v>
      </c>
      <c r="V548">
        <v>1</v>
      </c>
      <c r="W548">
        <v>1</v>
      </c>
      <c r="X548">
        <v>1</v>
      </c>
      <c r="Y548">
        <v>0</v>
      </c>
      <c r="Z548">
        <v>1</v>
      </c>
      <c r="AA548">
        <v>0</v>
      </c>
      <c r="AB548">
        <v>94.33</v>
      </c>
      <c r="AC548">
        <v>83</v>
      </c>
      <c r="AD548">
        <v>0</v>
      </c>
      <c r="AE548">
        <v>11.34</v>
      </c>
      <c r="AF548">
        <v>0</v>
      </c>
      <c r="AG548">
        <v>0</v>
      </c>
      <c r="AH548">
        <v>0</v>
      </c>
      <c r="AI548">
        <v>0</v>
      </c>
      <c r="AJ548">
        <v>94.34</v>
      </c>
      <c r="AK548">
        <v>0.01</v>
      </c>
      <c r="AL548" t="s">
        <v>53</v>
      </c>
      <c r="AM548" t="s">
        <v>53</v>
      </c>
      <c r="AN548" t="s">
        <v>1175</v>
      </c>
      <c r="AO548" t="s">
        <v>53</v>
      </c>
      <c r="AP548" t="s">
        <v>53</v>
      </c>
    </row>
    <row r="549" spans="2:42" x14ac:dyDescent="0.2">
      <c r="B549" t="s">
        <v>44</v>
      </c>
      <c r="C549" t="str">
        <f>HYPERLINK("https://us2.cloudbeds.com/connect/8493803454333002#/reservations/598307627196?display=E194RMWE&amp;reservation_id=598307627196", "E194RMWE")</f>
        <v>E194RMWE</v>
      </c>
      <c r="D549" t="s">
        <v>45</v>
      </c>
      <c r="E549" t="s">
        <v>190</v>
      </c>
      <c r="F549" t="s">
        <v>61</v>
      </c>
      <c r="G549" t="s">
        <v>48</v>
      </c>
      <c r="H549" t="s">
        <v>49</v>
      </c>
      <c r="I549" t="s">
        <v>50</v>
      </c>
      <c r="J549" t="s">
        <v>115</v>
      </c>
      <c r="K549" t="s">
        <v>116</v>
      </c>
      <c r="L549" t="s">
        <v>53</v>
      </c>
      <c r="N549" t="s">
        <v>1176</v>
      </c>
      <c r="P549" t="s">
        <v>55</v>
      </c>
      <c r="R549" t="s">
        <v>56</v>
      </c>
      <c r="T549" t="s">
        <v>1164</v>
      </c>
      <c r="U549" t="s">
        <v>58</v>
      </c>
      <c r="V549">
        <v>1</v>
      </c>
      <c r="W549">
        <v>1</v>
      </c>
      <c r="X549">
        <v>1</v>
      </c>
      <c r="Y549">
        <v>0</v>
      </c>
      <c r="Z549">
        <v>1</v>
      </c>
      <c r="AA549">
        <v>0</v>
      </c>
      <c r="AB549">
        <v>95.13</v>
      </c>
      <c r="AC549">
        <v>83.7</v>
      </c>
      <c r="AD549">
        <v>0</v>
      </c>
      <c r="AE549">
        <v>11.42</v>
      </c>
      <c r="AF549">
        <v>0</v>
      </c>
      <c r="AG549">
        <v>0</v>
      </c>
      <c r="AH549">
        <v>0</v>
      </c>
      <c r="AI549">
        <v>17.12</v>
      </c>
      <c r="AJ549">
        <v>95.12</v>
      </c>
      <c r="AK549">
        <v>-0.01</v>
      </c>
      <c r="AL549" t="s">
        <v>53</v>
      </c>
      <c r="AM549" t="s">
        <v>53</v>
      </c>
      <c r="AN549" t="s">
        <v>332</v>
      </c>
      <c r="AO549" t="s">
        <v>53</v>
      </c>
      <c r="AP549" t="s">
        <v>53</v>
      </c>
    </row>
    <row r="550" spans="2:42" x14ac:dyDescent="0.2">
      <c r="B550" t="s">
        <v>44</v>
      </c>
      <c r="C550" t="str">
        <f>HYPERLINK("https://us2.cloudbeds.com/connect/8493803454333002#/reservations/598397014249?display=E1BE70P0&amp;reservation_id=598397014249", "E1BE70P0")</f>
        <v>E1BE70P0</v>
      </c>
      <c r="D550" t="s">
        <v>45</v>
      </c>
      <c r="E550" t="s">
        <v>98</v>
      </c>
      <c r="F550" t="s">
        <v>86</v>
      </c>
      <c r="G550" t="s">
        <v>48</v>
      </c>
      <c r="H550" t="s">
        <v>49</v>
      </c>
      <c r="I550" t="s">
        <v>79</v>
      </c>
      <c r="J550" t="s">
        <v>143</v>
      </c>
      <c r="K550" t="s">
        <v>783</v>
      </c>
      <c r="L550" t="s">
        <v>53</v>
      </c>
      <c r="N550" t="s">
        <v>1177</v>
      </c>
      <c r="P550" t="s">
        <v>55</v>
      </c>
      <c r="R550" t="s">
        <v>56</v>
      </c>
      <c r="T550" t="s">
        <v>1164</v>
      </c>
      <c r="U550" t="s">
        <v>58</v>
      </c>
      <c r="V550">
        <v>2</v>
      </c>
      <c r="W550">
        <v>1</v>
      </c>
      <c r="X550">
        <v>1</v>
      </c>
      <c r="Y550">
        <v>0</v>
      </c>
      <c r="Z550">
        <v>1</v>
      </c>
      <c r="AA550">
        <v>0</v>
      </c>
      <c r="AB550">
        <v>368.23</v>
      </c>
      <c r="AC550">
        <v>324</v>
      </c>
      <c r="AD550">
        <v>0</v>
      </c>
      <c r="AE550">
        <v>44.24</v>
      </c>
      <c r="AF550">
        <v>0</v>
      </c>
      <c r="AG550">
        <v>0</v>
      </c>
      <c r="AH550">
        <v>0</v>
      </c>
      <c r="AI550">
        <v>0</v>
      </c>
      <c r="AJ550">
        <v>368.24</v>
      </c>
      <c r="AK550">
        <v>0.01</v>
      </c>
      <c r="AL550" t="s">
        <v>53</v>
      </c>
      <c r="AM550" t="s">
        <v>53</v>
      </c>
      <c r="AN550" t="s">
        <v>59</v>
      </c>
      <c r="AO550" t="s">
        <v>53</v>
      </c>
      <c r="AP550" t="s">
        <v>53</v>
      </c>
    </row>
    <row r="551" spans="2:42" x14ac:dyDescent="0.2">
      <c r="B551" t="s">
        <v>44</v>
      </c>
      <c r="C551" t="str">
        <f>HYPERLINK("https://us2.cloudbeds.com/connect/8493803454333002#/reservations/598513393810?display=E1EDBF1C&amp;reservation_id=598513393810", "E1EDBF1C")</f>
        <v>E1EDBF1C</v>
      </c>
      <c r="D551" t="s">
        <v>45</v>
      </c>
      <c r="E551" t="s">
        <v>213</v>
      </c>
      <c r="F551" t="s">
        <v>86</v>
      </c>
      <c r="G551" t="s">
        <v>48</v>
      </c>
      <c r="H551" t="s">
        <v>49</v>
      </c>
      <c r="I551" t="s">
        <v>62</v>
      </c>
      <c r="J551" t="s">
        <v>1113</v>
      </c>
      <c r="K551" t="s">
        <v>243</v>
      </c>
      <c r="L551" t="s">
        <v>53</v>
      </c>
      <c r="N551" t="s">
        <v>1178</v>
      </c>
      <c r="P551" t="s">
        <v>55</v>
      </c>
      <c r="R551" t="s">
        <v>946</v>
      </c>
      <c r="T551" t="s">
        <v>1179</v>
      </c>
      <c r="U551" t="s">
        <v>58</v>
      </c>
      <c r="V551">
        <v>1</v>
      </c>
      <c r="W551">
        <v>1</v>
      </c>
      <c r="X551">
        <v>1</v>
      </c>
      <c r="Y551">
        <v>0</v>
      </c>
      <c r="Z551">
        <v>1</v>
      </c>
      <c r="AA551">
        <v>0</v>
      </c>
      <c r="AB551">
        <v>89.78</v>
      </c>
      <c r="AC551">
        <v>79</v>
      </c>
      <c r="AD551">
        <v>0</v>
      </c>
      <c r="AE551">
        <v>10.79</v>
      </c>
      <c r="AF551">
        <v>0</v>
      </c>
      <c r="AG551">
        <v>0</v>
      </c>
      <c r="AH551">
        <v>0</v>
      </c>
      <c r="AI551">
        <v>13.47</v>
      </c>
      <c r="AJ551">
        <v>89.79</v>
      </c>
      <c r="AK551">
        <v>0.01</v>
      </c>
      <c r="AL551" t="s">
        <v>53</v>
      </c>
      <c r="AM551" t="s">
        <v>53</v>
      </c>
      <c r="AN551" t="s">
        <v>97</v>
      </c>
      <c r="AO551" t="s">
        <v>53</v>
      </c>
      <c r="AP551" t="s">
        <v>53</v>
      </c>
    </row>
    <row r="552" spans="2:42" x14ac:dyDescent="0.2">
      <c r="B552" t="s">
        <v>44</v>
      </c>
      <c r="C552" t="str">
        <f>HYPERLINK("https://us2.cloudbeds.com/connect/8493803454333002#/reservations/598327431325?display=E19YHPJX&amp;reservation_id=598327431325", "E19YHPJX")</f>
        <v>E19YHPJX</v>
      </c>
      <c r="D552" t="s">
        <v>45</v>
      </c>
      <c r="E552" t="s">
        <v>110</v>
      </c>
      <c r="F552" t="s">
        <v>47</v>
      </c>
      <c r="G552" t="s">
        <v>48</v>
      </c>
      <c r="H552" t="s">
        <v>49</v>
      </c>
      <c r="I552" t="s">
        <v>50</v>
      </c>
      <c r="J552" t="s">
        <v>714</v>
      </c>
      <c r="K552" t="s">
        <v>705</v>
      </c>
      <c r="L552" t="s">
        <v>53</v>
      </c>
      <c r="N552" t="s">
        <v>1180</v>
      </c>
      <c r="P552" t="s">
        <v>55</v>
      </c>
      <c r="R552" t="s">
        <v>56</v>
      </c>
      <c r="T552" t="s">
        <v>1179</v>
      </c>
      <c r="U552" t="s">
        <v>58</v>
      </c>
      <c r="V552">
        <v>1</v>
      </c>
      <c r="W552">
        <v>1</v>
      </c>
      <c r="X552">
        <v>1</v>
      </c>
      <c r="Y552">
        <v>0</v>
      </c>
      <c r="Z552">
        <v>1</v>
      </c>
      <c r="AA552">
        <v>0</v>
      </c>
      <c r="AB552">
        <v>81.83</v>
      </c>
      <c r="AC552">
        <v>72</v>
      </c>
      <c r="AD552">
        <v>0</v>
      </c>
      <c r="AE552">
        <v>9.83</v>
      </c>
      <c r="AF552">
        <v>0</v>
      </c>
      <c r="AG552">
        <v>0</v>
      </c>
      <c r="AH552">
        <v>0</v>
      </c>
      <c r="AI552">
        <v>14.73</v>
      </c>
      <c r="AJ552">
        <v>81.83</v>
      </c>
      <c r="AK552">
        <v>0</v>
      </c>
      <c r="AL552" t="s">
        <v>53</v>
      </c>
      <c r="AM552" t="s">
        <v>53</v>
      </c>
      <c r="AN552" t="s">
        <v>178</v>
      </c>
      <c r="AO552" t="s">
        <v>53</v>
      </c>
      <c r="AP552" t="s">
        <v>53</v>
      </c>
    </row>
    <row r="553" spans="2:42" x14ac:dyDescent="0.2">
      <c r="B553" t="s">
        <v>44</v>
      </c>
      <c r="C553" t="str">
        <f>HYPERLINK("https://us2.cloudbeds.com/connect/8493803454333002#/reservations/598540087485?display=E1F2S84K&amp;reservation_id=598540087485", "E1F2S84K")</f>
        <v>E1F2S84K</v>
      </c>
      <c r="D553" t="s">
        <v>45</v>
      </c>
      <c r="E553" t="s">
        <v>128</v>
      </c>
      <c r="F553" t="s">
        <v>86</v>
      </c>
      <c r="G553" t="s">
        <v>48</v>
      </c>
      <c r="H553" t="s">
        <v>49</v>
      </c>
      <c r="I553" t="s">
        <v>62</v>
      </c>
      <c r="J553" t="s">
        <v>714</v>
      </c>
      <c r="K553" t="s">
        <v>705</v>
      </c>
      <c r="L553" t="s">
        <v>53</v>
      </c>
      <c r="N553" t="s">
        <v>1181</v>
      </c>
      <c r="P553" t="s">
        <v>58</v>
      </c>
      <c r="R553" t="s">
        <v>56</v>
      </c>
      <c r="T553" t="s">
        <v>1179</v>
      </c>
      <c r="U553" t="s">
        <v>58</v>
      </c>
      <c r="V553">
        <v>1</v>
      </c>
      <c r="W553">
        <v>1</v>
      </c>
      <c r="X553">
        <v>1</v>
      </c>
      <c r="Y553">
        <v>0</v>
      </c>
      <c r="Z553">
        <v>1</v>
      </c>
      <c r="AA553">
        <v>0</v>
      </c>
      <c r="AB553">
        <v>119.33</v>
      </c>
      <c r="AC553">
        <v>105</v>
      </c>
      <c r="AD553">
        <v>0</v>
      </c>
      <c r="AE553">
        <v>14.34</v>
      </c>
      <c r="AF553">
        <v>0</v>
      </c>
      <c r="AG553">
        <v>0</v>
      </c>
      <c r="AH553">
        <v>0</v>
      </c>
      <c r="AI553">
        <v>17.899999999999999</v>
      </c>
      <c r="AJ553">
        <v>119.34</v>
      </c>
      <c r="AK553">
        <v>0.01</v>
      </c>
      <c r="AL553" t="s">
        <v>53</v>
      </c>
      <c r="AM553" t="s">
        <v>53</v>
      </c>
      <c r="AN553" t="s">
        <v>1182</v>
      </c>
      <c r="AO553" t="s">
        <v>53</v>
      </c>
      <c r="AP553" t="s">
        <v>53</v>
      </c>
    </row>
    <row r="554" spans="2:42" x14ac:dyDescent="0.2">
      <c r="B554" t="s">
        <v>44</v>
      </c>
      <c r="C554" t="str">
        <f>HYPERLINK("https://us2.cloudbeds.com/connect/8493803454333002#/reservations/598376915187?display=E1AU8ZAH&amp;reservation_id=598376915187", "E1AU8ZAH")</f>
        <v>E1AU8ZAH</v>
      </c>
      <c r="D554" t="s">
        <v>45</v>
      </c>
      <c r="E554" t="s">
        <v>85</v>
      </c>
      <c r="F554" t="s">
        <v>86</v>
      </c>
      <c r="G554" t="s">
        <v>48</v>
      </c>
      <c r="H554" t="s">
        <v>71</v>
      </c>
      <c r="I554" t="s">
        <v>72</v>
      </c>
      <c r="J554" t="s">
        <v>706</v>
      </c>
      <c r="K554" t="s">
        <v>901</v>
      </c>
      <c r="L554" t="s">
        <v>53</v>
      </c>
      <c r="N554" t="s">
        <v>1183</v>
      </c>
      <c r="P554" t="s">
        <v>55</v>
      </c>
      <c r="R554" t="s">
        <v>56</v>
      </c>
      <c r="T554" t="s">
        <v>1179</v>
      </c>
      <c r="U554" t="s">
        <v>58</v>
      </c>
      <c r="V554">
        <v>1</v>
      </c>
      <c r="W554">
        <v>1</v>
      </c>
      <c r="X554">
        <v>1</v>
      </c>
      <c r="Y554">
        <v>0</v>
      </c>
      <c r="Z554">
        <v>1</v>
      </c>
      <c r="AA554">
        <v>0</v>
      </c>
      <c r="AB554">
        <v>109.1</v>
      </c>
      <c r="AC554">
        <v>96</v>
      </c>
      <c r="AD554">
        <v>0</v>
      </c>
      <c r="AE554">
        <v>13.1</v>
      </c>
      <c r="AF554">
        <v>0</v>
      </c>
      <c r="AG554">
        <v>0</v>
      </c>
      <c r="AH554">
        <v>0</v>
      </c>
      <c r="AI554">
        <v>0</v>
      </c>
      <c r="AJ554">
        <v>109.1</v>
      </c>
      <c r="AK554">
        <v>0</v>
      </c>
      <c r="AL554" t="s">
        <v>53</v>
      </c>
      <c r="AM554" t="s">
        <v>53</v>
      </c>
      <c r="AN554" t="s">
        <v>1184</v>
      </c>
      <c r="AO554" t="s">
        <v>53</v>
      </c>
      <c r="AP554" t="s">
        <v>53</v>
      </c>
    </row>
    <row r="555" spans="2:42" x14ac:dyDescent="0.2">
      <c r="B555" t="s">
        <v>44</v>
      </c>
      <c r="C555" t="str">
        <f>HYPERLINK("https://us2.cloudbeds.com/connect/8493803454333002#/reservations/598534877322?display=E1EVF8PT&amp;reservation_id=598534877322", "E1EVF8PT")</f>
        <v>E1EVF8PT</v>
      </c>
      <c r="D555" t="s">
        <v>45</v>
      </c>
      <c r="E555" t="s">
        <v>179</v>
      </c>
      <c r="F555" t="s">
        <v>47</v>
      </c>
      <c r="G555" t="s">
        <v>48</v>
      </c>
      <c r="H555" t="s">
        <v>71</v>
      </c>
      <c r="I555" t="s">
        <v>72</v>
      </c>
      <c r="J555" t="s">
        <v>714</v>
      </c>
      <c r="K555" t="s">
        <v>705</v>
      </c>
      <c r="L555" t="s">
        <v>53</v>
      </c>
      <c r="N555" t="s">
        <v>1185</v>
      </c>
      <c r="P555" t="s">
        <v>58</v>
      </c>
      <c r="R555" t="s">
        <v>56</v>
      </c>
      <c r="T555" t="s">
        <v>1179</v>
      </c>
      <c r="U555" t="s">
        <v>58</v>
      </c>
      <c r="V555">
        <v>1</v>
      </c>
      <c r="W555">
        <v>1</v>
      </c>
      <c r="X555">
        <v>1</v>
      </c>
      <c r="Y555">
        <v>0</v>
      </c>
      <c r="Z555">
        <v>1</v>
      </c>
      <c r="AA555">
        <v>0</v>
      </c>
      <c r="AB555">
        <v>85.24</v>
      </c>
      <c r="AC555">
        <v>75</v>
      </c>
      <c r="AD555">
        <v>0</v>
      </c>
      <c r="AE555">
        <v>10.25</v>
      </c>
      <c r="AF555">
        <v>0</v>
      </c>
      <c r="AG555">
        <v>0</v>
      </c>
      <c r="AH555">
        <v>0</v>
      </c>
      <c r="AI555">
        <v>0</v>
      </c>
      <c r="AJ555">
        <v>85.25</v>
      </c>
      <c r="AK555">
        <v>0.01</v>
      </c>
      <c r="AL555" t="s">
        <v>53</v>
      </c>
      <c r="AM555" t="s">
        <v>53</v>
      </c>
      <c r="AN555" t="s">
        <v>1186</v>
      </c>
      <c r="AO555" t="s">
        <v>53</v>
      </c>
      <c r="AP555" t="s">
        <v>53</v>
      </c>
    </row>
    <row r="556" spans="2:42" x14ac:dyDescent="0.2">
      <c r="B556" t="s">
        <v>44</v>
      </c>
      <c r="C556" t="str">
        <f>HYPERLINK("https://us2.cloudbeds.com/connect/8493803454333002#/reservations/598070034619?display=E132GAWC&amp;reservation_id=598070034619", "E132GAWC")</f>
        <v>E132GAWC</v>
      </c>
      <c r="D556" t="s">
        <v>45</v>
      </c>
      <c r="E556" t="s">
        <v>121</v>
      </c>
      <c r="F556" t="s">
        <v>86</v>
      </c>
      <c r="G556" t="s">
        <v>48</v>
      </c>
      <c r="H556" t="s">
        <v>49</v>
      </c>
      <c r="I556" t="s">
        <v>62</v>
      </c>
      <c r="J556" t="s">
        <v>714</v>
      </c>
      <c r="K556" t="s">
        <v>705</v>
      </c>
      <c r="L556" t="s">
        <v>53</v>
      </c>
      <c r="N556" t="s">
        <v>1187</v>
      </c>
      <c r="P556" t="s">
        <v>55</v>
      </c>
      <c r="R556" t="s">
        <v>56</v>
      </c>
      <c r="T556" t="s">
        <v>1179</v>
      </c>
      <c r="U556" t="s">
        <v>58</v>
      </c>
      <c r="V556">
        <v>1</v>
      </c>
      <c r="W556">
        <v>1</v>
      </c>
      <c r="X556">
        <v>1</v>
      </c>
      <c r="Y556">
        <v>0</v>
      </c>
      <c r="Z556">
        <v>1</v>
      </c>
      <c r="AA556">
        <v>0</v>
      </c>
      <c r="AB556">
        <v>119.33</v>
      </c>
      <c r="AC556">
        <v>105</v>
      </c>
      <c r="AD556">
        <v>0</v>
      </c>
      <c r="AE556">
        <v>14.34</v>
      </c>
      <c r="AF556">
        <v>0</v>
      </c>
      <c r="AG556">
        <v>0</v>
      </c>
      <c r="AH556">
        <v>0</v>
      </c>
      <c r="AI556">
        <v>17.899999999999999</v>
      </c>
      <c r="AJ556">
        <v>119.34</v>
      </c>
      <c r="AK556">
        <v>0.01</v>
      </c>
      <c r="AL556" t="s">
        <v>53</v>
      </c>
      <c r="AM556" t="s">
        <v>53</v>
      </c>
      <c r="AN556" t="s">
        <v>1188</v>
      </c>
      <c r="AO556" t="s">
        <v>53</v>
      </c>
      <c r="AP556" t="s">
        <v>53</v>
      </c>
    </row>
    <row r="557" spans="2:42" x14ac:dyDescent="0.2">
      <c r="B557" t="s">
        <v>44</v>
      </c>
      <c r="C557" t="str">
        <f>HYPERLINK("https://us2.cloudbeds.com/connect/8493803454333002#/reservations/598308360409?display=E195F390&amp;reservation_id=598308360409", "E195F390")</f>
        <v>E195F390</v>
      </c>
      <c r="D557" t="s">
        <v>45</v>
      </c>
      <c r="E557" t="s">
        <v>121</v>
      </c>
      <c r="F557" t="s">
        <v>86</v>
      </c>
      <c r="G557" t="s">
        <v>48</v>
      </c>
      <c r="H557" t="s">
        <v>49</v>
      </c>
      <c r="I557" t="s">
        <v>62</v>
      </c>
      <c r="J557" t="s">
        <v>1117</v>
      </c>
      <c r="K557" t="s">
        <v>699</v>
      </c>
      <c r="L557" t="s">
        <v>53</v>
      </c>
      <c r="N557" t="s">
        <v>1189</v>
      </c>
      <c r="P557" t="s">
        <v>55</v>
      </c>
      <c r="R557" t="s">
        <v>56</v>
      </c>
      <c r="T557" t="s">
        <v>1179</v>
      </c>
      <c r="U557" t="s">
        <v>58</v>
      </c>
      <c r="V557">
        <v>1</v>
      </c>
      <c r="W557">
        <v>1</v>
      </c>
      <c r="X557">
        <v>1</v>
      </c>
      <c r="Y557">
        <v>0</v>
      </c>
      <c r="Z557">
        <v>1</v>
      </c>
      <c r="AA557">
        <v>0</v>
      </c>
      <c r="AB557">
        <v>132.97</v>
      </c>
      <c r="AC557">
        <v>117</v>
      </c>
      <c r="AD557">
        <v>0</v>
      </c>
      <c r="AE557">
        <v>15.97</v>
      </c>
      <c r="AF557">
        <v>0</v>
      </c>
      <c r="AG557">
        <v>0</v>
      </c>
      <c r="AH557">
        <v>0</v>
      </c>
      <c r="AI557">
        <v>19.95</v>
      </c>
      <c r="AJ557">
        <v>132.97</v>
      </c>
      <c r="AK557">
        <v>0</v>
      </c>
      <c r="AL557" t="s">
        <v>53</v>
      </c>
      <c r="AM557" t="s">
        <v>53</v>
      </c>
      <c r="AN557" t="s">
        <v>332</v>
      </c>
      <c r="AO557" t="s">
        <v>53</v>
      </c>
      <c r="AP557" t="s">
        <v>53</v>
      </c>
    </row>
    <row r="558" spans="2:42" x14ac:dyDescent="0.2">
      <c r="B558" t="s">
        <v>44</v>
      </c>
      <c r="C558" t="str">
        <f>HYPERLINK("https://us2.cloudbeds.com/connect/8493803454333002#/reservations/598487892115?display=E1DZRRGZ&amp;reservation_id=598487892115", "E1DZRRGZ")</f>
        <v>E1DZRRGZ</v>
      </c>
      <c r="D558" t="s">
        <v>45</v>
      </c>
      <c r="E558" t="s">
        <v>92</v>
      </c>
      <c r="F558" t="s">
        <v>86</v>
      </c>
      <c r="G558" t="s">
        <v>48</v>
      </c>
      <c r="H558" t="s">
        <v>71</v>
      </c>
      <c r="I558" t="s">
        <v>72</v>
      </c>
      <c r="J558" t="s">
        <v>714</v>
      </c>
      <c r="K558" t="s">
        <v>705</v>
      </c>
      <c r="L558" t="s">
        <v>53</v>
      </c>
      <c r="N558" t="s">
        <v>1190</v>
      </c>
      <c r="P558" t="s">
        <v>55</v>
      </c>
      <c r="R558" t="s">
        <v>56</v>
      </c>
      <c r="T558" t="s">
        <v>1179</v>
      </c>
      <c r="U558" t="s">
        <v>58</v>
      </c>
      <c r="V558">
        <v>1</v>
      </c>
      <c r="W558">
        <v>1</v>
      </c>
      <c r="X558">
        <v>1</v>
      </c>
      <c r="Y558">
        <v>0</v>
      </c>
      <c r="Z558">
        <v>1</v>
      </c>
      <c r="AA558">
        <v>0</v>
      </c>
      <c r="AB558">
        <v>113.65</v>
      </c>
      <c r="AC558">
        <v>100</v>
      </c>
      <c r="AD558">
        <v>0</v>
      </c>
      <c r="AE558">
        <v>13.65</v>
      </c>
      <c r="AF558">
        <v>0</v>
      </c>
      <c r="AG558">
        <v>0</v>
      </c>
      <c r="AH558">
        <v>0</v>
      </c>
      <c r="AI558">
        <v>0</v>
      </c>
      <c r="AJ558">
        <v>113.65</v>
      </c>
      <c r="AK558">
        <v>0</v>
      </c>
      <c r="AL558" t="s">
        <v>53</v>
      </c>
      <c r="AM558" t="s">
        <v>53</v>
      </c>
      <c r="AN558" t="s">
        <v>378</v>
      </c>
      <c r="AO558" t="s">
        <v>53</v>
      </c>
      <c r="AP558" t="s">
        <v>53</v>
      </c>
    </row>
    <row r="559" spans="2:42" x14ac:dyDescent="0.2">
      <c r="B559" t="s">
        <v>44</v>
      </c>
      <c r="C559" t="str">
        <f>HYPERLINK("https://us2.cloudbeds.com/connect/8493803454333002#/reservations/598589632660?display=E1GBKU5X&amp;reservation_id=598589632660", "E1GBKU5X")</f>
        <v>E1GBKU5X</v>
      </c>
      <c r="D559" t="s">
        <v>45</v>
      </c>
      <c r="E559" t="s">
        <v>155</v>
      </c>
      <c r="F559" t="s">
        <v>86</v>
      </c>
      <c r="G559" t="s">
        <v>48</v>
      </c>
      <c r="H559" t="s">
        <v>49</v>
      </c>
      <c r="I559" t="s">
        <v>50</v>
      </c>
      <c r="J559" t="s">
        <v>122</v>
      </c>
      <c r="K559" t="s">
        <v>123</v>
      </c>
      <c r="L559" t="s">
        <v>53</v>
      </c>
      <c r="N559" t="s">
        <v>1191</v>
      </c>
      <c r="P559" t="s">
        <v>55</v>
      </c>
      <c r="R559" t="s">
        <v>56</v>
      </c>
      <c r="T559" t="s">
        <v>1179</v>
      </c>
      <c r="U559" t="s">
        <v>58</v>
      </c>
      <c r="V559">
        <v>1</v>
      </c>
      <c r="W559">
        <v>1</v>
      </c>
      <c r="X559">
        <v>1</v>
      </c>
      <c r="Y559">
        <v>0</v>
      </c>
      <c r="Z559">
        <v>1</v>
      </c>
      <c r="AA559">
        <v>0</v>
      </c>
      <c r="AB559">
        <v>159.56</v>
      </c>
      <c r="AC559">
        <v>140.4</v>
      </c>
      <c r="AD559">
        <v>0</v>
      </c>
      <c r="AE559">
        <v>19.16</v>
      </c>
      <c r="AF559">
        <v>0</v>
      </c>
      <c r="AG559">
        <v>0</v>
      </c>
      <c r="AH559">
        <v>0</v>
      </c>
      <c r="AI559">
        <v>28.72</v>
      </c>
      <c r="AJ559">
        <v>159.56</v>
      </c>
      <c r="AK559">
        <v>0</v>
      </c>
      <c r="AL559" t="s">
        <v>53</v>
      </c>
      <c r="AM559" t="s">
        <v>53</v>
      </c>
      <c r="AN559" t="s">
        <v>97</v>
      </c>
      <c r="AO559" t="s">
        <v>53</v>
      </c>
      <c r="AP559" t="s">
        <v>53</v>
      </c>
    </row>
    <row r="560" spans="2:42" x14ac:dyDescent="0.2">
      <c r="B560" t="s">
        <v>44</v>
      </c>
      <c r="C560" t="str">
        <f>HYPERLINK("https://us2.cloudbeds.com/connect/8493803454333002#/reservations/598458548357?display=E1D039TU&amp;reservation_id=598458548357", "E1D039TU")</f>
        <v>E1D039TU</v>
      </c>
      <c r="D560" t="s">
        <v>45</v>
      </c>
      <c r="E560" t="s">
        <v>155</v>
      </c>
      <c r="F560" t="s">
        <v>86</v>
      </c>
      <c r="G560" t="s">
        <v>48</v>
      </c>
      <c r="H560" t="s">
        <v>49</v>
      </c>
      <c r="I560" t="s">
        <v>62</v>
      </c>
      <c r="J560" t="s">
        <v>705</v>
      </c>
      <c r="K560" t="s">
        <v>706</v>
      </c>
      <c r="L560" t="s">
        <v>53</v>
      </c>
      <c r="N560" t="s">
        <v>1192</v>
      </c>
      <c r="P560" t="s">
        <v>55</v>
      </c>
      <c r="R560" t="s">
        <v>1193</v>
      </c>
      <c r="T560" t="s">
        <v>1194</v>
      </c>
      <c r="U560" t="s">
        <v>58</v>
      </c>
      <c r="V560">
        <v>1</v>
      </c>
      <c r="W560">
        <v>1</v>
      </c>
      <c r="X560">
        <v>1</v>
      </c>
      <c r="Y560">
        <v>0</v>
      </c>
      <c r="Z560">
        <v>1</v>
      </c>
      <c r="AA560">
        <v>0</v>
      </c>
      <c r="AB560">
        <v>107.4</v>
      </c>
      <c r="AC560">
        <v>94.5</v>
      </c>
      <c r="AD560">
        <v>0</v>
      </c>
      <c r="AE560">
        <v>12.9</v>
      </c>
      <c r="AF560">
        <v>0</v>
      </c>
      <c r="AG560">
        <v>0</v>
      </c>
      <c r="AH560">
        <v>0</v>
      </c>
      <c r="AI560">
        <v>16.11</v>
      </c>
      <c r="AJ560">
        <v>107.4</v>
      </c>
      <c r="AK560">
        <v>0</v>
      </c>
      <c r="AL560" t="s">
        <v>53</v>
      </c>
      <c r="AM560" t="s">
        <v>53</v>
      </c>
      <c r="AN560" t="s">
        <v>634</v>
      </c>
      <c r="AO560" t="s">
        <v>53</v>
      </c>
      <c r="AP560" t="s">
        <v>53</v>
      </c>
    </row>
    <row r="561" spans="2:42" x14ac:dyDescent="0.2">
      <c r="B561" t="s">
        <v>44</v>
      </c>
      <c r="C561" t="str">
        <f>HYPERLINK("https://us2.cloudbeds.com/connect/8493803454333002#/reservations/598296228068?display=E18S7GFA&amp;reservation_id=598296228068", "E18S7GFA")</f>
        <v>E18S7GFA</v>
      </c>
      <c r="D561" t="s">
        <v>45</v>
      </c>
      <c r="E561" t="s">
        <v>373</v>
      </c>
      <c r="F561" t="s">
        <v>47</v>
      </c>
      <c r="G561" t="s">
        <v>48</v>
      </c>
      <c r="H561" t="s">
        <v>49</v>
      </c>
      <c r="I561" t="s">
        <v>62</v>
      </c>
      <c r="J561" t="s">
        <v>705</v>
      </c>
      <c r="K561" t="s">
        <v>706</v>
      </c>
      <c r="L561" t="s">
        <v>53</v>
      </c>
      <c r="N561" t="s">
        <v>1195</v>
      </c>
      <c r="P561" t="s">
        <v>55</v>
      </c>
      <c r="R561" t="s">
        <v>66</v>
      </c>
      <c r="T561" t="s">
        <v>1194</v>
      </c>
      <c r="U561" t="s">
        <v>58</v>
      </c>
      <c r="V561">
        <v>1</v>
      </c>
      <c r="W561">
        <v>1</v>
      </c>
      <c r="X561">
        <v>1</v>
      </c>
      <c r="Y561">
        <v>0</v>
      </c>
      <c r="Z561">
        <v>1</v>
      </c>
      <c r="AA561">
        <v>0</v>
      </c>
      <c r="AB561">
        <v>76.37</v>
      </c>
      <c r="AC561">
        <v>67.2</v>
      </c>
      <c r="AD561">
        <v>0</v>
      </c>
      <c r="AE561">
        <v>9.17</v>
      </c>
      <c r="AF561">
        <v>0</v>
      </c>
      <c r="AG561">
        <v>0</v>
      </c>
      <c r="AH561">
        <v>0</v>
      </c>
      <c r="AI561">
        <v>11.46</v>
      </c>
      <c r="AJ561">
        <v>76.37</v>
      </c>
      <c r="AK561">
        <v>0</v>
      </c>
      <c r="AL561" t="s">
        <v>53</v>
      </c>
      <c r="AM561" t="s">
        <v>53</v>
      </c>
      <c r="AN561" t="s">
        <v>1101</v>
      </c>
      <c r="AO561" t="s">
        <v>53</v>
      </c>
      <c r="AP561" t="s">
        <v>53</v>
      </c>
    </row>
    <row r="562" spans="2:42" x14ac:dyDescent="0.2">
      <c r="B562" t="s">
        <v>44</v>
      </c>
      <c r="C562" t="str">
        <f>HYPERLINK("https://us2.cloudbeds.com/connect/8493803454333002#/reservations/598395924693?display=E1BD9N85&amp;reservation_id=598395924693", "E1BD9N85")</f>
        <v>E1BD9N85</v>
      </c>
      <c r="D562" t="s">
        <v>45</v>
      </c>
      <c r="E562" t="s">
        <v>110</v>
      </c>
      <c r="F562" t="s">
        <v>47</v>
      </c>
      <c r="G562" t="s">
        <v>48</v>
      </c>
      <c r="H562" t="s">
        <v>71</v>
      </c>
      <c r="I562" t="s">
        <v>72</v>
      </c>
      <c r="J562" t="s">
        <v>706</v>
      </c>
      <c r="K562" t="s">
        <v>901</v>
      </c>
      <c r="L562" t="s">
        <v>53</v>
      </c>
      <c r="N562" t="s">
        <v>1196</v>
      </c>
      <c r="P562" t="s">
        <v>55</v>
      </c>
      <c r="R562" t="s">
        <v>56</v>
      </c>
      <c r="T562" t="s">
        <v>1194</v>
      </c>
      <c r="U562" t="s">
        <v>58</v>
      </c>
      <c r="V562">
        <v>1</v>
      </c>
      <c r="W562">
        <v>1</v>
      </c>
      <c r="X562">
        <v>1</v>
      </c>
      <c r="Y562">
        <v>0</v>
      </c>
      <c r="Z562">
        <v>1</v>
      </c>
      <c r="AA562">
        <v>0</v>
      </c>
      <c r="AB562">
        <v>85.24</v>
      </c>
      <c r="AC562">
        <v>75</v>
      </c>
      <c r="AD562">
        <v>0</v>
      </c>
      <c r="AE562">
        <v>10.25</v>
      </c>
      <c r="AF562">
        <v>0</v>
      </c>
      <c r="AG562">
        <v>0</v>
      </c>
      <c r="AH562">
        <v>0</v>
      </c>
      <c r="AI562">
        <v>0</v>
      </c>
      <c r="AJ562">
        <v>85.25</v>
      </c>
      <c r="AK562">
        <v>0.01</v>
      </c>
      <c r="AL562" t="s">
        <v>53</v>
      </c>
      <c r="AM562" t="s">
        <v>53</v>
      </c>
      <c r="AN562" t="s">
        <v>378</v>
      </c>
      <c r="AO562" t="s">
        <v>53</v>
      </c>
      <c r="AP562" t="s">
        <v>53</v>
      </c>
    </row>
    <row r="563" spans="2:42" x14ac:dyDescent="0.2">
      <c r="B563" t="s">
        <v>44</v>
      </c>
      <c r="C563" t="str">
        <f>HYPERLINK("https://us2.cloudbeds.com/connect/8493803454333002#/reservations/598489215216?display=E1DPVYFN&amp;reservation_id=598489215216", "E1DPVYFN")</f>
        <v>E1DPVYFN</v>
      </c>
      <c r="D563" t="s">
        <v>45</v>
      </c>
      <c r="E563" t="s">
        <v>69</v>
      </c>
      <c r="F563" t="s">
        <v>70</v>
      </c>
      <c r="G563" t="s">
        <v>48</v>
      </c>
      <c r="H563" t="s">
        <v>49</v>
      </c>
      <c r="I563" t="s">
        <v>62</v>
      </c>
      <c r="J563" t="s">
        <v>705</v>
      </c>
      <c r="K563" t="s">
        <v>901</v>
      </c>
      <c r="L563" t="s">
        <v>53</v>
      </c>
      <c r="N563" t="s">
        <v>1197</v>
      </c>
      <c r="P563" t="s">
        <v>55</v>
      </c>
      <c r="R563" t="s">
        <v>56</v>
      </c>
      <c r="T563" t="s">
        <v>1194</v>
      </c>
      <c r="U563" t="s">
        <v>58</v>
      </c>
      <c r="V563">
        <v>2</v>
      </c>
      <c r="W563">
        <v>1</v>
      </c>
      <c r="X563">
        <v>1</v>
      </c>
      <c r="Y563">
        <v>0</v>
      </c>
      <c r="Z563">
        <v>1</v>
      </c>
      <c r="AA563">
        <v>0</v>
      </c>
      <c r="AB563">
        <v>158.71</v>
      </c>
      <c r="AC563">
        <v>139.65</v>
      </c>
      <c r="AD563">
        <v>0</v>
      </c>
      <c r="AE563">
        <v>19.07</v>
      </c>
      <c r="AF563">
        <v>0</v>
      </c>
      <c r="AG563">
        <v>0</v>
      </c>
      <c r="AH563">
        <v>0</v>
      </c>
      <c r="AI563">
        <v>23.81</v>
      </c>
      <c r="AJ563">
        <v>158.72</v>
      </c>
      <c r="AK563">
        <v>0.01</v>
      </c>
      <c r="AL563" t="s">
        <v>53</v>
      </c>
      <c r="AM563" t="s">
        <v>53</v>
      </c>
      <c r="AN563" t="s">
        <v>442</v>
      </c>
      <c r="AO563" t="s">
        <v>53</v>
      </c>
      <c r="AP563" t="s">
        <v>53</v>
      </c>
    </row>
    <row r="564" spans="2:42" x14ac:dyDescent="0.2">
      <c r="B564" t="s">
        <v>44</v>
      </c>
      <c r="C564" t="str">
        <f>HYPERLINK("https://us2.cloudbeds.com/connect/8493803454333002#/reservations/598520561807?display=E1EJCU7D&amp;reservation_id=598520561807", "E1EJCU7D")</f>
        <v>E1EJCU7D</v>
      </c>
      <c r="D564" t="s">
        <v>45</v>
      </c>
      <c r="E564" t="s">
        <v>138</v>
      </c>
      <c r="F564" t="s">
        <v>70</v>
      </c>
      <c r="G564" t="s">
        <v>48</v>
      </c>
      <c r="H564" t="s">
        <v>71</v>
      </c>
      <c r="I564" t="s">
        <v>72</v>
      </c>
      <c r="J564" t="s">
        <v>705</v>
      </c>
      <c r="K564" t="s">
        <v>706</v>
      </c>
      <c r="L564" t="s">
        <v>53</v>
      </c>
      <c r="N564" t="s">
        <v>1198</v>
      </c>
      <c r="P564" t="s">
        <v>55</v>
      </c>
      <c r="R564" t="s">
        <v>56</v>
      </c>
      <c r="T564" t="s">
        <v>1194</v>
      </c>
      <c r="U564" t="s">
        <v>58</v>
      </c>
      <c r="V564">
        <v>1</v>
      </c>
      <c r="W564">
        <v>1</v>
      </c>
      <c r="X564">
        <v>1</v>
      </c>
      <c r="Y564">
        <v>0</v>
      </c>
      <c r="Z564">
        <v>1</v>
      </c>
      <c r="AA564">
        <v>0</v>
      </c>
      <c r="AB564">
        <v>72.739999999999995</v>
      </c>
      <c r="AC564">
        <v>64</v>
      </c>
      <c r="AD564">
        <v>0</v>
      </c>
      <c r="AE564">
        <v>8.74</v>
      </c>
      <c r="AF564">
        <v>0</v>
      </c>
      <c r="AG564">
        <v>0</v>
      </c>
      <c r="AH564">
        <v>0</v>
      </c>
      <c r="AI564">
        <v>0</v>
      </c>
      <c r="AJ564">
        <v>72.739999999999995</v>
      </c>
      <c r="AK564">
        <v>0</v>
      </c>
      <c r="AL564" t="s">
        <v>53</v>
      </c>
      <c r="AM564" t="s">
        <v>53</v>
      </c>
      <c r="AN564" t="s">
        <v>378</v>
      </c>
      <c r="AO564" t="s">
        <v>53</v>
      </c>
      <c r="AP564" t="s">
        <v>53</v>
      </c>
    </row>
    <row r="565" spans="2:42" x14ac:dyDescent="0.2">
      <c r="B565" t="s">
        <v>44</v>
      </c>
      <c r="C565" t="str">
        <f>HYPERLINK("https://us2.cloudbeds.com/connect/8493803454333002#/reservations/598013583552?display=E11GEMUW&amp;reservation_id=598013583552", "E11GEMUW")</f>
        <v>E11GEMUW</v>
      </c>
      <c r="D565" t="s">
        <v>45</v>
      </c>
      <c r="E565" t="s">
        <v>78</v>
      </c>
      <c r="F565" t="s">
        <v>61</v>
      </c>
      <c r="G565" t="s">
        <v>48</v>
      </c>
      <c r="H565" t="s">
        <v>71</v>
      </c>
      <c r="I565" t="s">
        <v>72</v>
      </c>
      <c r="J565" t="s">
        <v>115</v>
      </c>
      <c r="K565" t="s">
        <v>298</v>
      </c>
      <c r="L565" t="s">
        <v>53</v>
      </c>
      <c r="N565" t="s">
        <v>1199</v>
      </c>
      <c r="P565" t="s">
        <v>55</v>
      </c>
      <c r="R565" t="s">
        <v>56</v>
      </c>
      <c r="T565" t="s">
        <v>1194</v>
      </c>
      <c r="U565" t="s">
        <v>58</v>
      </c>
      <c r="V565">
        <v>2</v>
      </c>
      <c r="W565">
        <v>1</v>
      </c>
      <c r="X565">
        <v>1</v>
      </c>
      <c r="Y565">
        <v>0</v>
      </c>
      <c r="Z565">
        <v>1</v>
      </c>
      <c r="AA565">
        <v>0</v>
      </c>
      <c r="AB565">
        <v>200.02</v>
      </c>
      <c r="AC565">
        <v>176</v>
      </c>
      <c r="AD565">
        <v>0</v>
      </c>
      <c r="AE565">
        <v>24.02</v>
      </c>
      <c r="AF565">
        <v>0</v>
      </c>
      <c r="AG565">
        <v>0</v>
      </c>
      <c r="AH565">
        <v>0</v>
      </c>
      <c r="AI565">
        <v>0</v>
      </c>
      <c r="AJ565">
        <v>200.02</v>
      </c>
      <c r="AK565">
        <v>0</v>
      </c>
      <c r="AL565" t="s">
        <v>53</v>
      </c>
      <c r="AM565" t="s">
        <v>53</v>
      </c>
      <c r="AN565" t="s">
        <v>1200</v>
      </c>
      <c r="AO565" t="s">
        <v>53</v>
      </c>
      <c r="AP565" t="s">
        <v>53</v>
      </c>
    </row>
    <row r="566" spans="2:42" x14ac:dyDescent="0.2">
      <c r="B566" t="s">
        <v>44</v>
      </c>
      <c r="C566" t="str">
        <f>HYPERLINK("https://us2.cloudbeds.com/connect/8493803454333002#/reservations/598359662732?display=E1AFNYRS&amp;reservation_id=598359662732", "E1AFNYRS")</f>
        <v>E1AFNYRS</v>
      </c>
      <c r="D566" t="s">
        <v>45</v>
      </c>
      <c r="E566" t="s">
        <v>85</v>
      </c>
      <c r="F566" t="s">
        <v>86</v>
      </c>
      <c r="G566" t="s">
        <v>48</v>
      </c>
      <c r="H566" t="s">
        <v>49</v>
      </c>
      <c r="I566" t="s">
        <v>50</v>
      </c>
      <c r="J566" t="s">
        <v>341</v>
      </c>
      <c r="K566" t="s">
        <v>426</v>
      </c>
      <c r="L566" t="s">
        <v>53</v>
      </c>
      <c r="N566" t="s">
        <v>1201</v>
      </c>
      <c r="P566" t="s">
        <v>55</v>
      </c>
      <c r="R566" t="s">
        <v>56</v>
      </c>
      <c r="T566" t="s">
        <v>1194</v>
      </c>
      <c r="U566" t="s">
        <v>58</v>
      </c>
      <c r="V566">
        <v>2</v>
      </c>
      <c r="W566">
        <v>1</v>
      </c>
      <c r="X566">
        <v>1</v>
      </c>
      <c r="Y566">
        <v>0</v>
      </c>
      <c r="Z566">
        <v>1</v>
      </c>
      <c r="AA566">
        <v>0</v>
      </c>
      <c r="AB566">
        <v>306.86</v>
      </c>
      <c r="AC566">
        <v>270</v>
      </c>
      <c r="AD566">
        <v>0</v>
      </c>
      <c r="AE566">
        <v>36.880000000000003</v>
      </c>
      <c r="AF566">
        <v>0</v>
      </c>
      <c r="AG566">
        <v>0</v>
      </c>
      <c r="AH566">
        <v>0</v>
      </c>
      <c r="AI566">
        <v>55.24</v>
      </c>
      <c r="AJ566">
        <v>306.88</v>
      </c>
      <c r="AK566">
        <v>0.02</v>
      </c>
      <c r="AL566" t="s">
        <v>53</v>
      </c>
      <c r="AM566" t="s">
        <v>53</v>
      </c>
      <c r="AN566" t="s">
        <v>178</v>
      </c>
      <c r="AO566" t="s">
        <v>53</v>
      </c>
      <c r="AP566" t="s">
        <v>53</v>
      </c>
    </row>
    <row r="567" spans="2:42" x14ac:dyDescent="0.2">
      <c r="B567" t="s">
        <v>44</v>
      </c>
      <c r="C567" t="str">
        <f>HYPERLINK("https://us2.cloudbeds.com/connect/8493803454333002#/reservations/598482755745?display=E1DKGTU5&amp;reservation_id=598482755745", "E1DKGTU5")</f>
        <v>E1DKGTU5</v>
      </c>
      <c r="D567" t="s">
        <v>45</v>
      </c>
      <c r="E567" t="s">
        <v>373</v>
      </c>
      <c r="F567" t="s">
        <v>47</v>
      </c>
      <c r="G567" t="s">
        <v>48</v>
      </c>
      <c r="H567" t="s">
        <v>49</v>
      </c>
      <c r="I567" t="s">
        <v>62</v>
      </c>
      <c r="J567" t="s">
        <v>844</v>
      </c>
      <c r="K567" t="s">
        <v>116</v>
      </c>
      <c r="L567" t="s">
        <v>53</v>
      </c>
      <c r="N567" t="s">
        <v>1202</v>
      </c>
      <c r="P567" t="s">
        <v>58</v>
      </c>
      <c r="R567" t="s">
        <v>56</v>
      </c>
      <c r="T567" t="s">
        <v>1194</v>
      </c>
      <c r="U567" t="s">
        <v>58</v>
      </c>
      <c r="V567">
        <v>2</v>
      </c>
      <c r="W567">
        <v>1</v>
      </c>
      <c r="X567">
        <v>1</v>
      </c>
      <c r="Y567">
        <v>0</v>
      </c>
      <c r="Z567">
        <v>1</v>
      </c>
      <c r="AA567">
        <v>0</v>
      </c>
      <c r="AB567">
        <v>184.97</v>
      </c>
      <c r="AC567">
        <v>162.75</v>
      </c>
      <c r="AD567">
        <v>0</v>
      </c>
      <c r="AE567">
        <v>22.22</v>
      </c>
      <c r="AF567">
        <v>0</v>
      </c>
      <c r="AG567">
        <v>0</v>
      </c>
      <c r="AH567">
        <v>0</v>
      </c>
      <c r="AI567">
        <v>27.75</v>
      </c>
      <c r="AJ567">
        <v>184.97</v>
      </c>
      <c r="AK567">
        <v>0</v>
      </c>
      <c r="AL567" t="s">
        <v>53</v>
      </c>
      <c r="AM567" t="s">
        <v>53</v>
      </c>
      <c r="AN567" t="s">
        <v>1203</v>
      </c>
      <c r="AO567" t="s">
        <v>53</v>
      </c>
      <c r="AP567" t="s">
        <v>53</v>
      </c>
    </row>
    <row r="568" spans="2:42" x14ac:dyDescent="0.2">
      <c r="B568" t="s">
        <v>44</v>
      </c>
      <c r="C568" t="str">
        <f>HYPERLINK("https://us2.cloudbeds.com/connect/8493803454333002#/reservations/598338654431?display=E19V02FM&amp;reservation_id=598338654431", "E19V02FM")</f>
        <v>E19V02FM</v>
      </c>
      <c r="D568" t="s">
        <v>45</v>
      </c>
      <c r="E568" t="s">
        <v>128</v>
      </c>
      <c r="F568" t="s">
        <v>86</v>
      </c>
      <c r="G568" t="s">
        <v>48</v>
      </c>
      <c r="H568" t="s">
        <v>71</v>
      </c>
      <c r="I568" t="s">
        <v>72</v>
      </c>
      <c r="J568" t="s">
        <v>705</v>
      </c>
      <c r="K568" t="s">
        <v>706</v>
      </c>
      <c r="L568" t="s">
        <v>53</v>
      </c>
      <c r="N568" t="s">
        <v>1204</v>
      </c>
      <c r="P568" t="s">
        <v>58</v>
      </c>
      <c r="R568" t="s">
        <v>56</v>
      </c>
      <c r="T568" t="s">
        <v>1194</v>
      </c>
      <c r="U568" t="s">
        <v>58</v>
      </c>
      <c r="V568">
        <v>1</v>
      </c>
      <c r="W568">
        <v>1</v>
      </c>
      <c r="X568">
        <v>1</v>
      </c>
      <c r="Y568">
        <v>0</v>
      </c>
      <c r="Z568">
        <v>1</v>
      </c>
      <c r="AA568">
        <v>0</v>
      </c>
      <c r="AB568">
        <v>102.29</v>
      </c>
      <c r="AC568">
        <v>90</v>
      </c>
      <c r="AD568">
        <v>0</v>
      </c>
      <c r="AE568">
        <v>12.29</v>
      </c>
      <c r="AF568">
        <v>0</v>
      </c>
      <c r="AG568">
        <v>0</v>
      </c>
      <c r="AH568">
        <v>0</v>
      </c>
      <c r="AI568">
        <v>0</v>
      </c>
      <c r="AJ568">
        <v>102.29</v>
      </c>
      <c r="AK568">
        <v>0</v>
      </c>
      <c r="AL568" t="s">
        <v>53</v>
      </c>
      <c r="AM568" t="s">
        <v>53</v>
      </c>
      <c r="AN568" t="s">
        <v>378</v>
      </c>
      <c r="AO568" t="s">
        <v>53</v>
      </c>
      <c r="AP568" t="s">
        <v>53</v>
      </c>
    </row>
    <row r="569" spans="2:42" x14ac:dyDescent="0.2">
      <c r="B569" t="s">
        <v>44</v>
      </c>
      <c r="C569" t="str">
        <f>HYPERLINK("https://us2.cloudbeds.com/connect/8493803454333002#/reservations/598439436449?display=E1CGWFV7&amp;reservation_id=598439436449", "E1CGWFV7")</f>
        <v>E1CGWFV7</v>
      </c>
      <c r="D569" t="s">
        <v>45</v>
      </c>
      <c r="E569" t="s">
        <v>92</v>
      </c>
      <c r="F569" t="s">
        <v>86</v>
      </c>
      <c r="G569" t="s">
        <v>48</v>
      </c>
      <c r="H569" t="s">
        <v>71</v>
      </c>
      <c r="I569" t="s">
        <v>72</v>
      </c>
      <c r="J569" t="s">
        <v>122</v>
      </c>
      <c r="K569" t="s">
        <v>123</v>
      </c>
      <c r="L569" t="s">
        <v>53</v>
      </c>
      <c r="N569" t="s">
        <v>1205</v>
      </c>
      <c r="P569" t="s">
        <v>55</v>
      </c>
      <c r="R569" t="s">
        <v>56</v>
      </c>
      <c r="T569" t="s">
        <v>1194</v>
      </c>
      <c r="U569" t="s">
        <v>58</v>
      </c>
      <c r="V569">
        <v>1</v>
      </c>
      <c r="W569">
        <v>1</v>
      </c>
      <c r="X569">
        <v>1</v>
      </c>
      <c r="Y569">
        <v>0</v>
      </c>
      <c r="Z569">
        <v>1</v>
      </c>
      <c r="AA569">
        <v>0</v>
      </c>
      <c r="AB569">
        <v>172.75</v>
      </c>
      <c r="AC569">
        <v>152</v>
      </c>
      <c r="AD569">
        <v>0</v>
      </c>
      <c r="AE569">
        <v>20.75</v>
      </c>
      <c r="AF569">
        <v>0</v>
      </c>
      <c r="AG569">
        <v>0</v>
      </c>
      <c r="AH569">
        <v>0</v>
      </c>
      <c r="AI569">
        <v>0</v>
      </c>
      <c r="AJ569">
        <v>172.75</v>
      </c>
      <c r="AK569">
        <v>0</v>
      </c>
      <c r="AL569" t="s">
        <v>53</v>
      </c>
      <c r="AM569" t="s">
        <v>53</v>
      </c>
      <c r="AN569" t="s">
        <v>1206</v>
      </c>
      <c r="AO569" t="s">
        <v>53</v>
      </c>
      <c r="AP569" t="s">
        <v>53</v>
      </c>
    </row>
    <row r="570" spans="2:42" x14ac:dyDescent="0.2">
      <c r="B570" t="s">
        <v>44</v>
      </c>
      <c r="C570" t="str">
        <f>HYPERLINK("https://us2.cloudbeds.com/connect/8493803454333002#/reservations/598491099316?display=E1DRX2JK&amp;reservation_id=598491099316", "E1DRX2JK")</f>
        <v>E1DRX2JK</v>
      </c>
      <c r="D570" t="s">
        <v>45</v>
      </c>
      <c r="E570" t="s">
        <v>46</v>
      </c>
      <c r="F570" t="s">
        <v>47</v>
      </c>
      <c r="G570" t="s">
        <v>48</v>
      </c>
      <c r="H570" t="s">
        <v>71</v>
      </c>
      <c r="I570" t="s">
        <v>72</v>
      </c>
      <c r="J570" t="s">
        <v>705</v>
      </c>
      <c r="K570" t="s">
        <v>706</v>
      </c>
      <c r="L570" t="s">
        <v>53</v>
      </c>
      <c r="N570" t="s">
        <v>1207</v>
      </c>
      <c r="P570" t="s">
        <v>58</v>
      </c>
      <c r="R570" t="s">
        <v>56</v>
      </c>
      <c r="T570" t="s">
        <v>1194</v>
      </c>
      <c r="U570" t="s">
        <v>58</v>
      </c>
      <c r="V570">
        <v>1</v>
      </c>
      <c r="W570">
        <v>1</v>
      </c>
      <c r="X570">
        <v>1</v>
      </c>
      <c r="Y570">
        <v>0</v>
      </c>
      <c r="Z570">
        <v>1</v>
      </c>
      <c r="AA570">
        <v>0</v>
      </c>
      <c r="AB570">
        <v>79.56</v>
      </c>
      <c r="AC570">
        <v>70</v>
      </c>
      <c r="AD570">
        <v>0</v>
      </c>
      <c r="AE570">
        <v>9.56</v>
      </c>
      <c r="AF570">
        <v>0</v>
      </c>
      <c r="AG570">
        <v>0</v>
      </c>
      <c r="AH570">
        <v>0</v>
      </c>
      <c r="AI570">
        <v>0</v>
      </c>
      <c r="AJ570">
        <v>79.56</v>
      </c>
      <c r="AK570">
        <v>0</v>
      </c>
      <c r="AL570" t="s">
        <v>53</v>
      </c>
      <c r="AM570" t="s">
        <v>53</v>
      </c>
      <c r="AN570" t="s">
        <v>378</v>
      </c>
      <c r="AO570" t="s">
        <v>53</v>
      </c>
      <c r="AP570" t="s">
        <v>53</v>
      </c>
    </row>
    <row r="571" spans="2:42" x14ac:dyDescent="0.2">
      <c r="B571" t="s">
        <v>44</v>
      </c>
      <c r="C571" t="str">
        <f>HYPERLINK("https://us2.cloudbeds.com/connect/8493803454333002#/reservations/598391840977?display=E1B9S296&amp;reservation_id=598391840977", "E1B9S296")</f>
        <v>E1B9S296</v>
      </c>
      <c r="D571" t="s">
        <v>45</v>
      </c>
      <c r="E571" t="s">
        <v>213</v>
      </c>
      <c r="F571" t="s">
        <v>86</v>
      </c>
      <c r="G571" t="s">
        <v>48</v>
      </c>
      <c r="H571" t="s">
        <v>71</v>
      </c>
      <c r="I571" t="s">
        <v>72</v>
      </c>
      <c r="J571" t="s">
        <v>706</v>
      </c>
      <c r="K571" t="s">
        <v>901</v>
      </c>
      <c r="L571" t="s">
        <v>53</v>
      </c>
      <c r="N571" t="s">
        <v>1208</v>
      </c>
      <c r="P571" t="s">
        <v>55</v>
      </c>
      <c r="R571" t="s">
        <v>56</v>
      </c>
      <c r="T571" t="s">
        <v>1194</v>
      </c>
      <c r="U571" t="s">
        <v>58</v>
      </c>
      <c r="V571">
        <v>1</v>
      </c>
      <c r="W571">
        <v>1</v>
      </c>
      <c r="X571">
        <v>1</v>
      </c>
      <c r="Y571">
        <v>0</v>
      </c>
      <c r="Z571">
        <v>1</v>
      </c>
      <c r="AA571">
        <v>0</v>
      </c>
      <c r="AB571">
        <v>107.97</v>
      </c>
      <c r="AC571">
        <v>95</v>
      </c>
      <c r="AD571">
        <v>0</v>
      </c>
      <c r="AE571">
        <v>12.98</v>
      </c>
      <c r="AF571">
        <v>0</v>
      </c>
      <c r="AG571">
        <v>0</v>
      </c>
      <c r="AH571">
        <v>0</v>
      </c>
      <c r="AI571">
        <v>0</v>
      </c>
      <c r="AJ571">
        <v>107.98</v>
      </c>
      <c r="AK571">
        <v>0.01</v>
      </c>
      <c r="AL571" t="s">
        <v>53</v>
      </c>
      <c r="AM571" t="s">
        <v>53</v>
      </c>
      <c r="AN571" t="s">
        <v>1209</v>
      </c>
      <c r="AO571" t="s">
        <v>53</v>
      </c>
      <c r="AP571" t="s">
        <v>53</v>
      </c>
    </row>
    <row r="572" spans="2:42" x14ac:dyDescent="0.2">
      <c r="B572" t="s">
        <v>44</v>
      </c>
      <c r="C572" t="str">
        <f>HYPERLINK("https://us2.cloudbeds.com/connect/8493803454333002#/reservations/598384771213?display=E1B3TB9U&amp;reservation_id=598384771213", "E1B3TB9U")</f>
        <v>E1B3TB9U</v>
      </c>
      <c r="D572" t="s">
        <v>45</v>
      </c>
      <c r="E572" t="s">
        <v>105</v>
      </c>
      <c r="F572" t="s">
        <v>47</v>
      </c>
      <c r="G572" t="s">
        <v>48</v>
      </c>
      <c r="H572" t="s">
        <v>49</v>
      </c>
      <c r="I572" t="s">
        <v>62</v>
      </c>
      <c r="J572" t="s">
        <v>706</v>
      </c>
      <c r="K572" t="s">
        <v>901</v>
      </c>
      <c r="L572" t="s">
        <v>53</v>
      </c>
      <c r="N572" t="s">
        <v>1210</v>
      </c>
      <c r="P572" t="s">
        <v>55</v>
      </c>
      <c r="R572" t="s">
        <v>56</v>
      </c>
      <c r="T572" t="s">
        <v>1194</v>
      </c>
      <c r="U572" t="s">
        <v>58</v>
      </c>
      <c r="V572">
        <v>1</v>
      </c>
      <c r="W572">
        <v>1</v>
      </c>
      <c r="X572">
        <v>1</v>
      </c>
      <c r="Y572">
        <v>0</v>
      </c>
      <c r="Z572">
        <v>1</v>
      </c>
      <c r="AA572">
        <v>0</v>
      </c>
      <c r="AB572">
        <v>89.5</v>
      </c>
      <c r="AC572">
        <v>78.75</v>
      </c>
      <c r="AD572">
        <v>0</v>
      </c>
      <c r="AE572">
        <v>10.75</v>
      </c>
      <c r="AF572">
        <v>0</v>
      </c>
      <c r="AG572">
        <v>0</v>
      </c>
      <c r="AH572">
        <v>0</v>
      </c>
      <c r="AI572">
        <v>13.43</v>
      </c>
      <c r="AJ572">
        <v>89.5</v>
      </c>
      <c r="AK572">
        <v>0</v>
      </c>
      <c r="AL572" t="s">
        <v>53</v>
      </c>
      <c r="AM572" t="s">
        <v>53</v>
      </c>
      <c r="AN572" t="s">
        <v>760</v>
      </c>
      <c r="AO572" t="s">
        <v>53</v>
      </c>
      <c r="AP572" t="s">
        <v>53</v>
      </c>
    </row>
    <row r="573" spans="2:42" x14ac:dyDescent="0.2">
      <c r="B573" t="s">
        <v>44</v>
      </c>
      <c r="C573" t="str">
        <f>HYPERLINK("https://us2.cloudbeds.com/connect/8493803454333002#/reservations/598414307549?display=E1BSQ7ZD&amp;reservation_id=598414307549", "E1BSQ7ZD")</f>
        <v>E1BSQ7ZD</v>
      </c>
      <c r="D573" t="s">
        <v>45</v>
      </c>
      <c r="E573" t="s">
        <v>121</v>
      </c>
      <c r="F573" t="s">
        <v>86</v>
      </c>
      <c r="G573" t="s">
        <v>48</v>
      </c>
      <c r="H573" t="s">
        <v>71</v>
      </c>
      <c r="I573" t="s">
        <v>72</v>
      </c>
      <c r="J573" t="s">
        <v>538</v>
      </c>
      <c r="K573" t="s">
        <v>259</v>
      </c>
      <c r="L573" t="s">
        <v>53</v>
      </c>
      <c r="N573" t="s">
        <v>1211</v>
      </c>
      <c r="P573" t="s">
        <v>58</v>
      </c>
      <c r="R573" t="s">
        <v>56</v>
      </c>
      <c r="T573" t="s">
        <v>1212</v>
      </c>
      <c r="U573" t="s">
        <v>58</v>
      </c>
      <c r="V573">
        <v>1</v>
      </c>
      <c r="W573">
        <v>1</v>
      </c>
      <c r="X573">
        <v>1</v>
      </c>
      <c r="Y573">
        <v>0</v>
      </c>
      <c r="Z573">
        <v>1</v>
      </c>
      <c r="AA573">
        <v>0</v>
      </c>
      <c r="AB573">
        <v>134.11000000000001</v>
      </c>
      <c r="AC573">
        <v>118</v>
      </c>
      <c r="AD573">
        <v>0</v>
      </c>
      <c r="AE573">
        <v>16.11</v>
      </c>
      <c r="AF573">
        <v>0</v>
      </c>
      <c r="AG573">
        <v>0</v>
      </c>
      <c r="AH573">
        <v>0</v>
      </c>
      <c r="AI573">
        <v>0</v>
      </c>
      <c r="AJ573">
        <v>134.11000000000001</v>
      </c>
      <c r="AK573">
        <v>0</v>
      </c>
      <c r="AL573" t="s">
        <v>53</v>
      </c>
      <c r="AM573" t="s">
        <v>53</v>
      </c>
      <c r="AN573" t="s">
        <v>378</v>
      </c>
      <c r="AO573" t="s">
        <v>53</v>
      </c>
      <c r="AP573" t="s">
        <v>53</v>
      </c>
    </row>
    <row r="574" spans="2:42" x14ac:dyDescent="0.2">
      <c r="B574" t="s">
        <v>44</v>
      </c>
      <c r="C574" t="str">
        <f>HYPERLINK("https://us2.cloudbeds.com/connect/8493803454333002#/reservations/598596104387?display=E1GH2WWG&amp;reservation_id=598596104387", "E1GH2WWG")</f>
        <v>E1GH2WWG</v>
      </c>
      <c r="D574" t="s">
        <v>45</v>
      </c>
      <c r="E574" t="s">
        <v>305</v>
      </c>
      <c r="F574" t="s">
        <v>61</v>
      </c>
      <c r="G574" t="s">
        <v>48</v>
      </c>
      <c r="H574" t="s">
        <v>49</v>
      </c>
      <c r="I574" t="s">
        <v>50</v>
      </c>
      <c r="J574" t="s">
        <v>130</v>
      </c>
      <c r="K574" t="s">
        <v>327</v>
      </c>
      <c r="L574" t="s">
        <v>53</v>
      </c>
      <c r="N574" t="s">
        <v>1213</v>
      </c>
      <c r="P574" t="s">
        <v>55</v>
      </c>
      <c r="R574" t="s">
        <v>56</v>
      </c>
      <c r="T574" t="s">
        <v>1212</v>
      </c>
      <c r="U574" t="s">
        <v>58</v>
      </c>
      <c r="V574">
        <v>3</v>
      </c>
      <c r="W574">
        <v>1</v>
      </c>
      <c r="X574">
        <v>1</v>
      </c>
      <c r="Y574">
        <v>0</v>
      </c>
      <c r="Z574">
        <v>1</v>
      </c>
      <c r="AA574">
        <v>0</v>
      </c>
      <c r="AB574">
        <v>443.92</v>
      </c>
      <c r="AC574">
        <v>390.6</v>
      </c>
      <c r="AD574">
        <v>0</v>
      </c>
      <c r="AE574">
        <v>53.34</v>
      </c>
      <c r="AF574">
        <v>0</v>
      </c>
      <c r="AG574">
        <v>0</v>
      </c>
      <c r="AH574">
        <v>0</v>
      </c>
      <c r="AI574">
        <v>79.91</v>
      </c>
      <c r="AJ574">
        <v>443.94</v>
      </c>
      <c r="AK574">
        <v>0.02</v>
      </c>
      <c r="AL574" t="s">
        <v>53</v>
      </c>
      <c r="AM574" t="s">
        <v>53</v>
      </c>
      <c r="AN574" t="s">
        <v>198</v>
      </c>
      <c r="AO574" t="s">
        <v>53</v>
      </c>
      <c r="AP574" t="s">
        <v>53</v>
      </c>
    </row>
    <row r="575" spans="2:42" x14ac:dyDescent="0.2">
      <c r="B575" t="s">
        <v>44</v>
      </c>
      <c r="C575" t="str">
        <f>HYPERLINK("https://us2.cloudbeds.com/connect/8493803454333002#/reservations/598592221377?display=E1G84BBT&amp;reservation_id=598592221377", "E1G84BBT")</f>
        <v>E1G84BBT</v>
      </c>
      <c r="D575" t="s">
        <v>45</v>
      </c>
      <c r="E575" t="s">
        <v>406</v>
      </c>
      <c r="F575" t="s">
        <v>61</v>
      </c>
      <c r="G575" t="s">
        <v>48</v>
      </c>
      <c r="H575" t="s">
        <v>49</v>
      </c>
      <c r="I575" t="s">
        <v>50</v>
      </c>
      <c r="J575" t="s">
        <v>130</v>
      </c>
      <c r="K575" t="s">
        <v>327</v>
      </c>
      <c r="L575" t="s">
        <v>53</v>
      </c>
      <c r="N575" t="s">
        <v>1214</v>
      </c>
      <c r="P575" t="s">
        <v>55</v>
      </c>
      <c r="R575" t="s">
        <v>56</v>
      </c>
      <c r="T575" t="s">
        <v>1212</v>
      </c>
      <c r="U575" t="s">
        <v>58</v>
      </c>
      <c r="V575">
        <v>3</v>
      </c>
      <c r="W575">
        <v>1</v>
      </c>
      <c r="X575">
        <v>1</v>
      </c>
      <c r="Y575">
        <v>0</v>
      </c>
      <c r="Z575">
        <v>1</v>
      </c>
      <c r="AA575">
        <v>0</v>
      </c>
      <c r="AB575">
        <v>443.92</v>
      </c>
      <c r="AC575">
        <v>390.6</v>
      </c>
      <c r="AD575">
        <v>0</v>
      </c>
      <c r="AE575">
        <v>53.34</v>
      </c>
      <c r="AF575">
        <v>0</v>
      </c>
      <c r="AG575">
        <v>0</v>
      </c>
      <c r="AH575">
        <v>0</v>
      </c>
      <c r="AI575">
        <v>79.91</v>
      </c>
      <c r="AJ575">
        <v>443.94</v>
      </c>
      <c r="AK575">
        <v>0.02</v>
      </c>
      <c r="AL575" t="s">
        <v>53</v>
      </c>
      <c r="AM575" t="s">
        <v>53</v>
      </c>
      <c r="AN575" t="s">
        <v>112</v>
      </c>
      <c r="AO575" t="s">
        <v>53</v>
      </c>
      <c r="AP575" t="s">
        <v>53</v>
      </c>
    </row>
    <row r="576" spans="2:42" x14ac:dyDescent="0.2">
      <c r="B576" t="s">
        <v>44</v>
      </c>
      <c r="C576" t="str">
        <f>HYPERLINK("https://us2.cloudbeds.com/connect/8493803454333002#/reservations/598035689669?display=E126HKU8&amp;reservation_id=598035689669", "E126HKU8")</f>
        <v>E126HKU8</v>
      </c>
      <c r="D576" t="s">
        <v>45</v>
      </c>
      <c r="E576" t="s">
        <v>128</v>
      </c>
      <c r="F576" t="s">
        <v>86</v>
      </c>
      <c r="G576" t="s">
        <v>48</v>
      </c>
      <c r="H576" t="s">
        <v>49</v>
      </c>
      <c r="I576" t="s">
        <v>50</v>
      </c>
      <c r="J576" t="s">
        <v>844</v>
      </c>
      <c r="K576" t="s">
        <v>116</v>
      </c>
      <c r="L576" t="s">
        <v>53</v>
      </c>
      <c r="N576" t="s">
        <v>1215</v>
      </c>
      <c r="P576" t="s">
        <v>55</v>
      </c>
      <c r="R576" t="s">
        <v>56</v>
      </c>
      <c r="T576" t="s">
        <v>1212</v>
      </c>
      <c r="U576" t="s">
        <v>58</v>
      </c>
      <c r="V576">
        <v>2</v>
      </c>
      <c r="W576">
        <v>1</v>
      </c>
      <c r="X576">
        <v>1</v>
      </c>
      <c r="Y576">
        <v>0</v>
      </c>
      <c r="Z576">
        <v>1</v>
      </c>
      <c r="AA576">
        <v>0</v>
      </c>
      <c r="AB576">
        <v>216.84</v>
      </c>
      <c r="AC576">
        <v>190.8</v>
      </c>
      <c r="AD576">
        <v>0</v>
      </c>
      <c r="AE576">
        <v>26.06</v>
      </c>
      <c r="AF576">
        <v>0</v>
      </c>
      <c r="AG576">
        <v>0</v>
      </c>
      <c r="AH576">
        <v>0</v>
      </c>
      <c r="AI576">
        <v>39.03</v>
      </c>
      <c r="AJ576">
        <v>216.86</v>
      </c>
      <c r="AK576">
        <v>0.02</v>
      </c>
      <c r="AL576" t="s">
        <v>53</v>
      </c>
      <c r="AM576" t="s">
        <v>53</v>
      </c>
      <c r="AN576" t="s">
        <v>1216</v>
      </c>
      <c r="AO576" t="s">
        <v>53</v>
      </c>
      <c r="AP576" t="s">
        <v>53</v>
      </c>
    </row>
    <row r="577" spans="2:42" x14ac:dyDescent="0.2">
      <c r="B577" t="s">
        <v>44</v>
      </c>
      <c r="C577" t="str">
        <f>HYPERLINK("https://us2.cloudbeds.com/connect/8493803454333002#/reservations/598097682581?display=E13PQMCD&amp;reservation_id=598097682581", "E13PQMCD")</f>
        <v>E13PQMCD</v>
      </c>
      <c r="D577" t="s">
        <v>45</v>
      </c>
      <c r="E577" t="s">
        <v>78</v>
      </c>
      <c r="F577" t="s">
        <v>61</v>
      </c>
      <c r="G577" t="s">
        <v>48</v>
      </c>
      <c r="H577" t="s">
        <v>49</v>
      </c>
      <c r="I577" t="s">
        <v>50</v>
      </c>
      <c r="J577" t="s">
        <v>915</v>
      </c>
      <c r="K577" t="s">
        <v>232</v>
      </c>
      <c r="L577" t="s">
        <v>53</v>
      </c>
      <c r="N577" t="s">
        <v>1217</v>
      </c>
      <c r="P577" t="s">
        <v>55</v>
      </c>
      <c r="R577" t="s">
        <v>56</v>
      </c>
      <c r="T577" t="s">
        <v>1212</v>
      </c>
      <c r="U577" t="s">
        <v>58</v>
      </c>
      <c r="V577">
        <v>1</v>
      </c>
      <c r="W577">
        <v>1</v>
      </c>
      <c r="X577">
        <v>1</v>
      </c>
      <c r="Y577">
        <v>0</v>
      </c>
      <c r="Z577">
        <v>1</v>
      </c>
      <c r="AA577">
        <v>0</v>
      </c>
      <c r="AB577">
        <v>90.01</v>
      </c>
      <c r="AC577">
        <v>79.2</v>
      </c>
      <c r="AD577">
        <v>0</v>
      </c>
      <c r="AE577">
        <v>10.81</v>
      </c>
      <c r="AF577">
        <v>0</v>
      </c>
      <c r="AG577">
        <v>0</v>
      </c>
      <c r="AH577">
        <v>0</v>
      </c>
      <c r="AI577">
        <v>16.2</v>
      </c>
      <c r="AJ577">
        <v>90.01</v>
      </c>
      <c r="AK577">
        <v>0</v>
      </c>
      <c r="AL577" t="s">
        <v>53</v>
      </c>
      <c r="AM577" t="s">
        <v>53</v>
      </c>
      <c r="AN577" t="s">
        <v>280</v>
      </c>
      <c r="AO577" t="s">
        <v>53</v>
      </c>
      <c r="AP577" t="s">
        <v>53</v>
      </c>
    </row>
    <row r="578" spans="2:42" x14ac:dyDescent="0.2">
      <c r="B578" t="s">
        <v>44</v>
      </c>
      <c r="C578" t="str">
        <f>HYPERLINK("https://us2.cloudbeds.com/connect/8493803454333002#/reservations/598510399622?display=E1EAR4XD&amp;reservation_id=598510399622", "E1EAR4XD")</f>
        <v>E1EAR4XD</v>
      </c>
      <c r="D578" t="s">
        <v>45</v>
      </c>
      <c r="E578" t="s">
        <v>110</v>
      </c>
      <c r="F578" t="s">
        <v>47</v>
      </c>
      <c r="G578" t="s">
        <v>48</v>
      </c>
      <c r="H578" t="s">
        <v>49</v>
      </c>
      <c r="I578" t="s">
        <v>50</v>
      </c>
      <c r="J578" t="s">
        <v>115</v>
      </c>
      <c r="K578" t="s">
        <v>298</v>
      </c>
      <c r="L578" t="s">
        <v>53</v>
      </c>
      <c r="N578" t="s">
        <v>1218</v>
      </c>
      <c r="P578" t="s">
        <v>55</v>
      </c>
      <c r="R578" t="s">
        <v>56</v>
      </c>
      <c r="T578" t="s">
        <v>1212</v>
      </c>
      <c r="U578" t="s">
        <v>58</v>
      </c>
      <c r="V578">
        <v>2</v>
      </c>
      <c r="W578">
        <v>1</v>
      </c>
      <c r="X578">
        <v>1</v>
      </c>
      <c r="Y578">
        <v>0</v>
      </c>
      <c r="Z578">
        <v>1</v>
      </c>
      <c r="AA578">
        <v>0</v>
      </c>
      <c r="AB578">
        <v>173.88</v>
      </c>
      <c r="AC578">
        <v>153</v>
      </c>
      <c r="AD578">
        <v>0</v>
      </c>
      <c r="AE578">
        <v>20.9</v>
      </c>
      <c r="AF578">
        <v>0</v>
      </c>
      <c r="AG578">
        <v>0</v>
      </c>
      <c r="AH578">
        <v>0</v>
      </c>
      <c r="AI578">
        <v>31.3</v>
      </c>
      <c r="AJ578">
        <v>173.9</v>
      </c>
      <c r="AK578">
        <v>0.02</v>
      </c>
      <c r="AL578" t="s">
        <v>53</v>
      </c>
      <c r="AM578" t="s">
        <v>53</v>
      </c>
      <c r="AN578" t="s">
        <v>280</v>
      </c>
      <c r="AO578" t="s">
        <v>53</v>
      </c>
      <c r="AP578" t="s">
        <v>53</v>
      </c>
    </row>
    <row r="579" spans="2:42" x14ac:dyDescent="0.2">
      <c r="B579" t="s">
        <v>44</v>
      </c>
      <c r="C579" t="str">
        <f>HYPERLINK("https://us2.cloudbeds.com/connect/8493803454333002#/reservations/598215844048?display=E16QEMUU&amp;reservation_id=598215844048", "E16QEMUU")</f>
        <v>E16QEMUU</v>
      </c>
      <c r="D579" t="s">
        <v>45</v>
      </c>
      <c r="E579" t="s">
        <v>165</v>
      </c>
      <c r="F579" t="s">
        <v>61</v>
      </c>
      <c r="G579" t="s">
        <v>48</v>
      </c>
      <c r="H579" t="s">
        <v>49</v>
      </c>
      <c r="I579" t="s">
        <v>62</v>
      </c>
      <c r="J579" t="s">
        <v>706</v>
      </c>
      <c r="K579" t="s">
        <v>901</v>
      </c>
      <c r="L579" t="s">
        <v>53</v>
      </c>
      <c r="N579" t="s">
        <v>1219</v>
      </c>
      <c r="P579" t="s">
        <v>55</v>
      </c>
      <c r="R579" t="s">
        <v>56</v>
      </c>
      <c r="T579" t="s">
        <v>1212</v>
      </c>
      <c r="U579" t="s">
        <v>58</v>
      </c>
      <c r="V579">
        <v>1</v>
      </c>
      <c r="W579">
        <v>1</v>
      </c>
      <c r="X579">
        <v>1</v>
      </c>
      <c r="Y579">
        <v>0</v>
      </c>
      <c r="Z579">
        <v>1</v>
      </c>
      <c r="AA579">
        <v>0</v>
      </c>
      <c r="AB579">
        <v>102.29</v>
      </c>
      <c r="AC579">
        <v>90</v>
      </c>
      <c r="AD579">
        <v>0</v>
      </c>
      <c r="AE579">
        <v>12.29</v>
      </c>
      <c r="AF579">
        <v>0</v>
      </c>
      <c r="AG579">
        <v>0</v>
      </c>
      <c r="AH579">
        <v>0</v>
      </c>
      <c r="AI579">
        <v>15.34</v>
      </c>
      <c r="AJ579">
        <v>102.29</v>
      </c>
      <c r="AK579">
        <v>0</v>
      </c>
      <c r="AL579" t="s">
        <v>53</v>
      </c>
      <c r="AM579" t="s">
        <v>53</v>
      </c>
      <c r="AN579" t="s">
        <v>413</v>
      </c>
      <c r="AO579" t="s">
        <v>53</v>
      </c>
      <c r="AP579" t="s">
        <v>53</v>
      </c>
    </row>
    <row r="580" spans="2:42" x14ac:dyDescent="0.2">
      <c r="B580" t="s">
        <v>44</v>
      </c>
      <c r="C580" t="str">
        <f>HYPERLINK("https://us2.cloudbeds.com/connect/8493803454333002#/reservations/598247653560?display=E17K8RPH&amp;reservation_id=598247653560", "E17K8RPH")</f>
        <v>E17K8RPH</v>
      </c>
      <c r="D580" t="s">
        <v>45</v>
      </c>
      <c r="E580" t="s">
        <v>373</v>
      </c>
      <c r="F580" t="s">
        <v>47</v>
      </c>
      <c r="G580" t="s">
        <v>48</v>
      </c>
      <c r="H580" t="s">
        <v>71</v>
      </c>
      <c r="I580" t="s">
        <v>72</v>
      </c>
      <c r="J580" t="s">
        <v>706</v>
      </c>
      <c r="K580" t="s">
        <v>901</v>
      </c>
      <c r="L580" t="s">
        <v>53</v>
      </c>
      <c r="N580" t="s">
        <v>1220</v>
      </c>
      <c r="P580" t="s">
        <v>55</v>
      </c>
      <c r="R580" t="s">
        <v>56</v>
      </c>
      <c r="T580" t="s">
        <v>1212</v>
      </c>
      <c r="U580" t="s">
        <v>58</v>
      </c>
      <c r="V580">
        <v>1</v>
      </c>
      <c r="W580">
        <v>1</v>
      </c>
      <c r="X580">
        <v>1</v>
      </c>
      <c r="Y580">
        <v>0</v>
      </c>
      <c r="Z580">
        <v>1</v>
      </c>
      <c r="AA580">
        <v>0</v>
      </c>
      <c r="AB580">
        <v>85.24</v>
      </c>
      <c r="AC580">
        <v>75</v>
      </c>
      <c r="AD580">
        <v>0</v>
      </c>
      <c r="AE580">
        <v>10.25</v>
      </c>
      <c r="AF580">
        <v>0</v>
      </c>
      <c r="AG580">
        <v>0</v>
      </c>
      <c r="AH580">
        <v>0</v>
      </c>
      <c r="AI580">
        <v>0</v>
      </c>
      <c r="AJ580">
        <v>85.25</v>
      </c>
      <c r="AK580">
        <v>0.01</v>
      </c>
      <c r="AL580" t="s">
        <v>53</v>
      </c>
      <c r="AM580" t="s">
        <v>53</v>
      </c>
      <c r="AN580" t="s">
        <v>378</v>
      </c>
      <c r="AO580" t="s">
        <v>53</v>
      </c>
      <c r="AP580" t="s">
        <v>53</v>
      </c>
    </row>
    <row r="581" spans="2:42" x14ac:dyDescent="0.2">
      <c r="B581" t="s">
        <v>44</v>
      </c>
      <c r="C581" t="str">
        <f>HYPERLINK("https://us2.cloudbeds.com/connect/8493803454333002#/reservations/598301802679?display=E18WUKEP&amp;reservation_id=598301802679", "E18WUKEP")</f>
        <v>E18WUKEP</v>
      </c>
      <c r="D581" t="s">
        <v>45</v>
      </c>
      <c r="E581" t="s">
        <v>98</v>
      </c>
      <c r="F581" t="s">
        <v>86</v>
      </c>
      <c r="G581" t="s">
        <v>48</v>
      </c>
      <c r="H581" t="s">
        <v>49</v>
      </c>
      <c r="I581" t="s">
        <v>79</v>
      </c>
      <c r="J581" t="s">
        <v>706</v>
      </c>
      <c r="K581" t="s">
        <v>901</v>
      </c>
      <c r="L581" t="s">
        <v>53</v>
      </c>
      <c r="N581" t="s">
        <v>1221</v>
      </c>
      <c r="P581" t="s">
        <v>55</v>
      </c>
      <c r="R581" t="s">
        <v>56</v>
      </c>
      <c r="T581" t="s">
        <v>1212</v>
      </c>
      <c r="U581" t="s">
        <v>58</v>
      </c>
      <c r="V581">
        <v>1</v>
      </c>
      <c r="W581">
        <v>1</v>
      </c>
      <c r="X581">
        <v>1</v>
      </c>
      <c r="Y581">
        <v>0</v>
      </c>
      <c r="Z581">
        <v>1</v>
      </c>
      <c r="AA581">
        <v>0</v>
      </c>
      <c r="AB581">
        <v>102.29</v>
      </c>
      <c r="AC581">
        <v>90</v>
      </c>
      <c r="AD581">
        <v>0</v>
      </c>
      <c r="AE581">
        <v>12.29</v>
      </c>
      <c r="AF581">
        <v>0</v>
      </c>
      <c r="AG581">
        <v>0</v>
      </c>
      <c r="AH581">
        <v>0</v>
      </c>
      <c r="AI581">
        <v>0</v>
      </c>
      <c r="AJ581">
        <v>102.29</v>
      </c>
      <c r="AK581">
        <v>0</v>
      </c>
      <c r="AL581" t="s">
        <v>53</v>
      </c>
      <c r="AM581" t="s">
        <v>53</v>
      </c>
      <c r="AN581" t="s">
        <v>91</v>
      </c>
      <c r="AO581" t="s">
        <v>53</v>
      </c>
      <c r="AP581" t="s">
        <v>53</v>
      </c>
    </row>
    <row r="582" spans="2:42" x14ac:dyDescent="0.2">
      <c r="B582" t="s">
        <v>44</v>
      </c>
      <c r="C582" t="str">
        <f>HYPERLINK("https://us2.cloudbeds.com/connect/8493803454333002#/reservations/598400598169?display=E1BH7ZPY&amp;reservation_id=598400598169", "E1BH7ZPY")</f>
        <v>E1BH7ZPY</v>
      </c>
      <c r="D582" t="s">
        <v>45</v>
      </c>
      <c r="E582" t="s">
        <v>113</v>
      </c>
      <c r="F582" t="s">
        <v>61</v>
      </c>
      <c r="G582" t="s">
        <v>48</v>
      </c>
      <c r="H582" t="s">
        <v>49</v>
      </c>
      <c r="I582" t="s">
        <v>79</v>
      </c>
      <c r="J582" t="s">
        <v>706</v>
      </c>
      <c r="K582" t="s">
        <v>901</v>
      </c>
      <c r="L582" t="s">
        <v>53</v>
      </c>
      <c r="N582" t="s">
        <v>1222</v>
      </c>
      <c r="P582" t="s">
        <v>55</v>
      </c>
      <c r="R582" t="s">
        <v>56</v>
      </c>
      <c r="T582" t="s">
        <v>1212</v>
      </c>
      <c r="U582" t="s">
        <v>58</v>
      </c>
      <c r="V582">
        <v>1</v>
      </c>
      <c r="W582">
        <v>1</v>
      </c>
      <c r="X582">
        <v>1</v>
      </c>
      <c r="Y582">
        <v>0</v>
      </c>
      <c r="Z582">
        <v>1</v>
      </c>
      <c r="AA582">
        <v>0</v>
      </c>
      <c r="AB582">
        <v>92.06</v>
      </c>
      <c r="AC582">
        <v>81</v>
      </c>
      <c r="AD582">
        <v>0</v>
      </c>
      <c r="AE582">
        <v>11.06</v>
      </c>
      <c r="AF582">
        <v>0</v>
      </c>
      <c r="AG582">
        <v>0</v>
      </c>
      <c r="AH582">
        <v>0</v>
      </c>
      <c r="AI582">
        <v>0</v>
      </c>
      <c r="AJ582">
        <v>92.06</v>
      </c>
      <c r="AK582">
        <v>0</v>
      </c>
      <c r="AL582" t="s">
        <v>53</v>
      </c>
      <c r="AM582" t="s">
        <v>53</v>
      </c>
      <c r="AN582" t="s">
        <v>104</v>
      </c>
      <c r="AO582" t="s">
        <v>53</v>
      </c>
      <c r="AP582" t="s">
        <v>53</v>
      </c>
    </row>
    <row r="583" spans="2:42" x14ac:dyDescent="0.2">
      <c r="B583" t="s">
        <v>44</v>
      </c>
      <c r="C583" t="str">
        <f>HYPERLINK("https://us2.cloudbeds.com/connect/8493803454333002#/reservations/598434480349?display=E1CCQXTB&amp;reservation_id=598434480349", "E1CCQXTB")</f>
        <v>E1CCQXTB</v>
      </c>
      <c r="D583" t="s">
        <v>45</v>
      </c>
      <c r="E583" t="s">
        <v>179</v>
      </c>
      <c r="F583" t="s">
        <v>47</v>
      </c>
      <c r="G583" t="s">
        <v>48</v>
      </c>
      <c r="H583" t="s">
        <v>49</v>
      </c>
      <c r="I583" t="s">
        <v>62</v>
      </c>
      <c r="J583" t="s">
        <v>203</v>
      </c>
      <c r="K583" t="s">
        <v>1092</v>
      </c>
      <c r="L583" t="s">
        <v>53</v>
      </c>
      <c r="N583" t="s">
        <v>1223</v>
      </c>
      <c r="P583" t="s">
        <v>55</v>
      </c>
      <c r="R583" t="s">
        <v>56</v>
      </c>
      <c r="T583" t="s">
        <v>1212</v>
      </c>
      <c r="U583" t="s">
        <v>58</v>
      </c>
      <c r="V583">
        <v>1</v>
      </c>
      <c r="W583">
        <v>1</v>
      </c>
      <c r="X583">
        <v>1</v>
      </c>
      <c r="Y583">
        <v>0</v>
      </c>
      <c r="Z583">
        <v>1</v>
      </c>
      <c r="AA583">
        <v>0</v>
      </c>
      <c r="AB583">
        <v>81.83</v>
      </c>
      <c r="AC583">
        <v>72</v>
      </c>
      <c r="AD583">
        <v>0</v>
      </c>
      <c r="AE583">
        <v>9.83</v>
      </c>
      <c r="AF583">
        <v>0</v>
      </c>
      <c r="AG583">
        <v>0</v>
      </c>
      <c r="AH583">
        <v>0</v>
      </c>
      <c r="AI583">
        <v>12.27</v>
      </c>
      <c r="AJ583">
        <v>81.83</v>
      </c>
      <c r="AK583">
        <v>0</v>
      </c>
      <c r="AL583" t="s">
        <v>53</v>
      </c>
      <c r="AM583" t="s">
        <v>53</v>
      </c>
      <c r="AN583" t="s">
        <v>91</v>
      </c>
      <c r="AO583" t="s">
        <v>53</v>
      </c>
      <c r="AP583" t="s">
        <v>53</v>
      </c>
    </row>
    <row r="584" spans="2:42" x14ac:dyDescent="0.2">
      <c r="B584" t="s">
        <v>44</v>
      </c>
      <c r="C584" t="str">
        <f>HYPERLINK("https://us2.cloudbeds.com/connect/8493803454333002#/reservations/598497194120?display=E1DWMM9M&amp;reservation_id=598497194120", "E1DWMM9M")</f>
        <v>E1DWMM9M</v>
      </c>
      <c r="D584" t="s">
        <v>45</v>
      </c>
      <c r="E584" t="s">
        <v>46</v>
      </c>
      <c r="F584" t="s">
        <v>47</v>
      </c>
      <c r="G584" t="s">
        <v>48</v>
      </c>
      <c r="H584" t="s">
        <v>49</v>
      </c>
      <c r="I584" t="s">
        <v>50</v>
      </c>
      <c r="J584" t="s">
        <v>706</v>
      </c>
      <c r="K584" t="s">
        <v>901</v>
      </c>
      <c r="L584" t="s">
        <v>53</v>
      </c>
      <c r="N584" t="s">
        <v>1224</v>
      </c>
      <c r="P584" t="s">
        <v>55</v>
      </c>
      <c r="R584" t="s">
        <v>56</v>
      </c>
      <c r="T584" t="s">
        <v>1212</v>
      </c>
      <c r="U584" t="s">
        <v>58</v>
      </c>
      <c r="V584">
        <v>1</v>
      </c>
      <c r="W584">
        <v>1</v>
      </c>
      <c r="X584">
        <v>1</v>
      </c>
      <c r="Y584">
        <v>0</v>
      </c>
      <c r="Z584">
        <v>1</v>
      </c>
      <c r="AA584">
        <v>0</v>
      </c>
      <c r="AB584">
        <v>81.83</v>
      </c>
      <c r="AC584">
        <v>72</v>
      </c>
      <c r="AD584">
        <v>0</v>
      </c>
      <c r="AE584">
        <v>9.83</v>
      </c>
      <c r="AF584">
        <v>0</v>
      </c>
      <c r="AG584">
        <v>0</v>
      </c>
      <c r="AH584">
        <v>0</v>
      </c>
      <c r="AI584">
        <v>14.73</v>
      </c>
      <c r="AJ584">
        <v>81.83</v>
      </c>
      <c r="AK584">
        <v>0</v>
      </c>
      <c r="AL584" t="s">
        <v>53</v>
      </c>
      <c r="AM584" t="s">
        <v>53</v>
      </c>
      <c r="AN584" t="s">
        <v>178</v>
      </c>
      <c r="AO584" t="s">
        <v>53</v>
      </c>
      <c r="AP584" t="s">
        <v>53</v>
      </c>
    </row>
    <row r="585" spans="2:42" x14ac:dyDescent="0.2">
      <c r="B585" t="s">
        <v>44</v>
      </c>
      <c r="C585" t="str">
        <f>HYPERLINK("https://us2.cloudbeds.com/connect/8493803454333002#/reservations/598316064900?display=E19BVG3E&amp;reservation_id=598316064900", "E19BVG3E")</f>
        <v>E19BVG3E</v>
      </c>
      <c r="D585" t="s">
        <v>45</v>
      </c>
      <c r="E585" t="s">
        <v>155</v>
      </c>
      <c r="F585" t="s">
        <v>86</v>
      </c>
      <c r="G585" t="s">
        <v>48</v>
      </c>
      <c r="H585" t="s">
        <v>49</v>
      </c>
      <c r="I585" t="s">
        <v>50</v>
      </c>
      <c r="J585" t="s">
        <v>232</v>
      </c>
      <c r="K585" t="s">
        <v>233</v>
      </c>
      <c r="L585" t="s">
        <v>53</v>
      </c>
      <c r="N585" t="s">
        <v>1225</v>
      </c>
      <c r="P585" t="s">
        <v>55</v>
      </c>
      <c r="R585" t="s">
        <v>56</v>
      </c>
      <c r="T585" t="s">
        <v>1212</v>
      </c>
      <c r="U585" t="s">
        <v>58</v>
      </c>
      <c r="V585">
        <v>1</v>
      </c>
      <c r="W585">
        <v>1</v>
      </c>
      <c r="X585">
        <v>1</v>
      </c>
      <c r="Y585">
        <v>0</v>
      </c>
      <c r="Z585">
        <v>1</v>
      </c>
      <c r="AA585">
        <v>0</v>
      </c>
      <c r="AB585">
        <v>70.58</v>
      </c>
      <c r="AC585">
        <v>62.1</v>
      </c>
      <c r="AD585">
        <v>0</v>
      </c>
      <c r="AE585">
        <v>8.4700000000000006</v>
      </c>
      <c r="AF585">
        <v>0</v>
      </c>
      <c r="AG585">
        <v>0</v>
      </c>
      <c r="AH585">
        <v>0</v>
      </c>
      <c r="AI585">
        <v>12.7</v>
      </c>
      <c r="AJ585">
        <v>70.569999999999993</v>
      </c>
      <c r="AK585">
        <v>-0.01</v>
      </c>
      <c r="AL585" t="s">
        <v>53</v>
      </c>
      <c r="AM585" t="s">
        <v>53</v>
      </c>
      <c r="AN585" t="s">
        <v>112</v>
      </c>
      <c r="AO585" t="s">
        <v>53</v>
      </c>
      <c r="AP585" t="s">
        <v>53</v>
      </c>
    </row>
    <row r="586" spans="2:42" x14ac:dyDescent="0.2">
      <c r="B586" t="s">
        <v>44</v>
      </c>
      <c r="C586" t="str">
        <f>HYPERLINK("https://us2.cloudbeds.com/connect/8493803454333002#/reservations/598465962116?display=E1D6BJPA&amp;reservation_id=598465962116", "E1D6BJPA")</f>
        <v>E1D6BJPA</v>
      </c>
      <c r="D586" t="s">
        <v>45</v>
      </c>
      <c r="E586" t="s">
        <v>223</v>
      </c>
      <c r="F586" t="s">
        <v>47</v>
      </c>
      <c r="G586" t="s">
        <v>48</v>
      </c>
      <c r="H586" t="s">
        <v>49</v>
      </c>
      <c r="I586" t="s">
        <v>62</v>
      </c>
      <c r="J586" t="s">
        <v>387</v>
      </c>
      <c r="K586" t="s">
        <v>388</v>
      </c>
      <c r="L586" t="s">
        <v>53</v>
      </c>
      <c r="N586" t="s">
        <v>1226</v>
      </c>
      <c r="P586" t="s">
        <v>55</v>
      </c>
      <c r="R586" t="s">
        <v>56</v>
      </c>
      <c r="T586" t="s">
        <v>1227</v>
      </c>
      <c r="U586" t="s">
        <v>58</v>
      </c>
      <c r="V586">
        <v>1</v>
      </c>
      <c r="W586">
        <v>1</v>
      </c>
      <c r="X586">
        <v>1</v>
      </c>
      <c r="Y586">
        <v>0</v>
      </c>
      <c r="Z586">
        <v>1</v>
      </c>
      <c r="AA586">
        <v>0</v>
      </c>
      <c r="AB586">
        <v>170.48</v>
      </c>
      <c r="AC586">
        <v>150</v>
      </c>
      <c r="AD586">
        <v>0</v>
      </c>
      <c r="AE586">
        <v>20.48</v>
      </c>
      <c r="AF586">
        <v>0</v>
      </c>
      <c r="AG586">
        <v>0</v>
      </c>
      <c r="AH586">
        <v>0</v>
      </c>
      <c r="AI586">
        <v>25.57</v>
      </c>
      <c r="AJ586">
        <v>170.48</v>
      </c>
      <c r="AK586">
        <v>0</v>
      </c>
      <c r="AL586" t="s">
        <v>53</v>
      </c>
      <c r="AM586" t="s">
        <v>53</v>
      </c>
      <c r="AN586" t="s">
        <v>1228</v>
      </c>
      <c r="AO586" t="s">
        <v>53</v>
      </c>
      <c r="AP586" t="s">
        <v>53</v>
      </c>
    </row>
    <row r="587" spans="2:42" x14ac:dyDescent="0.2">
      <c r="B587" t="s">
        <v>44</v>
      </c>
      <c r="C587" t="str">
        <f>HYPERLINK("https://us2.cloudbeds.com/connect/8493803454333002#/reservations/598480982156?display=E1DJ0X91&amp;reservation_id=598480982156", "E1DJ0X91")</f>
        <v>E1DJ0X91</v>
      </c>
      <c r="D587" t="s">
        <v>45</v>
      </c>
      <c r="E587" t="s">
        <v>406</v>
      </c>
      <c r="F587" t="s">
        <v>61</v>
      </c>
      <c r="G587" t="s">
        <v>48</v>
      </c>
      <c r="H587" t="s">
        <v>71</v>
      </c>
      <c r="I587" t="s">
        <v>72</v>
      </c>
      <c r="J587" t="s">
        <v>116</v>
      </c>
      <c r="K587" t="s">
        <v>298</v>
      </c>
      <c r="L587" t="s">
        <v>53</v>
      </c>
      <c r="N587" t="s">
        <v>1229</v>
      </c>
      <c r="P587" t="s">
        <v>55</v>
      </c>
      <c r="R587" t="s">
        <v>56</v>
      </c>
      <c r="T587" t="s">
        <v>1227</v>
      </c>
      <c r="U587" t="s">
        <v>58</v>
      </c>
      <c r="V587">
        <v>1</v>
      </c>
      <c r="W587">
        <v>1</v>
      </c>
      <c r="X587">
        <v>1</v>
      </c>
      <c r="Y587">
        <v>0</v>
      </c>
      <c r="Z587">
        <v>1</v>
      </c>
      <c r="AA587">
        <v>0</v>
      </c>
      <c r="AB587">
        <v>101.15</v>
      </c>
      <c r="AC587">
        <v>89</v>
      </c>
      <c r="AD587">
        <v>0</v>
      </c>
      <c r="AE587">
        <v>12.15</v>
      </c>
      <c r="AF587">
        <v>0</v>
      </c>
      <c r="AG587">
        <v>0</v>
      </c>
      <c r="AH587">
        <v>0</v>
      </c>
      <c r="AI587">
        <v>0</v>
      </c>
      <c r="AJ587">
        <v>101.15</v>
      </c>
      <c r="AK587">
        <v>0</v>
      </c>
      <c r="AL587" t="s">
        <v>53</v>
      </c>
      <c r="AM587" t="s">
        <v>53</v>
      </c>
      <c r="AN587" t="s">
        <v>1230</v>
      </c>
      <c r="AO587" t="s">
        <v>53</v>
      </c>
      <c r="AP587" t="s">
        <v>53</v>
      </c>
    </row>
    <row r="588" spans="2:42" x14ac:dyDescent="0.2">
      <c r="B588" t="s">
        <v>44</v>
      </c>
      <c r="C588" t="str">
        <f>HYPERLINK("https://us2.cloudbeds.com/connect/8493803454333002#/reservations/598261260505?display=E17VZFM6&amp;reservation_id=598261260505", "E17VZFM6")</f>
        <v>E17VZFM6</v>
      </c>
      <c r="D588" t="s">
        <v>45</v>
      </c>
      <c r="E588" t="s">
        <v>78</v>
      </c>
      <c r="F588" t="s">
        <v>61</v>
      </c>
      <c r="G588" t="s">
        <v>48</v>
      </c>
      <c r="H588" t="s">
        <v>49</v>
      </c>
      <c r="I588" t="s">
        <v>79</v>
      </c>
      <c r="J588" t="s">
        <v>844</v>
      </c>
      <c r="K588" t="s">
        <v>115</v>
      </c>
      <c r="L588" t="s">
        <v>53</v>
      </c>
      <c r="N588" t="s">
        <v>1231</v>
      </c>
      <c r="P588" t="s">
        <v>55</v>
      </c>
      <c r="R588" t="s">
        <v>56</v>
      </c>
      <c r="T588" t="s">
        <v>1227</v>
      </c>
      <c r="U588" t="s">
        <v>58</v>
      </c>
      <c r="V588">
        <v>1</v>
      </c>
      <c r="W588">
        <v>1</v>
      </c>
      <c r="X588">
        <v>1</v>
      </c>
      <c r="Y588">
        <v>0</v>
      </c>
      <c r="Z588">
        <v>1</v>
      </c>
      <c r="AA588">
        <v>0</v>
      </c>
      <c r="AB588">
        <v>92.06</v>
      </c>
      <c r="AC588">
        <v>81</v>
      </c>
      <c r="AD588">
        <v>0</v>
      </c>
      <c r="AE588">
        <v>11.06</v>
      </c>
      <c r="AF588">
        <v>0</v>
      </c>
      <c r="AG588">
        <v>0</v>
      </c>
      <c r="AH588">
        <v>0</v>
      </c>
      <c r="AI588">
        <v>0</v>
      </c>
      <c r="AJ588">
        <v>92.06</v>
      </c>
      <c r="AK588">
        <v>0</v>
      </c>
      <c r="AL588" t="s">
        <v>53</v>
      </c>
      <c r="AM588" t="s">
        <v>53</v>
      </c>
      <c r="AN588" t="s">
        <v>332</v>
      </c>
      <c r="AO588" t="s">
        <v>53</v>
      </c>
      <c r="AP588" t="s">
        <v>53</v>
      </c>
    </row>
    <row r="589" spans="2:42" x14ac:dyDescent="0.2">
      <c r="B589" t="s">
        <v>44</v>
      </c>
      <c r="C589" t="str">
        <f>HYPERLINK("https://us2.cloudbeds.com/connect/8493803454333002#/reservations/598073409682?display=E135B870&amp;reservation_id=598073409682", "E135B870")</f>
        <v>E135B870</v>
      </c>
      <c r="D589" t="s">
        <v>45</v>
      </c>
      <c r="E589" t="s">
        <v>185</v>
      </c>
      <c r="F589" t="s">
        <v>47</v>
      </c>
      <c r="G589" t="s">
        <v>48</v>
      </c>
      <c r="H589" t="s">
        <v>49</v>
      </c>
      <c r="I589" t="s">
        <v>79</v>
      </c>
      <c r="J589" t="s">
        <v>850</v>
      </c>
      <c r="K589" t="s">
        <v>844</v>
      </c>
      <c r="L589" t="s">
        <v>53</v>
      </c>
      <c r="N589" t="s">
        <v>1232</v>
      </c>
      <c r="P589" t="s">
        <v>55</v>
      </c>
      <c r="R589" t="s">
        <v>56</v>
      </c>
      <c r="T589" t="s">
        <v>1227</v>
      </c>
      <c r="U589" t="s">
        <v>58</v>
      </c>
      <c r="V589">
        <v>1</v>
      </c>
      <c r="W589">
        <v>1</v>
      </c>
      <c r="X589">
        <v>1</v>
      </c>
      <c r="Y589">
        <v>0</v>
      </c>
      <c r="Z589">
        <v>1</v>
      </c>
      <c r="AA589">
        <v>0</v>
      </c>
      <c r="AB589">
        <v>81.83</v>
      </c>
      <c r="AC589">
        <v>72</v>
      </c>
      <c r="AD589">
        <v>0</v>
      </c>
      <c r="AE589">
        <v>9.83</v>
      </c>
      <c r="AF589">
        <v>0</v>
      </c>
      <c r="AG589">
        <v>0</v>
      </c>
      <c r="AH589">
        <v>0</v>
      </c>
      <c r="AI589">
        <v>0</v>
      </c>
      <c r="AJ589">
        <v>81.83</v>
      </c>
      <c r="AK589">
        <v>0</v>
      </c>
      <c r="AL589" t="s">
        <v>53</v>
      </c>
      <c r="AM589" t="s">
        <v>53</v>
      </c>
      <c r="AN589" t="s">
        <v>225</v>
      </c>
      <c r="AO589" t="s">
        <v>53</v>
      </c>
      <c r="AP589" t="s">
        <v>53</v>
      </c>
    </row>
    <row r="590" spans="2:42" x14ac:dyDescent="0.2">
      <c r="B590" t="s">
        <v>44</v>
      </c>
      <c r="C590" t="str">
        <f>HYPERLINK("https://us2.cloudbeds.com/connect/8493803454333002#/reservations/598561747179?display=E1FY3VYW&amp;reservation_id=598561747179", "E1FY3VYW")</f>
        <v>E1FY3VYW</v>
      </c>
      <c r="D590" t="s">
        <v>45</v>
      </c>
      <c r="E590" t="s">
        <v>1233</v>
      </c>
      <c r="F590" t="s">
        <v>86</v>
      </c>
      <c r="G590" t="s">
        <v>48</v>
      </c>
      <c r="H590" t="s">
        <v>49</v>
      </c>
      <c r="I590" t="s">
        <v>62</v>
      </c>
      <c r="J590" t="s">
        <v>455</v>
      </c>
      <c r="K590" t="s">
        <v>560</v>
      </c>
      <c r="L590" t="s">
        <v>53</v>
      </c>
      <c r="N590" t="s">
        <v>1234</v>
      </c>
      <c r="P590" t="s">
        <v>55</v>
      </c>
      <c r="R590" t="s">
        <v>56</v>
      </c>
      <c r="T590" t="s">
        <v>1227</v>
      </c>
      <c r="U590" t="s">
        <v>58</v>
      </c>
      <c r="V590">
        <v>2</v>
      </c>
      <c r="W590">
        <v>2</v>
      </c>
      <c r="X590">
        <v>2</v>
      </c>
      <c r="Y590">
        <v>0</v>
      </c>
      <c r="Z590">
        <v>2</v>
      </c>
      <c r="AA590">
        <v>0</v>
      </c>
      <c r="AB590">
        <v>250.03</v>
      </c>
      <c r="AC590">
        <v>220</v>
      </c>
      <c r="AD590">
        <v>0</v>
      </c>
      <c r="AE590">
        <v>30.04</v>
      </c>
      <c r="AF590">
        <v>0</v>
      </c>
      <c r="AG590">
        <v>0</v>
      </c>
      <c r="AH590">
        <v>0</v>
      </c>
      <c r="AI590">
        <v>37.51</v>
      </c>
      <c r="AJ590">
        <v>250.04</v>
      </c>
      <c r="AK590">
        <v>0.01</v>
      </c>
      <c r="AL590" t="s">
        <v>53</v>
      </c>
      <c r="AM590" t="s">
        <v>53</v>
      </c>
      <c r="AN590" t="s">
        <v>545</v>
      </c>
      <c r="AO590" t="s">
        <v>53</v>
      </c>
      <c r="AP590" t="s">
        <v>53</v>
      </c>
    </row>
    <row r="591" spans="2:42" x14ac:dyDescent="0.2">
      <c r="B591" t="s">
        <v>44</v>
      </c>
      <c r="C591" t="str">
        <f>HYPERLINK("https://us2.cloudbeds.com/connect/8493803454333002#/reservations/598070902976?display=E12TGQPX&amp;reservation_id=598070902976", "E12TGQPX")</f>
        <v>E12TGQPX</v>
      </c>
      <c r="D591" t="s">
        <v>45</v>
      </c>
      <c r="E591" t="s">
        <v>98</v>
      </c>
      <c r="F591" t="s">
        <v>86</v>
      </c>
      <c r="G591" t="s">
        <v>48</v>
      </c>
      <c r="H591" t="s">
        <v>71</v>
      </c>
      <c r="I591" t="s">
        <v>72</v>
      </c>
      <c r="J591" t="s">
        <v>901</v>
      </c>
      <c r="K591" t="s">
        <v>298</v>
      </c>
      <c r="L591" t="s">
        <v>53</v>
      </c>
      <c r="N591" t="s">
        <v>1235</v>
      </c>
      <c r="P591" t="s">
        <v>55</v>
      </c>
      <c r="R591" t="s">
        <v>56</v>
      </c>
      <c r="T591" t="s">
        <v>1227</v>
      </c>
      <c r="U591" t="s">
        <v>58</v>
      </c>
      <c r="V591">
        <v>5</v>
      </c>
      <c r="W591">
        <v>1</v>
      </c>
      <c r="X591">
        <v>1</v>
      </c>
      <c r="Y591">
        <v>0</v>
      </c>
      <c r="Z591">
        <v>1</v>
      </c>
      <c r="AA591">
        <v>0</v>
      </c>
      <c r="AB591">
        <v>567.11</v>
      </c>
      <c r="AC591">
        <v>499</v>
      </c>
      <c r="AD591">
        <v>0</v>
      </c>
      <c r="AE591">
        <v>68.099999999999994</v>
      </c>
      <c r="AF591">
        <v>0</v>
      </c>
      <c r="AG591">
        <v>0</v>
      </c>
      <c r="AH591">
        <v>0</v>
      </c>
      <c r="AI591">
        <v>0</v>
      </c>
      <c r="AJ591">
        <v>567.1</v>
      </c>
      <c r="AK591">
        <v>-0.01</v>
      </c>
      <c r="AL591" t="s">
        <v>53</v>
      </c>
      <c r="AM591" t="s">
        <v>53</v>
      </c>
      <c r="AN591" t="s">
        <v>1236</v>
      </c>
      <c r="AO591" t="s">
        <v>53</v>
      </c>
      <c r="AP591" t="s">
        <v>53</v>
      </c>
    </row>
    <row r="592" spans="2:42" x14ac:dyDescent="0.2">
      <c r="B592" t="s">
        <v>44</v>
      </c>
      <c r="C592" t="str">
        <f>HYPERLINK("https://us2.cloudbeds.com/connect/8493803454333002#/reservations/598380372185?display=E1B05UQ1&amp;reservation_id=598380372185", "E1B05UQ1")</f>
        <v>E1B05UQ1</v>
      </c>
      <c r="D592" t="s">
        <v>45</v>
      </c>
      <c r="E592" t="s">
        <v>223</v>
      </c>
      <c r="F592" t="s">
        <v>47</v>
      </c>
      <c r="G592" t="s">
        <v>48</v>
      </c>
      <c r="H592" t="s">
        <v>49</v>
      </c>
      <c r="I592" t="s">
        <v>79</v>
      </c>
      <c r="J592" t="s">
        <v>844</v>
      </c>
      <c r="K592" t="s">
        <v>116</v>
      </c>
      <c r="L592" t="s">
        <v>53</v>
      </c>
      <c r="N592" t="s">
        <v>1237</v>
      </c>
      <c r="P592" t="s">
        <v>55</v>
      </c>
      <c r="R592" t="s">
        <v>56</v>
      </c>
      <c r="T592" t="s">
        <v>1227</v>
      </c>
      <c r="U592" t="s">
        <v>58</v>
      </c>
      <c r="V592">
        <v>2</v>
      </c>
      <c r="W592">
        <v>1</v>
      </c>
      <c r="X592">
        <v>1</v>
      </c>
      <c r="Y592">
        <v>0</v>
      </c>
      <c r="Z592">
        <v>1</v>
      </c>
      <c r="AA592">
        <v>0</v>
      </c>
      <c r="AB592">
        <v>168.77</v>
      </c>
      <c r="AC592">
        <v>148.5</v>
      </c>
      <c r="AD592">
        <v>0</v>
      </c>
      <c r="AE592">
        <v>20.28</v>
      </c>
      <c r="AF592">
        <v>0</v>
      </c>
      <c r="AG592">
        <v>0</v>
      </c>
      <c r="AH592">
        <v>0</v>
      </c>
      <c r="AI592">
        <v>0</v>
      </c>
      <c r="AJ592">
        <v>168.78</v>
      </c>
      <c r="AK592">
        <v>0.01</v>
      </c>
      <c r="AL592" t="s">
        <v>53</v>
      </c>
      <c r="AM592" t="s">
        <v>53</v>
      </c>
      <c r="AN592" t="s">
        <v>59</v>
      </c>
      <c r="AO592" t="s">
        <v>53</v>
      </c>
      <c r="AP592" t="s">
        <v>53</v>
      </c>
    </row>
    <row r="593" spans="2:42" x14ac:dyDescent="0.2">
      <c r="B593" t="s">
        <v>44</v>
      </c>
      <c r="C593" t="str">
        <f>HYPERLINK("https://us2.cloudbeds.com/connect/8493803454333002#/reservations/598463168742?display=E1D3WSMF&amp;reservation_id=598463168742", "E1D3WSMF")</f>
        <v>E1D3WSMF</v>
      </c>
      <c r="D593" t="s">
        <v>45</v>
      </c>
      <c r="E593" t="s">
        <v>165</v>
      </c>
      <c r="F593" t="s">
        <v>61</v>
      </c>
      <c r="G593" t="s">
        <v>48</v>
      </c>
      <c r="H593" t="s">
        <v>49</v>
      </c>
      <c r="I593" t="s">
        <v>50</v>
      </c>
      <c r="J593" t="s">
        <v>850</v>
      </c>
      <c r="K593" t="s">
        <v>115</v>
      </c>
      <c r="L593" t="s">
        <v>53</v>
      </c>
      <c r="N593" t="s">
        <v>1238</v>
      </c>
      <c r="P593" t="s">
        <v>58</v>
      </c>
      <c r="R593" t="s">
        <v>56</v>
      </c>
      <c r="T593" t="s">
        <v>1227</v>
      </c>
      <c r="U593" t="s">
        <v>58</v>
      </c>
      <c r="V593">
        <v>2</v>
      </c>
      <c r="W593">
        <v>1</v>
      </c>
      <c r="X593">
        <v>1</v>
      </c>
      <c r="Y593">
        <v>0</v>
      </c>
      <c r="Z593">
        <v>1</v>
      </c>
      <c r="AA593">
        <v>0</v>
      </c>
      <c r="AB593">
        <v>184.11</v>
      </c>
      <c r="AC593">
        <v>162</v>
      </c>
      <c r="AD593">
        <v>0</v>
      </c>
      <c r="AE593">
        <v>22.12</v>
      </c>
      <c r="AF593">
        <v>0</v>
      </c>
      <c r="AG593">
        <v>0</v>
      </c>
      <c r="AH593">
        <v>0</v>
      </c>
      <c r="AI593">
        <v>33.14</v>
      </c>
      <c r="AJ593">
        <v>184.12</v>
      </c>
      <c r="AK593">
        <v>0.01</v>
      </c>
      <c r="AL593" t="s">
        <v>53</v>
      </c>
      <c r="AM593" t="s">
        <v>53</v>
      </c>
      <c r="AN593" t="s">
        <v>280</v>
      </c>
      <c r="AO593" t="s">
        <v>53</v>
      </c>
      <c r="AP593" t="s">
        <v>53</v>
      </c>
    </row>
    <row r="594" spans="2:42" x14ac:dyDescent="0.2">
      <c r="B594" t="s">
        <v>44</v>
      </c>
      <c r="C594" t="str">
        <f>HYPERLINK("https://us2.cloudbeds.com/connect/8493803454333002#/reservations/598058455186?display=E12PZ3TE&amp;reservation_id=598058455186", "E12PZ3TE")</f>
        <v>E12PZ3TE</v>
      </c>
      <c r="D594" t="s">
        <v>45</v>
      </c>
      <c r="E594" t="s">
        <v>69</v>
      </c>
      <c r="F594" t="s">
        <v>70</v>
      </c>
      <c r="G594" t="s">
        <v>48</v>
      </c>
      <c r="H594" t="s">
        <v>49</v>
      </c>
      <c r="I594" t="s">
        <v>62</v>
      </c>
      <c r="J594" t="s">
        <v>901</v>
      </c>
      <c r="K594" t="s">
        <v>850</v>
      </c>
      <c r="L594" t="s">
        <v>53</v>
      </c>
      <c r="N594" t="s">
        <v>1239</v>
      </c>
      <c r="P594" t="s">
        <v>55</v>
      </c>
      <c r="R594" t="s">
        <v>56</v>
      </c>
      <c r="T594" t="s">
        <v>1227</v>
      </c>
      <c r="U594" t="s">
        <v>58</v>
      </c>
      <c r="V594">
        <v>1</v>
      </c>
      <c r="W594">
        <v>1</v>
      </c>
      <c r="X594">
        <v>1</v>
      </c>
      <c r="Y594">
        <v>0</v>
      </c>
      <c r="Z594">
        <v>1</v>
      </c>
      <c r="AA594">
        <v>0</v>
      </c>
      <c r="AB594">
        <v>82.34</v>
      </c>
      <c r="AC594">
        <v>72.45</v>
      </c>
      <c r="AD594">
        <v>0</v>
      </c>
      <c r="AE594">
        <v>9.89</v>
      </c>
      <c r="AF594">
        <v>0</v>
      </c>
      <c r="AG594">
        <v>0</v>
      </c>
      <c r="AH594">
        <v>0</v>
      </c>
      <c r="AI594">
        <v>12.35</v>
      </c>
      <c r="AJ594">
        <v>82.34</v>
      </c>
      <c r="AK594">
        <v>0</v>
      </c>
      <c r="AL594" t="s">
        <v>53</v>
      </c>
      <c r="AM594" t="s">
        <v>53</v>
      </c>
      <c r="AN594" t="s">
        <v>1240</v>
      </c>
      <c r="AO594" t="s">
        <v>53</v>
      </c>
      <c r="AP594" t="s">
        <v>53</v>
      </c>
    </row>
    <row r="595" spans="2:42" x14ac:dyDescent="0.2">
      <c r="B595" t="s">
        <v>44</v>
      </c>
      <c r="C595" t="str">
        <f>HYPERLINK("https://us2.cloudbeds.com/connect/8493803454333002#/reservations/597933678773?display=E0WJH101&amp;reservation_id=597933678773", "E0WJH101")</f>
        <v>E0WJH101</v>
      </c>
      <c r="D595" t="s">
        <v>45</v>
      </c>
      <c r="E595" t="s">
        <v>185</v>
      </c>
      <c r="F595" t="s">
        <v>47</v>
      </c>
      <c r="G595" t="s">
        <v>48</v>
      </c>
      <c r="H595" t="s">
        <v>49</v>
      </c>
      <c r="I595" t="s">
        <v>50</v>
      </c>
      <c r="J595" t="s">
        <v>122</v>
      </c>
      <c r="K595" t="s">
        <v>123</v>
      </c>
      <c r="L595" t="s">
        <v>53</v>
      </c>
      <c r="N595" t="s">
        <v>1241</v>
      </c>
      <c r="P595" t="s">
        <v>55</v>
      </c>
      <c r="R595" t="s">
        <v>56</v>
      </c>
      <c r="T595" t="s">
        <v>1227</v>
      </c>
      <c r="U595" t="s">
        <v>58</v>
      </c>
      <c r="V595">
        <v>1</v>
      </c>
      <c r="W595">
        <v>1</v>
      </c>
      <c r="X595">
        <v>1</v>
      </c>
      <c r="Y595">
        <v>0</v>
      </c>
      <c r="Z595">
        <v>1</v>
      </c>
      <c r="AA595">
        <v>0</v>
      </c>
      <c r="AB595">
        <v>156.84</v>
      </c>
      <c r="AC595">
        <v>138</v>
      </c>
      <c r="AD595">
        <v>0</v>
      </c>
      <c r="AE595">
        <v>18.84</v>
      </c>
      <c r="AF595">
        <v>0</v>
      </c>
      <c r="AG595">
        <v>0</v>
      </c>
      <c r="AH595">
        <v>0</v>
      </c>
      <c r="AI595">
        <v>28.23</v>
      </c>
      <c r="AJ595">
        <v>156.84</v>
      </c>
      <c r="AK595">
        <v>0</v>
      </c>
      <c r="AL595" t="s">
        <v>53</v>
      </c>
      <c r="AM595" t="s">
        <v>53</v>
      </c>
      <c r="AN595" t="s">
        <v>245</v>
      </c>
      <c r="AO595" t="s">
        <v>53</v>
      </c>
      <c r="AP595" t="s">
        <v>53</v>
      </c>
    </row>
    <row r="596" spans="2:42" x14ac:dyDescent="0.2">
      <c r="B596" t="s">
        <v>44</v>
      </c>
      <c r="C596" t="str">
        <f>HYPERLINK("https://us2.cloudbeds.com/connect/8493803454333002#/reservations/598318289047?display=E19DRCFR&amp;reservation_id=598318289047", "E19DRCFR")</f>
        <v>E19DRCFR</v>
      </c>
      <c r="D596" t="s">
        <v>45</v>
      </c>
      <c r="E596" t="s">
        <v>128</v>
      </c>
      <c r="F596" t="s">
        <v>86</v>
      </c>
      <c r="G596" t="s">
        <v>48</v>
      </c>
      <c r="H596" t="s">
        <v>71</v>
      </c>
      <c r="I596" t="s">
        <v>72</v>
      </c>
      <c r="J596" t="s">
        <v>901</v>
      </c>
      <c r="K596" t="s">
        <v>850</v>
      </c>
      <c r="L596" t="s">
        <v>53</v>
      </c>
      <c r="N596" t="s">
        <v>1242</v>
      </c>
      <c r="P596" t="s">
        <v>55</v>
      </c>
      <c r="R596" t="s">
        <v>56</v>
      </c>
      <c r="T596" t="s">
        <v>1227</v>
      </c>
      <c r="U596" t="s">
        <v>58</v>
      </c>
      <c r="V596">
        <v>1</v>
      </c>
      <c r="W596">
        <v>1</v>
      </c>
      <c r="X596">
        <v>1</v>
      </c>
      <c r="Y596">
        <v>0</v>
      </c>
      <c r="Z596">
        <v>1</v>
      </c>
      <c r="AA596">
        <v>0</v>
      </c>
      <c r="AB596">
        <v>107.97</v>
      </c>
      <c r="AC596">
        <v>95</v>
      </c>
      <c r="AD596">
        <v>0</v>
      </c>
      <c r="AE596">
        <v>12.98</v>
      </c>
      <c r="AF596">
        <v>0</v>
      </c>
      <c r="AG596">
        <v>0</v>
      </c>
      <c r="AH596">
        <v>0</v>
      </c>
      <c r="AI596">
        <v>0</v>
      </c>
      <c r="AJ596">
        <v>107.98</v>
      </c>
      <c r="AK596">
        <v>0.01</v>
      </c>
      <c r="AL596" t="s">
        <v>53</v>
      </c>
      <c r="AM596" t="s">
        <v>53</v>
      </c>
      <c r="AN596" t="s">
        <v>683</v>
      </c>
      <c r="AO596" t="s">
        <v>53</v>
      </c>
      <c r="AP596" t="s">
        <v>53</v>
      </c>
    </row>
    <row r="597" spans="2:42" x14ac:dyDescent="0.2">
      <c r="B597" t="s">
        <v>44</v>
      </c>
      <c r="C597" t="str">
        <f>HYPERLINK("https://us2.cloudbeds.com/connect/8493803454333002#/reservations/598340366498?display=E19WENKE&amp;reservation_id=598340366498", "E19WENKE")</f>
        <v>E19WENKE</v>
      </c>
      <c r="D597" t="s">
        <v>45</v>
      </c>
      <c r="E597" t="s">
        <v>213</v>
      </c>
      <c r="F597" t="s">
        <v>86</v>
      </c>
      <c r="G597" t="s">
        <v>48</v>
      </c>
      <c r="H597" t="s">
        <v>49</v>
      </c>
      <c r="I597" t="s">
        <v>50</v>
      </c>
      <c r="J597" t="s">
        <v>901</v>
      </c>
      <c r="K597" t="s">
        <v>116</v>
      </c>
      <c r="L597" t="s">
        <v>53</v>
      </c>
      <c r="N597" t="s">
        <v>1243</v>
      </c>
      <c r="P597" t="s">
        <v>55</v>
      </c>
      <c r="R597" t="s">
        <v>56</v>
      </c>
      <c r="T597" t="s">
        <v>1227</v>
      </c>
      <c r="U597" t="s">
        <v>58</v>
      </c>
      <c r="V597">
        <v>4</v>
      </c>
      <c r="W597">
        <v>1</v>
      </c>
      <c r="X597">
        <v>1</v>
      </c>
      <c r="Y597">
        <v>0</v>
      </c>
      <c r="Z597">
        <v>1</v>
      </c>
      <c r="AA597">
        <v>0</v>
      </c>
      <c r="AB597">
        <v>421.41</v>
      </c>
      <c r="AC597">
        <v>370.8</v>
      </c>
      <c r="AD597">
        <v>0</v>
      </c>
      <c r="AE597">
        <v>50.6</v>
      </c>
      <c r="AF597">
        <v>0</v>
      </c>
      <c r="AG597">
        <v>0</v>
      </c>
      <c r="AH597">
        <v>0</v>
      </c>
      <c r="AI597">
        <v>75.849999999999994</v>
      </c>
      <c r="AJ597">
        <v>421.4</v>
      </c>
      <c r="AK597">
        <v>-0.01</v>
      </c>
      <c r="AL597" t="s">
        <v>53</v>
      </c>
      <c r="AM597" t="s">
        <v>53</v>
      </c>
      <c r="AN597" t="s">
        <v>84</v>
      </c>
      <c r="AO597" t="s">
        <v>53</v>
      </c>
      <c r="AP597" t="s">
        <v>53</v>
      </c>
    </row>
    <row r="598" spans="2:42" x14ac:dyDescent="0.2">
      <c r="B598" t="s">
        <v>44</v>
      </c>
      <c r="C598" t="str">
        <f>HYPERLINK("https://us2.cloudbeds.com/connect/8493803454333002#/reservations/598441570453?display=E1CXPSX0&amp;reservation_id=598441570453", "E1CXPSX0")</f>
        <v>E1CXPSX0</v>
      </c>
      <c r="D598" t="s">
        <v>45</v>
      </c>
      <c r="E598" t="s">
        <v>487</v>
      </c>
      <c r="F598" t="s">
        <v>61</v>
      </c>
      <c r="G598" t="s">
        <v>48</v>
      </c>
      <c r="H598" t="s">
        <v>49</v>
      </c>
      <c r="I598" t="s">
        <v>50</v>
      </c>
      <c r="J598" t="s">
        <v>1244</v>
      </c>
      <c r="K598" t="s">
        <v>618</v>
      </c>
      <c r="L598" t="s">
        <v>53</v>
      </c>
      <c r="N598" t="s">
        <v>1245</v>
      </c>
      <c r="P598" t="s">
        <v>55</v>
      </c>
      <c r="R598" t="s">
        <v>56</v>
      </c>
      <c r="T598" t="s">
        <v>1227</v>
      </c>
      <c r="U598" t="s">
        <v>58</v>
      </c>
      <c r="V598">
        <v>1</v>
      </c>
      <c r="W598">
        <v>1</v>
      </c>
      <c r="X598">
        <v>1</v>
      </c>
      <c r="Y598">
        <v>0</v>
      </c>
      <c r="Z598">
        <v>1</v>
      </c>
      <c r="AA598">
        <v>0</v>
      </c>
      <c r="AB598">
        <v>112.51</v>
      </c>
      <c r="AC598">
        <v>99</v>
      </c>
      <c r="AD598">
        <v>0</v>
      </c>
      <c r="AE598">
        <v>13.52</v>
      </c>
      <c r="AF598">
        <v>0</v>
      </c>
      <c r="AG598">
        <v>0</v>
      </c>
      <c r="AH598">
        <v>0</v>
      </c>
      <c r="AI598">
        <v>20.25</v>
      </c>
      <c r="AJ598">
        <v>112.52</v>
      </c>
      <c r="AK598">
        <v>0.01</v>
      </c>
      <c r="AL598" t="s">
        <v>53</v>
      </c>
      <c r="AM598" t="s">
        <v>53</v>
      </c>
      <c r="AN598" t="s">
        <v>132</v>
      </c>
      <c r="AO598" t="s">
        <v>53</v>
      </c>
      <c r="AP598" t="s">
        <v>53</v>
      </c>
    </row>
    <row r="599" spans="2:42" x14ac:dyDescent="0.2">
      <c r="B599" t="s">
        <v>44</v>
      </c>
      <c r="C599" t="str">
        <f>HYPERLINK("https://us2.cloudbeds.com/connect/8493803454333002#/reservations/598520565916?display=E1EJD0WU&amp;reservation_id=598520565916", "E1EJD0WU")</f>
        <v>E1EJD0WU</v>
      </c>
      <c r="D599" t="s">
        <v>45</v>
      </c>
      <c r="E599" t="s">
        <v>179</v>
      </c>
      <c r="F599" t="s">
        <v>47</v>
      </c>
      <c r="G599" t="s">
        <v>48</v>
      </c>
      <c r="H599" t="s">
        <v>49</v>
      </c>
      <c r="I599" t="s">
        <v>62</v>
      </c>
      <c r="J599" t="s">
        <v>901</v>
      </c>
      <c r="K599" t="s">
        <v>850</v>
      </c>
      <c r="L599" t="s">
        <v>53</v>
      </c>
      <c r="N599" t="s">
        <v>1246</v>
      </c>
      <c r="P599" t="s">
        <v>55</v>
      </c>
      <c r="R599" t="s">
        <v>56</v>
      </c>
      <c r="T599" t="s">
        <v>1227</v>
      </c>
      <c r="U599" t="s">
        <v>58</v>
      </c>
      <c r="V599">
        <v>1</v>
      </c>
      <c r="W599">
        <v>1</v>
      </c>
      <c r="X599">
        <v>1</v>
      </c>
      <c r="Y599">
        <v>0</v>
      </c>
      <c r="Z599">
        <v>1</v>
      </c>
      <c r="AA599">
        <v>0</v>
      </c>
      <c r="AB599">
        <v>89.5</v>
      </c>
      <c r="AC599">
        <v>78.75</v>
      </c>
      <c r="AD599">
        <v>0</v>
      </c>
      <c r="AE599">
        <v>10.75</v>
      </c>
      <c r="AF599">
        <v>0</v>
      </c>
      <c r="AG599">
        <v>0</v>
      </c>
      <c r="AH599">
        <v>0</v>
      </c>
      <c r="AI599">
        <v>13.43</v>
      </c>
      <c r="AJ599">
        <v>89.5</v>
      </c>
      <c r="AK599">
        <v>0</v>
      </c>
      <c r="AL599" t="s">
        <v>53</v>
      </c>
      <c r="AM599" t="s">
        <v>53</v>
      </c>
      <c r="AN599" t="s">
        <v>1240</v>
      </c>
      <c r="AO599" t="s">
        <v>53</v>
      </c>
      <c r="AP599" t="s">
        <v>53</v>
      </c>
    </row>
    <row r="600" spans="2:42" x14ac:dyDescent="0.2">
      <c r="B600" t="s">
        <v>44</v>
      </c>
      <c r="C600" t="str">
        <f>HYPERLINK("https://us2.cloudbeds.com/connect/8493803454333002#/reservations/598349467794?display=E1A73W3B&amp;reservation_id=598349467794", "E1A73W3B")</f>
        <v>E1A73W3B</v>
      </c>
      <c r="D600" t="s">
        <v>45</v>
      </c>
      <c r="E600" t="s">
        <v>155</v>
      </c>
      <c r="F600" t="s">
        <v>86</v>
      </c>
      <c r="G600" t="s">
        <v>48</v>
      </c>
      <c r="H600" t="s">
        <v>49</v>
      </c>
      <c r="I600" t="s">
        <v>266</v>
      </c>
      <c r="J600" t="s">
        <v>901</v>
      </c>
      <c r="K600" t="s">
        <v>850</v>
      </c>
      <c r="L600" t="s">
        <v>53</v>
      </c>
      <c r="N600" t="s">
        <v>1247</v>
      </c>
      <c r="P600" t="s">
        <v>55</v>
      </c>
      <c r="R600" t="s">
        <v>56</v>
      </c>
      <c r="T600" t="s">
        <v>1227</v>
      </c>
      <c r="U600" t="s">
        <v>58</v>
      </c>
      <c r="V600">
        <v>1</v>
      </c>
      <c r="W600">
        <v>1</v>
      </c>
      <c r="X600">
        <v>1</v>
      </c>
      <c r="Y600">
        <v>0</v>
      </c>
      <c r="Z600">
        <v>1</v>
      </c>
      <c r="AA600">
        <v>0</v>
      </c>
      <c r="AB600">
        <v>102.29</v>
      </c>
      <c r="AC600">
        <v>90</v>
      </c>
      <c r="AD600">
        <v>0</v>
      </c>
      <c r="AE600">
        <v>12.29</v>
      </c>
      <c r="AF600">
        <v>0</v>
      </c>
      <c r="AG600">
        <v>0</v>
      </c>
      <c r="AH600">
        <v>0</v>
      </c>
      <c r="AI600">
        <v>0</v>
      </c>
      <c r="AJ600">
        <v>102.29</v>
      </c>
      <c r="AK600">
        <v>0</v>
      </c>
      <c r="AL600" t="s">
        <v>53</v>
      </c>
      <c r="AM600" t="s">
        <v>53</v>
      </c>
      <c r="AN600" t="s">
        <v>137</v>
      </c>
      <c r="AO600" t="s">
        <v>53</v>
      </c>
      <c r="AP600" t="s">
        <v>53</v>
      </c>
    </row>
    <row r="601" spans="2:42" x14ac:dyDescent="0.2">
      <c r="B601" t="s">
        <v>44</v>
      </c>
      <c r="C601" t="str">
        <f>HYPERLINK("https://us2.cloudbeds.com/connect/8493803454333002#/reservations/598410428622?display=E1BPH9R5&amp;reservation_id=598410428622", "E1BPH9R5")</f>
        <v>E1BPH9R5</v>
      </c>
      <c r="D601" t="s">
        <v>45</v>
      </c>
      <c r="E601" t="s">
        <v>138</v>
      </c>
      <c r="F601" t="s">
        <v>70</v>
      </c>
      <c r="G601" t="s">
        <v>48</v>
      </c>
      <c r="H601" t="s">
        <v>49</v>
      </c>
      <c r="I601" t="s">
        <v>79</v>
      </c>
      <c r="J601" t="s">
        <v>901</v>
      </c>
      <c r="K601" t="s">
        <v>850</v>
      </c>
      <c r="L601" t="s">
        <v>53</v>
      </c>
      <c r="N601" t="s">
        <v>1248</v>
      </c>
      <c r="P601" t="s">
        <v>55</v>
      </c>
      <c r="R601" t="s">
        <v>56</v>
      </c>
      <c r="T601" t="s">
        <v>1227</v>
      </c>
      <c r="U601" t="s">
        <v>58</v>
      </c>
      <c r="V601">
        <v>1</v>
      </c>
      <c r="W601">
        <v>1</v>
      </c>
      <c r="X601">
        <v>1</v>
      </c>
      <c r="Y601">
        <v>0</v>
      </c>
      <c r="Z601">
        <v>1</v>
      </c>
      <c r="AA601">
        <v>0</v>
      </c>
      <c r="AB601">
        <v>75.69</v>
      </c>
      <c r="AC601">
        <v>66.599999999999994</v>
      </c>
      <c r="AD601">
        <v>0</v>
      </c>
      <c r="AE601">
        <v>9.09</v>
      </c>
      <c r="AF601">
        <v>0</v>
      </c>
      <c r="AG601">
        <v>0</v>
      </c>
      <c r="AH601">
        <v>0</v>
      </c>
      <c r="AI601">
        <v>0</v>
      </c>
      <c r="AJ601">
        <v>75.69</v>
      </c>
      <c r="AK601">
        <v>0</v>
      </c>
      <c r="AL601" t="s">
        <v>53</v>
      </c>
      <c r="AM601" t="s">
        <v>53</v>
      </c>
      <c r="AN601" t="s">
        <v>84</v>
      </c>
      <c r="AO601" t="s">
        <v>53</v>
      </c>
      <c r="AP601" t="s">
        <v>53</v>
      </c>
    </row>
    <row r="602" spans="2:42" x14ac:dyDescent="0.2">
      <c r="B602" t="s">
        <v>44</v>
      </c>
      <c r="C602" t="str">
        <f>HYPERLINK("https://us2.cloudbeds.com/connect/8493803454333002#/reservations/598480683212?display=E1DXP7P4&amp;reservation_id=598480683212", "E1DXP7P4")</f>
        <v>E1DXP7P4</v>
      </c>
      <c r="D602" t="s">
        <v>45</v>
      </c>
      <c r="E602" t="s">
        <v>165</v>
      </c>
      <c r="F602" t="s">
        <v>61</v>
      </c>
      <c r="G602" t="s">
        <v>48</v>
      </c>
      <c r="H602" t="s">
        <v>49</v>
      </c>
      <c r="I602" t="s">
        <v>79</v>
      </c>
      <c r="J602" t="s">
        <v>901</v>
      </c>
      <c r="K602" t="s">
        <v>850</v>
      </c>
      <c r="L602" t="s">
        <v>53</v>
      </c>
      <c r="N602" t="s">
        <v>1249</v>
      </c>
      <c r="P602" t="s">
        <v>55</v>
      </c>
      <c r="R602" t="s">
        <v>56</v>
      </c>
      <c r="T602" t="s">
        <v>1227</v>
      </c>
      <c r="U602" t="s">
        <v>58</v>
      </c>
      <c r="V602">
        <v>1</v>
      </c>
      <c r="W602">
        <v>1</v>
      </c>
      <c r="X602">
        <v>1</v>
      </c>
      <c r="Y602">
        <v>0</v>
      </c>
      <c r="Z602">
        <v>1</v>
      </c>
      <c r="AA602">
        <v>0</v>
      </c>
      <c r="AB602">
        <v>92.06</v>
      </c>
      <c r="AC602">
        <v>81</v>
      </c>
      <c r="AD602">
        <v>0</v>
      </c>
      <c r="AE602">
        <v>11.06</v>
      </c>
      <c r="AF602">
        <v>0</v>
      </c>
      <c r="AG602">
        <v>0</v>
      </c>
      <c r="AH602">
        <v>0</v>
      </c>
      <c r="AI602">
        <v>0</v>
      </c>
      <c r="AJ602">
        <v>92.06</v>
      </c>
      <c r="AK602">
        <v>0</v>
      </c>
      <c r="AL602" t="s">
        <v>53</v>
      </c>
      <c r="AM602" t="s">
        <v>53</v>
      </c>
      <c r="AN602" t="s">
        <v>1250</v>
      </c>
      <c r="AO602" t="s">
        <v>53</v>
      </c>
      <c r="AP602" t="s">
        <v>53</v>
      </c>
    </row>
    <row r="603" spans="2:42" x14ac:dyDescent="0.2">
      <c r="B603" t="s">
        <v>44</v>
      </c>
      <c r="C603" t="str">
        <f>HYPERLINK("https://us2.cloudbeds.com/connect/8493803454333002#/reservations/598488416466?display=E1DP9E05&amp;reservation_id=598488416466", "E1DP9E05")</f>
        <v>E1DP9E05</v>
      </c>
      <c r="D603" t="s">
        <v>45</v>
      </c>
      <c r="E603" t="s">
        <v>381</v>
      </c>
      <c r="F603" t="s">
        <v>47</v>
      </c>
      <c r="G603" t="s">
        <v>48</v>
      </c>
      <c r="H603" t="s">
        <v>71</v>
      </c>
      <c r="I603" t="s">
        <v>72</v>
      </c>
      <c r="J603" t="s">
        <v>850</v>
      </c>
      <c r="K603" t="s">
        <v>199</v>
      </c>
      <c r="L603" t="s">
        <v>53</v>
      </c>
      <c r="N603" t="s">
        <v>1251</v>
      </c>
      <c r="P603" t="s">
        <v>55</v>
      </c>
      <c r="R603" t="s">
        <v>56</v>
      </c>
      <c r="T603" t="s">
        <v>1227</v>
      </c>
      <c r="U603" t="s">
        <v>58</v>
      </c>
      <c r="V603">
        <v>7</v>
      </c>
      <c r="W603">
        <v>1</v>
      </c>
      <c r="X603">
        <v>1</v>
      </c>
      <c r="Y603">
        <v>0</v>
      </c>
      <c r="Z603">
        <v>1</v>
      </c>
      <c r="AA603">
        <v>0</v>
      </c>
      <c r="AB603">
        <v>615.98</v>
      </c>
      <c r="AC603">
        <v>542</v>
      </c>
      <c r="AD603">
        <v>0</v>
      </c>
      <c r="AE603">
        <v>74.05</v>
      </c>
      <c r="AF603">
        <v>0</v>
      </c>
      <c r="AG603">
        <v>0</v>
      </c>
      <c r="AH603">
        <v>0</v>
      </c>
      <c r="AI603">
        <v>0</v>
      </c>
      <c r="AJ603">
        <v>616.04999999999995</v>
      </c>
      <c r="AK603">
        <v>7.0000000000000007E-2</v>
      </c>
      <c r="AL603" t="s">
        <v>53</v>
      </c>
      <c r="AM603" t="s">
        <v>53</v>
      </c>
      <c r="AN603" t="s">
        <v>1252</v>
      </c>
      <c r="AO603" t="s">
        <v>53</v>
      </c>
      <c r="AP603" t="s">
        <v>53</v>
      </c>
    </row>
    <row r="604" spans="2:42" x14ac:dyDescent="0.2">
      <c r="B604" t="s">
        <v>44</v>
      </c>
      <c r="C604" t="str">
        <f>HYPERLINK("https://us2.cloudbeds.com/connect/8493803454333002#/reservations/598502535387?display=E1E46A18&amp;reservation_id=598502535387", "E1E46A18")</f>
        <v>E1E46A18</v>
      </c>
      <c r="D604" t="s">
        <v>45</v>
      </c>
      <c r="E604" t="s">
        <v>305</v>
      </c>
      <c r="F604" t="s">
        <v>61</v>
      </c>
      <c r="G604" t="s">
        <v>48</v>
      </c>
      <c r="H604" t="s">
        <v>49</v>
      </c>
      <c r="I604" t="s">
        <v>79</v>
      </c>
      <c r="J604" t="s">
        <v>538</v>
      </c>
      <c r="K604" t="s">
        <v>259</v>
      </c>
      <c r="L604" t="s">
        <v>53</v>
      </c>
      <c r="N604" t="s">
        <v>1253</v>
      </c>
      <c r="P604" t="s">
        <v>55</v>
      </c>
      <c r="R604" t="s">
        <v>56</v>
      </c>
      <c r="T604" t="s">
        <v>1227</v>
      </c>
      <c r="U604" t="s">
        <v>58</v>
      </c>
      <c r="V604">
        <v>1</v>
      </c>
      <c r="W604">
        <v>1</v>
      </c>
      <c r="X604">
        <v>1</v>
      </c>
      <c r="Y604">
        <v>0</v>
      </c>
      <c r="Z604">
        <v>1</v>
      </c>
      <c r="AA604">
        <v>0</v>
      </c>
      <c r="AB604">
        <v>122.74</v>
      </c>
      <c r="AC604">
        <v>108</v>
      </c>
      <c r="AD604">
        <v>0</v>
      </c>
      <c r="AE604">
        <v>14.74</v>
      </c>
      <c r="AF604">
        <v>0</v>
      </c>
      <c r="AG604">
        <v>0</v>
      </c>
      <c r="AH604">
        <v>0</v>
      </c>
      <c r="AI604">
        <v>0</v>
      </c>
      <c r="AJ604">
        <v>122.74</v>
      </c>
      <c r="AK604">
        <v>0</v>
      </c>
      <c r="AL604" t="s">
        <v>53</v>
      </c>
      <c r="AM604" t="s">
        <v>53</v>
      </c>
      <c r="AN604" t="s">
        <v>97</v>
      </c>
      <c r="AO604" t="s">
        <v>53</v>
      </c>
      <c r="AP604" t="s">
        <v>53</v>
      </c>
    </row>
    <row r="605" spans="2:42" x14ac:dyDescent="0.2">
      <c r="B605" t="s">
        <v>44</v>
      </c>
      <c r="C605" t="str">
        <f>HYPERLINK("https://us2.cloudbeds.com/connect/8493803454333002#/reservations/598038024321?display=E128GG23&amp;reservation_id=598038024321", "E128GG23")</f>
        <v>E128GG23</v>
      </c>
      <c r="D605" t="s">
        <v>45</v>
      </c>
      <c r="E605" t="s">
        <v>185</v>
      </c>
      <c r="F605" t="s">
        <v>47</v>
      </c>
      <c r="G605" t="s">
        <v>48</v>
      </c>
      <c r="H605" t="s">
        <v>49</v>
      </c>
      <c r="I605" t="s">
        <v>50</v>
      </c>
      <c r="J605" t="s">
        <v>116</v>
      </c>
      <c r="K605" t="s">
        <v>298</v>
      </c>
      <c r="L605" t="s">
        <v>53</v>
      </c>
      <c r="N605" t="s">
        <v>1254</v>
      </c>
      <c r="P605" t="s">
        <v>55</v>
      </c>
      <c r="R605" t="s">
        <v>56</v>
      </c>
      <c r="T605" t="s">
        <v>1227</v>
      </c>
      <c r="U605" t="s">
        <v>58</v>
      </c>
      <c r="V605">
        <v>1</v>
      </c>
      <c r="W605">
        <v>1</v>
      </c>
      <c r="X605">
        <v>1</v>
      </c>
      <c r="Y605">
        <v>0</v>
      </c>
      <c r="Z605">
        <v>1</v>
      </c>
      <c r="AA605">
        <v>0</v>
      </c>
      <c r="AB605">
        <v>86.94</v>
      </c>
      <c r="AC605">
        <v>76.5</v>
      </c>
      <c r="AD605">
        <v>0</v>
      </c>
      <c r="AE605">
        <v>10.45</v>
      </c>
      <c r="AF605">
        <v>0</v>
      </c>
      <c r="AG605">
        <v>0</v>
      </c>
      <c r="AH605">
        <v>0</v>
      </c>
      <c r="AI605">
        <v>15.65</v>
      </c>
      <c r="AJ605">
        <v>86.95</v>
      </c>
      <c r="AK605">
        <v>0.01</v>
      </c>
      <c r="AL605" t="s">
        <v>53</v>
      </c>
      <c r="AM605" t="s">
        <v>53</v>
      </c>
      <c r="AN605" t="s">
        <v>104</v>
      </c>
      <c r="AO605" t="s">
        <v>53</v>
      </c>
      <c r="AP605" t="s">
        <v>53</v>
      </c>
    </row>
    <row r="606" spans="2:42" x14ac:dyDescent="0.2">
      <c r="B606" t="s">
        <v>44</v>
      </c>
      <c r="C606" t="str">
        <f>HYPERLINK("https://us2.cloudbeds.com/connect/8493803454333002#/reservations/598388539534?display=E1B726YF&amp;reservation_id=598388539534", "E1B726YF")</f>
        <v>E1B726YF</v>
      </c>
      <c r="D606" t="s">
        <v>45</v>
      </c>
      <c r="E606" t="s">
        <v>113</v>
      </c>
      <c r="F606" t="s">
        <v>61</v>
      </c>
      <c r="G606" t="s">
        <v>48</v>
      </c>
      <c r="H606" t="s">
        <v>71</v>
      </c>
      <c r="I606" t="s">
        <v>72</v>
      </c>
      <c r="J606" t="s">
        <v>346</v>
      </c>
      <c r="K606" t="s">
        <v>243</v>
      </c>
      <c r="L606" t="s">
        <v>53</v>
      </c>
      <c r="N606" t="s">
        <v>1255</v>
      </c>
      <c r="P606" t="s">
        <v>58</v>
      </c>
      <c r="R606" t="s">
        <v>56</v>
      </c>
      <c r="T606" t="s">
        <v>1256</v>
      </c>
      <c r="U606" t="s">
        <v>58</v>
      </c>
      <c r="V606">
        <v>16</v>
      </c>
      <c r="W606">
        <v>1</v>
      </c>
      <c r="X606">
        <v>1</v>
      </c>
      <c r="Y606">
        <v>0</v>
      </c>
      <c r="Z606">
        <v>1</v>
      </c>
      <c r="AA606">
        <v>0</v>
      </c>
      <c r="AB606">
        <v>1054.67</v>
      </c>
      <c r="AC606">
        <v>928</v>
      </c>
      <c r="AD606">
        <v>0</v>
      </c>
      <c r="AE606">
        <v>126.72</v>
      </c>
      <c r="AF606">
        <v>0</v>
      </c>
      <c r="AG606">
        <v>0</v>
      </c>
      <c r="AH606">
        <v>0</v>
      </c>
      <c r="AI606">
        <v>0</v>
      </c>
      <c r="AJ606">
        <v>1054.72</v>
      </c>
      <c r="AK606">
        <v>0.05</v>
      </c>
      <c r="AL606" t="s">
        <v>53</v>
      </c>
      <c r="AM606" t="s">
        <v>53</v>
      </c>
      <c r="AN606" t="s">
        <v>1005</v>
      </c>
      <c r="AO606" t="s">
        <v>53</v>
      </c>
      <c r="AP606" t="s">
        <v>53</v>
      </c>
    </row>
    <row r="607" spans="2:42" x14ac:dyDescent="0.2">
      <c r="B607" t="s">
        <v>44</v>
      </c>
      <c r="C607" t="str">
        <f>HYPERLINK("https://us2.cloudbeds.com/connect/8493803454333002#/reservations/598603321501?display=E1GN5R8U&amp;reservation_id=598603321501", "E1GN5R8U")</f>
        <v>E1GN5R8U</v>
      </c>
      <c r="D607" t="s">
        <v>45</v>
      </c>
      <c r="E607" t="s">
        <v>165</v>
      </c>
      <c r="F607" t="s">
        <v>61</v>
      </c>
      <c r="G607" t="s">
        <v>48</v>
      </c>
      <c r="H607" t="s">
        <v>49</v>
      </c>
      <c r="I607" t="s">
        <v>50</v>
      </c>
      <c r="J607" t="s">
        <v>1117</v>
      </c>
      <c r="K607" t="s">
        <v>699</v>
      </c>
      <c r="L607" t="s">
        <v>53</v>
      </c>
      <c r="N607" t="s">
        <v>1257</v>
      </c>
      <c r="P607" t="s">
        <v>55</v>
      </c>
      <c r="R607" t="s">
        <v>56</v>
      </c>
      <c r="T607" t="s">
        <v>1256</v>
      </c>
      <c r="U607" t="s">
        <v>58</v>
      </c>
      <c r="V607">
        <v>1</v>
      </c>
      <c r="W607">
        <v>1</v>
      </c>
      <c r="X607">
        <v>1</v>
      </c>
      <c r="Y607">
        <v>0</v>
      </c>
      <c r="Z607">
        <v>1</v>
      </c>
      <c r="AA607">
        <v>0</v>
      </c>
      <c r="AB607">
        <v>112.51</v>
      </c>
      <c r="AC607">
        <v>99</v>
      </c>
      <c r="AD607">
        <v>0</v>
      </c>
      <c r="AE607">
        <v>13.52</v>
      </c>
      <c r="AF607">
        <v>0</v>
      </c>
      <c r="AG607">
        <v>0</v>
      </c>
      <c r="AH607">
        <v>0</v>
      </c>
      <c r="AI607">
        <v>20.25</v>
      </c>
      <c r="AJ607">
        <v>112.52</v>
      </c>
      <c r="AK607">
        <v>0.01</v>
      </c>
      <c r="AL607" t="s">
        <v>53</v>
      </c>
      <c r="AM607" t="s">
        <v>53</v>
      </c>
      <c r="AN607" t="s">
        <v>413</v>
      </c>
      <c r="AO607" t="s">
        <v>53</v>
      </c>
      <c r="AP607" t="s">
        <v>53</v>
      </c>
    </row>
    <row r="608" spans="2:42" x14ac:dyDescent="0.2">
      <c r="B608" t="s">
        <v>44</v>
      </c>
      <c r="C608" t="str">
        <f>HYPERLINK("https://us2.cloudbeds.com/connect/8493803454333002#/reservations/579398623396?display=DJKW8Q49&amp;reservation_id=579398623396", "DJKW8Q49")</f>
        <v>DJKW8Q49</v>
      </c>
      <c r="D608" t="s">
        <v>45</v>
      </c>
      <c r="E608" t="s">
        <v>78</v>
      </c>
      <c r="F608" t="s">
        <v>61</v>
      </c>
      <c r="G608" t="s">
        <v>48</v>
      </c>
      <c r="H608" t="s">
        <v>49</v>
      </c>
      <c r="I608" t="s">
        <v>114</v>
      </c>
      <c r="J608" t="s">
        <v>1258</v>
      </c>
      <c r="K608" t="s">
        <v>1259</v>
      </c>
      <c r="L608" t="s">
        <v>53</v>
      </c>
      <c r="N608" t="s">
        <v>1260</v>
      </c>
      <c r="P608" t="s">
        <v>58</v>
      </c>
      <c r="R608" t="s">
        <v>56</v>
      </c>
      <c r="T608" t="s">
        <v>1256</v>
      </c>
      <c r="U608" t="s">
        <v>58</v>
      </c>
      <c r="V608">
        <v>2</v>
      </c>
      <c r="W608">
        <v>1</v>
      </c>
      <c r="X608">
        <v>1</v>
      </c>
      <c r="Y608">
        <v>0</v>
      </c>
      <c r="Z608">
        <v>1</v>
      </c>
      <c r="AA608">
        <v>0</v>
      </c>
      <c r="AB608">
        <v>275.04000000000002</v>
      </c>
      <c r="AC608">
        <v>242</v>
      </c>
      <c r="AD608">
        <v>0</v>
      </c>
      <c r="AE608">
        <v>33.04</v>
      </c>
      <c r="AF608">
        <v>0</v>
      </c>
      <c r="AG608">
        <v>0</v>
      </c>
      <c r="AH608">
        <v>0</v>
      </c>
      <c r="AI608">
        <v>0</v>
      </c>
      <c r="AJ608">
        <v>275.04000000000002</v>
      </c>
      <c r="AK608">
        <v>0</v>
      </c>
      <c r="AL608" t="s">
        <v>53</v>
      </c>
      <c r="AM608" t="s">
        <v>53</v>
      </c>
      <c r="AN608" t="s">
        <v>1261</v>
      </c>
      <c r="AO608" t="s">
        <v>53</v>
      </c>
      <c r="AP608" t="s">
        <v>53</v>
      </c>
    </row>
    <row r="609" spans="2:42" x14ac:dyDescent="0.2">
      <c r="B609" t="s">
        <v>44</v>
      </c>
      <c r="C609" t="str">
        <f>HYPERLINK("https://us2.cloudbeds.com/connect/8493803454333002#/reservations/598001045643?display=E11AAK7B&amp;reservation_id=598001045643", "E11AAK7B")</f>
        <v>E11AAK7B</v>
      </c>
      <c r="D609" t="s">
        <v>45</v>
      </c>
      <c r="E609" t="s">
        <v>223</v>
      </c>
      <c r="F609" t="s">
        <v>47</v>
      </c>
      <c r="G609" t="s">
        <v>48</v>
      </c>
      <c r="H609" t="s">
        <v>71</v>
      </c>
      <c r="I609" t="s">
        <v>72</v>
      </c>
      <c r="J609" t="s">
        <v>850</v>
      </c>
      <c r="K609" t="s">
        <v>844</v>
      </c>
      <c r="L609" t="s">
        <v>53</v>
      </c>
      <c r="N609" t="s">
        <v>1262</v>
      </c>
      <c r="P609" t="s">
        <v>55</v>
      </c>
      <c r="R609" t="s">
        <v>56</v>
      </c>
      <c r="T609" t="s">
        <v>1256</v>
      </c>
      <c r="U609" t="s">
        <v>58</v>
      </c>
      <c r="V609">
        <v>1</v>
      </c>
      <c r="W609">
        <v>1</v>
      </c>
      <c r="X609">
        <v>1</v>
      </c>
      <c r="Y609">
        <v>0</v>
      </c>
      <c r="Z609">
        <v>1</v>
      </c>
      <c r="AA609">
        <v>0</v>
      </c>
      <c r="AB609">
        <v>85.24</v>
      </c>
      <c r="AC609">
        <v>75</v>
      </c>
      <c r="AD609">
        <v>0</v>
      </c>
      <c r="AE609">
        <v>10.25</v>
      </c>
      <c r="AF609">
        <v>0</v>
      </c>
      <c r="AG609">
        <v>0</v>
      </c>
      <c r="AH609">
        <v>0</v>
      </c>
      <c r="AI609">
        <v>0</v>
      </c>
      <c r="AJ609">
        <v>85.25</v>
      </c>
      <c r="AK609">
        <v>0.01</v>
      </c>
      <c r="AL609" t="s">
        <v>53</v>
      </c>
      <c r="AM609" t="s">
        <v>53</v>
      </c>
      <c r="AN609" t="s">
        <v>378</v>
      </c>
      <c r="AO609" t="s">
        <v>53</v>
      </c>
      <c r="AP609" t="s">
        <v>53</v>
      </c>
    </row>
    <row r="610" spans="2:42" x14ac:dyDescent="0.2">
      <c r="B610" t="s">
        <v>44</v>
      </c>
      <c r="C610" t="str">
        <f>HYPERLINK("https://us2.cloudbeds.com/connect/8493803454333002#/reservations/598479438027?display=E1DHNJB8&amp;reservation_id=598479438027", "E1DHNJB8")</f>
        <v>E1DHNJB8</v>
      </c>
      <c r="D610" t="s">
        <v>45</v>
      </c>
      <c r="E610" t="s">
        <v>373</v>
      </c>
      <c r="F610" t="s">
        <v>47</v>
      </c>
      <c r="G610" t="s">
        <v>48</v>
      </c>
      <c r="H610" t="s">
        <v>71</v>
      </c>
      <c r="I610" t="s">
        <v>72</v>
      </c>
      <c r="J610" t="s">
        <v>850</v>
      </c>
      <c r="K610" t="s">
        <v>844</v>
      </c>
      <c r="L610" t="s">
        <v>53</v>
      </c>
      <c r="N610" t="s">
        <v>1263</v>
      </c>
      <c r="P610" t="s">
        <v>58</v>
      </c>
      <c r="R610" t="s">
        <v>56</v>
      </c>
      <c r="T610" t="s">
        <v>1256</v>
      </c>
      <c r="U610" t="s">
        <v>58</v>
      </c>
      <c r="V610">
        <v>1</v>
      </c>
      <c r="W610">
        <v>1</v>
      </c>
      <c r="X610">
        <v>1</v>
      </c>
      <c r="Y610">
        <v>0</v>
      </c>
      <c r="Z610">
        <v>1</v>
      </c>
      <c r="AA610">
        <v>0</v>
      </c>
      <c r="AB610">
        <v>85.24</v>
      </c>
      <c r="AC610">
        <v>75</v>
      </c>
      <c r="AD610">
        <v>0</v>
      </c>
      <c r="AE610">
        <v>10.25</v>
      </c>
      <c r="AF610">
        <v>0</v>
      </c>
      <c r="AG610">
        <v>0</v>
      </c>
      <c r="AH610">
        <v>0</v>
      </c>
      <c r="AI610">
        <v>0</v>
      </c>
      <c r="AJ610">
        <v>85.25</v>
      </c>
      <c r="AK610">
        <v>0.01</v>
      </c>
      <c r="AL610" t="s">
        <v>53</v>
      </c>
      <c r="AM610" t="s">
        <v>53</v>
      </c>
      <c r="AN610" t="s">
        <v>378</v>
      </c>
      <c r="AO610" t="s">
        <v>53</v>
      </c>
      <c r="AP610" t="s">
        <v>53</v>
      </c>
    </row>
    <row r="611" spans="2:42" x14ac:dyDescent="0.2">
      <c r="B611" t="s">
        <v>44</v>
      </c>
      <c r="C611" t="str">
        <f>HYPERLINK("https://us2.cloudbeds.com/connect/8493803454333002#/reservations/579391680726?display=DJKQDJSB&amp;reservation_id=579391680726", "DJKQDJSB")</f>
        <v>DJKQDJSB</v>
      </c>
      <c r="D611" t="s">
        <v>45</v>
      </c>
      <c r="E611" t="s">
        <v>487</v>
      </c>
      <c r="F611" t="s">
        <v>61</v>
      </c>
      <c r="G611" t="s">
        <v>48</v>
      </c>
      <c r="H611" t="s">
        <v>49</v>
      </c>
      <c r="I611" t="s">
        <v>114</v>
      </c>
      <c r="J611" t="s">
        <v>1258</v>
      </c>
      <c r="K611" t="s">
        <v>1259</v>
      </c>
      <c r="L611" t="s">
        <v>53</v>
      </c>
      <c r="N611" t="s">
        <v>1264</v>
      </c>
      <c r="P611" t="s">
        <v>58</v>
      </c>
      <c r="R611" t="s">
        <v>56</v>
      </c>
      <c r="T611" t="s">
        <v>1256</v>
      </c>
      <c r="U611" t="s">
        <v>58</v>
      </c>
      <c r="V611">
        <v>2</v>
      </c>
      <c r="W611">
        <v>1</v>
      </c>
      <c r="X611">
        <v>1</v>
      </c>
      <c r="Y611">
        <v>0</v>
      </c>
      <c r="Z611">
        <v>1</v>
      </c>
      <c r="AA611">
        <v>0</v>
      </c>
      <c r="AB611">
        <v>275.04000000000002</v>
      </c>
      <c r="AC611">
        <v>242</v>
      </c>
      <c r="AD611">
        <v>0</v>
      </c>
      <c r="AE611">
        <v>33.04</v>
      </c>
      <c r="AF611">
        <v>0</v>
      </c>
      <c r="AG611">
        <v>0</v>
      </c>
      <c r="AH611">
        <v>0</v>
      </c>
      <c r="AI611">
        <v>0</v>
      </c>
      <c r="AJ611">
        <v>275.04000000000002</v>
      </c>
      <c r="AK611">
        <v>0</v>
      </c>
      <c r="AL611" t="s">
        <v>53</v>
      </c>
      <c r="AM611" t="s">
        <v>53</v>
      </c>
      <c r="AN611" t="s">
        <v>1265</v>
      </c>
      <c r="AO611" t="s">
        <v>53</v>
      </c>
      <c r="AP611" t="s">
        <v>53</v>
      </c>
    </row>
    <row r="612" spans="2:42" x14ac:dyDescent="0.2">
      <c r="B612" t="s">
        <v>44</v>
      </c>
      <c r="C612" t="str">
        <f>HYPERLINK("https://us2.cloudbeds.com/connect/8493803454333002#/reservations/598296465600?display=E18SDWT0&amp;reservation_id=598296465600", "E18SDWT0")</f>
        <v>E18SDWT0</v>
      </c>
      <c r="D612" t="s">
        <v>45</v>
      </c>
      <c r="E612" t="s">
        <v>121</v>
      </c>
      <c r="F612" t="s">
        <v>86</v>
      </c>
      <c r="G612" t="s">
        <v>48</v>
      </c>
      <c r="H612" t="s">
        <v>71</v>
      </c>
      <c r="I612" t="s">
        <v>72</v>
      </c>
      <c r="J612" t="s">
        <v>455</v>
      </c>
      <c r="K612" t="s">
        <v>560</v>
      </c>
      <c r="L612" t="s">
        <v>53</v>
      </c>
      <c r="N612" t="s">
        <v>1266</v>
      </c>
      <c r="P612" t="s">
        <v>58</v>
      </c>
      <c r="R612" t="s">
        <v>513</v>
      </c>
      <c r="T612" t="s">
        <v>1256</v>
      </c>
      <c r="U612" t="s">
        <v>58</v>
      </c>
      <c r="V612">
        <v>1</v>
      </c>
      <c r="W612">
        <v>1</v>
      </c>
      <c r="X612">
        <v>1</v>
      </c>
      <c r="Y612">
        <v>0</v>
      </c>
      <c r="Z612">
        <v>1</v>
      </c>
      <c r="AA612">
        <v>0</v>
      </c>
      <c r="AB612">
        <v>120.47</v>
      </c>
      <c r="AC612">
        <v>106</v>
      </c>
      <c r="AD612">
        <v>0</v>
      </c>
      <c r="AE612">
        <v>14.47</v>
      </c>
      <c r="AF612">
        <v>0</v>
      </c>
      <c r="AG612">
        <v>0</v>
      </c>
      <c r="AH612">
        <v>0</v>
      </c>
      <c r="AI612">
        <v>0</v>
      </c>
      <c r="AJ612">
        <v>120.47</v>
      </c>
      <c r="AK612">
        <v>0</v>
      </c>
      <c r="AL612" t="s">
        <v>53</v>
      </c>
      <c r="AM612" t="s">
        <v>53</v>
      </c>
      <c r="AN612" t="s">
        <v>1267</v>
      </c>
      <c r="AO612" t="s">
        <v>53</v>
      </c>
      <c r="AP612" t="s">
        <v>53</v>
      </c>
    </row>
    <row r="613" spans="2:42" x14ac:dyDescent="0.2">
      <c r="B613" t="s">
        <v>44</v>
      </c>
      <c r="C613" t="str">
        <f>HYPERLINK("https://us2.cloudbeds.com/connect/8493803454333002#/reservations/598495948983?display=E1DVY0U8&amp;reservation_id=598495948983", "E1DVY0U8")</f>
        <v>E1DVY0U8</v>
      </c>
      <c r="D613" t="s">
        <v>45</v>
      </c>
      <c r="E613" t="s">
        <v>179</v>
      </c>
      <c r="F613" t="s">
        <v>47</v>
      </c>
      <c r="G613" t="s">
        <v>48</v>
      </c>
      <c r="H613" t="s">
        <v>71</v>
      </c>
      <c r="I613" t="s">
        <v>72</v>
      </c>
      <c r="J613" t="s">
        <v>850</v>
      </c>
      <c r="K613" t="s">
        <v>844</v>
      </c>
      <c r="L613" t="s">
        <v>53</v>
      </c>
      <c r="N613" t="s">
        <v>1268</v>
      </c>
      <c r="P613" t="s">
        <v>55</v>
      </c>
      <c r="R613" t="s">
        <v>56</v>
      </c>
      <c r="T613" t="s">
        <v>1256</v>
      </c>
      <c r="U613" t="s">
        <v>58</v>
      </c>
      <c r="V613">
        <v>1</v>
      </c>
      <c r="W613">
        <v>1</v>
      </c>
      <c r="X613">
        <v>1</v>
      </c>
      <c r="Y613">
        <v>0</v>
      </c>
      <c r="Z613">
        <v>1</v>
      </c>
      <c r="AA613">
        <v>0</v>
      </c>
      <c r="AB613">
        <v>85.24</v>
      </c>
      <c r="AC613">
        <v>75</v>
      </c>
      <c r="AD613">
        <v>0</v>
      </c>
      <c r="AE613">
        <v>10.25</v>
      </c>
      <c r="AF613">
        <v>0</v>
      </c>
      <c r="AG613">
        <v>0</v>
      </c>
      <c r="AH613">
        <v>0</v>
      </c>
      <c r="AI613">
        <v>0</v>
      </c>
      <c r="AJ613">
        <v>85.25</v>
      </c>
      <c r="AK613">
        <v>0.01</v>
      </c>
      <c r="AL613" t="s">
        <v>53</v>
      </c>
      <c r="AM613" t="s">
        <v>53</v>
      </c>
      <c r="AN613" t="s">
        <v>378</v>
      </c>
      <c r="AO613" t="s">
        <v>53</v>
      </c>
      <c r="AP613" t="s">
        <v>53</v>
      </c>
    </row>
    <row r="614" spans="2:42" x14ac:dyDescent="0.2">
      <c r="B614" t="s">
        <v>44</v>
      </c>
      <c r="C614" t="str">
        <f>HYPERLINK("https://us2.cloudbeds.com/connect/8493803454333002#/reservations/598589632702?display=E1GBKU6R&amp;reservation_id=598589632702", "E1GBKU6R")</f>
        <v>E1GBKU6R</v>
      </c>
      <c r="D614" t="s">
        <v>45</v>
      </c>
      <c r="E614" t="s">
        <v>85</v>
      </c>
      <c r="F614" t="s">
        <v>86</v>
      </c>
      <c r="G614" t="s">
        <v>48</v>
      </c>
      <c r="H614" t="s">
        <v>49</v>
      </c>
      <c r="I614" t="s">
        <v>50</v>
      </c>
      <c r="J614" t="s">
        <v>1269</v>
      </c>
      <c r="K614" t="s">
        <v>387</v>
      </c>
      <c r="L614" t="s">
        <v>53</v>
      </c>
      <c r="N614" t="s">
        <v>1270</v>
      </c>
      <c r="P614" t="s">
        <v>55</v>
      </c>
      <c r="R614" t="s">
        <v>56</v>
      </c>
      <c r="T614" t="s">
        <v>1256</v>
      </c>
      <c r="U614" t="s">
        <v>58</v>
      </c>
      <c r="V614">
        <v>1</v>
      </c>
      <c r="W614">
        <v>1</v>
      </c>
      <c r="X614">
        <v>1</v>
      </c>
      <c r="Y614">
        <v>0</v>
      </c>
      <c r="Z614">
        <v>1</v>
      </c>
      <c r="AA614">
        <v>0</v>
      </c>
      <c r="AB614">
        <v>173.88</v>
      </c>
      <c r="AC614">
        <v>153</v>
      </c>
      <c r="AD614">
        <v>0</v>
      </c>
      <c r="AE614">
        <v>20.89</v>
      </c>
      <c r="AF614">
        <v>0</v>
      </c>
      <c r="AG614">
        <v>0</v>
      </c>
      <c r="AH614">
        <v>0</v>
      </c>
      <c r="AI614">
        <v>31.3</v>
      </c>
      <c r="AJ614">
        <v>173.89</v>
      </c>
      <c r="AK614">
        <v>0.01</v>
      </c>
      <c r="AL614" t="s">
        <v>53</v>
      </c>
      <c r="AM614" t="s">
        <v>53</v>
      </c>
      <c r="AN614" t="s">
        <v>332</v>
      </c>
      <c r="AO614" t="s">
        <v>53</v>
      </c>
      <c r="AP614" t="s">
        <v>53</v>
      </c>
    </row>
    <row r="615" spans="2:42" x14ac:dyDescent="0.2">
      <c r="B615" t="s">
        <v>44</v>
      </c>
      <c r="C615" t="str">
        <f>HYPERLINK("https://us2.cloudbeds.com/connect/8493803454333002#/reservations/598515855590?display=E1EFDVKP&amp;reservation_id=598515855590", "E1EFDVKP")</f>
        <v>E1EFDVKP</v>
      </c>
      <c r="D615" t="s">
        <v>45</v>
      </c>
      <c r="E615" t="s">
        <v>85</v>
      </c>
      <c r="F615" t="s">
        <v>86</v>
      </c>
      <c r="G615" t="s">
        <v>48</v>
      </c>
      <c r="H615" t="s">
        <v>71</v>
      </c>
      <c r="I615" t="s">
        <v>72</v>
      </c>
      <c r="J615" t="s">
        <v>850</v>
      </c>
      <c r="K615" t="s">
        <v>115</v>
      </c>
      <c r="L615" t="s">
        <v>53</v>
      </c>
      <c r="N615" t="s">
        <v>1271</v>
      </c>
      <c r="P615" t="s">
        <v>55</v>
      </c>
      <c r="R615" t="s">
        <v>56</v>
      </c>
      <c r="T615" t="s">
        <v>1256</v>
      </c>
      <c r="U615" t="s">
        <v>58</v>
      </c>
      <c r="V615">
        <v>2</v>
      </c>
      <c r="W615">
        <v>1</v>
      </c>
      <c r="X615">
        <v>1</v>
      </c>
      <c r="Y615">
        <v>0</v>
      </c>
      <c r="Z615">
        <v>1</v>
      </c>
      <c r="AA615">
        <v>0</v>
      </c>
      <c r="AB615">
        <v>204.57</v>
      </c>
      <c r="AC615">
        <v>180</v>
      </c>
      <c r="AD615">
        <v>0</v>
      </c>
      <c r="AE615">
        <v>24.58</v>
      </c>
      <c r="AF615">
        <v>0</v>
      </c>
      <c r="AG615">
        <v>0</v>
      </c>
      <c r="AH615">
        <v>0</v>
      </c>
      <c r="AI615">
        <v>0</v>
      </c>
      <c r="AJ615">
        <v>204.58</v>
      </c>
      <c r="AK615">
        <v>0.01</v>
      </c>
      <c r="AL615" t="s">
        <v>53</v>
      </c>
      <c r="AM615" t="s">
        <v>53</v>
      </c>
      <c r="AN615" t="s">
        <v>378</v>
      </c>
      <c r="AO615" t="s">
        <v>53</v>
      </c>
      <c r="AP615" t="s">
        <v>53</v>
      </c>
    </row>
    <row r="616" spans="2:42" x14ac:dyDescent="0.2">
      <c r="B616" t="s">
        <v>44</v>
      </c>
      <c r="C616" t="str">
        <f>HYPERLINK("https://us2.cloudbeds.com/connect/8493803454333002#/reservations/598403195036?display=E1BJE0DJ&amp;reservation_id=598403195036", "E1BJE0DJ")</f>
        <v>E1BJE0DJ</v>
      </c>
      <c r="D616" t="s">
        <v>45</v>
      </c>
      <c r="E616" t="s">
        <v>78</v>
      </c>
      <c r="F616" t="s">
        <v>61</v>
      </c>
      <c r="G616" t="s">
        <v>48</v>
      </c>
      <c r="H616" t="s">
        <v>49</v>
      </c>
      <c r="I616" t="s">
        <v>79</v>
      </c>
      <c r="J616" t="s">
        <v>237</v>
      </c>
      <c r="K616" t="s">
        <v>525</v>
      </c>
      <c r="L616" t="s">
        <v>53</v>
      </c>
      <c r="N616" t="s">
        <v>1272</v>
      </c>
      <c r="P616" t="s">
        <v>55</v>
      </c>
      <c r="R616" t="s">
        <v>56</v>
      </c>
      <c r="T616" t="s">
        <v>1256</v>
      </c>
      <c r="U616" t="s">
        <v>58</v>
      </c>
      <c r="V616">
        <v>1</v>
      </c>
      <c r="W616">
        <v>1</v>
      </c>
      <c r="X616">
        <v>1</v>
      </c>
      <c r="Y616">
        <v>0</v>
      </c>
      <c r="Z616">
        <v>1</v>
      </c>
      <c r="AA616">
        <v>0</v>
      </c>
      <c r="AB616">
        <v>151.38</v>
      </c>
      <c r="AC616">
        <v>133.19999999999999</v>
      </c>
      <c r="AD616">
        <v>0</v>
      </c>
      <c r="AE616">
        <v>18.170000000000002</v>
      </c>
      <c r="AF616">
        <v>0</v>
      </c>
      <c r="AG616">
        <v>0</v>
      </c>
      <c r="AH616">
        <v>0</v>
      </c>
      <c r="AI616">
        <v>0</v>
      </c>
      <c r="AJ616">
        <v>151.37</v>
      </c>
      <c r="AK616">
        <v>-0.01</v>
      </c>
      <c r="AL616" t="s">
        <v>53</v>
      </c>
      <c r="AM616" t="s">
        <v>53</v>
      </c>
      <c r="AN616" t="s">
        <v>545</v>
      </c>
      <c r="AO616" t="s">
        <v>53</v>
      </c>
      <c r="AP616" t="s">
        <v>53</v>
      </c>
    </row>
    <row r="617" spans="2:42" x14ac:dyDescent="0.2">
      <c r="B617" t="s">
        <v>44</v>
      </c>
      <c r="C617" t="str">
        <f>HYPERLINK("https://us2.cloudbeds.com/connect/8493803454333002#/reservations/598299812012?display=E18V87GM&amp;reservation_id=598299812012", "E18V87GM")</f>
        <v>E18V87GM</v>
      </c>
      <c r="D617" t="s">
        <v>45</v>
      </c>
      <c r="E617" t="s">
        <v>92</v>
      </c>
      <c r="F617" t="s">
        <v>86</v>
      </c>
      <c r="G617" t="s">
        <v>48</v>
      </c>
      <c r="H617" t="s">
        <v>71</v>
      </c>
      <c r="I617" t="s">
        <v>72</v>
      </c>
      <c r="J617" t="s">
        <v>455</v>
      </c>
      <c r="K617" t="s">
        <v>560</v>
      </c>
      <c r="L617" t="s">
        <v>53</v>
      </c>
      <c r="N617" t="s">
        <v>1273</v>
      </c>
      <c r="P617" t="s">
        <v>58</v>
      </c>
      <c r="R617" t="s">
        <v>513</v>
      </c>
      <c r="T617" t="s">
        <v>1256</v>
      </c>
      <c r="U617" t="s">
        <v>58</v>
      </c>
      <c r="V617">
        <v>1</v>
      </c>
      <c r="W617">
        <v>1</v>
      </c>
      <c r="X617">
        <v>1</v>
      </c>
      <c r="Y617">
        <v>0</v>
      </c>
      <c r="Z617">
        <v>1</v>
      </c>
      <c r="AA617">
        <v>0</v>
      </c>
      <c r="AB617">
        <v>120.47</v>
      </c>
      <c r="AC617">
        <v>106</v>
      </c>
      <c r="AD617">
        <v>0</v>
      </c>
      <c r="AE617">
        <v>14.47</v>
      </c>
      <c r="AF617">
        <v>0</v>
      </c>
      <c r="AG617">
        <v>0</v>
      </c>
      <c r="AH617">
        <v>0</v>
      </c>
      <c r="AI617">
        <v>0</v>
      </c>
      <c r="AJ617">
        <v>120.47</v>
      </c>
      <c r="AK617">
        <v>0</v>
      </c>
      <c r="AL617" t="s">
        <v>53</v>
      </c>
      <c r="AM617" t="s">
        <v>53</v>
      </c>
      <c r="AN617" t="s">
        <v>1274</v>
      </c>
      <c r="AO617" t="s">
        <v>53</v>
      </c>
      <c r="AP617" t="s">
        <v>53</v>
      </c>
    </row>
    <row r="618" spans="2:42" x14ac:dyDescent="0.2">
      <c r="B618" t="s">
        <v>44</v>
      </c>
      <c r="C618" t="str">
        <f>HYPERLINK("https://us2.cloudbeds.com/connect/8493803454333002#/reservations/579395809494?display=DJKTTG6H&amp;reservation_id=579395809494", "DJKTTG6H")</f>
        <v>DJKTTG6H</v>
      </c>
      <c r="D618" t="s">
        <v>45</v>
      </c>
      <c r="E618" t="s">
        <v>113</v>
      </c>
      <c r="F618" t="s">
        <v>61</v>
      </c>
      <c r="G618" t="s">
        <v>48</v>
      </c>
      <c r="H618" t="s">
        <v>49</v>
      </c>
      <c r="I618" t="s">
        <v>114</v>
      </c>
      <c r="J618" t="s">
        <v>1258</v>
      </c>
      <c r="K618" t="s">
        <v>1259</v>
      </c>
      <c r="L618" t="s">
        <v>53</v>
      </c>
      <c r="N618" t="s">
        <v>1275</v>
      </c>
      <c r="P618" t="s">
        <v>58</v>
      </c>
      <c r="R618" t="s">
        <v>56</v>
      </c>
      <c r="T618" t="s">
        <v>1256</v>
      </c>
      <c r="U618" t="s">
        <v>58</v>
      </c>
      <c r="V618">
        <v>2</v>
      </c>
      <c r="W618">
        <v>1</v>
      </c>
      <c r="X618">
        <v>1</v>
      </c>
      <c r="Y618">
        <v>0</v>
      </c>
      <c r="Z618">
        <v>1</v>
      </c>
      <c r="AA618">
        <v>0</v>
      </c>
      <c r="AB618">
        <v>275.04000000000002</v>
      </c>
      <c r="AC618">
        <v>242</v>
      </c>
      <c r="AD618">
        <v>0</v>
      </c>
      <c r="AE618">
        <v>33.04</v>
      </c>
      <c r="AF618">
        <v>0</v>
      </c>
      <c r="AG618">
        <v>0</v>
      </c>
      <c r="AH618">
        <v>0</v>
      </c>
      <c r="AI618">
        <v>0</v>
      </c>
      <c r="AJ618">
        <v>275.04000000000002</v>
      </c>
      <c r="AK618">
        <v>0</v>
      </c>
      <c r="AL618" t="s">
        <v>53</v>
      </c>
      <c r="AM618" t="s">
        <v>53</v>
      </c>
      <c r="AN618" t="s">
        <v>1276</v>
      </c>
      <c r="AO618" t="s">
        <v>53</v>
      </c>
      <c r="AP618" t="s">
        <v>53</v>
      </c>
    </row>
    <row r="619" spans="2:42" x14ac:dyDescent="0.2">
      <c r="B619" t="s">
        <v>44</v>
      </c>
      <c r="C619" t="str">
        <f>HYPERLINK("https://us2.cloudbeds.com/connect/8493803454333002#/reservations/598468473003?display=E1D8FFEQ&amp;reservation_id=598468473003", "E1D8FFEQ")</f>
        <v>E1D8FFEQ</v>
      </c>
      <c r="D619" t="s">
        <v>45</v>
      </c>
      <c r="E619" t="s">
        <v>121</v>
      </c>
      <c r="F619" t="s">
        <v>86</v>
      </c>
      <c r="G619" t="s">
        <v>48</v>
      </c>
      <c r="H619" t="s">
        <v>49</v>
      </c>
      <c r="I619" t="s">
        <v>62</v>
      </c>
      <c r="J619" t="s">
        <v>447</v>
      </c>
      <c r="K619" t="s">
        <v>988</v>
      </c>
      <c r="L619" t="s">
        <v>53</v>
      </c>
      <c r="N619" t="s">
        <v>1277</v>
      </c>
      <c r="P619" t="s">
        <v>55</v>
      </c>
      <c r="R619" t="s">
        <v>1278</v>
      </c>
      <c r="T619" t="s">
        <v>1256</v>
      </c>
      <c r="U619" t="s">
        <v>58</v>
      </c>
      <c r="V619">
        <v>2</v>
      </c>
      <c r="W619">
        <v>1</v>
      </c>
      <c r="X619">
        <v>1</v>
      </c>
      <c r="Y619">
        <v>0</v>
      </c>
      <c r="Z619">
        <v>1</v>
      </c>
      <c r="AA619">
        <v>0</v>
      </c>
      <c r="AB619">
        <v>359.13</v>
      </c>
      <c r="AC619">
        <v>316</v>
      </c>
      <c r="AD619">
        <v>0</v>
      </c>
      <c r="AE619">
        <v>43.14</v>
      </c>
      <c r="AF619">
        <v>0</v>
      </c>
      <c r="AG619">
        <v>0</v>
      </c>
      <c r="AH619">
        <v>0</v>
      </c>
      <c r="AI619">
        <v>53.87</v>
      </c>
      <c r="AJ619">
        <v>359.14</v>
      </c>
      <c r="AK619">
        <v>0.01</v>
      </c>
      <c r="AL619" t="s">
        <v>53</v>
      </c>
      <c r="AM619" t="s">
        <v>53</v>
      </c>
      <c r="AN619" t="s">
        <v>332</v>
      </c>
      <c r="AO619" t="s">
        <v>53</v>
      </c>
      <c r="AP619" t="s">
        <v>53</v>
      </c>
    </row>
    <row r="620" spans="2:42" x14ac:dyDescent="0.2">
      <c r="B620" t="s">
        <v>44</v>
      </c>
      <c r="C620" t="str">
        <f>HYPERLINK("https://us2.cloudbeds.com/connect/8493803454333002#/reservations/598350327950?display=E1A7RTVY&amp;reservation_id=598350327950", "E1A7RTVY")</f>
        <v>E1A7RTVY</v>
      </c>
      <c r="D620" t="s">
        <v>45</v>
      </c>
      <c r="E620" t="s">
        <v>155</v>
      </c>
      <c r="F620" t="s">
        <v>86</v>
      </c>
      <c r="G620" t="s">
        <v>48</v>
      </c>
      <c r="H620" t="s">
        <v>71</v>
      </c>
      <c r="I620" t="s">
        <v>72</v>
      </c>
      <c r="J620" t="s">
        <v>850</v>
      </c>
      <c r="K620" t="s">
        <v>844</v>
      </c>
      <c r="L620" t="s">
        <v>53</v>
      </c>
      <c r="N620" t="s">
        <v>1279</v>
      </c>
      <c r="P620" t="s">
        <v>55</v>
      </c>
      <c r="R620" t="s">
        <v>56</v>
      </c>
      <c r="T620" t="s">
        <v>1256</v>
      </c>
      <c r="U620" t="s">
        <v>58</v>
      </c>
      <c r="V620">
        <v>1</v>
      </c>
      <c r="W620">
        <v>1</v>
      </c>
      <c r="X620">
        <v>1</v>
      </c>
      <c r="Y620">
        <v>0</v>
      </c>
      <c r="Z620">
        <v>1</v>
      </c>
      <c r="AA620">
        <v>0</v>
      </c>
      <c r="AB620">
        <v>102.29</v>
      </c>
      <c r="AC620">
        <v>90</v>
      </c>
      <c r="AD620">
        <v>0</v>
      </c>
      <c r="AE620">
        <v>12.29</v>
      </c>
      <c r="AF620">
        <v>0</v>
      </c>
      <c r="AG620">
        <v>0</v>
      </c>
      <c r="AH620">
        <v>0</v>
      </c>
      <c r="AI620">
        <v>0</v>
      </c>
      <c r="AJ620">
        <v>102.29</v>
      </c>
      <c r="AK620">
        <v>0</v>
      </c>
      <c r="AL620" t="s">
        <v>53</v>
      </c>
      <c r="AM620" t="s">
        <v>53</v>
      </c>
      <c r="AN620" t="s">
        <v>1280</v>
      </c>
      <c r="AO620" t="s">
        <v>53</v>
      </c>
      <c r="AP620" t="s">
        <v>53</v>
      </c>
    </row>
    <row r="621" spans="2:42" x14ac:dyDescent="0.2">
      <c r="B621" t="s">
        <v>44</v>
      </c>
      <c r="C621" t="str">
        <f>HYPERLINK("https://us2.cloudbeds.com/connect/8493803454333002#/reservations/598573219990?display=E1FUQ6RU&amp;reservation_id=598573219990", "E1FUQ6RU")</f>
        <v>E1FUQ6RU</v>
      </c>
      <c r="D621" t="s">
        <v>45</v>
      </c>
      <c r="E621" t="s">
        <v>110</v>
      </c>
      <c r="F621" t="s">
        <v>47</v>
      </c>
      <c r="G621" t="s">
        <v>48</v>
      </c>
      <c r="H621" t="s">
        <v>49</v>
      </c>
      <c r="I621" t="s">
        <v>79</v>
      </c>
      <c r="J621" t="s">
        <v>426</v>
      </c>
      <c r="K621" t="s">
        <v>87</v>
      </c>
      <c r="L621" t="s">
        <v>53</v>
      </c>
      <c r="N621" t="s">
        <v>1281</v>
      </c>
      <c r="P621" t="s">
        <v>55</v>
      </c>
      <c r="R621" t="s">
        <v>56</v>
      </c>
      <c r="T621" t="s">
        <v>1256</v>
      </c>
      <c r="U621" t="s">
        <v>58</v>
      </c>
      <c r="V621">
        <v>2</v>
      </c>
      <c r="W621">
        <v>1</v>
      </c>
      <c r="X621">
        <v>1</v>
      </c>
      <c r="Y621">
        <v>0</v>
      </c>
      <c r="Z621">
        <v>1</v>
      </c>
      <c r="AA621">
        <v>0</v>
      </c>
      <c r="AB621">
        <v>317.08</v>
      </c>
      <c r="AC621">
        <v>279</v>
      </c>
      <c r="AD621">
        <v>0</v>
      </c>
      <c r="AE621">
        <v>38.08</v>
      </c>
      <c r="AF621">
        <v>0</v>
      </c>
      <c r="AG621">
        <v>0</v>
      </c>
      <c r="AH621">
        <v>0</v>
      </c>
      <c r="AI621">
        <v>0</v>
      </c>
      <c r="AJ621">
        <v>317.08</v>
      </c>
      <c r="AK621">
        <v>0</v>
      </c>
      <c r="AL621" t="s">
        <v>53</v>
      </c>
      <c r="AM621" t="s">
        <v>53</v>
      </c>
      <c r="AN621" t="s">
        <v>280</v>
      </c>
      <c r="AO621" t="s">
        <v>53</v>
      </c>
      <c r="AP621" t="s">
        <v>53</v>
      </c>
    </row>
    <row r="622" spans="2:42" x14ac:dyDescent="0.2">
      <c r="B622" t="s">
        <v>44</v>
      </c>
      <c r="C622" t="str">
        <f>HYPERLINK("https://us2.cloudbeds.com/connect/8493803454333002#/reservations/579391676643?display=DJKQDG3K&amp;reservation_id=579391676643", "DJKQDG3K")</f>
        <v>DJKQDG3K</v>
      </c>
      <c r="D622" t="s">
        <v>45</v>
      </c>
      <c r="E622" t="s">
        <v>406</v>
      </c>
      <c r="F622" t="s">
        <v>61</v>
      </c>
      <c r="G622" t="s">
        <v>48</v>
      </c>
      <c r="H622" t="s">
        <v>49</v>
      </c>
      <c r="I622" t="s">
        <v>114</v>
      </c>
      <c r="J622" t="s">
        <v>1258</v>
      </c>
      <c r="K622" t="s">
        <v>1259</v>
      </c>
      <c r="L622" t="s">
        <v>53</v>
      </c>
      <c r="N622" t="s">
        <v>1282</v>
      </c>
      <c r="P622" t="s">
        <v>58</v>
      </c>
      <c r="R622" t="s">
        <v>56</v>
      </c>
      <c r="T622" t="s">
        <v>1256</v>
      </c>
      <c r="U622" t="s">
        <v>58</v>
      </c>
      <c r="V622">
        <v>2</v>
      </c>
      <c r="W622">
        <v>1</v>
      </c>
      <c r="X622">
        <v>1</v>
      </c>
      <c r="Y622">
        <v>0</v>
      </c>
      <c r="Z622">
        <v>1</v>
      </c>
      <c r="AA622">
        <v>0</v>
      </c>
      <c r="AB622">
        <v>275.04000000000002</v>
      </c>
      <c r="AC622">
        <v>242</v>
      </c>
      <c r="AD622">
        <v>0</v>
      </c>
      <c r="AE622">
        <v>33.04</v>
      </c>
      <c r="AF622">
        <v>0</v>
      </c>
      <c r="AG622">
        <v>0</v>
      </c>
      <c r="AH622">
        <v>0</v>
      </c>
      <c r="AI622">
        <v>0</v>
      </c>
      <c r="AJ622">
        <v>275.04000000000002</v>
      </c>
      <c r="AK622">
        <v>0</v>
      </c>
      <c r="AL622" t="s">
        <v>53</v>
      </c>
      <c r="AM622" t="s">
        <v>53</v>
      </c>
      <c r="AN622" t="s">
        <v>1283</v>
      </c>
      <c r="AO622" t="s">
        <v>53</v>
      </c>
      <c r="AP622" t="s">
        <v>53</v>
      </c>
    </row>
    <row r="623" spans="2:42" x14ac:dyDescent="0.2">
      <c r="B623" t="s">
        <v>44</v>
      </c>
      <c r="C623" t="str">
        <f>HYPERLINK("https://us2.cloudbeds.com/connect/8493803454333002#/reservations/579393351814?display=DJKRR3CC&amp;reservation_id=579393351814", "DJKRR3CC")</f>
        <v>DJKRR3CC</v>
      </c>
      <c r="D623" t="s">
        <v>45</v>
      </c>
      <c r="E623" t="s">
        <v>381</v>
      </c>
      <c r="F623" t="s">
        <v>47</v>
      </c>
      <c r="G623" t="s">
        <v>48</v>
      </c>
      <c r="H623" t="s">
        <v>49</v>
      </c>
      <c r="I623" t="s">
        <v>114</v>
      </c>
      <c r="J623" t="s">
        <v>1258</v>
      </c>
      <c r="K623" t="s">
        <v>1259</v>
      </c>
      <c r="L623" t="s">
        <v>53</v>
      </c>
      <c r="N623" t="s">
        <v>1284</v>
      </c>
      <c r="P623" t="s">
        <v>58</v>
      </c>
      <c r="R623" t="s">
        <v>56</v>
      </c>
      <c r="T623" t="s">
        <v>1256</v>
      </c>
      <c r="U623" t="s">
        <v>58</v>
      </c>
      <c r="V623">
        <v>2</v>
      </c>
      <c r="W623">
        <v>1</v>
      </c>
      <c r="X623">
        <v>1</v>
      </c>
      <c r="Y623">
        <v>0</v>
      </c>
      <c r="Z623">
        <v>1</v>
      </c>
      <c r="AA623">
        <v>0</v>
      </c>
      <c r="AB623">
        <v>275.04000000000002</v>
      </c>
      <c r="AC623">
        <v>242</v>
      </c>
      <c r="AD623">
        <v>0</v>
      </c>
      <c r="AE623">
        <v>33.04</v>
      </c>
      <c r="AF623">
        <v>0</v>
      </c>
      <c r="AG623">
        <v>0</v>
      </c>
      <c r="AH623">
        <v>0</v>
      </c>
      <c r="AI623">
        <v>0</v>
      </c>
      <c r="AJ623">
        <v>275.04000000000002</v>
      </c>
      <c r="AK623">
        <v>0</v>
      </c>
      <c r="AL623" t="s">
        <v>53</v>
      </c>
      <c r="AM623" t="s">
        <v>53</v>
      </c>
      <c r="AN623" t="s">
        <v>1285</v>
      </c>
      <c r="AO623" t="s">
        <v>53</v>
      </c>
      <c r="AP623" t="s">
        <v>53</v>
      </c>
    </row>
    <row r="624" spans="2:42" x14ac:dyDescent="0.2">
      <c r="B624" t="s">
        <v>44</v>
      </c>
      <c r="C624" t="str">
        <f>HYPERLINK("https://us2.cloudbeds.com/connect/8493803454333002#/reservations/579395805412?display=DJKTTCER&amp;reservation_id=579395805412", "DJKTTCER")</f>
        <v>DJKTTCER</v>
      </c>
      <c r="D624" t="s">
        <v>45</v>
      </c>
      <c r="E624" t="s">
        <v>165</v>
      </c>
      <c r="F624" t="s">
        <v>61</v>
      </c>
      <c r="G624" t="s">
        <v>48</v>
      </c>
      <c r="H624" t="s">
        <v>49</v>
      </c>
      <c r="I624" t="s">
        <v>114</v>
      </c>
      <c r="J624" t="s">
        <v>1258</v>
      </c>
      <c r="K624" t="s">
        <v>1259</v>
      </c>
      <c r="L624" t="s">
        <v>53</v>
      </c>
      <c r="N624" t="s">
        <v>1286</v>
      </c>
      <c r="P624" t="s">
        <v>58</v>
      </c>
      <c r="R624" t="s">
        <v>56</v>
      </c>
      <c r="T624" t="s">
        <v>1256</v>
      </c>
      <c r="U624" t="s">
        <v>58</v>
      </c>
      <c r="V624">
        <v>2</v>
      </c>
      <c r="W624">
        <v>1</v>
      </c>
      <c r="X624">
        <v>1</v>
      </c>
      <c r="Y624">
        <v>0</v>
      </c>
      <c r="Z624">
        <v>1</v>
      </c>
      <c r="AA624">
        <v>0</v>
      </c>
      <c r="AB624">
        <v>275.04000000000002</v>
      </c>
      <c r="AC624">
        <v>242</v>
      </c>
      <c r="AD624">
        <v>0</v>
      </c>
      <c r="AE624">
        <v>33.04</v>
      </c>
      <c r="AF624">
        <v>0</v>
      </c>
      <c r="AG624">
        <v>0</v>
      </c>
      <c r="AH624">
        <v>0</v>
      </c>
      <c r="AI624">
        <v>0</v>
      </c>
      <c r="AJ624">
        <v>275.04000000000002</v>
      </c>
      <c r="AK624">
        <v>0</v>
      </c>
      <c r="AL624" t="s">
        <v>53</v>
      </c>
      <c r="AM624" t="s">
        <v>53</v>
      </c>
      <c r="AN624" t="s">
        <v>1287</v>
      </c>
      <c r="AO624" t="s">
        <v>53</v>
      </c>
      <c r="AP624" t="s">
        <v>53</v>
      </c>
    </row>
    <row r="625" spans="2:42" x14ac:dyDescent="0.2">
      <c r="B625" t="s">
        <v>44</v>
      </c>
      <c r="C625" t="str">
        <f>HYPERLINK("https://us2.cloudbeds.com/connect/8493803454333002#/reservations/579395313865?display=DJKTFN2E&amp;reservation_id=579395313865", "DJKTFN2E")</f>
        <v>DJKTFN2E</v>
      </c>
      <c r="D625" t="s">
        <v>45</v>
      </c>
      <c r="E625" t="s">
        <v>305</v>
      </c>
      <c r="F625" t="s">
        <v>61</v>
      </c>
      <c r="G625" t="s">
        <v>48</v>
      </c>
      <c r="H625" t="s">
        <v>49</v>
      </c>
      <c r="I625" t="s">
        <v>114</v>
      </c>
      <c r="J625" t="s">
        <v>1258</v>
      </c>
      <c r="K625" t="s">
        <v>1259</v>
      </c>
      <c r="L625" t="s">
        <v>53</v>
      </c>
      <c r="N625" t="s">
        <v>1288</v>
      </c>
      <c r="P625" t="s">
        <v>58</v>
      </c>
      <c r="R625" t="s">
        <v>56</v>
      </c>
      <c r="T625" t="s">
        <v>1256</v>
      </c>
      <c r="U625" t="s">
        <v>58</v>
      </c>
      <c r="V625">
        <v>2</v>
      </c>
      <c r="W625">
        <v>1</v>
      </c>
      <c r="X625">
        <v>1</v>
      </c>
      <c r="Y625">
        <v>0</v>
      </c>
      <c r="Z625">
        <v>1</v>
      </c>
      <c r="AA625">
        <v>0</v>
      </c>
      <c r="AB625">
        <v>275.04000000000002</v>
      </c>
      <c r="AC625">
        <v>242</v>
      </c>
      <c r="AD625">
        <v>0</v>
      </c>
      <c r="AE625">
        <v>33.04</v>
      </c>
      <c r="AF625">
        <v>0</v>
      </c>
      <c r="AG625">
        <v>0</v>
      </c>
      <c r="AH625">
        <v>0</v>
      </c>
      <c r="AI625">
        <v>0</v>
      </c>
      <c r="AJ625">
        <v>275.04000000000002</v>
      </c>
      <c r="AK625">
        <v>0</v>
      </c>
      <c r="AL625" t="s">
        <v>53</v>
      </c>
      <c r="AM625" t="s">
        <v>53</v>
      </c>
      <c r="AN625" t="s">
        <v>1289</v>
      </c>
      <c r="AO625" t="s">
        <v>53</v>
      </c>
      <c r="AP625" t="s">
        <v>53</v>
      </c>
    </row>
    <row r="626" spans="2:42" x14ac:dyDescent="0.2">
      <c r="B626" t="s">
        <v>44</v>
      </c>
      <c r="C626" t="str">
        <f>HYPERLINK("https://us2.cloudbeds.com/connect/8493803454333002#/reservations/598094581910?display=E13N6D3M&amp;reservation_id=598094581910", "E13N6D3M")</f>
        <v>E13N6D3M</v>
      </c>
      <c r="D626" t="s">
        <v>45</v>
      </c>
      <c r="E626" t="s">
        <v>121</v>
      </c>
      <c r="F626" t="s">
        <v>86</v>
      </c>
      <c r="G626" t="s">
        <v>48</v>
      </c>
      <c r="H626" t="s">
        <v>71</v>
      </c>
      <c r="I626" t="s">
        <v>72</v>
      </c>
      <c r="J626" t="s">
        <v>844</v>
      </c>
      <c r="K626" t="s">
        <v>115</v>
      </c>
      <c r="L626" t="s">
        <v>53</v>
      </c>
      <c r="N626" t="s">
        <v>1290</v>
      </c>
      <c r="P626" t="s">
        <v>58</v>
      </c>
      <c r="R626" t="s">
        <v>56</v>
      </c>
      <c r="T626" t="s">
        <v>1291</v>
      </c>
      <c r="U626" t="s">
        <v>58</v>
      </c>
      <c r="V626">
        <v>1</v>
      </c>
      <c r="W626">
        <v>1</v>
      </c>
      <c r="X626">
        <v>1</v>
      </c>
      <c r="Y626">
        <v>0</v>
      </c>
      <c r="Z626">
        <v>1</v>
      </c>
      <c r="AA626">
        <v>0</v>
      </c>
      <c r="AB626">
        <v>107.97</v>
      </c>
      <c r="AC626">
        <v>95</v>
      </c>
      <c r="AD626">
        <v>0</v>
      </c>
      <c r="AE626">
        <v>12.98</v>
      </c>
      <c r="AF626">
        <v>0</v>
      </c>
      <c r="AG626">
        <v>0</v>
      </c>
      <c r="AH626">
        <v>0</v>
      </c>
      <c r="AI626">
        <v>0</v>
      </c>
      <c r="AJ626">
        <v>107.98</v>
      </c>
      <c r="AK626">
        <v>0.01</v>
      </c>
      <c r="AL626" t="s">
        <v>53</v>
      </c>
      <c r="AM626" t="s">
        <v>53</v>
      </c>
      <c r="AN626" t="s">
        <v>1292</v>
      </c>
      <c r="AO626" t="s">
        <v>53</v>
      </c>
      <c r="AP626" t="s">
        <v>53</v>
      </c>
    </row>
    <row r="627" spans="2:42" x14ac:dyDescent="0.2">
      <c r="B627" t="s">
        <v>44</v>
      </c>
      <c r="C627" t="str">
        <f>HYPERLINK("https://us2.cloudbeds.com/connect/8493803454333002#/reservations/598380859572?display=E1B0JGBB&amp;reservation_id=598380859572", "E1B0JGBB")</f>
        <v>E1B0JGBB</v>
      </c>
      <c r="D627" t="s">
        <v>45</v>
      </c>
      <c r="E627" t="s">
        <v>265</v>
      </c>
      <c r="F627" t="s">
        <v>61</v>
      </c>
      <c r="G627" t="s">
        <v>48</v>
      </c>
      <c r="H627" t="s">
        <v>49</v>
      </c>
      <c r="I627" t="s">
        <v>114</v>
      </c>
      <c r="J627" t="s">
        <v>844</v>
      </c>
      <c r="K627" t="s">
        <v>115</v>
      </c>
      <c r="L627" t="s">
        <v>53</v>
      </c>
      <c r="N627" t="s">
        <v>1293</v>
      </c>
      <c r="P627" t="s">
        <v>55</v>
      </c>
      <c r="R627" t="s">
        <v>56</v>
      </c>
      <c r="T627" t="s">
        <v>1291</v>
      </c>
      <c r="U627" t="s">
        <v>58</v>
      </c>
      <c r="V627">
        <v>1</v>
      </c>
      <c r="W627">
        <v>1</v>
      </c>
      <c r="X627">
        <v>1</v>
      </c>
      <c r="Y627">
        <v>0</v>
      </c>
      <c r="Z627">
        <v>1</v>
      </c>
      <c r="AA627">
        <v>0</v>
      </c>
      <c r="AB627">
        <v>97.74</v>
      </c>
      <c r="AC627">
        <v>86</v>
      </c>
      <c r="AD627">
        <v>0</v>
      </c>
      <c r="AE627">
        <v>11.74</v>
      </c>
      <c r="AF627">
        <v>0</v>
      </c>
      <c r="AG627">
        <v>0</v>
      </c>
      <c r="AH627">
        <v>0</v>
      </c>
      <c r="AI627">
        <v>0</v>
      </c>
      <c r="AJ627">
        <v>97.74</v>
      </c>
      <c r="AK627">
        <v>0</v>
      </c>
      <c r="AL627" t="s">
        <v>53</v>
      </c>
      <c r="AM627" t="s">
        <v>53</v>
      </c>
      <c r="AN627" t="s">
        <v>1294</v>
      </c>
      <c r="AO627" t="s">
        <v>53</v>
      </c>
      <c r="AP627" t="s">
        <v>53</v>
      </c>
    </row>
    <row r="628" spans="2:42" x14ac:dyDescent="0.2">
      <c r="B628" t="s">
        <v>44</v>
      </c>
      <c r="C628" t="str">
        <f>HYPERLINK("https://us2.cloudbeds.com/connect/8493803454333002#/reservations/579350278338?display=DJJZGH4H&amp;reservation_id=579350278338", "DJJZGH4H")</f>
        <v>DJJZGH4H</v>
      </c>
      <c r="D628" t="s">
        <v>45</v>
      </c>
      <c r="E628" t="s">
        <v>381</v>
      </c>
      <c r="F628" t="s">
        <v>47</v>
      </c>
      <c r="G628" t="s">
        <v>48</v>
      </c>
      <c r="H628" t="s">
        <v>71</v>
      </c>
      <c r="I628" t="s">
        <v>72</v>
      </c>
      <c r="J628" t="s">
        <v>1295</v>
      </c>
      <c r="K628" t="s">
        <v>1296</v>
      </c>
      <c r="L628" t="s">
        <v>53</v>
      </c>
      <c r="N628" t="s">
        <v>1297</v>
      </c>
      <c r="P628" t="s">
        <v>55</v>
      </c>
      <c r="R628" t="s">
        <v>56</v>
      </c>
      <c r="T628" t="s">
        <v>1291</v>
      </c>
      <c r="U628" t="s">
        <v>58</v>
      </c>
      <c r="V628">
        <v>3</v>
      </c>
      <c r="W628">
        <v>1</v>
      </c>
      <c r="X628">
        <v>1</v>
      </c>
      <c r="Y628">
        <v>0</v>
      </c>
      <c r="Z628">
        <v>1</v>
      </c>
      <c r="AA628">
        <v>0</v>
      </c>
      <c r="AB628">
        <v>458.03</v>
      </c>
      <c r="AC628">
        <v>403</v>
      </c>
      <c r="AD628">
        <v>0</v>
      </c>
      <c r="AE628">
        <v>55.03</v>
      </c>
      <c r="AF628">
        <v>0</v>
      </c>
      <c r="AG628">
        <v>0</v>
      </c>
      <c r="AH628">
        <v>0</v>
      </c>
      <c r="AI628">
        <v>0</v>
      </c>
      <c r="AJ628">
        <v>458.03</v>
      </c>
      <c r="AK628">
        <v>0</v>
      </c>
      <c r="AL628" t="s">
        <v>53</v>
      </c>
      <c r="AM628" t="s">
        <v>53</v>
      </c>
      <c r="AN628" t="s">
        <v>1298</v>
      </c>
      <c r="AO628" t="s">
        <v>53</v>
      </c>
      <c r="AP628" t="s">
        <v>53</v>
      </c>
    </row>
    <row r="629" spans="2:42" x14ac:dyDescent="0.2">
      <c r="B629" t="s">
        <v>44</v>
      </c>
      <c r="C629" t="str">
        <f>HYPERLINK("https://us2.cloudbeds.com/connect/8493803454333002#/reservations/598272557202?display=E1888R4B&amp;reservation_id=598272557202", "E1888R4B")</f>
        <v>E1888R4B</v>
      </c>
      <c r="D629" t="s">
        <v>45</v>
      </c>
      <c r="E629" t="s">
        <v>179</v>
      </c>
      <c r="F629" t="s">
        <v>47</v>
      </c>
      <c r="G629" t="s">
        <v>48</v>
      </c>
      <c r="H629" t="s">
        <v>71</v>
      </c>
      <c r="I629" t="s">
        <v>72</v>
      </c>
      <c r="J629" t="s">
        <v>844</v>
      </c>
      <c r="K629" t="s">
        <v>115</v>
      </c>
      <c r="L629" t="s">
        <v>53</v>
      </c>
      <c r="N629" t="s">
        <v>1299</v>
      </c>
      <c r="P629" t="s">
        <v>58</v>
      </c>
      <c r="R629" t="s">
        <v>56</v>
      </c>
      <c r="T629" t="s">
        <v>1291</v>
      </c>
      <c r="U629" t="s">
        <v>58</v>
      </c>
      <c r="V629">
        <v>1</v>
      </c>
      <c r="W629">
        <v>1</v>
      </c>
      <c r="X629">
        <v>1</v>
      </c>
      <c r="Y629">
        <v>0</v>
      </c>
      <c r="Z629">
        <v>1</v>
      </c>
      <c r="AA629">
        <v>0</v>
      </c>
      <c r="AB629">
        <v>85.24</v>
      </c>
      <c r="AC629">
        <v>75</v>
      </c>
      <c r="AD629">
        <v>0</v>
      </c>
      <c r="AE629">
        <v>10.25</v>
      </c>
      <c r="AF629">
        <v>0</v>
      </c>
      <c r="AG629">
        <v>0</v>
      </c>
      <c r="AH629">
        <v>0</v>
      </c>
      <c r="AI629">
        <v>0</v>
      </c>
      <c r="AJ629">
        <v>85.25</v>
      </c>
      <c r="AK629">
        <v>0.01</v>
      </c>
      <c r="AL629" t="s">
        <v>53</v>
      </c>
      <c r="AM629" t="s">
        <v>53</v>
      </c>
      <c r="AN629" t="s">
        <v>378</v>
      </c>
      <c r="AO629" t="s">
        <v>53</v>
      </c>
      <c r="AP629" t="s">
        <v>53</v>
      </c>
    </row>
    <row r="630" spans="2:42" x14ac:dyDescent="0.2">
      <c r="B630" t="s">
        <v>44</v>
      </c>
      <c r="C630" t="str">
        <f>HYPERLINK("https://us2.cloudbeds.com/connect/8493803454333002#/reservations/598485565695?display=E1DMT375&amp;reservation_id=598485565695", "E1DMT375")</f>
        <v>E1DMT375</v>
      </c>
      <c r="D630" t="s">
        <v>45</v>
      </c>
      <c r="E630" t="s">
        <v>381</v>
      </c>
      <c r="F630" t="s">
        <v>47</v>
      </c>
      <c r="G630" t="s">
        <v>48</v>
      </c>
      <c r="H630" t="s">
        <v>49</v>
      </c>
      <c r="I630" t="s">
        <v>50</v>
      </c>
      <c r="J630" t="s">
        <v>647</v>
      </c>
      <c r="K630" t="s">
        <v>214</v>
      </c>
      <c r="L630" t="s">
        <v>53</v>
      </c>
      <c r="N630" t="s">
        <v>1300</v>
      </c>
      <c r="P630" t="s">
        <v>55</v>
      </c>
      <c r="R630" t="s">
        <v>56</v>
      </c>
      <c r="T630" t="s">
        <v>1291</v>
      </c>
      <c r="U630" t="s">
        <v>58</v>
      </c>
      <c r="V630">
        <v>1</v>
      </c>
      <c r="W630">
        <v>1</v>
      </c>
      <c r="X630">
        <v>1</v>
      </c>
      <c r="Y630">
        <v>0</v>
      </c>
      <c r="Z630">
        <v>1</v>
      </c>
      <c r="AA630">
        <v>0</v>
      </c>
      <c r="AB630">
        <v>144.22</v>
      </c>
      <c r="AC630">
        <v>126.9</v>
      </c>
      <c r="AD630">
        <v>0</v>
      </c>
      <c r="AE630">
        <v>17.32</v>
      </c>
      <c r="AF630">
        <v>0</v>
      </c>
      <c r="AG630">
        <v>0</v>
      </c>
      <c r="AH630">
        <v>0</v>
      </c>
      <c r="AI630">
        <v>25.96</v>
      </c>
      <c r="AJ630">
        <v>144.22</v>
      </c>
      <c r="AK630">
        <v>0</v>
      </c>
      <c r="AL630" t="s">
        <v>53</v>
      </c>
      <c r="AM630" t="s">
        <v>53</v>
      </c>
      <c r="AN630" t="s">
        <v>245</v>
      </c>
      <c r="AO630" t="s">
        <v>53</v>
      </c>
      <c r="AP630" t="s">
        <v>53</v>
      </c>
    </row>
    <row r="631" spans="2:42" x14ac:dyDescent="0.2">
      <c r="B631" t="s">
        <v>44</v>
      </c>
      <c r="C631" t="str">
        <f>HYPERLINK("https://us2.cloudbeds.com/connect/8493803454333002#/reservations/598502011035?display=E1E3ZNHQ&amp;reservation_id=598502011035", "E1E3ZNHQ")</f>
        <v>E1E3ZNHQ</v>
      </c>
      <c r="D631" t="s">
        <v>45</v>
      </c>
      <c r="E631" t="s">
        <v>46</v>
      </c>
      <c r="F631" t="s">
        <v>47</v>
      </c>
      <c r="G631" t="s">
        <v>48</v>
      </c>
      <c r="H631" t="s">
        <v>71</v>
      </c>
      <c r="I631" t="s">
        <v>72</v>
      </c>
      <c r="J631" t="s">
        <v>116</v>
      </c>
      <c r="K631" t="s">
        <v>298</v>
      </c>
      <c r="L631" t="s">
        <v>53</v>
      </c>
      <c r="N631" t="s">
        <v>1301</v>
      </c>
      <c r="P631" t="s">
        <v>58</v>
      </c>
      <c r="R631" t="s">
        <v>56</v>
      </c>
      <c r="T631" t="s">
        <v>1291</v>
      </c>
      <c r="U631" t="s">
        <v>58</v>
      </c>
      <c r="V631">
        <v>1</v>
      </c>
      <c r="W631">
        <v>1</v>
      </c>
      <c r="X631">
        <v>1</v>
      </c>
      <c r="Y631">
        <v>0</v>
      </c>
      <c r="Z631">
        <v>1</v>
      </c>
      <c r="AA631">
        <v>0</v>
      </c>
      <c r="AB631">
        <v>92.06</v>
      </c>
      <c r="AC631">
        <v>81</v>
      </c>
      <c r="AD631">
        <v>0</v>
      </c>
      <c r="AE631">
        <v>11.06</v>
      </c>
      <c r="AF631">
        <v>0</v>
      </c>
      <c r="AG631">
        <v>0</v>
      </c>
      <c r="AH631">
        <v>0</v>
      </c>
      <c r="AI631">
        <v>0</v>
      </c>
      <c r="AJ631">
        <v>92.06</v>
      </c>
      <c r="AK631">
        <v>0</v>
      </c>
      <c r="AL631" t="s">
        <v>53</v>
      </c>
      <c r="AM631" t="s">
        <v>53</v>
      </c>
      <c r="AN631" t="s">
        <v>1302</v>
      </c>
      <c r="AO631" t="s">
        <v>53</v>
      </c>
      <c r="AP631" t="s">
        <v>53</v>
      </c>
    </row>
    <row r="632" spans="2:42" x14ac:dyDescent="0.2">
      <c r="B632" t="s">
        <v>44</v>
      </c>
      <c r="C632" t="str">
        <f>HYPERLINK("https://us2.cloudbeds.com/connect/8493803454333002#/reservations/598598893729?display=E1GJEKC0&amp;reservation_id=598598893729", "E1GJEKC0")</f>
        <v>E1GJEKC0</v>
      </c>
      <c r="D632" t="s">
        <v>45</v>
      </c>
      <c r="E632" t="s">
        <v>46</v>
      </c>
      <c r="F632" t="s">
        <v>47</v>
      </c>
      <c r="G632" t="s">
        <v>48</v>
      </c>
      <c r="H632" t="s">
        <v>71</v>
      </c>
      <c r="I632" t="s">
        <v>72</v>
      </c>
      <c r="J632" t="s">
        <v>106</v>
      </c>
      <c r="K632" t="s">
        <v>922</v>
      </c>
      <c r="L632" t="s">
        <v>53</v>
      </c>
      <c r="N632" t="s">
        <v>1303</v>
      </c>
      <c r="P632" t="s">
        <v>55</v>
      </c>
      <c r="R632" t="s">
        <v>56</v>
      </c>
      <c r="T632" t="s">
        <v>1291</v>
      </c>
      <c r="U632" t="s">
        <v>58</v>
      </c>
      <c r="V632">
        <v>1</v>
      </c>
      <c r="W632">
        <v>1</v>
      </c>
      <c r="X632">
        <v>1</v>
      </c>
      <c r="Y632">
        <v>0</v>
      </c>
      <c r="Z632">
        <v>1</v>
      </c>
      <c r="AA632">
        <v>0</v>
      </c>
      <c r="AB632">
        <v>151.15</v>
      </c>
      <c r="AC632">
        <v>133</v>
      </c>
      <c r="AD632">
        <v>0</v>
      </c>
      <c r="AE632">
        <v>18.16</v>
      </c>
      <c r="AF632">
        <v>0</v>
      </c>
      <c r="AG632">
        <v>0</v>
      </c>
      <c r="AH632">
        <v>0</v>
      </c>
      <c r="AI632">
        <v>0</v>
      </c>
      <c r="AJ632">
        <v>151.16</v>
      </c>
      <c r="AK632">
        <v>0.01</v>
      </c>
      <c r="AL632" t="s">
        <v>53</v>
      </c>
      <c r="AM632" t="s">
        <v>53</v>
      </c>
      <c r="AN632" t="s">
        <v>1304</v>
      </c>
      <c r="AO632" t="s">
        <v>53</v>
      </c>
      <c r="AP632" t="s">
        <v>53</v>
      </c>
    </row>
    <row r="633" spans="2:42" x14ac:dyDescent="0.2">
      <c r="B633" t="s">
        <v>44</v>
      </c>
      <c r="C633" t="str">
        <f>HYPERLINK("https://us2.cloudbeds.com/connect/8493803454333002#/reservations/598326358146?display=E19KKU3W&amp;reservation_id=598326358146", "E19KKU3W")</f>
        <v>E19KKU3W</v>
      </c>
      <c r="D633" t="s">
        <v>45</v>
      </c>
      <c r="E633" t="s">
        <v>487</v>
      </c>
      <c r="F633" t="s">
        <v>61</v>
      </c>
      <c r="G633" t="s">
        <v>48</v>
      </c>
      <c r="H633" t="s">
        <v>71</v>
      </c>
      <c r="I633" t="s">
        <v>72</v>
      </c>
      <c r="J633" t="s">
        <v>844</v>
      </c>
      <c r="K633" t="s">
        <v>116</v>
      </c>
      <c r="L633" t="s">
        <v>53</v>
      </c>
      <c r="N633" t="s">
        <v>1305</v>
      </c>
      <c r="P633" t="s">
        <v>55</v>
      </c>
      <c r="R633" t="s">
        <v>56</v>
      </c>
      <c r="T633" t="s">
        <v>1291</v>
      </c>
      <c r="U633" t="s">
        <v>58</v>
      </c>
      <c r="V633">
        <v>2</v>
      </c>
      <c r="W633">
        <v>1</v>
      </c>
      <c r="X633">
        <v>1</v>
      </c>
      <c r="Y633">
        <v>0</v>
      </c>
      <c r="Z633">
        <v>1</v>
      </c>
      <c r="AA633">
        <v>0</v>
      </c>
      <c r="AB633">
        <v>198.89</v>
      </c>
      <c r="AC633">
        <v>175</v>
      </c>
      <c r="AD633">
        <v>0</v>
      </c>
      <c r="AE633">
        <v>23.88</v>
      </c>
      <c r="AF633">
        <v>0</v>
      </c>
      <c r="AG633">
        <v>0</v>
      </c>
      <c r="AH633">
        <v>0</v>
      </c>
      <c r="AI633">
        <v>0</v>
      </c>
      <c r="AJ633">
        <v>198.88</v>
      </c>
      <c r="AK633">
        <v>-0.01</v>
      </c>
      <c r="AL633" t="s">
        <v>53</v>
      </c>
      <c r="AM633" t="s">
        <v>53</v>
      </c>
      <c r="AN633" t="s">
        <v>1306</v>
      </c>
      <c r="AO633" t="s">
        <v>53</v>
      </c>
      <c r="AP633" t="s">
        <v>53</v>
      </c>
    </row>
    <row r="634" spans="2:42" x14ac:dyDescent="0.2">
      <c r="B634" t="s">
        <v>44</v>
      </c>
      <c r="C634" t="str">
        <f>HYPERLINK("https://us2.cloudbeds.com/connect/8493803454333002#/reservations/598169878661?display=E15KMY4D&amp;reservation_id=598169878661", "E15KMY4D")</f>
        <v>E15KMY4D</v>
      </c>
      <c r="D634" t="s">
        <v>45</v>
      </c>
      <c r="E634" t="s">
        <v>179</v>
      </c>
      <c r="F634" t="s">
        <v>47</v>
      </c>
      <c r="G634" t="s">
        <v>48</v>
      </c>
      <c r="H634" t="s">
        <v>71</v>
      </c>
      <c r="I634" t="s">
        <v>72</v>
      </c>
      <c r="J634" t="s">
        <v>115</v>
      </c>
      <c r="K634" t="s">
        <v>298</v>
      </c>
      <c r="L634" t="s">
        <v>53</v>
      </c>
      <c r="N634" t="s">
        <v>1307</v>
      </c>
      <c r="P634" t="s">
        <v>55</v>
      </c>
      <c r="R634" t="s">
        <v>56</v>
      </c>
      <c r="T634" t="s">
        <v>1291</v>
      </c>
      <c r="U634" t="s">
        <v>58</v>
      </c>
      <c r="V634">
        <v>2</v>
      </c>
      <c r="W634">
        <v>1</v>
      </c>
      <c r="X634">
        <v>1</v>
      </c>
      <c r="Y634">
        <v>0</v>
      </c>
      <c r="Z634">
        <v>1</v>
      </c>
      <c r="AA634">
        <v>0</v>
      </c>
      <c r="AB634">
        <v>147.75</v>
      </c>
      <c r="AC634">
        <v>130</v>
      </c>
      <c r="AD634">
        <v>0</v>
      </c>
      <c r="AE634">
        <v>17.760000000000002</v>
      </c>
      <c r="AF634">
        <v>0</v>
      </c>
      <c r="AG634">
        <v>0</v>
      </c>
      <c r="AH634">
        <v>0</v>
      </c>
      <c r="AI634">
        <v>0</v>
      </c>
      <c r="AJ634">
        <v>147.76</v>
      </c>
      <c r="AK634">
        <v>0.01</v>
      </c>
      <c r="AL634" t="s">
        <v>53</v>
      </c>
      <c r="AM634" t="s">
        <v>53</v>
      </c>
      <c r="AN634" t="s">
        <v>378</v>
      </c>
      <c r="AO634" t="s">
        <v>53</v>
      </c>
      <c r="AP634" t="s">
        <v>53</v>
      </c>
    </row>
    <row r="635" spans="2:42" x14ac:dyDescent="0.2">
      <c r="B635" t="s">
        <v>44</v>
      </c>
      <c r="C635" t="str">
        <f>HYPERLINK("https://us2.cloudbeds.com/connect/8493803454333002#/reservations/598508880019?display=E1E9HS4R&amp;reservation_id=598508880019", "E1E9HS4R")</f>
        <v>E1E9HS4R</v>
      </c>
      <c r="D635" t="s">
        <v>45</v>
      </c>
      <c r="E635" t="s">
        <v>406</v>
      </c>
      <c r="F635" t="s">
        <v>61</v>
      </c>
      <c r="G635" t="s">
        <v>48</v>
      </c>
      <c r="H635" t="s">
        <v>71</v>
      </c>
      <c r="I635" t="s">
        <v>72</v>
      </c>
      <c r="J635" t="s">
        <v>844</v>
      </c>
      <c r="K635" t="s">
        <v>115</v>
      </c>
      <c r="L635" t="s">
        <v>53</v>
      </c>
      <c r="N635" t="s">
        <v>1308</v>
      </c>
      <c r="P635" t="s">
        <v>55</v>
      </c>
      <c r="R635" t="s">
        <v>56</v>
      </c>
      <c r="T635" t="s">
        <v>1291</v>
      </c>
      <c r="U635" t="s">
        <v>58</v>
      </c>
      <c r="V635">
        <v>1</v>
      </c>
      <c r="W635">
        <v>1</v>
      </c>
      <c r="X635">
        <v>1</v>
      </c>
      <c r="Y635">
        <v>0</v>
      </c>
      <c r="Z635">
        <v>1</v>
      </c>
      <c r="AA635">
        <v>0</v>
      </c>
      <c r="AB635">
        <v>96.6</v>
      </c>
      <c r="AC635">
        <v>85</v>
      </c>
      <c r="AD635">
        <v>0</v>
      </c>
      <c r="AE635">
        <v>11.61</v>
      </c>
      <c r="AF635">
        <v>0</v>
      </c>
      <c r="AG635">
        <v>0</v>
      </c>
      <c r="AH635">
        <v>0</v>
      </c>
      <c r="AI635">
        <v>0</v>
      </c>
      <c r="AJ635">
        <v>96.61</v>
      </c>
      <c r="AK635">
        <v>0.01</v>
      </c>
      <c r="AL635" t="s">
        <v>53</v>
      </c>
      <c r="AM635" t="s">
        <v>53</v>
      </c>
      <c r="AN635" t="s">
        <v>378</v>
      </c>
      <c r="AO635" t="s">
        <v>53</v>
      </c>
      <c r="AP635" t="s">
        <v>53</v>
      </c>
    </row>
    <row r="636" spans="2:42" x14ac:dyDescent="0.2">
      <c r="B636" t="s">
        <v>44</v>
      </c>
      <c r="C636" t="str">
        <f>HYPERLINK("https://us2.cloudbeds.com/connect/8493803454333002#/reservations/598079877301?display=E13AQ78E&amp;reservation_id=598079877301", "E13AQ78E")</f>
        <v>E13AQ78E</v>
      </c>
      <c r="D636" t="s">
        <v>45</v>
      </c>
      <c r="E636" t="s">
        <v>85</v>
      </c>
      <c r="F636" t="s">
        <v>86</v>
      </c>
      <c r="G636" t="s">
        <v>48</v>
      </c>
      <c r="H636" t="s">
        <v>49</v>
      </c>
      <c r="I636" t="s">
        <v>50</v>
      </c>
      <c r="J636" t="s">
        <v>116</v>
      </c>
      <c r="K636" t="s">
        <v>186</v>
      </c>
      <c r="L636" t="s">
        <v>53</v>
      </c>
      <c r="N636" t="s">
        <v>1309</v>
      </c>
      <c r="P636" t="s">
        <v>55</v>
      </c>
      <c r="R636" t="s">
        <v>56</v>
      </c>
      <c r="T636" t="s">
        <v>1291</v>
      </c>
      <c r="U636" t="s">
        <v>58</v>
      </c>
      <c r="V636">
        <v>2</v>
      </c>
      <c r="W636">
        <v>1</v>
      </c>
      <c r="X636">
        <v>1</v>
      </c>
      <c r="Y636">
        <v>0</v>
      </c>
      <c r="Z636">
        <v>1</v>
      </c>
      <c r="AA636">
        <v>0</v>
      </c>
      <c r="AB636">
        <v>216.84</v>
      </c>
      <c r="AC636">
        <v>190.8</v>
      </c>
      <c r="AD636">
        <v>0</v>
      </c>
      <c r="AE636">
        <v>26.06</v>
      </c>
      <c r="AF636">
        <v>0</v>
      </c>
      <c r="AG636">
        <v>0</v>
      </c>
      <c r="AH636">
        <v>0</v>
      </c>
      <c r="AI636">
        <v>39.03</v>
      </c>
      <c r="AJ636">
        <v>216.86</v>
      </c>
      <c r="AK636">
        <v>0.02</v>
      </c>
      <c r="AL636" t="s">
        <v>53</v>
      </c>
      <c r="AM636" t="s">
        <v>53</v>
      </c>
      <c r="AN636" t="s">
        <v>198</v>
      </c>
      <c r="AO636" t="s">
        <v>53</v>
      </c>
      <c r="AP636" t="s">
        <v>53</v>
      </c>
    </row>
    <row r="637" spans="2:42" x14ac:dyDescent="0.2">
      <c r="B637" t="s">
        <v>44</v>
      </c>
      <c r="C637" t="str">
        <f>HYPERLINK("https://us2.cloudbeds.com/connect/8493803454333002#/reservations/598421426392?display=E1C1QAPU&amp;reservation_id=598421426392", "E1C1QAPU")</f>
        <v>E1C1QAPU</v>
      </c>
      <c r="D637" t="s">
        <v>45</v>
      </c>
      <c r="E637" t="s">
        <v>85</v>
      </c>
      <c r="F637" t="s">
        <v>86</v>
      </c>
      <c r="G637" t="s">
        <v>48</v>
      </c>
      <c r="H637" t="s">
        <v>49</v>
      </c>
      <c r="I637" t="s">
        <v>50</v>
      </c>
      <c r="J637" t="s">
        <v>143</v>
      </c>
      <c r="K637" t="s">
        <v>144</v>
      </c>
      <c r="L637" t="s">
        <v>53</v>
      </c>
      <c r="N637" t="s">
        <v>1310</v>
      </c>
      <c r="P637" t="s">
        <v>55</v>
      </c>
      <c r="R637" t="s">
        <v>56</v>
      </c>
      <c r="T637" t="s">
        <v>1291</v>
      </c>
      <c r="U637" t="s">
        <v>58</v>
      </c>
      <c r="V637">
        <v>1</v>
      </c>
      <c r="W637">
        <v>1</v>
      </c>
      <c r="X637">
        <v>1</v>
      </c>
      <c r="Y637">
        <v>0</v>
      </c>
      <c r="Z637">
        <v>1</v>
      </c>
      <c r="AA637">
        <v>0</v>
      </c>
      <c r="AB637">
        <v>184.11</v>
      </c>
      <c r="AC637">
        <v>162</v>
      </c>
      <c r="AD637">
        <v>0</v>
      </c>
      <c r="AE637">
        <v>22.12</v>
      </c>
      <c r="AF637">
        <v>0</v>
      </c>
      <c r="AG637">
        <v>0</v>
      </c>
      <c r="AH637">
        <v>0</v>
      </c>
      <c r="AI637">
        <v>33.14</v>
      </c>
      <c r="AJ637">
        <v>184.12</v>
      </c>
      <c r="AK637">
        <v>0.01</v>
      </c>
      <c r="AL637" t="s">
        <v>53</v>
      </c>
      <c r="AM637" t="s">
        <v>53</v>
      </c>
      <c r="AN637" t="s">
        <v>68</v>
      </c>
      <c r="AO637" t="s">
        <v>53</v>
      </c>
      <c r="AP637" t="s">
        <v>53</v>
      </c>
    </row>
    <row r="638" spans="2:42" x14ac:dyDescent="0.2">
      <c r="B638" t="s">
        <v>44</v>
      </c>
      <c r="C638" t="str">
        <f>HYPERLINK("https://us2.cloudbeds.com/connect/8493803454333002#/reservations/598509076612?display=E1E9NAM6&amp;reservation_id=598509076612", "E1E9NAM6")</f>
        <v>E1E9NAM6</v>
      </c>
      <c r="D638" t="s">
        <v>45</v>
      </c>
      <c r="E638" t="s">
        <v>213</v>
      </c>
      <c r="F638" t="s">
        <v>86</v>
      </c>
      <c r="G638" t="s">
        <v>48</v>
      </c>
      <c r="H638" t="s">
        <v>71</v>
      </c>
      <c r="I638" t="s">
        <v>72</v>
      </c>
      <c r="J638" t="s">
        <v>116</v>
      </c>
      <c r="K638" t="s">
        <v>298</v>
      </c>
      <c r="L638" t="s">
        <v>53</v>
      </c>
      <c r="N638" t="s">
        <v>1311</v>
      </c>
      <c r="P638" t="s">
        <v>58</v>
      </c>
      <c r="R638" t="s">
        <v>56</v>
      </c>
      <c r="T638" t="s">
        <v>1291</v>
      </c>
      <c r="U638" t="s">
        <v>58</v>
      </c>
      <c r="V638">
        <v>1</v>
      </c>
      <c r="W638">
        <v>1</v>
      </c>
      <c r="X638">
        <v>1</v>
      </c>
      <c r="Y638">
        <v>0</v>
      </c>
      <c r="Z638">
        <v>1</v>
      </c>
      <c r="AA638">
        <v>0</v>
      </c>
      <c r="AB638">
        <v>122.74</v>
      </c>
      <c r="AC638">
        <v>108</v>
      </c>
      <c r="AD638">
        <v>0</v>
      </c>
      <c r="AE638">
        <v>14.74</v>
      </c>
      <c r="AF638">
        <v>0</v>
      </c>
      <c r="AG638">
        <v>0</v>
      </c>
      <c r="AH638">
        <v>0</v>
      </c>
      <c r="AI638">
        <v>0</v>
      </c>
      <c r="AJ638">
        <v>122.74</v>
      </c>
      <c r="AK638">
        <v>0</v>
      </c>
      <c r="AL638" t="s">
        <v>53</v>
      </c>
      <c r="AM638" t="s">
        <v>53</v>
      </c>
      <c r="AN638" t="s">
        <v>1312</v>
      </c>
      <c r="AO638" t="s">
        <v>53</v>
      </c>
      <c r="AP638" t="s">
        <v>53</v>
      </c>
    </row>
    <row r="639" spans="2:42" x14ac:dyDescent="0.2">
      <c r="B639" t="s">
        <v>44</v>
      </c>
      <c r="C639" t="str">
        <f>HYPERLINK("https://us2.cloudbeds.com/connect/8493803454333002#/reservations/598348783765?display=E1A6HUW5&amp;reservation_id=598348783765", "E1A6HUW5")</f>
        <v>E1A6HUW5</v>
      </c>
      <c r="D639" t="s">
        <v>45</v>
      </c>
      <c r="E639" t="s">
        <v>85</v>
      </c>
      <c r="F639" t="s">
        <v>86</v>
      </c>
      <c r="G639" t="s">
        <v>48</v>
      </c>
      <c r="H639" t="s">
        <v>71</v>
      </c>
      <c r="I639" t="s">
        <v>72</v>
      </c>
      <c r="J639" t="s">
        <v>115</v>
      </c>
      <c r="K639" t="s">
        <v>116</v>
      </c>
      <c r="L639" t="s">
        <v>53</v>
      </c>
      <c r="N639" t="s">
        <v>1313</v>
      </c>
      <c r="P639" t="s">
        <v>58</v>
      </c>
      <c r="R639" t="s">
        <v>56</v>
      </c>
      <c r="T639" t="s">
        <v>1291</v>
      </c>
      <c r="U639" t="s">
        <v>58</v>
      </c>
      <c r="V639">
        <v>1</v>
      </c>
      <c r="W639">
        <v>1</v>
      </c>
      <c r="X639">
        <v>1</v>
      </c>
      <c r="Y639">
        <v>0</v>
      </c>
      <c r="Z639">
        <v>1</v>
      </c>
      <c r="AA639">
        <v>0</v>
      </c>
      <c r="AB639">
        <v>127.29</v>
      </c>
      <c r="AC639">
        <v>112</v>
      </c>
      <c r="AD639">
        <v>0</v>
      </c>
      <c r="AE639">
        <v>15.29</v>
      </c>
      <c r="AF639">
        <v>0</v>
      </c>
      <c r="AG639">
        <v>0</v>
      </c>
      <c r="AH639">
        <v>0</v>
      </c>
      <c r="AI639">
        <v>0</v>
      </c>
      <c r="AJ639">
        <v>127.29</v>
      </c>
      <c r="AK639">
        <v>0</v>
      </c>
      <c r="AL639" t="s">
        <v>53</v>
      </c>
      <c r="AM639" t="s">
        <v>53</v>
      </c>
      <c r="AN639" t="s">
        <v>1314</v>
      </c>
      <c r="AO639" t="s">
        <v>53</v>
      </c>
      <c r="AP639" t="s">
        <v>53</v>
      </c>
    </row>
    <row r="640" spans="2:42" x14ac:dyDescent="0.2">
      <c r="B640" t="s">
        <v>44</v>
      </c>
      <c r="C640" t="str">
        <f>HYPERLINK("https://us2.cloudbeds.com/connect/8493803454333002#/reservations/598091952371?display=E13KW7FY&amp;reservation_id=598091952371", "E13KW7FY")</f>
        <v>E13KW7FY</v>
      </c>
      <c r="D640" t="s">
        <v>45</v>
      </c>
      <c r="E640" t="s">
        <v>92</v>
      </c>
      <c r="F640" t="s">
        <v>86</v>
      </c>
      <c r="G640" t="s">
        <v>48</v>
      </c>
      <c r="H640" t="s">
        <v>71</v>
      </c>
      <c r="I640" t="s">
        <v>72</v>
      </c>
      <c r="J640" t="s">
        <v>844</v>
      </c>
      <c r="K640" t="s">
        <v>115</v>
      </c>
      <c r="L640" t="s">
        <v>53</v>
      </c>
      <c r="N640" t="s">
        <v>1315</v>
      </c>
      <c r="P640" t="s">
        <v>58</v>
      </c>
      <c r="R640" t="s">
        <v>56</v>
      </c>
      <c r="T640" t="s">
        <v>1291</v>
      </c>
      <c r="U640" t="s">
        <v>58</v>
      </c>
      <c r="V640">
        <v>1</v>
      </c>
      <c r="W640">
        <v>1</v>
      </c>
      <c r="X640">
        <v>1</v>
      </c>
      <c r="Y640">
        <v>0</v>
      </c>
      <c r="Z640">
        <v>1</v>
      </c>
      <c r="AA640">
        <v>0</v>
      </c>
      <c r="AB640">
        <v>107.97</v>
      </c>
      <c r="AC640">
        <v>95</v>
      </c>
      <c r="AD640">
        <v>0</v>
      </c>
      <c r="AE640">
        <v>12.98</v>
      </c>
      <c r="AF640">
        <v>0</v>
      </c>
      <c r="AG640">
        <v>0</v>
      </c>
      <c r="AH640">
        <v>0</v>
      </c>
      <c r="AI640">
        <v>0</v>
      </c>
      <c r="AJ640">
        <v>107.98</v>
      </c>
      <c r="AK640">
        <v>0.01</v>
      </c>
      <c r="AL640" t="s">
        <v>53</v>
      </c>
      <c r="AM640" t="s">
        <v>53</v>
      </c>
      <c r="AN640" t="s">
        <v>1316</v>
      </c>
      <c r="AO640" t="s">
        <v>53</v>
      </c>
      <c r="AP640" t="s">
        <v>53</v>
      </c>
    </row>
    <row r="641" spans="2:42" x14ac:dyDescent="0.2">
      <c r="B641" t="s">
        <v>44</v>
      </c>
      <c r="C641" t="str">
        <f>HYPERLINK("https://us2.cloudbeds.com/connect/8493803454333002#/reservations/598447186128?display=E1CNH48V&amp;reservation_id=598447186128", "E1CNH48V")</f>
        <v>E1CNH48V</v>
      </c>
      <c r="D641" t="s">
        <v>45</v>
      </c>
      <c r="E641" t="s">
        <v>373</v>
      </c>
      <c r="F641" t="s">
        <v>47</v>
      </c>
      <c r="G641" t="s">
        <v>48</v>
      </c>
      <c r="H641" t="s">
        <v>49</v>
      </c>
      <c r="I641" t="s">
        <v>50</v>
      </c>
      <c r="J641" t="s">
        <v>134</v>
      </c>
      <c r="K641" t="s">
        <v>130</v>
      </c>
      <c r="L641" t="s">
        <v>53</v>
      </c>
      <c r="N641" t="s">
        <v>1317</v>
      </c>
      <c r="P641" t="s">
        <v>55</v>
      </c>
      <c r="R641" t="s">
        <v>56</v>
      </c>
      <c r="T641" t="s">
        <v>1318</v>
      </c>
      <c r="U641" t="s">
        <v>58</v>
      </c>
      <c r="V641">
        <v>4</v>
      </c>
      <c r="W641">
        <v>1</v>
      </c>
      <c r="X641">
        <v>1</v>
      </c>
      <c r="Y641">
        <v>0</v>
      </c>
      <c r="Z641">
        <v>1</v>
      </c>
      <c r="AA641">
        <v>0</v>
      </c>
      <c r="AB641">
        <v>555.41</v>
      </c>
      <c r="AC641">
        <v>488.7</v>
      </c>
      <c r="AD641">
        <v>0</v>
      </c>
      <c r="AE641">
        <v>66.680000000000007</v>
      </c>
      <c r="AF641">
        <v>0</v>
      </c>
      <c r="AG641">
        <v>0</v>
      </c>
      <c r="AH641">
        <v>0</v>
      </c>
      <c r="AI641">
        <v>99.97</v>
      </c>
      <c r="AJ641">
        <v>555.38</v>
      </c>
      <c r="AK641">
        <v>-0.03</v>
      </c>
      <c r="AL641" t="s">
        <v>53</v>
      </c>
      <c r="AM641" t="s">
        <v>53</v>
      </c>
      <c r="AN641" t="s">
        <v>104</v>
      </c>
      <c r="AO641" t="s">
        <v>53</v>
      </c>
      <c r="AP641" t="s">
        <v>53</v>
      </c>
    </row>
    <row r="642" spans="2:42" x14ac:dyDescent="0.2">
      <c r="B642" t="s">
        <v>44</v>
      </c>
      <c r="C642" t="str">
        <f>HYPERLINK("https://us2.cloudbeds.com/connect/8493803454333002#/reservations/598354686158?display=E1ABH5WJ&amp;reservation_id=598354686158", "E1ABH5WJ")</f>
        <v>E1ABH5WJ</v>
      </c>
      <c r="D642" t="s">
        <v>45</v>
      </c>
      <c r="E642" t="s">
        <v>185</v>
      </c>
      <c r="F642" t="s">
        <v>47</v>
      </c>
      <c r="G642" t="s">
        <v>48</v>
      </c>
      <c r="H642" t="s">
        <v>71</v>
      </c>
      <c r="I642" t="s">
        <v>72</v>
      </c>
      <c r="J642" t="s">
        <v>115</v>
      </c>
      <c r="K642" t="s">
        <v>116</v>
      </c>
      <c r="L642" t="s">
        <v>53</v>
      </c>
      <c r="N642" t="s">
        <v>1319</v>
      </c>
      <c r="P642" t="s">
        <v>58</v>
      </c>
      <c r="R642" t="s">
        <v>56</v>
      </c>
      <c r="T642" t="s">
        <v>1318</v>
      </c>
      <c r="U642" t="s">
        <v>58</v>
      </c>
      <c r="V642">
        <v>1</v>
      </c>
      <c r="W642">
        <v>1</v>
      </c>
      <c r="X642">
        <v>1</v>
      </c>
      <c r="Y642">
        <v>0</v>
      </c>
      <c r="Z642">
        <v>1</v>
      </c>
      <c r="AA642">
        <v>0</v>
      </c>
      <c r="AB642">
        <v>90.92</v>
      </c>
      <c r="AC642">
        <v>80</v>
      </c>
      <c r="AD642">
        <v>0</v>
      </c>
      <c r="AE642">
        <v>10.92</v>
      </c>
      <c r="AF642">
        <v>0</v>
      </c>
      <c r="AG642">
        <v>0</v>
      </c>
      <c r="AH642">
        <v>0</v>
      </c>
      <c r="AI642">
        <v>0</v>
      </c>
      <c r="AJ642">
        <v>90.92</v>
      </c>
      <c r="AK642">
        <v>0</v>
      </c>
      <c r="AL642" t="s">
        <v>53</v>
      </c>
      <c r="AM642" t="s">
        <v>53</v>
      </c>
      <c r="AN642" t="s">
        <v>378</v>
      </c>
      <c r="AO642" t="s">
        <v>53</v>
      </c>
      <c r="AP642" t="s">
        <v>53</v>
      </c>
    </row>
    <row r="643" spans="2:42" x14ac:dyDescent="0.2">
      <c r="B643" t="s">
        <v>44</v>
      </c>
      <c r="C643" t="str">
        <f>HYPERLINK("https://us2.cloudbeds.com/connect/8493803454333002#/reservations/598380376287?display=E1B061X9&amp;reservation_id=598380376287", "E1B061X9")</f>
        <v>E1B061X9</v>
      </c>
      <c r="D643" t="s">
        <v>45</v>
      </c>
      <c r="E643" t="s">
        <v>85</v>
      </c>
      <c r="F643" t="s">
        <v>86</v>
      </c>
      <c r="G643" t="s">
        <v>48</v>
      </c>
      <c r="H643" t="s">
        <v>49</v>
      </c>
      <c r="I643" t="s">
        <v>50</v>
      </c>
      <c r="J643" t="s">
        <v>1124</v>
      </c>
      <c r="K643" t="s">
        <v>956</v>
      </c>
      <c r="L643" t="s">
        <v>53</v>
      </c>
      <c r="N643" t="s">
        <v>1320</v>
      </c>
      <c r="P643" t="s">
        <v>55</v>
      </c>
      <c r="R643" t="s">
        <v>56</v>
      </c>
      <c r="T643" t="s">
        <v>1318</v>
      </c>
      <c r="U643" t="s">
        <v>58</v>
      </c>
      <c r="V643">
        <v>1</v>
      </c>
      <c r="W643">
        <v>1</v>
      </c>
      <c r="X643">
        <v>1</v>
      </c>
      <c r="Y643">
        <v>0</v>
      </c>
      <c r="Z643">
        <v>1</v>
      </c>
      <c r="AA643">
        <v>0</v>
      </c>
      <c r="AB643">
        <v>97.17</v>
      </c>
      <c r="AC643">
        <v>85.5</v>
      </c>
      <c r="AD643">
        <v>0</v>
      </c>
      <c r="AE643">
        <v>11.67</v>
      </c>
      <c r="AF643">
        <v>0</v>
      </c>
      <c r="AG643">
        <v>0</v>
      </c>
      <c r="AH643">
        <v>0</v>
      </c>
      <c r="AI643">
        <v>17.489999999999998</v>
      </c>
      <c r="AJ643">
        <v>97.17</v>
      </c>
      <c r="AK643">
        <v>0</v>
      </c>
      <c r="AL643" t="s">
        <v>53</v>
      </c>
      <c r="AM643" t="s">
        <v>53</v>
      </c>
      <c r="AN643" t="s">
        <v>142</v>
      </c>
      <c r="AO643" t="s">
        <v>53</v>
      </c>
      <c r="AP643" t="s">
        <v>53</v>
      </c>
    </row>
    <row r="644" spans="2:42" x14ac:dyDescent="0.2">
      <c r="B644" t="s">
        <v>44</v>
      </c>
      <c r="C644" t="str">
        <f>HYPERLINK("https://us2.cloudbeds.com/connect/8493803454333002#/reservations/598502244493?display=E1E3V6U9&amp;reservation_id=598502244493", "E1E3V6U9")</f>
        <v>E1E3V6U9</v>
      </c>
      <c r="D644" t="s">
        <v>45</v>
      </c>
      <c r="E644" t="s">
        <v>190</v>
      </c>
      <c r="F644" t="s">
        <v>61</v>
      </c>
      <c r="G644" t="s">
        <v>48</v>
      </c>
      <c r="H644" t="s">
        <v>71</v>
      </c>
      <c r="I644" t="s">
        <v>72</v>
      </c>
      <c r="J644" t="s">
        <v>915</v>
      </c>
      <c r="K644" t="s">
        <v>232</v>
      </c>
      <c r="L644" t="s">
        <v>53</v>
      </c>
      <c r="N644" t="s">
        <v>1321</v>
      </c>
      <c r="P644" t="s">
        <v>58</v>
      </c>
      <c r="R644" t="s">
        <v>56</v>
      </c>
      <c r="T644" t="s">
        <v>1318</v>
      </c>
      <c r="U644" t="s">
        <v>58</v>
      </c>
      <c r="V644">
        <v>1</v>
      </c>
      <c r="W644">
        <v>1</v>
      </c>
      <c r="X644">
        <v>1</v>
      </c>
      <c r="Y644">
        <v>0</v>
      </c>
      <c r="Z644">
        <v>1</v>
      </c>
      <c r="AA644">
        <v>0</v>
      </c>
      <c r="AB644">
        <v>95.47</v>
      </c>
      <c r="AC644">
        <v>84</v>
      </c>
      <c r="AD644">
        <v>0</v>
      </c>
      <c r="AE644">
        <v>11.47</v>
      </c>
      <c r="AF644">
        <v>0</v>
      </c>
      <c r="AG644">
        <v>0</v>
      </c>
      <c r="AH644">
        <v>0</v>
      </c>
      <c r="AI644">
        <v>0</v>
      </c>
      <c r="AJ644">
        <v>95.47</v>
      </c>
      <c r="AK644">
        <v>0</v>
      </c>
      <c r="AL644" t="s">
        <v>53</v>
      </c>
      <c r="AM644" t="s">
        <v>53</v>
      </c>
      <c r="AN644" t="s">
        <v>1322</v>
      </c>
      <c r="AO644" t="s">
        <v>53</v>
      </c>
      <c r="AP644" t="s">
        <v>53</v>
      </c>
    </row>
    <row r="645" spans="2:42" x14ac:dyDescent="0.2">
      <c r="B645" t="s">
        <v>44</v>
      </c>
      <c r="C645" t="str">
        <f>HYPERLINK("https://us2.cloudbeds.com/connect/8493803454333002#/reservations/598364209387?display=E1AJX5U9&amp;reservation_id=598364209387", "E1AJX5U9")</f>
        <v>E1AJX5U9</v>
      </c>
      <c r="D645" t="s">
        <v>45</v>
      </c>
      <c r="E645" t="s">
        <v>223</v>
      </c>
      <c r="F645" t="s">
        <v>47</v>
      </c>
      <c r="G645" t="s">
        <v>48</v>
      </c>
      <c r="H645" t="s">
        <v>71</v>
      </c>
      <c r="I645" t="s">
        <v>72</v>
      </c>
      <c r="J645" t="s">
        <v>116</v>
      </c>
      <c r="K645" t="s">
        <v>298</v>
      </c>
      <c r="L645" t="s">
        <v>53</v>
      </c>
      <c r="N645" t="s">
        <v>1323</v>
      </c>
      <c r="P645" t="s">
        <v>58</v>
      </c>
      <c r="R645" t="s">
        <v>56</v>
      </c>
      <c r="T645" t="s">
        <v>1318</v>
      </c>
      <c r="U645" t="s">
        <v>58</v>
      </c>
      <c r="V645">
        <v>1</v>
      </c>
      <c r="W645">
        <v>1</v>
      </c>
      <c r="X645">
        <v>1</v>
      </c>
      <c r="Y645">
        <v>0</v>
      </c>
      <c r="Z645">
        <v>1</v>
      </c>
      <c r="AA645">
        <v>0</v>
      </c>
      <c r="AB645">
        <v>90.92</v>
      </c>
      <c r="AC645">
        <v>80</v>
      </c>
      <c r="AD645">
        <v>0</v>
      </c>
      <c r="AE645">
        <v>10.92</v>
      </c>
      <c r="AF645">
        <v>0</v>
      </c>
      <c r="AG645">
        <v>0</v>
      </c>
      <c r="AH645">
        <v>0</v>
      </c>
      <c r="AI645">
        <v>0</v>
      </c>
      <c r="AJ645">
        <v>90.92</v>
      </c>
      <c r="AK645">
        <v>0</v>
      </c>
      <c r="AL645" t="s">
        <v>53</v>
      </c>
      <c r="AM645" t="s">
        <v>53</v>
      </c>
      <c r="AN645" t="s">
        <v>1324</v>
      </c>
      <c r="AO645" t="s">
        <v>53</v>
      </c>
      <c r="AP645" t="s">
        <v>53</v>
      </c>
    </row>
    <row r="646" spans="2:42" x14ac:dyDescent="0.2">
      <c r="B646" t="s">
        <v>44</v>
      </c>
      <c r="C646" t="str">
        <f>HYPERLINK("https://us2.cloudbeds.com/connect/8493803454333002#/reservations/598510350534?display=E1EAPPFT&amp;reservation_id=598510350534", "E1EAPPFT")</f>
        <v>E1EAPPFT</v>
      </c>
      <c r="D646" t="s">
        <v>45</v>
      </c>
      <c r="E646" t="s">
        <v>185</v>
      </c>
      <c r="F646" t="s">
        <v>47</v>
      </c>
      <c r="G646" t="s">
        <v>48</v>
      </c>
      <c r="H646" t="s">
        <v>71</v>
      </c>
      <c r="I646" t="s">
        <v>72</v>
      </c>
      <c r="J646" t="s">
        <v>915</v>
      </c>
      <c r="K646" t="s">
        <v>232</v>
      </c>
      <c r="L646" t="s">
        <v>53</v>
      </c>
      <c r="N646" t="s">
        <v>1325</v>
      </c>
      <c r="P646" t="s">
        <v>58</v>
      </c>
      <c r="R646" t="s">
        <v>56</v>
      </c>
      <c r="T646" t="s">
        <v>1318</v>
      </c>
      <c r="U646" t="s">
        <v>58</v>
      </c>
      <c r="V646">
        <v>1</v>
      </c>
      <c r="W646">
        <v>1</v>
      </c>
      <c r="X646">
        <v>1</v>
      </c>
      <c r="Y646">
        <v>0</v>
      </c>
      <c r="Z646">
        <v>1</v>
      </c>
      <c r="AA646">
        <v>0</v>
      </c>
      <c r="AB646">
        <v>86.37</v>
      </c>
      <c r="AC646">
        <v>76</v>
      </c>
      <c r="AD646">
        <v>0</v>
      </c>
      <c r="AE646">
        <v>10.37</v>
      </c>
      <c r="AF646">
        <v>0</v>
      </c>
      <c r="AG646">
        <v>0</v>
      </c>
      <c r="AH646">
        <v>0</v>
      </c>
      <c r="AI646">
        <v>0</v>
      </c>
      <c r="AJ646">
        <v>86.37</v>
      </c>
      <c r="AK646">
        <v>0</v>
      </c>
      <c r="AL646" t="s">
        <v>53</v>
      </c>
      <c r="AM646" t="s">
        <v>53</v>
      </c>
      <c r="AN646" t="s">
        <v>1326</v>
      </c>
      <c r="AO646" t="s">
        <v>53</v>
      </c>
      <c r="AP646" t="s">
        <v>53</v>
      </c>
    </row>
    <row r="647" spans="2:42" x14ac:dyDescent="0.2">
      <c r="B647" t="s">
        <v>44</v>
      </c>
      <c r="C647" t="str">
        <f>HYPERLINK("https://us2.cloudbeds.com/connect/8493803454333002#/reservations/598473937079?display=E1DD2GVQ&amp;reservation_id=598473937079", "E1DD2GVQ")</f>
        <v>E1DD2GVQ</v>
      </c>
      <c r="D647" t="s">
        <v>45</v>
      </c>
      <c r="E647" t="s">
        <v>487</v>
      </c>
      <c r="F647" t="s">
        <v>61</v>
      </c>
      <c r="G647" t="s">
        <v>48</v>
      </c>
      <c r="H647" t="s">
        <v>49</v>
      </c>
      <c r="I647" t="s">
        <v>50</v>
      </c>
      <c r="J647" t="s">
        <v>623</v>
      </c>
      <c r="K647" t="s">
        <v>345</v>
      </c>
      <c r="L647" t="s">
        <v>53</v>
      </c>
      <c r="N647" t="s">
        <v>1327</v>
      </c>
      <c r="P647" t="s">
        <v>55</v>
      </c>
      <c r="R647" t="s">
        <v>56</v>
      </c>
      <c r="T647" t="s">
        <v>1318</v>
      </c>
      <c r="U647" t="s">
        <v>58</v>
      </c>
      <c r="V647">
        <v>1</v>
      </c>
      <c r="W647">
        <v>1</v>
      </c>
      <c r="X647">
        <v>1</v>
      </c>
      <c r="Y647">
        <v>0</v>
      </c>
      <c r="Z647">
        <v>1</v>
      </c>
      <c r="AA647">
        <v>0</v>
      </c>
      <c r="AB647">
        <v>90.01</v>
      </c>
      <c r="AC647">
        <v>79.2</v>
      </c>
      <c r="AD647">
        <v>0</v>
      </c>
      <c r="AE647">
        <v>10.81</v>
      </c>
      <c r="AF647">
        <v>0</v>
      </c>
      <c r="AG647">
        <v>0</v>
      </c>
      <c r="AH647">
        <v>0</v>
      </c>
      <c r="AI647">
        <v>16.2</v>
      </c>
      <c r="AJ647">
        <v>90.01</v>
      </c>
      <c r="AK647">
        <v>0</v>
      </c>
      <c r="AL647" t="s">
        <v>53</v>
      </c>
      <c r="AM647" t="s">
        <v>53</v>
      </c>
      <c r="AN647" t="s">
        <v>91</v>
      </c>
      <c r="AO647" t="s">
        <v>53</v>
      </c>
      <c r="AP647" t="s">
        <v>53</v>
      </c>
    </row>
    <row r="648" spans="2:42" x14ac:dyDescent="0.2">
      <c r="B648" t="s">
        <v>44</v>
      </c>
      <c r="C648" t="str">
        <f>HYPERLINK("https://us2.cloudbeds.com/connect/8493803454333002#/reservations/598338658527?display=E19V067Q&amp;reservation_id=598338658527", "E19V067Q")</f>
        <v>E19V067Q</v>
      </c>
      <c r="D648" t="s">
        <v>45</v>
      </c>
      <c r="E648" t="s">
        <v>105</v>
      </c>
      <c r="F648" t="s">
        <v>47</v>
      </c>
      <c r="G648" t="s">
        <v>48</v>
      </c>
      <c r="H648" t="s">
        <v>71</v>
      </c>
      <c r="I648" t="s">
        <v>72</v>
      </c>
      <c r="J648" t="s">
        <v>115</v>
      </c>
      <c r="K648" t="s">
        <v>116</v>
      </c>
      <c r="L648" t="s">
        <v>53</v>
      </c>
      <c r="N648" t="s">
        <v>1328</v>
      </c>
      <c r="P648" t="s">
        <v>58</v>
      </c>
      <c r="R648" t="s">
        <v>56</v>
      </c>
      <c r="T648" t="s">
        <v>1318</v>
      </c>
      <c r="U648" t="s">
        <v>58</v>
      </c>
      <c r="V648">
        <v>1</v>
      </c>
      <c r="W648">
        <v>1</v>
      </c>
      <c r="X648">
        <v>1</v>
      </c>
      <c r="Y648">
        <v>0</v>
      </c>
      <c r="Z648">
        <v>1</v>
      </c>
      <c r="AA648">
        <v>0</v>
      </c>
      <c r="AB648">
        <v>90.92</v>
      </c>
      <c r="AC648">
        <v>80</v>
      </c>
      <c r="AD648">
        <v>0</v>
      </c>
      <c r="AE648">
        <v>10.92</v>
      </c>
      <c r="AF648">
        <v>0</v>
      </c>
      <c r="AG648">
        <v>0</v>
      </c>
      <c r="AH648">
        <v>0</v>
      </c>
      <c r="AI648">
        <v>0</v>
      </c>
      <c r="AJ648">
        <v>90.92</v>
      </c>
      <c r="AK648">
        <v>0</v>
      </c>
      <c r="AL648" t="s">
        <v>53</v>
      </c>
      <c r="AM648" t="s">
        <v>53</v>
      </c>
      <c r="AN648" t="s">
        <v>378</v>
      </c>
      <c r="AO648" t="s">
        <v>53</v>
      </c>
      <c r="AP648" t="s">
        <v>53</v>
      </c>
    </row>
    <row r="649" spans="2:42" x14ac:dyDescent="0.2">
      <c r="B649" t="s">
        <v>44</v>
      </c>
      <c r="C649" t="str">
        <f>HYPERLINK("https://us2.cloudbeds.com/connect/8493803454333002#/reservations/598513873031?display=E1EDZQ37&amp;reservation_id=598513873031", "E1EDZQ37")</f>
        <v>E1EDZQ37</v>
      </c>
      <c r="D649" t="s">
        <v>45</v>
      </c>
      <c r="E649" t="s">
        <v>406</v>
      </c>
      <c r="F649" t="s">
        <v>61</v>
      </c>
      <c r="G649" t="s">
        <v>48</v>
      </c>
      <c r="H649" t="s">
        <v>49</v>
      </c>
      <c r="I649" t="s">
        <v>50</v>
      </c>
      <c r="J649" t="s">
        <v>115</v>
      </c>
      <c r="K649" t="s">
        <v>116</v>
      </c>
      <c r="L649" t="s">
        <v>53</v>
      </c>
      <c r="N649" t="s">
        <v>1329</v>
      </c>
      <c r="P649" t="s">
        <v>55</v>
      </c>
      <c r="R649" t="s">
        <v>56</v>
      </c>
      <c r="T649" t="s">
        <v>1318</v>
      </c>
      <c r="U649" t="s">
        <v>58</v>
      </c>
      <c r="V649">
        <v>1</v>
      </c>
      <c r="W649">
        <v>1</v>
      </c>
      <c r="X649">
        <v>1</v>
      </c>
      <c r="Y649">
        <v>0</v>
      </c>
      <c r="Z649">
        <v>1</v>
      </c>
      <c r="AA649">
        <v>0</v>
      </c>
      <c r="AB649">
        <v>95.13</v>
      </c>
      <c r="AC649">
        <v>83.7</v>
      </c>
      <c r="AD649">
        <v>0</v>
      </c>
      <c r="AE649">
        <v>11.42</v>
      </c>
      <c r="AF649">
        <v>0</v>
      </c>
      <c r="AG649">
        <v>0</v>
      </c>
      <c r="AH649">
        <v>0</v>
      </c>
      <c r="AI649">
        <v>17.12</v>
      </c>
      <c r="AJ649">
        <v>95.12</v>
      </c>
      <c r="AK649">
        <v>-0.01</v>
      </c>
      <c r="AL649" t="s">
        <v>53</v>
      </c>
      <c r="AM649" t="s">
        <v>53</v>
      </c>
      <c r="AN649" t="s">
        <v>132</v>
      </c>
      <c r="AO649" t="s">
        <v>53</v>
      </c>
      <c r="AP649" t="s">
        <v>53</v>
      </c>
    </row>
    <row r="650" spans="2:42" x14ac:dyDescent="0.2">
      <c r="B650" t="s">
        <v>44</v>
      </c>
      <c r="C650" t="str">
        <f>HYPERLINK("https://us2.cloudbeds.com/connect/8493803454333002#/reservations/598500290705?display=E1E29RQX&amp;reservation_id=598500290705", "E1E29RQX")</f>
        <v>E1E29RQX</v>
      </c>
      <c r="D650" t="s">
        <v>45</v>
      </c>
      <c r="E650" t="s">
        <v>185</v>
      </c>
      <c r="F650" t="s">
        <v>47</v>
      </c>
      <c r="G650" t="s">
        <v>48</v>
      </c>
      <c r="H650" t="s">
        <v>71</v>
      </c>
      <c r="I650" t="s">
        <v>72</v>
      </c>
      <c r="J650" t="s">
        <v>1124</v>
      </c>
      <c r="K650" t="s">
        <v>956</v>
      </c>
      <c r="L650" t="s">
        <v>53</v>
      </c>
      <c r="N650" t="s">
        <v>1330</v>
      </c>
      <c r="P650" t="s">
        <v>55</v>
      </c>
      <c r="R650" t="s">
        <v>56</v>
      </c>
      <c r="T650" t="s">
        <v>1318</v>
      </c>
      <c r="U650" t="s">
        <v>58</v>
      </c>
      <c r="V650">
        <v>1</v>
      </c>
      <c r="W650">
        <v>1</v>
      </c>
      <c r="X650">
        <v>1</v>
      </c>
      <c r="Y650">
        <v>0</v>
      </c>
      <c r="Z650">
        <v>1</v>
      </c>
      <c r="AA650">
        <v>0</v>
      </c>
      <c r="AB650">
        <v>73.87</v>
      </c>
      <c r="AC650">
        <v>65</v>
      </c>
      <c r="AD650">
        <v>0</v>
      </c>
      <c r="AE650">
        <v>8.8800000000000008</v>
      </c>
      <c r="AF650">
        <v>0</v>
      </c>
      <c r="AG650">
        <v>0</v>
      </c>
      <c r="AH650">
        <v>0</v>
      </c>
      <c r="AI650">
        <v>0</v>
      </c>
      <c r="AJ650">
        <v>73.88</v>
      </c>
      <c r="AK650">
        <v>0.01</v>
      </c>
      <c r="AL650" t="s">
        <v>53</v>
      </c>
      <c r="AM650" t="s">
        <v>53</v>
      </c>
      <c r="AN650" t="s">
        <v>1331</v>
      </c>
      <c r="AO650" t="s">
        <v>53</v>
      </c>
      <c r="AP650" t="s">
        <v>53</v>
      </c>
    </row>
    <row r="651" spans="2:42" x14ac:dyDescent="0.2">
      <c r="B651" t="s">
        <v>44</v>
      </c>
      <c r="C651" t="str">
        <f>HYPERLINK("https://us2.cloudbeds.com/connect/8493803454333002#/reservations/579357954252?display=DJJUW3NW&amp;reservation_id=579357954252", "DJJUW3NW")</f>
        <v>DJJUW3NW</v>
      </c>
      <c r="D651" t="s">
        <v>45</v>
      </c>
      <c r="E651" t="s">
        <v>113</v>
      </c>
      <c r="F651" t="s">
        <v>61</v>
      </c>
      <c r="G651" t="s">
        <v>48</v>
      </c>
      <c r="H651" t="s">
        <v>49</v>
      </c>
      <c r="I651" t="s">
        <v>79</v>
      </c>
      <c r="J651" t="s">
        <v>1332</v>
      </c>
      <c r="K651" t="s">
        <v>1333</v>
      </c>
      <c r="L651" t="s">
        <v>53</v>
      </c>
      <c r="N651" t="s">
        <v>1334</v>
      </c>
      <c r="P651" t="s">
        <v>55</v>
      </c>
      <c r="R651" t="s">
        <v>56</v>
      </c>
      <c r="T651" t="s">
        <v>1318</v>
      </c>
      <c r="U651" t="s">
        <v>58</v>
      </c>
      <c r="V651">
        <v>1</v>
      </c>
      <c r="W651">
        <v>1</v>
      </c>
      <c r="X651">
        <v>1</v>
      </c>
      <c r="Y651">
        <v>0</v>
      </c>
      <c r="Z651">
        <v>1</v>
      </c>
      <c r="AA651">
        <v>0</v>
      </c>
      <c r="AB651">
        <v>155.47999999999999</v>
      </c>
      <c r="AC651">
        <v>136.80000000000001</v>
      </c>
      <c r="AD651">
        <v>0</v>
      </c>
      <c r="AE651">
        <v>18.68</v>
      </c>
      <c r="AF651">
        <v>0</v>
      </c>
      <c r="AG651">
        <v>0</v>
      </c>
      <c r="AH651">
        <v>0</v>
      </c>
      <c r="AI651">
        <v>0</v>
      </c>
      <c r="AJ651">
        <v>155.47999999999999</v>
      </c>
      <c r="AK651">
        <v>0</v>
      </c>
      <c r="AL651" t="s">
        <v>53</v>
      </c>
      <c r="AM651" t="s">
        <v>53</v>
      </c>
      <c r="AN651" t="s">
        <v>545</v>
      </c>
      <c r="AO651" t="s">
        <v>53</v>
      </c>
      <c r="AP651" t="s">
        <v>53</v>
      </c>
    </row>
    <row r="652" spans="2:42" x14ac:dyDescent="0.2">
      <c r="B652" t="s">
        <v>44</v>
      </c>
      <c r="C652" t="str">
        <f>HYPERLINK("https://us2.cloudbeds.com/connect/8493803454333002#/reservations/579354869900?display=DJJSC9EP&amp;reservation_id=579354869900", "DJJSC9EP")</f>
        <v>DJJSC9EP</v>
      </c>
      <c r="D652" t="s">
        <v>45</v>
      </c>
      <c r="E652" t="s">
        <v>165</v>
      </c>
      <c r="F652" t="s">
        <v>61</v>
      </c>
      <c r="G652" t="s">
        <v>48</v>
      </c>
      <c r="H652" t="s">
        <v>49</v>
      </c>
      <c r="I652" t="s">
        <v>79</v>
      </c>
      <c r="J652" t="s">
        <v>1332</v>
      </c>
      <c r="K652" t="s">
        <v>1333</v>
      </c>
      <c r="L652" t="s">
        <v>53</v>
      </c>
      <c r="N652" t="s">
        <v>1335</v>
      </c>
      <c r="P652" t="s">
        <v>55</v>
      </c>
      <c r="R652" t="s">
        <v>56</v>
      </c>
      <c r="T652" t="s">
        <v>1318</v>
      </c>
      <c r="U652" t="s">
        <v>58</v>
      </c>
      <c r="V652">
        <v>1</v>
      </c>
      <c r="W652">
        <v>1</v>
      </c>
      <c r="X652">
        <v>1</v>
      </c>
      <c r="Y652">
        <v>0</v>
      </c>
      <c r="Z652">
        <v>1</v>
      </c>
      <c r="AA652">
        <v>0</v>
      </c>
      <c r="AB652">
        <v>155.47999999999999</v>
      </c>
      <c r="AC652">
        <v>136.80000000000001</v>
      </c>
      <c r="AD652">
        <v>0</v>
      </c>
      <c r="AE652">
        <v>18.68</v>
      </c>
      <c r="AF652">
        <v>0</v>
      </c>
      <c r="AG652">
        <v>0</v>
      </c>
      <c r="AH652">
        <v>0</v>
      </c>
      <c r="AI652">
        <v>0</v>
      </c>
      <c r="AJ652">
        <v>155.47999999999999</v>
      </c>
      <c r="AK652">
        <v>0</v>
      </c>
      <c r="AL652" t="s">
        <v>53</v>
      </c>
      <c r="AM652" t="s">
        <v>53</v>
      </c>
      <c r="AN652" t="s">
        <v>245</v>
      </c>
      <c r="AO652" t="s">
        <v>53</v>
      </c>
      <c r="AP652" t="s">
        <v>53</v>
      </c>
    </row>
    <row r="653" spans="2:42" x14ac:dyDescent="0.2">
      <c r="B653" t="s">
        <v>44</v>
      </c>
      <c r="C653" t="str">
        <f>HYPERLINK("https://us2.cloudbeds.com/connect/8493803454333002#/reservations/579283902650?display=DJX1HH31&amp;reservation_id=579283902650", "DJX1HH31")</f>
        <v>DJX1HH31</v>
      </c>
      <c r="D653" t="s">
        <v>45</v>
      </c>
      <c r="E653" t="s">
        <v>155</v>
      </c>
      <c r="F653" t="s">
        <v>86</v>
      </c>
      <c r="G653" t="s">
        <v>48</v>
      </c>
      <c r="H653" t="s">
        <v>49</v>
      </c>
      <c r="I653" t="s">
        <v>62</v>
      </c>
      <c r="J653" t="s">
        <v>1336</v>
      </c>
      <c r="K653" t="s">
        <v>1337</v>
      </c>
      <c r="L653" t="s">
        <v>53</v>
      </c>
      <c r="N653" t="s">
        <v>1338</v>
      </c>
      <c r="P653" t="s">
        <v>55</v>
      </c>
      <c r="R653" t="s">
        <v>56</v>
      </c>
      <c r="T653" t="s">
        <v>1318</v>
      </c>
      <c r="U653" t="s">
        <v>58</v>
      </c>
      <c r="V653">
        <v>1</v>
      </c>
      <c r="W653">
        <v>1</v>
      </c>
      <c r="X653">
        <v>1</v>
      </c>
      <c r="Y653">
        <v>0</v>
      </c>
      <c r="Z653">
        <v>1</v>
      </c>
      <c r="AA653">
        <v>0</v>
      </c>
      <c r="AB653">
        <v>159.11000000000001</v>
      </c>
      <c r="AC653">
        <v>140</v>
      </c>
      <c r="AD653">
        <v>0</v>
      </c>
      <c r="AE653">
        <v>19.11</v>
      </c>
      <c r="AF653">
        <v>0</v>
      </c>
      <c r="AG653">
        <v>0</v>
      </c>
      <c r="AH653">
        <v>0</v>
      </c>
      <c r="AI653">
        <v>23.87</v>
      </c>
      <c r="AJ653">
        <v>159.11000000000001</v>
      </c>
      <c r="AK653">
        <v>0</v>
      </c>
      <c r="AL653" t="s">
        <v>53</v>
      </c>
      <c r="AM653" t="s">
        <v>53</v>
      </c>
      <c r="AN653" t="s">
        <v>413</v>
      </c>
      <c r="AO653" t="s">
        <v>53</v>
      </c>
      <c r="AP653" t="s">
        <v>53</v>
      </c>
    </row>
    <row r="654" spans="2:42" x14ac:dyDescent="0.2">
      <c r="B654" t="s">
        <v>44</v>
      </c>
      <c r="C654" t="str">
        <f>HYPERLINK("https://us2.cloudbeds.com/connect/8493803454333002#/reservations/598457090278?display=E1CVSNWZ&amp;reservation_id=598457090278", "E1CVSNWZ")</f>
        <v>E1CVSNWZ</v>
      </c>
      <c r="D654" t="s">
        <v>45</v>
      </c>
      <c r="E654" t="s">
        <v>78</v>
      </c>
      <c r="F654" t="s">
        <v>61</v>
      </c>
      <c r="G654" t="s">
        <v>48</v>
      </c>
      <c r="H654" t="s">
        <v>49</v>
      </c>
      <c r="I654" t="s">
        <v>62</v>
      </c>
      <c r="J654" t="s">
        <v>1117</v>
      </c>
      <c r="K654" t="s">
        <v>699</v>
      </c>
      <c r="L654" t="s">
        <v>53</v>
      </c>
      <c r="N654" t="s">
        <v>1339</v>
      </c>
      <c r="P654" t="s">
        <v>55</v>
      </c>
      <c r="R654" t="s">
        <v>56</v>
      </c>
      <c r="T654" t="s">
        <v>1340</v>
      </c>
      <c r="U654" t="s">
        <v>58</v>
      </c>
      <c r="V654">
        <v>1</v>
      </c>
      <c r="W654">
        <v>1</v>
      </c>
      <c r="X654">
        <v>1</v>
      </c>
      <c r="Y654">
        <v>0</v>
      </c>
      <c r="Z654">
        <v>1</v>
      </c>
      <c r="AA654">
        <v>0</v>
      </c>
      <c r="AB654">
        <v>125.02</v>
      </c>
      <c r="AC654">
        <v>110</v>
      </c>
      <c r="AD654">
        <v>0</v>
      </c>
      <c r="AE654">
        <v>15.02</v>
      </c>
      <c r="AF654">
        <v>0</v>
      </c>
      <c r="AG654">
        <v>0</v>
      </c>
      <c r="AH654">
        <v>0</v>
      </c>
      <c r="AI654">
        <v>18.75</v>
      </c>
      <c r="AJ654">
        <v>125.02</v>
      </c>
      <c r="AK654">
        <v>0</v>
      </c>
      <c r="AL654" t="s">
        <v>53</v>
      </c>
      <c r="AM654" t="s">
        <v>53</v>
      </c>
      <c r="AN654" t="s">
        <v>91</v>
      </c>
      <c r="AO654" t="s">
        <v>53</v>
      </c>
      <c r="AP654" t="s">
        <v>53</v>
      </c>
    </row>
    <row r="655" spans="2:42" x14ac:dyDescent="0.2">
      <c r="B655" t="s">
        <v>44</v>
      </c>
      <c r="C655" t="str">
        <f>HYPERLINK("https://us2.cloudbeds.com/connect/8493803454333002#/reservations/598593351865?display=E1GEPDDZ&amp;reservation_id=598593351865", "E1GEPDDZ")</f>
        <v>E1GEPDDZ</v>
      </c>
      <c r="D655" t="s">
        <v>45</v>
      </c>
      <c r="E655" t="s">
        <v>78</v>
      </c>
      <c r="F655" t="s">
        <v>61</v>
      </c>
      <c r="G655" t="s">
        <v>48</v>
      </c>
      <c r="H655" t="s">
        <v>49</v>
      </c>
      <c r="I655" t="s">
        <v>79</v>
      </c>
      <c r="J655" t="s">
        <v>143</v>
      </c>
      <c r="K655" t="s">
        <v>196</v>
      </c>
      <c r="L655" t="s">
        <v>53</v>
      </c>
      <c r="N655" t="s">
        <v>1341</v>
      </c>
      <c r="P655" t="s">
        <v>55</v>
      </c>
      <c r="R655" t="s">
        <v>56</v>
      </c>
      <c r="T655" t="s">
        <v>1340</v>
      </c>
      <c r="U655" t="s">
        <v>58</v>
      </c>
      <c r="V655">
        <v>3</v>
      </c>
      <c r="W655">
        <v>1</v>
      </c>
      <c r="X655">
        <v>1</v>
      </c>
      <c r="Y655">
        <v>0</v>
      </c>
      <c r="Z655">
        <v>1</v>
      </c>
      <c r="AA655">
        <v>0</v>
      </c>
      <c r="AB655">
        <v>497.11</v>
      </c>
      <c r="AC655">
        <v>437.4</v>
      </c>
      <c r="AD655">
        <v>0</v>
      </c>
      <c r="AE655">
        <v>59.7</v>
      </c>
      <c r="AF655">
        <v>0</v>
      </c>
      <c r="AG655">
        <v>0</v>
      </c>
      <c r="AH655">
        <v>0</v>
      </c>
      <c r="AI655">
        <v>0</v>
      </c>
      <c r="AJ655">
        <v>497.1</v>
      </c>
      <c r="AK655">
        <v>-0.01</v>
      </c>
      <c r="AL655" t="s">
        <v>53</v>
      </c>
      <c r="AM655" t="s">
        <v>53</v>
      </c>
      <c r="AN655" t="s">
        <v>349</v>
      </c>
      <c r="AO655" t="s">
        <v>53</v>
      </c>
      <c r="AP655" t="s">
        <v>53</v>
      </c>
    </row>
    <row r="656" spans="2:42" x14ac:dyDescent="0.2">
      <c r="B656" t="s">
        <v>44</v>
      </c>
      <c r="C656" t="str">
        <f>HYPERLINK("https://us2.cloudbeds.com/connect/8493803454333002#/reservations/598560456840?display=E1FK11PQ&amp;reservation_id=598560456840", "E1FK11PQ")</f>
        <v>E1FK11PQ</v>
      </c>
      <c r="D656" t="s">
        <v>45</v>
      </c>
      <c r="E656" t="s">
        <v>92</v>
      </c>
      <c r="F656" t="s">
        <v>86</v>
      </c>
      <c r="G656" t="s">
        <v>48</v>
      </c>
      <c r="H656" t="s">
        <v>49</v>
      </c>
      <c r="I656" t="s">
        <v>62</v>
      </c>
      <c r="J656" t="s">
        <v>327</v>
      </c>
      <c r="K656" t="s">
        <v>970</v>
      </c>
      <c r="L656" t="s">
        <v>53</v>
      </c>
      <c r="N656" t="s">
        <v>1342</v>
      </c>
      <c r="P656" t="s">
        <v>55</v>
      </c>
      <c r="R656" t="s">
        <v>56</v>
      </c>
      <c r="T656" t="s">
        <v>1340</v>
      </c>
      <c r="U656" t="s">
        <v>58</v>
      </c>
      <c r="V656">
        <v>1</v>
      </c>
      <c r="W656">
        <v>1</v>
      </c>
      <c r="X656">
        <v>1</v>
      </c>
      <c r="Y656">
        <v>0</v>
      </c>
      <c r="Z656">
        <v>1</v>
      </c>
      <c r="AA656">
        <v>0</v>
      </c>
      <c r="AB656">
        <v>177.29</v>
      </c>
      <c r="AC656">
        <v>156</v>
      </c>
      <c r="AD656">
        <v>0</v>
      </c>
      <c r="AE656">
        <v>21.29</v>
      </c>
      <c r="AF656">
        <v>0</v>
      </c>
      <c r="AG656">
        <v>0</v>
      </c>
      <c r="AH656">
        <v>0</v>
      </c>
      <c r="AI656">
        <v>26.59</v>
      </c>
      <c r="AJ656">
        <v>177.29</v>
      </c>
      <c r="AK656">
        <v>0</v>
      </c>
      <c r="AL656" t="s">
        <v>53</v>
      </c>
      <c r="AM656" t="s">
        <v>53</v>
      </c>
      <c r="AN656" t="s">
        <v>178</v>
      </c>
      <c r="AO656" t="s">
        <v>53</v>
      </c>
      <c r="AP656" t="s">
        <v>53</v>
      </c>
    </row>
    <row r="657" spans="2:42" x14ac:dyDescent="0.2">
      <c r="B657" t="s">
        <v>44</v>
      </c>
      <c r="C657" t="str">
        <f>HYPERLINK("https://us2.cloudbeds.com/connect/8493803454333002#/reservations/598360952988?display=E1AGQXYG&amp;reservation_id=598360952988", "E1AGQXYG")</f>
        <v>E1AGQXYG</v>
      </c>
      <c r="D657" t="s">
        <v>45</v>
      </c>
      <c r="E657" t="s">
        <v>190</v>
      </c>
      <c r="F657" t="s">
        <v>61</v>
      </c>
      <c r="G657" t="s">
        <v>48</v>
      </c>
      <c r="H657" t="s">
        <v>49</v>
      </c>
      <c r="I657" t="s">
        <v>62</v>
      </c>
      <c r="J657" t="s">
        <v>143</v>
      </c>
      <c r="K657" t="s">
        <v>196</v>
      </c>
      <c r="L657" t="s">
        <v>53</v>
      </c>
      <c r="N657" t="s">
        <v>1343</v>
      </c>
      <c r="P657" t="s">
        <v>55</v>
      </c>
      <c r="R657" t="s">
        <v>56</v>
      </c>
      <c r="T657" t="s">
        <v>1340</v>
      </c>
      <c r="U657" t="s">
        <v>58</v>
      </c>
      <c r="V657">
        <v>3</v>
      </c>
      <c r="W657">
        <v>1</v>
      </c>
      <c r="X657">
        <v>1</v>
      </c>
      <c r="Y657">
        <v>0</v>
      </c>
      <c r="Z657">
        <v>1</v>
      </c>
      <c r="AA657">
        <v>0</v>
      </c>
      <c r="AB657">
        <v>552.34</v>
      </c>
      <c r="AC657">
        <v>486</v>
      </c>
      <c r="AD657">
        <v>0</v>
      </c>
      <c r="AE657">
        <v>66.36</v>
      </c>
      <c r="AF657">
        <v>0</v>
      </c>
      <c r="AG657">
        <v>0</v>
      </c>
      <c r="AH657">
        <v>0</v>
      </c>
      <c r="AI657">
        <v>82.85</v>
      </c>
      <c r="AJ657">
        <v>552.36</v>
      </c>
      <c r="AK657">
        <v>0.02</v>
      </c>
      <c r="AL657" t="s">
        <v>53</v>
      </c>
      <c r="AM657" t="s">
        <v>53</v>
      </c>
      <c r="AN657" t="s">
        <v>137</v>
      </c>
      <c r="AO657" t="s">
        <v>53</v>
      </c>
      <c r="AP657" t="s">
        <v>53</v>
      </c>
    </row>
    <row r="658" spans="2:42" x14ac:dyDescent="0.2">
      <c r="B658" t="s">
        <v>44</v>
      </c>
      <c r="C658" t="str">
        <f>HYPERLINK("https://us2.cloudbeds.com/connect/8493803454333002#/reservations/598093918354?display=E13MKUPU&amp;reservation_id=598093918354", "E13MKUPU")</f>
        <v>E13MKUPU</v>
      </c>
      <c r="D658" t="s">
        <v>45</v>
      </c>
      <c r="E658" t="s">
        <v>373</v>
      </c>
      <c r="F658" t="s">
        <v>47</v>
      </c>
      <c r="G658" t="s">
        <v>48</v>
      </c>
      <c r="H658" t="s">
        <v>49</v>
      </c>
      <c r="I658" t="s">
        <v>62</v>
      </c>
      <c r="J658" t="s">
        <v>538</v>
      </c>
      <c r="K658" t="s">
        <v>292</v>
      </c>
      <c r="L658" t="s">
        <v>53</v>
      </c>
      <c r="N658" t="s">
        <v>1344</v>
      </c>
      <c r="P658" t="s">
        <v>55</v>
      </c>
      <c r="R658" t="s">
        <v>102</v>
      </c>
      <c r="T658" t="s">
        <v>1340</v>
      </c>
      <c r="U658" t="s">
        <v>58</v>
      </c>
      <c r="V658">
        <v>3</v>
      </c>
      <c r="W658">
        <v>1</v>
      </c>
      <c r="X658">
        <v>1</v>
      </c>
      <c r="Y658">
        <v>0</v>
      </c>
      <c r="Z658">
        <v>1</v>
      </c>
      <c r="AA658">
        <v>0</v>
      </c>
      <c r="AB658">
        <v>398.91</v>
      </c>
      <c r="AC658">
        <v>351</v>
      </c>
      <c r="AD658">
        <v>0</v>
      </c>
      <c r="AE658">
        <v>47.91</v>
      </c>
      <c r="AF658">
        <v>0</v>
      </c>
      <c r="AG658">
        <v>0</v>
      </c>
      <c r="AH658">
        <v>0</v>
      </c>
      <c r="AI658">
        <v>59.84</v>
      </c>
      <c r="AJ658">
        <v>398.91</v>
      </c>
      <c r="AK658">
        <v>0</v>
      </c>
      <c r="AL658" t="s">
        <v>53</v>
      </c>
      <c r="AM658" t="s">
        <v>53</v>
      </c>
      <c r="AN658" t="s">
        <v>178</v>
      </c>
      <c r="AO658" t="s">
        <v>53</v>
      </c>
      <c r="AP658" t="s">
        <v>53</v>
      </c>
    </row>
    <row r="659" spans="2:42" x14ac:dyDescent="0.2">
      <c r="B659" t="s">
        <v>44</v>
      </c>
      <c r="C659" t="str">
        <f>HYPERLINK("https://us2.cloudbeds.com/connect/8493803454333002#/reservations/598103384276?display=E13UKB31&amp;reservation_id=598103384276", "E13UKB31")</f>
        <v>E13UKB31</v>
      </c>
      <c r="D659" t="s">
        <v>45</v>
      </c>
      <c r="E659" t="s">
        <v>487</v>
      </c>
      <c r="F659" t="s">
        <v>61</v>
      </c>
      <c r="G659" t="s">
        <v>48</v>
      </c>
      <c r="H659" t="s">
        <v>49</v>
      </c>
      <c r="I659" t="s">
        <v>50</v>
      </c>
      <c r="J659" t="s">
        <v>116</v>
      </c>
      <c r="K659" t="s">
        <v>298</v>
      </c>
      <c r="L659" t="s">
        <v>53</v>
      </c>
      <c r="N659" t="s">
        <v>1345</v>
      </c>
      <c r="P659" t="s">
        <v>55</v>
      </c>
      <c r="R659" t="s">
        <v>56</v>
      </c>
      <c r="T659" t="s">
        <v>1340</v>
      </c>
      <c r="U659" t="s">
        <v>58</v>
      </c>
      <c r="V659">
        <v>1</v>
      </c>
      <c r="W659">
        <v>1</v>
      </c>
      <c r="X659">
        <v>1</v>
      </c>
      <c r="Y659">
        <v>0</v>
      </c>
      <c r="Z659">
        <v>1</v>
      </c>
      <c r="AA659">
        <v>0</v>
      </c>
      <c r="AB659">
        <v>95.13</v>
      </c>
      <c r="AC659">
        <v>83.7</v>
      </c>
      <c r="AD659">
        <v>0</v>
      </c>
      <c r="AE659">
        <v>11.42</v>
      </c>
      <c r="AF659">
        <v>0</v>
      </c>
      <c r="AG659">
        <v>0</v>
      </c>
      <c r="AH659">
        <v>0</v>
      </c>
      <c r="AI659">
        <v>17.12</v>
      </c>
      <c r="AJ659">
        <v>95.12</v>
      </c>
      <c r="AK659">
        <v>-0.01</v>
      </c>
      <c r="AL659" t="s">
        <v>53</v>
      </c>
      <c r="AM659" t="s">
        <v>53</v>
      </c>
      <c r="AN659" t="s">
        <v>159</v>
      </c>
      <c r="AO659" t="s">
        <v>53</v>
      </c>
      <c r="AP659" t="s">
        <v>53</v>
      </c>
    </row>
    <row r="660" spans="2:42" x14ac:dyDescent="0.2">
      <c r="B660" t="s">
        <v>44</v>
      </c>
      <c r="C660" t="str">
        <f>HYPERLINK("https://us2.cloudbeds.com/connect/8493803454333002#/reservations/598421422318?display=E1C1Q71F&amp;reservation_id=598421422318", "E1C1Q71F")</f>
        <v>E1C1Q71F</v>
      </c>
      <c r="D660" t="s">
        <v>45</v>
      </c>
      <c r="E660" t="s">
        <v>92</v>
      </c>
      <c r="F660" t="s">
        <v>86</v>
      </c>
      <c r="G660" t="s">
        <v>48</v>
      </c>
      <c r="H660" t="s">
        <v>49</v>
      </c>
      <c r="I660" t="s">
        <v>62</v>
      </c>
      <c r="J660" t="s">
        <v>88</v>
      </c>
      <c r="K660" t="s">
        <v>327</v>
      </c>
      <c r="L660" t="s">
        <v>53</v>
      </c>
      <c r="N660" t="s">
        <v>1346</v>
      </c>
      <c r="P660" t="s">
        <v>55</v>
      </c>
      <c r="R660" t="s">
        <v>513</v>
      </c>
      <c r="T660" t="s">
        <v>1340</v>
      </c>
      <c r="U660" t="s">
        <v>58</v>
      </c>
      <c r="V660">
        <v>1</v>
      </c>
      <c r="W660">
        <v>1</v>
      </c>
      <c r="X660">
        <v>1</v>
      </c>
      <c r="Y660">
        <v>0</v>
      </c>
      <c r="Z660">
        <v>1</v>
      </c>
      <c r="AA660">
        <v>0</v>
      </c>
      <c r="AB660">
        <v>177.29</v>
      </c>
      <c r="AC660">
        <v>156</v>
      </c>
      <c r="AD660">
        <v>0</v>
      </c>
      <c r="AE660">
        <v>21.29</v>
      </c>
      <c r="AF660">
        <v>0</v>
      </c>
      <c r="AG660">
        <v>0</v>
      </c>
      <c r="AH660">
        <v>0</v>
      </c>
      <c r="AI660">
        <v>26.59</v>
      </c>
      <c r="AJ660">
        <v>177.29</v>
      </c>
      <c r="AK660">
        <v>0</v>
      </c>
      <c r="AL660" t="s">
        <v>53</v>
      </c>
      <c r="AM660" t="s">
        <v>53</v>
      </c>
      <c r="AN660" t="s">
        <v>104</v>
      </c>
      <c r="AO660" t="s">
        <v>53</v>
      </c>
      <c r="AP660" t="s">
        <v>53</v>
      </c>
    </row>
    <row r="661" spans="2:42" x14ac:dyDescent="0.2">
      <c r="B661" t="s">
        <v>44</v>
      </c>
      <c r="C661" t="str">
        <f>HYPERLINK("https://us2.cloudbeds.com/connect/8493803454333002#/reservations/598418976977?display=E1BWZ5X7&amp;reservation_id=598418976977", "E1BWZ5X7")</f>
        <v>E1BWZ5X7</v>
      </c>
      <c r="D661" t="s">
        <v>45</v>
      </c>
      <c r="E661" t="s">
        <v>305</v>
      </c>
      <c r="F661" t="s">
        <v>61</v>
      </c>
      <c r="G661" t="s">
        <v>48</v>
      </c>
      <c r="H661" t="s">
        <v>49</v>
      </c>
      <c r="I661" t="s">
        <v>50</v>
      </c>
      <c r="J661" t="s">
        <v>116</v>
      </c>
      <c r="K661" t="s">
        <v>298</v>
      </c>
      <c r="L661" t="s">
        <v>53</v>
      </c>
      <c r="N661" t="s">
        <v>1347</v>
      </c>
      <c r="P661" t="s">
        <v>55</v>
      </c>
      <c r="R661" t="s">
        <v>56</v>
      </c>
      <c r="T661" t="s">
        <v>1340</v>
      </c>
      <c r="U661" t="s">
        <v>58</v>
      </c>
      <c r="V661">
        <v>1</v>
      </c>
      <c r="W661">
        <v>1</v>
      </c>
      <c r="X661">
        <v>1</v>
      </c>
      <c r="Y661">
        <v>0</v>
      </c>
      <c r="Z661">
        <v>1</v>
      </c>
      <c r="AA661">
        <v>0</v>
      </c>
      <c r="AB661">
        <v>95.13</v>
      </c>
      <c r="AC661">
        <v>83.7</v>
      </c>
      <c r="AD661">
        <v>0</v>
      </c>
      <c r="AE661">
        <v>11.42</v>
      </c>
      <c r="AF661">
        <v>0</v>
      </c>
      <c r="AG661">
        <v>0</v>
      </c>
      <c r="AH661">
        <v>0</v>
      </c>
      <c r="AI661">
        <v>17.12</v>
      </c>
      <c r="AJ661">
        <v>95.12</v>
      </c>
      <c r="AK661">
        <v>-0.01</v>
      </c>
      <c r="AL661" t="s">
        <v>53</v>
      </c>
      <c r="AM661" t="s">
        <v>53</v>
      </c>
      <c r="AN661" t="s">
        <v>97</v>
      </c>
      <c r="AO661" t="s">
        <v>53</v>
      </c>
      <c r="AP661" t="s">
        <v>53</v>
      </c>
    </row>
    <row r="662" spans="2:42" x14ac:dyDescent="0.2">
      <c r="B662" t="s">
        <v>44</v>
      </c>
      <c r="C662" t="str">
        <f>HYPERLINK("https://us2.cloudbeds.com/connect/8493803454333002#/reservations/598483558540?display=E1DY6839&amp;reservation_id=598483558540", "E1DY6839")</f>
        <v>E1DY6839</v>
      </c>
      <c r="D662" t="s">
        <v>45</v>
      </c>
      <c r="E662" t="s">
        <v>185</v>
      </c>
      <c r="F662" t="s">
        <v>47</v>
      </c>
      <c r="G662" t="s">
        <v>48</v>
      </c>
      <c r="H662" t="s">
        <v>49</v>
      </c>
      <c r="I662" t="s">
        <v>79</v>
      </c>
      <c r="J662" t="s">
        <v>970</v>
      </c>
      <c r="K662" t="s">
        <v>289</v>
      </c>
      <c r="L662" t="s">
        <v>53</v>
      </c>
      <c r="N662" t="s">
        <v>1348</v>
      </c>
      <c r="P662" t="s">
        <v>55</v>
      </c>
      <c r="R662" t="s">
        <v>56</v>
      </c>
      <c r="T662" t="s">
        <v>1340</v>
      </c>
      <c r="U662" t="s">
        <v>58</v>
      </c>
      <c r="V662">
        <v>2</v>
      </c>
      <c r="W662">
        <v>1</v>
      </c>
      <c r="X662">
        <v>1</v>
      </c>
      <c r="Y662">
        <v>0</v>
      </c>
      <c r="Z662">
        <v>1</v>
      </c>
      <c r="AA662">
        <v>0</v>
      </c>
      <c r="AB662">
        <v>276.17</v>
      </c>
      <c r="AC662">
        <v>243</v>
      </c>
      <c r="AD662">
        <v>0</v>
      </c>
      <c r="AE662">
        <v>33.159999999999997</v>
      </c>
      <c r="AF662">
        <v>0</v>
      </c>
      <c r="AG662">
        <v>0</v>
      </c>
      <c r="AH662">
        <v>0</v>
      </c>
      <c r="AI662">
        <v>0</v>
      </c>
      <c r="AJ662">
        <v>276.16000000000003</v>
      </c>
      <c r="AK662">
        <v>-0.01</v>
      </c>
      <c r="AL662" t="s">
        <v>53</v>
      </c>
      <c r="AM662" t="s">
        <v>53</v>
      </c>
      <c r="AN662" t="s">
        <v>59</v>
      </c>
      <c r="AO662" t="s">
        <v>53</v>
      </c>
      <c r="AP662" t="s">
        <v>53</v>
      </c>
    </row>
    <row r="663" spans="2:42" x14ac:dyDescent="0.2">
      <c r="B663" t="s">
        <v>44</v>
      </c>
      <c r="C663" t="str">
        <f>HYPERLINK("https://us2.cloudbeds.com/connect/8493803454333002#/reservations/598513660117?display=E1EDXSJ9&amp;reservation_id=598513660117", "E1EDXSJ9")</f>
        <v>E1EDXSJ9</v>
      </c>
      <c r="D663" t="s">
        <v>45</v>
      </c>
      <c r="E663" t="s">
        <v>213</v>
      </c>
      <c r="F663" t="s">
        <v>86</v>
      </c>
      <c r="G663" t="s">
        <v>48</v>
      </c>
      <c r="H663" t="s">
        <v>49</v>
      </c>
      <c r="I663" t="s">
        <v>62</v>
      </c>
      <c r="J663" t="s">
        <v>243</v>
      </c>
      <c r="K663" t="s">
        <v>1349</v>
      </c>
      <c r="L663" t="s">
        <v>53</v>
      </c>
      <c r="N663" t="s">
        <v>1350</v>
      </c>
      <c r="P663" t="s">
        <v>55</v>
      </c>
      <c r="R663" t="s">
        <v>513</v>
      </c>
      <c r="T663" t="s">
        <v>1340</v>
      </c>
      <c r="U663" t="s">
        <v>58</v>
      </c>
      <c r="V663">
        <v>1</v>
      </c>
      <c r="W663">
        <v>1</v>
      </c>
      <c r="X663">
        <v>1</v>
      </c>
      <c r="Y663">
        <v>0</v>
      </c>
      <c r="Z663">
        <v>1</v>
      </c>
      <c r="AA663">
        <v>0</v>
      </c>
      <c r="AB663">
        <v>89.78</v>
      </c>
      <c r="AC663">
        <v>79</v>
      </c>
      <c r="AD663">
        <v>0</v>
      </c>
      <c r="AE663">
        <v>10.79</v>
      </c>
      <c r="AF663">
        <v>0</v>
      </c>
      <c r="AG663">
        <v>0</v>
      </c>
      <c r="AH663">
        <v>0</v>
      </c>
      <c r="AI663">
        <v>13.47</v>
      </c>
      <c r="AJ663">
        <v>89.79</v>
      </c>
      <c r="AK663">
        <v>0.01</v>
      </c>
      <c r="AL663" t="s">
        <v>53</v>
      </c>
      <c r="AM663" t="s">
        <v>53</v>
      </c>
      <c r="AN663" t="s">
        <v>1351</v>
      </c>
      <c r="AO663" t="s">
        <v>53</v>
      </c>
      <c r="AP663" t="s">
        <v>53</v>
      </c>
    </row>
    <row r="664" spans="2:42" x14ac:dyDescent="0.2">
      <c r="B664" t="s">
        <v>44</v>
      </c>
      <c r="C664" t="str">
        <f>HYPERLINK("https://us2.cloudbeds.com/connect/8493803454333002#/reservations/598393057465?display=E1BASUBE&amp;reservation_id=598393057465", "E1BASUBE")</f>
        <v>E1BASUBE</v>
      </c>
      <c r="D664" t="s">
        <v>45</v>
      </c>
      <c r="E664" t="s">
        <v>138</v>
      </c>
      <c r="F664" t="s">
        <v>70</v>
      </c>
      <c r="G664" t="s">
        <v>48</v>
      </c>
      <c r="H664" t="s">
        <v>49</v>
      </c>
      <c r="I664" t="s">
        <v>62</v>
      </c>
      <c r="J664" t="s">
        <v>454</v>
      </c>
      <c r="K664" t="s">
        <v>560</v>
      </c>
      <c r="L664" t="s">
        <v>53</v>
      </c>
      <c r="N664" t="s">
        <v>1352</v>
      </c>
      <c r="P664" t="s">
        <v>55</v>
      </c>
      <c r="R664" t="s">
        <v>56</v>
      </c>
      <c r="T664" t="s">
        <v>1340</v>
      </c>
      <c r="U664" t="s">
        <v>58</v>
      </c>
      <c r="V664">
        <v>2</v>
      </c>
      <c r="W664">
        <v>1</v>
      </c>
      <c r="X664">
        <v>1</v>
      </c>
      <c r="Y664">
        <v>0</v>
      </c>
      <c r="Z664">
        <v>1</v>
      </c>
      <c r="AA664">
        <v>0</v>
      </c>
      <c r="AB664">
        <v>190.93</v>
      </c>
      <c r="AC664">
        <v>168</v>
      </c>
      <c r="AD664">
        <v>0</v>
      </c>
      <c r="AE664">
        <v>22.94</v>
      </c>
      <c r="AF664">
        <v>0</v>
      </c>
      <c r="AG664">
        <v>0</v>
      </c>
      <c r="AH664">
        <v>0</v>
      </c>
      <c r="AI664">
        <v>28.64</v>
      </c>
      <c r="AJ664">
        <v>190.94</v>
      </c>
      <c r="AK664">
        <v>0.01</v>
      </c>
      <c r="AL664" t="s">
        <v>53</v>
      </c>
      <c r="AM664" t="s">
        <v>53</v>
      </c>
      <c r="AN664" t="s">
        <v>1353</v>
      </c>
      <c r="AO664" t="s">
        <v>53</v>
      </c>
      <c r="AP664" t="s">
        <v>53</v>
      </c>
    </row>
    <row r="665" spans="2:42" x14ac:dyDescent="0.2">
      <c r="B665" t="s">
        <v>44</v>
      </c>
      <c r="C665" t="str">
        <f>HYPERLINK("https://us2.cloudbeds.com/connect/8493803454333002#/reservations/598267773177?display=E1847N2T&amp;reservation_id=598267773177", "E1847N2T")</f>
        <v>E1847N2T</v>
      </c>
      <c r="D665" t="s">
        <v>45</v>
      </c>
      <c r="E665" t="s">
        <v>190</v>
      </c>
      <c r="F665" t="s">
        <v>61</v>
      </c>
      <c r="G665" t="s">
        <v>48</v>
      </c>
      <c r="H665" t="s">
        <v>71</v>
      </c>
      <c r="I665" t="s">
        <v>72</v>
      </c>
      <c r="J665" t="s">
        <v>242</v>
      </c>
      <c r="K665" t="s">
        <v>1349</v>
      </c>
      <c r="L665" t="s">
        <v>53</v>
      </c>
      <c r="N665" t="s">
        <v>1354</v>
      </c>
      <c r="P665" t="s">
        <v>55</v>
      </c>
      <c r="R665" t="s">
        <v>56</v>
      </c>
      <c r="T665" t="s">
        <v>1340</v>
      </c>
      <c r="U665" t="s">
        <v>58</v>
      </c>
      <c r="V665">
        <v>3</v>
      </c>
      <c r="W665">
        <v>1</v>
      </c>
      <c r="X665">
        <v>1</v>
      </c>
      <c r="Y665">
        <v>0</v>
      </c>
      <c r="Z665">
        <v>1</v>
      </c>
      <c r="AA665">
        <v>0</v>
      </c>
      <c r="AB665">
        <v>235.26</v>
      </c>
      <c r="AC665">
        <v>207</v>
      </c>
      <c r="AD665">
        <v>0</v>
      </c>
      <c r="AE665">
        <v>28.26</v>
      </c>
      <c r="AF665">
        <v>0</v>
      </c>
      <c r="AG665">
        <v>0</v>
      </c>
      <c r="AH665">
        <v>0</v>
      </c>
      <c r="AI665">
        <v>0</v>
      </c>
      <c r="AJ665">
        <v>235.26</v>
      </c>
      <c r="AK665">
        <v>0</v>
      </c>
      <c r="AL665" t="s">
        <v>53</v>
      </c>
      <c r="AM665" t="s">
        <v>53</v>
      </c>
      <c r="AN665" t="s">
        <v>1355</v>
      </c>
      <c r="AO665" t="s">
        <v>53</v>
      </c>
      <c r="AP665" t="s">
        <v>53</v>
      </c>
    </row>
    <row r="666" spans="2:42" x14ac:dyDescent="0.2">
      <c r="B666" t="s">
        <v>44</v>
      </c>
      <c r="C666" t="str">
        <f>HYPERLINK("https://us2.cloudbeds.com/connect/8493803454333002#/reservations/598358732929?display=E1AEUMAN&amp;reservation_id=598358732929", "E1AEUMAN")</f>
        <v>E1AEUMAN</v>
      </c>
      <c r="D666" t="s">
        <v>45</v>
      </c>
      <c r="E666" t="s">
        <v>138</v>
      </c>
      <c r="F666" t="s">
        <v>70</v>
      </c>
      <c r="G666" t="s">
        <v>48</v>
      </c>
      <c r="H666" t="s">
        <v>49</v>
      </c>
      <c r="I666" t="s">
        <v>79</v>
      </c>
      <c r="J666" t="s">
        <v>167</v>
      </c>
      <c r="K666" t="s">
        <v>746</v>
      </c>
      <c r="L666" t="s">
        <v>53</v>
      </c>
      <c r="N666" t="s">
        <v>1356</v>
      </c>
      <c r="P666" t="s">
        <v>55</v>
      </c>
      <c r="R666" t="s">
        <v>56</v>
      </c>
      <c r="T666" t="s">
        <v>1340</v>
      </c>
      <c r="U666" t="s">
        <v>58</v>
      </c>
      <c r="V666">
        <v>2</v>
      </c>
      <c r="W666">
        <v>1</v>
      </c>
      <c r="X666">
        <v>1</v>
      </c>
      <c r="Y666">
        <v>0</v>
      </c>
      <c r="Z666">
        <v>1</v>
      </c>
      <c r="AA666">
        <v>0</v>
      </c>
      <c r="AB666">
        <v>137.06</v>
      </c>
      <c r="AC666">
        <v>120.6</v>
      </c>
      <c r="AD666">
        <v>0</v>
      </c>
      <c r="AE666">
        <v>16.48</v>
      </c>
      <c r="AF666">
        <v>0</v>
      </c>
      <c r="AG666">
        <v>0</v>
      </c>
      <c r="AH666">
        <v>0</v>
      </c>
      <c r="AI666">
        <v>0</v>
      </c>
      <c r="AJ666">
        <v>137.08000000000001</v>
      </c>
      <c r="AK666">
        <v>0.02</v>
      </c>
      <c r="AL666" t="s">
        <v>53</v>
      </c>
      <c r="AM666" t="s">
        <v>53</v>
      </c>
      <c r="AN666" t="s">
        <v>198</v>
      </c>
      <c r="AO666" t="s">
        <v>53</v>
      </c>
      <c r="AP666" t="s">
        <v>53</v>
      </c>
    </row>
    <row r="667" spans="2:42" x14ac:dyDescent="0.2">
      <c r="B667" t="s">
        <v>44</v>
      </c>
      <c r="C667" t="str">
        <f>HYPERLINK("https://us2.cloudbeds.com/connect/8493803454333002#/reservations/598368927988?display=E1ANHFT5&amp;reservation_id=598368927988", "E1ANHFT5")</f>
        <v>E1ANHFT5</v>
      </c>
      <c r="D667" t="s">
        <v>45</v>
      </c>
      <c r="E667" t="s">
        <v>185</v>
      </c>
      <c r="F667" t="s">
        <v>47</v>
      </c>
      <c r="G667" t="s">
        <v>48</v>
      </c>
      <c r="H667" t="s">
        <v>49</v>
      </c>
      <c r="I667" t="s">
        <v>79</v>
      </c>
      <c r="J667" t="s">
        <v>202</v>
      </c>
      <c r="K667" t="s">
        <v>203</v>
      </c>
      <c r="L667" t="s">
        <v>53</v>
      </c>
      <c r="N667" t="s">
        <v>1357</v>
      </c>
      <c r="P667" t="s">
        <v>55</v>
      </c>
      <c r="R667" t="s">
        <v>56</v>
      </c>
      <c r="T667" t="s">
        <v>1358</v>
      </c>
      <c r="U667" t="s">
        <v>58</v>
      </c>
      <c r="V667">
        <v>2</v>
      </c>
      <c r="W667">
        <v>1</v>
      </c>
      <c r="X667">
        <v>1</v>
      </c>
      <c r="Y667">
        <v>0</v>
      </c>
      <c r="Z667">
        <v>1</v>
      </c>
      <c r="AA667">
        <v>0</v>
      </c>
      <c r="AB667">
        <v>143.19999999999999</v>
      </c>
      <c r="AC667">
        <v>126</v>
      </c>
      <c r="AD667">
        <v>0</v>
      </c>
      <c r="AE667">
        <v>17.22</v>
      </c>
      <c r="AF667">
        <v>0</v>
      </c>
      <c r="AG667">
        <v>0</v>
      </c>
      <c r="AH667">
        <v>0</v>
      </c>
      <c r="AI667">
        <v>0</v>
      </c>
      <c r="AJ667">
        <v>143.22</v>
      </c>
      <c r="AK667">
        <v>0.02</v>
      </c>
      <c r="AL667" t="s">
        <v>53</v>
      </c>
      <c r="AM667" t="s">
        <v>53</v>
      </c>
      <c r="AN667" t="s">
        <v>97</v>
      </c>
      <c r="AO667" t="s">
        <v>53</v>
      </c>
      <c r="AP667" t="s">
        <v>53</v>
      </c>
    </row>
    <row r="668" spans="2:42" x14ac:dyDescent="0.2">
      <c r="B668" t="s">
        <v>44</v>
      </c>
      <c r="C668" t="str">
        <f>HYPERLINK("https://us2.cloudbeds.com/connect/8493803454333002#/reservations/598294966504?display=E18R5D02&amp;reservation_id=598294966504", "E18R5D02")</f>
        <v>E18R5D02</v>
      </c>
      <c r="D668" t="s">
        <v>45</v>
      </c>
      <c r="E668" t="s">
        <v>105</v>
      </c>
      <c r="F668" t="s">
        <v>47</v>
      </c>
      <c r="G668" t="s">
        <v>48</v>
      </c>
      <c r="H668" t="s">
        <v>49</v>
      </c>
      <c r="I668" t="s">
        <v>79</v>
      </c>
      <c r="J668" t="s">
        <v>323</v>
      </c>
      <c r="K668" t="s">
        <v>100</v>
      </c>
      <c r="L668" t="s">
        <v>53</v>
      </c>
      <c r="N668" t="s">
        <v>1359</v>
      </c>
      <c r="P668" t="s">
        <v>55</v>
      </c>
      <c r="R668" t="s">
        <v>56</v>
      </c>
      <c r="T668" t="s">
        <v>1358</v>
      </c>
      <c r="U668" t="s">
        <v>58</v>
      </c>
      <c r="V668">
        <v>1</v>
      </c>
      <c r="W668">
        <v>1</v>
      </c>
      <c r="X668">
        <v>1</v>
      </c>
      <c r="Y668">
        <v>0</v>
      </c>
      <c r="Z668">
        <v>1</v>
      </c>
      <c r="AA668">
        <v>0</v>
      </c>
      <c r="AB668">
        <v>144.22</v>
      </c>
      <c r="AC668">
        <v>126.9</v>
      </c>
      <c r="AD668">
        <v>0</v>
      </c>
      <c r="AE668">
        <v>17.32</v>
      </c>
      <c r="AF668">
        <v>0</v>
      </c>
      <c r="AG668">
        <v>0</v>
      </c>
      <c r="AH668">
        <v>0</v>
      </c>
      <c r="AI668">
        <v>0</v>
      </c>
      <c r="AJ668">
        <v>144.22</v>
      </c>
      <c r="AK668">
        <v>0</v>
      </c>
      <c r="AL668" t="s">
        <v>53</v>
      </c>
      <c r="AM668" t="s">
        <v>53</v>
      </c>
      <c r="AN668" t="s">
        <v>545</v>
      </c>
      <c r="AO668" t="s">
        <v>53</v>
      </c>
      <c r="AP668" t="s">
        <v>53</v>
      </c>
    </row>
    <row r="669" spans="2:42" x14ac:dyDescent="0.2">
      <c r="B669" t="s">
        <v>44</v>
      </c>
      <c r="C669" t="str">
        <f>HYPERLINK("https://us2.cloudbeds.com/connect/8493803454333002#/reservations/598358446235?display=E1AEMQPA&amp;reservation_id=598358446235", "E1AEMQPA")</f>
        <v>E1AEMQPA</v>
      </c>
      <c r="D669" t="s">
        <v>45</v>
      </c>
      <c r="E669" t="s">
        <v>138</v>
      </c>
      <c r="F669" t="s">
        <v>70</v>
      </c>
      <c r="G669" t="s">
        <v>48</v>
      </c>
      <c r="H669" t="s">
        <v>49</v>
      </c>
      <c r="I669" t="s">
        <v>79</v>
      </c>
      <c r="J669" t="s">
        <v>298</v>
      </c>
      <c r="K669" t="s">
        <v>186</v>
      </c>
      <c r="L669" t="s">
        <v>53</v>
      </c>
      <c r="N669" t="s">
        <v>1360</v>
      </c>
      <c r="P669" t="s">
        <v>55</v>
      </c>
      <c r="R669" t="s">
        <v>56</v>
      </c>
      <c r="T669" t="s">
        <v>1358</v>
      </c>
      <c r="U669" t="s">
        <v>58</v>
      </c>
      <c r="V669">
        <v>1</v>
      </c>
      <c r="W669">
        <v>1</v>
      </c>
      <c r="X669">
        <v>1</v>
      </c>
      <c r="Y669">
        <v>0</v>
      </c>
      <c r="Z669">
        <v>1</v>
      </c>
      <c r="AA669">
        <v>0</v>
      </c>
      <c r="AB669">
        <v>75.69</v>
      </c>
      <c r="AC669">
        <v>66.599999999999994</v>
      </c>
      <c r="AD669">
        <v>0</v>
      </c>
      <c r="AE669">
        <v>9.09</v>
      </c>
      <c r="AF669">
        <v>0</v>
      </c>
      <c r="AG669">
        <v>0</v>
      </c>
      <c r="AH669">
        <v>0</v>
      </c>
      <c r="AI669">
        <v>0</v>
      </c>
      <c r="AJ669">
        <v>75.69</v>
      </c>
      <c r="AK669">
        <v>0</v>
      </c>
      <c r="AL669" t="s">
        <v>53</v>
      </c>
      <c r="AM669" t="s">
        <v>53</v>
      </c>
      <c r="AN669" t="s">
        <v>332</v>
      </c>
      <c r="AO669" t="s">
        <v>53</v>
      </c>
      <c r="AP669" t="s">
        <v>53</v>
      </c>
    </row>
    <row r="670" spans="2:42" x14ac:dyDescent="0.2">
      <c r="B670" t="s">
        <v>44</v>
      </c>
      <c r="C670" t="str">
        <f>HYPERLINK("https://us2.cloudbeds.com/connect/8493803454333002#/reservations/598174347401?display=E15ZEWYP&amp;reservation_id=598174347401", "E15ZEWYP")</f>
        <v>E15ZEWYP</v>
      </c>
      <c r="D670" t="s">
        <v>45</v>
      </c>
      <c r="E670" t="s">
        <v>78</v>
      </c>
      <c r="F670" t="s">
        <v>61</v>
      </c>
      <c r="G670" t="s">
        <v>48</v>
      </c>
      <c r="H670" t="s">
        <v>49</v>
      </c>
      <c r="I670" t="s">
        <v>62</v>
      </c>
      <c r="J670" t="s">
        <v>640</v>
      </c>
      <c r="K670" t="s">
        <v>133</v>
      </c>
      <c r="L670" t="s">
        <v>53</v>
      </c>
      <c r="N670" t="s">
        <v>1361</v>
      </c>
      <c r="P670" t="s">
        <v>55</v>
      </c>
      <c r="R670" t="s">
        <v>56</v>
      </c>
      <c r="T670" t="s">
        <v>1358</v>
      </c>
      <c r="U670" t="s">
        <v>58</v>
      </c>
      <c r="V670">
        <v>2</v>
      </c>
      <c r="W670">
        <v>1</v>
      </c>
      <c r="X670">
        <v>1</v>
      </c>
      <c r="Y670">
        <v>0</v>
      </c>
      <c r="Z670">
        <v>1</v>
      </c>
      <c r="AA670">
        <v>0</v>
      </c>
      <c r="AB670">
        <v>325.04000000000002</v>
      </c>
      <c r="AC670">
        <v>286</v>
      </c>
      <c r="AD670">
        <v>0</v>
      </c>
      <c r="AE670">
        <v>39.06</v>
      </c>
      <c r="AF670">
        <v>0</v>
      </c>
      <c r="AG670">
        <v>0</v>
      </c>
      <c r="AH670">
        <v>0</v>
      </c>
      <c r="AI670">
        <v>48.76</v>
      </c>
      <c r="AJ670">
        <v>325.06</v>
      </c>
      <c r="AK670">
        <v>0.02</v>
      </c>
      <c r="AL670" t="s">
        <v>53</v>
      </c>
      <c r="AM670" t="s">
        <v>53</v>
      </c>
      <c r="AN670" t="s">
        <v>349</v>
      </c>
      <c r="AO670" t="s">
        <v>53</v>
      </c>
      <c r="AP670" t="s">
        <v>53</v>
      </c>
    </row>
    <row r="671" spans="2:42" x14ac:dyDescent="0.2">
      <c r="B671" t="s">
        <v>44</v>
      </c>
      <c r="C671" t="str">
        <f>HYPERLINK("https://us2.cloudbeds.com/connect/8493803454333002#/reservations/598555496645?display=E1FFS0VS&amp;reservation_id=598555496645", "E1FFS0VS")</f>
        <v>E1FFS0VS</v>
      </c>
      <c r="D671" t="s">
        <v>45</v>
      </c>
      <c r="E671" t="s">
        <v>213</v>
      </c>
      <c r="F671" t="s">
        <v>86</v>
      </c>
      <c r="G671" t="s">
        <v>48</v>
      </c>
      <c r="H671" t="s">
        <v>49</v>
      </c>
      <c r="I671" t="s">
        <v>114</v>
      </c>
      <c r="J671" t="s">
        <v>298</v>
      </c>
      <c r="K671" t="s">
        <v>186</v>
      </c>
      <c r="L671" t="s">
        <v>53</v>
      </c>
      <c r="N671" t="s">
        <v>1362</v>
      </c>
      <c r="P671" t="s">
        <v>55</v>
      </c>
      <c r="R671" t="s">
        <v>56</v>
      </c>
      <c r="T671" t="s">
        <v>1358</v>
      </c>
      <c r="U671" t="s">
        <v>58</v>
      </c>
      <c r="V671">
        <v>1</v>
      </c>
      <c r="W671">
        <v>1</v>
      </c>
      <c r="X671">
        <v>1</v>
      </c>
      <c r="Y671">
        <v>0</v>
      </c>
      <c r="Z671">
        <v>1</v>
      </c>
      <c r="AA671">
        <v>0</v>
      </c>
      <c r="AB671">
        <v>107.97</v>
      </c>
      <c r="AC671">
        <v>95</v>
      </c>
      <c r="AD671">
        <v>0</v>
      </c>
      <c r="AE671">
        <v>12.98</v>
      </c>
      <c r="AF671">
        <v>0</v>
      </c>
      <c r="AG671">
        <v>0</v>
      </c>
      <c r="AH671">
        <v>0</v>
      </c>
      <c r="AI671">
        <v>0</v>
      </c>
      <c r="AJ671">
        <v>107.98</v>
      </c>
      <c r="AK671">
        <v>0.01</v>
      </c>
      <c r="AL671" t="s">
        <v>53</v>
      </c>
      <c r="AM671" t="s">
        <v>53</v>
      </c>
      <c r="AN671" t="s">
        <v>1363</v>
      </c>
      <c r="AO671" t="s">
        <v>53</v>
      </c>
      <c r="AP671" t="s">
        <v>53</v>
      </c>
    </row>
    <row r="672" spans="2:42" x14ac:dyDescent="0.2">
      <c r="B672" t="s">
        <v>44</v>
      </c>
      <c r="C672" t="str">
        <f>HYPERLINK("https://us2.cloudbeds.com/connect/8493803454333002#/reservations/598202937534?display=E16FXX7E&amp;reservation_id=598202937534", "E16FXX7E")</f>
        <v>E16FXX7E</v>
      </c>
      <c r="D672" t="s">
        <v>45</v>
      </c>
      <c r="E672" t="s">
        <v>110</v>
      </c>
      <c r="F672" t="s">
        <v>47</v>
      </c>
      <c r="G672" t="s">
        <v>48</v>
      </c>
      <c r="H672" t="s">
        <v>49</v>
      </c>
      <c r="I672" t="s">
        <v>79</v>
      </c>
      <c r="J672" t="s">
        <v>743</v>
      </c>
      <c r="K672" t="s">
        <v>345</v>
      </c>
      <c r="L672" t="s">
        <v>53</v>
      </c>
      <c r="N672" t="s">
        <v>1364</v>
      </c>
      <c r="P672" t="s">
        <v>55</v>
      </c>
      <c r="R672" t="s">
        <v>56</v>
      </c>
      <c r="T672" t="s">
        <v>1358</v>
      </c>
      <c r="U672" t="s">
        <v>58</v>
      </c>
      <c r="V672">
        <v>3</v>
      </c>
      <c r="W672">
        <v>1</v>
      </c>
      <c r="X672">
        <v>1</v>
      </c>
      <c r="Y672">
        <v>0</v>
      </c>
      <c r="Z672">
        <v>1</v>
      </c>
      <c r="AA672">
        <v>0</v>
      </c>
      <c r="AB672">
        <v>240.37</v>
      </c>
      <c r="AC672">
        <v>211.5</v>
      </c>
      <c r="AD672">
        <v>0</v>
      </c>
      <c r="AE672">
        <v>28.86</v>
      </c>
      <c r="AF672">
        <v>0</v>
      </c>
      <c r="AG672">
        <v>0</v>
      </c>
      <c r="AH672">
        <v>0</v>
      </c>
      <c r="AI672">
        <v>0</v>
      </c>
      <c r="AJ672">
        <v>240.36</v>
      </c>
      <c r="AK672">
        <v>-0.01</v>
      </c>
      <c r="AL672" t="s">
        <v>53</v>
      </c>
      <c r="AM672" t="s">
        <v>53</v>
      </c>
      <c r="AN672" t="s">
        <v>349</v>
      </c>
      <c r="AO672" t="s">
        <v>53</v>
      </c>
      <c r="AP672" t="s">
        <v>53</v>
      </c>
    </row>
    <row r="673" spans="2:42" x14ac:dyDescent="0.2">
      <c r="B673" t="s">
        <v>44</v>
      </c>
      <c r="C673" t="str">
        <f>HYPERLINK("https://us2.cloudbeds.com/connect/8493803454333002#/reservations/598591053958?display=E1GCRFA6&amp;reservation_id=598591053958", "E1GCRFA6")</f>
        <v>E1GCRFA6</v>
      </c>
      <c r="D673" t="s">
        <v>45</v>
      </c>
      <c r="E673" t="s">
        <v>185</v>
      </c>
      <c r="F673" t="s">
        <v>47</v>
      </c>
      <c r="G673" t="s">
        <v>48</v>
      </c>
      <c r="H673" t="s">
        <v>49</v>
      </c>
      <c r="I673" t="s">
        <v>266</v>
      </c>
      <c r="J673" t="s">
        <v>359</v>
      </c>
      <c r="K673" t="s">
        <v>360</v>
      </c>
      <c r="L673" t="s">
        <v>53</v>
      </c>
      <c r="N673" t="s">
        <v>1365</v>
      </c>
      <c r="P673" t="s">
        <v>55</v>
      </c>
      <c r="R673" t="s">
        <v>56</v>
      </c>
      <c r="T673" t="s">
        <v>1358</v>
      </c>
      <c r="U673" t="s">
        <v>58</v>
      </c>
      <c r="V673">
        <v>1</v>
      </c>
      <c r="W673">
        <v>1</v>
      </c>
      <c r="X673">
        <v>1</v>
      </c>
      <c r="Y673">
        <v>0</v>
      </c>
      <c r="Z673">
        <v>1</v>
      </c>
      <c r="AA673">
        <v>0</v>
      </c>
      <c r="AB673">
        <v>103.31</v>
      </c>
      <c r="AC673">
        <v>90.9</v>
      </c>
      <c r="AD673">
        <v>0</v>
      </c>
      <c r="AE673">
        <v>12.41</v>
      </c>
      <c r="AF673">
        <v>0</v>
      </c>
      <c r="AG673">
        <v>0</v>
      </c>
      <c r="AH673">
        <v>0</v>
      </c>
      <c r="AI673">
        <v>0</v>
      </c>
      <c r="AJ673">
        <v>103.31</v>
      </c>
      <c r="AK673">
        <v>0</v>
      </c>
      <c r="AL673" t="s">
        <v>53</v>
      </c>
      <c r="AM673" t="s">
        <v>53</v>
      </c>
      <c r="AN673" t="s">
        <v>1366</v>
      </c>
      <c r="AO673" t="s">
        <v>53</v>
      </c>
      <c r="AP673" t="s">
        <v>53</v>
      </c>
    </row>
    <row r="674" spans="2:42" x14ac:dyDescent="0.2">
      <c r="B674" t="s">
        <v>44</v>
      </c>
      <c r="C674" t="str">
        <f>HYPERLINK("https://us2.cloudbeds.com/connect/8493803454333002#/reservations/579150631042?display=DJEK24X6&amp;reservation_id=579150631042", "DJEK24X6")</f>
        <v>DJEK24X6</v>
      </c>
      <c r="D674" t="s">
        <v>45</v>
      </c>
      <c r="E674" t="s">
        <v>165</v>
      </c>
      <c r="F674" t="s">
        <v>61</v>
      </c>
      <c r="G674" t="s">
        <v>48</v>
      </c>
      <c r="H674" t="s">
        <v>49</v>
      </c>
      <c r="I674" t="s">
        <v>62</v>
      </c>
      <c r="J674" t="s">
        <v>505</v>
      </c>
      <c r="K674" t="s">
        <v>1367</v>
      </c>
      <c r="L674" t="s">
        <v>53</v>
      </c>
      <c r="N674" t="s">
        <v>1368</v>
      </c>
      <c r="P674" t="s">
        <v>55</v>
      </c>
      <c r="R674" t="s">
        <v>125</v>
      </c>
      <c r="T674" t="s">
        <v>1358</v>
      </c>
      <c r="U674" t="s">
        <v>58</v>
      </c>
      <c r="V674">
        <v>2</v>
      </c>
      <c r="W674">
        <v>1</v>
      </c>
      <c r="X674">
        <v>1</v>
      </c>
      <c r="Y674">
        <v>0</v>
      </c>
      <c r="Z674">
        <v>1</v>
      </c>
      <c r="AA674">
        <v>0</v>
      </c>
      <c r="AB674">
        <v>0</v>
      </c>
      <c r="AC674">
        <v>-41.9</v>
      </c>
      <c r="AD674">
        <v>0</v>
      </c>
      <c r="AE674">
        <v>41.9</v>
      </c>
      <c r="AF674">
        <v>0</v>
      </c>
      <c r="AG674">
        <v>0</v>
      </c>
      <c r="AH674">
        <v>0</v>
      </c>
      <c r="AI674">
        <v>0</v>
      </c>
      <c r="AJ674">
        <v>0</v>
      </c>
      <c r="AK674">
        <v>0</v>
      </c>
      <c r="AL674" t="s">
        <v>53</v>
      </c>
      <c r="AM674" t="s">
        <v>53</v>
      </c>
      <c r="AN674" t="s">
        <v>605</v>
      </c>
      <c r="AO674" t="s">
        <v>53</v>
      </c>
      <c r="AP674" t="s">
        <v>53</v>
      </c>
    </row>
    <row r="675" spans="2:42" x14ac:dyDescent="0.2">
      <c r="B675" t="s">
        <v>44</v>
      </c>
      <c r="C675" t="str">
        <f>HYPERLINK("https://us2.cloudbeds.com/connect/8493803454333002#/reservations/598376095979?display=E1ATXV21&amp;reservation_id=598376095979", "E1ATXV21")</f>
        <v>E1ATXV21</v>
      </c>
      <c r="D675" t="s">
        <v>45</v>
      </c>
      <c r="E675" t="s">
        <v>179</v>
      </c>
      <c r="F675" t="s">
        <v>47</v>
      </c>
      <c r="G675" t="s">
        <v>48</v>
      </c>
      <c r="H675" t="s">
        <v>49</v>
      </c>
      <c r="I675" t="s">
        <v>50</v>
      </c>
      <c r="J675" t="s">
        <v>192</v>
      </c>
      <c r="K675" t="s">
        <v>253</v>
      </c>
      <c r="L675" t="s">
        <v>53</v>
      </c>
      <c r="N675" t="s">
        <v>1369</v>
      </c>
      <c r="P675" t="s">
        <v>55</v>
      </c>
      <c r="R675" t="s">
        <v>56</v>
      </c>
      <c r="T675" t="s">
        <v>1358</v>
      </c>
      <c r="U675" t="s">
        <v>58</v>
      </c>
      <c r="V675">
        <v>2</v>
      </c>
      <c r="W675">
        <v>1</v>
      </c>
      <c r="X675">
        <v>1</v>
      </c>
      <c r="Y675">
        <v>0</v>
      </c>
      <c r="Z675">
        <v>1</v>
      </c>
      <c r="AA675">
        <v>0</v>
      </c>
      <c r="AB675">
        <v>206.62</v>
      </c>
      <c r="AC675">
        <v>181.8</v>
      </c>
      <c r="AD675">
        <v>0</v>
      </c>
      <c r="AE675">
        <v>24.82</v>
      </c>
      <c r="AF675">
        <v>0</v>
      </c>
      <c r="AG675">
        <v>0</v>
      </c>
      <c r="AH675">
        <v>0</v>
      </c>
      <c r="AI675">
        <v>37.19</v>
      </c>
      <c r="AJ675">
        <v>206.62</v>
      </c>
      <c r="AK675">
        <v>0</v>
      </c>
      <c r="AL675" t="s">
        <v>53</v>
      </c>
      <c r="AM675" t="s">
        <v>53</v>
      </c>
      <c r="AN675" t="s">
        <v>349</v>
      </c>
      <c r="AO675" t="s">
        <v>53</v>
      </c>
      <c r="AP675" t="s">
        <v>53</v>
      </c>
    </row>
    <row r="676" spans="2:42" x14ac:dyDescent="0.2">
      <c r="B676" t="s">
        <v>44</v>
      </c>
      <c r="C676" t="str">
        <f>HYPERLINK("https://us2.cloudbeds.com/connect/8493803454333002#/reservations/598492356776?display=E1DSK29G&amp;reservation_id=598492356776", "E1DSK29G")</f>
        <v>E1DSK29G</v>
      </c>
      <c r="D676" t="s">
        <v>45</v>
      </c>
      <c r="E676" t="s">
        <v>113</v>
      </c>
      <c r="F676" t="s">
        <v>61</v>
      </c>
      <c r="G676" t="s">
        <v>48</v>
      </c>
      <c r="H676" t="s">
        <v>71</v>
      </c>
      <c r="I676" t="s">
        <v>72</v>
      </c>
      <c r="J676" t="s">
        <v>298</v>
      </c>
      <c r="K676" t="s">
        <v>186</v>
      </c>
      <c r="L676" t="s">
        <v>53</v>
      </c>
      <c r="N676" t="s">
        <v>1370</v>
      </c>
      <c r="P676" t="s">
        <v>55</v>
      </c>
      <c r="R676" t="s">
        <v>56</v>
      </c>
      <c r="T676" t="s">
        <v>1358</v>
      </c>
      <c r="U676" t="s">
        <v>58</v>
      </c>
      <c r="V676">
        <v>1</v>
      </c>
      <c r="W676">
        <v>1</v>
      </c>
      <c r="X676">
        <v>1</v>
      </c>
      <c r="Y676">
        <v>0</v>
      </c>
      <c r="Z676">
        <v>1</v>
      </c>
      <c r="AA676">
        <v>0</v>
      </c>
      <c r="AB676">
        <v>85.24</v>
      </c>
      <c r="AC676">
        <v>75</v>
      </c>
      <c r="AD676">
        <v>0</v>
      </c>
      <c r="AE676">
        <v>10.25</v>
      </c>
      <c r="AF676">
        <v>0</v>
      </c>
      <c r="AG676">
        <v>0</v>
      </c>
      <c r="AH676">
        <v>0</v>
      </c>
      <c r="AI676">
        <v>0</v>
      </c>
      <c r="AJ676">
        <v>85.25</v>
      </c>
      <c r="AK676">
        <v>0.01</v>
      </c>
      <c r="AL676" t="s">
        <v>53</v>
      </c>
      <c r="AM676" t="s">
        <v>53</v>
      </c>
      <c r="AN676" t="s">
        <v>378</v>
      </c>
      <c r="AO676" t="s">
        <v>53</v>
      </c>
      <c r="AP676" t="s">
        <v>53</v>
      </c>
    </row>
    <row r="677" spans="2:42" x14ac:dyDescent="0.2">
      <c r="B677" t="s">
        <v>44</v>
      </c>
      <c r="C677" t="str">
        <f>HYPERLINK("https://us2.cloudbeds.com/connect/8493803454333002#/reservations/598412345499?display=E1BR4Y1B&amp;reservation_id=598412345499", "E1BR4Y1B")</f>
        <v>E1BR4Y1B</v>
      </c>
      <c r="D677" t="s">
        <v>45</v>
      </c>
      <c r="E677" t="s">
        <v>223</v>
      </c>
      <c r="F677" t="s">
        <v>47</v>
      </c>
      <c r="G677" t="s">
        <v>48</v>
      </c>
      <c r="H677" t="s">
        <v>49</v>
      </c>
      <c r="I677" t="s">
        <v>62</v>
      </c>
      <c r="J677" t="s">
        <v>746</v>
      </c>
      <c r="K677" t="s">
        <v>242</v>
      </c>
      <c r="L677" t="s">
        <v>53</v>
      </c>
      <c r="N677" t="s">
        <v>1371</v>
      </c>
      <c r="P677" t="s">
        <v>55</v>
      </c>
      <c r="R677" t="s">
        <v>56</v>
      </c>
      <c r="T677" t="s">
        <v>1358</v>
      </c>
      <c r="U677" t="s">
        <v>58</v>
      </c>
      <c r="V677">
        <v>1</v>
      </c>
      <c r="W677">
        <v>1</v>
      </c>
      <c r="X677">
        <v>1</v>
      </c>
      <c r="Y677">
        <v>0</v>
      </c>
      <c r="Z677">
        <v>1</v>
      </c>
      <c r="AA677">
        <v>0</v>
      </c>
      <c r="AB677">
        <v>71.599999999999994</v>
      </c>
      <c r="AC677">
        <v>63</v>
      </c>
      <c r="AD677">
        <v>0</v>
      </c>
      <c r="AE677">
        <v>8.61</v>
      </c>
      <c r="AF677">
        <v>0</v>
      </c>
      <c r="AG677">
        <v>0</v>
      </c>
      <c r="AH677">
        <v>0</v>
      </c>
      <c r="AI677">
        <v>10.74</v>
      </c>
      <c r="AJ677">
        <v>71.61</v>
      </c>
      <c r="AK677">
        <v>0.01</v>
      </c>
      <c r="AL677" t="s">
        <v>53</v>
      </c>
      <c r="AM677" t="s">
        <v>53</v>
      </c>
      <c r="AN677" t="s">
        <v>1372</v>
      </c>
      <c r="AO677" t="s">
        <v>53</v>
      </c>
      <c r="AP677" t="s">
        <v>53</v>
      </c>
    </row>
    <row r="678" spans="2:42" x14ac:dyDescent="0.2">
      <c r="B678" t="s">
        <v>44</v>
      </c>
      <c r="C678" t="str">
        <f>HYPERLINK("https://us2.cloudbeds.com/connect/8493803454333002#/reservations/598538027209?display=E1F13U80&amp;reservation_id=598538027209", "E1F13U80")</f>
        <v>E1F13U80</v>
      </c>
      <c r="D678" t="s">
        <v>45</v>
      </c>
      <c r="E678" t="s">
        <v>265</v>
      </c>
      <c r="F678" t="s">
        <v>61</v>
      </c>
      <c r="G678" t="s">
        <v>48</v>
      </c>
      <c r="H678" t="s">
        <v>49</v>
      </c>
      <c r="I678" t="s">
        <v>62</v>
      </c>
      <c r="J678" t="s">
        <v>236</v>
      </c>
      <c r="K678" t="s">
        <v>525</v>
      </c>
      <c r="L678" t="s">
        <v>53</v>
      </c>
      <c r="N678" t="s">
        <v>1373</v>
      </c>
      <c r="P678" t="s">
        <v>55</v>
      </c>
      <c r="R678" t="s">
        <v>56</v>
      </c>
      <c r="T678" t="s">
        <v>1358</v>
      </c>
      <c r="U678" t="s">
        <v>58</v>
      </c>
      <c r="V678">
        <v>2</v>
      </c>
      <c r="W678">
        <v>1</v>
      </c>
      <c r="X678">
        <v>1</v>
      </c>
      <c r="Y678">
        <v>0</v>
      </c>
      <c r="Z678">
        <v>1</v>
      </c>
      <c r="AA678">
        <v>0</v>
      </c>
      <c r="AB678">
        <v>336.4</v>
      </c>
      <c r="AC678">
        <v>296</v>
      </c>
      <c r="AD678">
        <v>0</v>
      </c>
      <c r="AE678">
        <v>40.4</v>
      </c>
      <c r="AF678">
        <v>0</v>
      </c>
      <c r="AG678">
        <v>0</v>
      </c>
      <c r="AH678">
        <v>0</v>
      </c>
      <c r="AI678">
        <v>50.46</v>
      </c>
      <c r="AJ678">
        <v>336.4</v>
      </c>
      <c r="AK678">
        <v>0</v>
      </c>
      <c r="AL678" t="s">
        <v>53</v>
      </c>
      <c r="AM678" t="s">
        <v>53</v>
      </c>
      <c r="AN678" t="s">
        <v>245</v>
      </c>
      <c r="AO678" t="s">
        <v>53</v>
      </c>
      <c r="AP678" t="s">
        <v>53</v>
      </c>
    </row>
    <row r="679" spans="2:42" x14ac:dyDescent="0.2">
      <c r="B679" t="s">
        <v>44</v>
      </c>
      <c r="C679" t="str">
        <f>HYPERLINK("https://us2.cloudbeds.com/connect/8493803454333002#/reservations/598122836202?display=E14E0K9A&amp;reservation_id=598122836202", "E14E0K9A")</f>
        <v>E14E0K9A</v>
      </c>
      <c r="D679" t="s">
        <v>45</v>
      </c>
      <c r="E679" t="s">
        <v>213</v>
      </c>
      <c r="F679" t="s">
        <v>86</v>
      </c>
      <c r="G679" t="s">
        <v>48</v>
      </c>
      <c r="H679" t="s">
        <v>71</v>
      </c>
      <c r="I679" t="s">
        <v>72</v>
      </c>
      <c r="J679" t="s">
        <v>334</v>
      </c>
      <c r="K679" t="s">
        <v>259</v>
      </c>
      <c r="L679" t="s">
        <v>53</v>
      </c>
      <c r="N679" t="s">
        <v>1374</v>
      </c>
      <c r="P679" t="s">
        <v>55</v>
      </c>
      <c r="R679" t="s">
        <v>56</v>
      </c>
      <c r="T679" t="s">
        <v>1358</v>
      </c>
      <c r="U679" t="s">
        <v>58</v>
      </c>
      <c r="V679">
        <v>2</v>
      </c>
      <c r="W679">
        <v>1</v>
      </c>
      <c r="X679">
        <v>1</v>
      </c>
      <c r="Y679">
        <v>0</v>
      </c>
      <c r="Z679">
        <v>1</v>
      </c>
      <c r="AA679">
        <v>0</v>
      </c>
      <c r="AB679">
        <v>270.49</v>
      </c>
      <c r="AC679">
        <v>238</v>
      </c>
      <c r="AD679">
        <v>0</v>
      </c>
      <c r="AE679">
        <v>32.5</v>
      </c>
      <c r="AF679">
        <v>0</v>
      </c>
      <c r="AG679">
        <v>0</v>
      </c>
      <c r="AH679">
        <v>0</v>
      </c>
      <c r="AI679">
        <v>0</v>
      </c>
      <c r="AJ679">
        <v>270.5</v>
      </c>
      <c r="AK679">
        <v>0.01</v>
      </c>
      <c r="AL679" t="s">
        <v>53</v>
      </c>
      <c r="AM679" t="s">
        <v>53</v>
      </c>
      <c r="AN679" t="s">
        <v>1375</v>
      </c>
      <c r="AO679" t="s">
        <v>53</v>
      </c>
      <c r="AP679" t="s">
        <v>53</v>
      </c>
    </row>
    <row r="680" spans="2:42" x14ac:dyDescent="0.2">
      <c r="B680" t="s">
        <v>44</v>
      </c>
      <c r="C680" t="str">
        <f>HYPERLINK("https://us2.cloudbeds.com/connect/8493803454333002#/reservations/598465962157?display=E1D6BJQH&amp;reservation_id=598465962157", "E1D6BJQH")</f>
        <v>E1D6BJQH</v>
      </c>
      <c r="D680" t="s">
        <v>45</v>
      </c>
      <c r="E680" t="s">
        <v>92</v>
      </c>
      <c r="F680" t="s">
        <v>86</v>
      </c>
      <c r="G680" t="s">
        <v>48</v>
      </c>
      <c r="H680" t="s">
        <v>49</v>
      </c>
      <c r="I680" t="s">
        <v>50</v>
      </c>
      <c r="J680" t="s">
        <v>768</v>
      </c>
      <c r="K680" t="s">
        <v>489</v>
      </c>
      <c r="L680" t="s">
        <v>53</v>
      </c>
      <c r="N680" t="s">
        <v>1376</v>
      </c>
      <c r="P680" t="s">
        <v>55</v>
      </c>
      <c r="R680" t="s">
        <v>56</v>
      </c>
      <c r="T680" t="s">
        <v>1358</v>
      </c>
      <c r="U680" t="s">
        <v>58</v>
      </c>
      <c r="V680">
        <v>2</v>
      </c>
      <c r="W680">
        <v>1</v>
      </c>
      <c r="X680">
        <v>1</v>
      </c>
      <c r="Y680">
        <v>0</v>
      </c>
      <c r="Z680">
        <v>1</v>
      </c>
      <c r="AA680">
        <v>0</v>
      </c>
      <c r="AB680">
        <v>323.22000000000003</v>
      </c>
      <c r="AC680">
        <v>284.39999999999998</v>
      </c>
      <c r="AD680">
        <v>0</v>
      </c>
      <c r="AE680">
        <v>38.82</v>
      </c>
      <c r="AF680">
        <v>0</v>
      </c>
      <c r="AG680">
        <v>0</v>
      </c>
      <c r="AH680">
        <v>0</v>
      </c>
      <c r="AI680">
        <v>58.18</v>
      </c>
      <c r="AJ680">
        <v>323.22000000000003</v>
      </c>
      <c r="AK680">
        <v>0</v>
      </c>
      <c r="AL680" t="s">
        <v>53</v>
      </c>
      <c r="AM680" t="s">
        <v>53</v>
      </c>
      <c r="AN680" t="s">
        <v>146</v>
      </c>
      <c r="AO680" t="s">
        <v>53</v>
      </c>
      <c r="AP680" t="s">
        <v>53</v>
      </c>
    </row>
    <row r="681" spans="2:42" x14ac:dyDescent="0.2">
      <c r="B681" t="s">
        <v>44</v>
      </c>
      <c r="C681" t="str">
        <f>HYPERLINK("https://us2.cloudbeds.com/connect/8493803454333002#/reservations/598557667473?display=E1FHMECH&amp;reservation_id=598557667473", "E1FHMECH")</f>
        <v>E1FHMECH</v>
      </c>
      <c r="D681" t="s">
        <v>45</v>
      </c>
      <c r="E681" t="s">
        <v>155</v>
      </c>
      <c r="F681" t="s">
        <v>86</v>
      </c>
      <c r="G681" t="s">
        <v>48</v>
      </c>
      <c r="H681" t="s">
        <v>49</v>
      </c>
      <c r="I681" t="s">
        <v>79</v>
      </c>
      <c r="J681" t="s">
        <v>568</v>
      </c>
      <c r="K681" t="s">
        <v>122</v>
      </c>
      <c r="L681" t="s">
        <v>53</v>
      </c>
      <c r="N681" t="s">
        <v>1377</v>
      </c>
      <c r="P681" t="s">
        <v>55</v>
      </c>
      <c r="R681" t="s">
        <v>56</v>
      </c>
      <c r="T681" t="s">
        <v>1358</v>
      </c>
      <c r="U681" t="s">
        <v>58</v>
      </c>
      <c r="V681">
        <v>3</v>
      </c>
      <c r="W681">
        <v>1</v>
      </c>
      <c r="X681">
        <v>1</v>
      </c>
      <c r="Y681">
        <v>0</v>
      </c>
      <c r="Z681">
        <v>1</v>
      </c>
      <c r="AA681">
        <v>0</v>
      </c>
      <c r="AB681">
        <v>466.42</v>
      </c>
      <c r="AC681">
        <v>410.4</v>
      </c>
      <c r="AD681">
        <v>0</v>
      </c>
      <c r="AE681">
        <v>56.04</v>
      </c>
      <c r="AF681">
        <v>0</v>
      </c>
      <c r="AG681">
        <v>0</v>
      </c>
      <c r="AH681">
        <v>0</v>
      </c>
      <c r="AI681">
        <v>0</v>
      </c>
      <c r="AJ681">
        <v>466.44</v>
      </c>
      <c r="AK681">
        <v>0.02</v>
      </c>
      <c r="AL681" t="s">
        <v>53</v>
      </c>
      <c r="AM681" t="s">
        <v>53</v>
      </c>
      <c r="AN681" t="s">
        <v>245</v>
      </c>
      <c r="AO681" t="s">
        <v>53</v>
      </c>
      <c r="AP681" t="s">
        <v>53</v>
      </c>
    </row>
    <row r="682" spans="2:42" x14ac:dyDescent="0.2">
      <c r="B682" t="s">
        <v>44</v>
      </c>
      <c r="C682" t="str">
        <f>HYPERLINK("https://us2.cloudbeds.com/connect/8493803454333002#/reservations/598483685571?display=E1DY9PZN&amp;reservation_id=598483685571", "E1DY9PZN")</f>
        <v>E1DY9PZN</v>
      </c>
      <c r="D682" t="s">
        <v>45</v>
      </c>
      <c r="E682" t="s">
        <v>265</v>
      </c>
      <c r="F682" t="s">
        <v>61</v>
      </c>
      <c r="G682" t="s">
        <v>48</v>
      </c>
      <c r="H682" t="s">
        <v>49</v>
      </c>
      <c r="I682" t="s">
        <v>50</v>
      </c>
      <c r="J682" t="s">
        <v>970</v>
      </c>
      <c r="K682" t="s">
        <v>289</v>
      </c>
      <c r="L682" t="s">
        <v>53</v>
      </c>
      <c r="N682" t="s">
        <v>1378</v>
      </c>
      <c r="P682" t="s">
        <v>55</v>
      </c>
      <c r="R682" t="s">
        <v>56</v>
      </c>
      <c r="T682" t="s">
        <v>1358</v>
      </c>
      <c r="U682" t="s">
        <v>58</v>
      </c>
      <c r="V682">
        <v>2</v>
      </c>
      <c r="W682">
        <v>1</v>
      </c>
      <c r="X682">
        <v>1</v>
      </c>
      <c r="Y682">
        <v>0</v>
      </c>
      <c r="Z682">
        <v>1</v>
      </c>
      <c r="AA682">
        <v>0</v>
      </c>
      <c r="AB682">
        <v>325.04000000000002</v>
      </c>
      <c r="AC682">
        <v>286</v>
      </c>
      <c r="AD682">
        <v>0</v>
      </c>
      <c r="AE682">
        <v>39.06</v>
      </c>
      <c r="AF682">
        <v>0</v>
      </c>
      <c r="AG682">
        <v>0</v>
      </c>
      <c r="AH682">
        <v>0</v>
      </c>
      <c r="AI682">
        <v>58.51</v>
      </c>
      <c r="AJ682">
        <v>325.06</v>
      </c>
      <c r="AK682">
        <v>0.02</v>
      </c>
      <c r="AL682" t="s">
        <v>53</v>
      </c>
      <c r="AM682" t="s">
        <v>53</v>
      </c>
      <c r="AN682" t="s">
        <v>127</v>
      </c>
      <c r="AO682" t="s">
        <v>53</v>
      </c>
      <c r="AP682" t="s">
        <v>53</v>
      </c>
    </row>
    <row r="683" spans="2:42" x14ac:dyDescent="0.2">
      <c r="B683" t="s">
        <v>44</v>
      </c>
      <c r="C683" t="str">
        <f>HYPERLINK("https://us2.cloudbeds.com/connect/8493803454333002#/reservations/579282149624?display=DJX01ZB1&amp;reservation_id=579282149624", "DJX01ZB1")</f>
        <v>DJX01ZB1</v>
      </c>
      <c r="D683" t="s">
        <v>45</v>
      </c>
      <c r="E683" t="s">
        <v>223</v>
      </c>
      <c r="F683" t="s">
        <v>47</v>
      </c>
      <c r="G683" t="s">
        <v>48</v>
      </c>
      <c r="H683" t="s">
        <v>49</v>
      </c>
      <c r="I683" t="s">
        <v>62</v>
      </c>
      <c r="J683" t="s">
        <v>1336</v>
      </c>
      <c r="K683" t="s">
        <v>1337</v>
      </c>
      <c r="L683" t="s">
        <v>53</v>
      </c>
      <c r="N683" t="s">
        <v>1379</v>
      </c>
      <c r="P683" t="s">
        <v>55</v>
      </c>
      <c r="R683" t="s">
        <v>56</v>
      </c>
      <c r="T683" t="s">
        <v>1358</v>
      </c>
      <c r="U683" t="s">
        <v>58</v>
      </c>
      <c r="V683">
        <v>1</v>
      </c>
      <c r="W683">
        <v>1</v>
      </c>
      <c r="X683">
        <v>1</v>
      </c>
      <c r="Y683">
        <v>0</v>
      </c>
      <c r="Z683">
        <v>1</v>
      </c>
      <c r="AA683">
        <v>0</v>
      </c>
      <c r="AB683">
        <v>136.38</v>
      </c>
      <c r="AC683">
        <v>120</v>
      </c>
      <c r="AD683">
        <v>0</v>
      </c>
      <c r="AE683">
        <v>16.38</v>
      </c>
      <c r="AF683">
        <v>0</v>
      </c>
      <c r="AG683">
        <v>0</v>
      </c>
      <c r="AH683">
        <v>0</v>
      </c>
      <c r="AI683">
        <v>20.46</v>
      </c>
      <c r="AJ683">
        <v>136.38</v>
      </c>
      <c r="AK683">
        <v>0</v>
      </c>
      <c r="AL683" t="s">
        <v>53</v>
      </c>
      <c r="AM683" t="s">
        <v>53</v>
      </c>
      <c r="AN683" t="s">
        <v>413</v>
      </c>
      <c r="AO683" t="s">
        <v>53</v>
      </c>
      <c r="AP683" t="s">
        <v>53</v>
      </c>
    </row>
    <row r="684" spans="2:42" x14ac:dyDescent="0.2">
      <c r="B684" t="s">
        <v>44</v>
      </c>
      <c r="C684" t="str">
        <f>HYPERLINK("https://us2.cloudbeds.com/connect/8493803454333002#/reservations/579353411821?display=DJJR4NHX&amp;reservation_id=579353411821", "DJJR4NHX")</f>
        <v>DJJR4NHX</v>
      </c>
      <c r="D684" t="s">
        <v>45</v>
      </c>
      <c r="E684" t="s">
        <v>381</v>
      </c>
      <c r="F684" t="s">
        <v>47</v>
      </c>
      <c r="G684" t="s">
        <v>48</v>
      </c>
      <c r="H684" t="s">
        <v>49</v>
      </c>
      <c r="I684" t="s">
        <v>50</v>
      </c>
      <c r="J684" t="s">
        <v>1380</v>
      </c>
      <c r="K684" t="s">
        <v>1381</v>
      </c>
      <c r="L684" t="s">
        <v>53</v>
      </c>
      <c r="N684" t="s">
        <v>1382</v>
      </c>
      <c r="P684" t="s">
        <v>55</v>
      </c>
      <c r="R684" t="s">
        <v>56</v>
      </c>
      <c r="T684" t="s">
        <v>1383</v>
      </c>
      <c r="U684" t="s">
        <v>58</v>
      </c>
      <c r="V684">
        <v>2</v>
      </c>
      <c r="W684">
        <v>1</v>
      </c>
      <c r="X684">
        <v>1</v>
      </c>
      <c r="Y684">
        <v>0</v>
      </c>
      <c r="Z684">
        <v>1</v>
      </c>
      <c r="AA684">
        <v>0</v>
      </c>
      <c r="AB684">
        <v>261.42</v>
      </c>
      <c r="AC684">
        <v>230</v>
      </c>
      <c r="AD684">
        <v>0</v>
      </c>
      <c r="AE684">
        <v>31.42</v>
      </c>
      <c r="AF684">
        <v>0</v>
      </c>
      <c r="AG684">
        <v>0</v>
      </c>
      <c r="AH684">
        <v>0</v>
      </c>
      <c r="AI684">
        <v>47.06</v>
      </c>
      <c r="AJ684">
        <v>261.42</v>
      </c>
      <c r="AK684">
        <v>0</v>
      </c>
      <c r="AL684" t="s">
        <v>53</v>
      </c>
      <c r="AM684" t="s">
        <v>53</v>
      </c>
      <c r="AN684" t="s">
        <v>252</v>
      </c>
      <c r="AO684" t="s">
        <v>53</v>
      </c>
      <c r="AP684" t="s">
        <v>53</v>
      </c>
    </row>
    <row r="685" spans="2:42" x14ac:dyDescent="0.2">
      <c r="B685" t="s">
        <v>44</v>
      </c>
      <c r="C685" t="str">
        <f>HYPERLINK("https://us2.cloudbeds.com/connect/8493803454333002#/reservations/579361353868?display=DJK0RNGY&amp;reservation_id=579361353868", "DJK0RNGY")</f>
        <v>DJK0RNGY</v>
      </c>
      <c r="D685" t="s">
        <v>45</v>
      </c>
      <c r="E685" t="s">
        <v>165</v>
      </c>
      <c r="F685" t="s">
        <v>61</v>
      </c>
      <c r="G685" t="s">
        <v>48</v>
      </c>
      <c r="H685" t="s">
        <v>49</v>
      </c>
      <c r="I685" t="s">
        <v>79</v>
      </c>
      <c r="J685" t="s">
        <v>1380</v>
      </c>
      <c r="K685" t="s">
        <v>1381</v>
      </c>
      <c r="L685" t="s">
        <v>53</v>
      </c>
      <c r="N685" t="s">
        <v>1384</v>
      </c>
      <c r="P685" t="s">
        <v>58</v>
      </c>
      <c r="R685" t="s">
        <v>56</v>
      </c>
      <c r="T685" t="s">
        <v>1383</v>
      </c>
      <c r="U685" t="s">
        <v>58</v>
      </c>
      <c r="V685">
        <v>2</v>
      </c>
      <c r="W685">
        <v>1</v>
      </c>
      <c r="X685">
        <v>1</v>
      </c>
      <c r="Y685">
        <v>0</v>
      </c>
      <c r="Z685">
        <v>1</v>
      </c>
      <c r="AA685">
        <v>0</v>
      </c>
      <c r="AB685">
        <v>249.56</v>
      </c>
      <c r="AC685">
        <v>219.6</v>
      </c>
      <c r="AD685">
        <v>0</v>
      </c>
      <c r="AE685">
        <v>29.96</v>
      </c>
      <c r="AF685">
        <v>0</v>
      </c>
      <c r="AG685">
        <v>0</v>
      </c>
      <c r="AH685">
        <v>0</v>
      </c>
      <c r="AI685">
        <v>0</v>
      </c>
      <c r="AJ685">
        <v>249.56</v>
      </c>
      <c r="AK685">
        <v>0</v>
      </c>
      <c r="AL685" t="s">
        <v>53</v>
      </c>
      <c r="AM685" t="s">
        <v>53</v>
      </c>
      <c r="AN685" t="s">
        <v>112</v>
      </c>
      <c r="AO685" t="s">
        <v>53</v>
      </c>
      <c r="AP685" t="s">
        <v>53</v>
      </c>
    </row>
    <row r="686" spans="2:42" x14ac:dyDescent="0.2">
      <c r="B686" t="s">
        <v>44</v>
      </c>
      <c r="C686" t="str">
        <f>HYPERLINK("https://us2.cloudbeds.com/connect/8493803454333002#/reservations/598234247385?display=E178VQ7Q&amp;reservation_id=598234247385", "E178VQ7Q")</f>
        <v>E178VQ7Q</v>
      </c>
      <c r="D686" t="s">
        <v>45</v>
      </c>
      <c r="E686" t="s">
        <v>487</v>
      </c>
      <c r="F686" t="s">
        <v>61</v>
      </c>
      <c r="G686" t="s">
        <v>48</v>
      </c>
      <c r="H686" t="s">
        <v>71</v>
      </c>
      <c r="I686" t="s">
        <v>72</v>
      </c>
      <c r="J686" t="s">
        <v>454</v>
      </c>
      <c r="K686" t="s">
        <v>455</v>
      </c>
      <c r="L686" t="s">
        <v>53</v>
      </c>
      <c r="N686" t="s">
        <v>1385</v>
      </c>
      <c r="P686" t="s">
        <v>55</v>
      </c>
      <c r="R686" t="s">
        <v>56</v>
      </c>
      <c r="T686" t="s">
        <v>1383</v>
      </c>
      <c r="U686" t="s">
        <v>58</v>
      </c>
      <c r="V686">
        <v>1</v>
      </c>
      <c r="W686">
        <v>1</v>
      </c>
      <c r="X686">
        <v>1</v>
      </c>
      <c r="Y686">
        <v>0</v>
      </c>
      <c r="Z686">
        <v>1</v>
      </c>
      <c r="AA686">
        <v>0</v>
      </c>
      <c r="AB686">
        <v>109.1</v>
      </c>
      <c r="AC686">
        <v>96</v>
      </c>
      <c r="AD686">
        <v>0</v>
      </c>
      <c r="AE686">
        <v>13.1</v>
      </c>
      <c r="AF686">
        <v>0</v>
      </c>
      <c r="AG686">
        <v>0</v>
      </c>
      <c r="AH686">
        <v>0</v>
      </c>
      <c r="AI686">
        <v>0</v>
      </c>
      <c r="AJ686">
        <v>109.1</v>
      </c>
      <c r="AK686">
        <v>0</v>
      </c>
      <c r="AL686" t="s">
        <v>53</v>
      </c>
      <c r="AM686" t="s">
        <v>53</v>
      </c>
      <c r="AN686" t="s">
        <v>1386</v>
      </c>
      <c r="AO686" t="s">
        <v>53</v>
      </c>
      <c r="AP686" t="s">
        <v>53</v>
      </c>
    </row>
    <row r="687" spans="2:42" x14ac:dyDescent="0.2">
      <c r="B687" t="s">
        <v>44</v>
      </c>
      <c r="C687" t="str">
        <f>HYPERLINK("https://us2.cloudbeds.com/connect/8493803454333002#/reservations/598441676963?display=E1CXSRBJ&amp;reservation_id=598441676963", "E1CXSRBJ")</f>
        <v>E1CXSRBJ</v>
      </c>
      <c r="D687" t="s">
        <v>45</v>
      </c>
      <c r="E687" t="s">
        <v>85</v>
      </c>
      <c r="F687" t="s">
        <v>86</v>
      </c>
      <c r="G687" t="s">
        <v>48</v>
      </c>
      <c r="H687" t="s">
        <v>49</v>
      </c>
      <c r="I687" t="s">
        <v>50</v>
      </c>
      <c r="J687" t="s">
        <v>199</v>
      </c>
      <c r="K687" t="s">
        <v>961</v>
      </c>
      <c r="L687" t="s">
        <v>53</v>
      </c>
      <c r="N687" t="s">
        <v>1387</v>
      </c>
      <c r="P687" t="s">
        <v>55</v>
      </c>
      <c r="R687" t="s">
        <v>56</v>
      </c>
      <c r="T687" t="s">
        <v>1383</v>
      </c>
      <c r="U687" t="s">
        <v>58</v>
      </c>
      <c r="V687">
        <v>1</v>
      </c>
      <c r="W687">
        <v>1</v>
      </c>
      <c r="X687">
        <v>1</v>
      </c>
      <c r="Y687">
        <v>0</v>
      </c>
      <c r="Z687">
        <v>1</v>
      </c>
      <c r="AA687">
        <v>0</v>
      </c>
      <c r="AB687">
        <v>97.17</v>
      </c>
      <c r="AC687">
        <v>85.5</v>
      </c>
      <c r="AD687">
        <v>0</v>
      </c>
      <c r="AE687">
        <v>11.67</v>
      </c>
      <c r="AF687">
        <v>0</v>
      </c>
      <c r="AG687">
        <v>0</v>
      </c>
      <c r="AH687">
        <v>0</v>
      </c>
      <c r="AI687">
        <v>17.489999999999998</v>
      </c>
      <c r="AJ687">
        <v>97.17</v>
      </c>
      <c r="AK687">
        <v>0</v>
      </c>
      <c r="AL687" t="s">
        <v>53</v>
      </c>
      <c r="AM687" t="s">
        <v>53</v>
      </c>
      <c r="AN687" t="s">
        <v>1388</v>
      </c>
      <c r="AO687" t="s">
        <v>53</v>
      </c>
      <c r="AP687" t="s">
        <v>53</v>
      </c>
    </row>
    <row r="688" spans="2:42" x14ac:dyDescent="0.2">
      <c r="B688" t="s">
        <v>44</v>
      </c>
      <c r="C688" t="str">
        <f>HYPERLINK("https://us2.cloudbeds.com/connect/8493803454333002#/reservations/579358990539?display=DJJVRVAK&amp;reservation_id=579358990539", "DJJVRVAK")</f>
        <v>DJJVRVAK</v>
      </c>
      <c r="D688" t="s">
        <v>45</v>
      </c>
      <c r="E688" t="s">
        <v>69</v>
      </c>
      <c r="F688" t="s">
        <v>70</v>
      </c>
      <c r="G688" t="s">
        <v>48</v>
      </c>
      <c r="H688" t="s">
        <v>49</v>
      </c>
      <c r="I688" t="s">
        <v>79</v>
      </c>
      <c r="J688" t="s">
        <v>1380</v>
      </c>
      <c r="K688" t="s">
        <v>1381</v>
      </c>
      <c r="L688" t="s">
        <v>53</v>
      </c>
      <c r="N688" t="s">
        <v>1389</v>
      </c>
      <c r="P688" t="s">
        <v>55</v>
      </c>
      <c r="R688" t="s">
        <v>56</v>
      </c>
      <c r="T688" t="s">
        <v>1383</v>
      </c>
      <c r="U688" t="s">
        <v>58</v>
      </c>
      <c r="V688">
        <v>2</v>
      </c>
      <c r="W688">
        <v>1</v>
      </c>
      <c r="X688">
        <v>1</v>
      </c>
      <c r="Y688">
        <v>0</v>
      </c>
      <c r="Z688">
        <v>1</v>
      </c>
      <c r="AA688">
        <v>0</v>
      </c>
      <c r="AB688">
        <v>210.7</v>
      </c>
      <c r="AC688">
        <v>185.4</v>
      </c>
      <c r="AD688">
        <v>0</v>
      </c>
      <c r="AE688">
        <v>25.3</v>
      </c>
      <c r="AF688">
        <v>0</v>
      </c>
      <c r="AG688">
        <v>0</v>
      </c>
      <c r="AH688">
        <v>0</v>
      </c>
      <c r="AI688">
        <v>0</v>
      </c>
      <c r="AJ688">
        <v>210.7</v>
      </c>
      <c r="AK688">
        <v>0</v>
      </c>
      <c r="AL688" t="s">
        <v>53</v>
      </c>
      <c r="AM688" t="s">
        <v>53</v>
      </c>
      <c r="AN688" t="s">
        <v>84</v>
      </c>
      <c r="AO688" t="s">
        <v>53</v>
      </c>
      <c r="AP688" t="s">
        <v>53</v>
      </c>
    </row>
    <row r="689" spans="2:42" x14ac:dyDescent="0.2">
      <c r="B689" t="s">
        <v>44</v>
      </c>
      <c r="C689" t="str">
        <f>HYPERLINK("https://us2.cloudbeds.com/connect/8493803454333002#/reservations/579368042723?display=DJK6FRN7&amp;reservation_id=579368042723", "DJK6FRN7")</f>
        <v>DJK6FRN7</v>
      </c>
      <c r="D689" t="s">
        <v>45</v>
      </c>
      <c r="E689" t="s">
        <v>179</v>
      </c>
      <c r="F689" t="s">
        <v>47</v>
      </c>
      <c r="G689" t="s">
        <v>48</v>
      </c>
      <c r="H689" t="s">
        <v>49</v>
      </c>
      <c r="I689" t="s">
        <v>79</v>
      </c>
      <c r="J689" t="s">
        <v>1380</v>
      </c>
      <c r="K689" t="s">
        <v>1381</v>
      </c>
      <c r="L689" t="s">
        <v>53</v>
      </c>
      <c r="N689" t="s">
        <v>1390</v>
      </c>
      <c r="P689" t="s">
        <v>55</v>
      </c>
      <c r="R689" t="s">
        <v>56</v>
      </c>
      <c r="T689" t="s">
        <v>1383</v>
      </c>
      <c r="U689" t="s">
        <v>58</v>
      </c>
      <c r="V689">
        <v>2</v>
      </c>
      <c r="W689">
        <v>1</v>
      </c>
      <c r="X689">
        <v>1</v>
      </c>
      <c r="Y689">
        <v>0</v>
      </c>
      <c r="Z689">
        <v>1</v>
      </c>
      <c r="AA689">
        <v>0</v>
      </c>
      <c r="AB689">
        <v>235.24</v>
      </c>
      <c r="AC689">
        <v>207</v>
      </c>
      <c r="AD689">
        <v>0</v>
      </c>
      <c r="AE689">
        <v>28.24</v>
      </c>
      <c r="AF689">
        <v>0</v>
      </c>
      <c r="AG689">
        <v>0</v>
      </c>
      <c r="AH689">
        <v>0</v>
      </c>
      <c r="AI689">
        <v>0</v>
      </c>
      <c r="AJ689">
        <v>235.24</v>
      </c>
      <c r="AK689">
        <v>0</v>
      </c>
      <c r="AL689" t="s">
        <v>53</v>
      </c>
      <c r="AM689" t="s">
        <v>53</v>
      </c>
      <c r="AN689" t="s">
        <v>146</v>
      </c>
      <c r="AO689" t="s">
        <v>53</v>
      </c>
      <c r="AP689" t="s">
        <v>53</v>
      </c>
    </row>
    <row r="690" spans="2:42" x14ac:dyDescent="0.2">
      <c r="B690" t="s">
        <v>44</v>
      </c>
      <c r="C690" t="str">
        <f>HYPERLINK("https://us2.cloudbeds.com/connect/8493803454333002#/reservations/598469808272?display=E1D9JKJG&amp;reservation_id=598469808272", "E1D9JKJG")</f>
        <v>E1D9JKJG</v>
      </c>
      <c r="D690" t="s">
        <v>45</v>
      </c>
      <c r="E690" t="s">
        <v>138</v>
      </c>
      <c r="F690" t="s">
        <v>70</v>
      </c>
      <c r="G690" t="s">
        <v>48</v>
      </c>
      <c r="H690" t="s">
        <v>49</v>
      </c>
      <c r="I690" t="s">
        <v>62</v>
      </c>
      <c r="J690" t="s">
        <v>199</v>
      </c>
      <c r="K690" t="s">
        <v>961</v>
      </c>
      <c r="L690" t="s">
        <v>53</v>
      </c>
      <c r="N690" t="s">
        <v>1391</v>
      </c>
      <c r="P690" t="s">
        <v>55</v>
      </c>
      <c r="R690" t="s">
        <v>56</v>
      </c>
      <c r="T690" t="s">
        <v>1383</v>
      </c>
      <c r="U690" t="s">
        <v>58</v>
      </c>
      <c r="V690">
        <v>1</v>
      </c>
      <c r="W690">
        <v>1</v>
      </c>
      <c r="X690">
        <v>1</v>
      </c>
      <c r="Y690">
        <v>0</v>
      </c>
      <c r="Z690">
        <v>1</v>
      </c>
      <c r="AA690">
        <v>0</v>
      </c>
      <c r="AB690">
        <v>76.37</v>
      </c>
      <c r="AC690">
        <v>67.2</v>
      </c>
      <c r="AD690">
        <v>0</v>
      </c>
      <c r="AE690">
        <v>9.17</v>
      </c>
      <c r="AF690">
        <v>0</v>
      </c>
      <c r="AG690">
        <v>0</v>
      </c>
      <c r="AH690">
        <v>0</v>
      </c>
      <c r="AI690">
        <v>11.46</v>
      </c>
      <c r="AJ690">
        <v>76.37</v>
      </c>
      <c r="AK690">
        <v>0</v>
      </c>
      <c r="AL690" t="s">
        <v>53</v>
      </c>
      <c r="AM690" t="s">
        <v>53</v>
      </c>
      <c r="AN690" t="s">
        <v>742</v>
      </c>
      <c r="AO690" t="s">
        <v>53</v>
      </c>
      <c r="AP690" t="s">
        <v>53</v>
      </c>
    </row>
    <row r="691" spans="2:42" x14ac:dyDescent="0.2">
      <c r="B691" t="s">
        <v>44</v>
      </c>
      <c r="C691" t="str">
        <f>HYPERLINK("https://us2.cloudbeds.com/connect/8493803454333002#/reservations/598509076661?display=E1E9NANM&amp;reservation_id=598509076661", "E1E9NANM")</f>
        <v>E1E9NANM</v>
      </c>
      <c r="D691" t="s">
        <v>45</v>
      </c>
      <c r="E691" t="s">
        <v>223</v>
      </c>
      <c r="F691" t="s">
        <v>47</v>
      </c>
      <c r="G691" t="s">
        <v>48</v>
      </c>
      <c r="H691" t="s">
        <v>49</v>
      </c>
      <c r="I691" t="s">
        <v>62</v>
      </c>
      <c r="J691" t="s">
        <v>122</v>
      </c>
      <c r="K691" t="s">
        <v>475</v>
      </c>
      <c r="L691" t="s">
        <v>53</v>
      </c>
      <c r="N691" t="s">
        <v>1392</v>
      </c>
      <c r="P691" t="s">
        <v>55</v>
      </c>
      <c r="R691" t="s">
        <v>56</v>
      </c>
      <c r="T691" t="s">
        <v>1383</v>
      </c>
      <c r="U691" t="s">
        <v>58</v>
      </c>
      <c r="V691">
        <v>2</v>
      </c>
      <c r="W691">
        <v>1</v>
      </c>
      <c r="X691">
        <v>1</v>
      </c>
      <c r="Y691">
        <v>0</v>
      </c>
      <c r="Z691">
        <v>1</v>
      </c>
      <c r="AA691">
        <v>0</v>
      </c>
      <c r="AB691">
        <v>310.26</v>
      </c>
      <c r="AC691">
        <v>273</v>
      </c>
      <c r="AD691">
        <v>0</v>
      </c>
      <c r="AE691">
        <v>37.28</v>
      </c>
      <c r="AF691">
        <v>0</v>
      </c>
      <c r="AG691">
        <v>0</v>
      </c>
      <c r="AH691">
        <v>0</v>
      </c>
      <c r="AI691">
        <v>46.54</v>
      </c>
      <c r="AJ691">
        <v>310.27999999999997</v>
      </c>
      <c r="AK691">
        <v>0.02</v>
      </c>
      <c r="AL691" t="s">
        <v>53</v>
      </c>
      <c r="AM691" t="s">
        <v>53</v>
      </c>
      <c r="AN691" t="s">
        <v>198</v>
      </c>
      <c r="AO691" t="s">
        <v>53</v>
      </c>
      <c r="AP691" t="s">
        <v>53</v>
      </c>
    </row>
    <row r="692" spans="2:42" x14ac:dyDescent="0.2">
      <c r="B692" t="s">
        <v>44</v>
      </c>
      <c r="C692" t="str">
        <f>HYPERLINK("https://us2.cloudbeds.com/connect/8493803454333002#/reservations/598508871872?display=E1E4PMF4&amp;reservation_id=598508871872", "E1E4PMF4")</f>
        <v>E1E4PMF4</v>
      </c>
      <c r="D692" t="s">
        <v>45</v>
      </c>
      <c r="E692" t="s">
        <v>110</v>
      </c>
      <c r="F692" t="s">
        <v>47</v>
      </c>
      <c r="G692" t="s">
        <v>48</v>
      </c>
      <c r="H692" t="s">
        <v>49</v>
      </c>
      <c r="I692" t="s">
        <v>50</v>
      </c>
      <c r="J692" t="s">
        <v>566</v>
      </c>
      <c r="K692" t="s">
        <v>791</v>
      </c>
      <c r="L692" t="s">
        <v>53</v>
      </c>
      <c r="N692" t="s">
        <v>1393</v>
      </c>
      <c r="P692" t="s">
        <v>55</v>
      </c>
      <c r="R692" t="s">
        <v>56</v>
      </c>
      <c r="T692" t="s">
        <v>1383</v>
      </c>
      <c r="U692" t="s">
        <v>58</v>
      </c>
      <c r="V692">
        <v>3</v>
      </c>
      <c r="W692">
        <v>1</v>
      </c>
      <c r="X692">
        <v>1</v>
      </c>
      <c r="Y692">
        <v>0</v>
      </c>
      <c r="Z692">
        <v>1</v>
      </c>
      <c r="AA692">
        <v>0</v>
      </c>
      <c r="AB692">
        <v>197.41</v>
      </c>
      <c r="AC692">
        <v>173.7</v>
      </c>
      <c r="AD692">
        <v>0</v>
      </c>
      <c r="AE692">
        <v>23.73</v>
      </c>
      <c r="AF692">
        <v>0</v>
      </c>
      <c r="AG692">
        <v>0</v>
      </c>
      <c r="AH692">
        <v>0</v>
      </c>
      <c r="AI692">
        <v>35.54</v>
      </c>
      <c r="AJ692">
        <v>197.43</v>
      </c>
      <c r="AK692">
        <v>0.02</v>
      </c>
      <c r="AL692" t="s">
        <v>53</v>
      </c>
      <c r="AM692" t="s">
        <v>53</v>
      </c>
      <c r="AN692" t="s">
        <v>1394</v>
      </c>
      <c r="AO692" t="s">
        <v>53</v>
      </c>
      <c r="AP692" t="s">
        <v>53</v>
      </c>
    </row>
    <row r="693" spans="2:42" x14ac:dyDescent="0.2">
      <c r="B693" t="s">
        <v>44</v>
      </c>
      <c r="C693" t="str">
        <f>HYPERLINK("https://us2.cloudbeds.com/connect/8493803454333002#/reservations/598229295344?display=E174PWTV&amp;reservation_id=598229295344", "E174PWTV")</f>
        <v>E174PWTV</v>
      </c>
      <c r="D693" t="s">
        <v>45</v>
      </c>
      <c r="E693" t="s">
        <v>128</v>
      </c>
      <c r="F693" t="s">
        <v>86</v>
      </c>
      <c r="G693" t="s">
        <v>48</v>
      </c>
      <c r="H693" t="s">
        <v>49</v>
      </c>
      <c r="I693" t="s">
        <v>50</v>
      </c>
      <c r="J693" t="s">
        <v>233</v>
      </c>
      <c r="K693" t="s">
        <v>1124</v>
      </c>
      <c r="L693" t="s">
        <v>53</v>
      </c>
      <c r="N693" t="s">
        <v>1395</v>
      </c>
      <c r="P693" t="s">
        <v>55</v>
      </c>
      <c r="R693" t="s">
        <v>56</v>
      </c>
      <c r="T693" t="s">
        <v>1383</v>
      </c>
      <c r="U693" t="s">
        <v>58</v>
      </c>
      <c r="V693">
        <v>1</v>
      </c>
      <c r="W693">
        <v>1</v>
      </c>
      <c r="X693">
        <v>1</v>
      </c>
      <c r="Y693">
        <v>0</v>
      </c>
      <c r="Z693">
        <v>1</v>
      </c>
      <c r="AA693">
        <v>0</v>
      </c>
      <c r="AB693">
        <v>102.29</v>
      </c>
      <c r="AC693">
        <v>90</v>
      </c>
      <c r="AD693">
        <v>0</v>
      </c>
      <c r="AE693">
        <v>12.29</v>
      </c>
      <c r="AF693">
        <v>0</v>
      </c>
      <c r="AG693">
        <v>0</v>
      </c>
      <c r="AH693">
        <v>0</v>
      </c>
      <c r="AI693">
        <v>18.41</v>
      </c>
      <c r="AJ693">
        <v>102.29</v>
      </c>
      <c r="AK693">
        <v>0</v>
      </c>
      <c r="AL693" t="s">
        <v>53</v>
      </c>
      <c r="AM693" t="s">
        <v>53</v>
      </c>
      <c r="AN693" t="s">
        <v>280</v>
      </c>
      <c r="AO693" t="s">
        <v>53</v>
      </c>
      <c r="AP693" t="s">
        <v>53</v>
      </c>
    </row>
    <row r="694" spans="2:42" x14ac:dyDescent="0.2">
      <c r="B694" t="s">
        <v>44</v>
      </c>
      <c r="C694" t="str">
        <f>HYPERLINK("https://us2.cloudbeds.com/connect/8493803454333002#/reservations/598229557447?display=E17509JF&amp;reservation_id=598229557447", "E17509JF")</f>
        <v>E17509JF</v>
      </c>
      <c r="D694" t="s">
        <v>45</v>
      </c>
      <c r="E694" t="s">
        <v>69</v>
      </c>
      <c r="F694" t="s">
        <v>70</v>
      </c>
      <c r="G694" t="s">
        <v>48</v>
      </c>
      <c r="H694" t="s">
        <v>49</v>
      </c>
      <c r="I694" t="s">
        <v>50</v>
      </c>
      <c r="J694" t="s">
        <v>87</v>
      </c>
      <c r="K694" t="s">
        <v>327</v>
      </c>
      <c r="L694" t="s">
        <v>53</v>
      </c>
      <c r="N694" t="s">
        <v>1396</v>
      </c>
      <c r="P694" t="s">
        <v>55</v>
      </c>
      <c r="R694" t="s">
        <v>56</v>
      </c>
      <c r="T694" t="s">
        <v>1383</v>
      </c>
      <c r="U694" t="s">
        <v>58</v>
      </c>
      <c r="V694">
        <v>2</v>
      </c>
      <c r="W694">
        <v>1</v>
      </c>
      <c r="X694">
        <v>1</v>
      </c>
      <c r="Y694">
        <v>0</v>
      </c>
      <c r="Z694">
        <v>1</v>
      </c>
      <c r="AA694">
        <v>0</v>
      </c>
      <c r="AB694">
        <v>255.71</v>
      </c>
      <c r="AC694">
        <v>225</v>
      </c>
      <c r="AD694">
        <v>0</v>
      </c>
      <c r="AE694">
        <v>30.72</v>
      </c>
      <c r="AF694">
        <v>0</v>
      </c>
      <c r="AG694">
        <v>0</v>
      </c>
      <c r="AH694">
        <v>0</v>
      </c>
      <c r="AI694">
        <v>46.03</v>
      </c>
      <c r="AJ694">
        <v>255.72</v>
      </c>
      <c r="AK694">
        <v>0.01</v>
      </c>
      <c r="AL694" t="s">
        <v>53</v>
      </c>
      <c r="AM694" t="s">
        <v>53</v>
      </c>
      <c r="AN694" t="s">
        <v>159</v>
      </c>
      <c r="AO694" t="s">
        <v>53</v>
      </c>
      <c r="AP694" t="s">
        <v>53</v>
      </c>
    </row>
    <row r="695" spans="2:42" x14ac:dyDescent="0.2">
      <c r="B695" t="s">
        <v>44</v>
      </c>
      <c r="C695" t="str">
        <f>HYPERLINK("https://us2.cloudbeds.com/connect/8493803454333002#/reservations/598574538974?display=E1FVTU13&amp;reservation_id=598574538974", "E1FVTU13")</f>
        <v>E1FVTU13</v>
      </c>
      <c r="D695" t="s">
        <v>45</v>
      </c>
      <c r="E695" t="s">
        <v>85</v>
      </c>
      <c r="F695" t="s">
        <v>86</v>
      </c>
      <c r="G695" t="s">
        <v>48</v>
      </c>
      <c r="H695" t="s">
        <v>49</v>
      </c>
      <c r="I695" t="s">
        <v>50</v>
      </c>
      <c r="J695" t="s">
        <v>1143</v>
      </c>
      <c r="K695" t="s">
        <v>565</v>
      </c>
      <c r="L695" t="s">
        <v>53</v>
      </c>
      <c r="N695" t="s">
        <v>1397</v>
      </c>
      <c r="P695" t="s">
        <v>55</v>
      </c>
      <c r="R695" t="s">
        <v>56</v>
      </c>
      <c r="T695" t="s">
        <v>1383</v>
      </c>
      <c r="U695" t="s">
        <v>58</v>
      </c>
      <c r="V695">
        <v>1</v>
      </c>
      <c r="W695">
        <v>1</v>
      </c>
      <c r="X695">
        <v>1</v>
      </c>
      <c r="Y695">
        <v>0</v>
      </c>
      <c r="Z695">
        <v>1</v>
      </c>
      <c r="AA695">
        <v>0</v>
      </c>
      <c r="AB695">
        <v>73.87</v>
      </c>
      <c r="AC695">
        <v>65</v>
      </c>
      <c r="AD695">
        <v>0</v>
      </c>
      <c r="AE695">
        <v>8.8800000000000008</v>
      </c>
      <c r="AF695">
        <v>0</v>
      </c>
      <c r="AG695">
        <v>0</v>
      </c>
      <c r="AH695">
        <v>0</v>
      </c>
      <c r="AI695">
        <v>13.3</v>
      </c>
      <c r="AJ695">
        <v>73.88</v>
      </c>
      <c r="AK695">
        <v>0.01</v>
      </c>
      <c r="AL695" t="s">
        <v>53</v>
      </c>
      <c r="AM695" t="s">
        <v>53</v>
      </c>
      <c r="AN695" t="s">
        <v>1398</v>
      </c>
      <c r="AO695" t="s">
        <v>53</v>
      </c>
      <c r="AP695" t="s">
        <v>53</v>
      </c>
    </row>
    <row r="696" spans="2:42" x14ac:dyDescent="0.2">
      <c r="B696" t="s">
        <v>44</v>
      </c>
      <c r="C696" t="str">
        <f>HYPERLINK("https://us2.cloudbeds.com/connect/8493803454333002#/reservations/598052139221?display=E12KDC3X&amp;reservation_id=598052139221", "E12KDC3X")</f>
        <v>E12KDC3X</v>
      </c>
      <c r="D696" t="s">
        <v>45</v>
      </c>
      <c r="E696" t="s">
        <v>128</v>
      </c>
      <c r="F696" t="s">
        <v>86</v>
      </c>
      <c r="G696" t="s">
        <v>48</v>
      </c>
      <c r="H696" t="s">
        <v>71</v>
      </c>
      <c r="I696" t="s">
        <v>72</v>
      </c>
      <c r="J696" t="s">
        <v>199</v>
      </c>
      <c r="K696" t="s">
        <v>915</v>
      </c>
      <c r="L696" t="s">
        <v>53</v>
      </c>
      <c r="N696" t="s">
        <v>1399</v>
      </c>
      <c r="P696" t="s">
        <v>55</v>
      </c>
      <c r="R696" t="s">
        <v>56</v>
      </c>
      <c r="T696" t="s">
        <v>1383</v>
      </c>
      <c r="U696" t="s">
        <v>58</v>
      </c>
      <c r="V696">
        <v>3</v>
      </c>
      <c r="W696">
        <v>1</v>
      </c>
      <c r="X696">
        <v>1</v>
      </c>
      <c r="Y696">
        <v>0</v>
      </c>
      <c r="Z696">
        <v>1</v>
      </c>
      <c r="AA696">
        <v>0</v>
      </c>
      <c r="AB696">
        <v>321.63</v>
      </c>
      <c r="AC696">
        <v>283</v>
      </c>
      <c r="AD696">
        <v>0</v>
      </c>
      <c r="AE696">
        <v>38.64</v>
      </c>
      <c r="AF696">
        <v>0</v>
      </c>
      <c r="AG696">
        <v>0</v>
      </c>
      <c r="AH696">
        <v>0</v>
      </c>
      <c r="AI696">
        <v>0</v>
      </c>
      <c r="AJ696">
        <v>321.64</v>
      </c>
      <c r="AK696">
        <v>0.01</v>
      </c>
      <c r="AL696" t="s">
        <v>53</v>
      </c>
      <c r="AM696" t="s">
        <v>53</v>
      </c>
      <c r="AN696" t="s">
        <v>1400</v>
      </c>
      <c r="AO696" t="s">
        <v>53</v>
      </c>
      <c r="AP696" t="s">
        <v>53</v>
      </c>
    </row>
    <row r="697" spans="2:42" x14ac:dyDescent="0.2">
      <c r="B697" t="s">
        <v>44</v>
      </c>
      <c r="C697" t="str">
        <f>HYPERLINK("https://us2.cloudbeds.com/connect/8493803454333002#/reservations/598048096403?display=E12GWSMV&amp;reservation_id=598048096403", "E12GWSMV")</f>
        <v>E12GWSMV</v>
      </c>
      <c r="D697" t="s">
        <v>45</v>
      </c>
      <c r="E697" t="s">
        <v>179</v>
      </c>
      <c r="F697" t="s">
        <v>47</v>
      </c>
      <c r="G697" t="s">
        <v>48</v>
      </c>
      <c r="H697" t="s">
        <v>49</v>
      </c>
      <c r="I697" t="s">
        <v>62</v>
      </c>
      <c r="J697" t="s">
        <v>915</v>
      </c>
      <c r="K697" t="s">
        <v>232</v>
      </c>
      <c r="L697" t="s">
        <v>53</v>
      </c>
      <c r="N697" t="s">
        <v>1401</v>
      </c>
      <c r="P697" t="s">
        <v>55</v>
      </c>
      <c r="R697" t="s">
        <v>56</v>
      </c>
      <c r="T697" t="s">
        <v>1383</v>
      </c>
      <c r="U697" t="s">
        <v>58</v>
      </c>
      <c r="V697">
        <v>1</v>
      </c>
      <c r="W697">
        <v>1</v>
      </c>
      <c r="X697">
        <v>1</v>
      </c>
      <c r="Y697">
        <v>0</v>
      </c>
      <c r="Z697">
        <v>1</v>
      </c>
      <c r="AA697">
        <v>0</v>
      </c>
      <c r="AB697">
        <v>81.83</v>
      </c>
      <c r="AC697">
        <v>72</v>
      </c>
      <c r="AD697">
        <v>0</v>
      </c>
      <c r="AE697">
        <v>9.83</v>
      </c>
      <c r="AF697">
        <v>0</v>
      </c>
      <c r="AG697">
        <v>0</v>
      </c>
      <c r="AH697">
        <v>0</v>
      </c>
      <c r="AI697">
        <v>12.27</v>
      </c>
      <c r="AJ697">
        <v>81.83</v>
      </c>
      <c r="AK697">
        <v>0</v>
      </c>
      <c r="AL697" t="s">
        <v>53</v>
      </c>
      <c r="AM697" t="s">
        <v>53</v>
      </c>
      <c r="AN697" t="s">
        <v>1402</v>
      </c>
      <c r="AO697" t="s">
        <v>53</v>
      </c>
      <c r="AP697" t="s">
        <v>53</v>
      </c>
    </row>
    <row r="698" spans="2:42" x14ac:dyDescent="0.2">
      <c r="B698" t="s">
        <v>44</v>
      </c>
      <c r="C698" t="str">
        <f>HYPERLINK("https://us2.cloudbeds.com/connect/8493803454333002#/reservations/598040776863?display=E12AR6BN&amp;reservation_id=598040776863", "E12AR6BN")</f>
        <v>E12AR6BN</v>
      </c>
      <c r="D698" t="s">
        <v>45</v>
      </c>
      <c r="E698" t="s">
        <v>213</v>
      </c>
      <c r="F698" t="s">
        <v>86</v>
      </c>
      <c r="G698" t="s">
        <v>48</v>
      </c>
      <c r="H698" t="s">
        <v>49</v>
      </c>
      <c r="I698" t="s">
        <v>62</v>
      </c>
      <c r="J698" t="s">
        <v>186</v>
      </c>
      <c r="K698" t="s">
        <v>187</v>
      </c>
      <c r="L698" t="s">
        <v>53</v>
      </c>
      <c r="N698" t="s">
        <v>1403</v>
      </c>
      <c r="P698" t="s">
        <v>55</v>
      </c>
      <c r="R698" t="s">
        <v>56</v>
      </c>
      <c r="T698" t="s">
        <v>1383</v>
      </c>
      <c r="U698" t="s">
        <v>58</v>
      </c>
      <c r="V698">
        <v>1</v>
      </c>
      <c r="W698">
        <v>1</v>
      </c>
      <c r="X698">
        <v>1</v>
      </c>
      <c r="Y698">
        <v>0</v>
      </c>
      <c r="Z698">
        <v>1</v>
      </c>
      <c r="AA698">
        <v>0</v>
      </c>
      <c r="AB698">
        <v>113.37</v>
      </c>
      <c r="AC698">
        <v>99.75</v>
      </c>
      <c r="AD698">
        <v>0</v>
      </c>
      <c r="AE698">
        <v>13.62</v>
      </c>
      <c r="AF698">
        <v>0</v>
      </c>
      <c r="AG698">
        <v>0</v>
      </c>
      <c r="AH698">
        <v>0</v>
      </c>
      <c r="AI698">
        <v>17.010000000000002</v>
      </c>
      <c r="AJ698">
        <v>113.37</v>
      </c>
      <c r="AK698">
        <v>0</v>
      </c>
      <c r="AL698" t="s">
        <v>53</v>
      </c>
      <c r="AM698" t="s">
        <v>53</v>
      </c>
      <c r="AN698" t="s">
        <v>634</v>
      </c>
      <c r="AO698" t="s">
        <v>53</v>
      </c>
      <c r="AP698" t="s">
        <v>53</v>
      </c>
    </row>
    <row r="699" spans="2:42" x14ac:dyDescent="0.2">
      <c r="B699" t="s">
        <v>44</v>
      </c>
      <c r="C699" t="str">
        <f>HYPERLINK("https://us2.cloudbeds.com/connect/8493803454333002#/reservations/598391845072?display=E1B9S619&amp;reservation_id=598391845072", "E1B9S619")</f>
        <v>E1B9S619</v>
      </c>
      <c r="D699" t="s">
        <v>45</v>
      </c>
      <c r="E699" t="s">
        <v>105</v>
      </c>
      <c r="F699" t="s">
        <v>47</v>
      </c>
      <c r="G699" t="s">
        <v>48</v>
      </c>
      <c r="H699" t="s">
        <v>49</v>
      </c>
      <c r="I699" t="s">
        <v>50</v>
      </c>
      <c r="J699" t="s">
        <v>208</v>
      </c>
      <c r="K699" t="s">
        <v>232</v>
      </c>
      <c r="L699" t="s">
        <v>53</v>
      </c>
      <c r="N699" t="s">
        <v>1404</v>
      </c>
      <c r="P699" t="s">
        <v>55</v>
      </c>
      <c r="R699" t="s">
        <v>56</v>
      </c>
      <c r="T699" t="s">
        <v>1383</v>
      </c>
      <c r="U699" t="s">
        <v>58</v>
      </c>
      <c r="V699">
        <v>2</v>
      </c>
      <c r="W699">
        <v>1</v>
      </c>
      <c r="X699">
        <v>1</v>
      </c>
      <c r="Y699">
        <v>0</v>
      </c>
      <c r="Z699">
        <v>1</v>
      </c>
      <c r="AA699">
        <v>0</v>
      </c>
      <c r="AB699">
        <v>147.29</v>
      </c>
      <c r="AC699">
        <v>129.6</v>
      </c>
      <c r="AD699">
        <v>0</v>
      </c>
      <c r="AE699">
        <v>17.7</v>
      </c>
      <c r="AF699">
        <v>0</v>
      </c>
      <c r="AG699">
        <v>0</v>
      </c>
      <c r="AH699">
        <v>0</v>
      </c>
      <c r="AI699">
        <v>26.51</v>
      </c>
      <c r="AJ699">
        <v>147.30000000000001</v>
      </c>
      <c r="AK699">
        <v>0.01</v>
      </c>
      <c r="AL699" t="s">
        <v>53</v>
      </c>
      <c r="AM699" t="s">
        <v>53</v>
      </c>
      <c r="AN699" t="s">
        <v>349</v>
      </c>
      <c r="AO699" t="s">
        <v>53</v>
      </c>
      <c r="AP699" t="s">
        <v>53</v>
      </c>
    </row>
    <row r="700" spans="2:42" x14ac:dyDescent="0.2">
      <c r="B700" t="s">
        <v>44</v>
      </c>
      <c r="C700" t="str">
        <f>HYPERLINK("https://us2.cloudbeds.com/connect/8493803454333002#/reservations/579274641646?display=DJHQNQVX&amp;reservation_id=579274641646", "DJHQNQVX")</f>
        <v>DJHQNQVX</v>
      </c>
      <c r="D700" t="s">
        <v>45</v>
      </c>
      <c r="E700" t="s">
        <v>185</v>
      </c>
      <c r="F700" t="s">
        <v>47</v>
      </c>
      <c r="G700" t="s">
        <v>48</v>
      </c>
      <c r="H700" t="s">
        <v>71</v>
      </c>
      <c r="I700" t="s">
        <v>72</v>
      </c>
      <c r="J700" t="s">
        <v>1405</v>
      </c>
      <c r="K700" t="s">
        <v>1406</v>
      </c>
      <c r="L700" t="s">
        <v>53</v>
      </c>
      <c r="N700" t="s">
        <v>1407</v>
      </c>
      <c r="P700" t="s">
        <v>55</v>
      </c>
      <c r="R700" t="s">
        <v>946</v>
      </c>
      <c r="T700" t="s">
        <v>1383</v>
      </c>
      <c r="U700" t="s">
        <v>58</v>
      </c>
      <c r="V700">
        <v>3</v>
      </c>
      <c r="W700">
        <v>1</v>
      </c>
      <c r="X700">
        <v>1</v>
      </c>
      <c r="Y700">
        <v>0</v>
      </c>
      <c r="Z700">
        <v>1</v>
      </c>
      <c r="AA700">
        <v>0</v>
      </c>
      <c r="AB700">
        <v>456.9</v>
      </c>
      <c r="AC700">
        <v>402</v>
      </c>
      <c r="AD700">
        <v>0</v>
      </c>
      <c r="AE700">
        <v>54.9</v>
      </c>
      <c r="AF700">
        <v>0</v>
      </c>
      <c r="AG700">
        <v>0</v>
      </c>
      <c r="AH700">
        <v>0</v>
      </c>
      <c r="AI700">
        <v>0</v>
      </c>
      <c r="AJ700">
        <v>456.9</v>
      </c>
      <c r="AK700">
        <v>0</v>
      </c>
      <c r="AL700" t="s">
        <v>53</v>
      </c>
      <c r="AM700" t="s">
        <v>53</v>
      </c>
      <c r="AN700" t="s">
        <v>1408</v>
      </c>
      <c r="AO700" t="s">
        <v>53</v>
      </c>
      <c r="AP700" t="s">
        <v>53</v>
      </c>
    </row>
    <row r="701" spans="2:42" x14ac:dyDescent="0.2">
      <c r="B701" t="s">
        <v>44</v>
      </c>
      <c r="C701" t="str">
        <f>HYPERLINK("https://us2.cloudbeds.com/connect/8493803454333002#/reservations/598257041568?display=E17S62HJ&amp;reservation_id=598257041568", "E17S62HJ")</f>
        <v>E17S62HJ</v>
      </c>
      <c r="D701" t="s">
        <v>45</v>
      </c>
      <c r="E701" t="s">
        <v>373</v>
      </c>
      <c r="F701" t="s">
        <v>47</v>
      </c>
      <c r="G701" t="s">
        <v>48</v>
      </c>
      <c r="H701" t="s">
        <v>71</v>
      </c>
      <c r="I701" t="s">
        <v>72</v>
      </c>
      <c r="J701" t="s">
        <v>186</v>
      </c>
      <c r="K701" t="s">
        <v>187</v>
      </c>
      <c r="L701" t="s">
        <v>53</v>
      </c>
      <c r="N701" t="s">
        <v>1409</v>
      </c>
      <c r="P701" t="s">
        <v>58</v>
      </c>
      <c r="R701" t="s">
        <v>56</v>
      </c>
      <c r="T701" t="s">
        <v>1383</v>
      </c>
      <c r="U701" t="s">
        <v>58</v>
      </c>
      <c r="V701">
        <v>1</v>
      </c>
      <c r="W701">
        <v>1</v>
      </c>
      <c r="X701">
        <v>1</v>
      </c>
      <c r="Y701">
        <v>0</v>
      </c>
      <c r="Z701">
        <v>1</v>
      </c>
      <c r="AA701">
        <v>0</v>
      </c>
      <c r="AB701">
        <v>79.56</v>
      </c>
      <c r="AC701">
        <v>70</v>
      </c>
      <c r="AD701">
        <v>0</v>
      </c>
      <c r="AE701">
        <v>9.56</v>
      </c>
      <c r="AF701">
        <v>0</v>
      </c>
      <c r="AG701">
        <v>0</v>
      </c>
      <c r="AH701">
        <v>0</v>
      </c>
      <c r="AI701">
        <v>0</v>
      </c>
      <c r="AJ701">
        <v>79.56</v>
      </c>
      <c r="AK701">
        <v>0</v>
      </c>
      <c r="AL701" t="s">
        <v>53</v>
      </c>
      <c r="AM701" t="s">
        <v>53</v>
      </c>
      <c r="AN701" t="s">
        <v>378</v>
      </c>
      <c r="AO701" t="s">
        <v>53</v>
      </c>
      <c r="AP701" t="s">
        <v>53</v>
      </c>
    </row>
    <row r="702" spans="2:42" x14ac:dyDescent="0.2">
      <c r="B702" t="s">
        <v>44</v>
      </c>
      <c r="C702" t="str">
        <f>HYPERLINK("https://us2.cloudbeds.com/connect/8493803454333002#/reservations/598389149850?display=E1B7J62T&amp;reservation_id=598389149850", "E1B7J62T")</f>
        <v>E1B7J62T</v>
      </c>
      <c r="D702" t="s">
        <v>45</v>
      </c>
      <c r="E702" t="s">
        <v>223</v>
      </c>
      <c r="F702" t="s">
        <v>47</v>
      </c>
      <c r="G702" t="s">
        <v>48</v>
      </c>
      <c r="H702" t="s">
        <v>49</v>
      </c>
      <c r="I702" t="s">
        <v>79</v>
      </c>
      <c r="J702" t="s">
        <v>1017</v>
      </c>
      <c r="K702" t="s">
        <v>554</v>
      </c>
      <c r="L702" t="s">
        <v>53</v>
      </c>
      <c r="N702" t="s">
        <v>1410</v>
      </c>
      <c r="P702" t="s">
        <v>55</v>
      </c>
      <c r="R702" t="s">
        <v>56</v>
      </c>
      <c r="T702" t="s">
        <v>1383</v>
      </c>
      <c r="U702" t="s">
        <v>58</v>
      </c>
      <c r="V702">
        <v>2</v>
      </c>
      <c r="W702">
        <v>1</v>
      </c>
      <c r="X702">
        <v>1</v>
      </c>
      <c r="Y702">
        <v>0</v>
      </c>
      <c r="Z702">
        <v>1</v>
      </c>
      <c r="AA702">
        <v>0</v>
      </c>
      <c r="AB702">
        <v>147.29</v>
      </c>
      <c r="AC702">
        <v>129.6</v>
      </c>
      <c r="AD702">
        <v>0</v>
      </c>
      <c r="AE702">
        <v>17.7</v>
      </c>
      <c r="AF702">
        <v>0</v>
      </c>
      <c r="AG702">
        <v>0</v>
      </c>
      <c r="AH702">
        <v>0</v>
      </c>
      <c r="AI702">
        <v>0</v>
      </c>
      <c r="AJ702">
        <v>147.30000000000001</v>
      </c>
      <c r="AK702">
        <v>0.01</v>
      </c>
      <c r="AL702" t="s">
        <v>53</v>
      </c>
      <c r="AM702" t="s">
        <v>53</v>
      </c>
      <c r="AN702" t="s">
        <v>137</v>
      </c>
      <c r="AO702" t="s">
        <v>53</v>
      </c>
      <c r="AP702" t="s">
        <v>53</v>
      </c>
    </row>
    <row r="703" spans="2:42" x14ac:dyDescent="0.2">
      <c r="B703" t="s">
        <v>44</v>
      </c>
      <c r="C703" t="str">
        <f>HYPERLINK("https://us2.cloudbeds.com/connect/8493803454333002#/reservations/598273372302?display=E188VGKA&amp;reservation_id=598273372302", "E188VGKA")</f>
        <v>E188VGKA</v>
      </c>
      <c r="D703" t="s">
        <v>45</v>
      </c>
      <c r="E703" t="s">
        <v>46</v>
      </c>
      <c r="F703" t="s">
        <v>47</v>
      </c>
      <c r="G703" t="s">
        <v>48</v>
      </c>
      <c r="H703" t="s">
        <v>71</v>
      </c>
      <c r="I703" t="s">
        <v>72</v>
      </c>
      <c r="J703" t="s">
        <v>186</v>
      </c>
      <c r="K703" t="s">
        <v>187</v>
      </c>
      <c r="L703" t="s">
        <v>53</v>
      </c>
      <c r="N703" t="s">
        <v>1411</v>
      </c>
      <c r="P703" t="s">
        <v>58</v>
      </c>
      <c r="R703" t="s">
        <v>56</v>
      </c>
      <c r="T703" t="s">
        <v>1383</v>
      </c>
      <c r="U703" t="s">
        <v>58</v>
      </c>
      <c r="V703">
        <v>1</v>
      </c>
      <c r="W703">
        <v>1</v>
      </c>
      <c r="X703">
        <v>1</v>
      </c>
      <c r="Y703">
        <v>0</v>
      </c>
      <c r="Z703">
        <v>1</v>
      </c>
      <c r="AA703">
        <v>0</v>
      </c>
      <c r="AB703">
        <v>85.24</v>
      </c>
      <c r="AC703">
        <v>75</v>
      </c>
      <c r="AD703">
        <v>0</v>
      </c>
      <c r="AE703">
        <v>10.25</v>
      </c>
      <c r="AF703">
        <v>0</v>
      </c>
      <c r="AG703">
        <v>0</v>
      </c>
      <c r="AH703">
        <v>0</v>
      </c>
      <c r="AI703">
        <v>0</v>
      </c>
      <c r="AJ703">
        <v>85.25</v>
      </c>
      <c r="AK703">
        <v>0.01</v>
      </c>
      <c r="AL703" t="s">
        <v>53</v>
      </c>
      <c r="AM703" t="s">
        <v>53</v>
      </c>
      <c r="AN703" t="s">
        <v>378</v>
      </c>
      <c r="AO703" t="s">
        <v>53</v>
      </c>
      <c r="AP703" t="s">
        <v>53</v>
      </c>
    </row>
    <row r="704" spans="2:42" x14ac:dyDescent="0.2">
      <c r="B704" t="s">
        <v>44</v>
      </c>
      <c r="C704" t="str">
        <f>HYPERLINK("https://us2.cloudbeds.com/connect/8493803454333002#/reservations/598499324093?display=E1E1FV6A&amp;reservation_id=598499324093", "E1E1FV6A")</f>
        <v>E1E1FV6A</v>
      </c>
      <c r="D704" t="s">
        <v>45</v>
      </c>
      <c r="E704" t="s">
        <v>46</v>
      </c>
      <c r="F704" t="s">
        <v>47</v>
      </c>
      <c r="G704" t="s">
        <v>48</v>
      </c>
      <c r="H704" t="s">
        <v>49</v>
      </c>
      <c r="I704" t="s">
        <v>50</v>
      </c>
      <c r="J704" t="s">
        <v>260</v>
      </c>
      <c r="K704" t="s">
        <v>640</v>
      </c>
      <c r="L704" t="s">
        <v>53</v>
      </c>
      <c r="N704" t="s">
        <v>1412</v>
      </c>
      <c r="P704" t="s">
        <v>55</v>
      </c>
      <c r="R704" t="s">
        <v>56</v>
      </c>
      <c r="T704" t="s">
        <v>1383</v>
      </c>
      <c r="U704" t="s">
        <v>58</v>
      </c>
      <c r="V704">
        <v>1</v>
      </c>
      <c r="W704">
        <v>1</v>
      </c>
      <c r="X704">
        <v>1</v>
      </c>
      <c r="Y704">
        <v>0</v>
      </c>
      <c r="Z704">
        <v>1</v>
      </c>
      <c r="AA704">
        <v>0</v>
      </c>
      <c r="AB704">
        <v>138.08000000000001</v>
      </c>
      <c r="AC704">
        <v>121.5</v>
      </c>
      <c r="AD704">
        <v>0</v>
      </c>
      <c r="AE704">
        <v>16.579999999999998</v>
      </c>
      <c r="AF704">
        <v>0</v>
      </c>
      <c r="AG704">
        <v>0</v>
      </c>
      <c r="AH704">
        <v>0</v>
      </c>
      <c r="AI704">
        <v>24.85</v>
      </c>
      <c r="AJ704">
        <v>138.08000000000001</v>
      </c>
      <c r="AK704">
        <v>0</v>
      </c>
      <c r="AL704" t="s">
        <v>53</v>
      </c>
      <c r="AM704" t="s">
        <v>53</v>
      </c>
      <c r="AN704" t="s">
        <v>178</v>
      </c>
      <c r="AO704" t="s">
        <v>53</v>
      </c>
      <c r="AP704" t="s">
        <v>53</v>
      </c>
    </row>
    <row r="705" spans="2:42" x14ac:dyDescent="0.2">
      <c r="B705" t="s">
        <v>44</v>
      </c>
      <c r="C705" t="str">
        <f>HYPERLINK("https://us2.cloudbeds.com/connect/8493803454333002#/reservations/598278562011?display=E18DAU68&amp;reservation_id=598278562011", "E18DAU68")</f>
        <v>E18DAU68</v>
      </c>
      <c r="D705" t="s">
        <v>45</v>
      </c>
      <c r="E705" t="s">
        <v>381</v>
      </c>
      <c r="F705" t="s">
        <v>47</v>
      </c>
      <c r="G705" t="s">
        <v>48</v>
      </c>
      <c r="H705" t="s">
        <v>49</v>
      </c>
      <c r="I705" t="s">
        <v>62</v>
      </c>
      <c r="J705" t="s">
        <v>419</v>
      </c>
      <c r="K705" t="s">
        <v>281</v>
      </c>
      <c r="L705" t="s">
        <v>53</v>
      </c>
      <c r="N705" t="s">
        <v>1413</v>
      </c>
      <c r="P705" t="s">
        <v>55</v>
      </c>
      <c r="R705" t="s">
        <v>1414</v>
      </c>
      <c r="T705" t="s">
        <v>1383</v>
      </c>
      <c r="U705" t="s">
        <v>58</v>
      </c>
      <c r="V705">
        <v>2</v>
      </c>
      <c r="W705">
        <v>1</v>
      </c>
      <c r="X705">
        <v>1</v>
      </c>
      <c r="Y705">
        <v>0</v>
      </c>
      <c r="Z705">
        <v>1</v>
      </c>
      <c r="AA705">
        <v>0</v>
      </c>
      <c r="AB705">
        <v>143.19999999999999</v>
      </c>
      <c r="AC705">
        <v>126</v>
      </c>
      <c r="AD705">
        <v>0</v>
      </c>
      <c r="AE705">
        <v>17.22</v>
      </c>
      <c r="AF705">
        <v>0</v>
      </c>
      <c r="AG705">
        <v>0</v>
      </c>
      <c r="AH705">
        <v>0</v>
      </c>
      <c r="AI705">
        <v>21.48</v>
      </c>
      <c r="AJ705">
        <v>143.22</v>
      </c>
      <c r="AK705">
        <v>0.02</v>
      </c>
      <c r="AL705" t="s">
        <v>53</v>
      </c>
      <c r="AM705" t="s">
        <v>53</v>
      </c>
      <c r="AN705" t="s">
        <v>1415</v>
      </c>
      <c r="AO705" t="s">
        <v>53</v>
      </c>
      <c r="AP705" t="s">
        <v>53</v>
      </c>
    </row>
    <row r="706" spans="2:42" x14ac:dyDescent="0.2">
      <c r="B706" t="s">
        <v>44</v>
      </c>
      <c r="C706" t="str">
        <f>HYPERLINK("https://us2.cloudbeds.com/connect/8493803454333002#/reservations/598301212816?display=E18WE6R8&amp;reservation_id=598301212816", "E18WE6R8")</f>
        <v>E18WE6R8</v>
      </c>
      <c r="D706" t="s">
        <v>45</v>
      </c>
      <c r="E706" t="s">
        <v>223</v>
      </c>
      <c r="F706" t="s">
        <v>47</v>
      </c>
      <c r="G706" t="s">
        <v>48</v>
      </c>
      <c r="H706" t="s">
        <v>49</v>
      </c>
      <c r="I706" t="s">
        <v>50</v>
      </c>
      <c r="J706" t="s">
        <v>186</v>
      </c>
      <c r="K706" t="s">
        <v>187</v>
      </c>
      <c r="L706" t="s">
        <v>53</v>
      </c>
      <c r="N706" t="s">
        <v>1416</v>
      </c>
      <c r="P706" t="s">
        <v>55</v>
      </c>
      <c r="R706" t="s">
        <v>56</v>
      </c>
      <c r="T706" t="s">
        <v>1383</v>
      </c>
      <c r="U706" t="s">
        <v>58</v>
      </c>
      <c r="V706">
        <v>1</v>
      </c>
      <c r="W706">
        <v>1</v>
      </c>
      <c r="X706">
        <v>1</v>
      </c>
      <c r="Y706">
        <v>0</v>
      </c>
      <c r="Z706">
        <v>1</v>
      </c>
      <c r="AA706">
        <v>0</v>
      </c>
      <c r="AB706">
        <v>81.83</v>
      </c>
      <c r="AC706">
        <v>72</v>
      </c>
      <c r="AD706">
        <v>0</v>
      </c>
      <c r="AE706">
        <v>9.83</v>
      </c>
      <c r="AF706">
        <v>0</v>
      </c>
      <c r="AG706">
        <v>0</v>
      </c>
      <c r="AH706">
        <v>0</v>
      </c>
      <c r="AI706">
        <v>14.73</v>
      </c>
      <c r="AJ706">
        <v>81.83</v>
      </c>
      <c r="AK706">
        <v>0</v>
      </c>
      <c r="AL706" t="s">
        <v>53</v>
      </c>
      <c r="AM706" t="s">
        <v>53</v>
      </c>
      <c r="AN706" t="s">
        <v>84</v>
      </c>
      <c r="AO706" t="s">
        <v>53</v>
      </c>
      <c r="AP706" t="s">
        <v>53</v>
      </c>
    </row>
    <row r="707" spans="2:42" x14ac:dyDescent="0.2">
      <c r="B707" t="s">
        <v>44</v>
      </c>
      <c r="C707" t="str">
        <f>HYPERLINK("https://us2.cloudbeds.com/connect/8493803454333002#/reservations/598277718177?display=E18CKEAG&amp;reservation_id=598277718177", "E18CKEAG")</f>
        <v>E18CKEAG</v>
      </c>
      <c r="D707" t="s">
        <v>45</v>
      </c>
      <c r="E707" t="s">
        <v>85</v>
      </c>
      <c r="F707" t="s">
        <v>86</v>
      </c>
      <c r="G707" t="s">
        <v>48</v>
      </c>
      <c r="H707" t="s">
        <v>49</v>
      </c>
      <c r="I707" t="s">
        <v>50</v>
      </c>
      <c r="J707" t="s">
        <v>915</v>
      </c>
      <c r="K707" t="s">
        <v>232</v>
      </c>
      <c r="L707" t="s">
        <v>53</v>
      </c>
      <c r="N707" t="s">
        <v>1417</v>
      </c>
      <c r="P707" t="s">
        <v>55</v>
      </c>
      <c r="R707" t="s">
        <v>56</v>
      </c>
      <c r="T707" t="s">
        <v>1418</v>
      </c>
      <c r="U707" t="s">
        <v>58</v>
      </c>
      <c r="V707">
        <v>1</v>
      </c>
      <c r="W707">
        <v>1</v>
      </c>
      <c r="X707">
        <v>1</v>
      </c>
      <c r="Y707">
        <v>0</v>
      </c>
      <c r="Z707">
        <v>1</v>
      </c>
      <c r="AA707">
        <v>0</v>
      </c>
      <c r="AB707">
        <v>107.4</v>
      </c>
      <c r="AC707">
        <v>94.5</v>
      </c>
      <c r="AD707">
        <v>0</v>
      </c>
      <c r="AE707">
        <v>12.9</v>
      </c>
      <c r="AF707">
        <v>0</v>
      </c>
      <c r="AG707">
        <v>0</v>
      </c>
      <c r="AH707">
        <v>0</v>
      </c>
      <c r="AI707">
        <v>19.329999999999998</v>
      </c>
      <c r="AJ707">
        <v>107.4</v>
      </c>
      <c r="AK707">
        <v>0</v>
      </c>
      <c r="AL707" t="s">
        <v>53</v>
      </c>
      <c r="AM707" t="s">
        <v>53</v>
      </c>
      <c r="AN707" t="s">
        <v>146</v>
      </c>
      <c r="AO707" t="s">
        <v>53</v>
      </c>
      <c r="AP707" t="s">
        <v>53</v>
      </c>
    </row>
    <row r="708" spans="2:42" x14ac:dyDescent="0.2">
      <c r="B708" t="s">
        <v>44</v>
      </c>
      <c r="C708" t="str">
        <f>HYPERLINK("https://us2.cloudbeds.com/connect/8493803454333002#/reservations/598517842080?display=E1EH37PE&amp;reservation_id=598517842080", "E1EH37PE")</f>
        <v>E1EH37PE</v>
      </c>
      <c r="D708" t="s">
        <v>45</v>
      </c>
      <c r="E708" t="s">
        <v>1419</v>
      </c>
      <c r="F708" t="s">
        <v>86</v>
      </c>
      <c r="G708" t="s">
        <v>48</v>
      </c>
      <c r="H708" t="s">
        <v>49</v>
      </c>
      <c r="I708" t="s">
        <v>62</v>
      </c>
      <c r="J708" t="s">
        <v>99</v>
      </c>
      <c r="K708" t="s">
        <v>323</v>
      </c>
      <c r="L708" t="s">
        <v>53</v>
      </c>
      <c r="N708" t="s">
        <v>1420</v>
      </c>
      <c r="P708" t="s">
        <v>55</v>
      </c>
      <c r="R708" t="s">
        <v>56</v>
      </c>
      <c r="T708" t="s">
        <v>1418</v>
      </c>
      <c r="U708" t="s">
        <v>58</v>
      </c>
      <c r="V708">
        <v>2</v>
      </c>
      <c r="W708">
        <v>2</v>
      </c>
      <c r="X708">
        <v>2</v>
      </c>
      <c r="Y708">
        <v>0</v>
      </c>
      <c r="Z708">
        <v>2</v>
      </c>
      <c r="AA708">
        <v>0</v>
      </c>
      <c r="AB708">
        <v>386.41</v>
      </c>
      <c r="AC708">
        <v>340</v>
      </c>
      <c r="AD708">
        <v>0</v>
      </c>
      <c r="AE708">
        <v>46.42</v>
      </c>
      <c r="AF708">
        <v>0</v>
      </c>
      <c r="AG708">
        <v>0</v>
      </c>
      <c r="AH708">
        <v>0</v>
      </c>
      <c r="AI708">
        <v>57.96</v>
      </c>
      <c r="AJ708">
        <v>386.42</v>
      </c>
      <c r="AK708">
        <v>0.01</v>
      </c>
      <c r="AL708" t="s">
        <v>53</v>
      </c>
      <c r="AM708" t="s">
        <v>53</v>
      </c>
      <c r="AN708" t="s">
        <v>1421</v>
      </c>
      <c r="AO708" t="s">
        <v>53</v>
      </c>
      <c r="AP708" t="s">
        <v>53</v>
      </c>
    </row>
    <row r="709" spans="2:42" x14ac:dyDescent="0.2">
      <c r="B709" t="s">
        <v>44</v>
      </c>
      <c r="C709" t="str">
        <f>HYPERLINK("https://us2.cloudbeds.com/connect/8493803454333002#/reservations/598239363289?display=E17D9516&amp;reservation_id=598239363289", "E17D9516")</f>
        <v>E17D9516</v>
      </c>
      <c r="D709" t="s">
        <v>45</v>
      </c>
      <c r="E709" t="s">
        <v>179</v>
      </c>
      <c r="F709" t="s">
        <v>47</v>
      </c>
      <c r="G709" t="s">
        <v>48</v>
      </c>
      <c r="H709" t="s">
        <v>71</v>
      </c>
      <c r="I709" t="s">
        <v>72</v>
      </c>
      <c r="J709" t="s">
        <v>187</v>
      </c>
      <c r="K709" t="s">
        <v>199</v>
      </c>
      <c r="L709" t="s">
        <v>53</v>
      </c>
      <c r="N709" t="s">
        <v>1422</v>
      </c>
      <c r="P709" t="s">
        <v>55</v>
      </c>
      <c r="R709" t="s">
        <v>56</v>
      </c>
      <c r="T709" t="s">
        <v>1418</v>
      </c>
      <c r="U709" t="s">
        <v>58</v>
      </c>
      <c r="V709">
        <v>1</v>
      </c>
      <c r="W709">
        <v>1</v>
      </c>
      <c r="X709">
        <v>1</v>
      </c>
      <c r="Y709">
        <v>0</v>
      </c>
      <c r="Z709">
        <v>1</v>
      </c>
      <c r="AA709">
        <v>0</v>
      </c>
      <c r="AB709">
        <v>85.24</v>
      </c>
      <c r="AC709">
        <v>75</v>
      </c>
      <c r="AD709">
        <v>0</v>
      </c>
      <c r="AE709">
        <v>10.25</v>
      </c>
      <c r="AF709">
        <v>0</v>
      </c>
      <c r="AG709">
        <v>0</v>
      </c>
      <c r="AH709">
        <v>0</v>
      </c>
      <c r="AI709">
        <v>0</v>
      </c>
      <c r="AJ709">
        <v>85.25</v>
      </c>
      <c r="AK709">
        <v>0.01</v>
      </c>
      <c r="AL709" t="s">
        <v>53</v>
      </c>
      <c r="AM709" t="s">
        <v>53</v>
      </c>
      <c r="AN709" t="s">
        <v>378</v>
      </c>
      <c r="AO709" t="s">
        <v>53</v>
      </c>
      <c r="AP709" t="s">
        <v>53</v>
      </c>
    </row>
    <row r="710" spans="2:42" x14ac:dyDescent="0.2">
      <c r="B710" t="s">
        <v>44</v>
      </c>
      <c r="C710" t="str">
        <f>HYPERLINK("https://us2.cloudbeds.com/connect/8493803454333002#/reservations/598408466679?display=E1BNSN7B&amp;reservation_id=598408466679", "E1BNSN7B")</f>
        <v>E1BNSN7B</v>
      </c>
      <c r="D710" t="s">
        <v>45</v>
      </c>
      <c r="E710" t="s">
        <v>223</v>
      </c>
      <c r="F710" t="s">
        <v>47</v>
      </c>
      <c r="G710" t="s">
        <v>48</v>
      </c>
      <c r="H710" t="s">
        <v>49</v>
      </c>
      <c r="I710" t="s">
        <v>79</v>
      </c>
      <c r="J710" t="s">
        <v>106</v>
      </c>
      <c r="K710" t="s">
        <v>107</v>
      </c>
      <c r="L710" t="s">
        <v>53</v>
      </c>
      <c r="N710" t="s">
        <v>1423</v>
      </c>
      <c r="P710" t="s">
        <v>55</v>
      </c>
      <c r="R710" t="s">
        <v>56</v>
      </c>
      <c r="T710" t="s">
        <v>1418</v>
      </c>
      <c r="U710" t="s">
        <v>58</v>
      </c>
      <c r="V710">
        <v>2</v>
      </c>
      <c r="W710">
        <v>1</v>
      </c>
      <c r="X710">
        <v>1</v>
      </c>
      <c r="Y710">
        <v>0</v>
      </c>
      <c r="Z710">
        <v>1</v>
      </c>
      <c r="AA710">
        <v>0</v>
      </c>
      <c r="AB710">
        <v>280.26</v>
      </c>
      <c r="AC710">
        <v>246.6</v>
      </c>
      <c r="AD710">
        <v>0</v>
      </c>
      <c r="AE710">
        <v>33.68</v>
      </c>
      <c r="AF710">
        <v>0</v>
      </c>
      <c r="AG710">
        <v>0</v>
      </c>
      <c r="AH710">
        <v>0</v>
      </c>
      <c r="AI710">
        <v>0</v>
      </c>
      <c r="AJ710">
        <v>280.27999999999997</v>
      </c>
      <c r="AK710">
        <v>0.02</v>
      </c>
      <c r="AL710" t="s">
        <v>53</v>
      </c>
      <c r="AM710" t="s">
        <v>53</v>
      </c>
      <c r="AN710" t="s">
        <v>84</v>
      </c>
      <c r="AO710" t="s">
        <v>53</v>
      </c>
      <c r="AP710" t="s">
        <v>53</v>
      </c>
    </row>
    <row r="711" spans="2:42" x14ac:dyDescent="0.2">
      <c r="B711" t="s">
        <v>44</v>
      </c>
      <c r="C711" t="str">
        <f>HYPERLINK("https://us2.cloudbeds.com/connect/8493803454333002#/reservations/598355620026?display=E1ACA5HJ&amp;reservation_id=598355620026", "E1ACA5HJ")</f>
        <v>E1ACA5HJ</v>
      </c>
      <c r="D711" t="s">
        <v>45</v>
      </c>
      <c r="E711" t="s">
        <v>85</v>
      </c>
      <c r="F711" t="s">
        <v>86</v>
      </c>
      <c r="G711" t="s">
        <v>48</v>
      </c>
      <c r="H711" t="s">
        <v>49</v>
      </c>
      <c r="I711" t="s">
        <v>50</v>
      </c>
      <c r="J711" t="s">
        <v>187</v>
      </c>
      <c r="K711" t="s">
        <v>199</v>
      </c>
      <c r="L711" t="s">
        <v>53</v>
      </c>
      <c r="N711" t="s">
        <v>1424</v>
      </c>
      <c r="P711" t="s">
        <v>55</v>
      </c>
      <c r="R711" t="s">
        <v>56</v>
      </c>
      <c r="T711" t="s">
        <v>1418</v>
      </c>
      <c r="U711" t="s">
        <v>58</v>
      </c>
      <c r="V711">
        <v>1</v>
      </c>
      <c r="W711">
        <v>1</v>
      </c>
      <c r="X711">
        <v>1</v>
      </c>
      <c r="Y711">
        <v>0</v>
      </c>
      <c r="Z711">
        <v>1</v>
      </c>
      <c r="AA711">
        <v>0</v>
      </c>
      <c r="AB711">
        <v>107.4</v>
      </c>
      <c r="AC711">
        <v>94.5</v>
      </c>
      <c r="AD711">
        <v>0</v>
      </c>
      <c r="AE711">
        <v>12.9</v>
      </c>
      <c r="AF711">
        <v>0</v>
      </c>
      <c r="AG711">
        <v>0</v>
      </c>
      <c r="AH711">
        <v>0</v>
      </c>
      <c r="AI711">
        <v>19.329999999999998</v>
      </c>
      <c r="AJ711">
        <v>107.4</v>
      </c>
      <c r="AK711">
        <v>0</v>
      </c>
      <c r="AL711" t="s">
        <v>53</v>
      </c>
      <c r="AM711" t="s">
        <v>53</v>
      </c>
      <c r="AN711" t="s">
        <v>332</v>
      </c>
      <c r="AO711" t="s">
        <v>53</v>
      </c>
      <c r="AP711" t="s">
        <v>53</v>
      </c>
    </row>
    <row r="712" spans="2:42" x14ac:dyDescent="0.2">
      <c r="B712" t="s">
        <v>44</v>
      </c>
      <c r="C712" t="str">
        <f>HYPERLINK("https://us2.cloudbeds.com/connect/8493803454333002#/reservations/598302318748?display=E190BWCB&amp;reservation_id=598302318748", "E190BWCB")</f>
        <v>E190BWCB</v>
      </c>
      <c r="D712" t="s">
        <v>45</v>
      </c>
      <c r="E712" t="s">
        <v>69</v>
      </c>
      <c r="F712" t="s">
        <v>70</v>
      </c>
      <c r="G712" t="s">
        <v>48</v>
      </c>
      <c r="H712" t="s">
        <v>71</v>
      </c>
      <c r="I712" t="s">
        <v>72</v>
      </c>
      <c r="J712" t="s">
        <v>187</v>
      </c>
      <c r="K712" t="s">
        <v>199</v>
      </c>
      <c r="L712" t="s">
        <v>53</v>
      </c>
      <c r="N712" t="s">
        <v>1425</v>
      </c>
      <c r="P712" t="s">
        <v>58</v>
      </c>
      <c r="R712" t="s">
        <v>56</v>
      </c>
      <c r="T712" t="s">
        <v>1418</v>
      </c>
      <c r="U712" t="s">
        <v>58</v>
      </c>
      <c r="V712">
        <v>1</v>
      </c>
      <c r="W712">
        <v>1</v>
      </c>
      <c r="X712">
        <v>1</v>
      </c>
      <c r="Y712">
        <v>0</v>
      </c>
      <c r="Z712">
        <v>1</v>
      </c>
      <c r="AA712">
        <v>0</v>
      </c>
      <c r="AB712">
        <v>78.42</v>
      </c>
      <c r="AC712">
        <v>69</v>
      </c>
      <c r="AD712">
        <v>0</v>
      </c>
      <c r="AE712">
        <v>9.42</v>
      </c>
      <c r="AF712">
        <v>0</v>
      </c>
      <c r="AG712">
        <v>0</v>
      </c>
      <c r="AH712">
        <v>0</v>
      </c>
      <c r="AI712">
        <v>0</v>
      </c>
      <c r="AJ712">
        <v>78.42</v>
      </c>
      <c r="AK712">
        <v>0</v>
      </c>
      <c r="AL712" t="s">
        <v>53</v>
      </c>
      <c r="AM712" t="s">
        <v>53</v>
      </c>
      <c r="AN712" t="s">
        <v>1426</v>
      </c>
      <c r="AO712" t="s">
        <v>53</v>
      </c>
      <c r="AP712" t="s">
        <v>53</v>
      </c>
    </row>
    <row r="713" spans="2:42" x14ac:dyDescent="0.2">
      <c r="B713" t="s">
        <v>44</v>
      </c>
      <c r="C713" t="str">
        <f>HYPERLINK("https://us2.cloudbeds.com/connect/8493803454333002#/reservations/598507524298?display=E1E8D47C&amp;reservation_id=598507524298", "E1E8D47C")</f>
        <v>E1E8D47C</v>
      </c>
      <c r="D713" t="s">
        <v>45</v>
      </c>
      <c r="E713" t="s">
        <v>113</v>
      </c>
      <c r="F713" t="s">
        <v>61</v>
      </c>
      <c r="G713" t="s">
        <v>48</v>
      </c>
      <c r="H713" t="s">
        <v>71</v>
      </c>
      <c r="I713" t="s">
        <v>72</v>
      </c>
      <c r="J713" t="s">
        <v>144</v>
      </c>
      <c r="K713" t="s">
        <v>196</v>
      </c>
      <c r="L713" t="s">
        <v>53</v>
      </c>
      <c r="N713" t="s">
        <v>1427</v>
      </c>
      <c r="P713" t="s">
        <v>55</v>
      </c>
      <c r="R713" t="s">
        <v>56</v>
      </c>
      <c r="T713" t="s">
        <v>1418</v>
      </c>
      <c r="U713" t="s">
        <v>58</v>
      </c>
      <c r="V713">
        <v>2</v>
      </c>
      <c r="W713">
        <v>1</v>
      </c>
      <c r="X713">
        <v>1</v>
      </c>
      <c r="Y713">
        <v>0</v>
      </c>
      <c r="Z713">
        <v>1</v>
      </c>
      <c r="AA713">
        <v>0</v>
      </c>
      <c r="AB713">
        <v>361.41</v>
      </c>
      <c r="AC713">
        <v>318</v>
      </c>
      <c r="AD713">
        <v>0</v>
      </c>
      <c r="AE713">
        <v>43.42</v>
      </c>
      <c r="AF713">
        <v>0</v>
      </c>
      <c r="AG713">
        <v>0</v>
      </c>
      <c r="AH713">
        <v>0</v>
      </c>
      <c r="AI713">
        <v>0</v>
      </c>
      <c r="AJ713">
        <v>361.42</v>
      </c>
      <c r="AK713">
        <v>0.01</v>
      </c>
      <c r="AL713" t="s">
        <v>53</v>
      </c>
      <c r="AM713" t="s">
        <v>53</v>
      </c>
      <c r="AN713" t="s">
        <v>1428</v>
      </c>
      <c r="AO713" t="s">
        <v>53</v>
      </c>
      <c r="AP713" t="s">
        <v>53</v>
      </c>
    </row>
    <row r="714" spans="2:42" x14ac:dyDescent="0.2">
      <c r="B714" t="s">
        <v>44</v>
      </c>
      <c r="C714" t="str">
        <f>HYPERLINK("https://us2.cloudbeds.com/connect/8493803454333002#/reservations/598405456088?display=E1BYAUM9&amp;reservation_id=598405456088", "E1BYAUM9")</f>
        <v>E1BYAUM9</v>
      </c>
      <c r="D714" t="s">
        <v>45</v>
      </c>
      <c r="E714" t="s">
        <v>138</v>
      </c>
      <c r="F714" t="s">
        <v>70</v>
      </c>
      <c r="G714" t="s">
        <v>48</v>
      </c>
      <c r="H714" t="s">
        <v>49</v>
      </c>
      <c r="I714" t="s">
        <v>50</v>
      </c>
      <c r="J714" t="s">
        <v>309</v>
      </c>
      <c r="K714" t="s">
        <v>549</v>
      </c>
      <c r="L714" t="s">
        <v>53</v>
      </c>
      <c r="N714" t="s">
        <v>1429</v>
      </c>
      <c r="P714" t="s">
        <v>55</v>
      </c>
      <c r="R714" t="s">
        <v>56</v>
      </c>
      <c r="T714" t="s">
        <v>1418</v>
      </c>
      <c r="U714" t="s">
        <v>58</v>
      </c>
      <c r="V714">
        <v>2</v>
      </c>
      <c r="W714">
        <v>1</v>
      </c>
      <c r="X714">
        <v>1</v>
      </c>
      <c r="Y714">
        <v>0</v>
      </c>
      <c r="Z714">
        <v>1</v>
      </c>
      <c r="AA714">
        <v>0</v>
      </c>
      <c r="AB714">
        <v>255.71</v>
      </c>
      <c r="AC714">
        <v>225</v>
      </c>
      <c r="AD714">
        <v>0</v>
      </c>
      <c r="AE714">
        <v>30.72</v>
      </c>
      <c r="AF714">
        <v>0</v>
      </c>
      <c r="AG714">
        <v>0</v>
      </c>
      <c r="AH714">
        <v>0</v>
      </c>
      <c r="AI714">
        <v>46.03</v>
      </c>
      <c r="AJ714">
        <v>255.72</v>
      </c>
      <c r="AK714">
        <v>0.01</v>
      </c>
      <c r="AL714" t="s">
        <v>53</v>
      </c>
      <c r="AM714" t="s">
        <v>53</v>
      </c>
      <c r="AN714" t="s">
        <v>142</v>
      </c>
      <c r="AO714" t="s">
        <v>53</v>
      </c>
      <c r="AP714" t="s">
        <v>53</v>
      </c>
    </row>
    <row r="715" spans="2:42" x14ac:dyDescent="0.2">
      <c r="B715" t="s">
        <v>44</v>
      </c>
      <c r="C715" t="str">
        <f>HYPERLINK("https://us2.cloudbeds.com/connect/8493803454333002#/reservations/598318219437?display=E19DPEX9&amp;reservation_id=598318219437", "E19DPEX9")</f>
        <v>E19DPEX9</v>
      </c>
      <c r="D715" t="s">
        <v>45</v>
      </c>
      <c r="E715" t="s">
        <v>165</v>
      </c>
      <c r="F715" t="s">
        <v>61</v>
      </c>
      <c r="G715" t="s">
        <v>48</v>
      </c>
      <c r="H715" t="s">
        <v>49</v>
      </c>
      <c r="I715" t="s">
        <v>50</v>
      </c>
      <c r="J715" t="s">
        <v>882</v>
      </c>
      <c r="K715" t="s">
        <v>1430</v>
      </c>
      <c r="L715" t="s">
        <v>53</v>
      </c>
      <c r="N715" t="s">
        <v>1431</v>
      </c>
      <c r="P715" t="s">
        <v>55</v>
      </c>
      <c r="R715" t="s">
        <v>56</v>
      </c>
      <c r="T715" t="s">
        <v>1432</v>
      </c>
      <c r="U715" t="s">
        <v>58</v>
      </c>
      <c r="V715">
        <v>3</v>
      </c>
      <c r="W715">
        <v>1</v>
      </c>
      <c r="X715">
        <v>1</v>
      </c>
      <c r="Y715">
        <v>0</v>
      </c>
      <c r="Z715">
        <v>1</v>
      </c>
      <c r="AA715">
        <v>0</v>
      </c>
      <c r="AB715">
        <v>224</v>
      </c>
      <c r="AC715">
        <v>197.1</v>
      </c>
      <c r="AD715">
        <v>0</v>
      </c>
      <c r="AE715">
        <v>26.91</v>
      </c>
      <c r="AF715">
        <v>0</v>
      </c>
      <c r="AG715">
        <v>0</v>
      </c>
      <c r="AH715">
        <v>0</v>
      </c>
      <c r="AI715">
        <v>40.32</v>
      </c>
      <c r="AJ715">
        <v>224.01</v>
      </c>
      <c r="AK715">
        <v>0.01</v>
      </c>
      <c r="AL715" t="s">
        <v>53</v>
      </c>
      <c r="AM715" t="s">
        <v>53</v>
      </c>
      <c r="AN715" t="s">
        <v>178</v>
      </c>
      <c r="AO715" t="s">
        <v>53</v>
      </c>
      <c r="AP715" t="s">
        <v>53</v>
      </c>
    </row>
    <row r="716" spans="2:42" x14ac:dyDescent="0.2">
      <c r="B716" t="s">
        <v>44</v>
      </c>
      <c r="C716" t="str">
        <f>HYPERLINK("https://us2.cloudbeds.com/connect/8493803454333002#/reservations/598468145361?display=E1D86BJ8&amp;reservation_id=598468145361", "E1D86BJ8")</f>
        <v>E1D86BJ8</v>
      </c>
      <c r="D716" t="s">
        <v>45</v>
      </c>
      <c r="E716" t="s">
        <v>165</v>
      </c>
      <c r="F716" t="s">
        <v>61</v>
      </c>
      <c r="G716" t="s">
        <v>48</v>
      </c>
      <c r="H716" t="s">
        <v>71</v>
      </c>
      <c r="I716" t="s">
        <v>72</v>
      </c>
      <c r="J716" t="s">
        <v>233</v>
      </c>
      <c r="K716" t="s">
        <v>1124</v>
      </c>
      <c r="L716" t="s">
        <v>53</v>
      </c>
      <c r="N716" t="s">
        <v>1433</v>
      </c>
      <c r="P716" t="s">
        <v>58</v>
      </c>
      <c r="R716" t="s">
        <v>56</v>
      </c>
      <c r="T716" t="s">
        <v>1432</v>
      </c>
      <c r="U716" t="s">
        <v>58</v>
      </c>
      <c r="V716">
        <v>1</v>
      </c>
      <c r="W716">
        <v>1</v>
      </c>
      <c r="X716">
        <v>1</v>
      </c>
      <c r="Y716">
        <v>0</v>
      </c>
      <c r="Z716">
        <v>1</v>
      </c>
      <c r="AA716">
        <v>0</v>
      </c>
      <c r="AB716">
        <v>85.24</v>
      </c>
      <c r="AC716">
        <v>75</v>
      </c>
      <c r="AD716">
        <v>0</v>
      </c>
      <c r="AE716">
        <v>10.25</v>
      </c>
      <c r="AF716">
        <v>0</v>
      </c>
      <c r="AG716">
        <v>0</v>
      </c>
      <c r="AH716">
        <v>0</v>
      </c>
      <c r="AI716">
        <v>0</v>
      </c>
      <c r="AJ716">
        <v>85.25</v>
      </c>
      <c r="AK716">
        <v>0.01</v>
      </c>
      <c r="AL716" t="s">
        <v>53</v>
      </c>
      <c r="AM716" t="s">
        <v>53</v>
      </c>
      <c r="AN716" t="s">
        <v>378</v>
      </c>
      <c r="AO716" t="s">
        <v>53</v>
      </c>
      <c r="AP716" t="s">
        <v>53</v>
      </c>
    </row>
    <row r="717" spans="2:42" x14ac:dyDescent="0.2">
      <c r="B717" t="s">
        <v>44</v>
      </c>
      <c r="C717" t="str">
        <f>HYPERLINK("https://us2.cloudbeds.com/connect/8493803454333002#/reservations/598469628150?display=E1D9EK68&amp;reservation_id=598469628150", "E1D9EK68")</f>
        <v>E1D9EK68</v>
      </c>
      <c r="D717" t="s">
        <v>45</v>
      </c>
      <c r="E717" t="s">
        <v>113</v>
      </c>
      <c r="F717" t="s">
        <v>61</v>
      </c>
      <c r="G717" t="s">
        <v>48</v>
      </c>
      <c r="H717" t="s">
        <v>71</v>
      </c>
      <c r="I717" t="s">
        <v>72</v>
      </c>
      <c r="J717" t="s">
        <v>961</v>
      </c>
      <c r="K717" t="s">
        <v>232</v>
      </c>
      <c r="L717" t="s">
        <v>53</v>
      </c>
      <c r="N717" t="s">
        <v>1434</v>
      </c>
      <c r="P717" t="s">
        <v>55</v>
      </c>
      <c r="R717" t="s">
        <v>946</v>
      </c>
      <c r="T717" t="s">
        <v>1432</v>
      </c>
      <c r="U717" t="s">
        <v>58</v>
      </c>
      <c r="V717">
        <v>3</v>
      </c>
      <c r="W717">
        <v>1</v>
      </c>
      <c r="X717">
        <v>1</v>
      </c>
      <c r="Y717">
        <v>0</v>
      </c>
      <c r="Z717">
        <v>1</v>
      </c>
      <c r="AA717">
        <v>0</v>
      </c>
      <c r="AB717">
        <v>282.99</v>
      </c>
      <c r="AC717">
        <v>249</v>
      </c>
      <c r="AD717">
        <v>0</v>
      </c>
      <c r="AE717">
        <v>34.020000000000003</v>
      </c>
      <c r="AF717">
        <v>0</v>
      </c>
      <c r="AG717">
        <v>0</v>
      </c>
      <c r="AH717">
        <v>0</v>
      </c>
      <c r="AI717">
        <v>0</v>
      </c>
      <c r="AJ717">
        <v>283.02</v>
      </c>
      <c r="AK717">
        <v>0.03</v>
      </c>
      <c r="AL717" t="s">
        <v>53</v>
      </c>
      <c r="AM717" t="s">
        <v>53</v>
      </c>
      <c r="AN717" t="s">
        <v>1435</v>
      </c>
      <c r="AO717" t="s">
        <v>53</v>
      </c>
      <c r="AP717" t="s">
        <v>53</v>
      </c>
    </row>
    <row r="718" spans="2:42" x14ac:dyDescent="0.2">
      <c r="B718" t="s">
        <v>44</v>
      </c>
      <c r="C718" t="str">
        <f>HYPERLINK("https://us2.cloudbeds.com/connect/8493803454333002#/reservations/579257090258?display=DJHBUDWA&amp;reservation_id=579257090258", "DJHBUDWA")</f>
        <v>DJHBUDWA</v>
      </c>
      <c r="D718" t="s">
        <v>45</v>
      </c>
      <c r="E718" t="s">
        <v>110</v>
      </c>
      <c r="F718" t="s">
        <v>47</v>
      </c>
      <c r="G718" t="s">
        <v>48</v>
      </c>
      <c r="H718" t="s">
        <v>71</v>
      </c>
      <c r="I718" t="s">
        <v>72</v>
      </c>
      <c r="J718" t="s">
        <v>1436</v>
      </c>
      <c r="K718" t="s">
        <v>1332</v>
      </c>
      <c r="L718" t="s">
        <v>53</v>
      </c>
      <c r="N718" t="s">
        <v>1437</v>
      </c>
      <c r="P718" t="s">
        <v>55</v>
      </c>
      <c r="R718" t="s">
        <v>56</v>
      </c>
      <c r="T718" t="s">
        <v>1432</v>
      </c>
      <c r="U718" t="s">
        <v>58</v>
      </c>
      <c r="V718">
        <v>1</v>
      </c>
      <c r="W718">
        <v>1</v>
      </c>
      <c r="X718">
        <v>1</v>
      </c>
      <c r="Y718">
        <v>0</v>
      </c>
      <c r="Z718">
        <v>1</v>
      </c>
      <c r="AA718">
        <v>0</v>
      </c>
      <c r="AB718">
        <v>152.30000000000001</v>
      </c>
      <c r="AC718">
        <v>134</v>
      </c>
      <c r="AD718">
        <v>0</v>
      </c>
      <c r="AE718">
        <v>18.3</v>
      </c>
      <c r="AF718">
        <v>0</v>
      </c>
      <c r="AG718">
        <v>0</v>
      </c>
      <c r="AH718">
        <v>0</v>
      </c>
      <c r="AI718">
        <v>0</v>
      </c>
      <c r="AJ718">
        <v>152.30000000000001</v>
      </c>
      <c r="AK718">
        <v>0</v>
      </c>
      <c r="AL718" t="s">
        <v>53</v>
      </c>
      <c r="AM718" t="s">
        <v>53</v>
      </c>
      <c r="AN718" t="s">
        <v>1438</v>
      </c>
      <c r="AO718" t="s">
        <v>53</v>
      </c>
      <c r="AP718" t="s">
        <v>53</v>
      </c>
    </row>
    <row r="719" spans="2:42" x14ac:dyDescent="0.2">
      <c r="B719" t="s">
        <v>44</v>
      </c>
      <c r="C719" t="str">
        <f>HYPERLINK("https://us2.cloudbeds.com/connect/8493803454333002#/reservations/598550212832?display=E1FBCWWA&amp;reservation_id=598550212832", "E1FBCWWA")</f>
        <v>E1FBCWWA</v>
      </c>
      <c r="D719" t="s">
        <v>45</v>
      </c>
      <c r="E719" t="s">
        <v>138</v>
      </c>
      <c r="F719" t="s">
        <v>70</v>
      </c>
      <c r="G719" t="s">
        <v>48</v>
      </c>
      <c r="H719" t="s">
        <v>49</v>
      </c>
      <c r="I719" t="s">
        <v>50</v>
      </c>
      <c r="J719" t="s">
        <v>988</v>
      </c>
      <c r="K719" t="s">
        <v>1439</v>
      </c>
      <c r="L719" t="s">
        <v>53</v>
      </c>
      <c r="N719" t="s">
        <v>1440</v>
      </c>
      <c r="P719" t="s">
        <v>55</v>
      </c>
      <c r="R719" t="s">
        <v>56</v>
      </c>
      <c r="T719" t="s">
        <v>1432</v>
      </c>
      <c r="U719" t="s">
        <v>58</v>
      </c>
      <c r="V719">
        <v>1</v>
      </c>
      <c r="W719">
        <v>1</v>
      </c>
      <c r="X719">
        <v>1</v>
      </c>
      <c r="Y719">
        <v>0</v>
      </c>
      <c r="Z719">
        <v>1</v>
      </c>
      <c r="AA719">
        <v>0</v>
      </c>
      <c r="AB719">
        <v>138.08000000000001</v>
      </c>
      <c r="AC719">
        <v>121.5</v>
      </c>
      <c r="AD719">
        <v>0</v>
      </c>
      <c r="AE719">
        <v>16.579999999999998</v>
      </c>
      <c r="AF719">
        <v>0</v>
      </c>
      <c r="AG719">
        <v>0</v>
      </c>
      <c r="AH719">
        <v>0</v>
      </c>
      <c r="AI719">
        <v>24.85</v>
      </c>
      <c r="AJ719">
        <v>138.08000000000001</v>
      </c>
      <c r="AK719">
        <v>0</v>
      </c>
      <c r="AL719" t="s">
        <v>53</v>
      </c>
      <c r="AM719" t="s">
        <v>53</v>
      </c>
      <c r="AN719" t="s">
        <v>413</v>
      </c>
      <c r="AO719" t="s">
        <v>53</v>
      </c>
      <c r="AP719" t="s">
        <v>53</v>
      </c>
    </row>
    <row r="720" spans="2:42" x14ac:dyDescent="0.2">
      <c r="B720" t="s">
        <v>44</v>
      </c>
      <c r="C720" t="str">
        <f>HYPERLINK("https://us2.cloudbeds.com/connect/8493803454333002#/reservations/598080794857?display=E13BXZR5&amp;reservation_id=598080794857", "E13BXZR5")</f>
        <v>E13BXZR5</v>
      </c>
      <c r="D720" t="s">
        <v>45</v>
      </c>
      <c r="E720" t="s">
        <v>774</v>
      </c>
      <c r="F720" t="s">
        <v>47</v>
      </c>
      <c r="G720" t="s">
        <v>48</v>
      </c>
      <c r="H720" t="s">
        <v>49</v>
      </c>
      <c r="I720" t="s">
        <v>62</v>
      </c>
      <c r="J720" t="s">
        <v>961</v>
      </c>
      <c r="K720" t="s">
        <v>232</v>
      </c>
      <c r="L720" t="s">
        <v>53</v>
      </c>
      <c r="N720" t="s">
        <v>1441</v>
      </c>
      <c r="P720" t="s">
        <v>55</v>
      </c>
      <c r="R720" t="s">
        <v>56</v>
      </c>
      <c r="T720" t="s">
        <v>1432</v>
      </c>
      <c r="U720" t="s">
        <v>58</v>
      </c>
      <c r="V720">
        <v>6</v>
      </c>
      <c r="W720">
        <v>2</v>
      </c>
      <c r="X720">
        <v>2</v>
      </c>
      <c r="Y720">
        <v>0</v>
      </c>
      <c r="Z720">
        <v>2</v>
      </c>
      <c r="AA720">
        <v>0</v>
      </c>
      <c r="AB720">
        <v>525.05999999999995</v>
      </c>
      <c r="AC720">
        <v>462</v>
      </c>
      <c r="AD720">
        <v>0</v>
      </c>
      <c r="AE720">
        <v>63.06</v>
      </c>
      <c r="AF720">
        <v>0</v>
      </c>
      <c r="AG720">
        <v>0</v>
      </c>
      <c r="AH720">
        <v>0</v>
      </c>
      <c r="AI720">
        <v>78.760000000000005</v>
      </c>
      <c r="AJ720">
        <v>525.05999999999995</v>
      </c>
      <c r="AK720">
        <v>0</v>
      </c>
      <c r="AL720" t="s">
        <v>53</v>
      </c>
      <c r="AM720" t="s">
        <v>53</v>
      </c>
      <c r="AN720" t="s">
        <v>1442</v>
      </c>
      <c r="AO720" t="s">
        <v>53</v>
      </c>
      <c r="AP720" t="s">
        <v>53</v>
      </c>
    </row>
    <row r="721" spans="2:42" x14ac:dyDescent="0.2">
      <c r="B721" t="s">
        <v>44</v>
      </c>
      <c r="C721" t="str">
        <f>HYPERLINK("https://us2.cloudbeds.com/connect/8493803454333002#/reservations/598387957926?display=E1B6J0XW&amp;reservation_id=598387957926", "E1B6J0XW")</f>
        <v>E1B6J0XW</v>
      </c>
      <c r="D721" t="s">
        <v>45</v>
      </c>
      <c r="E721" t="s">
        <v>213</v>
      </c>
      <c r="F721" t="s">
        <v>86</v>
      </c>
      <c r="G721" t="s">
        <v>48</v>
      </c>
      <c r="H721" t="s">
        <v>49</v>
      </c>
      <c r="I721" t="s">
        <v>62</v>
      </c>
      <c r="J721" t="s">
        <v>167</v>
      </c>
      <c r="K721" t="s">
        <v>746</v>
      </c>
      <c r="L721" t="s">
        <v>53</v>
      </c>
      <c r="N721" t="s">
        <v>1443</v>
      </c>
      <c r="P721" t="s">
        <v>55</v>
      </c>
      <c r="R721" t="s">
        <v>56</v>
      </c>
      <c r="T721" t="s">
        <v>1432</v>
      </c>
      <c r="U721" t="s">
        <v>58</v>
      </c>
      <c r="V721">
        <v>2</v>
      </c>
      <c r="W721">
        <v>1</v>
      </c>
      <c r="X721">
        <v>1</v>
      </c>
      <c r="Y721">
        <v>0</v>
      </c>
      <c r="Z721">
        <v>1</v>
      </c>
      <c r="AA721">
        <v>0</v>
      </c>
      <c r="AB721">
        <v>193.21</v>
      </c>
      <c r="AC721">
        <v>170</v>
      </c>
      <c r="AD721">
        <v>0</v>
      </c>
      <c r="AE721">
        <v>23.22</v>
      </c>
      <c r="AF721">
        <v>0</v>
      </c>
      <c r="AG721">
        <v>0</v>
      </c>
      <c r="AH721">
        <v>0</v>
      </c>
      <c r="AI721">
        <v>28.98</v>
      </c>
      <c r="AJ721">
        <v>193.22</v>
      </c>
      <c r="AK721">
        <v>0.01</v>
      </c>
      <c r="AL721" t="s">
        <v>53</v>
      </c>
      <c r="AM721" t="s">
        <v>53</v>
      </c>
      <c r="AN721" t="s">
        <v>280</v>
      </c>
      <c r="AO721" t="s">
        <v>53</v>
      </c>
      <c r="AP721" t="s">
        <v>53</v>
      </c>
    </row>
    <row r="722" spans="2:42" x14ac:dyDescent="0.2">
      <c r="B722" t="s">
        <v>44</v>
      </c>
      <c r="C722" t="str">
        <f>HYPERLINK("https://us2.cloudbeds.com/connect/8493803454333002#/reservations/598583681167?display=E1G6KA28&amp;reservation_id=598583681167", "E1G6KA28")</f>
        <v>E1G6KA28</v>
      </c>
      <c r="D722" t="s">
        <v>45</v>
      </c>
      <c r="E722" t="s">
        <v>85</v>
      </c>
      <c r="F722" t="s">
        <v>86</v>
      </c>
      <c r="G722" t="s">
        <v>48</v>
      </c>
      <c r="H722" t="s">
        <v>49</v>
      </c>
      <c r="I722" t="s">
        <v>62</v>
      </c>
      <c r="J722" t="s">
        <v>746</v>
      </c>
      <c r="K722" t="s">
        <v>242</v>
      </c>
      <c r="L722" t="s">
        <v>53</v>
      </c>
      <c r="N722" t="s">
        <v>1444</v>
      </c>
      <c r="P722" t="s">
        <v>55</v>
      </c>
      <c r="R722" t="s">
        <v>1445</v>
      </c>
      <c r="T722" t="s">
        <v>1432</v>
      </c>
      <c r="U722" t="s">
        <v>58</v>
      </c>
      <c r="V722">
        <v>1</v>
      </c>
      <c r="W722">
        <v>1</v>
      </c>
      <c r="X722">
        <v>1</v>
      </c>
      <c r="Y722">
        <v>0</v>
      </c>
      <c r="Z722">
        <v>1</v>
      </c>
      <c r="AA722">
        <v>0</v>
      </c>
      <c r="AB722">
        <v>88.31</v>
      </c>
      <c r="AC722">
        <v>77.7</v>
      </c>
      <c r="AD722">
        <v>0</v>
      </c>
      <c r="AE722">
        <v>10.6</v>
      </c>
      <c r="AF722">
        <v>0</v>
      </c>
      <c r="AG722">
        <v>0</v>
      </c>
      <c r="AH722">
        <v>0</v>
      </c>
      <c r="AI722">
        <v>13.25</v>
      </c>
      <c r="AJ722">
        <v>88.3</v>
      </c>
      <c r="AK722">
        <v>-0.01</v>
      </c>
      <c r="AL722" t="s">
        <v>53</v>
      </c>
      <c r="AM722" t="s">
        <v>53</v>
      </c>
      <c r="AN722" t="s">
        <v>1446</v>
      </c>
      <c r="AO722" t="s">
        <v>53</v>
      </c>
      <c r="AP722" t="s">
        <v>53</v>
      </c>
    </row>
    <row r="723" spans="2:42" x14ac:dyDescent="0.2">
      <c r="B723" t="s">
        <v>44</v>
      </c>
      <c r="C723" t="str">
        <f>HYPERLINK("https://us2.cloudbeds.com/connect/8493803454333002#/reservations/598592889053?display=E1GECHE4&amp;reservation_id=598592889053", "E1GECHE4")</f>
        <v>E1GECHE4</v>
      </c>
      <c r="D723" t="s">
        <v>45</v>
      </c>
      <c r="E723" t="s">
        <v>105</v>
      </c>
      <c r="F723" t="s">
        <v>47</v>
      </c>
      <c r="G723" t="s">
        <v>48</v>
      </c>
      <c r="H723" t="s">
        <v>49</v>
      </c>
      <c r="I723" t="s">
        <v>50</v>
      </c>
      <c r="J723" t="s">
        <v>709</v>
      </c>
      <c r="K723" t="s">
        <v>600</v>
      </c>
      <c r="L723" t="s">
        <v>53</v>
      </c>
      <c r="N723" t="s">
        <v>1447</v>
      </c>
      <c r="P723" t="s">
        <v>55</v>
      </c>
      <c r="R723" t="s">
        <v>56</v>
      </c>
      <c r="T723" t="s">
        <v>1432</v>
      </c>
      <c r="U723" t="s">
        <v>58</v>
      </c>
      <c r="V723">
        <v>4</v>
      </c>
      <c r="W723">
        <v>1</v>
      </c>
      <c r="X723">
        <v>1</v>
      </c>
      <c r="Y723">
        <v>0</v>
      </c>
      <c r="Z723">
        <v>1</v>
      </c>
      <c r="AA723">
        <v>0</v>
      </c>
      <c r="AB723">
        <v>392.77</v>
      </c>
      <c r="AC723">
        <v>345.6</v>
      </c>
      <c r="AD723">
        <v>0</v>
      </c>
      <c r="AE723">
        <v>47.2</v>
      </c>
      <c r="AF723">
        <v>0</v>
      </c>
      <c r="AG723">
        <v>0</v>
      </c>
      <c r="AH723">
        <v>0</v>
      </c>
      <c r="AI723">
        <v>70.7</v>
      </c>
      <c r="AJ723">
        <v>392.8</v>
      </c>
      <c r="AK723">
        <v>0.03</v>
      </c>
      <c r="AL723" t="s">
        <v>53</v>
      </c>
      <c r="AM723" t="s">
        <v>53</v>
      </c>
      <c r="AN723" t="s">
        <v>104</v>
      </c>
      <c r="AO723" t="s">
        <v>53</v>
      </c>
      <c r="AP723" t="s">
        <v>53</v>
      </c>
    </row>
    <row r="724" spans="2:42" x14ac:dyDescent="0.2">
      <c r="B724" t="s">
        <v>44</v>
      </c>
      <c r="C724" t="str">
        <f>HYPERLINK("https://us2.cloudbeds.com/connect/8493803454333002#/reservations/598055542981?display=E12N92MR&amp;reservation_id=598055542981", "E12N92MR")</f>
        <v>E12N92MR</v>
      </c>
      <c r="D724" t="s">
        <v>45</v>
      </c>
      <c r="E724" t="s">
        <v>213</v>
      </c>
      <c r="F724" t="s">
        <v>86</v>
      </c>
      <c r="G724" t="s">
        <v>48</v>
      </c>
      <c r="H724" t="s">
        <v>49</v>
      </c>
      <c r="I724" t="s">
        <v>79</v>
      </c>
      <c r="J724" t="s">
        <v>199</v>
      </c>
      <c r="K724" t="s">
        <v>208</v>
      </c>
      <c r="L724" t="s">
        <v>53</v>
      </c>
      <c r="N724" t="s">
        <v>1448</v>
      </c>
      <c r="P724" t="s">
        <v>55</v>
      </c>
      <c r="R724" t="s">
        <v>56</v>
      </c>
      <c r="T724" t="s">
        <v>1432</v>
      </c>
      <c r="U724" t="s">
        <v>58</v>
      </c>
      <c r="V724">
        <v>2</v>
      </c>
      <c r="W724">
        <v>1</v>
      </c>
      <c r="X724">
        <v>1</v>
      </c>
      <c r="Y724">
        <v>0</v>
      </c>
      <c r="Z724">
        <v>1</v>
      </c>
      <c r="AA724">
        <v>0</v>
      </c>
      <c r="AB724">
        <v>194.34</v>
      </c>
      <c r="AC724">
        <v>171</v>
      </c>
      <c r="AD724">
        <v>0</v>
      </c>
      <c r="AE724">
        <v>23.34</v>
      </c>
      <c r="AF724">
        <v>0</v>
      </c>
      <c r="AG724">
        <v>0</v>
      </c>
      <c r="AH724">
        <v>0</v>
      </c>
      <c r="AI724">
        <v>0</v>
      </c>
      <c r="AJ724">
        <v>194.34</v>
      </c>
      <c r="AK724">
        <v>0</v>
      </c>
      <c r="AL724" t="s">
        <v>53</v>
      </c>
      <c r="AM724" t="s">
        <v>53</v>
      </c>
      <c r="AN724" t="s">
        <v>316</v>
      </c>
      <c r="AO724" t="s">
        <v>53</v>
      </c>
      <c r="AP724" t="s">
        <v>53</v>
      </c>
    </row>
    <row r="725" spans="2:42" x14ac:dyDescent="0.2">
      <c r="B725" t="s">
        <v>44</v>
      </c>
      <c r="C725" t="str">
        <f>HYPERLINK("https://us2.cloudbeds.com/connect/8493803454333002#/reservations/598398480541?display=E1BFER73&amp;reservation_id=598398480541", "E1BFER73")</f>
        <v>E1BFER73</v>
      </c>
      <c r="D725" t="s">
        <v>45</v>
      </c>
      <c r="E725" t="s">
        <v>85</v>
      </c>
      <c r="F725" t="s">
        <v>86</v>
      </c>
      <c r="G725" t="s">
        <v>48</v>
      </c>
      <c r="H725" t="s">
        <v>49</v>
      </c>
      <c r="I725" t="s">
        <v>62</v>
      </c>
      <c r="J725" t="s">
        <v>961</v>
      </c>
      <c r="K725" t="s">
        <v>208</v>
      </c>
      <c r="L725" t="s">
        <v>53</v>
      </c>
      <c r="N725" t="s">
        <v>1449</v>
      </c>
      <c r="P725" t="s">
        <v>55</v>
      </c>
      <c r="R725" t="s">
        <v>56</v>
      </c>
      <c r="T725" t="s">
        <v>1432</v>
      </c>
      <c r="U725" t="s">
        <v>58</v>
      </c>
      <c r="V725">
        <v>1</v>
      </c>
      <c r="W725">
        <v>1</v>
      </c>
      <c r="X725">
        <v>1</v>
      </c>
      <c r="Y725">
        <v>0</v>
      </c>
      <c r="Z725">
        <v>1</v>
      </c>
      <c r="AA725">
        <v>0</v>
      </c>
      <c r="AB725">
        <v>107.4</v>
      </c>
      <c r="AC725">
        <v>94.5</v>
      </c>
      <c r="AD725">
        <v>0</v>
      </c>
      <c r="AE725">
        <v>12.9</v>
      </c>
      <c r="AF725">
        <v>0</v>
      </c>
      <c r="AG725">
        <v>0</v>
      </c>
      <c r="AH725">
        <v>0</v>
      </c>
      <c r="AI725">
        <v>16.11</v>
      </c>
      <c r="AJ725">
        <v>107.4</v>
      </c>
      <c r="AK725">
        <v>0</v>
      </c>
      <c r="AL725" t="s">
        <v>53</v>
      </c>
      <c r="AM725" t="s">
        <v>53</v>
      </c>
      <c r="AN725" t="s">
        <v>877</v>
      </c>
      <c r="AO725" t="s">
        <v>53</v>
      </c>
      <c r="AP725" t="s">
        <v>53</v>
      </c>
    </row>
    <row r="726" spans="2:42" x14ac:dyDescent="0.2">
      <c r="B726" t="s">
        <v>44</v>
      </c>
      <c r="C726" t="str">
        <f>HYPERLINK("https://us2.cloudbeds.com/connect/8493803454333002#/reservations/579336757417?display=DJJD397K&amp;reservation_id=579336757417", "DJJD397K")</f>
        <v>DJJD397K</v>
      </c>
      <c r="D726" t="s">
        <v>45</v>
      </c>
      <c r="E726" t="s">
        <v>113</v>
      </c>
      <c r="F726" t="s">
        <v>61</v>
      </c>
      <c r="G726" t="s">
        <v>48</v>
      </c>
      <c r="H726" t="s">
        <v>49</v>
      </c>
      <c r="I726" t="s">
        <v>79</v>
      </c>
      <c r="J726" t="s">
        <v>1450</v>
      </c>
      <c r="K726" t="s">
        <v>1451</v>
      </c>
      <c r="L726" t="s">
        <v>53</v>
      </c>
      <c r="N726" t="s">
        <v>1452</v>
      </c>
      <c r="P726" t="s">
        <v>55</v>
      </c>
      <c r="R726" t="s">
        <v>56</v>
      </c>
      <c r="T726" t="s">
        <v>1453</v>
      </c>
      <c r="U726" t="s">
        <v>58</v>
      </c>
      <c r="V726">
        <v>1</v>
      </c>
      <c r="W726">
        <v>1</v>
      </c>
      <c r="X726">
        <v>1</v>
      </c>
      <c r="Y726">
        <v>0</v>
      </c>
      <c r="Z726">
        <v>1</v>
      </c>
      <c r="AA726">
        <v>0</v>
      </c>
      <c r="AB726">
        <v>163.66</v>
      </c>
      <c r="AC726">
        <v>144</v>
      </c>
      <c r="AD726">
        <v>0</v>
      </c>
      <c r="AE726">
        <v>19.66</v>
      </c>
      <c r="AF726">
        <v>0</v>
      </c>
      <c r="AG726">
        <v>0</v>
      </c>
      <c r="AH726">
        <v>0</v>
      </c>
      <c r="AI726">
        <v>0</v>
      </c>
      <c r="AJ726">
        <v>163.66</v>
      </c>
      <c r="AK726">
        <v>0</v>
      </c>
      <c r="AL726" t="s">
        <v>53</v>
      </c>
      <c r="AM726" t="s">
        <v>53</v>
      </c>
      <c r="AN726" t="s">
        <v>112</v>
      </c>
      <c r="AO726" t="s">
        <v>53</v>
      </c>
      <c r="AP726" t="s">
        <v>53</v>
      </c>
    </row>
    <row r="727" spans="2:42" x14ac:dyDescent="0.2">
      <c r="B727" t="s">
        <v>44</v>
      </c>
      <c r="C727" t="str">
        <f>HYPERLINK("https://us2.cloudbeds.com/connect/8493803454333002#/reservations/598252425405?display=E17Z9KKT&amp;reservation_id=598252425405", "E17Z9KKT")</f>
        <v>E17Z9KKT</v>
      </c>
      <c r="D727" t="s">
        <v>45</v>
      </c>
      <c r="E727" t="s">
        <v>138</v>
      </c>
      <c r="F727" t="s">
        <v>70</v>
      </c>
      <c r="G727" t="s">
        <v>48</v>
      </c>
      <c r="H727" t="s">
        <v>49</v>
      </c>
      <c r="I727" t="s">
        <v>114</v>
      </c>
      <c r="J727" t="s">
        <v>232</v>
      </c>
      <c r="K727" t="s">
        <v>956</v>
      </c>
      <c r="L727" t="s">
        <v>53</v>
      </c>
      <c r="N727" t="s">
        <v>1454</v>
      </c>
      <c r="P727" t="s">
        <v>55</v>
      </c>
      <c r="R727" t="s">
        <v>56</v>
      </c>
      <c r="T727" t="s">
        <v>1453</v>
      </c>
      <c r="U727" t="s">
        <v>58</v>
      </c>
      <c r="V727">
        <v>3</v>
      </c>
      <c r="W727">
        <v>1</v>
      </c>
      <c r="X727">
        <v>1</v>
      </c>
      <c r="Y727">
        <v>0</v>
      </c>
      <c r="Z727">
        <v>1</v>
      </c>
      <c r="AA727">
        <v>0</v>
      </c>
      <c r="AB727">
        <v>221.62</v>
      </c>
      <c r="AC727">
        <v>195</v>
      </c>
      <c r="AD727">
        <v>0</v>
      </c>
      <c r="AE727">
        <v>26.64</v>
      </c>
      <c r="AF727">
        <v>0</v>
      </c>
      <c r="AG727">
        <v>0</v>
      </c>
      <c r="AH727">
        <v>0</v>
      </c>
      <c r="AI727">
        <v>0</v>
      </c>
      <c r="AJ727">
        <v>221.64</v>
      </c>
      <c r="AK727">
        <v>0.02</v>
      </c>
      <c r="AL727" t="s">
        <v>53</v>
      </c>
      <c r="AM727" t="s">
        <v>53</v>
      </c>
      <c r="AN727" t="s">
        <v>1455</v>
      </c>
      <c r="AO727" t="s">
        <v>53</v>
      </c>
      <c r="AP727" t="s">
        <v>53</v>
      </c>
    </row>
    <row r="728" spans="2:42" x14ac:dyDescent="0.2">
      <c r="B728" t="s">
        <v>44</v>
      </c>
      <c r="C728" t="str">
        <f>HYPERLINK("https://us2.cloudbeds.com/connect/8493803454333002#/reservations/598078005391?display=E13974AT&amp;reservation_id=598078005391", "E13974AT")</f>
        <v>E13974AT</v>
      </c>
      <c r="D728" t="s">
        <v>45</v>
      </c>
      <c r="E728" t="s">
        <v>190</v>
      </c>
      <c r="F728" t="s">
        <v>61</v>
      </c>
      <c r="G728" t="s">
        <v>48</v>
      </c>
      <c r="H728" t="s">
        <v>71</v>
      </c>
      <c r="I728" t="s">
        <v>72</v>
      </c>
      <c r="J728" t="s">
        <v>623</v>
      </c>
      <c r="K728" t="s">
        <v>345</v>
      </c>
      <c r="L728" t="s">
        <v>53</v>
      </c>
      <c r="N728" t="s">
        <v>1456</v>
      </c>
      <c r="P728" t="s">
        <v>55</v>
      </c>
      <c r="R728" t="s">
        <v>56</v>
      </c>
      <c r="T728" t="s">
        <v>1453</v>
      </c>
      <c r="U728" t="s">
        <v>58</v>
      </c>
      <c r="V728">
        <v>1</v>
      </c>
      <c r="W728">
        <v>1</v>
      </c>
      <c r="X728">
        <v>1</v>
      </c>
      <c r="Y728">
        <v>0</v>
      </c>
      <c r="Z728">
        <v>1</v>
      </c>
      <c r="AA728">
        <v>0</v>
      </c>
      <c r="AB728">
        <v>94.33</v>
      </c>
      <c r="AC728">
        <v>83</v>
      </c>
      <c r="AD728">
        <v>0</v>
      </c>
      <c r="AE728">
        <v>11.34</v>
      </c>
      <c r="AF728">
        <v>0</v>
      </c>
      <c r="AG728">
        <v>0</v>
      </c>
      <c r="AH728">
        <v>0</v>
      </c>
      <c r="AI728">
        <v>0</v>
      </c>
      <c r="AJ728">
        <v>94.34</v>
      </c>
      <c r="AK728">
        <v>0.01</v>
      </c>
      <c r="AL728" t="s">
        <v>53</v>
      </c>
      <c r="AM728" t="s">
        <v>53</v>
      </c>
      <c r="AN728" t="s">
        <v>1457</v>
      </c>
      <c r="AO728" t="s">
        <v>53</v>
      </c>
      <c r="AP728" t="s">
        <v>53</v>
      </c>
    </row>
    <row r="729" spans="2:42" x14ac:dyDescent="0.2">
      <c r="B729" t="s">
        <v>44</v>
      </c>
      <c r="C729" t="str">
        <f>HYPERLINK("https://us2.cloudbeds.com/connect/8493803454333002#/reservations/579354464430?display=DJJS103Q&amp;reservation_id=579354464430", "DJJS103Q")</f>
        <v>DJJS103Q</v>
      </c>
      <c r="D729" t="s">
        <v>45</v>
      </c>
      <c r="E729" t="s">
        <v>487</v>
      </c>
      <c r="F729" t="s">
        <v>61</v>
      </c>
      <c r="G729" t="s">
        <v>48</v>
      </c>
      <c r="H729" t="s">
        <v>49</v>
      </c>
      <c r="I729" t="s">
        <v>62</v>
      </c>
      <c r="J729" t="s">
        <v>1458</v>
      </c>
      <c r="K729" t="s">
        <v>1336</v>
      </c>
      <c r="L729" t="s">
        <v>53</v>
      </c>
      <c r="N729" t="s">
        <v>1459</v>
      </c>
      <c r="P729" t="s">
        <v>55</v>
      </c>
      <c r="R729" t="s">
        <v>102</v>
      </c>
      <c r="T729" t="s">
        <v>1453</v>
      </c>
      <c r="U729" t="s">
        <v>58</v>
      </c>
      <c r="V729">
        <v>1</v>
      </c>
      <c r="W729">
        <v>1</v>
      </c>
      <c r="X729">
        <v>1</v>
      </c>
      <c r="Y729">
        <v>0</v>
      </c>
      <c r="Z729">
        <v>1</v>
      </c>
      <c r="AA729">
        <v>0</v>
      </c>
      <c r="AB729">
        <v>138.66</v>
      </c>
      <c r="AC729">
        <v>122</v>
      </c>
      <c r="AD729">
        <v>0</v>
      </c>
      <c r="AE729">
        <v>16.66</v>
      </c>
      <c r="AF729">
        <v>0</v>
      </c>
      <c r="AG729">
        <v>0</v>
      </c>
      <c r="AH729">
        <v>0</v>
      </c>
      <c r="AI729">
        <v>20.8</v>
      </c>
      <c r="AJ729">
        <v>138.66</v>
      </c>
      <c r="AK729">
        <v>0</v>
      </c>
      <c r="AL729" t="s">
        <v>53</v>
      </c>
      <c r="AM729" t="s">
        <v>53</v>
      </c>
      <c r="AN729" t="s">
        <v>332</v>
      </c>
      <c r="AO729" t="s">
        <v>53</v>
      </c>
      <c r="AP729" t="s">
        <v>53</v>
      </c>
    </row>
    <row r="730" spans="2:42" x14ac:dyDescent="0.2">
      <c r="B730" t="s">
        <v>44</v>
      </c>
      <c r="C730" t="str">
        <f>HYPERLINK("https://us2.cloudbeds.com/connect/8493803454333002#/reservations/598361256078?display=E1AH1WW2&amp;reservation_id=598361256078", "E1AH1WW2")</f>
        <v>E1AH1WW2</v>
      </c>
      <c r="D730" t="s">
        <v>45</v>
      </c>
      <c r="E730" t="s">
        <v>105</v>
      </c>
      <c r="F730" t="s">
        <v>47</v>
      </c>
      <c r="G730" t="s">
        <v>48</v>
      </c>
      <c r="H730" t="s">
        <v>49</v>
      </c>
      <c r="I730" t="s">
        <v>79</v>
      </c>
      <c r="J730" t="s">
        <v>961</v>
      </c>
      <c r="K730" t="s">
        <v>208</v>
      </c>
      <c r="L730" t="s">
        <v>53</v>
      </c>
      <c r="N730" t="s">
        <v>1460</v>
      </c>
      <c r="P730" t="s">
        <v>55</v>
      </c>
      <c r="R730" t="s">
        <v>56</v>
      </c>
      <c r="T730" t="s">
        <v>1453</v>
      </c>
      <c r="U730" t="s">
        <v>58</v>
      </c>
      <c r="V730">
        <v>1</v>
      </c>
      <c r="W730">
        <v>1</v>
      </c>
      <c r="X730">
        <v>1</v>
      </c>
      <c r="Y730">
        <v>0</v>
      </c>
      <c r="Z730">
        <v>1</v>
      </c>
      <c r="AA730">
        <v>0</v>
      </c>
      <c r="AB730">
        <v>76.709999999999994</v>
      </c>
      <c r="AC730">
        <v>67.5</v>
      </c>
      <c r="AD730">
        <v>0</v>
      </c>
      <c r="AE730">
        <v>9.2100000000000009</v>
      </c>
      <c r="AF730">
        <v>0</v>
      </c>
      <c r="AG730">
        <v>0</v>
      </c>
      <c r="AH730">
        <v>0</v>
      </c>
      <c r="AI730">
        <v>0</v>
      </c>
      <c r="AJ730">
        <v>76.709999999999994</v>
      </c>
      <c r="AK730">
        <v>0</v>
      </c>
      <c r="AL730" t="s">
        <v>53</v>
      </c>
      <c r="AM730" t="s">
        <v>53</v>
      </c>
      <c r="AN730" t="s">
        <v>349</v>
      </c>
      <c r="AO730" t="s">
        <v>53</v>
      </c>
      <c r="AP730" t="s">
        <v>53</v>
      </c>
    </row>
    <row r="731" spans="2:42" x14ac:dyDescent="0.2">
      <c r="B731" t="s">
        <v>44</v>
      </c>
      <c r="C731" t="str">
        <f>HYPERLINK("https://us2.cloudbeds.com/connect/8493803454333002#/reservations/598115999889?display=E1488CMA&amp;reservation_id=598115999889", "E1488CMA")</f>
        <v>E1488CMA</v>
      </c>
      <c r="D731" t="s">
        <v>45</v>
      </c>
      <c r="E731" t="s">
        <v>138</v>
      </c>
      <c r="F731" t="s">
        <v>70</v>
      </c>
      <c r="G731" t="s">
        <v>48</v>
      </c>
      <c r="H731" t="s">
        <v>49</v>
      </c>
      <c r="I731" t="s">
        <v>50</v>
      </c>
      <c r="J731" t="s">
        <v>961</v>
      </c>
      <c r="K731" t="s">
        <v>208</v>
      </c>
      <c r="L731" t="s">
        <v>53</v>
      </c>
      <c r="N731" t="s">
        <v>1461</v>
      </c>
      <c r="P731" t="s">
        <v>55</v>
      </c>
      <c r="R731" t="s">
        <v>56</v>
      </c>
      <c r="T731" t="s">
        <v>1453</v>
      </c>
      <c r="U731" t="s">
        <v>58</v>
      </c>
      <c r="V731">
        <v>1</v>
      </c>
      <c r="W731">
        <v>1</v>
      </c>
      <c r="X731">
        <v>1</v>
      </c>
      <c r="Y731">
        <v>0</v>
      </c>
      <c r="Z731">
        <v>1</v>
      </c>
      <c r="AA731">
        <v>0</v>
      </c>
      <c r="AB731">
        <v>70.58</v>
      </c>
      <c r="AC731">
        <v>62.1</v>
      </c>
      <c r="AD731">
        <v>0</v>
      </c>
      <c r="AE731">
        <v>8.4700000000000006</v>
      </c>
      <c r="AF731">
        <v>0</v>
      </c>
      <c r="AG731">
        <v>0</v>
      </c>
      <c r="AH731">
        <v>0</v>
      </c>
      <c r="AI731">
        <v>12.7</v>
      </c>
      <c r="AJ731">
        <v>70.569999999999993</v>
      </c>
      <c r="AK731">
        <v>-0.01</v>
      </c>
      <c r="AL731" t="s">
        <v>53</v>
      </c>
      <c r="AM731" t="s">
        <v>53</v>
      </c>
      <c r="AN731" t="s">
        <v>84</v>
      </c>
      <c r="AO731" t="s">
        <v>53</v>
      </c>
      <c r="AP731" t="s">
        <v>53</v>
      </c>
    </row>
    <row r="732" spans="2:42" x14ac:dyDescent="0.2">
      <c r="B732" t="s">
        <v>44</v>
      </c>
      <c r="C732" t="str">
        <f>HYPERLINK("https://us2.cloudbeds.com/connect/8493803454333002#/reservations/597944148164?display=E0WSBBPA&amp;reservation_id=597944148164", "E0WSBBPA")</f>
        <v>E0WSBBPA</v>
      </c>
      <c r="D732" t="s">
        <v>45</v>
      </c>
      <c r="E732" t="s">
        <v>46</v>
      </c>
      <c r="F732" t="s">
        <v>47</v>
      </c>
      <c r="G732" t="s">
        <v>48</v>
      </c>
      <c r="H732" t="s">
        <v>49</v>
      </c>
      <c r="I732" t="s">
        <v>79</v>
      </c>
      <c r="J732" t="s">
        <v>143</v>
      </c>
      <c r="K732" t="s">
        <v>783</v>
      </c>
      <c r="L732" t="s">
        <v>53</v>
      </c>
      <c r="N732" t="s">
        <v>1462</v>
      </c>
      <c r="P732" t="s">
        <v>55</v>
      </c>
      <c r="R732" t="s">
        <v>56</v>
      </c>
      <c r="T732" t="s">
        <v>1453</v>
      </c>
      <c r="U732" t="s">
        <v>58</v>
      </c>
      <c r="V732">
        <v>2</v>
      </c>
      <c r="W732">
        <v>1</v>
      </c>
      <c r="X732">
        <v>1</v>
      </c>
      <c r="Y732">
        <v>0</v>
      </c>
      <c r="Z732">
        <v>1</v>
      </c>
      <c r="AA732">
        <v>0</v>
      </c>
      <c r="AB732">
        <v>315.04000000000002</v>
      </c>
      <c r="AC732">
        <v>277.2</v>
      </c>
      <c r="AD732">
        <v>0</v>
      </c>
      <c r="AE732">
        <v>37.840000000000003</v>
      </c>
      <c r="AF732">
        <v>0</v>
      </c>
      <c r="AG732">
        <v>0</v>
      </c>
      <c r="AH732">
        <v>0</v>
      </c>
      <c r="AI732">
        <v>0</v>
      </c>
      <c r="AJ732">
        <v>315.04000000000002</v>
      </c>
      <c r="AK732">
        <v>0</v>
      </c>
      <c r="AL732" t="s">
        <v>53</v>
      </c>
      <c r="AM732" t="s">
        <v>53</v>
      </c>
      <c r="AN732" t="s">
        <v>178</v>
      </c>
      <c r="AO732" t="s">
        <v>53</v>
      </c>
      <c r="AP732" t="s">
        <v>53</v>
      </c>
    </row>
    <row r="733" spans="2:42" x14ac:dyDescent="0.2">
      <c r="B733" t="s">
        <v>44</v>
      </c>
      <c r="C733" t="str">
        <f>HYPERLINK("https://us2.cloudbeds.com/connect/8493803454333002#/reservations/598485770390?display=E1DN1Q61&amp;reservation_id=598485770390", "E1DN1Q61")</f>
        <v>E1DN1Q61</v>
      </c>
      <c r="D733" t="s">
        <v>45</v>
      </c>
      <c r="E733" t="s">
        <v>185</v>
      </c>
      <c r="F733" t="s">
        <v>47</v>
      </c>
      <c r="G733" t="s">
        <v>48</v>
      </c>
      <c r="H733" t="s">
        <v>49</v>
      </c>
      <c r="I733" t="s">
        <v>62</v>
      </c>
      <c r="J733" t="s">
        <v>961</v>
      </c>
      <c r="K733" t="s">
        <v>208</v>
      </c>
      <c r="L733" t="s">
        <v>53</v>
      </c>
      <c r="N733" t="s">
        <v>1463</v>
      </c>
      <c r="P733" t="s">
        <v>55</v>
      </c>
      <c r="R733" t="s">
        <v>56</v>
      </c>
      <c r="T733" t="s">
        <v>1453</v>
      </c>
      <c r="U733" t="s">
        <v>58</v>
      </c>
      <c r="V733">
        <v>1</v>
      </c>
      <c r="W733">
        <v>1</v>
      </c>
      <c r="X733">
        <v>1</v>
      </c>
      <c r="Y733">
        <v>0</v>
      </c>
      <c r="Z733">
        <v>1</v>
      </c>
      <c r="AA733">
        <v>0</v>
      </c>
      <c r="AB733">
        <v>83.53</v>
      </c>
      <c r="AC733">
        <v>73.5</v>
      </c>
      <c r="AD733">
        <v>0</v>
      </c>
      <c r="AE733">
        <v>10.029999999999999</v>
      </c>
      <c r="AF733">
        <v>0</v>
      </c>
      <c r="AG733">
        <v>0</v>
      </c>
      <c r="AH733">
        <v>0</v>
      </c>
      <c r="AI733">
        <v>12.53</v>
      </c>
      <c r="AJ733">
        <v>83.53</v>
      </c>
      <c r="AK733">
        <v>0</v>
      </c>
      <c r="AL733" t="s">
        <v>53</v>
      </c>
      <c r="AM733" t="s">
        <v>53</v>
      </c>
      <c r="AN733" t="s">
        <v>1203</v>
      </c>
      <c r="AO733" t="s">
        <v>53</v>
      </c>
      <c r="AP733" t="s">
        <v>53</v>
      </c>
    </row>
    <row r="734" spans="2:42" x14ac:dyDescent="0.2">
      <c r="B734" t="s">
        <v>44</v>
      </c>
      <c r="C734" t="str">
        <f>HYPERLINK("https://us2.cloudbeds.com/connect/8493803454333002#/reservations/598133084323?display=E14MYPSF&amp;reservation_id=598133084323", "E14MYPSF")</f>
        <v>E14MYPSF</v>
      </c>
      <c r="D734" t="s">
        <v>45</v>
      </c>
      <c r="E734" t="s">
        <v>190</v>
      </c>
      <c r="F734" t="s">
        <v>61</v>
      </c>
      <c r="G734" t="s">
        <v>48</v>
      </c>
      <c r="H734" t="s">
        <v>49</v>
      </c>
      <c r="I734" t="s">
        <v>50</v>
      </c>
      <c r="J734" t="s">
        <v>970</v>
      </c>
      <c r="K734" t="s">
        <v>289</v>
      </c>
      <c r="L734" t="s">
        <v>53</v>
      </c>
      <c r="N734" t="s">
        <v>1464</v>
      </c>
      <c r="P734" t="s">
        <v>55</v>
      </c>
      <c r="R734" t="s">
        <v>56</v>
      </c>
      <c r="T734" t="s">
        <v>1453</v>
      </c>
      <c r="U734" t="s">
        <v>58</v>
      </c>
      <c r="V734">
        <v>2</v>
      </c>
      <c r="W734">
        <v>1</v>
      </c>
      <c r="X734">
        <v>1</v>
      </c>
      <c r="Y734">
        <v>0</v>
      </c>
      <c r="Z734">
        <v>1</v>
      </c>
      <c r="AA734">
        <v>0</v>
      </c>
      <c r="AB734">
        <v>292.54000000000002</v>
      </c>
      <c r="AC734">
        <v>257.39999999999998</v>
      </c>
      <c r="AD734">
        <v>0</v>
      </c>
      <c r="AE734">
        <v>35.119999999999997</v>
      </c>
      <c r="AF734">
        <v>0</v>
      </c>
      <c r="AG734">
        <v>0</v>
      </c>
      <c r="AH734">
        <v>0</v>
      </c>
      <c r="AI734">
        <v>52.65</v>
      </c>
      <c r="AJ734">
        <v>292.52</v>
      </c>
      <c r="AK734">
        <v>-0.02</v>
      </c>
      <c r="AL734" t="s">
        <v>53</v>
      </c>
      <c r="AM734" t="s">
        <v>53</v>
      </c>
      <c r="AN734" t="s">
        <v>252</v>
      </c>
      <c r="AO734" t="s">
        <v>53</v>
      </c>
      <c r="AP734" t="s">
        <v>53</v>
      </c>
    </row>
    <row r="735" spans="2:42" x14ac:dyDescent="0.2">
      <c r="B735" t="s">
        <v>44</v>
      </c>
      <c r="C735" t="str">
        <f>HYPERLINK("https://us2.cloudbeds.com/connect/8493803454333002#/reservations/598338441467?display=E19UR4U7&amp;reservation_id=598338441467", "E19UR4U7")</f>
        <v>E19UR4U7</v>
      </c>
      <c r="D735" t="s">
        <v>45</v>
      </c>
      <c r="E735" t="s">
        <v>78</v>
      </c>
      <c r="F735" t="s">
        <v>61</v>
      </c>
      <c r="G735" t="s">
        <v>48</v>
      </c>
      <c r="H735" t="s">
        <v>49</v>
      </c>
      <c r="I735" t="s">
        <v>50</v>
      </c>
      <c r="J735" t="s">
        <v>167</v>
      </c>
      <c r="K735" t="s">
        <v>746</v>
      </c>
      <c r="L735" t="s">
        <v>53</v>
      </c>
      <c r="N735" t="s">
        <v>1465</v>
      </c>
      <c r="P735" t="s">
        <v>55</v>
      </c>
      <c r="R735" t="s">
        <v>56</v>
      </c>
      <c r="T735" t="s">
        <v>1453</v>
      </c>
      <c r="U735" t="s">
        <v>58</v>
      </c>
      <c r="V735">
        <v>2</v>
      </c>
      <c r="W735">
        <v>1</v>
      </c>
      <c r="X735">
        <v>1</v>
      </c>
      <c r="Y735">
        <v>0</v>
      </c>
      <c r="Z735">
        <v>1</v>
      </c>
      <c r="AA735">
        <v>0</v>
      </c>
      <c r="AB735">
        <v>173.88</v>
      </c>
      <c r="AC735">
        <v>153</v>
      </c>
      <c r="AD735">
        <v>0</v>
      </c>
      <c r="AE735">
        <v>20.9</v>
      </c>
      <c r="AF735">
        <v>0</v>
      </c>
      <c r="AG735">
        <v>0</v>
      </c>
      <c r="AH735">
        <v>0</v>
      </c>
      <c r="AI735">
        <v>31.3</v>
      </c>
      <c r="AJ735">
        <v>173.9</v>
      </c>
      <c r="AK735">
        <v>0.02</v>
      </c>
      <c r="AL735" t="s">
        <v>53</v>
      </c>
      <c r="AM735" t="s">
        <v>53</v>
      </c>
      <c r="AN735" t="s">
        <v>349</v>
      </c>
      <c r="AO735" t="s">
        <v>53</v>
      </c>
      <c r="AP735" t="s">
        <v>53</v>
      </c>
    </row>
    <row r="736" spans="2:42" x14ac:dyDescent="0.2">
      <c r="B736" t="s">
        <v>44</v>
      </c>
      <c r="C736" t="str">
        <f>HYPERLINK("https://us2.cloudbeds.com/connect/8493803454333002#/reservations/598146654403?display=E1513CU0&amp;reservation_id=598146654403", "E1513CU0")</f>
        <v>E1513CU0</v>
      </c>
      <c r="D736" t="s">
        <v>45</v>
      </c>
      <c r="E736" t="s">
        <v>213</v>
      </c>
      <c r="F736" t="s">
        <v>86</v>
      </c>
      <c r="G736" t="s">
        <v>48</v>
      </c>
      <c r="H736" t="s">
        <v>49</v>
      </c>
      <c r="I736" t="s">
        <v>79</v>
      </c>
      <c r="J736" t="s">
        <v>915</v>
      </c>
      <c r="K736" t="s">
        <v>232</v>
      </c>
      <c r="L736" t="s">
        <v>53</v>
      </c>
      <c r="N736" t="s">
        <v>1466</v>
      </c>
      <c r="P736" t="s">
        <v>55</v>
      </c>
      <c r="R736" t="s">
        <v>56</v>
      </c>
      <c r="T736" t="s">
        <v>1467</v>
      </c>
      <c r="U736" t="s">
        <v>58</v>
      </c>
      <c r="V736">
        <v>1</v>
      </c>
      <c r="W736">
        <v>1</v>
      </c>
      <c r="X736">
        <v>1</v>
      </c>
      <c r="Y736">
        <v>0</v>
      </c>
      <c r="Z736">
        <v>1</v>
      </c>
      <c r="AA736">
        <v>0</v>
      </c>
      <c r="AB736">
        <v>117.63</v>
      </c>
      <c r="AC736">
        <v>103.5</v>
      </c>
      <c r="AD736">
        <v>0</v>
      </c>
      <c r="AE736">
        <v>14.12</v>
      </c>
      <c r="AF736">
        <v>0</v>
      </c>
      <c r="AG736">
        <v>0</v>
      </c>
      <c r="AH736">
        <v>0</v>
      </c>
      <c r="AI736">
        <v>0</v>
      </c>
      <c r="AJ736">
        <v>117.62</v>
      </c>
      <c r="AK736">
        <v>-0.01</v>
      </c>
      <c r="AL736" t="s">
        <v>53</v>
      </c>
      <c r="AM736" t="s">
        <v>53</v>
      </c>
      <c r="AN736" t="s">
        <v>245</v>
      </c>
      <c r="AO736" t="s">
        <v>53</v>
      </c>
      <c r="AP736" t="s">
        <v>53</v>
      </c>
    </row>
    <row r="737" spans="2:42" x14ac:dyDescent="0.2">
      <c r="B737" t="s">
        <v>44</v>
      </c>
      <c r="C737" t="str">
        <f>HYPERLINK("https://us2.cloudbeds.com/connect/8493803454333002#/reservations/598321189074?display=E19G92GE&amp;reservation_id=598321189074", "E19G92GE")</f>
        <v>E19G92GE</v>
      </c>
      <c r="D737" t="s">
        <v>45</v>
      </c>
      <c r="E737" t="s">
        <v>138</v>
      </c>
      <c r="F737" t="s">
        <v>70</v>
      </c>
      <c r="G737" t="s">
        <v>48</v>
      </c>
      <c r="H737" t="s">
        <v>49</v>
      </c>
      <c r="I737" t="s">
        <v>62</v>
      </c>
      <c r="J737" t="s">
        <v>345</v>
      </c>
      <c r="K737" t="s">
        <v>346</v>
      </c>
      <c r="L737" t="s">
        <v>53</v>
      </c>
      <c r="N737" t="s">
        <v>1468</v>
      </c>
      <c r="P737" t="s">
        <v>55</v>
      </c>
      <c r="R737" t="s">
        <v>56</v>
      </c>
      <c r="T737" t="s">
        <v>1467</v>
      </c>
      <c r="U737" t="s">
        <v>58</v>
      </c>
      <c r="V737">
        <v>1</v>
      </c>
      <c r="W737">
        <v>1</v>
      </c>
      <c r="X737">
        <v>1</v>
      </c>
      <c r="Y737">
        <v>0</v>
      </c>
      <c r="Z737">
        <v>1</v>
      </c>
      <c r="AA737">
        <v>0</v>
      </c>
      <c r="AB737">
        <v>76.37</v>
      </c>
      <c r="AC737">
        <v>67.2</v>
      </c>
      <c r="AD737">
        <v>0</v>
      </c>
      <c r="AE737">
        <v>9.17</v>
      </c>
      <c r="AF737">
        <v>0</v>
      </c>
      <c r="AG737">
        <v>0</v>
      </c>
      <c r="AH737">
        <v>0</v>
      </c>
      <c r="AI737">
        <v>11.46</v>
      </c>
      <c r="AJ737">
        <v>76.37</v>
      </c>
      <c r="AK737">
        <v>0</v>
      </c>
      <c r="AL737" t="s">
        <v>53</v>
      </c>
      <c r="AM737" t="s">
        <v>53</v>
      </c>
      <c r="AN737" t="s">
        <v>1469</v>
      </c>
      <c r="AO737" t="s">
        <v>53</v>
      </c>
      <c r="AP737" t="s">
        <v>53</v>
      </c>
    </row>
    <row r="738" spans="2:42" x14ac:dyDescent="0.2">
      <c r="B738" t="s">
        <v>44</v>
      </c>
      <c r="C738" t="str">
        <f>HYPERLINK("https://us2.cloudbeds.com/connect/8493803454333002#/reservations/598436184203?display=E1CE7WGA&amp;reservation_id=598436184203", "E1CE7WGA")</f>
        <v>E1CE7WGA</v>
      </c>
      <c r="D738" t="s">
        <v>45</v>
      </c>
      <c r="E738" t="s">
        <v>155</v>
      </c>
      <c r="F738" t="s">
        <v>86</v>
      </c>
      <c r="G738" t="s">
        <v>48</v>
      </c>
      <c r="H738" t="s">
        <v>49</v>
      </c>
      <c r="I738" t="s">
        <v>62</v>
      </c>
      <c r="J738" t="s">
        <v>88</v>
      </c>
      <c r="K738" t="s">
        <v>327</v>
      </c>
      <c r="L738" t="s">
        <v>53</v>
      </c>
      <c r="N738" t="s">
        <v>1470</v>
      </c>
      <c r="P738" t="s">
        <v>55</v>
      </c>
      <c r="R738" t="s">
        <v>56</v>
      </c>
      <c r="T738" t="s">
        <v>1467</v>
      </c>
      <c r="U738" t="s">
        <v>58</v>
      </c>
      <c r="V738">
        <v>1</v>
      </c>
      <c r="W738">
        <v>1</v>
      </c>
      <c r="X738">
        <v>1</v>
      </c>
      <c r="Y738">
        <v>0</v>
      </c>
      <c r="Z738">
        <v>1</v>
      </c>
      <c r="AA738">
        <v>0</v>
      </c>
      <c r="AB738">
        <v>177.29</v>
      </c>
      <c r="AC738">
        <v>156</v>
      </c>
      <c r="AD738">
        <v>0</v>
      </c>
      <c r="AE738">
        <v>21.29</v>
      </c>
      <c r="AF738">
        <v>0</v>
      </c>
      <c r="AG738">
        <v>0</v>
      </c>
      <c r="AH738">
        <v>0</v>
      </c>
      <c r="AI738">
        <v>26.59</v>
      </c>
      <c r="AJ738">
        <v>177.29</v>
      </c>
      <c r="AK738">
        <v>0</v>
      </c>
      <c r="AL738" t="s">
        <v>53</v>
      </c>
      <c r="AM738" t="s">
        <v>53</v>
      </c>
      <c r="AN738" t="s">
        <v>252</v>
      </c>
      <c r="AO738" t="s">
        <v>53</v>
      </c>
      <c r="AP738" t="s">
        <v>53</v>
      </c>
    </row>
    <row r="739" spans="2:42" x14ac:dyDescent="0.2">
      <c r="B739" t="s">
        <v>44</v>
      </c>
      <c r="C739" t="str">
        <f>HYPERLINK("https://us2.cloudbeds.com/connect/8493803454333002#/reservations/598603591840?display=E1GNDBH0&amp;reservation_id=598603591840", "E1GNDBH0")</f>
        <v>E1GNDBH0</v>
      </c>
      <c r="D739" t="s">
        <v>45</v>
      </c>
      <c r="E739" t="s">
        <v>1471</v>
      </c>
      <c r="F739" t="s">
        <v>1472</v>
      </c>
      <c r="G739" t="s">
        <v>48</v>
      </c>
      <c r="H739" t="s">
        <v>49</v>
      </c>
      <c r="I739" t="s">
        <v>62</v>
      </c>
      <c r="J739" t="s">
        <v>152</v>
      </c>
      <c r="K739" t="s">
        <v>1473</v>
      </c>
      <c r="L739" t="s">
        <v>53</v>
      </c>
      <c r="N739" t="s">
        <v>1474</v>
      </c>
      <c r="P739" t="s">
        <v>55</v>
      </c>
      <c r="R739" t="s">
        <v>1475</v>
      </c>
      <c r="T739" t="s">
        <v>1467</v>
      </c>
      <c r="U739" t="s">
        <v>58</v>
      </c>
      <c r="V739">
        <v>2</v>
      </c>
      <c r="W739">
        <v>2</v>
      </c>
      <c r="X739">
        <v>2</v>
      </c>
      <c r="Y739">
        <v>0</v>
      </c>
      <c r="Z739">
        <v>2</v>
      </c>
      <c r="AA739">
        <v>0</v>
      </c>
      <c r="AB739">
        <v>332.99</v>
      </c>
      <c r="AC739">
        <v>293</v>
      </c>
      <c r="AD739">
        <v>0</v>
      </c>
      <c r="AE739">
        <v>40.01</v>
      </c>
      <c r="AF739">
        <v>0</v>
      </c>
      <c r="AG739">
        <v>0</v>
      </c>
      <c r="AH739">
        <v>0</v>
      </c>
      <c r="AI739">
        <v>49.95</v>
      </c>
      <c r="AJ739">
        <v>333.01</v>
      </c>
      <c r="AK739">
        <v>0.02</v>
      </c>
      <c r="AL739" t="s">
        <v>53</v>
      </c>
      <c r="AM739" t="s">
        <v>53</v>
      </c>
      <c r="AN739" t="s">
        <v>132</v>
      </c>
      <c r="AO739" t="s">
        <v>53</v>
      </c>
      <c r="AP739" t="s">
        <v>53</v>
      </c>
    </row>
    <row r="740" spans="2:42" x14ac:dyDescent="0.2">
      <c r="B740" t="s">
        <v>44</v>
      </c>
      <c r="C740" t="str">
        <f>HYPERLINK("https://us2.cloudbeds.com/connect/8493803454333002#/reservations/598175301839?display=E15P8X34&amp;reservation_id=598175301839", "E15P8X34")</f>
        <v>E15P8X34</v>
      </c>
      <c r="D740" t="s">
        <v>45</v>
      </c>
      <c r="E740" t="s">
        <v>46</v>
      </c>
      <c r="F740" t="s">
        <v>47</v>
      </c>
      <c r="G740" t="s">
        <v>48</v>
      </c>
      <c r="H740" t="s">
        <v>71</v>
      </c>
      <c r="I740" t="s">
        <v>72</v>
      </c>
      <c r="J740" t="s">
        <v>744</v>
      </c>
      <c r="K740" t="s">
        <v>345</v>
      </c>
      <c r="L740" t="s">
        <v>53</v>
      </c>
      <c r="N740" t="s">
        <v>1476</v>
      </c>
      <c r="P740" t="s">
        <v>58</v>
      </c>
      <c r="R740" t="s">
        <v>56</v>
      </c>
      <c r="T740" t="s">
        <v>1467</v>
      </c>
      <c r="U740" t="s">
        <v>58</v>
      </c>
      <c r="V740">
        <v>2</v>
      </c>
      <c r="W740">
        <v>1</v>
      </c>
      <c r="X740">
        <v>1</v>
      </c>
      <c r="Y740">
        <v>0</v>
      </c>
      <c r="Z740">
        <v>1</v>
      </c>
      <c r="AA740">
        <v>0</v>
      </c>
      <c r="AB740">
        <v>170.48</v>
      </c>
      <c r="AC740">
        <v>150</v>
      </c>
      <c r="AD740">
        <v>0</v>
      </c>
      <c r="AE740">
        <v>20.5</v>
      </c>
      <c r="AF740">
        <v>0</v>
      </c>
      <c r="AG740">
        <v>0</v>
      </c>
      <c r="AH740">
        <v>0</v>
      </c>
      <c r="AI740">
        <v>0</v>
      </c>
      <c r="AJ740">
        <v>170.5</v>
      </c>
      <c r="AK740">
        <v>0.02</v>
      </c>
      <c r="AL740" t="s">
        <v>53</v>
      </c>
      <c r="AM740" t="s">
        <v>53</v>
      </c>
      <c r="AN740" t="s">
        <v>378</v>
      </c>
      <c r="AO740" t="s">
        <v>53</v>
      </c>
      <c r="AP740" t="s">
        <v>53</v>
      </c>
    </row>
    <row r="741" spans="2:42" x14ac:dyDescent="0.2">
      <c r="B741" t="s">
        <v>44</v>
      </c>
      <c r="C741" t="str">
        <f>HYPERLINK("https://us2.cloudbeds.com/connect/8493803454333002#/reservations/579385962702?display=DJKYJG4T&amp;reservation_id=579385962702", "DJKYJG4T")</f>
        <v>DJKYJG4T</v>
      </c>
      <c r="D741" t="s">
        <v>45</v>
      </c>
      <c r="E741" t="s">
        <v>213</v>
      </c>
      <c r="F741" t="s">
        <v>86</v>
      </c>
      <c r="G741" t="s">
        <v>48</v>
      </c>
      <c r="H741" t="s">
        <v>49</v>
      </c>
      <c r="I741" t="s">
        <v>79</v>
      </c>
      <c r="J741" t="s">
        <v>1477</v>
      </c>
      <c r="K741" t="s">
        <v>1478</v>
      </c>
      <c r="L741" t="s">
        <v>53</v>
      </c>
      <c r="N741" t="s">
        <v>1479</v>
      </c>
      <c r="P741" t="s">
        <v>55</v>
      </c>
      <c r="R741" t="s">
        <v>56</v>
      </c>
      <c r="T741" t="s">
        <v>1467</v>
      </c>
      <c r="U741" t="s">
        <v>58</v>
      </c>
      <c r="V741">
        <v>3</v>
      </c>
      <c r="W741">
        <v>1</v>
      </c>
      <c r="X741">
        <v>1</v>
      </c>
      <c r="Y741">
        <v>0</v>
      </c>
      <c r="Z741">
        <v>1</v>
      </c>
      <c r="AA741">
        <v>0</v>
      </c>
      <c r="AB741">
        <v>503.25</v>
      </c>
      <c r="AC741">
        <v>442.8</v>
      </c>
      <c r="AD741">
        <v>0</v>
      </c>
      <c r="AE741">
        <v>60.45</v>
      </c>
      <c r="AF741">
        <v>0</v>
      </c>
      <c r="AG741">
        <v>0</v>
      </c>
      <c r="AH741">
        <v>0</v>
      </c>
      <c r="AI741">
        <v>0</v>
      </c>
      <c r="AJ741">
        <v>503.25</v>
      </c>
      <c r="AK741">
        <v>0</v>
      </c>
      <c r="AL741" t="s">
        <v>53</v>
      </c>
      <c r="AM741" t="s">
        <v>53</v>
      </c>
      <c r="AN741" t="s">
        <v>178</v>
      </c>
      <c r="AO741" t="s">
        <v>53</v>
      </c>
      <c r="AP741" t="s">
        <v>53</v>
      </c>
    </row>
    <row r="742" spans="2:42" x14ac:dyDescent="0.2">
      <c r="B742" t="s">
        <v>44</v>
      </c>
      <c r="C742" t="str">
        <f>HYPERLINK("https://us2.cloudbeds.com/connect/8493803454333002#/reservations/598543814887?display=E1F5WVU6&amp;reservation_id=598543814887", "E1F5WVU6")</f>
        <v>E1F5WVU6</v>
      </c>
      <c r="D742" t="s">
        <v>45</v>
      </c>
      <c r="E742" t="s">
        <v>69</v>
      </c>
      <c r="F742" t="s">
        <v>70</v>
      </c>
      <c r="G742" t="s">
        <v>48</v>
      </c>
      <c r="H742" t="s">
        <v>71</v>
      </c>
      <c r="I742" t="s">
        <v>72</v>
      </c>
      <c r="J742" t="s">
        <v>1480</v>
      </c>
      <c r="K742" t="s">
        <v>768</v>
      </c>
      <c r="L742" t="s">
        <v>53</v>
      </c>
      <c r="N742" t="s">
        <v>1481</v>
      </c>
      <c r="P742" t="s">
        <v>55</v>
      </c>
      <c r="R742" t="s">
        <v>201</v>
      </c>
      <c r="T742" t="s">
        <v>1467</v>
      </c>
      <c r="U742" t="s">
        <v>58</v>
      </c>
      <c r="V742">
        <v>1</v>
      </c>
      <c r="W742">
        <v>1</v>
      </c>
      <c r="X742">
        <v>1</v>
      </c>
      <c r="Y742">
        <v>0</v>
      </c>
      <c r="Z742">
        <v>1</v>
      </c>
      <c r="AA742">
        <v>0</v>
      </c>
      <c r="AB742">
        <v>148.88</v>
      </c>
      <c r="AC742">
        <v>131</v>
      </c>
      <c r="AD742">
        <v>0</v>
      </c>
      <c r="AE742">
        <v>17.89</v>
      </c>
      <c r="AF742">
        <v>0</v>
      </c>
      <c r="AG742">
        <v>0</v>
      </c>
      <c r="AH742">
        <v>0</v>
      </c>
      <c r="AI742">
        <v>0</v>
      </c>
      <c r="AJ742">
        <v>148.88999999999999</v>
      </c>
      <c r="AK742">
        <v>0.01</v>
      </c>
      <c r="AL742" t="s">
        <v>53</v>
      </c>
      <c r="AM742" t="s">
        <v>53</v>
      </c>
      <c r="AN742" t="s">
        <v>1482</v>
      </c>
      <c r="AO742" t="s">
        <v>53</v>
      </c>
      <c r="AP742" t="s">
        <v>53</v>
      </c>
    </row>
    <row r="743" spans="2:42" x14ac:dyDescent="0.2">
      <c r="B743" t="s">
        <v>44</v>
      </c>
      <c r="C743" t="str">
        <f>HYPERLINK("https://us2.cloudbeds.com/connect/8493803454333002#/reservations/598046118055?display=E12FAR10&amp;reservation_id=598046118055", "E12FAR10")</f>
        <v>E12FAR10</v>
      </c>
      <c r="D743" t="s">
        <v>45</v>
      </c>
      <c r="E743" t="s">
        <v>381</v>
      </c>
      <c r="F743" t="s">
        <v>47</v>
      </c>
      <c r="G743" t="s">
        <v>48</v>
      </c>
      <c r="H743" t="s">
        <v>49</v>
      </c>
      <c r="I743" t="s">
        <v>62</v>
      </c>
      <c r="J743" t="s">
        <v>208</v>
      </c>
      <c r="K743" t="s">
        <v>233</v>
      </c>
      <c r="L743" t="s">
        <v>53</v>
      </c>
      <c r="N743" t="s">
        <v>1483</v>
      </c>
      <c r="P743" t="s">
        <v>55</v>
      </c>
      <c r="R743" t="s">
        <v>56</v>
      </c>
      <c r="T743" t="s">
        <v>1467</v>
      </c>
      <c r="U743" t="s">
        <v>58</v>
      </c>
      <c r="V743">
        <v>3</v>
      </c>
      <c r="W743">
        <v>1</v>
      </c>
      <c r="X743">
        <v>1</v>
      </c>
      <c r="Y743">
        <v>0</v>
      </c>
      <c r="Z743">
        <v>1</v>
      </c>
      <c r="AA743">
        <v>0</v>
      </c>
      <c r="AB743">
        <v>262.52999999999997</v>
      </c>
      <c r="AC743">
        <v>231</v>
      </c>
      <c r="AD743">
        <v>0</v>
      </c>
      <c r="AE743">
        <v>31.53</v>
      </c>
      <c r="AF743">
        <v>0</v>
      </c>
      <c r="AG743">
        <v>0</v>
      </c>
      <c r="AH743">
        <v>0</v>
      </c>
      <c r="AI743">
        <v>39.380000000000003</v>
      </c>
      <c r="AJ743">
        <v>262.52999999999997</v>
      </c>
      <c r="AK743">
        <v>0</v>
      </c>
      <c r="AL743" t="s">
        <v>53</v>
      </c>
      <c r="AM743" t="s">
        <v>53</v>
      </c>
      <c r="AN743" t="s">
        <v>1240</v>
      </c>
      <c r="AO743" t="s">
        <v>53</v>
      </c>
      <c r="AP743" t="s">
        <v>53</v>
      </c>
    </row>
    <row r="744" spans="2:42" x14ac:dyDescent="0.2">
      <c r="B744" t="s">
        <v>44</v>
      </c>
      <c r="C744" t="str">
        <f>HYPERLINK("https://us2.cloudbeds.com/connect/8493803454333002#/reservations/598267998456?display=E184DVVH&amp;reservation_id=598267998456", "E184DVVH")</f>
        <v>E184DVVH</v>
      </c>
      <c r="D744" t="s">
        <v>45</v>
      </c>
      <c r="E744" t="s">
        <v>78</v>
      </c>
      <c r="F744" t="s">
        <v>61</v>
      </c>
      <c r="G744" t="s">
        <v>48</v>
      </c>
      <c r="H744" t="s">
        <v>49</v>
      </c>
      <c r="I744" t="s">
        <v>62</v>
      </c>
      <c r="J744" t="s">
        <v>192</v>
      </c>
      <c r="K744" t="s">
        <v>1068</v>
      </c>
      <c r="L744" t="s">
        <v>53</v>
      </c>
      <c r="N744" t="s">
        <v>1484</v>
      </c>
      <c r="P744" t="s">
        <v>55</v>
      </c>
      <c r="R744" t="s">
        <v>56</v>
      </c>
      <c r="T744" t="s">
        <v>1467</v>
      </c>
      <c r="U744" t="s">
        <v>58</v>
      </c>
      <c r="V744">
        <v>1</v>
      </c>
      <c r="W744">
        <v>1</v>
      </c>
      <c r="X744">
        <v>1</v>
      </c>
      <c r="Y744">
        <v>0</v>
      </c>
      <c r="Z744">
        <v>1</v>
      </c>
      <c r="AA744">
        <v>0</v>
      </c>
      <c r="AB744">
        <v>125.02</v>
      </c>
      <c r="AC744">
        <v>110</v>
      </c>
      <c r="AD744">
        <v>0</v>
      </c>
      <c r="AE744">
        <v>15.02</v>
      </c>
      <c r="AF744">
        <v>0</v>
      </c>
      <c r="AG744">
        <v>0</v>
      </c>
      <c r="AH744">
        <v>0</v>
      </c>
      <c r="AI744">
        <v>18.75</v>
      </c>
      <c r="AJ744">
        <v>125.02</v>
      </c>
      <c r="AK744">
        <v>0</v>
      </c>
      <c r="AL744" t="s">
        <v>53</v>
      </c>
      <c r="AM744" t="s">
        <v>53</v>
      </c>
      <c r="AN744" t="s">
        <v>59</v>
      </c>
      <c r="AO744" t="s">
        <v>53</v>
      </c>
      <c r="AP744" t="s">
        <v>53</v>
      </c>
    </row>
    <row r="745" spans="2:42" x14ac:dyDescent="0.2">
      <c r="B745" t="s">
        <v>44</v>
      </c>
      <c r="C745" t="str">
        <f>HYPERLINK("https://us2.cloudbeds.com/connect/8493803454333002#/reservations/598412386523?display=E1BR5PNG&amp;reservation_id=598412386523", "E1BR5PNG")</f>
        <v>E1BR5PNG</v>
      </c>
      <c r="D745" t="s">
        <v>45</v>
      </c>
      <c r="E745" t="s">
        <v>85</v>
      </c>
      <c r="F745" t="s">
        <v>86</v>
      </c>
      <c r="G745" t="s">
        <v>48</v>
      </c>
      <c r="H745" t="s">
        <v>49</v>
      </c>
      <c r="I745" t="s">
        <v>79</v>
      </c>
      <c r="J745" t="s">
        <v>478</v>
      </c>
      <c r="K745" t="s">
        <v>236</v>
      </c>
      <c r="L745" t="s">
        <v>53</v>
      </c>
      <c r="N745" t="s">
        <v>1485</v>
      </c>
      <c r="P745" t="s">
        <v>55</v>
      </c>
      <c r="R745" t="s">
        <v>56</v>
      </c>
      <c r="T745" t="s">
        <v>1467</v>
      </c>
      <c r="U745" t="s">
        <v>58</v>
      </c>
      <c r="V745">
        <v>1</v>
      </c>
      <c r="W745">
        <v>1</v>
      </c>
      <c r="X745">
        <v>1</v>
      </c>
      <c r="Y745">
        <v>0</v>
      </c>
      <c r="Z745">
        <v>1</v>
      </c>
      <c r="AA745">
        <v>0</v>
      </c>
      <c r="AB745">
        <v>153.43</v>
      </c>
      <c r="AC745">
        <v>135</v>
      </c>
      <c r="AD745">
        <v>0</v>
      </c>
      <c r="AE745">
        <v>18.440000000000001</v>
      </c>
      <c r="AF745">
        <v>0</v>
      </c>
      <c r="AG745">
        <v>0</v>
      </c>
      <c r="AH745">
        <v>0</v>
      </c>
      <c r="AI745">
        <v>0</v>
      </c>
      <c r="AJ745">
        <v>153.44</v>
      </c>
      <c r="AK745">
        <v>0.01</v>
      </c>
      <c r="AL745" t="s">
        <v>53</v>
      </c>
      <c r="AM745" t="s">
        <v>53</v>
      </c>
      <c r="AN745" t="s">
        <v>142</v>
      </c>
      <c r="AO745" t="s">
        <v>53</v>
      </c>
      <c r="AP745" t="s">
        <v>53</v>
      </c>
    </row>
    <row r="746" spans="2:42" x14ac:dyDescent="0.2">
      <c r="B746" t="s">
        <v>44</v>
      </c>
      <c r="C746" t="str">
        <f>HYPERLINK("https://us2.cloudbeds.com/connect/8493803454333002#/reservations/598210158838?display=E16YYGBR&amp;reservation_id=598210158838", "E16YYGBR")</f>
        <v>E16YYGBR</v>
      </c>
      <c r="D746" t="s">
        <v>45</v>
      </c>
      <c r="E746" t="s">
        <v>190</v>
      </c>
      <c r="F746" t="s">
        <v>61</v>
      </c>
      <c r="G746" t="s">
        <v>48</v>
      </c>
      <c r="H746" t="s">
        <v>49</v>
      </c>
      <c r="I746" t="s">
        <v>50</v>
      </c>
      <c r="J746" t="s">
        <v>208</v>
      </c>
      <c r="K746" t="s">
        <v>915</v>
      </c>
      <c r="L746" t="s">
        <v>53</v>
      </c>
      <c r="N746" t="s">
        <v>1486</v>
      </c>
      <c r="P746" t="s">
        <v>55</v>
      </c>
      <c r="R746" t="s">
        <v>56</v>
      </c>
      <c r="T746" t="s">
        <v>1467</v>
      </c>
      <c r="U746" t="s">
        <v>58</v>
      </c>
      <c r="V746">
        <v>1</v>
      </c>
      <c r="W746">
        <v>1</v>
      </c>
      <c r="X746">
        <v>1</v>
      </c>
      <c r="Y746">
        <v>0</v>
      </c>
      <c r="Z746">
        <v>1</v>
      </c>
      <c r="AA746">
        <v>0</v>
      </c>
      <c r="AB746">
        <v>90.01</v>
      </c>
      <c r="AC746">
        <v>79.2</v>
      </c>
      <c r="AD746">
        <v>0</v>
      </c>
      <c r="AE746">
        <v>10.81</v>
      </c>
      <c r="AF746">
        <v>0</v>
      </c>
      <c r="AG746">
        <v>0</v>
      </c>
      <c r="AH746">
        <v>0</v>
      </c>
      <c r="AI746">
        <v>16.2</v>
      </c>
      <c r="AJ746">
        <v>90.01</v>
      </c>
      <c r="AK746">
        <v>0</v>
      </c>
      <c r="AL746" t="s">
        <v>53</v>
      </c>
      <c r="AM746" t="s">
        <v>53</v>
      </c>
      <c r="AN746" t="s">
        <v>104</v>
      </c>
      <c r="AO746" t="s">
        <v>53</v>
      </c>
      <c r="AP746" t="s">
        <v>53</v>
      </c>
    </row>
    <row r="747" spans="2:42" x14ac:dyDescent="0.2">
      <c r="B747" t="s">
        <v>44</v>
      </c>
      <c r="C747" t="str">
        <f>HYPERLINK("https://us2.cloudbeds.com/connect/8493803454333002#/reservations/598528495823?display=E1EQ2MR4&amp;reservation_id=598528495823", "E1EQ2MR4")</f>
        <v>E1EQ2MR4</v>
      </c>
      <c r="D747" t="s">
        <v>45</v>
      </c>
      <c r="E747" t="s">
        <v>185</v>
      </c>
      <c r="F747" t="s">
        <v>47</v>
      </c>
      <c r="G747" t="s">
        <v>48</v>
      </c>
      <c r="H747" t="s">
        <v>49</v>
      </c>
      <c r="I747" t="s">
        <v>50</v>
      </c>
      <c r="J747" t="s">
        <v>233</v>
      </c>
      <c r="K747" t="s">
        <v>1124</v>
      </c>
      <c r="L747" t="s">
        <v>53</v>
      </c>
      <c r="N747" t="s">
        <v>1487</v>
      </c>
      <c r="P747" t="s">
        <v>55</v>
      </c>
      <c r="R747" t="s">
        <v>56</v>
      </c>
      <c r="T747" t="s">
        <v>1488</v>
      </c>
      <c r="U747" t="s">
        <v>58</v>
      </c>
      <c r="V747">
        <v>1</v>
      </c>
      <c r="W747">
        <v>1</v>
      </c>
      <c r="X747">
        <v>1</v>
      </c>
      <c r="Y747">
        <v>0</v>
      </c>
      <c r="Z747">
        <v>1</v>
      </c>
      <c r="AA747">
        <v>0</v>
      </c>
      <c r="AB747">
        <v>76.709999999999994</v>
      </c>
      <c r="AC747">
        <v>67.5</v>
      </c>
      <c r="AD747">
        <v>0</v>
      </c>
      <c r="AE747">
        <v>9.2100000000000009</v>
      </c>
      <c r="AF747">
        <v>0</v>
      </c>
      <c r="AG747">
        <v>0</v>
      </c>
      <c r="AH747">
        <v>0</v>
      </c>
      <c r="AI747">
        <v>13.81</v>
      </c>
      <c r="AJ747">
        <v>76.709999999999994</v>
      </c>
      <c r="AK747">
        <v>0</v>
      </c>
      <c r="AL747" t="s">
        <v>53</v>
      </c>
      <c r="AM747" t="s">
        <v>53</v>
      </c>
      <c r="AN747" t="s">
        <v>104</v>
      </c>
      <c r="AO747" t="s">
        <v>53</v>
      </c>
      <c r="AP747" t="s">
        <v>53</v>
      </c>
    </row>
    <row r="748" spans="2:42" x14ac:dyDescent="0.2">
      <c r="B748" t="s">
        <v>44</v>
      </c>
      <c r="C748" t="str">
        <f>HYPERLINK("https://us2.cloudbeds.com/connect/8493803454333002#/reservations/598498828525?display=E1E12543&amp;reservation_id=598498828525", "E1E12543")</f>
        <v>E1E12543</v>
      </c>
      <c r="D748" t="s">
        <v>45</v>
      </c>
      <c r="E748" t="s">
        <v>305</v>
      </c>
      <c r="F748" t="s">
        <v>61</v>
      </c>
      <c r="G748" t="s">
        <v>48</v>
      </c>
      <c r="H748" t="s">
        <v>71</v>
      </c>
      <c r="I748" t="s">
        <v>72</v>
      </c>
      <c r="J748" t="s">
        <v>915</v>
      </c>
      <c r="K748" t="s">
        <v>232</v>
      </c>
      <c r="L748" t="s">
        <v>53</v>
      </c>
      <c r="N748" t="s">
        <v>1489</v>
      </c>
      <c r="P748" t="s">
        <v>55</v>
      </c>
      <c r="R748" t="s">
        <v>56</v>
      </c>
      <c r="T748" t="s">
        <v>1488</v>
      </c>
      <c r="U748" t="s">
        <v>58</v>
      </c>
      <c r="V748">
        <v>1</v>
      </c>
      <c r="W748">
        <v>1</v>
      </c>
      <c r="X748">
        <v>1</v>
      </c>
      <c r="Y748">
        <v>0</v>
      </c>
      <c r="Z748">
        <v>1</v>
      </c>
      <c r="AA748">
        <v>0</v>
      </c>
      <c r="AB748">
        <v>94.33</v>
      </c>
      <c r="AC748">
        <v>83</v>
      </c>
      <c r="AD748">
        <v>0</v>
      </c>
      <c r="AE748">
        <v>11.34</v>
      </c>
      <c r="AF748">
        <v>0</v>
      </c>
      <c r="AG748">
        <v>0</v>
      </c>
      <c r="AH748">
        <v>0</v>
      </c>
      <c r="AI748">
        <v>0</v>
      </c>
      <c r="AJ748">
        <v>94.34</v>
      </c>
      <c r="AK748">
        <v>0.01</v>
      </c>
      <c r="AL748" t="s">
        <v>53</v>
      </c>
      <c r="AM748" t="s">
        <v>53</v>
      </c>
      <c r="AN748" t="s">
        <v>378</v>
      </c>
      <c r="AO748" t="s">
        <v>53</v>
      </c>
      <c r="AP748" t="s">
        <v>53</v>
      </c>
    </row>
    <row r="749" spans="2:42" x14ac:dyDescent="0.2">
      <c r="B749" t="s">
        <v>44</v>
      </c>
      <c r="C749" t="str">
        <f>HYPERLINK("https://us2.cloudbeds.com/connect/8493803454333002#/reservations/598139834568?display=E14SBKEB&amp;reservation_id=598139834568", "E14SBKEB")</f>
        <v>E14SBKEB</v>
      </c>
      <c r="D749" t="s">
        <v>45</v>
      </c>
      <c r="E749" t="s">
        <v>213</v>
      </c>
      <c r="F749" t="s">
        <v>86</v>
      </c>
      <c r="G749" t="s">
        <v>48</v>
      </c>
      <c r="H749" t="s">
        <v>49</v>
      </c>
      <c r="I749" t="s">
        <v>62</v>
      </c>
      <c r="J749" t="s">
        <v>988</v>
      </c>
      <c r="K749" t="s">
        <v>1439</v>
      </c>
      <c r="L749" t="s">
        <v>53</v>
      </c>
      <c r="N749" t="s">
        <v>1490</v>
      </c>
      <c r="P749" t="s">
        <v>55</v>
      </c>
      <c r="R749" t="s">
        <v>56</v>
      </c>
      <c r="T749" t="s">
        <v>1488</v>
      </c>
      <c r="U749" t="s">
        <v>58</v>
      </c>
      <c r="V749">
        <v>1</v>
      </c>
      <c r="W749">
        <v>1</v>
      </c>
      <c r="X749">
        <v>1</v>
      </c>
      <c r="Y749">
        <v>0</v>
      </c>
      <c r="Z749">
        <v>1</v>
      </c>
      <c r="AA749">
        <v>0</v>
      </c>
      <c r="AB749">
        <v>179.57</v>
      </c>
      <c r="AC749">
        <v>158</v>
      </c>
      <c r="AD749">
        <v>0</v>
      </c>
      <c r="AE749">
        <v>21.57</v>
      </c>
      <c r="AF749">
        <v>0</v>
      </c>
      <c r="AG749">
        <v>0</v>
      </c>
      <c r="AH749">
        <v>0</v>
      </c>
      <c r="AI749">
        <v>26.94</v>
      </c>
      <c r="AJ749">
        <v>179.57</v>
      </c>
      <c r="AK749">
        <v>0</v>
      </c>
      <c r="AL749" t="s">
        <v>53</v>
      </c>
      <c r="AM749" t="s">
        <v>53</v>
      </c>
      <c r="AN749" t="s">
        <v>198</v>
      </c>
      <c r="AO749" t="s">
        <v>53</v>
      </c>
      <c r="AP749" t="s">
        <v>53</v>
      </c>
    </row>
    <row r="750" spans="2:42" x14ac:dyDescent="0.2">
      <c r="B750" t="s">
        <v>44</v>
      </c>
      <c r="C750" t="str">
        <f>HYPERLINK("https://us2.cloudbeds.com/connect/8493803454333002#/reservations/598444990602?display=E1CYM15T&amp;reservation_id=598444990602", "E1CYM15T")</f>
        <v>E1CYM15T</v>
      </c>
      <c r="D750" t="s">
        <v>45</v>
      </c>
      <c r="E750" t="s">
        <v>406</v>
      </c>
      <c r="F750" t="s">
        <v>61</v>
      </c>
      <c r="G750" t="s">
        <v>48</v>
      </c>
      <c r="H750" t="s">
        <v>71</v>
      </c>
      <c r="I750" t="s">
        <v>72</v>
      </c>
      <c r="J750" t="s">
        <v>915</v>
      </c>
      <c r="K750" t="s">
        <v>232</v>
      </c>
      <c r="L750" t="s">
        <v>53</v>
      </c>
      <c r="N750" t="s">
        <v>1491</v>
      </c>
      <c r="P750" t="s">
        <v>55</v>
      </c>
      <c r="R750" t="s">
        <v>56</v>
      </c>
      <c r="T750" t="s">
        <v>1488</v>
      </c>
      <c r="U750" t="s">
        <v>58</v>
      </c>
      <c r="V750">
        <v>1</v>
      </c>
      <c r="W750">
        <v>1</v>
      </c>
      <c r="X750">
        <v>1</v>
      </c>
      <c r="Y750">
        <v>0</v>
      </c>
      <c r="Z750">
        <v>1</v>
      </c>
      <c r="AA750">
        <v>0</v>
      </c>
      <c r="AB750">
        <v>85.24</v>
      </c>
      <c r="AC750">
        <v>75</v>
      </c>
      <c r="AD750">
        <v>0</v>
      </c>
      <c r="AE750">
        <v>10.25</v>
      </c>
      <c r="AF750">
        <v>0</v>
      </c>
      <c r="AG750">
        <v>0</v>
      </c>
      <c r="AH750">
        <v>0</v>
      </c>
      <c r="AI750">
        <v>0</v>
      </c>
      <c r="AJ750">
        <v>85.25</v>
      </c>
      <c r="AK750">
        <v>0.01</v>
      </c>
      <c r="AL750" t="s">
        <v>53</v>
      </c>
      <c r="AM750" t="s">
        <v>53</v>
      </c>
      <c r="AN750" t="s">
        <v>378</v>
      </c>
      <c r="AO750" t="s">
        <v>53</v>
      </c>
      <c r="AP750" t="s">
        <v>53</v>
      </c>
    </row>
    <row r="751" spans="2:42" x14ac:dyDescent="0.2">
      <c r="B751" t="s">
        <v>44</v>
      </c>
      <c r="C751" t="str">
        <f>HYPERLINK("https://us2.cloudbeds.com/connect/8493803454333002#/reservations/598025941167?display=E11VAC45&amp;reservation_id=598025941167", "E11VAC45")</f>
        <v>E11VAC45</v>
      </c>
      <c r="D751" t="s">
        <v>45</v>
      </c>
      <c r="E751" t="s">
        <v>406</v>
      </c>
      <c r="F751" t="s">
        <v>61</v>
      </c>
      <c r="G751" t="s">
        <v>48</v>
      </c>
      <c r="H751" t="s">
        <v>49</v>
      </c>
      <c r="I751" t="s">
        <v>50</v>
      </c>
      <c r="J751" t="s">
        <v>538</v>
      </c>
      <c r="K751" t="s">
        <v>259</v>
      </c>
      <c r="L751" t="s">
        <v>53</v>
      </c>
      <c r="N751" t="s">
        <v>1492</v>
      </c>
      <c r="P751" t="s">
        <v>55</v>
      </c>
      <c r="R751" t="s">
        <v>56</v>
      </c>
      <c r="T751" t="s">
        <v>1488</v>
      </c>
      <c r="U751" t="s">
        <v>58</v>
      </c>
      <c r="V751">
        <v>1</v>
      </c>
      <c r="W751">
        <v>1</v>
      </c>
      <c r="X751">
        <v>1</v>
      </c>
      <c r="Y751">
        <v>0</v>
      </c>
      <c r="Z751">
        <v>1</v>
      </c>
      <c r="AA751">
        <v>0</v>
      </c>
      <c r="AB751">
        <v>136.38</v>
      </c>
      <c r="AC751">
        <v>120</v>
      </c>
      <c r="AD751">
        <v>0</v>
      </c>
      <c r="AE751">
        <v>16.38</v>
      </c>
      <c r="AF751">
        <v>0</v>
      </c>
      <c r="AG751">
        <v>0</v>
      </c>
      <c r="AH751">
        <v>0</v>
      </c>
      <c r="AI751">
        <v>24.55</v>
      </c>
      <c r="AJ751">
        <v>136.38</v>
      </c>
      <c r="AK751">
        <v>0</v>
      </c>
      <c r="AL751" t="s">
        <v>53</v>
      </c>
      <c r="AM751" t="s">
        <v>53</v>
      </c>
      <c r="AN751" t="s">
        <v>252</v>
      </c>
      <c r="AO751" t="s">
        <v>53</v>
      </c>
      <c r="AP751" t="s">
        <v>53</v>
      </c>
    </row>
    <row r="752" spans="2:42" x14ac:dyDescent="0.2">
      <c r="B752" t="s">
        <v>44</v>
      </c>
      <c r="C752" t="str">
        <f>HYPERLINK("https://us2.cloudbeds.com/connect/8493803454333002#/reservations/598310842524?display=E197X5HK&amp;reservation_id=598310842524", "E197X5HK")</f>
        <v>E197X5HK</v>
      </c>
      <c r="D752" t="s">
        <v>45</v>
      </c>
      <c r="E752" t="s">
        <v>381</v>
      </c>
      <c r="F752" t="s">
        <v>47</v>
      </c>
      <c r="G752" t="s">
        <v>48</v>
      </c>
      <c r="H752" t="s">
        <v>49</v>
      </c>
      <c r="I752" t="s">
        <v>114</v>
      </c>
      <c r="J752" t="s">
        <v>743</v>
      </c>
      <c r="K752" t="s">
        <v>345</v>
      </c>
      <c r="L752" t="s">
        <v>53</v>
      </c>
      <c r="N752" t="s">
        <v>1493</v>
      </c>
      <c r="P752" t="s">
        <v>55</v>
      </c>
      <c r="R752" t="s">
        <v>56</v>
      </c>
      <c r="T752" t="s">
        <v>1488</v>
      </c>
      <c r="U752" t="s">
        <v>58</v>
      </c>
      <c r="V752">
        <v>3</v>
      </c>
      <c r="W752">
        <v>1</v>
      </c>
      <c r="X752">
        <v>1</v>
      </c>
      <c r="Y752">
        <v>0</v>
      </c>
      <c r="Z752">
        <v>1</v>
      </c>
      <c r="AA752">
        <v>0</v>
      </c>
      <c r="AB752">
        <v>253.44</v>
      </c>
      <c r="AC752">
        <v>223</v>
      </c>
      <c r="AD752">
        <v>0</v>
      </c>
      <c r="AE752">
        <v>30.45</v>
      </c>
      <c r="AF752">
        <v>0</v>
      </c>
      <c r="AG752">
        <v>0</v>
      </c>
      <c r="AH752">
        <v>0</v>
      </c>
      <c r="AI752">
        <v>0</v>
      </c>
      <c r="AJ752">
        <v>253.45</v>
      </c>
      <c r="AK752">
        <v>0.01</v>
      </c>
      <c r="AL752" t="s">
        <v>53</v>
      </c>
      <c r="AM752" t="s">
        <v>53</v>
      </c>
      <c r="AN752" t="s">
        <v>1494</v>
      </c>
      <c r="AO752" t="s">
        <v>53</v>
      </c>
      <c r="AP752" t="s">
        <v>53</v>
      </c>
    </row>
    <row r="753" spans="2:42" x14ac:dyDescent="0.2">
      <c r="B753" t="s">
        <v>44</v>
      </c>
      <c r="C753" t="str">
        <f>HYPERLINK("https://us2.cloudbeds.com/connect/8493803454333002#/reservations/598422327522?display=E1C2XD8T&amp;reservation_id=598422327522", "E1C2XD8T")</f>
        <v>E1C2XD8T</v>
      </c>
      <c r="D753" t="s">
        <v>45</v>
      </c>
      <c r="E753" t="s">
        <v>265</v>
      </c>
      <c r="F753" t="s">
        <v>61</v>
      </c>
      <c r="G753" t="s">
        <v>48</v>
      </c>
      <c r="H753" t="s">
        <v>49</v>
      </c>
      <c r="I753" t="s">
        <v>50</v>
      </c>
      <c r="J753" t="s">
        <v>475</v>
      </c>
      <c r="K753" t="s">
        <v>762</v>
      </c>
      <c r="L753" t="s">
        <v>53</v>
      </c>
      <c r="N753" t="s">
        <v>1495</v>
      </c>
      <c r="P753" t="s">
        <v>55</v>
      </c>
      <c r="R753" t="s">
        <v>56</v>
      </c>
      <c r="T753" t="s">
        <v>1488</v>
      </c>
      <c r="U753" t="s">
        <v>58</v>
      </c>
      <c r="V753">
        <v>1</v>
      </c>
      <c r="W753">
        <v>1</v>
      </c>
      <c r="X753">
        <v>1</v>
      </c>
      <c r="Y753">
        <v>0</v>
      </c>
      <c r="Z753">
        <v>1</v>
      </c>
      <c r="AA753">
        <v>0</v>
      </c>
      <c r="AB753">
        <v>146.27000000000001</v>
      </c>
      <c r="AC753">
        <v>128.69999999999999</v>
      </c>
      <c r="AD753">
        <v>0</v>
      </c>
      <c r="AE753">
        <v>17.559999999999999</v>
      </c>
      <c r="AF753">
        <v>0</v>
      </c>
      <c r="AG753">
        <v>0</v>
      </c>
      <c r="AH753">
        <v>0</v>
      </c>
      <c r="AI753">
        <v>26.33</v>
      </c>
      <c r="AJ753">
        <v>146.26</v>
      </c>
      <c r="AK753">
        <v>-0.01</v>
      </c>
      <c r="AL753" t="s">
        <v>53</v>
      </c>
      <c r="AM753" t="s">
        <v>53</v>
      </c>
      <c r="AN753" t="s">
        <v>316</v>
      </c>
      <c r="AO753" t="s">
        <v>53</v>
      </c>
      <c r="AP753" t="s">
        <v>53</v>
      </c>
    </row>
    <row r="754" spans="2:42" x14ac:dyDescent="0.2">
      <c r="B754" t="s">
        <v>44</v>
      </c>
      <c r="C754" t="str">
        <f>HYPERLINK("https://us2.cloudbeds.com/connect/8493803454333002#/reservations/598337159330?display=E19TZFXJ&amp;reservation_id=598337159330", "E19TZFXJ")</f>
        <v>E19TZFXJ</v>
      </c>
      <c r="D754" t="s">
        <v>45</v>
      </c>
      <c r="E754" t="s">
        <v>78</v>
      </c>
      <c r="F754" t="s">
        <v>61</v>
      </c>
      <c r="G754" t="s">
        <v>48</v>
      </c>
      <c r="H754" t="s">
        <v>49</v>
      </c>
      <c r="I754" t="s">
        <v>62</v>
      </c>
      <c r="J754" t="s">
        <v>744</v>
      </c>
      <c r="K754" t="s">
        <v>623</v>
      </c>
      <c r="L754" t="s">
        <v>53</v>
      </c>
      <c r="N754" t="s">
        <v>1496</v>
      </c>
      <c r="P754" t="s">
        <v>55</v>
      </c>
      <c r="R754" t="s">
        <v>56</v>
      </c>
      <c r="T754" t="s">
        <v>1488</v>
      </c>
      <c r="U754" t="s">
        <v>58</v>
      </c>
      <c r="V754">
        <v>1</v>
      </c>
      <c r="W754">
        <v>1</v>
      </c>
      <c r="X754">
        <v>1</v>
      </c>
      <c r="Y754">
        <v>0</v>
      </c>
      <c r="Z754">
        <v>1</v>
      </c>
      <c r="AA754">
        <v>0</v>
      </c>
      <c r="AB754">
        <v>100.01</v>
      </c>
      <c r="AC754">
        <v>88</v>
      </c>
      <c r="AD754">
        <v>0</v>
      </c>
      <c r="AE754">
        <v>12.01</v>
      </c>
      <c r="AF754">
        <v>0</v>
      </c>
      <c r="AG754">
        <v>0</v>
      </c>
      <c r="AH754">
        <v>0</v>
      </c>
      <c r="AI754">
        <v>15</v>
      </c>
      <c r="AJ754">
        <v>100.01</v>
      </c>
      <c r="AK754">
        <v>0</v>
      </c>
      <c r="AL754" t="s">
        <v>53</v>
      </c>
      <c r="AM754" t="s">
        <v>53</v>
      </c>
      <c r="AN754" t="s">
        <v>198</v>
      </c>
      <c r="AO754" t="s">
        <v>53</v>
      </c>
      <c r="AP754" t="s">
        <v>53</v>
      </c>
    </row>
    <row r="755" spans="2:42" x14ac:dyDescent="0.2">
      <c r="B755" t="s">
        <v>44</v>
      </c>
      <c r="C755" t="str">
        <f>HYPERLINK("https://us2.cloudbeds.com/connect/8493803454333002#/reservations/598188355829?display=E1638Q7J&amp;reservation_id=598188355829", "E1638Q7J")</f>
        <v>E1638Q7J</v>
      </c>
      <c r="D755" t="s">
        <v>45</v>
      </c>
      <c r="E755" t="s">
        <v>487</v>
      </c>
      <c r="F755" t="s">
        <v>61</v>
      </c>
      <c r="G755" t="s">
        <v>48</v>
      </c>
      <c r="H755" t="s">
        <v>49</v>
      </c>
      <c r="I755" t="s">
        <v>79</v>
      </c>
      <c r="J755" t="s">
        <v>915</v>
      </c>
      <c r="K755" t="s">
        <v>233</v>
      </c>
      <c r="L755" t="s">
        <v>53</v>
      </c>
      <c r="N755" t="s">
        <v>1497</v>
      </c>
      <c r="P755" t="s">
        <v>55</v>
      </c>
      <c r="R755" t="s">
        <v>56</v>
      </c>
      <c r="T755" t="s">
        <v>1488</v>
      </c>
      <c r="U755" t="s">
        <v>58</v>
      </c>
      <c r="V755">
        <v>2</v>
      </c>
      <c r="W755">
        <v>1</v>
      </c>
      <c r="X755">
        <v>1</v>
      </c>
      <c r="Y755">
        <v>0</v>
      </c>
      <c r="Z755">
        <v>1</v>
      </c>
      <c r="AA755">
        <v>0</v>
      </c>
      <c r="AB755">
        <v>186.61</v>
      </c>
      <c r="AC755">
        <v>164.2</v>
      </c>
      <c r="AD755">
        <v>0</v>
      </c>
      <c r="AE755">
        <v>22.4</v>
      </c>
      <c r="AF755">
        <v>0</v>
      </c>
      <c r="AG755">
        <v>0</v>
      </c>
      <c r="AH755">
        <v>0</v>
      </c>
      <c r="AI755">
        <v>0</v>
      </c>
      <c r="AJ755">
        <v>186.6</v>
      </c>
      <c r="AK755">
        <v>-0.01</v>
      </c>
      <c r="AL755" t="s">
        <v>53</v>
      </c>
      <c r="AM755" t="s">
        <v>53</v>
      </c>
      <c r="AN755" t="s">
        <v>1498</v>
      </c>
      <c r="AO755" t="s">
        <v>53</v>
      </c>
      <c r="AP755" t="s">
        <v>53</v>
      </c>
    </row>
    <row r="756" spans="2:42" x14ac:dyDescent="0.2">
      <c r="B756" t="s">
        <v>44</v>
      </c>
      <c r="C756" t="str">
        <f>HYPERLINK("https://us2.cloudbeds.com/connect/8493803454333002#/reservations/598388543705?display=E1B72AFS&amp;reservation_id=598388543705", "E1B72AFS")</f>
        <v>E1B72AFS</v>
      </c>
      <c r="D756" t="s">
        <v>45</v>
      </c>
      <c r="E756" t="s">
        <v>223</v>
      </c>
      <c r="F756" t="s">
        <v>47</v>
      </c>
      <c r="G756" t="s">
        <v>48</v>
      </c>
      <c r="H756" t="s">
        <v>71</v>
      </c>
      <c r="I756" t="s">
        <v>72</v>
      </c>
      <c r="J756" t="s">
        <v>956</v>
      </c>
      <c r="K756" t="s">
        <v>744</v>
      </c>
      <c r="L756" t="s">
        <v>53</v>
      </c>
      <c r="N756" t="s">
        <v>1499</v>
      </c>
      <c r="P756" t="s">
        <v>55</v>
      </c>
      <c r="R756" t="s">
        <v>56</v>
      </c>
      <c r="T756" t="s">
        <v>1488</v>
      </c>
      <c r="U756" t="s">
        <v>58</v>
      </c>
      <c r="V756">
        <v>2</v>
      </c>
      <c r="W756">
        <v>1</v>
      </c>
      <c r="X756">
        <v>1</v>
      </c>
      <c r="Y756">
        <v>0</v>
      </c>
      <c r="Z756">
        <v>1</v>
      </c>
      <c r="AA756">
        <v>0</v>
      </c>
      <c r="AB756">
        <v>159.11000000000001</v>
      </c>
      <c r="AC756">
        <v>140</v>
      </c>
      <c r="AD756">
        <v>0</v>
      </c>
      <c r="AE756">
        <v>19.12</v>
      </c>
      <c r="AF756">
        <v>0</v>
      </c>
      <c r="AG756">
        <v>0</v>
      </c>
      <c r="AH756">
        <v>0</v>
      </c>
      <c r="AI756">
        <v>0</v>
      </c>
      <c r="AJ756">
        <v>159.12</v>
      </c>
      <c r="AK756">
        <v>0.01</v>
      </c>
      <c r="AL756" t="s">
        <v>53</v>
      </c>
      <c r="AM756" t="s">
        <v>53</v>
      </c>
      <c r="AN756" t="s">
        <v>1500</v>
      </c>
      <c r="AO756" t="s">
        <v>53</v>
      </c>
      <c r="AP756" t="s">
        <v>53</v>
      </c>
    </row>
    <row r="757" spans="2:42" x14ac:dyDescent="0.2">
      <c r="B757" t="s">
        <v>44</v>
      </c>
      <c r="C757" t="str">
        <f>HYPERLINK("https://us2.cloudbeds.com/connect/8493803454333002#/reservations/579391668383?display=DJKQD8HA&amp;reservation_id=579391668383", "DJKQD8HA")</f>
        <v>DJKQD8HA</v>
      </c>
      <c r="D757" t="s">
        <v>45</v>
      </c>
      <c r="E757" t="s">
        <v>265</v>
      </c>
      <c r="F757" t="s">
        <v>61</v>
      </c>
      <c r="G757" t="s">
        <v>48</v>
      </c>
      <c r="H757" t="s">
        <v>49</v>
      </c>
      <c r="I757" t="s">
        <v>79</v>
      </c>
      <c r="J757" t="s">
        <v>1501</v>
      </c>
      <c r="K757" t="s">
        <v>1502</v>
      </c>
      <c r="L757" t="s">
        <v>53</v>
      </c>
      <c r="N757" t="s">
        <v>1503</v>
      </c>
      <c r="P757" t="s">
        <v>55</v>
      </c>
      <c r="R757" t="s">
        <v>56</v>
      </c>
      <c r="T757" t="s">
        <v>1488</v>
      </c>
      <c r="U757" t="s">
        <v>58</v>
      </c>
      <c r="V757">
        <v>4</v>
      </c>
      <c r="W757">
        <v>1</v>
      </c>
      <c r="X757">
        <v>1</v>
      </c>
      <c r="Y757">
        <v>0</v>
      </c>
      <c r="Z757">
        <v>1</v>
      </c>
      <c r="AA757">
        <v>0</v>
      </c>
      <c r="AB757">
        <v>600.38</v>
      </c>
      <c r="AC757">
        <v>528.29999999999995</v>
      </c>
      <c r="AD757">
        <v>0</v>
      </c>
      <c r="AE757">
        <v>72.08</v>
      </c>
      <c r="AF757">
        <v>0</v>
      </c>
      <c r="AG757">
        <v>0</v>
      </c>
      <c r="AH757">
        <v>0</v>
      </c>
      <c r="AI757">
        <v>0</v>
      </c>
      <c r="AJ757">
        <v>600.38</v>
      </c>
      <c r="AK757">
        <v>0</v>
      </c>
      <c r="AL757" t="s">
        <v>53</v>
      </c>
      <c r="AM757" t="s">
        <v>53</v>
      </c>
      <c r="AN757" t="s">
        <v>112</v>
      </c>
      <c r="AO757" t="s">
        <v>53</v>
      </c>
      <c r="AP757" t="s">
        <v>53</v>
      </c>
    </row>
    <row r="758" spans="2:42" x14ac:dyDescent="0.2">
      <c r="B758" t="s">
        <v>44</v>
      </c>
      <c r="C758" t="str">
        <f>HYPERLINK("https://us2.cloudbeds.com/connect/8493803454333002#/reservations/598467268764?display=E1D7EVKN&amp;reservation_id=598467268764", "E1D7EVKN")</f>
        <v>E1D7EVKN</v>
      </c>
      <c r="D758" t="s">
        <v>45</v>
      </c>
      <c r="E758" t="s">
        <v>223</v>
      </c>
      <c r="F758" t="s">
        <v>47</v>
      </c>
      <c r="G758" t="s">
        <v>48</v>
      </c>
      <c r="H758" t="s">
        <v>49</v>
      </c>
      <c r="I758" t="s">
        <v>62</v>
      </c>
      <c r="J758" t="s">
        <v>560</v>
      </c>
      <c r="K758" t="s">
        <v>1143</v>
      </c>
      <c r="L758" t="s">
        <v>53</v>
      </c>
      <c r="N758" t="s">
        <v>1504</v>
      </c>
      <c r="P758" t="s">
        <v>55</v>
      </c>
      <c r="R758" t="s">
        <v>56</v>
      </c>
      <c r="T758" t="s">
        <v>1505</v>
      </c>
      <c r="U758" t="s">
        <v>58</v>
      </c>
      <c r="V758">
        <v>1</v>
      </c>
      <c r="W758">
        <v>1</v>
      </c>
      <c r="X758">
        <v>1</v>
      </c>
      <c r="Y758">
        <v>0</v>
      </c>
      <c r="Z758">
        <v>1</v>
      </c>
      <c r="AA758">
        <v>0</v>
      </c>
      <c r="AB758">
        <v>90.92</v>
      </c>
      <c r="AC758">
        <v>80</v>
      </c>
      <c r="AD758">
        <v>0</v>
      </c>
      <c r="AE758">
        <v>10.92</v>
      </c>
      <c r="AF758">
        <v>0</v>
      </c>
      <c r="AG758">
        <v>0</v>
      </c>
      <c r="AH758">
        <v>0</v>
      </c>
      <c r="AI758">
        <v>13.64</v>
      </c>
      <c r="AJ758">
        <v>90.92</v>
      </c>
      <c r="AK758">
        <v>0</v>
      </c>
      <c r="AL758" t="s">
        <v>53</v>
      </c>
      <c r="AM758" t="s">
        <v>53</v>
      </c>
      <c r="AN758" t="s">
        <v>245</v>
      </c>
      <c r="AO758" t="s">
        <v>53</v>
      </c>
      <c r="AP758" t="s">
        <v>53</v>
      </c>
    </row>
    <row r="759" spans="2:42" x14ac:dyDescent="0.2">
      <c r="B759" t="s">
        <v>44</v>
      </c>
      <c r="C759" t="str">
        <f>HYPERLINK("https://us2.cloudbeds.com/connect/8493803454333002#/reservations/598290735299?display=E18NJYJP&amp;reservation_id=598290735299", "E18NJYJP")</f>
        <v>E18NJYJP</v>
      </c>
      <c r="D759" t="s">
        <v>45</v>
      </c>
      <c r="E759" t="s">
        <v>373</v>
      </c>
      <c r="F759" t="s">
        <v>47</v>
      </c>
      <c r="G759" t="s">
        <v>48</v>
      </c>
      <c r="H759" t="s">
        <v>49</v>
      </c>
      <c r="I759" t="s">
        <v>79</v>
      </c>
      <c r="J759" t="s">
        <v>801</v>
      </c>
      <c r="K759" t="s">
        <v>1092</v>
      </c>
      <c r="L759" t="s">
        <v>53</v>
      </c>
      <c r="N759" t="s">
        <v>1506</v>
      </c>
      <c r="P759" t="s">
        <v>55</v>
      </c>
      <c r="R759" t="s">
        <v>56</v>
      </c>
      <c r="T759" t="s">
        <v>1505</v>
      </c>
      <c r="U759" t="s">
        <v>58</v>
      </c>
      <c r="V759">
        <v>4</v>
      </c>
      <c r="W759">
        <v>1</v>
      </c>
      <c r="X759">
        <v>1</v>
      </c>
      <c r="Y759">
        <v>0</v>
      </c>
      <c r="Z759">
        <v>1</v>
      </c>
      <c r="AA759">
        <v>0</v>
      </c>
      <c r="AB759">
        <v>286.39999999999998</v>
      </c>
      <c r="AC759">
        <v>252</v>
      </c>
      <c r="AD759">
        <v>0</v>
      </c>
      <c r="AE759">
        <v>34.44</v>
      </c>
      <c r="AF759">
        <v>0</v>
      </c>
      <c r="AG759">
        <v>0</v>
      </c>
      <c r="AH759">
        <v>0</v>
      </c>
      <c r="AI759">
        <v>0</v>
      </c>
      <c r="AJ759">
        <v>286.44</v>
      </c>
      <c r="AK759">
        <v>0.04</v>
      </c>
      <c r="AL759" t="s">
        <v>53</v>
      </c>
      <c r="AM759" t="s">
        <v>53</v>
      </c>
      <c r="AN759" t="s">
        <v>1507</v>
      </c>
      <c r="AO759" t="s">
        <v>53</v>
      </c>
      <c r="AP759" t="s">
        <v>53</v>
      </c>
    </row>
    <row r="760" spans="2:42" x14ac:dyDescent="0.2">
      <c r="B760" t="s">
        <v>44</v>
      </c>
      <c r="C760" t="str">
        <f>HYPERLINK("https://us2.cloudbeds.com/connect/8493803454333002#/reservations/598355157231?display=E1ABU9XH&amp;reservation_id=598355157231", "E1ABU9XH")</f>
        <v>E1ABU9XH</v>
      </c>
      <c r="D760" t="s">
        <v>45</v>
      </c>
      <c r="E760" t="s">
        <v>179</v>
      </c>
      <c r="F760" t="s">
        <v>47</v>
      </c>
      <c r="G760" t="s">
        <v>48</v>
      </c>
      <c r="H760" t="s">
        <v>49</v>
      </c>
      <c r="I760" t="s">
        <v>62</v>
      </c>
      <c r="J760" t="s">
        <v>232</v>
      </c>
      <c r="K760" t="s">
        <v>233</v>
      </c>
      <c r="L760" t="s">
        <v>53</v>
      </c>
      <c r="N760" t="s">
        <v>1508</v>
      </c>
      <c r="P760" t="s">
        <v>58</v>
      </c>
      <c r="R760" t="s">
        <v>56</v>
      </c>
      <c r="T760" t="s">
        <v>1505</v>
      </c>
      <c r="U760" t="s">
        <v>58</v>
      </c>
      <c r="V760">
        <v>1</v>
      </c>
      <c r="W760">
        <v>1</v>
      </c>
      <c r="X760">
        <v>1</v>
      </c>
      <c r="Y760">
        <v>0</v>
      </c>
      <c r="Z760">
        <v>1</v>
      </c>
      <c r="AA760">
        <v>0</v>
      </c>
      <c r="AB760">
        <v>83.53</v>
      </c>
      <c r="AC760">
        <v>73.5</v>
      </c>
      <c r="AD760">
        <v>0</v>
      </c>
      <c r="AE760">
        <v>10.029999999999999</v>
      </c>
      <c r="AF760">
        <v>0</v>
      </c>
      <c r="AG760">
        <v>0</v>
      </c>
      <c r="AH760">
        <v>0</v>
      </c>
      <c r="AI760">
        <v>12.53</v>
      </c>
      <c r="AJ760">
        <v>83.53</v>
      </c>
      <c r="AK760">
        <v>0</v>
      </c>
      <c r="AL760" t="s">
        <v>53</v>
      </c>
      <c r="AM760" t="s">
        <v>53</v>
      </c>
      <c r="AN760" t="s">
        <v>1509</v>
      </c>
      <c r="AO760" t="s">
        <v>53</v>
      </c>
      <c r="AP760" t="s">
        <v>53</v>
      </c>
    </row>
    <row r="761" spans="2:42" x14ac:dyDescent="0.2">
      <c r="B761" t="s">
        <v>44</v>
      </c>
      <c r="C761" t="str">
        <f>HYPERLINK("https://us2.cloudbeds.com/connect/8493803454333002#/reservations/598349197559?display=E1A6TEVD&amp;reservation_id=598349197559", "E1A6TEVD")</f>
        <v>E1A6TEVD</v>
      </c>
      <c r="D761" t="s">
        <v>45</v>
      </c>
      <c r="E761" t="s">
        <v>110</v>
      </c>
      <c r="F761" t="s">
        <v>47</v>
      </c>
      <c r="G761" t="s">
        <v>48</v>
      </c>
      <c r="H761" t="s">
        <v>49</v>
      </c>
      <c r="I761" t="s">
        <v>266</v>
      </c>
      <c r="J761" t="s">
        <v>87</v>
      </c>
      <c r="K761" t="s">
        <v>327</v>
      </c>
      <c r="L761" t="s">
        <v>53</v>
      </c>
      <c r="N761" t="s">
        <v>1510</v>
      </c>
      <c r="P761" t="s">
        <v>55</v>
      </c>
      <c r="R761" t="s">
        <v>56</v>
      </c>
      <c r="T761" t="s">
        <v>1505</v>
      </c>
      <c r="U761" t="s">
        <v>58</v>
      </c>
      <c r="V761">
        <v>2</v>
      </c>
      <c r="W761">
        <v>1</v>
      </c>
      <c r="X761">
        <v>1</v>
      </c>
      <c r="Y761">
        <v>0</v>
      </c>
      <c r="Z761">
        <v>1</v>
      </c>
      <c r="AA761">
        <v>0</v>
      </c>
      <c r="AB761">
        <v>279.24</v>
      </c>
      <c r="AC761">
        <v>245.7</v>
      </c>
      <c r="AD761">
        <v>0</v>
      </c>
      <c r="AE761">
        <v>33.54</v>
      </c>
      <c r="AF761">
        <v>0</v>
      </c>
      <c r="AG761">
        <v>0</v>
      </c>
      <c r="AH761">
        <v>0</v>
      </c>
      <c r="AI761">
        <v>0</v>
      </c>
      <c r="AJ761">
        <v>279.24</v>
      </c>
      <c r="AK761">
        <v>0</v>
      </c>
      <c r="AL761" t="s">
        <v>53</v>
      </c>
      <c r="AM761" t="s">
        <v>53</v>
      </c>
      <c r="AN761" t="s">
        <v>225</v>
      </c>
      <c r="AO761" t="s">
        <v>53</v>
      </c>
      <c r="AP761" t="s">
        <v>53</v>
      </c>
    </row>
    <row r="762" spans="2:42" x14ac:dyDescent="0.2">
      <c r="B762" t="s">
        <v>44</v>
      </c>
      <c r="C762" t="str">
        <f>HYPERLINK("https://us2.cloudbeds.com/connect/8493803454333002#/reservations/598044373189?display=E12DS8P8&amp;reservation_id=598044373189", "E12DS8P8")</f>
        <v>E12DS8P8</v>
      </c>
      <c r="D762" t="s">
        <v>45</v>
      </c>
      <c r="E762" t="s">
        <v>373</v>
      </c>
      <c r="F762" t="s">
        <v>47</v>
      </c>
      <c r="G762" t="s">
        <v>48</v>
      </c>
      <c r="H762" t="s">
        <v>49</v>
      </c>
      <c r="I762" t="s">
        <v>79</v>
      </c>
      <c r="J762" t="s">
        <v>233</v>
      </c>
      <c r="K762" t="s">
        <v>743</v>
      </c>
      <c r="L762" t="s">
        <v>53</v>
      </c>
      <c r="N762" t="s">
        <v>1511</v>
      </c>
      <c r="P762" t="s">
        <v>55</v>
      </c>
      <c r="R762" t="s">
        <v>56</v>
      </c>
      <c r="T762" t="s">
        <v>1505</v>
      </c>
      <c r="U762" t="s">
        <v>58</v>
      </c>
      <c r="V762">
        <v>3</v>
      </c>
      <c r="W762">
        <v>1</v>
      </c>
      <c r="X762">
        <v>1</v>
      </c>
      <c r="Y762">
        <v>0</v>
      </c>
      <c r="Z762">
        <v>1</v>
      </c>
      <c r="AA762">
        <v>0</v>
      </c>
      <c r="AB762">
        <v>230.14</v>
      </c>
      <c r="AC762">
        <v>202.5</v>
      </c>
      <c r="AD762">
        <v>0</v>
      </c>
      <c r="AE762">
        <v>27.63</v>
      </c>
      <c r="AF762">
        <v>0</v>
      </c>
      <c r="AG762">
        <v>0</v>
      </c>
      <c r="AH762">
        <v>0</v>
      </c>
      <c r="AI762">
        <v>0</v>
      </c>
      <c r="AJ762">
        <v>230.13</v>
      </c>
      <c r="AK762">
        <v>-0.01</v>
      </c>
      <c r="AL762" t="s">
        <v>53</v>
      </c>
      <c r="AM762" t="s">
        <v>53</v>
      </c>
      <c r="AN762" t="s">
        <v>104</v>
      </c>
      <c r="AO762" t="s">
        <v>53</v>
      </c>
      <c r="AP762" t="s">
        <v>53</v>
      </c>
    </row>
    <row r="763" spans="2:42" x14ac:dyDescent="0.2">
      <c r="B763" t="s">
        <v>44</v>
      </c>
      <c r="C763" t="str">
        <f>HYPERLINK("https://us2.cloudbeds.com/connect/8493803454333002#/reservations/598251208880?display=E17N8PHG&amp;reservation_id=598251208880", "E17N8PHG")</f>
        <v>E17N8PHG</v>
      </c>
      <c r="D763" t="s">
        <v>45</v>
      </c>
      <c r="E763" t="s">
        <v>110</v>
      </c>
      <c r="F763" t="s">
        <v>47</v>
      </c>
      <c r="G763" t="s">
        <v>48</v>
      </c>
      <c r="H763" t="s">
        <v>49</v>
      </c>
      <c r="I763" t="s">
        <v>79</v>
      </c>
      <c r="J763" t="s">
        <v>538</v>
      </c>
      <c r="K763" t="s">
        <v>259</v>
      </c>
      <c r="L763" t="s">
        <v>53</v>
      </c>
      <c r="N763" t="s">
        <v>1512</v>
      </c>
      <c r="P763" t="s">
        <v>55</v>
      </c>
      <c r="R763" t="s">
        <v>56</v>
      </c>
      <c r="T763" t="s">
        <v>1505</v>
      </c>
      <c r="U763" t="s">
        <v>58</v>
      </c>
      <c r="V763">
        <v>1</v>
      </c>
      <c r="W763">
        <v>1</v>
      </c>
      <c r="X763">
        <v>1</v>
      </c>
      <c r="Y763">
        <v>0</v>
      </c>
      <c r="Z763">
        <v>1</v>
      </c>
      <c r="AA763">
        <v>0</v>
      </c>
      <c r="AB763">
        <v>110.47</v>
      </c>
      <c r="AC763">
        <v>97.2</v>
      </c>
      <c r="AD763">
        <v>0</v>
      </c>
      <c r="AE763">
        <v>13.26</v>
      </c>
      <c r="AF763">
        <v>0</v>
      </c>
      <c r="AG763">
        <v>0</v>
      </c>
      <c r="AH763">
        <v>0</v>
      </c>
      <c r="AI763">
        <v>0</v>
      </c>
      <c r="AJ763">
        <v>110.46</v>
      </c>
      <c r="AK763">
        <v>-0.01</v>
      </c>
      <c r="AL763" t="s">
        <v>53</v>
      </c>
      <c r="AM763" t="s">
        <v>53</v>
      </c>
      <c r="AN763" t="s">
        <v>225</v>
      </c>
      <c r="AO763" t="s">
        <v>53</v>
      </c>
      <c r="AP763" t="s">
        <v>53</v>
      </c>
    </row>
    <row r="764" spans="2:42" x14ac:dyDescent="0.2">
      <c r="B764" t="s">
        <v>44</v>
      </c>
      <c r="C764" t="str">
        <f>HYPERLINK("https://us2.cloudbeds.com/connect/8493803454333002#/reservations/579306561733?display=DJXKKUJK&amp;reservation_id=579306561733", "DJXKKUJK")</f>
        <v>DJXKKUJK</v>
      </c>
      <c r="D764" t="s">
        <v>45</v>
      </c>
      <c r="E764" t="s">
        <v>1513</v>
      </c>
      <c r="F764" t="s">
        <v>1514</v>
      </c>
      <c r="G764" t="s">
        <v>48</v>
      </c>
      <c r="H764" t="s">
        <v>49</v>
      </c>
      <c r="I764" t="s">
        <v>62</v>
      </c>
      <c r="J764" t="s">
        <v>1451</v>
      </c>
      <c r="K764" t="s">
        <v>1515</v>
      </c>
      <c r="L764" t="s">
        <v>53</v>
      </c>
      <c r="N764" t="s">
        <v>1516</v>
      </c>
      <c r="P764" t="s">
        <v>55</v>
      </c>
      <c r="R764" t="s">
        <v>205</v>
      </c>
      <c r="T764" t="s">
        <v>1505</v>
      </c>
      <c r="U764" t="s">
        <v>58</v>
      </c>
      <c r="V764">
        <v>2</v>
      </c>
      <c r="W764">
        <v>2</v>
      </c>
      <c r="X764">
        <v>2</v>
      </c>
      <c r="Y764">
        <v>0</v>
      </c>
      <c r="Z764">
        <v>2</v>
      </c>
      <c r="AA764">
        <v>0</v>
      </c>
      <c r="AB764">
        <v>317.10000000000002</v>
      </c>
      <c r="AC764">
        <v>279</v>
      </c>
      <c r="AD764">
        <v>0</v>
      </c>
      <c r="AE764">
        <v>38.1</v>
      </c>
      <c r="AF764">
        <v>0</v>
      </c>
      <c r="AG764">
        <v>0</v>
      </c>
      <c r="AH764">
        <v>0</v>
      </c>
      <c r="AI764">
        <v>47.57</v>
      </c>
      <c r="AJ764">
        <v>317.10000000000002</v>
      </c>
      <c r="AK764">
        <v>0</v>
      </c>
      <c r="AL764" t="s">
        <v>53</v>
      </c>
      <c r="AM764" t="s">
        <v>53</v>
      </c>
      <c r="AN764" t="s">
        <v>132</v>
      </c>
      <c r="AO764" t="s">
        <v>53</v>
      </c>
      <c r="AP764" t="s">
        <v>53</v>
      </c>
    </row>
    <row r="765" spans="2:42" x14ac:dyDescent="0.2">
      <c r="B765" t="s">
        <v>44</v>
      </c>
      <c r="C765" t="str">
        <f>HYPERLINK("https://us2.cloudbeds.com/connect/8493803454333002#/reservations/598342521076?display=E1A18M3Z&amp;reservation_id=598342521076", "E1A18M3Z")</f>
        <v>E1A18M3Z</v>
      </c>
      <c r="D765" t="s">
        <v>45</v>
      </c>
      <c r="E765" t="s">
        <v>487</v>
      </c>
      <c r="F765" t="s">
        <v>61</v>
      </c>
      <c r="G765" t="s">
        <v>48</v>
      </c>
      <c r="H765" t="s">
        <v>49</v>
      </c>
      <c r="I765" t="s">
        <v>266</v>
      </c>
      <c r="J765" t="s">
        <v>87</v>
      </c>
      <c r="K765" t="s">
        <v>327</v>
      </c>
      <c r="L765" t="s">
        <v>53</v>
      </c>
      <c r="N765" t="s">
        <v>1517</v>
      </c>
      <c r="P765" t="s">
        <v>55</v>
      </c>
      <c r="R765" t="s">
        <v>56</v>
      </c>
      <c r="T765" t="s">
        <v>1505</v>
      </c>
      <c r="U765" t="s">
        <v>58</v>
      </c>
      <c r="V765">
        <v>2</v>
      </c>
      <c r="W765">
        <v>1</v>
      </c>
      <c r="X765">
        <v>1</v>
      </c>
      <c r="Y765">
        <v>0</v>
      </c>
      <c r="Z765">
        <v>1</v>
      </c>
      <c r="AA765">
        <v>0</v>
      </c>
      <c r="AB765">
        <v>297.64999999999998</v>
      </c>
      <c r="AC765">
        <v>261.89999999999998</v>
      </c>
      <c r="AD765">
        <v>0</v>
      </c>
      <c r="AE765">
        <v>35.74</v>
      </c>
      <c r="AF765">
        <v>0</v>
      </c>
      <c r="AG765">
        <v>0</v>
      </c>
      <c r="AH765">
        <v>0</v>
      </c>
      <c r="AI765">
        <v>0</v>
      </c>
      <c r="AJ765">
        <v>297.64</v>
      </c>
      <c r="AK765">
        <v>-0.01</v>
      </c>
      <c r="AL765" t="s">
        <v>53</v>
      </c>
      <c r="AM765" t="s">
        <v>53</v>
      </c>
      <c r="AN765" t="s">
        <v>280</v>
      </c>
      <c r="AO765" t="s">
        <v>53</v>
      </c>
      <c r="AP765" t="s">
        <v>53</v>
      </c>
    </row>
    <row r="766" spans="2:42" x14ac:dyDescent="0.2">
      <c r="B766" t="s">
        <v>44</v>
      </c>
      <c r="C766" t="str">
        <f>HYPERLINK("https://us2.cloudbeds.com/connect/8493803454333002#/reservations/598310846717?display=E197X9CM&amp;reservation_id=598310846717", "E197X9CM")</f>
        <v>E197X9CM</v>
      </c>
      <c r="D766" t="s">
        <v>45</v>
      </c>
      <c r="E766" t="s">
        <v>223</v>
      </c>
      <c r="F766" t="s">
        <v>47</v>
      </c>
      <c r="G766" t="s">
        <v>48</v>
      </c>
      <c r="H766" t="s">
        <v>71</v>
      </c>
      <c r="I766" t="s">
        <v>72</v>
      </c>
      <c r="J766" t="s">
        <v>243</v>
      </c>
      <c r="K766" t="s">
        <v>1349</v>
      </c>
      <c r="L766" t="s">
        <v>53</v>
      </c>
      <c r="N766" t="s">
        <v>1518</v>
      </c>
      <c r="P766" t="s">
        <v>55</v>
      </c>
      <c r="R766" t="s">
        <v>56</v>
      </c>
      <c r="T766" t="s">
        <v>1505</v>
      </c>
      <c r="U766" t="s">
        <v>58</v>
      </c>
      <c r="V766">
        <v>1</v>
      </c>
      <c r="W766">
        <v>1</v>
      </c>
      <c r="X766">
        <v>1</v>
      </c>
      <c r="Y766">
        <v>0</v>
      </c>
      <c r="Z766">
        <v>1</v>
      </c>
      <c r="AA766">
        <v>0</v>
      </c>
      <c r="AB766">
        <v>72.739999999999995</v>
      </c>
      <c r="AC766">
        <v>64</v>
      </c>
      <c r="AD766">
        <v>0</v>
      </c>
      <c r="AE766">
        <v>8.74</v>
      </c>
      <c r="AF766">
        <v>0</v>
      </c>
      <c r="AG766">
        <v>0</v>
      </c>
      <c r="AH766">
        <v>0</v>
      </c>
      <c r="AI766">
        <v>0</v>
      </c>
      <c r="AJ766">
        <v>72.739999999999995</v>
      </c>
      <c r="AK766">
        <v>0</v>
      </c>
      <c r="AL766" t="s">
        <v>53</v>
      </c>
      <c r="AM766" t="s">
        <v>53</v>
      </c>
      <c r="AN766" t="s">
        <v>1519</v>
      </c>
      <c r="AO766" t="s">
        <v>53</v>
      </c>
      <c r="AP766" t="s">
        <v>53</v>
      </c>
    </row>
    <row r="767" spans="2:42" x14ac:dyDescent="0.2">
      <c r="B767" t="s">
        <v>44</v>
      </c>
      <c r="C767" t="str">
        <f>HYPERLINK("https://us2.cloudbeds.com/connect/8493803454333002#/reservations/598361256120?display=E1AH200B&amp;reservation_id=598361256120", "E1AH200B")</f>
        <v>E1AH200B</v>
      </c>
      <c r="D767" t="s">
        <v>45</v>
      </c>
      <c r="E767" t="s">
        <v>78</v>
      </c>
      <c r="F767" t="s">
        <v>61</v>
      </c>
      <c r="G767" t="s">
        <v>48</v>
      </c>
      <c r="H767" t="s">
        <v>49</v>
      </c>
      <c r="I767" t="s">
        <v>62</v>
      </c>
      <c r="J767" t="s">
        <v>123</v>
      </c>
      <c r="K767" t="s">
        <v>762</v>
      </c>
      <c r="L767" t="s">
        <v>53</v>
      </c>
      <c r="N767" t="s">
        <v>1520</v>
      </c>
      <c r="P767" t="s">
        <v>55</v>
      </c>
      <c r="R767" t="s">
        <v>1475</v>
      </c>
      <c r="T767" t="s">
        <v>1505</v>
      </c>
      <c r="U767" t="s">
        <v>58</v>
      </c>
      <c r="V767">
        <v>2</v>
      </c>
      <c r="W767">
        <v>1</v>
      </c>
      <c r="X767">
        <v>1</v>
      </c>
      <c r="Y767">
        <v>0</v>
      </c>
      <c r="Z767">
        <v>1</v>
      </c>
      <c r="AA767">
        <v>0</v>
      </c>
      <c r="AB767">
        <v>325.04000000000002</v>
      </c>
      <c r="AC767">
        <v>286</v>
      </c>
      <c r="AD767">
        <v>0</v>
      </c>
      <c r="AE767">
        <v>39.06</v>
      </c>
      <c r="AF767">
        <v>0</v>
      </c>
      <c r="AG767">
        <v>0</v>
      </c>
      <c r="AH767">
        <v>0</v>
      </c>
      <c r="AI767">
        <v>48.76</v>
      </c>
      <c r="AJ767">
        <v>325.06</v>
      </c>
      <c r="AK767">
        <v>0.02</v>
      </c>
      <c r="AL767" t="s">
        <v>53</v>
      </c>
      <c r="AM767" t="s">
        <v>53</v>
      </c>
      <c r="AN767" t="s">
        <v>413</v>
      </c>
      <c r="AO767" t="s">
        <v>53</v>
      </c>
      <c r="AP767" t="s">
        <v>53</v>
      </c>
    </row>
    <row r="768" spans="2:42" x14ac:dyDescent="0.2">
      <c r="B768" t="s">
        <v>44</v>
      </c>
      <c r="C768" t="str">
        <f>HYPERLINK("https://us2.cloudbeds.com/connect/8493803454333002#/reservations/598389276870?display=E1B7MNNW&amp;reservation_id=598389276870", "E1B7MNNW")</f>
        <v>E1B7MNNW</v>
      </c>
      <c r="D768" t="s">
        <v>45</v>
      </c>
      <c r="E768" t="s">
        <v>78</v>
      </c>
      <c r="F768" t="s">
        <v>61</v>
      </c>
      <c r="G768" t="s">
        <v>48</v>
      </c>
      <c r="H768" t="s">
        <v>49</v>
      </c>
      <c r="I768" t="s">
        <v>62</v>
      </c>
      <c r="J768" t="s">
        <v>922</v>
      </c>
      <c r="K768" t="s">
        <v>192</v>
      </c>
      <c r="L768" t="s">
        <v>53</v>
      </c>
      <c r="N768" t="s">
        <v>1521</v>
      </c>
      <c r="P768" t="s">
        <v>55</v>
      </c>
      <c r="R768" t="s">
        <v>118</v>
      </c>
      <c r="T768" t="s">
        <v>1505</v>
      </c>
      <c r="U768" t="s">
        <v>58</v>
      </c>
      <c r="V768">
        <v>3</v>
      </c>
      <c r="W768">
        <v>1</v>
      </c>
      <c r="X768">
        <v>1</v>
      </c>
      <c r="Y768">
        <v>0</v>
      </c>
      <c r="Z768">
        <v>1</v>
      </c>
      <c r="AA768">
        <v>0</v>
      </c>
      <c r="AB768">
        <v>426.19</v>
      </c>
      <c r="AC768">
        <v>375</v>
      </c>
      <c r="AD768">
        <v>0</v>
      </c>
      <c r="AE768">
        <v>51.21</v>
      </c>
      <c r="AF768">
        <v>0</v>
      </c>
      <c r="AG768">
        <v>0</v>
      </c>
      <c r="AH768">
        <v>0</v>
      </c>
      <c r="AI768">
        <v>63.93</v>
      </c>
      <c r="AJ768">
        <v>426.21</v>
      </c>
      <c r="AK768">
        <v>0.02</v>
      </c>
      <c r="AL768" t="s">
        <v>53</v>
      </c>
      <c r="AM768" t="s">
        <v>53</v>
      </c>
      <c r="AN768" t="s">
        <v>146</v>
      </c>
      <c r="AO768" t="s">
        <v>53</v>
      </c>
      <c r="AP768" t="s">
        <v>53</v>
      </c>
    </row>
    <row r="769" spans="2:42" x14ac:dyDescent="0.2">
      <c r="B769" t="s">
        <v>44</v>
      </c>
      <c r="C769" t="str">
        <f>HYPERLINK("https://us2.cloudbeds.com/connect/8493803454333002#/reservations/598587547780?display=E1G9STMC&amp;reservation_id=598587547780", "E1G9STMC")</f>
        <v>E1G9STMC</v>
      </c>
      <c r="D769" t="s">
        <v>45</v>
      </c>
      <c r="E769" t="s">
        <v>406</v>
      </c>
      <c r="F769" t="s">
        <v>61</v>
      </c>
      <c r="G769" t="s">
        <v>48</v>
      </c>
      <c r="H769" t="s">
        <v>49</v>
      </c>
      <c r="I769" t="s">
        <v>50</v>
      </c>
      <c r="J769" t="s">
        <v>327</v>
      </c>
      <c r="K769" t="s">
        <v>289</v>
      </c>
      <c r="L769" t="s">
        <v>53</v>
      </c>
      <c r="N769" t="s">
        <v>1522</v>
      </c>
      <c r="P769" t="s">
        <v>55</v>
      </c>
      <c r="R769" t="s">
        <v>56</v>
      </c>
      <c r="T769" t="s">
        <v>1505</v>
      </c>
      <c r="U769" t="s">
        <v>58</v>
      </c>
      <c r="V769">
        <v>3</v>
      </c>
      <c r="W769">
        <v>1</v>
      </c>
      <c r="X769">
        <v>1</v>
      </c>
      <c r="Y769">
        <v>0</v>
      </c>
      <c r="Z769">
        <v>1</v>
      </c>
      <c r="AA769">
        <v>0</v>
      </c>
      <c r="AB769">
        <v>493.24</v>
      </c>
      <c r="AC769">
        <v>434</v>
      </c>
      <c r="AD769">
        <v>0</v>
      </c>
      <c r="AE769">
        <v>59.24</v>
      </c>
      <c r="AF769">
        <v>0</v>
      </c>
      <c r="AG769">
        <v>0</v>
      </c>
      <c r="AH769">
        <v>0</v>
      </c>
      <c r="AI769">
        <v>88.78</v>
      </c>
      <c r="AJ769">
        <v>493.24</v>
      </c>
      <c r="AK769">
        <v>0</v>
      </c>
      <c r="AL769" t="s">
        <v>53</v>
      </c>
      <c r="AM769" t="s">
        <v>53</v>
      </c>
      <c r="AN769" t="s">
        <v>132</v>
      </c>
      <c r="AO769" t="s">
        <v>53</v>
      </c>
      <c r="AP769" t="s">
        <v>53</v>
      </c>
    </row>
    <row r="770" spans="2:42" x14ac:dyDescent="0.2">
      <c r="B770" t="s">
        <v>44</v>
      </c>
      <c r="C770" t="str">
        <f>HYPERLINK("https://us2.cloudbeds.com/connect/8493803454333002#/reservations/579380302045?display=DJKGQW3R&amp;reservation_id=579380302045", "DJKGQW3R")</f>
        <v>DJKGQW3R</v>
      </c>
      <c r="D770" t="s">
        <v>45</v>
      </c>
      <c r="E770" t="s">
        <v>85</v>
      </c>
      <c r="F770" t="s">
        <v>86</v>
      </c>
      <c r="G770" t="s">
        <v>48</v>
      </c>
      <c r="H770" t="s">
        <v>49</v>
      </c>
      <c r="I770" t="s">
        <v>62</v>
      </c>
      <c r="J770" t="s">
        <v>1380</v>
      </c>
      <c r="K770" t="s">
        <v>1523</v>
      </c>
      <c r="L770" t="s">
        <v>53</v>
      </c>
      <c r="N770" t="s">
        <v>1524</v>
      </c>
      <c r="P770" t="s">
        <v>55</v>
      </c>
      <c r="R770" t="s">
        <v>56</v>
      </c>
      <c r="T770" t="s">
        <v>1505</v>
      </c>
      <c r="U770" t="s">
        <v>58</v>
      </c>
      <c r="V770">
        <v>3</v>
      </c>
      <c r="W770">
        <v>1</v>
      </c>
      <c r="X770">
        <v>1</v>
      </c>
      <c r="Y770">
        <v>0</v>
      </c>
      <c r="Z770">
        <v>1</v>
      </c>
      <c r="AA770">
        <v>0</v>
      </c>
      <c r="AB770">
        <v>429.6</v>
      </c>
      <c r="AC770">
        <v>378</v>
      </c>
      <c r="AD770">
        <v>0</v>
      </c>
      <c r="AE770">
        <v>51.6</v>
      </c>
      <c r="AF770">
        <v>0</v>
      </c>
      <c r="AG770">
        <v>0</v>
      </c>
      <c r="AH770">
        <v>0</v>
      </c>
      <c r="AI770">
        <v>64.44</v>
      </c>
      <c r="AJ770">
        <v>429.6</v>
      </c>
      <c r="AK770">
        <v>0</v>
      </c>
      <c r="AL770" t="s">
        <v>53</v>
      </c>
      <c r="AM770" t="s">
        <v>53</v>
      </c>
      <c r="AN770" t="s">
        <v>1525</v>
      </c>
      <c r="AO770" t="s">
        <v>53</v>
      </c>
      <c r="AP770" t="s">
        <v>53</v>
      </c>
    </row>
    <row r="771" spans="2:42" x14ac:dyDescent="0.2">
      <c r="B771" t="s">
        <v>44</v>
      </c>
      <c r="C771" t="str">
        <f>HYPERLINK("https://us2.cloudbeds.com/connect/8493803454333002#/reservations/598054822039?display=E12MM0M3&amp;reservation_id=598054822039", "E12MM0M3")</f>
        <v>E12MM0M3</v>
      </c>
      <c r="D771" t="s">
        <v>45</v>
      </c>
      <c r="E771" t="s">
        <v>223</v>
      </c>
      <c r="F771" t="s">
        <v>47</v>
      </c>
      <c r="G771" t="s">
        <v>48</v>
      </c>
      <c r="H771" t="s">
        <v>49</v>
      </c>
      <c r="I771" t="s">
        <v>50</v>
      </c>
      <c r="J771" t="s">
        <v>327</v>
      </c>
      <c r="K771" t="s">
        <v>288</v>
      </c>
      <c r="L771" t="s">
        <v>53</v>
      </c>
      <c r="N771" t="s">
        <v>1526</v>
      </c>
      <c r="P771" t="s">
        <v>55</v>
      </c>
      <c r="R771" t="s">
        <v>56</v>
      </c>
      <c r="T771" t="s">
        <v>1527</v>
      </c>
      <c r="U771" t="s">
        <v>58</v>
      </c>
      <c r="V771">
        <v>2</v>
      </c>
      <c r="W771">
        <v>1</v>
      </c>
      <c r="X771">
        <v>1</v>
      </c>
      <c r="Y771">
        <v>0</v>
      </c>
      <c r="Z771">
        <v>1</v>
      </c>
      <c r="AA771">
        <v>0</v>
      </c>
      <c r="AB771">
        <v>321.17</v>
      </c>
      <c r="AC771">
        <v>282.60000000000002</v>
      </c>
      <c r="AD771">
        <v>0</v>
      </c>
      <c r="AE771">
        <v>38.6</v>
      </c>
      <c r="AF771">
        <v>0</v>
      </c>
      <c r="AG771">
        <v>0</v>
      </c>
      <c r="AH771">
        <v>0</v>
      </c>
      <c r="AI771">
        <v>57.82</v>
      </c>
      <c r="AJ771">
        <v>321.2</v>
      </c>
      <c r="AK771">
        <v>0.03</v>
      </c>
      <c r="AL771" t="s">
        <v>53</v>
      </c>
      <c r="AM771" t="s">
        <v>53</v>
      </c>
      <c r="AN771" t="s">
        <v>349</v>
      </c>
      <c r="AO771" t="s">
        <v>53</v>
      </c>
      <c r="AP771" t="s">
        <v>53</v>
      </c>
    </row>
    <row r="772" spans="2:42" x14ac:dyDescent="0.2">
      <c r="B772" t="s">
        <v>44</v>
      </c>
      <c r="C772" t="str">
        <f>HYPERLINK("https://us2.cloudbeds.com/connect/8493803454333002#/reservations/598311358671?display=E197WHGE&amp;reservation_id=598311358671", "E197WHGE")</f>
        <v>E197WHGE</v>
      </c>
      <c r="D772" t="s">
        <v>45</v>
      </c>
      <c r="E772" t="s">
        <v>373</v>
      </c>
      <c r="F772" t="s">
        <v>47</v>
      </c>
      <c r="G772" t="s">
        <v>48</v>
      </c>
      <c r="H772" t="s">
        <v>49</v>
      </c>
      <c r="I772" t="s">
        <v>79</v>
      </c>
      <c r="J772" t="s">
        <v>744</v>
      </c>
      <c r="K772" t="s">
        <v>345</v>
      </c>
      <c r="L772" t="s">
        <v>53</v>
      </c>
      <c r="N772" t="s">
        <v>1528</v>
      </c>
      <c r="P772" t="s">
        <v>55</v>
      </c>
      <c r="R772" t="s">
        <v>56</v>
      </c>
      <c r="T772" t="s">
        <v>1527</v>
      </c>
      <c r="U772" t="s">
        <v>58</v>
      </c>
      <c r="V772">
        <v>2</v>
      </c>
      <c r="W772">
        <v>1</v>
      </c>
      <c r="X772">
        <v>1</v>
      </c>
      <c r="Y772">
        <v>0</v>
      </c>
      <c r="Z772">
        <v>1</v>
      </c>
      <c r="AA772">
        <v>0</v>
      </c>
      <c r="AB772">
        <v>163.66</v>
      </c>
      <c r="AC772">
        <v>144</v>
      </c>
      <c r="AD772">
        <v>0</v>
      </c>
      <c r="AE772">
        <v>19.66</v>
      </c>
      <c r="AF772">
        <v>0</v>
      </c>
      <c r="AG772">
        <v>0</v>
      </c>
      <c r="AH772">
        <v>0</v>
      </c>
      <c r="AI772">
        <v>0</v>
      </c>
      <c r="AJ772">
        <v>163.66</v>
      </c>
      <c r="AK772">
        <v>0</v>
      </c>
      <c r="AL772" t="s">
        <v>53</v>
      </c>
      <c r="AM772" t="s">
        <v>53</v>
      </c>
      <c r="AN772" t="s">
        <v>84</v>
      </c>
      <c r="AO772" t="s">
        <v>53</v>
      </c>
      <c r="AP772" t="s">
        <v>53</v>
      </c>
    </row>
    <row r="773" spans="2:42" x14ac:dyDescent="0.2">
      <c r="B773" t="s">
        <v>44</v>
      </c>
      <c r="C773" t="str">
        <f>HYPERLINK("https://us2.cloudbeds.com/connect/8493803454333002#/reservations/598427181227?display=E1C6YF9S&amp;reservation_id=598427181227", "E1C6YF9S")</f>
        <v>E1C6YF9S</v>
      </c>
      <c r="D773" t="s">
        <v>45</v>
      </c>
      <c r="E773" t="s">
        <v>85</v>
      </c>
      <c r="F773" t="s">
        <v>86</v>
      </c>
      <c r="G773" t="s">
        <v>48</v>
      </c>
      <c r="H773" t="s">
        <v>71</v>
      </c>
      <c r="I773" t="s">
        <v>72</v>
      </c>
      <c r="J773" t="s">
        <v>268</v>
      </c>
      <c r="K773" t="s">
        <v>755</v>
      </c>
      <c r="L773" t="s">
        <v>53</v>
      </c>
      <c r="N773" t="s">
        <v>1529</v>
      </c>
      <c r="P773" t="s">
        <v>58</v>
      </c>
      <c r="R773" t="s">
        <v>56</v>
      </c>
      <c r="T773" t="s">
        <v>1527</v>
      </c>
      <c r="U773" t="s">
        <v>58</v>
      </c>
      <c r="V773">
        <v>1</v>
      </c>
      <c r="W773">
        <v>1</v>
      </c>
      <c r="X773">
        <v>1</v>
      </c>
      <c r="Y773">
        <v>0</v>
      </c>
      <c r="Z773">
        <v>1</v>
      </c>
      <c r="AA773">
        <v>0</v>
      </c>
      <c r="AB773">
        <v>84.1</v>
      </c>
      <c r="AC773">
        <v>74</v>
      </c>
      <c r="AD773">
        <v>0</v>
      </c>
      <c r="AE773">
        <v>10.11</v>
      </c>
      <c r="AF773">
        <v>0</v>
      </c>
      <c r="AG773">
        <v>0</v>
      </c>
      <c r="AH773">
        <v>0</v>
      </c>
      <c r="AI773">
        <v>0</v>
      </c>
      <c r="AJ773">
        <v>84.11</v>
      </c>
      <c r="AK773">
        <v>0.01</v>
      </c>
      <c r="AL773" t="s">
        <v>53</v>
      </c>
      <c r="AM773" t="s">
        <v>53</v>
      </c>
      <c r="AN773" t="s">
        <v>1530</v>
      </c>
      <c r="AO773" t="s">
        <v>53</v>
      </c>
      <c r="AP773" t="s">
        <v>53</v>
      </c>
    </row>
    <row r="774" spans="2:42" x14ac:dyDescent="0.2">
      <c r="B774" t="s">
        <v>44</v>
      </c>
      <c r="C774" t="str">
        <f>HYPERLINK("https://us2.cloudbeds.com/connect/8493803454333002#/reservations/598191202467?display=E165M07B&amp;reservation_id=598191202467", "E165M07B")</f>
        <v>E165M07B</v>
      </c>
      <c r="D774" t="s">
        <v>45</v>
      </c>
      <c r="E774" t="s">
        <v>487</v>
      </c>
      <c r="F774" t="s">
        <v>61</v>
      </c>
      <c r="G774" t="s">
        <v>48</v>
      </c>
      <c r="H774" t="s">
        <v>49</v>
      </c>
      <c r="I774" t="s">
        <v>79</v>
      </c>
      <c r="J774" t="s">
        <v>233</v>
      </c>
      <c r="K774" t="s">
        <v>1124</v>
      </c>
      <c r="L774" t="s">
        <v>53</v>
      </c>
      <c r="N774" t="s">
        <v>1531</v>
      </c>
      <c r="P774" t="s">
        <v>55</v>
      </c>
      <c r="R774" t="s">
        <v>56</v>
      </c>
      <c r="T774" t="s">
        <v>1527</v>
      </c>
      <c r="U774" t="s">
        <v>58</v>
      </c>
      <c r="V774">
        <v>1</v>
      </c>
      <c r="W774">
        <v>1</v>
      </c>
      <c r="X774">
        <v>1</v>
      </c>
      <c r="Y774">
        <v>0</v>
      </c>
      <c r="Z774">
        <v>1</v>
      </c>
      <c r="AA774">
        <v>0</v>
      </c>
      <c r="AB774">
        <v>76.709999999999994</v>
      </c>
      <c r="AC774">
        <v>67.5</v>
      </c>
      <c r="AD774">
        <v>0</v>
      </c>
      <c r="AE774">
        <v>9.2100000000000009</v>
      </c>
      <c r="AF774">
        <v>0</v>
      </c>
      <c r="AG774">
        <v>0</v>
      </c>
      <c r="AH774">
        <v>0</v>
      </c>
      <c r="AI774">
        <v>0</v>
      </c>
      <c r="AJ774">
        <v>76.709999999999994</v>
      </c>
      <c r="AK774">
        <v>0</v>
      </c>
      <c r="AL774" t="s">
        <v>53</v>
      </c>
      <c r="AM774" t="s">
        <v>53</v>
      </c>
      <c r="AN774" t="s">
        <v>97</v>
      </c>
      <c r="AO774" t="s">
        <v>53</v>
      </c>
      <c r="AP774" t="s">
        <v>53</v>
      </c>
    </row>
    <row r="775" spans="2:42" x14ac:dyDescent="0.2">
      <c r="B775" t="s">
        <v>44</v>
      </c>
      <c r="C775" t="str">
        <f>HYPERLINK("https://us2.cloudbeds.com/connect/8493803454333002#/reservations/598354690264?display=E1ABH9P0&amp;reservation_id=598354690264", "E1ABH9P0")</f>
        <v>E1ABH9P0</v>
      </c>
      <c r="D775" t="s">
        <v>45</v>
      </c>
      <c r="E775" t="s">
        <v>223</v>
      </c>
      <c r="F775" t="s">
        <v>47</v>
      </c>
      <c r="G775" t="s">
        <v>48</v>
      </c>
      <c r="H775" t="s">
        <v>49</v>
      </c>
      <c r="I775" t="s">
        <v>62</v>
      </c>
      <c r="J775" t="s">
        <v>233</v>
      </c>
      <c r="K775" t="s">
        <v>1124</v>
      </c>
      <c r="L775" t="s">
        <v>53</v>
      </c>
      <c r="N775" t="s">
        <v>1532</v>
      </c>
      <c r="P775" t="s">
        <v>55</v>
      </c>
      <c r="R775" t="s">
        <v>56</v>
      </c>
      <c r="T775" t="s">
        <v>1527</v>
      </c>
      <c r="U775" t="s">
        <v>58</v>
      </c>
      <c r="V775">
        <v>1</v>
      </c>
      <c r="W775">
        <v>1</v>
      </c>
      <c r="X775">
        <v>1</v>
      </c>
      <c r="Y775">
        <v>0</v>
      </c>
      <c r="Z775">
        <v>1</v>
      </c>
      <c r="AA775">
        <v>0</v>
      </c>
      <c r="AB775">
        <v>83.53</v>
      </c>
      <c r="AC775">
        <v>73.5</v>
      </c>
      <c r="AD775">
        <v>0</v>
      </c>
      <c r="AE775">
        <v>10.029999999999999</v>
      </c>
      <c r="AF775">
        <v>0</v>
      </c>
      <c r="AG775">
        <v>0</v>
      </c>
      <c r="AH775">
        <v>0</v>
      </c>
      <c r="AI775">
        <v>12.53</v>
      </c>
      <c r="AJ775">
        <v>83.53</v>
      </c>
      <c r="AK775">
        <v>0</v>
      </c>
      <c r="AL775" t="s">
        <v>53</v>
      </c>
      <c r="AM775" t="s">
        <v>53</v>
      </c>
      <c r="AN775" t="s">
        <v>524</v>
      </c>
      <c r="AO775" t="s">
        <v>53</v>
      </c>
      <c r="AP775" t="s">
        <v>53</v>
      </c>
    </row>
    <row r="776" spans="2:42" x14ac:dyDescent="0.2">
      <c r="B776" t="s">
        <v>44</v>
      </c>
      <c r="C776" t="str">
        <f>HYPERLINK("https://us2.cloudbeds.com/connect/8493803454333002#/reservations/598485487810?display=E1DMQUN0&amp;reservation_id=598485487810", "E1DMQUN0")</f>
        <v>E1DMQUN0</v>
      </c>
      <c r="D776" t="s">
        <v>45</v>
      </c>
      <c r="E776" t="s">
        <v>46</v>
      </c>
      <c r="F776" t="s">
        <v>47</v>
      </c>
      <c r="G776" t="s">
        <v>48</v>
      </c>
      <c r="H776" t="s">
        <v>49</v>
      </c>
      <c r="I776" t="s">
        <v>62</v>
      </c>
      <c r="J776" t="s">
        <v>538</v>
      </c>
      <c r="K776" t="s">
        <v>295</v>
      </c>
      <c r="L776" t="s">
        <v>53</v>
      </c>
      <c r="N776" t="s">
        <v>1533</v>
      </c>
      <c r="P776" t="s">
        <v>55</v>
      </c>
      <c r="R776" t="s">
        <v>102</v>
      </c>
      <c r="T776" t="s">
        <v>1527</v>
      </c>
      <c r="U776" t="s">
        <v>58</v>
      </c>
      <c r="V776">
        <v>2</v>
      </c>
      <c r="W776">
        <v>1</v>
      </c>
      <c r="X776">
        <v>1</v>
      </c>
      <c r="Y776">
        <v>0</v>
      </c>
      <c r="Z776">
        <v>1</v>
      </c>
      <c r="AA776">
        <v>0</v>
      </c>
      <c r="AB776">
        <v>242.07</v>
      </c>
      <c r="AC776">
        <v>213</v>
      </c>
      <c r="AD776">
        <v>0</v>
      </c>
      <c r="AE776">
        <v>29.08</v>
      </c>
      <c r="AF776">
        <v>0</v>
      </c>
      <c r="AG776">
        <v>0</v>
      </c>
      <c r="AH776">
        <v>0</v>
      </c>
      <c r="AI776">
        <v>36.31</v>
      </c>
      <c r="AJ776">
        <v>242.08</v>
      </c>
      <c r="AK776">
        <v>0.01</v>
      </c>
      <c r="AL776" t="s">
        <v>53</v>
      </c>
      <c r="AM776" t="s">
        <v>53</v>
      </c>
      <c r="AN776" t="s">
        <v>1534</v>
      </c>
      <c r="AO776" t="s">
        <v>53</v>
      </c>
      <c r="AP776" t="s">
        <v>53</v>
      </c>
    </row>
    <row r="777" spans="2:42" x14ac:dyDescent="0.2">
      <c r="B777" t="s">
        <v>44</v>
      </c>
      <c r="C777" t="str">
        <f>HYPERLINK("https://us2.cloudbeds.com/connect/8493803454333002#/reservations/598381949126?display=E1B1GQS3&amp;reservation_id=598381949126", "E1B1GQS3")</f>
        <v>E1B1GQS3</v>
      </c>
      <c r="D777" t="s">
        <v>45</v>
      </c>
      <c r="E777" t="s">
        <v>213</v>
      </c>
      <c r="F777" t="s">
        <v>86</v>
      </c>
      <c r="G777" t="s">
        <v>48</v>
      </c>
      <c r="H777" t="s">
        <v>49</v>
      </c>
      <c r="I777" t="s">
        <v>50</v>
      </c>
      <c r="J777" t="s">
        <v>1143</v>
      </c>
      <c r="K777" t="s">
        <v>565</v>
      </c>
      <c r="L777" t="s">
        <v>53</v>
      </c>
      <c r="N777" t="s">
        <v>1535</v>
      </c>
      <c r="P777" t="s">
        <v>55</v>
      </c>
      <c r="R777" t="s">
        <v>56</v>
      </c>
      <c r="T777" t="s">
        <v>1527</v>
      </c>
      <c r="U777" t="s">
        <v>58</v>
      </c>
      <c r="V777">
        <v>1</v>
      </c>
      <c r="W777">
        <v>1</v>
      </c>
      <c r="X777">
        <v>1</v>
      </c>
      <c r="Y777">
        <v>0</v>
      </c>
      <c r="Z777">
        <v>1</v>
      </c>
      <c r="AA777">
        <v>0</v>
      </c>
      <c r="AB777">
        <v>80.81</v>
      </c>
      <c r="AC777">
        <v>71.099999999999994</v>
      </c>
      <c r="AD777">
        <v>0</v>
      </c>
      <c r="AE777">
        <v>9.6999999999999993</v>
      </c>
      <c r="AF777">
        <v>0</v>
      </c>
      <c r="AG777">
        <v>0</v>
      </c>
      <c r="AH777">
        <v>0</v>
      </c>
      <c r="AI777">
        <v>14.54</v>
      </c>
      <c r="AJ777">
        <v>80.8</v>
      </c>
      <c r="AK777">
        <v>-0.01</v>
      </c>
      <c r="AL777" t="s">
        <v>53</v>
      </c>
      <c r="AM777" t="s">
        <v>53</v>
      </c>
      <c r="AN777" t="s">
        <v>349</v>
      </c>
      <c r="AO777" t="s">
        <v>53</v>
      </c>
      <c r="AP777" t="s">
        <v>53</v>
      </c>
    </row>
    <row r="778" spans="2:42" x14ac:dyDescent="0.2">
      <c r="B778" t="s">
        <v>44</v>
      </c>
      <c r="C778" t="str">
        <f>HYPERLINK("https://us2.cloudbeds.com/connect/8493803454333002#/reservations/598359658638?display=E1AFNX2Q&amp;reservation_id=598359658638", "E1AFNX2Q")</f>
        <v>E1AFNX2Q</v>
      </c>
      <c r="D778" t="s">
        <v>45</v>
      </c>
      <c r="E778" t="s">
        <v>381</v>
      </c>
      <c r="F778" t="s">
        <v>47</v>
      </c>
      <c r="G778" t="s">
        <v>48</v>
      </c>
      <c r="H778" t="s">
        <v>71</v>
      </c>
      <c r="I778" t="s">
        <v>72</v>
      </c>
      <c r="J778" t="s">
        <v>233</v>
      </c>
      <c r="K778" t="s">
        <v>1124</v>
      </c>
      <c r="L778" t="s">
        <v>53</v>
      </c>
      <c r="N778" t="s">
        <v>1536</v>
      </c>
      <c r="P778" t="s">
        <v>58</v>
      </c>
      <c r="R778" t="s">
        <v>56</v>
      </c>
      <c r="T778" t="s">
        <v>1527</v>
      </c>
      <c r="U778" t="s">
        <v>58</v>
      </c>
      <c r="V778">
        <v>1</v>
      </c>
      <c r="W778">
        <v>1</v>
      </c>
      <c r="X778">
        <v>1</v>
      </c>
      <c r="Y778">
        <v>0</v>
      </c>
      <c r="Z778">
        <v>1</v>
      </c>
      <c r="AA778">
        <v>0</v>
      </c>
      <c r="AB778">
        <v>73.87</v>
      </c>
      <c r="AC778">
        <v>65</v>
      </c>
      <c r="AD778">
        <v>0</v>
      </c>
      <c r="AE778">
        <v>8.8800000000000008</v>
      </c>
      <c r="AF778">
        <v>0</v>
      </c>
      <c r="AG778">
        <v>0</v>
      </c>
      <c r="AH778">
        <v>0</v>
      </c>
      <c r="AI778">
        <v>0</v>
      </c>
      <c r="AJ778">
        <v>73.88</v>
      </c>
      <c r="AK778">
        <v>0.01</v>
      </c>
      <c r="AL778" t="s">
        <v>53</v>
      </c>
      <c r="AM778" t="s">
        <v>53</v>
      </c>
      <c r="AN778" t="s">
        <v>378</v>
      </c>
      <c r="AO778" t="s">
        <v>53</v>
      </c>
      <c r="AP778" t="s">
        <v>53</v>
      </c>
    </row>
    <row r="779" spans="2:42" x14ac:dyDescent="0.2">
      <c r="B779" t="s">
        <v>44</v>
      </c>
      <c r="C779" t="str">
        <f>HYPERLINK("https://us2.cloudbeds.com/connect/8493803454333002#/reservations/598475210993?display=E1DE4VPA&amp;reservation_id=598475210993", "E1DE4VPA")</f>
        <v>E1DE4VPA</v>
      </c>
      <c r="D779" t="s">
        <v>45</v>
      </c>
      <c r="E779" t="s">
        <v>98</v>
      </c>
      <c r="F779" t="s">
        <v>86</v>
      </c>
      <c r="G779" t="s">
        <v>48</v>
      </c>
      <c r="H779" t="s">
        <v>71</v>
      </c>
      <c r="I779" t="s">
        <v>72</v>
      </c>
      <c r="J779" t="s">
        <v>488</v>
      </c>
      <c r="K779" t="s">
        <v>93</v>
      </c>
      <c r="L779" t="s">
        <v>53</v>
      </c>
      <c r="N779" t="s">
        <v>1537</v>
      </c>
      <c r="P779" t="s">
        <v>55</v>
      </c>
      <c r="R779" t="s">
        <v>56</v>
      </c>
      <c r="T779" t="s">
        <v>1527</v>
      </c>
      <c r="U779" t="s">
        <v>58</v>
      </c>
      <c r="V779">
        <v>3</v>
      </c>
      <c r="W779">
        <v>1</v>
      </c>
      <c r="X779">
        <v>1</v>
      </c>
      <c r="Y779">
        <v>0</v>
      </c>
      <c r="Z779">
        <v>1</v>
      </c>
      <c r="AA779">
        <v>0</v>
      </c>
      <c r="AB779">
        <v>570.52</v>
      </c>
      <c r="AC779">
        <v>502</v>
      </c>
      <c r="AD779">
        <v>0</v>
      </c>
      <c r="AE779">
        <v>68.53</v>
      </c>
      <c r="AF779">
        <v>0</v>
      </c>
      <c r="AG779">
        <v>0</v>
      </c>
      <c r="AH779">
        <v>0</v>
      </c>
      <c r="AI779">
        <v>0</v>
      </c>
      <c r="AJ779">
        <v>570.53</v>
      </c>
      <c r="AK779">
        <v>0.01</v>
      </c>
      <c r="AL779" t="s">
        <v>53</v>
      </c>
      <c r="AM779" t="s">
        <v>53</v>
      </c>
      <c r="AN779" t="s">
        <v>1538</v>
      </c>
      <c r="AO779" t="s">
        <v>53</v>
      </c>
      <c r="AP779" t="s">
        <v>53</v>
      </c>
    </row>
    <row r="780" spans="2:42" x14ac:dyDescent="0.2">
      <c r="B780" t="s">
        <v>44</v>
      </c>
      <c r="C780" t="str">
        <f>HYPERLINK("https://us2.cloudbeds.com/connect/8493803454333002#/reservations/598257512588?display=E17SJ61V&amp;reservation_id=598257512588", "E17SJ61V")</f>
        <v>E17SJ61V</v>
      </c>
      <c r="D780" t="s">
        <v>45</v>
      </c>
      <c r="E780" t="s">
        <v>105</v>
      </c>
      <c r="F780" t="s">
        <v>47</v>
      </c>
      <c r="G780" t="s">
        <v>48</v>
      </c>
      <c r="H780" t="s">
        <v>71</v>
      </c>
      <c r="I780" t="s">
        <v>72</v>
      </c>
      <c r="J780" t="s">
        <v>1124</v>
      </c>
      <c r="K780" t="s">
        <v>267</v>
      </c>
      <c r="L780" t="s">
        <v>53</v>
      </c>
      <c r="N780" t="s">
        <v>1539</v>
      </c>
      <c r="P780" t="s">
        <v>55</v>
      </c>
      <c r="R780" t="s">
        <v>56</v>
      </c>
      <c r="T780" t="s">
        <v>1540</v>
      </c>
      <c r="U780" t="s">
        <v>58</v>
      </c>
      <c r="V780">
        <v>7</v>
      </c>
      <c r="W780">
        <v>1</v>
      </c>
      <c r="X780">
        <v>1</v>
      </c>
      <c r="Y780">
        <v>0</v>
      </c>
      <c r="Z780">
        <v>1</v>
      </c>
      <c r="AA780">
        <v>0</v>
      </c>
      <c r="AB780">
        <v>560.29</v>
      </c>
      <c r="AC780">
        <v>493</v>
      </c>
      <c r="AD780">
        <v>0</v>
      </c>
      <c r="AE780">
        <v>67.33</v>
      </c>
      <c r="AF780">
        <v>0</v>
      </c>
      <c r="AG780">
        <v>0</v>
      </c>
      <c r="AH780">
        <v>0</v>
      </c>
      <c r="AI780">
        <v>0</v>
      </c>
      <c r="AJ780">
        <v>560.33000000000004</v>
      </c>
      <c r="AK780">
        <v>0.04</v>
      </c>
      <c r="AL780" t="s">
        <v>53</v>
      </c>
      <c r="AM780" t="s">
        <v>53</v>
      </c>
      <c r="AN780" t="s">
        <v>1541</v>
      </c>
      <c r="AO780" t="s">
        <v>53</v>
      </c>
      <c r="AP780" t="s">
        <v>53</v>
      </c>
    </row>
    <row r="781" spans="2:42" x14ac:dyDescent="0.2">
      <c r="B781" t="s">
        <v>44</v>
      </c>
      <c r="C781" t="str">
        <f>HYPERLINK("https://us2.cloudbeds.com/connect/8493803454333002#/reservations/598120685808?display=E14C6PKT&amp;reservation_id=598120685808", "E14C6PKT")</f>
        <v>E14C6PKT</v>
      </c>
      <c r="D781" t="s">
        <v>45</v>
      </c>
      <c r="E781" t="s">
        <v>190</v>
      </c>
      <c r="F781" t="s">
        <v>61</v>
      </c>
      <c r="G781" t="s">
        <v>48</v>
      </c>
      <c r="H781" t="s">
        <v>71</v>
      </c>
      <c r="I781" t="s">
        <v>72</v>
      </c>
      <c r="J781" t="s">
        <v>1124</v>
      </c>
      <c r="K781" t="s">
        <v>956</v>
      </c>
      <c r="L781" t="s">
        <v>53</v>
      </c>
      <c r="N781" t="s">
        <v>1542</v>
      </c>
      <c r="P781" t="s">
        <v>55</v>
      </c>
      <c r="R781" t="s">
        <v>56</v>
      </c>
      <c r="T781" t="s">
        <v>1540</v>
      </c>
      <c r="U781" t="s">
        <v>58</v>
      </c>
      <c r="V781">
        <v>1</v>
      </c>
      <c r="W781">
        <v>1</v>
      </c>
      <c r="X781">
        <v>1</v>
      </c>
      <c r="Y781">
        <v>0</v>
      </c>
      <c r="Z781">
        <v>1</v>
      </c>
      <c r="AA781">
        <v>0</v>
      </c>
      <c r="AB781">
        <v>79.56</v>
      </c>
      <c r="AC781">
        <v>70</v>
      </c>
      <c r="AD781">
        <v>0</v>
      </c>
      <c r="AE781">
        <v>9.56</v>
      </c>
      <c r="AF781">
        <v>0</v>
      </c>
      <c r="AG781">
        <v>0</v>
      </c>
      <c r="AH781">
        <v>0</v>
      </c>
      <c r="AI781">
        <v>0</v>
      </c>
      <c r="AJ781">
        <v>79.56</v>
      </c>
      <c r="AK781">
        <v>0</v>
      </c>
      <c r="AL781" t="s">
        <v>53</v>
      </c>
      <c r="AM781" t="s">
        <v>53</v>
      </c>
      <c r="AN781" t="s">
        <v>378</v>
      </c>
      <c r="AO781" t="s">
        <v>53</v>
      </c>
      <c r="AP781" t="s">
        <v>53</v>
      </c>
    </row>
    <row r="782" spans="2:42" x14ac:dyDescent="0.2">
      <c r="B782" t="s">
        <v>44</v>
      </c>
      <c r="C782" t="str">
        <f>HYPERLINK("https://us2.cloudbeds.com/connect/8493803454333002#/reservations/598528889046?display=E1EQDKTW&amp;reservation_id=598528889046", "E1EQDKTW")</f>
        <v>E1EQDKTW</v>
      </c>
      <c r="D782" t="s">
        <v>45</v>
      </c>
      <c r="E782" t="s">
        <v>113</v>
      </c>
      <c r="F782" t="s">
        <v>61</v>
      </c>
      <c r="G782" t="s">
        <v>48</v>
      </c>
      <c r="H782" t="s">
        <v>71</v>
      </c>
      <c r="I782" t="s">
        <v>72</v>
      </c>
      <c r="J782" t="s">
        <v>1124</v>
      </c>
      <c r="K782" t="s">
        <v>956</v>
      </c>
      <c r="L782" t="s">
        <v>53</v>
      </c>
      <c r="N782" t="s">
        <v>1543</v>
      </c>
      <c r="P782" t="s">
        <v>58</v>
      </c>
      <c r="R782" t="s">
        <v>56</v>
      </c>
      <c r="T782" t="s">
        <v>1540</v>
      </c>
      <c r="U782" t="s">
        <v>58</v>
      </c>
      <c r="V782">
        <v>1</v>
      </c>
      <c r="W782">
        <v>1</v>
      </c>
      <c r="X782">
        <v>1</v>
      </c>
      <c r="Y782">
        <v>0</v>
      </c>
      <c r="Z782">
        <v>1</v>
      </c>
      <c r="AA782">
        <v>0</v>
      </c>
      <c r="AB782">
        <v>90.92</v>
      </c>
      <c r="AC782">
        <v>80</v>
      </c>
      <c r="AD782">
        <v>0</v>
      </c>
      <c r="AE782">
        <v>10.92</v>
      </c>
      <c r="AF782">
        <v>0</v>
      </c>
      <c r="AG782">
        <v>0</v>
      </c>
      <c r="AH782">
        <v>0</v>
      </c>
      <c r="AI782">
        <v>0</v>
      </c>
      <c r="AJ782">
        <v>90.92</v>
      </c>
      <c r="AK782">
        <v>0</v>
      </c>
      <c r="AL782" t="s">
        <v>53</v>
      </c>
      <c r="AM782" t="s">
        <v>53</v>
      </c>
      <c r="AN782" t="s">
        <v>378</v>
      </c>
      <c r="AO782" t="s">
        <v>53</v>
      </c>
      <c r="AP782" t="s">
        <v>53</v>
      </c>
    </row>
    <row r="783" spans="2:42" x14ac:dyDescent="0.2">
      <c r="B783" t="s">
        <v>44</v>
      </c>
      <c r="C783" t="str">
        <f>HYPERLINK("https://us2.cloudbeds.com/connect/8493803454333002#/reservations/598301229241?display=E18WEYU0&amp;reservation_id=598301229241", "E18WEYU0")</f>
        <v>E18WEYU0</v>
      </c>
      <c r="D783" t="s">
        <v>45</v>
      </c>
      <c r="E783" t="s">
        <v>373</v>
      </c>
      <c r="F783" t="s">
        <v>47</v>
      </c>
      <c r="G783" t="s">
        <v>48</v>
      </c>
      <c r="H783" t="s">
        <v>49</v>
      </c>
      <c r="I783" t="s">
        <v>62</v>
      </c>
      <c r="J783" t="s">
        <v>743</v>
      </c>
      <c r="K783" t="s">
        <v>744</v>
      </c>
      <c r="L783" t="s">
        <v>53</v>
      </c>
      <c r="N783" t="s">
        <v>1544</v>
      </c>
      <c r="P783" t="s">
        <v>55</v>
      </c>
      <c r="R783" t="s">
        <v>56</v>
      </c>
      <c r="T783" t="s">
        <v>1540</v>
      </c>
      <c r="U783" t="s">
        <v>58</v>
      </c>
      <c r="V783">
        <v>1</v>
      </c>
      <c r="W783">
        <v>1</v>
      </c>
      <c r="X783">
        <v>1</v>
      </c>
      <c r="Y783">
        <v>0</v>
      </c>
      <c r="Z783">
        <v>1</v>
      </c>
      <c r="AA783">
        <v>0</v>
      </c>
      <c r="AB783">
        <v>83.53</v>
      </c>
      <c r="AC783">
        <v>73.5</v>
      </c>
      <c r="AD783">
        <v>0</v>
      </c>
      <c r="AE783">
        <v>10.029999999999999</v>
      </c>
      <c r="AF783">
        <v>0</v>
      </c>
      <c r="AG783">
        <v>0</v>
      </c>
      <c r="AH783">
        <v>0</v>
      </c>
      <c r="AI783">
        <v>12.53</v>
      </c>
      <c r="AJ783">
        <v>83.53</v>
      </c>
      <c r="AK783">
        <v>0</v>
      </c>
      <c r="AL783" t="s">
        <v>53</v>
      </c>
      <c r="AM783" t="s">
        <v>53</v>
      </c>
      <c r="AN783" t="s">
        <v>1240</v>
      </c>
      <c r="AO783" t="s">
        <v>53</v>
      </c>
      <c r="AP783" t="s">
        <v>53</v>
      </c>
    </row>
    <row r="784" spans="2:42" x14ac:dyDescent="0.2">
      <c r="B784" t="s">
        <v>44</v>
      </c>
      <c r="C784" t="str">
        <f>HYPERLINK("https://us2.cloudbeds.com/connect/8493803454333002#/reservations/598492889230?display=E1DT1T7F&amp;reservation_id=598492889230", "E1DT1T7F")</f>
        <v>E1DT1T7F</v>
      </c>
      <c r="D784" t="s">
        <v>45</v>
      </c>
      <c r="E784" t="s">
        <v>138</v>
      </c>
      <c r="F784" t="s">
        <v>70</v>
      </c>
      <c r="G784" t="s">
        <v>48</v>
      </c>
      <c r="H784" t="s">
        <v>49</v>
      </c>
      <c r="I784" t="s">
        <v>62</v>
      </c>
      <c r="J784" t="s">
        <v>243</v>
      </c>
      <c r="K784" t="s">
        <v>1349</v>
      </c>
      <c r="L784" t="s">
        <v>53</v>
      </c>
      <c r="N784" t="s">
        <v>1545</v>
      </c>
      <c r="P784" t="s">
        <v>55</v>
      </c>
      <c r="R784" t="s">
        <v>205</v>
      </c>
      <c r="T784" t="s">
        <v>1540</v>
      </c>
      <c r="U784" t="s">
        <v>58</v>
      </c>
      <c r="V784">
        <v>1</v>
      </c>
      <c r="W784">
        <v>1</v>
      </c>
      <c r="X784">
        <v>1</v>
      </c>
      <c r="Y784">
        <v>0</v>
      </c>
      <c r="Z784">
        <v>1</v>
      </c>
      <c r="AA784">
        <v>0</v>
      </c>
      <c r="AB784">
        <v>71.599999999999994</v>
      </c>
      <c r="AC784">
        <v>63</v>
      </c>
      <c r="AD784">
        <v>0</v>
      </c>
      <c r="AE784">
        <v>8.61</v>
      </c>
      <c r="AF784">
        <v>0</v>
      </c>
      <c r="AG784">
        <v>0</v>
      </c>
      <c r="AH784">
        <v>0</v>
      </c>
      <c r="AI784">
        <v>10.74</v>
      </c>
      <c r="AJ784">
        <v>71.61</v>
      </c>
      <c r="AK784">
        <v>0.01</v>
      </c>
      <c r="AL784" t="s">
        <v>53</v>
      </c>
      <c r="AM784" t="s">
        <v>53</v>
      </c>
      <c r="AN784" t="s">
        <v>97</v>
      </c>
      <c r="AO784" t="s">
        <v>53</v>
      </c>
      <c r="AP784" t="s">
        <v>53</v>
      </c>
    </row>
    <row r="785" spans="2:42" x14ac:dyDescent="0.2">
      <c r="B785" t="s">
        <v>44</v>
      </c>
      <c r="C785" t="str">
        <f>HYPERLINK("https://us2.cloudbeds.com/connect/8493803454333002#/reservations/598433153218?display=E1CBMY79&amp;reservation_id=598433153218", "E1CBMY79")</f>
        <v>E1CBMY79</v>
      </c>
      <c r="D785" t="s">
        <v>45</v>
      </c>
      <c r="E785" t="s">
        <v>85</v>
      </c>
      <c r="F785" t="s">
        <v>86</v>
      </c>
      <c r="G785" t="s">
        <v>48</v>
      </c>
      <c r="H785" t="s">
        <v>49</v>
      </c>
      <c r="I785" t="s">
        <v>62</v>
      </c>
      <c r="J785" t="s">
        <v>447</v>
      </c>
      <c r="K785" t="s">
        <v>1439</v>
      </c>
      <c r="L785" t="s">
        <v>53</v>
      </c>
      <c r="N785" t="s">
        <v>1546</v>
      </c>
      <c r="P785" t="s">
        <v>55</v>
      </c>
      <c r="R785" t="s">
        <v>56</v>
      </c>
      <c r="T785" t="s">
        <v>1540</v>
      </c>
      <c r="U785" t="s">
        <v>58</v>
      </c>
      <c r="V785">
        <v>3</v>
      </c>
      <c r="W785">
        <v>1</v>
      </c>
      <c r="X785">
        <v>1</v>
      </c>
      <c r="Y785">
        <v>0</v>
      </c>
      <c r="Z785">
        <v>1</v>
      </c>
      <c r="AA785">
        <v>0</v>
      </c>
      <c r="AB785">
        <v>538.70000000000005</v>
      </c>
      <c r="AC785">
        <v>474</v>
      </c>
      <c r="AD785">
        <v>0</v>
      </c>
      <c r="AE785">
        <v>64.709999999999994</v>
      </c>
      <c r="AF785">
        <v>0</v>
      </c>
      <c r="AG785">
        <v>0</v>
      </c>
      <c r="AH785">
        <v>0</v>
      </c>
      <c r="AI785">
        <v>80.81</v>
      </c>
      <c r="AJ785">
        <v>538.71</v>
      </c>
      <c r="AK785">
        <v>0.01</v>
      </c>
      <c r="AL785" t="s">
        <v>53</v>
      </c>
      <c r="AM785" t="s">
        <v>53</v>
      </c>
      <c r="AN785" t="s">
        <v>146</v>
      </c>
      <c r="AO785" t="s">
        <v>53</v>
      </c>
      <c r="AP785" t="s">
        <v>53</v>
      </c>
    </row>
    <row r="786" spans="2:42" x14ac:dyDescent="0.2">
      <c r="B786" t="s">
        <v>44</v>
      </c>
      <c r="C786" t="str">
        <f>HYPERLINK("https://us2.cloudbeds.com/connect/8493803454333002#/reservations/598433583245?display=E1CC1K3D&amp;reservation_id=598433583245", "E1CC1K3D")</f>
        <v>E1CC1K3D</v>
      </c>
      <c r="D786" t="s">
        <v>45</v>
      </c>
      <c r="E786" t="s">
        <v>92</v>
      </c>
      <c r="F786" t="s">
        <v>86</v>
      </c>
      <c r="G786" t="s">
        <v>48</v>
      </c>
      <c r="H786" t="s">
        <v>71</v>
      </c>
      <c r="I786" t="s">
        <v>72</v>
      </c>
      <c r="J786" t="s">
        <v>237</v>
      </c>
      <c r="K786" t="s">
        <v>525</v>
      </c>
      <c r="L786" t="s">
        <v>53</v>
      </c>
      <c r="N786" t="s">
        <v>1547</v>
      </c>
      <c r="P786" t="s">
        <v>55</v>
      </c>
      <c r="R786" t="s">
        <v>56</v>
      </c>
      <c r="T786" t="s">
        <v>1540</v>
      </c>
      <c r="U786" t="s">
        <v>58</v>
      </c>
      <c r="V786">
        <v>1</v>
      </c>
      <c r="W786">
        <v>1</v>
      </c>
      <c r="X786">
        <v>1</v>
      </c>
      <c r="Y786">
        <v>0</v>
      </c>
      <c r="Z786">
        <v>1</v>
      </c>
      <c r="AA786">
        <v>0</v>
      </c>
      <c r="AB786">
        <v>171.61</v>
      </c>
      <c r="AC786">
        <v>151</v>
      </c>
      <c r="AD786">
        <v>0</v>
      </c>
      <c r="AE786">
        <v>20.62</v>
      </c>
      <c r="AF786">
        <v>0</v>
      </c>
      <c r="AG786">
        <v>0</v>
      </c>
      <c r="AH786">
        <v>0</v>
      </c>
      <c r="AI786">
        <v>0</v>
      </c>
      <c r="AJ786">
        <v>171.62</v>
      </c>
      <c r="AK786">
        <v>0.01</v>
      </c>
      <c r="AL786" t="s">
        <v>53</v>
      </c>
      <c r="AM786" t="s">
        <v>53</v>
      </c>
      <c r="AN786" t="s">
        <v>1548</v>
      </c>
      <c r="AO786" t="s">
        <v>53</v>
      </c>
      <c r="AP786" t="s">
        <v>53</v>
      </c>
    </row>
    <row r="787" spans="2:42" x14ac:dyDescent="0.2">
      <c r="B787" t="s">
        <v>44</v>
      </c>
      <c r="C787" t="str">
        <f>HYPERLINK("https://us2.cloudbeds.com/connect/8493803454333002#/reservations/598523969667?display=E1EM8ZXT&amp;reservation_id=598523969667", "E1EM8ZXT")</f>
        <v>E1EM8ZXT</v>
      </c>
      <c r="D787" t="s">
        <v>45</v>
      </c>
      <c r="E787" t="s">
        <v>165</v>
      </c>
      <c r="F787" t="s">
        <v>61</v>
      </c>
      <c r="G787" t="s">
        <v>48</v>
      </c>
      <c r="H787" t="s">
        <v>71</v>
      </c>
      <c r="I787" t="s">
        <v>72</v>
      </c>
      <c r="J787" t="s">
        <v>1124</v>
      </c>
      <c r="K787" t="s">
        <v>956</v>
      </c>
      <c r="L787" t="s">
        <v>53</v>
      </c>
      <c r="N787" t="s">
        <v>1549</v>
      </c>
      <c r="P787" t="s">
        <v>58</v>
      </c>
      <c r="R787" t="s">
        <v>56</v>
      </c>
      <c r="T787" t="s">
        <v>1540</v>
      </c>
      <c r="U787" t="s">
        <v>58</v>
      </c>
      <c r="V787">
        <v>1</v>
      </c>
      <c r="W787">
        <v>1</v>
      </c>
      <c r="X787">
        <v>1</v>
      </c>
      <c r="Y787">
        <v>0</v>
      </c>
      <c r="Z787">
        <v>1</v>
      </c>
      <c r="AA787">
        <v>0</v>
      </c>
      <c r="AB787">
        <v>90.92</v>
      </c>
      <c r="AC787">
        <v>80</v>
      </c>
      <c r="AD787">
        <v>0</v>
      </c>
      <c r="AE787">
        <v>10.92</v>
      </c>
      <c r="AF787">
        <v>0</v>
      </c>
      <c r="AG787">
        <v>0</v>
      </c>
      <c r="AH787">
        <v>0</v>
      </c>
      <c r="AI787">
        <v>0</v>
      </c>
      <c r="AJ787">
        <v>90.92</v>
      </c>
      <c r="AK787">
        <v>0</v>
      </c>
      <c r="AL787" t="s">
        <v>53</v>
      </c>
      <c r="AM787" t="s">
        <v>53</v>
      </c>
      <c r="AN787" t="s">
        <v>378</v>
      </c>
      <c r="AO787" t="s">
        <v>53</v>
      </c>
      <c r="AP787" t="s">
        <v>53</v>
      </c>
    </row>
    <row r="788" spans="2:42" x14ac:dyDescent="0.2">
      <c r="B788" t="s">
        <v>44</v>
      </c>
      <c r="C788" t="str">
        <f>HYPERLINK("https://us2.cloudbeds.com/connect/8493803454333002#/reservations/598527721637?display=E1EPE4TU&amp;reservation_id=598527721637", "E1EPE4TU")</f>
        <v>E1EPE4TU</v>
      </c>
      <c r="D788" t="s">
        <v>45</v>
      </c>
      <c r="E788" t="s">
        <v>46</v>
      </c>
      <c r="F788" t="s">
        <v>47</v>
      </c>
      <c r="G788" t="s">
        <v>48</v>
      </c>
      <c r="H788" t="s">
        <v>49</v>
      </c>
      <c r="I788" t="s">
        <v>50</v>
      </c>
      <c r="J788" t="s">
        <v>167</v>
      </c>
      <c r="K788" t="s">
        <v>746</v>
      </c>
      <c r="L788" t="s">
        <v>53</v>
      </c>
      <c r="N788" t="s">
        <v>1550</v>
      </c>
      <c r="P788" t="s">
        <v>55</v>
      </c>
      <c r="R788" t="s">
        <v>56</v>
      </c>
      <c r="T788" t="s">
        <v>1540</v>
      </c>
      <c r="U788" t="s">
        <v>58</v>
      </c>
      <c r="V788">
        <v>2</v>
      </c>
      <c r="W788">
        <v>1</v>
      </c>
      <c r="X788">
        <v>1</v>
      </c>
      <c r="Y788">
        <v>0</v>
      </c>
      <c r="Z788">
        <v>1</v>
      </c>
      <c r="AA788">
        <v>0</v>
      </c>
      <c r="AB788">
        <v>163.66</v>
      </c>
      <c r="AC788">
        <v>144</v>
      </c>
      <c r="AD788">
        <v>0</v>
      </c>
      <c r="AE788">
        <v>19.66</v>
      </c>
      <c r="AF788">
        <v>0</v>
      </c>
      <c r="AG788">
        <v>0</v>
      </c>
      <c r="AH788">
        <v>0</v>
      </c>
      <c r="AI788">
        <v>29.46</v>
      </c>
      <c r="AJ788">
        <v>163.66</v>
      </c>
      <c r="AK788">
        <v>0</v>
      </c>
      <c r="AL788" t="s">
        <v>53</v>
      </c>
      <c r="AM788" t="s">
        <v>53</v>
      </c>
      <c r="AN788" t="s">
        <v>1551</v>
      </c>
      <c r="AO788" t="s">
        <v>53</v>
      </c>
      <c r="AP788" t="s">
        <v>53</v>
      </c>
    </row>
    <row r="789" spans="2:42" x14ac:dyDescent="0.2">
      <c r="B789" t="s">
        <v>44</v>
      </c>
      <c r="C789" t="str">
        <f>HYPERLINK("https://us2.cloudbeds.com/connect/8493803454333002#/reservations/598350700678?display=E1A8597E&amp;reservation_id=598350700678", "E1A8597E")</f>
        <v>E1A8597E</v>
      </c>
      <c r="D789" t="s">
        <v>45</v>
      </c>
      <c r="E789" t="s">
        <v>46</v>
      </c>
      <c r="F789" t="s">
        <v>47</v>
      </c>
      <c r="G789" t="s">
        <v>48</v>
      </c>
      <c r="H789" t="s">
        <v>49</v>
      </c>
      <c r="I789" t="s">
        <v>79</v>
      </c>
      <c r="J789" t="s">
        <v>455</v>
      </c>
      <c r="K789" t="s">
        <v>560</v>
      </c>
      <c r="L789" t="s">
        <v>53</v>
      </c>
      <c r="N789" t="s">
        <v>1552</v>
      </c>
      <c r="P789" t="s">
        <v>55</v>
      </c>
      <c r="R789" t="s">
        <v>56</v>
      </c>
      <c r="T789" t="s">
        <v>1540</v>
      </c>
      <c r="U789" t="s">
        <v>58</v>
      </c>
      <c r="V789">
        <v>1</v>
      </c>
      <c r="W789">
        <v>1</v>
      </c>
      <c r="X789">
        <v>1</v>
      </c>
      <c r="Y789">
        <v>0</v>
      </c>
      <c r="Z789">
        <v>1</v>
      </c>
      <c r="AA789">
        <v>0</v>
      </c>
      <c r="AB789">
        <v>94.1</v>
      </c>
      <c r="AC789">
        <v>82.8</v>
      </c>
      <c r="AD789">
        <v>0</v>
      </c>
      <c r="AE789">
        <v>11.31</v>
      </c>
      <c r="AF789">
        <v>0</v>
      </c>
      <c r="AG789">
        <v>0</v>
      </c>
      <c r="AH789">
        <v>0</v>
      </c>
      <c r="AI789">
        <v>0</v>
      </c>
      <c r="AJ789">
        <v>94.11</v>
      </c>
      <c r="AK789">
        <v>0.01</v>
      </c>
      <c r="AL789" t="s">
        <v>53</v>
      </c>
      <c r="AM789" t="s">
        <v>53</v>
      </c>
      <c r="AN789" t="s">
        <v>1553</v>
      </c>
      <c r="AO789" t="s">
        <v>53</v>
      </c>
      <c r="AP789" t="s">
        <v>53</v>
      </c>
    </row>
    <row r="790" spans="2:42" x14ac:dyDescent="0.2">
      <c r="B790" t="s">
        <v>44</v>
      </c>
      <c r="C790" t="str">
        <f>HYPERLINK("https://us2.cloudbeds.com/connect/8493803454333002#/reservations/598351741062?display=E1A917J8&amp;reservation_id=598351741062", "E1A917J8")</f>
        <v>E1A917J8</v>
      </c>
      <c r="D790" t="s">
        <v>45</v>
      </c>
      <c r="E790" t="s">
        <v>406</v>
      </c>
      <c r="F790" t="s">
        <v>61</v>
      </c>
      <c r="G790" t="s">
        <v>48</v>
      </c>
      <c r="H790" t="s">
        <v>49</v>
      </c>
      <c r="I790" t="s">
        <v>62</v>
      </c>
      <c r="J790" t="s">
        <v>755</v>
      </c>
      <c r="K790" t="s">
        <v>454</v>
      </c>
      <c r="L790" t="s">
        <v>53</v>
      </c>
      <c r="N790" t="s">
        <v>1554</v>
      </c>
      <c r="P790" t="s">
        <v>55</v>
      </c>
      <c r="R790" t="s">
        <v>56</v>
      </c>
      <c r="T790" t="s">
        <v>1540</v>
      </c>
      <c r="U790" t="s">
        <v>58</v>
      </c>
      <c r="V790">
        <v>1</v>
      </c>
      <c r="W790">
        <v>1</v>
      </c>
      <c r="X790">
        <v>1</v>
      </c>
      <c r="Y790">
        <v>0</v>
      </c>
      <c r="Z790">
        <v>1</v>
      </c>
      <c r="AA790">
        <v>0</v>
      </c>
      <c r="AB790">
        <v>82.96</v>
      </c>
      <c r="AC790">
        <v>73</v>
      </c>
      <c r="AD790">
        <v>0</v>
      </c>
      <c r="AE790">
        <v>9.9700000000000006</v>
      </c>
      <c r="AF790">
        <v>0</v>
      </c>
      <c r="AG790">
        <v>0</v>
      </c>
      <c r="AH790">
        <v>0</v>
      </c>
      <c r="AI790">
        <v>12.45</v>
      </c>
      <c r="AJ790">
        <v>82.97</v>
      </c>
      <c r="AK790">
        <v>0.01</v>
      </c>
      <c r="AL790" t="s">
        <v>53</v>
      </c>
      <c r="AM790" t="s">
        <v>53</v>
      </c>
      <c r="AN790" t="s">
        <v>104</v>
      </c>
      <c r="AO790" t="s">
        <v>53</v>
      </c>
      <c r="AP790" t="s">
        <v>53</v>
      </c>
    </row>
    <row r="791" spans="2:42" x14ac:dyDescent="0.2">
      <c r="B791" t="s">
        <v>44</v>
      </c>
      <c r="C791" t="str">
        <f>HYPERLINK("https://us2.cloudbeds.com/connect/8493803454333002#/reservations/579342106792?display=DJJHK4DU&amp;reservation_id=579342106792", "DJJHK4DU")</f>
        <v>DJJHK4DU</v>
      </c>
      <c r="D791" t="s">
        <v>45</v>
      </c>
      <c r="E791" t="s">
        <v>179</v>
      </c>
      <c r="F791" t="s">
        <v>47</v>
      </c>
      <c r="G791" t="s">
        <v>48</v>
      </c>
      <c r="H791" t="s">
        <v>49</v>
      </c>
      <c r="I791" t="s">
        <v>62</v>
      </c>
      <c r="J791" t="s">
        <v>1555</v>
      </c>
      <c r="K791" t="s">
        <v>1556</v>
      </c>
      <c r="L791" t="s">
        <v>53</v>
      </c>
      <c r="N791" t="s">
        <v>1557</v>
      </c>
      <c r="P791" t="s">
        <v>55</v>
      </c>
      <c r="R791" t="s">
        <v>56</v>
      </c>
      <c r="T791" t="s">
        <v>1540</v>
      </c>
      <c r="U791" t="s">
        <v>58</v>
      </c>
      <c r="V791">
        <v>2</v>
      </c>
      <c r="W791">
        <v>1</v>
      </c>
      <c r="X791">
        <v>1</v>
      </c>
      <c r="Y791">
        <v>0</v>
      </c>
      <c r="Z791">
        <v>1</v>
      </c>
      <c r="AA791">
        <v>0</v>
      </c>
      <c r="AB791">
        <v>313.68</v>
      </c>
      <c r="AC791">
        <v>276</v>
      </c>
      <c r="AD791">
        <v>0</v>
      </c>
      <c r="AE791">
        <v>37.68</v>
      </c>
      <c r="AF791">
        <v>0</v>
      </c>
      <c r="AG791">
        <v>0</v>
      </c>
      <c r="AH791">
        <v>0</v>
      </c>
      <c r="AI791">
        <v>47.05</v>
      </c>
      <c r="AJ791">
        <v>313.68</v>
      </c>
      <c r="AK791">
        <v>0</v>
      </c>
      <c r="AL791" t="s">
        <v>53</v>
      </c>
      <c r="AM791" t="s">
        <v>53</v>
      </c>
      <c r="AN791" t="s">
        <v>1558</v>
      </c>
      <c r="AO791" t="s">
        <v>53</v>
      </c>
      <c r="AP791" t="s">
        <v>53</v>
      </c>
    </row>
    <row r="792" spans="2:42" x14ac:dyDescent="0.2">
      <c r="B792" t="s">
        <v>44</v>
      </c>
      <c r="C792" t="str">
        <f>HYPERLINK("https://us2.cloudbeds.com/connect/8493803454333002#/reservations/598472945884?display=E1DC7UPY&amp;reservation_id=598472945884", "E1DC7UPY")</f>
        <v>E1DC7UPY</v>
      </c>
      <c r="D792" t="s">
        <v>45</v>
      </c>
      <c r="E792" t="s">
        <v>305</v>
      </c>
      <c r="F792" t="s">
        <v>61</v>
      </c>
      <c r="G792" t="s">
        <v>48</v>
      </c>
      <c r="H792" t="s">
        <v>49</v>
      </c>
      <c r="I792" t="s">
        <v>79</v>
      </c>
      <c r="J792" t="s">
        <v>956</v>
      </c>
      <c r="K792" t="s">
        <v>744</v>
      </c>
      <c r="L792" t="s">
        <v>53</v>
      </c>
      <c r="N792" t="s">
        <v>1559</v>
      </c>
      <c r="P792" t="s">
        <v>55</v>
      </c>
      <c r="R792" t="s">
        <v>56</v>
      </c>
      <c r="T792" t="s">
        <v>1560</v>
      </c>
      <c r="U792" t="s">
        <v>58</v>
      </c>
      <c r="V792">
        <v>2</v>
      </c>
      <c r="W792">
        <v>1</v>
      </c>
      <c r="X792">
        <v>1</v>
      </c>
      <c r="Y792">
        <v>0</v>
      </c>
      <c r="Z792">
        <v>1</v>
      </c>
      <c r="AA792">
        <v>0</v>
      </c>
      <c r="AB792">
        <v>173.88</v>
      </c>
      <c r="AC792">
        <v>153</v>
      </c>
      <c r="AD792">
        <v>0</v>
      </c>
      <c r="AE792">
        <v>20.9</v>
      </c>
      <c r="AF792">
        <v>0</v>
      </c>
      <c r="AG792">
        <v>0</v>
      </c>
      <c r="AH792">
        <v>0</v>
      </c>
      <c r="AI792">
        <v>0</v>
      </c>
      <c r="AJ792">
        <v>173.9</v>
      </c>
      <c r="AK792">
        <v>0.02</v>
      </c>
      <c r="AL792" t="s">
        <v>53</v>
      </c>
      <c r="AM792" t="s">
        <v>53</v>
      </c>
      <c r="AN792" t="s">
        <v>104</v>
      </c>
      <c r="AO792" t="s">
        <v>53</v>
      </c>
      <c r="AP792" t="s">
        <v>53</v>
      </c>
    </row>
    <row r="793" spans="2:42" x14ac:dyDescent="0.2">
      <c r="B793" t="s">
        <v>44</v>
      </c>
      <c r="C793" t="str">
        <f>HYPERLINK("https://us2.cloudbeds.com/connect/8493803454333002#/reservations/598544011496?display=E1F65EF0&amp;reservation_id=598544011496", "E1F65EF0")</f>
        <v>E1F65EF0</v>
      </c>
      <c r="D793" t="s">
        <v>45</v>
      </c>
      <c r="E793" t="s">
        <v>138</v>
      </c>
      <c r="F793" t="s">
        <v>70</v>
      </c>
      <c r="G793" t="s">
        <v>48</v>
      </c>
      <c r="H793" t="s">
        <v>49</v>
      </c>
      <c r="I793" t="s">
        <v>62</v>
      </c>
      <c r="J793" t="s">
        <v>268</v>
      </c>
      <c r="K793" t="s">
        <v>454</v>
      </c>
      <c r="L793" t="s">
        <v>53</v>
      </c>
      <c r="N793" t="s">
        <v>1561</v>
      </c>
      <c r="P793" t="s">
        <v>55</v>
      </c>
      <c r="R793" t="s">
        <v>56</v>
      </c>
      <c r="T793" t="s">
        <v>1560</v>
      </c>
      <c r="U793" t="s">
        <v>58</v>
      </c>
      <c r="V793">
        <v>2</v>
      </c>
      <c r="W793">
        <v>1</v>
      </c>
      <c r="X793">
        <v>1</v>
      </c>
      <c r="Y793">
        <v>0</v>
      </c>
      <c r="Z793">
        <v>1</v>
      </c>
      <c r="AA793">
        <v>0</v>
      </c>
      <c r="AB793">
        <v>138.43</v>
      </c>
      <c r="AC793">
        <v>121.8</v>
      </c>
      <c r="AD793">
        <v>0</v>
      </c>
      <c r="AE793">
        <v>16.64</v>
      </c>
      <c r="AF793">
        <v>0</v>
      </c>
      <c r="AG793">
        <v>0</v>
      </c>
      <c r="AH793">
        <v>0</v>
      </c>
      <c r="AI793">
        <v>20.77</v>
      </c>
      <c r="AJ793">
        <v>138.44</v>
      </c>
      <c r="AK793">
        <v>0.01</v>
      </c>
      <c r="AL793" t="s">
        <v>53</v>
      </c>
      <c r="AM793" t="s">
        <v>53</v>
      </c>
      <c r="AN793" t="s">
        <v>1562</v>
      </c>
      <c r="AO793" t="s">
        <v>53</v>
      </c>
      <c r="AP793" t="s">
        <v>53</v>
      </c>
    </row>
    <row r="794" spans="2:42" x14ac:dyDescent="0.2">
      <c r="B794" t="s">
        <v>44</v>
      </c>
      <c r="C794" t="str">
        <f>HYPERLINK("https://us2.cloudbeds.com/connect/8493803454333002#/reservations/598358397151?display=E1AEYEMU&amp;reservation_id=598358397151", "E1AEYEMU")</f>
        <v>E1AEYEMU</v>
      </c>
      <c r="D794" t="s">
        <v>45</v>
      </c>
      <c r="E794" t="s">
        <v>265</v>
      </c>
      <c r="F794" t="s">
        <v>61</v>
      </c>
      <c r="G794" t="s">
        <v>48</v>
      </c>
      <c r="H794" t="s">
        <v>49</v>
      </c>
      <c r="I794" t="s">
        <v>79</v>
      </c>
      <c r="J794" t="s">
        <v>744</v>
      </c>
      <c r="K794" t="s">
        <v>623</v>
      </c>
      <c r="L794" t="s">
        <v>53</v>
      </c>
      <c r="N794" t="s">
        <v>1563</v>
      </c>
      <c r="P794" t="s">
        <v>55</v>
      </c>
      <c r="R794" t="s">
        <v>56</v>
      </c>
      <c r="T794" t="s">
        <v>1560</v>
      </c>
      <c r="U794" t="s">
        <v>58</v>
      </c>
      <c r="V794">
        <v>1</v>
      </c>
      <c r="W794">
        <v>1</v>
      </c>
      <c r="X794">
        <v>1</v>
      </c>
      <c r="Y794">
        <v>0</v>
      </c>
      <c r="Z794">
        <v>1</v>
      </c>
      <c r="AA794">
        <v>0</v>
      </c>
      <c r="AB794">
        <v>90.01</v>
      </c>
      <c r="AC794">
        <v>79.2</v>
      </c>
      <c r="AD794">
        <v>0</v>
      </c>
      <c r="AE794">
        <v>10.81</v>
      </c>
      <c r="AF794">
        <v>0</v>
      </c>
      <c r="AG794">
        <v>0</v>
      </c>
      <c r="AH794">
        <v>0</v>
      </c>
      <c r="AI794">
        <v>0</v>
      </c>
      <c r="AJ794">
        <v>90.01</v>
      </c>
      <c r="AK794">
        <v>0</v>
      </c>
      <c r="AL794" t="s">
        <v>53</v>
      </c>
      <c r="AM794" t="s">
        <v>53</v>
      </c>
      <c r="AN794" t="s">
        <v>316</v>
      </c>
      <c r="AO794" t="s">
        <v>53</v>
      </c>
      <c r="AP794" t="s">
        <v>53</v>
      </c>
    </row>
    <row r="795" spans="2:42" x14ac:dyDescent="0.2">
      <c r="B795" t="s">
        <v>44</v>
      </c>
      <c r="C795" t="str">
        <f>HYPERLINK("https://us2.cloudbeds.com/connect/8493803454333002#/reservations/598566224113?display=E1FZTHNY&amp;reservation_id=598566224113", "E1FZTHNY")</f>
        <v>E1FZTHNY</v>
      </c>
      <c r="D795" t="s">
        <v>45</v>
      </c>
      <c r="E795" t="s">
        <v>373</v>
      </c>
      <c r="F795" t="s">
        <v>47</v>
      </c>
      <c r="G795" t="s">
        <v>48</v>
      </c>
      <c r="H795" t="s">
        <v>49</v>
      </c>
      <c r="I795" t="s">
        <v>62</v>
      </c>
      <c r="J795" t="s">
        <v>419</v>
      </c>
      <c r="K795" t="s">
        <v>281</v>
      </c>
      <c r="L795" t="s">
        <v>53</v>
      </c>
      <c r="N795" t="s">
        <v>1564</v>
      </c>
      <c r="P795" t="s">
        <v>55</v>
      </c>
      <c r="R795" t="s">
        <v>56</v>
      </c>
      <c r="T795" t="s">
        <v>1560</v>
      </c>
      <c r="U795" t="s">
        <v>58</v>
      </c>
      <c r="V795">
        <v>2</v>
      </c>
      <c r="W795">
        <v>1</v>
      </c>
      <c r="X795">
        <v>1</v>
      </c>
      <c r="Y795">
        <v>0</v>
      </c>
      <c r="Z795">
        <v>1</v>
      </c>
      <c r="AA795">
        <v>0</v>
      </c>
      <c r="AB795">
        <v>150.36000000000001</v>
      </c>
      <c r="AC795">
        <v>132.30000000000001</v>
      </c>
      <c r="AD795">
        <v>0</v>
      </c>
      <c r="AE795">
        <v>18.059999999999999</v>
      </c>
      <c r="AF795">
        <v>0</v>
      </c>
      <c r="AG795">
        <v>0</v>
      </c>
      <c r="AH795">
        <v>0</v>
      </c>
      <c r="AI795">
        <v>22.55</v>
      </c>
      <c r="AJ795">
        <v>150.36000000000001</v>
      </c>
      <c r="AK795">
        <v>0</v>
      </c>
      <c r="AL795" t="s">
        <v>53</v>
      </c>
      <c r="AM795" t="s">
        <v>53</v>
      </c>
      <c r="AN795" t="s">
        <v>1565</v>
      </c>
      <c r="AO795" t="s">
        <v>53</v>
      </c>
      <c r="AP795" t="s">
        <v>53</v>
      </c>
    </row>
    <row r="796" spans="2:42" x14ac:dyDescent="0.2">
      <c r="B796" t="s">
        <v>44</v>
      </c>
      <c r="C796" t="str">
        <f>HYPERLINK("https://us2.cloudbeds.com/connect/8493803454333002#/reservations/598353854668?display=E1AAR1EU&amp;reservation_id=598353854668", "E1AAR1EU")</f>
        <v>E1AAR1EU</v>
      </c>
      <c r="D796" t="s">
        <v>45</v>
      </c>
      <c r="E796" t="s">
        <v>138</v>
      </c>
      <c r="F796" t="s">
        <v>70</v>
      </c>
      <c r="G796" t="s">
        <v>48</v>
      </c>
      <c r="H796" t="s">
        <v>49</v>
      </c>
      <c r="I796" t="s">
        <v>62</v>
      </c>
      <c r="J796" t="s">
        <v>956</v>
      </c>
      <c r="K796" t="s">
        <v>743</v>
      </c>
      <c r="L796" t="s">
        <v>53</v>
      </c>
      <c r="N796" t="s">
        <v>1566</v>
      </c>
      <c r="P796" t="s">
        <v>55</v>
      </c>
      <c r="R796" t="s">
        <v>56</v>
      </c>
      <c r="T796" t="s">
        <v>1560</v>
      </c>
      <c r="U796" t="s">
        <v>58</v>
      </c>
      <c r="V796">
        <v>1</v>
      </c>
      <c r="W796">
        <v>1</v>
      </c>
      <c r="X796">
        <v>1</v>
      </c>
      <c r="Y796">
        <v>0</v>
      </c>
      <c r="Z796">
        <v>1</v>
      </c>
      <c r="AA796">
        <v>0</v>
      </c>
      <c r="AB796">
        <v>76.37</v>
      </c>
      <c r="AC796">
        <v>67.2</v>
      </c>
      <c r="AD796">
        <v>0</v>
      </c>
      <c r="AE796">
        <v>9.17</v>
      </c>
      <c r="AF796">
        <v>0</v>
      </c>
      <c r="AG796">
        <v>0</v>
      </c>
      <c r="AH796">
        <v>0</v>
      </c>
      <c r="AI796">
        <v>11.46</v>
      </c>
      <c r="AJ796">
        <v>76.37</v>
      </c>
      <c r="AK796">
        <v>0</v>
      </c>
      <c r="AL796" t="s">
        <v>53</v>
      </c>
      <c r="AM796" t="s">
        <v>53</v>
      </c>
      <c r="AN796" t="s">
        <v>767</v>
      </c>
      <c r="AO796" t="s">
        <v>53</v>
      </c>
      <c r="AP796" t="s">
        <v>53</v>
      </c>
    </row>
    <row r="797" spans="2:42" x14ac:dyDescent="0.2">
      <c r="B797" t="s">
        <v>44</v>
      </c>
      <c r="C797" t="str">
        <f>HYPERLINK("https://us2.cloudbeds.com/connect/8493803454333002#/reservations/598476386459?display=E1DF4M5G&amp;reservation_id=598476386459", "E1DF4M5G")</f>
        <v>E1DF4M5G</v>
      </c>
      <c r="D797" t="s">
        <v>45</v>
      </c>
      <c r="E797" t="s">
        <v>213</v>
      </c>
      <c r="F797" t="s">
        <v>86</v>
      </c>
      <c r="G797" t="s">
        <v>48</v>
      </c>
      <c r="H797" t="s">
        <v>49</v>
      </c>
      <c r="I797" t="s">
        <v>50</v>
      </c>
      <c r="J797" t="s">
        <v>87</v>
      </c>
      <c r="K797" t="s">
        <v>88</v>
      </c>
      <c r="L797" t="s">
        <v>53</v>
      </c>
      <c r="N797" t="s">
        <v>1567</v>
      </c>
      <c r="P797" t="s">
        <v>55</v>
      </c>
      <c r="R797" t="s">
        <v>56</v>
      </c>
      <c r="T797" t="s">
        <v>1560</v>
      </c>
      <c r="U797" t="s">
        <v>58</v>
      </c>
      <c r="V797">
        <v>1</v>
      </c>
      <c r="W797">
        <v>1</v>
      </c>
      <c r="X797">
        <v>1</v>
      </c>
      <c r="Y797">
        <v>0</v>
      </c>
      <c r="Z797">
        <v>1</v>
      </c>
      <c r="AA797">
        <v>0</v>
      </c>
      <c r="AB797">
        <v>153.43</v>
      </c>
      <c r="AC797">
        <v>135</v>
      </c>
      <c r="AD797">
        <v>0</v>
      </c>
      <c r="AE797">
        <v>18.440000000000001</v>
      </c>
      <c r="AF797">
        <v>0</v>
      </c>
      <c r="AG797">
        <v>0</v>
      </c>
      <c r="AH797">
        <v>0</v>
      </c>
      <c r="AI797">
        <v>27.62</v>
      </c>
      <c r="AJ797">
        <v>153.44</v>
      </c>
      <c r="AK797">
        <v>0.01</v>
      </c>
      <c r="AL797" t="s">
        <v>53</v>
      </c>
      <c r="AM797" t="s">
        <v>53</v>
      </c>
      <c r="AN797" t="s">
        <v>112</v>
      </c>
      <c r="AO797" t="s">
        <v>53</v>
      </c>
      <c r="AP797" t="s">
        <v>53</v>
      </c>
    </row>
    <row r="798" spans="2:42" x14ac:dyDescent="0.2">
      <c r="B798" t="s">
        <v>44</v>
      </c>
      <c r="C798" t="str">
        <f>HYPERLINK("https://us2.cloudbeds.com/connect/8493803454333002#/reservations/598564454554?display=E1FND9PY&amp;reservation_id=598564454554", "E1FND9PY")</f>
        <v>E1FND9PY</v>
      </c>
      <c r="D798" t="s">
        <v>45</v>
      </c>
      <c r="E798" t="s">
        <v>121</v>
      </c>
      <c r="F798" t="s">
        <v>86</v>
      </c>
      <c r="G798" t="s">
        <v>48</v>
      </c>
      <c r="H798" t="s">
        <v>49</v>
      </c>
      <c r="I798" t="s">
        <v>50</v>
      </c>
      <c r="J798" t="s">
        <v>488</v>
      </c>
      <c r="K798" t="s">
        <v>1568</v>
      </c>
      <c r="L798" t="s">
        <v>53</v>
      </c>
      <c r="N798" t="s">
        <v>1569</v>
      </c>
      <c r="P798" t="s">
        <v>55</v>
      </c>
      <c r="R798" t="s">
        <v>56</v>
      </c>
      <c r="T798" t="s">
        <v>1560</v>
      </c>
      <c r="U798" t="s">
        <v>58</v>
      </c>
      <c r="V798">
        <v>2</v>
      </c>
      <c r="W798">
        <v>1</v>
      </c>
      <c r="X798">
        <v>1</v>
      </c>
      <c r="Y798">
        <v>0</v>
      </c>
      <c r="Z798">
        <v>1</v>
      </c>
      <c r="AA798">
        <v>0</v>
      </c>
      <c r="AB798">
        <v>338.56</v>
      </c>
      <c r="AC798">
        <v>297.89999999999998</v>
      </c>
      <c r="AD798">
        <v>0</v>
      </c>
      <c r="AE798">
        <v>40.659999999999997</v>
      </c>
      <c r="AF798">
        <v>0</v>
      </c>
      <c r="AG798">
        <v>0</v>
      </c>
      <c r="AH798">
        <v>0</v>
      </c>
      <c r="AI798">
        <v>60.94</v>
      </c>
      <c r="AJ798">
        <v>338.56</v>
      </c>
      <c r="AK798">
        <v>0</v>
      </c>
      <c r="AL798" t="s">
        <v>53</v>
      </c>
      <c r="AM798" t="s">
        <v>53</v>
      </c>
      <c r="AN798" t="s">
        <v>280</v>
      </c>
      <c r="AO798" t="s">
        <v>53</v>
      </c>
      <c r="AP798" t="s">
        <v>53</v>
      </c>
    </row>
    <row r="799" spans="2:42" x14ac:dyDescent="0.2">
      <c r="B799" t="s">
        <v>44</v>
      </c>
      <c r="C799" t="str">
        <f>HYPERLINK("https://us2.cloudbeds.com/connect/8493803454333002#/reservations/598390542534?display=E1B8ZUVD&amp;reservation_id=598390542534", "E1B8ZUVD")</f>
        <v>E1B8ZUVD</v>
      </c>
      <c r="D799" t="s">
        <v>45</v>
      </c>
      <c r="E799" t="s">
        <v>190</v>
      </c>
      <c r="F799" t="s">
        <v>61</v>
      </c>
      <c r="G799" t="s">
        <v>48</v>
      </c>
      <c r="H799" t="s">
        <v>49</v>
      </c>
      <c r="I799" t="s">
        <v>79</v>
      </c>
      <c r="J799" t="s">
        <v>956</v>
      </c>
      <c r="K799" t="s">
        <v>743</v>
      </c>
      <c r="L799" t="s">
        <v>53</v>
      </c>
      <c r="N799" t="s">
        <v>1570</v>
      </c>
      <c r="P799" t="s">
        <v>55</v>
      </c>
      <c r="R799" t="s">
        <v>56</v>
      </c>
      <c r="T799" t="s">
        <v>1560</v>
      </c>
      <c r="U799" t="s">
        <v>58</v>
      </c>
      <c r="V799">
        <v>1</v>
      </c>
      <c r="W799">
        <v>1</v>
      </c>
      <c r="X799">
        <v>1</v>
      </c>
      <c r="Y799">
        <v>0</v>
      </c>
      <c r="Z799">
        <v>1</v>
      </c>
      <c r="AA799">
        <v>0</v>
      </c>
      <c r="AB799">
        <v>86.94</v>
      </c>
      <c r="AC799">
        <v>76.5</v>
      </c>
      <c r="AD799">
        <v>0</v>
      </c>
      <c r="AE799">
        <v>10.45</v>
      </c>
      <c r="AF799">
        <v>0</v>
      </c>
      <c r="AG799">
        <v>0</v>
      </c>
      <c r="AH799">
        <v>0</v>
      </c>
      <c r="AI799">
        <v>0</v>
      </c>
      <c r="AJ799">
        <v>86.95</v>
      </c>
      <c r="AK799">
        <v>0.01</v>
      </c>
      <c r="AL799" t="s">
        <v>53</v>
      </c>
      <c r="AM799" t="s">
        <v>53</v>
      </c>
      <c r="AN799" t="s">
        <v>142</v>
      </c>
      <c r="AO799" t="s">
        <v>53</v>
      </c>
      <c r="AP799" t="s">
        <v>53</v>
      </c>
    </row>
    <row r="800" spans="2:42" x14ac:dyDescent="0.2">
      <c r="B800" t="s">
        <v>44</v>
      </c>
      <c r="C800" t="str">
        <f>HYPERLINK("https://us2.cloudbeds.com/connect/8493803454333002#/reservations/598355005635?display=E1ABQ2BN&amp;reservation_id=598355005635", "E1ABQ2BN")</f>
        <v>E1ABQ2BN</v>
      </c>
      <c r="D800" t="s">
        <v>45</v>
      </c>
      <c r="E800" t="s">
        <v>85</v>
      </c>
      <c r="F800" t="s">
        <v>86</v>
      </c>
      <c r="G800" t="s">
        <v>48</v>
      </c>
      <c r="H800" t="s">
        <v>49</v>
      </c>
      <c r="I800" t="s">
        <v>79</v>
      </c>
      <c r="J800" t="s">
        <v>743</v>
      </c>
      <c r="K800" t="s">
        <v>623</v>
      </c>
      <c r="L800" t="s">
        <v>53</v>
      </c>
      <c r="N800" t="s">
        <v>1571</v>
      </c>
      <c r="P800" t="s">
        <v>55</v>
      </c>
      <c r="R800" t="s">
        <v>56</v>
      </c>
      <c r="T800" t="s">
        <v>1560</v>
      </c>
      <c r="U800" t="s">
        <v>58</v>
      </c>
      <c r="V800">
        <v>2</v>
      </c>
      <c r="W800">
        <v>1</v>
      </c>
      <c r="X800">
        <v>1</v>
      </c>
      <c r="Y800">
        <v>0</v>
      </c>
      <c r="Z800">
        <v>1</v>
      </c>
      <c r="AA800">
        <v>0</v>
      </c>
      <c r="AB800">
        <v>204.57</v>
      </c>
      <c r="AC800">
        <v>180</v>
      </c>
      <c r="AD800">
        <v>0</v>
      </c>
      <c r="AE800">
        <v>24.58</v>
      </c>
      <c r="AF800">
        <v>0</v>
      </c>
      <c r="AG800">
        <v>0</v>
      </c>
      <c r="AH800">
        <v>0</v>
      </c>
      <c r="AI800">
        <v>0</v>
      </c>
      <c r="AJ800">
        <v>204.58</v>
      </c>
      <c r="AK800">
        <v>0.01</v>
      </c>
      <c r="AL800" t="s">
        <v>53</v>
      </c>
      <c r="AM800" t="s">
        <v>53</v>
      </c>
      <c r="AN800" t="s">
        <v>1572</v>
      </c>
      <c r="AO800" t="s">
        <v>53</v>
      </c>
      <c r="AP800" t="s">
        <v>53</v>
      </c>
    </row>
    <row r="801" spans="2:42" x14ac:dyDescent="0.2">
      <c r="B801" t="s">
        <v>44</v>
      </c>
      <c r="C801" t="str">
        <f>HYPERLINK("https://us2.cloudbeds.com/connect/8493803454333002#/reservations/598418489535?display=E1BWAJV8&amp;reservation_id=598418489535", "E1BWAJV8")</f>
        <v>E1BWAJV8</v>
      </c>
      <c r="D801" t="s">
        <v>45</v>
      </c>
      <c r="E801" t="s">
        <v>78</v>
      </c>
      <c r="F801" t="s">
        <v>61</v>
      </c>
      <c r="G801" t="s">
        <v>48</v>
      </c>
      <c r="H801" t="s">
        <v>49</v>
      </c>
      <c r="I801" t="s">
        <v>79</v>
      </c>
      <c r="J801" t="s">
        <v>623</v>
      </c>
      <c r="K801" t="s">
        <v>345</v>
      </c>
      <c r="L801" t="s">
        <v>53</v>
      </c>
      <c r="N801" t="s">
        <v>1573</v>
      </c>
      <c r="P801" t="s">
        <v>55</v>
      </c>
      <c r="R801" t="s">
        <v>56</v>
      </c>
      <c r="T801" t="s">
        <v>1560</v>
      </c>
      <c r="U801" t="s">
        <v>58</v>
      </c>
      <c r="V801">
        <v>1</v>
      </c>
      <c r="W801">
        <v>1</v>
      </c>
      <c r="X801">
        <v>1</v>
      </c>
      <c r="Y801">
        <v>0</v>
      </c>
      <c r="Z801">
        <v>1</v>
      </c>
      <c r="AA801">
        <v>0</v>
      </c>
      <c r="AB801">
        <v>90.01</v>
      </c>
      <c r="AC801">
        <v>79.2</v>
      </c>
      <c r="AD801">
        <v>0</v>
      </c>
      <c r="AE801">
        <v>10.81</v>
      </c>
      <c r="AF801">
        <v>0</v>
      </c>
      <c r="AG801">
        <v>0</v>
      </c>
      <c r="AH801">
        <v>0</v>
      </c>
      <c r="AI801">
        <v>0</v>
      </c>
      <c r="AJ801">
        <v>90.01</v>
      </c>
      <c r="AK801">
        <v>0</v>
      </c>
      <c r="AL801" t="s">
        <v>53</v>
      </c>
      <c r="AM801" t="s">
        <v>53</v>
      </c>
      <c r="AN801" t="s">
        <v>127</v>
      </c>
      <c r="AO801" t="s">
        <v>53</v>
      </c>
      <c r="AP801" t="s">
        <v>53</v>
      </c>
    </row>
    <row r="802" spans="2:42" x14ac:dyDescent="0.2">
      <c r="B802" t="s">
        <v>44</v>
      </c>
      <c r="C802" t="str">
        <f>HYPERLINK("https://us2.cloudbeds.com/connect/8493803454333002#/reservations/598540964056?display=E1F3JY2C&amp;reservation_id=598540964056", "E1F3JY2C")</f>
        <v>E1F3JY2C</v>
      </c>
      <c r="D802" t="s">
        <v>45</v>
      </c>
      <c r="E802" t="s">
        <v>138</v>
      </c>
      <c r="F802" t="s">
        <v>70</v>
      </c>
      <c r="G802" t="s">
        <v>48</v>
      </c>
      <c r="H802" t="s">
        <v>49</v>
      </c>
      <c r="I802" t="s">
        <v>62</v>
      </c>
      <c r="J802" t="s">
        <v>743</v>
      </c>
      <c r="K802" t="s">
        <v>744</v>
      </c>
      <c r="L802" t="s">
        <v>53</v>
      </c>
      <c r="N802" t="s">
        <v>1574</v>
      </c>
      <c r="P802" t="s">
        <v>55</v>
      </c>
      <c r="R802" t="s">
        <v>201</v>
      </c>
      <c r="T802" t="s">
        <v>1560</v>
      </c>
      <c r="U802" t="s">
        <v>58</v>
      </c>
      <c r="V802">
        <v>1</v>
      </c>
      <c r="W802">
        <v>1</v>
      </c>
      <c r="X802">
        <v>1</v>
      </c>
      <c r="Y802">
        <v>0</v>
      </c>
      <c r="Z802">
        <v>1</v>
      </c>
      <c r="AA802">
        <v>0</v>
      </c>
      <c r="AB802">
        <v>76.37</v>
      </c>
      <c r="AC802">
        <v>67.2</v>
      </c>
      <c r="AD802">
        <v>0</v>
      </c>
      <c r="AE802">
        <v>9.17</v>
      </c>
      <c r="AF802">
        <v>0</v>
      </c>
      <c r="AG802">
        <v>0</v>
      </c>
      <c r="AH802">
        <v>0</v>
      </c>
      <c r="AI802">
        <v>11.46</v>
      </c>
      <c r="AJ802">
        <v>76.37</v>
      </c>
      <c r="AK802">
        <v>0</v>
      </c>
      <c r="AL802" t="s">
        <v>53</v>
      </c>
      <c r="AM802" t="s">
        <v>53</v>
      </c>
      <c r="AN802" t="s">
        <v>1575</v>
      </c>
      <c r="AO802" t="s">
        <v>53</v>
      </c>
      <c r="AP802" t="s">
        <v>53</v>
      </c>
    </row>
    <row r="803" spans="2:42" x14ac:dyDescent="0.2">
      <c r="B803" t="s">
        <v>44</v>
      </c>
      <c r="C803" t="str">
        <f>HYPERLINK("https://us2.cloudbeds.com/connect/8493803454333002#/reservations/598531932359?display=E1ESWAGJ&amp;reservation_id=598531932359", "E1ESWAGJ")</f>
        <v>E1ESWAGJ</v>
      </c>
      <c r="D803" t="s">
        <v>45</v>
      </c>
      <c r="E803" t="s">
        <v>165</v>
      </c>
      <c r="F803" t="s">
        <v>61</v>
      </c>
      <c r="G803" t="s">
        <v>48</v>
      </c>
      <c r="H803" t="s">
        <v>71</v>
      </c>
      <c r="I803" t="s">
        <v>72</v>
      </c>
      <c r="J803" t="s">
        <v>191</v>
      </c>
      <c r="K803" t="s">
        <v>253</v>
      </c>
      <c r="L803" t="s">
        <v>53</v>
      </c>
      <c r="N803" t="s">
        <v>1576</v>
      </c>
      <c r="P803" t="s">
        <v>55</v>
      </c>
      <c r="R803" t="s">
        <v>56</v>
      </c>
      <c r="T803" t="s">
        <v>1560</v>
      </c>
      <c r="U803" t="s">
        <v>58</v>
      </c>
      <c r="V803">
        <v>3</v>
      </c>
      <c r="W803">
        <v>1</v>
      </c>
      <c r="X803">
        <v>1</v>
      </c>
      <c r="Y803">
        <v>0</v>
      </c>
      <c r="Z803">
        <v>1</v>
      </c>
      <c r="AA803">
        <v>0</v>
      </c>
      <c r="AB803">
        <v>351.18</v>
      </c>
      <c r="AC803">
        <v>309</v>
      </c>
      <c r="AD803">
        <v>0</v>
      </c>
      <c r="AE803">
        <v>42.21</v>
      </c>
      <c r="AF803">
        <v>0</v>
      </c>
      <c r="AG803">
        <v>0</v>
      </c>
      <c r="AH803">
        <v>0</v>
      </c>
      <c r="AI803">
        <v>0</v>
      </c>
      <c r="AJ803">
        <v>351.21</v>
      </c>
      <c r="AK803">
        <v>0.03</v>
      </c>
      <c r="AL803" t="s">
        <v>53</v>
      </c>
      <c r="AM803" t="s">
        <v>53</v>
      </c>
      <c r="AN803" t="s">
        <v>1577</v>
      </c>
      <c r="AO803" t="s">
        <v>53</v>
      </c>
      <c r="AP803" t="s">
        <v>53</v>
      </c>
    </row>
    <row r="804" spans="2:42" x14ac:dyDescent="0.2">
      <c r="B804" t="s">
        <v>44</v>
      </c>
      <c r="C804" t="str">
        <f>HYPERLINK("https://us2.cloudbeds.com/connect/8493803454333002#/reservations/598230425776?display=E175ZEVF&amp;reservation_id=598230425776", "E175ZEVF")</f>
        <v>E175ZEVF</v>
      </c>
      <c r="D804" t="s">
        <v>45</v>
      </c>
      <c r="E804" t="s">
        <v>190</v>
      </c>
      <c r="F804" t="s">
        <v>61</v>
      </c>
      <c r="G804" t="s">
        <v>48</v>
      </c>
      <c r="H804" t="s">
        <v>49</v>
      </c>
      <c r="I804" t="s">
        <v>266</v>
      </c>
      <c r="J804" t="s">
        <v>744</v>
      </c>
      <c r="K804" t="s">
        <v>623</v>
      </c>
      <c r="L804" t="s">
        <v>53</v>
      </c>
      <c r="N804" t="s">
        <v>1578</v>
      </c>
      <c r="P804" t="s">
        <v>55</v>
      </c>
      <c r="R804" t="s">
        <v>56</v>
      </c>
      <c r="T804" t="s">
        <v>1560</v>
      </c>
      <c r="U804" t="s">
        <v>58</v>
      </c>
      <c r="V804">
        <v>1</v>
      </c>
      <c r="W804">
        <v>1</v>
      </c>
      <c r="X804">
        <v>1</v>
      </c>
      <c r="Y804">
        <v>0</v>
      </c>
      <c r="Z804">
        <v>1</v>
      </c>
      <c r="AA804">
        <v>0</v>
      </c>
      <c r="AB804">
        <v>90.01</v>
      </c>
      <c r="AC804">
        <v>79.2</v>
      </c>
      <c r="AD804">
        <v>0</v>
      </c>
      <c r="AE804">
        <v>10.81</v>
      </c>
      <c r="AF804">
        <v>0</v>
      </c>
      <c r="AG804">
        <v>0</v>
      </c>
      <c r="AH804">
        <v>0</v>
      </c>
      <c r="AI804">
        <v>0</v>
      </c>
      <c r="AJ804">
        <v>90.01</v>
      </c>
      <c r="AK804">
        <v>0</v>
      </c>
      <c r="AL804" t="s">
        <v>53</v>
      </c>
      <c r="AM804" t="s">
        <v>53</v>
      </c>
      <c r="AN804" t="s">
        <v>545</v>
      </c>
      <c r="AO804" t="s">
        <v>53</v>
      </c>
      <c r="AP804" t="s">
        <v>53</v>
      </c>
    </row>
    <row r="805" spans="2:42" x14ac:dyDescent="0.2">
      <c r="B805" t="s">
        <v>44</v>
      </c>
      <c r="C805" t="str">
        <f>HYPERLINK("https://us2.cloudbeds.com/connect/8493803454333002#/reservations/598495424683?display=E1DV6EFC&amp;reservation_id=598495424683", "E1DV6EFC")</f>
        <v>E1DV6EFC</v>
      </c>
      <c r="D805" t="s">
        <v>45</v>
      </c>
      <c r="E805" t="s">
        <v>265</v>
      </c>
      <c r="F805" t="s">
        <v>61</v>
      </c>
      <c r="G805" t="s">
        <v>48</v>
      </c>
      <c r="H805" t="s">
        <v>49</v>
      </c>
      <c r="I805" t="s">
        <v>79</v>
      </c>
      <c r="J805" t="s">
        <v>956</v>
      </c>
      <c r="K805" t="s">
        <v>744</v>
      </c>
      <c r="L805" t="s">
        <v>53</v>
      </c>
      <c r="N805" t="s">
        <v>1579</v>
      </c>
      <c r="P805" t="s">
        <v>55</v>
      </c>
      <c r="R805" t="s">
        <v>56</v>
      </c>
      <c r="T805" t="s">
        <v>1560</v>
      </c>
      <c r="U805" t="s">
        <v>58</v>
      </c>
      <c r="V805">
        <v>2</v>
      </c>
      <c r="W805">
        <v>1</v>
      </c>
      <c r="X805">
        <v>1</v>
      </c>
      <c r="Y805">
        <v>0</v>
      </c>
      <c r="Z805">
        <v>1</v>
      </c>
      <c r="AA805">
        <v>0</v>
      </c>
      <c r="AB805">
        <v>173.88</v>
      </c>
      <c r="AC805">
        <v>153</v>
      </c>
      <c r="AD805">
        <v>0</v>
      </c>
      <c r="AE805">
        <v>20.9</v>
      </c>
      <c r="AF805">
        <v>0</v>
      </c>
      <c r="AG805">
        <v>0</v>
      </c>
      <c r="AH805">
        <v>0</v>
      </c>
      <c r="AI805">
        <v>0</v>
      </c>
      <c r="AJ805">
        <v>173.9</v>
      </c>
      <c r="AK805">
        <v>0.02</v>
      </c>
      <c r="AL805" t="s">
        <v>53</v>
      </c>
      <c r="AM805" t="s">
        <v>53</v>
      </c>
      <c r="AN805" t="s">
        <v>1580</v>
      </c>
      <c r="AO805" t="s">
        <v>53</v>
      </c>
      <c r="AP805" t="s">
        <v>53</v>
      </c>
    </row>
    <row r="806" spans="2:42" x14ac:dyDescent="0.2">
      <c r="B806" t="s">
        <v>44</v>
      </c>
      <c r="C806" t="str">
        <f>HYPERLINK("https://us2.cloudbeds.com/connect/8493803454333002#/reservations/598299009235?display=E18UXTB3&amp;reservation_id=598299009235", "E18UXTB3")</f>
        <v>E18UXTB3</v>
      </c>
      <c r="D806" t="s">
        <v>45</v>
      </c>
      <c r="E806" t="s">
        <v>487</v>
      </c>
      <c r="F806" t="s">
        <v>61</v>
      </c>
      <c r="G806" t="s">
        <v>48</v>
      </c>
      <c r="H806" t="s">
        <v>49</v>
      </c>
      <c r="I806" t="s">
        <v>79</v>
      </c>
      <c r="J806" t="s">
        <v>743</v>
      </c>
      <c r="K806" t="s">
        <v>623</v>
      </c>
      <c r="L806" t="s">
        <v>53</v>
      </c>
      <c r="N806" t="s">
        <v>1581</v>
      </c>
      <c r="P806" t="s">
        <v>55</v>
      </c>
      <c r="R806" t="s">
        <v>56</v>
      </c>
      <c r="T806" t="s">
        <v>1560</v>
      </c>
      <c r="U806" t="s">
        <v>58</v>
      </c>
      <c r="V806">
        <v>2</v>
      </c>
      <c r="W806">
        <v>1</v>
      </c>
      <c r="X806">
        <v>1</v>
      </c>
      <c r="Y806">
        <v>0</v>
      </c>
      <c r="Z806">
        <v>1</v>
      </c>
      <c r="AA806">
        <v>0</v>
      </c>
      <c r="AB806">
        <v>176.95</v>
      </c>
      <c r="AC806">
        <v>155.69999999999999</v>
      </c>
      <c r="AD806">
        <v>0</v>
      </c>
      <c r="AE806">
        <v>21.26</v>
      </c>
      <c r="AF806">
        <v>0</v>
      </c>
      <c r="AG806">
        <v>0</v>
      </c>
      <c r="AH806">
        <v>0</v>
      </c>
      <c r="AI806">
        <v>0</v>
      </c>
      <c r="AJ806">
        <v>176.96</v>
      </c>
      <c r="AK806">
        <v>0.01</v>
      </c>
      <c r="AL806" t="s">
        <v>53</v>
      </c>
      <c r="AM806" t="s">
        <v>53</v>
      </c>
      <c r="AN806" t="s">
        <v>252</v>
      </c>
      <c r="AO806" t="s">
        <v>53</v>
      </c>
      <c r="AP806" t="s">
        <v>53</v>
      </c>
    </row>
    <row r="807" spans="2:42" x14ac:dyDescent="0.2">
      <c r="B807" t="s">
        <v>44</v>
      </c>
      <c r="C807" t="str">
        <f>HYPERLINK("https://us2.cloudbeds.com/connect/8493803454333002#/reservations/598308372701?display=E195FEXG&amp;reservation_id=598308372701", "E195FEXG")</f>
        <v>E195FEXG</v>
      </c>
      <c r="D807" t="s">
        <v>45</v>
      </c>
      <c r="E807" t="s">
        <v>138</v>
      </c>
      <c r="F807" t="s">
        <v>70</v>
      </c>
      <c r="G807" t="s">
        <v>48</v>
      </c>
      <c r="H807" t="s">
        <v>71</v>
      </c>
      <c r="I807" t="s">
        <v>72</v>
      </c>
      <c r="J807" t="s">
        <v>267</v>
      </c>
      <c r="K807" t="s">
        <v>268</v>
      </c>
      <c r="L807" t="s">
        <v>53</v>
      </c>
      <c r="N807" t="s">
        <v>1582</v>
      </c>
      <c r="P807" t="s">
        <v>55</v>
      </c>
      <c r="R807" t="s">
        <v>56</v>
      </c>
      <c r="T807" t="s">
        <v>1583</v>
      </c>
      <c r="U807" t="s">
        <v>58</v>
      </c>
      <c r="V807">
        <v>1</v>
      </c>
      <c r="W807">
        <v>1</v>
      </c>
      <c r="X807">
        <v>1</v>
      </c>
      <c r="Y807">
        <v>0</v>
      </c>
      <c r="Z807">
        <v>1</v>
      </c>
      <c r="AA807">
        <v>0</v>
      </c>
      <c r="AB807">
        <v>67.05</v>
      </c>
      <c r="AC807">
        <v>59</v>
      </c>
      <c r="AD807">
        <v>0</v>
      </c>
      <c r="AE807">
        <v>8.06</v>
      </c>
      <c r="AF807">
        <v>0</v>
      </c>
      <c r="AG807">
        <v>0</v>
      </c>
      <c r="AH807">
        <v>0</v>
      </c>
      <c r="AI807">
        <v>0</v>
      </c>
      <c r="AJ807">
        <v>67.06</v>
      </c>
      <c r="AK807">
        <v>0.01</v>
      </c>
      <c r="AL807" t="s">
        <v>53</v>
      </c>
      <c r="AM807" t="s">
        <v>53</v>
      </c>
      <c r="AN807" t="s">
        <v>1584</v>
      </c>
      <c r="AO807" t="s">
        <v>53</v>
      </c>
      <c r="AP807" t="s">
        <v>53</v>
      </c>
    </row>
    <row r="808" spans="2:42" x14ac:dyDescent="0.2">
      <c r="B808" t="s">
        <v>44</v>
      </c>
      <c r="C808" t="str">
        <f>HYPERLINK("https://us2.cloudbeds.com/connect/8493803454333002#/reservations/598500978822?display=E1E2SWMK&amp;reservation_id=598500978822", "E1E2SWMK")</f>
        <v>E1E2SWMK</v>
      </c>
      <c r="D808" t="s">
        <v>45</v>
      </c>
      <c r="E808" t="s">
        <v>98</v>
      </c>
      <c r="F808" t="s">
        <v>86</v>
      </c>
      <c r="G808" t="s">
        <v>48</v>
      </c>
      <c r="H808" t="s">
        <v>49</v>
      </c>
      <c r="I808" t="s">
        <v>62</v>
      </c>
      <c r="J808" t="s">
        <v>744</v>
      </c>
      <c r="K808" t="s">
        <v>623</v>
      </c>
      <c r="L808" t="s">
        <v>53</v>
      </c>
      <c r="N808" t="s">
        <v>1585</v>
      </c>
      <c r="P808" t="s">
        <v>55</v>
      </c>
      <c r="R808" t="s">
        <v>946</v>
      </c>
      <c r="T808" t="s">
        <v>1583</v>
      </c>
      <c r="U808" t="s">
        <v>58</v>
      </c>
      <c r="V808">
        <v>1</v>
      </c>
      <c r="W808">
        <v>1</v>
      </c>
      <c r="X808">
        <v>1</v>
      </c>
      <c r="Y808">
        <v>0</v>
      </c>
      <c r="Z808">
        <v>1</v>
      </c>
      <c r="AA808">
        <v>0</v>
      </c>
      <c r="AB808">
        <v>119.33</v>
      </c>
      <c r="AC808">
        <v>105</v>
      </c>
      <c r="AD808">
        <v>0</v>
      </c>
      <c r="AE808">
        <v>14.34</v>
      </c>
      <c r="AF808">
        <v>0</v>
      </c>
      <c r="AG808">
        <v>0</v>
      </c>
      <c r="AH808">
        <v>0</v>
      </c>
      <c r="AI808">
        <v>17.899999999999999</v>
      </c>
      <c r="AJ808">
        <v>119.34</v>
      </c>
      <c r="AK808">
        <v>0.01</v>
      </c>
      <c r="AL808" t="s">
        <v>53</v>
      </c>
      <c r="AM808" t="s">
        <v>53</v>
      </c>
      <c r="AN808" t="s">
        <v>1586</v>
      </c>
      <c r="AO808" t="s">
        <v>53</v>
      </c>
      <c r="AP808" t="s">
        <v>53</v>
      </c>
    </row>
    <row r="809" spans="2:42" x14ac:dyDescent="0.2">
      <c r="B809" t="s">
        <v>44</v>
      </c>
      <c r="C809" t="str">
        <f>HYPERLINK("https://us2.cloudbeds.com/connect/8493803454333002#/reservations/598350405794?display=E1A7U2EJ&amp;reservation_id=598350405794", "E1A7U2EJ")</f>
        <v>E1A7U2EJ</v>
      </c>
      <c r="D809" t="s">
        <v>45</v>
      </c>
      <c r="E809" t="s">
        <v>190</v>
      </c>
      <c r="F809" t="s">
        <v>61</v>
      </c>
      <c r="G809" t="s">
        <v>48</v>
      </c>
      <c r="H809" t="s">
        <v>49</v>
      </c>
      <c r="I809" t="s">
        <v>50</v>
      </c>
      <c r="J809" t="s">
        <v>743</v>
      </c>
      <c r="K809" t="s">
        <v>744</v>
      </c>
      <c r="L809" t="s">
        <v>53</v>
      </c>
      <c r="N809" t="s">
        <v>1587</v>
      </c>
      <c r="P809" t="s">
        <v>55</v>
      </c>
      <c r="R809" t="s">
        <v>56</v>
      </c>
      <c r="T809" t="s">
        <v>1583</v>
      </c>
      <c r="U809" t="s">
        <v>58</v>
      </c>
      <c r="V809">
        <v>1</v>
      </c>
      <c r="W809">
        <v>1</v>
      </c>
      <c r="X809">
        <v>1</v>
      </c>
      <c r="Y809">
        <v>0</v>
      </c>
      <c r="Z809">
        <v>1</v>
      </c>
      <c r="AA809">
        <v>0</v>
      </c>
      <c r="AB809">
        <v>86.94</v>
      </c>
      <c r="AC809">
        <v>76.5</v>
      </c>
      <c r="AD809">
        <v>0</v>
      </c>
      <c r="AE809">
        <v>10.45</v>
      </c>
      <c r="AF809">
        <v>0</v>
      </c>
      <c r="AG809">
        <v>0</v>
      </c>
      <c r="AH809">
        <v>0</v>
      </c>
      <c r="AI809">
        <v>15.65</v>
      </c>
      <c r="AJ809">
        <v>86.95</v>
      </c>
      <c r="AK809">
        <v>0.01</v>
      </c>
      <c r="AL809" t="s">
        <v>53</v>
      </c>
      <c r="AM809" t="s">
        <v>53</v>
      </c>
      <c r="AN809" t="s">
        <v>1588</v>
      </c>
      <c r="AO809" t="s">
        <v>53</v>
      </c>
      <c r="AP809" t="s">
        <v>53</v>
      </c>
    </row>
    <row r="810" spans="2:42" x14ac:dyDescent="0.2">
      <c r="B810" t="s">
        <v>44</v>
      </c>
      <c r="C810" t="str">
        <f>HYPERLINK("https://us2.cloudbeds.com/connect/8493803454333002#/reservations/598559248566?display=E1FJ0E8E&amp;reservation_id=598559248566", "E1FJ0E8E")</f>
        <v>E1FJ0E8E</v>
      </c>
      <c r="D810" t="s">
        <v>45</v>
      </c>
      <c r="E810" t="s">
        <v>487</v>
      </c>
      <c r="F810" t="s">
        <v>61</v>
      </c>
      <c r="G810" t="s">
        <v>48</v>
      </c>
      <c r="H810" t="s">
        <v>49</v>
      </c>
      <c r="I810" t="s">
        <v>79</v>
      </c>
      <c r="J810" t="s">
        <v>922</v>
      </c>
      <c r="K810" t="s">
        <v>107</v>
      </c>
      <c r="L810" t="s">
        <v>53</v>
      </c>
      <c r="N810" t="s">
        <v>1589</v>
      </c>
      <c r="P810" t="s">
        <v>55</v>
      </c>
      <c r="R810" t="s">
        <v>56</v>
      </c>
      <c r="T810" t="s">
        <v>1583</v>
      </c>
      <c r="U810" t="s">
        <v>58</v>
      </c>
      <c r="V810">
        <v>1</v>
      </c>
      <c r="W810">
        <v>1</v>
      </c>
      <c r="X810">
        <v>1</v>
      </c>
      <c r="Y810">
        <v>0</v>
      </c>
      <c r="Z810">
        <v>1</v>
      </c>
      <c r="AA810">
        <v>0</v>
      </c>
      <c r="AB810">
        <v>153.43</v>
      </c>
      <c r="AC810">
        <v>135</v>
      </c>
      <c r="AD810">
        <v>0</v>
      </c>
      <c r="AE810">
        <v>18.440000000000001</v>
      </c>
      <c r="AF810">
        <v>0</v>
      </c>
      <c r="AG810">
        <v>0</v>
      </c>
      <c r="AH810">
        <v>0</v>
      </c>
      <c r="AI810">
        <v>0</v>
      </c>
      <c r="AJ810">
        <v>153.44</v>
      </c>
      <c r="AK810">
        <v>0.01</v>
      </c>
      <c r="AL810" t="s">
        <v>53</v>
      </c>
      <c r="AM810" t="s">
        <v>53</v>
      </c>
      <c r="AN810" t="s">
        <v>91</v>
      </c>
      <c r="AO810" t="s">
        <v>53</v>
      </c>
      <c r="AP810" t="s">
        <v>53</v>
      </c>
    </row>
    <row r="811" spans="2:42" x14ac:dyDescent="0.2">
      <c r="B811" t="s">
        <v>44</v>
      </c>
      <c r="C811" t="str">
        <f>HYPERLINK("https://us2.cloudbeds.com/connect/8493803454333002#/reservations/598604001422?display=E1GNZZKJ&amp;reservation_id=598604001422", "E1GNZZKJ")</f>
        <v>E1GNZZKJ</v>
      </c>
      <c r="D811" t="s">
        <v>45</v>
      </c>
      <c r="E811" t="s">
        <v>138</v>
      </c>
      <c r="F811" t="s">
        <v>70</v>
      </c>
      <c r="G811" t="s">
        <v>48</v>
      </c>
      <c r="H811" t="s">
        <v>49</v>
      </c>
      <c r="I811" t="s">
        <v>62</v>
      </c>
      <c r="J811" t="s">
        <v>288</v>
      </c>
      <c r="K811" t="s">
        <v>289</v>
      </c>
      <c r="L811" t="s">
        <v>53</v>
      </c>
      <c r="N811" t="s">
        <v>1590</v>
      </c>
      <c r="P811" t="s">
        <v>55</v>
      </c>
      <c r="R811" t="s">
        <v>56</v>
      </c>
      <c r="T811" t="s">
        <v>1583</v>
      </c>
      <c r="U811" t="s">
        <v>58</v>
      </c>
      <c r="V811">
        <v>1</v>
      </c>
      <c r="W811">
        <v>1</v>
      </c>
      <c r="X811">
        <v>1</v>
      </c>
      <c r="Y811">
        <v>0</v>
      </c>
      <c r="Z811">
        <v>1</v>
      </c>
      <c r="AA811">
        <v>0</v>
      </c>
      <c r="AB811">
        <v>142.06</v>
      </c>
      <c r="AC811">
        <v>125</v>
      </c>
      <c r="AD811">
        <v>0</v>
      </c>
      <c r="AE811">
        <v>17.07</v>
      </c>
      <c r="AF811">
        <v>0</v>
      </c>
      <c r="AG811">
        <v>0</v>
      </c>
      <c r="AH811">
        <v>0</v>
      </c>
      <c r="AI811">
        <v>21.31</v>
      </c>
      <c r="AJ811">
        <v>142.07</v>
      </c>
      <c r="AK811">
        <v>0.01</v>
      </c>
      <c r="AL811" t="s">
        <v>53</v>
      </c>
      <c r="AM811" t="s">
        <v>53</v>
      </c>
      <c r="AN811" t="s">
        <v>280</v>
      </c>
      <c r="AO811" t="s">
        <v>53</v>
      </c>
      <c r="AP811" t="s">
        <v>53</v>
      </c>
    </row>
    <row r="812" spans="2:42" x14ac:dyDescent="0.2">
      <c r="B812" t="s">
        <v>44</v>
      </c>
      <c r="C812" t="str">
        <f>HYPERLINK("https://us2.cloudbeds.com/connect/8493803454333002#/reservations/598283608313?display=E18HJB2E&amp;reservation_id=598283608313", "E18HJB2E")</f>
        <v>E18HJB2E</v>
      </c>
      <c r="D812" t="s">
        <v>45</v>
      </c>
      <c r="E812" t="s">
        <v>179</v>
      </c>
      <c r="F812" t="s">
        <v>47</v>
      </c>
      <c r="G812" t="s">
        <v>48</v>
      </c>
      <c r="H812" t="s">
        <v>49</v>
      </c>
      <c r="I812" t="s">
        <v>50</v>
      </c>
      <c r="J812" t="s">
        <v>743</v>
      </c>
      <c r="K812" t="s">
        <v>744</v>
      </c>
      <c r="L812" t="s">
        <v>53</v>
      </c>
      <c r="N812" t="s">
        <v>1591</v>
      </c>
      <c r="P812" t="s">
        <v>55</v>
      </c>
      <c r="R812" t="s">
        <v>56</v>
      </c>
      <c r="T812" t="s">
        <v>1583</v>
      </c>
      <c r="U812" t="s">
        <v>58</v>
      </c>
      <c r="V812">
        <v>1</v>
      </c>
      <c r="W812">
        <v>1</v>
      </c>
      <c r="X812">
        <v>1</v>
      </c>
      <c r="Y812">
        <v>0</v>
      </c>
      <c r="Z812">
        <v>1</v>
      </c>
      <c r="AA812">
        <v>0</v>
      </c>
      <c r="AB812">
        <v>76.709999999999994</v>
      </c>
      <c r="AC812">
        <v>67.5</v>
      </c>
      <c r="AD812">
        <v>0</v>
      </c>
      <c r="AE812">
        <v>9.2100000000000009</v>
      </c>
      <c r="AF812">
        <v>0</v>
      </c>
      <c r="AG812">
        <v>0</v>
      </c>
      <c r="AH812">
        <v>0</v>
      </c>
      <c r="AI812">
        <v>13.81</v>
      </c>
      <c r="AJ812">
        <v>76.709999999999994</v>
      </c>
      <c r="AK812">
        <v>0</v>
      </c>
      <c r="AL812" t="s">
        <v>53</v>
      </c>
      <c r="AM812" t="s">
        <v>53</v>
      </c>
      <c r="AN812" t="s">
        <v>1592</v>
      </c>
      <c r="AO812" t="s">
        <v>53</v>
      </c>
      <c r="AP812" t="s">
        <v>53</v>
      </c>
    </row>
    <row r="813" spans="2:42" x14ac:dyDescent="0.2">
      <c r="B813" t="s">
        <v>44</v>
      </c>
      <c r="C813" t="str">
        <f>HYPERLINK("https://us2.cloudbeds.com/connect/8493803454333002#/reservations/598294733012?display=E18QVTJJ&amp;reservation_id=598294733012", "E18QVTJJ")</f>
        <v>E18QVTJJ</v>
      </c>
      <c r="D813" t="s">
        <v>45</v>
      </c>
      <c r="E813" t="s">
        <v>190</v>
      </c>
      <c r="F813" t="s">
        <v>61</v>
      </c>
      <c r="G813" t="s">
        <v>48</v>
      </c>
      <c r="H813" t="s">
        <v>49</v>
      </c>
      <c r="I813" t="s">
        <v>62</v>
      </c>
      <c r="J813" t="s">
        <v>755</v>
      </c>
      <c r="K813" t="s">
        <v>560</v>
      </c>
      <c r="L813" t="s">
        <v>53</v>
      </c>
      <c r="N813" t="s">
        <v>1593</v>
      </c>
      <c r="P813" t="s">
        <v>55</v>
      </c>
      <c r="R813" t="s">
        <v>56</v>
      </c>
      <c r="T813" t="s">
        <v>1583</v>
      </c>
      <c r="U813" t="s">
        <v>58</v>
      </c>
      <c r="V813">
        <v>3</v>
      </c>
      <c r="W813">
        <v>1</v>
      </c>
      <c r="X813">
        <v>1</v>
      </c>
      <c r="Y813">
        <v>0</v>
      </c>
      <c r="Z813">
        <v>1</v>
      </c>
      <c r="AA813">
        <v>0</v>
      </c>
      <c r="AB813">
        <v>310.26</v>
      </c>
      <c r="AC813">
        <v>273</v>
      </c>
      <c r="AD813">
        <v>0</v>
      </c>
      <c r="AE813">
        <v>37.29</v>
      </c>
      <c r="AF813">
        <v>0</v>
      </c>
      <c r="AG813">
        <v>0</v>
      </c>
      <c r="AH813">
        <v>0</v>
      </c>
      <c r="AI813">
        <v>46.54</v>
      </c>
      <c r="AJ813">
        <v>310.29000000000002</v>
      </c>
      <c r="AK813">
        <v>0.03</v>
      </c>
      <c r="AL813" t="s">
        <v>53</v>
      </c>
      <c r="AM813" t="s">
        <v>53</v>
      </c>
      <c r="AN813" t="s">
        <v>1594</v>
      </c>
      <c r="AO813" t="s">
        <v>53</v>
      </c>
      <c r="AP813" t="s">
        <v>53</v>
      </c>
    </row>
    <row r="814" spans="2:42" x14ac:dyDescent="0.2">
      <c r="B814" t="s">
        <v>44</v>
      </c>
      <c r="C814" t="str">
        <f>HYPERLINK("https://us2.cloudbeds.com/connect/8493803454333002#/reservations/598515527882?display=E1EF4RN7&amp;reservation_id=598515527882", "E1EF4RN7")</f>
        <v>E1EF4RN7</v>
      </c>
      <c r="D814" t="s">
        <v>45</v>
      </c>
      <c r="E814" t="s">
        <v>190</v>
      </c>
      <c r="F814" t="s">
        <v>61</v>
      </c>
      <c r="G814" t="s">
        <v>48</v>
      </c>
      <c r="H814" t="s">
        <v>49</v>
      </c>
      <c r="I814" t="s">
        <v>50</v>
      </c>
      <c r="J814" t="s">
        <v>881</v>
      </c>
      <c r="K814" t="s">
        <v>419</v>
      </c>
      <c r="L814" t="s">
        <v>53</v>
      </c>
      <c r="N814" t="s">
        <v>1595</v>
      </c>
      <c r="P814" t="s">
        <v>55</v>
      </c>
      <c r="R814" t="s">
        <v>56</v>
      </c>
      <c r="T814" t="s">
        <v>1583</v>
      </c>
      <c r="U814" t="s">
        <v>58</v>
      </c>
      <c r="V814">
        <v>7</v>
      </c>
      <c r="W814">
        <v>1</v>
      </c>
      <c r="X814">
        <v>1</v>
      </c>
      <c r="Y814">
        <v>0</v>
      </c>
      <c r="Z814">
        <v>1</v>
      </c>
      <c r="AA814">
        <v>0</v>
      </c>
      <c r="AB814">
        <v>543.13</v>
      </c>
      <c r="AC814">
        <v>477.9</v>
      </c>
      <c r="AD814">
        <v>0</v>
      </c>
      <c r="AE814">
        <v>65.239999999999995</v>
      </c>
      <c r="AF814">
        <v>0</v>
      </c>
      <c r="AG814">
        <v>0</v>
      </c>
      <c r="AH814">
        <v>0</v>
      </c>
      <c r="AI814">
        <v>97.77</v>
      </c>
      <c r="AJ814">
        <v>543.14</v>
      </c>
      <c r="AK814">
        <v>0.01</v>
      </c>
      <c r="AL814" t="s">
        <v>53</v>
      </c>
      <c r="AM814" t="s">
        <v>53</v>
      </c>
      <c r="AN814" t="s">
        <v>104</v>
      </c>
      <c r="AO814" t="s">
        <v>53</v>
      </c>
      <c r="AP814" t="s">
        <v>53</v>
      </c>
    </row>
    <row r="815" spans="2:42" x14ac:dyDescent="0.2">
      <c r="B815" t="s">
        <v>44</v>
      </c>
      <c r="C815" t="str">
        <f>HYPERLINK("https://us2.cloudbeds.com/connect/8493803454333002#/reservations/598497755342?display=E1E059YD&amp;reservation_id=598497755342", "E1E059YD")</f>
        <v>E1E059YD</v>
      </c>
      <c r="D815" t="s">
        <v>45</v>
      </c>
      <c r="E815" t="s">
        <v>46</v>
      </c>
      <c r="F815" t="s">
        <v>47</v>
      </c>
      <c r="G815" t="s">
        <v>48</v>
      </c>
      <c r="H815" t="s">
        <v>71</v>
      </c>
      <c r="I815" t="s">
        <v>72</v>
      </c>
      <c r="J815" t="s">
        <v>743</v>
      </c>
      <c r="K815" t="s">
        <v>744</v>
      </c>
      <c r="L815" t="s">
        <v>53</v>
      </c>
      <c r="N815" t="s">
        <v>1596</v>
      </c>
      <c r="P815" t="s">
        <v>58</v>
      </c>
      <c r="R815" t="s">
        <v>56</v>
      </c>
      <c r="T815" t="s">
        <v>1583</v>
      </c>
      <c r="U815" t="s">
        <v>58</v>
      </c>
      <c r="V815">
        <v>1</v>
      </c>
      <c r="W815">
        <v>1</v>
      </c>
      <c r="X815">
        <v>1</v>
      </c>
      <c r="Y815">
        <v>0</v>
      </c>
      <c r="Z815">
        <v>1</v>
      </c>
      <c r="AA815">
        <v>0</v>
      </c>
      <c r="AB815">
        <v>73.87</v>
      </c>
      <c r="AC815">
        <v>65</v>
      </c>
      <c r="AD815">
        <v>0</v>
      </c>
      <c r="AE815">
        <v>8.8800000000000008</v>
      </c>
      <c r="AF815">
        <v>0</v>
      </c>
      <c r="AG815">
        <v>0</v>
      </c>
      <c r="AH815">
        <v>0</v>
      </c>
      <c r="AI815">
        <v>0</v>
      </c>
      <c r="AJ815">
        <v>73.88</v>
      </c>
      <c r="AK815">
        <v>0.01</v>
      </c>
      <c r="AL815" t="s">
        <v>53</v>
      </c>
      <c r="AM815" t="s">
        <v>53</v>
      </c>
      <c r="AN815" t="s">
        <v>378</v>
      </c>
      <c r="AO815" t="s">
        <v>53</v>
      </c>
      <c r="AP815" t="s">
        <v>53</v>
      </c>
    </row>
    <row r="816" spans="2:42" x14ac:dyDescent="0.2">
      <c r="B816" t="s">
        <v>44</v>
      </c>
      <c r="C816" t="str">
        <f>HYPERLINK("https://us2.cloudbeds.com/connect/8493803454333002#/reservations/598149157046?display=E153710M&amp;reservation_id=598149157046", "E153710M")</f>
        <v>E153710M</v>
      </c>
      <c r="D816" t="s">
        <v>45</v>
      </c>
      <c r="E816" t="s">
        <v>406</v>
      </c>
      <c r="F816" t="s">
        <v>61</v>
      </c>
      <c r="G816" t="s">
        <v>48</v>
      </c>
      <c r="H816" t="s">
        <v>49</v>
      </c>
      <c r="I816" t="s">
        <v>79</v>
      </c>
      <c r="J816" t="s">
        <v>922</v>
      </c>
      <c r="K816" t="s">
        <v>107</v>
      </c>
      <c r="L816" t="s">
        <v>53</v>
      </c>
      <c r="N816" t="s">
        <v>1597</v>
      </c>
      <c r="P816" t="s">
        <v>55</v>
      </c>
      <c r="R816" t="s">
        <v>56</v>
      </c>
      <c r="T816" t="s">
        <v>1583</v>
      </c>
      <c r="U816" t="s">
        <v>58</v>
      </c>
      <c r="V816">
        <v>1</v>
      </c>
      <c r="W816">
        <v>1</v>
      </c>
      <c r="X816">
        <v>1</v>
      </c>
      <c r="Y816">
        <v>0</v>
      </c>
      <c r="Z816">
        <v>1</v>
      </c>
      <c r="AA816">
        <v>0</v>
      </c>
      <c r="AB816">
        <v>153.43</v>
      </c>
      <c r="AC816">
        <v>135</v>
      </c>
      <c r="AD816">
        <v>0</v>
      </c>
      <c r="AE816">
        <v>18.440000000000001</v>
      </c>
      <c r="AF816">
        <v>0</v>
      </c>
      <c r="AG816">
        <v>0</v>
      </c>
      <c r="AH816">
        <v>0</v>
      </c>
      <c r="AI816">
        <v>0</v>
      </c>
      <c r="AJ816">
        <v>153.44</v>
      </c>
      <c r="AK816">
        <v>0.01</v>
      </c>
      <c r="AL816" t="s">
        <v>53</v>
      </c>
      <c r="AM816" t="s">
        <v>53</v>
      </c>
      <c r="AN816" t="s">
        <v>178</v>
      </c>
      <c r="AO816" t="s">
        <v>53</v>
      </c>
      <c r="AP816" t="s">
        <v>53</v>
      </c>
    </row>
    <row r="817" spans="2:42" x14ac:dyDescent="0.2">
      <c r="B817" t="s">
        <v>44</v>
      </c>
      <c r="C817" t="str">
        <f>HYPERLINK("https://us2.cloudbeds.com/connect/8493803454333002#/reservations/598516535522?display=E1EFWSWM&amp;reservation_id=598516535522", "E1EFWSWM")</f>
        <v>E1EFWSWM</v>
      </c>
      <c r="D817" t="s">
        <v>45</v>
      </c>
      <c r="E817" t="s">
        <v>381</v>
      </c>
      <c r="F817" t="s">
        <v>47</v>
      </c>
      <c r="G817" t="s">
        <v>48</v>
      </c>
      <c r="H817" t="s">
        <v>49</v>
      </c>
      <c r="I817" t="s">
        <v>50</v>
      </c>
      <c r="J817" t="s">
        <v>134</v>
      </c>
      <c r="K817" t="s">
        <v>129</v>
      </c>
      <c r="L817" t="s">
        <v>53</v>
      </c>
      <c r="N817" t="s">
        <v>1598</v>
      </c>
      <c r="P817" t="s">
        <v>55</v>
      </c>
      <c r="R817" t="s">
        <v>56</v>
      </c>
      <c r="T817" t="s">
        <v>1583</v>
      </c>
      <c r="U817" t="s">
        <v>58</v>
      </c>
      <c r="V817">
        <v>2</v>
      </c>
      <c r="W817">
        <v>1</v>
      </c>
      <c r="X817">
        <v>1</v>
      </c>
      <c r="Y817">
        <v>0</v>
      </c>
      <c r="Z817">
        <v>1</v>
      </c>
      <c r="AA817">
        <v>0</v>
      </c>
      <c r="AB817">
        <v>279.24</v>
      </c>
      <c r="AC817">
        <v>245.7</v>
      </c>
      <c r="AD817">
        <v>0</v>
      </c>
      <c r="AE817">
        <v>33.54</v>
      </c>
      <c r="AF817">
        <v>0</v>
      </c>
      <c r="AG817">
        <v>0</v>
      </c>
      <c r="AH817">
        <v>0</v>
      </c>
      <c r="AI817">
        <v>50.26</v>
      </c>
      <c r="AJ817">
        <v>279.24</v>
      </c>
      <c r="AK817">
        <v>0</v>
      </c>
      <c r="AL817" t="s">
        <v>53</v>
      </c>
      <c r="AM817" t="s">
        <v>53</v>
      </c>
      <c r="AN817" t="s">
        <v>545</v>
      </c>
      <c r="AO817" t="s">
        <v>53</v>
      </c>
      <c r="AP817" t="s">
        <v>53</v>
      </c>
    </row>
    <row r="818" spans="2:42" x14ac:dyDescent="0.2">
      <c r="B818" t="s">
        <v>44</v>
      </c>
      <c r="C818" t="str">
        <f>HYPERLINK("https://us2.cloudbeds.com/connect/8493803454333002#/reservations/598302756998?display=E190Z5QM&amp;reservation_id=598302756998", "E190Z5QM")</f>
        <v>E190Z5QM</v>
      </c>
      <c r="D818" t="s">
        <v>45</v>
      </c>
      <c r="E818" t="s">
        <v>46</v>
      </c>
      <c r="F818" t="s">
        <v>47</v>
      </c>
      <c r="G818" t="s">
        <v>48</v>
      </c>
      <c r="H818" t="s">
        <v>49</v>
      </c>
      <c r="I818" t="s">
        <v>79</v>
      </c>
      <c r="J818" t="s">
        <v>1430</v>
      </c>
      <c r="K818" t="s">
        <v>1092</v>
      </c>
      <c r="L818" t="s">
        <v>53</v>
      </c>
      <c r="N818" t="s">
        <v>1599</v>
      </c>
      <c r="P818" t="s">
        <v>55</v>
      </c>
      <c r="R818" t="s">
        <v>56</v>
      </c>
      <c r="T818" t="s">
        <v>1600</v>
      </c>
      <c r="U818" t="s">
        <v>58</v>
      </c>
      <c r="V818">
        <v>2</v>
      </c>
      <c r="W818">
        <v>1</v>
      </c>
      <c r="X818">
        <v>1</v>
      </c>
      <c r="Y818">
        <v>0</v>
      </c>
      <c r="Z818">
        <v>1</v>
      </c>
      <c r="AA818">
        <v>0</v>
      </c>
      <c r="AB818">
        <v>147.29</v>
      </c>
      <c r="AC818">
        <v>129.6</v>
      </c>
      <c r="AD818">
        <v>0</v>
      </c>
      <c r="AE818">
        <v>17.7</v>
      </c>
      <c r="AF818">
        <v>0</v>
      </c>
      <c r="AG818">
        <v>0</v>
      </c>
      <c r="AH818">
        <v>0</v>
      </c>
      <c r="AI818">
        <v>0</v>
      </c>
      <c r="AJ818">
        <v>147.30000000000001</v>
      </c>
      <c r="AK818">
        <v>0.01</v>
      </c>
      <c r="AL818" t="s">
        <v>53</v>
      </c>
      <c r="AM818" t="s">
        <v>53</v>
      </c>
      <c r="AN818" t="s">
        <v>97</v>
      </c>
      <c r="AO818" t="s">
        <v>53</v>
      </c>
      <c r="AP818" t="s">
        <v>53</v>
      </c>
    </row>
    <row r="819" spans="2:42" x14ac:dyDescent="0.2">
      <c r="B819" t="s">
        <v>44</v>
      </c>
      <c r="C819" t="str">
        <f>HYPERLINK("https://us2.cloudbeds.com/connect/8493803454333002#/reservations/598146470080?display=E14U9EN3&amp;reservation_id=598146470080", "E14U9EN3")</f>
        <v>E14U9EN3</v>
      </c>
      <c r="D819" t="s">
        <v>45</v>
      </c>
      <c r="E819" t="s">
        <v>110</v>
      </c>
      <c r="F819" t="s">
        <v>47</v>
      </c>
      <c r="G819" t="s">
        <v>48</v>
      </c>
      <c r="H819" t="s">
        <v>71</v>
      </c>
      <c r="I819" t="s">
        <v>72</v>
      </c>
      <c r="J819" t="s">
        <v>122</v>
      </c>
      <c r="K819" t="s">
        <v>123</v>
      </c>
      <c r="L819" t="s">
        <v>53</v>
      </c>
      <c r="N819" t="s">
        <v>1601</v>
      </c>
      <c r="P819" t="s">
        <v>55</v>
      </c>
      <c r="R819" t="s">
        <v>56</v>
      </c>
      <c r="T819" t="s">
        <v>1600</v>
      </c>
      <c r="U819" t="s">
        <v>58</v>
      </c>
      <c r="V819">
        <v>1</v>
      </c>
      <c r="W819">
        <v>1</v>
      </c>
      <c r="X819">
        <v>1</v>
      </c>
      <c r="Y819">
        <v>0</v>
      </c>
      <c r="Z819">
        <v>1</v>
      </c>
      <c r="AA819">
        <v>0</v>
      </c>
      <c r="AB819">
        <v>152.29</v>
      </c>
      <c r="AC819">
        <v>134</v>
      </c>
      <c r="AD819">
        <v>0</v>
      </c>
      <c r="AE819">
        <v>18.3</v>
      </c>
      <c r="AF819">
        <v>0</v>
      </c>
      <c r="AG819">
        <v>0</v>
      </c>
      <c r="AH819">
        <v>0</v>
      </c>
      <c r="AI819">
        <v>0</v>
      </c>
      <c r="AJ819">
        <v>152.30000000000001</v>
      </c>
      <c r="AK819">
        <v>0.01</v>
      </c>
      <c r="AL819" t="s">
        <v>53</v>
      </c>
      <c r="AM819" t="s">
        <v>53</v>
      </c>
      <c r="AN819" t="s">
        <v>1602</v>
      </c>
      <c r="AO819" t="s">
        <v>53</v>
      </c>
      <c r="AP819" t="s">
        <v>53</v>
      </c>
    </row>
    <row r="820" spans="2:42" x14ac:dyDescent="0.2">
      <c r="B820" t="s">
        <v>44</v>
      </c>
      <c r="C820" t="str">
        <f>HYPERLINK("https://us2.cloudbeds.com/connect/8493803454333002#/reservations/598504054989?display=E1E5FJEQ&amp;reservation_id=598504054989", "E1E5FJEQ")</f>
        <v>E1E5FJEQ</v>
      </c>
      <c r="D820" t="s">
        <v>45</v>
      </c>
      <c r="E820" t="s">
        <v>92</v>
      </c>
      <c r="F820" t="s">
        <v>86</v>
      </c>
      <c r="G820" t="s">
        <v>48</v>
      </c>
      <c r="H820" t="s">
        <v>49</v>
      </c>
      <c r="I820" t="s">
        <v>79</v>
      </c>
      <c r="J820" t="s">
        <v>744</v>
      </c>
      <c r="K820" t="s">
        <v>623</v>
      </c>
      <c r="L820" t="s">
        <v>53</v>
      </c>
      <c r="N820" t="s">
        <v>1603</v>
      </c>
      <c r="P820" t="s">
        <v>55</v>
      </c>
      <c r="R820" t="s">
        <v>56</v>
      </c>
      <c r="T820" t="s">
        <v>1600</v>
      </c>
      <c r="U820" t="s">
        <v>58</v>
      </c>
      <c r="V820">
        <v>1</v>
      </c>
      <c r="W820">
        <v>1</v>
      </c>
      <c r="X820">
        <v>1</v>
      </c>
      <c r="Y820">
        <v>0</v>
      </c>
      <c r="Z820">
        <v>1</v>
      </c>
      <c r="AA820">
        <v>0</v>
      </c>
      <c r="AB820">
        <v>107.4</v>
      </c>
      <c r="AC820">
        <v>94.5</v>
      </c>
      <c r="AD820">
        <v>0</v>
      </c>
      <c r="AE820">
        <v>12.9</v>
      </c>
      <c r="AF820">
        <v>0</v>
      </c>
      <c r="AG820">
        <v>0</v>
      </c>
      <c r="AH820">
        <v>0</v>
      </c>
      <c r="AI820">
        <v>0</v>
      </c>
      <c r="AJ820">
        <v>107.4</v>
      </c>
      <c r="AK820">
        <v>0</v>
      </c>
      <c r="AL820" t="s">
        <v>53</v>
      </c>
      <c r="AM820" t="s">
        <v>53</v>
      </c>
      <c r="AN820" t="s">
        <v>91</v>
      </c>
      <c r="AO820" t="s">
        <v>53</v>
      </c>
      <c r="AP820" t="s">
        <v>53</v>
      </c>
    </row>
    <row r="821" spans="2:42" x14ac:dyDescent="0.2">
      <c r="B821" t="s">
        <v>44</v>
      </c>
      <c r="C821" t="str">
        <f>HYPERLINK("https://us2.cloudbeds.com/connect/8493803454333002#/reservations/598538080504?display=E1F15D60&amp;reservation_id=598538080504", "E1F15D60")</f>
        <v>E1F15D60</v>
      </c>
      <c r="D821" t="s">
        <v>45</v>
      </c>
      <c r="E821" t="s">
        <v>78</v>
      </c>
      <c r="F821" t="s">
        <v>61</v>
      </c>
      <c r="G821" t="s">
        <v>48</v>
      </c>
      <c r="H821" t="s">
        <v>71</v>
      </c>
      <c r="I821" t="s">
        <v>72</v>
      </c>
      <c r="J821" t="s">
        <v>122</v>
      </c>
      <c r="K821" t="s">
        <v>123</v>
      </c>
      <c r="L821" t="s">
        <v>53</v>
      </c>
      <c r="N821" t="s">
        <v>1604</v>
      </c>
      <c r="P821" t="s">
        <v>55</v>
      </c>
      <c r="R821" t="s">
        <v>56</v>
      </c>
      <c r="T821" t="s">
        <v>1600</v>
      </c>
      <c r="U821" t="s">
        <v>58</v>
      </c>
      <c r="V821">
        <v>1</v>
      </c>
      <c r="W821">
        <v>1</v>
      </c>
      <c r="X821">
        <v>1</v>
      </c>
      <c r="Y821">
        <v>0</v>
      </c>
      <c r="Z821">
        <v>1</v>
      </c>
      <c r="AA821">
        <v>0</v>
      </c>
      <c r="AB821">
        <v>163.66</v>
      </c>
      <c r="AC821">
        <v>144</v>
      </c>
      <c r="AD821">
        <v>0</v>
      </c>
      <c r="AE821">
        <v>19.66</v>
      </c>
      <c r="AF821">
        <v>0</v>
      </c>
      <c r="AG821">
        <v>0</v>
      </c>
      <c r="AH821">
        <v>0</v>
      </c>
      <c r="AI821">
        <v>0</v>
      </c>
      <c r="AJ821">
        <v>163.66</v>
      </c>
      <c r="AK821">
        <v>0</v>
      </c>
      <c r="AL821" t="s">
        <v>53</v>
      </c>
      <c r="AM821" t="s">
        <v>53</v>
      </c>
      <c r="AN821" t="s">
        <v>1605</v>
      </c>
      <c r="AO821" t="s">
        <v>53</v>
      </c>
      <c r="AP821" t="s">
        <v>53</v>
      </c>
    </row>
    <row r="822" spans="2:42" x14ac:dyDescent="0.2">
      <c r="B822" t="s">
        <v>44</v>
      </c>
      <c r="C822" t="str">
        <f>HYPERLINK("https://us2.cloudbeds.com/connect/8493803454333002#/reservations/598364295314?display=E1AJKXR4&amp;reservation_id=598364295314", "E1AJKXR4")</f>
        <v>E1AJKXR4</v>
      </c>
      <c r="D822" t="s">
        <v>45</v>
      </c>
      <c r="E822" t="s">
        <v>155</v>
      </c>
      <c r="F822" t="s">
        <v>86</v>
      </c>
      <c r="G822" t="s">
        <v>48</v>
      </c>
      <c r="H822" t="s">
        <v>71</v>
      </c>
      <c r="I822" t="s">
        <v>72</v>
      </c>
      <c r="J822" t="s">
        <v>260</v>
      </c>
      <c r="K822" t="s">
        <v>640</v>
      </c>
      <c r="L822" t="s">
        <v>53</v>
      </c>
      <c r="N822" t="s">
        <v>1606</v>
      </c>
      <c r="P822" t="s">
        <v>55</v>
      </c>
      <c r="R822" t="s">
        <v>56</v>
      </c>
      <c r="T822" t="s">
        <v>1600</v>
      </c>
      <c r="U822" t="s">
        <v>58</v>
      </c>
      <c r="V822">
        <v>1</v>
      </c>
      <c r="W822">
        <v>1</v>
      </c>
      <c r="X822">
        <v>1</v>
      </c>
      <c r="Y822">
        <v>0</v>
      </c>
      <c r="Z822">
        <v>1</v>
      </c>
      <c r="AA822">
        <v>0</v>
      </c>
      <c r="AB822">
        <v>165.93</v>
      </c>
      <c r="AC822">
        <v>146</v>
      </c>
      <c r="AD822">
        <v>0</v>
      </c>
      <c r="AE822">
        <v>19.93</v>
      </c>
      <c r="AF822">
        <v>0</v>
      </c>
      <c r="AG822">
        <v>0</v>
      </c>
      <c r="AH822">
        <v>0</v>
      </c>
      <c r="AI822">
        <v>0</v>
      </c>
      <c r="AJ822">
        <v>165.93</v>
      </c>
      <c r="AK822">
        <v>0</v>
      </c>
      <c r="AL822" t="s">
        <v>53</v>
      </c>
      <c r="AM822" t="s">
        <v>53</v>
      </c>
      <c r="AN822" t="s">
        <v>1607</v>
      </c>
      <c r="AO822" t="s">
        <v>53</v>
      </c>
      <c r="AP822" t="s">
        <v>53</v>
      </c>
    </row>
    <row r="823" spans="2:42" x14ac:dyDescent="0.2">
      <c r="B823" t="s">
        <v>44</v>
      </c>
      <c r="C823" t="str">
        <f>HYPERLINK("https://us2.cloudbeds.com/connect/8493803454333002#/reservations/598553530508?display=E1FE6AGU&amp;reservation_id=598553530508", "E1FE6AGU")</f>
        <v>E1FE6AGU</v>
      </c>
      <c r="D823" t="s">
        <v>45</v>
      </c>
      <c r="E823" t="s">
        <v>223</v>
      </c>
      <c r="F823" t="s">
        <v>47</v>
      </c>
      <c r="G823" t="s">
        <v>48</v>
      </c>
      <c r="H823" t="s">
        <v>49</v>
      </c>
      <c r="I823" t="s">
        <v>50</v>
      </c>
      <c r="J823" t="s">
        <v>295</v>
      </c>
      <c r="K823" t="s">
        <v>260</v>
      </c>
      <c r="L823" t="s">
        <v>53</v>
      </c>
      <c r="N823" t="s">
        <v>1608</v>
      </c>
      <c r="P823" t="s">
        <v>55</v>
      </c>
      <c r="R823" t="s">
        <v>56</v>
      </c>
      <c r="T823" t="s">
        <v>1600</v>
      </c>
      <c r="U823" t="s">
        <v>58</v>
      </c>
      <c r="V823">
        <v>2</v>
      </c>
      <c r="W823">
        <v>1</v>
      </c>
      <c r="X823">
        <v>1</v>
      </c>
      <c r="Y823">
        <v>0</v>
      </c>
      <c r="Z823">
        <v>1</v>
      </c>
      <c r="AA823">
        <v>0</v>
      </c>
      <c r="AB823">
        <v>279.24</v>
      </c>
      <c r="AC823">
        <v>245.7</v>
      </c>
      <c r="AD823">
        <v>0</v>
      </c>
      <c r="AE823">
        <v>33.54</v>
      </c>
      <c r="AF823">
        <v>0</v>
      </c>
      <c r="AG823">
        <v>0</v>
      </c>
      <c r="AH823">
        <v>0</v>
      </c>
      <c r="AI823">
        <v>50.26</v>
      </c>
      <c r="AJ823">
        <v>279.24</v>
      </c>
      <c r="AK823">
        <v>0</v>
      </c>
      <c r="AL823" t="s">
        <v>53</v>
      </c>
      <c r="AM823" t="s">
        <v>53</v>
      </c>
      <c r="AN823" t="s">
        <v>1609</v>
      </c>
      <c r="AO823" t="s">
        <v>53</v>
      </c>
      <c r="AP823" t="s">
        <v>53</v>
      </c>
    </row>
    <row r="824" spans="2:42" x14ac:dyDescent="0.2">
      <c r="B824" t="s">
        <v>44</v>
      </c>
      <c r="C824" t="str">
        <f>HYPERLINK("https://us2.cloudbeds.com/connect/8493803454333002#/reservations/579389616288?display=DJKZM54K&amp;reservation_id=579389616288", "DJKZM54K")</f>
        <v>DJKZM54K</v>
      </c>
      <c r="D824" t="s">
        <v>45</v>
      </c>
      <c r="E824" t="s">
        <v>69</v>
      </c>
      <c r="F824" t="s">
        <v>70</v>
      </c>
      <c r="G824" t="s">
        <v>48</v>
      </c>
      <c r="H824" t="s">
        <v>49</v>
      </c>
      <c r="I824" t="s">
        <v>62</v>
      </c>
      <c r="J824" t="s">
        <v>1610</v>
      </c>
      <c r="K824" t="s">
        <v>1611</v>
      </c>
      <c r="L824" t="s">
        <v>53</v>
      </c>
      <c r="N824" t="s">
        <v>1612</v>
      </c>
      <c r="P824" t="s">
        <v>55</v>
      </c>
      <c r="R824" t="s">
        <v>201</v>
      </c>
      <c r="T824" t="s">
        <v>1600</v>
      </c>
      <c r="U824" t="s">
        <v>58</v>
      </c>
      <c r="V824">
        <v>2</v>
      </c>
      <c r="W824">
        <v>1</v>
      </c>
      <c r="X824">
        <v>1</v>
      </c>
      <c r="Y824">
        <v>0</v>
      </c>
      <c r="Z824">
        <v>1</v>
      </c>
      <c r="AA824">
        <v>0</v>
      </c>
      <c r="AB824">
        <v>290.94</v>
      </c>
      <c r="AC824">
        <v>256</v>
      </c>
      <c r="AD824">
        <v>0</v>
      </c>
      <c r="AE824">
        <v>34.94</v>
      </c>
      <c r="AF824">
        <v>0</v>
      </c>
      <c r="AG824">
        <v>0</v>
      </c>
      <c r="AH824">
        <v>0</v>
      </c>
      <c r="AI824">
        <v>43.64</v>
      </c>
      <c r="AJ824">
        <v>290.94</v>
      </c>
      <c r="AK824">
        <v>0</v>
      </c>
      <c r="AL824" t="s">
        <v>53</v>
      </c>
      <c r="AM824" t="s">
        <v>53</v>
      </c>
      <c r="AN824" t="s">
        <v>1613</v>
      </c>
      <c r="AO824" t="s">
        <v>53</v>
      </c>
      <c r="AP824" t="s">
        <v>53</v>
      </c>
    </row>
    <row r="825" spans="2:42" x14ac:dyDescent="0.2">
      <c r="B825" t="s">
        <v>44</v>
      </c>
      <c r="C825" t="str">
        <f>HYPERLINK("https://us2.cloudbeds.com/connect/8493803454333002#/reservations/579275214984?display=DJHR6PED&amp;reservation_id=579275214984", "DJHR6PED")</f>
        <v>DJHR6PED</v>
      </c>
      <c r="D825" t="s">
        <v>45</v>
      </c>
      <c r="E825" t="s">
        <v>213</v>
      </c>
      <c r="F825" t="s">
        <v>86</v>
      </c>
      <c r="G825" t="s">
        <v>48</v>
      </c>
      <c r="H825" t="s">
        <v>49</v>
      </c>
      <c r="I825" t="s">
        <v>79</v>
      </c>
      <c r="J825" t="s">
        <v>1161</v>
      </c>
      <c r="K825" t="s">
        <v>1162</v>
      </c>
      <c r="L825" t="s">
        <v>53</v>
      </c>
      <c r="N825" t="s">
        <v>1614</v>
      </c>
      <c r="P825" t="s">
        <v>55</v>
      </c>
      <c r="R825" t="s">
        <v>56</v>
      </c>
      <c r="T825" t="s">
        <v>1600</v>
      </c>
      <c r="U825" t="s">
        <v>58</v>
      </c>
      <c r="V825">
        <v>2</v>
      </c>
      <c r="W825">
        <v>1</v>
      </c>
      <c r="X825">
        <v>1</v>
      </c>
      <c r="Y825">
        <v>0</v>
      </c>
      <c r="Z825">
        <v>1</v>
      </c>
      <c r="AA825">
        <v>0</v>
      </c>
      <c r="AB825">
        <v>272.06</v>
      </c>
      <c r="AC825">
        <v>239.4</v>
      </c>
      <c r="AD825">
        <v>0</v>
      </c>
      <c r="AE825">
        <v>32.659999999999997</v>
      </c>
      <c r="AF825">
        <v>0</v>
      </c>
      <c r="AG825">
        <v>0</v>
      </c>
      <c r="AH825">
        <v>0</v>
      </c>
      <c r="AI825">
        <v>0</v>
      </c>
      <c r="AJ825">
        <v>272.06</v>
      </c>
      <c r="AK825">
        <v>0</v>
      </c>
      <c r="AL825" t="s">
        <v>53</v>
      </c>
      <c r="AM825" t="s">
        <v>53</v>
      </c>
      <c r="AN825" t="s">
        <v>59</v>
      </c>
      <c r="AO825" t="s">
        <v>53</v>
      </c>
      <c r="AP825" t="s">
        <v>53</v>
      </c>
    </row>
    <row r="826" spans="2:42" x14ac:dyDescent="0.2">
      <c r="B826" t="s">
        <v>44</v>
      </c>
      <c r="C826" t="str">
        <f>HYPERLINK("https://us2.cloudbeds.com/connect/8493803454333002#/reservations/598364020899?display=E1AJCURH&amp;reservation_id=598364020899", "E1AJCURH")</f>
        <v>E1AJCURH</v>
      </c>
      <c r="D826" t="s">
        <v>45</v>
      </c>
      <c r="E826" t="s">
        <v>223</v>
      </c>
      <c r="F826" t="s">
        <v>47</v>
      </c>
      <c r="G826" t="s">
        <v>48</v>
      </c>
      <c r="H826" t="s">
        <v>49</v>
      </c>
      <c r="I826" t="s">
        <v>79</v>
      </c>
      <c r="J826" t="s">
        <v>167</v>
      </c>
      <c r="K826" t="s">
        <v>746</v>
      </c>
      <c r="L826" t="s">
        <v>53</v>
      </c>
      <c r="N826" t="s">
        <v>1615</v>
      </c>
      <c r="P826" t="s">
        <v>55</v>
      </c>
      <c r="R826" t="s">
        <v>56</v>
      </c>
      <c r="T826" t="s">
        <v>1600</v>
      </c>
      <c r="U826" t="s">
        <v>58</v>
      </c>
      <c r="V826">
        <v>2</v>
      </c>
      <c r="W826">
        <v>1</v>
      </c>
      <c r="X826">
        <v>1</v>
      </c>
      <c r="Y826">
        <v>0</v>
      </c>
      <c r="Z826">
        <v>1</v>
      </c>
      <c r="AA826">
        <v>0</v>
      </c>
      <c r="AB826">
        <v>163.66</v>
      </c>
      <c r="AC826">
        <v>144</v>
      </c>
      <c r="AD826">
        <v>0</v>
      </c>
      <c r="AE826">
        <v>19.66</v>
      </c>
      <c r="AF826">
        <v>0</v>
      </c>
      <c r="AG826">
        <v>0</v>
      </c>
      <c r="AH826">
        <v>0</v>
      </c>
      <c r="AI826">
        <v>0</v>
      </c>
      <c r="AJ826">
        <v>163.66</v>
      </c>
      <c r="AK826">
        <v>0</v>
      </c>
      <c r="AL826" t="s">
        <v>53</v>
      </c>
      <c r="AM826" t="s">
        <v>53</v>
      </c>
      <c r="AN826" t="s">
        <v>132</v>
      </c>
      <c r="AO826" t="s">
        <v>53</v>
      </c>
      <c r="AP826" t="s">
        <v>53</v>
      </c>
    </row>
    <row r="827" spans="2:42" x14ac:dyDescent="0.2">
      <c r="B827" t="s">
        <v>44</v>
      </c>
      <c r="C827" t="str">
        <f>HYPERLINK("https://us2.cloudbeds.com/connect/8493803454333002#/reservations/598401020093?display=E1BHJG76&amp;reservation_id=598401020093", "E1BHJG76")</f>
        <v>E1BHJG76</v>
      </c>
      <c r="D827" t="s">
        <v>45</v>
      </c>
      <c r="E827" t="s">
        <v>46</v>
      </c>
      <c r="F827" t="s">
        <v>47</v>
      </c>
      <c r="G827" t="s">
        <v>48</v>
      </c>
      <c r="H827" t="s">
        <v>49</v>
      </c>
      <c r="I827" t="s">
        <v>50</v>
      </c>
      <c r="J827" t="s">
        <v>295</v>
      </c>
      <c r="K827" t="s">
        <v>260</v>
      </c>
      <c r="L827" t="s">
        <v>53</v>
      </c>
      <c r="N827" t="s">
        <v>1616</v>
      </c>
      <c r="P827" t="s">
        <v>55</v>
      </c>
      <c r="R827" t="s">
        <v>56</v>
      </c>
      <c r="T827" t="s">
        <v>1600</v>
      </c>
      <c r="U827" t="s">
        <v>58</v>
      </c>
      <c r="V827">
        <v>2</v>
      </c>
      <c r="W827">
        <v>1</v>
      </c>
      <c r="X827">
        <v>1</v>
      </c>
      <c r="Y827">
        <v>0</v>
      </c>
      <c r="Z827">
        <v>1</v>
      </c>
      <c r="AA827">
        <v>0</v>
      </c>
      <c r="AB827">
        <v>279.24</v>
      </c>
      <c r="AC827">
        <v>245.7</v>
      </c>
      <c r="AD827">
        <v>0</v>
      </c>
      <c r="AE827">
        <v>33.54</v>
      </c>
      <c r="AF827">
        <v>0</v>
      </c>
      <c r="AG827">
        <v>0</v>
      </c>
      <c r="AH827">
        <v>0</v>
      </c>
      <c r="AI827">
        <v>50.26</v>
      </c>
      <c r="AJ827">
        <v>279.24</v>
      </c>
      <c r="AK827">
        <v>0</v>
      </c>
      <c r="AL827" t="s">
        <v>53</v>
      </c>
      <c r="AM827" t="s">
        <v>53</v>
      </c>
      <c r="AN827" t="s">
        <v>1617</v>
      </c>
      <c r="AO827" t="s">
        <v>53</v>
      </c>
      <c r="AP827" t="s">
        <v>53</v>
      </c>
    </row>
    <row r="828" spans="2:42" x14ac:dyDescent="0.2">
      <c r="B828" t="s">
        <v>44</v>
      </c>
      <c r="C828" t="str">
        <f>HYPERLINK("https://us2.cloudbeds.com/connect/8493803454333002#/reservations/598017994973?display=E11ZK4K1&amp;reservation_id=598017994973", "E11ZK4K1")</f>
        <v>E11ZK4K1</v>
      </c>
      <c r="D828" t="s">
        <v>45</v>
      </c>
      <c r="E828" t="s">
        <v>1618</v>
      </c>
      <c r="F828" t="s">
        <v>86</v>
      </c>
      <c r="G828" t="s">
        <v>48</v>
      </c>
      <c r="H828" t="s">
        <v>49</v>
      </c>
      <c r="I828" t="s">
        <v>62</v>
      </c>
      <c r="J828" t="s">
        <v>744</v>
      </c>
      <c r="K828" t="s">
        <v>623</v>
      </c>
      <c r="L828" t="s">
        <v>53</v>
      </c>
      <c r="N828" t="s">
        <v>1619</v>
      </c>
      <c r="P828" t="s">
        <v>58</v>
      </c>
      <c r="R828" t="s">
        <v>56</v>
      </c>
      <c r="T828" t="s">
        <v>1600</v>
      </c>
      <c r="U828" t="s">
        <v>58</v>
      </c>
      <c r="V828">
        <v>3</v>
      </c>
      <c r="W828">
        <v>3</v>
      </c>
      <c r="X828">
        <v>3</v>
      </c>
      <c r="Y828">
        <v>0</v>
      </c>
      <c r="Z828">
        <v>3</v>
      </c>
      <c r="AA828">
        <v>0</v>
      </c>
      <c r="AB828">
        <v>358</v>
      </c>
      <c r="AC828">
        <v>315</v>
      </c>
      <c r="AD828">
        <v>0</v>
      </c>
      <c r="AE828">
        <v>43.02</v>
      </c>
      <c r="AF828">
        <v>0</v>
      </c>
      <c r="AG828">
        <v>0</v>
      </c>
      <c r="AH828">
        <v>0</v>
      </c>
      <c r="AI828">
        <v>53.7</v>
      </c>
      <c r="AJ828">
        <v>358.02</v>
      </c>
      <c r="AK828">
        <v>0.02</v>
      </c>
      <c r="AL828" t="s">
        <v>53</v>
      </c>
      <c r="AM828" t="s">
        <v>53</v>
      </c>
      <c r="AN828" t="s">
        <v>767</v>
      </c>
      <c r="AO828" t="s">
        <v>53</v>
      </c>
      <c r="AP828" t="s">
        <v>53</v>
      </c>
    </row>
    <row r="829" spans="2:42" x14ac:dyDescent="0.2">
      <c r="B829" t="s">
        <v>44</v>
      </c>
      <c r="C829" t="str">
        <f>HYPERLINK("https://us2.cloudbeds.com/connect/8493803454333002#/reservations/598074179715?display=E135WMAB&amp;reservation_id=598074179715", "E135WMAB")</f>
        <v>E135WMAB</v>
      </c>
      <c r="D829" t="s">
        <v>45</v>
      </c>
      <c r="E829" t="s">
        <v>138</v>
      </c>
      <c r="F829" t="s">
        <v>70</v>
      </c>
      <c r="G829" t="s">
        <v>48</v>
      </c>
      <c r="H829" t="s">
        <v>49</v>
      </c>
      <c r="I829" t="s">
        <v>50</v>
      </c>
      <c r="J829" t="s">
        <v>346</v>
      </c>
      <c r="K829" t="s">
        <v>267</v>
      </c>
      <c r="L829" t="s">
        <v>53</v>
      </c>
      <c r="N829" t="s">
        <v>1620</v>
      </c>
      <c r="P829" t="s">
        <v>55</v>
      </c>
      <c r="R829" t="s">
        <v>56</v>
      </c>
      <c r="T829" t="s">
        <v>1600</v>
      </c>
      <c r="U829" t="s">
        <v>58</v>
      </c>
      <c r="V829">
        <v>1</v>
      </c>
      <c r="W829">
        <v>1</v>
      </c>
      <c r="X829">
        <v>1</v>
      </c>
      <c r="Y829">
        <v>0</v>
      </c>
      <c r="Z829">
        <v>1</v>
      </c>
      <c r="AA829">
        <v>0</v>
      </c>
      <c r="AB829">
        <v>64.44</v>
      </c>
      <c r="AC829">
        <v>56.7</v>
      </c>
      <c r="AD829">
        <v>0</v>
      </c>
      <c r="AE829">
        <v>7.73</v>
      </c>
      <c r="AF829">
        <v>0</v>
      </c>
      <c r="AG829">
        <v>0</v>
      </c>
      <c r="AH829">
        <v>0</v>
      </c>
      <c r="AI829">
        <v>11.6</v>
      </c>
      <c r="AJ829">
        <v>64.430000000000007</v>
      </c>
      <c r="AK829">
        <v>-0.01</v>
      </c>
      <c r="AL829" t="s">
        <v>53</v>
      </c>
      <c r="AM829" t="s">
        <v>53</v>
      </c>
      <c r="AN829" t="s">
        <v>137</v>
      </c>
      <c r="AO829" t="s">
        <v>53</v>
      </c>
      <c r="AP829" t="s">
        <v>53</v>
      </c>
    </row>
    <row r="830" spans="2:42" x14ac:dyDescent="0.2">
      <c r="B830" t="s">
        <v>44</v>
      </c>
      <c r="C830" t="str">
        <f>HYPERLINK("https://us2.cloudbeds.com/connect/8493803454333002#/reservations/598531936485?display=E1ESWE9J&amp;reservation_id=598531936485", "E1ESWE9J")</f>
        <v>E1ESWE9J</v>
      </c>
      <c r="D830" t="s">
        <v>45</v>
      </c>
      <c r="E830" t="s">
        <v>179</v>
      </c>
      <c r="F830" t="s">
        <v>47</v>
      </c>
      <c r="G830" t="s">
        <v>48</v>
      </c>
      <c r="H830" t="s">
        <v>71</v>
      </c>
      <c r="I830" t="s">
        <v>72</v>
      </c>
      <c r="J830" t="s">
        <v>346</v>
      </c>
      <c r="K830" t="s">
        <v>454</v>
      </c>
      <c r="L830" t="s">
        <v>53</v>
      </c>
      <c r="N830" t="s">
        <v>1621</v>
      </c>
      <c r="P830" t="s">
        <v>55</v>
      </c>
      <c r="R830" t="s">
        <v>56</v>
      </c>
      <c r="T830" t="s">
        <v>1600</v>
      </c>
      <c r="U830" t="s">
        <v>58</v>
      </c>
      <c r="V830">
        <v>4</v>
      </c>
      <c r="W830">
        <v>1</v>
      </c>
      <c r="X830">
        <v>1</v>
      </c>
      <c r="Y830">
        <v>0</v>
      </c>
      <c r="Z830">
        <v>1</v>
      </c>
      <c r="AA830">
        <v>0</v>
      </c>
      <c r="AB830">
        <v>286.39999999999998</v>
      </c>
      <c r="AC830">
        <v>252</v>
      </c>
      <c r="AD830">
        <v>0</v>
      </c>
      <c r="AE830">
        <v>34.44</v>
      </c>
      <c r="AF830">
        <v>0</v>
      </c>
      <c r="AG830">
        <v>0</v>
      </c>
      <c r="AH830">
        <v>0</v>
      </c>
      <c r="AI830">
        <v>0</v>
      </c>
      <c r="AJ830">
        <v>286.44</v>
      </c>
      <c r="AK830">
        <v>0.04</v>
      </c>
      <c r="AL830" t="s">
        <v>53</v>
      </c>
      <c r="AM830" t="s">
        <v>53</v>
      </c>
      <c r="AN830" t="s">
        <v>378</v>
      </c>
      <c r="AO830" t="s">
        <v>53</v>
      </c>
      <c r="AP830" t="s">
        <v>53</v>
      </c>
    </row>
    <row r="831" spans="2:42" x14ac:dyDescent="0.2">
      <c r="B831" t="s">
        <v>44</v>
      </c>
      <c r="C831" t="str">
        <f>HYPERLINK("https://us2.cloudbeds.com/connect/8493803454333002#/reservations/598285889688?display=E18JGR02&amp;reservation_id=598285889688", "E18JGR02")</f>
        <v>E18JGR02</v>
      </c>
      <c r="D831" t="s">
        <v>45</v>
      </c>
      <c r="E831" t="s">
        <v>305</v>
      </c>
      <c r="F831" t="s">
        <v>61</v>
      </c>
      <c r="G831" t="s">
        <v>48</v>
      </c>
      <c r="H831" t="s">
        <v>49</v>
      </c>
      <c r="I831" t="s">
        <v>50</v>
      </c>
      <c r="J831" t="s">
        <v>744</v>
      </c>
      <c r="K831" t="s">
        <v>345</v>
      </c>
      <c r="L831" t="s">
        <v>53</v>
      </c>
      <c r="N831" t="s">
        <v>1622</v>
      </c>
      <c r="P831" t="s">
        <v>55</v>
      </c>
      <c r="R831" t="s">
        <v>56</v>
      </c>
      <c r="T831" t="s">
        <v>1600</v>
      </c>
      <c r="U831" t="s">
        <v>58</v>
      </c>
      <c r="V831">
        <v>2</v>
      </c>
      <c r="W831">
        <v>1</v>
      </c>
      <c r="X831">
        <v>1</v>
      </c>
      <c r="Y831">
        <v>0</v>
      </c>
      <c r="Z831">
        <v>1</v>
      </c>
      <c r="AA831">
        <v>0</v>
      </c>
      <c r="AB831">
        <v>200.02</v>
      </c>
      <c r="AC831">
        <v>176</v>
      </c>
      <c r="AD831">
        <v>0</v>
      </c>
      <c r="AE831">
        <v>24.02</v>
      </c>
      <c r="AF831">
        <v>0</v>
      </c>
      <c r="AG831">
        <v>0</v>
      </c>
      <c r="AH831">
        <v>0</v>
      </c>
      <c r="AI831">
        <v>36</v>
      </c>
      <c r="AJ831">
        <v>200.02</v>
      </c>
      <c r="AK831">
        <v>0</v>
      </c>
      <c r="AL831" t="s">
        <v>53</v>
      </c>
      <c r="AM831" t="s">
        <v>53</v>
      </c>
      <c r="AN831" t="s">
        <v>97</v>
      </c>
      <c r="AO831" t="s">
        <v>53</v>
      </c>
      <c r="AP831" t="s">
        <v>53</v>
      </c>
    </row>
    <row r="832" spans="2:42" x14ac:dyDescent="0.2">
      <c r="B832" t="s">
        <v>44</v>
      </c>
      <c r="C832" t="str">
        <f>HYPERLINK("https://us2.cloudbeds.com/connect/8493803454333002#/reservations/598028587155?display=E120HWSK&amp;reservation_id=598028587155", "E120HWSK")</f>
        <v>E120HWSK</v>
      </c>
      <c r="D832" t="s">
        <v>45</v>
      </c>
      <c r="E832" t="s">
        <v>53</v>
      </c>
      <c r="F832" t="s">
        <v>86</v>
      </c>
      <c r="G832" t="s">
        <v>48</v>
      </c>
      <c r="H832" t="s">
        <v>49</v>
      </c>
      <c r="I832" t="s">
        <v>62</v>
      </c>
      <c r="J832" t="s">
        <v>744</v>
      </c>
      <c r="K832" t="s">
        <v>623</v>
      </c>
      <c r="L832" t="s">
        <v>53</v>
      </c>
      <c r="N832" t="s">
        <v>1619</v>
      </c>
      <c r="P832" t="s">
        <v>58</v>
      </c>
      <c r="R832" t="s">
        <v>56</v>
      </c>
      <c r="T832" t="s">
        <v>1600</v>
      </c>
      <c r="U832" t="s">
        <v>58</v>
      </c>
      <c r="V832">
        <v>3</v>
      </c>
      <c r="W832">
        <v>3</v>
      </c>
      <c r="X832">
        <v>3</v>
      </c>
      <c r="Y832">
        <v>0</v>
      </c>
      <c r="Z832">
        <v>3</v>
      </c>
      <c r="AA832">
        <v>0</v>
      </c>
      <c r="AB832">
        <v>358</v>
      </c>
      <c r="AC832">
        <v>315</v>
      </c>
      <c r="AD832">
        <v>0</v>
      </c>
      <c r="AE832">
        <v>43.02</v>
      </c>
      <c r="AF832">
        <v>0</v>
      </c>
      <c r="AG832">
        <v>0</v>
      </c>
      <c r="AH832">
        <v>0</v>
      </c>
      <c r="AI832">
        <v>53.7</v>
      </c>
      <c r="AJ832">
        <v>358.02</v>
      </c>
      <c r="AK832">
        <v>0.02</v>
      </c>
      <c r="AL832" t="s">
        <v>53</v>
      </c>
      <c r="AM832" t="s">
        <v>53</v>
      </c>
      <c r="AN832" t="s">
        <v>1565</v>
      </c>
      <c r="AO832" t="s">
        <v>53</v>
      </c>
      <c r="AP832" t="s">
        <v>53</v>
      </c>
    </row>
    <row r="833" spans="2:42" x14ac:dyDescent="0.2">
      <c r="B833" t="s">
        <v>44</v>
      </c>
      <c r="C833" t="str">
        <f>HYPERLINK("https://us2.cloudbeds.com/connect/8493803454333002#/reservations/598424649949?display=E1C4H0TF&amp;reservation_id=598424649949", "E1C4H0TF")</f>
        <v>E1C4H0TF</v>
      </c>
      <c r="D833" t="s">
        <v>45</v>
      </c>
      <c r="E833" t="s">
        <v>185</v>
      </c>
      <c r="F833" t="s">
        <v>47</v>
      </c>
      <c r="G833" t="s">
        <v>48</v>
      </c>
      <c r="H833" t="s">
        <v>49</v>
      </c>
      <c r="I833" t="s">
        <v>50</v>
      </c>
      <c r="J833" t="s">
        <v>345</v>
      </c>
      <c r="K833" t="s">
        <v>346</v>
      </c>
      <c r="L833" t="s">
        <v>53</v>
      </c>
      <c r="N833" t="s">
        <v>1623</v>
      </c>
      <c r="P833" t="s">
        <v>55</v>
      </c>
      <c r="R833" t="s">
        <v>56</v>
      </c>
      <c r="T833" t="s">
        <v>1600</v>
      </c>
      <c r="U833" t="s">
        <v>58</v>
      </c>
      <c r="V833">
        <v>1</v>
      </c>
      <c r="W833">
        <v>1</v>
      </c>
      <c r="X833">
        <v>1</v>
      </c>
      <c r="Y833">
        <v>0</v>
      </c>
      <c r="Z833">
        <v>1</v>
      </c>
      <c r="AA833">
        <v>0</v>
      </c>
      <c r="AB833">
        <v>76.709999999999994</v>
      </c>
      <c r="AC833">
        <v>67.5</v>
      </c>
      <c r="AD833">
        <v>0</v>
      </c>
      <c r="AE833">
        <v>9.2100000000000009</v>
      </c>
      <c r="AF833">
        <v>0</v>
      </c>
      <c r="AG833">
        <v>0</v>
      </c>
      <c r="AH833">
        <v>0</v>
      </c>
      <c r="AI833">
        <v>13.81</v>
      </c>
      <c r="AJ833">
        <v>76.709999999999994</v>
      </c>
      <c r="AK833">
        <v>0</v>
      </c>
      <c r="AL833" t="s">
        <v>53</v>
      </c>
      <c r="AM833" t="s">
        <v>53</v>
      </c>
      <c r="AN833" t="s">
        <v>245</v>
      </c>
      <c r="AO833" t="s">
        <v>53</v>
      </c>
      <c r="AP833" t="s">
        <v>53</v>
      </c>
    </row>
    <row r="834" spans="2:42" x14ac:dyDescent="0.2">
      <c r="B834" t="s">
        <v>44</v>
      </c>
      <c r="C834" t="str">
        <f>HYPERLINK("https://us2.cloudbeds.com/connect/8493803454333002#/reservations/597953089782?display=E102T5KE&amp;reservation_id=597953089782", "E102T5KE")</f>
        <v>E102T5KE</v>
      </c>
      <c r="D834" t="s">
        <v>45</v>
      </c>
      <c r="E834" t="s">
        <v>69</v>
      </c>
      <c r="F834" t="s">
        <v>70</v>
      </c>
      <c r="G834" t="s">
        <v>48</v>
      </c>
      <c r="H834" t="s">
        <v>49</v>
      </c>
      <c r="I834" t="s">
        <v>62</v>
      </c>
      <c r="J834" t="s">
        <v>1068</v>
      </c>
      <c r="K834" t="s">
        <v>354</v>
      </c>
      <c r="L834" t="s">
        <v>53</v>
      </c>
      <c r="N834" t="s">
        <v>1624</v>
      </c>
      <c r="P834" t="s">
        <v>55</v>
      </c>
      <c r="R834" t="s">
        <v>201</v>
      </c>
      <c r="T834" t="s">
        <v>1625</v>
      </c>
      <c r="U834" t="s">
        <v>58</v>
      </c>
      <c r="V834">
        <v>2</v>
      </c>
      <c r="W834">
        <v>1</v>
      </c>
      <c r="X834">
        <v>1</v>
      </c>
      <c r="Y834">
        <v>0</v>
      </c>
      <c r="Z834">
        <v>1</v>
      </c>
      <c r="AA834">
        <v>0</v>
      </c>
      <c r="AB834">
        <v>211.39</v>
      </c>
      <c r="AC834">
        <v>186</v>
      </c>
      <c r="AD834">
        <v>0</v>
      </c>
      <c r="AE834">
        <v>25.4</v>
      </c>
      <c r="AF834">
        <v>0</v>
      </c>
      <c r="AG834">
        <v>0</v>
      </c>
      <c r="AH834">
        <v>0</v>
      </c>
      <c r="AI834">
        <v>31.71</v>
      </c>
      <c r="AJ834">
        <v>211.4</v>
      </c>
      <c r="AK834">
        <v>0.01</v>
      </c>
      <c r="AL834" t="s">
        <v>53</v>
      </c>
      <c r="AM834" t="s">
        <v>53</v>
      </c>
      <c r="AN834" t="s">
        <v>68</v>
      </c>
      <c r="AO834" t="s">
        <v>53</v>
      </c>
      <c r="AP834" t="s">
        <v>53</v>
      </c>
    </row>
    <row r="835" spans="2:42" x14ac:dyDescent="0.2">
      <c r="B835" t="s">
        <v>44</v>
      </c>
      <c r="C835" t="str">
        <f>HYPERLINK("https://us2.cloudbeds.com/connect/8493803454333002#/reservations/598435688671?display=E1CDR6F6&amp;reservation_id=598435688671", "E1CDR6F6")</f>
        <v>E1CDR6F6</v>
      </c>
      <c r="D835" t="s">
        <v>45</v>
      </c>
      <c r="E835" t="s">
        <v>373</v>
      </c>
      <c r="F835" t="s">
        <v>47</v>
      </c>
      <c r="G835" t="s">
        <v>48</v>
      </c>
      <c r="H835" t="s">
        <v>49</v>
      </c>
      <c r="I835" t="s">
        <v>50</v>
      </c>
      <c r="J835" t="s">
        <v>167</v>
      </c>
      <c r="K835" t="s">
        <v>791</v>
      </c>
      <c r="L835" t="s">
        <v>53</v>
      </c>
      <c r="N835" t="s">
        <v>1626</v>
      </c>
      <c r="P835" t="s">
        <v>55</v>
      </c>
      <c r="R835" t="s">
        <v>56</v>
      </c>
      <c r="T835" t="s">
        <v>1625</v>
      </c>
      <c r="U835" t="s">
        <v>58</v>
      </c>
      <c r="V835">
        <v>1</v>
      </c>
      <c r="W835">
        <v>1</v>
      </c>
      <c r="X835">
        <v>1</v>
      </c>
      <c r="Y835">
        <v>0</v>
      </c>
      <c r="Z835">
        <v>1</v>
      </c>
      <c r="AA835">
        <v>0</v>
      </c>
      <c r="AB835">
        <v>73.650000000000006</v>
      </c>
      <c r="AC835">
        <v>64.8</v>
      </c>
      <c r="AD835">
        <v>0</v>
      </c>
      <c r="AE835">
        <v>8.85</v>
      </c>
      <c r="AF835">
        <v>0</v>
      </c>
      <c r="AG835">
        <v>0</v>
      </c>
      <c r="AH835">
        <v>0</v>
      </c>
      <c r="AI835">
        <v>13.26</v>
      </c>
      <c r="AJ835">
        <v>73.650000000000006</v>
      </c>
      <c r="AK835">
        <v>0</v>
      </c>
      <c r="AL835" t="s">
        <v>53</v>
      </c>
      <c r="AM835" t="s">
        <v>53</v>
      </c>
      <c r="AN835" t="s">
        <v>252</v>
      </c>
      <c r="AO835" t="s">
        <v>53</v>
      </c>
      <c r="AP835" t="s">
        <v>53</v>
      </c>
    </row>
    <row r="836" spans="2:42" x14ac:dyDescent="0.2">
      <c r="B836" t="s">
        <v>44</v>
      </c>
      <c r="C836" t="str">
        <f>HYPERLINK("https://us2.cloudbeds.com/connect/8493803454333002#/reservations/598388973768?display=E1B7E9D1&amp;reservation_id=598388973768", "E1B7E9D1")</f>
        <v>E1B7E9D1</v>
      </c>
      <c r="D836" t="s">
        <v>45</v>
      </c>
      <c r="E836" t="s">
        <v>85</v>
      </c>
      <c r="F836" t="s">
        <v>86</v>
      </c>
      <c r="G836" t="s">
        <v>48</v>
      </c>
      <c r="H836" t="s">
        <v>71</v>
      </c>
      <c r="I836" t="s">
        <v>72</v>
      </c>
      <c r="J836" t="s">
        <v>623</v>
      </c>
      <c r="K836" t="s">
        <v>345</v>
      </c>
      <c r="L836" t="s">
        <v>53</v>
      </c>
      <c r="N836" t="s">
        <v>1627</v>
      </c>
      <c r="P836" t="s">
        <v>55</v>
      </c>
      <c r="R836" t="s">
        <v>56</v>
      </c>
      <c r="T836" t="s">
        <v>1625</v>
      </c>
      <c r="U836" t="s">
        <v>58</v>
      </c>
      <c r="V836">
        <v>1</v>
      </c>
      <c r="W836">
        <v>1</v>
      </c>
      <c r="X836">
        <v>1</v>
      </c>
      <c r="Y836">
        <v>0</v>
      </c>
      <c r="Z836">
        <v>1</v>
      </c>
      <c r="AA836">
        <v>0</v>
      </c>
      <c r="AB836">
        <v>113.65</v>
      </c>
      <c r="AC836">
        <v>100</v>
      </c>
      <c r="AD836">
        <v>0</v>
      </c>
      <c r="AE836">
        <v>13.65</v>
      </c>
      <c r="AF836">
        <v>0</v>
      </c>
      <c r="AG836">
        <v>0</v>
      </c>
      <c r="AH836">
        <v>0</v>
      </c>
      <c r="AI836">
        <v>0</v>
      </c>
      <c r="AJ836">
        <v>113.65</v>
      </c>
      <c r="AK836">
        <v>0</v>
      </c>
      <c r="AL836" t="s">
        <v>53</v>
      </c>
      <c r="AM836" t="s">
        <v>53</v>
      </c>
      <c r="AN836" t="s">
        <v>1628</v>
      </c>
      <c r="AO836" t="s">
        <v>53</v>
      </c>
      <c r="AP836" t="s">
        <v>53</v>
      </c>
    </row>
    <row r="837" spans="2:42" x14ac:dyDescent="0.2">
      <c r="B837" t="s">
        <v>44</v>
      </c>
      <c r="C837" t="str">
        <f>HYPERLINK("https://us2.cloudbeds.com/connect/8493803454333002#/reservations/598523130065?display=E1EYXCJC&amp;reservation_id=598523130065", "E1EYXCJC")</f>
        <v>E1EYXCJC</v>
      </c>
      <c r="D837" t="s">
        <v>45</v>
      </c>
      <c r="E837" t="s">
        <v>69</v>
      </c>
      <c r="F837" t="s">
        <v>70</v>
      </c>
      <c r="G837" t="s">
        <v>48</v>
      </c>
      <c r="H837" t="s">
        <v>49</v>
      </c>
      <c r="I837" t="s">
        <v>50</v>
      </c>
      <c r="J837" t="s">
        <v>214</v>
      </c>
      <c r="K837" t="s">
        <v>215</v>
      </c>
      <c r="L837" t="s">
        <v>53</v>
      </c>
      <c r="N837" t="s">
        <v>1629</v>
      </c>
      <c r="P837" t="s">
        <v>55</v>
      </c>
      <c r="R837" t="s">
        <v>56</v>
      </c>
      <c r="T837" t="s">
        <v>1625</v>
      </c>
      <c r="U837" t="s">
        <v>58</v>
      </c>
      <c r="V837">
        <v>1</v>
      </c>
      <c r="W837">
        <v>1</v>
      </c>
      <c r="X837">
        <v>1</v>
      </c>
      <c r="Y837">
        <v>0</v>
      </c>
      <c r="Z837">
        <v>1</v>
      </c>
      <c r="AA837">
        <v>0</v>
      </c>
      <c r="AB837">
        <v>153.43</v>
      </c>
      <c r="AC837">
        <v>135</v>
      </c>
      <c r="AD837">
        <v>0</v>
      </c>
      <c r="AE837">
        <v>18.440000000000001</v>
      </c>
      <c r="AF837">
        <v>0</v>
      </c>
      <c r="AG837">
        <v>0</v>
      </c>
      <c r="AH837">
        <v>0</v>
      </c>
      <c r="AI837">
        <v>27.62</v>
      </c>
      <c r="AJ837">
        <v>153.44</v>
      </c>
      <c r="AK837">
        <v>0.01</v>
      </c>
      <c r="AL837" t="s">
        <v>53</v>
      </c>
      <c r="AM837" t="s">
        <v>53</v>
      </c>
      <c r="AN837" t="s">
        <v>1630</v>
      </c>
      <c r="AO837" t="s">
        <v>53</v>
      </c>
      <c r="AP837" t="s">
        <v>53</v>
      </c>
    </row>
    <row r="838" spans="2:42" x14ac:dyDescent="0.2">
      <c r="B838" t="s">
        <v>44</v>
      </c>
      <c r="C838" t="str">
        <f>HYPERLINK("https://us2.cloudbeds.com/connect/8493803454333002#/reservations/598333452418?display=E19QKAJU&amp;reservation_id=598333452418", "E19QKAJU")</f>
        <v>E19QKAJU</v>
      </c>
      <c r="D838" t="s">
        <v>45</v>
      </c>
      <c r="E838" t="s">
        <v>165</v>
      </c>
      <c r="F838" t="s">
        <v>61</v>
      </c>
      <c r="G838" t="s">
        <v>48</v>
      </c>
      <c r="H838" t="s">
        <v>71</v>
      </c>
      <c r="I838" t="s">
        <v>72</v>
      </c>
      <c r="J838" t="s">
        <v>554</v>
      </c>
      <c r="K838" t="s">
        <v>882</v>
      </c>
      <c r="L838" t="s">
        <v>53</v>
      </c>
      <c r="N838" t="s">
        <v>1631</v>
      </c>
      <c r="P838" t="s">
        <v>55</v>
      </c>
      <c r="R838" t="s">
        <v>56</v>
      </c>
      <c r="T838" t="s">
        <v>1625</v>
      </c>
      <c r="U838" t="s">
        <v>58</v>
      </c>
      <c r="V838">
        <v>2</v>
      </c>
      <c r="W838">
        <v>1</v>
      </c>
      <c r="X838">
        <v>1</v>
      </c>
      <c r="Y838">
        <v>0</v>
      </c>
      <c r="Z838">
        <v>1</v>
      </c>
      <c r="AA838">
        <v>0</v>
      </c>
      <c r="AB838">
        <v>154.56</v>
      </c>
      <c r="AC838">
        <v>136</v>
      </c>
      <c r="AD838">
        <v>0</v>
      </c>
      <c r="AE838">
        <v>18.559999999999999</v>
      </c>
      <c r="AF838">
        <v>0</v>
      </c>
      <c r="AG838">
        <v>0</v>
      </c>
      <c r="AH838">
        <v>0</v>
      </c>
      <c r="AI838">
        <v>0</v>
      </c>
      <c r="AJ838">
        <v>154.56</v>
      </c>
      <c r="AK838">
        <v>0</v>
      </c>
      <c r="AL838" t="s">
        <v>53</v>
      </c>
      <c r="AM838" t="s">
        <v>53</v>
      </c>
      <c r="AN838" t="s">
        <v>378</v>
      </c>
      <c r="AO838" t="s">
        <v>53</v>
      </c>
      <c r="AP838" t="s">
        <v>53</v>
      </c>
    </row>
    <row r="839" spans="2:42" x14ac:dyDescent="0.2">
      <c r="B839" t="s">
        <v>44</v>
      </c>
      <c r="C839" t="str">
        <f>HYPERLINK("https://us2.cloudbeds.com/connect/8493803454333002#/reservations/598593704084?display=E1GF26S1&amp;reservation_id=598593704084", "E1GF26S1")</f>
        <v>E1GF26S1</v>
      </c>
      <c r="D839" t="s">
        <v>45</v>
      </c>
      <c r="E839" t="s">
        <v>406</v>
      </c>
      <c r="F839" t="s">
        <v>61</v>
      </c>
      <c r="G839" t="s">
        <v>48</v>
      </c>
      <c r="H839" t="s">
        <v>49</v>
      </c>
      <c r="I839" t="s">
        <v>62</v>
      </c>
      <c r="J839" t="s">
        <v>309</v>
      </c>
      <c r="K839" t="s">
        <v>133</v>
      </c>
      <c r="L839" t="s">
        <v>53</v>
      </c>
      <c r="N839" t="s">
        <v>1632</v>
      </c>
      <c r="P839" t="s">
        <v>55</v>
      </c>
      <c r="R839" t="s">
        <v>56</v>
      </c>
      <c r="T839" t="s">
        <v>1625</v>
      </c>
      <c r="U839" t="s">
        <v>58</v>
      </c>
      <c r="V839">
        <v>1</v>
      </c>
      <c r="W839">
        <v>1</v>
      </c>
      <c r="X839">
        <v>1</v>
      </c>
      <c r="Y839">
        <v>0</v>
      </c>
      <c r="Z839">
        <v>1</v>
      </c>
      <c r="AA839">
        <v>0</v>
      </c>
      <c r="AB839">
        <v>142.06</v>
      </c>
      <c r="AC839">
        <v>125</v>
      </c>
      <c r="AD839">
        <v>0</v>
      </c>
      <c r="AE839">
        <v>17.07</v>
      </c>
      <c r="AF839">
        <v>0</v>
      </c>
      <c r="AG839">
        <v>0</v>
      </c>
      <c r="AH839">
        <v>0</v>
      </c>
      <c r="AI839">
        <v>21.31</v>
      </c>
      <c r="AJ839">
        <v>142.07</v>
      </c>
      <c r="AK839">
        <v>0.01</v>
      </c>
      <c r="AL839" t="s">
        <v>53</v>
      </c>
      <c r="AM839" t="s">
        <v>53</v>
      </c>
      <c r="AN839" t="s">
        <v>159</v>
      </c>
      <c r="AO839" t="s">
        <v>53</v>
      </c>
      <c r="AP839" t="s">
        <v>53</v>
      </c>
    </row>
    <row r="840" spans="2:42" x14ac:dyDescent="0.2">
      <c r="B840" t="s">
        <v>44</v>
      </c>
      <c r="C840" t="str">
        <f>HYPERLINK("https://us2.cloudbeds.com/connect/8493803454333002#/reservations/598554067120?display=E1FEY88U&amp;reservation_id=598554067120", "E1FEY88U")</f>
        <v>E1FEY88U</v>
      </c>
      <c r="D840" t="s">
        <v>45</v>
      </c>
      <c r="E840" t="s">
        <v>85</v>
      </c>
      <c r="F840" t="s">
        <v>86</v>
      </c>
      <c r="G840" t="s">
        <v>48</v>
      </c>
      <c r="H840" t="s">
        <v>49</v>
      </c>
      <c r="I840" t="s">
        <v>114</v>
      </c>
      <c r="J840" t="s">
        <v>446</v>
      </c>
      <c r="K840" t="s">
        <v>1633</v>
      </c>
      <c r="L840" t="s">
        <v>53</v>
      </c>
      <c r="N840" t="s">
        <v>1634</v>
      </c>
      <c r="P840" t="s">
        <v>55</v>
      </c>
      <c r="R840" t="s">
        <v>56</v>
      </c>
      <c r="T840" t="s">
        <v>1625</v>
      </c>
      <c r="U840" t="s">
        <v>58</v>
      </c>
      <c r="V840">
        <v>2</v>
      </c>
      <c r="W840">
        <v>1</v>
      </c>
      <c r="X840">
        <v>1</v>
      </c>
      <c r="Y840">
        <v>0</v>
      </c>
      <c r="Z840">
        <v>1</v>
      </c>
      <c r="AA840">
        <v>0</v>
      </c>
      <c r="AB840">
        <v>363.68</v>
      </c>
      <c r="AC840">
        <v>320</v>
      </c>
      <c r="AD840">
        <v>0</v>
      </c>
      <c r="AE840">
        <v>43.68</v>
      </c>
      <c r="AF840">
        <v>0</v>
      </c>
      <c r="AG840">
        <v>0</v>
      </c>
      <c r="AH840">
        <v>0</v>
      </c>
      <c r="AI840">
        <v>0</v>
      </c>
      <c r="AJ840">
        <v>363.68</v>
      </c>
      <c r="AK840">
        <v>0</v>
      </c>
      <c r="AL840" t="s">
        <v>53</v>
      </c>
      <c r="AM840" t="s">
        <v>53</v>
      </c>
      <c r="AN840" t="s">
        <v>1635</v>
      </c>
      <c r="AO840" t="s">
        <v>53</v>
      </c>
      <c r="AP840" t="s">
        <v>53</v>
      </c>
    </row>
    <row r="841" spans="2:42" x14ac:dyDescent="0.2">
      <c r="B841" t="s">
        <v>44</v>
      </c>
      <c r="C841" t="str">
        <f>HYPERLINK("https://us2.cloudbeds.com/connect/8493803454333002#/reservations/598523068642?display=E1EYGM63&amp;reservation_id=598523068642", "E1EYGM63")</f>
        <v>E1EYGM63</v>
      </c>
      <c r="D841" t="s">
        <v>45</v>
      </c>
      <c r="E841" t="s">
        <v>223</v>
      </c>
      <c r="F841" t="s">
        <v>47</v>
      </c>
      <c r="G841" t="s">
        <v>48</v>
      </c>
      <c r="H841" t="s">
        <v>71</v>
      </c>
      <c r="I841" t="s">
        <v>72</v>
      </c>
      <c r="J841" t="s">
        <v>94</v>
      </c>
      <c r="K841" t="s">
        <v>1473</v>
      </c>
      <c r="L841" t="s">
        <v>53</v>
      </c>
      <c r="N841" t="s">
        <v>1636</v>
      </c>
      <c r="P841" t="s">
        <v>55</v>
      </c>
      <c r="R841" t="s">
        <v>56</v>
      </c>
      <c r="T841" t="s">
        <v>1625</v>
      </c>
      <c r="U841" t="s">
        <v>58</v>
      </c>
      <c r="V841">
        <v>2</v>
      </c>
      <c r="W841">
        <v>1</v>
      </c>
      <c r="X841">
        <v>1</v>
      </c>
      <c r="Y841">
        <v>0</v>
      </c>
      <c r="Z841">
        <v>1</v>
      </c>
      <c r="AA841">
        <v>0</v>
      </c>
      <c r="AB841">
        <v>311.39999999999998</v>
      </c>
      <c r="AC841">
        <v>274</v>
      </c>
      <c r="AD841">
        <v>0</v>
      </c>
      <c r="AE841">
        <v>37.4</v>
      </c>
      <c r="AF841">
        <v>0</v>
      </c>
      <c r="AG841">
        <v>0</v>
      </c>
      <c r="AH841">
        <v>0</v>
      </c>
      <c r="AI841">
        <v>0</v>
      </c>
      <c r="AJ841">
        <v>311.39999999999998</v>
      </c>
      <c r="AK841">
        <v>0</v>
      </c>
      <c r="AL841" t="s">
        <v>53</v>
      </c>
      <c r="AM841" t="s">
        <v>53</v>
      </c>
      <c r="AN841" t="s">
        <v>1637</v>
      </c>
      <c r="AO841" t="s">
        <v>53</v>
      </c>
      <c r="AP841" t="s">
        <v>53</v>
      </c>
    </row>
    <row r="842" spans="2:42" x14ac:dyDescent="0.2">
      <c r="B842" t="s">
        <v>44</v>
      </c>
      <c r="C842" t="str">
        <f>HYPERLINK("https://us2.cloudbeds.com/connect/8493803454333002#/reservations/598286057673?display=E18JYG8H&amp;reservation_id=598286057673", "E18JYG8H")</f>
        <v>E18JYG8H</v>
      </c>
      <c r="D842" t="s">
        <v>45</v>
      </c>
      <c r="E842" t="s">
        <v>223</v>
      </c>
      <c r="F842" t="s">
        <v>47</v>
      </c>
      <c r="G842" t="s">
        <v>48</v>
      </c>
      <c r="H842" t="s">
        <v>49</v>
      </c>
      <c r="I842" t="s">
        <v>50</v>
      </c>
      <c r="J842" t="s">
        <v>454</v>
      </c>
      <c r="K842" t="s">
        <v>455</v>
      </c>
      <c r="L842" t="s">
        <v>53</v>
      </c>
      <c r="N842" t="s">
        <v>1638</v>
      </c>
      <c r="P842" t="s">
        <v>55</v>
      </c>
      <c r="R842" t="s">
        <v>56</v>
      </c>
      <c r="T842" t="s">
        <v>1625</v>
      </c>
      <c r="U842" t="s">
        <v>58</v>
      </c>
      <c r="V842">
        <v>1</v>
      </c>
      <c r="W842">
        <v>1</v>
      </c>
      <c r="X842">
        <v>1</v>
      </c>
      <c r="Y842">
        <v>0</v>
      </c>
      <c r="Z842">
        <v>1</v>
      </c>
      <c r="AA842">
        <v>0</v>
      </c>
      <c r="AB842">
        <v>94.1</v>
      </c>
      <c r="AC842">
        <v>82.8</v>
      </c>
      <c r="AD842">
        <v>0</v>
      </c>
      <c r="AE842">
        <v>11.31</v>
      </c>
      <c r="AF842">
        <v>0</v>
      </c>
      <c r="AG842">
        <v>0</v>
      </c>
      <c r="AH842">
        <v>0</v>
      </c>
      <c r="AI842">
        <v>16.940000000000001</v>
      </c>
      <c r="AJ842">
        <v>94.11</v>
      </c>
      <c r="AK842">
        <v>0.01</v>
      </c>
      <c r="AL842" t="s">
        <v>53</v>
      </c>
      <c r="AM842" t="s">
        <v>53</v>
      </c>
      <c r="AN842" t="s">
        <v>1639</v>
      </c>
      <c r="AO842" t="s">
        <v>53</v>
      </c>
      <c r="AP842" t="s">
        <v>53</v>
      </c>
    </row>
    <row r="843" spans="2:42" x14ac:dyDescent="0.2">
      <c r="B843" t="s">
        <v>44</v>
      </c>
      <c r="C843" t="str">
        <f>HYPERLINK("https://us2.cloudbeds.com/connect/8493803454333002#/reservations/598545637625?display=E1F7HMMM&amp;reservation_id=598545637625", "E1F7HMMM")</f>
        <v>E1F7HMMM</v>
      </c>
      <c r="D843" t="s">
        <v>45</v>
      </c>
      <c r="E843" t="s">
        <v>487</v>
      </c>
      <c r="F843" t="s">
        <v>61</v>
      </c>
      <c r="G843" t="s">
        <v>48</v>
      </c>
      <c r="H843" t="s">
        <v>49</v>
      </c>
      <c r="I843" t="s">
        <v>50</v>
      </c>
      <c r="J843" t="s">
        <v>755</v>
      </c>
      <c r="K843" t="s">
        <v>454</v>
      </c>
      <c r="L843" t="s">
        <v>53</v>
      </c>
      <c r="N843" t="s">
        <v>1640</v>
      </c>
      <c r="P843" t="s">
        <v>55</v>
      </c>
      <c r="R843" t="s">
        <v>56</v>
      </c>
      <c r="T843" t="s">
        <v>1625</v>
      </c>
      <c r="U843" t="s">
        <v>58</v>
      </c>
      <c r="V843">
        <v>1</v>
      </c>
      <c r="W843">
        <v>1</v>
      </c>
      <c r="X843">
        <v>1</v>
      </c>
      <c r="Y843">
        <v>0</v>
      </c>
      <c r="Z843">
        <v>1</v>
      </c>
      <c r="AA843">
        <v>0</v>
      </c>
      <c r="AB843">
        <v>74.67</v>
      </c>
      <c r="AC843">
        <v>65.7</v>
      </c>
      <c r="AD843">
        <v>0</v>
      </c>
      <c r="AE843">
        <v>8.9700000000000006</v>
      </c>
      <c r="AF843">
        <v>0</v>
      </c>
      <c r="AG843">
        <v>0</v>
      </c>
      <c r="AH843">
        <v>0</v>
      </c>
      <c r="AI843">
        <v>13.44</v>
      </c>
      <c r="AJ843">
        <v>74.67</v>
      </c>
      <c r="AK843">
        <v>0</v>
      </c>
      <c r="AL843" t="s">
        <v>53</v>
      </c>
      <c r="AM843" t="s">
        <v>53</v>
      </c>
      <c r="AN843" t="s">
        <v>142</v>
      </c>
      <c r="AO843" t="s">
        <v>53</v>
      </c>
      <c r="AP843" t="s">
        <v>53</v>
      </c>
    </row>
    <row r="844" spans="2:42" x14ac:dyDescent="0.2">
      <c r="B844" t="s">
        <v>44</v>
      </c>
      <c r="C844" t="str">
        <f>HYPERLINK("https://us2.cloudbeds.com/connect/8493803454333002#/reservations/598374576282?display=E1AS9YXK&amp;reservation_id=598374576282", "E1AS9YXK")</f>
        <v>E1AS9YXK</v>
      </c>
      <c r="D844" t="s">
        <v>45</v>
      </c>
      <c r="E844" t="s">
        <v>128</v>
      </c>
      <c r="F844" t="s">
        <v>86</v>
      </c>
      <c r="G844" t="s">
        <v>48</v>
      </c>
      <c r="H844" t="s">
        <v>49</v>
      </c>
      <c r="I844" t="s">
        <v>62</v>
      </c>
      <c r="J844" t="s">
        <v>1244</v>
      </c>
      <c r="K844" t="s">
        <v>106</v>
      </c>
      <c r="L844" t="s">
        <v>53</v>
      </c>
      <c r="N844" t="s">
        <v>1641</v>
      </c>
      <c r="P844" t="s">
        <v>55</v>
      </c>
      <c r="R844" t="s">
        <v>56</v>
      </c>
      <c r="T844" t="s">
        <v>1625</v>
      </c>
      <c r="U844" t="s">
        <v>58</v>
      </c>
      <c r="V844">
        <v>3</v>
      </c>
      <c r="W844">
        <v>1</v>
      </c>
      <c r="X844">
        <v>1</v>
      </c>
      <c r="Y844">
        <v>0</v>
      </c>
      <c r="Z844">
        <v>1</v>
      </c>
      <c r="AA844">
        <v>0</v>
      </c>
      <c r="AB844">
        <v>398.91</v>
      </c>
      <c r="AC844">
        <v>351</v>
      </c>
      <c r="AD844">
        <v>0</v>
      </c>
      <c r="AE844">
        <v>47.91</v>
      </c>
      <c r="AF844">
        <v>0</v>
      </c>
      <c r="AG844">
        <v>0</v>
      </c>
      <c r="AH844">
        <v>0</v>
      </c>
      <c r="AI844">
        <v>59.84</v>
      </c>
      <c r="AJ844">
        <v>398.91</v>
      </c>
      <c r="AK844">
        <v>0</v>
      </c>
      <c r="AL844" t="s">
        <v>53</v>
      </c>
      <c r="AM844" t="s">
        <v>53</v>
      </c>
      <c r="AN844" t="s">
        <v>1642</v>
      </c>
      <c r="AO844" t="s">
        <v>53</v>
      </c>
      <c r="AP844" t="s">
        <v>53</v>
      </c>
    </row>
    <row r="845" spans="2:42" x14ac:dyDescent="0.2">
      <c r="B845" t="s">
        <v>44</v>
      </c>
      <c r="C845" t="str">
        <f>HYPERLINK("https://us2.cloudbeds.com/connect/8493803454333002#/reservations/598347608196?display=E1A5X7FT&amp;reservation_id=598347608196", "E1A5X7FT")</f>
        <v>E1A5X7FT</v>
      </c>
      <c r="D845" t="s">
        <v>45</v>
      </c>
      <c r="E845" t="s">
        <v>185</v>
      </c>
      <c r="F845" t="s">
        <v>47</v>
      </c>
      <c r="G845" t="s">
        <v>48</v>
      </c>
      <c r="H845" t="s">
        <v>71</v>
      </c>
      <c r="I845" t="s">
        <v>72</v>
      </c>
      <c r="J845" t="s">
        <v>346</v>
      </c>
      <c r="K845" t="s">
        <v>267</v>
      </c>
      <c r="L845" t="s">
        <v>53</v>
      </c>
      <c r="N845" t="s">
        <v>1643</v>
      </c>
      <c r="P845" t="s">
        <v>58</v>
      </c>
      <c r="R845" t="s">
        <v>56</v>
      </c>
      <c r="T845" t="s">
        <v>1625</v>
      </c>
      <c r="U845" t="s">
        <v>58</v>
      </c>
      <c r="V845">
        <v>1</v>
      </c>
      <c r="W845">
        <v>1</v>
      </c>
      <c r="X845">
        <v>1</v>
      </c>
      <c r="Y845">
        <v>0</v>
      </c>
      <c r="Z845">
        <v>1</v>
      </c>
      <c r="AA845">
        <v>0</v>
      </c>
      <c r="AB845">
        <v>71.599999999999994</v>
      </c>
      <c r="AC845">
        <v>63</v>
      </c>
      <c r="AD845">
        <v>0</v>
      </c>
      <c r="AE845">
        <v>8.61</v>
      </c>
      <c r="AF845">
        <v>0</v>
      </c>
      <c r="AG845">
        <v>0</v>
      </c>
      <c r="AH845">
        <v>0</v>
      </c>
      <c r="AI845">
        <v>0</v>
      </c>
      <c r="AJ845">
        <v>71.61</v>
      </c>
      <c r="AK845">
        <v>0.01</v>
      </c>
      <c r="AL845" t="s">
        <v>53</v>
      </c>
      <c r="AM845" t="s">
        <v>53</v>
      </c>
      <c r="AN845" t="s">
        <v>378</v>
      </c>
      <c r="AO845" t="s">
        <v>53</v>
      </c>
      <c r="AP845" t="s">
        <v>53</v>
      </c>
    </row>
    <row r="846" spans="2:42" x14ac:dyDescent="0.2">
      <c r="B846" t="s">
        <v>44</v>
      </c>
      <c r="C846" t="str">
        <f>HYPERLINK("https://us2.cloudbeds.com/connect/8493803454333002#/reservations/597720735872?display=E0R1X2T8&amp;reservation_id=597720735872", "E0R1X2T8")</f>
        <v>E0R1X2T8</v>
      </c>
      <c r="D846" t="s">
        <v>45</v>
      </c>
      <c r="E846" t="s">
        <v>179</v>
      </c>
      <c r="F846" t="s">
        <v>47</v>
      </c>
      <c r="G846" t="s">
        <v>48</v>
      </c>
      <c r="H846" t="s">
        <v>49</v>
      </c>
      <c r="I846" t="s">
        <v>79</v>
      </c>
      <c r="J846" t="s">
        <v>454</v>
      </c>
      <c r="K846" t="s">
        <v>560</v>
      </c>
      <c r="L846" t="s">
        <v>53</v>
      </c>
      <c r="N846" t="s">
        <v>1644</v>
      </c>
      <c r="P846" t="s">
        <v>55</v>
      </c>
      <c r="R846" t="s">
        <v>56</v>
      </c>
      <c r="T846" t="s">
        <v>1625</v>
      </c>
      <c r="U846" t="s">
        <v>58</v>
      </c>
      <c r="V846">
        <v>2</v>
      </c>
      <c r="W846">
        <v>1</v>
      </c>
      <c r="X846">
        <v>1</v>
      </c>
      <c r="Y846">
        <v>0</v>
      </c>
      <c r="Z846">
        <v>1</v>
      </c>
      <c r="AA846">
        <v>0</v>
      </c>
      <c r="AB846">
        <v>188.2</v>
      </c>
      <c r="AC846">
        <v>165.6</v>
      </c>
      <c r="AD846">
        <v>0</v>
      </c>
      <c r="AE846">
        <v>22.62</v>
      </c>
      <c r="AF846">
        <v>0</v>
      </c>
      <c r="AG846">
        <v>0</v>
      </c>
      <c r="AH846">
        <v>0</v>
      </c>
      <c r="AI846">
        <v>0</v>
      </c>
      <c r="AJ846">
        <v>188.22</v>
      </c>
      <c r="AK846">
        <v>0.02</v>
      </c>
      <c r="AL846" t="s">
        <v>53</v>
      </c>
      <c r="AM846" t="s">
        <v>53</v>
      </c>
      <c r="AN846" t="s">
        <v>225</v>
      </c>
      <c r="AO846" t="s">
        <v>53</v>
      </c>
      <c r="AP846" t="s">
        <v>53</v>
      </c>
    </row>
    <row r="847" spans="2:42" x14ac:dyDescent="0.2">
      <c r="B847" t="s">
        <v>44</v>
      </c>
      <c r="C847" t="str">
        <f>HYPERLINK("https://us2.cloudbeds.com/connect/8493803454333002#/reservations/598584684763?display=E1G7F7Y9&amp;reservation_id=598584684763", "E1G7F7Y9")</f>
        <v>E1G7F7Y9</v>
      </c>
      <c r="D847" t="s">
        <v>45</v>
      </c>
      <c r="E847" t="s">
        <v>406</v>
      </c>
      <c r="F847" t="s">
        <v>61</v>
      </c>
      <c r="G847" t="s">
        <v>48</v>
      </c>
      <c r="H847" t="s">
        <v>49</v>
      </c>
      <c r="I847" t="s">
        <v>62</v>
      </c>
      <c r="J847" t="s">
        <v>640</v>
      </c>
      <c r="K847" t="s">
        <v>309</v>
      </c>
      <c r="L847" t="s">
        <v>53</v>
      </c>
      <c r="N847" t="s">
        <v>1645</v>
      </c>
      <c r="P847" t="s">
        <v>55</v>
      </c>
      <c r="R847" t="s">
        <v>56</v>
      </c>
      <c r="T847" t="s">
        <v>1625</v>
      </c>
      <c r="U847" t="s">
        <v>58</v>
      </c>
      <c r="V847">
        <v>1</v>
      </c>
      <c r="W847">
        <v>1</v>
      </c>
      <c r="X847">
        <v>1</v>
      </c>
      <c r="Y847">
        <v>0</v>
      </c>
      <c r="Z847">
        <v>1</v>
      </c>
      <c r="AA847">
        <v>0</v>
      </c>
      <c r="AB847">
        <v>153.43</v>
      </c>
      <c r="AC847">
        <v>135</v>
      </c>
      <c r="AD847">
        <v>0</v>
      </c>
      <c r="AE847">
        <v>18.440000000000001</v>
      </c>
      <c r="AF847">
        <v>0</v>
      </c>
      <c r="AG847">
        <v>0</v>
      </c>
      <c r="AH847">
        <v>0</v>
      </c>
      <c r="AI847">
        <v>23.02</v>
      </c>
      <c r="AJ847">
        <v>153.44</v>
      </c>
      <c r="AK847">
        <v>0.01</v>
      </c>
      <c r="AL847" t="s">
        <v>53</v>
      </c>
      <c r="AM847" t="s">
        <v>53</v>
      </c>
      <c r="AN847" t="s">
        <v>132</v>
      </c>
      <c r="AO847" t="s">
        <v>53</v>
      </c>
      <c r="AP847" t="s">
        <v>53</v>
      </c>
    </row>
    <row r="848" spans="2:42" x14ac:dyDescent="0.2">
      <c r="B848" t="s">
        <v>44</v>
      </c>
      <c r="C848" t="str">
        <f>HYPERLINK("https://us2.cloudbeds.com/connect/8493803454333002#/reservations/597939929263?display=E0WZPVYR&amp;reservation_id=597939929263", "E0WZPVYR")</f>
        <v>E0WZPVYR</v>
      </c>
      <c r="D848" t="s">
        <v>45</v>
      </c>
      <c r="E848" t="s">
        <v>373</v>
      </c>
      <c r="F848" t="s">
        <v>47</v>
      </c>
      <c r="G848" t="s">
        <v>48</v>
      </c>
      <c r="H848" t="s">
        <v>49</v>
      </c>
      <c r="I848" t="s">
        <v>62</v>
      </c>
      <c r="J848" t="s">
        <v>356</v>
      </c>
      <c r="K848" t="s">
        <v>478</v>
      </c>
      <c r="L848" t="s">
        <v>53</v>
      </c>
      <c r="N848" t="s">
        <v>1646</v>
      </c>
      <c r="P848" t="s">
        <v>55</v>
      </c>
      <c r="R848" t="s">
        <v>56</v>
      </c>
      <c r="T848" t="s">
        <v>1647</v>
      </c>
      <c r="U848" t="s">
        <v>58</v>
      </c>
      <c r="V848">
        <v>1</v>
      </c>
      <c r="W848">
        <v>1</v>
      </c>
      <c r="X848">
        <v>1</v>
      </c>
      <c r="Y848">
        <v>0</v>
      </c>
      <c r="Z848">
        <v>1</v>
      </c>
      <c r="AA848">
        <v>0</v>
      </c>
      <c r="AB848">
        <v>153.43</v>
      </c>
      <c r="AC848">
        <v>135</v>
      </c>
      <c r="AD848">
        <v>0</v>
      </c>
      <c r="AE848">
        <v>18.440000000000001</v>
      </c>
      <c r="AF848">
        <v>0</v>
      </c>
      <c r="AG848">
        <v>0</v>
      </c>
      <c r="AH848">
        <v>0</v>
      </c>
      <c r="AI848">
        <v>23.02</v>
      </c>
      <c r="AJ848">
        <v>153.44</v>
      </c>
      <c r="AK848">
        <v>0.01</v>
      </c>
      <c r="AL848" t="s">
        <v>53</v>
      </c>
      <c r="AM848" t="s">
        <v>53</v>
      </c>
      <c r="AN848" t="s">
        <v>146</v>
      </c>
      <c r="AO848" t="s">
        <v>53</v>
      </c>
      <c r="AP848" t="s">
        <v>53</v>
      </c>
    </row>
    <row r="849" spans="2:42" x14ac:dyDescent="0.2">
      <c r="B849" t="s">
        <v>44</v>
      </c>
      <c r="C849" t="str">
        <f>HYPERLINK("https://us2.cloudbeds.com/connect/8493803454333002#/reservations/598371238117?display=E1APFP73&amp;reservation_id=598371238117", "E1APFP73")</f>
        <v>E1APFP73</v>
      </c>
      <c r="D849" t="s">
        <v>45</v>
      </c>
      <c r="E849" t="s">
        <v>78</v>
      </c>
      <c r="F849" t="s">
        <v>61</v>
      </c>
      <c r="G849" t="s">
        <v>48</v>
      </c>
      <c r="H849" t="s">
        <v>49</v>
      </c>
      <c r="I849" t="s">
        <v>79</v>
      </c>
      <c r="J849" t="s">
        <v>488</v>
      </c>
      <c r="K849" t="s">
        <v>1568</v>
      </c>
      <c r="L849" t="s">
        <v>53</v>
      </c>
      <c r="N849" t="s">
        <v>1648</v>
      </c>
      <c r="P849" t="s">
        <v>55</v>
      </c>
      <c r="R849" t="s">
        <v>56</v>
      </c>
      <c r="T849" t="s">
        <v>1647</v>
      </c>
      <c r="U849" t="s">
        <v>58</v>
      </c>
      <c r="V849">
        <v>2</v>
      </c>
      <c r="W849">
        <v>1</v>
      </c>
      <c r="X849">
        <v>1</v>
      </c>
      <c r="Y849">
        <v>0</v>
      </c>
      <c r="Z849">
        <v>1</v>
      </c>
      <c r="AA849">
        <v>0</v>
      </c>
      <c r="AB849">
        <v>322.2</v>
      </c>
      <c r="AC849">
        <v>283.5</v>
      </c>
      <c r="AD849">
        <v>0</v>
      </c>
      <c r="AE849">
        <v>38.700000000000003</v>
      </c>
      <c r="AF849">
        <v>0</v>
      </c>
      <c r="AG849">
        <v>0</v>
      </c>
      <c r="AH849">
        <v>0</v>
      </c>
      <c r="AI849">
        <v>0</v>
      </c>
      <c r="AJ849">
        <v>322.2</v>
      </c>
      <c r="AK849">
        <v>0</v>
      </c>
      <c r="AL849" t="s">
        <v>53</v>
      </c>
      <c r="AM849" t="s">
        <v>53</v>
      </c>
      <c r="AN849" t="s">
        <v>137</v>
      </c>
      <c r="AO849" t="s">
        <v>53</v>
      </c>
      <c r="AP849" t="s">
        <v>53</v>
      </c>
    </row>
    <row r="850" spans="2:42" x14ac:dyDescent="0.2">
      <c r="B850" t="s">
        <v>44</v>
      </c>
      <c r="C850" t="str">
        <f>HYPERLINK("https://us2.cloudbeds.com/connect/8493803454333002#/reservations/598500475031?display=E1E2EW27&amp;reservation_id=598500475031", "E1E2EW27")</f>
        <v>E1E2EW27</v>
      </c>
      <c r="D850" t="s">
        <v>45</v>
      </c>
      <c r="E850" t="s">
        <v>138</v>
      </c>
      <c r="F850" t="s">
        <v>70</v>
      </c>
      <c r="G850" t="s">
        <v>48</v>
      </c>
      <c r="H850" t="s">
        <v>71</v>
      </c>
      <c r="I850" t="s">
        <v>72</v>
      </c>
      <c r="J850" t="s">
        <v>488</v>
      </c>
      <c r="K850" t="s">
        <v>489</v>
      </c>
      <c r="L850" t="s">
        <v>53</v>
      </c>
      <c r="N850" t="s">
        <v>1649</v>
      </c>
      <c r="P850" t="s">
        <v>55</v>
      </c>
      <c r="R850" t="s">
        <v>56</v>
      </c>
      <c r="T850" t="s">
        <v>1647</v>
      </c>
      <c r="U850" t="s">
        <v>58</v>
      </c>
      <c r="V850">
        <v>1</v>
      </c>
      <c r="W850">
        <v>1</v>
      </c>
      <c r="X850">
        <v>1</v>
      </c>
      <c r="Y850">
        <v>0</v>
      </c>
      <c r="Z850">
        <v>1</v>
      </c>
      <c r="AA850">
        <v>0</v>
      </c>
      <c r="AB850">
        <v>148.88</v>
      </c>
      <c r="AC850">
        <v>131</v>
      </c>
      <c r="AD850">
        <v>0</v>
      </c>
      <c r="AE850">
        <v>17.89</v>
      </c>
      <c r="AF850">
        <v>0</v>
      </c>
      <c r="AG850">
        <v>0</v>
      </c>
      <c r="AH850">
        <v>0</v>
      </c>
      <c r="AI850">
        <v>0</v>
      </c>
      <c r="AJ850">
        <v>148.88999999999999</v>
      </c>
      <c r="AK850">
        <v>0.01</v>
      </c>
      <c r="AL850" t="s">
        <v>53</v>
      </c>
      <c r="AM850" t="s">
        <v>53</v>
      </c>
      <c r="AN850" t="s">
        <v>1650</v>
      </c>
      <c r="AO850" t="s">
        <v>53</v>
      </c>
      <c r="AP850" t="s">
        <v>53</v>
      </c>
    </row>
    <row r="851" spans="2:42" x14ac:dyDescent="0.2">
      <c r="B851" t="s">
        <v>44</v>
      </c>
      <c r="C851" t="str">
        <f>HYPERLINK("https://us2.cloudbeds.com/connect/8493803454333002#/reservations/598478237824?display=E1DGN2H9&amp;reservation_id=598478237824", "E1DGN2H9")</f>
        <v>E1DGN2H9</v>
      </c>
      <c r="D851" t="s">
        <v>45</v>
      </c>
      <c r="E851" t="s">
        <v>46</v>
      </c>
      <c r="F851" t="s">
        <v>47</v>
      </c>
      <c r="G851" t="s">
        <v>48</v>
      </c>
      <c r="H851" t="s">
        <v>49</v>
      </c>
      <c r="I851" t="s">
        <v>50</v>
      </c>
      <c r="J851" t="s">
        <v>345</v>
      </c>
      <c r="K851" t="s">
        <v>346</v>
      </c>
      <c r="L851" t="s">
        <v>53</v>
      </c>
      <c r="N851" t="s">
        <v>1651</v>
      </c>
      <c r="P851" t="s">
        <v>55</v>
      </c>
      <c r="R851" t="s">
        <v>56</v>
      </c>
      <c r="T851" t="s">
        <v>1647</v>
      </c>
      <c r="U851" t="s">
        <v>58</v>
      </c>
      <c r="V851">
        <v>1</v>
      </c>
      <c r="W851">
        <v>1</v>
      </c>
      <c r="X851">
        <v>1</v>
      </c>
      <c r="Y851">
        <v>0</v>
      </c>
      <c r="Z851">
        <v>1</v>
      </c>
      <c r="AA851">
        <v>0</v>
      </c>
      <c r="AB851">
        <v>73.87</v>
      </c>
      <c r="AC851">
        <v>65</v>
      </c>
      <c r="AD851">
        <v>0</v>
      </c>
      <c r="AE851">
        <v>8.8800000000000008</v>
      </c>
      <c r="AF851">
        <v>0</v>
      </c>
      <c r="AG851">
        <v>0</v>
      </c>
      <c r="AH851">
        <v>0</v>
      </c>
      <c r="AI851">
        <v>13.3</v>
      </c>
      <c r="AJ851">
        <v>73.88</v>
      </c>
      <c r="AK851">
        <v>0.01</v>
      </c>
      <c r="AL851" t="s">
        <v>53</v>
      </c>
      <c r="AM851" t="s">
        <v>53</v>
      </c>
      <c r="AN851" t="s">
        <v>378</v>
      </c>
      <c r="AO851" t="s">
        <v>53</v>
      </c>
      <c r="AP851" t="s">
        <v>53</v>
      </c>
    </row>
    <row r="852" spans="2:42" x14ac:dyDescent="0.2">
      <c r="B852" t="s">
        <v>44</v>
      </c>
      <c r="C852" t="str">
        <f>HYPERLINK("https://us2.cloudbeds.com/connect/8493803454333002#/reservations/598566965468?display=E1FPH5FV&amp;reservation_id=598566965468", "E1FPH5FV")</f>
        <v>E1FPH5FV</v>
      </c>
      <c r="D852" t="s">
        <v>45</v>
      </c>
      <c r="E852" t="s">
        <v>155</v>
      </c>
      <c r="F852" t="s">
        <v>86</v>
      </c>
      <c r="G852" t="s">
        <v>48</v>
      </c>
      <c r="H852" t="s">
        <v>49</v>
      </c>
      <c r="I852" t="s">
        <v>50</v>
      </c>
      <c r="J852" t="s">
        <v>882</v>
      </c>
      <c r="K852" t="s">
        <v>801</v>
      </c>
      <c r="L852" t="s">
        <v>53</v>
      </c>
      <c r="N852" t="s">
        <v>1652</v>
      </c>
      <c r="P852" t="s">
        <v>55</v>
      </c>
      <c r="R852" t="s">
        <v>56</v>
      </c>
      <c r="T852" t="s">
        <v>1647</v>
      </c>
      <c r="U852" t="s">
        <v>58</v>
      </c>
      <c r="V852">
        <v>1</v>
      </c>
      <c r="W852">
        <v>1</v>
      </c>
      <c r="X852">
        <v>1</v>
      </c>
      <c r="Y852">
        <v>0</v>
      </c>
      <c r="Z852">
        <v>1</v>
      </c>
      <c r="AA852">
        <v>0</v>
      </c>
      <c r="AB852">
        <v>80.81</v>
      </c>
      <c r="AC852">
        <v>71.099999999999994</v>
      </c>
      <c r="AD852">
        <v>0</v>
      </c>
      <c r="AE852">
        <v>9.6999999999999993</v>
      </c>
      <c r="AF852">
        <v>0</v>
      </c>
      <c r="AG852">
        <v>0</v>
      </c>
      <c r="AH852">
        <v>0</v>
      </c>
      <c r="AI852">
        <v>14.54</v>
      </c>
      <c r="AJ852">
        <v>80.8</v>
      </c>
      <c r="AK852">
        <v>-0.01</v>
      </c>
      <c r="AL852" t="s">
        <v>53</v>
      </c>
      <c r="AM852" t="s">
        <v>53</v>
      </c>
      <c r="AN852" t="s">
        <v>225</v>
      </c>
      <c r="AO852" t="s">
        <v>53</v>
      </c>
      <c r="AP852" t="s">
        <v>53</v>
      </c>
    </row>
    <row r="853" spans="2:42" x14ac:dyDescent="0.2">
      <c r="B853" t="s">
        <v>44</v>
      </c>
      <c r="C853" t="str">
        <f>HYPERLINK("https://us2.cloudbeds.com/connect/8493803454333002#/reservations/597684191450?display=E0Q74MC4&amp;reservation_id=597684191450", "E0Q74MC4")</f>
        <v>E0Q74MC4</v>
      </c>
      <c r="D853" t="s">
        <v>45</v>
      </c>
      <c r="E853" t="s">
        <v>190</v>
      </c>
      <c r="F853" t="s">
        <v>61</v>
      </c>
      <c r="G853" t="s">
        <v>48</v>
      </c>
      <c r="H853" t="s">
        <v>49</v>
      </c>
      <c r="I853" t="s">
        <v>114</v>
      </c>
      <c r="J853" t="s">
        <v>345</v>
      </c>
      <c r="K853" t="s">
        <v>346</v>
      </c>
      <c r="L853" t="s">
        <v>53</v>
      </c>
      <c r="N853" t="s">
        <v>1653</v>
      </c>
      <c r="P853" t="s">
        <v>55</v>
      </c>
      <c r="R853" t="s">
        <v>56</v>
      </c>
      <c r="T853" t="s">
        <v>1647</v>
      </c>
      <c r="U853" t="s">
        <v>58</v>
      </c>
      <c r="V853">
        <v>1</v>
      </c>
      <c r="W853">
        <v>1</v>
      </c>
      <c r="X853">
        <v>1</v>
      </c>
      <c r="Y853">
        <v>0</v>
      </c>
      <c r="Z853">
        <v>1</v>
      </c>
      <c r="AA853">
        <v>0</v>
      </c>
      <c r="AB853">
        <v>90.92</v>
      </c>
      <c r="AC853">
        <v>80</v>
      </c>
      <c r="AD853">
        <v>0</v>
      </c>
      <c r="AE853">
        <v>10.92</v>
      </c>
      <c r="AF853">
        <v>0</v>
      </c>
      <c r="AG853">
        <v>0</v>
      </c>
      <c r="AH853">
        <v>0</v>
      </c>
      <c r="AI853">
        <v>0</v>
      </c>
      <c r="AJ853">
        <v>90.92</v>
      </c>
      <c r="AK853">
        <v>0</v>
      </c>
      <c r="AL853" t="s">
        <v>53</v>
      </c>
      <c r="AM853" t="s">
        <v>53</v>
      </c>
      <c r="AN853" t="s">
        <v>1654</v>
      </c>
      <c r="AO853" t="s">
        <v>53</v>
      </c>
      <c r="AP853" t="s">
        <v>53</v>
      </c>
    </row>
    <row r="854" spans="2:42" x14ac:dyDescent="0.2">
      <c r="B854" t="s">
        <v>44</v>
      </c>
      <c r="C854" t="str">
        <f>HYPERLINK("https://us2.cloudbeds.com/connect/8493803454333002#/reservations/598596178142?display=E1GH51NG&amp;reservation_id=598596178142", "E1GH51NG")</f>
        <v>E1GH51NG</v>
      </c>
      <c r="D854" t="s">
        <v>45</v>
      </c>
      <c r="E854" t="s">
        <v>213</v>
      </c>
      <c r="F854" t="s">
        <v>86</v>
      </c>
      <c r="G854" t="s">
        <v>48</v>
      </c>
      <c r="H854" t="s">
        <v>49</v>
      </c>
      <c r="I854" t="s">
        <v>62</v>
      </c>
      <c r="J854" t="s">
        <v>568</v>
      </c>
      <c r="K854" t="s">
        <v>180</v>
      </c>
      <c r="L854" t="s">
        <v>53</v>
      </c>
      <c r="N854" t="s">
        <v>1655</v>
      </c>
      <c r="P854" t="s">
        <v>55</v>
      </c>
      <c r="R854" t="s">
        <v>56</v>
      </c>
      <c r="T854" t="s">
        <v>1647</v>
      </c>
      <c r="U854" t="s">
        <v>58</v>
      </c>
      <c r="V854">
        <v>1</v>
      </c>
      <c r="W854">
        <v>1</v>
      </c>
      <c r="X854">
        <v>1</v>
      </c>
      <c r="Y854">
        <v>0</v>
      </c>
      <c r="Z854">
        <v>1</v>
      </c>
      <c r="AA854">
        <v>0</v>
      </c>
      <c r="AB854">
        <v>170.48</v>
      </c>
      <c r="AC854">
        <v>150</v>
      </c>
      <c r="AD854">
        <v>0</v>
      </c>
      <c r="AE854">
        <v>20.48</v>
      </c>
      <c r="AF854">
        <v>0</v>
      </c>
      <c r="AG854">
        <v>0</v>
      </c>
      <c r="AH854">
        <v>0</v>
      </c>
      <c r="AI854">
        <v>25.57</v>
      </c>
      <c r="AJ854">
        <v>170.48</v>
      </c>
      <c r="AK854">
        <v>0</v>
      </c>
      <c r="AL854" t="s">
        <v>53</v>
      </c>
      <c r="AM854" t="s">
        <v>53</v>
      </c>
      <c r="AN854" t="s">
        <v>104</v>
      </c>
      <c r="AO854" t="s">
        <v>53</v>
      </c>
      <c r="AP854" t="s">
        <v>53</v>
      </c>
    </row>
    <row r="855" spans="2:42" x14ac:dyDescent="0.2">
      <c r="B855" t="s">
        <v>44</v>
      </c>
      <c r="C855" t="str">
        <f>HYPERLINK("https://us2.cloudbeds.com/connect/8493803454333002#/reservations/598076608729?display=E13818QR&amp;reservation_id=598076608729", "E13818QR")</f>
        <v>E13818QR</v>
      </c>
      <c r="D855" t="s">
        <v>45</v>
      </c>
      <c r="E855" t="s">
        <v>381</v>
      </c>
      <c r="F855" t="s">
        <v>47</v>
      </c>
      <c r="G855" t="s">
        <v>48</v>
      </c>
      <c r="H855" t="s">
        <v>49</v>
      </c>
      <c r="I855" t="s">
        <v>62</v>
      </c>
      <c r="J855" t="s">
        <v>346</v>
      </c>
      <c r="K855" t="s">
        <v>267</v>
      </c>
      <c r="L855" t="s">
        <v>53</v>
      </c>
      <c r="N855" t="s">
        <v>1656</v>
      </c>
      <c r="P855" t="s">
        <v>55</v>
      </c>
      <c r="R855" t="s">
        <v>56</v>
      </c>
      <c r="T855" t="s">
        <v>1647</v>
      </c>
      <c r="U855" t="s">
        <v>58</v>
      </c>
      <c r="V855">
        <v>1</v>
      </c>
      <c r="W855">
        <v>1</v>
      </c>
      <c r="X855">
        <v>1</v>
      </c>
      <c r="Y855">
        <v>0</v>
      </c>
      <c r="Z855">
        <v>1</v>
      </c>
      <c r="AA855">
        <v>0</v>
      </c>
      <c r="AB855">
        <v>75.180000000000007</v>
      </c>
      <c r="AC855">
        <v>66.150000000000006</v>
      </c>
      <c r="AD855">
        <v>0</v>
      </c>
      <c r="AE855">
        <v>9.0299999999999994</v>
      </c>
      <c r="AF855">
        <v>0</v>
      </c>
      <c r="AG855">
        <v>0</v>
      </c>
      <c r="AH855">
        <v>0</v>
      </c>
      <c r="AI855">
        <v>11.28</v>
      </c>
      <c r="AJ855">
        <v>75.180000000000007</v>
      </c>
      <c r="AK855">
        <v>0</v>
      </c>
      <c r="AL855" t="s">
        <v>53</v>
      </c>
      <c r="AM855" t="s">
        <v>53</v>
      </c>
      <c r="AN855" t="s">
        <v>1657</v>
      </c>
      <c r="AO855" t="s">
        <v>53</v>
      </c>
      <c r="AP855" t="s">
        <v>53</v>
      </c>
    </row>
    <row r="856" spans="2:42" x14ac:dyDescent="0.2">
      <c r="B856" t="s">
        <v>44</v>
      </c>
      <c r="C856" t="str">
        <f>HYPERLINK("https://us2.cloudbeds.com/connect/8493803454333002#/reservations/598461669518?display=E1D2Z4WJ&amp;reservation_id=598461669518", "E1D2Z4WJ")</f>
        <v>E1D2Z4WJ</v>
      </c>
      <c r="D856" t="s">
        <v>45</v>
      </c>
      <c r="E856" t="s">
        <v>69</v>
      </c>
      <c r="F856" t="s">
        <v>70</v>
      </c>
      <c r="G856" t="s">
        <v>48</v>
      </c>
      <c r="H856" t="s">
        <v>49</v>
      </c>
      <c r="I856" t="s">
        <v>62</v>
      </c>
      <c r="J856" t="s">
        <v>1113</v>
      </c>
      <c r="K856" t="s">
        <v>243</v>
      </c>
      <c r="L856" t="s">
        <v>53</v>
      </c>
      <c r="N856" t="s">
        <v>1658</v>
      </c>
      <c r="P856" t="s">
        <v>55</v>
      </c>
      <c r="R856" t="s">
        <v>56</v>
      </c>
      <c r="T856" t="s">
        <v>1647</v>
      </c>
      <c r="U856" t="s">
        <v>58</v>
      </c>
      <c r="V856">
        <v>1</v>
      </c>
      <c r="W856">
        <v>1</v>
      </c>
      <c r="X856">
        <v>1</v>
      </c>
      <c r="Y856">
        <v>0</v>
      </c>
      <c r="Z856">
        <v>1</v>
      </c>
      <c r="AA856">
        <v>0</v>
      </c>
      <c r="AB856">
        <v>71.599999999999994</v>
      </c>
      <c r="AC856">
        <v>63</v>
      </c>
      <c r="AD856">
        <v>0</v>
      </c>
      <c r="AE856">
        <v>8.61</v>
      </c>
      <c r="AF856">
        <v>0</v>
      </c>
      <c r="AG856">
        <v>0</v>
      </c>
      <c r="AH856">
        <v>0</v>
      </c>
      <c r="AI856">
        <v>10.74</v>
      </c>
      <c r="AJ856">
        <v>71.61</v>
      </c>
      <c r="AK856">
        <v>0.01</v>
      </c>
      <c r="AL856" t="s">
        <v>53</v>
      </c>
      <c r="AM856" t="s">
        <v>53</v>
      </c>
      <c r="AN856" t="s">
        <v>1659</v>
      </c>
      <c r="AO856" t="s">
        <v>53</v>
      </c>
      <c r="AP856" t="s">
        <v>53</v>
      </c>
    </row>
    <row r="857" spans="2:42" x14ac:dyDescent="0.2">
      <c r="B857" t="s">
        <v>44</v>
      </c>
      <c r="C857" t="str">
        <f>HYPERLINK("https://us2.cloudbeds.com/connect/8493803454333002#/reservations/579338297563?display=DJJED4GZ&amp;reservation_id=579338297563", "DJJED4GZ")</f>
        <v>DJJED4GZ</v>
      </c>
      <c r="D857" t="s">
        <v>45</v>
      </c>
      <c r="E857" t="s">
        <v>165</v>
      </c>
      <c r="F857" t="s">
        <v>61</v>
      </c>
      <c r="G857" t="s">
        <v>48</v>
      </c>
      <c r="H857" t="s">
        <v>49</v>
      </c>
      <c r="I857" t="s">
        <v>50</v>
      </c>
      <c r="J857" t="s">
        <v>1296</v>
      </c>
      <c r="K857" t="s">
        <v>1660</v>
      </c>
      <c r="L857" t="s">
        <v>53</v>
      </c>
      <c r="N857" t="s">
        <v>1661</v>
      </c>
      <c r="P857" t="s">
        <v>55</v>
      </c>
      <c r="R857" t="s">
        <v>56</v>
      </c>
      <c r="T857" t="s">
        <v>1647</v>
      </c>
      <c r="U857" t="s">
        <v>58</v>
      </c>
      <c r="V857">
        <v>1</v>
      </c>
      <c r="W857">
        <v>1</v>
      </c>
      <c r="X857">
        <v>1</v>
      </c>
      <c r="Y857">
        <v>0</v>
      </c>
      <c r="Z857">
        <v>1</v>
      </c>
      <c r="AA857">
        <v>0</v>
      </c>
      <c r="AB857">
        <v>163.66</v>
      </c>
      <c r="AC857">
        <v>144</v>
      </c>
      <c r="AD857">
        <v>0</v>
      </c>
      <c r="AE857">
        <v>19.66</v>
      </c>
      <c r="AF857">
        <v>0</v>
      </c>
      <c r="AG857">
        <v>0</v>
      </c>
      <c r="AH857">
        <v>0</v>
      </c>
      <c r="AI857">
        <v>29.46</v>
      </c>
      <c r="AJ857">
        <v>163.66</v>
      </c>
      <c r="AK857">
        <v>0</v>
      </c>
      <c r="AL857" t="s">
        <v>53</v>
      </c>
      <c r="AM857" t="s">
        <v>53</v>
      </c>
      <c r="AN857" t="s">
        <v>225</v>
      </c>
      <c r="AO857" t="s">
        <v>53</v>
      </c>
      <c r="AP857" t="s">
        <v>53</v>
      </c>
    </row>
    <row r="858" spans="2:42" x14ac:dyDescent="0.2">
      <c r="B858" t="s">
        <v>44</v>
      </c>
      <c r="C858" t="str">
        <f>HYPERLINK("https://us2.cloudbeds.com/connect/8493803454333002#/reservations/598237470926?display=E17BMGAS&amp;reservation_id=598237470926", "E17BMGAS")</f>
        <v>E17BMGAS</v>
      </c>
      <c r="D858" t="s">
        <v>45</v>
      </c>
      <c r="E858" t="s">
        <v>113</v>
      </c>
      <c r="F858" t="s">
        <v>61</v>
      </c>
      <c r="G858" t="s">
        <v>48</v>
      </c>
      <c r="H858" t="s">
        <v>49</v>
      </c>
      <c r="I858" t="s">
        <v>79</v>
      </c>
      <c r="J858" t="s">
        <v>123</v>
      </c>
      <c r="K858" t="s">
        <v>762</v>
      </c>
      <c r="L858" t="s">
        <v>53</v>
      </c>
      <c r="N858" t="s">
        <v>1662</v>
      </c>
      <c r="P858" t="s">
        <v>55</v>
      </c>
      <c r="R858" t="s">
        <v>56</v>
      </c>
      <c r="T858" t="s">
        <v>1647</v>
      </c>
      <c r="U858" t="s">
        <v>58</v>
      </c>
      <c r="V858">
        <v>2</v>
      </c>
      <c r="W858">
        <v>1</v>
      </c>
      <c r="X858">
        <v>1</v>
      </c>
      <c r="Y858">
        <v>0</v>
      </c>
      <c r="Z858">
        <v>1</v>
      </c>
      <c r="AA858">
        <v>0</v>
      </c>
      <c r="AB858">
        <v>292.54000000000002</v>
      </c>
      <c r="AC858">
        <v>257.39999999999998</v>
      </c>
      <c r="AD858">
        <v>0</v>
      </c>
      <c r="AE858">
        <v>35.119999999999997</v>
      </c>
      <c r="AF858">
        <v>0</v>
      </c>
      <c r="AG858">
        <v>0</v>
      </c>
      <c r="AH858">
        <v>0</v>
      </c>
      <c r="AI858">
        <v>0</v>
      </c>
      <c r="AJ858">
        <v>292.52</v>
      </c>
      <c r="AK858">
        <v>-0.02</v>
      </c>
      <c r="AL858" t="s">
        <v>53</v>
      </c>
      <c r="AM858" t="s">
        <v>53</v>
      </c>
      <c r="AN858" t="s">
        <v>112</v>
      </c>
      <c r="AO858" t="s">
        <v>53</v>
      </c>
      <c r="AP858" t="s">
        <v>53</v>
      </c>
    </row>
    <row r="859" spans="2:42" x14ac:dyDescent="0.2">
      <c r="B859" t="s">
        <v>44</v>
      </c>
      <c r="C859" t="str">
        <f>HYPERLINK("https://us2.cloudbeds.com/connect/8493803454333002#/reservations/598341890266?display=E1A0Z3S8&amp;reservation_id=598341890266", "E1A0Z3S8")</f>
        <v>E1A0Z3S8</v>
      </c>
      <c r="D859" t="s">
        <v>45</v>
      </c>
      <c r="E859" t="s">
        <v>381</v>
      </c>
      <c r="F859" t="s">
        <v>47</v>
      </c>
      <c r="G859" t="s">
        <v>48</v>
      </c>
      <c r="H859" t="s">
        <v>49</v>
      </c>
      <c r="I859" t="s">
        <v>62</v>
      </c>
      <c r="J859" t="s">
        <v>553</v>
      </c>
      <c r="K859" t="s">
        <v>554</v>
      </c>
      <c r="L859" t="s">
        <v>53</v>
      </c>
      <c r="N859" t="s">
        <v>1663</v>
      </c>
      <c r="P859" t="s">
        <v>55</v>
      </c>
      <c r="R859" t="s">
        <v>56</v>
      </c>
      <c r="T859" t="s">
        <v>1647</v>
      </c>
      <c r="U859" t="s">
        <v>58</v>
      </c>
      <c r="V859">
        <v>1</v>
      </c>
      <c r="W859">
        <v>1</v>
      </c>
      <c r="X859">
        <v>1</v>
      </c>
      <c r="Y859">
        <v>0</v>
      </c>
      <c r="Z859">
        <v>1</v>
      </c>
      <c r="AA859">
        <v>0</v>
      </c>
      <c r="AB859">
        <v>81.83</v>
      </c>
      <c r="AC859">
        <v>72</v>
      </c>
      <c r="AD859">
        <v>0</v>
      </c>
      <c r="AE859">
        <v>9.83</v>
      </c>
      <c r="AF859">
        <v>0</v>
      </c>
      <c r="AG859">
        <v>0</v>
      </c>
      <c r="AH859">
        <v>0</v>
      </c>
      <c r="AI859">
        <v>12.27</v>
      </c>
      <c r="AJ859">
        <v>81.83</v>
      </c>
      <c r="AK859">
        <v>0</v>
      </c>
      <c r="AL859" t="s">
        <v>53</v>
      </c>
      <c r="AM859" t="s">
        <v>53</v>
      </c>
      <c r="AN859" t="s">
        <v>137</v>
      </c>
      <c r="AO859" t="s">
        <v>53</v>
      </c>
      <c r="AP859" t="s">
        <v>53</v>
      </c>
    </row>
    <row r="860" spans="2:42" x14ac:dyDescent="0.2">
      <c r="B860" t="s">
        <v>44</v>
      </c>
      <c r="C860" t="str">
        <f>HYPERLINK("https://us2.cloudbeds.com/connect/8493803454333002#/reservations/579402850466?display=DJY2RDZA&amp;reservation_id=579402850466", "DJY2RDZA")</f>
        <v>DJY2RDZA</v>
      </c>
      <c r="D860" t="s">
        <v>45</v>
      </c>
      <c r="E860" t="s">
        <v>110</v>
      </c>
      <c r="F860" t="s">
        <v>47</v>
      </c>
      <c r="G860" t="s">
        <v>48</v>
      </c>
      <c r="H860" t="s">
        <v>49</v>
      </c>
      <c r="I860" t="s">
        <v>62</v>
      </c>
      <c r="J860" t="s">
        <v>1664</v>
      </c>
      <c r="K860" t="s">
        <v>1665</v>
      </c>
      <c r="L860" t="s">
        <v>53</v>
      </c>
      <c r="N860" t="s">
        <v>1666</v>
      </c>
      <c r="P860" t="s">
        <v>55</v>
      </c>
      <c r="R860" t="s">
        <v>118</v>
      </c>
      <c r="T860" t="s">
        <v>1647</v>
      </c>
      <c r="U860" t="s">
        <v>58</v>
      </c>
      <c r="V860">
        <v>1</v>
      </c>
      <c r="W860">
        <v>1</v>
      </c>
      <c r="X860">
        <v>1</v>
      </c>
      <c r="Y860">
        <v>0</v>
      </c>
      <c r="Z860">
        <v>1</v>
      </c>
      <c r="AA860">
        <v>0</v>
      </c>
      <c r="AB860">
        <v>170.48</v>
      </c>
      <c r="AC860">
        <v>150</v>
      </c>
      <c r="AD860">
        <v>0</v>
      </c>
      <c r="AE860">
        <v>20.48</v>
      </c>
      <c r="AF860">
        <v>0</v>
      </c>
      <c r="AG860">
        <v>0</v>
      </c>
      <c r="AH860">
        <v>0</v>
      </c>
      <c r="AI860">
        <v>25.57</v>
      </c>
      <c r="AJ860">
        <v>170.48</v>
      </c>
      <c r="AK860">
        <v>0</v>
      </c>
      <c r="AL860" t="s">
        <v>53</v>
      </c>
      <c r="AM860" t="s">
        <v>53</v>
      </c>
      <c r="AN860" t="s">
        <v>198</v>
      </c>
      <c r="AO860" t="s">
        <v>53</v>
      </c>
      <c r="AP860" t="s">
        <v>53</v>
      </c>
    </row>
    <row r="861" spans="2:42" x14ac:dyDescent="0.2">
      <c r="B861" t="s">
        <v>44</v>
      </c>
      <c r="C861" t="str">
        <f>HYPERLINK("https://us2.cloudbeds.com/connect/8493803454333002#/reservations/598513664213?display=E1EDXWBD&amp;reservation_id=598513664213", "E1EDXWBD")</f>
        <v>E1EDXWBD</v>
      </c>
      <c r="D861" t="s">
        <v>45</v>
      </c>
      <c r="E861" t="s">
        <v>265</v>
      </c>
      <c r="F861" t="s">
        <v>61</v>
      </c>
      <c r="G861" t="s">
        <v>48</v>
      </c>
      <c r="H861" t="s">
        <v>49</v>
      </c>
      <c r="I861" t="s">
        <v>50</v>
      </c>
      <c r="J861" t="s">
        <v>345</v>
      </c>
      <c r="K861" t="s">
        <v>346</v>
      </c>
      <c r="L861" t="s">
        <v>53</v>
      </c>
      <c r="N861" t="s">
        <v>1667</v>
      </c>
      <c r="P861" t="s">
        <v>55</v>
      </c>
      <c r="R861" t="s">
        <v>56</v>
      </c>
      <c r="T861" t="s">
        <v>1647</v>
      </c>
      <c r="U861" t="s">
        <v>58</v>
      </c>
      <c r="V861">
        <v>1</v>
      </c>
      <c r="W861">
        <v>1</v>
      </c>
      <c r="X861">
        <v>1</v>
      </c>
      <c r="Y861">
        <v>0</v>
      </c>
      <c r="Z861">
        <v>1</v>
      </c>
      <c r="AA861">
        <v>0</v>
      </c>
      <c r="AB861">
        <v>86.94</v>
      </c>
      <c r="AC861">
        <v>76.5</v>
      </c>
      <c r="AD861">
        <v>0</v>
      </c>
      <c r="AE861">
        <v>10.45</v>
      </c>
      <c r="AF861">
        <v>0</v>
      </c>
      <c r="AG861">
        <v>0</v>
      </c>
      <c r="AH861">
        <v>0</v>
      </c>
      <c r="AI861">
        <v>15.65</v>
      </c>
      <c r="AJ861">
        <v>86.95</v>
      </c>
      <c r="AK861">
        <v>0.01</v>
      </c>
      <c r="AL861" t="s">
        <v>53</v>
      </c>
      <c r="AM861" t="s">
        <v>53</v>
      </c>
      <c r="AN861" t="s">
        <v>137</v>
      </c>
      <c r="AO861" t="s">
        <v>53</v>
      </c>
      <c r="AP861" t="s">
        <v>53</v>
      </c>
    </row>
    <row r="862" spans="2:42" x14ac:dyDescent="0.2">
      <c r="B862" t="s">
        <v>44</v>
      </c>
      <c r="C862" t="str">
        <f>HYPERLINK("https://us2.cloudbeds.com/connect/8493803454333002#/reservations/598365991125?display=E1AY1P1B&amp;reservation_id=598365991125", "E1AY1P1B")</f>
        <v>E1AY1P1B</v>
      </c>
      <c r="D862" t="s">
        <v>45</v>
      </c>
      <c r="E862" t="s">
        <v>406</v>
      </c>
      <c r="F862" t="s">
        <v>61</v>
      </c>
      <c r="G862" t="s">
        <v>48</v>
      </c>
      <c r="H862" t="s">
        <v>49</v>
      </c>
      <c r="I862" t="s">
        <v>79</v>
      </c>
      <c r="J862" t="s">
        <v>267</v>
      </c>
      <c r="K862" t="s">
        <v>268</v>
      </c>
      <c r="L862" t="s">
        <v>53</v>
      </c>
      <c r="N862" t="s">
        <v>1668</v>
      </c>
      <c r="P862" t="s">
        <v>55</v>
      </c>
      <c r="R862" t="s">
        <v>56</v>
      </c>
      <c r="T862" t="s">
        <v>1669</v>
      </c>
      <c r="U862" t="s">
        <v>58</v>
      </c>
      <c r="V862">
        <v>1</v>
      </c>
      <c r="W862">
        <v>1</v>
      </c>
      <c r="X862">
        <v>1</v>
      </c>
      <c r="Y862">
        <v>0</v>
      </c>
      <c r="Z862">
        <v>1</v>
      </c>
      <c r="AA862">
        <v>0</v>
      </c>
      <c r="AB862">
        <v>74.67</v>
      </c>
      <c r="AC862">
        <v>65.7</v>
      </c>
      <c r="AD862">
        <v>0</v>
      </c>
      <c r="AE862">
        <v>8.9700000000000006</v>
      </c>
      <c r="AF862">
        <v>0</v>
      </c>
      <c r="AG862">
        <v>0</v>
      </c>
      <c r="AH862">
        <v>0</v>
      </c>
      <c r="AI862">
        <v>0</v>
      </c>
      <c r="AJ862">
        <v>74.67</v>
      </c>
      <c r="AK862">
        <v>0</v>
      </c>
      <c r="AL862" t="s">
        <v>53</v>
      </c>
      <c r="AM862" t="s">
        <v>53</v>
      </c>
      <c r="AN862" t="s">
        <v>59</v>
      </c>
      <c r="AO862" t="s">
        <v>53</v>
      </c>
      <c r="AP862" t="s">
        <v>53</v>
      </c>
    </row>
    <row r="863" spans="2:42" x14ac:dyDescent="0.2">
      <c r="B863" t="s">
        <v>44</v>
      </c>
      <c r="C863" t="str">
        <f>HYPERLINK("https://us2.cloudbeds.com/connect/8493803454333002#/reservations/598368940230?display=E1ANHR45&amp;reservation_id=598368940230", "E1ANHR45")</f>
        <v>E1ANHR45</v>
      </c>
      <c r="D863" t="s">
        <v>45</v>
      </c>
      <c r="E863" t="s">
        <v>155</v>
      </c>
      <c r="F863" t="s">
        <v>86</v>
      </c>
      <c r="G863" t="s">
        <v>48</v>
      </c>
      <c r="H863" t="s">
        <v>71</v>
      </c>
      <c r="I863" t="s">
        <v>72</v>
      </c>
      <c r="J863" t="s">
        <v>346</v>
      </c>
      <c r="K863" t="s">
        <v>243</v>
      </c>
      <c r="L863" t="s">
        <v>53</v>
      </c>
      <c r="N863" t="s">
        <v>1670</v>
      </c>
      <c r="P863" t="s">
        <v>58</v>
      </c>
      <c r="R863" t="s">
        <v>56</v>
      </c>
      <c r="T863" t="s">
        <v>1669</v>
      </c>
      <c r="U863" t="s">
        <v>58</v>
      </c>
      <c r="V863">
        <v>16</v>
      </c>
      <c r="W863">
        <v>1</v>
      </c>
      <c r="X863">
        <v>1</v>
      </c>
      <c r="Y863">
        <v>0</v>
      </c>
      <c r="Z863">
        <v>1</v>
      </c>
      <c r="AA863">
        <v>0</v>
      </c>
      <c r="AB863">
        <v>1195.5999999999999</v>
      </c>
      <c r="AC863">
        <v>1052</v>
      </c>
      <c r="AD863">
        <v>0</v>
      </c>
      <c r="AE863">
        <v>143.68</v>
      </c>
      <c r="AF863">
        <v>0</v>
      </c>
      <c r="AG863">
        <v>0</v>
      </c>
      <c r="AH863">
        <v>0</v>
      </c>
      <c r="AI863">
        <v>0</v>
      </c>
      <c r="AJ863">
        <v>1195.68</v>
      </c>
      <c r="AK863">
        <v>0.08</v>
      </c>
      <c r="AL863" t="s">
        <v>53</v>
      </c>
      <c r="AM863" t="s">
        <v>53</v>
      </c>
      <c r="AN863" t="s">
        <v>1005</v>
      </c>
      <c r="AO863" t="s">
        <v>53</v>
      </c>
      <c r="AP863" t="s">
        <v>53</v>
      </c>
    </row>
    <row r="864" spans="2:42" x14ac:dyDescent="0.2">
      <c r="B864" t="s">
        <v>44</v>
      </c>
      <c r="C864" t="str">
        <f>HYPERLINK("https://us2.cloudbeds.com/connect/8493803454333002#/reservations/598401384701?display=E1BHTY0V&amp;reservation_id=598401384701", "E1BHTY0V")</f>
        <v>E1BHTY0V</v>
      </c>
      <c r="D864" t="s">
        <v>45</v>
      </c>
      <c r="E864" t="s">
        <v>85</v>
      </c>
      <c r="F864" t="s">
        <v>86</v>
      </c>
      <c r="G864" t="s">
        <v>48</v>
      </c>
      <c r="H864" t="s">
        <v>71</v>
      </c>
      <c r="I864" t="s">
        <v>72</v>
      </c>
      <c r="J864" t="s">
        <v>267</v>
      </c>
      <c r="K864" t="s">
        <v>268</v>
      </c>
      <c r="L864" t="s">
        <v>53</v>
      </c>
      <c r="N864" t="s">
        <v>1671</v>
      </c>
      <c r="P864" t="s">
        <v>55</v>
      </c>
      <c r="R864" t="s">
        <v>56</v>
      </c>
      <c r="T864" t="s">
        <v>1669</v>
      </c>
      <c r="U864" t="s">
        <v>58</v>
      </c>
      <c r="V864">
        <v>1</v>
      </c>
      <c r="W864">
        <v>1</v>
      </c>
      <c r="X864">
        <v>1</v>
      </c>
      <c r="Y864">
        <v>0</v>
      </c>
      <c r="Z864">
        <v>1</v>
      </c>
      <c r="AA864">
        <v>0</v>
      </c>
      <c r="AB864">
        <v>81.58</v>
      </c>
      <c r="AC864">
        <v>71.78</v>
      </c>
      <c r="AD864">
        <v>0</v>
      </c>
      <c r="AE864">
        <v>9.8000000000000007</v>
      </c>
      <c r="AF864">
        <v>0</v>
      </c>
      <c r="AG864">
        <v>0</v>
      </c>
      <c r="AH864">
        <v>0</v>
      </c>
      <c r="AI864">
        <v>0</v>
      </c>
      <c r="AJ864">
        <v>81.58</v>
      </c>
      <c r="AK864">
        <v>0</v>
      </c>
      <c r="AL864" t="s">
        <v>53</v>
      </c>
      <c r="AM864" t="s">
        <v>53</v>
      </c>
      <c r="AN864" t="s">
        <v>1672</v>
      </c>
      <c r="AO864" t="s">
        <v>53</v>
      </c>
      <c r="AP864" t="s">
        <v>53</v>
      </c>
    </row>
    <row r="865" spans="2:42" x14ac:dyDescent="0.2">
      <c r="B865" t="s">
        <v>44</v>
      </c>
      <c r="C865" t="str">
        <f>HYPERLINK("https://us2.cloudbeds.com/connect/8493803454333002#/reservations/598107201668?display=E140RXGJ&amp;reservation_id=598107201668", "E140RXGJ")</f>
        <v>E140RXGJ</v>
      </c>
      <c r="D865" t="s">
        <v>45</v>
      </c>
      <c r="E865" t="s">
        <v>110</v>
      </c>
      <c r="F865" t="s">
        <v>47</v>
      </c>
      <c r="G865" t="s">
        <v>48</v>
      </c>
      <c r="H865" t="s">
        <v>49</v>
      </c>
      <c r="I865" t="s">
        <v>62</v>
      </c>
      <c r="J865" t="s">
        <v>346</v>
      </c>
      <c r="K865" t="s">
        <v>267</v>
      </c>
      <c r="L865" t="s">
        <v>53</v>
      </c>
      <c r="N865" t="s">
        <v>1673</v>
      </c>
      <c r="P865" t="s">
        <v>55</v>
      </c>
      <c r="R865" t="s">
        <v>56</v>
      </c>
      <c r="T865" t="s">
        <v>1669</v>
      </c>
      <c r="U865" t="s">
        <v>58</v>
      </c>
      <c r="V865">
        <v>1</v>
      </c>
      <c r="W865">
        <v>1</v>
      </c>
      <c r="X865">
        <v>1</v>
      </c>
      <c r="Y865">
        <v>0</v>
      </c>
      <c r="Z865">
        <v>1</v>
      </c>
      <c r="AA865">
        <v>0</v>
      </c>
      <c r="AB865">
        <v>75.180000000000007</v>
      </c>
      <c r="AC865">
        <v>66.150000000000006</v>
      </c>
      <c r="AD865">
        <v>0</v>
      </c>
      <c r="AE865">
        <v>9.0299999999999994</v>
      </c>
      <c r="AF865">
        <v>0</v>
      </c>
      <c r="AG865">
        <v>0</v>
      </c>
      <c r="AH865">
        <v>0</v>
      </c>
      <c r="AI865">
        <v>11.28</v>
      </c>
      <c r="AJ865">
        <v>75.180000000000007</v>
      </c>
      <c r="AK865">
        <v>0</v>
      </c>
      <c r="AL865" t="s">
        <v>53</v>
      </c>
      <c r="AM865" t="s">
        <v>53</v>
      </c>
      <c r="AN865" t="s">
        <v>1674</v>
      </c>
      <c r="AO865" t="s">
        <v>53</v>
      </c>
      <c r="AP865" t="s">
        <v>53</v>
      </c>
    </row>
    <row r="866" spans="2:42" x14ac:dyDescent="0.2">
      <c r="B866" t="s">
        <v>44</v>
      </c>
      <c r="C866" t="str">
        <f>HYPERLINK("https://us2.cloudbeds.com/connect/8493803454333002#/reservations/598375854210?display=E1ATC71N&amp;reservation_id=598375854210", "E1ATC71N")</f>
        <v>E1ATC71N</v>
      </c>
      <c r="D866" t="s">
        <v>45</v>
      </c>
      <c r="E866" t="s">
        <v>305</v>
      </c>
      <c r="F866" t="s">
        <v>61</v>
      </c>
      <c r="G866" t="s">
        <v>48</v>
      </c>
      <c r="H866" t="s">
        <v>49</v>
      </c>
      <c r="I866" t="s">
        <v>79</v>
      </c>
      <c r="J866" t="s">
        <v>267</v>
      </c>
      <c r="K866" t="s">
        <v>268</v>
      </c>
      <c r="L866" t="s">
        <v>53</v>
      </c>
      <c r="N866" t="s">
        <v>1675</v>
      </c>
      <c r="P866" t="s">
        <v>55</v>
      </c>
      <c r="R866" t="s">
        <v>56</v>
      </c>
      <c r="T866" t="s">
        <v>1669</v>
      </c>
      <c r="U866" t="s">
        <v>58</v>
      </c>
      <c r="V866">
        <v>1</v>
      </c>
      <c r="W866">
        <v>1</v>
      </c>
      <c r="X866">
        <v>1</v>
      </c>
      <c r="Y866">
        <v>0</v>
      </c>
      <c r="Z866">
        <v>1</v>
      </c>
      <c r="AA866">
        <v>0</v>
      </c>
      <c r="AB866">
        <v>74.67</v>
      </c>
      <c r="AC866">
        <v>65.7</v>
      </c>
      <c r="AD866">
        <v>0</v>
      </c>
      <c r="AE866">
        <v>8.9700000000000006</v>
      </c>
      <c r="AF866">
        <v>0</v>
      </c>
      <c r="AG866">
        <v>0</v>
      </c>
      <c r="AH866">
        <v>0</v>
      </c>
      <c r="AI866">
        <v>0</v>
      </c>
      <c r="AJ866">
        <v>74.67</v>
      </c>
      <c r="AK866">
        <v>0</v>
      </c>
      <c r="AL866" t="s">
        <v>53</v>
      </c>
      <c r="AM866" t="s">
        <v>53</v>
      </c>
      <c r="AN866" t="s">
        <v>332</v>
      </c>
      <c r="AO866" t="s">
        <v>53</v>
      </c>
      <c r="AP866" t="s">
        <v>53</v>
      </c>
    </row>
    <row r="867" spans="2:42" x14ac:dyDescent="0.2">
      <c r="B867" t="s">
        <v>44</v>
      </c>
      <c r="C867" t="str">
        <f>HYPERLINK("https://us2.cloudbeds.com/connect/8493803454333002#/reservations/598374580380?display=E1AS9PAQ&amp;reservation_id=598374580380", "E1AS9PAQ")</f>
        <v>E1AS9PAQ</v>
      </c>
      <c r="D867" t="s">
        <v>45</v>
      </c>
      <c r="E867" t="s">
        <v>46</v>
      </c>
      <c r="F867" t="s">
        <v>47</v>
      </c>
      <c r="G867" t="s">
        <v>48</v>
      </c>
      <c r="H867" t="s">
        <v>49</v>
      </c>
      <c r="I867" t="s">
        <v>79</v>
      </c>
      <c r="J867" t="s">
        <v>454</v>
      </c>
      <c r="K867" t="s">
        <v>455</v>
      </c>
      <c r="L867" t="s">
        <v>53</v>
      </c>
      <c r="N867" t="s">
        <v>1676</v>
      </c>
      <c r="P867" t="s">
        <v>55</v>
      </c>
      <c r="R867" t="s">
        <v>56</v>
      </c>
      <c r="T867" t="s">
        <v>1669</v>
      </c>
      <c r="U867" t="s">
        <v>58</v>
      </c>
      <c r="V867">
        <v>1</v>
      </c>
      <c r="W867">
        <v>1</v>
      </c>
      <c r="X867">
        <v>1</v>
      </c>
      <c r="Y867">
        <v>0</v>
      </c>
      <c r="Z867">
        <v>1</v>
      </c>
      <c r="AA867">
        <v>0</v>
      </c>
      <c r="AB867">
        <v>94.1</v>
      </c>
      <c r="AC867">
        <v>82.8</v>
      </c>
      <c r="AD867">
        <v>0</v>
      </c>
      <c r="AE867">
        <v>11.31</v>
      </c>
      <c r="AF867">
        <v>0</v>
      </c>
      <c r="AG867">
        <v>0</v>
      </c>
      <c r="AH867">
        <v>0</v>
      </c>
      <c r="AI867">
        <v>0</v>
      </c>
      <c r="AJ867">
        <v>94.11</v>
      </c>
      <c r="AK867">
        <v>0.01</v>
      </c>
      <c r="AL867" t="s">
        <v>53</v>
      </c>
      <c r="AM867" t="s">
        <v>53</v>
      </c>
      <c r="AN867" t="s">
        <v>59</v>
      </c>
      <c r="AO867" t="s">
        <v>53</v>
      </c>
      <c r="AP867" t="s">
        <v>53</v>
      </c>
    </row>
    <row r="868" spans="2:42" x14ac:dyDescent="0.2">
      <c r="B868" t="s">
        <v>44</v>
      </c>
      <c r="C868" t="str">
        <f>HYPERLINK("https://us2.cloudbeds.com/connect/8493803454333002#/reservations/598360891584?display=E1AGZZXK&amp;reservation_id=598360891584", "E1AGZZXK")</f>
        <v>E1AGZZXK</v>
      </c>
      <c r="D868" t="s">
        <v>45</v>
      </c>
      <c r="E868" t="s">
        <v>487</v>
      </c>
      <c r="F868" t="s">
        <v>61</v>
      </c>
      <c r="G868" t="s">
        <v>48</v>
      </c>
      <c r="H868" t="s">
        <v>49</v>
      </c>
      <c r="I868" t="s">
        <v>79</v>
      </c>
      <c r="J868" t="s">
        <v>267</v>
      </c>
      <c r="K868" t="s">
        <v>268</v>
      </c>
      <c r="L868" t="s">
        <v>53</v>
      </c>
      <c r="N868" t="s">
        <v>1677</v>
      </c>
      <c r="P868" t="s">
        <v>55</v>
      </c>
      <c r="R868" t="s">
        <v>56</v>
      </c>
      <c r="T868" t="s">
        <v>1669</v>
      </c>
      <c r="U868" t="s">
        <v>58</v>
      </c>
      <c r="V868">
        <v>1</v>
      </c>
      <c r="W868">
        <v>1</v>
      </c>
      <c r="X868">
        <v>1</v>
      </c>
      <c r="Y868">
        <v>0</v>
      </c>
      <c r="Z868">
        <v>1</v>
      </c>
      <c r="AA868">
        <v>0</v>
      </c>
      <c r="AB868">
        <v>74.67</v>
      </c>
      <c r="AC868">
        <v>65.7</v>
      </c>
      <c r="AD868">
        <v>0</v>
      </c>
      <c r="AE868">
        <v>8.9700000000000006</v>
      </c>
      <c r="AF868">
        <v>0</v>
      </c>
      <c r="AG868">
        <v>0</v>
      </c>
      <c r="AH868">
        <v>0</v>
      </c>
      <c r="AI868">
        <v>0</v>
      </c>
      <c r="AJ868">
        <v>74.67</v>
      </c>
      <c r="AK868">
        <v>0</v>
      </c>
      <c r="AL868" t="s">
        <v>53</v>
      </c>
      <c r="AM868" t="s">
        <v>53</v>
      </c>
      <c r="AN868" t="s">
        <v>252</v>
      </c>
      <c r="AO868" t="s">
        <v>53</v>
      </c>
      <c r="AP868" t="s">
        <v>53</v>
      </c>
    </row>
    <row r="869" spans="2:42" x14ac:dyDescent="0.2">
      <c r="B869" t="s">
        <v>44</v>
      </c>
      <c r="C869" t="str">
        <f>HYPERLINK("https://us2.cloudbeds.com/connect/8493803454333002#/reservations/598249394392?display=E17YZ9B0&amp;reservation_id=598249394392", "E17YZ9B0")</f>
        <v>E17YZ9B0</v>
      </c>
      <c r="D869" t="s">
        <v>45</v>
      </c>
      <c r="E869" t="s">
        <v>190</v>
      </c>
      <c r="F869" t="s">
        <v>61</v>
      </c>
      <c r="G869" t="s">
        <v>48</v>
      </c>
      <c r="H869" t="s">
        <v>49</v>
      </c>
      <c r="I869" t="s">
        <v>50</v>
      </c>
      <c r="J869" t="s">
        <v>346</v>
      </c>
      <c r="K869" t="s">
        <v>267</v>
      </c>
      <c r="L869" t="s">
        <v>53</v>
      </c>
      <c r="N869" t="s">
        <v>1678</v>
      </c>
      <c r="P869" t="s">
        <v>55</v>
      </c>
      <c r="R869" t="s">
        <v>56</v>
      </c>
      <c r="T869" t="s">
        <v>1669</v>
      </c>
      <c r="U869" t="s">
        <v>58</v>
      </c>
      <c r="V869">
        <v>1</v>
      </c>
      <c r="W869">
        <v>1</v>
      </c>
      <c r="X869">
        <v>1</v>
      </c>
      <c r="Y869">
        <v>0</v>
      </c>
      <c r="Z869">
        <v>1</v>
      </c>
      <c r="AA869">
        <v>0</v>
      </c>
      <c r="AB869">
        <v>74.67</v>
      </c>
      <c r="AC869">
        <v>65.7</v>
      </c>
      <c r="AD869">
        <v>0</v>
      </c>
      <c r="AE869">
        <v>8.9700000000000006</v>
      </c>
      <c r="AF869">
        <v>0</v>
      </c>
      <c r="AG869">
        <v>0</v>
      </c>
      <c r="AH869">
        <v>0</v>
      </c>
      <c r="AI869">
        <v>13.44</v>
      </c>
      <c r="AJ869">
        <v>74.67</v>
      </c>
      <c r="AK869">
        <v>0</v>
      </c>
      <c r="AL869" t="s">
        <v>53</v>
      </c>
      <c r="AM869" t="s">
        <v>53</v>
      </c>
      <c r="AN869" t="s">
        <v>112</v>
      </c>
      <c r="AO869" t="s">
        <v>53</v>
      </c>
      <c r="AP869" t="s">
        <v>53</v>
      </c>
    </row>
    <row r="870" spans="2:42" x14ac:dyDescent="0.2">
      <c r="B870" t="s">
        <v>44</v>
      </c>
      <c r="C870" t="str">
        <f>HYPERLINK("https://us2.cloudbeds.com/connect/8493803454333002#/reservations/598532923541?display=E1ETQTMD&amp;reservation_id=598532923541", "E1ETQTMD")</f>
        <v>E1ETQTMD</v>
      </c>
      <c r="D870" t="s">
        <v>45</v>
      </c>
      <c r="E870" t="s">
        <v>98</v>
      </c>
      <c r="F870" t="s">
        <v>86</v>
      </c>
      <c r="G870" t="s">
        <v>48</v>
      </c>
      <c r="H870" t="s">
        <v>71</v>
      </c>
      <c r="I870" t="s">
        <v>72</v>
      </c>
      <c r="J870" t="s">
        <v>882</v>
      </c>
      <c r="K870" t="s">
        <v>801</v>
      </c>
      <c r="L870" t="s">
        <v>53</v>
      </c>
      <c r="N870" t="s">
        <v>1679</v>
      </c>
      <c r="P870" t="s">
        <v>55</v>
      </c>
      <c r="R870" t="s">
        <v>1680</v>
      </c>
      <c r="T870" t="s">
        <v>1669</v>
      </c>
      <c r="U870" t="s">
        <v>58</v>
      </c>
      <c r="V870">
        <v>1</v>
      </c>
      <c r="W870">
        <v>1</v>
      </c>
      <c r="X870">
        <v>1</v>
      </c>
      <c r="Y870">
        <v>0</v>
      </c>
      <c r="Z870">
        <v>1</v>
      </c>
      <c r="AA870">
        <v>0</v>
      </c>
      <c r="AB870">
        <v>78.42</v>
      </c>
      <c r="AC870">
        <v>69</v>
      </c>
      <c r="AD870">
        <v>0</v>
      </c>
      <c r="AE870">
        <v>9.42</v>
      </c>
      <c r="AF870">
        <v>0</v>
      </c>
      <c r="AG870">
        <v>0</v>
      </c>
      <c r="AH870">
        <v>0</v>
      </c>
      <c r="AI870">
        <v>0</v>
      </c>
      <c r="AJ870">
        <v>78.42</v>
      </c>
      <c r="AK870">
        <v>0</v>
      </c>
      <c r="AL870" t="s">
        <v>53</v>
      </c>
      <c r="AM870" t="s">
        <v>53</v>
      </c>
      <c r="AN870" t="s">
        <v>1681</v>
      </c>
      <c r="AO870" t="s">
        <v>53</v>
      </c>
      <c r="AP870" t="s">
        <v>53</v>
      </c>
    </row>
    <row r="871" spans="2:42" x14ac:dyDescent="0.2">
      <c r="B871" t="s">
        <v>44</v>
      </c>
      <c r="C871" t="str">
        <f>HYPERLINK("https://us2.cloudbeds.com/connect/8493803454333002#/reservations/598602744031?display=E1GMMZWR&amp;reservation_id=598602744031", "E1GMMZWR")</f>
        <v>E1GMMZWR</v>
      </c>
      <c r="D871" t="s">
        <v>45</v>
      </c>
      <c r="E871" t="s">
        <v>110</v>
      </c>
      <c r="F871" t="s">
        <v>47</v>
      </c>
      <c r="G871" t="s">
        <v>48</v>
      </c>
      <c r="H871" t="s">
        <v>49</v>
      </c>
      <c r="I871" t="s">
        <v>114</v>
      </c>
      <c r="J871" t="s">
        <v>288</v>
      </c>
      <c r="K871" t="s">
        <v>289</v>
      </c>
      <c r="L871" t="s">
        <v>53</v>
      </c>
      <c r="N871" t="s">
        <v>1682</v>
      </c>
      <c r="P871" t="s">
        <v>55</v>
      </c>
      <c r="R871" t="s">
        <v>56</v>
      </c>
      <c r="T871" t="s">
        <v>1669</v>
      </c>
      <c r="U871" t="s">
        <v>58</v>
      </c>
      <c r="V871">
        <v>1</v>
      </c>
      <c r="W871">
        <v>1</v>
      </c>
      <c r="X871">
        <v>1</v>
      </c>
      <c r="Y871">
        <v>0</v>
      </c>
      <c r="Z871">
        <v>1</v>
      </c>
      <c r="AA871">
        <v>0</v>
      </c>
      <c r="AB871">
        <v>148.88</v>
      </c>
      <c r="AC871">
        <v>131</v>
      </c>
      <c r="AD871">
        <v>0</v>
      </c>
      <c r="AE871">
        <v>17.89</v>
      </c>
      <c r="AF871">
        <v>0</v>
      </c>
      <c r="AG871">
        <v>0</v>
      </c>
      <c r="AH871">
        <v>0</v>
      </c>
      <c r="AI871">
        <v>0</v>
      </c>
      <c r="AJ871">
        <v>148.88999999999999</v>
      </c>
      <c r="AK871">
        <v>0.01</v>
      </c>
      <c r="AL871" t="s">
        <v>53</v>
      </c>
      <c r="AM871" t="s">
        <v>53</v>
      </c>
      <c r="AN871" t="s">
        <v>1683</v>
      </c>
      <c r="AO871" t="s">
        <v>53</v>
      </c>
      <c r="AP871" t="s">
        <v>53</v>
      </c>
    </row>
    <row r="872" spans="2:42" x14ac:dyDescent="0.2">
      <c r="B872" t="s">
        <v>44</v>
      </c>
      <c r="C872" t="str">
        <f>HYPERLINK("https://us2.cloudbeds.com/connect/8493803454333002#/reservations/598098989294?display=E13QU19P&amp;reservation_id=598098989294", "E13QU19P")</f>
        <v>E13QU19P</v>
      </c>
      <c r="D872" t="s">
        <v>45</v>
      </c>
      <c r="E872" t="s">
        <v>190</v>
      </c>
      <c r="F872" t="s">
        <v>61</v>
      </c>
      <c r="G872" t="s">
        <v>48</v>
      </c>
      <c r="H872" t="s">
        <v>49</v>
      </c>
      <c r="I872" t="s">
        <v>62</v>
      </c>
      <c r="J872" t="s">
        <v>267</v>
      </c>
      <c r="K872" t="s">
        <v>755</v>
      </c>
      <c r="L872" t="s">
        <v>53</v>
      </c>
      <c r="N872" t="s">
        <v>1684</v>
      </c>
      <c r="P872" t="s">
        <v>55</v>
      </c>
      <c r="R872" t="s">
        <v>56</v>
      </c>
      <c r="T872" t="s">
        <v>1669</v>
      </c>
      <c r="U872" t="s">
        <v>58</v>
      </c>
      <c r="V872">
        <v>2</v>
      </c>
      <c r="W872">
        <v>1</v>
      </c>
      <c r="X872">
        <v>1</v>
      </c>
      <c r="Y872">
        <v>0</v>
      </c>
      <c r="Z872">
        <v>1</v>
      </c>
      <c r="AA872">
        <v>0</v>
      </c>
      <c r="AB872">
        <v>162.29</v>
      </c>
      <c r="AC872">
        <v>142.80000000000001</v>
      </c>
      <c r="AD872">
        <v>0</v>
      </c>
      <c r="AE872">
        <v>19.5</v>
      </c>
      <c r="AF872">
        <v>0</v>
      </c>
      <c r="AG872">
        <v>0</v>
      </c>
      <c r="AH872">
        <v>0</v>
      </c>
      <c r="AI872">
        <v>24.35</v>
      </c>
      <c r="AJ872">
        <v>162.30000000000001</v>
      </c>
      <c r="AK872">
        <v>0.01</v>
      </c>
      <c r="AL872" t="s">
        <v>53</v>
      </c>
      <c r="AM872" t="s">
        <v>53</v>
      </c>
      <c r="AN872" t="s">
        <v>529</v>
      </c>
      <c r="AO872" t="s">
        <v>53</v>
      </c>
      <c r="AP872" t="s">
        <v>53</v>
      </c>
    </row>
    <row r="873" spans="2:42" x14ac:dyDescent="0.2">
      <c r="B873" t="s">
        <v>44</v>
      </c>
      <c r="C873" t="str">
        <f>HYPERLINK("https://us2.cloudbeds.com/connect/8493803454333002#/reservations/598499557621?display=E1E1MEKU&amp;reservation_id=598499557621", "E1E1MEKU")</f>
        <v>E1E1MEKU</v>
      </c>
      <c r="D873" t="s">
        <v>45</v>
      </c>
      <c r="E873" t="s">
        <v>381</v>
      </c>
      <c r="F873" t="s">
        <v>47</v>
      </c>
      <c r="G873" t="s">
        <v>48</v>
      </c>
      <c r="H873" t="s">
        <v>71</v>
      </c>
      <c r="I873" t="s">
        <v>72</v>
      </c>
      <c r="J873" t="s">
        <v>167</v>
      </c>
      <c r="K873" t="s">
        <v>746</v>
      </c>
      <c r="L873" t="s">
        <v>53</v>
      </c>
      <c r="N873" t="s">
        <v>1685</v>
      </c>
      <c r="P873" t="s">
        <v>58</v>
      </c>
      <c r="R873" t="s">
        <v>56</v>
      </c>
      <c r="T873" t="s">
        <v>1669</v>
      </c>
      <c r="U873" t="s">
        <v>58</v>
      </c>
      <c r="V873">
        <v>2</v>
      </c>
      <c r="W873">
        <v>1</v>
      </c>
      <c r="X873">
        <v>1</v>
      </c>
      <c r="Y873">
        <v>0</v>
      </c>
      <c r="Z873">
        <v>1</v>
      </c>
      <c r="AA873">
        <v>0</v>
      </c>
      <c r="AB873">
        <v>154.56</v>
      </c>
      <c r="AC873">
        <v>136</v>
      </c>
      <c r="AD873">
        <v>0</v>
      </c>
      <c r="AE873">
        <v>18.559999999999999</v>
      </c>
      <c r="AF873">
        <v>0</v>
      </c>
      <c r="AG873">
        <v>0</v>
      </c>
      <c r="AH873">
        <v>0</v>
      </c>
      <c r="AI873">
        <v>0</v>
      </c>
      <c r="AJ873">
        <v>154.56</v>
      </c>
      <c r="AK873">
        <v>0</v>
      </c>
      <c r="AL873" t="s">
        <v>53</v>
      </c>
      <c r="AM873" t="s">
        <v>53</v>
      </c>
      <c r="AN873" t="s">
        <v>1686</v>
      </c>
      <c r="AO873" t="s">
        <v>53</v>
      </c>
      <c r="AP873" t="s">
        <v>53</v>
      </c>
    </row>
    <row r="874" spans="2:42" x14ac:dyDescent="0.2">
      <c r="B874" t="s">
        <v>44</v>
      </c>
      <c r="C874" t="str">
        <f>HYPERLINK("https://us2.cloudbeds.com/connect/8493803454333002#/reservations/598331203801?display=E19ZNZP0&amp;reservation_id=598331203801", "E19ZNZP0")</f>
        <v>E19ZNZP0</v>
      </c>
      <c r="D874" t="s">
        <v>45</v>
      </c>
      <c r="E874" t="s">
        <v>85</v>
      </c>
      <c r="F874" t="s">
        <v>86</v>
      </c>
      <c r="G874" t="s">
        <v>48</v>
      </c>
      <c r="H874" t="s">
        <v>49</v>
      </c>
      <c r="I874" t="s">
        <v>50</v>
      </c>
      <c r="J874" t="s">
        <v>755</v>
      </c>
      <c r="K874" t="s">
        <v>455</v>
      </c>
      <c r="L874" t="s">
        <v>53</v>
      </c>
      <c r="N874" t="s">
        <v>1687</v>
      </c>
      <c r="P874" t="s">
        <v>55</v>
      </c>
      <c r="R874" t="s">
        <v>56</v>
      </c>
      <c r="T874" t="s">
        <v>1688</v>
      </c>
      <c r="U874" t="s">
        <v>58</v>
      </c>
      <c r="V874">
        <v>2</v>
      </c>
      <c r="W874">
        <v>1</v>
      </c>
      <c r="X874">
        <v>1</v>
      </c>
      <c r="Y874">
        <v>0</v>
      </c>
      <c r="Z874">
        <v>1</v>
      </c>
      <c r="AA874">
        <v>0</v>
      </c>
      <c r="AB874">
        <v>213.78</v>
      </c>
      <c r="AC874">
        <v>188.1</v>
      </c>
      <c r="AD874">
        <v>0</v>
      </c>
      <c r="AE874">
        <v>25.68</v>
      </c>
      <c r="AF874">
        <v>0</v>
      </c>
      <c r="AG874">
        <v>0</v>
      </c>
      <c r="AH874">
        <v>0</v>
      </c>
      <c r="AI874">
        <v>38.479999999999997</v>
      </c>
      <c r="AJ874">
        <v>213.78</v>
      </c>
      <c r="AK874">
        <v>0</v>
      </c>
      <c r="AL874" t="s">
        <v>53</v>
      </c>
      <c r="AM874" t="s">
        <v>53</v>
      </c>
      <c r="AN874" t="s">
        <v>349</v>
      </c>
      <c r="AO874" t="s">
        <v>53</v>
      </c>
      <c r="AP874" t="s">
        <v>53</v>
      </c>
    </row>
    <row r="875" spans="2:42" x14ac:dyDescent="0.2">
      <c r="B875" t="s">
        <v>44</v>
      </c>
      <c r="C875" t="str">
        <f>HYPERLINK("https://us2.cloudbeds.com/connect/8493803454333002#/reservations/598461178050?display=E1D2AFMK&amp;reservation_id=598461178050", "E1D2AFMK")</f>
        <v>E1D2AFMK</v>
      </c>
      <c r="D875" t="s">
        <v>45</v>
      </c>
      <c r="E875" t="s">
        <v>165</v>
      </c>
      <c r="F875" t="s">
        <v>61</v>
      </c>
      <c r="G875" t="s">
        <v>48</v>
      </c>
      <c r="H875" t="s">
        <v>71</v>
      </c>
      <c r="I875" t="s">
        <v>72</v>
      </c>
      <c r="J875" t="s">
        <v>267</v>
      </c>
      <c r="K875" t="s">
        <v>268</v>
      </c>
      <c r="L875" t="s">
        <v>53</v>
      </c>
      <c r="N875" t="s">
        <v>1689</v>
      </c>
      <c r="P875" t="s">
        <v>55</v>
      </c>
      <c r="R875" t="s">
        <v>56</v>
      </c>
      <c r="T875" t="s">
        <v>1688</v>
      </c>
      <c r="U875" t="s">
        <v>58</v>
      </c>
      <c r="V875">
        <v>1</v>
      </c>
      <c r="W875">
        <v>1</v>
      </c>
      <c r="X875">
        <v>1</v>
      </c>
      <c r="Y875">
        <v>0</v>
      </c>
      <c r="Z875">
        <v>1</v>
      </c>
      <c r="AA875">
        <v>0</v>
      </c>
      <c r="AB875">
        <v>73.87</v>
      </c>
      <c r="AC875">
        <v>65</v>
      </c>
      <c r="AD875">
        <v>0</v>
      </c>
      <c r="AE875">
        <v>8.8800000000000008</v>
      </c>
      <c r="AF875">
        <v>0</v>
      </c>
      <c r="AG875">
        <v>0</v>
      </c>
      <c r="AH875">
        <v>0</v>
      </c>
      <c r="AI875">
        <v>0</v>
      </c>
      <c r="AJ875">
        <v>73.88</v>
      </c>
      <c r="AK875">
        <v>0.01</v>
      </c>
      <c r="AL875" t="s">
        <v>53</v>
      </c>
      <c r="AM875" t="s">
        <v>53</v>
      </c>
      <c r="AN875" t="s">
        <v>378</v>
      </c>
      <c r="AO875" t="s">
        <v>53</v>
      </c>
      <c r="AP875" t="s">
        <v>53</v>
      </c>
    </row>
    <row r="876" spans="2:42" x14ac:dyDescent="0.2">
      <c r="B876" t="s">
        <v>44</v>
      </c>
      <c r="C876" t="str">
        <f>HYPERLINK("https://us2.cloudbeds.com/connect/8493803454333002#/reservations/598441681058?display=E1CXSV3M&amp;reservation_id=598441681058", "E1CXSV3M")</f>
        <v>E1CXSV3M</v>
      </c>
      <c r="D876" t="s">
        <v>45</v>
      </c>
      <c r="E876" t="s">
        <v>105</v>
      </c>
      <c r="F876" t="s">
        <v>47</v>
      </c>
      <c r="G876" t="s">
        <v>48</v>
      </c>
      <c r="H876" t="s">
        <v>49</v>
      </c>
      <c r="I876" t="s">
        <v>50</v>
      </c>
      <c r="J876" t="s">
        <v>755</v>
      </c>
      <c r="K876" t="s">
        <v>560</v>
      </c>
      <c r="L876" t="s">
        <v>53</v>
      </c>
      <c r="N876" t="s">
        <v>1690</v>
      </c>
      <c r="P876" t="s">
        <v>55</v>
      </c>
      <c r="R876" t="s">
        <v>56</v>
      </c>
      <c r="T876" t="s">
        <v>1688</v>
      </c>
      <c r="U876" t="s">
        <v>58</v>
      </c>
      <c r="V876">
        <v>3</v>
      </c>
      <c r="W876">
        <v>1</v>
      </c>
      <c r="X876">
        <v>1</v>
      </c>
      <c r="Y876">
        <v>0</v>
      </c>
      <c r="Z876">
        <v>1</v>
      </c>
      <c r="AA876">
        <v>0</v>
      </c>
      <c r="AB876">
        <v>257.76</v>
      </c>
      <c r="AC876">
        <v>226.8</v>
      </c>
      <c r="AD876">
        <v>0</v>
      </c>
      <c r="AE876">
        <v>30.96</v>
      </c>
      <c r="AF876">
        <v>0</v>
      </c>
      <c r="AG876">
        <v>0</v>
      </c>
      <c r="AH876">
        <v>0</v>
      </c>
      <c r="AI876">
        <v>46.4</v>
      </c>
      <c r="AJ876">
        <v>257.76</v>
      </c>
      <c r="AK876">
        <v>0</v>
      </c>
      <c r="AL876" t="s">
        <v>53</v>
      </c>
      <c r="AM876" t="s">
        <v>53</v>
      </c>
      <c r="AN876" t="s">
        <v>1691</v>
      </c>
      <c r="AO876" t="s">
        <v>53</v>
      </c>
      <c r="AP876" t="s">
        <v>53</v>
      </c>
    </row>
    <row r="877" spans="2:42" x14ac:dyDescent="0.2">
      <c r="B877" t="s">
        <v>44</v>
      </c>
      <c r="C877" t="str">
        <f>HYPERLINK("https://us2.cloudbeds.com/connect/8493803454333002#/reservations/598132318347?display=E14M0FG2&amp;reservation_id=598132318347", "E14M0FG2")</f>
        <v>E14M0FG2</v>
      </c>
      <c r="D877" t="s">
        <v>45</v>
      </c>
      <c r="E877" t="s">
        <v>223</v>
      </c>
      <c r="F877" t="s">
        <v>47</v>
      </c>
      <c r="G877" t="s">
        <v>48</v>
      </c>
      <c r="H877" t="s">
        <v>49</v>
      </c>
      <c r="I877" t="s">
        <v>50</v>
      </c>
      <c r="J877" t="s">
        <v>1430</v>
      </c>
      <c r="K877" t="s">
        <v>1092</v>
      </c>
      <c r="L877" t="s">
        <v>53</v>
      </c>
      <c r="N877" t="s">
        <v>1692</v>
      </c>
      <c r="P877" t="s">
        <v>55</v>
      </c>
      <c r="R877" t="s">
        <v>56</v>
      </c>
      <c r="T877" t="s">
        <v>1688</v>
      </c>
      <c r="U877" t="s">
        <v>58</v>
      </c>
      <c r="V877">
        <v>2</v>
      </c>
      <c r="W877">
        <v>1</v>
      </c>
      <c r="X877">
        <v>1</v>
      </c>
      <c r="Y877">
        <v>0</v>
      </c>
      <c r="Z877">
        <v>1</v>
      </c>
      <c r="AA877">
        <v>0</v>
      </c>
      <c r="AB877">
        <v>147.29</v>
      </c>
      <c r="AC877">
        <v>129.6</v>
      </c>
      <c r="AD877">
        <v>0</v>
      </c>
      <c r="AE877">
        <v>17.7</v>
      </c>
      <c r="AF877">
        <v>0</v>
      </c>
      <c r="AG877">
        <v>0</v>
      </c>
      <c r="AH877">
        <v>0</v>
      </c>
      <c r="AI877">
        <v>26.51</v>
      </c>
      <c r="AJ877">
        <v>147.30000000000001</v>
      </c>
      <c r="AK877">
        <v>0.01</v>
      </c>
      <c r="AL877" t="s">
        <v>53</v>
      </c>
      <c r="AM877" t="s">
        <v>53</v>
      </c>
      <c r="AN877" t="s">
        <v>104</v>
      </c>
      <c r="AO877" t="s">
        <v>53</v>
      </c>
      <c r="AP877" t="s">
        <v>53</v>
      </c>
    </row>
    <row r="878" spans="2:42" x14ac:dyDescent="0.2">
      <c r="B878" t="s">
        <v>44</v>
      </c>
      <c r="C878" t="str">
        <f>HYPERLINK("https://us2.cloudbeds.com/connect/8493803454333002#/reservations/598469173390?display=E1D91VJY&amp;reservation_id=598469173390", "E1D91VJY")</f>
        <v>E1D91VJY</v>
      </c>
      <c r="D878" t="s">
        <v>45</v>
      </c>
      <c r="E878" t="s">
        <v>381</v>
      </c>
      <c r="F878" t="s">
        <v>47</v>
      </c>
      <c r="G878" t="s">
        <v>48</v>
      </c>
      <c r="H878" t="s">
        <v>49</v>
      </c>
      <c r="I878" t="s">
        <v>50</v>
      </c>
      <c r="J878" t="s">
        <v>1430</v>
      </c>
      <c r="K878" t="s">
        <v>1092</v>
      </c>
      <c r="L878" t="s">
        <v>53</v>
      </c>
      <c r="N878" t="s">
        <v>1693</v>
      </c>
      <c r="P878" t="s">
        <v>55</v>
      </c>
      <c r="R878" t="s">
        <v>56</v>
      </c>
      <c r="T878" t="s">
        <v>1688</v>
      </c>
      <c r="U878" t="s">
        <v>58</v>
      </c>
      <c r="V878">
        <v>2</v>
      </c>
      <c r="W878">
        <v>1</v>
      </c>
      <c r="X878">
        <v>1</v>
      </c>
      <c r="Y878">
        <v>0</v>
      </c>
      <c r="Z878">
        <v>1</v>
      </c>
      <c r="AA878">
        <v>0</v>
      </c>
      <c r="AB878">
        <v>147.29</v>
      </c>
      <c r="AC878">
        <v>129.6</v>
      </c>
      <c r="AD878">
        <v>0</v>
      </c>
      <c r="AE878">
        <v>17.7</v>
      </c>
      <c r="AF878">
        <v>0</v>
      </c>
      <c r="AG878">
        <v>0</v>
      </c>
      <c r="AH878">
        <v>0</v>
      </c>
      <c r="AI878">
        <v>26.51</v>
      </c>
      <c r="AJ878">
        <v>147.30000000000001</v>
      </c>
      <c r="AK878">
        <v>0.01</v>
      </c>
      <c r="AL878" t="s">
        <v>53</v>
      </c>
      <c r="AM878" t="s">
        <v>53</v>
      </c>
      <c r="AN878" t="s">
        <v>104</v>
      </c>
      <c r="AO878" t="s">
        <v>53</v>
      </c>
      <c r="AP878" t="s">
        <v>53</v>
      </c>
    </row>
    <row r="879" spans="2:42" x14ac:dyDescent="0.2">
      <c r="B879" t="s">
        <v>44</v>
      </c>
      <c r="C879" t="str">
        <f>HYPERLINK("https://us2.cloudbeds.com/connect/8493803454333002#/reservations/598511157486?display=E1EBF7FV&amp;reservation_id=598511157486", "E1EBF7FV")</f>
        <v>E1EBF7FV</v>
      </c>
      <c r="D879" t="s">
        <v>45</v>
      </c>
      <c r="E879" t="s">
        <v>373</v>
      </c>
      <c r="F879" t="s">
        <v>47</v>
      </c>
      <c r="G879" t="s">
        <v>48</v>
      </c>
      <c r="H879" t="s">
        <v>71</v>
      </c>
      <c r="I879" t="s">
        <v>72</v>
      </c>
      <c r="J879" t="s">
        <v>267</v>
      </c>
      <c r="K879" t="s">
        <v>268</v>
      </c>
      <c r="L879" t="s">
        <v>53</v>
      </c>
      <c r="N879" t="s">
        <v>1694</v>
      </c>
      <c r="P879" t="s">
        <v>55</v>
      </c>
      <c r="R879" t="s">
        <v>56</v>
      </c>
      <c r="T879" t="s">
        <v>1688</v>
      </c>
      <c r="U879" t="s">
        <v>58</v>
      </c>
      <c r="V879">
        <v>1</v>
      </c>
      <c r="W879">
        <v>1</v>
      </c>
      <c r="X879">
        <v>1</v>
      </c>
      <c r="Y879">
        <v>0</v>
      </c>
      <c r="Z879">
        <v>1</v>
      </c>
      <c r="AA879">
        <v>0</v>
      </c>
      <c r="AB879">
        <v>71.599999999999994</v>
      </c>
      <c r="AC879">
        <v>63</v>
      </c>
      <c r="AD879">
        <v>0</v>
      </c>
      <c r="AE879">
        <v>8.61</v>
      </c>
      <c r="AF879">
        <v>0</v>
      </c>
      <c r="AG879">
        <v>0</v>
      </c>
      <c r="AH879">
        <v>0</v>
      </c>
      <c r="AI879">
        <v>0</v>
      </c>
      <c r="AJ879">
        <v>71.61</v>
      </c>
      <c r="AK879">
        <v>0.01</v>
      </c>
      <c r="AL879" t="s">
        <v>53</v>
      </c>
      <c r="AM879" t="s">
        <v>53</v>
      </c>
      <c r="AN879" t="s">
        <v>378</v>
      </c>
      <c r="AO879" t="s">
        <v>53</v>
      </c>
      <c r="AP879" t="s">
        <v>53</v>
      </c>
    </row>
    <row r="880" spans="2:42" x14ac:dyDescent="0.2">
      <c r="B880" t="s">
        <v>44</v>
      </c>
      <c r="C880" t="str">
        <f>HYPERLINK("https://us2.cloudbeds.com/connect/8493803454333002#/reservations/598420680846?display=E1C15J5K&amp;reservation_id=598420680846", "E1C15J5K")</f>
        <v>E1C15J5K</v>
      </c>
      <c r="D880" t="s">
        <v>45</v>
      </c>
      <c r="E880" t="s">
        <v>110</v>
      </c>
      <c r="F880" t="s">
        <v>47</v>
      </c>
      <c r="G880" t="s">
        <v>48</v>
      </c>
      <c r="H880" t="s">
        <v>71</v>
      </c>
      <c r="I880" t="s">
        <v>72</v>
      </c>
      <c r="J880" t="s">
        <v>455</v>
      </c>
      <c r="K880" t="s">
        <v>1143</v>
      </c>
      <c r="L880" t="s">
        <v>53</v>
      </c>
      <c r="N880" t="s">
        <v>1695</v>
      </c>
      <c r="P880" t="s">
        <v>55</v>
      </c>
      <c r="R880" t="s">
        <v>56</v>
      </c>
      <c r="T880" t="s">
        <v>1688</v>
      </c>
      <c r="U880" t="s">
        <v>58</v>
      </c>
      <c r="V880">
        <v>2</v>
      </c>
      <c r="W880">
        <v>1</v>
      </c>
      <c r="X880">
        <v>1</v>
      </c>
      <c r="Y880">
        <v>0</v>
      </c>
      <c r="Z880">
        <v>1</v>
      </c>
      <c r="AA880">
        <v>0</v>
      </c>
      <c r="AB880">
        <v>165.93</v>
      </c>
      <c r="AC880">
        <v>146</v>
      </c>
      <c r="AD880">
        <v>0</v>
      </c>
      <c r="AE880">
        <v>19.940000000000001</v>
      </c>
      <c r="AF880">
        <v>0</v>
      </c>
      <c r="AG880">
        <v>0</v>
      </c>
      <c r="AH880">
        <v>0</v>
      </c>
      <c r="AI880">
        <v>0</v>
      </c>
      <c r="AJ880">
        <v>165.94</v>
      </c>
      <c r="AK880">
        <v>0.01</v>
      </c>
      <c r="AL880" t="s">
        <v>53</v>
      </c>
      <c r="AM880" t="s">
        <v>53</v>
      </c>
      <c r="AN880" t="s">
        <v>1696</v>
      </c>
      <c r="AO880" t="s">
        <v>53</v>
      </c>
      <c r="AP880" t="s">
        <v>53</v>
      </c>
    </row>
    <row r="881" spans="2:42" x14ac:dyDescent="0.2">
      <c r="B881" t="s">
        <v>44</v>
      </c>
      <c r="C881" t="str">
        <f>HYPERLINK("https://us2.cloudbeds.com/connect/8493803454333002#/reservations/579236917502?display=DJGRU2SM&amp;reservation_id=579236917502", "DJGRU2SM")</f>
        <v>DJGRU2SM</v>
      </c>
      <c r="D881" t="s">
        <v>45</v>
      </c>
      <c r="E881" t="s">
        <v>487</v>
      </c>
      <c r="F881" t="s">
        <v>61</v>
      </c>
      <c r="G881" t="s">
        <v>48</v>
      </c>
      <c r="H881" t="s">
        <v>49</v>
      </c>
      <c r="I881" t="s">
        <v>50</v>
      </c>
      <c r="J881" t="s">
        <v>1450</v>
      </c>
      <c r="K881" t="s">
        <v>1515</v>
      </c>
      <c r="L881" t="s">
        <v>53</v>
      </c>
      <c r="N881" t="s">
        <v>1697</v>
      </c>
      <c r="P881" t="s">
        <v>55</v>
      </c>
      <c r="R881" t="s">
        <v>56</v>
      </c>
      <c r="T881" t="s">
        <v>1688</v>
      </c>
      <c r="U881" t="s">
        <v>58</v>
      </c>
      <c r="V881">
        <v>2</v>
      </c>
      <c r="W881">
        <v>1</v>
      </c>
      <c r="X881">
        <v>1</v>
      </c>
      <c r="Y881">
        <v>0</v>
      </c>
      <c r="Z881">
        <v>1</v>
      </c>
      <c r="AA881">
        <v>0</v>
      </c>
      <c r="AB881">
        <v>320.14</v>
      </c>
      <c r="AC881">
        <v>281.7</v>
      </c>
      <c r="AD881">
        <v>0</v>
      </c>
      <c r="AE881">
        <v>38.44</v>
      </c>
      <c r="AF881">
        <v>0</v>
      </c>
      <c r="AG881">
        <v>0</v>
      </c>
      <c r="AH881">
        <v>0</v>
      </c>
      <c r="AI881">
        <v>57.63</v>
      </c>
      <c r="AJ881">
        <v>320.14</v>
      </c>
      <c r="AK881">
        <v>0</v>
      </c>
      <c r="AL881" t="s">
        <v>53</v>
      </c>
      <c r="AM881" t="s">
        <v>53</v>
      </c>
      <c r="AN881" t="s">
        <v>142</v>
      </c>
      <c r="AO881" t="s">
        <v>53</v>
      </c>
      <c r="AP881" t="s">
        <v>53</v>
      </c>
    </row>
    <row r="882" spans="2:42" x14ac:dyDescent="0.2">
      <c r="B882" t="s">
        <v>44</v>
      </c>
      <c r="C882" t="str">
        <f>HYPERLINK("https://us2.cloudbeds.com/connect/8493803454333002#/reservations/598508392611?display=E1E949XT&amp;reservation_id=598508392611", "E1E949XT")</f>
        <v>E1E949XT</v>
      </c>
      <c r="D882" t="s">
        <v>45</v>
      </c>
      <c r="E882" t="s">
        <v>265</v>
      </c>
      <c r="F882" t="s">
        <v>61</v>
      </c>
      <c r="G882" t="s">
        <v>48</v>
      </c>
      <c r="H882" t="s">
        <v>71</v>
      </c>
      <c r="I882" t="s">
        <v>72</v>
      </c>
      <c r="J882" t="s">
        <v>130</v>
      </c>
      <c r="K882" t="s">
        <v>88</v>
      </c>
      <c r="L882" t="s">
        <v>53</v>
      </c>
      <c r="N882" t="s">
        <v>1698</v>
      </c>
      <c r="P882" t="s">
        <v>55</v>
      </c>
      <c r="R882" t="s">
        <v>56</v>
      </c>
      <c r="T882" t="s">
        <v>1688</v>
      </c>
      <c r="U882" t="s">
        <v>58</v>
      </c>
      <c r="V882">
        <v>2</v>
      </c>
      <c r="W882">
        <v>1</v>
      </c>
      <c r="X882">
        <v>1</v>
      </c>
      <c r="Y882">
        <v>0</v>
      </c>
      <c r="Z882">
        <v>1</v>
      </c>
      <c r="AA882">
        <v>0</v>
      </c>
      <c r="AB882">
        <v>313.67</v>
      </c>
      <c r="AC882">
        <v>276</v>
      </c>
      <c r="AD882">
        <v>0</v>
      </c>
      <c r="AE882">
        <v>37.68</v>
      </c>
      <c r="AF882">
        <v>0</v>
      </c>
      <c r="AG882">
        <v>0</v>
      </c>
      <c r="AH882">
        <v>0</v>
      </c>
      <c r="AI882">
        <v>0</v>
      </c>
      <c r="AJ882">
        <v>313.68</v>
      </c>
      <c r="AK882">
        <v>0.01</v>
      </c>
      <c r="AL882" t="s">
        <v>53</v>
      </c>
      <c r="AM882" t="s">
        <v>53</v>
      </c>
      <c r="AN882" t="s">
        <v>1699</v>
      </c>
      <c r="AO882" t="s">
        <v>53</v>
      </c>
      <c r="AP882" t="s">
        <v>53</v>
      </c>
    </row>
    <row r="883" spans="2:42" x14ac:dyDescent="0.2">
      <c r="B883" t="s">
        <v>44</v>
      </c>
      <c r="C883" t="str">
        <f>HYPERLINK("https://us2.cloudbeds.com/connect/8493803454333002#/reservations/598065590484?display=E12VZM1K&amp;reservation_id=598065590484", "E12VZM1K")</f>
        <v>E12VZM1K</v>
      </c>
      <c r="D883" t="s">
        <v>45</v>
      </c>
      <c r="E883" t="s">
        <v>46</v>
      </c>
      <c r="F883" t="s">
        <v>47</v>
      </c>
      <c r="G883" t="s">
        <v>48</v>
      </c>
      <c r="H883" t="s">
        <v>49</v>
      </c>
      <c r="I883" t="s">
        <v>50</v>
      </c>
      <c r="J883" t="s">
        <v>267</v>
      </c>
      <c r="K883" t="s">
        <v>268</v>
      </c>
      <c r="L883" t="s">
        <v>53</v>
      </c>
      <c r="N883" t="s">
        <v>1700</v>
      </c>
      <c r="P883" t="s">
        <v>55</v>
      </c>
      <c r="R883" t="s">
        <v>56</v>
      </c>
      <c r="T883" t="s">
        <v>1688</v>
      </c>
      <c r="U883" t="s">
        <v>58</v>
      </c>
      <c r="V883">
        <v>1</v>
      </c>
      <c r="W883">
        <v>1</v>
      </c>
      <c r="X883">
        <v>1</v>
      </c>
      <c r="Y883">
        <v>0</v>
      </c>
      <c r="Z883">
        <v>1</v>
      </c>
      <c r="AA883">
        <v>0</v>
      </c>
      <c r="AB883">
        <v>69.55</v>
      </c>
      <c r="AC883">
        <v>61.2</v>
      </c>
      <c r="AD883">
        <v>0</v>
      </c>
      <c r="AE883">
        <v>8.34</v>
      </c>
      <c r="AF883">
        <v>0</v>
      </c>
      <c r="AG883">
        <v>0</v>
      </c>
      <c r="AH883">
        <v>0</v>
      </c>
      <c r="AI883">
        <v>12.52</v>
      </c>
      <c r="AJ883">
        <v>69.540000000000006</v>
      </c>
      <c r="AK883">
        <v>-0.01</v>
      </c>
      <c r="AL883" t="s">
        <v>53</v>
      </c>
      <c r="AM883" t="s">
        <v>53</v>
      </c>
      <c r="AN883" t="s">
        <v>332</v>
      </c>
      <c r="AO883" t="s">
        <v>53</v>
      </c>
      <c r="AP883" t="s">
        <v>53</v>
      </c>
    </row>
    <row r="884" spans="2:42" x14ac:dyDescent="0.2">
      <c r="B884" t="s">
        <v>44</v>
      </c>
      <c r="C884" t="str">
        <f>HYPERLINK("https://us2.cloudbeds.com/connect/8493803454333002#/reservations/598241857678?display=E17FCXXZ&amp;reservation_id=598241857678", "E17FCXXZ")</f>
        <v>E17FCXXZ</v>
      </c>
      <c r="D884" t="s">
        <v>45</v>
      </c>
      <c r="E884" t="s">
        <v>105</v>
      </c>
      <c r="F884" t="s">
        <v>47</v>
      </c>
      <c r="G884" t="s">
        <v>48</v>
      </c>
      <c r="H884" t="s">
        <v>49</v>
      </c>
      <c r="I884" t="s">
        <v>50</v>
      </c>
      <c r="J884" t="s">
        <v>268</v>
      </c>
      <c r="K884" t="s">
        <v>755</v>
      </c>
      <c r="L884" t="s">
        <v>53</v>
      </c>
      <c r="N884" t="s">
        <v>1701</v>
      </c>
      <c r="P884" t="s">
        <v>55</v>
      </c>
      <c r="R884" t="s">
        <v>56</v>
      </c>
      <c r="T884" t="s">
        <v>1688</v>
      </c>
      <c r="U884" t="s">
        <v>58</v>
      </c>
      <c r="V884">
        <v>1</v>
      </c>
      <c r="W884">
        <v>1</v>
      </c>
      <c r="X884">
        <v>1</v>
      </c>
      <c r="Y884">
        <v>0</v>
      </c>
      <c r="Z884">
        <v>1</v>
      </c>
      <c r="AA884">
        <v>0</v>
      </c>
      <c r="AB884">
        <v>69.55</v>
      </c>
      <c r="AC884">
        <v>61.2</v>
      </c>
      <c r="AD884">
        <v>0</v>
      </c>
      <c r="AE884">
        <v>8.34</v>
      </c>
      <c r="AF884">
        <v>0</v>
      </c>
      <c r="AG884">
        <v>0</v>
      </c>
      <c r="AH884">
        <v>0</v>
      </c>
      <c r="AI884">
        <v>12.52</v>
      </c>
      <c r="AJ884">
        <v>69.540000000000006</v>
      </c>
      <c r="AK884">
        <v>-0.01</v>
      </c>
      <c r="AL884" t="s">
        <v>53</v>
      </c>
      <c r="AM884" t="s">
        <v>53</v>
      </c>
      <c r="AN884" t="s">
        <v>1702</v>
      </c>
      <c r="AO884" t="s">
        <v>53</v>
      </c>
      <c r="AP884" t="s">
        <v>53</v>
      </c>
    </row>
    <row r="885" spans="2:42" x14ac:dyDescent="0.2">
      <c r="B885" t="s">
        <v>44</v>
      </c>
      <c r="C885" t="str">
        <f>HYPERLINK("https://us2.cloudbeds.com/connect/8493803454333002#/reservations/598564155524?display=E1FN4W64&amp;reservation_id=598564155524", "E1FN4W64")</f>
        <v>E1FN4W64</v>
      </c>
      <c r="D885" t="s">
        <v>45</v>
      </c>
      <c r="E885" t="s">
        <v>406</v>
      </c>
      <c r="F885" t="s">
        <v>61</v>
      </c>
      <c r="G885" t="s">
        <v>48</v>
      </c>
      <c r="H885" t="s">
        <v>49</v>
      </c>
      <c r="I885" t="s">
        <v>79</v>
      </c>
      <c r="J885" t="s">
        <v>426</v>
      </c>
      <c r="K885" t="s">
        <v>130</v>
      </c>
      <c r="L885" t="s">
        <v>53</v>
      </c>
      <c r="N885" t="s">
        <v>1703</v>
      </c>
      <c r="P885" t="s">
        <v>55</v>
      </c>
      <c r="R885" t="s">
        <v>56</v>
      </c>
      <c r="T885" t="s">
        <v>1688</v>
      </c>
      <c r="U885" t="s">
        <v>58</v>
      </c>
      <c r="V885">
        <v>1</v>
      </c>
      <c r="W885">
        <v>1</v>
      </c>
      <c r="X885">
        <v>1</v>
      </c>
      <c r="Y885">
        <v>0</v>
      </c>
      <c r="Z885">
        <v>1</v>
      </c>
      <c r="AA885">
        <v>0</v>
      </c>
      <c r="AB885">
        <v>146.27000000000001</v>
      </c>
      <c r="AC885">
        <v>128.69999999999999</v>
      </c>
      <c r="AD885">
        <v>0</v>
      </c>
      <c r="AE885">
        <v>17.559999999999999</v>
      </c>
      <c r="AF885">
        <v>0</v>
      </c>
      <c r="AG885">
        <v>0</v>
      </c>
      <c r="AH885">
        <v>0</v>
      </c>
      <c r="AI885">
        <v>0</v>
      </c>
      <c r="AJ885">
        <v>146.26</v>
      </c>
      <c r="AK885">
        <v>-0.01</v>
      </c>
      <c r="AL885" t="s">
        <v>53</v>
      </c>
      <c r="AM885" t="s">
        <v>53</v>
      </c>
      <c r="AN885" t="s">
        <v>68</v>
      </c>
      <c r="AO885" t="s">
        <v>53</v>
      </c>
      <c r="AP885" t="s">
        <v>53</v>
      </c>
    </row>
    <row r="886" spans="2:42" x14ac:dyDescent="0.2">
      <c r="B886" t="s">
        <v>44</v>
      </c>
      <c r="C886" t="str">
        <f>HYPERLINK("https://us2.cloudbeds.com/connect/8493803454333002#/reservations/598382117032?display=E1B1YG16&amp;reservation_id=598382117032", "E1B1YG16")</f>
        <v>E1B1YG16</v>
      </c>
      <c r="D886" t="s">
        <v>45</v>
      </c>
      <c r="E886" t="s">
        <v>223</v>
      </c>
      <c r="F886" t="s">
        <v>47</v>
      </c>
      <c r="G886" t="s">
        <v>48</v>
      </c>
      <c r="H886" t="s">
        <v>49</v>
      </c>
      <c r="I886" t="s">
        <v>62</v>
      </c>
      <c r="J886" t="s">
        <v>1027</v>
      </c>
      <c r="K886" t="s">
        <v>709</v>
      </c>
      <c r="L886" t="s">
        <v>53</v>
      </c>
      <c r="N886" t="s">
        <v>1704</v>
      </c>
      <c r="P886" t="s">
        <v>55</v>
      </c>
      <c r="R886" t="s">
        <v>1705</v>
      </c>
      <c r="T886" t="s">
        <v>1688</v>
      </c>
      <c r="U886" t="s">
        <v>58</v>
      </c>
      <c r="V886">
        <v>1</v>
      </c>
      <c r="W886">
        <v>1</v>
      </c>
      <c r="X886">
        <v>1</v>
      </c>
      <c r="Y886">
        <v>0</v>
      </c>
      <c r="Z886">
        <v>1</v>
      </c>
      <c r="AA886">
        <v>0</v>
      </c>
      <c r="AB886">
        <v>142.06</v>
      </c>
      <c r="AC886">
        <v>125</v>
      </c>
      <c r="AD886">
        <v>0</v>
      </c>
      <c r="AE886">
        <v>17.07</v>
      </c>
      <c r="AF886">
        <v>0</v>
      </c>
      <c r="AG886">
        <v>0</v>
      </c>
      <c r="AH886">
        <v>0</v>
      </c>
      <c r="AI886">
        <v>21.31</v>
      </c>
      <c r="AJ886">
        <v>142.07</v>
      </c>
      <c r="AK886">
        <v>0.01</v>
      </c>
      <c r="AL886" t="s">
        <v>53</v>
      </c>
      <c r="AM886" t="s">
        <v>53</v>
      </c>
      <c r="AN886" t="s">
        <v>1706</v>
      </c>
      <c r="AO886" t="s">
        <v>53</v>
      </c>
      <c r="AP886" t="s">
        <v>53</v>
      </c>
    </row>
    <row r="887" spans="2:42" x14ac:dyDescent="0.2">
      <c r="B887" t="s">
        <v>44</v>
      </c>
      <c r="C887" t="str">
        <f>HYPERLINK("https://us2.cloudbeds.com/connect/8493803454333002#/reservations/597731086534?display=E0RDMJT4&amp;reservation_id=597731086534", "E0RDMJT4")</f>
        <v>E0RDMJT4</v>
      </c>
      <c r="D887" t="s">
        <v>45</v>
      </c>
      <c r="E887" t="s">
        <v>78</v>
      </c>
      <c r="F887" t="s">
        <v>61</v>
      </c>
      <c r="G887" t="s">
        <v>48</v>
      </c>
      <c r="H887" t="s">
        <v>71</v>
      </c>
      <c r="I887" t="s">
        <v>72</v>
      </c>
      <c r="J887" t="s">
        <v>267</v>
      </c>
      <c r="K887" t="s">
        <v>565</v>
      </c>
      <c r="L887" t="s">
        <v>53</v>
      </c>
      <c r="N887" t="s">
        <v>1707</v>
      </c>
      <c r="P887" t="s">
        <v>58</v>
      </c>
      <c r="R887" t="s">
        <v>56</v>
      </c>
      <c r="T887" t="s">
        <v>1688</v>
      </c>
      <c r="U887" t="s">
        <v>58</v>
      </c>
      <c r="V887">
        <v>7</v>
      </c>
      <c r="W887">
        <v>1</v>
      </c>
      <c r="X887">
        <v>1</v>
      </c>
      <c r="Y887">
        <v>0</v>
      </c>
      <c r="Z887">
        <v>1</v>
      </c>
      <c r="AA887">
        <v>0</v>
      </c>
      <c r="AB887">
        <v>615.98</v>
      </c>
      <c r="AC887">
        <v>542</v>
      </c>
      <c r="AD887">
        <v>0</v>
      </c>
      <c r="AE887">
        <v>74.05</v>
      </c>
      <c r="AF887">
        <v>0</v>
      </c>
      <c r="AG887">
        <v>0</v>
      </c>
      <c r="AH887">
        <v>0</v>
      </c>
      <c r="AI887">
        <v>0</v>
      </c>
      <c r="AJ887">
        <v>616.04999999999995</v>
      </c>
      <c r="AK887">
        <v>7.0000000000000007E-2</v>
      </c>
      <c r="AL887" t="s">
        <v>53</v>
      </c>
      <c r="AM887" t="s">
        <v>53</v>
      </c>
      <c r="AN887" t="s">
        <v>378</v>
      </c>
      <c r="AO887" t="s">
        <v>53</v>
      </c>
      <c r="AP887" t="s">
        <v>53</v>
      </c>
    </row>
    <row r="888" spans="2:42" x14ac:dyDescent="0.2">
      <c r="B888" t="s">
        <v>44</v>
      </c>
      <c r="C888" t="str">
        <f>HYPERLINK("https://us2.cloudbeds.com/connect/8493803454333002#/reservations/598300373204?display=E18VNRRG&amp;reservation_id=598300373204", "E18VNRRG")</f>
        <v>E18VNRRG</v>
      </c>
      <c r="D888" t="s">
        <v>45</v>
      </c>
      <c r="E888" t="s">
        <v>213</v>
      </c>
      <c r="F888" t="s">
        <v>86</v>
      </c>
      <c r="G888" t="s">
        <v>48</v>
      </c>
      <c r="H888" t="s">
        <v>49</v>
      </c>
      <c r="I888" t="s">
        <v>114</v>
      </c>
      <c r="J888" t="s">
        <v>454</v>
      </c>
      <c r="K888" t="s">
        <v>1143</v>
      </c>
      <c r="L888" t="s">
        <v>53</v>
      </c>
      <c r="N888" t="s">
        <v>1708</v>
      </c>
      <c r="P888" t="s">
        <v>55</v>
      </c>
      <c r="R888" t="s">
        <v>56</v>
      </c>
      <c r="T888" t="s">
        <v>1688</v>
      </c>
      <c r="U888" t="s">
        <v>58</v>
      </c>
      <c r="V888">
        <v>3</v>
      </c>
      <c r="W888">
        <v>1</v>
      </c>
      <c r="X888">
        <v>1</v>
      </c>
      <c r="Y888">
        <v>0</v>
      </c>
      <c r="Z888">
        <v>1</v>
      </c>
      <c r="AA888">
        <v>0</v>
      </c>
      <c r="AB888">
        <v>286.39999999999998</v>
      </c>
      <c r="AC888">
        <v>252</v>
      </c>
      <c r="AD888">
        <v>0</v>
      </c>
      <c r="AE888">
        <v>34.409999999999997</v>
      </c>
      <c r="AF888">
        <v>0</v>
      </c>
      <c r="AG888">
        <v>0</v>
      </c>
      <c r="AH888">
        <v>0</v>
      </c>
      <c r="AI888">
        <v>0</v>
      </c>
      <c r="AJ888">
        <v>286.41000000000003</v>
      </c>
      <c r="AK888">
        <v>0.01</v>
      </c>
      <c r="AL888" t="s">
        <v>53</v>
      </c>
      <c r="AM888" t="s">
        <v>53</v>
      </c>
      <c r="AN888" t="s">
        <v>1709</v>
      </c>
      <c r="AO888" t="s">
        <v>53</v>
      </c>
      <c r="AP888" t="s">
        <v>53</v>
      </c>
    </row>
    <row r="889" spans="2:42" x14ac:dyDescent="0.2">
      <c r="B889" t="s">
        <v>44</v>
      </c>
      <c r="C889" t="str">
        <f>HYPERLINK("https://us2.cloudbeds.com/connect/8493803454333002#/reservations/598355083484?display=E1ABS7RP&amp;reservation_id=598355083484", "E1ABS7RP")</f>
        <v>E1ABS7RP</v>
      </c>
      <c r="D889" t="s">
        <v>45</v>
      </c>
      <c r="E889" t="s">
        <v>128</v>
      </c>
      <c r="F889" t="s">
        <v>86</v>
      </c>
      <c r="G889" t="s">
        <v>48</v>
      </c>
      <c r="H889" t="s">
        <v>49</v>
      </c>
      <c r="I889" t="s">
        <v>62</v>
      </c>
      <c r="J889" t="s">
        <v>268</v>
      </c>
      <c r="K889" t="s">
        <v>755</v>
      </c>
      <c r="L889" t="s">
        <v>53</v>
      </c>
      <c r="N889" t="s">
        <v>1710</v>
      </c>
      <c r="P889" t="s">
        <v>55</v>
      </c>
      <c r="R889" t="s">
        <v>56</v>
      </c>
      <c r="T889" t="s">
        <v>1688</v>
      </c>
      <c r="U889" t="s">
        <v>58</v>
      </c>
      <c r="V889">
        <v>1</v>
      </c>
      <c r="W889">
        <v>1</v>
      </c>
      <c r="X889">
        <v>1</v>
      </c>
      <c r="Y889">
        <v>0</v>
      </c>
      <c r="Z889">
        <v>1</v>
      </c>
      <c r="AA889">
        <v>0</v>
      </c>
      <c r="AB889">
        <v>81.150000000000006</v>
      </c>
      <c r="AC889">
        <v>71.400000000000006</v>
      </c>
      <c r="AD889">
        <v>0</v>
      </c>
      <c r="AE889">
        <v>9.75</v>
      </c>
      <c r="AF889">
        <v>0</v>
      </c>
      <c r="AG889">
        <v>0</v>
      </c>
      <c r="AH889">
        <v>0</v>
      </c>
      <c r="AI889">
        <v>12.17</v>
      </c>
      <c r="AJ889">
        <v>81.150000000000006</v>
      </c>
      <c r="AK889">
        <v>0</v>
      </c>
      <c r="AL889" t="s">
        <v>53</v>
      </c>
      <c r="AM889" t="s">
        <v>53</v>
      </c>
      <c r="AN889" t="s">
        <v>1711</v>
      </c>
      <c r="AO889" t="s">
        <v>53</v>
      </c>
      <c r="AP889" t="s">
        <v>53</v>
      </c>
    </row>
    <row r="890" spans="2:42" x14ac:dyDescent="0.2">
      <c r="B890" t="s">
        <v>44</v>
      </c>
      <c r="C890" t="str">
        <f>HYPERLINK("https://us2.cloudbeds.com/connect/8493803454333002#/reservations/598491103387?display=E1DRX2JY&amp;reservation_id=598491103387", "E1DRX2JY")</f>
        <v>E1DRX2JY</v>
      </c>
      <c r="D890" t="s">
        <v>45</v>
      </c>
      <c r="E890" t="s">
        <v>381</v>
      </c>
      <c r="F890" t="s">
        <v>47</v>
      </c>
      <c r="G890" t="s">
        <v>48</v>
      </c>
      <c r="H890" t="s">
        <v>71</v>
      </c>
      <c r="I890" t="s">
        <v>72</v>
      </c>
      <c r="J890" t="s">
        <v>267</v>
      </c>
      <c r="K890" t="s">
        <v>268</v>
      </c>
      <c r="L890" t="s">
        <v>53</v>
      </c>
      <c r="N890" t="s">
        <v>1712</v>
      </c>
      <c r="P890" t="s">
        <v>55</v>
      </c>
      <c r="R890" t="s">
        <v>56</v>
      </c>
      <c r="T890" t="s">
        <v>1688</v>
      </c>
      <c r="U890" t="s">
        <v>58</v>
      </c>
      <c r="V890">
        <v>1</v>
      </c>
      <c r="W890">
        <v>1</v>
      </c>
      <c r="X890">
        <v>1</v>
      </c>
      <c r="Y890">
        <v>0</v>
      </c>
      <c r="Z890">
        <v>1</v>
      </c>
      <c r="AA890">
        <v>0</v>
      </c>
      <c r="AB890">
        <v>71.599999999999994</v>
      </c>
      <c r="AC890">
        <v>63</v>
      </c>
      <c r="AD890">
        <v>0</v>
      </c>
      <c r="AE890">
        <v>8.61</v>
      </c>
      <c r="AF890">
        <v>0</v>
      </c>
      <c r="AG890">
        <v>0</v>
      </c>
      <c r="AH890">
        <v>0</v>
      </c>
      <c r="AI890">
        <v>0</v>
      </c>
      <c r="AJ890">
        <v>71.61</v>
      </c>
      <c r="AK890">
        <v>0.01</v>
      </c>
      <c r="AL890" t="s">
        <v>53</v>
      </c>
      <c r="AM890" t="s">
        <v>53</v>
      </c>
      <c r="AN890" t="s">
        <v>378</v>
      </c>
      <c r="AO890" t="s">
        <v>53</v>
      </c>
      <c r="AP890" t="s">
        <v>53</v>
      </c>
    </row>
    <row r="891" spans="2:42" x14ac:dyDescent="0.2">
      <c r="B891" t="s">
        <v>44</v>
      </c>
      <c r="C891" t="str">
        <f>HYPERLINK("https://us2.cloudbeds.com/connect/8493803454333002#/reservations/598536208534?display=E1EWJA6Y&amp;reservation_id=598536208534", "E1EWJA6Y")</f>
        <v>E1EWJA6Y</v>
      </c>
      <c r="D891" t="s">
        <v>45</v>
      </c>
      <c r="E891" t="s">
        <v>98</v>
      </c>
      <c r="F891" t="s">
        <v>86</v>
      </c>
      <c r="G891" t="s">
        <v>48</v>
      </c>
      <c r="H891" t="s">
        <v>49</v>
      </c>
      <c r="I891" t="s">
        <v>79</v>
      </c>
      <c r="J891" t="s">
        <v>454</v>
      </c>
      <c r="K891" t="s">
        <v>455</v>
      </c>
      <c r="L891" t="s">
        <v>53</v>
      </c>
      <c r="N891" t="s">
        <v>1713</v>
      </c>
      <c r="P891" t="s">
        <v>55</v>
      </c>
      <c r="R891" t="s">
        <v>56</v>
      </c>
      <c r="T891" t="s">
        <v>1688</v>
      </c>
      <c r="U891" t="s">
        <v>58</v>
      </c>
      <c r="V891">
        <v>1</v>
      </c>
      <c r="W891">
        <v>1</v>
      </c>
      <c r="X891">
        <v>1</v>
      </c>
      <c r="Y891">
        <v>0</v>
      </c>
      <c r="Z891">
        <v>1</v>
      </c>
      <c r="AA891">
        <v>0</v>
      </c>
      <c r="AB891">
        <v>122.74</v>
      </c>
      <c r="AC891">
        <v>108</v>
      </c>
      <c r="AD891">
        <v>0</v>
      </c>
      <c r="AE891">
        <v>14.74</v>
      </c>
      <c r="AF891">
        <v>0</v>
      </c>
      <c r="AG891">
        <v>0</v>
      </c>
      <c r="AH891">
        <v>0</v>
      </c>
      <c r="AI891">
        <v>0</v>
      </c>
      <c r="AJ891">
        <v>122.74</v>
      </c>
      <c r="AK891">
        <v>0</v>
      </c>
      <c r="AL891" t="s">
        <v>53</v>
      </c>
      <c r="AM891" t="s">
        <v>53</v>
      </c>
      <c r="AN891" t="s">
        <v>127</v>
      </c>
      <c r="AO891" t="s">
        <v>53</v>
      </c>
      <c r="AP891" t="s">
        <v>53</v>
      </c>
    </row>
    <row r="892" spans="2:42" x14ac:dyDescent="0.2">
      <c r="B892" t="s">
        <v>44</v>
      </c>
      <c r="C892" t="str">
        <f>HYPERLINK("https://us2.cloudbeds.com/connect/8493803454333002#/reservations/598321643649?display=E19GYNUE&amp;reservation_id=598321643649", "E19GYNUE")</f>
        <v>E19GYNUE</v>
      </c>
      <c r="D892" t="s">
        <v>45</v>
      </c>
      <c r="E892" t="s">
        <v>128</v>
      </c>
      <c r="F892" t="s">
        <v>86</v>
      </c>
      <c r="G892" t="s">
        <v>48</v>
      </c>
      <c r="H892" t="s">
        <v>49</v>
      </c>
      <c r="I892" t="s">
        <v>79</v>
      </c>
      <c r="J892" t="s">
        <v>454</v>
      </c>
      <c r="K892" t="s">
        <v>560</v>
      </c>
      <c r="L892" t="s">
        <v>53</v>
      </c>
      <c r="N892" t="s">
        <v>1714</v>
      </c>
      <c r="P892" t="s">
        <v>55</v>
      </c>
      <c r="R892" t="s">
        <v>56</v>
      </c>
      <c r="T892" t="s">
        <v>1688</v>
      </c>
      <c r="U892" t="s">
        <v>58</v>
      </c>
      <c r="V892">
        <v>2</v>
      </c>
      <c r="W892">
        <v>1</v>
      </c>
      <c r="X892">
        <v>1</v>
      </c>
      <c r="Y892">
        <v>0</v>
      </c>
      <c r="Z892">
        <v>1</v>
      </c>
      <c r="AA892">
        <v>0</v>
      </c>
      <c r="AB892">
        <v>235.26</v>
      </c>
      <c r="AC892">
        <v>207</v>
      </c>
      <c r="AD892">
        <v>0</v>
      </c>
      <c r="AE892">
        <v>28.24</v>
      </c>
      <c r="AF892">
        <v>0</v>
      </c>
      <c r="AG892">
        <v>0</v>
      </c>
      <c r="AH892">
        <v>0</v>
      </c>
      <c r="AI892">
        <v>0</v>
      </c>
      <c r="AJ892">
        <v>235.24</v>
      </c>
      <c r="AK892">
        <v>-0.02</v>
      </c>
      <c r="AL892" t="s">
        <v>53</v>
      </c>
      <c r="AM892" t="s">
        <v>53</v>
      </c>
      <c r="AN892" t="s">
        <v>68</v>
      </c>
      <c r="AO892" t="s">
        <v>53</v>
      </c>
      <c r="AP892" t="s">
        <v>53</v>
      </c>
    </row>
    <row r="893" spans="2:42" x14ac:dyDescent="0.2">
      <c r="B893" t="s">
        <v>44</v>
      </c>
      <c r="C893" t="str">
        <f>HYPERLINK("https://us2.cloudbeds.com/connect/8493803454333002#/reservations/579287273621?display=DJX4CAXY&amp;reservation_id=579287273621", "DJX4CAXY")</f>
        <v>DJX4CAXY</v>
      </c>
      <c r="D893" t="s">
        <v>45</v>
      </c>
      <c r="E893" t="s">
        <v>179</v>
      </c>
      <c r="F893" t="s">
        <v>47</v>
      </c>
      <c r="G893" t="s">
        <v>48</v>
      </c>
      <c r="H893" t="s">
        <v>49</v>
      </c>
      <c r="I893" t="s">
        <v>62</v>
      </c>
      <c r="J893" t="s">
        <v>1161</v>
      </c>
      <c r="K893" t="s">
        <v>1162</v>
      </c>
      <c r="L893" t="s">
        <v>53</v>
      </c>
      <c r="N893" t="s">
        <v>1715</v>
      </c>
      <c r="P893" t="s">
        <v>55</v>
      </c>
      <c r="R893" t="s">
        <v>56</v>
      </c>
      <c r="T893" t="s">
        <v>1688</v>
      </c>
      <c r="U893" t="s">
        <v>58</v>
      </c>
      <c r="V893">
        <v>2</v>
      </c>
      <c r="W893">
        <v>1</v>
      </c>
      <c r="X893">
        <v>1</v>
      </c>
      <c r="Y893">
        <v>0</v>
      </c>
      <c r="Z893">
        <v>1</v>
      </c>
      <c r="AA893">
        <v>0</v>
      </c>
      <c r="AB893">
        <v>267.08</v>
      </c>
      <c r="AC893">
        <v>235</v>
      </c>
      <c r="AD893">
        <v>0</v>
      </c>
      <c r="AE893">
        <v>32.08</v>
      </c>
      <c r="AF893">
        <v>0</v>
      </c>
      <c r="AG893">
        <v>0</v>
      </c>
      <c r="AH893">
        <v>0</v>
      </c>
      <c r="AI893">
        <v>40.06</v>
      </c>
      <c r="AJ893">
        <v>267.08</v>
      </c>
      <c r="AK893">
        <v>0</v>
      </c>
      <c r="AL893" t="s">
        <v>53</v>
      </c>
      <c r="AM893" t="s">
        <v>53</v>
      </c>
      <c r="AN893" t="s">
        <v>91</v>
      </c>
      <c r="AO893" t="s">
        <v>53</v>
      </c>
      <c r="AP893" t="s">
        <v>53</v>
      </c>
    </row>
    <row r="894" spans="2:42" x14ac:dyDescent="0.2">
      <c r="B894" t="s">
        <v>44</v>
      </c>
      <c r="C894" t="str">
        <f>HYPERLINK("https://us2.cloudbeds.com/connect/8493803454333002#/reservations/579365306574?display=DJK45N5K&amp;reservation_id=579365306574", "DJK45N5K")</f>
        <v>DJK45N5K</v>
      </c>
      <c r="D894" t="s">
        <v>45</v>
      </c>
      <c r="E894" t="s">
        <v>165</v>
      </c>
      <c r="F894" t="s">
        <v>61</v>
      </c>
      <c r="G894" t="s">
        <v>48</v>
      </c>
      <c r="H894" t="s">
        <v>49</v>
      </c>
      <c r="I894" t="s">
        <v>50</v>
      </c>
      <c r="J894" t="s">
        <v>1162</v>
      </c>
      <c r="K894" t="s">
        <v>1716</v>
      </c>
      <c r="L894" t="s">
        <v>53</v>
      </c>
      <c r="N894" t="s">
        <v>1717</v>
      </c>
      <c r="P894" t="s">
        <v>55</v>
      </c>
      <c r="R894" t="s">
        <v>56</v>
      </c>
      <c r="T894" t="s">
        <v>1688</v>
      </c>
      <c r="U894" t="s">
        <v>58</v>
      </c>
      <c r="V894">
        <v>2</v>
      </c>
      <c r="W894">
        <v>1</v>
      </c>
      <c r="X894">
        <v>1</v>
      </c>
      <c r="Y894">
        <v>0</v>
      </c>
      <c r="Z894">
        <v>1</v>
      </c>
      <c r="AA894">
        <v>0</v>
      </c>
      <c r="AB894">
        <v>249.56</v>
      </c>
      <c r="AC894">
        <v>219.6</v>
      </c>
      <c r="AD894">
        <v>0</v>
      </c>
      <c r="AE894">
        <v>29.96</v>
      </c>
      <c r="AF894">
        <v>0</v>
      </c>
      <c r="AG894">
        <v>0</v>
      </c>
      <c r="AH894">
        <v>0</v>
      </c>
      <c r="AI894">
        <v>44.92</v>
      </c>
      <c r="AJ894">
        <v>249.56</v>
      </c>
      <c r="AK894">
        <v>0</v>
      </c>
      <c r="AL894" t="s">
        <v>53</v>
      </c>
      <c r="AM894" t="s">
        <v>53</v>
      </c>
      <c r="AN894" t="s">
        <v>127</v>
      </c>
      <c r="AO894" t="s">
        <v>53</v>
      </c>
      <c r="AP894" t="s">
        <v>53</v>
      </c>
    </row>
    <row r="895" spans="2:42" x14ac:dyDescent="0.2">
      <c r="B895" t="s">
        <v>44</v>
      </c>
      <c r="C895" t="str">
        <f>HYPERLINK("https://us2.cloudbeds.com/connect/8493803454333002#/reservations/598455570591?display=E1CUJEGK&amp;reservation_id=598455570591", "E1CUJEGK")</f>
        <v>E1CUJEGK</v>
      </c>
      <c r="D895" t="s">
        <v>45</v>
      </c>
      <c r="E895" t="s">
        <v>46</v>
      </c>
      <c r="F895" t="s">
        <v>47</v>
      </c>
      <c r="G895" t="s">
        <v>48</v>
      </c>
      <c r="H895" t="s">
        <v>49</v>
      </c>
      <c r="I895" t="s">
        <v>114</v>
      </c>
      <c r="J895" t="s">
        <v>755</v>
      </c>
      <c r="K895" t="s">
        <v>454</v>
      </c>
      <c r="L895" t="s">
        <v>53</v>
      </c>
      <c r="N895" t="s">
        <v>1718</v>
      </c>
      <c r="P895" t="s">
        <v>55</v>
      </c>
      <c r="R895" t="s">
        <v>56</v>
      </c>
      <c r="T895" t="s">
        <v>1719</v>
      </c>
      <c r="U895" t="s">
        <v>58</v>
      </c>
      <c r="V895">
        <v>1</v>
      </c>
      <c r="W895">
        <v>1</v>
      </c>
      <c r="X895">
        <v>1</v>
      </c>
      <c r="Y895">
        <v>0</v>
      </c>
      <c r="Z895">
        <v>1</v>
      </c>
      <c r="AA895">
        <v>0</v>
      </c>
      <c r="AB895">
        <v>71.599999999999994</v>
      </c>
      <c r="AC895">
        <v>63</v>
      </c>
      <c r="AD895">
        <v>0</v>
      </c>
      <c r="AE895">
        <v>8.61</v>
      </c>
      <c r="AF895">
        <v>0</v>
      </c>
      <c r="AG895">
        <v>0</v>
      </c>
      <c r="AH895">
        <v>0</v>
      </c>
      <c r="AI895">
        <v>0</v>
      </c>
      <c r="AJ895">
        <v>71.61</v>
      </c>
      <c r="AK895">
        <v>0.01</v>
      </c>
      <c r="AL895" t="s">
        <v>53</v>
      </c>
      <c r="AM895" t="s">
        <v>53</v>
      </c>
      <c r="AN895" t="s">
        <v>1720</v>
      </c>
      <c r="AO895" t="s">
        <v>53</v>
      </c>
      <c r="AP895" t="s">
        <v>53</v>
      </c>
    </row>
    <row r="896" spans="2:42" x14ac:dyDescent="0.2">
      <c r="B896" t="s">
        <v>44</v>
      </c>
      <c r="C896" t="str">
        <f>HYPERLINK("https://us2.cloudbeds.com/connect/8493803454333002#/reservations/598561935604?display=E1FY96MR&amp;reservation_id=598561935604", "E1FY96MR")</f>
        <v>E1FY96MR</v>
      </c>
      <c r="D896" t="s">
        <v>45</v>
      </c>
      <c r="E896" t="s">
        <v>774</v>
      </c>
      <c r="F896" t="s">
        <v>47</v>
      </c>
      <c r="G896" t="s">
        <v>48</v>
      </c>
      <c r="H896" t="s">
        <v>49</v>
      </c>
      <c r="I896" t="s">
        <v>62</v>
      </c>
      <c r="J896" t="s">
        <v>88</v>
      </c>
      <c r="K896" t="s">
        <v>327</v>
      </c>
      <c r="L896" t="s">
        <v>53</v>
      </c>
      <c r="N896" t="s">
        <v>1721</v>
      </c>
      <c r="P896" t="s">
        <v>55</v>
      </c>
      <c r="R896" t="s">
        <v>201</v>
      </c>
      <c r="T896" t="s">
        <v>1719</v>
      </c>
      <c r="U896" t="s">
        <v>58</v>
      </c>
      <c r="V896">
        <v>2</v>
      </c>
      <c r="W896">
        <v>2</v>
      </c>
      <c r="X896">
        <v>2</v>
      </c>
      <c r="Y896">
        <v>0</v>
      </c>
      <c r="Z896">
        <v>2</v>
      </c>
      <c r="AA896">
        <v>0</v>
      </c>
      <c r="AB896">
        <v>313.67</v>
      </c>
      <c r="AC896">
        <v>276</v>
      </c>
      <c r="AD896">
        <v>0</v>
      </c>
      <c r="AE896">
        <v>37.68</v>
      </c>
      <c r="AF896">
        <v>0</v>
      </c>
      <c r="AG896">
        <v>0</v>
      </c>
      <c r="AH896">
        <v>0</v>
      </c>
      <c r="AI896">
        <v>47.05</v>
      </c>
      <c r="AJ896">
        <v>313.68</v>
      </c>
      <c r="AK896">
        <v>0.01</v>
      </c>
      <c r="AL896" t="s">
        <v>53</v>
      </c>
      <c r="AM896" t="s">
        <v>53</v>
      </c>
      <c r="AN896" t="s">
        <v>413</v>
      </c>
      <c r="AO896" t="s">
        <v>53</v>
      </c>
      <c r="AP896" t="s">
        <v>53</v>
      </c>
    </row>
    <row r="897" spans="2:42" x14ac:dyDescent="0.2">
      <c r="B897" t="s">
        <v>44</v>
      </c>
      <c r="C897" t="str">
        <f>HYPERLINK("https://us2.cloudbeds.com/connect/8493803454333002#/reservations/598352339104?display=E1A9HSZZ&amp;reservation_id=598352339104", "E1A9HSZZ")</f>
        <v>E1A9HSZZ</v>
      </c>
      <c r="D897" t="s">
        <v>45</v>
      </c>
      <c r="E897" t="s">
        <v>305</v>
      </c>
      <c r="F897" t="s">
        <v>61</v>
      </c>
      <c r="G897" t="s">
        <v>48</v>
      </c>
      <c r="H897" t="s">
        <v>49</v>
      </c>
      <c r="I897" t="s">
        <v>62</v>
      </c>
      <c r="J897" t="s">
        <v>268</v>
      </c>
      <c r="K897" t="s">
        <v>755</v>
      </c>
      <c r="L897" t="s">
        <v>53</v>
      </c>
      <c r="N897" t="s">
        <v>1722</v>
      </c>
      <c r="P897" t="s">
        <v>55</v>
      </c>
      <c r="R897" t="s">
        <v>56</v>
      </c>
      <c r="T897" t="s">
        <v>1719</v>
      </c>
      <c r="U897" t="s">
        <v>58</v>
      </c>
      <c r="V897">
        <v>1</v>
      </c>
      <c r="W897">
        <v>1</v>
      </c>
      <c r="X897">
        <v>1</v>
      </c>
      <c r="Y897">
        <v>0</v>
      </c>
      <c r="Z897">
        <v>1</v>
      </c>
      <c r="AA897">
        <v>0</v>
      </c>
      <c r="AB897">
        <v>81.83</v>
      </c>
      <c r="AC897">
        <v>72</v>
      </c>
      <c r="AD897">
        <v>0</v>
      </c>
      <c r="AE897">
        <v>9.83</v>
      </c>
      <c r="AF897">
        <v>0</v>
      </c>
      <c r="AG897">
        <v>0</v>
      </c>
      <c r="AH897">
        <v>0</v>
      </c>
      <c r="AI897">
        <v>12.27</v>
      </c>
      <c r="AJ897">
        <v>81.83</v>
      </c>
      <c r="AK897">
        <v>0</v>
      </c>
      <c r="AL897" t="s">
        <v>53</v>
      </c>
      <c r="AM897" t="s">
        <v>53</v>
      </c>
      <c r="AN897" t="s">
        <v>332</v>
      </c>
      <c r="AO897" t="s">
        <v>53</v>
      </c>
      <c r="AP897" t="s">
        <v>53</v>
      </c>
    </row>
    <row r="898" spans="2:42" x14ac:dyDescent="0.2">
      <c r="B898" t="s">
        <v>44</v>
      </c>
      <c r="C898" t="str">
        <f>HYPERLINK("https://us2.cloudbeds.com/connect/8493803454333002#/reservations/598364139659?display=E1AJG7T5&amp;reservation_id=598364139659", "E1AJG7T5")</f>
        <v>E1AJG7T5</v>
      </c>
      <c r="D898" t="s">
        <v>45</v>
      </c>
      <c r="E898" t="s">
        <v>190</v>
      </c>
      <c r="F898" t="s">
        <v>61</v>
      </c>
      <c r="G898" t="s">
        <v>48</v>
      </c>
      <c r="H898" t="s">
        <v>71</v>
      </c>
      <c r="I898" t="s">
        <v>72</v>
      </c>
      <c r="J898" t="s">
        <v>1017</v>
      </c>
      <c r="K898" t="s">
        <v>554</v>
      </c>
      <c r="L898" t="s">
        <v>53</v>
      </c>
      <c r="N898" t="s">
        <v>1723</v>
      </c>
      <c r="P898" t="s">
        <v>58</v>
      </c>
      <c r="R898" t="s">
        <v>56</v>
      </c>
      <c r="T898" t="s">
        <v>1719</v>
      </c>
      <c r="U898" t="s">
        <v>58</v>
      </c>
      <c r="V898">
        <v>2</v>
      </c>
      <c r="W898">
        <v>1</v>
      </c>
      <c r="X898">
        <v>1</v>
      </c>
      <c r="Y898">
        <v>0</v>
      </c>
      <c r="Z898">
        <v>1</v>
      </c>
      <c r="AA898">
        <v>0</v>
      </c>
      <c r="AB898">
        <v>177.29</v>
      </c>
      <c r="AC898">
        <v>156</v>
      </c>
      <c r="AD898">
        <v>0</v>
      </c>
      <c r="AE898">
        <v>21.3</v>
      </c>
      <c r="AF898">
        <v>0</v>
      </c>
      <c r="AG898">
        <v>0</v>
      </c>
      <c r="AH898">
        <v>0</v>
      </c>
      <c r="AI898">
        <v>0</v>
      </c>
      <c r="AJ898">
        <v>177.3</v>
      </c>
      <c r="AK898">
        <v>0.01</v>
      </c>
      <c r="AL898" t="s">
        <v>53</v>
      </c>
      <c r="AM898" t="s">
        <v>53</v>
      </c>
      <c r="AN898" t="s">
        <v>1724</v>
      </c>
      <c r="AO898" t="s">
        <v>53</v>
      </c>
      <c r="AP898" t="s">
        <v>53</v>
      </c>
    </row>
    <row r="899" spans="2:42" x14ac:dyDescent="0.2">
      <c r="B899" t="s">
        <v>44</v>
      </c>
      <c r="C899" t="str">
        <f>HYPERLINK("https://us2.cloudbeds.com/connect/8493803454333002#/reservations/598564688039?display=E1FNJQ5V&amp;reservation_id=598564688039", "E1FNJQ5V")</f>
        <v>E1FNJQ5V</v>
      </c>
      <c r="D899" t="s">
        <v>45</v>
      </c>
      <c r="E899" t="s">
        <v>185</v>
      </c>
      <c r="F899" t="s">
        <v>47</v>
      </c>
      <c r="G899" t="s">
        <v>48</v>
      </c>
      <c r="H899" t="s">
        <v>49</v>
      </c>
      <c r="I899" t="s">
        <v>62</v>
      </c>
      <c r="J899" t="s">
        <v>454</v>
      </c>
      <c r="K899" t="s">
        <v>455</v>
      </c>
      <c r="L899" t="s">
        <v>53</v>
      </c>
      <c r="N899" t="s">
        <v>1725</v>
      </c>
      <c r="P899" t="s">
        <v>55</v>
      </c>
      <c r="R899" t="s">
        <v>56</v>
      </c>
      <c r="T899" t="s">
        <v>1719</v>
      </c>
      <c r="U899" t="s">
        <v>58</v>
      </c>
      <c r="V899">
        <v>1</v>
      </c>
      <c r="W899">
        <v>1</v>
      </c>
      <c r="X899">
        <v>1</v>
      </c>
      <c r="Y899">
        <v>0</v>
      </c>
      <c r="Z899">
        <v>1</v>
      </c>
      <c r="AA899">
        <v>0</v>
      </c>
      <c r="AB899">
        <v>104.56</v>
      </c>
      <c r="AC899">
        <v>92</v>
      </c>
      <c r="AD899">
        <v>0</v>
      </c>
      <c r="AE899">
        <v>12.56</v>
      </c>
      <c r="AF899">
        <v>0</v>
      </c>
      <c r="AG899">
        <v>0</v>
      </c>
      <c r="AH899">
        <v>0</v>
      </c>
      <c r="AI899">
        <v>15.68</v>
      </c>
      <c r="AJ899">
        <v>104.56</v>
      </c>
      <c r="AK899">
        <v>0</v>
      </c>
      <c r="AL899" t="s">
        <v>53</v>
      </c>
      <c r="AM899" t="s">
        <v>53</v>
      </c>
      <c r="AN899" t="s">
        <v>413</v>
      </c>
      <c r="AO899" t="s">
        <v>53</v>
      </c>
      <c r="AP899" t="s">
        <v>53</v>
      </c>
    </row>
    <row r="900" spans="2:42" x14ac:dyDescent="0.2">
      <c r="B900" t="s">
        <v>44</v>
      </c>
      <c r="C900" t="str">
        <f>HYPERLINK("https://us2.cloudbeds.com/connect/8493803454333002#/reservations/598286557324?display=E18K2D2F&amp;reservation_id=598286557324", "E18K2D2F")</f>
        <v>E18K2D2F</v>
      </c>
      <c r="D900" t="s">
        <v>45</v>
      </c>
      <c r="E900" t="s">
        <v>98</v>
      </c>
      <c r="F900" t="s">
        <v>86</v>
      </c>
      <c r="G900" t="s">
        <v>48</v>
      </c>
      <c r="H900" t="s">
        <v>49</v>
      </c>
      <c r="I900" t="s">
        <v>50</v>
      </c>
      <c r="J900" t="s">
        <v>268</v>
      </c>
      <c r="K900" t="s">
        <v>755</v>
      </c>
      <c r="L900" t="s">
        <v>53</v>
      </c>
      <c r="N900" t="s">
        <v>1726</v>
      </c>
      <c r="P900" t="s">
        <v>55</v>
      </c>
      <c r="R900" t="s">
        <v>56</v>
      </c>
      <c r="T900" t="s">
        <v>1719</v>
      </c>
      <c r="U900" t="s">
        <v>58</v>
      </c>
      <c r="V900">
        <v>1</v>
      </c>
      <c r="W900">
        <v>1</v>
      </c>
      <c r="X900">
        <v>1</v>
      </c>
      <c r="Y900">
        <v>0</v>
      </c>
      <c r="Z900">
        <v>1</v>
      </c>
      <c r="AA900">
        <v>0</v>
      </c>
      <c r="AB900">
        <v>80.81</v>
      </c>
      <c r="AC900">
        <v>71.099999999999994</v>
      </c>
      <c r="AD900">
        <v>0</v>
      </c>
      <c r="AE900">
        <v>9.6999999999999993</v>
      </c>
      <c r="AF900">
        <v>0</v>
      </c>
      <c r="AG900">
        <v>0</v>
      </c>
      <c r="AH900">
        <v>0</v>
      </c>
      <c r="AI900">
        <v>14.54</v>
      </c>
      <c r="AJ900">
        <v>80.8</v>
      </c>
      <c r="AK900">
        <v>-0.01</v>
      </c>
      <c r="AL900" t="s">
        <v>53</v>
      </c>
      <c r="AM900" t="s">
        <v>53</v>
      </c>
      <c r="AN900" t="s">
        <v>178</v>
      </c>
      <c r="AO900" t="s">
        <v>53</v>
      </c>
      <c r="AP900" t="s">
        <v>53</v>
      </c>
    </row>
    <row r="901" spans="2:42" x14ac:dyDescent="0.2">
      <c r="B901" t="s">
        <v>44</v>
      </c>
      <c r="C901" t="str">
        <f>HYPERLINK("https://us2.cloudbeds.com/connect/8493803454333002#/reservations/598458552464?display=E1D03DMD&amp;reservation_id=598458552464", "E1D03DMD")</f>
        <v>E1D03DMD</v>
      </c>
      <c r="D901" t="s">
        <v>45</v>
      </c>
      <c r="E901" t="s">
        <v>185</v>
      </c>
      <c r="F901" t="s">
        <v>47</v>
      </c>
      <c r="G901" t="s">
        <v>48</v>
      </c>
      <c r="H901" t="s">
        <v>49</v>
      </c>
      <c r="I901" t="s">
        <v>62</v>
      </c>
      <c r="J901" t="s">
        <v>268</v>
      </c>
      <c r="K901" t="s">
        <v>755</v>
      </c>
      <c r="L901" t="s">
        <v>53</v>
      </c>
      <c r="N901" t="s">
        <v>1727</v>
      </c>
      <c r="P901" t="s">
        <v>55</v>
      </c>
      <c r="R901" t="s">
        <v>102</v>
      </c>
      <c r="T901" t="s">
        <v>1719</v>
      </c>
      <c r="U901" t="s">
        <v>58</v>
      </c>
      <c r="V901">
        <v>1</v>
      </c>
      <c r="W901">
        <v>1</v>
      </c>
      <c r="X901">
        <v>1</v>
      </c>
      <c r="Y901">
        <v>0</v>
      </c>
      <c r="Z901">
        <v>1</v>
      </c>
      <c r="AA901">
        <v>0</v>
      </c>
      <c r="AB901">
        <v>75.180000000000007</v>
      </c>
      <c r="AC901">
        <v>66.150000000000006</v>
      </c>
      <c r="AD901">
        <v>0</v>
      </c>
      <c r="AE901">
        <v>9.0299999999999994</v>
      </c>
      <c r="AF901">
        <v>0</v>
      </c>
      <c r="AG901">
        <v>0</v>
      </c>
      <c r="AH901">
        <v>0</v>
      </c>
      <c r="AI901">
        <v>11.28</v>
      </c>
      <c r="AJ901">
        <v>75.180000000000007</v>
      </c>
      <c r="AK901">
        <v>0</v>
      </c>
      <c r="AL901" t="s">
        <v>53</v>
      </c>
      <c r="AM901" t="s">
        <v>53</v>
      </c>
      <c r="AN901" t="s">
        <v>767</v>
      </c>
      <c r="AO901" t="s">
        <v>53</v>
      </c>
      <c r="AP901" t="s">
        <v>53</v>
      </c>
    </row>
    <row r="902" spans="2:42" x14ac:dyDescent="0.2">
      <c r="B902" t="s">
        <v>44</v>
      </c>
      <c r="C902" t="str">
        <f>HYPERLINK("https://us2.cloudbeds.com/connect/8493803454333002#/reservations/598435324042?display=E1CDH1KR&amp;reservation_id=598435324042", "E1CDH1KR")</f>
        <v>E1CDH1KR</v>
      </c>
      <c r="D902" t="s">
        <v>45</v>
      </c>
      <c r="E902" t="s">
        <v>223</v>
      </c>
      <c r="F902" t="s">
        <v>47</v>
      </c>
      <c r="G902" t="s">
        <v>48</v>
      </c>
      <c r="H902" t="s">
        <v>49</v>
      </c>
      <c r="I902" t="s">
        <v>114</v>
      </c>
      <c r="J902" t="s">
        <v>268</v>
      </c>
      <c r="K902" t="s">
        <v>755</v>
      </c>
      <c r="L902" t="s">
        <v>53</v>
      </c>
      <c r="N902" t="s">
        <v>1728</v>
      </c>
      <c r="P902" t="s">
        <v>55</v>
      </c>
      <c r="R902" t="s">
        <v>56</v>
      </c>
      <c r="T902" t="s">
        <v>1719</v>
      </c>
      <c r="U902" t="s">
        <v>58</v>
      </c>
      <c r="V902">
        <v>1</v>
      </c>
      <c r="W902">
        <v>1</v>
      </c>
      <c r="X902">
        <v>1</v>
      </c>
      <c r="Y902">
        <v>0</v>
      </c>
      <c r="Z902">
        <v>1</v>
      </c>
      <c r="AA902">
        <v>0</v>
      </c>
      <c r="AB902">
        <v>71.599999999999994</v>
      </c>
      <c r="AC902">
        <v>63</v>
      </c>
      <c r="AD902">
        <v>0</v>
      </c>
      <c r="AE902">
        <v>8.61</v>
      </c>
      <c r="AF902">
        <v>0</v>
      </c>
      <c r="AG902">
        <v>0</v>
      </c>
      <c r="AH902">
        <v>0</v>
      </c>
      <c r="AI902">
        <v>0</v>
      </c>
      <c r="AJ902">
        <v>71.61</v>
      </c>
      <c r="AK902">
        <v>0.01</v>
      </c>
      <c r="AL902" t="s">
        <v>53</v>
      </c>
      <c r="AM902" t="s">
        <v>53</v>
      </c>
      <c r="AN902" t="s">
        <v>1729</v>
      </c>
      <c r="AO902" t="s">
        <v>53</v>
      </c>
      <c r="AP902" t="s">
        <v>53</v>
      </c>
    </row>
    <row r="903" spans="2:42" x14ac:dyDescent="0.2">
      <c r="B903" t="s">
        <v>44</v>
      </c>
      <c r="C903" t="str">
        <f>HYPERLINK("https://us2.cloudbeds.com/connect/8493803454333002#/reservations/598439481500?display=E1CH0ZAC&amp;reservation_id=598439481500", "E1CH0ZAC")</f>
        <v>E1CH0ZAC</v>
      </c>
      <c r="D903" t="s">
        <v>45</v>
      </c>
      <c r="E903" t="s">
        <v>305</v>
      </c>
      <c r="F903" t="s">
        <v>61</v>
      </c>
      <c r="G903" t="s">
        <v>48</v>
      </c>
      <c r="H903" t="s">
        <v>71</v>
      </c>
      <c r="I903" t="s">
        <v>72</v>
      </c>
      <c r="J903" t="s">
        <v>454</v>
      </c>
      <c r="K903" t="s">
        <v>1143</v>
      </c>
      <c r="L903" t="s">
        <v>53</v>
      </c>
      <c r="N903" t="s">
        <v>1730</v>
      </c>
      <c r="P903" t="s">
        <v>55</v>
      </c>
      <c r="R903" t="s">
        <v>56</v>
      </c>
      <c r="T903" t="s">
        <v>1719</v>
      </c>
      <c r="U903" t="s">
        <v>58</v>
      </c>
      <c r="V903">
        <v>3</v>
      </c>
      <c r="W903">
        <v>1</v>
      </c>
      <c r="X903">
        <v>1</v>
      </c>
      <c r="Y903">
        <v>0</v>
      </c>
      <c r="Z903">
        <v>1</v>
      </c>
      <c r="AA903">
        <v>0</v>
      </c>
      <c r="AB903">
        <v>297.64999999999998</v>
      </c>
      <c r="AC903">
        <v>261.89999999999998</v>
      </c>
      <c r="AD903">
        <v>0</v>
      </c>
      <c r="AE903">
        <v>35.76</v>
      </c>
      <c r="AF903">
        <v>0</v>
      </c>
      <c r="AG903">
        <v>0</v>
      </c>
      <c r="AH903">
        <v>0</v>
      </c>
      <c r="AI903">
        <v>0</v>
      </c>
      <c r="AJ903">
        <v>297.66000000000003</v>
      </c>
      <c r="AK903">
        <v>0.01</v>
      </c>
      <c r="AL903" t="s">
        <v>53</v>
      </c>
      <c r="AM903" t="s">
        <v>53</v>
      </c>
      <c r="AN903" t="s">
        <v>1731</v>
      </c>
      <c r="AO903" t="s">
        <v>53</v>
      </c>
      <c r="AP903" t="s">
        <v>53</v>
      </c>
    </row>
    <row r="904" spans="2:42" x14ac:dyDescent="0.2">
      <c r="B904" t="s">
        <v>44</v>
      </c>
      <c r="C904" t="str">
        <f>HYPERLINK("https://us2.cloudbeds.com/connect/8493803454333002#/reservations/598411870365?display=E1BQZDZB&amp;reservation_id=598411870365", "E1BQZDZB")</f>
        <v>E1BQZDZB</v>
      </c>
      <c r="D904" t="s">
        <v>45</v>
      </c>
      <c r="E904" t="s">
        <v>305</v>
      </c>
      <c r="F904" t="s">
        <v>61</v>
      </c>
      <c r="G904" t="s">
        <v>48</v>
      </c>
      <c r="H904" t="s">
        <v>49</v>
      </c>
      <c r="I904" t="s">
        <v>62</v>
      </c>
      <c r="J904" t="s">
        <v>167</v>
      </c>
      <c r="K904" t="s">
        <v>746</v>
      </c>
      <c r="L904" t="s">
        <v>53</v>
      </c>
      <c r="N904" t="s">
        <v>1732</v>
      </c>
      <c r="P904" t="s">
        <v>55</v>
      </c>
      <c r="R904" t="s">
        <v>118</v>
      </c>
      <c r="T904" t="s">
        <v>1719</v>
      </c>
      <c r="U904" t="s">
        <v>58</v>
      </c>
      <c r="V904">
        <v>2</v>
      </c>
      <c r="W904">
        <v>1</v>
      </c>
      <c r="X904">
        <v>1</v>
      </c>
      <c r="Y904">
        <v>0</v>
      </c>
      <c r="Z904">
        <v>1</v>
      </c>
      <c r="AA904">
        <v>0</v>
      </c>
      <c r="AB904">
        <v>188.66</v>
      </c>
      <c r="AC904">
        <v>166</v>
      </c>
      <c r="AD904">
        <v>0</v>
      </c>
      <c r="AE904">
        <v>22.68</v>
      </c>
      <c r="AF904">
        <v>0</v>
      </c>
      <c r="AG904">
        <v>0</v>
      </c>
      <c r="AH904">
        <v>0</v>
      </c>
      <c r="AI904">
        <v>28.3</v>
      </c>
      <c r="AJ904">
        <v>188.68</v>
      </c>
      <c r="AK904">
        <v>0.02</v>
      </c>
      <c r="AL904" t="s">
        <v>53</v>
      </c>
      <c r="AM904" t="s">
        <v>53</v>
      </c>
      <c r="AN904" t="s">
        <v>252</v>
      </c>
      <c r="AO904" t="s">
        <v>53</v>
      </c>
      <c r="AP904" t="s">
        <v>53</v>
      </c>
    </row>
    <row r="905" spans="2:42" x14ac:dyDescent="0.2">
      <c r="B905" t="s">
        <v>44</v>
      </c>
      <c r="C905" t="str">
        <f>HYPERLINK("https://us2.cloudbeds.com/connect/8493803454333002#/reservations/598474088665?display=E1DD6Z5C&amp;reservation_id=598474088665", "E1DD6Z5C")</f>
        <v>E1DD6Z5C</v>
      </c>
      <c r="D905" t="s">
        <v>45</v>
      </c>
      <c r="E905" t="s">
        <v>381</v>
      </c>
      <c r="F905" t="s">
        <v>47</v>
      </c>
      <c r="G905" t="s">
        <v>48</v>
      </c>
      <c r="H905" t="s">
        <v>71</v>
      </c>
      <c r="I905" t="s">
        <v>72</v>
      </c>
      <c r="J905" t="s">
        <v>268</v>
      </c>
      <c r="K905" t="s">
        <v>454</v>
      </c>
      <c r="L905" t="s">
        <v>53</v>
      </c>
      <c r="N905" t="s">
        <v>1733</v>
      </c>
      <c r="P905" t="s">
        <v>55</v>
      </c>
      <c r="R905" t="s">
        <v>56</v>
      </c>
      <c r="T905" t="s">
        <v>1719</v>
      </c>
      <c r="U905" t="s">
        <v>58</v>
      </c>
      <c r="V905">
        <v>2</v>
      </c>
      <c r="W905">
        <v>1</v>
      </c>
      <c r="X905">
        <v>1</v>
      </c>
      <c r="Y905">
        <v>0</v>
      </c>
      <c r="Z905">
        <v>1</v>
      </c>
      <c r="AA905">
        <v>0</v>
      </c>
      <c r="AB905">
        <v>143.19999999999999</v>
      </c>
      <c r="AC905">
        <v>126</v>
      </c>
      <c r="AD905">
        <v>0</v>
      </c>
      <c r="AE905">
        <v>17.22</v>
      </c>
      <c r="AF905">
        <v>0</v>
      </c>
      <c r="AG905">
        <v>0</v>
      </c>
      <c r="AH905">
        <v>0</v>
      </c>
      <c r="AI905">
        <v>0</v>
      </c>
      <c r="AJ905">
        <v>143.22</v>
      </c>
      <c r="AK905">
        <v>0.02</v>
      </c>
      <c r="AL905" t="s">
        <v>53</v>
      </c>
      <c r="AM905" t="s">
        <v>53</v>
      </c>
      <c r="AN905" t="s">
        <v>378</v>
      </c>
      <c r="AO905" t="s">
        <v>53</v>
      </c>
      <c r="AP905" t="s">
        <v>53</v>
      </c>
    </row>
    <row r="906" spans="2:42" x14ac:dyDescent="0.2">
      <c r="B906" t="s">
        <v>44</v>
      </c>
      <c r="C906" t="str">
        <f>HYPERLINK("https://us2.cloudbeds.com/connect/8493803454333002#/reservations/598486401235?display=E1DNJBFX&amp;reservation_id=598486401235", "E1DNJBFX")</f>
        <v>E1DNJBFX</v>
      </c>
      <c r="D906" t="s">
        <v>45</v>
      </c>
      <c r="E906" t="s">
        <v>138</v>
      </c>
      <c r="F906" t="s">
        <v>70</v>
      </c>
      <c r="G906" t="s">
        <v>48</v>
      </c>
      <c r="H906" t="s">
        <v>71</v>
      </c>
      <c r="I906" t="s">
        <v>72</v>
      </c>
      <c r="J906" t="s">
        <v>129</v>
      </c>
      <c r="K906" t="s">
        <v>426</v>
      </c>
      <c r="L906" t="s">
        <v>53</v>
      </c>
      <c r="N906" t="s">
        <v>1734</v>
      </c>
      <c r="P906" t="s">
        <v>55</v>
      </c>
      <c r="R906" t="s">
        <v>56</v>
      </c>
      <c r="T906" t="s">
        <v>1719</v>
      </c>
      <c r="U906" t="s">
        <v>58</v>
      </c>
      <c r="V906">
        <v>1</v>
      </c>
      <c r="W906">
        <v>1</v>
      </c>
      <c r="X906">
        <v>1</v>
      </c>
      <c r="Y906">
        <v>0</v>
      </c>
      <c r="Z906">
        <v>1</v>
      </c>
      <c r="AA906">
        <v>0</v>
      </c>
      <c r="AB906">
        <v>136.38</v>
      </c>
      <c r="AC906">
        <v>120</v>
      </c>
      <c r="AD906">
        <v>0</v>
      </c>
      <c r="AE906">
        <v>16.38</v>
      </c>
      <c r="AF906">
        <v>0</v>
      </c>
      <c r="AG906">
        <v>0</v>
      </c>
      <c r="AH906">
        <v>0</v>
      </c>
      <c r="AI906">
        <v>0</v>
      </c>
      <c r="AJ906">
        <v>136.38</v>
      </c>
      <c r="AK906">
        <v>0</v>
      </c>
      <c r="AL906" t="s">
        <v>53</v>
      </c>
      <c r="AM906" t="s">
        <v>53</v>
      </c>
      <c r="AN906" t="s">
        <v>1735</v>
      </c>
      <c r="AO906" t="s">
        <v>53</v>
      </c>
      <c r="AP906" t="s">
        <v>53</v>
      </c>
    </row>
    <row r="907" spans="2:42" x14ac:dyDescent="0.2">
      <c r="B907" t="s">
        <v>44</v>
      </c>
      <c r="C907" t="str">
        <f>HYPERLINK("https://us2.cloudbeds.com/connect/8493803454333002#/reservations/579386175687?display=DJKYPDNW&amp;reservation_id=579386175687", "DJKYPDNW")</f>
        <v>DJKYPDNW</v>
      </c>
      <c r="D907" t="s">
        <v>45</v>
      </c>
      <c r="E907" t="s">
        <v>69</v>
      </c>
      <c r="F907" t="s">
        <v>70</v>
      </c>
      <c r="G907" t="s">
        <v>48</v>
      </c>
      <c r="H907" t="s">
        <v>71</v>
      </c>
      <c r="I907" t="s">
        <v>72</v>
      </c>
      <c r="J907" t="s">
        <v>1556</v>
      </c>
      <c r="K907" t="s">
        <v>1458</v>
      </c>
      <c r="L907" t="s">
        <v>53</v>
      </c>
      <c r="N907" t="s">
        <v>1736</v>
      </c>
      <c r="P907" t="s">
        <v>55</v>
      </c>
      <c r="R907" t="s">
        <v>56</v>
      </c>
      <c r="T907" t="s">
        <v>1719</v>
      </c>
      <c r="U907" t="s">
        <v>58</v>
      </c>
      <c r="V907">
        <v>6</v>
      </c>
      <c r="W907">
        <v>1</v>
      </c>
      <c r="X907">
        <v>1</v>
      </c>
      <c r="Y907">
        <v>0</v>
      </c>
      <c r="Z907">
        <v>1</v>
      </c>
      <c r="AA907">
        <v>0</v>
      </c>
      <c r="AB907">
        <v>781.89</v>
      </c>
      <c r="AC907">
        <v>688</v>
      </c>
      <c r="AD907">
        <v>0</v>
      </c>
      <c r="AE907">
        <v>93.89</v>
      </c>
      <c r="AF907">
        <v>0</v>
      </c>
      <c r="AG907">
        <v>0</v>
      </c>
      <c r="AH907">
        <v>0</v>
      </c>
      <c r="AI907">
        <v>0</v>
      </c>
      <c r="AJ907">
        <v>781.89</v>
      </c>
      <c r="AK907">
        <v>0</v>
      </c>
      <c r="AL907" t="s">
        <v>53</v>
      </c>
      <c r="AM907" t="s">
        <v>53</v>
      </c>
      <c r="AN907" t="s">
        <v>1737</v>
      </c>
      <c r="AO907" t="s">
        <v>53</v>
      </c>
      <c r="AP907" t="s">
        <v>53</v>
      </c>
    </row>
    <row r="908" spans="2:42" x14ac:dyDescent="0.2">
      <c r="B908" t="s">
        <v>44</v>
      </c>
      <c r="C908" t="str">
        <f>HYPERLINK("https://us2.cloudbeds.com/connect/8493803454333002#/reservations/598313386173?display=E199MV9T&amp;reservation_id=598313386173", "E199MV9T")</f>
        <v>E199MV9T</v>
      </c>
      <c r="D908" t="s">
        <v>45</v>
      </c>
      <c r="E908" t="s">
        <v>406</v>
      </c>
      <c r="F908" t="s">
        <v>61</v>
      </c>
      <c r="G908" t="s">
        <v>48</v>
      </c>
      <c r="H908" t="s">
        <v>71</v>
      </c>
      <c r="I908" t="s">
        <v>72</v>
      </c>
      <c r="J908" t="s">
        <v>268</v>
      </c>
      <c r="K908" t="s">
        <v>755</v>
      </c>
      <c r="L908" t="s">
        <v>53</v>
      </c>
      <c r="N908" t="s">
        <v>1738</v>
      </c>
      <c r="P908" t="s">
        <v>58</v>
      </c>
      <c r="R908" t="s">
        <v>56</v>
      </c>
      <c r="T908" t="s">
        <v>1719</v>
      </c>
      <c r="U908" t="s">
        <v>58</v>
      </c>
      <c r="V908">
        <v>1</v>
      </c>
      <c r="W908">
        <v>1</v>
      </c>
      <c r="X908">
        <v>1</v>
      </c>
      <c r="Y908">
        <v>0</v>
      </c>
      <c r="Z908">
        <v>1</v>
      </c>
      <c r="AA908">
        <v>0</v>
      </c>
      <c r="AB908">
        <v>77.28</v>
      </c>
      <c r="AC908">
        <v>68</v>
      </c>
      <c r="AD908">
        <v>0</v>
      </c>
      <c r="AE908">
        <v>9.2799999999999994</v>
      </c>
      <c r="AF908">
        <v>0</v>
      </c>
      <c r="AG908">
        <v>0</v>
      </c>
      <c r="AH908">
        <v>0</v>
      </c>
      <c r="AI908">
        <v>0</v>
      </c>
      <c r="AJ908">
        <v>77.28</v>
      </c>
      <c r="AK908">
        <v>0</v>
      </c>
      <c r="AL908" t="s">
        <v>53</v>
      </c>
      <c r="AM908" t="s">
        <v>53</v>
      </c>
      <c r="AN908" t="s">
        <v>1739</v>
      </c>
      <c r="AO908" t="s">
        <v>53</v>
      </c>
      <c r="AP908" t="s">
        <v>53</v>
      </c>
    </row>
    <row r="909" spans="2:42" x14ac:dyDescent="0.2">
      <c r="B909" t="s">
        <v>44</v>
      </c>
      <c r="C909" t="str">
        <f>HYPERLINK("https://us2.cloudbeds.com/connect/8493803454333002#/reservations/598116913297?display=E1490QEC&amp;reservation_id=598116913297", "E1490QEC")</f>
        <v>E1490QEC</v>
      </c>
      <c r="D909" t="s">
        <v>45</v>
      </c>
      <c r="E909" t="s">
        <v>69</v>
      </c>
      <c r="F909" t="s">
        <v>70</v>
      </c>
      <c r="G909" t="s">
        <v>48</v>
      </c>
      <c r="H909" t="s">
        <v>49</v>
      </c>
      <c r="I909" t="s">
        <v>50</v>
      </c>
      <c r="J909" t="s">
        <v>801</v>
      </c>
      <c r="K909" t="s">
        <v>202</v>
      </c>
      <c r="L909" t="s">
        <v>53</v>
      </c>
      <c r="N909" t="s">
        <v>1740</v>
      </c>
      <c r="P909" t="s">
        <v>55</v>
      </c>
      <c r="R909" t="s">
        <v>56</v>
      </c>
      <c r="T909" t="s">
        <v>1719</v>
      </c>
      <c r="U909" t="s">
        <v>58</v>
      </c>
      <c r="V909">
        <v>1</v>
      </c>
      <c r="W909">
        <v>1</v>
      </c>
      <c r="X909">
        <v>1</v>
      </c>
      <c r="Y909">
        <v>0</v>
      </c>
      <c r="Z909">
        <v>1</v>
      </c>
      <c r="AA909">
        <v>0</v>
      </c>
      <c r="AB909">
        <v>64.44</v>
      </c>
      <c r="AC909">
        <v>56.7</v>
      </c>
      <c r="AD909">
        <v>0</v>
      </c>
      <c r="AE909">
        <v>7.73</v>
      </c>
      <c r="AF909">
        <v>0</v>
      </c>
      <c r="AG909">
        <v>0</v>
      </c>
      <c r="AH909">
        <v>0</v>
      </c>
      <c r="AI909">
        <v>11.6</v>
      </c>
      <c r="AJ909">
        <v>64.430000000000007</v>
      </c>
      <c r="AK909">
        <v>-0.01</v>
      </c>
      <c r="AL909" t="s">
        <v>53</v>
      </c>
      <c r="AM909" t="s">
        <v>53</v>
      </c>
      <c r="AN909" t="s">
        <v>91</v>
      </c>
      <c r="AO909" t="s">
        <v>53</v>
      </c>
      <c r="AP909" t="s">
        <v>53</v>
      </c>
    </row>
    <row r="910" spans="2:42" x14ac:dyDescent="0.2">
      <c r="B910" t="s">
        <v>44</v>
      </c>
      <c r="C910" t="str">
        <f>HYPERLINK("https://us2.cloudbeds.com/connect/8493803454333002#/reservations/598340694226?display=E19WNRXY&amp;reservation_id=598340694226", "E19WNRXY")</f>
        <v>E19WNRXY</v>
      </c>
      <c r="D910" t="s">
        <v>45</v>
      </c>
      <c r="E910" t="s">
        <v>128</v>
      </c>
      <c r="F910" t="s">
        <v>86</v>
      </c>
      <c r="G910" t="s">
        <v>48</v>
      </c>
      <c r="H910" t="s">
        <v>49</v>
      </c>
      <c r="I910" t="s">
        <v>50</v>
      </c>
      <c r="J910" t="s">
        <v>566</v>
      </c>
      <c r="K910" t="s">
        <v>167</v>
      </c>
      <c r="L910" t="s">
        <v>53</v>
      </c>
      <c r="N910" t="s">
        <v>1741</v>
      </c>
      <c r="P910" t="s">
        <v>55</v>
      </c>
      <c r="R910" t="s">
        <v>56</v>
      </c>
      <c r="T910" t="s">
        <v>1719</v>
      </c>
      <c r="U910" t="s">
        <v>58</v>
      </c>
      <c r="V910">
        <v>2</v>
      </c>
      <c r="W910">
        <v>1</v>
      </c>
      <c r="X910">
        <v>1</v>
      </c>
      <c r="Y910">
        <v>0</v>
      </c>
      <c r="Z910">
        <v>1</v>
      </c>
      <c r="AA910">
        <v>0</v>
      </c>
      <c r="AB910">
        <v>161.61000000000001</v>
      </c>
      <c r="AC910">
        <v>142.19999999999999</v>
      </c>
      <c r="AD910">
        <v>0</v>
      </c>
      <c r="AE910">
        <v>19.399999999999999</v>
      </c>
      <c r="AF910">
        <v>0</v>
      </c>
      <c r="AG910">
        <v>0</v>
      </c>
      <c r="AH910">
        <v>0</v>
      </c>
      <c r="AI910">
        <v>29.09</v>
      </c>
      <c r="AJ910">
        <v>161.6</v>
      </c>
      <c r="AK910">
        <v>-0.01</v>
      </c>
      <c r="AL910" t="s">
        <v>53</v>
      </c>
      <c r="AM910" t="s">
        <v>53</v>
      </c>
      <c r="AN910" t="s">
        <v>91</v>
      </c>
      <c r="AO910" t="s">
        <v>53</v>
      </c>
      <c r="AP910" t="s">
        <v>53</v>
      </c>
    </row>
    <row r="911" spans="2:42" x14ac:dyDescent="0.2">
      <c r="B911" t="s">
        <v>44</v>
      </c>
      <c r="C911" t="str">
        <f>HYPERLINK("https://us2.cloudbeds.com/connect/8493803454333002#/reservations/598531940560?display=E1ESWX13&amp;reservation_id=598531940560", "E1ESWX13")</f>
        <v>E1ESWX13</v>
      </c>
      <c r="D911" t="s">
        <v>45</v>
      </c>
      <c r="E911" t="s">
        <v>121</v>
      </c>
      <c r="F911" t="s">
        <v>86</v>
      </c>
      <c r="G911" t="s">
        <v>48</v>
      </c>
      <c r="H911" t="s">
        <v>49</v>
      </c>
      <c r="I911" t="s">
        <v>79</v>
      </c>
      <c r="J911" t="s">
        <v>454</v>
      </c>
      <c r="K911" t="s">
        <v>455</v>
      </c>
      <c r="L911" t="s">
        <v>53</v>
      </c>
      <c r="N911" t="s">
        <v>1742</v>
      </c>
      <c r="P911" t="s">
        <v>55</v>
      </c>
      <c r="R911" t="s">
        <v>56</v>
      </c>
      <c r="T911" t="s">
        <v>1719</v>
      </c>
      <c r="U911" t="s">
        <v>58</v>
      </c>
      <c r="V911">
        <v>1</v>
      </c>
      <c r="W911">
        <v>1</v>
      </c>
      <c r="X911">
        <v>1</v>
      </c>
      <c r="Y911">
        <v>0</v>
      </c>
      <c r="Z911">
        <v>1</v>
      </c>
      <c r="AA911">
        <v>0</v>
      </c>
      <c r="AB911">
        <v>122.74</v>
      </c>
      <c r="AC911">
        <v>108</v>
      </c>
      <c r="AD911">
        <v>0</v>
      </c>
      <c r="AE911">
        <v>14.74</v>
      </c>
      <c r="AF911">
        <v>0</v>
      </c>
      <c r="AG911">
        <v>0</v>
      </c>
      <c r="AH911">
        <v>0</v>
      </c>
      <c r="AI911">
        <v>0</v>
      </c>
      <c r="AJ911">
        <v>122.74</v>
      </c>
      <c r="AK911">
        <v>0</v>
      </c>
      <c r="AL911" t="s">
        <v>53</v>
      </c>
      <c r="AM911" t="s">
        <v>53</v>
      </c>
      <c r="AN911" t="s">
        <v>104</v>
      </c>
      <c r="AO911" t="s">
        <v>53</v>
      </c>
      <c r="AP911" t="s">
        <v>53</v>
      </c>
    </row>
    <row r="912" spans="2:42" x14ac:dyDescent="0.2">
      <c r="B912" t="s">
        <v>44</v>
      </c>
      <c r="C912" t="str">
        <f>HYPERLINK("https://us2.cloudbeds.com/connect/8493803454333002#/reservations/598580474007?display=E1G3U20K&amp;reservation_id=598580474007", "E1G3U20K")</f>
        <v>E1G3U20K</v>
      </c>
      <c r="D912" t="s">
        <v>45</v>
      </c>
      <c r="E912" t="s">
        <v>110</v>
      </c>
      <c r="F912" t="s">
        <v>47</v>
      </c>
      <c r="G912" t="s">
        <v>48</v>
      </c>
      <c r="H912" t="s">
        <v>49</v>
      </c>
      <c r="I912" t="s">
        <v>79</v>
      </c>
      <c r="J912" t="s">
        <v>938</v>
      </c>
      <c r="K912" t="s">
        <v>359</v>
      </c>
      <c r="L912" t="s">
        <v>53</v>
      </c>
      <c r="N912" t="s">
        <v>1743</v>
      </c>
      <c r="P912" t="s">
        <v>55</v>
      </c>
      <c r="R912" t="s">
        <v>56</v>
      </c>
      <c r="T912" t="s">
        <v>1744</v>
      </c>
      <c r="U912" t="s">
        <v>58</v>
      </c>
      <c r="V912">
        <v>1</v>
      </c>
      <c r="W912">
        <v>1</v>
      </c>
      <c r="X912">
        <v>1</v>
      </c>
      <c r="Y912">
        <v>0</v>
      </c>
      <c r="Z912">
        <v>1</v>
      </c>
      <c r="AA912">
        <v>0</v>
      </c>
      <c r="AB912">
        <v>107.4</v>
      </c>
      <c r="AC912">
        <v>94.5</v>
      </c>
      <c r="AD912">
        <v>0</v>
      </c>
      <c r="AE912">
        <v>12.9</v>
      </c>
      <c r="AF912">
        <v>0</v>
      </c>
      <c r="AG912">
        <v>0</v>
      </c>
      <c r="AH912">
        <v>0</v>
      </c>
      <c r="AI912">
        <v>0</v>
      </c>
      <c r="AJ912">
        <v>107.4</v>
      </c>
      <c r="AK912">
        <v>0</v>
      </c>
      <c r="AL912" t="s">
        <v>53</v>
      </c>
      <c r="AM912" t="s">
        <v>53</v>
      </c>
      <c r="AN912" t="s">
        <v>413</v>
      </c>
      <c r="AO912" t="s">
        <v>53</v>
      </c>
      <c r="AP912" t="s">
        <v>53</v>
      </c>
    </row>
    <row r="913" spans="2:42" x14ac:dyDescent="0.2">
      <c r="B913" t="s">
        <v>44</v>
      </c>
      <c r="C913" t="str">
        <f>HYPERLINK("https://us2.cloudbeds.com/connect/8493803454333002#/reservations/579396571342?display=DJKUHMPR&amp;reservation_id=579396571342", "DJKUHMPR")</f>
        <v>DJKUHMPR</v>
      </c>
      <c r="D913" t="s">
        <v>45</v>
      </c>
      <c r="E913" t="s">
        <v>265</v>
      </c>
      <c r="F913" t="s">
        <v>61</v>
      </c>
      <c r="G913" t="s">
        <v>48</v>
      </c>
      <c r="H913" t="s">
        <v>49</v>
      </c>
      <c r="I913" t="s">
        <v>62</v>
      </c>
      <c r="J913" t="s">
        <v>1745</v>
      </c>
      <c r="K913" t="s">
        <v>1478</v>
      </c>
      <c r="L913" t="s">
        <v>53</v>
      </c>
      <c r="N913" t="s">
        <v>1746</v>
      </c>
      <c r="P913" t="s">
        <v>58</v>
      </c>
      <c r="R913" t="s">
        <v>56</v>
      </c>
      <c r="T913" t="s">
        <v>1744</v>
      </c>
      <c r="U913" t="s">
        <v>58</v>
      </c>
      <c r="V913">
        <v>5</v>
      </c>
      <c r="W913">
        <v>1</v>
      </c>
      <c r="X913">
        <v>1</v>
      </c>
      <c r="Y913">
        <v>0</v>
      </c>
      <c r="Z913">
        <v>1</v>
      </c>
      <c r="AA913">
        <v>0</v>
      </c>
      <c r="AB913">
        <v>876.25</v>
      </c>
      <c r="AC913">
        <v>771</v>
      </c>
      <c r="AD913">
        <v>0</v>
      </c>
      <c r="AE913">
        <v>105.25</v>
      </c>
      <c r="AF913">
        <v>0</v>
      </c>
      <c r="AG913">
        <v>0</v>
      </c>
      <c r="AH913">
        <v>0</v>
      </c>
      <c r="AI913">
        <v>131.44</v>
      </c>
      <c r="AJ913">
        <v>876.25</v>
      </c>
      <c r="AK913">
        <v>0</v>
      </c>
      <c r="AL913" t="s">
        <v>53</v>
      </c>
      <c r="AM913" t="s">
        <v>53</v>
      </c>
      <c r="AN913" t="s">
        <v>1747</v>
      </c>
      <c r="AO913" t="s">
        <v>53</v>
      </c>
      <c r="AP913" t="s">
        <v>53</v>
      </c>
    </row>
    <row r="914" spans="2:42" x14ac:dyDescent="0.2">
      <c r="B914" t="s">
        <v>44</v>
      </c>
      <c r="C914" t="str">
        <f>HYPERLINK("https://us2.cloudbeds.com/connect/8493803454333002#/reservations/598123262115?display=E14ECFCQ&amp;reservation_id=598123262115", "E14ECFCQ")</f>
        <v>E14ECFCQ</v>
      </c>
      <c r="D914" t="s">
        <v>45</v>
      </c>
      <c r="E914" t="s">
        <v>105</v>
      </c>
      <c r="F914" t="s">
        <v>47</v>
      </c>
      <c r="G914" t="s">
        <v>48</v>
      </c>
      <c r="H914" t="s">
        <v>49</v>
      </c>
      <c r="I914" t="s">
        <v>62</v>
      </c>
      <c r="J914" t="s">
        <v>259</v>
      </c>
      <c r="K914" t="s">
        <v>260</v>
      </c>
      <c r="L914" t="s">
        <v>53</v>
      </c>
      <c r="N914" t="s">
        <v>1748</v>
      </c>
      <c r="P914" t="s">
        <v>55</v>
      </c>
      <c r="R914" t="s">
        <v>513</v>
      </c>
      <c r="T914" t="s">
        <v>1744</v>
      </c>
      <c r="U914" t="s">
        <v>58</v>
      </c>
      <c r="V914">
        <v>3</v>
      </c>
      <c r="W914">
        <v>1</v>
      </c>
      <c r="X914">
        <v>1</v>
      </c>
      <c r="Y914">
        <v>0</v>
      </c>
      <c r="Z914">
        <v>1</v>
      </c>
      <c r="AA914">
        <v>0</v>
      </c>
      <c r="AB914">
        <v>429.6</v>
      </c>
      <c r="AC914">
        <v>378</v>
      </c>
      <c r="AD914">
        <v>0</v>
      </c>
      <c r="AE914">
        <v>51.6</v>
      </c>
      <c r="AF914">
        <v>0</v>
      </c>
      <c r="AG914">
        <v>0</v>
      </c>
      <c r="AH914">
        <v>0</v>
      </c>
      <c r="AI914">
        <v>64.44</v>
      </c>
      <c r="AJ914">
        <v>429.6</v>
      </c>
      <c r="AK914">
        <v>0</v>
      </c>
      <c r="AL914" t="s">
        <v>53</v>
      </c>
      <c r="AM914" t="s">
        <v>53</v>
      </c>
      <c r="AN914" t="s">
        <v>349</v>
      </c>
      <c r="AO914" t="s">
        <v>53</v>
      </c>
      <c r="AP914" t="s">
        <v>53</v>
      </c>
    </row>
    <row r="915" spans="2:42" x14ac:dyDescent="0.2">
      <c r="B915" t="s">
        <v>44</v>
      </c>
      <c r="C915" t="str">
        <f>HYPERLINK("https://us2.cloudbeds.com/connect/8493803454333002#/reservations/598275129586?display=E18AED9C&amp;reservation_id=598275129586", "E18AED9C")</f>
        <v>E18AED9C</v>
      </c>
      <c r="D915" t="s">
        <v>45</v>
      </c>
      <c r="E915" t="s">
        <v>185</v>
      </c>
      <c r="F915" t="s">
        <v>47</v>
      </c>
      <c r="G915" t="s">
        <v>48</v>
      </c>
      <c r="H915" t="s">
        <v>49</v>
      </c>
      <c r="I915" t="s">
        <v>62</v>
      </c>
      <c r="J915" t="s">
        <v>243</v>
      </c>
      <c r="K915" t="s">
        <v>1349</v>
      </c>
      <c r="L915" t="s">
        <v>53</v>
      </c>
      <c r="N915" t="s">
        <v>1749</v>
      </c>
      <c r="P915" t="s">
        <v>55</v>
      </c>
      <c r="R915" t="s">
        <v>56</v>
      </c>
      <c r="T915" t="s">
        <v>1744</v>
      </c>
      <c r="U915" t="s">
        <v>58</v>
      </c>
      <c r="V915">
        <v>1</v>
      </c>
      <c r="W915">
        <v>1</v>
      </c>
      <c r="X915">
        <v>1</v>
      </c>
      <c r="Y915">
        <v>0</v>
      </c>
      <c r="Z915">
        <v>1</v>
      </c>
      <c r="AA915">
        <v>0</v>
      </c>
      <c r="AB915">
        <v>79.95</v>
      </c>
      <c r="AC915">
        <v>70.349999999999994</v>
      </c>
      <c r="AD915">
        <v>0</v>
      </c>
      <c r="AE915">
        <v>9.6</v>
      </c>
      <c r="AF915">
        <v>0</v>
      </c>
      <c r="AG915">
        <v>0</v>
      </c>
      <c r="AH915">
        <v>0</v>
      </c>
      <c r="AI915">
        <v>11.99</v>
      </c>
      <c r="AJ915">
        <v>79.95</v>
      </c>
      <c r="AK915">
        <v>0</v>
      </c>
      <c r="AL915" t="s">
        <v>53</v>
      </c>
      <c r="AM915" t="s">
        <v>53</v>
      </c>
      <c r="AN915" t="s">
        <v>877</v>
      </c>
      <c r="AO915" t="s">
        <v>53</v>
      </c>
      <c r="AP915" t="s">
        <v>53</v>
      </c>
    </row>
    <row r="916" spans="2:42" x14ac:dyDescent="0.2">
      <c r="B916" t="s">
        <v>44</v>
      </c>
      <c r="C916" t="str">
        <f>HYPERLINK("https://us2.cloudbeds.com/connect/8493803454333002#/reservations/598496579827?display=E1DW5J6Z&amp;reservation_id=598496579827", "E1DW5J6Z")</f>
        <v>E1DW5J6Z</v>
      </c>
      <c r="D916" t="s">
        <v>45</v>
      </c>
      <c r="E916" t="s">
        <v>185</v>
      </c>
      <c r="F916" t="s">
        <v>47</v>
      </c>
      <c r="G916" t="s">
        <v>48</v>
      </c>
      <c r="H916" t="s">
        <v>49</v>
      </c>
      <c r="I916" t="s">
        <v>79</v>
      </c>
      <c r="J916" t="s">
        <v>1750</v>
      </c>
      <c r="K916" t="s">
        <v>1269</v>
      </c>
      <c r="L916" t="s">
        <v>53</v>
      </c>
      <c r="N916" t="s">
        <v>1751</v>
      </c>
      <c r="P916" t="s">
        <v>55</v>
      </c>
      <c r="R916" t="s">
        <v>56</v>
      </c>
      <c r="T916" t="s">
        <v>1744</v>
      </c>
      <c r="U916" t="s">
        <v>58</v>
      </c>
      <c r="V916">
        <v>1</v>
      </c>
      <c r="W916">
        <v>1</v>
      </c>
      <c r="X916">
        <v>1</v>
      </c>
      <c r="Y916">
        <v>0</v>
      </c>
      <c r="Z916">
        <v>1</v>
      </c>
      <c r="AA916">
        <v>0</v>
      </c>
      <c r="AB916">
        <v>144.22</v>
      </c>
      <c r="AC916">
        <v>126.9</v>
      </c>
      <c r="AD916">
        <v>0</v>
      </c>
      <c r="AE916">
        <v>17.32</v>
      </c>
      <c r="AF916">
        <v>0</v>
      </c>
      <c r="AG916">
        <v>0</v>
      </c>
      <c r="AH916">
        <v>0</v>
      </c>
      <c r="AI916">
        <v>0</v>
      </c>
      <c r="AJ916">
        <v>144.22</v>
      </c>
      <c r="AK916">
        <v>0</v>
      </c>
      <c r="AL916" t="s">
        <v>53</v>
      </c>
      <c r="AM916" t="s">
        <v>53</v>
      </c>
      <c r="AN916" t="s">
        <v>68</v>
      </c>
      <c r="AO916" t="s">
        <v>53</v>
      </c>
      <c r="AP916" t="s">
        <v>53</v>
      </c>
    </row>
    <row r="917" spans="2:42" x14ac:dyDescent="0.2">
      <c r="B917" t="s">
        <v>44</v>
      </c>
      <c r="C917" t="str">
        <f>HYPERLINK("https://us2.cloudbeds.com/connect/8493803454333002#/reservations/597689507972?display=E0QBKKCS&amp;reservation_id=597689507972", "E0QBKKCS")</f>
        <v>E0QBKKCS</v>
      </c>
      <c r="D917" t="s">
        <v>45</v>
      </c>
      <c r="E917" t="s">
        <v>121</v>
      </c>
      <c r="F917" t="s">
        <v>86</v>
      </c>
      <c r="G917" t="s">
        <v>48</v>
      </c>
      <c r="H917" t="s">
        <v>49</v>
      </c>
      <c r="I917" t="s">
        <v>62</v>
      </c>
      <c r="J917" t="s">
        <v>755</v>
      </c>
      <c r="K917" t="s">
        <v>454</v>
      </c>
      <c r="L917" t="s">
        <v>53</v>
      </c>
      <c r="N917" t="s">
        <v>1752</v>
      </c>
      <c r="P917" t="s">
        <v>55</v>
      </c>
      <c r="R917" t="s">
        <v>56</v>
      </c>
      <c r="T917" t="s">
        <v>1744</v>
      </c>
      <c r="U917" t="s">
        <v>58</v>
      </c>
      <c r="V917">
        <v>1</v>
      </c>
      <c r="W917">
        <v>1</v>
      </c>
      <c r="X917">
        <v>1</v>
      </c>
      <c r="Y917">
        <v>0</v>
      </c>
      <c r="Z917">
        <v>1</v>
      </c>
      <c r="AA917">
        <v>0</v>
      </c>
      <c r="AB917">
        <v>103.82</v>
      </c>
      <c r="AC917">
        <v>91.35</v>
      </c>
      <c r="AD917">
        <v>0</v>
      </c>
      <c r="AE917">
        <v>12.48</v>
      </c>
      <c r="AF917">
        <v>0</v>
      </c>
      <c r="AG917">
        <v>0</v>
      </c>
      <c r="AH917">
        <v>0</v>
      </c>
      <c r="AI917">
        <v>15.57</v>
      </c>
      <c r="AJ917">
        <v>103.83</v>
      </c>
      <c r="AK917">
        <v>0.01</v>
      </c>
      <c r="AL917" t="s">
        <v>53</v>
      </c>
      <c r="AM917" t="s">
        <v>53</v>
      </c>
      <c r="AN917" t="s">
        <v>1565</v>
      </c>
      <c r="AO917" t="s">
        <v>53</v>
      </c>
      <c r="AP917" t="s">
        <v>53</v>
      </c>
    </row>
    <row r="918" spans="2:42" x14ac:dyDescent="0.2">
      <c r="B918" t="s">
        <v>44</v>
      </c>
      <c r="C918" t="str">
        <f>HYPERLINK("https://us2.cloudbeds.com/connect/8493803454333002#/reservations/579393347730?display=DJKRQWKJ&amp;reservation_id=579393347730", "DJKRQWKJ")</f>
        <v>DJKRQWKJ</v>
      </c>
      <c r="D918" t="s">
        <v>45</v>
      </c>
      <c r="E918" t="s">
        <v>213</v>
      </c>
      <c r="F918" t="s">
        <v>86</v>
      </c>
      <c r="G918" t="s">
        <v>48</v>
      </c>
      <c r="H918" t="s">
        <v>71</v>
      </c>
      <c r="I918" t="s">
        <v>72</v>
      </c>
      <c r="J918" t="s">
        <v>1716</v>
      </c>
      <c r="K918" t="s">
        <v>1259</v>
      </c>
      <c r="L918" t="s">
        <v>53</v>
      </c>
      <c r="N918" t="s">
        <v>1753</v>
      </c>
      <c r="P918" t="s">
        <v>55</v>
      </c>
      <c r="R918" t="s">
        <v>56</v>
      </c>
      <c r="T918" t="s">
        <v>1744</v>
      </c>
      <c r="U918" t="s">
        <v>58</v>
      </c>
      <c r="V918">
        <v>3</v>
      </c>
      <c r="W918">
        <v>1</v>
      </c>
      <c r="X918">
        <v>1</v>
      </c>
      <c r="Y918">
        <v>0</v>
      </c>
      <c r="Z918">
        <v>1</v>
      </c>
      <c r="AA918">
        <v>0</v>
      </c>
      <c r="AB918">
        <v>428.45</v>
      </c>
      <c r="AC918">
        <v>377</v>
      </c>
      <c r="AD918">
        <v>0</v>
      </c>
      <c r="AE918">
        <v>51.45</v>
      </c>
      <c r="AF918">
        <v>0</v>
      </c>
      <c r="AG918">
        <v>0</v>
      </c>
      <c r="AH918">
        <v>0</v>
      </c>
      <c r="AI918">
        <v>0</v>
      </c>
      <c r="AJ918">
        <v>428.45</v>
      </c>
      <c r="AK918">
        <v>0</v>
      </c>
      <c r="AL918" t="s">
        <v>53</v>
      </c>
      <c r="AM918" t="s">
        <v>53</v>
      </c>
      <c r="AN918" t="s">
        <v>378</v>
      </c>
      <c r="AO918" t="s">
        <v>53</v>
      </c>
      <c r="AP918" t="s">
        <v>53</v>
      </c>
    </row>
    <row r="919" spans="2:42" x14ac:dyDescent="0.2">
      <c r="B919" t="s">
        <v>44</v>
      </c>
      <c r="C919" t="str">
        <f>HYPERLINK("https://us2.cloudbeds.com/connect/8493803454333002#/reservations/598059127024?display=E12Q9QR6&amp;reservation_id=598059127024", "E12Q9QR6")</f>
        <v>E12Q9QR6</v>
      </c>
      <c r="D919" t="s">
        <v>45</v>
      </c>
      <c r="E919" t="s">
        <v>373</v>
      </c>
      <c r="F919" t="s">
        <v>47</v>
      </c>
      <c r="G919" t="s">
        <v>48</v>
      </c>
      <c r="H919" t="s">
        <v>49</v>
      </c>
      <c r="I919" t="s">
        <v>114</v>
      </c>
      <c r="J919" t="s">
        <v>755</v>
      </c>
      <c r="K919" t="s">
        <v>455</v>
      </c>
      <c r="L919" t="s">
        <v>53</v>
      </c>
      <c r="N919" t="s">
        <v>1754</v>
      </c>
      <c r="P919" t="s">
        <v>55</v>
      </c>
      <c r="R919" t="s">
        <v>946</v>
      </c>
      <c r="T919" t="s">
        <v>1744</v>
      </c>
      <c r="U919" t="s">
        <v>58</v>
      </c>
      <c r="V919">
        <v>2</v>
      </c>
      <c r="W919">
        <v>1</v>
      </c>
      <c r="X919">
        <v>1</v>
      </c>
      <c r="Y919">
        <v>0</v>
      </c>
      <c r="Z919">
        <v>1</v>
      </c>
      <c r="AA919">
        <v>0</v>
      </c>
      <c r="AB919">
        <v>145.47</v>
      </c>
      <c r="AC919">
        <v>128</v>
      </c>
      <c r="AD919">
        <v>0</v>
      </c>
      <c r="AE919">
        <v>17.48</v>
      </c>
      <c r="AF919">
        <v>0</v>
      </c>
      <c r="AG919">
        <v>0</v>
      </c>
      <c r="AH919">
        <v>0</v>
      </c>
      <c r="AI919">
        <v>0</v>
      </c>
      <c r="AJ919">
        <v>145.47999999999999</v>
      </c>
      <c r="AK919">
        <v>0.01</v>
      </c>
      <c r="AL919" t="s">
        <v>53</v>
      </c>
      <c r="AM919" t="s">
        <v>53</v>
      </c>
      <c r="AN919" t="s">
        <v>1755</v>
      </c>
      <c r="AO919" t="s">
        <v>53</v>
      </c>
      <c r="AP919" t="s">
        <v>53</v>
      </c>
    </row>
    <row r="920" spans="2:42" x14ac:dyDescent="0.2">
      <c r="B920" t="s">
        <v>44</v>
      </c>
      <c r="C920" t="str">
        <f>HYPERLINK("https://us2.cloudbeds.com/connect/8493803454333002#/reservations/598351757519?display=E1A91MMV&amp;reservation_id=598351757519", "E1A91MMV")</f>
        <v>E1A91MMV</v>
      </c>
      <c r="D920" t="s">
        <v>45</v>
      </c>
      <c r="E920" t="s">
        <v>110</v>
      </c>
      <c r="F920" t="s">
        <v>47</v>
      </c>
      <c r="G920" t="s">
        <v>48</v>
      </c>
      <c r="H920" t="s">
        <v>71</v>
      </c>
      <c r="I920" t="s">
        <v>72</v>
      </c>
      <c r="J920" t="s">
        <v>755</v>
      </c>
      <c r="K920" t="s">
        <v>454</v>
      </c>
      <c r="L920" t="s">
        <v>53</v>
      </c>
      <c r="N920" t="s">
        <v>1756</v>
      </c>
      <c r="P920" t="s">
        <v>58</v>
      </c>
      <c r="R920" t="s">
        <v>56</v>
      </c>
      <c r="T920" t="s">
        <v>1744</v>
      </c>
      <c r="U920" t="s">
        <v>58</v>
      </c>
      <c r="V920">
        <v>1</v>
      </c>
      <c r="W920">
        <v>1</v>
      </c>
      <c r="X920">
        <v>1</v>
      </c>
      <c r="Y920">
        <v>0</v>
      </c>
      <c r="Z920">
        <v>1</v>
      </c>
      <c r="AA920">
        <v>0</v>
      </c>
      <c r="AB920">
        <v>71.599999999999994</v>
      </c>
      <c r="AC920">
        <v>63</v>
      </c>
      <c r="AD920">
        <v>0</v>
      </c>
      <c r="AE920">
        <v>8.61</v>
      </c>
      <c r="AF920">
        <v>0</v>
      </c>
      <c r="AG920">
        <v>0</v>
      </c>
      <c r="AH920">
        <v>0</v>
      </c>
      <c r="AI920">
        <v>0</v>
      </c>
      <c r="AJ920">
        <v>71.61</v>
      </c>
      <c r="AK920">
        <v>0.01</v>
      </c>
      <c r="AL920" t="s">
        <v>53</v>
      </c>
      <c r="AM920" t="s">
        <v>53</v>
      </c>
      <c r="AN920" t="s">
        <v>378</v>
      </c>
      <c r="AO920" t="s">
        <v>53</v>
      </c>
      <c r="AP920" t="s">
        <v>53</v>
      </c>
    </row>
    <row r="921" spans="2:42" x14ac:dyDescent="0.2">
      <c r="B921" t="s">
        <v>44</v>
      </c>
      <c r="C921" t="str">
        <f>HYPERLINK("https://us2.cloudbeds.com/connect/8493803454333002#/reservations/598456021143?display=E1CUVW7M&amp;reservation_id=598456021143", "E1CUVW7M")</f>
        <v>E1CUVW7M</v>
      </c>
      <c r="D921" t="s">
        <v>45</v>
      </c>
      <c r="E921" t="s">
        <v>121</v>
      </c>
      <c r="F921" t="s">
        <v>86</v>
      </c>
      <c r="G921" t="s">
        <v>48</v>
      </c>
      <c r="H921" t="s">
        <v>49</v>
      </c>
      <c r="I921" t="s">
        <v>50</v>
      </c>
      <c r="J921" t="s">
        <v>1757</v>
      </c>
      <c r="K921" t="s">
        <v>281</v>
      </c>
      <c r="L921" t="s">
        <v>53</v>
      </c>
      <c r="N921" t="s">
        <v>1758</v>
      </c>
      <c r="P921" t="s">
        <v>55</v>
      </c>
      <c r="R921" t="s">
        <v>56</v>
      </c>
      <c r="T921" t="s">
        <v>1744</v>
      </c>
      <c r="U921" t="s">
        <v>58</v>
      </c>
      <c r="V921">
        <v>1</v>
      </c>
      <c r="W921">
        <v>1</v>
      </c>
      <c r="X921">
        <v>1</v>
      </c>
      <c r="Y921">
        <v>0</v>
      </c>
      <c r="Z921">
        <v>1</v>
      </c>
      <c r="AA921">
        <v>0</v>
      </c>
      <c r="AB921">
        <v>78.760000000000005</v>
      </c>
      <c r="AC921">
        <v>69.3</v>
      </c>
      <c r="AD921">
        <v>0</v>
      </c>
      <c r="AE921">
        <v>9.4700000000000006</v>
      </c>
      <c r="AF921">
        <v>0</v>
      </c>
      <c r="AG921">
        <v>0</v>
      </c>
      <c r="AH921">
        <v>0</v>
      </c>
      <c r="AI921">
        <v>14.18</v>
      </c>
      <c r="AJ921">
        <v>78.77</v>
      </c>
      <c r="AK921">
        <v>0.01</v>
      </c>
      <c r="AL921" t="s">
        <v>53</v>
      </c>
      <c r="AM921" t="s">
        <v>53</v>
      </c>
      <c r="AN921" t="s">
        <v>413</v>
      </c>
      <c r="AO921" t="s">
        <v>53</v>
      </c>
      <c r="AP921" t="s">
        <v>53</v>
      </c>
    </row>
    <row r="922" spans="2:42" x14ac:dyDescent="0.2">
      <c r="B922" t="s">
        <v>44</v>
      </c>
      <c r="C922" t="str">
        <f>HYPERLINK("https://us2.cloudbeds.com/connect/8493803454333002#/reservations/598441685191?display=E1CXT1TU&amp;reservation_id=598441685191", "E1CXT1TU")</f>
        <v>E1CXT1TU</v>
      </c>
      <c r="D922" t="s">
        <v>45</v>
      </c>
      <c r="E922" t="s">
        <v>213</v>
      </c>
      <c r="F922" t="s">
        <v>86</v>
      </c>
      <c r="G922" t="s">
        <v>48</v>
      </c>
      <c r="H922" t="s">
        <v>71</v>
      </c>
      <c r="I922" t="s">
        <v>72</v>
      </c>
      <c r="J922" t="s">
        <v>755</v>
      </c>
      <c r="K922" t="s">
        <v>454</v>
      </c>
      <c r="L922" t="s">
        <v>53</v>
      </c>
      <c r="N922" t="s">
        <v>1759</v>
      </c>
      <c r="P922" t="s">
        <v>55</v>
      </c>
      <c r="R922" t="s">
        <v>56</v>
      </c>
      <c r="T922" t="s">
        <v>1744</v>
      </c>
      <c r="U922" t="s">
        <v>58</v>
      </c>
      <c r="V922">
        <v>1</v>
      </c>
      <c r="W922">
        <v>1</v>
      </c>
      <c r="X922">
        <v>1</v>
      </c>
      <c r="Y922">
        <v>0</v>
      </c>
      <c r="Z922">
        <v>1</v>
      </c>
      <c r="AA922">
        <v>0</v>
      </c>
      <c r="AB922">
        <v>96.6</v>
      </c>
      <c r="AC922">
        <v>85</v>
      </c>
      <c r="AD922">
        <v>0</v>
      </c>
      <c r="AE922">
        <v>11.61</v>
      </c>
      <c r="AF922">
        <v>0</v>
      </c>
      <c r="AG922">
        <v>0</v>
      </c>
      <c r="AH922">
        <v>0</v>
      </c>
      <c r="AI922">
        <v>0</v>
      </c>
      <c r="AJ922">
        <v>96.61</v>
      </c>
      <c r="AK922">
        <v>0.01</v>
      </c>
      <c r="AL922" t="s">
        <v>53</v>
      </c>
      <c r="AM922" t="s">
        <v>53</v>
      </c>
      <c r="AN922" t="s">
        <v>378</v>
      </c>
      <c r="AO922" t="s">
        <v>53</v>
      </c>
      <c r="AP922" t="s">
        <v>53</v>
      </c>
    </row>
    <row r="923" spans="2:42" x14ac:dyDescent="0.2">
      <c r="B923" t="s">
        <v>44</v>
      </c>
      <c r="C923" t="str">
        <f>HYPERLINK("https://us2.cloudbeds.com/connect/8493803454333002#/reservations/598577528979?display=E1G1E3MB&amp;reservation_id=598577528979", "E1G1E3MB")</f>
        <v>E1G1E3MB</v>
      </c>
      <c r="D923" t="s">
        <v>45</v>
      </c>
      <c r="E923" t="s">
        <v>110</v>
      </c>
      <c r="F923" t="s">
        <v>47</v>
      </c>
      <c r="G923" t="s">
        <v>48</v>
      </c>
      <c r="H923" t="s">
        <v>49</v>
      </c>
      <c r="I923" t="s">
        <v>62</v>
      </c>
      <c r="J923" t="s">
        <v>454</v>
      </c>
      <c r="K923" t="s">
        <v>455</v>
      </c>
      <c r="L923" t="s">
        <v>53</v>
      </c>
      <c r="N923" t="s">
        <v>1760</v>
      </c>
      <c r="P923" t="s">
        <v>55</v>
      </c>
      <c r="R923" t="s">
        <v>56</v>
      </c>
      <c r="T923" t="s">
        <v>1744</v>
      </c>
      <c r="U923" t="s">
        <v>58</v>
      </c>
      <c r="V923">
        <v>1</v>
      </c>
      <c r="W923">
        <v>1</v>
      </c>
      <c r="X923">
        <v>1</v>
      </c>
      <c r="Y923">
        <v>0</v>
      </c>
      <c r="Z923">
        <v>1</v>
      </c>
      <c r="AA923">
        <v>0</v>
      </c>
      <c r="AB923">
        <v>104.56</v>
      </c>
      <c r="AC923">
        <v>92</v>
      </c>
      <c r="AD923">
        <v>0</v>
      </c>
      <c r="AE923">
        <v>12.56</v>
      </c>
      <c r="AF923">
        <v>0</v>
      </c>
      <c r="AG923">
        <v>0</v>
      </c>
      <c r="AH923">
        <v>0</v>
      </c>
      <c r="AI923">
        <v>15.68</v>
      </c>
      <c r="AJ923">
        <v>104.56</v>
      </c>
      <c r="AK923">
        <v>0</v>
      </c>
      <c r="AL923" t="s">
        <v>53</v>
      </c>
      <c r="AM923" t="s">
        <v>53</v>
      </c>
      <c r="AN923" t="s">
        <v>84</v>
      </c>
      <c r="AO923" t="s">
        <v>53</v>
      </c>
      <c r="AP923" t="s">
        <v>53</v>
      </c>
    </row>
    <row r="924" spans="2:42" x14ac:dyDescent="0.2">
      <c r="B924" t="s">
        <v>44</v>
      </c>
      <c r="C924" t="str">
        <f>HYPERLINK("https://us2.cloudbeds.com/connect/8493803454333002#/reservations/598074286300?display=E1362Y66&amp;reservation_id=598074286300", "E1362Y66")</f>
        <v>E1362Y66</v>
      </c>
      <c r="D924" t="s">
        <v>45</v>
      </c>
      <c r="E924" t="s">
        <v>185</v>
      </c>
      <c r="F924" t="s">
        <v>47</v>
      </c>
      <c r="G924" t="s">
        <v>48</v>
      </c>
      <c r="H924" t="s">
        <v>49</v>
      </c>
      <c r="I924" t="s">
        <v>50</v>
      </c>
      <c r="J924" t="s">
        <v>167</v>
      </c>
      <c r="K924" t="s">
        <v>746</v>
      </c>
      <c r="L924" t="s">
        <v>53</v>
      </c>
      <c r="N924" t="s">
        <v>1761</v>
      </c>
      <c r="P924" t="s">
        <v>55</v>
      </c>
      <c r="R924" t="s">
        <v>56</v>
      </c>
      <c r="T924" t="s">
        <v>1744</v>
      </c>
      <c r="U924" t="s">
        <v>58</v>
      </c>
      <c r="V924">
        <v>2</v>
      </c>
      <c r="W924">
        <v>1</v>
      </c>
      <c r="X924">
        <v>1</v>
      </c>
      <c r="Y924">
        <v>0</v>
      </c>
      <c r="Z924">
        <v>1</v>
      </c>
      <c r="AA924">
        <v>0</v>
      </c>
      <c r="AB924">
        <v>175.02</v>
      </c>
      <c r="AC924">
        <v>154</v>
      </c>
      <c r="AD924">
        <v>0</v>
      </c>
      <c r="AE924">
        <v>21.02</v>
      </c>
      <c r="AF924">
        <v>0</v>
      </c>
      <c r="AG924">
        <v>0</v>
      </c>
      <c r="AH924">
        <v>0</v>
      </c>
      <c r="AI924">
        <v>31.5</v>
      </c>
      <c r="AJ924">
        <v>175.02</v>
      </c>
      <c r="AK924">
        <v>0</v>
      </c>
      <c r="AL924" t="s">
        <v>53</v>
      </c>
      <c r="AM924" t="s">
        <v>53</v>
      </c>
      <c r="AN924" t="s">
        <v>97</v>
      </c>
      <c r="AO924" t="s">
        <v>53</v>
      </c>
      <c r="AP924" t="s">
        <v>53</v>
      </c>
    </row>
    <row r="925" spans="2:42" x14ac:dyDescent="0.2">
      <c r="B925" t="s">
        <v>44</v>
      </c>
      <c r="C925" t="str">
        <f>HYPERLINK("https://us2.cloudbeds.com/connect/8493803454333002#/reservations/598546354344?display=E1F84KRE&amp;reservation_id=598546354344", "E1F84KRE")</f>
        <v>E1F84KRE</v>
      </c>
      <c r="D925" t="s">
        <v>45</v>
      </c>
      <c r="E925" t="s">
        <v>381</v>
      </c>
      <c r="F925" t="s">
        <v>47</v>
      </c>
      <c r="G925" t="s">
        <v>48</v>
      </c>
      <c r="H925" t="s">
        <v>71</v>
      </c>
      <c r="I925" t="s">
        <v>72</v>
      </c>
      <c r="J925" t="s">
        <v>454</v>
      </c>
      <c r="K925" t="s">
        <v>560</v>
      </c>
      <c r="L925" t="s">
        <v>53</v>
      </c>
      <c r="N925" t="s">
        <v>1762</v>
      </c>
      <c r="P925" t="s">
        <v>55</v>
      </c>
      <c r="R925" t="s">
        <v>56</v>
      </c>
      <c r="T925" t="s">
        <v>1744</v>
      </c>
      <c r="U925" t="s">
        <v>58</v>
      </c>
      <c r="V925">
        <v>2</v>
      </c>
      <c r="W925">
        <v>1</v>
      </c>
      <c r="X925">
        <v>1</v>
      </c>
      <c r="Y925">
        <v>0</v>
      </c>
      <c r="Z925">
        <v>1</v>
      </c>
      <c r="AA925">
        <v>0</v>
      </c>
      <c r="AB925">
        <v>197.75</v>
      </c>
      <c r="AC925">
        <v>174</v>
      </c>
      <c r="AD925">
        <v>0</v>
      </c>
      <c r="AE925">
        <v>23.76</v>
      </c>
      <c r="AF925">
        <v>0</v>
      </c>
      <c r="AG925">
        <v>0</v>
      </c>
      <c r="AH925">
        <v>0</v>
      </c>
      <c r="AI925">
        <v>0</v>
      </c>
      <c r="AJ925">
        <v>197.76</v>
      </c>
      <c r="AK925">
        <v>0.01</v>
      </c>
      <c r="AL925" t="s">
        <v>53</v>
      </c>
      <c r="AM925" t="s">
        <v>53</v>
      </c>
      <c r="AN925" t="s">
        <v>1763</v>
      </c>
      <c r="AO925" t="s">
        <v>53</v>
      </c>
      <c r="AP925" t="s">
        <v>53</v>
      </c>
    </row>
    <row r="926" spans="2:42" x14ac:dyDescent="0.2">
      <c r="B926" t="s">
        <v>44</v>
      </c>
      <c r="C926" t="str">
        <f>HYPERLINK("https://us2.cloudbeds.com/connect/8493803454333002#/reservations/579286847616?display=DJX29FPU&amp;reservation_id=579286847616", "DJX29FPU")</f>
        <v>DJX29FPU</v>
      </c>
      <c r="D926" t="s">
        <v>45</v>
      </c>
      <c r="E926" t="s">
        <v>179</v>
      </c>
      <c r="F926" t="s">
        <v>47</v>
      </c>
      <c r="G926" t="s">
        <v>48</v>
      </c>
      <c r="H926" t="s">
        <v>49</v>
      </c>
      <c r="I926" t="s">
        <v>50</v>
      </c>
      <c r="J926" t="s">
        <v>1141</v>
      </c>
      <c r="K926" t="s">
        <v>1450</v>
      </c>
      <c r="L926" t="s">
        <v>53</v>
      </c>
      <c r="N926" t="s">
        <v>1764</v>
      </c>
      <c r="P926" t="s">
        <v>55</v>
      </c>
      <c r="R926" t="s">
        <v>56</v>
      </c>
      <c r="T926" t="s">
        <v>1765</v>
      </c>
      <c r="U926" t="s">
        <v>58</v>
      </c>
      <c r="V926">
        <v>1</v>
      </c>
      <c r="W926">
        <v>1</v>
      </c>
      <c r="X926">
        <v>1</v>
      </c>
      <c r="Y926">
        <v>0</v>
      </c>
      <c r="Z926">
        <v>1</v>
      </c>
      <c r="AA926">
        <v>0</v>
      </c>
      <c r="AB926">
        <v>153.44</v>
      </c>
      <c r="AC926">
        <v>135</v>
      </c>
      <c r="AD926">
        <v>0</v>
      </c>
      <c r="AE926">
        <v>18.440000000000001</v>
      </c>
      <c r="AF926">
        <v>0</v>
      </c>
      <c r="AG926">
        <v>0</v>
      </c>
      <c r="AH926">
        <v>0</v>
      </c>
      <c r="AI926">
        <v>27.62</v>
      </c>
      <c r="AJ926">
        <v>153.44</v>
      </c>
      <c r="AK926">
        <v>0</v>
      </c>
      <c r="AL926" t="s">
        <v>53</v>
      </c>
      <c r="AM926" t="s">
        <v>53</v>
      </c>
      <c r="AN926" t="s">
        <v>97</v>
      </c>
      <c r="AO926" t="s">
        <v>53</v>
      </c>
      <c r="AP926" t="s">
        <v>53</v>
      </c>
    </row>
    <row r="927" spans="2:42" x14ac:dyDescent="0.2">
      <c r="B927" t="s">
        <v>44</v>
      </c>
      <c r="C927" t="str">
        <f>HYPERLINK("https://us2.cloudbeds.com/connect/8493803454333002#/reservations/579282796770?display=DJX0JZJH&amp;reservation_id=579282796770", "DJX0JZJH")</f>
        <v>DJX0JZJH</v>
      </c>
      <c r="D927" t="s">
        <v>45</v>
      </c>
      <c r="E927" t="s">
        <v>46</v>
      </c>
      <c r="F927" t="s">
        <v>47</v>
      </c>
      <c r="G927" t="s">
        <v>48</v>
      </c>
      <c r="H927" t="s">
        <v>49</v>
      </c>
      <c r="I927" t="s">
        <v>50</v>
      </c>
      <c r="J927" t="s">
        <v>1141</v>
      </c>
      <c r="K927" t="s">
        <v>1450</v>
      </c>
      <c r="L927" t="s">
        <v>53</v>
      </c>
      <c r="N927" t="s">
        <v>1766</v>
      </c>
      <c r="P927" t="s">
        <v>55</v>
      </c>
      <c r="R927" t="s">
        <v>56</v>
      </c>
      <c r="T927" t="s">
        <v>1765</v>
      </c>
      <c r="U927" t="s">
        <v>58</v>
      </c>
      <c r="V927">
        <v>1</v>
      </c>
      <c r="W927">
        <v>1</v>
      </c>
      <c r="X927">
        <v>1</v>
      </c>
      <c r="Y927">
        <v>0</v>
      </c>
      <c r="Z927">
        <v>1</v>
      </c>
      <c r="AA927">
        <v>0</v>
      </c>
      <c r="AB927">
        <v>153.44</v>
      </c>
      <c r="AC927">
        <v>135</v>
      </c>
      <c r="AD927">
        <v>0</v>
      </c>
      <c r="AE927">
        <v>18.440000000000001</v>
      </c>
      <c r="AF927">
        <v>0</v>
      </c>
      <c r="AG927">
        <v>0</v>
      </c>
      <c r="AH927">
        <v>0</v>
      </c>
      <c r="AI927">
        <v>27.62</v>
      </c>
      <c r="AJ927">
        <v>153.44</v>
      </c>
      <c r="AK927">
        <v>0</v>
      </c>
      <c r="AL927" t="s">
        <v>53</v>
      </c>
      <c r="AM927" t="s">
        <v>53</v>
      </c>
      <c r="AN927" t="s">
        <v>349</v>
      </c>
      <c r="AO927" t="s">
        <v>53</v>
      </c>
      <c r="AP927" t="s">
        <v>53</v>
      </c>
    </row>
    <row r="928" spans="2:42" x14ac:dyDescent="0.2">
      <c r="B928" t="s">
        <v>44</v>
      </c>
      <c r="C928" t="str">
        <f>HYPERLINK("https://us2.cloudbeds.com/connect/8493803454333002#/reservations/579362775249?display=DJK218NQ&amp;reservation_id=579362775249", "DJK218NQ")</f>
        <v>DJK218NQ</v>
      </c>
      <c r="D928" t="s">
        <v>45</v>
      </c>
      <c r="E928" t="s">
        <v>305</v>
      </c>
      <c r="F928" t="s">
        <v>61</v>
      </c>
      <c r="G928" t="s">
        <v>48</v>
      </c>
      <c r="H928" t="s">
        <v>49</v>
      </c>
      <c r="I928" t="s">
        <v>62</v>
      </c>
      <c r="J928" t="s">
        <v>1767</v>
      </c>
      <c r="K928" t="s">
        <v>1478</v>
      </c>
      <c r="L928" t="s">
        <v>53</v>
      </c>
      <c r="N928" t="s">
        <v>1768</v>
      </c>
      <c r="P928" t="s">
        <v>55</v>
      </c>
      <c r="R928" t="s">
        <v>56</v>
      </c>
      <c r="T928" t="s">
        <v>1765</v>
      </c>
      <c r="U928" t="s">
        <v>58</v>
      </c>
      <c r="V928">
        <v>4</v>
      </c>
      <c r="W928">
        <v>1</v>
      </c>
      <c r="X928">
        <v>1</v>
      </c>
      <c r="Y928">
        <v>0</v>
      </c>
      <c r="Z928">
        <v>1</v>
      </c>
      <c r="AA928">
        <v>702.36</v>
      </c>
      <c r="AB928">
        <v>1404.72</v>
      </c>
      <c r="AC928">
        <v>1236</v>
      </c>
      <c r="AD928">
        <v>0</v>
      </c>
      <c r="AE928">
        <v>168.72</v>
      </c>
      <c r="AF928">
        <v>0</v>
      </c>
      <c r="AG928">
        <v>0</v>
      </c>
      <c r="AH928">
        <v>0</v>
      </c>
      <c r="AI928">
        <v>252.85</v>
      </c>
      <c r="AJ928">
        <v>1404.72</v>
      </c>
      <c r="AK928">
        <v>0</v>
      </c>
      <c r="AL928" t="s">
        <v>53</v>
      </c>
      <c r="AM928" t="s">
        <v>53</v>
      </c>
      <c r="AN928" t="s">
        <v>132</v>
      </c>
      <c r="AO928" t="s">
        <v>53</v>
      </c>
      <c r="AP928" t="s">
        <v>53</v>
      </c>
    </row>
    <row r="929" spans="2:42" x14ac:dyDescent="0.2">
      <c r="B929" t="s">
        <v>44</v>
      </c>
      <c r="C929" t="str">
        <f>HYPERLINK("https://us2.cloudbeds.com/connect/8493803454333002#/reservations/579284795569?display=DJX29C16&amp;reservation_id=579284795569", "DJX29C16")</f>
        <v>DJX29C16</v>
      </c>
      <c r="D929" t="s">
        <v>45</v>
      </c>
      <c r="E929" t="s">
        <v>223</v>
      </c>
      <c r="F929" t="s">
        <v>47</v>
      </c>
      <c r="G929" t="s">
        <v>48</v>
      </c>
      <c r="H929" t="s">
        <v>49</v>
      </c>
      <c r="I929" t="s">
        <v>50</v>
      </c>
      <c r="J929" t="s">
        <v>1141</v>
      </c>
      <c r="K929" t="s">
        <v>1450</v>
      </c>
      <c r="L929" t="s">
        <v>53</v>
      </c>
      <c r="N929" t="s">
        <v>1769</v>
      </c>
      <c r="P929" t="s">
        <v>55</v>
      </c>
      <c r="R929" t="s">
        <v>56</v>
      </c>
      <c r="T929" t="s">
        <v>1765</v>
      </c>
      <c r="U929" t="s">
        <v>58</v>
      </c>
      <c r="V929">
        <v>1</v>
      </c>
      <c r="W929">
        <v>1</v>
      </c>
      <c r="X929">
        <v>1</v>
      </c>
      <c r="Y929">
        <v>0</v>
      </c>
      <c r="Z929">
        <v>1</v>
      </c>
      <c r="AA929">
        <v>0</v>
      </c>
      <c r="AB929">
        <v>153.44</v>
      </c>
      <c r="AC929">
        <v>135</v>
      </c>
      <c r="AD929">
        <v>0</v>
      </c>
      <c r="AE929">
        <v>18.440000000000001</v>
      </c>
      <c r="AF929">
        <v>0</v>
      </c>
      <c r="AG929">
        <v>0</v>
      </c>
      <c r="AH929">
        <v>0</v>
      </c>
      <c r="AI929">
        <v>27.62</v>
      </c>
      <c r="AJ929">
        <v>153.44</v>
      </c>
      <c r="AK929">
        <v>0</v>
      </c>
      <c r="AL929" t="s">
        <v>53</v>
      </c>
      <c r="AM929" t="s">
        <v>53</v>
      </c>
      <c r="AN929" t="s">
        <v>137</v>
      </c>
      <c r="AO929" t="s">
        <v>53</v>
      </c>
      <c r="AP929" t="s">
        <v>53</v>
      </c>
    </row>
    <row r="930" spans="2:42" x14ac:dyDescent="0.2">
      <c r="B930" t="s">
        <v>44</v>
      </c>
      <c r="C930" t="str">
        <f>HYPERLINK("https://us2.cloudbeds.com/connect/8493803454333002#/reservations/598437245149?display=E1CF4GZ6&amp;reservation_id=598437245149", "E1CF4GZ6")</f>
        <v>E1CF4GZ6</v>
      </c>
      <c r="D930" t="s">
        <v>45</v>
      </c>
      <c r="E930" t="s">
        <v>92</v>
      </c>
      <c r="F930" t="s">
        <v>86</v>
      </c>
      <c r="G930" t="s">
        <v>48</v>
      </c>
      <c r="H930" t="s">
        <v>49</v>
      </c>
      <c r="I930" t="s">
        <v>79</v>
      </c>
      <c r="J930" t="s">
        <v>568</v>
      </c>
      <c r="K930" t="s">
        <v>181</v>
      </c>
      <c r="L930" t="s">
        <v>53</v>
      </c>
      <c r="N930" t="s">
        <v>1770</v>
      </c>
      <c r="P930" t="s">
        <v>55</v>
      </c>
      <c r="R930" t="s">
        <v>56</v>
      </c>
      <c r="T930" t="s">
        <v>1765</v>
      </c>
      <c r="U930" t="s">
        <v>58</v>
      </c>
      <c r="V930">
        <v>2</v>
      </c>
      <c r="W930">
        <v>1</v>
      </c>
      <c r="X930">
        <v>1</v>
      </c>
      <c r="Y930">
        <v>0</v>
      </c>
      <c r="Z930">
        <v>1</v>
      </c>
      <c r="AA930">
        <v>0</v>
      </c>
      <c r="AB930">
        <v>306.86</v>
      </c>
      <c r="AC930">
        <v>270</v>
      </c>
      <c r="AD930">
        <v>0</v>
      </c>
      <c r="AE930">
        <v>36.880000000000003</v>
      </c>
      <c r="AF930">
        <v>0</v>
      </c>
      <c r="AG930">
        <v>0</v>
      </c>
      <c r="AH930">
        <v>0</v>
      </c>
      <c r="AI930">
        <v>0</v>
      </c>
      <c r="AJ930">
        <v>306.88</v>
      </c>
      <c r="AK930">
        <v>0.02</v>
      </c>
      <c r="AL930" t="s">
        <v>53</v>
      </c>
      <c r="AM930" t="s">
        <v>53</v>
      </c>
      <c r="AN930" t="s">
        <v>413</v>
      </c>
      <c r="AO930" t="s">
        <v>53</v>
      </c>
      <c r="AP930" t="s">
        <v>53</v>
      </c>
    </row>
    <row r="931" spans="2:42" x14ac:dyDescent="0.2">
      <c r="B931" t="s">
        <v>44</v>
      </c>
      <c r="C931" t="str">
        <f>HYPERLINK("https://us2.cloudbeds.com/connect/8493803454333002#/reservations/579277627552?display=DJHT7TRX&amp;reservation_id=579277627552", "DJHT7TRX")</f>
        <v>DJHT7TRX</v>
      </c>
      <c r="D931" t="s">
        <v>45</v>
      </c>
      <c r="E931" t="s">
        <v>381</v>
      </c>
      <c r="F931" t="s">
        <v>47</v>
      </c>
      <c r="G931" t="s">
        <v>48</v>
      </c>
      <c r="H931" t="s">
        <v>49</v>
      </c>
      <c r="I931" t="s">
        <v>50</v>
      </c>
      <c r="J931" t="s">
        <v>1141</v>
      </c>
      <c r="K931" t="s">
        <v>1450</v>
      </c>
      <c r="L931" t="s">
        <v>53</v>
      </c>
      <c r="N931" t="s">
        <v>1771</v>
      </c>
      <c r="P931" t="s">
        <v>55</v>
      </c>
      <c r="R931" t="s">
        <v>56</v>
      </c>
      <c r="T931" t="s">
        <v>1765</v>
      </c>
      <c r="U931" t="s">
        <v>58</v>
      </c>
      <c r="V931">
        <v>1</v>
      </c>
      <c r="W931">
        <v>1</v>
      </c>
      <c r="X931">
        <v>1</v>
      </c>
      <c r="Y931">
        <v>0</v>
      </c>
      <c r="Z931">
        <v>1</v>
      </c>
      <c r="AA931">
        <v>0</v>
      </c>
      <c r="AB931">
        <v>153.44</v>
      </c>
      <c r="AC931">
        <v>135</v>
      </c>
      <c r="AD931">
        <v>0</v>
      </c>
      <c r="AE931">
        <v>18.440000000000001</v>
      </c>
      <c r="AF931">
        <v>0</v>
      </c>
      <c r="AG931">
        <v>0</v>
      </c>
      <c r="AH931">
        <v>0</v>
      </c>
      <c r="AI931">
        <v>27.62</v>
      </c>
      <c r="AJ931">
        <v>153.44</v>
      </c>
      <c r="AK931">
        <v>0</v>
      </c>
      <c r="AL931" t="s">
        <v>53</v>
      </c>
      <c r="AM931" t="s">
        <v>53</v>
      </c>
      <c r="AN931" t="s">
        <v>178</v>
      </c>
      <c r="AO931" t="s">
        <v>53</v>
      </c>
      <c r="AP931" t="s">
        <v>53</v>
      </c>
    </row>
    <row r="932" spans="2:42" x14ac:dyDescent="0.2">
      <c r="B932" t="s">
        <v>44</v>
      </c>
      <c r="C932" t="str">
        <f>HYPERLINK("https://us2.cloudbeds.com/connect/8493803454333002#/reservations/598408577161?display=E1BNVPM9&amp;reservation_id=598408577161", "E1BNVPM9")</f>
        <v>E1BNVPM9</v>
      </c>
      <c r="D932" t="s">
        <v>45</v>
      </c>
      <c r="E932" t="s">
        <v>98</v>
      </c>
      <c r="F932" t="s">
        <v>86</v>
      </c>
      <c r="G932" t="s">
        <v>48</v>
      </c>
      <c r="H932" t="s">
        <v>49</v>
      </c>
      <c r="I932" t="s">
        <v>50</v>
      </c>
      <c r="J932" t="s">
        <v>475</v>
      </c>
      <c r="K932" t="s">
        <v>762</v>
      </c>
      <c r="L932" t="s">
        <v>53</v>
      </c>
      <c r="N932" t="s">
        <v>1772</v>
      </c>
      <c r="P932" t="s">
        <v>55</v>
      </c>
      <c r="R932" t="s">
        <v>56</v>
      </c>
      <c r="T932" t="s">
        <v>1765</v>
      </c>
      <c r="U932" t="s">
        <v>58</v>
      </c>
      <c r="V932">
        <v>1</v>
      </c>
      <c r="W932">
        <v>1</v>
      </c>
      <c r="X932">
        <v>1</v>
      </c>
      <c r="Y932">
        <v>0</v>
      </c>
      <c r="Z932">
        <v>1</v>
      </c>
      <c r="AA932">
        <v>0</v>
      </c>
      <c r="AB932">
        <v>167.75</v>
      </c>
      <c r="AC932">
        <v>147.6</v>
      </c>
      <c r="AD932">
        <v>0</v>
      </c>
      <c r="AE932">
        <v>20.149999999999999</v>
      </c>
      <c r="AF932">
        <v>0</v>
      </c>
      <c r="AG932">
        <v>0</v>
      </c>
      <c r="AH932">
        <v>0</v>
      </c>
      <c r="AI932">
        <v>30.2</v>
      </c>
      <c r="AJ932">
        <v>167.75</v>
      </c>
      <c r="AK932">
        <v>0</v>
      </c>
      <c r="AL932" t="s">
        <v>53</v>
      </c>
      <c r="AM932" t="s">
        <v>53</v>
      </c>
      <c r="AN932" t="s">
        <v>97</v>
      </c>
      <c r="AO932" t="s">
        <v>53</v>
      </c>
      <c r="AP932" t="s">
        <v>53</v>
      </c>
    </row>
    <row r="933" spans="2:42" x14ac:dyDescent="0.2">
      <c r="B933" t="s">
        <v>44</v>
      </c>
      <c r="C933" t="str">
        <f>HYPERLINK("https://us2.cloudbeds.com/connect/8493803454333002#/reservations/598582149310?display=E1G5AMDC&amp;reservation_id=598582149310", "E1G5AMDC")</f>
        <v>E1G5AMDC</v>
      </c>
      <c r="D933" t="s">
        <v>45</v>
      </c>
      <c r="E933" t="s">
        <v>381</v>
      </c>
      <c r="F933" t="s">
        <v>47</v>
      </c>
      <c r="G933" t="s">
        <v>48</v>
      </c>
      <c r="H933" t="s">
        <v>49</v>
      </c>
      <c r="I933" t="s">
        <v>266</v>
      </c>
      <c r="J933" t="s">
        <v>354</v>
      </c>
      <c r="K933" t="s">
        <v>938</v>
      </c>
      <c r="L933" t="s">
        <v>53</v>
      </c>
      <c r="N933" t="s">
        <v>1773</v>
      </c>
      <c r="P933" t="s">
        <v>55</v>
      </c>
      <c r="R933" t="s">
        <v>56</v>
      </c>
      <c r="T933" t="s">
        <v>1765</v>
      </c>
      <c r="U933" t="s">
        <v>58</v>
      </c>
      <c r="V933">
        <v>1</v>
      </c>
      <c r="W933">
        <v>1</v>
      </c>
      <c r="X933">
        <v>1</v>
      </c>
      <c r="Y933">
        <v>0</v>
      </c>
      <c r="Z933">
        <v>1</v>
      </c>
      <c r="AA933">
        <v>0</v>
      </c>
      <c r="AB933">
        <v>107.4</v>
      </c>
      <c r="AC933">
        <v>94.5</v>
      </c>
      <c r="AD933">
        <v>0</v>
      </c>
      <c r="AE933">
        <v>12.9</v>
      </c>
      <c r="AF933">
        <v>0</v>
      </c>
      <c r="AG933">
        <v>0</v>
      </c>
      <c r="AH933">
        <v>0</v>
      </c>
      <c r="AI933">
        <v>0</v>
      </c>
      <c r="AJ933">
        <v>107.4</v>
      </c>
      <c r="AK933">
        <v>0</v>
      </c>
      <c r="AL933" t="s">
        <v>53</v>
      </c>
      <c r="AM933" t="s">
        <v>53</v>
      </c>
      <c r="AN933" t="s">
        <v>146</v>
      </c>
      <c r="AO933" t="s">
        <v>53</v>
      </c>
      <c r="AP933" t="s">
        <v>53</v>
      </c>
    </row>
    <row r="934" spans="2:42" x14ac:dyDescent="0.2">
      <c r="B934" t="s">
        <v>44</v>
      </c>
      <c r="C934" t="str">
        <f>HYPERLINK("https://us2.cloudbeds.com/connect/8493803454333002#/reservations/598371090612?display=E1APBYP7&amp;reservation_id=598371090612", "E1APBYP7")</f>
        <v>E1APBYP7</v>
      </c>
      <c r="D934" t="s">
        <v>45</v>
      </c>
      <c r="E934" t="s">
        <v>85</v>
      </c>
      <c r="F934" t="s">
        <v>86</v>
      </c>
      <c r="G934" t="s">
        <v>48</v>
      </c>
      <c r="H934" t="s">
        <v>71</v>
      </c>
      <c r="I934" t="s">
        <v>72</v>
      </c>
      <c r="J934" t="s">
        <v>88</v>
      </c>
      <c r="K934" t="s">
        <v>568</v>
      </c>
      <c r="L934" t="s">
        <v>53</v>
      </c>
      <c r="N934" t="s">
        <v>1774</v>
      </c>
      <c r="P934" t="s">
        <v>55</v>
      </c>
      <c r="R934" t="s">
        <v>56</v>
      </c>
      <c r="T934" t="s">
        <v>1765</v>
      </c>
      <c r="U934" t="s">
        <v>58</v>
      </c>
      <c r="V934">
        <v>5</v>
      </c>
      <c r="W934">
        <v>1</v>
      </c>
      <c r="X934">
        <v>1</v>
      </c>
      <c r="Y934">
        <v>0</v>
      </c>
      <c r="Z934">
        <v>1</v>
      </c>
      <c r="AA934">
        <v>0</v>
      </c>
      <c r="AB934">
        <v>843.28</v>
      </c>
      <c r="AC934">
        <v>742</v>
      </c>
      <c r="AD934">
        <v>0</v>
      </c>
      <c r="AE934">
        <v>101.25</v>
      </c>
      <c r="AF934">
        <v>0</v>
      </c>
      <c r="AG934">
        <v>0</v>
      </c>
      <c r="AH934">
        <v>0</v>
      </c>
      <c r="AI934">
        <v>0</v>
      </c>
      <c r="AJ934">
        <v>843.25</v>
      </c>
      <c r="AK934">
        <v>-0.03</v>
      </c>
      <c r="AL934" t="s">
        <v>53</v>
      </c>
      <c r="AM934" t="s">
        <v>53</v>
      </c>
      <c r="AN934" t="s">
        <v>1775</v>
      </c>
      <c r="AO934" t="s">
        <v>53</v>
      </c>
      <c r="AP934" t="s">
        <v>53</v>
      </c>
    </row>
    <row r="935" spans="2:42" x14ac:dyDescent="0.2">
      <c r="B935" t="s">
        <v>44</v>
      </c>
      <c r="C935" t="str">
        <f>HYPERLINK("https://us2.cloudbeds.com/connect/8493803454333002#/reservations/579243245706?display=DJH085TE&amp;reservation_id=579243245706", "DJH085TE")</f>
        <v>DJH085TE</v>
      </c>
      <c r="D935" t="s">
        <v>45</v>
      </c>
      <c r="E935" t="s">
        <v>92</v>
      </c>
      <c r="F935" t="s">
        <v>86</v>
      </c>
      <c r="G935" t="s">
        <v>48</v>
      </c>
      <c r="H935" t="s">
        <v>49</v>
      </c>
      <c r="I935" t="s">
        <v>62</v>
      </c>
      <c r="J935" t="s">
        <v>1767</v>
      </c>
      <c r="K935" t="s">
        <v>1478</v>
      </c>
      <c r="L935" t="s">
        <v>53</v>
      </c>
      <c r="N935" t="s">
        <v>1776</v>
      </c>
      <c r="P935" t="s">
        <v>55</v>
      </c>
      <c r="R935" t="s">
        <v>56</v>
      </c>
      <c r="T935" t="s">
        <v>1765</v>
      </c>
      <c r="U935" t="s">
        <v>58</v>
      </c>
      <c r="V935">
        <v>4</v>
      </c>
      <c r="W935">
        <v>1</v>
      </c>
      <c r="X935">
        <v>1</v>
      </c>
      <c r="Y935">
        <v>0</v>
      </c>
      <c r="Z935">
        <v>1</v>
      </c>
      <c r="AA935">
        <v>0</v>
      </c>
      <c r="AB935">
        <v>741.04</v>
      </c>
      <c r="AC935">
        <v>652</v>
      </c>
      <c r="AD935">
        <v>0</v>
      </c>
      <c r="AE935">
        <v>89.04</v>
      </c>
      <c r="AF935">
        <v>0</v>
      </c>
      <c r="AG935">
        <v>0</v>
      </c>
      <c r="AH935">
        <v>0</v>
      </c>
      <c r="AI935">
        <v>111.16</v>
      </c>
      <c r="AJ935">
        <v>741.04</v>
      </c>
      <c r="AK935">
        <v>0</v>
      </c>
      <c r="AL935" t="s">
        <v>53</v>
      </c>
      <c r="AM935" t="s">
        <v>53</v>
      </c>
      <c r="AN935" t="s">
        <v>84</v>
      </c>
      <c r="AO935" t="s">
        <v>53</v>
      </c>
      <c r="AP935" t="s">
        <v>53</v>
      </c>
    </row>
    <row r="936" spans="2:42" x14ac:dyDescent="0.2">
      <c r="B936" t="s">
        <v>44</v>
      </c>
      <c r="C936" t="str">
        <f>HYPERLINK("https://us2.cloudbeds.com/connect/8493803454333002#/reservations/579282792687?display=DJX0JKRQ&amp;reservation_id=579282792687", "DJX0JKRQ")</f>
        <v>DJX0JKRQ</v>
      </c>
      <c r="D936" t="s">
        <v>45</v>
      </c>
      <c r="E936" t="s">
        <v>373</v>
      </c>
      <c r="F936" t="s">
        <v>47</v>
      </c>
      <c r="G936" t="s">
        <v>48</v>
      </c>
      <c r="H936" t="s">
        <v>49</v>
      </c>
      <c r="I936" t="s">
        <v>50</v>
      </c>
      <c r="J936" t="s">
        <v>1141</v>
      </c>
      <c r="K936" t="s">
        <v>1450</v>
      </c>
      <c r="L936" t="s">
        <v>53</v>
      </c>
      <c r="N936" t="s">
        <v>1777</v>
      </c>
      <c r="P936" t="s">
        <v>55</v>
      </c>
      <c r="R936" t="s">
        <v>56</v>
      </c>
      <c r="T936" t="s">
        <v>1765</v>
      </c>
      <c r="U936" t="s">
        <v>58</v>
      </c>
      <c r="V936">
        <v>1</v>
      </c>
      <c r="W936">
        <v>1</v>
      </c>
      <c r="X936">
        <v>1</v>
      </c>
      <c r="Y936">
        <v>0</v>
      </c>
      <c r="Z936">
        <v>1</v>
      </c>
      <c r="AA936">
        <v>0</v>
      </c>
      <c r="AB936">
        <v>153.44</v>
      </c>
      <c r="AC936">
        <v>135</v>
      </c>
      <c r="AD936">
        <v>0</v>
      </c>
      <c r="AE936">
        <v>18.440000000000001</v>
      </c>
      <c r="AF936">
        <v>0</v>
      </c>
      <c r="AG936">
        <v>0</v>
      </c>
      <c r="AH936">
        <v>0</v>
      </c>
      <c r="AI936">
        <v>27.62</v>
      </c>
      <c r="AJ936">
        <v>153.44</v>
      </c>
      <c r="AK936">
        <v>0</v>
      </c>
      <c r="AL936" t="s">
        <v>53</v>
      </c>
      <c r="AM936" t="s">
        <v>53</v>
      </c>
      <c r="AN936" t="s">
        <v>146</v>
      </c>
      <c r="AO936" t="s">
        <v>53</v>
      </c>
      <c r="AP936" t="s">
        <v>53</v>
      </c>
    </row>
    <row r="937" spans="2:42" x14ac:dyDescent="0.2">
      <c r="B937" t="s">
        <v>44</v>
      </c>
      <c r="C937" t="str">
        <f>HYPERLINK("https://us2.cloudbeds.com/connect/8493803454333002#/reservations/579407196328?display=DJY6GBE3&amp;reservation_id=579407196328", "DJY6GBE3")</f>
        <v>DJY6GBE3</v>
      </c>
      <c r="D937" t="s">
        <v>45</v>
      </c>
      <c r="E937" t="s">
        <v>78</v>
      </c>
      <c r="F937" t="s">
        <v>61</v>
      </c>
      <c r="G937" t="s">
        <v>48</v>
      </c>
      <c r="H937" t="s">
        <v>49</v>
      </c>
      <c r="I937" t="s">
        <v>79</v>
      </c>
      <c r="J937" t="s">
        <v>1778</v>
      </c>
      <c r="K937" t="s">
        <v>1779</v>
      </c>
      <c r="L937" t="s">
        <v>53</v>
      </c>
      <c r="N937" t="s">
        <v>1780</v>
      </c>
      <c r="P937" t="s">
        <v>55</v>
      </c>
      <c r="R937" t="s">
        <v>56</v>
      </c>
      <c r="T937" t="s">
        <v>1781</v>
      </c>
      <c r="U937" t="s">
        <v>58</v>
      </c>
      <c r="V937">
        <v>2</v>
      </c>
      <c r="W937">
        <v>1</v>
      </c>
      <c r="X937">
        <v>1</v>
      </c>
      <c r="Y937">
        <v>0</v>
      </c>
      <c r="Z937">
        <v>1</v>
      </c>
      <c r="AA937">
        <v>0</v>
      </c>
      <c r="AB937">
        <v>249.56</v>
      </c>
      <c r="AC937">
        <v>219.6</v>
      </c>
      <c r="AD937">
        <v>0</v>
      </c>
      <c r="AE937">
        <v>29.96</v>
      </c>
      <c r="AF937">
        <v>0</v>
      </c>
      <c r="AG937">
        <v>0</v>
      </c>
      <c r="AH937">
        <v>0</v>
      </c>
      <c r="AI937">
        <v>0</v>
      </c>
      <c r="AJ937">
        <v>249.56</v>
      </c>
      <c r="AK937">
        <v>0</v>
      </c>
      <c r="AL937" t="s">
        <v>53</v>
      </c>
      <c r="AM937" t="s">
        <v>53</v>
      </c>
      <c r="AN937" t="s">
        <v>178</v>
      </c>
      <c r="AO937" t="s">
        <v>53</v>
      </c>
      <c r="AP937" t="s">
        <v>53</v>
      </c>
    </row>
    <row r="938" spans="2:42" x14ac:dyDescent="0.2">
      <c r="B938" t="s">
        <v>44</v>
      </c>
      <c r="C938" t="str">
        <f>HYPERLINK("https://us2.cloudbeds.com/connect/8493803454333002#/reservations/597925281935?display=E0WCECDD&amp;reservation_id=597925281935", "E0WCECDD")</f>
        <v>E0WCECDD</v>
      </c>
      <c r="D938" t="s">
        <v>45</v>
      </c>
      <c r="E938" t="s">
        <v>185</v>
      </c>
      <c r="F938" t="s">
        <v>47</v>
      </c>
      <c r="G938" t="s">
        <v>48</v>
      </c>
      <c r="H938" t="s">
        <v>49</v>
      </c>
      <c r="I938" t="s">
        <v>79</v>
      </c>
      <c r="J938" t="s">
        <v>1782</v>
      </c>
      <c r="K938" t="s">
        <v>1244</v>
      </c>
      <c r="L938" t="s">
        <v>53</v>
      </c>
      <c r="N938" t="s">
        <v>1783</v>
      </c>
      <c r="P938" t="s">
        <v>55</v>
      </c>
      <c r="R938" t="s">
        <v>56</v>
      </c>
      <c r="T938" t="s">
        <v>1781</v>
      </c>
      <c r="U938" t="s">
        <v>58</v>
      </c>
      <c r="V938">
        <v>1</v>
      </c>
      <c r="W938">
        <v>1</v>
      </c>
      <c r="X938">
        <v>1</v>
      </c>
      <c r="Y938">
        <v>0</v>
      </c>
      <c r="Z938">
        <v>1</v>
      </c>
      <c r="AA938">
        <v>0</v>
      </c>
      <c r="AB938">
        <v>103.31</v>
      </c>
      <c r="AC938">
        <v>90.9</v>
      </c>
      <c r="AD938">
        <v>0</v>
      </c>
      <c r="AE938">
        <v>12.41</v>
      </c>
      <c r="AF938">
        <v>0</v>
      </c>
      <c r="AG938">
        <v>0</v>
      </c>
      <c r="AH938">
        <v>0</v>
      </c>
      <c r="AI938">
        <v>0</v>
      </c>
      <c r="AJ938">
        <v>103.31</v>
      </c>
      <c r="AK938">
        <v>0</v>
      </c>
      <c r="AL938" t="s">
        <v>53</v>
      </c>
      <c r="AM938" t="s">
        <v>53</v>
      </c>
      <c r="AN938" t="s">
        <v>68</v>
      </c>
      <c r="AO938" t="s">
        <v>53</v>
      </c>
      <c r="AP938" t="s">
        <v>53</v>
      </c>
    </row>
    <row r="939" spans="2:42" x14ac:dyDescent="0.2">
      <c r="B939" t="s">
        <v>44</v>
      </c>
      <c r="C939" t="str">
        <f>HYPERLINK("https://us2.cloudbeds.com/connect/8493803454333002#/reservations/598456750281?display=E1CVJ8PQ&amp;reservation_id=598456750281", "E1CVJ8PQ")</f>
        <v>E1CVJ8PQ</v>
      </c>
      <c r="D939" t="s">
        <v>45</v>
      </c>
      <c r="E939" t="s">
        <v>406</v>
      </c>
      <c r="F939" t="s">
        <v>61</v>
      </c>
      <c r="G939" t="s">
        <v>48</v>
      </c>
      <c r="H939" t="s">
        <v>71</v>
      </c>
      <c r="I939" t="s">
        <v>72</v>
      </c>
      <c r="J939" t="s">
        <v>455</v>
      </c>
      <c r="K939" t="s">
        <v>560</v>
      </c>
      <c r="L939" t="s">
        <v>53</v>
      </c>
      <c r="N939" t="s">
        <v>1784</v>
      </c>
      <c r="P939" t="s">
        <v>55</v>
      </c>
      <c r="R939" t="s">
        <v>56</v>
      </c>
      <c r="T939" t="s">
        <v>1781</v>
      </c>
      <c r="U939" t="s">
        <v>58</v>
      </c>
      <c r="V939">
        <v>1</v>
      </c>
      <c r="W939">
        <v>1</v>
      </c>
      <c r="X939">
        <v>1</v>
      </c>
      <c r="Y939">
        <v>0</v>
      </c>
      <c r="Z939">
        <v>1</v>
      </c>
      <c r="AA939">
        <v>0</v>
      </c>
      <c r="AB939">
        <v>107.97</v>
      </c>
      <c r="AC939">
        <v>95</v>
      </c>
      <c r="AD939">
        <v>0</v>
      </c>
      <c r="AE939">
        <v>12.98</v>
      </c>
      <c r="AF939">
        <v>0</v>
      </c>
      <c r="AG939">
        <v>0</v>
      </c>
      <c r="AH939">
        <v>0</v>
      </c>
      <c r="AI939">
        <v>0</v>
      </c>
      <c r="AJ939">
        <v>107.98</v>
      </c>
      <c r="AK939">
        <v>0.01</v>
      </c>
      <c r="AL939" t="s">
        <v>53</v>
      </c>
      <c r="AM939" t="s">
        <v>53</v>
      </c>
      <c r="AN939" t="s">
        <v>378</v>
      </c>
      <c r="AO939" t="s">
        <v>53</v>
      </c>
      <c r="AP939" t="s">
        <v>53</v>
      </c>
    </row>
    <row r="940" spans="2:42" x14ac:dyDescent="0.2">
      <c r="B940" t="s">
        <v>44</v>
      </c>
      <c r="C940" t="str">
        <f>HYPERLINK("https://us2.cloudbeds.com/connect/8493803454333002#/reservations/598186938587?display=E1622BQS&amp;reservation_id=598186938587", "E1622BQS")</f>
        <v>E1622BQS</v>
      </c>
      <c r="D940" t="s">
        <v>45</v>
      </c>
      <c r="E940" t="s">
        <v>46</v>
      </c>
      <c r="F940" t="s">
        <v>47</v>
      </c>
      <c r="G940" t="s">
        <v>48</v>
      </c>
      <c r="H940" t="s">
        <v>49</v>
      </c>
      <c r="I940" t="s">
        <v>79</v>
      </c>
      <c r="J940" t="s">
        <v>1349</v>
      </c>
      <c r="K940" t="s">
        <v>553</v>
      </c>
      <c r="L940" t="s">
        <v>53</v>
      </c>
      <c r="N940" t="s">
        <v>1785</v>
      </c>
      <c r="P940" t="s">
        <v>55</v>
      </c>
      <c r="R940" t="s">
        <v>56</v>
      </c>
      <c r="T940" t="s">
        <v>1781</v>
      </c>
      <c r="U940" t="s">
        <v>58</v>
      </c>
      <c r="V940">
        <v>2</v>
      </c>
      <c r="W940">
        <v>1</v>
      </c>
      <c r="X940">
        <v>1</v>
      </c>
      <c r="Y940">
        <v>0</v>
      </c>
      <c r="Z940">
        <v>1</v>
      </c>
      <c r="AA940">
        <v>0</v>
      </c>
      <c r="AB940">
        <v>152.4</v>
      </c>
      <c r="AC940">
        <v>134.1</v>
      </c>
      <c r="AD940">
        <v>0</v>
      </c>
      <c r="AE940">
        <v>18.3</v>
      </c>
      <c r="AF940">
        <v>0</v>
      </c>
      <c r="AG940">
        <v>0</v>
      </c>
      <c r="AH940">
        <v>0</v>
      </c>
      <c r="AI940">
        <v>0</v>
      </c>
      <c r="AJ940">
        <v>152.4</v>
      </c>
      <c r="AK940">
        <v>0</v>
      </c>
      <c r="AL940" t="s">
        <v>53</v>
      </c>
      <c r="AM940" t="s">
        <v>53</v>
      </c>
      <c r="AN940" t="s">
        <v>127</v>
      </c>
      <c r="AO940" t="s">
        <v>53</v>
      </c>
      <c r="AP940" t="s">
        <v>53</v>
      </c>
    </row>
    <row r="941" spans="2:42" x14ac:dyDescent="0.2">
      <c r="B941" t="s">
        <v>44</v>
      </c>
      <c r="C941" t="str">
        <f>HYPERLINK("https://us2.cloudbeds.com/connect/8493803454333002#/reservations/597692989662?display=E0QEXGHK&amp;reservation_id=597692989662", "E0QEXGHK")</f>
        <v>E0QEXGHK</v>
      </c>
      <c r="D941" t="s">
        <v>45</v>
      </c>
      <c r="E941" t="s">
        <v>165</v>
      </c>
      <c r="F941" t="s">
        <v>61</v>
      </c>
      <c r="G941" t="s">
        <v>48</v>
      </c>
      <c r="H941" t="s">
        <v>49</v>
      </c>
      <c r="I941" t="s">
        <v>62</v>
      </c>
      <c r="J941" t="s">
        <v>455</v>
      </c>
      <c r="K941" t="s">
        <v>1143</v>
      </c>
      <c r="L941" t="s">
        <v>53</v>
      </c>
      <c r="N941" t="s">
        <v>1786</v>
      </c>
      <c r="P941" t="s">
        <v>55</v>
      </c>
      <c r="R941" t="s">
        <v>56</v>
      </c>
      <c r="T941" t="s">
        <v>1781</v>
      </c>
      <c r="U941" t="s">
        <v>58</v>
      </c>
      <c r="V941">
        <v>2</v>
      </c>
      <c r="W941">
        <v>1</v>
      </c>
      <c r="X941">
        <v>1</v>
      </c>
      <c r="Y941">
        <v>0</v>
      </c>
      <c r="Z941">
        <v>1</v>
      </c>
      <c r="AA941">
        <v>0</v>
      </c>
      <c r="AB941">
        <v>208.83</v>
      </c>
      <c r="AC941">
        <v>183.75</v>
      </c>
      <c r="AD941">
        <v>0</v>
      </c>
      <c r="AE941">
        <v>25.08</v>
      </c>
      <c r="AF941">
        <v>0</v>
      </c>
      <c r="AG941">
        <v>0</v>
      </c>
      <c r="AH941">
        <v>0</v>
      </c>
      <c r="AI941">
        <v>31.32</v>
      </c>
      <c r="AJ941">
        <v>208.83</v>
      </c>
      <c r="AK941">
        <v>0</v>
      </c>
      <c r="AL941" t="s">
        <v>53</v>
      </c>
      <c r="AM941" t="s">
        <v>53</v>
      </c>
      <c r="AN941" t="s">
        <v>529</v>
      </c>
      <c r="AO941" t="s">
        <v>53</v>
      </c>
      <c r="AP941" t="s">
        <v>53</v>
      </c>
    </row>
    <row r="942" spans="2:42" x14ac:dyDescent="0.2">
      <c r="B942" t="s">
        <v>44</v>
      </c>
      <c r="C942" t="str">
        <f>HYPERLINK("https://us2.cloudbeds.com/connect/8493803454333002#/reservations/598339621030?display=E19VQW2X&amp;reservation_id=598339621030", "E19VQW2X")</f>
        <v>E19VQW2X</v>
      </c>
      <c r="D942" t="s">
        <v>45</v>
      </c>
      <c r="E942" t="s">
        <v>213</v>
      </c>
      <c r="F942" t="s">
        <v>86</v>
      </c>
      <c r="G942" t="s">
        <v>48</v>
      </c>
      <c r="H942" t="s">
        <v>49</v>
      </c>
      <c r="I942" t="s">
        <v>50</v>
      </c>
      <c r="J942" t="s">
        <v>566</v>
      </c>
      <c r="K942" t="s">
        <v>167</v>
      </c>
      <c r="L942" t="s">
        <v>53</v>
      </c>
      <c r="N942" t="s">
        <v>1787</v>
      </c>
      <c r="P942" t="s">
        <v>55</v>
      </c>
      <c r="R942" t="s">
        <v>56</v>
      </c>
      <c r="T942" t="s">
        <v>1781</v>
      </c>
      <c r="U942" t="s">
        <v>58</v>
      </c>
      <c r="V942">
        <v>2</v>
      </c>
      <c r="W942">
        <v>1</v>
      </c>
      <c r="X942">
        <v>1</v>
      </c>
      <c r="Y942">
        <v>0</v>
      </c>
      <c r="Z942">
        <v>1</v>
      </c>
      <c r="AA942">
        <v>0</v>
      </c>
      <c r="AB942">
        <v>173.88</v>
      </c>
      <c r="AC942">
        <v>153</v>
      </c>
      <c r="AD942">
        <v>0</v>
      </c>
      <c r="AE942">
        <v>20.9</v>
      </c>
      <c r="AF942">
        <v>0</v>
      </c>
      <c r="AG942">
        <v>0</v>
      </c>
      <c r="AH942">
        <v>0</v>
      </c>
      <c r="AI942">
        <v>31.3</v>
      </c>
      <c r="AJ942">
        <v>173.9</v>
      </c>
      <c r="AK942">
        <v>0.02</v>
      </c>
      <c r="AL942" t="s">
        <v>53</v>
      </c>
      <c r="AM942" t="s">
        <v>53</v>
      </c>
      <c r="AN942" t="s">
        <v>1788</v>
      </c>
      <c r="AO942" t="s">
        <v>53</v>
      </c>
      <c r="AP942" t="s">
        <v>53</v>
      </c>
    </row>
    <row r="943" spans="2:42" x14ac:dyDescent="0.2">
      <c r="B943" t="s">
        <v>44</v>
      </c>
      <c r="C943" t="str">
        <f>HYPERLINK("https://us2.cloudbeds.com/connect/8493803454333002#/reservations/598248136851?display=E17KM9XN&amp;reservation_id=598248136851", "E17KM9XN")</f>
        <v>E17KM9XN</v>
      </c>
      <c r="D943" t="s">
        <v>45</v>
      </c>
      <c r="E943" t="s">
        <v>373</v>
      </c>
      <c r="F943" t="s">
        <v>47</v>
      </c>
      <c r="G943" t="s">
        <v>48</v>
      </c>
      <c r="H943" t="s">
        <v>71</v>
      </c>
      <c r="I943" t="s">
        <v>72</v>
      </c>
      <c r="J943" t="s">
        <v>455</v>
      </c>
      <c r="K943" t="s">
        <v>560</v>
      </c>
      <c r="L943" t="s">
        <v>53</v>
      </c>
      <c r="N943" t="s">
        <v>1789</v>
      </c>
      <c r="P943" t="s">
        <v>55</v>
      </c>
      <c r="R943" t="s">
        <v>56</v>
      </c>
      <c r="T943" t="s">
        <v>1781</v>
      </c>
      <c r="U943" t="s">
        <v>58</v>
      </c>
      <c r="V943">
        <v>1</v>
      </c>
      <c r="W943">
        <v>1</v>
      </c>
      <c r="X943">
        <v>1</v>
      </c>
      <c r="Y943">
        <v>0</v>
      </c>
      <c r="Z943">
        <v>1</v>
      </c>
      <c r="AA943">
        <v>0</v>
      </c>
      <c r="AB943">
        <v>90.92</v>
      </c>
      <c r="AC943">
        <v>80</v>
      </c>
      <c r="AD943">
        <v>0</v>
      </c>
      <c r="AE943">
        <v>10.92</v>
      </c>
      <c r="AF943">
        <v>0</v>
      </c>
      <c r="AG943">
        <v>0</v>
      </c>
      <c r="AH943">
        <v>0</v>
      </c>
      <c r="AI943">
        <v>0</v>
      </c>
      <c r="AJ943">
        <v>90.92</v>
      </c>
      <c r="AK943">
        <v>0</v>
      </c>
      <c r="AL943" t="s">
        <v>53</v>
      </c>
      <c r="AM943" t="s">
        <v>53</v>
      </c>
      <c r="AN943" t="s">
        <v>378</v>
      </c>
      <c r="AO943" t="s">
        <v>53</v>
      </c>
      <c r="AP943" t="s">
        <v>53</v>
      </c>
    </row>
    <row r="944" spans="2:42" x14ac:dyDescent="0.2">
      <c r="B944" t="s">
        <v>44</v>
      </c>
      <c r="C944" t="str">
        <f>HYPERLINK("https://us2.cloudbeds.com/connect/8493803454333002#/reservations/598310039732?display=E196SRBJ&amp;reservation_id=598310039732", "E196SRBJ")</f>
        <v>E196SRBJ</v>
      </c>
      <c r="D944" t="s">
        <v>45</v>
      </c>
      <c r="E944" t="s">
        <v>110</v>
      </c>
      <c r="F944" t="s">
        <v>47</v>
      </c>
      <c r="G944" t="s">
        <v>48</v>
      </c>
      <c r="H944" t="s">
        <v>49</v>
      </c>
      <c r="I944" t="s">
        <v>50</v>
      </c>
      <c r="J944" t="s">
        <v>791</v>
      </c>
      <c r="K944" t="s">
        <v>746</v>
      </c>
      <c r="L944" t="s">
        <v>53</v>
      </c>
      <c r="N944" t="s">
        <v>1790</v>
      </c>
      <c r="P944" t="s">
        <v>55</v>
      </c>
      <c r="R944" t="s">
        <v>56</v>
      </c>
      <c r="T944" t="s">
        <v>1781</v>
      </c>
      <c r="U944" t="s">
        <v>58</v>
      </c>
      <c r="V944">
        <v>1</v>
      </c>
      <c r="W944">
        <v>1</v>
      </c>
      <c r="X944">
        <v>1</v>
      </c>
      <c r="Y944">
        <v>0</v>
      </c>
      <c r="Z944">
        <v>1</v>
      </c>
      <c r="AA944">
        <v>0</v>
      </c>
      <c r="AB944">
        <v>78.760000000000005</v>
      </c>
      <c r="AC944">
        <v>69.3</v>
      </c>
      <c r="AD944">
        <v>0</v>
      </c>
      <c r="AE944">
        <v>9.4700000000000006</v>
      </c>
      <c r="AF944">
        <v>0</v>
      </c>
      <c r="AG944">
        <v>0</v>
      </c>
      <c r="AH944">
        <v>0</v>
      </c>
      <c r="AI944">
        <v>14.18</v>
      </c>
      <c r="AJ944">
        <v>78.77</v>
      </c>
      <c r="AK944">
        <v>0.01</v>
      </c>
      <c r="AL944" t="s">
        <v>53</v>
      </c>
      <c r="AM944" t="s">
        <v>53</v>
      </c>
      <c r="AN944" t="s">
        <v>142</v>
      </c>
      <c r="AO944" t="s">
        <v>53</v>
      </c>
      <c r="AP944" t="s">
        <v>53</v>
      </c>
    </row>
    <row r="945" spans="2:42" x14ac:dyDescent="0.2">
      <c r="B945" t="s">
        <v>44</v>
      </c>
      <c r="C945" t="str">
        <f>HYPERLINK("https://us2.cloudbeds.com/connect/8493803454333002#/reservations/598533411051?display=E1EU7FBE&amp;reservation_id=598533411051", "E1EU7FBE")</f>
        <v>E1EU7FBE</v>
      </c>
      <c r="D945" t="s">
        <v>45</v>
      </c>
      <c r="E945" t="s">
        <v>381</v>
      </c>
      <c r="F945" t="s">
        <v>47</v>
      </c>
      <c r="G945" t="s">
        <v>48</v>
      </c>
      <c r="H945" t="s">
        <v>49</v>
      </c>
      <c r="I945" t="s">
        <v>62</v>
      </c>
      <c r="J945" t="s">
        <v>560</v>
      </c>
      <c r="K945" t="s">
        <v>566</v>
      </c>
      <c r="L945" t="s">
        <v>53</v>
      </c>
      <c r="N945" t="s">
        <v>1791</v>
      </c>
      <c r="P945" t="s">
        <v>55</v>
      </c>
      <c r="R945" t="s">
        <v>56</v>
      </c>
      <c r="T945" t="s">
        <v>1781</v>
      </c>
      <c r="U945" t="s">
        <v>58</v>
      </c>
      <c r="V945">
        <v>3</v>
      </c>
      <c r="W945">
        <v>1</v>
      </c>
      <c r="X945">
        <v>1</v>
      </c>
      <c r="Y945">
        <v>0</v>
      </c>
      <c r="Z945">
        <v>1</v>
      </c>
      <c r="AA945">
        <v>0</v>
      </c>
      <c r="AB945">
        <v>249.4</v>
      </c>
      <c r="AC945">
        <v>219.45</v>
      </c>
      <c r="AD945">
        <v>0</v>
      </c>
      <c r="AE945">
        <v>29.94</v>
      </c>
      <c r="AF945">
        <v>0</v>
      </c>
      <c r="AG945">
        <v>0</v>
      </c>
      <c r="AH945">
        <v>0</v>
      </c>
      <c r="AI945">
        <v>37.409999999999997</v>
      </c>
      <c r="AJ945">
        <v>249.39</v>
      </c>
      <c r="AK945">
        <v>-0.01</v>
      </c>
      <c r="AL945" t="s">
        <v>53</v>
      </c>
      <c r="AM945" t="s">
        <v>53</v>
      </c>
      <c r="AN945" t="s">
        <v>659</v>
      </c>
      <c r="AO945" t="s">
        <v>53</v>
      </c>
      <c r="AP945" t="s">
        <v>53</v>
      </c>
    </row>
    <row r="946" spans="2:42" x14ac:dyDescent="0.2">
      <c r="B946" t="s">
        <v>44</v>
      </c>
      <c r="C946" t="str">
        <f>HYPERLINK("https://us2.cloudbeds.com/connect/8493803454333002#/reservations/598452052187?display=E1CRKHYA&amp;reservation_id=598452052187", "E1CRKHYA")</f>
        <v>E1CRKHYA</v>
      </c>
      <c r="D946" t="s">
        <v>45</v>
      </c>
      <c r="E946" t="s">
        <v>373</v>
      </c>
      <c r="F946" t="s">
        <v>47</v>
      </c>
      <c r="G946" t="s">
        <v>48</v>
      </c>
      <c r="H946" t="s">
        <v>49</v>
      </c>
      <c r="I946" t="s">
        <v>50</v>
      </c>
      <c r="J946" t="s">
        <v>446</v>
      </c>
      <c r="K946" t="s">
        <v>1792</v>
      </c>
      <c r="L946" t="s">
        <v>53</v>
      </c>
      <c r="N946" t="s">
        <v>1793</v>
      </c>
      <c r="P946" t="s">
        <v>55</v>
      </c>
      <c r="R946" t="s">
        <v>56</v>
      </c>
      <c r="T946" t="s">
        <v>1781</v>
      </c>
      <c r="U946" t="s">
        <v>58</v>
      </c>
      <c r="V946">
        <v>1</v>
      </c>
      <c r="W946">
        <v>1</v>
      </c>
      <c r="X946">
        <v>1</v>
      </c>
      <c r="Y946">
        <v>0</v>
      </c>
      <c r="Z946">
        <v>1</v>
      </c>
      <c r="AA946">
        <v>0</v>
      </c>
      <c r="AB946">
        <v>160.25</v>
      </c>
      <c r="AC946">
        <v>141</v>
      </c>
      <c r="AD946">
        <v>0</v>
      </c>
      <c r="AE946">
        <v>19.25</v>
      </c>
      <c r="AF946">
        <v>0</v>
      </c>
      <c r="AG946">
        <v>0</v>
      </c>
      <c r="AH946">
        <v>0</v>
      </c>
      <c r="AI946">
        <v>28.85</v>
      </c>
      <c r="AJ946">
        <v>160.25</v>
      </c>
      <c r="AK946">
        <v>0</v>
      </c>
      <c r="AL946" t="s">
        <v>53</v>
      </c>
      <c r="AM946" t="s">
        <v>53</v>
      </c>
      <c r="AN946" t="s">
        <v>159</v>
      </c>
      <c r="AO946" t="s">
        <v>53</v>
      </c>
      <c r="AP946" t="s">
        <v>53</v>
      </c>
    </row>
    <row r="947" spans="2:42" x14ac:dyDescent="0.2">
      <c r="B947" t="s">
        <v>44</v>
      </c>
      <c r="C947" t="str">
        <f>HYPERLINK("https://us2.cloudbeds.com/connect/8493803454333002#/reservations/598487777520?display=E1DZZY94&amp;reservation_id=598487777520", "E1DZZY94")</f>
        <v>E1DZZY94</v>
      </c>
      <c r="D947" t="s">
        <v>45</v>
      </c>
      <c r="E947" t="s">
        <v>105</v>
      </c>
      <c r="F947" t="s">
        <v>47</v>
      </c>
      <c r="G947" t="s">
        <v>48</v>
      </c>
      <c r="H947" t="s">
        <v>49</v>
      </c>
      <c r="I947" t="s">
        <v>50</v>
      </c>
      <c r="J947" t="s">
        <v>488</v>
      </c>
      <c r="K947" t="s">
        <v>489</v>
      </c>
      <c r="L947" t="s">
        <v>53</v>
      </c>
      <c r="N947" t="s">
        <v>1794</v>
      </c>
      <c r="P947" t="s">
        <v>55</v>
      </c>
      <c r="R947" t="s">
        <v>56</v>
      </c>
      <c r="T947" t="s">
        <v>1795</v>
      </c>
      <c r="U947" t="s">
        <v>58</v>
      </c>
      <c r="V947">
        <v>1</v>
      </c>
      <c r="W947">
        <v>1</v>
      </c>
      <c r="X947">
        <v>1</v>
      </c>
      <c r="Y947">
        <v>0</v>
      </c>
      <c r="Z947">
        <v>1</v>
      </c>
      <c r="AA947">
        <v>0</v>
      </c>
      <c r="AB947">
        <v>144.22</v>
      </c>
      <c r="AC947">
        <v>126.9</v>
      </c>
      <c r="AD947">
        <v>0</v>
      </c>
      <c r="AE947">
        <v>17.32</v>
      </c>
      <c r="AF947">
        <v>0</v>
      </c>
      <c r="AG947">
        <v>0</v>
      </c>
      <c r="AH947">
        <v>0</v>
      </c>
      <c r="AI947">
        <v>25.96</v>
      </c>
      <c r="AJ947">
        <v>144.22</v>
      </c>
      <c r="AK947">
        <v>0</v>
      </c>
      <c r="AL947" t="s">
        <v>53</v>
      </c>
      <c r="AM947" t="s">
        <v>53</v>
      </c>
      <c r="AN947" t="s">
        <v>1796</v>
      </c>
      <c r="AO947" t="s">
        <v>53</v>
      </c>
      <c r="AP947" t="s">
        <v>53</v>
      </c>
    </row>
    <row r="948" spans="2:42" x14ac:dyDescent="0.2">
      <c r="B948" t="s">
        <v>44</v>
      </c>
      <c r="C948" t="str">
        <f>HYPERLINK("https://us2.cloudbeds.com/connect/8493803454333002#/reservations/598577799407?display=E1G1YY04&amp;reservation_id=598577799407", "E1G1YY04")</f>
        <v>E1G1YY04</v>
      </c>
      <c r="D948" t="s">
        <v>45</v>
      </c>
      <c r="E948" t="s">
        <v>53</v>
      </c>
      <c r="F948" t="s">
        <v>61</v>
      </c>
      <c r="G948" t="s">
        <v>48</v>
      </c>
      <c r="H948" t="s">
        <v>49</v>
      </c>
      <c r="I948" t="s">
        <v>50</v>
      </c>
      <c r="J948" t="s">
        <v>568</v>
      </c>
      <c r="K948" t="s">
        <v>181</v>
      </c>
      <c r="L948" t="s">
        <v>53</v>
      </c>
      <c r="N948" t="s">
        <v>1797</v>
      </c>
      <c r="P948" t="s">
        <v>55</v>
      </c>
      <c r="R948" t="s">
        <v>56</v>
      </c>
      <c r="T948" t="s">
        <v>1795</v>
      </c>
      <c r="U948" t="s">
        <v>58</v>
      </c>
      <c r="V948">
        <v>2</v>
      </c>
      <c r="W948">
        <v>1</v>
      </c>
      <c r="X948">
        <v>1</v>
      </c>
      <c r="Y948">
        <v>0</v>
      </c>
      <c r="Z948">
        <v>1</v>
      </c>
      <c r="AA948">
        <v>0</v>
      </c>
      <c r="AB948">
        <v>278.89999999999998</v>
      </c>
      <c r="AC948">
        <v>245.4</v>
      </c>
      <c r="AD948">
        <v>0</v>
      </c>
      <c r="AE948">
        <v>33.479999999999997</v>
      </c>
      <c r="AF948">
        <v>0</v>
      </c>
      <c r="AG948">
        <v>0</v>
      </c>
      <c r="AH948">
        <v>0</v>
      </c>
      <c r="AI948">
        <v>50.2</v>
      </c>
      <c r="AJ948">
        <v>278.88</v>
      </c>
      <c r="AK948">
        <v>-0.02</v>
      </c>
      <c r="AL948" t="s">
        <v>53</v>
      </c>
      <c r="AM948" t="s">
        <v>53</v>
      </c>
      <c r="AN948" t="s">
        <v>84</v>
      </c>
      <c r="AO948" t="s">
        <v>53</v>
      </c>
      <c r="AP948" t="s">
        <v>53</v>
      </c>
    </row>
    <row r="949" spans="2:42" x14ac:dyDescent="0.2">
      <c r="B949" t="s">
        <v>44</v>
      </c>
      <c r="C949" t="str">
        <f>HYPERLINK("https://us2.cloudbeds.com/connect/8493803454333002#/reservations/598124277970?display=E14F7Z79&amp;reservation_id=598124277970", "E14F7Z79")</f>
        <v>E14F7Z79</v>
      </c>
      <c r="D949" t="s">
        <v>45</v>
      </c>
      <c r="E949" t="s">
        <v>92</v>
      </c>
      <c r="F949" t="s">
        <v>86</v>
      </c>
      <c r="G949" t="s">
        <v>48</v>
      </c>
      <c r="H949" t="s">
        <v>71</v>
      </c>
      <c r="I949" t="s">
        <v>72</v>
      </c>
      <c r="J949" t="s">
        <v>143</v>
      </c>
      <c r="K949" t="s">
        <v>783</v>
      </c>
      <c r="L949" t="s">
        <v>53</v>
      </c>
      <c r="N949" t="s">
        <v>1798</v>
      </c>
      <c r="P949" t="s">
        <v>58</v>
      </c>
      <c r="R949" t="s">
        <v>56</v>
      </c>
      <c r="T949" t="s">
        <v>1795</v>
      </c>
      <c r="U949" t="s">
        <v>58</v>
      </c>
      <c r="V949">
        <v>2</v>
      </c>
      <c r="W949">
        <v>1</v>
      </c>
      <c r="X949">
        <v>1</v>
      </c>
      <c r="Y949">
        <v>0</v>
      </c>
      <c r="Z949">
        <v>1</v>
      </c>
      <c r="AA949">
        <v>0</v>
      </c>
      <c r="AB949">
        <v>397.78</v>
      </c>
      <c r="AC949">
        <v>350</v>
      </c>
      <c r="AD949">
        <v>0</v>
      </c>
      <c r="AE949">
        <v>47.8</v>
      </c>
      <c r="AF949">
        <v>0</v>
      </c>
      <c r="AG949">
        <v>0</v>
      </c>
      <c r="AH949">
        <v>0</v>
      </c>
      <c r="AI949">
        <v>0</v>
      </c>
      <c r="AJ949">
        <v>397.8</v>
      </c>
      <c r="AK949">
        <v>0.02</v>
      </c>
      <c r="AL949" t="s">
        <v>53</v>
      </c>
      <c r="AM949" t="s">
        <v>53</v>
      </c>
      <c r="AN949" t="s">
        <v>1799</v>
      </c>
      <c r="AO949" t="s">
        <v>53</v>
      </c>
      <c r="AP949" t="s">
        <v>53</v>
      </c>
    </row>
    <row r="950" spans="2:42" x14ac:dyDescent="0.2">
      <c r="B950" t="s">
        <v>44</v>
      </c>
      <c r="C950" t="str">
        <f>HYPERLINK("https://us2.cloudbeds.com/connect/8493803454333002#/reservations/598338056321?display=E19UGE84&amp;reservation_id=598338056321", "E19UGE84")</f>
        <v>E19UGE84</v>
      </c>
      <c r="D950" t="s">
        <v>45</v>
      </c>
      <c r="E950" t="s">
        <v>105</v>
      </c>
      <c r="F950" t="s">
        <v>47</v>
      </c>
      <c r="G950" t="s">
        <v>48</v>
      </c>
      <c r="H950" t="s">
        <v>49</v>
      </c>
      <c r="I950" t="s">
        <v>62</v>
      </c>
      <c r="J950" t="s">
        <v>565</v>
      </c>
      <c r="K950" t="s">
        <v>566</v>
      </c>
      <c r="L950" t="s">
        <v>53</v>
      </c>
      <c r="N950" t="s">
        <v>1800</v>
      </c>
      <c r="P950" t="s">
        <v>55</v>
      </c>
      <c r="R950" t="s">
        <v>1475</v>
      </c>
      <c r="T950" t="s">
        <v>1801</v>
      </c>
      <c r="U950" t="s">
        <v>58</v>
      </c>
      <c r="V950">
        <v>1</v>
      </c>
      <c r="W950">
        <v>1</v>
      </c>
      <c r="X950">
        <v>1</v>
      </c>
      <c r="Y950">
        <v>0</v>
      </c>
      <c r="Z950">
        <v>1</v>
      </c>
      <c r="AA950">
        <v>0</v>
      </c>
      <c r="AB950">
        <v>75.180000000000007</v>
      </c>
      <c r="AC950">
        <v>66.150000000000006</v>
      </c>
      <c r="AD950">
        <v>0</v>
      </c>
      <c r="AE950">
        <v>9.0299999999999994</v>
      </c>
      <c r="AF950">
        <v>0</v>
      </c>
      <c r="AG950">
        <v>0</v>
      </c>
      <c r="AH950">
        <v>0</v>
      </c>
      <c r="AI950">
        <v>11.28</v>
      </c>
      <c r="AJ950">
        <v>75.180000000000007</v>
      </c>
      <c r="AK950">
        <v>0</v>
      </c>
      <c r="AL950" t="s">
        <v>53</v>
      </c>
      <c r="AM950" t="s">
        <v>53</v>
      </c>
      <c r="AN950" t="s">
        <v>1802</v>
      </c>
      <c r="AO950" t="s">
        <v>53</v>
      </c>
      <c r="AP950" t="s">
        <v>53</v>
      </c>
    </row>
    <row r="951" spans="2:42" x14ac:dyDescent="0.2">
      <c r="B951" t="s">
        <v>44</v>
      </c>
      <c r="C951" t="str">
        <f>HYPERLINK("https://us2.cloudbeds.com/connect/8493803454333002#/reservations/598341619856?display=E1A0GJX1&amp;reservation_id=598341619856", "E1A0GJX1")</f>
        <v>E1A0GJX1</v>
      </c>
      <c r="D951" t="s">
        <v>45</v>
      </c>
      <c r="E951" t="s">
        <v>113</v>
      </c>
      <c r="F951" t="s">
        <v>61</v>
      </c>
      <c r="G951" t="s">
        <v>48</v>
      </c>
      <c r="H951" t="s">
        <v>71</v>
      </c>
      <c r="I951" t="s">
        <v>72</v>
      </c>
      <c r="J951" t="s">
        <v>881</v>
      </c>
      <c r="K951" t="s">
        <v>202</v>
      </c>
      <c r="L951" t="s">
        <v>53</v>
      </c>
      <c r="N951" t="s">
        <v>1803</v>
      </c>
      <c r="P951" t="s">
        <v>55</v>
      </c>
      <c r="R951" t="s">
        <v>56</v>
      </c>
      <c r="T951" t="s">
        <v>1801</v>
      </c>
      <c r="U951" t="s">
        <v>58</v>
      </c>
      <c r="V951">
        <v>3</v>
      </c>
      <c r="W951">
        <v>1</v>
      </c>
      <c r="X951">
        <v>1</v>
      </c>
      <c r="Y951">
        <v>0</v>
      </c>
      <c r="Z951">
        <v>1</v>
      </c>
      <c r="AA951">
        <v>0</v>
      </c>
      <c r="AB951">
        <v>248.89</v>
      </c>
      <c r="AC951">
        <v>219</v>
      </c>
      <c r="AD951">
        <v>0</v>
      </c>
      <c r="AE951">
        <v>29.91</v>
      </c>
      <c r="AF951">
        <v>0</v>
      </c>
      <c r="AG951">
        <v>0</v>
      </c>
      <c r="AH951">
        <v>0</v>
      </c>
      <c r="AI951">
        <v>0</v>
      </c>
      <c r="AJ951">
        <v>248.91</v>
      </c>
      <c r="AK951">
        <v>0.02</v>
      </c>
      <c r="AL951" t="s">
        <v>53</v>
      </c>
      <c r="AM951" t="s">
        <v>53</v>
      </c>
      <c r="AN951" t="s">
        <v>1804</v>
      </c>
      <c r="AO951" t="s">
        <v>53</v>
      </c>
      <c r="AP951" t="s">
        <v>53</v>
      </c>
    </row>
    <row r="952" spans="2:42" x14ac:dyDescent="0.2">
      <c r="B952" t="s">
        <v>44</v>
      </c>
      <c r="C952" t="str">
        <f>HYPERLINK("https://us2.cloudbeds.com/connect/8493803454333002#/reservations/598153580749?display=E156V468&amp;reservation_id=598153580749", "E156V468")</f>
        <v>E156V468</v>
      </c>
      <c r="D952" t="s">
        <v>45</v>
      </c>
      <c r="E952" t="s">
        <v>121</v>
      </c>
      <c r="F952" t="s">
        <v>86</v>
      </c>
      <c r="G952" t="s">
        <v>48</v>
      </c>
      <c r="H952" t="s">
        <v>49</v>
      </c>
      <c r="I952" t="s">
        <v>50</v>
      </c>
      <c r="J952" t="s">
        <v>259</v>
      </c>
      <c r="K952" t="s">
        <v>292</v>
      </c>
      <c r="L952" t="s">
        <v>53</v>
      </c>
      <c r="N952" t="s">
        <v>1805</v>
      </c>
      <c r="P952" t="s">
        <v>55</v>
      </c>
      <c r="R952" t="s">
        <v>56</v>
      </c>
      <c r="T952" t="s">
        <v>1801</v>
      </c>
      <c r="U952" t="s">
        <v>58</v>
      </c>
      <c r="V952">
        <v>2</v>
      </c>
      <c r="W952">
        <v>1</v>
      </c>
      <c r="X952">
        <v>1</v>
      </c>
      <c r="Y952">
        <v>0</v>
      </c>
      <c r="Z952">
        <v>1</v>
      </c>
      <c r="AA952">
        <v>0</v>
      </c>
      <c r="AB952">
        <v>292.54000000000002</v>
      </c>
      <c r="AC952">
        <v>257.39999999999998</v>
      </c>
      <c r="AD952">
        <v>0</v>
      </c>
      <c r="AE952">
        <v>35.119999999999997</v>
      </c>
      <c r="AF952">
        <v>0</v>
      </c>
      <c r="AG952">
        <v>0</v>
      </c>
      <c r="AH952">
        <v>0</v>
      </c>
      <c r="AI952">
        <v>52.65</v>
      </c>
      <c r="AJ952">
        <v>292.52</v>
      </c>
      <c r="AK952">
        <v>-0.02</v>
      </c>
      <c r="AL952" t="s">
        <v>53</v>
      </c>
      <c r="AM952" t="s">
        <v>53</v>
      </c>
      <c r="AN952" t="s">
        <v>349</v>
      </c>
      <c r="AO952" t="s">
        <v>53</v>
      </c>
      <c r="AP952" t="s">
        <v>53</v>
      </c>
    </row>
    <row r="953" spans="2:42" x14ac:dyDescent="0.2">
      <c r="B953" t="s">
        <v>44</v>
      </c>
      <c r="C953" t="str">
        <f>HYPERLINK("https://us2.cloudbeds.com/connect/8493803454333002#/reservations/598067163357?display=E1302ECC&amp;reservation_id=598067163357", "E1302ECC")</f>
        <v>E1302ECC</v>
      </c>
      <c r="D953" t="s">
        <v>45</v>
      </c>
      <c r="E953" t="s">
        <v>110</v>
      </c>
      <c r="F953" t="s">
        <v>47</v>
      </c>
      <c r="G953" t="s">
        <v>48</v>
      </c>
      <c r="H953" t="s">
        <v>49</v>
      </c>
      <c r="I953" t="s">
        <v>62</v>
      </c>
      <c r="J953" t="s">
        <v>327</v>
      </c>
      <c r="K953" t="s">
        <v>288</v>
      </c>
      <c r="L953" t="s">
        <v>53</v>
      </c>
      <c r="N953" t="s">
        <v>1806</v>
      </c>
      <c r="P953" t="s">
        <v>55</v>
      </c>
      <c r="R953" t="s">
        <v>125</v>
      </c>
      <c r="T953" t="s">
        <v>1801</v>
      </c>
      <c r="U953" t="s">
        <v>58</v>
      </c>
      <c r="V953">
        <v>2</v>
      </c>
      <c r="W953">
        <v>1</v>
      </c>
      <c r="X953">
        <v>1</v>
      </c>
      <c r="Y953">
        <v>0</v>
      </c>
      <c r="Z953">
        <v>1</v>
      </c>
      <c r="AA953">
        <v>0</v>
      </c>
      <c r="AB953">
        <v>310.26</v>
      </c>
      <c r="AC953">
        <v>273</v>
      </c>
      <c r="AD953">
        <v>0</v>
      </c>
      <c r="AE953">
        <v>37.28</v>
      </c>
      <c r="AF953">
        <v>0</v>
      </c>
      <c r="AG953">
        <v>0</v>
      </c>
      <c r="AH953">
        <v>0</v>
      </c>
      <c r="AI953">
        <v>46.54</v>
      </c>
      <c r="AJ953">
        <v>310.27999999999997</v>
      </c>
      <c r="AK953">
        <v>0.02</v>
      </c>
      <c r="AL953" t="s">
        <v>53</v>
      </c>
      <c r="AM953" t="s">
        <v>53</v>
      </c>
      <c r="AN953" t="s">
        <v>280</v>
      </c>
      <c r="AO953" t="s">
        <v>53</v>
      </c>
      <c r="AP953" t="s">
        <v>53</v>
      </c>
    </row>
    <row r="954" spans="2:42" x14ac:dyDescent="0.2">
      <c r="B954" t="s">
        <v>44</v>
      </c>
      <c r="C954" t="str">
        <f>HYPERLINK("https://us2.cloudbeds.com/connect/8493803454333002#/reservations/597906886804?display=E0VTUGY6&amp;reservation_id=597906886804", "E0VTUGY6")</f>
        <v>E0VTUGY6</v>
      </c>
      <c r="D954" t="s">
        <v>45</v>
      </c>
      <c r="E954" t="s">
        <v>165</v>
      </c>
      <c r="F954" t="s">
        <v>61</v>
      </c>
      <c r="G954" t="s">
        <v>48</v>
      </c>
      <c r="H954" t="s">
        <v>49</v>
      </c>
      <c r="I954" t="s">
        <v>50</v>
      </c>
      <c r="J954" t="s">
        <v>106</v>
      </c>
      <c r="K954" t="s">
        <v>922</v>
      </c>
      <c r="L954" t="s">
        <v>53</v>
      </c>
      <c r="N954" t="s">
        <v>1807</v>
      </c>
      <c r="P954" t="s">
        <v>55</v>
      </c>
      <c r="R954" t="s">
        <v>56</v>
      </c>
      <c r="T954" t="s">
        <v>1801</v>
      </c>
      <c r="U954" t="s">
        <v>58</v>
      </c>
      <c r="V954">
        <v>1</v>
      </c>
      <c r="W954">
        <v>1</v>
      </c>
      <c r="X954">
        <v>1</v>
      </c>
      <c r="Y954">
        <v>0</v>
      </c>
      <c r="Z954">
        <v>1</v>
      </c>
      <c r="AA954">
        <v>0</v>
      </c>
      <c r="AB954">
        <v>153.43</v>
      </c>
      <c r="AC954">
        <v>135</v>
      </c>
      <c r="AD954">
        <v>0</v>
      </c>
      <c r="AE954">
        <v>18.440000000000001</v>
      </c>
      <c r="AF954">
        <v>0</v>
      </c>
      <c r="AG954">
        <v>0</v>
      </c>
      <c r="AH954">
        <v>0</v>
      </c>
      <c r="AI954">
        <v>27.62</v>
      </c>
      <c r="AJ954">
        <v>153.44</v>
      </c>
      <c r="AK954">
        <v>0.01</v>
      </c>
      <c r="AL954" t="s">
        <v>53</v>
      </c>
      <c r="AM954" t="s">
        <v>53</v>
      </c>
      <c r="AN954" t="s">
        <v>159</v>
      </c>
      <c r="AO954" t="s">
        <v>53</v>
      </c>
      <c r="AP954" t="s">
        <v>53</v>
      </c>
    </row>
    <row r="955" spans="2:42" x14ac:dyDescent="0.2">
      <c r="B955" t="s">
        <v>44</v>
      </c>
      <c r="C955" t="str">
        <f>HYPERLINK("https://us2.cloudbeds.com/connect/8493803454333002#/reservations/598451191992?display=E1CQTJZP&amp;reservation_id=598451191992", "E1CQTJZP")</f>
        <v>E1CQTJZP</v>
      </c>
      <c r="D955" t="s">
        <v>45</v>
      </c>
      <c r="E955" t="s">
        <v>373</v>
      </c>
      <c r="F955" t="s">
        <v>47</v>
      </c>
      <c r="G955" t="s">
        <v>48</v>
      </c>
      <c r="H955" t="s">
        <v>49</v>
      </c>
      <c r="I955" t="s">
        <v>50</v>
      </c>
      <c r="J955" t="s">
        <v>565</v>
      </c>
      <c r="K955" t="s">
        <v>566</v>
      </c>
      <c r="L955" t="s">
        <v>53</v>
      </c>
      <c r="N955" t="s">
        <v>1808</v>
      </c>
      <c r="P955" t="s">
        <v>55</v>
      </c>
      <c r="R955" t="s">
        <v>56</v>
      </c>
      <c r="T955" t="s">
        <v>1801</v>
      </c>
      <c r="U955" t="s">
        <v>58</v>
      </c>
      <c r="V955">
        <v>1</v>
      </c>
      <c r="W955">
        <v>1</v>
      </c>
      <c r="X955">
        <v>1</v>
      </c>
      <c r="Y955">
        <v>0</v>
      </c>
      <c r="Z955">
        <v>1</v>
      </c>
      <c r="AA955">
        <v>0</v>
      </c>
      <c r="AB955">
        <v>73.650000000000006</v>
      </c>
      <c r="AC955">
        <v>64.8</v>
      </c>
      <c r="AD955">
        <v>0</v>
      </c>
      <c r="AE955">
        <v>8.85</v>
      </c>
      <c r="AF955">
        <v>0</v>
      </c>
      <c r="AG955">
        <v>0</v>
      </c>
      <c r="AH955">
        <v>0</v>
      </c>
      <c r="AI955">
        <v>13.26</v>
      </c>
      <c r="AJ955">
        <v>73.650000000000006</v>
      </c>
      <c r="AK955">
        <v>0</v>
      </c>
      <c r="AL955" t="s">
        <v>53</v>
      </c>
      <c r="AM955" t="s">
        <v>53</v>
      </c>
      <c r="AN955" t="s">
        <v>104</v>
      </c>
      <c r="AO955" t="s">
        <v>53</v>
      </c>
      <c r="AP955" t="s">
        <v>53</v>
      </c>
    </row>
    <row r="956" spans="2:42" x14ac:dyDescent="0.2">
      <c r="B956" t="s">
        <v>44</v>
      </c>
      <c r="C956" t="str">
        <f>HYPERLINK("https://us2.cloudbeds.com/connect/8493803454333002#/reservations/579269882033?display=DJHMNCAS&amp;reservation_id=579269882033", "DJHMNCAS")</f>
        <v>DJHMNCAS</v>
      </c>
      <c r="D956" t="s">
        <v>602</v>
      </c>
      <c r="E956" t="s">
        <v>53</v>
      </c>
      <c r="F956" t="s">
        <v>47</v>
      </c>
      <c r="G956" t="s">
        <v>48</v>
      </c>
      <c r="H956" t="s">
        <v>71</v>
      </c>
      <c r="I956" t="s">
        <v>72</v>
      </c>
      <c r="J956" t="s">
        <v>100</v>
      </c>
      <c r="K956" t="s">
        <v>603</v>
      </c>
      <c r="L956" t="s">
        <v>53</v>
      </c>
      <c r="N956" t="s">
        <v>1809</v>
      </c>
      <c r="P956" t="s">
        <v>55</v>
      </c>
      <c r="R956" t="s">
        <v>56</v>
      </c>
      <c r="T956" t="s">
        <v>1801</v>
      </c>
      <c r="U956" t="s">
        <v>58</v>
      </c>
      <c r="V956">
        <v>3</v>
      </c>
      <c r="W956">
        <v>1</v>
      </c>
      <c r="X956">
        <v>1</v>
      </c>
      <c r="Y956">
        <v>0</v>
      </c>
      <c r="Z956">
        <v>1</v>
      </c>
      <c r="AA956">
        <v>0</v>
      </c>
      <c r="AB956">
        <v>0</v>
      </c>
      <c r="AC956">
        <v>0</v>
      </c>
      <c r="AD956">
        <v>0</v>
      </c>
      <c r="AE956">
        <v>0</v>
      </c>
      <c r="AF956">
        <v>0</v>
      </c>
      <c r="AG956">
        <v>0</v>
      </c>
      <c r="AH956">
        <v>0</v>
      </c>
      <c r="AI956">
        <v>0</v>
      </c>
      <c r="AJ956">
        <v>0</v>
      </c>
      <c r="AK956">
        <v>0</v>
      </c>
      <c r="AL956">
        <v>408</v>
      </c>
      <c r="AM956">
        <v>463.68</v>
      </c>
      <c r="AN956" t="s">
        <v>1810</v>
      </c>
      <c r="AO956" t="s">
        <v>53</v>
      </c>
      <c r="AP956" t="s">
        <v>53</v>
      </c>
    </row>
    <row r="957" spans="2:42" x14ac:dyDescent="0.2">
      <c r="B957" t="s">
        <v>44</v>
      </c>
      <c r="C957" t="str">
        <f>HYPERLINK("https://us2.cloudbeds.com/connect/8493803454333002#/reservations/598432776335?display=E1CBC54B&amp;reservation_id=598432776335", "E1CBC54B")</f>
        <v>E1CBC54B</v>
      </c>
      <c r="D957" t="s">
        <v>45</v>
      </c>
      <c r="E957" t="s">
        <v>213</v>
      </c>
      <c r="F957" t="s">
        <v>86</v>
      </c>
      <c r="G957" t="s">
        <v>48</v>
      </c>
      <c r="H957" t="s">
        <v>71</v>
      </c>
      <c r="I957" t="s">
        <v>72</v>
      </c>
      <c r="J957" t="s">
        <v>1349</v>
      </c>
      <c r="K957" t="s">
        <v>1017</v>
      </c>
      <c r="L957" t="s">
        <v>53</v>
      </c>
      <c r="N957" t="s">
        <v>1811</v>
      </c>
      <c r="P957" t="s">
        <v>55</v>
      </c>
      <c r="R957" t="s">
        <v>56</v>
      </c>
      <c r="T957" t="s">
        <v>1812</v>
      </c>
      <c r="U957" t="s">
        <v>58</v>
      </c>
      <c r="V957">
        <v>1</v>
      </c>
      <c r="W957">
        <v>1</v>
      </c>
      <c r="X957">
        <v>1</v>
      </c>
      <c r="Y957">
        <v>0</v>
      </c>
      <c r="Z957">
        <v>1</v>
      </c>
      <c r="AA957">
        <v>0</v>
      </c>
      <c r="AB957">
        <v>92.06</v>
      </c>
      <c r="AC957">
        <v>81</v>
      </c>
      <c r="AD957">
        <v>0</v>
      </c>
      <c r="AE957">
        <v>11.06</v>
      </c>
      <c r="AF957">
        <v>0</v>
      </c>
      <c r="AG957">
        <v>0</v>
      </c>
      <c r="AH957">
        <v>0</v>
      </c>
      <c r="AI957">
        <v>0</v>
      </c>
      <c r="AJ957">
        <v>92.06</v>
      </c>
      <c r="AK957">
        <v>0</v>
      </c>
      <c r="AL957" t="s">
        <v>53</v>
      </c>
      <c r="AM957" t="s">
        <v>53</v>
      </c>
      <c r="AN957" t="s">
        <v>1813</v>
      </c>
      <c r="AO957" t="s">
        <v>53</v>
      </c>
      <c r="AP957" t="s">
        <v>53</v>
      </c>
    </row>
    <row r="958" spans="2:42" x14ac:dyDescent="0.2">
      <c r="B958" t="s">
        <v>44</v>
      </c>
      <c r="C958" t="str">
        <f>HYPERLINK("https://us2.cloudbeds.com/connect/8493803454333002#/reservations/598394253528?display=E1BBT6YQ&amp;reservation_id=598394253528", "E1BBT6YQ")</f>
        <v>E1BBT6YQ</v>
      </c>
      <c r="D958" t="s">
        <v>45</v>
      </c>
      <c r="E958" t="s">
        <v>128</v>
      </c>
      <c r="F958" t="s">
        <v>86</v>
      </c>
      <c r="G958" t="s">
        <v>48</v>
      </c>
      <c r="H958" t="s">
        <v>71</v>
      </c>
      <c r="I958" t="s">
        <v>72</v>
      </c>
      <c r="J958" t="s">
        <v>282</v>
      </c>
      <c r="K958" t="s">
        <v>1027</v>
      </c>
      <c r="L958" t="s">
        <v>53</v>
      </c>
      <c r="N958" t="s">
        <v>1814</v>
      </c>
      <c r="P958" t="s">
        <v>55</v>
      </c>
      <c r="R958" t="s">
        <v>56</v>
      </c>
      <c r="T958" t="s">
        <v>1812</v>
      </c>
      <c r="U958" t="s">
        <v>58</v>
      </c>
      <c r="V958">
        <v>1</v>
      </c>
      <c r="W958">
        <v>1</v>
      </c>
      <c r="X958">
        <v>1</v>
      </c>
      <c r="Y958">
        <v>0</v>
      </c>
      <c r="Z958">
        <v>1</v>
      </c>
      <c r="AA958">
        <v>0</v>
      </c>
      <c r="AB958">
        <v>165.93</v>
      </c>
      <c r="AC958">
        <v>146</v>
      </c>
      <c r="AD958">
        <v>0</v>
      </c>
      <c r="AE958">
        <v>19.93</v>
      </c>
      <c r="AF958">
        <v>0</v>
      </c>
      <c r="AG958">
        <v>0</v>
      </c>
      <c r="AH958">
        <v>0</v>
      </c>
      <c r="AI958">
        <v>0</v>
      </c>
      <c r="AJ958">
        <v>165.93</v>
      </c>
      <c r="AK958">
        <v>0</v>
      </c>
      <c r="AL958" t="s">
        <v>53</v>
      </c>
      <c r="AM958" t="s">
        <v>53</v>
      </c>
      <c r="AN958" t="s">
        <v>1815</v>
      </c>
      <c r="AO958" t="s">
        <v>53</v>
      </c>
      <c r="AP958" t="s">
        <v>53</v>
      </c>
    </row>
    <row r="959" spans="2:42" x14ac:dyDescent="0.2">
      <c r="B959" t="s">
        <v>44</v>
      </c>
      <c r="C959" t="str">
        <f>HYPERLINK("https://us2.cloudbeds.com/connect/8493803454333002#/reservations/598402048142?display=E1BXF387&amp;reservation_id=598402048142", "E1BXF387")</f>
        <v>E1BXF387</v>
      </c>
      <c r="D959" t="s">
        <v>45</v>
      </c>
      <c r="E959" t="s">
        <v>69</v>
      </c>
      <c r="F959" t="s">
        <v>70</v>
      </c>
      <c r="G959" t="s">
        <v>48</v>
      </c>
      <c r="H959" t="s">
        <v>49</v>
      </c>
      <c r="I959" t="s">
        <v>114</v>
      </c>
      <c r="J959" t="s">
        <v>565</v>
      </c>
      <c r="K959" t="s">
        <v>566</v>
      </c>
      <c r="L959" t="s">
        <v>53</v>
      </c>
      <c r="N959" t="s">
        <v>1816</v>
      </c>
      <c r="P959" t="s">
        <v>55</v>
      </c>
      <c r="R959" t="s">
        <v>56</v>
      </c>
      <c r="T959" t="s">
        <v>1812</v>
      </c>
      <c r="U959" t="s">
        <v>58</v>
      </c>
      <c r="V959">
        <v>1</v>
      </c>
      <c r="W959">
        <v>1</v>
      </c>
      <c r="X959">
        <v>1</v>
      </c>
      <c r="Y959">
        <v>0</v>
      </c>
      <c r="Z959">
        <v>1</v>
      </c>
      <c r="AA959">
        <v>0</v>
      </c>
      <c r="AB959">
        <v>71.599999999999994</v>
      </c>
      <c r="AC959">
        <v>63</v>
      </c>
      <c r="AD959">
        <v>0</v>
      </c>
      <c r="AE959">
        <v>8.61</v>
      </c>
      <c r="AF959">
        <v>0</v>
      </c>
      <c r="AG959">
        <v>0</v>
      </c>
      <c r="AH959">
        <v>0</v>
      </c>
      <c r="AI959">
        <v>0</v>
      </c>
      <c r="AJ959">
        <v>71.61</v>
      </c>
      <c r="AK959">
        <v>0.01</v>
      </c>
      <c r="AL959" t="s">
        <v>53</v>
      </c>
      <c r="AM959" t="s">
        <v>53</v>
      </c>
      <c r="AN959" t="s">
        <v>1817</v>
      </c>
      <c r="AO959" t="s">
        <v>53</v>
      </c>
      <c r="AP959" t="s">
        <v>53</v>
      </c>
    </row>
    <row r="960" spans="2:42" x14ac:dyDescent="0.2">
      <c r="B960" t="s">
        <v>44</v>
      </c>
      <c r="C960" t="str">
        <f>HYPERLINK("https://us2.cloudbeds.com/connect/8493803454333002#/reservations/598570168476?display=E1FS79NQ&amp;reservation_id=598570168476", "E1FS79NQ")</f>
        <v>E1FS79NQ</v>
      </c>
      <c r="D960" t="s">
        <v>45</v>
      </c>
      <c r="E960" t="s">
        <v>185</v>
      </c>
      <c r="F960" t="s">
        <v>47</v>
      </c>
      <c r="G960" t="s">
        <v>48</v>
      </c>
      <c r="H960" t="s">
        <v>49</v>
      </c>
      <c r="I960" t="s">
        <v>79</v>
      </c>
      <c r="J960" t="s">
        <v>129</v>
      </c>
      <c r="K960" t="s">
        <v>426</v>
      </c>
      <c r="L960" t="s">
        <v>53</v>
      </c>
      <c r="N960" t="s">
        <v>1818</v>
      </c>
      <c r="P960" t="s">
        <v>55</v>
      </c>
      <c r="R960" t="s">
        <v>56</v>
      </c>
      <c r="T960" t="s">
        <v>1812</v>
      </c>
      <c r="U960" t="s">
        <v>58</v>
      </c>
      <c r="V960">
        <v>1</v>
      </c>
      <c r="W960">
        <v>1</v>
      </c>
      <c r="X960">
        <v>1</v>
      </c>
      <c r="Y960">
        <v>0</v>
      </c>
      <c r="Z960">
        <v>1</v>
      </c>
      <c r="AA960">
        <v>0</v>
      </c>
      <c r="AB960">
        <v>138.08000000000001</v>
      </c>
      <c r="AC960">
        <v>121.5</v>
      </c>
      <c r="AD960">
        <v>0</v>
      </c>
      <c r="AE960">
        <v>16.579999999999998</v>
      </c>
      <c r="AF960">
        <v>0</v>
      </c>
      <c r="AG960">
        <v>0</v>
      </c>
      <c r="AH960">
        <v>0</v>
      </c>
      <c r="AI960">
        <v>0</v>
      </c>
      <c r="AJ960">
        <v>138.08000000000001</v>
      </c>
      <c r="AK960">
        <v>0</v>
      </c>
      <c r="AL960" t="s">
        <v>53</v>
      </c>
      <c r="AM960" t="s">
        <v>53</v>
      </c>
      <c r="AN960" t="s">
        <v>332</v>
      </c>
      <c r="AO960" t="s">
        <v>53</v>
      </c>
      <c r="AP960" t="s">
        <v>53</v>
      </c>
    </row>
    <row r="961" spans="2:42" x14ac:dyDescent="0.2">
      <c r="B961" t="s">
        <v>44</v>
      </c>
      <c r="C961" t="str">
        <f>HYPERLINK("https://us2.cloudbeds.com/connect/8493803454333002#/reservations/598352396483?display=E1A9JFEG&amp;reservation_id=598352396483", "E1A9JFEG")</f>
        <v>E1A9JFEG</v>
      </c>
      <c r="D961" t="s">
        <v>45</v>
      </c>
      <c r="E961" t="s">
        <v>138</v>
      </c>
      <c r="F961" t="s">
        <v>70</v>
      </c>
      <c r="G961" t="s">
        <v>48</v>
      </c>
      <c r="H961" t="s">
        <v>49</v>
      </c>
      <c r="I961" t="s">
        <v>50</v>
      </c>
      <c r="J961" t="s">
        <v>565</v>
      </c>
      <c r="K961" t="s">
        <v>166</v>
      </c>
      <c r="L961" t="s">
        <v>53</v>
      </c>
      <c r="N961" t="s">
        <v>1819</v>
      </c>
      <c r="P961" t="s">
        <v>55</v>
      </c>
      <c r="R961" t="s">
        <v>56</v>
      </c>
      <c r="T961" t="s">
        <v>1812</v>
      </c>
      <c r="U961" t="s">
        <v>58</v>
      </c>
      <c r="V961">
        <v>2</v>
      </c>
      <c r="W961">
        <v>1</v>
      </c>
      <c r="X961">
        <v>1</v>
      </c>
      <c r="Y961">
        <v>0</v>
      </c>
      <c r="Z961">
        <v>1</v>
      </c>
      <c r="AA961">
        <v>0</v>
      </c>
      <c r="AB961">
        <v>139.11000000000001</v>
      </c>
      <c r="AC961">
        <v>122.4</v>
      </c>
      <c r="AD961">
        <v>0</v>
      </c>
      <c r="AE961">
        <v>16.68</v>
      </c>
      <c r="AF961">
        <v>0</v>
      </c>
      <c r="AG961">
        <v>0</v>
      </c>
      <c r="AH961">
        <v>0</v>
      </c>
      <c r="AI961">
        <v>25.03</v>
      </c>
      <c r="AJ961">
        <v>139.08000000000001</v>
      </c>
      <c r="AK961">
        <v>-0.03</v>
      </c>
      <c r="AL961" t="s">
        <v>53</v>
      </c>
      <c r="AM961" t="s">
        <v>53</v>
      </c>
      <c r="AN961" t="s">
        <v>112</v>
      </c>
      <c r="AO961" t="s">
        <v>53</v>
      </c>
      <c r="AP961" t="s">
        <v>53</v>
      </c>
    </row>
    <row r="962" spans="2:42" x14ac:dyDescent="0.2">
      <c r="B962" t="s">
        <v>44</v>
      </c>
      <c r="C962" t="str">
        <f>HYPERLINK("https://us2.cloudbeds.com/connect/8493803454333002#/reservations/598312960192?display=E199AWE5&amp;reservation_id=598312960192", "E199AWE5")</f>
        <v>E199AWE5</v>
      </c>
      <c r="D962" t="s">
        <v>45</v>
      </c>
      <c r="E962" t="s">
        <v>46</v>
      </c>
      <c r="F962" t="s">
        <v>47</v>
      </c>
      <c r="G962" t="s">
        <v>48</v>
      </c>
      <c r="H962" t="s">
        <v>49</v>
      </c>
      <c r="I962" t="s">
        <v>79</v>
      </c>
      <c r="J962" t="s">
        <v>566</v>
      </c>
      <c r="K962" t="s">
        <v>167</v>
      </c>
      <c r="L962" t="s">
        <v>53</v>
      </c>
      <c r="N962" t="s">
        <v>1820</v>
      </c>
      <c r="P962" t="s">
        <v>55</v>
      </c>
      <c r="R962" t="s">
        <v>56</v>
      </c>
      <c r="T962" t="s">
        <v>1812</v>
      </c>
      <c r="U962" t="s">
        <v>58</v>
      </c>
      <c r="V962">
        <v>2</v>
      </c>
      <c r="W962">
        <v>1</v>
      </c>
      <c r="X962">
        <v>1</v>
      </c>
      <c r="Y962">
        <v>0</v>
      </c>
      <c r="Z962">
        <v>1</v>
      </c>
      <c r="AA962">
        <v>0</v>
      </c>
      <c r="AB962">
        <v>147.29</v>
      </c>
      <c r="AC962">
        <v>129.6</v>
      </c>
      <c r="AD962">
        <v>0</v>
      </c>
      <c r="AE962">
        <v>17.7</v>
      </c>
      <c r="AF962">
        <v>0</v>
      </c>
      <c r="AG962">
        <v>0</v>
      </c>
      <c r="AH962">
        <v>0</v>
      </c>
      <c r="AI962">
        <v>0</v>
      </c>
      <c r="AJ962">
        <v>147.30000000000001</v>
      </c>
      <c r="AK962">
        <v>0.01</v>
      </c>
      <c r="AL962" t="s">
        <v>53</v>
      </c>
      <c r="AM962" t="s">
        <v>53</v>
      </c>
      <c r="AN962" t="s">
        <v>112</v>
      </c>
      <c r="AO962" t="s">
        <v>53</v>
      </c>
      <c r="AP962" t="s">
        <v>53</v>
      </c>
    </row>
    <row r="963" spans="2:42" x14ac:dyDescent="0.2">
      <c r="B963" t="s">
        <v>44</v>
      </c>
      <c r="C963" t="str">
        <f>HYPERLINK("https://us2.cloudbeds.com/connect/8493803454333002#/reservations/598231081116?display=E1769MZ8&amp;reservation_id=598231081116", "E1769MZ8")</f>
        <v>E1769MZ8</v>
      </c>
      <c r="D963" t="s">
        <v>45</v>
      </c>
      <c r="E963" t="s">
        <v>110</v>
      </c>
      <c r="F963" t="s">
        <v>47</v>
      </c>
      <c r="G963" t="s">
        <v>48</v>
      </c>
      <c r="H963" t="s">
        <v>49</v>
      </c>
      <c r="I963" t="s">
        <v>79</v>
      </c>
      <c r="J963" t="s">
        <v>565</v>
      </c>
      <c r="K963" t="s">
        <v>566</v>
      </c>
      <c r="L963" t="s">
        <v>53</v>
      </c>
      <c r="N963" t="s">
        <v>1821</v>
      </c>
      <c r="P963" t="s">
        <v>55</v>
      </c>
      <c r="R963" t="s">
        <v>56</v>
      </c>
      <c r="T963" t="s">
        <v>1812</v>
      </c>
      <c r="U963" t="s">
        <v>58</v>
      </c>
      <c r="V963">
        <v>1</v>
      </c>
      <c r="W963">
        <v>1</v>
      </c>
      <c r="X963">
        <v>1</v>
      </c>
      <c r="Y963">
        <v>0</v>
      </c>
      <c r="Z963">
        <v>1</v>
      </c>
      <c r="AA963">
        <v>0</v>
      </c>
      <c r="AB963">
        <v>73.650000000000006</v>
      </c>
      <c r="AC963">
        <v>64.8</v>
      </c>
      <c r="AD963">
        <v>0</v>
      </c>
      <c r="AE963">
        <v>8.85</v>
      </c>
      <c r="AF963">
        <v>0</v>
      </c>
      <c r="AG963">
        <v>0</v>
      </c>
      <c r="AH963">
        <v>0</v>
      </c>
      <c r="AI963">
        <v>0</v>
      </c>
      <c r="AJ963">
        <v>73.650000000000006</v>
      </c>
      <c r="AK963">
        <v>0</v>
      </c>
      <c r="AL963" t="s">
        <v>53</v>
      </c>
      <c r="AM963" t="s">
        <v>53</v>
      </c>
      <c r="AN963" t="s">
        <v>332</v>
      </c>
      <c r="AO963" t="s">
        <v>53</v>
      </c>
      <c r="AP963" t="s">
        <v>53</v>
      </c>
    </row>
    <row r="964" spans="2:42" x14ac:dyDescent="0.2">
      <c r="B964" t="s">
        <v>44</v>
      </c>
      <c r="C964" t="str">
        <f>HYPERLINK("https://us2.cloudbeds.com/connect/8493803454333002#/reservations/598491230424?display=E1DRYNWJ&amp;reservation_id=598491230424", "E1DRYNWJ")</f>
        <v>E1DRYNWJ</v>
      </c>
      <c r="D964" t="s">
        <v>45</v>
      </c>
      <c r="E964" t="s">
        <v>138</v>
      </c>
      <c r="F964" t="s">
        <v>70</v>
      </c>
      <c r="G964" t="s">
        <v>48</v>
      </c>
      <c r="H964" t="s">
        <v>49</v>
      </c>
      <c r="I964" t="s">
        <v>50</v>
      </c>
      <c r="J964" t="s">
        <v>93</v>
      </c>
      <c r="K964" t="s">
        <v>1822</v>
      </c>
      <c r="L964" t="s">
        <v>53</v>
      </c>
      <c r="N964" t="s">
        <v>1823</v>
      </c>
      <c r="P964" t="s">
        <v>55</v>
      </c>
      <c r="R964" t="s">
        <v>56</v>
      </c>
      <c r="T964" t="s">
        <v>1812</v>
      </c>
      <c r="U964" t="s">
        <v>58</v>
      </c>
      <c r="V964">
        <v>1</v>
      </c>
      <c r="W964">
        <v>1</v>
      </c>
      <c r="X964">
        <v>1</v>
      </c>
      <c r="Y964">
        <v>0</v>
      </c>
      <c r="Z964">
        <v>1</v>
      </c>
      <c r="AA964">
        <v>0</v>
      </c>
      <c r="AB964">
        <v>143.19999999999999</v>
      </c>
      <c r="AC964">
        <v>126</v>
      </c>
      <c r="AD964">
        <v>0</v>
      </c>
      <c r="AE964">
        <v>17.2</v>
      </c>
      <c r="AF964">
        <v>0</v>
      </c>
      <c r="AG964">
        <v>0</v>
      </c>
      <c r="AH964">
        <v>0</v>
      </c>
      <c r="AI964">
        <v>25.78</v>
      </c>
      <c r="AJ964">
        <v>143.19999999999999</v>
      </c>
      <c r="AK964">
        <v>0</v>
      </c>
      <c r="AL964" t="s">
        <v>53</v>
      </c>
      <c r="AM964" t="s">
        <v>53</v>
      </c>
      <c r="AN964" t="s">
        <v>112</v>
      </c>
      <c r="AO964" t="s">
        <v>53</v>
      </c>
      <c r="AP964" t="s">
        <v>53</v>
      </c>
    </row>
    <row r="965" spans="2:42" x14ac:dyDescent="0.2">
      <c r="B965" t="s">
        <v>44</v>
      </c>
      <c r="C965" t="str">
        <f>HYPERLINK("https://us2.cloudbeds.com/connect/8493803454333002#/reservations/598510620813?display=E1EB09M4&amp;reservation_id=598510620813", "E1EB09M4")</f>
        <v>E1EB09M4</v>
      </c>
      <c r="D965" t="s">
        <v>45</v>
      </c>
      <c r="E965" t="s">
        <v>98</v>
      </c>
      <c r="F965" t="s">
        <v>86</v>
      </c>
      <c r="G965" t="s">
        <v>48</v>
      </c>
      <c r="H965" t="s">
        <v>71</v>
      </c>
      <c r="I965" t="s">
        <v>72</v>
      </c>
      <c r="J965" t="s">
        <v>538</v>
      </c>
      <c r="K965" t="s">
        <v>259</v>
      </c>
      <c r="L965" t="s">
        <v>53</v>
      </c>
      <c r="N965" t="s">
        <v>1824</v>
      </c>
      <c r="P965" t="s">
        <v>55</v>
      </c>
      <c r="R965" t="s">
        <v>56</v>
      </c>
      <c r="T965" t="s">
        <v>1812</v>
      </c>
      <c r="U965" t="s">
        <v>58</v>
      </c>
      <c r="V965">
        <v>1</v>
      </c>
      <c r="W965">
        <v>1</v>
      </c>
      <c r="X965">
        <v>1</v>
      </c>
      <c r="Y965">
        <v>0</v>
      </c>
      <c r="Z965">
        <v>1</v>
      </c>
      <c r="AA965">
        <v>0</v>
      </c>
      <c r="AB965">
        <v>130.08000000000001</v>
      </c>
      <c r="AC965">
        <v>114.46</v>
      </c>
      <c r="AD965">
        <v>0</v>
      </c>
      <c r="AE965">
        <v>15.63</v>
      </c>
      <c r="AF965">
        <v>0</v>
      </c>
      <c r="AG965">
        <v>0</v>
      </c>
      <c r="AH965">
        <v>0</v>
      </c>
      <c r="AI965">
        <v>0</v>
      </c>
      <c r="AJ965">
        <v>130.09</v>
      </c>
      <c r="AK965">
        <v>0.01</v>
      </c>
      <c r="AL965" t="s">
        <v>53</v>
      </c>
      <c r="AM965" t="s">
        <v>53</v>
      </c>
      <c r="AN965" t="s">
        <v>1825</v>
      </c>
      <c r="AO965" t="s">
        <v>53</v>
      </c>
      <c r="AP965" t="s">
        <v>53</v>
      </c>
    </row>
    <row r="966" spans="2:42" x14ac:dyDescent="0.2">
      <c r="B966" t="s">
        <v>44</v>
      </c>
      <c r="C966" t="str">
        <f>HYPERLINK("https://us2.cloudbeds.com/connect/8493803454333002#/reservations/598599909587?display=E1GK9T6J&amp;reservation_id=598599909587", "E1GK9T6J")</f>
        <v>E1GK9T6J</v>
      </c>
      <c r="D966" t="s">
        <v>45</v>
      </c>
      <c r="E966" t="s">
        <v>213</v>
      </c>
      <c r="F966" t="s">
        <v>86</v>
      </c>
      <c r="G966" t="s">
        <v>48</v>
      </c>
      <c r="H966" t="s">
        <v>49</v>
      </c>
      <c r="I966" t="s">
        <v>79</v>
      </c>
      <c r="J966" t="s">
        <v>215</v>
      </c>
      <c r="K966" t="s">
        <v>1792</v>
      </c>
      <c r="L966" t="s">
        <v>53</v>
      </c>
      <c r="N966" t="s">
        <v>1826</v>
      </c>
      <c r="P966" t="s">
        <v>55</v>
      </c>
      <c r="R966" t="s">
        <v>56</v>
      </c>
      <c r="T966" t="s">
        <v>1812</v>
      </c>
      <c r="U966" t="s">
        <v>58</v>
      </c>
      <c r="V966">
        <v>2</v>
      </c>
      <c r="W966">
        <v>1</v>
      </c>
      <c r="X966">
        <v>1</v>
      </c>
      <c r="Y966">
        <v>0</v>
      </c>
      <c r="Z966">
        <v>1</v>
      </c>
      <c r="AA966">
        <v>0</v>
      </c>
      <c r="AB966">
        <v>323.22000000000003</v>
      </c>
      <c r="AC966">
        <v>284.39999999999998</v>
      </c>
      <c r="AD966">
        <v>0</v>
      </c>
      <c r="AE966">
        <v>38.82</v>
      </c>
      <c r="AF966">
        <v>0</v>
      </c>
      <c r="AG966">
        <v>0</v>
      </c>
      <c r="AH966">
        <v>0</v>
      </c>
      <c r="AI966">
        <v>0</v>
      </c>
      <c r="AJ966">
        <v>323.22000000000003</v>
      </c>
      <c r="AK966">
        <v>0</v>
      </c>
      <c r="AL966" t="s">
        <v>53</v>
      </c>
      <c r="AM966" t="s">
        <v>53</v>
      </c>
      <c r="AN966" t="s">
        <v>91</v>
      </c>
      <c r="AO966" t="s">
        <v>53</v>
      </c>
      <c r="AP966" t="s">
        <v>53</v>
      </c>
    </row>
    <row r="967" spans="2:42" x14ac:dyDescent="0.2">
      <c r="B967" t="s">
        <v>44</v>
      </c>
      <c r="C967" t="str">
        <f>HYPERLINK("https://us2.cloudbeds.com/connect/8493803454333002#/reservations/598418169998?display=E1BW1NHA&amp;reservation_id=598418169998", "E1BW1NHA")</f>
        <v>E1BW1NHA</v>
      </c>
      <c r="D967" t="s">
        <v>45</v>
      </c>
      <c r="E967" t="s">
        <v>406</v>
      </c>
      <c r="F967" t="s">
        <v>61</v>
      </c>
      <c r="G967" t="s">
        <v>48</v>
      </c>
      <c r="H967" t="s">
        <v>49</v>
      </c>
      <c r="I967" t="s">
        <v>114</v>
      </c>
      <c r="J967" t="s">
        <v>334</v>
      </c>
      <c r="K967" t="s">
        <v>538</v>
      </c>
      <c r="L967" t="s">
        <v>53</v>
      </c>
      <c r="N967" t="s">
        <v>1827</v>
      </c>
      <c r="P967" t="s">
        <v>55</v>
      </c>
      <c r="R967" t="s">
        <v>56</v>
      </c>
      <c r="T967" t="s">
        <v>1828</v>
      </c>
      <c r="U967" t="s">
        <v>58</v>
      </c>
      <c r="V967">
        <v>1</v>
      </c>
      <c r="W967">
        <v>1</v>
      </c>
      <c r="X967">
        <v>1</v>
      </c>
      <c r="Y967">
        <v>0</v>
      </c>
      <c r="Z967">
        <v>1</v>
      </c>
      <c r="AA967">
        <v>0</v>
      </c>
      <c r="AB967">
        <v>131.83000000000001</v>
      </c>
      <c r="AC967">
        <v>116</v>
      </c>
      <c r="AD967">
        <v>0</v>
      </c>
      <c r="AE967">
        <v>15.83</v>
      </c>
      <c r="AF967">
        <v>0</v>
      </c>
      <c r="AG967">
        <v>0</v>
      </c>
      <c r="AH967">
        <v>0</v>
      </c>
      <c r="AI967">
        <v>0</v>
      </c>
      <c r="AJ967">
        <v>131.83000000000001</v>
      </c>
      <c r="AK967">
        <v>0</v>
      </c>
      <c r="AL967" t="s">
        <v>53</v>
      </c>
      <c r="AM967" t="s">
        <v>53</v>
      </c>
      <c r="AN967" t="s">
        <v>1829</v>
      </c>
      <c r="AO967" t="s">
        <v>53</v>
      </c>
      <c r="AP967" t="s">
        <v>53</v>
      </c>
    </row>
    <row r="968" spans="2:42" x14ac:dyDescent="0.2">
      <c r="B968" t="s">
        <v>44</v>
      </c>
      <c r="C968" t="str">
        <f>HYPERLINK("https://us2.cloudbeds.com/connect/8493803454333002#/reservations/598329581819?display=E19NBKB1&amp;reservation_id=598329581819", "E19NBKB1")</f>
        <v>E19NBKB1</v>
      </c>
      <c r="D968" t="s">
        <v>45</v>
      </c>
      <c r="E968" t="s">
        <v>98</v>
      </c>
      <c r="F968" t="s">
        <v>86</v>
      </c>
      <c r="G968" t="s">
        <v>48</v>
      </c>
      <c r="H968" t="s">
        <v>49</v>
      </c>
      <c r="I968" t="s">
        <v>114</v>
      </c>
      <c r="J968" t="s">
        <v>166</v>
      </c>
      <c r="K968" t="s">
        <v>167</v>
      </c>
      <c r="L968" t="s">
        <v>53</v>
      </c>
      <c r="N968" t="s">
        <v>1830</v>
      </c>
      <c r="P968" t="s">
        <v>55</v>
      </c>
      <c r="R968" t="s">
        <v>56</v>
      </c>
      <c r="T968" t="s">
        <v>1828</v>
      </c>
      <c r="U968" t="s">
        <v>58</v>
      </c>
      <c r="V968">
        <v>1</v>
      </c>
      <c r="W968">
        <v>1</v>
      </c>
      <c r="X968">
        <v>1</v>
      </c>
      <c r="Y968">
        <v>0</v>
      </c>
      <c r="Z968">
        <v>1</v>
      </c>
      <c r="AA968">
        <v>0</v>
      </c>
      <c r="AB968">
        <v>92.06</v>
      </c>
      <c r="AC968">
        <v>81</v>
      </c>
      <c r="AD968">
        <v>0</v>
      </c>
      <c r="AE968">
        <v>11.06</v>
      </c>
      <c r="AF968">
        <v>0</v>
      </c>
      <c r="AG968">
        <v>0</v>
      </c>
      <c r="AH968">
        <v>0</v>
      </c>
      <c r="AI968">
        <v>0</v>
      </c>
      <c r="AJ968">
        <v>92.06</v>
      </c>
      <c r="AK968">
        <v>0</v>
      </c>
      <c r="AL968" t="s">
        <v>53</v>
      </c>
      <c r="AM968" t="s">
        <v>53</v>
      </c>
      <c r="AN968" t="s">
        <v>1831</v>
      </c>
      <c r="AO968" t="s">
        <v>53</v>
      </c>
      <c r="AP968" t="s">
        <v>53</v>
      </c>
    </row>
    <row r="969" spans="2:42" x14ac:dyDescent="0.2">
      <c r="B969" t="s">
        <v>44</v>
      </c>
      <c r="C969" t="str">
        <f>HYPERLINK("https://us2.cloudbeds.com/connect/8493803454333002#/reservations/598384767133?display=E1B3T7X9&amp;reservation_id=598384767133", "E1B3T7X9")</f>
        <v>E1B3T7X9</v>
      </c>
      <c r="D969" t="s">
        <v>45</v>
      </c>
      <c r="E969" t="s">
        <v>373</v>
      </c>
      <c r="F969" t="s">
        <v>47</v>
      </c>
      <c r="G969" t="s">
        <v>48</v>
      </c>
      <c r="H969" t="s">
        <v>71</v>
      </c>
      <c r="I969" t="s">
        <v>72</v>
      </c>
      <c r="J969" t="s">
        <v>525</v>
      </c>
      <c r="K969" t="s">
        <v>93</v>
      </c>
      <c r="L969" t="s">
        <v>53</v>
      </c>
      <c r="N969" t="s">
        <v>1832</v>
      </c>
      <c r="P969" t="s">
        <v>55</v>
      </c>
      <c r="R969" t="s">
        <v>56</v>
      </c>
      <c r="T969" t="s">
        <v>1828</v>
      </c>
      <c r="U969" t="s">
        <v>58</v>
      </c>
      <c r="V969">
        <v>6</v>
      </c>
      <c r="W969">
        <v>1</v>
      </c>
      <c r="X969">
        <v>1</v>
      </c>
      <c r="Y969">
        <v>0</v>
      </c>
      <c r="Z969">
        <v>1</v>
      </c>
      <c r="AA969">
        <v>0</v>
      </c>
      <c r="AB969">
        <v>962.62</v>
      </c>
      <c r="AC969">
        <v>847</v>
      </c>
      <c r="AD969">
        <v>0</v>
      </c>
      <c r="AE969">
        <v>115.56</v>
      </c>
      <c r="AF969">
        <v>0</v>
      </c>
      <c r="AG969">
        <v>0</v>
      </c>
      <c r="AH969">
        <v>0</v>
      </c>
      <c r="AI969">
        <v>0</v>
      </c>
      <c r="AJ969">
        <v>962.56</v>
      </c>
      <c r="AK969">
        <v>-0.06</v>
      </c>
      <c r="AL969" t="s">
        <v>53</v>
      </c>
      <c r="AM969" t="s">
        <v>53</v>
      </c>
      <c r="AN969" t="s">
        <v>1833</v>
      </c>
      <c r="AO969" t="s">
        <v>53</v>
      </c>
      <c r="AP969" t="s">
        <v>53</v>
      </c>
    </row>
    <row r="970" spans="2:42" x14ac:dyDescent="0.2">
      <c r="B970" t="s">
        <v>44</v>
      </c>
      <c r="C970" t="str">
        <f>HYPERLINK("https://us2.cloudbeds.com/connect/8493803454333002#/reservations/598389219583?display=E1B7Y440&amp;reservation_id=598389219583", "E1B7Y440")</f>
        <v>E1B7Y440</v>
      </c>
      <c r="D970" t="s">
        <v>45</v>
      </c>
      <c r="E970" t="s">
        <v>105</v>
      </c>
      <c r="F970" t="s">
        <v>47</v>
      </c>
      <c r="G970" t="s">
        <v>48</v>
      </c>
      <c r="H970" t="s">
        <v>49</v>
      </c>
      <c r="I970" t="s">
        <v>79</v>
      </c>
      <c r="J970" t="s">
        <v>566</v>
      </c>
      <c r="K970" t="s">
        <v>167</v>
      </c>
      <c r="L970" t="s">
        <v>53</v>
      </c>
      <c r="N970" t="s">
        <v>1834</v>
      </c>
      <c r="P970" t="s">
        <v>55</v>
      </c>
      <c r="R970" t="s">
        <v>56</v>
      </c>
      <c r="T970" t="s">
        <v>1828</v>
      </c>
      <c r="U970" t="s">
        <v>58</v>
      </c>
      <c r="V970">
        <v>2</v>
      </c>
      <c r="W970">
        <v>1</v>
      </c>
      <c r="X970">
        <v>1</v>
      </c>
      <c r="Y970">
        <v>0</v>
      </c>
      <c r="Z970">
        <v>1</v>
      </c>
      <c r="AA970">
        <v>0</v>
      </c>
      <c r="AB970">
        <v>147.29</v>
      </c>
      <c r="AC970">
        <v>129.6</v>
      </c>
      <c r="AD970">
        <v>0</v>
      </c>
      <c r="AE970">
        <v>17.7</v>
      </c>
      <c r="AF970">
        <v>0</v>
      </c>
      <c r="AG970">
        <v>0</v>
      </c>
      <c r="AH970">
        <v>0</v>
      </c>
      <c r="AI970">
        <v>0</v>
      </c>
      <c r="AJ970">
        <v>147.30000000000001</v>
      </c>
      <c r="AK970">
        <v>0.01</v>
      </c>
      <c r="AL970" t="s">
        <v>53</v>
      </c>
      <c r="AM970" t="s">
        <v>53</v>
      </c>
      <c r="AN970" t="s">
        <v>316</v>
      </c>
      <c r="AO970" t="s">
        <v>53</v>
      </c>
      <c r="AP970" t="s">
        <v>53</v>
      </c>
    </row>
    <row r="971" spans="2:42" x14ac:dyDescent="0.2">
      <c r="B971" t="s">
        <v>44</v>
      </c>
      <c r="C971" t="str">
        <f>HYPERLINK("https://us2.cloudbeds.com/connect/8493803454333002#/reservations/598325407881?display=E19JRFH2&amp;reservation_id=598325407881", "E19JRFH2")</f>
        <v>E19JRFH2</v>
      </c>
      <c r="D971" t="s">
        <v>45</v>
      </c>
      <c r="E971" t="s">
        <v>223</v>
      </c>
      <c r="F971" t="s">
        <v>47</v>
      </c>
      <c r="G971" t="s">
        <v>48</v>
      </c>
      <c r="H971" t="s">
        <v>49</v>
      </c>
      <c r="I971" t="s">
        <v>79</v>
      </c>
      <c r="J971" t="s">
        <v>566</v>
      </c>
      <c r="K971" t="s">
        <v>166</v>
      </c>
      <c r="L971" t="s">
        <v>53</v>
      </c>
      <c r="N971" t="s">
        <v>1835</v>
      </c>
      <c r="P971" t="s">
        <v>55</v>
      </c>
      <c r="R971" t="s">
        <v>56</v>
      </c>
      <c r="T971" t="s">
        <v>1828</v>
      </c>
      <c r="U971" t="s">
        <v>58</v>
      </c>
      <c r="V971">
        <v>1</v>
      </c>
      <c r="W971">
        <v>1</v>
      </c>
      <c r="X971">
        <v>1</v>
      </c>
      <c r="Y971">
        <v>0</v>
      </c>
      <c r="Z971">
        <v>1</v>
      </c>
      <c r="AA971">
        <v>0</v>
      </c>
      <c r="AB971">
        <v>73.650000000000006</v>
      </c>
      <c r="AC971">
        <v>64.8</v>
      </c>
      <c r="AD971">
        <v>0</v>
      </c>
      <c r="AE971">
        <v>8.85</v>
      </c>
      <c r="AF971">
        <v>0</v>
      </c>
      <c r="AG971">
        <v>0</v>
      </c>
      <c r="AH971">
        <v>0</v>
      </c>
      <c r="AI971">
        <v>0</v>
      </c>
      <c r="AJ971">
        <v>73.650000000000006</v>
      </c>
      <c r="AK971">
        <v>0</v>
      </c>
      <c r="AL971" t="s">
        <v>53</v>
      </c>
      <c r="AM971" t="s">
        <v>53</v>
      </c>
      <c r="AN971" t="s">
        <v>245</v>
      </c>
      <c r="AO971" t="s">
        <v>53</v>
      </c>
      <c r="AP971" t="s">
        <v>53</v>
      </c>
    </row>
    <row r="972" spans="2:42" x14ac:dyDescent="0.2">
      <c r="B972" t="s">
        <v>44</v>
      </c>
      <c r="C972" t="str">
        <f>HYPERLINK("https://us2.cloudbeds.com/connect/8493803454333002#/reservations/598471729292?display=E1DB72K6&amp;reservation_id=598471729292", "E1DB72K6")</f>
        <v>E1DB72K6</v>
      </c>
      <c r="D972" t="s">
        <v>45</v>
      </c>
      <c r="E972" t="s">
        <v>223</v>
      </c>
      <c r="F972" t="s">
        <v>47</v>
      </c>
      <c r="G972" t="s">
        <v>48</v>
      </c>
      <c r="H972" t="s">
        <v>49</v>
      </c>
      <c r="I972" t="s">
        <v>62</v>
      </c>
      <c r="J972" t="s">
        <v>354</v>
      </c>
      <c r="K972" t="s">
        <v>938</v>
      </c>
      <c r="L972" t="s">
        <v>53</v>
      </c>
      <c r="N972" t="s">
        <v>1836</v>
      </c>
      <c r="P972" t="s">
        <v>55</v>
      </c>
      <c r="R972" t="s">
        <v>56</v>
      </c>
      <c r="T972" t="s">
        <v>1828</v>
      </c>
      <c r="U972" t="s">
        <v>58</v>
      </c>
      <c r="V972">
        <v>1</v>
      </c>
      <c r="W972">
        <v>1</v>
      </c>
      <c r="X972">
        <v>1</v>
      </c>
      <c r="Y972">
        <v>0</v>
      </c>
      <c r="Z972">
        <v>1</v>
      </c>
      <c r="AA972">
        <v>0</v>
      </c>
      <c r="AB972">
        <v>119.33</v>
      </c>
      <c r="AC972">
        <v>105</v>
      </c>
      <c r="AD972">
        <v>0</v>
      </c>
      <c r="AE972">
        <v>14.34</v>
      </c>
      <c r="AF972">
        <v>0</v>
      </c>
      <c r="AG972">
        <v>0</v>
      </c>
      <c r="AH972">
        <v>0</v>
      </c>
      <c r="AI972">
        <v>17.899999999999999</v>
      </c>
      <c r="AJ972">
        <v>119.34</v>
      </c>
      <c r="AK972">
        <v>0.01</v>
      </c>
      <c r="AL972" t="s">
        <v>53</v>
      </c>
      <c r="AM972" t="s">
        <v>53</v>
      </c>
      <c r="AN972" t="s">
        <v>245</v>
      </c>
      <c r="AO972" t="s">
        <v>53</v>
      </c>
      <c r="AP972" t="s">
        <v>53</v>
      </c>
    </row>
    <row r="973" spans="2:42" x14ac:dyDescent="0.2">
      <c r="B973" t="s">
        <v>44</v>
      </c>
      <c r="C973" t="str">
        <f>HYPERLINK("https://us2.cloudbeds.com/connect/8493803454333002#/reservations/598347612288?display=E1A5X7HN&amp;reservation_id=598347612288", "E1A5X7HN")</f>
        <v>E1A5X7HN</v>
      </c>
      <c r="D973" t="s">
        <v>45</v>
      </c>
      <c r="E973" t="s">
        <v>69</v>
      </c>
      <c r="F973" t="s">
        <v>70</v>
      </c>
      <c r="G973" t="s">
        <v>48</v>
      </c>
      <c r="H973" t="s">
        <v>49</v>
      </c>
      <c r="I973" t="s">
        <v>62</v>
      </c>
      <c r="J973" t="s">
        <v>167</v>
      </c>
      <c r="K973" t="s">
        <v>746</v>
      </c>
      <c r="L973" t="s">
        <v>53</v>
      </c>
      <c r="N973" t="s">
        <v>1837</v>
      </c>
      <c r="P973" t="s">
        <v>55</v>
      </c>
      <c r="R973" t="s">
        <v>56</v>
      </c>
      <c r="T973" t="s">
        <v>1828</v>
      </c>
      <c r="U973" t="s">
        <v>58</v>
      </c>
      <c r="V973">
        <v>2</v>
      </c>
      <c r="W973">
        <v>1</v>
      </c>
      <c r="X973">
        <v>1</v>
      </c>
      <c r="Y973">
        <v>0</v>
      </c>
      <c r="Z973">
        <v>1</v>
      </c>
      <c r="AA973">
        <v>0</v>
      </c>
      <c r="AB973">
        <v>157.52000000000001</v>
      </c>
      <c r="AC973">
        <v>138.6</v>
      </c>
      <c r="AD973">
        <v>0</v>
      </c>
      <c r="AE973">
        <v>18.940000000000001</v>
      </c>
      <c r="AF973">
        <v>0</v>
      </c>
      <c r="AG973">
        <v>0</v>
      </c>
      <c r="AH973">
        <v>0</v>
      </c>
      <c r="AI973">
        <v>23.63</v>
      </c>
      <c r="AJ973">
        <v>157.54</v>
      </c>
      <c r="AK973">
        <v>0.02</v>
      </c>
      <c r="AL973" t="s">
        <v>53</v>
      </c>
      <c r="AM973" t="s">
        <v>53</v>
      </c>
      <c r="AN973" t="s">
        <v>442</v>
      </c>
      <c r="AO973" t="s">
        <v>53</v>
      </c>
      <c r="AP973" t="s">
        <v>53</v>
      </c>
    </row>
    <row r="974" spans="2:42" x14ac:dyDescent="0.2">
      <c r="B974" t="s">
        <v>44</v>
      </c>
      <c r="C974" t="str">
        <f>HYPERLINK("https://us2.cloudbeds.com/connect/8493803454333002#/reservations/597720739993?display=E0R4VMUZ&amp;reservation_id=597720739993", "E0R4VMUZ")</f>
        <v>E0R4VMUZ</v>
      </c>
      <c r="D974" t="s">
        <v>45</v>
      </c>
      <c r="E974" t="s">
        <v>406</v>
      </c>
      <c r="F974" t="s">
        <v>61</v>
      </c>
      <c r="G974" t="s">
        <v>48</v>
      </c>
      <c r="H974" t="s">
        <v>71</v>
      </c>
      <c r="I974" t="s">
        <v>72</v>
      </c>
      <c r="J974" t="s">
        <v>167</v>
      </c>
      <c r="K974" t="s">
        <v>791</v>
      </c>
      <c r="L974" t="s">
        <v>53</v>
      </c>
      <c r="N974" t="s">
        <v>1838</v>
      </c>
      <c r="P974" t="s">
        <v>55</v>
      </c>
      <c r="R974" t="s">
        <v>56</v>
      </c>
      <c r="T974" t="s">
        <v>1839</v>
      </c>
      <c r="U974" t="s">
        <v>58</v>
      </c>
      <c r="V974">
        <v>1</v>
      </c>
      <c r="W974">
        <v>1</v>
      </c>
      <c r="X974">
        <v>1</v>
      </c>
      <c r="Y974">
        <v>0</v>
      </c>
      <c r="Z974">
        <v>1</v>
      </c>
      <c r="AA974">
        <v>0</v>
      </c>
      <c r="AB974">
        <v>94.33</v>
      </c>
      <c r="AC974">
        <v>83</v>
      </c>
      <c r="AD974">
        <v>0</v>
      </c>
      <c r="AE974">
        <v>11.34</v>
      </c>
      <c r="AF974">
        <v>0</v>
      </c>
      <c r="AG974">
        <v>0</v>
      </c>
      <c r="AH974">
        <v>0</v>
      </c>
      <c r="AI974">
        <v>0</v>
      </c>
      <c r="AJ974">
        <v>94.34</v>
      </c>
      <c r="AK974">
        <v>0.01</v>
      </c>
      <c r="AL974" t="s">
        <v>53</v>
      </c>
      <c r="AM974" t="s">
        <v>53</v>
      </c>
      <c r="AN974" t="s">
        <v>1840</v>
      </c>
      <c r="AO974" t="s">
        <v>53</v>
      </c>
      <c r="AP974" t="s">
        <v>53</v>
      </c>
    </row>
    <row r="975" spans="2:42" x14ac:dyDescent="0.2">
      <c r="B975" t="s">
        <v>44</v>
      </c>
      <c r="C975" t="str">
        <f>HYPERLINK("https://us2.cloudbeds.com/connect/8493803454333002#/reservations/579349270767?display=DJJNYFU2&amp;reservation_id=579349270767", "DJJNYFU2")</f>
        <v>DJJNYFU2</v>
      </c>
      <c r="D975" t="s">
        <v>45</v>
      </c>
      <c r="E975" t="s">
        <v>406</v>
      </c>
      <c r="F975" t="s">
        <v>61</v>
      </c>
      <c r="G975" t="s">
        <v>48</v>
      </c>
      <c r="H975" t="s">
        <v>49</v>
      </c>
      <c r="I975" t="s">
        <v>50</v>
      </c>
      <c r="J975" t="s">
        <v>1477</v>
      </c>
      <c r="K975" t="s">
        <v>1665</v>
      </c>
      <c r="L975" t="s">
        <v>53</v>
      </c>
      <c r="N975" t="s">
        <v>1841</v>
      </c>
      <c r="P975" t="s">
        <v>55</v>
      </c>
      <c r="R975" t="s">
        <v>56</v>
      </c>
      <c r="T975" t="s">
        <v>1839</v>
      </c>
      <c r="U975" t="s">
        <v>58</v>
      </c>
      <c r="V975">
        <v>2</v>
      </c>
      <c r="W975">
        <v>1</v>
      </c>
      <c r="X975">
        <v>1</v>
      </c>
      <c r="Y975">
        <v>0</v>
      </c>
      <c r="Z975">
        <v>1</v>
      </c>
      <c r="AA975">
        <v>0</v>
      </c>
      <c r="AB975">
        <v>315.45999999999998</v>
      </c>
      <c r="AC975">
        <v>277.56</v>
      </c>
      <c r="AD975">
        <v>0</v>
      </c>
      <c r="AE975">
        <v>37.9</v>
      </c>
      <c r="AF975">
        <v>0</v>
      </c>
      <c r="AG975">
        <v>0</v>
      </c>
      <c r="AH975">
        <v>0</v>
      </c>
      <c r="AI975">
        <v>56.78</v>
      </c>
      <c r="AJ975">
        <v>315.45999999999998</v>
      </c>
      <c r="AK975">
        <v>0</v>
      </c>
      <c r="AL975" t="s">
        <v>53</v>
      </c>
      <c r="AM975" t="s">
        <v>53</v>
      </c>
      <c r="AN975" t="s">
        <v>127</v>
      </c>
      <c r="AO975" t="s">
        <v>53</v>
      </c>
      <c r="AP975" t="s">
        <v>53</v>
      </c>
    </row>
    <row r="976" spans="2:42" x14ac:dyDescent="0.2">
      <c r="B976" t="s">
        <v>44</v>
      </c>
      <c r="C976" t="str">
        <f>HYPERLINK("https://us2.cloudbeds.com/connect/8493803454333002#/reservations/598523125963?display=E1EYX8R3&amp;reservation_id=598523125963", "E1EYX8R3")</f>
        <v>E1EYX8R3</v>
      </c>
      <c r="D976" t="s">
        <v>45</v>
      </c>
      <c r="E976" t="s">
        <v>92</v>
      </c>
      <c r="F976" t="s">
        <v>86</v>
      </c>
      <c r="G976" t="s">
        <v>48</v>
      </c>
      <c r="H976" t="s">
        <v>49</v>
      </c>
      <c r="I976" t="s">
        <v>62</v>
      </c>
      <c r="J976" t="s">
        <v>538</v>
      </c>
      <c r="K976" t="s">
        <v>295</v>
      </c>
      <c r="L976" t="s">
        <v>53</v>
      </c>
      <c r="N976" t="s">
        <v>1842</v>
      </c>
      <c r="P976" t="s">
        <v>55</v>
      </c>
      <c r="R976" t="s">
        <v>56</v>
      </c>
      <c r="T976" t="s">
        <v>1839</v>
      </c>
      <c r="U976" t="s">
        <v>58</v>
      </c>
      <c r="V976">
        <v>2</v>
      </c>
      <c r="W976">
        <v>1</v>
      </c>
      <c r="X976">
        <v>1</v>
      </c>
      <c r="Y976">
        <v>0</v>
      </c>
      <c r="Z976">
        <v>1</v>
      </c>
      <c r="AA976">
        <v>0</v>
      </c>
      <c r="AB976">
        <v>287.52999999999997</v>
      </c>
      <c r="AC976">
        <v>253</v>
      </c>
      <c r="AD976">
        <v>0</v>
      </c>
      <c r="AE976">
        <v>34.54</v>
      </c>
      <c r="AF976">
        <v>0</v>
      </c>
      <c r="AG976">
        <v>0</v>
      </c>
      <c r="AH976">
        <v>0</v>
      </c>
      <c r="AI976">
        <v>43.13</v>
      </c>
      <c r="AJ976">
        <v>287.54000000000002</v>
      </c>
      <c r="AK976">
        <v>0.01</v>
      </c>
      <c r="AL976" t="s">
        <v>53</v>
      </c>
      <c r="AM976" t="s">
        <v>53</v>
      </c>
      <c r="AN976" t="s">
        <v>1843</v>
      </c>
      <c r="AO976" t="s">
        <v>53</v>
      </c>
      <c r="AP976" t="s">
        <v>53</v>
      </c>
    </row>
    <row r="977" spans="2:42" x14ac:dyDescent="0.2">
      <c r="B977" t="s">
        <v>44</v>
      </c>
      <c r="C977" t="str">
        <f>HYPERLINK("https://us2.cloudbeds.com/connect/8493803454333002#/reservations/598279602381?display=E18E6SHK&amp;reservation_id=598279602381", "E18E6SHK")</f>
        <v>E18E6SHK</v>
      </c>
      <c r="D977" t="s">
        <v>45</v>
      </c>
      <c r="E977" t="s">
        <v>190</v>
      </c>
      <c r="F977" t="s">
        <v>61</v>
      </c>
      <c r="G977" t="s">
        <v>48</v>
      </c>
      <c r="H977" t="s">
        <v>49</v>
      </c>
      <c r="I977" t="s">
        <v>79</v>
      </c>
      <c r="J977" t="s">
        <v>166</v>
      </c>
      <c r="K977" t="s">
        <v>746</v>
      </c>
      <c r="L977" t="s">
        <v>53</v>
      </c>
      <c r="N977" t="s">
        <v>1844</v>
      </c>
      <c r="P977" t="s">
        <v>55</v>
      </c>
      <c r="R977" t="s">
        <v>56</v>
      </c>
      <c r="T977" t="s">
        <v>1839</v>
      </c>
      <c r="U977" t="s">
        <v>58</v>
      </c>
      <c r="V977">
        <v>3</v>
      </c>
      <c r="W977">
        <v>1</v>
      </c>
      <c r="X977">
        <v>1</v>
      </c>
      <c r="Y977">
        <v>0</v>
      </c>
      <c r="Z977">
        <v>1</v>
      </c>
      <c r="AA977">
        <v>0</v>
      </c>
      <c r="AB977">
        <v>256.74</v>
      </c>
      <c r="AC977">
        <v>225.9</v>
      </c>
      <c r="AD977">
        <v>0</v>
      </c>
      <c r="AE977">
        <v>30.84</v>
      </c>
      <c r="AF977">
        <v>0</v>
      </c>
      <c r="AG977">
        <v>0</v>
      </c>
      <c r="AH977">
        <v>0</v>
      </c>
      <c r="AI977">
        <v>0</v>
      </c>
      <c r="AJ977">
        <v>256.74</v>
      </c>
      <c r="AK977">
        <v>0</v>
      </c>
      <c r="AL977" t="s">
        <v>53</v>
      </c>
      <c r="AM977" t="s">
        <v>53</v>
      </c>
      <c r="AN977" t="s">
        <v>225</v>
      </c>
      <c r="AO977" t="s">
        <v>53</v>
      </c>
      <c r="AP977" t="s">
        <v>53</v>
      </c>
    </row>
    <row r="978" spans="2:42" x14ac:dyDescent="0.2">
      <c r="B978" t="s">
        <v>44</v>
      </c>
      <c r="C978" t="str">
        <f>HYPERLINK("https://us2.cloudbeds.com/connect/8493803454333002#/reservations/579346317472?display=DJJY59W9&amp;reservation_id=579346317472", "DJJY59W9")</f>
        <v>DJJY59W9</v>
      </c>
      <c r="D978" t="s">
        <v>45</v>
      </c>
      <c r="E978" t="s">
        <v>487</v>
      </c>
      <c r="F978" t="s">
        <v>61</v>
      </c>
      <c r="G978" t="s">
        <v>48</v>
      </c>
      <c r="H978" t="s">
        <v>49</v>
      </c>
      <c r="I978" t="s">
        <v>50</v>
      </c>
      <c r="J978" t="s">
        <v>1477</v>
      </c>
      <c r="K978" t="s">
        <v>1665</v>
      </c>
      <c r="L978" t="s">
        <v>53</v>
      </c>
      <c r="N978" t="s">
        <v>1845</v>
      </c>
      <c r="P978" t="s">
        <v>55</v>
      </c>
      <c r="R978" t="s">
        <v>56</v>
      </c>
      <c r="T978" t="s">
        <v>1839</v>
      </c>
      <c r="U978" t="s">
        <v>58</v>
      </c>
      <c r="V978">
        <v>2</v>
      </c>
      <c r="W978">
        <v>1</v>
      </c>
      <c r="X978">
        <v>1</v>
      </c>
      <c r="Y978">
        <v>0</v>
      </c>
      <c r="Z978">
        <v>1</v>
      </c>
      <c r="AA978">
        <v>0</v>
      </c>
      <c r="AB978">
        <v>315.45999999999998</v>
      </c>
      <c r="AC978">
        <v>277.56</v>
      </c>
      <c r="AD978">
        <v>0</v>
      </c>
      <c r="AE978">
        <v>37.9</v>
      </c>
      <c r="AF978">
        <v>0</v>
      </c>
      <c r="AG978">
        <v>0</v>
      </c>
      <c r="AH978">
        <v>0</v>
      </c>
      <c r="AI978">
        <v>56.78</v>
      </c>
      <c r="AJ978">
        <v>315.45999999999998</v>
      </c>
      <c r="AK978">
        <v>0</v>
      </c>
      <c r="AL978" t="s">
        <v>53</v>
      </c>
      <c r="AM978" t="s">
        <v>53</v>
      </c>
      <c r="AN978" t="s">
        <v>349</v>
      </c>
      <c r="AO978" t="s">
        <v>53</v>
      </c>
      <c r="AP978" t="s">
        <v>53</v>
      </c>
    </row>
    <row r="979" spans="2:42" x14ac:dyDescent="0.2">
      <c r="B979" t="s">
        <v>44</v>
      </c>
      <c r="C979" t="str">
        <f>HYPERLINK("https://us2.cloudbeds.com/connect/8493803454333002#/reservations/598328000764?display=E19M0KG9&amp;reservation_id=598328000764", "E19M0KG9")</f>
        <v>E19M0KG9</v>
      </c>
      <c r="D979" t="s">
        <v>45</v>
      </c>
      <c r="E979" t="s">
        <v>165</v>
      </c>
      <c r="F979" t="s">
        <v>61</v>
      </c>
      <c r="G979" t="s">
        <v>48</v>
      </c>
      <c r="H979" t="s">
        <v>49</v>
      </c>
      <c r="I979" t="s">
        <v>79</v>
      </c>
      <c r="J979" t="s">
        <v>167</v>
      </c>
      <c r="K979" t="s">
        <v>746</v>
      </c>
      <c r="L979" t="s">
        <v>53</v>
      </c>
      <c r="N979" t="s">
        <v>1846</v>
      </c>
      <c r="P979" t="s">
        <v>55</v>
      </c>
      <c r="R979" t="s">
        <v>56</v>
      </c>
      <c r="T979" t="s">
        <v>1839</v>
      </c>
      <c r="U979" t="s">
        <v>58</v>
      </c>
      <c r="V979">
        <v>2</v>
      </c>
      <c r="W979">
        <v>1</v>
      </c>
      <c r="X979">
        <v>1</v>
      </c>
      <c r="Y979">
        <v>0</v>
      </c>
      <c r="Z979">
        <v>1</v>
      </c>
      <c r="AA979">
        <v>0</v>
      </c>
      <c r="AB979">
        <v>177.98</v>
      </c>
      <c r="AC979">
        <v>156.6</v>
      </c>
      <c r="AD979">
        <v>0</v>
      </c>
      <c r="AE979">
        <v>21.38</v>
      </c>
      <c r="AF979">
        <v>0</v>
      </c>
      <c r="AG979">
        <v>0</v>
      </c>
      <c r="AH979">
        <v>0</v>
      </c>
      <c r="AI979">
        <v>0</v>
      </c>
      <c r="AJ979">
        <v>177.98</v>
      </c>
      <c r="AK979">
        <v>0</v>
      </c>
      <c r="AL979" t="s">
        <v>53</v>
      </c>
      <c r="AM979" t="s">
        <v>53</v>
      </c>
      <c r="AN979" t="s">
        <v>1847</v>
      </c>
      <c r="AO979" t="s">
        <v>53</v>
      </c>
      <c r="AP979" t="s">
        <v>53</v>
      </c>
    </row>
    <row r="980" spans="2:42" x14ac:dyDescent="0.2">
      <c r="B980" t="s">
        <v>44</v>
      </c>
      <c r="C980" t="str">
        <f>HYPERLINK("https://us2.cloudbeds.com/connect/8493803454333002#/reservations/597985636554?display=E10UARF7&amp;reservation_id=597985636554", "E10UARF7")</f>
        <v>E10UARF7</v>
      </c>
      <c r="D980" t="s">
        <v>45</v>
      </c>
      <c r="E980" t="s">
        <v>487</v>
      </c>
      <c r="F980" t="s">
        <v>61</v>
      </c>
      <c r="G980" t="s">
        <v>48</v>
      </c>
      <c r="H980" t="s">
        <v>49</v>
      </c>
      <c r="I980" t="s">
        <v>79</v>
      </c>
      <c r="J980" t="s">
        <v>181</v>
      </c>
      <c r="K980" t="s">
        <v>122</v>
      </c>
      <c r="L980" t="s">
        <v>53</v>
      </c>
      <c r="N980" t="s">
        <v>1848</v>
      </c>
      <c r="P980" t="s">
        <v>55</v>
      </c>
      <c r="R980" t="s">
        <v>56</v>
      </c>
      <c r="T980" t="s">
        <v>1839</v>
      </c>
      <c r="U980" t="s">
        <v>58</v>
      </c>
      <c r="V980">
        <v>1</v>
      </c>
      <c r="W980">
        <v>1</v>
      </c>
      <c r="X980">
        <v>1</v>
      </c>
      <c r="Y980">
        <v>0</v>
      </c>
      <c r="Z980">
        <v>1</v>
      </c>
      <c r="AA980">
        <v>0</v>
      </c>
      <c r="AB980">
        <v>151.38</v>
      </c>
      <c r="AC980">
        <v>133.19999999999999</v>
      </c>
      <c r="AD980">
        <v>0</v>
      </c>
      <c r="AE980">
        <v>18.170000000000002</v>
      </c>
      <c r="AF980">
        <v>0</v>
      </c>
      <c r="AG980">
        <v>0</v>
      </c>
      <c r="AH980">
        <v>0</v>
      </c>
      <c r="AI980">
        <v>0</v>
      </c>
      <c r="AJ980">
        <v>151.37</v>
      </c>
      <c r="AK980">
        <v>-0.01</v>
      </c>
      <c r="AL980" t="s">
        <v>53</v>
      </c>
      <c r="AM980" t="s">
        <v>53</v>
      </c>
      <c r="AN980" t="s">
        <v>332</v>
      </c>
      <c r="AO980" t="s">
        <v>53</v>
      </c>
      <c r="AP980" t="s">
        <v>53</v>
      </c>
    </row>
    <row r="981" spans="2:42" x14ac:dyDescent="0.2">
      <c r="B981" t="s">
        <v>44</v>
      </c>
      <c r="C981" t="str">
        <f>HYPERLINK("https://us2.cloudbeds.com/connect/8493803454333002#/reservations/598408446200?display=E1BNS4DP&amp;reservation_id=598408446200", "E1BNS4DP")</f>
        <v>E1BNS4DP</v>
      </c>
      <c r="D981" t="s">
        <v>45</v>
      </c>
      <c r="E981" t="s">
        <v>69</v>
      </c>
      <c r="F981" t="s">
        <v>70</v>
      </c>
      <c r="G981" t="s">
        <v>48</v>
      </c>
      <c r="H981" t="s">
        <v>49</v>
      </c>
      <c r="I981" t="s">
        <v>50</v>
      </c>
      <c r="J981" t="s">
        <v>1117</v>
      </c>
      <c r="K981" t="s">
        <v>699</v>
      </c>
      <c r="L981" t="s">
        <v>53</v>
      </c>
      <c r="N981" t="s">
        <v>1849</v>
      </c>
      <c r="P981" t="s">
        <v>55</v>
      </c>
      <c r="R981" t="s">
        <v>56</v>
      </c>
      <c r="T981" t="s">
        <v>1850</v>
      </c>
      <c r="U981" t="s">
        <v>58</v>
      </c>
      <c r="V981">
        <v>1</v>
      </c>
      <c r="W981">
        <v>1</v>
      </c>
      <c r="X981">
        <v>1</v>
      </c>
      <c r="Y981">
        <v>0</v>
      </c>
      <c r="Z981">
        <v>1</v>
      </c>
      <c r="AA981">
        <v>0</v>
      </c>
      <c r="AB981">
        <v>95.13</v>
      </c>
      <c r="AC981">
        <v>83.7</v>
      </c>
      <c r="AD981">
        <v>0</v>
      </c>
      <c r="AE981">
        <v>11.42</v>
      </c>
      <c r="AF981">
        <v>0</v>
      </c>
      <c r="AG981">
        <v>0</v>
      </c>
      <c r="AH981">
        <v>0</v>
      </c>
      <c r="AI981">
        <v>17.12</v>
      </c>
      <c r="AJ981">
        <v>95.12</v>
      </c>
      <c r="AK981">
        <v>-0.01</v>
      </c>
      <c r="AL981" t="s">
        <v>53</v>
      </c>
      <c r="AM981" t="s">
        <v>53</v>
      </c>
      <c r="AN981" t="s">
        <v>59</v>
      </c>
      <c r="AO981" t="s">
        <v>53</v>
      </c>
      <c r="AP981" t="s">
        <v>53</v>
      </c>
    </row>
    <row r="982" spans="2:42" x14ac:dyDescent="0.2">
      <c r="B982" t="s">
        <v>44</v>
      </c>
      <c r="C982" t="str">
        <f>HYPERLINK("https://us2.cloudbeds.com/connect/8493803454333002#/reservations/598247657660?display=E17K8VHP&amp;reservation_id=598247657660", "E17K8VHP")</f>
        <v>E17K8VHP</v>
      </c>
      <c r="D982" t="s">
        <v>45</v>
      </c>
      <c r="E982" t="s">
        <v>46</v>
      </c>
      <c r="F982" t="s">
        <v>47</v>
      </c>
      <c r="G982" t="s">
        <v>48</v>
      </c>
      <c r="H982" t="s">
        <v>49</v>
      </c>
      <c r="I982" t="s">
        <v>50</v>
      </c>
      <c r="J982" t="s">
        <v>327</v>
      </c>
      <c r="K982" t="s">
        <v>970</v>
      </c>
      <c r="L982" t="s">
        <v>53</v>
      </c>
      <c r="N982" t="s">
        <v>1851</v>
      </c>
      <c r="P982" t="s">
        <v>55</v>
      </c>
      <c r="R982" t="s">
        <v>56</v>
      </c>
      <c r="T982" t="s">
        <v>1850</v>
      </c>
      <c r="U982" t="s">
        <v>58</v>
      </c>
      <c r="V982">
        <v>1</v>
      </c>
      <c r="W982">
        <v>1</v>
      </c>
      <c r="X982">
        <v>1</v>
      </c>
      <c r="Y982">
        <v>0</v>
      </c>
      <c r="Z982">
        <v>1</v>
      </c>
      <c r="AA982">
        <v>0</v>
      </c>
      <c r="AB982">
        <v>141.15</v>
      </c>
      <c r="AC982">
        <v>124.2</v>
      </c>
      <c r="AD982">
        <v>0</v>
      </c>
      <c r="AE982">
        <v>16.95</v>
      </c>
      <c r="AF982">
        <v>0</v>
      </c>
      <c r="AG982">
        <v>0</v>
      </c>
      <c r="AH982">
        <v>0</v>
      </c>
      <c r="AI982">
        <v>25.41</v>
      </c>
      <c r="AJ982">
        <v>141.15</v>
      </c>
      <c r="AK982">
        <v>0</v>
      </c>
      <c r="AL982" t="s">
        <v>53</v>
      </c>
      <c r="AM982" t="s">
        <v>53</v>
      </c>
      <c r="AN982" t="s">
        <v>59</v>
      </c>
      <c r="AO982" t="s">
        <v>53</v>
      </c>
      <c r="AP982" t="s">
        <v>53</v>
      </c>
    </row>
    <row r="983" spans="2:42" x14ac:dyDescent="0.2">
      <c r="B983" t="s">
        <v>44</v>
      </c>
      <c r="C983" t="str">
        <f>HYPERLINK("https://us2.cloudbeds.com/connect/8493803454333002#/reservations/598583685274?display=E1G6KDRZ&amp;reservation_id=598583685274", "E1G6KDRZ")</f>
        <v>E1G6KDRZ</v>
      </c>
      <c r="D983" t="s">
        <v>45</v>
      </c>
      <c r="E983" t="s">
        <v>105</v>
      </c>
      <c r="F983" t="s">
        <v>47</v>
      </c>
      <c r="G983" t="s">
        <v>48</v>
      </c>
      <c r="H983" t="s">
        <v>49</v>
      </c>
      <c r="I983" t="s">
        <v>79</v>
      </c>
      <c r="J983" t="s">
        <v>791</v>
      </c>
      <c r="K983" t="s">
        <v>746</v>
      </c>
      <c r="L983" t="s">
        <v>53</v>
      </c>
      <c r="N983" t="s">
        <v>1852</v>
      </c>
      <c r="P983" t="s">
        <v>55</v>
      </c>
      <c r="R983" t="s">
        <v>56</v>
      </c>
      <c r="T983" t="s">
        <v>1850</v>
      </c>
      <c r="U983" t="s">
        <v>58</v>
      </c>
      <c r="V983">
        <v>1</v>
      </c>
      <c r="W983">
        <v>1</v>
      </c>
      <c r="X983">
        <v>1</v>
      </c>
      <c r="Y983">
        <v>0</v>
      </c>
      <c r="Z983">
        <v>1</v>
      </c>
      <c r="AA983">
        <v>0</v>
      </c>
      <c r="AB983">
        <v>78.760000000000005</v>
      </c>
      <c r="AC983">
        <v>69.3</v>
      </c>
      <c r="AD983">
        <v>0</v>
      </c>
      <c r="AE983">
        <v>9.4700000000000006</v>
      </c>
      <c r="AF983">
        <v>0</v>
      </c>
      <c r="AG983">
        <v>0</v>
      </c>
      <c r="AH983">
        <v>0</v>
      </c>
      <c r="AI983">
        <v>0</v>
      </c>
      <c r="AJ983">
        <v>78.77</v>
      </c>
      <c r="AK983">
        <v>0.01</v>
      </c>
      <c r="AL983" t="s">
        <v>53</v>
      </c>
      <c r="AM983" t="s">
        <v>53</v>
      </c>
      <c r="AN983" t="s">
        <v>142</v>
      </c>
      <c r="AO983" t="s">
        <v>53</v>
      </c>
      <c r="AP983" t="s">
        <v>53</v>
      </c>
    </row>
    <row r="984" spans="2:42" x14ac:dyDescent="0.2">
      <c r="B984" t="s">
        <v>44</v>
      </c>
      <c r="C984" t="str">
        <f>HYPERLINK("https://us2.cloudbeds.com/connect/8493803454333002#/reservations/598582370507?display=E1G5GRHA&amp;reservation_id=598582370507", "E1G5GRHA")</f>
        <v>E1G5GRHA</v>
      </c>
      <c r="D984" t="s">
        <v>45</v>
      </c>
      <c r="E984" t="s">
        <v>190</v>
      </c>
      <c r="F984" t="s">
        <v>61</v>
      </c>
      <c r="G984" t="s">
        <v>48</v>
      </c>
      <c r="H984" t="s">
        <v>49</v>
      </c>
      <c r="I984" t="s">
        <v>50</v>
      </c>
      <c r="J984" t="s">
        <v>618</v>
      </c>
      <c r="K984" t="s">
        <v>106</v>
      </c>
      <c r="L984" t="s">
        <v>53</v>
      </c>
      <c r="N984" t="s">
        <v>1853</v>
      </c>
      <c r="P984" t="s">
        <v>55</v>
      </c>
      <c r="R984" t="s">
        <v>56</v>
      </c>
      <c r="T984" t="s">
        <v>1850</v>
      </c>
      <c r="U984" t="s">
        <v>58</v>
      </c>
      <c r="V984">
        <v>2</v>
      </c>
      <c r="W984">
        <v>1</v>
      </c>
      <c r="X984">
        <v>1</v>
      </c>
      <c r="Y984">
        <v>0</v>
      </c>
      <c r="Z984">
        <v>1</v>
      </c>
      <c r="AA984">
        <v>0</v>
      </c>
      <c r="AB984">
        <v>225.03</v>
      </c>
      <c r="AC984">
        <v>198</v>
      </c>
      <c r="AD984">
        <v>0</v>
      </c>
      <c r="AE984">
        <v>27.04</v>
      </c>
      <c r="AF984">
        <v>0</v>
      </c>
      <c r="AG984">
        <v>0</v>
      </c>
      <c r="AH984">
        <v>0</v>
      </c>
      <c r="AI984">
        <v>40.51</v>
      </c>
      <c r="AJ984">
        <v>225.04</v>
      </c>
      <c r="AK984">
        <v>0.01</v>
      </c>
      <c r="AL984" t="s">
        <v>53</v>
      </c>
      <c r="AM984" t="s">
        <v>53</v>
      </c>
      <c r="AN984" t="s">
        <v>132</v>
      </c>
      <c r="AO984" t="s">
        <v>53</v>
      </c>
      <c r="AP984" t="s">
        <v>53</v>
      </c>
    </row>
    <row r="985" spans="2:42" x14ac:dyDescent="0.2">
      <c r="B985" t="s">
        <v>44</v>
      </c>
      <c r="C985" t="str">
        <f>HYPERLINK("https://us2.cloudbeds.com/connect/8493803454333002#/reservations/598113845414?display=E146EE97&amp;reservation_id=598113845414", "E146EE97")</f>
        <v>E146EE97</v>
      </c>
      <c r="D985" t="s">
        <v>45</v>
      </c>
      <c r="E985" t="s">
        <v>92</v>
      </c>
      <c r="F985" t="s">
        <v>86</v>
      </c>
      <c r="G985" t="s">
        <v>48</v>
      </c>
      <c r="H985" t="s">
        <v>71</v>
      </c>
      <c r="I985" t="s">
        <v>72</v>
      </c>
      <c r="J985" t="s">
        <v>791</v>
      </c>
      <c r="K985" t="s">
        <v>746</v>
      </c>
      <c r="L985" t="s">
        <v>53</v>
      </c>
      <c r="N985" t="s">
        <v>1854</v>
      </c>
      <c r="P985" t="s">
        <v>55</v>
      </c>
      <c r="R985" t="s">
        <v>56</v>
      </c>
      <c r="T985" t="s">
        <v>1850</v>
      </c>
      <c r="U985" t="s">
        <v>58</v>
      </c>
      <c r="V985">
        <v>1</v>
      </c>
      <c r="W985">
        <v>1</v>
      </c>
      <c r="X985">
        <v>1</v>
      </c>
      <c r="Y985">
        <v>0</v>
      </c>
      <c r="Z985">
        <v>1</v>
      </c>
      <c r="AA985">
        <v>0</v>
      </c>
      <c r="AB985">
        <v>104.56</v>
      </c>
      <c r="AC985">
        <v>92</v>
      </c>
      <c r="AD985">
        <v>0</v>
      </c>
      <c r="AE985">
        <v>12.56</v>
      </c>
      <c r="AF985">
        <v>0</v>
      </c>
      <c r="AG985">
        <v>0</v>
      </c>
      <c r="AH985">
        <v>0</v>
      </c>
      <c r="AI985">
        <v>0</v>
      </c>
      <c r="AJ985">
        <v>104.56</v>
      </c>
      <c r="AK985">
        <v>0</v>
      </c>
      <c r="AL985" t="s">
        <v>53</v>
      </c>
      <c r="AM985" t="s">
        <v>53</v>
      </c>
      <c r="AN985" t="s">
        <v>1855</v>
      </c>
      <c r="AO985" t="s">
        <v>53</v>
      </c>
      <c r="AP985" t="s">
        <v>53</v>
      </c>
    </row>
    <row r="986" spans="2:42" x14ac:dyDescent="0.2">
      <c r="B986" t="s">
        <v>44</v>
      </c>
      <c r="C986" t="str">
        <f>HYPERLINK("https://us2.cloudbeds.com/connect/8493803454333002#/reservations/598428545173?display=E1C7QDPX&amp;reservation_id=598428545173", "E1C7QDPX")</f>
        <v>E1C7QDPX</v>
      </c>
      <c r="D986" t="s">
        <v>45</v>
      </c>
      <c r="E986" t="s">
        <v>381</v>
      </c>
      <c r="F986" t="s">
        <v>47</v>
      </c>
      <c r="G986" t="s">
        <v>48</v>
      </c>
      <c r="H986" t="s">
        <v>71</v>
      </c>
      <c r="I986" t="s">
        <v>72</v>
      </c>
      <c r="J986" t="s">
        <v>87</v>
      </c>
      <c r="K986" t="s">
        <v>288</v>
      </c>
      <c r="L986" t="s">
        <v>53</v>
      </c>
      <c r="N986" t="s">
        <v>1856</v>
      </c>
      <c r="P986" t="s">
        <v>55</v>
      </c>
      <c r="R986" t="s">
        <v>56</v>
      </c>
      <c r="T986" t="s">
        <v>1850</v>
      </c>
      <c r="U986" t="s">
        <v>58</v>
      </c>
      <c r="V986">
        <v>4</v>
      </c>
      <c r="W986">
        <v>1</v>
      </c>
      <c r="X986">
        <v>1</v>
      </c>
      <c r="Y986">
        <v>0</v>
      </c>
      <c r="Z986">
        <v>1</v>
      </c>
      <c r="AA986">
        <v>0</v>
      </c>
      <c r="AB986">
        <v>602.35</v>
      </c>
      <c r="AC986">
        <v>530</v>
      </c>
      <c r="AD986">
        <v>0</v>
      </c>
      <c r="AE986">
        <v>72.36</v>
      </c>
      <c r="AF986">
        <v>0</v>
      </c>
      <c r="AG986">
        <v>0</v>
      </c>
      <c r="AH986">
        <v>0</v>
      </c>
      <c r="AI986">
        <v>0</v>
      </c>
      <c r="AJ986">
        <v>602.36</v>
      </c>
      <c r="AK986">
        <v>0.01</v>
      </c>
      <c r="AL986" t="s">
        <v>53</v>
      </c>
      <c r="AM986" t="s">
        <v>53</v>
      </c>
      <c r="AN986" t="s">
        <v>1857</v>
      </c>
      <c r="AO986" t="s">
        <v>53</v>
      </c>
      <c r="AP986" t="s">
        <v>53</v>
      </c>
    </row>
    <row r="987" spans="2:42" x14ac:dyDescent="0.2">
      <c r="B987" t="s">
        <v>44</v>
      </c>
      <c r="C987" t="str">
        <f>HYPERLINK("https://us2.cloudbeds.com/connect/8493803454333002#/reservations/579318849757?display=DJXUWW39&amp;reservation_id=579318849757", "DJXUWW39")</f>
        <v>DJXUWW39</v>
      </c>
      <c r="D987" t="s">
        <v>45</v>
      </c>
      <c r="E987" t="s">
        <v>138</v>
      </c>
      <c r="F987" t="s">
        <v>70</v>
      </c>
      <c r="G987" t="s">
        <v>48</v>
      </c>
      <c r="H987" t="s">
        <v>49</v>
      </c>
      <c r="I987" t="s">
        <v>62</v>
      </c>
      <c r="J987" t="s">
        <v>1858</v>
      </c>
      <c r="K987" t="s">
        <v>1610</v>
      </c>
      <c r="L987" t="s">
        <v>53</v>
      </c>
      <c r="N987" t="s">
        <v>1859</v>
      </c>
      <c r="P987" t="s">
        <v>55</v>
      </c>
      <c r="R987" t="s">
        <v>56</v>
      </c>
      <c r="T987" t="s">
        <v>1850</v>
      </c>
      <c r="U987" t="s">
        <v>58</v>
      </c>
      <c r="V987">
        <v>2</v>
      </c>
      <c r="W987">
        <v>1</v>
      </c>
      <c r="X987">
        <v>1</v>
      </c>
      <c r="Y987">
        <v>0</v>
      </c>
      <c r="Z987">
        <v>1</v>
      </c>
      <c r="AA987">
        <v>0</v>
      </c>
      <c r="AB987">
        <v>284.14</v>
      </c>
      <c r="AC987">
        <v>250</v>
      </c>
      <c r="AD987">
        <v>0</v>
      </c>
      <c r="AE987">
        <v>34.14</v>
      </c>
      <c r="AF987">
        <v>0</v>
      </c>
      <c r="AG987">
        <v>0</v>
      </c>
      <c r="AH987">
        <v>0</v>
      </c>
      <c r="AI987">
        <v>42.62</v>
      </c>
      <c r="AJ987">
        <v>284.14</v>
      </c>
      <c r="AK987">
        <v>0</v>
      </c>
      <c r="AL987" t="s">
        <v>53</v>
      </c>
      <c r="AM987" t="s">
        <v>53</v>
      </c>
      <c r="AN987" t="s">
        <v>545</v>
      </c>
      <c r="AO987" t="s">
        <v>53</v>
      </c>
      <c r="AP987" t="s">
        <v>53</v>
      </c>
    </row>
    <row r="988" spans="2:42" x14ac:dyDescent="0.2">
      <c r="B988" t="s">
        <v>44</v>
      </c>
      <c r="C988" t="str">
        <f>HYPERLINK("https://us2.cloudbeds.com/connect/8493803454333002#/reservations/579270160531?display=DJHMV426&amp;reservation_id=579270160531", "DJHMV426")</f>
        <v>DJHMV426</v>
      </c>
      <c r="D988" t="s">
        <v>45</v>
      </c>
      <c r="E988" t="s">
        <v>113</v>
      </c>
      <c r="F988" t="s">
        <v>61</v>
      </c>
      <c r="G988" t="s">
        <v>48</v>
      </c>
      <c r="H988" t="s">
        <v>71</v>
      </c>
      <c r="I988" t="s">
        <v>72</v>
      </c>
      <c r="J988" t="s">
        <v>505</v>
      </c>
      <c r="K988" t="s">
        <v>1367</v>
      </c>
      <c r="L988" t="s">
        <v>53</v>
      </c>
      <c r="N988" t="s">
        <v>1860</v>
      </c>
      <c r="P988" t="s">
        <v>55</v>
      </c>
      <c r="R988" t="s">
        <v>56</v>
      </c>
      <c r="T988" t="s">
        <v>1850</v>
      </c>
      <c r="U988" t="s">
        <v>58</v>
      </c>
      <c r="V988">
        <v>2</v>
      </c>
      <c r="W988">
        <v>1</v>
      </c>
      <c r="X988">
        <v>1</v>
      </c>
      <c r="Y988">
        <v>0</v>
      </c>
      <c r="Z988">
        <v>1</v>
      </c>
      <c r="AA988">
        <v>0</v>
      </c>
      <c r="AB988">
        <v>0</v>
      </c>
      <c r="AC988">
        <v>-40.82</v>
      </c>
      <c r="AD988">
        <v>0</v>
      </c>
      <c r="AE988">
        <v>40.82</v>
      </c>
      <c r="AF988">
        <v>0</v>
      </c>
      <c r="AG988">
        <v>0</v>
      </c>
      <c r="AH988">
        <v>0</v>
      </c>
      <c r="AI988">
        <v>0</v>
      </c>
      <c r="AJ988">
        <v>0</v>
      </c>
      <c r="AK988">
        <v>0</v>
      </c>
      <c r="AL988" t="s">
        <v>53</v>
      </c>
      <c r="AM988" t="s">
        <v>53</v>
      </c>
      <c r="AN988" t="s">
        <v>1861</v>
      </c>
      <c r="AO988" t="s">
        <v>53</v>
      </c>
      <c r="AP988" t="s">
        <v>53</v>
      </c>
    </row>
    <row r="989" spans="2:42" x14ac:dyDescent="0.2">
      <c r="B989" t="s">
        <v>44</v>
      </c>
      <c r="C989" t="str">
        <f>HYPERLINK("https://us2.cloudbeds.com/connect/8493803454333002#/reservations/579139530997?display=DJEBQ5DF&amp;reservation_id=579139530997", "DJEBQ5DF")</f>
        <v>DJEBQ5DF</v>
      </c>
      <c r="D989" t="s">
        <v>45</v>
      </c>
      <c r="E989" t="s">
        <v>381</v>
      </c>
      <c r="F989" t="s">
        <v>47</v>
      </c>
      <c r="G989" t="s">
        <v>48</v>
      </c>
      <c r="H989" t="s">
        <v>49</v>
      </c>
      <c r="I989" t="s">
        <v>79</v>
      </c>
      <c r="J989" t="s">
        <v>1862</v>
      </c>
      <c r="K989" t="s">
        <v>1863</v>
      </c>
      <c r="L989" t="s">
        <v>53</v>
      </c>
      <c r="N989" t="s">
        <v>1864</v>
      </c>
      <c r="P989" t="s">
        <v>55</v>
      </c>
      <c r="R989" t="s">
        <v>56</v>
      </c>
      <c r="T989" t="s">
        <v>1865</v>
      </c>
      <c r="U989" t="s">
        <v>58</v>
      </c>
      <c r="V989">
        <v>2</v>
      </c>
      <c r="W989">
        <v>1</v>
      </c>
      <c r="X989">
        <v>1</v>
      </c>
      <c r="Y989">
        <v>0</v>
      </c>
      <c r="Z989">
        <v>1</v>
      </c>
      <c r="AA989">
        <v>0</v>
      </c>
      <c r="AB989">
        <v>301.76</v>
      </c>
      <c r="AC989">
        <v>265.5</v>
      </c>
      <c r="AD989">
        <v>0</v>
      </c>
      <c r="AE989">
        <v>36.26</v>
      </c>
      <c r="AF989">
        <v>0</v>
      </c>
      <c r="AG989">
        <v>0</v>
      </c>
      <c r="AH989">
        <v>0</v>
      </c>
      <c r="AI989">
        <v>0</v>
      </c>
      <c r="AJ989">
        <v>301.76</v>
      </c>
      <c r="AK989">
        <v>0</v>
      </c>
      <c r="AL989" t="s">
        <v>53</v>
      </c>
      <c r="AM989" t="s">
        <v>53</v>
      </c>
      <c r="AN989" t="s">
        <v>97</v>
      </c>
      <c r="AO989" t="s">
        <v>53</v>
      </c>
      <c r="AP989" t="s">
        <v>53</v>
      </c>
    </row>
    <row r="990" spans="2:42" x14ac:dyDescent="0.2">
      <c r="B990" t="s">
        <v>44</v>
      </c>
      <c r="C990" t="str">
        <f>HYPERLINK("https://us2.cloudbeds.com/connect/8493803454333002#/reservations/598572368067?display=E1FU2GX2&amp;reservation_id=598572368067", "E1FU2GX2")</f>
        <v>E1FU2GX2</v>
      </c>
      <c r="D990" t="s">
        <v>45</v>
      </c>
      <c r="E990" t="s">
        <v>223</v>
      </c>
      <c r="F990" t="s">
        <v>47</v>
      </c>
      <c r="G990" t="s">
        <v>48</v>
      </c>
      <c r="H990" t="s">
        <v>49</v>
      </c>
      <c r="I990" t="s">
        <v>50</v>
      </c>
      <c r="J990" t="s">
        <v>134</v>
      </c>
      <c r="K990" t="s">
        <v>341</v>
      </c>
      <c r="L990" t="s">
        <v>53</v>
      </c>
      <c r="N990" t="s">
        <v>1866</v>
      </c>
      <c r="P990" t="s">
        <v>55</v>
      </c>
      <c r="R990" t="s">
        <v>56</v>
      </c>
      <c r="T990" t="s">
        <v>1865</v>
      </c>
      <c r="U990" t="s">
        <v>58</v>
      </c>
      <c r="V990">
        <v>1</v>
      </c>
      <c r="W990">
        <v>1</v>
      </c>
      <c r="X990">
        <v>1</v>
      </c>
      <c r="Y990">
        <v>0</v>
      </c>
      <c r="Z990">
        <v>1</v>
      </c>
      <c r="AA990">
        <v>0</v>
      </c>
      <c r="AB990">
        <v>141.15</v>
      </c>
      <c r="AC990">
        <v>124.2</v>
      </c>
      <c r="AD990">
        <v>0</v>
      </c>
      <c r="AE990">
        <v>16.95</v>
      </c>
      <c r="AF990">
        <v>0</v>
      </c>
      <c r="AG990">
        <v>0</v>
      </c>
      <c r="AH990">
        <v>0</v>
      </c>
      <c r="AI990">
        <v>25.41</v>
      </c>
      <c r="AJ990">
        <v>141.15</v>
      </c>
      <c r="AK990">
        <v>0</v>
      </c>
      <c r="AL990" t="s">
        <v>53</v>
      </c>
      <c r="AM990" t="s">
        <v>53</v>
      </c>
      <c r="AN990" t="s">
        <v>545</v>
      </c>
      <c r="AO990" t="s">
        <v>53</v>
      </c>
      <c r="AP990" t="s">
        <v>53</v>
      </c>
    </row>
    <row r="991" spans="2:42" x14ac:dyDescent="0.2">
      <c r="B991" t="s">
        <v>44</v>
      </c>
      <c r="C991" t="str">
        <f>HYPERLINK("https://us2.cloudbeds.com/connect/8493803454333002#/reservations/598087360648?display=E13H3F0X&amp;reservation_id=598087360648", "E13H3F0X")</f>
        <v>E13H3F0X</v>
      </c>
      <c r="D991" t="s">
        <v>45</v>
      </c>
      <c r="E991" t="s">
        <v>373</v>
      </c>
      <c r="F991" t="s">
        <v>47</v>
      </c>
      <c r="G991" t="s">
        <v>48</v>
      </c>
      <c r="H991" t="s">
        <v>71</v>
      </c>
      <c r="I991" t="s">
        <v>72</v>
      </c>
      <c r="J991" t="s">
        <v>791</v>
      </c>
      <c r="K991" t="s">
        <v>242</v>
      </c>
      <c r="L991" t="s">
        <v>53</v>
      </c>
      <c r="N991" t="s">
        <v>1867</v>
      </c>
      <c r="P991" t="s">
        <v>58</v>
      </c>
      <c r="R991" t="s">
        <v>56</v>
      </c>
      <c r="T991" t="s">
        <v>1865</v>
      </c>
      <c r="U991" t="s">
        <v>58</v>
      </c>
      <c r="V991">
        <v>2</v>
      </c>
      <c r="W991">
        <v>1</v>
      </c>
      <c r="X991">
        <v>1</v>
      </c>
      <c r="Y991">
        <v>0</v>
      </c>
      <c r="Z991">
        <v>1</v>
      </c>
      <c r="AA991">
        <v>0</v>
      </c>
      <c r="AB991">
        <v>140.93</v>
      </c>
      <c r="AC991">
        <v>124</v>
      </c>
      <c r="AD991">
        <v>0</v>
      </c>
      <c r="AE991">
        <v>16.940000000000001</v>
      </c>
      <c r="AF991">
        <v>0</v>
      </c>
      <c r="AG991">
        <v>0</v>
      </c>
      <c r="AH991">
        <v>0</v>
      </c>
      <c r="AI991">
        <v>0</v>
      </c>
      <c r="AJ991">
        <v>140.94</v>
      </c>
      <c r="AK991">
        <v>0.01</v>
      </c>
      <c r="AL991" t="s">
        <v>53</v>
      </c>
      <c r="AM991" t="s">
        <v>53</v>
      </c>
      <c r="AN991" t="s">
        <v>378</v>
      </c>
      <c r="AO991" t="s">
        <v>53</v>
      </c>
      <c r="AP991" t="s">
        <v>53</v>
      </c>
    </row>
    <row r="992" spans="2:42" x14ac:dyDescent="0.2">
      <c r="B992" t="s">
        <v>44</v>
      </c>
      <c r="C992" t="str">
        <f>HYPERLINK("https://us2.cloudbeds.com/connect/8493803454333002#/reservations/598085988567?display=E13FV92B&amp;reservation_id=598085988567", "E13FV92B")</f>
        <v>E13FV92B</v>
      </c>
      <c r="D992" t="s">
        <v>45</v>
      </c>
      <c r="E992" t="s">
        <v>138</v>
      </c>
      <c r="F992" t="s">
        <v>70</v>
      </c>
      <c r="G992" t="s">
        <v>48</v>
      </c>
      <c r="H992" t="s">
        <v>49</v>
      </c>
      <c r="I992" t="s">
        <v>62</v>
      </c>
      <c r="J992" t="s">
        <v>746</v>
      </c>
      <c r="K992" t="s">
        <v>242</v>
      </c>
      <c r="L992" t="s">
        <v>53</v>
      </c>
      <c r="N992" t="s">
        <v>1868</v>
      </c>
      <c r="P992" t="s">
        <v>55</v>
      </c>
      <c r="R992" t="s">
        <v>56</v>
      </c>
      <c r="T992" t="s">
        <v>1865</v>
      </c>
      <c r="U992" t="s">
        <v>58</v>
      </c>
      <c r="V992">
        <v>1</v>
      </c>
      <c r="W992">
        <v>1</v>
      </c>
      <c r="X992">
        <v>1</v>
      </c>
      <c r="Y992">
        <v>0</v>
      </c>
      <c r="Z992">
        <v>1</v>
      </c>
      <c r="AA992">
        <v>0</v>
      </c>
      <c r="AB992">
        <v>77.28</v>
      </c>
      <c r="AC992">
        <v>68</v>
      </c>
      <c r="AD992">
        <v>0</v>
      </c>
      <c r="AE992">
        <v>9.2799999999999994</v>
      </c>
      <c r="AF992">
        <v>0</v>
      </c>
      <c r="AG992">
        <v>0</v>
      </c>
      <c r="AH992">
        <v>0</v>
      </c>
      <c r="AI992">
        <v>11.59</v>
      </c>
      <c r="AJ992">
        <v>77.28</v>
      </c>
      <c r="AK992">
        <v>0</v>
      </c>
      <c r="AL992" t="s">
        <v>53</v>
      </c>
      <c r="AM992" t="s">
        <v>53</v>
      </c>
      <c r="AN992" t="s">
        <v>1869</v>
      </c>
      <c r="AO992" t="s">
        <v>53</v>
      </c>
      <c r="AP992" t="s">
        <v>53</v>
      </c>
    </row>
    <row r="993" spans="2:42" x14ac:dyDescent="0.2">
      <c r="B993" t="s">
        <v>44</v>
      </c>
      <c r="C993" t="str">
        <f>HYPERLINK("https://us2.cloudbeds.com/connect/8493803454333002#/reservations/598327398617?display=E19YGSXC&amp;reservation_id=598327398617", "E19YGSXC")</f>
        <v>E19YGSXC</v>
      </c>
      <c r="D993" t="s">
        <v>45</v>
      </c>
      <c r="E993" t="s">
        <v>406</v>
      </c>
      <c r="F993" t="s">
        <v>61</v>
      </c>
      <c r="G993" t="s">
        <v>48</v>
      </c>
      <c r="H993" t="s">
        <v>71</v>
      </c>
      <c r="I993" t="s">
        <v>72</v>
      </c>
      <c r="J993" t="s">
        <v>791</v>
      </c>
      <c r="K993" t="s">
        <v>746</v>
      </c>
      <c r="L993" t="s">
        <v>53</v>
      </c>
      <c r="N993" t="s">
        <v>1870</v>
      </c>
      <c r="P993" t="s">
        <v>55</v>
      </c>
      <c r="R993" t="s">
        <v>56</v>
      </c>
      <c r="T993" t="s">
        <v>1865</v>
      </c>
      <c r="U993" t="s">
        <v>58</v>
      </c>
      <c r="V993">
        <v>1</v>
      </c>
      <c r="W993">
        <v>1</v>
      </c>
      <c r="X993">
        <v>1</v>
      </c>
      <c r="Y993">
        <v>0</v>
      </c>
      <c r="Z993">
        <v>1</v>
      </c>
      <c r="AA993">
        <v>0</v>
      </c>
      <c r="AB993">
        <v>93.19</v>
      </c>
      <c r="AC993">
        <v>82</v>
      </c>
      <c r="AD993">
        <v>0</v>
      </c>
      <c r="AE993">
        <v>11.2</v>
      </c>
      <c r="AF993">
        <v>0</v>
      </c>
      <c r="AG993">
        <v>0</v>
      </c>
      <c r="AH993">
        <v>0</v>
      </c>
      <c r="AI993">
        <v>0</v>
      </c>
      <c r="AJ993">
        <v>93.2</v>
      </c>
      <c r="AK993">
        <v>0.01</v>
      </c>
      <c r="AL993" t="s">
        <v>53</v>
      </c>
      <c r="AM993" t="s">
        <v>53</v>
      </c>
      <c r="AN993" t="s">
        <v>378</v>
      </c>
      <c r="AO993" t="s">
        <v>53</v>
      </c>
      <c r="AP993" t="s">
        <v>53</v>
      </c>
    </row>
    <row r="994" spans="2:42" x14ac:dyDescent="0.2">
      <c r="B994" t="s">
        <v>44</v>
      </c>
      <c r="C994" t="str">
        <f>HYPERLINK("https://us2.cloudbeds.com/connect/8493803454333002#/reservations/598351986927?display=E1A982BN&amp;reservation_id=598351986927", "E1A982BN")</f>
        <v>E1A982BN</v>
      </c>
      <c r="D994" t="s">
        <v>45</v>
      </c>
      <c r="E994" t="s">
        <v>85</v>
      </c>
      <c r="F994" t="s">
        <v>86</v>
      </c>
      <c r="G994" t="s">
        <v>48</v>
      </c>
      <c r="H994" t="s">
        <v>71</v>
      </c>
      <c r="I994" t="s">
        <v>72</v>
      </c>
      <c r="J994" t="s">
        <v>242</v>
      </c>
      <c r="K994" t="s">
        <v>1113</v>
      </c>
      <c r="L994" t="s">
        <v>53</v>
      </c>
      <c r="N994" t="s">
        <v>1871</v>
      </c>
      <c r="P994" t="s">
        <v>55</v>
      </c>
      <c r="R994" t="s">
        <v>56</v>
      </c>
      <c r="T994" t="s">
        <v>1865</v>
      </c>
      <c r="U994" t="s">
        <v>58</v>
      </c>
      <c r="V994">
        <v>1</v>
      </c>
      <c r="W994">
        <v>1</v>
      </c>
      <c r="X994">
        <v>1</v>
      </c>
      <c r="Y994">
        <v>0</v>
      </c>
      <c r="Z994">
        <v>1</v>
      </c>
      <c r="AA994">
        <v>0</v>
      </c>
      <c r="AB994">
        <v>88.19</v>
      </c>
      <c r="AC994">
        <v>77.599999999999994</v>
      </c>
      <c r="AD994">
        <v>0</v>
      </c>
      <c r="AE994">
        <v>10.59</v>
      </c>
      <c r="AF994">
        <v>0</v>
      </c>
      <c r="AG994">
        <v>0</v>
      </c>
      <c r="AH994">
        <v>0</v>
      </c>
      <c r="AI994">
        <v>0</v>
      </c>
      <c r="AJ994">
        <v>88.19</v>
      </c>
      <c r="AK994">
        <v>0</v>
      </c>
      <c r="AL994" t="s">
        <v>53</v>
      </c>
      <c r="AM994" t="s">
        <v>53</v>
      </c>
      <c r="AN994" t="s">
        <v>1872</v>
      </c>
      <c r="AO994" t="s">
        <v>53</v>
      </c>
      <c r="AP994" t="s">
        <v>53</v>
      </c>
    </row>
    <row r="995" spans="2:42" x14ac:dyDescent="0.2">
      <c r="B995" t="s">
        <v>44</v>
      </c>
      <c r="C995" t="str">
        <f>HYPERLINK("https://us2.cloudbeds.com/connect/8493803454333002#/reservations/598568198354?display=E1FQXFK4&amp;reservation_id=598568198354", "E1FQXFK4")</f>
        <v>E1FQXFK4</v>
      </c>
      <c r="D995" t="s">
        <v>45</v>
      </c>
      <c r="E995" t="s">
        <v>69</v>
      </c>
      <c r="F995" t="s">
        <v>70</v>
      </c>
      <c r="G995" t="s">
        <v>48</v>
      </c>
      <c r="H995" t="s">
        <v>49</v>
      </c>
      <c r="I995" t="s">
        <v>114</v>
      </c>
      <c r="J995" t="s">
        <v>202</v>
      </c>
      <c r="K995" t="s">
        <v>1430</v>
      </c>
      <c r="L995" t="s">
        <v>53</v>
      </c>
      <c r="N995" t="s">
        <v>1873</v>
      </c>
      <c r="P995" t="s">
        <v>55</v>
      </c>
      <c r="R995" t="s">
        <v>56</v>
      </c>
      <c r="T995" t="s">
        <v>1865</v>
      </c>
      <c r="U995" t="s">
        <v>58</v>
      </c>
      <c r="V995">
        <v>1</v>
      </c>
      <c r="W995">
        <v>1</v>
      </c>
      <c r="X995">
        <v>1</v>
      </c>
      <c r="Y995">
        <v>0</v>
      </c>
      <c r="Z995">
        <v>1</v>
      </c>
      <c r="AA995">
        <v>0</v>
      </c>
      <c r="AB995">
        <v>72.739999999999995</v>
      </c>
      <c r="AC995">
        <v>64</v>
      </c>
      <c r="AD995">
        <v>0</v>
      </c>
      <c r="AE995">
        <v>8.74</v>
      </c>
      <c r="AF995">
        <v>0</v>
      </c>
      <c r="AG995">
        <v>0</v>
      </c>
      <c r="AH995">
        <v>0</v>
      </c>
      <c r="AI995">
        <v>0</v>
      </c>
      <c r="AJ995">
        <v>72.739999999999995</v>
      </c>
      <c r="AK995">
        <v>0</v>
      </c>
      <c r="AL995" t="s">
        <v>53</v>
      </c>
      <c r="AM995" t="s">
        <v>53</v>
      </c>
      <c r="AN995" t="s">
        <v>1874</v>
      </c>
      <c r="AO995" t="s">
        <v>53</v>
      </c>
      <c r="AP995" t="s">
        <v>53</v>
      </c>
    </row>
    <row r="996" spans="2:42" x14ac:dyDescent="0.2">
      <c r="B996" t="s">
        <v>44</v>
      </c>
      <c r="C996" t="str">
        <f>HYPERLINK("https://us2.cloudbeds.com/connect/8493803454333002#/reservations/598468141264?display=E1D867R3&amp;reservation_id=598468141264", "E1D867R3")</f>
        <v>E1D867R3</v>
      </c>
      <c r="D996" t="s">
        <v>45</v>
      </c>
      <c r="E996" t="s">
        <v>98</v>
      </c>
      <c r="F996" t="s">
        <v>86</v>
      </c>
      <c r="G996" t="s">
        <v>48</v>
      </c>
      <c r="H996" t="s">
        <v>49</v>
      </c>
      <c r="I996" t="s">
        <v>79</v>
      </c>
      <c r="J996" t="s">
        <v>791</v>
      </c>
      <c r="K996" t="s">
        <v>746</v>
      </c>
      <c r="L996" t="s">
        <v>53</v>
      </c>
      <c r="N996" t="s">
        <v>1875</v>
      </c>
      <c r="P996" t="s">
        <v>55</v>
      </c>
      <c r="R996" t="s">
        <v>56</v>
      </c>
      <c r="T996" t="s">
        <v>1865</v>
      </c>
      <c r="U996" t="s">
        <v>58</v>
      </c>
      <c r="V996">
        <v>1</v>
      </c>
      <c r="W996">
        <v>1</v>
      </c>
      <c r="X996">
        <v>1</v>
      </c>
      <c r="Y996">
        <v>0</v>
      </c>
      <c r="Z996">
        <v>1</v>
      </c>
      <c r="AA996">
        <v>0</v>
      </c>
      <c r="AB996">
        <v>99.22</v>
      </c>
      <c r="AC996">
        <v>87.3</v>
      </c>
      <c r="AD996">
        <v>0</v>
      </c>
      <c r="AE996">
        <v>11.92</v>
      </c>
      <c r="AF996">
        <v>0</v>
      </c>
      <c r="AG996">
        <v>0</v>
      </c>
      <c r="AH996">
        <v>0</v>
      </c>
      <c r="AI996">
        <v>0</v>
      </c>
      <c r="AJ996">
        <v>99.22</v>
      </c>
      <c r="AK996">
        <v>0</v>
      </c>
      <c r="AL996" t="s">
        <v>53</v>
      </c>
      <c r="AM996" t="s">
        <v>53</v>
      </c>
      <c r="AN996" t="s">
        <v>178</v>
      </c>
      <c r="AO996" t="s">
        <v>53</v>
      </c>
      <c r="AP996" t="s">
        <v>53</v>
      </c>
    </row>
    <row r="997" spans="2:42" x14ac:dyDescent="0.2">
      <c r="B997" t="s">
        <v>44</v>
      </c>
      <c r="C997" t="str">
        <f>HYPERLINK("https://us2.cloudbeds.com/connect/8493803454333002#/reservations/598436298888?display=E1CEB5QK&amp;reservation_id=598436298888", "E1CEB5QK")</f>
        <v>E1CEB5QK</v>
      </c>
      <c r="D997" t="s">
        <v>45</v>
      </c>
      <c r="E997" t="s">
        <v>110</v>
      </c>
      <c r="F997" t="s">
        <v>47</v>
      </c>
      <c r="G997" t="s">
        <v>48</v>
      </c>
      <c r="H997" t="s">
        <v>49</v>
      </c>
      <c r="I997" t="s">
        <v>50</v>
      </c>
      <c r="J997" t="s">
        <v>1092</v>
      </c>
      <c r="K997" t="s">
        <v>419</v>
      </c>
      <c r="L997" t="s">
        <v>53</v>
      </c>
      <c r="N997" t="s">
        <v>1876</v>
      </c>
      <c r="P997" t="s">
        <v>55</v>
      </c>
      <c r="R997" t="s">
        <v>56</v>
      </c>
      <c r="T997" t="s">
        <v>1865</v>
      </c>
      <c r="U997" t="s">
        <v>58</v>
      </c>
      <c r="V997">
        <v>1</v>
      </c>
      <c r="W997">
        <v>1</v>
      </c>
      <c r="X997">
        <v>1</v>
      </c>
      <c r="Y997">
        <v>0</v>
      </c>
      <c r="Z997">
        <v>1</v>
      </c>
      <c r="AA997">
        <v>0</v>
      </c>
      <c r="AB997">
        <v>73.650000000000006</v>
      </c>
      <c r="AC997">
        <v>64.8</v>
      </c>
      <c r="AD997">
        <v>0</v>
      </c>
      <c r="AE997">
        <v>8.85</v>
      </c>
      <c r="AF997">
        <v>0</v>
      </c>
      <c r="AG997">
        <v>0</v>
      </c>
      <c r="AH997">
        <v>0</v>
      </c>
      <c r="AI997">
        <v>13.26</v>
      </c>
      <c r="AJ997">
        <v>73.650000000000006</v>
      </c>
      <c r="AK997">
        <v>0</v>
      </c>
      <c r="AL997" t="s">
        <v>53</v>
      </c>
      <c r="AM997" t="s">
        <v>53</v>
      </c>
      <c r="AN997" t="s">
        <v>1877</v>
      </c>
      <c r="AO997" t="s">
        <v>53</v>
      </c>
      <c r="AP997" t="s">
        <v>53</v>
      </c>
    </row>
    <row r="998" spans="2:42" x14ac:dyDescent="0.2">
      <c r="B998" t="s">
        <v>44</v>
      </c>
      <c r="C998" t="str">
        <f>HYPERLINK("https://us2.cloudbeds.com/connect/8493803454333002#/reservations/598567141599?display=E1FPM278&amp;reservation_id=598567141599", "E1FPM278")</f>
        <v>E1FPM278</v>
      </c>
      <c r="D998" t="s">
        <v>45</v>
      </c>
      <c r="E998" t="s">
        <v>128</v>
      </c>
      <c r="F998" t="s">
        <v>86</v>
      </c>
      <c r="G998" t="s">
        <v>48</v>
      </c>
      <c r="H998" t="s">
        <v>71</v>
      </c>
      <c r="I998" t="s">
        <v>72</v>
      </c>
      <c r="J998" t="s">
        <v>746</v>
      </c>
      <c r="K998" t="s">
        <v>881</v>
      </c>
      <c r="L998" t="s">
        <v>53</v>
      </c>
      <c r="N998" t="s">
        <v>1878</v>
      </c>
      <c r="P998" t="s">
        <v>55</v>
      </c>
      <c r="R998" t="s">
        <v>56</v>
      </c>
      <c r="T998" t="s">
        <v>1879</v>
      </c>
      <c r="U998" t="s">
        <v>58</v>
      </c>
      <c r="V998">
        <v>8</v>
      </c>
      <c r="W998">
        <v>1</v>
      </c>
      <c r="X998">
        <v>1</v>
      </c>
      <c r="Y998">
        <v>0</v>
      </c>
      <c r="Z998">
        <v>1</v>
      </c>
      <c r="AA998">
        <v>0</v>
      </c>
      <c r="AB998">
        <v>647.80999999999995</v>
      </c>
      <c r="AC998">
        <v>570</v>
      </c>
      <c r="AD998">
        <v>0</v>
      </c>
      <c r="AE998">
        <v>77.84</v>
      </c>
      <c r="AF998">
        <v>0</v>
      </c>
      <c r="AG998">
        <v>0</v>
      </c>
      <c r="AH998">
        <v>0</v>
      </c>
      <c r="AI998">
        <v>0</v>
      </c>
      <c r="AJ998">
        <v>647.84</v>
      </c>
      <c r="AK998">
        <v>0.03</v>
      </c>
      <c r="AL998" t="s">
        <v>53</v>
      </c>
      <c r="AM998" t="s">
        <v>53</v>
      </c>
      <c r="AN998" t="s">
        <v>1880</v>
      </c>
      <c r="AO998" t="s">
        <v>53</v>
      </c>
      <c r="AP998" t="s">
        <v>53</v>
      </c>
    </row>
    <row r="999" spans="2:42" x14ac:dyDescent="0.2">
      <c r="B999" t="s">
        <v>44</v>
      </c>
      <c r="C999" t="str">
        <f>HYPERLINK("https://us2.cloudbeds.com/connect/8493803454333002#/reservations/598519230704?display=E1EX8STV&amp;reservation_id=598519230704", "E1EX8STV")</f>
        <v>E1EX8STV</v>
      </c>
      <c r="D999" t="s">
        <v>45</v>
      </c>
      <c r="E999" t="s">
        <v>305</v>
      </c>
      <c r="F999" t="s">
        <v>61</v>
      </c>
      <c r="G999" t="s">
        <v>48</v>
      </c>
      <c r="H999" t="s">
        <v>49</v>
      </c>
      <c r="I999" t="s">
        <v>50</v>
      </c>
      <c r="J999" t="s">
        <v>106</v>
      </c>
      <c r="K999" t="s">
        <v>107</v>
      </c>
      <c r="L999" t="s">
        <v>53</v>
      </c>
      <c r="N999" t="s">
        <v>1881</v>
      </c>
      <c r="P999" t="s">
        <v>55</v>
      </c>
      <c r="R999" t="s">
        <v>56</v>
      </c>
      <c r="T999" t="s">
        <v>1879</v>
      </c>
      <c r="U999" t="s">
        <v>58</v>
      </c>
      <c r="V999">
        <v>2</v>
      </c>
      <c r="W999">
        <v>1</v>
      </c>
      <c r="X999">
        <v>1</v>
      </c>
      <c r="Y999">
        <v>0</v>
      </c>
      <c r="Z999">
        <v>1</v>
      </c>
      <c r="AA999">
        <v>0</v>
      </c>
      <c r="AB999">
        <v>306.86</v>
      </c>
      <c r="AC999">
        <v>270</v>
      </c>
      <c r="AD999">
        <v>0</v>
      </c>
      <c r="AE999">
        <v>36.880000000000003</v>
      </c>
      <c r="AF999">
        <v>0</v>
      </c>
      <c r="AG999">
        <v>0</v>
      </c>
      <c r="AH999">
        <v>0</v>
      </c>
      <c r="AI999">
        <v>55.24</v>
      </c>
      <c r="AJ999">
        <v>306.88</v>
      </c>
      <c r="AK999">
        <v>0.02</v>
      </c>
      <c r="AL999" t="s">
        <v>53</v>
      </c>
      <c r="AM999" t="s">
        <v>53</v>
      </c>
      <c r="AN999" t="s">
        <v>159</v>
      </c>
      <c r="AO999" t="s">
        <v>53</v>
      </c>
      <c r="AP999" t="s">
        <v>53</v>
      </c>
    </row>
    <row r="1000" spans="2:42" x14ac:dyDescent="0.2">
      <c r="B1000" t="s">
        <v>44</v>
      </c>
      <c r="C1000" t="str">
        <f>HYPERLINK("https://us2.cloudbeds.com/connect/8493803454333002#/reservations/598580797636?display=E1G4626X&amp;reservation_id=598580797636", "E1G4626X")</f>
        <v>E1G4626X</v>
      </c>
      <c r="D1000" t="s">
        <v>45</v>
      </c>
      <c r="E1000" t="s">
        <v>138</v>
      </c>
      <c r="F1000" t="s">
        <v>70</v>
      </c>
      <c r="G1000" t="s">
        <v>48</v>
      </c>
      <c r="H1000" t="s">
        <v>71</v>
      </c>
      <c r="I1000" t="s">
        <v>72</v>
      </c>
      <c r="J1000" t="s">
        <v>489</v>
      </c>
      <c r="K1000" t="s">
        <v>1568</v>
      </c>
      <c r="L1000" t="s">
        <v>53</v>
      </c>
      <c r="N1000" t="s">
        <v>1882</v>
      </c>
      <c r="P1000" t="s">
        <v>55</v>
      </c>
      <c r="R1000" t="s">
        <v>56</v>
      </c>
      <c r="T1000" t="s">
        <v>1879</v>
      </c>
      <c r="U1000" t="s">
        <v>58</v>
      </c>
      <c r="V1000">
        <v>1</v>
      </c>
      <c r="W1000">
        <v>1</v>
      </c>
      <c r="X1000">
        <v>1</v>
      </c>
      <c r="Y1000">
        <v>0</v>
      </c>
      <c r="Z1000">
        <v>1</v>
      </c>
      <c r="AA1000">
        <v>0</v>
      </c>
      <c r="AB1000">
        <v>148.88</v>
      </c>
      <c r="AC1000">
        <v>131</v>
      </c>
      <c r="AD1000">
        <v>0</v>
      </c>
      <c r="AE1000">
        <v>17.89</v>
      </c>
      <c r="AF1000">
        <v>0</v>
      </c>
      <c r="AG1000">
        <v>0</v>
      </c>
      <c r="AH1000">
        <v>0</v>
      </c>
      <c r="AI1000">
        <v>0</v>
      </c>
      <c r="AJ1000">
        <v>148.88999999999999</v>
      </c>
      <c r="AK1000">
        <v>0.01</v>
      </c>
      <c r="AL1000" t="s">
        <v>53</v>
      </c>
      <c r="AM1000" t="s">
        <v>53</v>
      </c>
      <c r="AN1000" t="s">
        <v>1883</v>
      </c>
      <c r="AO1000" t="s">
        <v>53</v>
      </c>
      <c r="AP1000" t="s">
        <v>53</v>
      </c>
    </row>
    <row r="1001" spans="2:42" x14ac:dyDescent="0.2">
      <c r="B1001" t="s">
        <v>44</v>
      </c>
      <c r="C1001" t="str">
        <f>HYPERLINK("https://us2.cloudbeds.com/connect/8493803454333002#/reservations/579143000305?display=DJEENN5W&amp;reservation_id=579143000305", "DJEENN5W")</f>
        <v>DJEENN5W</v>
      </c>
      <c r="D1001" t="s">
        <v>45</v>
      </c>
      <c r="E1001" t="s">
        <v>98</v>
      </c>
      <c r="F1001" t="s">
        <v>86</v>
      </c>
      <c r="G1001" t="s">
        <v>48</v>
      </c>
      <c r="H1001" t="s">
        <v>71</v>
      </c>
      <c r="I1001" t="s">
        <v>72</v>
      </c>
      <c r="J1001" t="s">
        <v>1296</v>
      </c>
      <c r="K1001" t="s">
        <v>1660</v>
      </c>
      <c r="L1001" t="s">
        <v>53</v>
      </c>
      <c r="N1001" t="s">
        <v>1884</v>
      </c>
      <c r="P1001" t="s">
        <v>55</v>
      </c>
      <c r="R1001" t="s">
        <v>56</v>
      </c>
      <c r="T1001" t="s">
        <v>1879</v>
      </c>
      <c r="U1001" t="s">
        <v>58</v>
      </c>
      <c r="V1001">
        <v>1</v>
      </c>
      <c r="W1001">
        <v>1</v>
      </c>
      <c r="X1001">
        <v>1</v>
      </c>
      <c r="Y1001">
        <v>0</v>
      </c>
      <c r="Z1001">
        <v>1</v>
      </c>
      <c r="AA1001">
        <v>0</v>
      </c>
      <c r="AB1001">
        <v>201.16</v>
      </c>
      <c r="AC1001">
        <v>177</v>
      </c>
      <c r="AD1001">
        <v>0</v>
      </c>
      <c r="AE1001">
        <v>24.16</v>
      </c>
      <c r="AF1001">
        <v>0</v>
      </c>
      <c r="AG1001">
        <v>0</v>
      </c>
      <c r="AH1001">
        <v>0</v>
      </c>
      <c r="AI1001">
        <v>0</v>
      </c>
      <c r="AJ1001">
        <v>201.16</v>
      </c>
      <c r="AK1001">
        <v>0</v>
      </c>
      <c r="AL1001" t="s">
        <v>53</v>
      </c>
      <c r="AM1001" t="s">
        <v>53</v>
      </c>
      <c r="AN1001" t="s">
        <v>1885</v>
      </c>
      <c r="AO1001" t="s">
        <v>53</v>
      </c>
      <c r="AP1001" t="s">
        <v>53</v>
      </c>
    </row>
    <row r="1002" spans="2:42" x14ac:dyDescent="0.2">
      <c r="B1002" t="s">
        <v>44</v>
      </c>
      <c r="C1002" t="str">
        <f>HYPERLINK("https://us2.cloudbeds.com/connect/8493803454333002#/reservations/598302138499?display=E1906VS9&amp;reservation_id=598302138499", "E1906VS9")</f>
        <v>E1906VS9</v>
      </c>
      <c r="D1002" t="s">
        <v>45</v>
      </c>
      <c r="E1002" t="s">
        <v>113</v>
      </c>
      <c r="F1002" t="s">
        <v>61</v>
      </c>
      <c r="G1002" t="s">
        <v>48</v>
      </c>
      <c r="H1002" t="s">
        <v>49</v>
      </c>
      <c r="I1002" t="s">
        <v>50</v>
      </c>
      <c r="J1002" t="s">
        <v>1027</v>
      </c>
      <c r="K1002" t="s">
        <v>1782</v>
      </c>
      <c r="L1002" t="s">
        <v>53</v>
      </c>
      <c r="N1002" t="s">
        <v>1886</v>
      </c>
      <c r="P1002" t="s">
        <v>55</v>
      </c>
      <c r="R1002" t="s">
        <v>56</v>
      </c>
      <c r="T1002" t="s">
        <v>1879</v>
      </c>
      <c r="U1002" t="s">
        <v>58</v>
      </c>
      <c r="V1002">
        <v>2</v>
      </c>
      <c r="W1002">
        <v>1</v>
      </c>
      <c r="X1002">
        <v>1</v>
      </c>
      <c r="Y1002">
        <v>0</v>
      </c>
      <c r="Z1002">
        <v>1</v>
      </c>
      <c r="AA1002">
        <v>0</v>
      </c>
      <c r="AB1002">
        <v>276.17</v>
      </c>
      <c r="AC1002">
        <v>243</v>
      </c>
      <c r="AD1002">
        <v>0</v>
      </c>
      <c r="AE1002">
        <v>33.159999999999997</v>
      </c>
      <c r="AF1002">
        <v>0</v>
      </c>
      <c r="AG1002">
        <v>0</v>
      </c>
      <c r="AH1002">
        <v>0</v>
      </c>
      <c r="AI1002">
        <v>49.71</v>
      </c>
      <c r="AJ1002">
        <v>276.16000000000003</v>
      </c>
      <c r="AK1002">
        <v>-0.01</v>
      </c>
      <c r="AL1002" t="s">
        <v>53</v>
      </c>
      <c r="AM1002" t="s">
        <v>53</v>
      </c>
      <c r="AN1002" t="s">
        <v>142</v>
      </c>
      <c r="AO1002" t="s">
        <v>53</v>
      </c>
      <c r="AP1002" t="s">
        <v>53</v>
      </c>
    </row>
    <row r="1003" spans="2:42" x14ac:dyDescent="0.2">
      <c r="B1003" t="s">
        <v>44</v>
      </c>
      <c r="C1003" t="str">
        <f>HYPERLINK("https://us2.cloudbeds.com/connect/8493803454333002#/reservations/598181183715?display=E15U778Q&amp;reservation_id=598181183715", "E15U778Q")</f>
        <v>E15U778Q</v>
      </c>
      <c r="D1003" t="s">
        <v>45</v>
      </c>
      <c r="E1003" t="s">
        <v>406</v>
      </c>
      <c r="F1003" t="s">
        <v>61</v>
      </c>
      <c r="G1003" t="s">
        <v>48</v>
      </c>
      <c r="H1003" t="s">
        <v>71</v>
      </c>
      <c r="I1003" t="s">
        <v>72</v>
      </c>
      <c r="J1003" t="s">
        <v>180</v>
      </c>
      <c r="K1003" t="s">
        <v>475</v>
      </c>
      <c r="L1003" t="s">
        <v>53</v>
      </c>
      <c r="N1003" t="s">
        <v>1887</v>
      </c>
      <c r="P1003" t="s">
        <v>58</v>
      </c>
      <c r="R1003" t="s">
        <v>56</v>
      </c>
      <c r="T1003" t="s">
        <v>1879</v>
      </c>
      <c r="U1003" t="s">
        <v>58</v>
      </c>
      <c r="V1003">
        <v>4</v>
      </c>
      <c r="W1003">
        <v>1</v>
      </c>
      <c r="X1003">
        <v>1</v>
      </c>
      <c r="Y1003">
        <v>0</v>
      </c>
      <c r="Z1003">
        <v>1</v>
      </c>
      <c r="AA1003">
        <v>0</v>
      </c>
      <c r="AB1003">
        <v>638.71</v>
      </c>
      <c r="AC1003">
        <v>562</v>
      </c>
      <c r="AD1003">
        <v>0</v>
      </c>
      <c r="AE1003">
        <v>76.72</v>
      </c>
      <c r="AF1003">
        <v>0</v>
      </c>
      <c r="AG1003">
        <v>0</v>
      </c>
      <c r="AH1003">
        <v>0</v>
      </c>
      <c r="AI1003">
        <v>0</v>
      </c>
      <c r="AJ1003">
        <v>638.72</v>
      </c>
      <c r="AK1003">
        <v>0.01</v>
      </c>
      <c r="AL1003" t="s">
        <v>53</v>
      </c>
      <c r="AM1003" t="s">
        <v>53</v>
      </c>
      <c r="AN1003" t="s">
        <v>378</v>
      </c>
      <c r="AO1003" t="s">
        <v>53</v>
      </c>
      <c r="AP1003" t="s">
        <v>53</v>
      </c>
    </row>
    <row r="1004" spans="2:42" x14ac:dyDescent="0.2">
      <c r="B1004" t="s">
        <v>44</v>
      </c>
      <c r="C1004" t="str">
        <f>HYPERLINK("https://us2.cloudbeds.com/connect/8493803454333002#/reservations/598170099936?display=E15KSQAN&amp;reservation_id=598170099936", "E15KSQAN")</f>
        <v>E15KSQAN</v>
      </c>
      <c r="D1004" t="s">
        <v>45</v>
      </c>
      <c r="E1004" t="s">
        <v>85</v>
      </c>
      <c r="F1004" t="s">
        <v>86</v>
      </c>
      <c r="G1004" t="s">
        <v>48</v>
      </c>
      <c r="H1004" t="s">
        <v>49</v>
      </c>
      <c r="I1004" t="s">
        <v>50</v>
      </c>
      <c r="J1004" t="s">
        <v>938</v>
      </c>
      <c r="K1004" t="s">
        <v>359</v>
      </c>
      <c r="L1004" t="s">
        <v>53</v>
      </c>
      <c r="N1004" t="s">
        <v>1888</v>
      </c>
      <c r="P1004" t="s">
        <v>55</v>
      </c>
      <c r="R1004" t="s">
        <v>56</v>
      </c>
      <c r="T1004" t="s">
        <v>1879</v>
      </c>
      <c r="U1004" t="s">
        <v>58</v>
      </c>
      <c r="V1004">
        <v>1</v>
      </c>
      <c r="W1004">
        <v>1</v>
      </c>
      <c r="X1004">
        <v>1</v>
      </c>
      <c r="Y1004">
        <v>0</v>
      </c>
      <c r="Z1004">
        <v>1</v>
      </c>
      <c r="AA1004">
        <v>0</v>
      </c>
      <c r="AB1004">
        <v>135.02000000000001</v>
      </c>
      <c r="AC1004">
        <v>118.8</v>
      </c>
      <c r="AD1004">
        <v>0</v>
      </c>
      <c r="AE1004">
        <v>16.23</v>
      </c>
      <c r="AF1004">
        <v>0</v>
      </c>
      <c r="AG1004">
        <v>0</v>
      </c>
      <c r="AH1004">
        <v>0</v>
      </c>
      <c r="AI1004">
        <v>24.31</v>
      </c>
      <c r="AJ1004">
        <v>135.03</v>
      </c>
      <c r="AK1004">
        <v>0.01</v>
      </c>
      <c r="AL1004" t="s">
        <v>53</v>
      </c>
      <c r="AM1004" t="s">
        <v>53</v>
      </c>
      <c r="AN1004" t="s">
        <v>280</v>
      </c>
      <c r="AO1004" t="s">
        <v>53</v>
      </c>
      <c r="AP1004" t="s">
        <v>53</v>
      </c>
    </row>
    <row r="1005" spans="2:42" x14ac:dyDescent="0.2">
      <c r="B1005" t="s">
        <v>44</v>
      </c>
      <c r="C1005" t="str">
        <f>HYPERLINK("https://us2.cloudbeds.com/connect/8493803454333002#/reservations/598124249250?display=E14F6URV&amp;reservation_id=598124249250", "E14F6URV")</f>
        <v>E14F6URV</v>
      </c>
      <c r="D1005" t="s">
        <v>45</v>
      </c>
      <c r="E1005" t="s">
        <v>373</v>
      </c>
      <c r="F1005" t="s">
        <v>47</v>
      </c>
      <c r="G1005" t="s">
        <v>48</v>
      </c>
      <c r="H1005" t="s">
        <v>49</v>
      </c>
      <c r="I1005" t="s">
        <v>266</v>
      </c>
      <c r="J1005" t="s">
        <v>553</v>
      </c>
      <c r="K1005" t="s">
        <v>554</v>
      </c>
      <c r="L1005" t="s">
        <v>53</v>
      </c>
      <c r="N1005" t="s">
        <v>1889</v>
      </c>
      <c r="P1005" t="s">
        <v>55</v>
      </c>
      <c r="R1005" t="s">
        <v>56</v>
      </c>
      <c r="T1005" t="s">
        <v>1879</v>
      </c>
      <c r="U1005" t="s">
        <v>58</v>
      </c>
      <c r="V1005">
        <v>1</v>
      </c>
      <c r="W1005">
        <v>1</v>
      </c>
      <c r="X1005">
        <v>1</v>
      </c>
      <c r="Y1005">
        <v>0</v>
      </c>
      <c r="Z1005">
        <v>1</v>
      </c>
      <c r="AA1005">
        <v>0</v>
      </c>
      <c r="AB1005">
        <v>78.760000000000005</v>
      </c>
      <c r="AC1005">
        <v>69.3</v>
      </c>
      <c r="AD1005">
        <v>0</v>
      </c>
      <c r="AE1005">
        <v>9.4700000000000006</v>
      </c>
      <c r="AF1005">
        <v>0</v>
      </c>
      <c r="AG1005">
        <v>0</v>
      </c>
      <c r="AH1005">
        <v>0</v>
      </c>
      <c r="AI1005">
        <v>0</v>
      </c>
      <c r="AJ1005">
        <v>78.77</v>
      </c>
      <c r="AK1005">
        <v>0.01</v>
      </c>
      <c r="AL1005" t="s">
        <v>53</v>
      </c>
      <c r="AM1005" t="s">
        <v>53</v>
      </c>
      <c r="AN1005" t="s">
        <v>332</v>
      </c>
      <c r="AO1005" t="s">
        <v>53</v>
      </c>
      <c r="AP1005" t="s">
        <v>53</v>
      </c>
    </row>
    <row r="1006" spans="2:42" x14ac:dyDescent="0.2">
      <c r="B1006" t="s">
        <v>44</v>
      </c>
      <c r="C1006" t="str">
        <f>HYPERLINK("https://us2.cloudbeds.com/connect/8493803454333002#/reservations/598311243936?display=E197TB4K&amp;reservation_id=598311243936", "E197TB4K")</f>
        <v>E197TB4K</v>
      </c>
      <c r="D1006" t="s">
        <v>45</v>
      </c>
      <c r="E1006" t="s">
        <v>46</v>
      </c>
      <c r="F1006" t="s">
        <v>47</v>
      </c>
      <c r="G1006" t="s">
        <v>48</v>
      </c>
      <c r="H1006" t="s">
        <v>71</v>
      </c>
      <c r="I1006" t="s">
        <v>72</v>
      </c>
      <c r="J1006" t="s">
        <v>746</v>
      </c>
      <c r="K1006" t="s">
        <v>242</v>
      </c>
      <c r="L1006" t="s">
        <v>53</v>
      </c>
      <c r="N1006" t="s">
        <v>1890</v>
      </c>
      <c r="P1006" t="s">
        <v>55</v>
      </c>
      <c r="R1006" t="s">
        <v>56</v>
      </c>
      <c r="T1006" t="s">
        <v>1879</v>
      </c>
      <c r="U1006" t="s">
        <v>58</v>
      </c>
      <c r="V1006">
        <v>1</v>
      </c>
      <c r="W1006">
        <v>1</v>
      </c>
      <c r="X1006">
        <v>1</v>
      </c>
      <c r="Y1006">
        <v>0</v>
      </c>
      <c r="Z1006">
        <v>1</v>
      </c>
      <c r="AA1006">
        <v>0</v>
      </c>
      <c r="AB1006">
        <v>73.86</v>
      </c>
      <c r="AC1006">
        <v>64.989999999999995</v>
      </c>
      <c r="AD1006">
        <v>0</v>
      </c>
      <c r="AE1006">
        <v>8.86</v>
      </c>
      <c r="AF1006">
        <v>0</v>
      </c>
      <c r="AG1006">
        <v>0</v>
      </c>
      <c r="AH1006">
        <v>0</v>
      </c>
      <c r="AI1006">
        <v>0</v>
      </c>
      <c r="AJ1006">
        <v>73.849999999999994</v>
      </c>
      <c r="AK1006">
        <v>-0.01</v>
      </c>
      <c r="AL1006" t="s">
        <v>53</v>
      </c>
      <c r="AM1006" t="s">
        <v>53</v>
      </c>
      <c r="AN1006" t="s">
        <v>1891</v>
      </c>
      <c r="AO1006" t="s">
        <v>53</v>
      </c>
      <c r="AP1006" t="s">
        <v>53</v>
      </c>
    </row>
    <row r="1007" spans="2:42" x14ac:dyDescent="0.2">
      <c r="B1007" t="s">
        <v>44</v>
      </c>
      <c r="C1007" t="str">
        <f>HYPERLINK("https://us2.cloudbeds.com/connect/8493803454333002#/reservations/598313988232?display=E19A6N53&amp;reservation_id=598313988232", "E19A6N53")</f>
        <v>E19A6N53</v>
      </c>
      <c r="D1007" t="s">
        <v>45</v>
      </c>
      <c r="E1007" t="s">
        <v>121</v>
      </c>
      <c r="F1007" t="s">
        <v>86</v>
      </c>
      <c r="G1007" t="s">
        <v>48</v>
      </c>
      <c r="H1007" t="s">
        <v>71</v>
      </c>
      <c r="I1007" t="s">
        <v>72</v>
      </c>
      <c r="J1007" t="s">
        <v>746</v>
      </c>
      <c r="K1007" t="s">
        <v>242</v>
      </c>
      <c r="L1007" t="s">
        <v>53</v>
      </c>
      <c r="N1007" t="s">
        <v>1892</v>
      </c>
      <c r="P1007" t="s">
        <v>55</v>
      </c>
      <c r="R1007" t="s">
        <v>56</v>
      </c>
      <c r="T1007" t="s">
        <v>1879</v>
      </c>
      <c r="U1007" t="s">
        <v>58</v>
      </c>
      <c r="V1007">
        <v>1</v>
      </c>
      <c r="W1007">
        <v>1</v>
      </c>
      <c r="X1007">
        <v>1</v>
      </c>
      <c r="Y1007">
        <v>0</v>
      </c>
      <c r="Z1007">
        <v>1</v>
      </c>
      <c r="AA1007">
        <v>0</v>
      </c>
      <c r="AB1007">
        <v>81.83</v>
      </c>
      <c r="AC1007">
        <v>72</v>
      </c>
      <c r="AD1007">
        <v>0</v>
      </c>
      <c r="AE1007">
        <v>9.83</v>
      </c>
      <c r="AF1007">
        <v>0</v>
      </c>
      <c r="AG1007">
        <v>0</v>
      </c>
      <c r="AH1007">
        <v>0</v>
      </c>
      <c r="AI1007">
        <v>0</v>
      </c>
      <c r="AJ1007">
        <v>81.83</v>
      </c>
      <c r="AK1007">
        <v>0</v>
      </c>
      <c r="AL1007" t="s">
        <v>53</v>
      </c>
      <c r="AM1007" t="s">
        <v>53</v>
      </c>
      <c r="AN1007" t="s">
        <v>378</v>
      </c>
      <c r="AO1007" t="s">
        <v>53</v>
      </c>
      <c r="AP1007" t="s">
        <v>53</v>
      </c>
    </row>
    <row r="1008" spans="2:42" x14ac:dyDescent="0.2">
      <c r="B1008" t="s">
        <v>44</v>
      </c>
      <c r="C1008" t="str">
        <f>HYPERLINK("https://us2.cloudbeds.com/connect/8493803454333002#/reservations/598472982708?display=E1DC8VJH&amp;reservation_id=598472982708", "E1DC8VJH")</f>
        <v>E1DC8VJH</v>
      </c>
      <c r="D1008" t="s">
        <v>45</v>
      </c>
      <c r="E1008" t="s">
        <v>185</v>
      </c>
      <c r="F1008" t="s">
        <v>47</v>
      </c>
      <c r="G1008" t="s">
        <v>48</v>
      </c>
      <c r="H1008" t="s">
        <v>71</v>
      </c>
      <c r="I1008" t="s">
        <v>72</v>
      </c>
      <c r="J1008" t="s">
        <v>746</v>
      </c>
      <c r="K1008" t="s">
        <v>242</v>
      </c>
      <c r="L1008" t="s">
        <v>53</v>
      </c>
      <c r="N1008" t="s">
        <v>1893</v>
      </c>
      <c r="P1008" t="s">
        <v>55</v>
      </c>
      <c r="R1008" t="s">
        <v>56</v>
      </c>
      <c r="T1008" t="s">
        <v>1879</v>
      </c>
      <c r="U1008" t="s">
        <v>58</v>
      </c>
      <c r="V1008">
        <v>1</v>
      </c>
      <c r="W1008">
        <v>1</v>
      </c>
      <c r="X1008">
        <v>1</v>
      </c>
      <c r="Y1008">
        <v>0</v>
      </c>
      <c r="Z1008">
        <v>1</v>
      </c>
      <c r="AA1008">
        <v>0</v>
      </c>
      <c r="AB1008">
        <v>76.150000000000006</v>
      </c>
      <c r="AC1008">
        <v>67</v>
      </c>
      <c r="AD1008">
        <v>0</v>
      </c>
      <c r="AE1008">
        <v>9.15</v>
      </c>
      <c r="AF1008">
        <v>0</v>
      </c>
      <c r="AG1008">
        <v>0</v>
      </c>
      <c r="AH1008">
        <v>0</v>
      </c>
      <c r="AI1008">
        <v>0</v>
      </c>
      <c r="AJ1008">
        <v>76.150000000000006</v>
      </c>
      <c r="AK1008">
        <v>0</v>
      </c>
      <c r="AL1008" t="s">
        <v>53</v>
      </c>
      <c r="AM1008" t="s">
        <v>53</v>
      </c>
      <c r="AN1008" t="s">
        <v>1894</v>
      </c>
      <c r="AO1008" t="s">
        <v>53</v>
      </c>
      <c r="AP1008" t="s">
        <v>53</v>
      </c>
    </row>
    <row r="1009" spans="2:42" x14ac:dyDescent="0.2">
      <c r="B1009" t="s">
        <v>44</v>
      </c>
      <c r="C1009" t="str">
        <f>HYPERLINK("https://us2.cloudbeds.com/connect/8493803454333002#/reservations/598418039036?display=E1BVV28P&amp;reservation_id=598418039036", "E1BVV28P")</f>
        <v>E1BVV28P</v>
      </c>
      <c r="D1009" t="s">
        <v>45</v>
      </c>
      <c r="E1009" t="s">
        <v>305</v>
      </c>
      <c r="F1009" t="s">
        <v>61</v>
      </c>
      <c r="G1009" t="s">
        <v>48</v>
      </c>
      <c r="H1009" t="s">
        <v>71</v>
      </c>
      <c r="I1009" t="s">
        <v>72</v>
      </c>
      <c r="J1009" t="s">
        <v>180</v>
      </c>
      <c r="K1009" t="s">
        <v>475</v>
      </c>
      <c r="L1009" t="s">
        <v>53</v>
      </c>
      <c r="N1009" t="s">
        <v>1895</v>
      </c>
      <c r="P1009" t="s">
        <v>58</v>
      </c>
      <c r="R1009" t="s">
        <v>56</v>
      </c>
      <c r="T1009" t="s">
        <v>1879</v>
      </c>
      <c r="U1009" t="s">
        <v>58</v>
      </c>
      <c r="V1009">
        <v>4</v>
      </c>
      <c r="W1009">
        <v>1</v>
      </c>
      <c r="X1009">
        <v>1</v>
      </c>
      <c r="Y1009">
        <v>0</v>
      </c>
      <c r="Z1009">
        <v>1</v>
      </c>
      <c r="AA1009">
        <v>0</v>
      </c>
      <c r="AB1009">
        <v>638.71</v>
      </c>
      <c r="AC1009">
        <v>562</v>
      </c>
      <c r="AD1009">
        <v>0</v>
      </c>
      <c r="AE1009">
        <v>76.72</v>
      </c>
      <c r="AF1009">
        <v>0</v>
      </c>
      <c r="AG1009">
        <v>0</v>
      </c>
      <c r="AH1009">
        <v>0</v>
      </c>
      <c r="AI1009">
        <v>0</v>
      </c>
      <c r="AJ1009">
        <v>638.72</v>
      </c>
      <c r="AK1009">
        <v>0.01</v>
      </c>
      <c r="AL1009" t="s">
        <v>53</v>
      </c>
      <c r="AM1009" t="s">
        <v>53</v>
      </c>
      <c r="AN1009" t="s">
        <v>378</v>
      </c>
      <c r="AO1009" t="s">
        <v>53</v>
      </c>
      <c r="AP1009" t="s">
        <v>53</v>
      </c>
    </row>
    <row r="1010" spans="2:42" x14ac:dyDescent="0.2">
      <c r="B1010" t="s">
        <v>44</v>
      </c>
      <c r="C1010" t="str">
        <f>HYPERLINK("https://us2.cloudbeds.com/connect/8493803454333002#/reservations/597712777370?display=E0QV8424&amp;reservation_id=597712777370", "E0QV8424")</f>
        <v>E0QV8424</v>
      </c>
      <c r="D1010" t="s">
        <v>45</v>
      </c>
      <c r="E1010" t="s">
        <v>185</v>
      </c>
      <c r="F1010" t="s">
        <v>47</v>
      </c>
      <c r="G1010" t="s">
        <v>48</v>
      </c>
      <c r="H1010" t="s">
        <v>49</v>
      </c>
      <c r="I1010" t="s">
        <v>62</v>
      </c>
      <c r="J1010" t="s">
        <v>553</v>
      </c>
      <c r="K1010" t="s">
        <v>554</v>
      </c>
      <c r="L1010" t="s">
        <v>53</v>
      </c>
      <c r="N1010" t="s">
        <v>1896</v>
      </c>
      <c r="P1010" t="s">
        <v>58</v>
      </c>
      <c r="R1010" t="s">
        <v>56</v>
      </c>
      <c r="T1010" t="s">
        <v>1879</v>
      </c>
      <c r="U1010" t="s">
        <v>58</v>
      </c>
      <c r="V1010">
        <v>1</v>
      </c>
      <c r="W1010">
        <v>1</v>
      </c>
      <c r="X1010">
        <v>1</v>
      </c>
      <c r="Y1010">
        <v>0</v>
      </c>
      <c r="Z1010">
        <v>1</v>
      </c>
      <c r="AA1010">
        <v>0</v>
      </c>
      <c r="AB1010">
        <v>85.92</v>
      </c>
      <c r="AC1010">
        <v>75.599999999999994</v>
      </c>
      <c r="AD1010">
        <v>0</v>
      </c>
      <c r="AE1010">
        <v>10.32</v>
      </c>
      <c r="AF1010">
        <v>0</v>
      </c>
      <c r="AG1010">
        <v>0</v>
      </c>
      <c r="AH1010">
        <v>0</v>
      </c>
      <c r="AI1010">
        <v>12.89</v>
      </c>
      <c r="AJ1010">
        <v>85.92</v>
      </c>
      <c r="AK1010">
        <v>0</v>
      </c>
      <c r="AL1010" t="s">
        <v>53</v>
      </c>
      <c r="AM1010" t="s">
        <v>53</v>
      </c>
      <c r="AN1010" t="s">
        <v>1897</v>
      </c>
      <c r="AO1010" t="s">
        <v>53</v>
      </c>
      <c r="AP1010" t="s">
        <v>53</v>
      </c>
    </row>
    <row r="1011" spans="2:42" x14ac:dyDescent="0.2">
      <c r="B1011" t="s">
        <v>44</v>
      </c>
      <c r="C1011" t="str">
        <f>HYPERLINK("https://us2.cloudbeds.com/connect/8493803454333002#/reservations/579406086328?display=DJY5XF4N&amp;reservation_id=579406086328", "DJY5XF4N")</f>
        <v>DJY5XF4N</v>
      </c>
      <c r="D1011" t="s">
        <v>45</v>
      </c>
      <c r="E1011" t="s">
        <v>165</v>
      </c>
      <c r="F1011" t="s">
        <v>61</v>
      </c>
      <c r="G1011" t="s">
        <v>48</v>
      </c>
      <c r="H1011" t="s">
        <v>71</v>
      </c>
      <c r="I1011" t="s">
        <v>72</v>
      </c>
      <c r="J1011" t="s">
        <v>1898</v>
      </c>
      <c r="K1011" t="s">
        <v>1337</v>
      </c>
      <c r="L1011" t="s">
        <v>53</v>
      </c>
      <c r="N1011" t="s">
        <v>1899</v>
      </c>
      <c r="P1011" t="s">
        <v>55</v>
      </c>
      <c r="R1011" t="s">
        <v>56</v>
      </c>
      <c r="T1011" t="s">
        <v>1879</v>
      </c>
      <c r="U1011" t="s">
        <v>58</v>
      </c>
      <c r="V1011">
        <v>3</v>
      </c>
      <c r="W1011">
        <v>1</v>
      </c>
      <c r="X1011">
        <v>1</v>
      </c>
      <c r="Y1011">
        <v>0</v>
      </c>
      <c r="Z1011">
        <v>1</v>
      </c>
      <c r="AA1011">
        <v>0</v>
      </c>
      <c r="AB1011">
        <v>381.87</v>
      </c>
      <c r="AC1011">
        <v>336</v>
      </c>
      <c r="AD1011">
        <v>0</v>
      </c>
      <c r="AE1011">
        <v>45.87</v>
      </c>
      <c r="AF1011">
        <v>0</v>
      </c>
      <c r="AG1011">
        <v>0</v>
      </c>
      <c r="AH1011">
        <v>0</v>
      </c>
      <c r="AI1011">
        <v>0</v>
      </c>
      <c r="AJ1011">
        <v>381.87</v>
      </c>
      <c r="AK1011">
        <v>0</v>
      </c>
      <c r="AL1011" t="s">
        <v>53</v>
      </c>
      <c r="AM1011" t="s">
        <v>53</v>
      </c>
      <c r="AN1011" t="s">
        <v>378</v>
      </c>
      <c r="AO1011" t="s">
        <v>53</v>
      </c>
      <c r="AP1011" t="s">
        <v>53</v>
      </c>
    </row>
    <row r="1012" spans="2:42" x14ac:dyDescent="0.2">
      <c r="B1012" t="s">
        <v>44</v>
      </c>
      <c r="C1012" t="str">
        <f>HYPERLINK("https://us2.cloudbeds.com/connect/8493803454333002#/reservations/579345150140?display=DJJK5R1J&amp;reservation_id=579345150140", "DJJK5R1J")</f>
        <v>DJJK5R1J</v>
      </c>
      <c r="D1012" t="s">
        <v>45</v>
      </c>
      <c r="E1012" t="s">
        <v>185</v>
      </c>
      <c r="F1012" t="s">
        <v>47</v>
      </c>
      <c r="G1012" t="s">
        <v>48</v>
      </c>
      <c r="H1012" t="s">
        <v>49</v>
      </c>
      <c r="I1012" t="s">
        <v>62</v>
      </c>
      <c r="J1012" t="s">
        <v>1900</v>
      </c>
      <c r="K1012" t="s">
        <v>1660</v>
      </c>
      <c r="L1012" t="s">
        <v>53</v>
      </c>
      <c r="N1012" t="s">
        <v>1901</v>
      </c>
      <c r="P1012" t="s">
        <v>55</v>
      </c>
      <c r="R1012" t="s">
        <v>118</v>
      </c>
      <c r="T1012" t="s">
        <v>1879</v>
      </c>
      <c r="U1012" t="s">
        <v>58</v>
      </c>
      <c r="V1012">
        <v>2</v>
      </c>
      <c r="W1012">
        <v>1</v>
      </c>
      <c r="X1012">
        <v>1</v>
      </c>
      <c r="Y1012">
        <v>0</v>
      </c>
      <c r="Z1012">
        <v>1</v>
      </c>
      <c r="AA1012">
        <v>0</v>
      </c>
      <c r="AB1012">
        <v>350.95</v>
      </c>
      <c r="AC1012">
        <v>309.99</v>
      </c>
      <c r="AD1012">
        <v>0</v>
      </c>
      <c r="AE1012">
        <v>40.96</v>
      </c>
      <c r="AF1012">
        <v>0</v>
      </c>
      <c r="AG1012">
        <v>0</v>
      </c>
      <c r="AH1012">
        <v>0</v>
      </c>
      <c r="AI1012">
        <v>52.64</v>
      </c>
      <c r="AJ1012">
        <v>350.95</v>
      </c>
      <c r="AK1012">
        <v>0</v>
      </c>
      <c r="AL1012" t="s">
        <v>53</v>
      </c>
      <c r="AM1012" t="s">
        <v>53</v>
      </c>
      <c r="AN1012" t="s">
        <v>245</v>
      </c>
      <c r="AO1012" t="s">
        <v>53</v>
      </c>
      <c r="AP1012" t="s">
        <v>53</v>
      </c>
    </row>
    <row r="1013" spans="2:42" x14ac:dyDescent="0.2">
      <c r="B1013" t="s">
        <v>44</v>
      </c>
      <c r="C1013" t="str">
        <f>HYPERLINK("https://us2.cloudbeds.com/connect/8493803454333002#/reservations/579340038326?display=DJJFSJ03&amp;reservation_id=579340038326", "DJJFSJ03")</f>
        <v>DJJFSJ03</v>
      </c>
      <c r="D1013" t="s">
        <v>45</v>
      </c>
      <c r="E1013" t="s">
        <v>69</v>
      </c>
      <c r="F1013" t="s">
        <v>70</v>
      </c>
      <c r="G1013" t="s">
        <v>48</v>
      </c>
      <c r="H1013" t="s">
        <v>49</v>
      </c>
      <c r="I1013" t="s">
        <v>79</v>
      </c>
      <c r="J1013" t="s">
        <v>1902</v>
      </c>
      <c r="K1013" t="s">
        <v>1903</v>
      </c>
      <c r="L1013" t="s">
        <v>53</v>
      </c>
      <c r="N1013" t="s">
        <v>1904</v>
      </c>
      <c r="P1013" t="s">
        <v>55</v>
      </c>
      <c r="R1013" t="s">
        <v>56</v>
      </c>
      <c r="T1013" t="s">
        <v>1879</v>
      </c>
      <c r="U1013" t="s">
        <v>58</v>
      </c>
      <c r="V1013">
        <v>1</v>
      </c>
      <c r="W1013">
        <v>1</v>
      </c>
      <c r="X1013">
        <v>1</v>
      </c>
      <c r="Y1013">
        <v>0</v>
      </c>
      <c r="Z1013">
        <v>1</v>
      </c>
      <c r="AA1013">
        <v>0</v>
      </c>
      <c r="AB1013">
        <v>127.86</v>
      </c>
      <c r="AC1013">
        <v>112.5</v>
      </c>
      <c r="AD1013">
        <v>0</v>
      </c>
      <c r="AE1013">
        <v>15.36</v>
      </c>
      <c r="AF1013">
        <v>0</v>
      </c>
      <c r="AG1013">
        <v>0</v>
      </c>
      <c r="AH1013">
        <v>0</v>
      </c>
      <c r="AI1013">
        <v>0</v>
      </c>
      <c r="AJ1013">
        <v>127.86</v>
      </c>
      <c r="AK1013">
        <v>0</v>
      </c>
      <c r="AL1013" t="s">
        <v>53</v>
      </c>
      <c r="AM1013" t="s">
        <v>53</v>
      </c>
      <c r="AN1013" t="s">
        <v>178</v>
      </c>
      <c r="AO1013" t="s">
        <v>53</v>
      </c>
      <c r="AP1013" t="s">
        <v>53</v>
      </c>
    </row>
    <row r="1014" spans="2:42" x14ac:dyDescent="0.2">
      <c r="B1014" t="s">
        <v>44</v>
      </c>
      <c r="C1014" t="str">
        <f>HYPERLINK("https://us2.cloudbeds.com/connect/8493803454333002#/reservations/598375428262?display=E1AT0BU6&amp;reservation_id=598375428262", "E1AT0BU6")</f>
        <v>E1AT0BU6</v>
      </c>
      <c r="D1014" t="s">
        <v>45</v>
      </c>
      <c r="E1014" t="s">
        <v>381</v>
      </c>
      <c r="F1014" t="s">
        <v>47</v>
      </c>
      <c r="G1014" t="s">
        <v>48</v>
      </c>
      <c r="H1014" t="s">
        <v>71</v>
      </c>
      <c r="I1014" t="s">
        <v>72</v>
      </c>
      <c r="J1014" t="s">
        <v>243</v>
      </c>
      <c r="K1014" t="s">
        <v>1017</v>
      </c>
      <c r="L1014" t="s">
        <v>53</v>
      </c>
      <c r="N1014" t="s">
        <v>1905</v>
      </c>
      <c r="P1014" t="s">
        <v>55</v>
      </c>
      <c r="R1014" t="s">
        <v>56</v>
      </c>
      <c r="T1014" t="s">
        <v>1906</v>
      </c>
      <c r="U1014" t="s">
        <v>58</v>
      </c>
      <c r="V1014">
        <v>2</v>
      </c>
      <c r="W1014">
        <v>1</v>
      </c>
      <c r="X1014">
        <v>1</v>
      </c>
      <c r="Y1014">
        <v>0</v>
      </c>
      <c r="Z1014">
        <v>1</v>
      </c>
      <c r="AA1014">
        <v>0</v>
      </c>
      <c r="AB1014">
        <v>146.61000000000001</v>
      </c>
      <c r="AC1014">
        <v>129</v>
      </c>
      <c r="AD1014">
        <v>0</v>
      </c>
      <c r="AE1014">
        <v>17.62</v>
      </c>
      <c r="AF1014">
        <v>0</v>
      </c>
      <c r="AG1014">
        <v>0</v>
      </c>
      <c r="AH1014">
        <v>0</v>
      </c>
      <c r="AI1014">
        <v>0</v>
      </c>
      <c r="AJ1014">
        <v>146.62</v>
      </c>
      <c r="AK1014">
        <v>0.01</v>
      </c>
      <c r="AL1014" t="s">
        <v>53</v>
      </c>
      <c r="AM1014" t="s">
        <v>53</v>
      </c>
      <c r="AN1014" t="s">
        <v>378</v>
      </c>
      <c r="AO1014" t="s">
        <v>53</v>
      </c>
      <c r="AP1014" t="s">
        <v>53</v>
      </c>
    </row>
    <row r="1015" spans="2:42" x14ac:dyDescent="0.2">
      <c r="B1015" t="s">
        <v>44</v>
      </c>
      <c r="C1015" t="str">
        <f>HYPERLINK("https://us2.cloudbeds.com/connect/8493803454333002#/reservations/598541009087?display=E1F3KTDU&amp;reservation_id=598541009087", "E1F3KTDU")</f>
        <v>E1F3KTDU</v>
      </c>
      <c r="D1015" t="s">
        <v>45</v>
      </c>
      <c r="E1015" t="s">
        <v>105</v>
      </c>
      <c r="F1015" t="s">
        <v>47</v>
      </c>
      <c r="G1015" t="s">
        <v>48</v>
      </c>
      <c r="H1015" t="s">
        <v>49</v>
      </c>
      <c r="I1015" t="s">
        <v>62</v>
      </c>
      <c r="J1015" t="s">
        <v>282</v>
      </c>
      <c r="K1015" t="s">
        <v>709</v>
      </c>
      <c r="L1015" t="s">
        <v>53</v>
      </c>
      <c r="N1015" t="s">
        <v>1907</v>
      </c>
      <c r="P1015" t="s">
        <v>55</v>
      </c>
      <c r="R1015" t="s">
        <v>56</v>
      </c>
      <c r="T1015" t="s">
        <v>1906</v>
      </c>
      <c r="U1015" t="s">
        <v>58</v>
      </c>
      <c r="V1015">
        <v>2</v>
      </c>
      <c r="W1015">
        <v>1</v>
      </c>
      <c r="X1015">
        <v>1</v>
      </c>
      <c r="Y1015">
        <v>0</v>
      </c>
      <c r="Z1015">
        <v>1</v>
      </c>
      <c r="AA1015">
        <v>0</v>
      </c>
      <c r="AB1015">
        <v>250.03</v>
      </c>
      <c r="AC1015">
        <v>220</v>
      </c>
      <c r="AD1015">
        <v>0</v>
      </c>
      <c r="AE1015">
        <v>30.04</v>
      </c>
      <c r="AF1015">
        <v>0</v>
      </c>
      <c r="AG1015">
        <v>0</v>
      </c>
      <c r="AH1015">
        <v>0</v>
      </c>
      <c r="AI1015">
        <v>37.51</v>
      </c>
      <c r="AJ1015">
        <v>250.04</v>
      </c>
      <c r="AK1015">
        <v>0.01</v>
      </c>
      <c r="AL1015" t="s">
        <v>53</v>
      </c>
      <c r="AM1015" t="s">
        <v>53</v>
      </c>
      <c r="AN1015" t="s">
        <v>97</v>
      </c>
      <c r="AO1015" t="s">
        <v>53</v>
      </c>
      <c r="AP1015" t="s">
        <v>53</v>
      </c>
    </row>
    <row r="1016" spans="2:42" x14ac:dyDescent="0.2">
      <c r="B1016" t="s">
        <v>44</v>
      </c>
      <c r="C1016" t="str">
        <f>HYPERLINK("https://us2.cloudbeds.com/connect/8493803454333002#/reservations/598555410612?display=E1FFPKVQ&amp;reservation_id=598555410612", "E1FFPKVQ")</f>
        <v>E1FFPKVQ</v>
      </c>
      <c r="D1016" t="s">
        <v>45</v>
      </c>
      <c r="E1016" t="s">
        <v>69</v>
      </c>
      <c r="F1016" t="s">
        <v>70</v>
      </c>
      <c r="G1016" t="s">
        <v>48</v>
      </c>
      <c r="H1016" t="s">
        <v>71</v>
      </c>
      <c r="I1016" t="s">
        <v>72</v>
      </c>
      <c r="J1016" t="s">
        <v>282</v>
      </c>
      <c r="K1016" t="s">
        <v>1027</v>
      </c>
      <c r="L1016" t="s">
        <v>53</v>
      </c>
      <c r="N1016" t="s">
        <v>1908</v>
      </c>
      <c r="P1016" t="s">
        <v>55</v>
      </c>
      <c r="R1016" t="s">
        <v>56</v>
      </c>
      <c r="T1016" t="s">
        <v>1906</v>
      </c>
      <c r="U1016" t="s">
        <v>58</v>
      </c>
      <c r="V1016">
        <v>1</v>
      </c>
      <c r="W1016">
        <v>1</v>
      </c>
      <c r="X1016">
        <v>1</v>
      </c>
      <c r="Y1016">
        <v>0</v>
      </c>
      <c r="Z1016">
        <v>1</v>
      </c>
      <c r="AA1016">
        <v>0</v>
      </c>
      <c r="AB1016">
        <v>120.47</v>
      </c>
      <c r="AC1016">
        <v>106</v>
      </c>
      <c r="AD1016">
        <v>0</v>
      </c>
      <c r="AE1016">
        <v>14.47</v>
      </c>
      <c r="AF1016">
        <v>0</v>
      </c>
      <c r="AG1016">
        <v>0</v>
      </c>
      <c r="AH1016">
        <v>0</v>
      </c>
      <c r="AI1016">
        <v>0</v>
      </c>
      <c r="AJ1016">
        <v>120.47</v>
      </c>
      <c r="AK1016">
        <v>0</v>
      </c>
      <c r="AL1016" t="s">
        <v>53</v>
      </c>
      <c r="AM1016" t="s">
        <v>53</v>
      </c>
      <c r="AN1016" t="s">
        <v>1909</v>
      </c>
      <c r="AO1016" t="s">
        <v>53</v>
      </c>
      <c r="AP1016" t="s">
        <v>53</v>
      </c>
    </row>
    <row r="1017" spans="2:42" x14ac:dyDescent="0.2">
      <c r="B1017" t="s">
        <v>44</v>
      </c>
      <c r="C1017" t="str">
        <f>HYPERLINK("https://us2.cloudbeds.com/connect/8493803454333002#/reservations/598103093401?display=E13UC7WY&amp;reservation_id=598103093401", "E13UC7WY")</f>
        <v>E13UC7WY</v>
      </c>
      <c r="D1017" t="s">
        <v>45</v>
      </c>
      <c r="E1017" t="s">
        <v>85</v>
      </c>
      <c r="F1017" t="s">
        <v>86</v>
      </c>
      <c r="G1017" t="s">
        <v>48</v>
      </c>
      <c r="H1017" t="s">
        <v>49</v>
      </c>
      <c r="I1017" t="s">
        <v>50</v>
      </c>
      <c r="J1017" t="s">
        <v>1017</v>
      </c>
      <c r="K1017" t="s">
        <v>554</v>
      </c>
      <c r="L1017" t="s">
        <v>53</v>
      </c>
      <c r="N1017" t="s">
        <v>1910</v>
      </c>
      <c r="P1017" t="s">
        <v>55</v>
      </c>
      <c r="R1017" t="s">
        <v>56</v>
      </c>
      <c r="T1017" t="s">
        <v>1906</v>
      </c>
      <c r="U1017" t="s">
        <v>58</v>
      </c>
      <c r="V1017">
        <v>2</v>
      </c>
      <c r="W1017">
        <v>1</v>
      </c>
      <c r="X1017">
        <v>1</v>
      </c>
      <c r="Y1017">
        <v>0</v>
      </c>
      <c r="Z1017">
        <v>1</v>
      </c>
      <c r="AA1017">
        <v>0</v>
      </c>
      <c r="AB1017">
        <v>218.89</v>
      </c>
      <c r="AC1017">
        <v>192.6</v>
      </c>
      <c r="AD1017">
        <v>0</v>
      </c>
      <c r="AE1017">
        <v>26.3</v>
      </c>
      <c r="AF1017">
        <v>0</v>
      </c>
      <c r="AG1017">
        <v>0</v>
      </c>
      <c r="AH1017">
        <v>0</v>
      </c>
      <c r="AI1017">
        <v>39.4</v>
      </c>
      <c r="AJ1017">
        <v>218.9</v>
      </c>
      <c r="AK1017">
        <v>0.01</v>
      </c>
      <c r="AL1017" t="s">
        <v>53</v>
      </c>
      <c r="AM1017" t="s">
        <v>53</v>
      </c>
      <c r="AN1017" t="s">
        <v>137</v>
      </c>
      <c r="AO1017" t="s">
        <v>53</v>
      </c>
      <c r="AP1017" t="s">
        <v>53</v>
      </c>
    </row>
    <row r="1018" spans="2:42" x14ac:dyDescent="0.2">
      <c r="B1018" t="s">
        <v>44</v>
      </c>
      <c r="C1018" t="str">
        <f>HYPERLINK("https://us2.cloudbeds.com/connect/8493803454333002#/reservations/598095130836?display=E13NYM5Q&amp;reservation_id=598095130836", "E13NYM5Q")</f>
        <v>E13NYM5Q</v>
      </c>
      <c r="D1018" t="s">
        <v>45</v>
      </c>
      <c r="E1018" t="s">
        <v>373</v>
      </c>
      <c r="F1018" t="s">
        <v>47</v>
      </c>
      <c r="G1018" t="s">
        <v>48</v>
      </c>
      <c r="H1018" t="s">
        <v>71</v>
      </c>
      <c r="I1018" t="s">
        <v>72</v>
      </c>
      <c r="J1018" t="s">
        <v>242</v>
      </c>
      <c r="K1018" t="s">
        <v>1349</v>
      </c>
      <c r="L1018" t="s">
        <v>53</v>
      </c>
      <c r="N1018" t="s">
        <v>1911</v>
      </c>
      <c r="P1018" t="s">
        <v>58</v>
      </c>
      <c r="R1018" t="s">
        <v>56</v>
      </c>
      <c r="T1018" t="s">
        <v>1906</v>
      </c>
      <c r="U1018" t="s">
        <v>58</v>
      </c>
      <c r="V1018">
        <v>3</v>
      </c>
      <c r="W1018">
        <v>1</v>
      </c>
      <c r="X1018">
        <v>1</v>
      </c>
      <c r="Y1018">
        <v>0</v>
      </c>
      <c r="Z1018">
        <v>1</v>
      </c>
      <c r="AA1018">
        <v>0</v>
      </c>
      <c r="AB1018">
        <v>211.39</v>
      </c>
      <c r="AC1018">
        <v>186</v>
      </c>
      <c r="AD1018">
        <v>0</v>
      </c>
      <c r="AE1018">
        <v>25.41</v>
      </c>
      <c r="AF1018">
        <v>0</v>
      </c>
      <c r="AG1018">
        <v>0</v>
      </c>
      <c r="AH1018">
        <v>0</v>
      </c>
      <c r="AI1018">
        <v>0</v>
      </c>
      <c r="AJ1018">
        <v>211.41</v>
      </c>
      <c r="AK1018">
        <v>0.02</v>
      </c>
      <c r="AL1018" t="s">
        <v>53</v>
      </c>
      <c r="AM1018" t="s">
        <v>53</v>
      </c>
      <c r="AN1018" t="s">
        <v>378</v>
      </c>
      <c r="AO1018" t="s">
        <v>53</v>
      </c>
      <c r="AP1018" t="s">
        <v>53</v>
      </c>
    </row>
    <row r="1019" spans="2:42" x14ac:dyDescent="0.2">
      <c r="B1019" t="s">
        <v>44</v>
      </c>
      <c r="C1019" t="str">
        <f>HYPERLINK("https://us2.cloudbeds.com/connect/8493803454333002#/reservations/598545637583?display=E1F7HMYD&amp;reservation_id=598545637583", "E1F7HMYD")</f>
        <v>E1F7HMYD</v>
      </c>
      <c r="D1019" t="s">
        <v>45</v>
      </c>
      <c r="E1019" t="s">
        <v>121</v>
      </c>
      <c r="F1019" t="s">
        <v>86</v>
      </c>
      <c r="G1019" t="s">
        <v>48</v>
      </c>
      <c r="H1019" t="s">
        <v>71</v>
      </c>
      <c r="I1019" t="s">
        <v>72</v>
      </c>
      <c r="J1019" t="s">
        <v>242</v>
      </c>
      <c r="K1019" t="s">
        <v>243</v>
      </c>
      <c r="L1019" t="s">
        <v>53</v>
      </c>
      <c r="N1019" t="s">
        <v>1912</v>
      </c>
      <c r="P1019" t="s">
        <v>58</v>
      </c>
      <c r="R1019" t="s">
        <v>56</v>
      </c>
      <c r="T1019" t="s">
        <v>1906</v>
      </c>
      <c r="U1019" t="s">
        <v>58</v>
      </c>
      <c r="V1019">
        <v>2</v>
      </c>
      <c r="W1019">
        <v>1</v>
      </c>
      <c r="X1019">
        <v>1</v>
      </c>
      <c r="Y1019">
        <v>0</v>
      </c>
      <c r="Z1019">
        <v>1</v>
      </c>
      <c r="AA1019">
        <v>0</v>
      </c>
      <c r="AB1019">
        <v>159.11000000000001</v>
      </c>
      <c r="AC1019">
        <v>140</v>
      </c>
      <c r="AD1019">
        <v>0</v>
      </c>
      <c r="AE1019">
        <v>19.12</v>
      </c>
      <c r="AF1019">
        <v>0</v>
      </c>
      <c r="AG1019">
        <v>0</v>
      </c>
      <c r="AH1019">
        <v>0</v>
      </c>
      <c r="AI1019">
        <v>0</v>
      </c>
      <c r="AJ1019">
        <v>159.12</v>
      </c>
      <c r="AK1019">
        <v>0.01</v>
      </c>
      <c r="AL1019" t="s">
        <v>53</v>
      </c>
      <c r="AM1019" t="s">
        <v>53</v>
      </c>
      <c r="AN1019" t="s">
        <v>378</v>
      </c>
      <c r="AO1019" t="s">
        <v>53</v>
      </c>
      <c r="AP1019" t="s">
        <v>53</v>
      </c>
    </row>
    <row r="1020" spans="2:42" x14ac:dyDescent="0.2">
      <c r="B1020" t="s">
        <v>44</v>
      </c>
      <c r="C1020" t="str">
        <f>HYPERLINK("https://us2.cloudbeds.com/connect/8493803454333002#/reservations/598223827120?display=E1705RJ6&amp;reservation_id=598223827120", "E1705RJ6")</f>
        <v>E1705RJ6</v>
      </c>
      <c r="D1020" t="s">
        <v>45</v>
      </c>
      <c r="E1020" t="s">
        <v>213</v>
      </c>
      <c r="F1020" t="s">
        <v>86</v>
      </c>
      <c r="G1020" t="s">
        <v>48</v>
      </c>
      <c r="H1020" t="s">
        <v>49</v>
      </c>
      <c r="I1020" t="s">
        <v>79</v>
      </c>
      <c r="J1020" t="s">
        <v>260</v>
      </c>
      <c r="K1020" t="s">
        <v>640</v>
      </c>
      <c r="L1020" t="s">
        <v>53</v>
      </c>
      <c r="N1020" t="s">
        <v>1913</v>
      </c>
      <c r="P1020" t="s">
        <v>55</v>
      </c>
      <c r="R1020" t="s">
        <v>56</v>
      </c>
      <c r="T1020" t="s">
        <v>1906</v>
      </c>
      <c r="U1020" t="s">
        <v>58</v>
      </c>
      <c r="V1020">
        <v>1</v>
      </c>
      <c r="W1020">
        <v>1</v>
      </c>
      <c r="X1020">
        <v>1</v>
      </c>
      <c r="Y1020">
        <v>0</v>
      </c>
      <c r="Z1020">
        <v>1</v>
      </c>
      <c r="AA1020">
        <v>0</v>
      </c>
      <c r="AB1020">
        <v>153.43</v>
      </c>
      <c r="AC1020">
        <v>135</v>
      </c>
      <c r="AD1020">
        <v>0</v>
      </c>
      <c r="AE1020">
        <v>18.440000000000001</v>
      </c>
      <c r="AF1020">
        <v>0</v>
      </c>
      <c r="AG1020">
        <v>0</v>
      </c>
      <c r="AH1020">
        <v>0</v>
      </c>
      <c r="AI1020">
        <v>0</v>
      </c>
      <c r="AJ1020">
        <v>153.44</v>
      </c>
      <c r="AK1020">
        <v>0.01</v>
      </c>
      <c r="AL1020" t="s">
        <v>53</v>
      </c>
      <c r="AM1020" t="s">
        <v>53</v>
      </c>
      <c r="AN1020" t="s">
        <v>1914</v>
      </c>
      <c r="AO1020" t="s">
        <v>53</v>
      </c>
      <c r="AP1020" t="s">
        <v>53</v>
      </c>
    </row>
    <row r="1021" spans="2:42" x14ac:dyDescent="0.2">
      <c r="B1021" t="s">
        <v>44</v>
      </c>
      <c r="C1021" t="str">
        <f>HYPERLINK("https://us2.cloudbeds.com/connect/8493803454333002#/reservations/579341021312?display=DJJDM2TE&amp;reservation_id=579341021312", "DJJDM2TE")</f>
        <v>DJJDM2TE</v>
      </c>
      <c r="D1021" t="s">
        <v>45</v>
      </c>
      <c r="E1021" t="s">
        <v>381</v>
      </c>
      <c r="F1021" t="s">
        <v>47</v>
      </c>
      <c r="G1021" t="s">
        <v>48</v>
      </c>
      <c r="H1021" t="s">
        <v>49</v>
      </c>
      <c r="I1021" t="s">
        <v>50</v>
      </c>
      <c r="J1021" t="s">
        <v>1405</v>
      </c>
      <c r="K1021" t="s">
        <v>1555</v>
      </c>
      <c r="L1021" t="s">
        <v>53</v>
      </c>
      <c r="N1021" t="s">
        <v>1915</v>
      </c>
      <c r="P1021" t="s">
        <v>55</v>
      </c>
      <c r="R1021" t="s">
        <v>56</v>
      </c>
      <c r="T1021" t="s">
        <v>1906</v>
      </c>
      <c r="U1021" t="s">
        <v>58</v>
      </c>
      <c r="V1021">
        <v>2</v>
      </c>
      <c r="W1021">
        <v>1</v>
      </c>
      <c r="X1021">
        <v>1</v>
      </c>
      <c r="Y1021">
        <v>0</v>
      </c>
      <c r="Z1021">
        <v>1</v>
      </c>
      <c r="AA1021">
        <v>0</v>
      </c>
      <c r="AB1021">
        <v>282.3</v>
      </c>
      <c r="AC1021">
        <v>248.4</v>
      </c>
      <c r="AD1021">
        <v>0</v>
      </c>
      <c r="AE1021">
        <v>33.9</v>
      </c>
      <c r="AF1021">
        <v>0</v>
      </c>
      <c r="AG1021">
        <v>0</v>
      </c>
      <c r="AH1021">
        <v>0</v>
      </c>
      <c r="AI1021">
        <v>50.81</v>
      </c>
      <c r="AJ1021">
        <v>282.3</v>
      </c>
      <c r="AK1021">
        <v>0</v>
      </c>
      <c r="AL1021" t="s">
        <v>53</v>
      </c>
      <c r="AM1021" t="s">
        <v>53</v>
      </c>
      <c r="AN1021" t="s">
        <v>545</v>
      </c>
      <c r="AO1021" t="s">
        <v>53</v>
      </c>
      <c r="AP1021" t="s">
        <v>53</v>
      </c>
    </row>
    <row r="1022" spans="2:42" x14ac:dyDescent="0.2">
      <c r="B1022" t="s">
        <v>44</v>
      </c>
      <c r="C1022" t="str">
        <f>HYPERLINK("https://us2.cloudbeds.com/connect/8493803454333002#/reservations/598328082682?display=E19M2TNY&amp;reservation_id=598328082682", "E19M2TNY")</f>
        <v>E19M2TNY</v>
      </c>
      <c r="D1022" t="s">
        <v>45</v>
      </c>
      <c r="E1022" t="s">
        <v>110</v>
      </c>
      <c r="F1022" t="s">
        <v>47</v>
      </c>
      <c r="G1022" t="s">
        <v>48</v>
      </c>
      <c r="H1022" t="s">
        <v>49</v>
      </c>
      <c r="I1022" t="s">
        <v>50</v>
      </c>
      <c r="J1022" t="s">
        <v>107</v>
      </c>
      <c r="K1022" t="s">
        <v>191</v>
      </c>
      <c r="L1022" t="s">
        <v>53</v>
      </c>
      <c r="N1022" t="s">
        <v>1916</v>
      </c>
      <c r="P1022" t="s">
        <v>55</v>
      </c>
      <c r="R1022" t="s">
        <v>56</v>
      </c>
      <c r="T1022" t="s">
        <v>1917</v>
      </c>
      <c r="U1022" t="s">
        <v>58</v>
      </c>
      <c r="V1022">
        <v>1</v>
      </c>
      <c r="W1022">
        <v>1</v>
      </c>
      <c r="X1022">
        <v>1</v>
      </c>
      <c r="Y1022">
        <v>0</v>
      </c>
      <c r="Z1022">
        <v>1</v>
      </c>
      <c r="AA1022">
        <v>0</v>
      </c>
      <c r="AB1022">
        <v>103.31</v>
      </c>
      <c r="AC1022">
        <v>90.9</v>
      </c>
      <c r="AD1022">
        <v>0</v>
      </c>
      <c r="AE1022">
        <v>12.41</v>
      </c>
      <c r="AF1022">
        <v>0</v>
      </c>
      <c r="AG1022">
        <v>0</v>
      </c>
      <c r="AH1022">
        <v>0</v>
      </c>
      <c r="AI1022">
        <v>18.600000000000001</v>
      </c>
      <c r="AJ1022">
        <v>103.31</v>
      </c>
      <c r="AK1022">
        <v>0</v>
      </c>
      <c r="AL1022" t="s">
        <v>53</v>
      </c>
      <c r="AM1022" t="s">
        <v>53</v>
      </c>
      <c r="AN1022" t="s">
        <v>97</v>
      </c>
      <c r="AO1022" t="s">
        <v>53</v>
      </c>
      <c r="AP1022" t="s">
        <v>53</v>
      </c>
    </row>
    <row r="1023" spans="2:42" x14ac:dyDescent="0.2">
      <c r="B1023" t="s">
        <v>44</v>
      </c>
      <c r="C1023" t="str">
        <f>HYPERLINK("https://us2.cloudbeds.com/connect/8493803454333002#/reservations/598318456983?display=E19DW1MQ&amp;reservation_id=598318456983", "E19DW1MQ")</f>
        <v>E19DW1MQ</v>
      </c>
      <c r="D1023" t="s">
        <v>45</v>
      </c>
      <c r="E1023" t="s">
        <v>155</v>
      </c>
      <c r="F1023" t="s">
        <v>86</v>
      </c>
      <c r="G1023" t="s">
        <v>48</v>
      </c>
      <c r="H1023" t="s">
        <v>49</v>
      </c>
      <c r="I1023" t="s">
        <v>62</v>
      </c>
      <c r="J1023" t="s">
        <v>801</v>
      </c>
      <c r="K1023" t="s">
        <v>202</v>
      </c>
      <c r="L1023" t="s">
        <v>53</v>
      </c>
      <c r="N1023" t="s">
        <v>1918</v>
      </c>
      <c r="P1023" t="s">
        <v>55</v>
      </c>
      <c r="R1023" t="s">
        <v>56</v>
      </c>
      <c r="T1023" t="s">
        <v>1917</v>
      </c>
      <c r="U1023" t="s">
        <v>58</v>
      </c>
      <c r="V1023">
        <v>1</v>
      </c>
      <c r="W1023">
        <v>1</v>
      </c>
      <c r="X1023">
        <v>1</v>
      </c>
      <c r="Y1023">
        <v>0</v>
      </c>
      <c r="Z1023">
        <v>1</v>
      </c>
      <c r="AA1023">
        <v>0</v>
      </c>
      <c r="AB1023">
        <v>96.6</v>
      </c>
      <c r="AC1023">
        <v>85</v>
      </c>
      <c r="AD1023">
        <v>0</v>
      </c>
      <c r="AE1023">
        <v>11.61</v>
      </c>
      <c r="AF1023">
        <v>0</v>
      </c>
      <c r="AG1023">
        <v>0</v>
      </c>
      <c r="AH1023">
        <v>0</v>
      </c>
      <c r="AI1023">
        <v>14.49</v>
      </c>
      <c r="AJ1023">
        <v>96.61</v>
      </c>
      <c r="AK1023">
        <v>0.01</v>
      </c>
      <c r="AL1023" t="s">
        <v>53</v>
      </c>
      <c r="AM1023" t="s">
        <v>53</v>
      </c>
      <c r="AN1023" t="s">
        <v>142</v>
      </c>
      <c r="AO1023" t="s">
        <v>53</v>
      </c>
      <c r="AP1023" t="s">
        <v>53</v>
      </c>
    </row>
    <row r="1024" spans="2:42" x14ac:dyDescent="0.2">
      <c r="B1024" t="s">
        <v>44</v>
      </c>
      <c r="C1024" t="str">
        <f>HYPERLINK("https://us2.cloudbeds.com/connect/8493803454333002#/reservations/598329327821?display=E19N4X34&amp;reservation_id=598329327821", "E19N4X34")</f>
        <v>E19N4X34</v>
      </c>
      <c r="D1024" t="s">
        <v>45</v>
      </c>
      <c r="E1024" t="s">
        <v>179</v>
      </c>
      <c r="F1024" t="s">
        <v>47</v>
      </c>
      <c r="G1024" t="s">
        <v>48</v>
      </c>
      <c r="H1024" t="s">
        <v>71</v>
      </c>
      <c r="I1024" t="s">
        <v>72</v>
      </c>
      <c r="J1024" t="s">
        <v>1113</v>
      </c>
      <c r="K1024" t="s">
        <v>243</v>
      </c>
      <c r="L1024" t="s">
        <v>53</v>
      </c>
      <c r="N1024" t="s">
        <v>1919</v>
      </c>
      <c r="P1024" t="s">
        <v>55</v>
      </c>
      <c r="R1024" t="s">
        <v>56</v>
      </c>
      <c r="T1024" t="s">
        <v>1917</v>
      </c>
      <c r="U1024" t="s">
        <v>58</v>
      </c>
      <c r="V1024">
        <v>1</v>
      </c>
      <c r="W1024">
        <v>1</v>
      </c>
      <c r="X1024">
        <v>1</v>
      </c>
      <c r="Y1024">
        <v>0</v>
      </c>
      <c r="Z1024">
        <v>1</v>
      </c>
      <c r="AA1024">
        <v>0</v>
      </c>
      <c r="AB1024">
        <v>76.150000000000006</v>
      </c>
      <c r="AC1024">
        <v>67</v>
      </c>
      <c r="AD1024">
        <v>0</v>
      </c>
      <c r="AE1024">
        <v>9.15</v>
      </c>
      <c r="AF1024">
        <v>0</v>
      </c>
      <c r="AG1024">
        <v>0</v>
      </c>
      <c r="AH1024">
        <v>0</v>
      </c>
      <c r="AI1024">
        <v>0</v>
      </c>
      <c r="AJ1024">
        <v>76.150000000000006</v>
      </c>
      <c r="AK1024">
        <v>0</v>
      </c>
      <c r="AL1024" t="s">
        <v>53</v>
      </c>
      <c r="AM1024" t="s">
        <v>53</v>
      </c>
      <c r="AN1024" t="s">
        <v>378</v>
      </c>
      <c r="AO1024" t="s">
        <v>53</v>
      </c>
      <c r="AP1024" t="s">
        <v>53</v>
      </c>
    </row>
    <row r="1025" spans="2:42" x14ac:dyDescent="0.2">
      <c r="B1025" t="s">
        <v>44</v>
      </c>
      <c r="C1025" t="str">
        <f>HYPERLINK("https://us2.cloudbeds.com/connect/8493803454333002#/reservations/598289399971?display=E18MFGD9&amp;reservation_id=598289399971", "E18MFGD9")</f>
        <v>E18MFGD9</v>
      </c>
      <c r="D1025" t="s">
        <v>45</v>
      </c>
      <c r="E1025" t="s">
        <v>165</v>
      </c>
      <c r="F1025" t="s">
        <v>61</v>
      </c>
      <c r="G1025" t="s">
        <v>48</v>
      </c>
      <c r="H1025" t="s">
        <v>49</v>
      </c>
      <c r="I1025" t="s">
        <v>79</v>
      </c>
      <c r="J1025" t="s">
        <v>1113</v>
      </c>
      <c r="K1025" t="s">
        <v>243</v>
      </c>
      <c r="L1025" t="s">
        <v>53</v>
      </c>
      <c r="N1025" t="s">
        <v>1920</v>
      </c>
      <c r="P1025" t="s">
        <v>55</v>
      </c>
      <c r="R1025" t="s">
        <v>56</v>
      </c>
      <c r="T1025" t="s">
        <v>1917</v>
      </c>
      <c r="U1025" t="s">
        <v>58</v>
      </c>
      <c r="V1025">
        <v>1</v>
      </c>
      <c r="W1025">
        <v>1</v>
      </c>
      <c r="X1025">
        <v>1</v>
      </c>
      <c r="Y1025">
        <v>0</v>
      </c>
      <c r="Z1025">
        <v>1</v>
      </c>
      <c r="AA1025">
        <v>0</v>
      </c>
      <c r="AB1025">
        <v>78.760000000000005</v>
      </c>
      <c r="AC1025">
        <v>69.3</v>
      </c>
      <c r="AD1025">
        <v>0</v>
      </c>
      <c r="AE1025">
        <v>9.4700000000000006</v>
      </c>
      <c r="AF1025">
        <v>0</v>
      </c>
      <c r="AG1025">
        <v>0</v>
      </c>
      <c r="AH1025">
        <v>0</v>
      </c>
      <c r="AI1025">
        <v>0</v>
      </c>
      <c r="AJ1025">
        <v>78.77</v>
      </c>
      <c r="AK1025">
        <v>0.01</v>
      </c>
      <c r="AL1025" t="s">
        <v>53</v>
      </c>
      <c r="AM1025" t="s">
        <v>53</v>
      </c>
      <c r="AN1025" t="s">
        <v>198</v>
      </c>
      <c r="AO1025" t="s">
        <v>53</v>
      </c>
      <c r="AP1025" t="s">
        <v>53</v>
      </c>
    </row>
    <row r="1026" spans="2:42" x14ac:dyDescent="0.2">
      <c r="B1026" t="s">
        <v>44</v>
      </c>
      <c r="C1026" t="str">
        <f>HYPERLINK("https://us2.cloudbeds.com/connect/8493803454333002#/reservations/598436659396?display=E1CEY6S3&amp;reservation_id=598436659396", "E1CEY6S3")</f>
        <v>E1CEY6S3</v>
      </c>
      <c r="D1026" t="s">
        <v>45</v>
      </c>
      <c r="E1026" t="s">
        <v>213</v>
      </c>
      <c r="F1026" t="s">
        <v>86</v>
      </c>
      <c r="G1026" t="s">
        <v>48</v>
      </c>
      <c r="H1026" t="s">
        <v>49</v>
      </c>
      <c r="I1026" t="s">
        <v>62</v>
      </c>
      <c r="J1026" t="s">
        <v>549</v>
      </c>
      <c r="K1026" t="s">
        <v>341</v>
      </c>
      <c r="L1026" t="s">
        <v>53</v>
      </c>
      <c r="N1026" t="s">
        <v>1921</v>
      </c>
      <c r="P1026" t="s">
        <v>55</v>
      </c>
      <c r="R1026" t="s">
        <v>56</v>
      </c>
      <c r="T1026" t="s">
        <v>1917</v>
      </c>
      <c r="U1026" t="s">
        <v>58</v>
      </c>
      <c r="V1026">
        <v>2</v>
      </c>
      <c r="W1026">
        <v>1</v>
      </c>
      <c r="X1026">
        <v>1</v>
      </c>
      <c r="Y1026">
        <v>0</v>
      </c>
      <c r="Z1026">
        <v>1</v>
      </c>
      <c r="AA1026">
        <v>0</v>
      </c>
      <c r="AB1026">
        <v>354.59</v>
      </c>
      <c r="AC1026">
        <v>312</v>
      </c>
      <c r="AD1026">
        <v>0</v>
      </c>
      <c r="AE1026">
        <v>42.58</v>
      </c>
      <c r="AF1026">
        <v>0</v>
      </c>
      <c r="AG1026">
        <v>0</v>
      </c>
      <c r="AH1026">
        <v>0</v>
      </c>
      <c r="AI1026">
        <v>53.19</v>
      </c>
      <c r="AJ1026">
        <v>354.58</v>
      </c>
      <c r="AK1026">
        <v>-0.01</v>
      </c>
      <c r="AL1026" t="s">
        <v>53</v>
      </c>
      <c r="AM1026" t="s">
        <v>53</v>
      </c>
      <c r="AN1026" t="s">
        <v>146</v>
      </c>
      <c r="AO1026" t="s">
        <v>53</v>
      </c>
      <c r="AP1026" t="s">
        <v>53</v>
      </c>
    </row>
    <row r="1027" spans="2:42" x14ac:dyDescent="0.2">
      <c r="B1027" t="s">
        <v>44</v>
      </c>
      <c r="C1027" t="str">
        <f>HYPERLINK("https://us2.cloudbeds.com/connect/8493803454333002#/reservations/598291247302?display=E18Z0TZW&amp;reservation_id=598291247302", "E18Z0TZW")</f>
        <v>E18Z0TZW</v>
      </c>
      <c r="D1027" t="s">
        <v>45</v>
      </c>
      <c r="E1027" t="s">
        <v>105</v>
      </c>
      <c r="F1027" t="s">
        <v>47</v>
      </c>
      <c r="G1027" t="s">
        <v>48</v>
      </c>
      <c r="H1027" t="s">
        <v>49</v>
      </c>
      <c r="I1027" t="s">
        <v>50</v>
      </c>
      <c r="J1027" t="s">
        <v>1430</v>
      </c>
      <c r="K1027" t="s">
        <v>1092</v>
      </c>
      <c r="L1027" t="s">
        <v>53</v>
      </c>
      <c r="N1027" t="s">
        <v>1922</v>
      </c>
      <c r="P1027" t="s">
        <v>55</v>
      </c>
      <c r="R1027" t="s">
        <v>56</v>
      </c>
      <c r="T1027" t="s">
        <v>1917</v>
      </c>
      <c r="U1027" t="s">
        <v>58</v>
      </c>
      <c r="V1027">
        <v>2</v>
      </c>
      <c r="W1027">
        <v>1</v>
      </c>
      <c r="X1027">
        <v>1</v>
      </c>
      <c r="Y1027">
        <v>0</v>
      </c>
      <c r="Z1027">
        <v>1</v>
      </c>
      <c r="AA1027">
        <v>0</v>
      </c>
      <c r="AB1027">
        <v>157.52000000000001</v>
      </c>
      <c r="AC1027">
        <v>138.6</v>
      </c>
      <c r="AD1027">
        <v>0</v>
      </c>
      <c r="AE1027">
        <v>18.940000000000001</v>
      </c>
      <c r="AF1027">
        <v>0</v>
      </c>
      <c r="AG1027">
        <v>0</v>
      </c>
      <c r="AH1027">
        <v>0</v>
      </c>
      <c r="AI1027">
        <v>28.36</v>
      </c>
      <c r="AJ1027">
        <v>157.54</v>
      </c>
      <c r="AK1027">
        <v>0.02</v>
      </c>
      <c r="AL1027" t="s">
        <v>53</v>
      </c>
      <c r="AM1027" t="s">
        <v>53</v>
      </c>
      <c r="AN1027" t="s">
        <v>146</v>
      </c>
      <c r="AO1027" t="s">
        <v>53</v>
      </c>
      <c r="AP1027" t="s">
        <v>53</v>
      </c>
    </row>
    <row r="1028" spans="2:42" x14ac:dyDescent="0.2">
      <c r="B1028" t="s">
        <v>44</v>
      </c>
      <c r="C1028" t="str">
        <f>HYPERLINK("https://us2.cloudbeds.com/connect/8493803454333002#/reservations/598512812193?display=E1ECS8VK&amp;reservation_id=598512812193", "E1ECS8VK")</f>
        <v>E1ECS8VK</v>
      </c>
      <c r="D1028" t="s">
        <v>45</v>
      </c>
      <c r="E1028" t="s">
        <v>213</v>
      </c>
      <c r="F1028" t="s">
        <v>86</v>
      </c>
      <c r="G1028" t="s">
        <v>48</v>
      </c>
      <c r="H1028" t="s">
        <v>49</v>
      </c>
      <c r="I1028" t="s">
        <v>79</v>
      </c>
      <c r="J1028" t="s">
        <v>762</v>
      </c>
      <c r="K1028" t="s">
        <v>356</v>
      </c>
      <c r="L1028" t="s">
        <v>53</v>
      </c>
      <c r="N1028" t="s">
        <v>1923</v>
      </c>
      <c r="P1028" t="s">
        <v>55</v>
      </c>
      <c r="R1028" t="s">
        <v>56</v>
      </c>
      <c r="T1028" t="s">
        <v>1917</v>
      </c>
      <c r="U1028" t="s">
        <v>58</v>
      </c>
      <c r="V1028">
        <v>1</v>
      </c>
      <c r="W1028">
        <v>1</v>
      </c>
      <c r="X1028">
        <v>1</v>
      </c>
      <c r="Y1028">
        <v>0</v>
      </c>
      <c r="Z1028">
        <v>1</v>
      </c>
      <c r="AA1028">
        <v>0</v>
      </c>
      <c r="AB1028">
        <v>160.59</v>
      </c>
      <c r="AC1028">
        <v>141.30000000000001</v>
      </c>
      <c r="AD1028">
        <v>0</v>
      </c>
      <c r="AE1028">
        <v>19.3</v>
      </c>
      <c r="AF1028">
        <v>0</v>
      </c>
      <c r="AG1028">
        <v>0</v>
      </c>
      <c r="AH1028">
        <v>0</v>
      </c>
      <c r="AI1028">
        <v>0</v>
      </c>
      <c r="AJ1028">
        <v>160.6</v>
      </c>
      <c r="AK1028">
        <v>0.01</v>
      </c>
      <c r="AL1028" t="s">
        <v>53</v>
      </c>
      <c r="AM1028" t="s">
        <v>53</v>
      </c>
      <c r="AN1028" t="s">
        <v>280</v>
      </c>
      <c r="AO1028" t="s">
        <v>53</v>
      </c>
      <c r="AP1028" t="s">
        <v>53</v>
      </c>
    </row>
    <row r="1029" spans="2:42" x14ac:dyDescent="0.2">
      <c r="B1029" t="s">
        <v>44</v>
      </c>
      <c r="C1029" t="str">
        <f>HYPERLINK("https://us2.cloudbeds.com/connect/8493803454333002#/reservations/598465912963?display=E1D6A7KQ&amp;reservation_id=598465912963", "E1D6A7KQ")</f>
        <v>E1D6A7KQ</v>
      </c>
      <c r="D1029" t="s">
        <v>45</v>
      </c>
      <c r="E1029" t="s">
        <v>46</v>
      </c>
      <c r="F1029" t="s">
        <v>47</v>
      </c>
      <c r="G1029" t="s">
        <v>48</v>
      </c>
      <c r="H1029" t="s">
        <v>49</v>
      </c>
      <c r="I1029" t="s">
        <v>79</v>
      </c>
      <c r="J1029" t="s">
        <v>553</v>
      </c>
      <c r="K1029" t="s">
        <v>554</v>
      </c>
      <c r="L1029" t="s">
        <v>53</v>
      </c>
      <c r="N1029" t="s">
        <v>1924</v>
      </c>
      <c r="P1029" t="s">
        <v>55</v>
      </c>
      <c r="R1029" t="s">
        <v>56</v>
      </c>
      <c r="T1029" t="s">
        <v>1917</v>
      </c>
      <c r="U1029" t="s">
        <v>58</v>
      </c>
      <c r="V1029">
        <v>1</v>
      </c>
      <c r="W1029">
        <v>1</v>
      </c>
      <c r="X1029">
        <v>1</v>
      </c>
      <c r="Y1029">
        <v>0</v>
      </c>
      <c r="Z1029">
        <v>1</v>
      </c>
      <c r="AA1029">
        <v>0</v>
      </c>
      <c r="AB1029">
        <v>78.760000000000005</v>
      </c>
      <c r="AC1029">
        <v>69.3</v>
      </c>
      <c r="AD1029">
        <v>0</v>
      </c>
      <c r="AE1029">
        <v>9.4700000000000006</v>
      </c>
      <c r="AF1029">
        <v>0</v>
      </c>
      <c r="AG1029">
        <v>0</v>
      </c>
      <c r="AH1029">
        <v>0</v>
      </c>
      <c r="AI1029">
        <v>0</v>
      </c>
      <c r="AJ1029">
        <v>78.77</v>
      </c>
      <c r="AK1029">
        <v>0.01</v>
      </c>
      <c r="AL1029" t="s">
        <v>53</v>
      </c>
      <c r="AM1029" t="s">
        <v>53</v>
      </c>
      <c r="AN1029" t="s">
        <v>91</v>
      </c>
      <c r="AO1029" t="s">
        <v>53</v>
      </c>
      <c r="AP1029" t="s">
        <v>53</v>
      </c>
    </row>
    <row r="1030" spans="2:42" x14ac:dyDescent="0.2">
      <c r="B1030" t="s">
        <v>44</v>
      </c>
      <c r="C1030" t="str">
        <f>HYPERLINK("https://us2.cloudbeds.com/connect/8493803454333002#/reservations/579315335384?display=DJXS15V4&amp;reservation_id=579315335384", "DJXS15V4")</f>
        <v>DJXS15V4</v>
      </c>
      <c r="D1030" t="s">
        <v>45</v>
      </c>
      <c r="E1030" t="s">
        <v>121</v>
      </c>
      <c r="F1030" t="s">
        <v>86</v>
      </c>
      <c r="G1030" t="s">
        <v>48</v>
      </c>
      <c r="H1030" t="s">
        <v>49</v>
      </c>
      <c r="I1030" t="s">
        <v>50</v>
      </c>
      <c r="J1030" t="s">
        <v>1665</v>
      </c>
      <c r="K1030" t="s">
        <v>1478</v>
      </c>
      <c r="L1030" t="s">
        <v>53</v>
      </c>
      <c r="N1030" t="s">
        <v>1925</v>
      </c>
      <c r="P1030" t="s">
        <v>55</v>
      </c>
      <c r="R1030" t="s">
        <v>56</v>
      </c>
      <c r="T1030" t="s">
        <v>1917</v>
      </c>
      <c r="U1030" t="s">
        <v>58</v>
      </c>
      <c r="V1030">
        <v>1</v>
      </c>
      <c r="W1030">
        <v>1</v>
      </c>
      <c r="X1030">
        <v>1</v>
      </c>
      <c r="Y1030">
        <v>0</v>
      </c>
      <c r="Z1030">
        <v>1</v>
      </c>
      <c r="AA1030">
        <v>0</v>
      </c>
      <c r="AB1030">
        <v>161.61000000000001</v>
      </c>
      <c r="AC1030">
        <v>142.19999999999999</v>
      </c>
      <c r="AD1030">
        <v>0</v>
      </c>
      <c r="AE1030">
        <v>19.41</v>
      </c>
      <c r="AF1030">
        <v>0</v>
      </c>
      <c r="AG1030">
        <v>0</v>
      </c>
      <c r="AH1030">
        <v>0</v>
      </c>
      <c r="AI1030">
        <v>29.09</v>
      </c>
      <c r="AJ1030">
        <v>161.61000000000001</v>
      </c>
      <c r="AK1030">
        <v>0</v>
      </c>
      <c r="AL1030" t="s">
        <v>53</v>
      </c>
      <c r="AM1030" t="s">
        <v>53</v>
      </c>
      <c r="AN1030" t="s">
        <v>159</v>
      </c>
      <c r="AO1030" t="s">
        <v>53</v>
      </c>
      <c r="AP1030" t="s">
        <v>53</v>
      </c>
    </row>
    <row r="1031" spans="2:42" x14ac:dyDescent="0.2">
      <c r="B1031" t="s">
        <v>44</v>
      </c>
      <c r="C1031" t="str">
        <f>HYPERLINK("https://us2.cloudbeds.com/connect/8493803454333002#/reservations/598282686611?display=E18GQMN4&amp;reservation_id=598282686611", "E18GQMN4")</f>
        <v>E18GQMN4</v>
      </c>
      <c r="D1031" t="s">
        <v>45</v>
      </c>
      <c r="E1031" t="s">
        <v>78</v>
      </c>
      <c r="F1031" t="s">
        <v>61</v>
      </c>
      <c r="G1031" t="s">
        <v>48</v>
      </c>
      <c r="H1031" t="s">
        <v>71</v>
      </c>
      <c r="I1031" t="s">
        <v>72</v>
      </c>
      <c r="J1031" t="s">
        <v>882</v>
      </c>
      <c r="K1031" t="s">
        <v>801</v>
      </c>
      <c r="L1031" t="s">
        <v>53</v>
      </c>
      <c r="N1031" t="s">
        <v>1926</v>
      </c>
      <c r="P1031" t="s">
        <v>55</v>
      </c>
      <c r="R1031" t="s">
        <v>56</v>
      </c>
      <c r="T1031" t="s">
        <v>1917</v>
      </c>
      <c r="U1031" t="s">
        <v>58</v>
      </c>
      <c r="V1031">
        <v>1</v>
      </c>
      <c r="W1031">
        <v>1</v>
      </c>
      <c r="X1031">
        <v>1</v>
      </c>
      <c r="Y1031">
        <v>0</v>
      </c>
      <c r="Z1031">
        <v>1</v>
      </c>
      <c r="AA1031">
        <v>0</v>
      </c>
      <c r="AB1031">
        <v>82.96</v>
      </c>
      <c r="AC1031">
        <v>73</v>
      </c>
      <c r="AD1031">
        <v>0</v>
      </c>
      <c r="AE1031">
        <v>9.9700000000000006</v>
      </c>
      <c r="AF1031">
        <v>0</v>
      </c>
      <c r="AG1031">
        <v>0</v>
      </c>
      <c r="AH1031">
        <v>0</v>
      </c>
      <c r="AI1031">
        <v>0</v>
      </c>
      <c r="AJ1031">
        <v>82.97</v>
      </c>
      <c r="AK1031">
        <v>0.01</v>
      </c>
      <c r="AL1031" t="s">
        <v>53</v>
      </c>
      <c r="AM1031" t="s">
        <v>53</v>
      </c>
      <c r="AN1031" t="s">
        <v>1927</v>
      </c>
      <c r="AO1031" t="s">
        <v>53</v>
      </c>
      <c r="AP1031" t="s">
        <v>53</v>
      </c>
    </row>
    <row r="1032" spans="2:42" x14ac:dyDescent="0.2">
      <c r="B1032" t="s">
        <v>44</v>
      </c>
      <c r="C1032" t="str">
        <f>HYPERLINK("https://us2.cloudbeds.com/connect/8493803454333002#/reservations/598321180833?display=E19G8RUN&amp;reservation_id=598321180833", "E19G8RUN")</f>
        <v>E19G8RUN</v>
      </c>
      <c r="D1032" t="s">
        <v>45</v>
      </c>
      <c r="E1032" t="s">
        <v>113</v>
      </c>
      <c r="F1032" t="s">
        <v>61</v>
      </c>
      <c r="G1032" t="s">
        <v>48</v>
      </c>
      <c r="H1032" t="s">
        <v>49</v>
      </c>
      <c r="I1032" t="s">
        <v>50</v>
      </c>
      <c r="J1032" t="s">
        <v>107</v>
      </c>
      <c r="K1032" t="s">
        <v>191</v>
      </c>
      <c r="L1032" t="s">
        <v>53</v>
      </c>
      <c r="N1032" t="s">
        <v>1928</v>
      </c>
      <c r="P1032" t="s">
        <v>55</v>
      </c>
      <c r="R1032" t="s">
        <v>56</v>
      </c>
      <c r="T1032" t="s">
        <v>1917</v>
      </c>
      <c r="U1032" t="s">
        <v>58</v>
      </c>
      <c r="V1032">
        <v>1</v>
      </c>
      <c r="W1032">
        <v>1</v>
      </c>
      <c r="X1032">
        <v>1</v>
      </c>
      <c r="Y1032">
        <v>0</v>
      </c>
      <c r="Z1032">
        <v>1</v>
      </c>
      <c r="AA1032">
        <v>0</v>
      </c>
      <c r="AB1032">
        <v>117.63</v>
      </c>
      <c r="AC1032">
        <v>103.5</v>
      </c>
      <c r="AD1032">
        <v>0</v>
      </c>
      <c r="AE1032">
        <v>14.12</v>
      </c>
      <c r="AF1032">
        <v>0</v>
      </c>
      <c r="AG1032">
        <v>0</v>
      </c>
      <c r="AH1032">
        <v>0</v>
      </c>
      <c r="AI1032">
        <v>21.17</v>
      </c>
      <c r="AJ1032">
        <v>117.62</v>
      </c>
      <c r="AK1032">
        <v>-0.01</v>
      </c>
      <c r="AL1032" t="s">
        <v>53</v>
      </c>
      <c r="AM1032" t="s">
        <v>53</v>
      </c>
      <c r="AN1032" t="s">
        <v>104</v>
      </c>
      <c r="AO1032" t="s">
        <v>53</v>
      </c>
      <c r="AP1032" t="s">
        <v>53</v>
      </c>
    </row>
    <row r="1033" spans="2:42" x14ac:dyDescent="0.2">
      <c r="B1033" t="s">
        <v>44</v>
      </c>
      <c r="C1033" t="str">
        <f>HYPERLINK("https://us2.cloudbeds.com/connect/8493803454333002#/reservations/598307860666?display=E19516C9&amp;reservation_id=598307860666", "E19516C9")</f>
        <v>E19516C9</v>
      </c>
      <c r="D1033" t="s">
        <v>45</v>
      </c>
      <c r="E1033" t="s">
        <v>110</v>
      </c>
      <c r="F1033" t="s">
        <v>47</v>
      </c>
      <c r="G1033" t="s">
        <v>48</v>
      </c>
      <c r="H1033" t="s">
        <v>49</v>
      </c>
      <c r="I1033" t="s">
        <v>62</v>
      </c>
      <c r="J1033" t="s">
        <v>1113</v>
      </c>
      <c r="K1033" t="s">
        <v>243</v>
      </c>
      <c r="L1033" t="s">
        <v>53</v>
      </c>
      <c r="N1033" t="s">
        <v>1929</v>
      </c>
      <c r="P1033" t="s">
        <v>55</v>
      </c>
      <c r="R1033" t="s">
        <v>56</v>
      </c>
      <c r="T1033" t="s">
        <v>1917</v>
      </c>
      <c r="U1033" t="s">
        <v>58</v>
      </c>
      <c r="V1033">
        <v>1</v>
      </c>
      <c r="W1033">
        <v>1</v>
      </c>
      <c r="X1033">
        <v>1</v>
      </c>
      <c r="Y1033">
        <v>0</v>
      </c>
      <c r="Z1033">
        <v>1</v>
      </c>
      <c r="AA1033">
        <v>0</v>
      </c>
      <c r="AB1033">
        <v>79.95</v>
      </c>
      <c r="AC1033">
        <v>70.349999999999994</v>
      </c>
      <c r="AD1033">
        <v>0</v>
      </c>
      <c r="AE1033">
        <v>9.6</v>
      </c>
      <c r="AF1033">
        <v>0</v>
      </c>
      <c r="AG1033">
        <v>0</v>
      </c>
      <c r="AH1033">
        <v>0</v>
      </c>
      <c r="AI1033">
        <v>11.99</v>
      </c>
      <c r="AJ1033">
        <v>79.95</v>
      </c>
      <c r="AK1033">
        <v>0</v>
      </c>
      <c r="AL1033" t="s">
        <v>53</v>
      </c>
      <c r="AM1033" t="s">
        <v>53</v>
      </c>
      <c r="AN1033" t="s">
        <v>760</v>
      </c>
      <c r="AO1033" t="s">
        <v>53</v>
      </c>
      <c r="AP1033" t="s">
        <v>53</v>
      </c>
    </row>
    <row r="1034" spans="2:42" x14ac:dyDescent="0.2">
      <c r="B1034" t="s">
        <v>44</v>
      </c>
      <c r="C1034" t="str">
        <f>HYPERLINK("https://us2.cloudbeds.com/connect/8493803454333002#/reservations/598463258829?display=E1D42CDH&amp;reservation_id=598463258829", "E1D42CDH")</f>
        <v>E1D42CDH</v>
      </c>
      <c r="D1034" t="s">
        <v>45</v>
      </c>
      <c r="E1034" t="s">
        <v>223</v>
      </c>
      <c r="F1034" t="s">
        <v>47</v>
      </c>
      <c r="G1034" t="s">
        <v>48</v>
      </c>
      <c r="H1034" t="s">
        <v>49</v>
      </c>
      <c r="I1034" t="s">
        <v>79</v>
      </c>
      <c r="J1034" t="s">
        <v>1117</v>
      </c>
      <c r="K1034" t="s">
        <v>143</v>
      </c>
      <c r="L1034" t="s">
        <v>53</v>
      </c>
      <c r="N1034" t="s">
        <v>1930</v>
      </c>
      <c r="P1034" t="s">
        <v>55</v>
      </c>
      <c r="R1034" t="s">
        <v>56</v>
      </c>
      <c r="T1034" t="s">
        <v>1917</v>
      </c>
      <c r="U1034" t="s">
        <v>58</v>
      </c>
      <c r="V1034">
        <v>2</v>
      </c>
      <c r="W1034">
        <v>1</v>
      </c>
      <c r="X1034">
        <v>1</v>
      </c>
      <c r="Y1034">
        <v>0</v>
      </c>
      <c r="Z1034">
        <v>1</v>
      </c>
      <c r="AA1034">
        <v>0</v>
      </c>
      <c r="AB1034">
        <v>256.74</v>
      </c>
      <c r="AC1034">
        <v>225.9</v>
      </c>
      <c r="AD1034">
        <v>0</v>
      </c>
      <c r="AE1034">
        <v>30.84</v>
      </c>
      <c r="AF1034">
        <v>0</v>
      </c>
      <c r="AG1034">
        <v>0</v>
      </c>
      <c r="AH1034">
        <v>0</v>
      </c>
      <c r="AI1034">
        <v>0</v>
      </c>
      <c r="AJ1034">
        <v>256.74</v>
      </c>
      <c r="AK1034">
        <v>0</v>
      </c>
      <c r="AL1034" t="s">
        <v>53</v>
      </c>
      <c r="AM1034" t="s">
        <v>53</v>
      </c>
      <c r="AN1034" t="s">
        <v>142</v>
      </c>
      <c r="AO1034" t="s">
        <v>53</v>
      </c>
      <c r="AP1034" t="s">
        <v>53</v>
      </c>
    </row>
    <row r="1035" spans="2:42" x14ac:dyDescent="0.2">
      <c r="B1035" t="s">
        <v>44</v>
      </c>
      <c r="C1035" t="str">
        <f>HYPERLINK("https://us2.cloudbeds.com/connect/8493803454333002#/reservations/598257303786?display=E17SDCAK&amp;reservation_id=598257303786", "E17SDCAK")</f>
        <v>E17SDCAK</v>
      </c>
      <c r="D1035" t="s">
        <v>45</v>
      </c>
      <c r="E1035" t="s">
        <v>46</v>
      </c>
      <c r="F1035" t="s">
        <v>47</v>
      </c>
      <c r="G1035" t="s">
        <v>48</v>
      </c>
      <c r="H1035" t="s">
        <v>71</v>
      </c>
      <c r="I1035" t="s">
        <v>72</v>
      </c>
      <c r="J1035" t="s">
        <v>237</v>
      </c>
      <c r="K1035" t="s">
        <v>525</v>
      </c>
      <c r="L1035" t="s">
        <v>53</v>
      </c>
      <c r="N1035" t="s">
        <v>1931</v>
      </c>
      <c r="P1035" t="s">
        <v>55</v>
      </c>
      <c r="R1035" t="s">
        <v>56</v>
      </c>
      <c r="T1035" t="s">
        <v>1917</v>
      </c>
      <c r="U1035" t="s">
        <v>58</v>
      </c>
      <c r="V1035">
        <v>1</v>
      </c>
      <c r="W1035">
        <v>1</v>
      </c>
      <c r="X1035">
        <v>1</v>
      </c>
      <c r="Y1035">
        <v>0</v>
      </c>
      <c r="Z1035">
        <v>1</v>
      </c>
      <c r="AA1035">
        <v>0</v>
      </c>
      <c r="AB1035">
        <v>152.29</v>
      </c>
      <c r="AC1035">
        <v>134</v>
      </c>
      <c r="AD1035">
        <v>0</v>
      </c>
      <c r="AE1035">
        <v>18.3</v>
      </c>
      <c r="AF1035">
        <v>0</v>
      </c>
      <c r="AG1035">
        <v>0</v>
      </c>
      <c r="AH1035">
        <v>0</v>
      </c>
      <c r="AI1035">
        <v>0</v>
      </c>
      <c r="AJ1035">
        <v>152.30000000000001</v>
      </c>
      <c r="AK1035">
        <v>0.01</v>
      </c>
      <c r="AL1035" t="s">
        <v>53</v>
      </c>
      <c r="AM1035" t="s">
        <v>53</v>
      </c>
      <c r="AN1035" t="s">
        <v>1932</v>
      </c>
      <c r="AO1035" t="s">
        <v>53</v>
      </c>
      <c r="AP1035" t="s">
        <v>53</v>
      </c>
    </row>
    <row r="1036" spans="2:42" x14ac:dyDescent="0.2">
      <c r="B1036" t="s">
        <v>44</v>
      </c>
      <c r="C1036" t="str">
        <f>HYPERLINK("https://us2.cloudbeds.com/connect/8493803454333002#/reservations/579341021365?display=DJJGMUN4&amp;reservation_id=579341021365", "DJJGMUN4")</f>
        <v>DJJGMUN4</v>
      </c>
      <c r="D1036" t="s">
        <v>45</v>
      </c>
      <c r="E1036" t="s">
        <v>381</v>
      </c>
      <c r="F1036" t="s">
        <v>47</v>
      </c>
      <c r="G1036" t="s">
        <v>48</v>
      </c>
      <c r="H1036" t="s">
        <v>49</v>
      </c>
      <c r="I1036" t="s">
        <v>79</v>
      </c>
      <c r="J1036" t="s">
        <v>1333</v>
      </c>
      <c r="K1036" t="s">
        <v>1933</v>
      </c>
      <c r="L1036" t="s">
        <v>53</v>
      </c>
      <c r="N1036" t="s">
        <v>1934</v>
      </c>
      <c r="P1036" t="s">
        <v>55</v>
      </c>
      <c r="R1036" t="s">
        <v>56</v>
      </c>
      <c r="T1036" t="s">
        <v>1935</v>
      </c>
      <c r="U1036" t="s">
        <v>58</v>
      </c>
      <c r="V1036">
        <v>1</v>
      </c>
      <c r="W1036">
        <v>1</v>
      </c>
      <c r="X1036">
        <v>1</v>
      </c>
      <c r="Y1036">
        <v>0</v>
      </c>
      <c r="Z1036">
        <v>1</v>
      </c>
      <c r="AA1036">
        <v>0</v>
      </c>
      <c r="AB1036">
        <v>146.26</v>
      </c>
      <c r="AC1036">
        <v>128.69999999999999</v>
      </c>
      <c r="AD1036">
        <v>0</v>
      </c>
      <c r="AE1036">
        <v>17.559999999999999</v>
      </c>
      <c r="AF1036">
        <v>0</v>
      </c>
      <c r="AG1036">
        <v>0</v>
      </c>
      <c r="AH1036">
        <v>0</v>
      </c>
      <c r="AI1036">
        <v>0</v>
      </c>
      <c r="AJ1036">
        <v>146.26</v>
      </c>
      <c r="AK1036">
        <v>0</v>
      </c>
      <c r="AL1036" t="s">
        <v>53</v>
      </c>
      <c r="AM1036" t="s">
        <v>53</v>
      </c>
      <c r="AN1036" t="s">
        <v>104</v>
      </c>
      <c r="AO1036" t="s">
        <v>53</v>
      </c>
      <c r="AP1036" t="s">
        <v>53</v>
      </c>
    </row>
    <row r="1037" spans="2:42" x14ac:dyDescent="0.2">
      <c r="B1037" t="s">
        <v>44</v>
      </c>
      <c r="C1037" t="str">
        <f>HYPERLINK("https://us2.cloudbeds.com/connect/8493803454333002#/reservations/598381236361?display=E1B0TWB5&amp;reservation_id=598381236361", "E1B0TWB5")</f>
        <v>E1B0TWB5</v>
      </c>
      <c r="D1037" t="s">
        <v>45</v>
      </c>
      <c r="E1037" t="s">
        <v>305</v>
      </c>
      <c r="F1037" t="s">
        <v>61</v>
      </c>
      <c r="G1037" t="s">
        <v>48</v>
      </c>
      <c r="H1037" t="s">
        <v>49</v>
      </c>
      <c r="I1037" t="s">
        <v>79</v>
      </c>
      <c r="J1037" t="s">
        <v>202</v>
      </c>
      <c r="K1037" t="s">
        <v>203</v>
      </c>
      <c r="L1037" t="s">
        <v>53</v>
      </c>
      <c r="N1037" t="s">
        <v>1936</v>
      </c>
      <c r="P1037" t="s">
        <v>55</v>
      </c>
      <c r="R1037" t="s">
        <v>56</v>
      </c>
      <c r="T1037" t="s">
        <v>1935</v>
      </c>
      <c r="U1037" t="s">
        <v>58</v>
      </c>
      <c r="V1037">
        <v>2</v>
      </c>
      <c r="W1037">
        <v>1</v>
      </c>
      <c r="X1037">
        <v>1</v>
      </c>
      <c r="Y1037">
        <v>0</v>
      </c>
      <c r="Z1037">
        <v>1</v>
      </c>
      <c r="AA1037">
        <v>0</v>
      </c>
      <c r="AB1037">
        <v>167.75</v>
      </c>
      <c r="AC1037">
        <v>147.6</v>
      </c>
      <c r="AD1037">
        <v>0</v>
      </c>
      <c r="AE1037">
        <v>20.14</v>
      </c>
      <c r="AF1037">
        <v>0</v>
      </c>
      <c r="AG1037">
        <v>0</v>
      </c>
      <c r="AH1037">
        <v>0</v>
      </c>
      <c r="AI1037">
        <v>0</v>
      </c>
      <c r="AJ1037">
        <v>167.74</v>
      </c>
      <c r="AK1037">
        <v>-0.01</v>
      </c>
      <c r="AL1037" t="s">
        <v>53</v>
      </c>
      <c r="AM1037" t="s">
        <v>53</v>
      </c>
      <c r="AN1037" t="s">
        <v>142</v>
      </c>
      <c r="AO1037" t="s">
        <v>53</v>
      </c>
      <c r="AP1037" t="s">
        <v>53</v>
      </c>
    </row>
    <row r="1038" spans="2:42" x14ac:dyDescent="0.2">
      <c r="B1038" t="s">
        <v>44</v>
      </c>
      <c r="C1038" t="str">
        <f>HYPERLINK("https://us2.cloudbeds.com/connect/8493803454333002#/reservations/598550003854?display=E1FB762Y&amp;reservation_id=598550003854", "E1FB762Y")</f>
        <v>E1FB762Y</v>
      </c>
      <c r="D1038" t="s">
        <v>45</v>
      </c>
      <c r="E1038" t="s">
        <v>223</v>
      </c>
      <c r="F1038" t="s">
        <v>47</v>
      </c>
      <c r="G1038" t="s">
        <v>48</v>
      </c>
      <c r="H1038" t="s">
        <v>71</v>
      </c>
      <c r="I1038" t="s">
        <v>72</v>
      </c>
      <c r="J1038" t="s">
        <v>309</v>
      </c>
      <c r="K1038" t="s">
        <v>133</v>
      </c>
      <c r="L1038" t="s">
        <v>53</v>
      </c>
      <c r="N1038" t="s">
        <v>1937</v>
      </c>
      <c r="P1038" t="s">
        <v>58</v>
      </c>
      <c r="R1038" t="s">
        <v>56</v>
      </c>
      <c r="T1038" t="s">
        <v>1935</v>
      </c>
      <c r="U1038" t="s">
        <v>58</v>
      </c>
      <c r="V1038">
        <v>1</v>
      </c>
      <c r="W1038">
        <v>1</v>
      </c>
      <c r="X1038">
        <v>1</v>
      </c>
      <c r="Y1038">
        <v>0</v>
      </c>
      <c r="Z1038">
        <v>1</v>
      </c>
      <c r="AA1038">
        <v>0</v>
      </c>
      <c r="AB1038">
        <v>142.06</v>
      </c>
      <c r="AC1038">
        <v>125</v>
      </c>
      <c r="AD1038">
        <v>0</v>
      </c>
      <c r="AE1038">
        <v>17.07</v>
      </c>
      <c r="AF1038">
        <v>0</v>
      </c>
      <c r="AG1038">
        <v>0</v>
      </c>
      <c r="AH1038">
        <v>0</v>
      </c>
      <c r="AI1038">
        <v>0</v>
      </c>
      <c r="AJ1038">
        <v>142.07</v>
      </c>
      <c r="AK1038">
        <v>0.01</v>
      </c>
      <c r="AL1038" t="s">
        <v>53</v>
      </c>
      <c r="AM1038" t="s">
        <v>53</v>
      </c>
      <c r="AN1038" t="s">
        <v>1005</v>
      </c>
      <c r="AO1038" t="s">
        <v>53</v>
      </c>
      <c r="AP1038" t="s">
        <v>53</v>
      </c>
    </row>
    <row r="1039" spans="2:42" x14ac:dyDescent="0.2">
      <c r="B1039" t="s">
        <v>44</v>
      </c>
      <c r="C1039" t="str">
        <f>HYPERLINK("https://us2.cloudbeds.com/connect/8493803454333002#/reservations/598547763337?display=E1F9ARM6&amp;reservation_id=598547763337", "E1F9ARM6")</f>
        <v>E1F9ARM6</v>
      </c>
      <c r="D1039" t="s">
        <v>45</v>
      </c>
      <c r="E1039" t="s">
        <v>138</v>
      </c>
      <c r="F1039" t="s">
        <v>70</v>
      </c>
      <c r="G1039" t="s">
        <v>48</v>
      </c>
      <c r="H1039" t="s">
        <v>49</v>
      </c>
      <c r="I1039" t="s">
        <v>79</v>
      </c>
      <c r="J1039" t="s">
        <v>253</v>
      </c>
      <c r="K1039" t="s">
        <v>354</v>
      </c>
      <c r="L1039" t="s">
        <v>53</v>
      </c>
      <c r="N1039" t="s">
        <v>1938</v>
      </c>
      <c r="P1039" t="s">
        <v>55</v>
      </c>
      <c r="R1039" t="s">
        <v>56</v>
      </c>
      <c r="T1039" t="s">
        <v>1935</v>
      </c>
      <c r="U1039" t="s">
        <v>58</v>
      </c>
      <c r="V1039">
        <v>1</v>
      </c>
      <c r="W1039">
        <v>1</v>
      </c>
      <c r="X1039">
        <v>1</v>
      </c>
      <c r="Y1039">
        <v>0</v>
      </c>
      <c r="Z1039">
        <v>1</v>
      </c>
      <c r="AA1039">
        <v>0</v>
      </c>
      <c r="AB1039">
        <v>95.13</v>
      </c>
      <c r="AC1039">
        <v>83.7</v>
      </c>
      <c r="AD1039">
        <v>0</v>
      </c>
      <c r="AE1039">
        <v>11.42</v>
      </c>
      <c r="AF1039">
        <v>0</v>
      </c>
      <c r="AG1039">
        <v>0</v>
      </c>
      <c r="AH1039">
        <v>0</v>
      </c>
      <c r="AI1039">
        <v>0</v>
      </c>
      <c r="AJ1039">
        <v>95.12</v>
      </c>
      <c r="AK1039">
        <v>-0.01</v>
      </c>
      <c r="AL1039" t="s">
        <v>53</v>
      </c>
      <c r="AM1039" t="s">
        <v>53</v>
      </c>
      <c r="AN1039" t="s">
        <v>1939</v>
      </c>
      <c r="AO1039" t="s">
        <v>53</v>
      </c>
      <c r="AP1039" t="s">
        <v>53</v>
      </c>
    </row>
    <row r="1040" spans="2:42" x14ac:dyDescent="0.2">
      <c r="B1040" t="s">
        <v>44</v>
      </c>
      <c r="C1040" t="str">
        <f>HYPERLINK("https://us2.cloudbeds.com/connect/8493803454333002#/reservations/598240383138?display=E17E4HHN&amp;reservation_id=598240383138", "E17E4HHN")</f>
        <v>E17E4HHN</v>
      </c>
      <c r="D1040" t="s">
        <v>45</v>
      </c>
      <c r="E1040" t="s">
        <v>121</v>
      </c>
      <c r="F1040" t="s">
        <v>86</v>
      </c>
      <c r="G1040" t="s">
        <v>48</v>
      </c>
      <c r="H1040" t="s">
        <v>71</v>
      </c>
      <c r="I1040" t="s">
        <v>72</v>
      </c>
      <c r="J1040" t="s">
        <v>123</v>
      </c>
      <c r="K1040" t="s">
        <v>475</v>
      </c>
      <c r="L1040" t="s">
        <v>53</v>
      </c>
      <c r="N1040" t="s">
        <v>1940</v>
      </c>
      <c r="P1040" t="s">
        <v>55</v>
      </c>
      <c r="R1040" t="s">
        <v>56</v>
      </c>
      <c r="T1040" t="s">
        <v>1935</v>
      </c>
      <c r="U1040" t="s">
        <v>58</v>
      </c>
      <c r="V1040">
        <v>1</v>
      </c>
      <c r="W1040">
        <v>1</v>
      </c>
      <c r="X1040">
        <v>1</v>
      </c>
      <c r="Y1040">
        <v>0</v>
      </c>
      <c r="Z1040">
        <v>1</v>
      </c>
      <c r="AA1040">
        <v>0</v>
      </c>
      <c r="AB1040">
        <v>164.79</v>
      </c>
      <c r="AC1040">
        <v>145</v>
      </c>
      <c r="AD1040">
        <v>0</v>
      </c>
      <c r="AE1040">
        <v>19.8</v>
      </c>
      <c r="AF1040">
        <v>0</v>
      </c>
      <c r="AG1040">
        <v>0</v>
      </c>
      <c r="AH1040">
        <v>0</v>
      </c>
      <c r="AI1040">
        <v>0</v>
      </c>
      <c r="AJ1040">
        <v>164.8</v>
      </c>
      <c r="AK1040">
        <v>0.01</v>
      </c>
      <c r="AL1040" t="s">
        <v>53</v>
      </c>
      <c r="AM1040" t="s">
        <v>53</v>
      </c>
      <c r="AN1040" t="s">
        <v>1941</v>
      </c>
      <c r="AO1040" t="s">
        <v>53</v>
      </c>
      <c r="AP1040" t="s">
        <v>53</v>
      </c>
    </row>
    <row r="1041" spans="2:42" x14ac:dyDescent="0.2">
      <c r="B1041" t="s">
        <v>44</v>
      </c>
      <c r="C1041" t="str">
        <f>HYPERLINK("https://us2.cloudbeds.com/connect/8493803454333002#/reservations/598429753510?display=E1C8R1BR&amp;reservation_id=598429753510", "E1C8R1BR")</f>
        <v>E1C8R1BR</v>
      </c>
      <c r="D1041" t="s">
        <v>45</v>
      </c>
      <c r="E1041" t="s">
        <v>69</v>
      </c>
      <c r="F1041" t="s">
        <v>70</v>
      </c>
      <c r="G1041" t="s">
        <v>48</v>
      </c>
      <c r="H1041" t="s">
        <v>49</v>
      </c>
      <c r="I1041" t="s">
        <v>62</v>
      </c>
      <c r="J1041" t="s">
        <v>215</v>
      </c>
      <c r="K1041" t="s">
        <v>446</v>
      </c>
      <c r="L1041" t="s">
        <v>53</v>
      </c>
      <c r="N1041" t="s">
        <v>1942</v>
      </c>
      <c r="P1041" t="s">
        <v>55</v>
      </c>
      <c r="R1041" t="s">
        <v>56</v>
      </c>
      <c r="T1041" t="s">
        <v>1935</v>
      </c>
      <c r="U1041" t="s">
        <v>58</v>
      </c>
      <c r="V1041">
        <v>1</v>
      </c>
      <c r="W1041">
        <v>1</v>
      </c>
      <c r="X1041">
        <v>1</v>
      </c>
      <c r="Y1041">
        <v>0</v>
      </c>
      <c r="Z1041">
        <v>1</v>
      </c>
      <c r="AA1041">
        <v>0</v>
      </c>
      <c r="AB1041">
        <v>153.43</v>
      </c>
      <c r="AC1041">
        <v>135</v>
      </c>
      <c r="AD1041">
        <v>0</v>
      </c>
      <c r="AE1041">
        <v>18.440000000000001</v>
      </c>
      <c r="AF1041">
        <v>0</v>
      </c>
      <c r="AG1041">
        <v>0</v>
      </c>
      <c r="AH1041">
        <v>0</v>
      </c>
      <c r="AI1041">
        <v>23.02</v>
      </c>
      <c r="AJ1041">
        <v>153.44</v>
      </c>
      <c r="AK1041">
        <v>0.01</v>
      </c>
      <c r="AL1041" t="s">
        <v>53</v>
      </c>
      <c r="AM1041" t="s">
        <v>53</v>
      </c>
      <c r="AN1041" t="s">
        <v>225</v>
      </c>
      <c r="AO1041" t="s">
        <v>53</v>
      </c>
      <c r="AP1041" t="s">
        <v>53</v>
      </c>
    </row>
    <row r="1042" spans="2:42" x14ac:dyDescent="0.2">
      <c r="B1042" t="s">
        <v>44</v>
      </c>
      <c r="C1042" t="str">
        <f>HYPERLINK("https://us2.cloudbeds.com/connect/8493803454333002#/reservations/598518321301?display=E1EHGXR9&amp;reservation_id=598518321301", "E1EHGXR9")</f>
        <v>E1EHGXR9</v>
      </c>
      <c r="D1042" t="s">
        <v>45</v>
      </c>
      <c r="E1042" t="s">
        <v>185</v>
      </c>
      <c r="F1042" t="s">
        <v>47</v>
      </c>
      <c r="G1042" t="s">
        <v>48</v>
      </c>
      <c r="H1042" t="s">
        <v>49</v>
      </c>
      <c r="I1042" t="s">
        <v>62</v>
      </c>
      <c r="J1042" t="s">
        <v>133</v>
      </c>
      <c r="K1042" t="s">
        <v>549</v>
      </c>
      <c r="L1042" t="s">
        <v>53</v>
      </c>
      <c r="N1042" t="s">
        <v>1943</v>
      </c>
      <c r="P1042" t="s">
        <v>55</v>
      </c>
      <c r="R1042" t="s">
        <v>56</v>
      </c>
      <c r="T1042" t="s">
        <v>1935</v>
      </c>
      <c r="U1042" t="s">
        <v>58</v>
      </c>
      <c r="V1042">
        <v>1</v>
      </c>
      <c r="W1042">
        <v>1</v>
      </c>
      <c r="X1042">
        <v>1</v>
      </c>
      <c r="Y1042">
        <v>0</v>
      </c>
      <c r="Z1042">
        <v>1</v>
      </c>
      <c r="AA1042">
        <v>0</v>
      </c>
      <c r="AB1042">
        <v>153.43</v>
      </c>
      <c r="AC1042">
        <v>135</v>
      </c>
      <c r="AD1042">
        <v>0</v>
      </c>
      <c r="AE1042">
        <v>18.440000000000001</v>
      </c>
      <c r="AF1042">
        <v>0</v>
      </c>
      <c r="AG1042">
        <v>0</v>
      </c>
      <c r="AH1042">
        <v>0</v>
      </c>
      <c r="AI1042">
        <v>23.02</v>
      </c>
      <c r="AJ1042">
        <v>153.44</v>
      </c>
      <c r="AK1042">
        <v>0.01</v>
      </c>
      <c r="AL1042" t="s">
        <v>53</v>
      </c>
      <c r="AM1042" t="s">
        <v>53</v>
      </c>
      <c r="AN1042" t="s">
        <v>332</v>
      </c>
      <c r="AO1042" t="s">
        <v>53</v>
      </c>
      <c r="AP1042" t="s">
        <v>53</v>
      </c>
    </row>
    <row r="1043" spans="2:42" x14ac:dyDescent="0.2">
      <c r="B1043" t="s">
        <v>44</v>
      </c>
      <c r="C1043" t="str">
        <f>HYPERLINK("https://us2.cloudbeds.com/connect/8493803454333002#/reservations/598550208757?display=E1FBCT7R&amp;reservation_id=598550208757", "E1FBCT7R")</f>
        <v>E1FBCT7R</v>
      </c>
      <c r="D1043" t="s">
        <v>45</v>
      </c>
      <c r="E1043" t="s">
        <v>113</v>
      </c>
      <c r="F1043" t="s">
        <v>61</v>
      </c>
      <c r="G1043" t="s">
        <v>48</v>
      </c>
      <c r="H1043" t="s">
        <v>71</v>
      </c>
      <c r="I1043" t="s">
        <v>72</v>
      </c>
      <c r="J1043" t="s">
        <v>554</v>
      </c>
      <c r="K1043" t="s">
        <v>881</v>
      </c>
      <c r="L1043" t="s">
        <v>53</v>
      </c>
      <c r="N1043" t="s">
        <v>1944</v>
      </c>
      <c r="P1043" t="s">
        <v>55</v>
      </c>
      <c r="R1043" t="s">
        <v>946</v>
      </c>
      <c r="T1043" t="s">
        <v>1935</v>
      </c>
      <c r="U1043" t="s">
        <v>58</v>
      </c>
      <c r="V1043">
        <v>1</v>
      </c>
      <c r="W1043">
        <v>1</v>
      </c>
      <c r="X1043">
        <v>1</v>
      </c>
      <c r="Y1043">
        <v>0</v>
      </c>
      <c r="Z1043">
        <v>1</v>
      </c>
      <c r="AA1043">
        <v>0</v>
      </c>
      <c r="AB1043">
        <v>82.96</v>
      </c>
      <c r="AC1043">
        <v>73</v>
      </c>
      <c r="AD1043">
        <v>0</v>
      </c>
      <c r="AE1043">
        <v>9.9700000000000006</v>
      </c>
      <c r="AF1043">
        <v>0</v>
      </c>
      <c r="AG1043">
        <v>0</v>
      </c>
      <c r="AH1043">
        <v>0</v>
      </c>
      <c r="AI1043">
        <v>0</v>
      </c>
      <c r="AJ1043">
        <v>82.97</v>
      </c>
      <c r="AK1043">
        <v>0.01</v>
      </c>
      <c r="AL1043" t="s">
        <v>53</v>
      </c>
      <c r="AM1043" t="s">
        <v>53</v>
      </c>
      <c r="AN1043" t="s">
        <v>1945</v>
      </c>
      <c r="AO1043" t="s">
        <v>53</v>
      </c>
      <c r="AP1043" t="s">
        <v>53</v>
      </c>
    </row>
    <row r="1044" spans="2:42" x14ac:dyDescent="0.2">
      <c r="B1044" t="s">
        <v>44</v>
      </c>
      <c r="C1044" t="str">
        <f>HYPERLINK("https://us2.cloudbeds.com/connect/8493803454333002#/reservations/598473937077?display=E1DD2GVP&amp;reservation_id=598473937077", "E1DD2GVP")</f>
        <v>E1DD2GVP</v>
      </c>
      <c r="D1044" t="s">
        <v>45</v>
      </c>
      <c r="E1044" t="s">
        <v>98</v>
      </c>
      <c r="F1044" t="s">
        <v>86</v>
      </c>
      <c r="G1044" t="s">
        <v>48</v>
      </c>
      <c r="H1044" t="s">
        <v>71</v>
      </c>
      <c r="I1044" t="s">
        <v>72</v>
      </c>
      <c r="J1044" t="s">
        <v>309</v>
      </c>
      <c r="K1044" t="s">
        <v>133</v>
      </c>
      <c r="L1044" t="s">
        <v>53</v>
      </c>
      <c r="N1044" t="s">
        <v>1946</v>
      </c>
      <c r="P1044" t="s">
        <v>58</v>
      </c>
      <c r="R1044" t="s">
        <v>56</v>
      </c>
      <c r="T1044" t="s">
        <v>1935</v>
      </c>
      <c r="U1044" t="s">
        <v>58</v>
      </c>
      <c r="V1044">
        <v>1</v>
      </c>
      <c r="W1044">
        <v>1</v>
      </c>
      <c r="X1044">
        <v>1</v>
      </c>
      <c r="Y1044">
        <v>0</v>
      </c>
      <c r="Z1044">
        <v>1</v>
      </c>
      <c r="AA1044">
        <v>0</v>
      </c>
      <c r="AB1044">
        <v>157.97</v>
      </c>
      <c r="AC1044">
        <v>139</v>
      </c>
      <c r="AD1044">
        <v>0</v>
      </c>
      <c r="AE1044">
        <v>18.98</v>
      </c>
      <c r="AF1044">
        <v>0</v>
      </c>
      <c r="AG1044">
        <v>0</v>
      </c>
      <c r="AH1044">
        <v>0</v>
      </c>
      <c r="AI1044">
        <v>0</v>
      </c>
      <c r="AJ1044">
        <v>157.97999999999999</v>
      </c>
      <c r="AK1044">
        <v>0.01</v>
      </c>
      <c r="AL1044" t="s">
        <v>53</v>
      </c>
      <c r="AM1044" t="s">
        <v>53</v>
      </c>
      <c r="AN1044" t="s">
        <v>1005</v>
      </c>
      <c r="AO1044" t="s">
        <v>53</v>
      </c>
      <c r="AP1044" t="s">
        <v>53</v>
      </c>
    </row>
    <row r="1045" spans="2:42" x14ac:dyDescent="0.2">
      <c r="B1045" t="s">
        <v>44</v>
      </c>
      <c r="C1045" t="str">
        <f>HYPERLINK("https://us2.cloudbeds.com/connect/8493803454333002#/reservations/598485774467?display=E1DN1TUJ&amp;reservation_id=598485774467", "E1DN1TUJ")</f>
        <v>E1DN1TUJ</v>
      </c>
      <c r="D1045" t="s">
        <v>45</v>
      </c>
      <c r="E1045" t="s">
        <v>105</v>
      </c>
      <c r="F1045" t="s">
        <v>47</v>
      </c>
      <c r="G1045" t="s">
        <v>48</v>
      </c>
      <c r="H1045" t="s">
        <v>71</v>
      </c>
      <c r="I1045" t="s">
        <v>72</v>
      </c>
      <c r="J1045" t="s">
        <v>1017</v>
      </c>
      <c r="K1045" t="s">
        <v>553</v>
      </c>
      <c r="L1045" t="s">
        <v>53</v>
      </c>
      <c r="N1045" t="s">
        <v>1947</v>
      </c>
      <c r="P1045" t="s">
        <v>55</v>
      </c>
      <c r="R1045" t="s">
        <v>56</v>
      </c>
      <c r="T1045" t="s">
        <v>1935</v>
      </c>
      <c r="U1045" t="s">
        <v>58</v>
      </c>
      <c r="V1045">
        <v>1</v>
      </c>
      <c r="W1045">
        <v>1</v>
      </c>
      <c r="X1045">
        <v>1</v>
      </c>
      <c r="Y1045">
        <v>0</v>
      </c>
      <c r="Z1045">
        <v>1</v>
      </c>
      <c r="AA1045">
        <v>0</v>
      </c>
      <c r="AB1045">
        <v>82.96</v>
      </c>
      <c r="AC1045">
        <v>73</v>
      </c>
      <c r="AD1045">
        <v>0</v>
      </c>
      <c r="AE1045">
        <v>9.9700000000000006</v>
      </c>
      <c r="AF1045">
        <v>0</v>
      </c>
      <c r="AG1045">
        <v>0</v>
      </c>
      <c r="AH1045">
        <v>0</v>
      </c>
      <c r="AI1045">
        <v>0</v>
      </c>
      <c r="AJ1045">
        <v>82.97</v>
      </c>
      <c r="AK1045">
        <v>0.01</v>
      </c>
      <c r="AL1045" t="s">
        <v>53</v>
      </c>
      <c r="AM1045" t="s">
        <v>53</v>
      </c>
      <c r="AN1045" t="s">
        <v>1948</v>
      </c>
      <c r="AO1045" t="s">
        <v>53</v>
      </c>
      <c r="AP1045" t="s">
        <v>53</v>
      </c>
    </row>
    <row r="1046" spans="2:42" x14ac:dyDescent="0.2">
      <c r="B1046" t="s">
        <v>44</v>
      </c>
      <c r="C1046" t="str">
        <f>HYPERLINK("https://us2.cloudbeds.com/connect/8493803454333002#/reservations/597598126217?display=E0Z0XPUZ&amp;reservation_id=597598126217", "E0Z0XPUZ")</f>
        <v>E0Z0XPUZ</v>
      </c>
      <c r="D1046" t="s">
        <v>45</v>
      </c>
      <c r="E1046" t="s">
        <v>69</v>
      </c>
      <c r="F1046" t="s">
        <v>70</v>
      </c>
      <c r="G1046" t="s">
        <v>48</v>
      </c>
      <c r="H1046" t="s">
        <v>49</v>
      </c>
      <c r="I1046" t="s">
        <v>79</v>
      </c>
      <c r="J1046" t="s">
        <v>1027</v>
      </c>
      <c r="K1046" t="s">
        <v>1782</v>
      </c>
      <c r="L1046" t="s">
        <v>53</v>
      </c>
      <c r="N1046" t="s">
        <v>1949</v>
      </c>
      <c r="P1046" t="s">
        <v>55</v>
      </c>
      <c r="R1046" t="s">
        <v>56</v>
      </c>
      <c r="T1046" t="s">
        <v>1935</v>
      </c>
      <c r="U1046" t="s">
        <v>58</v>
      </c>
      <c r="V1046">
        <v>2</v>
      </c>
      <c r="W1046">
        <v>1</v>
      </c>
      <c r="X1046">
        <v>1</v>
      </c>
      <c r="Y1046">
        <v>0</v>
      </c>
      <c r="Z1046">
        <v>1</v>
      </c>
      <c r="AA1046">
        <v>0</v>
      </c>
      <c r="AB1046">
        <v>219.91</v>
      </c>
      <c r="AC1046">
        <v>193.5</v>
      </c>
      <c r="AD1046">
        <v>0</v>
      </c>
      <c r="AE1046">
        <v>26.44</v>
      </c>
      <c r="AF1046">
        <v>0</v>
      </c>
      <c r="AG1046">
        <v>0</v>
      </c>
      <c r="AH1046">
        <v>0</v>
      </c>
      <c r="AI1046">
        <v>0</v>
      </c>
      <c r="AJ1046">
        <v>219.94</v>
      </c>
      <c r="AK1046">
        <v>0.03</v>
      </c>
      <c r="AL1046" t="s">
        <v>53</v>
      </c>
      <c r="AM1046" t="s">
        <v>53</v>
      </c>
      <c r="AN1046" t="s">
        <v>178</v>
      </c>
      <c r="AO1046" t="s">
        <v>53</v>
      </c>
      <c r="AP1046" t="s">
        <v>53</v>
      </c>
    </row>
    <row r="1047" spans="2:42" x14ac:dyDescent="0.2">
      <c r="B1047" t="s">
        <v>44</v>
      </c>
      <c r="C1047" t="str">
        <f>HYPERLINK("https://us2.cloudbeds.com/connect/8493803454333002#/reservations/598549573807?display=E1FAS75U&amp;reservation_id=598549573807", "E1FAS75U")</f>
        <v>E1FAS75U</v>
      </c>
      <c r="D1047" t="s">
        <v>45</v>
      </c>
      <c r="E1047" t="s">
        <v>69</v>
      </c>
      <c r="F1047" t="s">
        <v>70</v>
      </c>
      <c r="G1047" t="s">
        <v>48</v>
      </c>
      <c r="H1047" t="s">
        <v>71</v>
      </c>
      <c r="I1047" t="s">
        <v>72</v>
      </c>
      <c r="J1047" t="s">
        <v>1349</v>
      </c>
      <c r="K1047" t="s">
        <v>554</v>
      </c>
      <c r="L1047" t="s">
        <v>53</v>
      </c>
      <c r="N1047" t="s">
        <v>1950</v>
      </c>
      <c r="P1047" t="s">
        <v>58</v>
      </c>
      <c r="R1047" t="s">
        <v>56</v>
      </c>
      <c r="T1047" t="s">
        <v>1951</v>
      </c>
      <c r="U1047" t="s">
        <v>58</v>
      </c>
      <c r="V1047">
        <v>3</v>
      </c>
      <c r="W1047">
        <v>1</v>
      </c>
      <c r="X1047">
        <v>1</v>
      </c>
      <c r="Y1047">
        <v>0</v>
      </c>
      <c r="Z1047">
        <v>1</v>
      </c>
      <c r="AA1047">
        <v>0</v>
      </c>
      <c r="AB1047">
        <v>214.8</v>
      </c>
      <c r="AC1047">
        <v>189</v>
      </c>
      <c r="AD1047">
        <v>0</v>
      </c>
      <c r="AE1047">
        <v>25.83</v>
      </c>
      <c r="AF1047">
        <v>0</v>
      </c>
      <c r="AG1047">
        <v>0</v>
      </c>
      <c r="AH1047">
        <v>0</v>
      </c>
      <c r="AI1047">
        <v>0</v>
      </c>
      <c r="AJ1047">
        <v>214.83</v>
      </c>
      <c r="AK1047">
        <v>0.03</v>
      </c>
      <c r="AL1047" t="s">
        <v>53</v>
      </c>
      <c r="AM1047" t="s">
        <v>53</v>
      </c>
      <c r="AN1047" t="s">
        <v>378</v>
      </c>
      <c r="AO1047" t="s">
        <v>53</v>
      </c>
      <c r="AP1047" t="s">
        <v>53</v>
      </c>
    </row>
    <row r="1048" spans="2:42" x14ac:dyDescent="0.2">
      <c r="B1048" t="s">
        <v>44</v>
      </c>
      <c r="C1048" t="str">
        <f>HYPERLINK("https://us2.cloudbeds.com/connect/8493803454333002#/reservations/598449684642?display=E1CPKYJH&amp;reservation_id=598449684642", "E1CPKYJH")</f>
        <v>E1CPKYJH</v>
      </c>
      <c r="D1048" t="s">
        <v>45</v>
      </c>
      <c r="E1048" t="s">
        <v>185</v>
      </c>
      <c r="F1048" t="s">
        <v>47</v>
      </c>
      <c r="G1048" t="s">
        <v>48</v>
      </c>
      <c r="H1048" t="s">
        <v>49</v>
      </c>
      <c r="I1048" t="s">
        <v>62</v>
      </c>
      <c r="J1048" t="s">
        <v>87</v>
      </c>
      <c r="K1048" t="s">
        <v>88</v>
      </c>
      <c r="L1048" t="s">
        <v>53</v>
      </c>
      <c r="N1048" t="s">
        <v>1952</v>
      </c>
      <c r="P1048" t="s">
        <v>55</v>
      </c>
      <c r="R1048" t="s">
        <v>56</v>
      </c>
      <c r="T1048" t="s">
        <v>1951</v>
      </c>
      <c r="U1048" t="s">
        <v>58</v>
      </c>
      <c r="V1048">
        <v>1</v>
      </c>
      <c r="W1048">
        <v>1</v>
      </c>
      <c r="X1048">
        <v>1</v>
      </c>
      <c r="Y1048">
        <v>0</v>
      </c>
      <c r="Z1048">
        <v>1</v>
      </c>
      <c r="AA1048">
        <v>0</v>
      </c>
      <c r="AB1048">
        <v>153.43</v>
      </c>
      <c r="AC1048">
        <v>135</v>
      </c>
      <c r="AD1048">
        <v>0</v>
      </c>
      <c r="AE1048">
        <v>18.440000000000001</v>
      </c>
      <c r="AF1048">
        <v>0</v>
      </c>
      <c r="AG1048">
        <v>0</v>
      </c>
      <c r="AH1048">
        <v>0</v>
      </c>
      <c r="AI1048">
        <v>23.02</v>
      </c>
      <c r="AJ1048">
        <v>153.44</v>
      </c>
      <c r="AK1048">
        <v>0.01</v>
      </c>
      <c r="AL1048" t="s">
        <v>53</v>
      </c>
      <c r="AM1048" t="s">
        <v>53</v>
      </c>
      <c r="AN1048" t="s">
        <v>178</v>
      </c>
      <c r="AO1048" t="s">
        <v>53</v>
      </c>
      <c r="AP1048" t="s">
        <v>53</v>
      </c>
    </row>
    <row r="1049" spans="2:42" x14ac:dyDescent="0.2">
      <c r="B1049" t="s">
        <v>44</v>
      </c>
      <c r="C1049" t="str">
        <f>HYPERLINK("https://us2.cloudbeds.com/connect/8493803454333002#/reservations/598460911813?display=E1D2326R&amp;reservation_id=598460911813", "E1D2326R")</f>
        <v>E1D2326R</v>
      </c>
      <c r="D1049" t="s">
        <v>45</v>
      </c>
      <c r="E1049" t="s">
        <v>185</v>
      </c>
      <c r="F1049" t="s">
        <v>47</v>
      </c>
      <c r="G1049" t="s">
        <v>48</v>
      </c>
      <c r="H1049" t="s">
        <v>49</v>
      </c>
      <c r="I1049" t="s">
        <v>62</v>
      </c>
      <c r="J1049" t="s">
        <v>88</v>
      </c>
      <c r="K1049" t="s">
        <v>327</v>
      </c>
      <c r="L1049" t="s">
        <v>53</v>
      </c>
      <c r="N1049" t="s">
        <v>1953</v>
      </c>
      <c r="P1049" t="s">
        <v>55</v>
      </c>
      <c r="R1049" t="s">
        <v>56</v>
      </c>
      <c r="T1049" t="s">
        <v>1951</v>
      </c>
      <c r="U1049" t="s">
        <v>58</v>
      </c>
      <c r="V1049">
        <v>1</v>
      </c>
      <c r="W1049">
        <v>1</v>
      </c>
      <c r="X1049">
        <v>1</v>
      </c>
      <c r="Y1049">
        <v>0</v>
      </c>
      <c r="Z1049">
        <v>1</v>
      </c>
      <c r="AA1049">
        <v>0</v>
      </c>
      <c r="AB1049">
        <v>156.84</v>
      </c>
      <c r="AC1049">
        <v>138</v>
      </c>
      <c r="AD1049">
        <v>0</v>
      </c>
      <c r="AE1049">
        <v>18.84</v>
      </c>
      <c r="AF1049">
        <v>0</v>
      </c>
      <c r="AG1049">
        <v>0</v>
      </c>
      <c r="AH1049">
        <v>0</v>
      </c>
      <c r="AI1049">
        <v>23.53</v>
      </c>
      <c r="AJ1049">
        <v>156.84</v>
      </c>
      <c r="AK1049">
        <v>0</v>
      </c>
      <c r="AL1049" t="s">
        <v>53</v>
      </c>
      <c r="AM1049" t="s">
        <v>53</v>
      </c>
      <c r="AN1049" t="s">
        <v>225</v>
      </c>
      <c r="AO1049" t="s">
        <v>53</v>
      </c>
      <c r="AP1049" t="s">
        <v>53</v>
      </c>
    </row>
    <row r="1050" spans="2:42" x14ac:dyDescent="0.2">
      <c r="B1050" t="s">
        <v>44</v>
      </c>
      <c r="C1050" t="str">
        <f>HYPERLINK("https://us2.cloudbeds.com/connect/8493803454333002#/reservations/598510624908?display=E1EB0DE8&amp;reservation_id=598510624908", "E1EB0DE8")</f>
        <v>E1EB0DE8</v>
      </c>
      <c r="D1050" t="s">
        <v>45</v>
      </c>
      <c r="E1050" t="s">
        <v>155</v>
      </c>
      <c r="F1050" t="s">
        <v>86</v>
      </c>
      <c r="G1050" t="s">
        <v>48</v>
      </c>
      <c r="H1050" t="s">
        <v>49</v>
      </c>
      <c r="I1050" t="s">
        <v>62</v>
      </c>
      <c r="J1050" t="s">
        <v>1480</v>
      </c>
      <c r="K1050" t="s">
        <v>489</v>
      </c>
      <c r="L1050" t="s">
        <v>53</v>
      </c>
      <c r="N1050" t="s">
        <v>1954</v>
      </c>
      <c r="P1050" t="s">
        <v>55</v>
      </c>
      <c r="R1050" t="s">
        <v>1955</v>
      </c>
      <c r="T1050" t="s">
        <v>1951</v>
      </c>
      <c r="U1050" t="s">
        <v>58</v>
      </c>
      <c r="V1050">
        <v>3</v>
      </c>
      <c r="W1050">
        <v>1</v>
      </c>
      <c r="X1050">
        <v>1</v>
      </c>
      <c r="Y1050">
        <v>0</v>
      </c>
      <c r="Z1050">
        <v>1</v>
      </c>
      <c r="AA1050">
        <v>0</v>
      </c>
      <c r="AB1050">
        <v>538.70000000000005</v>
      </c>
      <c r="AC1050">
        <v>474</v>
      </c>
      <c r="AD1050">
        <v>0</v>
      </c>
      <c r="AE1050">
        <v>64.709999999999994</v>
      </c>
      <c r="AF1050">
        <v>0</v>
      </c>
      <c r="AG1050">
        <v>0</v>
      </c>
      <c r="AH1050">
        <v>0</v>
      </c>
      <c r="AI1050">
        <v>80.81</v>
      </c>
      <c r="AJ1050">
        <v>538.71</v>
      </c>
      <c r="AK1050">
        <v>0.01</v>
      </c>
      <c r="AL1050" t="s">
        <v>53</v>
      </c>
      <c r="AM1050" t="s">
        <v>53</v>
      </c>
      <c r="AN1050" t="s">
        <v>137</v>
      </c>
      <c r="AO1050" t="s">
        <v>53</v>
      </c>
      <c r="AP1050" t="s">
        <v>53</v>
      </c>
    </row>
    <row r="1051" spans="2:42" x14ac:dyDescent="0.2">
      <c r="B1051" t="s">
        <v>44</v>
      </c>
      <c r="C1051" t="str">
        <f>HYPERLINK("https://us2.cloudbeds.com/connect/8493803454333002#/reservations/598577971362?display=E1G1QDTS&amp;reservation_id=598577971362", "E1G1QDTS")</f>
        <v>E1G1QDTS</v>
      </c>
      <c r="D1051" t="s">
        <v>45</v>
      </c>
      <c r="E1051" t="s">
        <v>105</v>
      </c>
      <c r="F1051" t="s">
        <v>47</v>
      </c>
      <c r="G1051" t="s">
        <v>48</v>
      </c>
      <c r="H1051" t="s">
        <v>49</v>
      </c>
      <c r="I1051" t="s">
        <v>50</v>
      </c>
      <c r="J1051" t="s">
        <v>107</v>
      </c>
      <c r="K1051" t="s">
        <v>191</v>
      </c>
      <c r="L1051" t="s">
        <v>53</v>
      </c>
      <c r="N1051" t="s">
        <v>1956</v>
      </c>
      <c r="P1051" t="s">
        <v>55</v>
      </c>
      <c r="R1051" t="s">
        <v>56</v>
      </c>
      <c r="T1051" t="s">
        <v>1951</v>
      </c>
      <c r="U1051" t="s">
        <v>58</v>
      </c>
      <c r="V1051">
        <v>1</v>
      </c>
      <c r="W1051">
        <v>1</v>
      </c>
      <c r="X1051">
        <v>1</v>
      </c>
      <c r="Y1051">
        <v>0</v>
      </c>
      <c r="Z1051">
        <v>1</v>
      </c>
      <c r="AA1051">
        <v>0</v>
      </c>
      <c r="AB1051">
        <v>103.31</v>
      </c>
      <c r="AC1051">
        <v>90.9</v>
      </c>
      <c r="AD1051">
        <v>0</v>
      </c>
      <c r="AE1051">
        <v>12.41</v>
      </c>
      <c r="AF1051">
        <v>0</v>
      </c>
      <c r="AG1051">
        <v>0</v>
      </c>
      <c r="AH1051">
        <v>0</v>
      </c>
      <c r="AI1051">
        <v>18.600000000000001</v>
      </c>
      <c r="AJ1051">
        <v>103.31</v>
      </c>
      <c r="AK1051">
        <v>0</v>
      </c>
      <c r="AL1051" t="s">
        <v>53</v>
      </c>
      <c r="AM1051" t="s">
        <v>53</v>
      </c>
      <c r="AN1051" t="s">
        <v>68</v>
      </c>
      <c r="AO1051" t="s">
        <v>53</v>
      </c>
      <c r="AP1051" t="s">
        <v>53</v>
      </c>
    </row>
    <row r="1052" spans="2:42" x14ac:dyDescent="0.2">
      <c r="B1052" t="s">
        <v>44</v>
      </c>
      <c r="C1052" t="str">
        <f>HYPERLINK("https://us2.cloudbeds.com/connect/8493803454333002#/reservations/598119153862?display=E14AU4T7&amp;reservation_id=598119153862", "E14AU4T7")</f>
        <v>E14AU4T7</v>
      </c>
      <c r="D1052" t="s">
        <v>45</v>
      </c>
      <c r="E1052" t="s">
        <v>46</v>
      </c>
      <c r="F1052" t="s">
        <v>47</v>
      </c>
      <c r="G1052" t="s">
        <v>48</v>
      </c>
      <c r="H1052" t="s">
        <v>71</v>
      </c>
      <c r="I1052" t="s">
        <v>72</v>
      </c>
      <c r="J1052" t="s">
        <v>419</v>
      </c>
      <c r="K1052" t="s">
        <v>1757</v>
      </c>
      <c r="L1052" t="s">
        <v>53</v>
      </c>
      <c r="N1052" t="s">
        <v>1957</v>
      </c>
      <c r="P1052" t="s">
        <v>55</v>
      </c>
      <c r="R1052" t="s">
        <v>56</v>
      </c>
      <c r="T1052" t="s">
        <v>1951</v>
      </c>
      <c r="U1052" t="s">
        <v>58</v>
      </c>
      <c r="V1052">
        <v>1</v>
      </c>
      <c r="W1052">
        <v>1</v>
      </c>
      <c r="X1052">
        <v>1</v>
      </c>
      <c r="Y1052">
        <v>0</v>
      </c>
      <c r="Z1052">
        <v>1</v>
      </c>
      <c r="AA1052">
        <v>0</v>
      </c>
      <c r="AB1052">
        <v>76.150000000000006</v>
      </c>
      <c r="AC1052">
        <v>67</v>
      </c>
      <c r="AD1052">
        <v>0</v>
      </c>
      <c r="AE1052">
        <v>9.15</v>
      </c>
      <c r="AF1052">
        <v>0</v>
      </c>
      <c r="AG1052">
        <v>0</v>
      </c>
      <c r="AH1052">
        <v>0</v>
      </c>
      <c r="AI1052">
        <v>0</v>
      </c>
      <c r="AJ1052">
        <v>76.150000000000006</v>
      </c>
      <c r="AK1052">
        <v>0</v>
      </c>
      <c r="AL1052" t="s">
        <v>53</v>
      </c>
      <c r="AM1052" t="s">
        <v>53</v>
      </c>
      <c r="AN1052" t="s">
        <v>378</v>
      </c>
      <c r="AO1052" t="s">
        <v>53</v>
      </c>
      <c r="AP1052" t="s">
        <v>53</v>
      </c>
    </row>
    <row r="1053" spans="2:42" x14ac:dyDescent="0.2">
      <c r="B1053" t="s">
        <v>44</v>
      </c>
      <c r="C1053" t="str">
        <f>HYPERLINK("https://us2.cloudbeds.com/connect/8493803454333002#/reservations/598440419577?display=E1CHQRNW&amp;reservation_id=598440419577", "E1CHQRNW")</f>
        <v>E1CHQRNW</v>
      </c>
      <c r="D1053" t="s">
        <v>45</v>
      </c>
      <c r="E1053" t="s">
        <v>138</v>
      </c>
      <c r="F1053" t="s">
        <v>70</v>
      </c>
      <c r="G1053" t="s">
        <v>48</v>
      </c>
      <c r="H1053" t="s">
        <v>49</v>
      </c>
      <c r="I1053" t="s">
        <v>50</v>
      </c>
      <c r="J1053" t="s">
        <v>1349</v>
      </c>
      <c r="K1053" t="s">
        <v>1017</v>
      </c>
      <c r="L1053" t="s">
        <v>53</v>
      </c>
      <c r="N1053" t="s">
        <v>1958</v>
      </c>
      <c r="P1053" t="s">
        <v>55</v>
      </c>
      <c r="R1053" t="s">
        <v>56</v>
      </c>
      <c r="T1053" t="s">
        <v>1951</v>
      </c>
      <c r="U1053" t="s">
        <v>58</v>
      </c>
      <c r="V1053">
        <v>1</v>
      </c>
      <c r="W1053">
        <v>1</v>
      </c>
      <c r="X1053">
        <v>1</v>
      </c>
      <c r="Y1053">
        <v>0</v>
      </c>
      <c r="Z1053">
        <v>1</v>
      </c>
      <c r="AA1053">
        <v>0</v>
      </c>
      <c r="AB1053">
        <v>69.55</v>
      </c>
      <c r="AC1053">
        <v>61.2</v>
      </c>
      <c r="AD1053">
        <v>0</v>
      </c>
      <c r="AE1053">
        <v>8.34</v>
      </c>
      <c r="AF1053">
        <v>0</v>
      </c>
      <c r="AG1053">
        <v>0</v>
      </c>
      <c r="AH1053">
        <v>0</v>
      </c>
      <c r="AI1053">
        <v>12.52</v>
      </c>
      <c r="AJ1053">
        <v>69.540000000000006</v>
      </c>
      <c r="AK1053">
        <v>-0.01</v>
      </c>
      <c r="AL1053" t="s">
        <v>53</v>
      </c>
      <c r="AM1053" t="s">
        <v>53</v>
      </c>
      <c r="AN1053" t="s">
        <v>332</v>
      </c>
      <c r="AO1053" t="s">
        <v>53</v>
      </c>
      <c r="AP1053" t="s">
        <v>53</v>
      </c>
    </row>
    <row r="1054" spans="2:42" x14ac:dyDescent="0.2">
      <c r="B1054" t="s">
        <v>44</v>
      </c>
      <c r="C1054" t="str">
        <f>HYPERLINK("https://us2.cloudbeds.com/connect/8493803454333002#/reservations/597704282283?display=E0QZ2Z87&amp;reservation_id=597704282283", "E0QZ2Z87")</f>
        <v>E0QZ2Z87</v>
      </c>
      <c r="D1054" t="s">
        <v>45</v>
      </c>
      <c r="E1054" t="s">
        <v>185</v>
      </c>
      <c r="F1054" t="s">
        <v>47</v>
      </c>
      <c r="G1054" t="s">
        <v>48</v>
      </c>
      <c r="H1054" t="s">
        <v>71</v>
      </c>
      <c r="I1054" t="s">
        <v>72</v>
      </c>
      <c r="J1054" t="s">
        <v>1017</v>
      </c>
      <c r="K1054" t="s">
        <v>553</v>
      </c>
      <c r="L1054" t="s">
        <v>53</v>
      </c>
      <c r="N1054" t="s">
        <v>1959</v>
      </c>
      <c r="P1054" t="s">
        <v>58</v>
      </c>
      <c r="R1054" t="s">
        <v>56</v>
      </c>
      <c r="T1054" t="s">
        <v>1951</v>
      </c>
      <c r="U1054" t="s">
        <v>58</v>
      </c>
      <c r="V1054">
        <v>1</v>
      </c>
      <c r="W1054">
        <v>1</v>
      </c>
      <c r="X1054">
        <v>1</v>
      </c>
      <c r="Y1054">
        <v>0</v>
      </c>
      <c r="Z1054">
        <v>1</v>
      </c>
      <c r="AA1054">
        <v>0</v>
      </c>
      <c r="AB1054">
        <v>81.83</v>
      </c>
      <c r="AC1054">
        <v>72</v>
      </c>
      <c r="AD1054">
        <v>0</v>
      </c>
      <c r="AE1054">
        <v>9.83</v>
      </c>
      <c r="AF1054">
        <v>0</v>
      </c>
      <c r="AG1054">
        <v>0</v>
      </c>
      <c r="AH1054">
        <v>0</v>
      </c>
      <c r="AI1054">
        <v>0</v>
      </c>
      <c r="AJ1054">
        <v>81.83</v>
      </c>
      <c r="AK1054">
        <v>0</v>
      </c>
      <c r="AL1054" t="s">
        <v>53</v>
      </c>
      <c r="AM1054" t="s">
        <v>53</v>
      </c>
      <c r="AN1054" t="s">
        <v>1960</v>
      </c>
      <c r="AO1054" t="s">
        <v>53</v>
      </c>
      <c r="AP1054" t="s">
        <v>53</v>
      </c>
    </row>
    <row r="1055" spans="2:42" x14ac:dyDescent="0.2">
      <c r="B1055" t="s">
        <v>44</v>
      </c>
      <c r="C1055" t="str">
        <f>HYPERLINK("https://us2.cloudbeds.com/connect/8493803454333002#/reservations/598241861778?display=E17FCMAW&amp;reservation_id=598241861778", "E17FCMAW")</f>
        <v>E17FCMAW</v>
      </c>
      <c r="D1055" t="s">
        <v>45</v>
      </c>
      <c r="E1055" t="s">
        <v>406</v>
      </c>
      <c r="F1055" t="s">
        <v>61</v>
      </c>
      <c r="G1055" t="s">
        <v>48</v>
      </c>
      <c r="H1055" t="s">
        <v>49</v>
      </c>
      <c r="I1055" t="s">
        <v>79</v>
      </c>
      <c r="J1055" t="s">
        <v>553</v>
      </c>
      <c r="K1055" t="s">
        <v>554</v>
      </c>
      <c r="L1055" t="s">
        <v>53</v>
      </c>
      <c r="N1055" t="s">
        <v>1961</v>
      </c>
      <c r="P1055" t="s">
        <v>55</v>
      </c>
      <c r="R1055" t="s">
        <v>56</v>
      </c>
      <c r="T1055" t="s">
        <v>1951</v>
      </c>
      <c r="U1055" t="s">
        <v>58</v>
      </c>
      <c r="V1055">
        <v>1</v>
      </c>
      <c r="W1055">
        <v>1</v>
      </c>
      <c r="X1055">
        <v>1</v>
      </c>
      <c r="Y1055">
        <v>0</v>
      </c>
      <c r="Z1055">
        <v>1</v>
      </c>
      <c r="AA1055">
        <v>0</v>
      </c>
      <c r="AB1055">
        <v>88.99</v>
      </c>
      <c r="AC1055">
        <v>78.3</v>
      </c>
      <c r="AD1055">
        <v>0</v>
      </c>
      <c r="AE1055">
        <v>10.69</v>
      </c>
      <c r="AF1055">
        <v>0</v>
      </c>
      <c r="AG1055">
        <v>0</v>
      </c>
      <c r="AH1055">
        <v>0</v>
      </c>
      <c r="AI1055">
        <v>0</v>
      </c>
      <c r="AJ1055">
        <v>88.99</v>
      </c>
      <c r="AK1055">
        <v>0</v>
      </c>
      <c r="AL1055" t="s">
        <v>53</v>
      </c>
      <c r="AM1055" t="s">
        <v>53</v>
      </c>
      <c r="AN1055" t="s">
        <v>316</v>
      </c>
      <c r="AO1055" t="s">
        <v>53</v>
      </c>
      <c r="AP1055" t="s">
        <v>53</v>
      </c>
    </row>
    <row r="1056" spans="2:42" x14ac:dyDescent="0.2">
      <c r="B1056" t="s">
        <v>44</v>
      </c>
      <c r="C1056" t="str">
        <f>HYPERLINK("https://us2.cloudbeds.com/connect/8493803454333002#/reservations/579353026700?display=DJJQQWT6&amp;reservation_id=579353026700", "DJJQQWT6")</f>
        <v>DJJQQWT6</v>
      </c>
      <c r="D1056" t="s">
        <v>45</v>
      </c>
      <c r="E1056" t="s">
        <v>190</v>
      </c>
      <c r="F1056" t="s">
        <v>61</v>
      </c>
      <c r="G1056" t="s">
        <v>48</v>
      </c>
      <c r="H1056" t="s">
        <v>49</v>
      </c>
      <c r="I1056" t="s">
        <v>62</v>
      </c>
      <c r="J1056" t="s">
        <v>1767</v>
      </c>
      <c r="K1056" t="s">
        <v>1478</v>
      </c>
      <c r="L1056" t="s">
        <v>53</v>
      </c>
      <c r="N1056" t="s">
        <v>1962</v>
      </c>
      <c r="P1056" t="s">
        <v>55</v>
      </c>
      <c r="R1056" t="s">
        <v>56</v>
      </c>
      <c r="T1056" t="s">
        <v>1951</v>
      </c>
      <c r="U1056" t="s">
        <v>58</v>
      </c>
      <c r="V1056">
        <v>4</v>
      </c>
      <c r="W1056">
        <v>1</v>
      </c>
      <c r="X1056">
        <v>1</v>
      </c>
      <c r="Y1056">
        <v>0</v>
      </c>
      <c r="Z1056">
        <v>1</v>
      </c>
      <c r="AA1056">
        <v>0</v>
      </c>
      <c r="AB1056">
        <v>702.36</v>
      </c>
      <c r="AC1056">
        <v>612.88</v>
      </c>
      <c r="AD1056">
        <v>0</v>
      </c>
      <c r="AE1056">
        <v>89.48</v>
      </c>
      <c r="AF1056">
        <v>0</v>
      </c>
      <c r="AG1056">
        <v>0</v>
      </c>
      <c r="AH1056">
        <v>0</v>
      </c>
      <c r="AI1056">
        <v>105.35</v>
      </c>
      <c r="AJ1056">
        <v>702.36</v>
      </c>
      <c r="AK1056">
        <v>0</v>
      </c>
      <c r="AL1056" t="s">
        <v>53</v>
      </c>
      <c r="AM1056" t="s">
        <v>53</v>
      </c>
      <c r="AN1056" t="s">
        <v>178</v>
      </c>
      <c r="AO1056" t="s">
        <v>53</v>
      </c>
      <c r="AP1056" t="s">
        <v>53</v>
      </c>
    </row>
    <row r="1057" spans="2:42" x14ac:dyDescent="0.2">
      <c r="B1057" t="s">
        <v>44</v>
      </c>
      <c r="C1057" t="str">
        <f>HYPERLINK("https://us2.cloudbeds.com/connect/8493803454333002#/reservations/598334386373?display=E19RDA7J&amp;reservation_id=598334386373", "E19RDA7J")</f>
        <v>E19RDA7J</v>
      </c>
      <c r="D1057" t="s">
        <v>45</v>
      </c>
      <c r="E1057" t="s">
        <v>165</v>
      </c>
      <c r="F1057" t="s">
        <v>61</v>
      </c>
      <c r="G1057" t="s">
        <v>48</v>
      </c>
      <c r="H1057" t="s">
        <v>71</v>
      </c>
      <c r="I1057" t="s">
        <v>72</v>
      </c>
      <c r="J1057" t="s">
        <v>1017</v>
      </c>
      <c r="K1057" t="s">
        <v>553</v>
      </c>
      <c r="L1057" t="s">
        <v>53</v>
      </c>
      <c r="N1057" t="s">
        <v>1963</v>
      </c>
      <c r="P1057" t="s">
        <v>55</v>
      </c>
      <c r="R1057" t="s">
        <v>56</v>
      </c>
      <c r="T1057" t="s">
        <v>1964</v>
      </c>
      <c r="U1057" t="s">
        <v>58</v>
      </c>
      <c r="V1057">
        <v>1</v>
      </c>
      <c r="W1057">
        <v>1</v>
      </c>
      <c r="X1057">
        <v>1</v>
      </c>
      <c r="Y1057">
        <v>0</v>
      </c>
      <c r="Z1057">
        <v>1</v>
      </c>
      <c r="AA1057">
        <v>0</v>
      </c>
      <c r="AB1057">
        <v>88.65</v>
      </c>
      <c r="AC1057">
        <v>78</v>
      </c>
      <c r="AD1057">
        <v>0</v>
      </c>
      <c r="AE1057">
        <v>10.65</v>
      </c>
      <c r="AF1057">
        <v>0</v>
      </c>
      <c r="AG1057">
        <v>0</v>
      </c>
      <c r="AH1057">
        <v>0</v>
      </c>
      <c r="AI1057">
        <v>0</v>
      </c>
      <c r="AJ1057">
        <v>88.65</v>
      </c>
      <c r="AK1057">
        <v>0</v>
      </c>
      <c r="AL1057" t="s">
        <v>53</v>
      </c>
      <c r="AM1057" t="s">
        <v>53</v>
      </c>
      <c r="AN1057" t="s">
        <v>378</v>
      </c>
      <c r="AO1057" t="s">
        <v>53</v>
      </c>
      <c r="AP1057" t="s">
        <v>53</v>
      </c>
    </row>
    <row r="1058" spans="2:42" x14ac:dyDescent="0.2">
      <c r="B1058" t="s">
        <v>44</v>
      </c>
      <c r="C1058" t="str">
        <f>HYPERLINK("https://us2.cloudbeds.com/connect/8493803454333002#/reservations/598457082055?display=E1CVSGEX&amp;reservation_id=598457082055", "E1CVSGEX")</f>
        <v>E1CVSGEX</v>
      </c>
      <c r="D1058" t="s">
        <v>45</v>
      </c>
      <c r="E1058" t="s">
        <v>121</v>
      </c>
      <c r="F1058" t="s">
        <v>86</v>
      </c>
      <c r="G1058" t="s">
        <v>48</v>
      </c>
      <c r="H1058" t="s">
        <v>49</v>
      </c>
      <c r="I1058" t="s">
        <v>50</v>
      </c>
      <c r="J1058" t="s">
        <v>1430</v>
      </c>
      <c r="K1058" t="s">
        <v>203</v>
      </c>
      <c r="L1058" t="s">
        <v>53</v>
      </c>
      <c r="N1058" t="s">
        <v>1965</v>
      </c>
      <c r="P1058" t="s">
        <v>55</v>
      </c>
      <c r="R1058" t="s">
        <v>56</v>
      </c>
      <c r="T1058" t="s">
        <v>1964</v>
      </c>
      <c r="U1058" t="s">
        <v>58</v>
      </c>
      <c r="V1058">
        <v>1</v>
      </c>
      <c r="W1058">
        <v>1</v>
      </c>
      <c r="X1058">
        <v>1</v>
      </c>
      <c r="Y1058">
        <v>0</v>
      </c>
      <c r="Z1058">
        <v>1</v>
      </c>
      <c r="AA1058">
        <v>0</v>
      </c>
      <c r="AB1058">
        <v>99.22</v>
      </c>
      <c r="AC1058">
        <v>87.3</v>
      </c>
      <c r="AD1058">
        <v>0</v>
      </c>
      <c r="AE1058">
        <v>11.92</v>
      </c>
      <c r="AF1058">
        <v>0</v>
      </c>
      <c r="AG1058">
        <v>0</v>
      </c>
      <c r="AH1058">
        <v>0</v>
      </c>
      <c r="AI1058">
        <v>17.86</v>
      </c>
      <c r="AJ1058">
        <v>99.22</v>
      </c>
      <c r="AK1058">
        <v>0</v>
      </c>
      <c r="AL1058" t="s">
        <v>53</v>
      </c>
      <c r="AM1058" t="s">
        <v>53</v>
      </c>
      <c r="AN1058" t="s">
        <v>97</v>
      </c>
      <c r="AO1058" t="s">
        <v>53</v>
      </c>
      <c r="AP1058" t="s">
        <v>53</v>
      </c>
    </row>
    <row r="1059" spans="2:42" x14ac:dyDescent="0.2">
      <c r="B1059" t="s">
        <v>44</v>
      </c>
      <c r="C1059" t="str">
        <f>HYPERLINK("https://us2.cloudbeds.com/connect/8493803454333002#/reservations/598336086151?display=E19SRK30&amp;reservation_id=598336086151", "E19SRK30")</f>
        <v>E19SRK30</v>
      </c>
      <c r="D1059" t="s">
        <v>45</v>
      </c>
      <c r="E1059" t="s">
        <v>190</v>
      </c>
      <c r="F1059" t="s">
        <v>61</v>
      </c>
      <c r="G1059" t="s">
        <v>48</v>
      </c>
      <c r="H1059" t="s">
        <v>71</v>
      </c>
      <c r="I1059" t="s">
        <v>72</v>
      </c>
      <c r="J1059" t="s">
        <v>289</v>
      </c>
      <c r="K1059" t="s">
        <v>568</v>
      </c>
      <c r="L1059" t="s">
        <v>53</v>
      </c>
      <c r="N1059" t="s">
        <v>1966</v>
      </c>
      <c r="P1059" t="s">
        <v>55</v>
      </c>
      <c r="R1059" t="s">
        <v>56</v>
      </c>
      <c r="T1059" t="s">
        <v>1964</v>
      </c>
      <c r="U1059" t="s">
        <v>58</v>
      </c>
      <c r="V1059">
        <v>1</v>
      </c>
      <c r="W1059">
        <v>1</v>
      </c>
      <c r="X1059">
        <v>1</v>
      </c>
      <c r="Y1059">
        <v>0</v>
      </c>
      <c r="Z1059">
        <v>1</v>
      </c>
      <c r="AA1059">
        <v>0</v>
      </c>
      <c r="AB1059">
        <v>157.97</v>
      </c>
      <c r="AC1059">
        <v>139</v>
      </c>
      <c r="AD1059">
        <v>0</v>
      </c>
      <c r="AE1059">
        <v>18.98</v>
      </c>
      <c r="AF1059">
        <v>0</v>
      </c>
      <c r="AG1059">
        <v>0</v>
      </c>
      <c r="AH1059">
        <v>0</v>
      </c>
      <c r="AI1059">
        <v>0</v>
      </c>
      <c r="AJ1059">
        <v>157.97999999999999</v>
      </c>
      <c r="AK1059">
        <v>0.01</v>
      </c>
      <c r="AL1059" t="s">
        <v>53</v>
      </c>
      <c r="AM1059" t="s">
        <v>53</v>
      </c>
      <c r="AN1059" t="s">
        <v>1967</v>
      </c>
      <c r="AO1059" t="s">
        <v>53</v>
      </c>
      <c r="AP1059" t="s">
        <v>53</v>
      </c>
    </row>
    <row r="1060" spans="2:42" x14ac:dyDescent="0.2">
      <c r="B1060" t="s">
        <v>44</v>
      </c>
      <c r="C1060" t="str">
        <f>HYPERLINK("https://us2.cloudbeds.com/connect/8493803454333002#/reservations/598507876553?display=E1E8MUMP&amp;reservation_id=598507876553", "E1E8MUMP")</f>
        <v>E1E8MUMP</v>
      </c>
      <c r="D1060" t="s">
        <v>45</v>
      </c>
      <c r="E1060" t="s">
        <v>113</v>
      </c>
      <c r="F1060" t="s">
        <v>61</v>
      </c>
      <c r="G1060" t="s">
        <v>48</v>
      </c>
      <c r="H1060" t="s">
        <v>71</v>
      </c>
      <c r="I1060" t="s">
        <v>72</v>
      </c>
      <c r="J1060" t="s">
        <v>1473</v>
      </c>
      <c r="K1060" t="s">
        <v>1269</v>
      </c>
      <c r="L1060" t="s">
        <v>53</v>
      </c>
      <c r="N1060" t="s">
        <v>1968</v>
      </c>
      <c r="P1060" t="s">
        <v>58</v>
      </c>
      <c r="R1060" t="s">
        <v>56</v>
      </c>
      <c r="T1060" t="s">
        <v>1964</v>
      </c>
      <c r="U1060" t="s">
        <v>58</v>
      </c>
      <c r="V1060">
        <v>2</v>
      </c>
      <c r="W1060">
        <v>1</v>
      </c>
      <c r="X1060">
        <v>1</v>
      </c>
      <c r="Y1060">
        <v>0</v>
      </c>
      <c r="Z1060">
        <v>1</v>
      </c>
      <c r="AA1060">
        <v>0</v>
      </c>
      <c r="AB1060">
        <v>340.95</v>
      </c>
      <c r="AC1060">
        <v>300</v>
      </c>
      <c r="AD1060">
        <v>0</v>
      </c>
      <c r="AE1060">
        <v>40.96</v>
      </c>
      <c r="AF1060">
        <v>0</v>
      </c>
      <c r="AG1060">
        <v>0</v>
      </c>
      <c r="AH1060">
        <v>0</v>
      </c>
      <c r="AI1060">
        <v>0</v>
      </c>
      <c r="AJ1060">
        <v>340.96</v>
      </c>
      <c r="AK1060">
        <v>0.01</v>
      </c>
      <c r="AL1060" t="s">
        <v>53</v>
      </c>
      <c r="AM1060" t="s">
        <v>53</v>
      </c>
      <c r="AN1060" t="s">
        <v>1969</v>
      </c>
      <c r="AO1060" t="s">
        <v>53</v>
      </c>
      <c r="AP1060" t="s">
        <v>53</v>
      </c>
    </row>
    <row r="1061" spans="2:42" x14ac:dyDescent="0.2">
      <c r="B1061" t="s">
        <v>44</v>
      </c>
      <c r="C1061" t="str">
        <f>HYPERLINK("https://us2.cloudbeds.com/connect/8493803454333002#/reservations/598338076922?display=E19UH05D&amp;reservation_id=598338076922", "E19UH05D")</f>
        <v>E19UH05D</v>
      </c>
      <c r="D1061" t="s">
        <v>45</v>
      </c>
      <c r="E1061" t="s">
        <v>179</v>
      </c>
      <c r="F1061" t="s">
        <v>47</v>
      </c>
      <c r="G1061" t="s">
        <v>48</v>
      </c>
      <c r="H1061" t="s">
        <v>71</v>
      </c>
      <c r="I1061" t="s">
        <v>72</v>
      </c>
      <c r="J1061" t="s">
        <v>1017</v>
      </c>
      <c r="K1061" t="s">
        <v>553</v>
      </c>
      <c r="L1061" t="s">
        <v>53</v>
      </c>
      <c r="N1061" t="s">
        <v>1970</v>
      </c>
      <c r="P1061" t="s">
        <v>55</v>
      </c>
      <c r="R1061" t="s">
        <v>56</v>
      </c>
      <c r="T1061" t="s">
        <v>1964</v>
      </c>
      <c r="U1061" t="s">
        <v>58</v>
      </c>
      <c r="V1061">
        <v>1</v>
      </c>
      <c r="W1061">
        <v>1</v>
      </c>
      <c r="X1061">
        <v>1</v>
      </c>
      <c r="Y1061">
        <v>0</v>
      </c>
      <c r="Z1061">
        <v>1</v>
      </c>
      <c r="AA1061">
        <v>0</v>
      </c>
      <c r="AB1061">
        <v>81.83</v>
      </c>
      <c r="AC1061">
        <v>72</v>
      </c>
      <c r="AD1061">
        <v>0</v>
      </c>
      <c r="AE1061">
        <v>9.83</v>
      </c>
      <c r="AF1061">
        <v>0</v>
      </c>
      <c r="AG1061">
        <v>0</v>
      </c>
      <c r="AH1061">
        <v>0</v>
      </c>
      <c r="AI1061">
        <v>0</v>
      </c>
      <c r="AJ1061">
        <v>81.83</v>
      </c>
      <c r="AK1061">
        <v>0</v>
      </c>
      <c r="AL1061" t="s">
        <v>53</v>
      </c>
      <c r="AM1061" t="s">
        <v>53</v>
      </c>
      <c r="AN1061" t="s">
        <v>378</v>
      </c>
      <c r="AO1061" t="s">
        <v>53</v>
      </c>
      <c r="AP1061" t="s">
        <v>53</v>
      </c>
    </row>
    <row r="1062" spans="2:42" x14ac:dyDescent="0.2">
      <c r="B1062" t="s">
        <v>44</v>
      </c>
      <c r="C1062" t="str">
        <f>HYPERLINK("https://us2.cloudbeds.com/connect/8493803454333002#/reservations/598590292115?display=E1GC68Z1&amp;reservation_id=598590292115", "E1GC68Z1")</f>
        <v>E1GC68Z1</v>
      </c>
      <c r="D1062" t="s">
        <v>45</v>
      </c>
      <c r="E1062" t="s">
        <v>121</v>
      </c>
      <c r="F1062" t="s">
        <v>86</v>
      </c>
      <c r="G1062" t="s">
        <v>48</v>
      </c>
      <c r="H1062" t="s">
        <v>49</v>
      </c>
      <c r="I1062" t="s">
        <v>79</v>
      </c>
      <c r="J1062" t="s">
        <v>446</v>
      </c>
      <c r="K1062" t="s">
        <v>447</v>
      </c>
      <c r="L1062" t="s">
        <v>53</v>
      </c>
      <c r="N1062" t="s">
        <v>1971</v>
      </c>
      <c r="P1062" t="s">
        <v>55</v>
      </c>
      <c r="R1062" t="s">
        <v>56</v>
      </c>
      <c r="T1062" t="s">
        <v>1964</v>
      </c>
      <c r="U1062" t="s">
        <v>58</v>
      </c>
      <c r="V1062">
        <v>3</v>
      </c>
      <c r="W1062">
        <v>1</v>
      </c>
      <c r="X1062">
        <v>1</v>
      </c>
      <c r="Y1062">
        <v>0</v>
      </c>
      <c r="Z1062">
        <v>1</v>
      </c>
      <c r="AA1062">
        <v>0</v>
      </c>
      <c r="AB1062">
        <v>509.38</v>
      </c>
      <c r="AC1062">
        <v>448.2</v>
      </c>
      <c r="AD1062">
        <v>0</v>
      </c>
      <c r="AE1062">
        <v>61.17</v>
      </c>
      <c r="AF1062">
        <v>0</v>
      </c>
      <c r="AG1062">
        <v>0</v>
      </c>
      <c r="AH1062">
        <v>0</v>
      </c>
      <c r="AI1062">
        <v>0</v>
      </c>
      <c r="AJ1062">
        <v>509.37</v>
      </c>
      <c r="AK1062">
        <v>-0.01</v>
      </c>
      <c r="AL1062" t="s">
        <v>53</v>
      </c>
      <c r="AM1062" t="s">
        <v>53</v>
      </c>
      <c r="AN1062" t="s">
        <v>245</v>
      </c>
      <c r="AO1062" t="s">
        <v>53</v>
      </c>
      <c r="AP1062" t="s">
        <v>53</v>
      </c>
    </row>
    <row r="1063" spans="2:42" x14ac:dyDescent="0.2">
      <c r="B1063" t="s">
        <v>44</v>
      </c>
      <c r="C1063" t="str">
        <f>HYPERLINK("https://us2.cloudbeds.com/connect/8493803454333002#/reservations/598552440993?display=E1FD9018&amp;reservation_id=598552440993", "E1FD9018")</f>
        <v>E1FD9018</v>
      </c>
      <c r="D1063" t="s">
        <v>45</v>
      </c>
      <c r="E1063" t="s">
        <v>179</v>
      </c>
      <c r="F1063" t="s">
        <v>47</v>
      </c>
      <c r="G1063" t="s">
        <v>48</v>
      </c>
      <c r="H1063" t="s">
        <v>49</v>
      </c>
      <c r="I1063" t="s">
        <v>62</v>
      </c>
      <c r="J1063" t="s">
        <v>202</v>
      </c>
      <c r="K1063" t="s">
        <v>1430</v>
      </c>
      <c r="L1063" t="s">
        <v>53</v>
      </c>
      <c r="N1063" t="s">
        <v>1972</v>
      </c>
      <c r="P1063" t="s">
        <v>55</v>
      </c>
      <c r="R1063" t="s">
        <v>56</v>
      </c>
      <c r="T1063" t="s">
        <v>1964</v>
      </c>
      <c r="U1063" t="s">
        <v>58</v>
      </c>
      <c r="V1063">
        <v>1</v>
      </c>
      <c r="W1063">
        <v>1</v>
      </c>
      <c r="X1063">
        <v>1</v>
      </c>
      <c r="Y1063">
        <v>0</v>
      </c>
      <c r="Z1063">
        <v>1</v>
      </c>
      <c r="AA1063">
        <v>0</v>
      </c>
      <c r="AB1063">
        <v>81.83</v>
      </c>
      <c r="AC1063">
        <v>72</v>
      </c>
      <c r="AD1063">
        <v>0</v>
      </c>
      <c r="AE1063">
        <v>9.83</v>
      </c>
      <c r="AF1063">
        <v>0</v>
      </c>
      <c r="AG1063">
        <v>0</v>
      </c>
      <c r="AH1063">
        <v>0</v>
      </c>
      <c r="AI1063">
        <v>12.27</v>
      </c>
      <c r="AJ1063">
        <v>81.83</v>
      </c>
      <c r="AK1063">
        <v>0</v>
      </c>
      <c r="AL1063" t="s">
        <v>53</v>
      </c>
      <c r="AM1063" t="s">
        <v>53</v>
      </c>
      <c r="AN1063" t="s">
        <v>127</v>
      </c>
      <c r="AO1063" t="s">
        <v>53</v>
      </c>
      <c r="AP1063" t="s">
        <v>53</v>
      </c>
    </row>
    <row r="1064" spans="2:42" x14ac:dyDescent="0.2">
      <c r="B1064" t="s">
        <v>44</v>
      </c>
      <c r="C1064" t="str">
        <f>HYPERLINK("https://us2.cloudbeds.com/connect/8493803454333002#/reservations/598488932559?display=E1DPNPUB&amp;reservation_id=598488932559", "E1DPNPUB")</f>
        <v>E1DPNPUB</v>
      </c>
      <c r="D1064" t="s">
        <v>45</v>
      </c>
      <c r="E1064" t="s">
        <v>85</v>
      </c>
      <c r="F1064" t="s">
        <v>86</v>
      </c>
      <c r="G1064" t="s">
        <v>48</v>
      </c>
      <c r="H1064" t="s">
        <v>71</v>
      </c>
      <c r="I1064" t="s">
        <v>72</v>
      </c>
      <c r="J1064" t="s">
        <v>334</v>
      </c>
      <c r="K1064" t="s">
        <v>538</v>
      </c>
      <c r="L1064" t="s">
        <v>53</v>
      </c>
      <c r="N1064" t="s">
        <v>1973</v>
      </c>
      <c r="P1064" t="s">
        <v>55</v>
      </c>
      <c r="R1064" t="s">
        <v>56</v>
      </c>
      <c r="T1064" t="s">
        <v>1964</v>
      </c>
      <c r="U1064" t="s">
        <v>58</v>
      </c>
      <c r="V1064">
        <v>1</v>
      </c>
      <c r="W1064">
        <v>1</v>
      </c>
      <c r="X1064">
        <v>1</v>
      </c>
      <c r="Y1064">
        <v>0</v>
      </c>
      <c r="Z1064">
        <v>1</v>
      </c>
      <c r="AA1064">
        <v>0</v>
      </c>
      <c r="AB1064">
        <v>135.24</v>
      </c>
      <c r="AC1064">
        <v>119</v>
      </c>
      <c r="AD1064">
        <v>0</v>
      </c>
      <c r="AE1064">
        <v>16.25</v>
      </c>
      <c r="AF1064">
        <v>0</v>
      </c>
      <c r="AG1064">
        <v>0</v>
      </c>
      <c r="AH1064">
        <v>0</v>
      </c>
      <c r="AI1064">
        <v>0</v>
      </c>
      <c r="AJ1064">
        <v>135.25</v>
      </c>
      <c r="AK1064">
        <v>0.01</v>
      </c>
      <c r="AL1064" t="s">
        <v>53</v>
      </c>
      <c r="AM1064" t="s">
        <v>53</v>
      </c>
      <c r="AN1064" t="s">
        <v>1974</v>
      </c>
      <c r="AO1064" t="s">
        <v>53</v>
      </c>
      <c r="AP1064" t="s">
        <v>53</v>
      </c>
    </row>
    <row r="1065" spans="2:42" x14ac:dyDescent="0.2">
      <c r="B1065" t="s">
        <v>44</v>
      </c>
      <c r="C1065" t="str">
        <f>HYPERLINK("https://us2.cloudbeds.com/connect/8493803454333002#/reservations/598468481229?display=E1D8FN01&amp;reservation_id=598468481229", "E1D8FN01")</f>
        <v>E1D8FN01</v>
      </c>
      <c r="D1065" t="s">
        <v>45</v>
      </c>
      <c r="E1065" t="s">
        <v>487</v>
      </c>
      <c r="F1065" t="s">
        <v>61</v>
      </c>
      <c r="G1065" t="s">
        <v>48</v>
      </c>
      <c r="H1065" t="s">
        <v>49</v>
      </c>
      <c r="I1065" t="s">
        <v>50</v>
      </c>
      <c r="J1065" t="s">
        <v>419</v>
      </c>
      <c r="K1065" t="s">
        <v>1757</v>
      </c>
      <c r="L1065" t="s">
        <v>53</v>
      </c>
      <c r="N1065" t="s">
        <v>1975</v>
      </c>
      <c r="P1065" t="s">
        <v>55</v>
      </c>
      <c r="R1065" t="s">
        <v>56</v>
      </c>
      <c r="T1065" t="s">
        <v>1964</v>
      </c>
      <c r="U1065" t="s">
        <v>58</v>
      </c>
      <c r="V1065">
        <v>1</v>
      </c>
      <c r="W1065">
        <v>1</v>
      </c>
      <c r="X1065">
        <v>1</v>
      </c>
      <c r="Y1065">
        <v>0</v>
      </c>
      <c r="Z1065">
        <v>1</v>
      </c>
      <c r="AA1065">
        <v>0</v>
      </c>
      <c r="AB1065">
        <v>78.760000000000005</v>
      </c>
      <c r="AC1065">
        <v>69.3</v>
      </c>
      <c r="AD1065">
        <v>0</v>
      </c>
      <c r="AE1065">
        <v>9.4700000000000006</v>
      </c>
      <c r="AF1065">
        <v>0</v>
      </c>
      <c r="AG1065">
        <v>0</v>
      </c>
      <c r="AH1065">
        <v>0</v>
      </c>
      <c r="AI1065">
        <v>14.18</v>
      </c>
      <c r="AJ1065">
        <v>78.77</v>
      </c>
      <c r="AK1065">
        <v>0.01</v>
      </c>
      <c r="AL1065" t="s">
        <v>53</v>
      </c>
      <c r="AM1065" t="s">
        <v>53</v>
      </c>
      <c r="AN1065" t="s">
        <v>349</v>
      </c>
      <c r="AO1065" t="s">
        <v>53</v>
      </c>
      <c r="AP1065" t="s">
        <v>53</v>
      </c>
    </row>
    <row r="1066" spans="2:42" x14ac:dyDescent="0.2">
      <c r="B1066" t="s">
        <v>44</v>
      </c>
      <c r="C1066" t="str">
        <f>HYPERLINK("https://us2.cloudbeds.com/connect/8493803454333002#/reservations/598302134421?display=E1906S3N&amp;reservation_id=598302134421", "E1906S3N")</f>
        <v>E1906S3N</v>
      </c>
      <c r="D1066" t="s">
        <v>45</v>
      </c>
      <c r="E1066" t="s">
        <v>113</v>
      </c>
      <c r="F1066" t="s">
        <v>61</v>
      </c>
      <c r="G1066" t="s">
        <v>48</v>
      </c>
      <c r="H1066" t="s">
        <v>71</v>
      </c>
      <c r="I1066" t="s">
        <v>72</v>
      </c>
      <c r="J1066" t="s">
        <v>1017</v>
      </c>
      <c r="K1066" t="s">
        <v>553</v>
      </c>
      <c r="L1066" t="s">
        <v>53</v>
      </c>
      <c r="N1066" t="s">
        <v>1976</v>
      </c>
      <c r="P1066" t="s">
        <v>55</v>
      </c>
      <c r="R1066" t="s">
        <v>56</v>
      </c>
      <c r="T1066" t="s">
        <v>1964</v>
      </c>
      <c r="U1066" t="s">
        <v>58</v>
      </c>
      <c r="V1066">
        <v>1</v>
      </c>
      <c r="W1066">
        <v>1</v>
      </c>
      <c r="X1066">
        <v>1</v>
      </c>
      <c r="Y1066">
        <v>0</v>
      </c>
      <c r="Z1066">
        <v>1</v>
      </c>
      <c r="AA1066">
        <v>0</v>
      </c>
      <c r="AB1066">
        <v>93.19</v>
      </c>
      <c r="AC1066">
        <v>82</v>
      </c>
      <c r="AD1066">
        <v>0</v>
      </c>
      <c r="AE1066">
        <v>11.2</v>
      </c>
      <c r="AF1066">
        <v>0</v>
      </c>
      <c r="AG1066">
        <v>0</v>
      </c>
      <c r="AH1066">
        <v>0</v>
      </c>
      <c r="AI1066">
        <v>0</v>
      </c>
      <c r="AJ1066">
        <v>93.2</v>
      </c>
      <c r="AK1066">
        <v>0.01</v>
      </c>
      <c r="AL1066" t="s">
        <v>53</v>
      </c>
      <c r="AM1066" t="s">
        <v>53</v>
      </c>
      <c r="AN1066" t="s">
        <v>378</v>
      </c>
      <c r="AO1066" t="s">
        <v>53</v>
      </c>
      <c r="AP1066" t="s">
        <v>53</v>
      </c>
    </row>
    <row r="1067" spans="2:42" x14ac:dyDescent="0.2">
      <c r="B1067" t="s">
        <v>44</v>
      </c>
      <c r="C1067" t="str">
        <f>HYPERLINK("https://us2.cloudbeds.com/connect/8493803454333002#/reservations/598452338899?display=E1CRSGUX&amp;reservation_id=598452338899", "E1CRSGUX")</f>
        <v>E1CRSGUX</v>
      </c>
      <c r="D1067" t="s">
        <v>45</v>
      </c>
      <c r="E1067" t="s">
        <v>138</v>
      </c>
      <c r="F1067" t="s">
        <v>70</v>
      </c>
      <c r="G1067" t="s">
        <v>48</v>
      </c>
      <c r="H1067" t="s">
        <v>49</v>
      </c>
      <c r="I1067" t="s">
        <v>79</v>
      </c>
      <c r="J1067" t="s">
        <v>1017</v>
      </c>
      <c r="K1067" t="s">
        <v>553</v>
      </c>
      <c r="L1067" t="s">
        <v>53</v>
      </c>
      <c r="N1067" t="s">
        <v>1977</v>
      </c>
      <c r="P1067" t="s">
        <v>55</v>
      </c>
      <c r="R1067" t="s">
        <v>56</v>
      </c>
      <c r="T1067" t="s">
        <v>1964</v>
      </c>
      <c r="U1067" t="s">
        <v>58</v>
      </c>
      <c r="V1067">
        <v>1</v>
      </c>
      <c r="W1067">
        <v>1</v>
      </c>
      <c r="X1067">
        <v>1</v>
      </c>
      <c r="Y1067">
        <v>0</v>
      </c>
      <c r="Z1067">
        <v>1</v>
      </c>
      <c r="AA1067">
        <v>0</v>
      </c>
      <c r="AB1067">
        <v>72.62</v>
      </c>
      <c r="AC1067">
        <v>63.9</v>
      </c>
      <c r="AD1067">
        <v>0</v>
      </c>
      <c r="AE1067">
        <v>8.7200000000000006</v>
      </c>
      <c r="AF1067">
        <v>0</v>
      </c>
      <c r="AG1067">
        <v>0</v>
      </c>
      <c r="AH1067">
        <v>0</v>
      </c>
      <c r="AI1067">
        <v>0</v>
      </c>
      <c r="AJ1067">
        <v>72.62</v>
      </c>
      <c r="AK1067">
        <v>0</v>
      </c>
      <c r="AL1067" t="s">
        <v>53</v>
      </c>
      <c r="AM1067" t="s">
        <v>53</v>
      </c>
      <c r="AN1067" t="s">
        <v>142</v>
      </c>
      <c r="AO1067" t="s">
        <v>53</v>
      </c>
      <c r="AP1067" t="s">
        <v>53</v>
      </c>
    </row>
    <row r="1068" spans="2:42" x14ac:dyDescent="0.2">
      <c r="B1068" t="s">
        <v>44</v>
      </c>
      <c r="C1068" t="str">
        <f>HYPERLINK("https://us2.cloudbeds.com/connect/8493803454333002#/reservations/598520971400?display=E1EJZABA&amp;reservation_id=598520971400", "E1EJZABA")</f>
        <v>E1EJZABA</v>
      </c>
      <c r="D1068" t="s">
        <v>45</v>
      </c>
      <c r="E1068" t="s">
        <v>406</v>
      </c>
      <c r="F1068" t="s">
        <v>61</v>
      </c>
      <c r="G1068" t="s">
        <v>48</v>
      </c>
      <c r="H1068" t="s">
        <v>71</v>
      </c>
      <c r="I1068" t="s">
        <v>72</v>
      </c>
      <c r="J1068" t="s">
        <v>1473</v>
      </c>
      <c r="K1068" t="s">
        <v>1269</v>
      </c>
      <c r="L1068" t="s">
        <v>53</v>
      </c>
      <c r="N1068" t="s">
        <v>1978</v>
      </c>
      <c r="P1068" t="s">
        <v>58</v>
      </c>
      <c r="R1068" t="s">
        <v>56</v>
      </c>
      <c r="T1068" t="s">
        <v>1964</v>
      </c>
      <c r="U1068" t="s">
        <v>58</v>
      </c>
      <c r="V1068">
        <v>2</v>
      </c>
      <c r="W1068">
        <v>1</v>
      </c>
      <c r="X1068">
        <v>1</v>
      </c>
      <c r="Y1068">
        <v>0</v>
      </c>
      <c r="Z1068">
        <v>1</v>
      </c>
      <c r="AA1068">
        <v>0</v>
      </c>
      <c r="AB1068">
        <v>340.95</v>
      </c>
      <c r="AC1068">
        <v>300</v>
      </c>
      <c r="AD1068">
        <v>0</v>
      </c>
      <c r="AE1068">
        <v>40.96</v>
      </c>
      <c r="AF1068">
        <v>0</v>
      </c>
      <c r="AG1068">
        <v>0</v>
      </c>
      <c r="AH1068">
        <v>0</v>
      </c>
      <c r="AI1068">
        <v>0</v>
      </c>
      <c r="AJ1068">
        <v>340.96</v>
      </c>
      <c r="AK1068">
        <v>0.01</v>
      </c>
      <c r="AL1068" t="s">
        <v>53</v>
      </c>
      <c r="AM1068" t="s">
        <v>53</v>
      </c>
      <c r="AN1068" t="s">
        <v>1979</v>
      </c>
      <c r="AO1068" t="s">
        <v>53</v>
      </c>
      <c r="AP1068" t="s">
        <v>53</v>
      </c>
    </row>
    <row r="1069" spans="2:42" x14ac:dyDescent="0.2">
      <c r="B1069" t="s">
        <v>44</v>
      </c>
      <c r="C1069" t="str">
        <f>HYPERLINK("https://us2.cloudbeds.com/connect/8493803454333002#/reservations/598111158465?display=E1445YUH&amp;reservation_id=598111158465", "E1445YUH")</f>
        <v>E1445YUH</v>
      </c>
      <c r="D1069" t="s">
        <v>45</v>
      </c>
      <c r="E1069" t="s">
        <v>98</v>
      </c>
      <c r="F1069" t="s">
        <v>86</v>
      </c>
      <c r="G1069" t="s">
        <v>48</v>
      </c>
      <c r="H1069" t="s">
        <v>49</v>
      </c>
      <c r="I1069" t="s">
        <v>50</v>
      </c>
      <c r="J1069" t="s">
        <v>1430</v>
      </c>
      <c r="K1069" t="s">
        <v>203</v>
      </c>
      <c r="L1069" t="s">
        <v>53</v>
      </c>
      <c r="N1069" t="s">
        <v>1980</v>
      </c>
      <c r="P1069" t="s">
        <v>55</v>
      </c>
      <c r="R1069" t="s">
        <v>56</v>
      </c>
      <c r="T1069" t="s">
        <v>1964</v>
      </c>
      <c r="U1069" t="s">
        <v>58</v>
      </c>
      <c r="V1069">
        <v>1</v>
      </c>
      <c r="W1069">
        <v>1</v>
      </c>
      <c r="X1069">
        <v>1</v>
      </c>
      <c r="Y1069">
        <v>0</v>
      </c>
      <c r="Z1069">
        <v>1</v>
      </c>
      <c r="AA1069">
        <v>0</v>
      </c>
      <c r="AB1069">
        <v>99.22</v>
      </c>
      <c r="AC1069">
        <v>87.3</v>
      </c>
      <c r="AD1069">
        <v>0</v>
      </c>
      <c r="AE1069">
        <v>11.92</v>
      </c>
      <c r="AF1069">
        <v>0</v>
      </c>
      <c r="AG1069">
        <v>0</v>
      </c>
      <c r="AH1069">
        <v>0</v>
      </c>
      <c r="AI1069">
        <v>17.86</v>
      </c>
      <c r="AJ1069">
        <v>99.22</v>
      </c>
      <c r="AK1069">
        <v>0</v>
      </c>
      <c r="AL1069" t="s">
        <v>53</v>
      </c>
      <c r="AM1069" t="s">
        <v>53</v>
      </c>
      <c r="AN1069" t="s">
        <v>91</v>
      </c>
      <c r="AO1069" t="s">
        <v>53</v>
      </c>
      <c r="AP1069" t="s">
        <v>53</v>
      </c>
    </row>
    <row r="1070" spans="2:42" x14ac:dyDescent="0.2">
      <c r="B1070" t="s">
        <v>44</v>
      </c>
      <c r="C1070" t="str">
        <f>HYPERLINK("https://us2.cloudbeds.com/connect/8493803454333002#/reservations/579390308562?display=DJKP8DRJ&amp;reservation_id=579390308562", "DJKP8DRJ")</f>
        <v>DJKP8DRJ</v>
      </c>
      <c r="D1070" t="s">
        <v>45</v>
      </c>
      <c r="E1070" t="s">
        <v>265</v>
      </c>
      <c r="F1070" t="s">
        <v>61</v>
      </c>
      <c r="G1070" t="s">
        <v>48</v>
      </c>
      <c r="H1070" t="s">
        <v>71</v>
      </c>
      <c r="I1070" t="s">
        <v>72</v>
      </c>
      <c r="J1070" t="s">
        <v>1337</v>
      </c>
      <c r="K1070" t="s">
        <v>1380</v>
      </c>
      <c r="L1070" t="s">
        <v>53</v>
      </c>
      <c r="N1070" t="s">
        <v>1981</v>
      </c>
      <c r="P1070" t="s">
        <v>55</v>
      </c>
      <c r="R1070" t="s">
        <v>56</v>
      </c>
      <c r="T1070" t="s">
        <v>1982</v>
      </c>
      <c r="U1070" t="s">
        <v>58</v>
      </c>
      <c r="V1070">
        <v>2</v>
      </c>
      <c r="W1070">
        <v>1</v>
      </c>
      <c r="X1070">
        <v>1</v>
      </c>
      <c r="Y1070">
        <v>0</v>
      </c>
      <c r="Z1070">
        <v>1</v>
      </c>
      <c r="AA1070">
        <v>0</v>
      </c>
      <c r="AB1070">
        <v>275.04000000000002</v>
      </c>
      <c r="AC1070">
        <v>242</v>
      </c>
      <c r="AD1070">
        <v>0</v>
      </c>
      <c r="AE1070">
        <v>33.04</v>
      </c>
      <c r="AF1070">
        <v>0</v>
      </c>
      <c r="AG1070">
        <v>0</v>
      </c>
      <c r="AH1070">
        <v>0</v>
      </c>
      <c r="AI1070">
        <v>0</v>
      </c>
      <c r="AJ1070">
        <v>275.04000000000002</v>
      </c>
      <c r="AK1070">
        <v>0</v>
      </c>
      <c r="AL1070" t="s">
        <v>53</v>
      </c>
      <c r="AM1070" t="s">
        <v>53</v>
      </c>
      <c r="AN1070" t="s">
        <v>1983</v>
      </c>
      <c r="AO1070" t="s">
        <v>53</v>
      </c>
      <c r="AP1070" t="s">
        <v>53</v>
      </c>
    </row>
    <row r="1071" spans="2:42" x14ac:dyDescent="0.2">
      <c r="B1071" t="s">
        <v>44</v>
      </c>
      <c r="C1071" t="str">
        <f>HYPERLINK("https://us2.cloudbeds.com/connect/8493803454333002#/reservations/598406791307?display=E1BMF2PG&amp;reservation_id=598406791307", "E1BMF2PG")</f>
        <v>E1BMF2PG</v>
      </c>
      <c r="D1071" t="s">
        <v>45</v>
      </c>
      <c r="E1071" t="s">
        <v>213</v>
      </c>
      <c r="F1071" t="s">
        <v>86</v>
      </c>
      <c r="G1071" t="s">
        <v>48</v>
      </c>
      <c r="H1071" t="s">
        <v>49</v>
      </c>
      <c r="I1071" t="s">
        <v>50</v>
      </c>
      <c r="J1071" t="s">
        <v>488</v>
      </c>
      <c r="K1071" t="s">
        <v>93</v>
      </c>
      <c r="L1071" t="s">
        <v>53</v>
      </c>
      <c r="N1071" t="s">
        <v>1984</v>
      </c>
      <c r="P1071" t="s">
        <v>55</v>
      </c>
      <c r="R1071" t="s">
        <v>56</v>
      </c>
      <c r="T1071" t="s">
        <v>1982</v>
      </c>
      <c r="U1071" t="s">
        <v>58</v>
      </c>
      <c r="V1071">
        <v>3</v>
      </c>
      <c r="W1071">
        <v>1</v>
      </c>
      <c r="X1071">
        <v>1</v>
      </c>
      <c r="Y1071">
        <v>0</v>
      </c>
      <c r="Z1071">
        <v>1</v>
      </c>
      <c r="AA1071">
        <v>0</v>
      </c>
      <c r="AB1071">
        <v>525.74</v>
      </c>
      <c r="AC1071">
        <v>462.6</v>
      </c>
      <c r="AD1071">
        <v>0</v>
      </c>
      <c r="AE1071">
        <v>63.15</v>
      </c>
      <c r="AF1071">
        <v>0</v>
      </c>
      <c r="AG1071">
        <v>0</v>
      </c>
      <c r="AH1071">
        <v>0</v>
      </c>
      <c r="AI1071">
        <v>94.64</v>
      </c>
      <c r="AJ1071">
        <v>525.75</v>
      </c>
      <c r="AK1071">
        <v>0.01</v>
      </c>
      <c r="AL1071" t="s">
        <v>53</v>
      </c>
      <c r="AM1071" t="s">
        <v>53</v>
      </c>
      <c r="AN1071" t="s">
        <v>137</v>
      </c>
      <c r="AO1071" t="s">
        <v>53</v>
      </c>
      <c r="AP1071" t="s">
        <v>53</v>
      </c>
    </row>
    <row r="1072" spans="2:42" x14ac:dyDescent="0.2">
      <c r="B1072" t="s">
        <v>44</v>
      </c>
      <c r="C1072" t="str">
        <f>HYPERLINK("https://us2.cloudbeds.com/connect/8493803454333002#/reservations/579317309597?display=DJXTN3QP&amp;reservation_id=579317309597", "DJXTN3QP")</f>
        <v>DJXTN3QP</v>
      </c>
      <c r="D1072" t="s">
        <v>45</v>
      </c>
      <c r="E1072" t="s">
        <v>110</v>
      </c>
      <c r="F1072" t="s">
        <v>47</v>
      </c>
      <c r="G1072" t="s">
        <v>48</v>
      </c>
      <c r="H1072" t="s">
        <v>49</v>
      </c>
      <c r="I1072" t="s">
        <v>50</v>
      </c>
      <c r="J1072" t="s">
        <v>504</v>
      </c>
      <c r="K1072" t="s">
        <v>1985</v>
      </c>
      <c r="L1072" t="s">
        <v>53</v>
      </c>
      <c r="N1072" t="s">
        <v>1986</v>
      </c>
      <c r="P1072" t="s">
        <v>55</v>
      </c>
      <c r="R1072" t="s">
        <v>56</v>
      </c>
      <c r="T1072" t="s">
        <v>1982</v>
      </c>
      <c r="U1072" t="s">
        <v>58</v>
      </c>
      <c r="V1072">
        <v>4</v>
      </c>
      <c r="W1072">
        <v>1</v>
      </c>
      <c r="X1072">
        <v>1</v>
      </c>
      <c r="Y1072">
        <v>0</v>
      </c>
      <c r="Z1072">
        <v>1</v>
      </c>
      <c r="AA1072">
        <v>0</v>
      </c>
      <c r="AB1072">
        <v>0</v>
      </c>
      <c r="AC1072">
        <v>-73.760000000000005</v>
      </c>
      <c r="AD1072">
        <v>0</v>
      </c>
      <c r="AE1072">
        <v>73.760000000000005</v>
      </c>
      <c r="AF1072">
        <v>0</v>
      </c>
      <c r="AG1072">
        <v>0</v>
      </c>
      <c r="AH1072">
        <v>0</v>
      </c>
      <c r="AI1072">
        <v>0</v>
      </c>
      <c r="AJ1072">
        <v>0</v>
      </c>
      <c r="AK1072">
        <v>0</v>
      </c>
      <c r="AL1072" t="s">
        <v>53</v>
      </c>
      <c r="AM1072" t="s">
        <v>53</v>
      </c>
      <c r="AN1072" t="s">
        <v>605</v>
      </c>
      <c r="AO1072" t="s">
        <v>53</v>
      </c>
      <c r="AP1072" t="s">
        <v>53</v>
      </c>
    </row>
    <row r="1073" spans="2:42" x14ac:dyDescent="0.2">
      <c r="B1073" t="s">
        <v>44</v>
      </c>
      <c r="C1073" t="str">
        <f>HYPERLINK("https://us2.cloudbeds.com/connect/8493803454333002#/reservations/598586454252?display=E1G8VFH5&amp;reservation_id=598586454252", "E1G8VFH5")</f>
        <v>E1G8VFH5</v>
      </c>
      <c r="D1073" t="s">
        <v>45</v>
      </c>
      <c r="E1073" t="s">
        <v>138</v>
      </c>
      <c r="F1073" t="s">
        <v>70</v>
      </c>
      <c r="G1073" t="s">
        <v>48</v>
      </c>
      <c r="H1073" t="s">
        <v>49</v>
      </c>
      <c r="I1073" t="s">
        <v>62</v>
      </c>
      <c r="J1073" t="s">
        <v>1117</v>
      </c>
      <c r="K1073" t="s">
        <v>699</v>
      </c>
      <c r="L1073" t="s">
        <v>53</v>
      </c>
      <c r="N1073" t="s">
        <v>1987</v>
      </c>
      <c r="P1073" t="s">
        <v>55</v>
      </c>
      <c r="R1073" t="s">
        <v>56</v>
      </c>
      <c r="T1073" t="s">
        <v>1982</v>
      </c>
      <c r="U1073" t="s">
        <v>58</v>
      </c>
      <c r="V1073">
        <v>1</v>
      </c>
      <c r="W1073">
        <v>1</v>
      </c>
      <c r="X1073">
        <v>1</v>
      </c>
      <c r="Y1073">
        <v>0</v>
      </c>
      <c r="Z1073">
        <v>1</v>
      </c>
      <c r="AA1073">
        <v>0</v>
      </c>
      <c r="AB1073">
        <v>105.69</v>
      </c>
      <c r="AC1073">
        <v>93</v>
      </c>
      <c r="AD1073">
        <v>0</v>
      </c>
      <c r="AE1073">
        <v>12.7</v>
      </c>
      <c r="AF1073">
        <v>0</v>
      </c>
      <c r="AG1073">
        <v>0</v>
      </c>
      <c r="AH1073">
        <v>0</v>
      </c>
      <c r="AI1073">
        <v>15.86</v>
      </c>
      <c r="AJ1073">
        <v>105.7</v>
      </c>
      <c r="AK1073">
        <v>0.01</v>
      </c>
      <c r="AL1073" t="s">
        <v>53</v>
      </c>
      <c r="AM1073" t="s">
        <v>53</v>
      </c>
      <c r="AN1073" t="s">
        <v>225</v>
      </c>
      <c r="AO1073" t="s">
        <v>53</v>
      </c>
      <c r="AP1073" t="s">
        <v>53</v>
      </c>
    </row>
    <row r="1074" spans="2:42" x14ac:dyDescent="0.2">
      <c r="B1074" t="s">
        <v>44</v>
      </c>
      <c r="C1074" t="str">
        <f>HYPERLINK("https://us2.cloudbeds.com/connect/8493803454333002#/reservations/598428274853?display=E1C7XTX0&amp;reservation_id=598428274853", "E1C7XTX0")</f>
        <v>E1C7XTX0</v>
      </c>
      <c r="D1074" t="s">
        <v>45</v>
      </c>
      <c r="E1074" t="s">
        <v>179</v>
      </c>
      <c r="F1074" t="s">
        <v>47</v>
      </c>
      <c r="G1074" t="s">
        <v>48</v>
      </c>
      <c r="H1074" t="s">
        <v>71</v>
      </c>
      <c r="I1074" t="s">
        <v>72</v>
      </c>
      <c r="J1074" t="s">
        <v>1988</v>
      </c>
      <c r="K1074" t="s">
        <v>282</v>
      </c>
      <c r="L1074" t="s">
        <v>53</v>
      </c>
      <c r="N1074" t="s">
        <v>1989</v>
      </c>
      <c r="P1074" t="s">
        <v>58</v>
      </c>
      <c r="R1074" t="s">
        <v>56</v>
      </c>
      <c r="T1074" t="s">
        <v>1982</v>
      </c>
      <c r="U1074" t="s">
        <v>58</v>
      </c>
      <c r="V1074">
        <v>1</v>
      </c>
      <c r="W1074">
        <v>1</v>
      </c>
      <c r="X1074">
        <v>1</v>
      </c>
      <c r="Y1074">
        <v>0</v>
      </c>
      <c r="Z1074">
        <v>1</v>
      </c>
      <c r="AA1074">
        <v>0</v>
      </c>
      <c r="AB1074">
        <v>109.1</v>
      </c>
      <c r="AC1074">
        <v>96</v>
      </c>
      <c r="AD1074">
        <v>0</v>
      </c>
      <c r="AE1074">
        <v>13.1</v>
      </c>
      <c r="AF1074">
        <v>0</v>
      </c>
      <c r="AG1074">
        <v>0</v>
      </c>
      <c r="AH1074">
        <v>0</v>
      </c>
      <c r="AI1074">
        <v>0</v>
      </c>
      <c r="AJ1074">
        <v>109.1</v>
      </c>
      <c r="AK1074">
        <v>0</v>
      </c>
      <c r="AL1074" t="s">
        <v>53</v>
      </c>
      <c r="AM1074" t="s">
        <v>53</v>
      </c>
      <c r="AN1074" t="s">
        <v>1990</v>
      </c>
      <c r="AO1074" t="s">
        <v>53</v>
      </c>
      <c r="AP1074" t="s">
        <v>53</v>
      </c>
    </row>
    <row r="1075" spans="2:42" x14ac:dyDescent="0.2">
      <c r="B1075" t="s">
        <v>44</v>
      </c>
      <c r="C1075" t="str">
        <f>HYPERLINK("https://us2.cloudbeds.com/connect/8493803454333002#/reservations/598360875249?display=E1AGZD8P&amp;reservation_id=598360875249", "E1AGZD8P")</f>
        <v>E1AGZD8P</v>
      </c>
      <c r="D1075" t="s">
        <v>45</v>
      </c>
      <c r="E1075" t="s">
        <v>487</v>
      </c>
      <c r="F1075" t="s">
        <v>61</v>
      </c>
      <c r="G1075" t="s">
        <v>48</v>
      </c>
      <c r="H1075" t="s">
        <v>49</v>
      </c>
      <c r="I1075" t="s">
        <v>50</v>
      </c>
      <c r="J1075" t="s">
        <v>553</v>
      </c>
      <c r="K1075" t="s">
        <v>554</v>
      </c>
      <c r="L1075" t="s">
        <v>53</v>
      </c>
      <c r="N1075" t="s">
        <v>1991</v>
      </c>
      <c r="P1075" t="s">
        <v>55</v>
      </c>
      <c r="R1075" t="s">
        <v>56</v>
      </c>
      <c r="T1075" t="s">
        <v>1982</v>
      </c>
      <c r="U1075" t="s">
        <v>58</v>
      </c>
      <c r="V1075">
        <v>1</v>
      </c>
      <c r="W1075">
        <v>1</v>
      </c>
      <c r="X1075">
        <v>1</v>
      </c>
      <c r="Y1075">
        <v>0</v>
      </c>
      <c r="Z1075">
        <v>1</v>
      </c>
      <c r="AA1075">
        <v>0</v>
      </c>
      <c r="AB1075">
        <v>88.99</v>
      </c>
      <c r="AC1075">
        <v>78.3</v>
      </c>
      <c r="AD1075">
        <v>0</v>
      </c>
      <c r="AE1075">
        <v>10.69</v>
      </c>
      <c r="AF1075">
        <v>0</v>
      </c>
      <c r="AG1075">
        <v>0</v>
      </c>
      <c r="AH1075">
        <v>0</v>
      </c>
      <c r="AI1075">
        <v>16.02</v>
      </c>
      <c r="AJ1075">
        <v>88.99</v>
      </c>
      <c r="AK1075">
        <v>0</v>
      </c>
      <c r="AL1075" t="s">
        <v>53</v>
      </c>
      <c r="AM1075" t="s">
        <v>53</v>
      </c>
      <c r="AN1075" t="s">
        <v>413</v>
      </c>
      <c r="AO1075" t="s">
        <v>53</v>
      </c>
      <c r="AP1075" t="s">
        <v>53</v>
      </c>
    </row>
    <row r="1076" spans="2:42" x14ac:dyDescent="0.2">
      <c r="B1076" t="s">
        <v>44</v>
      </c>
      <c r="C1076" t="str">
        <f>HYPERLINK("https://us2.cloudbeds.com/connect/8493803454333002#/reservations/579219705990?display=DJGDD4WM&amp;reservation_id=579219705990", "DJGDD4WM")</f>
        <v>DJGDD4WM</v>
      </c>
      <c r="D1076" t="s">
        <v>45</v>
      </c>
      <c r="E1076" t="s">
        <v>138</v>
      </c>
      <c r="F1076" t="s">
        <v>70</v>
      </c>
      <c r="G1076" t="s">
        <v>48</v>
      </c>
      <c r="H1076" t="s">
        <v>49</v>
      </c>
      <c r="I1076" t="s">
        <v>62</v>
      </c>
      <c r="J1076" t="s">
        <v>1367</v>
      </c>
      <c r="K1076" t="s">
        <v>1985</v>
      </c>
      <c r="L1076" t="s">
        <v>53</v>
      </c>
      <c r="N1076" t="s">
        <v>1992</v>
      </c>
      <c r="P1076" t="s">
        <v>55</v>
      </c>
      <c r="R1076" t="s">
        <v>125</v>
      </c>
      <c r="T1076" t="s">
        <v>1982</v>
      </c>
      <c r="U1076" t="s">
        <v>58</v>
      </c>
      <c r="V1076">
        <v>1</v>
      </c>
      <c r="W1076">
        <v>1</v>
      </c>
      <c r="X1076">
        <v>1</v>
      </c>
      <c r="Y1076">
        <v>0</v>
      </c>
      <c r="Z1076">
        <v>1</v>
      </c>
      <c r="AA1076">
        <v>0</v>
      </c>
      <c r="AB1076">
        <v>304.60000000000002</v>
      </c>
      <c r="AC1076">
        <v>134</v>
      </c>
      <c r="AD1076">
        <v>0</v>
      </c>
      <c r="AE1076">
        <v>18.3</v>
      </c>
      <c r="AF1076">
        <v>0</v>
      </c>
      <c r="AG1076">
        <v>0</v>
      </c>
      <c r="AH1076">
        <v>0</v>
      </c>
      <c r="AI1076">
        <v>22.85</v>
      </c>
      <c r="AJ1076">
        <v>152.30000000000001</v>
      </c>
      <c r="AK1076">
        <v>0</v>
      </c>
      <c r="AL1076" t="s">
        <v>53</v>
      </c>
      <c r="AM1076" t="s">
        <v>53</v>
      </c>
      <c r="AN1076" t="s">
        <v>413</v>
      </c>
      <c r="AO1076" t="s">
        <v>53</v>
      </c>
      <c r="AP1076" t="s">
        <v>53</v>
      </c>
    </row>
    <row r="1077" spans="2:42" x14ac:dyDescent="0.2">
      <c r="B1077" t="s">
        <v>44</v>
      </c>
      <c r="C1077" t="str">
        <f>HYPERLINK("https://us2.cloudbeds.com/connect/8493803454333002#/reservations/598147670187?display=E151VYMB&amp;reservation_id=598147670187", "E151VYMB")</f>
        <v>E151VYMB</v>
      </c>
      <c r="D1077" t="s">
        <v>45</v>
      </c>
      <c r="E1077" t="s">
        <v>113</v>
      </c>
      <c r="F1077" t="s">
        <v>61</v>
      </c>
      <c r="G1077" t="s">
        <v>48</v>
      </c>
      <c r="H1077" t="s">
        <v>49</v>
      </c>
      <c r="I1077" t="s">
        <v>62</v>
      </c>
      <c r="J1077" t="s">
        <v>253</v>
      </c>
      <c r="K1077" t="s">
        <v>354</v>
      </c>
      <c r="L1077" t="s">
        <v>53</v>
      </c>
      <c r="N1077" t="s">
        <v>1993</v>
      </c>
      <c r="P1077" t="s">
        <v>55</v>
      </c>
      <c r="R1077" t="s">
        <v>56</v>
      </c>
      <c r="T1077" t="s">
        <v>1982</v>
      </c>
      <c r="U1077" t="s">
        <v>58</v>
      </c>
      <c r="V1077">
        <v>1</v>
      </c>
      <c r="W1077">
        <v>1</v>
      </c>
      <c r="X1077">
        <v>1</v>
      </c>
      <c r="Y1077">
        <v>0</v>
      </c>
      <c r="Z1077">
        <v>1</v>
      </c>
      <c r="AA1077">
        <v>0</v>
      </c>
      <c r="AB1077">
        <v>125.02</v>
      </c>
      <c r="AC1077">
        <v>110</v>
      </c>
      <c r="AD1077">
        <v>0</v>
      </c>
      <c r="AE1077">
        <v>15.02</v>
      </c>
      <c r="AF1077">
        <v>0</v>
      </c>
      <c r="AG1077">
        <v>0</v>
      </c>
      <c r="AH1077">
        <v>0</v>
      </c>
      <c r="AI1077">
        <v>18.75</v>
      </c>
      <c r="AJ1077">
        <v>125.02</v>
      </c>
      <c r="AK1077">
        <v>0</v>
      </c>
      <c r="AL1077" t="s">
        <v>53</v>
      </c>
      <c r="AM1077" t="s">
        <v>53</v>
      </c>
      <c r="AN1077" t="s">
        <v>332</v>
      </c>
      <c r="AO1077" t="s">
        <v>53</v>
      </c>
      <c r="AP1077" t="s">
        <v>53</v>
      </c>
    </row>
    <row r="1078" spans="2:42" x14ac:dyDescent="0.2">
      <c r="B1078" t="s">
        <v>44</v>
      </c>
      <c r="C1078" t="str">
        <f>HYPERLINK("https://us2.cloudbeds.com/connect/8493803454333002#/reservations/598327185650?display=E19YAUWS&amp;reservation_id=598327185650", "E19YAUWS")</f>
        <v>E19YAUWS</v>
      </c>
      <c r="D1078" t="s">
        <v>45</v>
      </c>
      <c r="E1078" t="s">
        <v>113</v>
      </c>
      <c r="F1078" t="s">
        <v>61</v>
      </c>
      <c r="G1078" t="s">
        <v>48</v>
      </c>
      <c r="H1078" t="s">
        <v>49</v>
      </c>
      <c r="I1078" t="s">
        <v>50</v>
      </c>
      <c r="J1078" t="s">
        <v>553</v>
      </c>
      <c r="K1078" t="s">
        <v>554</v>
      </c>
      <c r="L1078" t="s">
        <v>53</v>
      </c>
      <c r="N1078" t="s">
        <v>1994</v>
      </c>
      <c r="P1078" t="s">
        <v>55</v>
      </c>
      <c r="R1078" t="s">
        <v>56</v>
      </c>
      <c r="T1078" t="s">
        <v>1982</v>
      </c>
      <c r="U1078" t="s">
        <v>58</v>
      </c>
      <c r="V1078">
        <v>1</v>
      </c>
      <c r="W1078">
        <v>1</v>
      </c>
      <c r="X1078">
        <v>1</v>
      </c>
      <c r="Y1078">
        <v>0</v>
      </c>
      <c r="Z1078">
        <v>1</v>
      </c>
      <c r="AA1078">
        <v>0</v>
      </c>
      <c r="AB1078">
        <v>88.99</v>
      </c>
      <c r="AC1078">
        <v>78.3</v>
      </c>
      <c r="AD1078">
        <v>0</v>
      </c>
      <c r="AE1078">
        <v>10.69</v>
      </c>
      <c r="AF1078">
        <v>0</v>
      </c>
      <c r="AG1078">
        <v>0</v>
      </c>
      <c r="AH1078">
        <v>0</v>
      </c>
      <c r="AI1078">
        <v>16.02</v>
      </c>
      <c r="AJ1078">
        <v>88.99</v>
      </c>
      <c r="AK1078">
        <v>0</v>
      </c>
      <c r="AL1078" t="s">
        <v>53</v>
      </c>
      <c r="AM1078" t="s">
        <v>53</v>
      </c>
      <c r="AN1078" t="s">
        <v>545</v>
      </c>
      <c r="AO1078" t="s">
        <v>53</v>
      </c>
      <c r="AP1078" t="s">
        <v>53</v>
      </c>
    </row>
    <row r="1079" spans="2:42" x14ac:dyDescent="0.2">
      <c r="B1079" t="s">
        <v>44</v>
      </c>
      <c r="C1079" t="str">
        <f>HYPERLINK("https://us2.cloudbeds.com/connect/8493803454333002#/reservations/598236438721?display=E173Q9BS&amp;reservation_id=598236438721", "E173Q9BS")</f>
        <v>E173Q9BS</v>
      </c>
      <c r="D1079" t="s">
        <v>45</v>
      </c>
      <c r="E1079" t="s">
        <v>138</v>
      </c>
      <c r="F1079" t="s">
        <v>70</v>
      </c>
      <c r="G1079" t="s">
        <v>48</v>
      </c>
      <c r="H1079" t="s">
        <v>49</v>
      </c>
      <c r="I1079" t="s">
        <v>50</v>
      </c>
      <c r="J1079" t="s">
        <v>647</v>
      </c>
      <c r="K1079" t="s">
        <v>214</v>
      </c>
      <c r="L1079" t="s">
        <v>53</v>
      </c>
      <c r="N1079" t="s">
        <v>1995</v>
      </c>
      <c r="P1079" t="s">
        <v>55</v>
      </c>
      <c r="R1079" t="s">
        <v>56</v>
      </c>
      <c r="T1079" t="s">
        <v>1982</v>
      </c>
      <c r="U1079" t="s">
        <v>58</v>
      </c>
      <c r="V1079">
        <v>1</v>
      </c>
      <c r="W1079">
        <v>1</v>
      </c>
      <c r="X1079">
        <v>1</v>
      </c>
      <c r="Y1079">
        <v>0</v>
      </c>
      <c r="Z1079">
        <v>1</v>
      </c>
      <c r="AA1079">
        <v>0</v>
      </c>
      <c r="AB1079">
        <v>138.08000000000001</v>
      </c>
      <c r="AC1079">
        <v>121.5</v>
      </c>
      <c r="AD1079">
        <v>0</v>
      </c>
      <c r="AE1079">
        <v>16.579999999999998</v>
      </c>
      <c r="AF1079">
        <v>0</v>
      </c>
      <c r="AG1079">
        <v>0</v>
      </c>
      <c r="AH1079">
        <v>0</v>
      </c>
      <c r="AI1079">
        <v>24.85</v>
      </c>
      <c r="AJ1079">
        <v>138.08000000000001</v>
      </c>
      <c r="AK1079">
        <v>0</v>
      </c>
      <c r="AL1079" t="s">
        <v>53</v>
      </c>
      <c r="AM1079" t="s">
        <v>53</v>
      </c>
      <c r="AN1079" t="s">
        <v>198</v>
      </c>
      <c r="AO1079" t="s">
        <v>53</v>
      </c>
      <c r="AP1079" t="s">
        <v>53</v>
      </c>
    </row>
    <row r="1080" spans="2:42" x14ac:dyDescent="0.2">
      <c r="B1080" t="s">
        <v>44</v>
      </c>
      <c r="C1080" t="str">
        <f>HYPERLINK("https://us2.cloudbeds.com/connect/8493803454333002#/reservations/598408528098?display=E1BNUDKH&amp;reservation_id=598408528098", "E1BNUDKH")</f>
        <v>E1BNUDKH</v>
      </c>
      <c r="D1080" t="s">
        <v>45</v>
      </c>
      <c r="E1080" t="s">
        <v>113</v>
      </c>
      <c r="F1080" t="s">
        <v>61</v>
      </c>
      <c r="G1080" t="s">
        <v>48</v>
      </c>
      <c r="H1080" t="s">
        <v>49</v>
      </c>
      <c r="I1080" t="s">
        <v>50</v>
      </c>
      <c r="J1080" t="s">
        <v>323</v>
      </c>
      <c r="K1080" t="s">
        <v>100</v>
      </c>
      <c r="L1080" t="s">
        <v>53</v>
      </c>
      <c r="N1080" t="s">
        <v>1996</v>
      </c>
      <c r="P1080" t="s">
        <v>55</v>
      </c>
      <c r="R1080" t="s">
        <v>56</v>
      </c>
      <c r="T1080" t="s">
        <v>1982</v>
      </c>
      <c r="U1080" t="s">
        <v>58</v>
      </c>
      <c r="V1080">
        <v>1</v>
      </c>
      <c r="W1080">
        <v>1</v>
      </c>
      <c r="X1080">
        <v>1</v>
      </c>
      <c r="Y1080">
        <v>0</v>
      </c>
      <c r="Z1080">
        <v>1</v>
      </c>
      <c r="AA1080">
        <v>0</v>
      </c>
      <c r="AB1080">
        <v>157.52000000000001</v>
      </c>
      <c r="AC1080">
        <v>138.6</v>
      </c>
      <c r="AD1080">
        <v>0</v>
      </c>
      <c r="AE1080">
        <v>18.920000000000002</v>
      </c>
      <c r="AF1080">
        <v>0</v>
      </c>
      <c r="AG1080">
        <v>0</v>
      </c>
      <c r="AH1080">
        <v>0</v>
      </c>
      <c r="AI1080">
        <v>28.35</v>
      </c>
      <c r="AJ1080">
        <v>157.52000000000001</v>
      </c>
      <c r="AK1080">
        <v>0</v>
      </c>
      <c r="AL1080" t="s">
        <v>53</v>
      </c>
      <c r="AM1080" t="s">
        <v>53</v>
      </c>
      <c r="AN1080" t="s">
        <v>146</v>
      </c>
      <c r="AO1080" t="s">
        <v>53</v>
      </c>
      <c r="AP1080" t="s">
        <v>53</v>
      </c>
    </row>
    <row r="1081" spans="2:42" x14ac:dyDescent="0.2">
      <c r="B1081" t="s">
        <v>44</v>
      </c>
      <c r="C1081" t="str">
        <f>HYPERLINK("https://us2.cloudbeds.com/connect/8493803454333002#/reservations/598375432339?display=E1AT0FYZ&amp;reservation_id=598375432339", "E1AT0FYZ")</f>
        <v>E1AT0FYZ</v>
      </c>
      <c r="D1081" t="s">
        <v>45</v>
      </c>
      <c r="E1081" t="s">
        <v>98</v>
      </c>
      <c r="F1081" t="s">
        <v>86</v>
      </c>
      <c r="G1081" t="s">
        <v>48</v>
      </c>
      <c r="H1081" t="s">
        <v>71</v>
      </c>
      <c r="I1081" t="s">
        <v>72</v>
      </c>
      <c r="J1081" t="s">
        <v>1988</v>
      </c>
      <c r="K1081" t="s">
        <v>282</v>
      </c>
      <c r="L1081" t="s">
        <v>53</v>
      </c>
      <c r="N1081" t="s">
        <v>1997</v>
      </c>
      <c r="P1081" t="s">
        <v>58</v>
      </c>
      <c r="R1081" t="s">
        <v>56</v>
      </c>
      <c r="T1081" t="s">
        <v>1982</v>
      </c>
      <c r="U1081" t="s">
        <v>58</v>
      </c>
      <c r="V1081">
        <v>1</v>
      </c>
      <c r="W1081">
        <v>1</v>
      </c>
      <c r="X1081">
        <v>1</v>
      </c>
      <c r="Y1081">
        <v>0</v>
      </c>
      <c r="Z1081">
        <v>1</v>
      </c>
      <c r="AA1081">
        <v>0</v>
      </c>
      <c r="AB1081">
        <v>123.47</v>
      </c>
      <c r="AC1081">
        <v>108.64</v>
      </c>
      <c r="AD1081">
        <v>0</v>
      </c>
      <c r="AE1081">
        <v>14.82</v>
      </c>
      <c r="AF1081">
        <v>0</v>
      </c>
      <c r="AG1081">
        <v>0</v>
      </c>
      <c r="AH1081">
        <v>0</v>
      </c>
      <c r="AI1081">
        <v>0</v>
      </c>
      <c r="AJ1081">
        <v>123.46</v>
      </c>
      <c r="AK1081">
        <v>-0.01</v>
      </c>
      <c r="AL1081" t="s">
        <v>53</v>
      </c>
      <c r="AM1081" t="s">
        <v>53</v>
      </c>
      <c r="AN1081" t="s">
        <v>1998</v>
      </c>
      <c r="AO1081" t="s">
        <v>53</v>
      </c>
      <c r="AP1081" t="s">
        <v>53</v>
      </c>
    </row>
    <row r="1082" spans="2:42" x14ac:dyDescent="0.2">
      <c r="B1082" t="s">
        <v>44</v>
      </c>
      <c r="C1082" t="str">
        <f>HYPERLINK("https://us2.cloudbeds.com/connect/8493803454333002#/reservations/598566498442?display=E1FP45KY&amp;reservation_id=598566498442", "E1FP45KY")</f>
        <v>E1FP45KY</v>
      </c>
      <c r="D1082" t="s">
        <v>45</v>
      </c>
      <c r="E1082" t="s">
        <v>305</v>
      </c>
      <c r="F1082" t="s">
        <v>61</v>
      </c>
      <c r="G1082" t="s">
        <v>48</v>
      </c>
      <c r="H1082" t="s">
        <v>49</v>
      </c>
      <c r="I1082" t="s">
        <v>79</v>
      </c>
      <c r="J1082" t="s">
        <v>259</v>
      </c>
      <c r="K1082" t="s">
        <v>292</v>
      </c>
      <c r="L1082" t="s">
        <v>53</v>
      </c>
      <c r="N1082" t="s">
        <v>1999</v>
      </c>
      <c r="P1082" t="s">
        <v>55</v>
      </c>
      <c r="R1082" t="s">
        <v>56</v>
      </c>
      <c r="T1082" t="s">
        <v>1982</v>
      </c>
      <c r="U1082" t="s">
        <v>58</v>
      </c>
      <c r="V1082">
        <v>2</v>
      </c>
      <c r="W1082">
        <v>1</v>
      </c>
      <c r="X1082">
        <v>1</v>
      </c>
      <c r="Y1082">
        <v>0</v>
      </c>
      <c r="Z1082">
        <v>1</v>
      </c>
      <c r="AA1082">
        <v>0</v>
      </c>
      <c r="AB1082">
        <v>304.58</v>
      </c>
      <c r="AC1082">
        <v>268</v>
      </c>
      <c r="AD1082">
        <v>0</v>
      </c>
      <c r="AE1082">
        <v>36.6</v>
      </c>
      <c r="AF1082">
        <v>0</v>
      </c>
      <c r="AG1082">
        <v>0</v>
      </c>
      <c r="AH1082">
        <v>0</v>
      </c>
      <c r="AI1082">
        <v>0</v>
      </c>
      <c r="AJ1082">
        <v>304.60000000000002</v>
      </c>
      <c r="AK1082">
        <v>0.02</v>
      </c>
      <c r="AL1082" t="s">
        <v>53</v>
      </c>
      <c r="AM1082" t="s">
        <v>53</v>
      </c>
      <c r="AN1082" t="s">
        <v>159</v>
      </c>
      <c r="AO1082" t="s">
        <v>53</v>
      </c>
      <c r="AP1082" t="s">
        <v>53</v>
      </c>
    </row>
    <row r="1083" spans="2:42" x14ac:dyDescent="0.2">
      <c r="B1083" t="s">
        <v>44</v>
      </c>
      <c r="C1083" t="str">
        <f>HYPERLINK("https://us2.cloudbeds.com/connect/8493803454333002#/reservations/598510264456?display=E1EANCEF&amp;reservation_id=598510264456", "E1EANCEF")</f>
        <v>E1EANCEF</v>
      </c>
      <c r="D1083" t="s">
        <v>45</v>
      </c>
      <c r="E1083" t="s">
        <v>92</v>
      </c>
      <c r="F1083" t="s">
        <v>86</v>
      </c>
      <c r="G1083" t="s">
        <v>48</v>
      </c>
      <c r="H1083" t="s">
        <v>49</v>
      </c>
      <c r="I1083" t="s">
        <v>79</v>
      </c>
      <c r="J1083" t="s">
        <v>553</v>
      </c>
      <c r="K1083" t="s">
        <v>554</v>
      </c>
      <c r="L1083" t="s">
        <v>53</v>
      </c>
      <c r="N1083" t="s">
        <v>2000</v>
      </c>
      <c r="P1083" t="s">
        <v>55</v>
      </c>
      <c r="R1083" t="s">
        <v>56</v>
      </c>
      <c r="T1083" t="s">
        <v>1982</v>
      </c>
      <c r="U1083" t="s">
        <v>58</v>
      </c>
      <c r="V1083">
        <v>1</v>
      </c>
      <c r="W1083">
        <v>1</v>
      </c>
      <c r="X1083">
        <v>1</v>
      </c>
      <c r="Y1083">
        <v>0</v>
      </c>
      <c r="Z1083">
        <v>1</v>
      </c>
      <c r="AA1083">
        <v>0</v>
      </c>
      <c r="AB1083">
        <v>99.22</v>
      </c>
      <c r="AC1083">
        <v>87.3</v>
      </c>
      <c r="AD1083">
        <v>0</v>
      </c>
      <c r="AE1083">
        <v>11.92</v>
      </c>
      <c r="AF1083">
        <v>0</v>
      </c>
      <c r="AG1083">
        <v>0</v>
      </c>
      <c r="AH1083">
        <v>0</v>
      </c>
      <c r="AI1083">
        <v>0</v>
      </c>
      <c r="AJ1083">
        <v>99.22</v>
      </c>
      <c r="AK1083">
        <v>0</v>
      </c>
      <c r="AL1083" t="s">
        <v>53</v>
      </c>
      <c r="AM1083" t="s">
        <v>53</v>
      </c>
      <c r="AN1083" t="s">
        <v>91</v>
      </c>
      <c r="AO1083" t="s">
        <v>53</v>
      </c>
      <c r="AP1083" t="s">
        <v>53</v>
      </c>
    </row>
    <row r="1084" spans="2:42" x14ac:dyDescent="0.2">
      <c r="B1084" t="s">
        <v>44</v>
      </c>
      <c r="C1084" t="str">
        <f>HYPERLINK("https://us2.cloudbeds.com/connect/8493803454333002#/reservations/598528258186?display=E1EPT2K0&amp;reservation_id=598528258186", "E1EPT2K0")</f>
        <v>E1EPT2K0</v>
      </c>
      <c r="D1084" t="s">
        <v>45</v>
      </c>
      <c r="E1084" t="s">
        <v>487</v>
      </c>
      <c r="F1084" t="s">
        <v>61</v>
      </c>
      <c r="G1084" t="s">
        <v>48</v>
      </c>
      <c r="H1084" t="s">
        <v>49</v>
      </c>
      <c r="I1084" t="s">
        <v>50</v>
      </c>
      <c r="J1084" t="s">
        <v>554</v>
      </c>
      <c r="K1084" t="s">
        <v>881</v>
      </c>
      <c r="L1084" t="s">
        <v>53</v>
      </c>
      <c r="N1084" t="s">
        <v>2001</v>
      </c>
      <c r="P1084" t="s">
        <v>55</v>
      </c>
      <c r="R1084" t="s">
        <v>56</v>
      </c>
      <c r="T1084" t="s">
        <v>1982</v>
      </c>
      <c r="U1084" t="s">
        <v>58</v>
      </c>
      <c r="V1084">
        <v>1</v>
      </c>
      <c r="W1084">
        <v>1</v>
      </c>
      <c r="X1084">
        <v>1</v>
      </c>
      <c r="Y1084">
        <v>0</v>
      </c>
      <c r="Z1084">
        <v>1</v>
      </c>
      <c r="AA1084">
        <v>0</v>
      </c>
      <c r="AB1084">
        <v>78.760000000000005</v>
      </c>
      <c r="AC1084">
        <v>69.3</v>
      </c>
      <c r="AD1084">
        <v>0</v>
      </c>
      <c r="AE1084">
        <v>9.4700000000000006</v>
      </c>
      <c r="AF1084">
        <v>0</v>
      </c>
      <c r="AG1084">
        <v>0</v>
      </c>
      <c r="AH1084">
        <v>0</v>
      </c>
      <c r="AI1084">
        <v>14.18</v>
      </c>
      <c r="AJ1084">
        <v>78.77</v>
      </c>
      <c r="AK1084">
        <v>0.01</v>
      </c>
      <c r="AL1084" t="s">
        <v>53</v>
      </c>
      <c r="AM1084" t="s">
        <v>53</v>
      </c>
      <c r="AN1084" t="s">
        <v>91</v>
      </c>
      <c r="AO1084" t="s">
        <v>53</v>
      </c>
      <c r="AP1084" t="s">
        <v>53</v>
      </c>
    </row>
    <row r="1085" spans="2:42" x14ac:dyDescent="0.2">
      <c r="B1085" t="s">
        <v>44</v>
      </c>
      <c r="C1085" t="str">
        <f>HYPERLINK("https://us2.cloudbeds.com/connect/8493803454333002#/reservations/598331199699?display=E19ZNKWM&amp;reservation_id=598331199699", "E19ZNKWM")</f>
        <v>E19ZNKWM</v>
      </c>
      <c r="D1085" t="s">
        <v>45</v>
      </c>
      <c r="E1085" t="s">
        <v>155</v>
      </c>
      <c r="F1085" t="s">
        <v>86</v>
      </c>
      <c r="G1085" t="s">
        <v>48</v>
      </c>
      <c r="H1085" t="s">
        <v>49</v>
      </c>
      <c r="I1085" t="s">
        <v>79</v>
      </c>
      <c r="J1085" t="s">
        <v>553</v>
      </c>
      <c r="K1085" t="s">
        <v>554</v>
      </c>
      <c r="L1085" t="s">
        <v>53</v>
      </c>
      <c r="N1085" t="s">
        <v>2002</v>
      </c>
      <c r="P1085" t="s">
        <v>55</v>
      </c>
      <c r="R1085" t="s">
        <v>56</v>
      </c>
      <c r="T1085" t="s">
        <v>1982</v>
      </c>
      <c r="U1085" t="s">
        <v>58</v>
      </c>
      <c r="V1085">
        <v>1</v>
      </c>
      <c r="W1085">
        <v>1</v>
      </c>
      <c r="X1085">
        <v>1</v>
      </c>
      <c r="Y1085">
        <v>0</v>
      </c>
      <c r="Z1085">
        <v>1</v>
      </c>
      <c r="AA1085">
        <v>0</v>
      </c>
      <c r="AB1085">
        <v>99.22</v>
      </c>
      <c r="AC1085">
        <v>87.3</v>
      </c>
      <c r="AD1085">
        <v>0</v>
      </c>
      <c r="AE1085">
        <v>11.92</v>
      </c>
      <c r="AF1085">
        <v>0</v>
      </c>
      <c r="AG1085">
        <v>0</v>
      </c>
      <c r="AH1085">
        <v>0</v>
      </c>
      <c r="AI1085">
        <v>0</v>
      </c>
      <c r="AJ1085">
        <v>99.22</v>
      </c>
      <c r="AK1085">
        <v>0</v>
      </c>
      <c r="AL1085" t="s">
        <v>53</v>
      </c>
      <c r="AM1085" t="s">
        <v>53</v>
      </c>
      <c r="AN1085" t="s">
        <v>132</v>
      </c>
      <c r="AO1085" t="s">
        <v>53</v>
      </c>
      <c r="AP1085" t="s">
        <v>53</v>
      </c>
    </row>
    <row r="1086" spans="2:42" x14ac:dyDescent="0.2">
      <c r="B1086" t="s">
        <v>44</v>
      </c>
      <c r="C1086" t="str">
        <f>HYPERLINK("https://us2.cloudbeds.com/connect/8493803454333002#/reservations/598559555828?display=E1FJ8WDD&amp;reservation_id=598559555828", "E1FJ8WDD")</f>
        <v>E1FJ8WDD</v>
      </c>
      <c r="D1086" t="s">
        <v>45</v>
      </c>
      <c r="E1086" t="s">
        <v>223</v>
      </c>
      <c r="F1086" t="s">
        <v>47</v>
      </c>
      <c r="G1086" t="s">
        <v>48</v>
      </c>
      <c r="H1086" t="s">
        <v>49</v>
      </c>
      <c r="I1086" t="s">
        <v>50</v>
      </c>
      <c r="J1086" t="s">
        <v>289</v>
      </c>
      <c r="K1086" t="s">
        <v>180</v>
      </c>
      <c r="L1086" t="s">
        <v>53</v>
      </c>
      <c r="N1086" t="s">
        <v>2003</v>
      </c>
      <c r="P1086" t="s">
        <v>55</v>
      </c>
      <c r="R1086" t="s">
        <v>56</v>
      </c>
      <c r="T1086" t="s">
        <v>1982</v>
      </c>
      <c r="U1086" t="s">
        <v>58</v>
      </c>
      <c r="V1086">
        <v>2</v>
      </c>
      <c r="W1086">
        <v>1</v>
      </c>
      <c r="X1086">
        <v>1</v>
      </c>
      <c r="Y1086">
        <v>0</v>
      </c>
      <c r="Z1086">
        <v>1</v>
      </c>
      <c r="AA1086">
        <v>0</v>
      </c>
      <c r="AB1086">
        <v>276.17</v>
      </c>
      <c r="AC1086">
        <v>243</v>
      </c>
      <c r="AD1086">
        <v>0</v>
      </c>
      <c r="AE1086">
        <v>33.159999999999997</v>
      </c>
      <c r="AF1086">
        <v>0</v>
      </c>
      <c r="AG1086">
        <v>0</v>
      </c>
      <c r="AH1086">
        <v>0</v>
      </c>
      <c r="AI1086">
        <v>49.71</v>
      </c>
      <c r="AJ1086">
        <v>276.16000000000003</v>
      </c>
      <c r="AK1086">
        <v>-0.01</v>
      </c>
      <c r="AL1086" t="s">
        <v>53</v>
      </c>
      <c r="AM1086" t="s">
        <v>53</v>
      </c>
      <c r="AN1086" t="s">
        <v>97</v>
      </c>
      <c r="AO1086" t="s">
        <v>53</v>
      </c>
      <c r="AP1086" t="s">
        <v>53</v>
      </c>
    </row>
    <row r="1087" spans="2:42" x14ac:dyDescent="0.2">
      <c r="B1087" t="s">
        <v>44</v>
      </c>
      <c r="C1087" t="str">
        <f>HYPERLINK("https://us2.cloudbeds.com/connect/8493803454333002#/reservations/597701812369?display=E0QM006C&amp;reservation_id=597701812369", "E0QM006C")</f>
        <v>E0QM006C</v>
      </c>
      <c r="D1087" t="s">
        <v>45</v>
      </c>
      <c r="E1087" t="s">
        <v>213</v>
      </c>
      <c r="F1087" t="s">
        <v>86</v>
      </c>
      <c r="G1087" t="s">
        <v>48</v>
      </c>
      <c r="H1087" t="s">
        <v>49</v>
      </c>
      <c r="I1087" t="s">
        <v>50</v>
      </c>
      <c r="J1087" t="s">
        <v>553</v>
      </c>
      <c r="K1087" t="s">
        <v>554</v>
      </c>
      <c r="L1087" t="s">
        <v>53</v>
      </c>
      <c r="N1087" t="s">
        <v>2004</v>
      </c>
      <c r="P1087" t="s">
        <v>55</v>
      </c>
      <c r="R1087" t="s">
        <v>56</v>
      </c>
      <c r="T1087" t="s">
        <v>1982</v>
      </c>
      <c r="U1087" t="s">
        <v>58</v>
      </c>
      <c r="V1087">
        <v>1</v>
      </c>
      <c r="W1087">
        <v>1</v>
      </c>
      <c r="X1087">
        <v>1</v>
      </c>
      <c r="Y1087">
        <v>0</v>
      </c>
      <c r="Z1087">
        <v>1</v>
      </c>
      <c r="AA1087">
        <v>0</v>
      </c>
      <c r="AB1087">
        <v>99.22</v>
      </c>
      <c r="AC1087">
        <v>87.3</v>
      </c>
      <c r="AD1087">
        <v>0</v>
      </c>
      <c r="AE1087">
        <v>11.92</v>
      </c>
      <c r="AF1087">
        <v>0</v>
      </c>
      <c r="AG1087">
        <v>0</v>
      </c>
      <c r="AH1087">
        <v>0</v>
      </c>
      <c r="AI1087">
        <v>17.86</v>
      </c>
      <c r="AJ1087">
        <v>99.22</v>
      </c>
      <c r="AK1087">
        <v>0</v>
      </c>
      <c r="AL1087" t="s">
        <v>53</v>
      </c>
      <c r="AM1087" t="s">
        <v>53</v>
      </c>
      <c r="AN1087" t="s">
        <v>132</v>
      </c>
      <c r="AO1087" t="s">
        <v>53</v>
      </c>
      <c r="AP1087" t="s">
        <v>53</v>
      </c>
    </row>
    <row r="1088" spans="2:42" x14ac:dyDescent="0.2">
      <c r="B1088" t="s">
        <v>44</v>
      </c>
      <c r="C1088" t="str">
        <f>HYPERLINK("https://us2.cloudbeds.com/connect/8493803454333002#/reservations/598294225057?display=E18QHP4W&amp;reservation_id=598294225057", "E18QHP4W")</f>
        <v>E18QHP4W</v>
      </c>
      <c r="D1088" t="s">
        <v>45</v>
      </c>
      <c r="E1088" t="s">
        <v>98</v>
      </c>
      <c r="F1088" t="s">
        <v>86</v>
      </c>
      <c r="G1088" t="s">
        <v>48</v>
      </c>
      <c r="H1088" t="s">
        <v>49</v>
      </c>
      <c r="I1088" t="s">
        <v>50</v>
      </c>
      <c r="J1088" t="s">
        <v>553</v>
      </c>
      <c r="K1088" t="s">
        <v>554</v>
      </c>
      <c r="L1088" t="s">
        <v>53</v>
      </c>
      <c r="N1088" t="s">
        <v>2005</v>
      </c>
      <c r="P1088" t="s">
        <v>55</v>
      </c>
      <c r="R1088" t="s">
        <v>56</v>
      </c>
      <c r="T1088" t="s">
        <v>1982</v>
      </c>
      <c r="U1088" t="s">
        <v>58</v>
      </c>
      <c r="V1088">
        <v>1</v>
      </c>
      <c r="W1088">
        <v>1</v>
      </c>
      <c r="X1088">
        <v>1</v>
      </c>
      <c r="Y1088">
        <v>0</v>
      </c>
      <c r="Z1088">
        <v>1</v>
      </c>
      <c r="AA1088">
        <v>0</v>
      </c>
      <c r="AB1088">
        <v>99.22</v>
      </c>
      <c r="AC1088">
        <v>87.3</v>
      </c>
      <c r="AD1088">
        <v>0</v>
      </c>
      <c r="AE1088">
        <v>11.92</v>
      </c>
      <c r="AF1088">
        <v>0</v>
      </c>
      <c r="AG1088">
        <v>0</v>
      </c>
      <c r="AH1088">
        <v>0</v>
      </c>
      <c r="AI1088">
        <v>17.86</v>
      </c>
      <c r="AJ1088">
        <v>99.22</v>
      </c>
      <c r="AK1088">
        <v>0</v>
      </c>
      <c r="AL1088" t="s">
        <v>53</v>
      </c>
      <c r="AM1088" t="s">
        <v>53</v>
      </c>
      <c r="AN1088" t="s">
        <v>316</v>
      </c>
      <c r="AO1088" t="s">
        <v>53</v>
      </c>
      <c r="AP1088" t="s">
        <v>53</v>
      </c>
    </row>
    <row r="1089" spans="2:42" x14ac:dyDescent="0.2">
      <c r="B1089" t="s">
        <v>44</v>
      </c>
      <c r="C1089" t="str">
        <f>HYPERLINK("https://us2.cloudbeds.com/connect/8493803454333002#/reservations/598420656298?display=E1C14TKZ&amp;reservation_id=598420656298", "E1C14TKZ")</f>
        <v>E1C14TKZ</v>
      </c>
      <c r="D1089" t="s">
        <v>45</v>
      </c>
      <c r="E1089" t="s">
        <v>165</v>
      </c>
      <c r="F1089" t="s">
        <v>61</v>
      </c>
      <c r="G1089" t="s">
        <v>48</v>
      </c>
      <c r="H1089" t="s">
        <v>49</v>
      </c>
      <c r="I1089" t="s">
        <v>50</v>
      </c>
      <c r="J1089" t="s">
        <v>553</v>
      </c>
      <c r="K1089" t="s">
        <v>554</v>
      </c>
      <c r="L1089" t="s">
        <v>53</v>
      </c>
      <c r="N1089" t="s">
        <v>2006</v>
      </c>
      <c r="P1089" t="s">
        <v>55</v>
      </c>
      <c r="R1089" t="s">
        <v>56</v>
      </c>
      <c r="T1089" t="s">
        <v>1982</v>
      </c>
      <c r="U1089" t="s">
        <v>58</v>
      </c>
      <c r="V1089">
        <v>1</v>
      </c>
      <c r="W1089">
        <v>1</v>
      </c>
      <c r="X1089">
        <v>1</v>
      </c>
      <c r="Y1089">
        <v>0</v>
      </c>
      <c r="Z1089">
        <v>1</v>
      </c>
      <c r="AA1089">
        <v>0</v>
      </c>
      <c r="AB1089">
        <v>88.99</v>
      </c>
      <c r="AC1089">
        <v>78.3</v>
      </c>
      <c r="AD1089">
        <v>0</v>
      </c>
      <c r="AE1089">
        <v>10.69</v>
      </c>
      <c r="AF1089">
        <v>0</v>
      </c>
      <c r="AG1089">
        <v>0</v>
      </c>
      <c r="AH1089">
        <v>0</v>
      </c>
      <c r="AI1089">
        <v>16.02</v>
      </c>
      <c r="AJ1089">
        <v>88.99</v>
      </c>
      <c r="AK1089">
        <v>0</v>
      </c>
      <c r="AL1089" t="s">
        <v>53</v>
      </c>
      <c r="AM1089" t="s">
        <v>53</v>
      </c>
      <c r="AN1089" t="s">
        <v>112</v>
      </c>
      <c r="AO1089" t="s">
        <v>53</v>
      </c>
      <c r="AP1089" t="s">
        <v>53</v>
      </c>
    </row>
    <row r="1090" spans="2:42" x14ac:dyDescent="0.2">
      <c r="B1090" t="s">
        <v>44</v>
      </c>
      <c r="C1090" t="str">
        <f>HYPERLINK("https://us2.cloudbeds.com/connect/8493803454333002#/reservations/598532280490?display=E1ET905W&amp;reservation_id=598532280490", "E1ET905W")</f>
        <v>E1ET905W</v>
      </c>
      <c r="D1090" t="s">
        <v>45</v>
      </c>
      <c r="E1090" t="s">
        <v>121</v>
      </c>
      <c r="F1090" t="s">
        <v>86</v>
      </c>
      <c r="G1090" t="s">
        <v>48</v>
      </c>
      <c r="H1090" t="s">
        <v>49</v>
      </c>
      <c r="I1090" t="s">
        <v>79</v>
      </c>
      <c r="J1090" t="s">
        <v>88</v>
      </c>
      <c r="K1090" t="s">
        <v>970</v>
      </c>
      <c r="L1090" t="s">
        <v>53</v>
      </c>
      <c r="N1090" t="s">
        <v>2007</v>
      </c>
      <c r="P1090" t="s">
        <v>55</v>
      </c>
      <c r="R1090" t="s">
        <v>56</v>
      </c>
      <c r="T1090" t="s">
        <v>1982</v>
      </c>
      <c r="U1090" t="s">
        <v>58</v>
      </c>
      <c r="V1090">
        <v>2</v>
      </c>
      <c r="W1090">
        <v>1</v>
      </c>
      <c r="X1090">
        <v>1</v>
      </c>
      <c r="Y1090">
        <v>0</v>
      </c>
      <c r="Z1090">
        <v>1</v>
      </c>
      <c r="AA1090">
        <v>0</v>
      </c>
      <c r="AB1090">
        <v>319.13</v>
      </c>
      <c r="AC1090">
        <v>280.8</v>
      </c>
      <c r="AD1090">
        <v>0</v>
      </c>
      <c r="AE1090">
        <v>38.32</v>
      </c>
      <c r="AF1090">
        <v>0</v>
      </c>
      <c r="AG1090">
        <v>0</v>
      </c>
      <c r="AH1090">
        <v>0</v>
      </c>
      <c r="AI1090">
        <v>0</v>
      </c>
      <c r="AJ1090">
        <v>319.12</v>
      </c>
      <c r="AK1090">
        <v>-0.01</v>
      </c>
      <c r="AL1090" t="s">
        <v>53</v>
      </c>
      <c r="AM1090" t="s">
        <v>53</v>
      </c>
      <c r="AN1090" t="s">
        <v>198</v>
      </c>
      <c r="AO1090" t="s">
        <v>53</v>
      </c>
      <c r="AP1090" t="s">
        <v>53</v>
      </c>
    </row>
    <row r="1091" spans="2:42" x14ac:dyDescent="0.2">
      <c r="B1091" t="s">
        <v>44</v>
      </c>
      <c r="C1091" t="str">
        <f>HYPERLINK("https://us2.cloudbeds.com/connect/8493803454333002#/reservations/598424629432?display=E1C4GF1Z&amp;reservation_id=598424629432", "E1C4GF1Z")</f>
        <v>E1C4GF1Z</v>
      </c>
      <c r="D1091" t="s">
        <v>45</v>
      </c>
      <c r="E1091" t="s">
        <v>223</v>
      </c>
      <c r="F1091" t="s">
        <v>47</v>
      </c>
      <c r="G1091" t="s">
        <v>48</v>
      </c>
      <c r="H1091" t="s">
        <v>49</v>
      </c>
      <c r="I1091" t="s">
        <v>79</v>
      </c>
      <c r="J1091" t="s">
        <v>554</v>
      </c>
      <c r="K1091" t="s">
        <v>1430</v>
      </c>
      <c r="L1091" t="s">
        <v>53</v>
      </c>
      <c r="N1091" t="s">
        <v>2008</v>
      </c>
      <c r="P1091" t="s">
        <v>55</v>
      </c>
      <c r="R1091" t="s">
        <v>56</v>
      </c>
      <c r="T1091" t="s">
        <v>2009</v>
      </c>
      <c r="U1091" t="s">
        <v>58</v>
      </c>
      <c r="V1091">
        <v>5</v>
      </c>
      <c r="W1091">
        <v>1</v>
      </c>
      <c r="X1091">
        <v>1</v>
      </c>
      <c r="Y1091">
        <v>0</v>
      </c>
      <c r="Z1091">
        <v>1</v>
      </c>
      <c r="AA1091">
        <v>0</v>
      </c>
      <c r="AB1091">
        <v>368.23</v>
      </c>
      <c r="AC1091">
        <v>324</v>
      </c>
      <c r="AD1091">
        <v>0</v>
      </c>
      <c r="AE1091">
        <v>44.25</v>
      </c>
      <c r="AF1091">
        <v>0</v>
      </c>
      <c r="AG1091">
        <v>0</v>
      </c>
      <c r="AH1091">
        <v>0</v>
      </c>
      <c r="AI1091">
        <v>0</v>
      </c>
      <c r="AJ1091">
        <v>368.25</v>
      </c>
      <c r="AK1091">
        <v>0.02</v>
      </c>
      <c r="AL1091" t="s">
        <v>53</v>
      </c>
      <c r="AM1091" t="s">
        <v>53</v>
      </c>
      <c r="AN1091" t="s">
        <v>2010</v>
      </c>
      <c r="AO1091" t="s">
        <v>53</v>
      </c>
      <c r="AP1091" t="s">
        <v>53</v>
      </c>
    </row>
    <row r="1092" spans="2:42" x14ac:dyDescent="0.2">
      <c r="B1092" t="s">
        <v>44</v>
      </c>
      <c r="C1092" t="str">
        <f>HYPERLINK("https://us2.cloudbeds.com/connect/8493803454333002#/reservations/598296211642?display=E18S71CX&amp;reservation_id=598296211642", "E18S71CX")</f>
        <v>E18S71CX</v>
      </c>
      <c r="D1092" t="s">
        <v>45</v>
      </c>
      <c r="E1092" t="s">
        <v>190</v>
      </c>
      <c r="F1092" t="s">
        <v>61</v>
      </c>
      <c r="G1092" t="s">
        <v>48</v>
      </c>
      <c r="H1092" t="s">
        <v>49</v>
      </c>
      <c r="I1092" t="s">
        <v>62</v>
      </c>
      <c r="J1092" t="s">
        <v>554</v>
      </c>
      <c r="K1092" t="s">
        <v>881</v>
      </c>
      <c r="L1092" t="s">
        <v>53</v>
      </c>
      <c r="N1092" t="s">
        <v>2011</v>
      </c>
      <c r="P1092" t="s">
        <v>55</v>
      </c>
      <c r="R1092" t="s">
        <v>56</v>
      </c>
      <c r="T1092" t="s">
        <v>2009</v>
      </c>
      <c r="U1092" t="s">
        <v>58</v>
      </c>
      <c r="V1092">
        <v>1</v>
      </c>
      <c r="W1092">
        <v>1</v>
      </c>
      <c r="X1092">
        <v>1</v>
      </c>
      <c r="Y1092">
        <v>0</v>
      </c>
      <c r="Z1092">
        <v>1</v>
      </c>
      <c r="AA1092">
        <v>0</v>
      </c>
      <c r="AB1092">
        <v>85.92</v>
      </c>
      <c r="AC1092">
        <v>75.599999999999994</v>
      </c>
      <c r="AD1092">
        <v>0</v>
      </c>
      <c r="AE1092">
        <v>10.32</v>
      </c>
      <c r="AF1092">
        <v>0</v>
      </c>
      <c r="AG1092">
        <v>0</v>
      </c>
      <c r="AH1092">
        <v>0</v>
      </c>
      <c r="AI1092">
        <v>12.89</v>
      </c>
      <c r="AJ1092">
        <v>85.92</v>
      </c>
      <c r="AK1092">
        <v>0</v>
      </c>
      <c r="AL1092" t="s">
        <v>53</v>
      </c>
      <c r="AM1092" t="s">
        <v>53</v>
      </c>
      <c r="AN1092" t="s">
        <v>1203</v>
      </c>
      <c r="AO1092" t="s">
        <v>53</v>
      </c>
      <c r="AP1092" t="s">
        <v>53</v>
      </c>
    </row>
    <row r="1093" spans="2:42" x14ac:dyDescent="0.2">
      <c r="B1093" t="s">
        <v>44</v>
      </c>
      <c r="C1093" t="str">
        <f>HYPERLINK("https://us2.cloudbeds.com/connect/8493803454333002#/reservations/598347489451?display=E1A5EUEX&amp;reservation_id=598347489451", "E1A5EUEX")</f>
        <v>E1A5EUEX</v>
      </c>
      <c r="D1093" t="s">
        <v>45</v>
      </c>
      <c r="E1093" t="s">
        <v>85</v>
      </c>
      <c r="F1093" t="s">
        <v>86</v>
      </c>
      <c r="G1093" t="s">
        <v>48</v>
      </c>
      <c r="H1093" t="s">
        <v>49</v>
      </c>
      <c r="I1093" t="s">
        <v>50</v>
      </c>
      <c r="J1093" t="s">
        <v>144</v>
      </c>
      <c r="K1093" t="s">
        <v>783</v>
      </c>
      <c r="L1093" t="s">
        <v>53</v>
      </c>
      <c r="N1093" t="s">
        <v>2012</v>
      </c>
      <c r="P1093" t="s">
        <v>55</v>
      </c>
      <c r="R1093" t="s">
        <v>56</v>
      </c>
      <c r="T1093" t="s">
        <v>2009</v>
      </c>
      <c r="U1093" t="s">
        <v>58</v>
      </c>
      <c r="V1093">
        <v>1</v>
      </c>
      <c r="W1093">
        <v>1</v>
      </c>
      <c r="X1093">
        <v>1</v>
      </c>
      <c r="Y1093">
        <v>0</v>
      </c>
      <c r="Z1093">
        <v>1</v>
      </c>
      <c r="AA1093">
        <v>0</v>
      </c>
      <c r="AB1093">
        <v>184.11</v>
      </c>
      <c r="AC1093">
        <v>162</v>
      </c>
      <c r="AD1093">
        <v>0</v>
      </c>
      <c r="AE1093">
        <v>22.12</v>
      </c>
      <c r="AF1093">
        <v>0</v>
      </c>
      <c r="AG1093">
        <v>0</v>
      </c>
      <c r="AH1093">
        <v>0</v>
      </c>
      <c r="AI1093">
        <v>33.14</v>
      </c>
      <c r="AJ1093">
        <v>184.12</v>
      </c>
      <c r="AK1093">
        <v>0.01</v>
      </c>
      <c r="AL1093" t="s">
        <v>53</v>
      </c>
      <c r="AM1093" t="s">
        <v>53</v>
      </c>
      <c r="AN1093" t="s">
        <v>198</v>
      </c>
      <c r="AO1093" t="s">
        <v>53</v>
      </c>
      <c r="AP1093" t="s">
        <v>53</v>
      </c>
    </row>
    <row r="1094" spans="2:42" x14ac:dyDescent="0.2">
      <c r="B1094" t="s">
        <v>44</v>
      </c>
      <c r="C1094" t="str">
        <f>HYPERLINK("https://us2.cloudbeds.com/connect/8493803454333002#/reservations/579374846164?display=DJKC7543&amp;reservation_id=579374846164", "DJKC7543")</f>
        <v>DJKC7543</v>
      </c>
      <c r="D1094" t="s">
        <v>45</v>
      </c>
      <c r="E1094" t="s">
        <v>110</v>
      </c>
      <c r="F1094" t="s">
        <v>47</v>
      </c>
      <c r="G1094" t="s">
        <v>48</v>
      </c>
      <c r="H1094" t="s">
        <v>49</v>
      </c>
      <c r="I1094" t="s">
        <v>62</v>
      </c>
      <c r="J1094" t="s">
        <v>2013</v>
      </c>
      <c r="K1094" t="s">
        <v>2014</v>
      </c>
      <c r="L1094" t="s">
        <v>53</v>
      </c>
      <c r="N1094" t="s">
        <v>2015</v>
      </c>
      <c r="P1094" t="s">
        <v>55</v>
      </c>
      <c r="R1094" t="s">
        <v>125</v>
      </c>
      <c r="T1094" t="s">
        <v>2009</v>
      </c>
      <c r="U1094" t="s">
        <v>58</v>
      </c>
      <c r="V1094">
        <v>2</v>
      </c>
      <c r="W1094">
        <v>1</v>
      </c>
      <c r="X1094">
        <v>1</v>
      </c>
      <c r="Y1094">
        <v>0</v>
      </c>
      <c r="Z1094">
        <v>1</v>
      </c>
      <c r="AA1094">
        <v>0</v>
      </c>
      <c r="AB1094">
        <v>272.76</v>
      </c>
      <c r="AC1094">
        <v>240</v>
      </c>
      <c r="AD1094">
        <v>0</v>
      </c>
      <c r="AE1094">
        <v>32.76</v>
      </c>
      <c r="AF1094">
        <v>0</v>
      </c>
      <c r="AG1094">
        <v>0</v>
      </c>
      <c r="AH1094">
        <v>0</v>
      </c>
      <c r="AI1094">
        <v>40.909999999999997</v>
      </c>
      <c r="AJ1094">
        <v>272.76</v>
      </c>
      <c r="AK1094">
        <v>0</v>
      </c>
      <c r="AL1094" t="s">
        <v>53</v>
      </c>
      <c r="AM1094" t="s">
        <v>53</v>
      </c>
      <c r="AN1094" t="s">
        <v>280</v>
      </c>
      <c r="AO1094" t="s">
        <v>53</v>
      </c>
      <c r="AP1094" t="s">
        <v>53</v>
      </c>
    </row>
    <row r="1095" spans="2:42" x14ac:dyDescent="0.2">
      <c r="B1095" t="s">
        <v>44</v>
      </c>
      <c r="C1095" t="str">
        <f>HYPERLINK("https://us2.cloudbeds.com/connect/8493803454333002#/reservations/598378610825?display=E1AVMUCG&amp;reservation_id=598378610825", "E1AVMUCG")</f>
        <v>E1AVMUCG</v>
      </c>
      <c r="D1095" t="s">
        <v>45</v>
      </c>
      <c r="E1095" t="s">
        <v>110</v>
      </c>
      <c r="F1095" t="s">
        <v>47</v>
      </c>
      <c r="G1095" t="s">
        <v>48</v>
      </c>
      <c r="H1095" t="s">
        <v>49</v>
      </c>
      <c r="I1095" t="s">
        <v>50</v>
      </c>
      <c r="J1095" t="s">
        <v>259</v>
      </c>
      <c r="K1095" t="s">
        <v>295</v>
      </c>
      <c r="L1095" t="s">
        <v>53</v>
      </c>
      <c r="N1095" t="s">
        <v>2016</v>
      </c>
      <c r="P1095" t="s">
        <v>55</v>
      </c>
      <c r="R1095" t="s">
        <v>56</v>
      </c>
      <c r="T1095" t="s">
        <v>2009</v>
      </c>
      <c r="U1095" t="s">
        <v>58</v>
      </c>
      <c r="V1095">
        <v>1</v>
      </c>
      <c r="W1095">
        <v>1</v>
      </c>
      <c r="X1095">
        <v>1</v>
      </c>
      <c r="Y1095">
        <v>0</v>
      </c>
      <c r="Z1095">
        <v>1</v>
      </c>
      <c r="AA1095">
        <v>0</v>
      </c>
      <c r="AB1095">
        <v>119.33</v>
      </c>
      <c r="AC1095">
        <v>105</v>
      </c>
      <c r="AD1095">
        <v>0</v>
      </c>
      <c r="AE1095">
        <v>14.34</v>
      </c>
      <c r="AF1095">
        <v>0</v>
      </c>
      <c r="AG1095">
        <v>0</v>
      </c>
      <c r="AH1095">
        <v>0</v>
      </c>
      <c r="AI1095">
        <v>21.48</v>
      </c>
      <c r="AJ1095">
        <v>119.34</v>
      </c>
      <c r="AK1095">
        <v>0.01</v>
      </c>
      <c r="AL1095" t="s">
        <v>53</v>
      </c>
      <c r="AM1095" t="s">
        <v>53</v>
      </c>
      <c r="AN1095" t="s">
        <v>159</v>
      </c>
      <c r="AO1095" t="s">
        <v>53</v>
      </c>
      <c r="AP1095" t="s">
        <v>53</v>
      </c>
    </row>
    <row r="1096" spans="2:42" x14ac:dyDescent="0.2">
      <c r="B1096" t="s">
        <v>44</v>
      </c>
      <c r="C1096" t="str">
        <f>HYPERLINK("https://us2.cloudbeds.com/connect/8493803454333002#/reservations/598523306179?display=E1EYN9A6&amp;reservation_id=598523306179", "E1EYN9A6")</f>
        <v>E1EYN9A6</v>
      </c>
      <c r="D1096" t="s">
        <v>45</v>
      </c>
      <c r="E1096" t="s">
        <v>98</v>
      </c>
      <c r="F1096" t="s">
        <v>86</v>
      </c>
      <c r="G1096" t="s">
        <v>48</v>
      </c>
      <c r="H1096" t="s">
        <v>49</v>
      </c>
      <c r="I1096" t="s">
        <v>79</v>
      </c>
      <c r="J1096" t="s">
        <v>568</v>
      </c>
      <c r="K1096" t="s">
        <v>180</v>
      </c>
      <c r="L1096" t="s">
        <v>53</v>
      </c>
      <c r="N1096" t="s">
        <v>2017</v>
      </c>
      <c r="P1096" t="s">
        <v>55</v>
      </c>
      <c r="R1096" t="s">
        <v>56</v>
      </c>
      <c r="T1096" t="s">
        <v>2009</v>
      </c>
      <c r="U1096" t="s">
        <v>58</v>
      </c>
      <c r="V1096">
        <v>1</v>
      </c>
      <c r="W1096">
        <v>1</v>
      </c>
      <c r="X1096">
        <v>1</v>
      </c>
      <c r="Y1096">
        <v>0</v>
      </c>
      <c r="Z1096">
        <v>1</v>
      </c>
      <c r="AA1096">
        <v>0</v>
      </c>
      <c r="AB1096">
        <v>153.43</v>
      </c>
      <c r="AC1096">
        <v>135</v>
      </c>
      <c r="AD1096">
        <v>0</v>
      </c>
      <c r="AE1096">
        <v>18.440000000000001</v>
      </c>
      <c r="AF1096">
        <v>0</v>
      </c>
      <c r="AG1096">
        <v>0</v>
      </c>
      <c r="AH1096">
        <v>0</v>
      </c>
      <c r="AI1096">
        <v>0</v>
      </c>
      <c r="AJ1096">
        <v>153.44</v>
      </c>
      <c r="AK1096">
        <v>0.01</v>
      </c>
      <c r="AL1096" t="s">
        <v>53</v>
      </c>
      <c r="AM1096" t="s">
        <v>53</v>
      </c>
      <c r="AN1096" t="s">
        <v>104</v>
      </c>
      <c r="AO1096" t="s">
        <v>53</v>
      </c>
      <c r="AP1096" t="s">
        <v>53</v>
      </c>
    </row>
    <row r="1097" spans="2:42" x14ac:dyDescent="0.2">
      <c r="B1097" t="s">
        <v>44</v>
      </c>
      <c r="C1097" t="str">
        <f>HYPERLINK("https://us2.cloudbeds.com/connect/8493803454333002#/reservations/598555721888?display=E1FG19QD&amp;reservation_id=598555721888", "E1FG19QD")</f>
        <v>E1FG19QD</v>
      </c>
      <c r="D1097" t="s">
        <v>45</v>
      </c>
      <c r="E1097" t="s">
        <v>69</v>
      </c>
      <c r="F1097" t="s">
        <v>70</v>
      </c>
      <c r="G1097" t="s">
        <v>48</v>
      </c>
      <c r="H1097" t="s">
        <v>71</v>
      </c>
      <c r="I1097" t="s">
        <v>72</v>
      </c>
      <c r="J1097" t="s">
        <v>554</v>
      </c>
      <c r="K1097" t="s">
        <v>881</v>
      </c>
      <c r="L1097" t="s">
        <v>53</v>
      </c>
      <c r="N1097" t="s">
        <v>2018</v>
      </c>
      <c r="P1097" t="s">
        <v>58</v>
      </c>
      <c r="R1097" t="s">
        <v>56</v>
      </c>
      <c r="T1097" t="s">
        <v>2009</v>
      </c>
      <c r="U1097" t="s">
        <v>58</v>
      </c>
      <c r="V1097">
        <v>1</v>
      </c>
      <c r="W1097">
        <v>1</v>
      </c>
      <c r="X1097">
        <v>1</v>
      </c>
      <c r="Y1097">
        <v>0</v>
      </c>
      <c r="Z1097">
        <v>1</v>
      </c>
      <c r="AA1097">
        <v>0</v>
      </c>
      <c r="AB1097">
        <v>79.56</v>
      </c>
      <c r="AC1097">
        <v>70</v>
      </c>
      <c r="AD1097">
        <v>0</v>
      </c>
      <c r="AE1097">
        <v>9.56</v>
      </c>
      <c r="AF1097">
        <v>0</v>
      </c>
      <c r="AG1097">
        <v>0</v>
      </c>
      <c r="AH1097">
        <v>0</v>
      </c>
      <c r="AI1097">
        <v>0</v>
      </c>
      <c r="AJ1097">
        <v>79.56</v>
      </c>
      <c r="AK1097">
        <v>0</v>
      </c>
      <c r="AL1097" t="s">
        <v>53</v>
      </c>
      <c r="AM1097" t="s">
        <v>53</v>
      </c>
      <c r="AN1097" t="s">
        <v>378</v>
      </c>
      <c r="AO1097" t="s">
        <v>53</v>
      </c>
      <c r="AP1097" t="s">
        <v>53</v>
      </c>
    </row>
    <row r="1098" spans="2:42" x14ac:dyDescent="0.2">
      <c r="B1098" t="s">
        <v>44</v>
      </c>
      <c r="C1098" t="str">
        <f>HYPERLINK("https://us2.cloudbeds.com/connect/8493803454333002#/reservations/598379462866?display=E1AWDKPT&amp;reservation_id=598379462866", "E1AWDKPT")</f>
        <v>E1AWDKPT</v>
      </c>
      <c r="D1098" t="s">
        <v>45</v>
      </c>
      <c r="E1098" t="s">
        <v>138</v>
      </c>
      <c r="F1098" t="s">
        <v>70</v>
      </c>
      <c r="G1098" t="s">
        <v>48</v>
      </c>
      <c r="H1098" t="s">
        <v>49</v>
      </c>
      <c r="I1098" t="s">
        <v>62</v>
      </c>
      <c r="J1098" t="s">
        <v>554</v>
      </c>
      <c r="K1098" t="s">
        <v>882</v>
      </c>
      <c r="L1098" t="s">
        <v>53</v>
      </c>
      <c r="N1098" t="s">
        <v>2019</v>
      </c>
      <c r="P1098" t="s">
        <v>55</v>
      </c>
      <c r="R1098" t="s">
        <v>201</v>
      </c>
      <c r="T1098" t="s">
        <v>2009</v>
      </c>
      <c r="U1098" t="s">
        <v>58</v>
      </c>
      <c r="V1098">
        <v>2</v>
      </c>
      <c r="W1098">
        <v>1</v>
      </c>
      <c r="X1098">
        <v>1</v>
      </c>
      <c r="Y1098">
        <v>0</v>
      </c>
      <c r="Z1098">
        <v>1</v>
      </c>
      <c r="AA1098">
        <v>0</v>
      </c>
      <c r="AB1098">
        <v>150.36000000000001</v>
      </c>
      <c r="AC1098">
        <v>132.30000000000001</v>
      </c>
      <c r="AD1098">
        <v>0</v>
      </c>
      <c r="AE1098">
        <v>18.059999999999999</v>
      </c>
      <c r="AF1098">
        <v>0</v>
      </c>
      <c r="AG1098">
        <v>0</v>
      </c>
      <c r="AH1098">
        <v>0</v>
      </c>
      <c r="AI1098">
        <v>22.55</v>
      </c>
      <c r="AJ1098">
        <v>150.36000000000001</v>
      </c>
      <c r="AK1098">
        <v>0</v>
      </c>
      <c r="AL1098" t="s">
        <v>53</v>
      </c>
      <c r="AM1098" t="s">
        <v>53</v>
      </c>
      <c r="AN1098" t="s">
        <v>386</v>
      </c>
      <c r="AO1098" t="s">
        <v>53</v>
      </c>
      <c r="AP1098" t="s">
        <v>53</v>
      </c>
    </row>
    <row r="1099" spans="2:42" x14ac:dyDescent="0.2">
      <c r="B1099" t="s">
        <v>44</v>
      </c>
      <c r="C1099" t="str">
        <f>HYPERLINK("https://us2.cloudbeds.com/connect/8493803454333002#/reservations/598209826974?display=E16YC8KB&amp;reservation_id=598209826974", "E16YC8KB")</f>
        <v>E16YC8KB</v>
      </c>
      <c r="D1099" t="s">
        <v>45</v>
      </c>
      <c r="E1099" t="s">
        <v>2020</v>
      </c>
      <c r="F1099" t="s">
        <v>47</v>
      </c>
      <c r="G1099" t="s">
        <v>48</v>
      </c>
      <c r="H1099" t="s">
        <v>49</v>
      </c>
      <c r="I1099" t="s">
        <v>62</v>
      </c>
      <c r="J1099" t="s">
        <v>88</v>
      </c>
      <c r="K1099" t="s">
        <v>327</v>
      </c>
      <c r="L1099" t="s">
        <v>53</v>
      </c>
      <c r="N1099" t="s">
        <v>2021</v>
      </c>
      <c r="P1099" t="s">
        <v>55</v>
      </c>
      <c r="R1099" t="s">
        <v>118</v>
      </c>
      <c r="T1099" t="s">
        <v>2009</v>
      </c>
      <c r="U1099" t="s">
        <v>58</v>
      </c>
      <c r="V1099">
        <v>2</v>
      </c>
      <c r="W1099">
        <v>2</v>
      </c>
      <c r="X1099">
        <v>2</v>
      </c>
      <c r="Y1099">
        <v>0</v>
      </c>
      <c r="Z1099">
        <v>2</v>
      </c>
      <c r="AA1099">
        <v>0</v>
      </c>
      <c r="AB1099">
        <v>313.67</v>
      </c>
      <c r="AC1099">
        <v>276</v>
      </c>
      <c r="AD1099">
        <v>0</v>
      </c>
      <c r="AE1099">
        <v>37.68</v>
      </c>
      <c r="AF1099">
        <v>0</v>
      </c>
      <c r="AG1099">
        <v>0</v>
      </c>
      <c r="AH1099">
        <v>0</v>
      </c>
      <c r="AI1099">
        <v>47.05</v>
      </c>
      <c r="AJ1099">
        <v>313.68</v>
      </c>
      <c r="AK1099">
        <v>0.01</v>
      </c>
      <c r="AL1099" t="s">
        <v>53</v>
      </c>
      <c r="AM1099" t="s">
        <v>53</v>
      </c>
      <c r="AN1099" t="s">
        <v>59</v>
      </c>
      <c r="AO1099" t="s">
        <v>53</v>
      </c>
      <c r="AP1099" t="s">
        <v>53</v>
      </c>
    </row>
    <row r="1100" spans="2:42" x14ac:dyDescent="0.2">
      <c r="B1100" t="s">
        <v>44</v>
      </c>
      <c r="C1100" t="str">
        <f>HYPERLINK("https://us2.cloudbeds.com/connect/8493803454333002#/reservations/579286851742?display=DJX40J5F&amp;reservation_id=579286851742", "DJX40J5F")</f>
        <v>DJX40J5F</v>
      </c>
      <c r="D1100" t="s">
        <v>45</v>
      </c>
      <c r="E1100" t="s">
        <v>138</v>
      </c>
      <c r="F1100" t="s">
        <v>70</v>
      </c>
      <c r="G1100" t="s">
        <v>48</v>
      </c>
      <c r="H1100" t="s">
        <v>71</v>
      </c>
      <c r="I1100" t="s">
        <v>72</v>
      </c>
      <c r="J1100" t="s">
        <v>2022</v>
      </c>
      <c r="K1100" t="s">
        <v>2023</v>
      </c>
      <c r="L1100" t="s">
        <v>53</v>
      </c>
      <c r="N1100" t="s">
        <v>2024</v>
      </c>
      <c r="P1100" t="s">
        <v>58</v>
      </c>
      <c r="R1100" t="s">
        <v>56</v>
      </c>
      <c r="T1100" t="s">
        <v>2009</v>
      </c>
      <c r="U1100" t="s">
        <v>58</v>
      </c>
      <c r="V1100">
        <v>1</v>
      </c>
      <c r="W1100">
        <v>1</v>
      </c>
      <c r="X1100">
        <v>1</v>
      </c>
      <c r="Y1100">
        <v>0</v>
      </c>
      <c r="Z1100">
        <v>1</v>
      </c>
      <c r="AA1100">
        <v>0</v>
      </c>
      <c r="AB1100">
        <v>147.75</v>
      </c>
      <c r="AC1100">
        <v>130</v>
      </c>
      <c r="AD1100">
        <v>0</v>
      </c>
      <c r="AE1100">
        <v>17.75</v>
      </c>
      <c r="AF1100">
        <v>0</v>
      </c>
      <c r="AG1100">
        <v>0</v>
      </c>
      <c r="AH1100">
        <v>0</v>
      </c>
      <c r="AI1100">
        <v>0</v>
      </c>
      <c r="AJ1100">
        <v>147.75</v>
      </c>
      <c r="AK1100">
        <v>0</v>
      </c>
      <c r="AL1100" t="s">
        <v>53</v>
      </c>
      <c r="AM1100" t="s">
        <v>53</v>
      </c>
      <c r="AN1100" t="s">
        <v>2025</v>
      </c>
      <c r="AO1100" t="s">
        <v>53</v>
      </c>
      <c r="AP1100" t="s">
        <v>53</v>
      </c>
    </row>
    <row r="1101" spans="2:42" x14ac:dyDescent="0.2">
      <c r="B1101" t="s">
        <v>44</v>
      </c>
      <c r="C1101" t="str">
        <f>HYPERLINK("https://us2.cloudbeds.com/connect/8493803454333002#/reservations/598446911646?display=E1CN9G7B&amp;reservation_id=598446911646", "E1CN9G7B")</f>
        <v>E1CN9G7B</v>
      </c>
      <c r="D1101" t="s">
        <v>45</v>
      </c>
      <c r="E1101" t="s">
        <v>138</v>
      </c>
      <c r="F1101" t="s">
        <v>70</v>
      </c>
      <c r="G1101" t="s">
        <v>48</v>
      </c>
      <c r="H1101" t="s">
        <v>49</v>
      </c>
      <c r="I1101" t="s">
        <v>50</v>
      </c>
      <c r="J1101" t="s">
        <v>1633</v>
      </c>
      <c r="K1101" t="s">
        <v>447</v>
      </c>
      <c r="L1101" t="s">
        <v>53</v>
      </c>
      <c r="N1101" t="s">
        <v>2026</v>
      </c>
      <c r="P1101" t="s">
        <v>55</v>
      </c>
      <c r="R1101" t="s">
        <v>56</v>
      </c>
      <c r="T1101" t="s">
        <v>2009</v>
      </c>
      <c r="U1101" t="s">
        <v>58</v>
      </c>
      <c r="V1101">
        <v>1</v>
      </c>
      <c r="W1101">
        <v>1</v>
      </c>
      <c r="X1101">
        <v>1</v>
      </c>
      <c r="Y1101">
        <v>0</v>
      </c>
      <c r="Z1101">
        <v>1</v>
      </c>
      <c r="AA1101">
        <v>0</v>
      </c>
      <c r="AB1101">
        <v>147.29</v>
      </c>
      <c r="AC1101">
        <v>129.6</v>
      </c>
      <c r="AD1101">
        <v>0</v>
      </c>
      <c r="AE1101">
        <v>17.690000000000001</v>
      </c>
      <c r="AF1101">
        <v>0</v>
      </c>
      <c r="AG1101">
        <v>0</v>
      </c>
      <c r="AH1101">
        <v>0</v>
      </c>
      <c r="AI1101">
        <v>26.51</v>
      </c>
      <c r="AJ1101">
        <v>147.29</v>
      </c>
      <c r="AK1101">
        <v>0</v>
      </c>
      <c r="AL1101" t="s">
        <v>53</v>
      </c>
      <c r="AM1101" t="s">
        <v>53</v>
      </c>
      <c r="AN1101" t="s">
        <v>545</v>
      </c>
      <c r="AO1101" t="s">
        <v>53</v>
      </c>
      <c r="AP1101" t="s">
        <v>53</v>
      </c>
    </row>
    <row r="1102" spans="2:42" x14ac:dyDescent="0.2">
      <c r="B1102" t="s">
        <v>44</v>
      </c>
      <c r="C1102" t="str">
        <f>HYPERLINK("https://us2.cloudbeds.com/connect/8493803454333002#/reservations/597975277792?display=E10YJJ9C&amp;reservation_id=597975277792", "E10YJJ9C")</f>
        <v>E10YJJ9C</v>
      </c>
      <c r="D1102" t="s">
        <v>45</v>
      </c>
      <c r="E1102" t="s">
        <v>406</v>
      </c>
      <c r="F1102" t="s">
        <v>61</v>
      </c>
      <c r="G1102" t="s">
        <v>48</v>
      </c>
      <c r="H1102" t="s">
        <v>71</v>
      </c>
      <c r="I1102" t="s">
        <v>72</v>
      </c>
      <c r="J1102" t="s">
        <v>478</v>
      </c>
      <c r="K1102" t="s">
        <v>237</v>
      </c>
      <c r="L1102" t="s">
        <v>53</v>
      </c>
      <c r="N1102" t="s">
        <v>2027</v>
      </c>
      <c r="P1102" t="s">
        <v>55</v>
      </c>
      <c r="R1102" t="s">
        <v>56</v>
      </c>
      <c r="T1102" t="s">
        <v>2009</v>
      </c>
      <c r="U1102" t="s">
        <v>58</v>
      </c>
      <c r="V1102">
        <v>2</v>
      </c>
      <c r="W1102">
        <v>1</v>
      </c>
      <c r="X1102">
        <v>1</v>
      </c>
      <c r="Y1102">
        <v>0</v>
      </c>
      <c r="Z1102">
        <v>1</v>
      </c>
      <c r="AA1102">
        <v>0</v>
      </c>
      <c r="AB1102">
        <v>321.63</v>
      </c>
      <c r="AC1102">
        <v>283</v>
      </c>
      <c r="AD1102">
        <v>0</v>
      </c>
      <c r="AE1102">
        <v>38.619999999999997</v>
      </c>
      <c r="AF1102">
        <v>0</v>
      </c>
      <c r="AG1102">
        <v>0</v>
      </c>
      <c r="AH1102">
        <v>0</v>
      </c>
      <c r="AI1102">
        <v>0</v>
      </c>
      <c r="AJ1102">
        <v>321.62</v>
      </c>
      <c r="AK1102">
        <v>-0.01</v>
      </c>
      <c r="AL1102" t="s">
        <v>53</v>
      </c>
      <c r="AM1102" t="s">
        <v>53</v>
      </c>
      <c r="AN1102" t="s">
        <v>2028</v>
      </c>
      <c r="AO1102" t="s">
        <v>53</v>
      </c>
      <c r="AP1102" t="s">
        <v>53</v>
      </c>
    </row>
    <row r="1103" spans="2:42" x14ac:dyDescent="0.2">
      <c r="B1103" t="s">
        <v>44</v>
      </c>
      <c r="C1103" t="str">
        <f>HYPERLINK("https://us2.cloudbeds.com/connect/8493803454333002#/reservations/598486778012?display=E1DNTRF0&amp;reservation_id=598486778012", "E1DNTRF0")</f>
        <v>E1DNTRF0</v>
      </c>
      <c r="D1103" t="s">
        <v>45</v>
      </c>
      <c r="E1103" t="s">
        <v>213</v>
      </c>
      <c r="F1103" t="s">
        <v>86</v>
      </c>
      <c r="G1103" t="s">
        <v>48</v>
      </c>
      <c r="H1103" t="s">
        <v>49</v>
      </c>
      <c r="I1103" t="s">
        <v>114</v>
      </c>
      <c r="J1103" t="s">
        <v>525</v>
      </c>
      <c r="K1103" t="s">
        <v>768</v>
      </c>
      <c r="L1103" t="s">
        <v>53</v>
      </c>
      <c r="N1103" t="s">
        <v>2029</v>
      </c>
      <c r="P1103" t="s">
        <v>55</v>
      </c>
      <c r="R1103" t="s">
        <v>56</v>
      </c>
      <c r="T1103" t="s">
        <v>2009</v>
      </c>
      <c r="U1103" t="s">
        <v>58</v>
      </c>
      <c r="V1103">
        <v>2</v>
      </c>
      <c r="W1103">
        <v>1</v>
      </c>
      <c r="X1103">
        <v>1</v>
      </c>
      <c r="Y1103">
        <v>0</v>
      </c>
      <c r="Z1103">
        <v>1</v>
      </c>
      <c r="AA1103">
        <v>0</v>
      </c>
      <c r="AB1103">
        <v>356.86</v>
      </c>
      <c r="AC1103">
        <v>314</v>
      </c>
      <c r="AD1103">
        <v>0</v>
      </c>
      <c r="AE1103">
        <v>42.86</v>
      </c>
      <c r="AF1103">
        <v>0</v>
      </c>
      <c r="AG1103">
        <v>0</v>
      </c>
      <c r="AH1103">
        <v>0</v>
      </c>
      <c r="AI1103">
        <v>0</v>
      </c>
      <c r="AJ1103">
        <v>356.86</v>
      </c>
      <c r="AK1103">
        <v>0</v>
      </c>
      <c r="AL1103" t="s">
        <v>53</v>
      </c>
      <c r="AM1103" t="s">
        <v>53</v>
      </c>
      <c r="AN1103" t="s">
        <v>2030</v>
      </c>
      <c r="AO1103" t="s">
        <v>53</v>
      </c>
      <c r="AP1103" t="s">
        <v>53</v>
      </c>
    </row>
    <row r="1104" spans="2:42" x14ac:dyDescent="0.2">
      <c r="B1104" t="s">
        <v>44</v>
      </c>
      <c r="C1104" t="str">
        <f>HYPERLINK("https://us2.cloudbeds.com/connect/8493803454333002#/reservations/598553530552?display=E1FE6AX9&amp;reservation_id=598553530552", "E1FE6AX9")</f>
        <v>E1FE6AX9</v>
      </c>
      <c r="D1104" t="s">
        <v>45</v>
      </c>
      <c r="E1104" t="s">
        <v>373</v>
      </c>
      <c r="F1104" t="s">
        <v>47</v>
      </c>
      <c r="G1104" t="s">
        <v>48</v>
      </c>
      <c r="H1104" t="s">
        <v>49</v>
      </c>
      <c r="I1104" t="s">
        <v>62</v>
      </c>
      <c r="J1104" t="s">
        <v>554</v>
      </c>
      <c r="K1104" t="s">
        <v>881</v>
      </c>
      <c r="L1104" t="s">
        <v>53</v>
      </c>
      <c r="N1104" t="s">
        <v>2031</v>
      </c>
      <c r="P1104" t="s">
        <v>55</v>
      </c>
      <c r="R1104" t="s">
        <v>56</v>
      </c>
      <c r="T1104" t="s">
        <v>2009</v>
      </c>
      <c r="U1104" t="s">
        <v>58</v>
      </c>
      <c r="V1104">
        <v>1</v>
      </c>
      <c r="W1104">
        <v>1</v>
      </c>
      <c r="X1104">
        <v>1</v>
      </c>
      <c r="Y1104">
        <v>0</v>
      </c>
      <c r="Z1104">
        <v>1</v>
      </c>
      <c r="AA1104">
        <v>0</v>
      </c>
      <c r="AB1104">
        <v>79.95</v>
      </c>
      <c r="AC1104">
        <v>70.349999999999994</v>
      </c>
      <c r="AD1104">
        <v>0</v>
      </c>
      <c r="AE1104">
        <v>9.6</v>
      </c>
      <c r="AF1104">
        <v>0</v>
      </c>
      <c r="AG1104">
        <v>0</v>
      </c>
      <c r="AH1104">
        <v>0</v>
      </c>
      <c r="AI1104">
        <v>11.99</v>
      </c>
      <c r="AJ1104">
        <v>79.95</v>
      </c>
      <c r="AK1104">
        <v>0</v>
      </c>
      <c r="AL1104" t="s">
        <v>53</v>
      </c>
      <c r="AM1104" t="s">
        <v>53</v>
      </c>
      <c r="AN1104" t="s">
        <v>847</v>
      </c>
      <c r="AO1104" t="s">
        <v>53</v>
      </c>
      <c r="AP1104" t="s">
        <v>53</v>
      </c>
    </row>
    <row r="1105" spans="2:42" x14ac:dyDescent="0.2">
      <c r="B1105" t="s">
        <v>44</v>
      </c>
      <c r="C1105" t="str">
        <f>HYPERLINK("https://us2.cloudbeds.com/connect/8493803454333002#/reservations/598466142430?display=E1D6GKBC&amp;reservation_id=598466142430", "E1D6GKBC")</f>
        <v>E1D6GKBC</v>
      </c>
      <c r="D1105" t="s">
        <v>45</v>
      </c>
      <c r="E1105" t="s">
        <v>128</v>
      </c>
      <c r="F1105" t="s">
        <v>86</v>
      </c>
      <c r="G1105" t="s">
        <v>48</v>
      </c>
      <c r="H1105" t="s">
        <v>49</v>
      </c>
      <c r="I1105" t="s">
        <v>50</v>
      </c>
      <c r="J1105" t="s">
        <v>88</v>
      </c>
      <c r="K1105" t="s">
        <v>327</v>
      </c>
      <c r="L1105" t="s">
        <v>53</v>
      </c>
      <c r="N1105" t="s">
        <v>2032</v>
      </c>
      <c r="P1105" t="s">
        <v>55</v>
      </c>
      <c r="R1105" t="s">
        <v>56</v>
      </c>
      <c r="T1105" t="s">
        <v>2009</v>
      </c>
      <c r="U1105" t="s">
        <v>58</v>
      </c>
      <c r="V1105">
        <v>1</v>
      </c>
      <c r="W1105">
        <v>1</v>
      </c>
      <c r="X1105">
        <v>1</v>
      </c>
      <c r="Y1105">
        <v>0</v>
      </c>
      <c r="Z1105">
        <v>1</v>
      </c>
      <c r="AA1105">
        <v>0</v>
      </c>
      <c r="AB1105">
        <v>159.56</v>
      </c>
      <c r="AC1105">
        <v>140.4</v>
      </c>
      <c r="AD1105">
        <v>0</v>
      </c>
      <c r="AE1105">
        <v>19.16</v>
      </c>
      <c r="AF1105">
        <v>0</v>
      </c>
      <c r="AG1105">
        <v>0</v>
      </c>
      <c r="AH1105">
        <v>0</v>
      </c>
      <c r="AI1105">
        <v>28.72</v>
      </c>
      <c r="AJ1105">
        <v>159.56</v>
      </c>
      <c r="AK1105">
        <v>0</v>
      </c>
      <c r="AL1105" t="s">
        <v>53</v>
      </c>
      <c r="AM1105" t="s">
        <v>53</v>
      </c>
      <c r="AN1105" t="s">
        <v>104</v>
      </c>
      <c r="AO1105" t="s">
        <v>53</v>
      </c>
      <c r="AP1105" t="s">
        <v>53</v>
      </c>
    </row>
    <row r="1106" spans="2:42" x14ac:dyDescent="0.2">
      <c r="B1106" t="s">
        <v>44</v>
      </c>
      <c r="C1106" t="str">
        <f>HYPERLINK("https://us2.cloudbeds.com/connect/8493803454333002#/reservations/598481461428?display=E1DJDTCE&amp;reservation_id=598481461428", "E1DJDTCE")</f>
        <v>E1DJDTCE</v>
      </c>
      <c r="D1106" t="s">
        <v>45</v>
      </c>
      <c r="E1106" t="s">
        <v>105</v>
      </c>
      <c r="F1106" t="s">
        <v>47</v>
      </c>
      <c r="G1106" t="s">
        <v>48</v>
      </c>
      <c r="H1106" t="s">
        <v>49</v>
      </c>
      <c r="I1106" t="s">
        <v>50</v>
      </c>
      <c r="J1106" t="s">
        <v>554</v>
      </c>
      <c r="K1106" t="s">
        <v>881</v>
      </c>
      <c r="L1106" t="s">
        <v>53</v>
      </c>
      <c r="N1106" t="s">
        <v>2033</v>
      </c>
      <c r="P1106" t="s">
        <v>55</v>
      </c>
      <c r="R1106" t="s">
        <v>56</v>
      </c>
      <c r="T1106" t="s">
        <v>2009</v>
      </c>
      <c r="U1106" t="s">
        <v>58</v>
      </c>
      <c r="V1106">
        <v>1</v>
      </c>
      <c r="W1106">
        <v>1</v>
      </c>
      <c r="X1106">
        <v>1</v>
      </c>
      <c r="Y1106">
        <v>0</v>
      </c>
      <c r="Z1106">
        <v>1</v>
      </c>
      <c r="AA1106">
        <v>0</v>
      </c>
      <c r="AB1106">
        <v>73.650000000000006</v>
      </c>
      <c r="AC1106">
        <v>64.8</v>
      </c>
      <c r="AD1106">
        <v>0</v>
      </c>
      <c r="AE1106">
        <v>8.85</v>
      </c>
      <c r="AF1106">
        <v>0</v>
      </c>
      <c r="AG1106">
        <v>0</v>
      </c>
      <c r="AH1106">
        <v>0</v>
      </c>
      <c r="AI1106">
        <v>13.26</v>
      </c>
      <c r="AJ1106">
        <v>73.650000000000006</v>
      </c>
      <c r="AK1106">
        <v>0</v>
      </c>
      <c r="AL1106" t="s">
        <v>53</v>
      </c>
      <c r="AM1106" t="s">
        <v>53</v>
      </c>
      <c r="AN1106" t="s">
        <v>127</v>
      </c>
      <c r="AO1106" t="s">
        <v>53</v>
      </c>
      <c r="AP1106" t="s">
        <v>53</v>
      </c>
    </row>
    <row r="1107" spans="2:42" x14ac:dyDescent="0.2">
      <c r="B1107" t="s">
        <v>44</v>
      </c>
      <c r="C1107" t="str">
        <f>HYPERLINK("https://us2.cloudbeds.com/connect/8493803454333002#/reservations/598580797685?display=E1G46281&amp;reservation_id=598580797685", "E1G46281")</f>
        <v>E1G46281</v>
      </c>
      <c r="D1107" t="s">
        <v>45</v>
      </c>
      <c r="E1107" t="s">
        <v>185</v>
      </c>
      <c r="F1107" t="s">
        <v>47</v>
      </c>
      <c r="G1107" t="s">
        <v>48</v>
      </c>
      <c r="H1107" t="s">
        <v>49</v>
      </c>
      <c r="I1107" t="s">
        <v>50</v>
      </c>
      <c r="J1107" t="s">
        <v>282</v>
      </c>
      <c r="K1107" t="s">
        <v>709</v>
      </c>
      <c r="L1107" t="s">
        <v>53</v>
      </c>
      <c r="N1107" t="s">
        <v>2034</v>
      </c>
      <c r="P1107" t="s">
        <v>55</v>
      </c>
      <c r="R1107" t="s">
        <v>56</v>
      </c>
      <c r="T1107" t="s">
        <v>2009</v>
      </c>
      <c r="U1107" t="s">
        <v>58</v>
      </c>
      <c r="V1107">
        <v>2</v>
      </c>
      <c r="W1107">
        <v>1</v>
      </c>
      <c r="X1107">
        <v>1</v>
      </c>
      <c r="Y1107">
        <v>0</v>
      </c>
      <c r="Z1107">
        <v>1</v>
      </c>
      <c r="AA1107">
        <v>0</v>
      </c>
      <c r="AB1107">
        <v>255.71</v>
      </c>
      <c r="AC1107">
        <v>225</v>
      </c>
      <c r="AD1107">
        <v>0</v>
      </c>
      <c r="AE1107">
        <v>30.72</v>
      </c>
      <c r="AF1107">
        <v>0</v>
      </c>
      <c r="AG1107">
        <v>0</v>
      </c>
      <c r="AH1107">
        <v>0</v>
      </c>
      <c r="AI1107">
        <v>46.03</v>
      </c>
      <c r="AJ1107">
        <v>255.72</v>
      </c>
      <c r="AK1107">
        <v>0.01</v>
      </c>
      <c r="AL1107" t="s">
        <v>53</v>
      </c>
      <c r="AM1107" t="s">
        <v>53</v>
      </c>
      <c r="AN1107" t="s">
        <v>316</v>
      </c>
      <c r="AO1107" t="s">
        <v>53</v>
      </c>
      <c r="AP1107" t="s">
        <v>53</v>
      </c>
    </row>
    <row r="1108" spans="2:42" x14ac:dyDescent="0.2">
      <c r="B1108" t="s">
        <v>44</v>
      </c>
      <c r="C1108" t="str">
        <f>HYPERLINK("https://us2.cloudbeds.com/connect/8493803454333002#/reservations/597601525955?display=E0Z3ECR2&amp;reservation_id=597601525955", "E0Z3ECR2")</f>
        <v>E0Z3ECR2</v>
      </c>
      <c r="D1108" t="s">
        <v>45</v>
      </c>
      <c r="E1108" t="s">
        <v>128</v>
      </c>
      <c r="F1108" t="s">
        <v>86</v>
      </c>
      <c r="G1108" t="s">
        <v>48</v>
      </c>
      <c r="H1108" t="s">
        <v>49</v>
      </c>
      <c r="I1108" t="s">
        <v>79</v>
      </c>
      <c r="J1108" t="s">
        <v>538</v>
      </c>
      <c r="K1108" t="s">
        <v>259</v>
      </c>
      <c r="L1108" t="s">
        <v>53</v>
      </c>
      <c r="N1108" t="s">
        <v>2035</v>
      </c>
      <c r="P1108" t="s">
        <v>55</v>
      </c>
      <c r="R1108" t="s">
        <v>56</v>
      </c>
      <c r="T1108" t="s">
        <v>2036</v>
      </c>
      <c r="U1108" t="s">
        <v>58</v>
      </c>
      <c r="V1108">
        <v>1</v>
      </c>
      <c r="W1108">
        <v>1</v>
      </c>
      <c r="X1108">
        <v>1</v>
      </c>
      <c r="Y1108">
        <v>0</v>
      </c>
      <c r="Z1108">
        <v>1</v>
      </c>
      <c r="AA1108">
        <v>0</v>
      </c>
      <c r="AB1108">
        <v>125.81</v>
      </c>
      <c r="AC1108">
        <v>110.7</v>
      </c>
      <c r="AD1108">
        <v>0</v>
      </c>
      <c r="AE1108">
        <v>15.1</v>
      </c>
      <c r="AF1108">
        <v>0</v>
      </c>
      <c r="AG1108">
        <v>0</v>
      </c>
      <c r="AH1108">
        <v>0</v>
      </c>
      <c r="AI1108">
        <v>0</v>
      </c>
      <c r="AJ1108">
        <v>125.8</v>
      </c>
      <c r="AK1108">
        <v>-0.01</v>
      </c>
      <c r="AL1108" t="s">
        <v>53</v>
      </c>
      <c r="AM1108" t="s">
        <v>53</v>
      </c>
      <c r="AN1108" t="s">
        <v>225</v>
      </c>
      <c r="AO1108" t="s">
        <v>53</v>
      </c>
      <c r="AP1108" t="s">
        <v>53</v>
      </c>
    </row>
    <row r="1109" spans="2:42" x14ac:dyDescent="0.2">
      <c r="B1109" t="s">
        <v>44</v>
      </c>
      <c r="C1109" t="str">
        <f>HYPERLINK("https://us2.cloudbeds.com/connect/8493803454333002#/reservations/597995786374?display=E115T8PX&amp;reservation_id=597995786374", "E115T8PX")</f>
        <v>E115T8PX</v>
      </c>
      <c r="D1109" t="s">
        <v>45</v>
      </c>
      <c r="E1109" t="s">
        <v>190</v>
      </c>
      <c r="F1109" t="s">
        <v>61</v>
      </c>
      <c r="G1109" t="s">
        <v>48</v>
      </c>
      <c r="H1109" t="s">
        <v>71</v>
      </c>
      <c r="I1109" t="s">
        <v>72</v>
      </c>
      <c r="J1109" t="s">
        <v>568</v>
      </c>
      <c r="K1109" t="s">
        <v>180</v>
      </c>
      <c r="L1109" t="s">
        <v>53</v>
      </c>
      <c r="N1109" t="s">
        <v>2037</v>
      </c>
      <c r="P1109" t="s">
        <v>55</v>
      </c>
      <c r="R1109" t="s">
        <v>56</v>
      </c>
      <c r="T1109" t="s">
        <v>2036</v>
      </c>
      <c r="U1109" t="s">
        <v>58</v>
      </c>
      <c r="V1109">
        <v>1</v>
      </c>
      <c r="W1109">
        <v>1</v>
      </c>
      <c r="X1109">
        <v>1</v>
      </c>
      <c r="Y1109">
        <v>0</v>
      </c>
      <c r="Z1109">
        <v>1</v>
      </c>
      <c r="AA1109">
        <v>0</v>
      </c>
      <c r="AB1109">
        <v>157.97</v>
      </c>
      <c r="AC1109">
        <v>139</v>
      </c>
      <c r="AD1109">
        <v>0</v>
      </c>
      <c r="AE1109">
        <v>18.98</v>
      </c>
      <c r="AF1109">
        <v>0</v>
      </c>
      <c r="AG1109">
        <v>0</v>
      </c>
      <c r="AH1109">
        <v>0</v>
      </c>
      <c r="AI1109">
        <v>0</v>
      </c>
      <c r="AJ1109">
        <v>157.97999999999999</v>
      </c>
      <c r="AK1109">
        <v>0.01</v>
      </c>
      <c r="AL1109" t="s">
        <v>53</v>
      </c>
      <c r="AM1109" t="s">
        <v>53</v>
      </c>
      <c r="AN1109" t="s">
        <v>2038</v>
      </c>
      <c r="AO1109" t="s">
        <v>53</v>
      </c>
      <c r="AP1109" t="s">
        <v>53</v>
      </c>
    </row>
    <row r="1110" spans="2:42" x14ac:dyDescent="0.2">
      <c r="B1110" t="s">
        <v>44</v>
      </c>
      <c r="C1110" t="str">
        <f>HYPERLINK("https://us2.cloudbeds.com/connect/8493803454333002#/reservations/579169697933?display=DJF47JU1&amp;reservation_id=579169697933", "DJF47JU1")</f>
        <v>DJF47JU1</v>
      </c>
      <c r="D1110" t="s">
        <v>45</v>
      </c>
      <c r="E1110" t="s">
        <v>121</v>
      </c>
      <c r="F1110" t="s">
        <v>86</v>
      </c>
      <c r="G1110" t="s">
        <v>48</v>
      </c>
      <c r="H1110" t="s">
        <v>49</v>
      </c>
      <c r="I1110" t="s">
        <v>50</v>
      </c>
      <c r="J1110" t="s">
        <v>2039</v>
      </c>
      <c r="K1110" t="s">
        <v>1141</v>
      </c>
      <c r="L1110" t="s">
        <v>53</v>
      </c>
      <c r="N1110" t="s">
        <v>2040</v>
      </c>
      <c r="P1110" t="s">
        <v>55</v>
      </c>
      <c r="R1110" t="s">
        <v>56</v>
      </c>
      <c r="T1110" t="s">
        <v>2036</v>
      </c>
      <c r="U1110" t="s">
        <v>58</v>
      </c>
      <c r="V1110">
        <v>1</v>
      </c>
      <c r="W1110">
        <v>1</v>
      </c>
      <c r="X1110">
        <v>1</v>
      </c>
      <c r="Y1110">
        <v>0</v>
      </c>
      <c r="Z1110">
        <v>1</v>
      </c>
      <c r="AA1110">
        <v>0</v>
      </c>
      <c r="AB1110">
        <v>163.66</v>
      </c>
      <c r="AC1110">
        <v>144</v>
      </c>
      <c r="AD1110">
        <v>0</v>
      </c>
      <c r="AE1110">
        <v>19.66</v>
      </c>
      <c r="AF1110">
        <v>0</v>
      </c>
      <c r="AG1110">
        <v>0</v>
      </c>
      <c r="AH1110">
        <v>0</v>
      </c>
      <c r="AI1110">
        <v>29.46</v>
      </c>
      <c r="AJ1110">
        <v>163.66</v>
      </c>
      <c r="AK1110">
        <v>0</v>
      </c>
      <c r="AL1110" t="s">
        <v>53</v>
      </c>
      <c r="AM1110" t="s">
        <v>53</v>
      </c>
      <c r="AN1110" t="s">
        <v>137</v>
      </c>
      <c r="AO1110" t="s">
        <v>53</v>
      </c>
      <c r="AP1110" t="s">
        <v>53</v>
      </c>
    </row>
    <row r="1111" spans="2:42" x14ac:dyDescent="0.2">
      <c r="B1111" t="s">
        <v>44</v>
      </c>
      <c r="C1111" t="str">
        <f>HYPERLINK("https://us2.cloudbeds.com/connect/8493803454333002#/reservations/579171147982?display=DJF5EVEU&amp;reservation_id=579171147982", "DJF5EVEU")</f>
        <v>DJF5EVEU</v>
      </c>
      <c r="D1111" t="s">
        <v>45</v>
      </c>
      <c r="E1111" t="s">
        <v>121</v>
      </c>
      <c r="F1111" t="s">
        <v>86</v>
      </c>
      <c r="G1111" t="s">
        <v>48</v>
      </c>
      <c r="H1111" t="s">
        <v>49</v>
      </c>
      <c r="I1111" t="s">
        <v>50</v>
      </c>
      <c r="J1111" t="s">
        <v>1451</v>
      </c>
      <c r="K1111" t="s">
        <v>1515</v>
      </c>
      <c r="L1111" t="s">
        <v>53</v>
      </c>
      <c r="N1111" t="s">
        <v>2041</v>
      </c>
      <c r="P1111" t="s">
        <v>55</v>
      </c>
      <c r="R1111" t="s">
        <v>56</v>
      </c>
      <c r="T1111" t="s">
        <v>2036</v>
      </c>
      <c r="U1111" t="s">
        <v>58</v>
      </c>
      <c r="V1111">
        <v>1</v>
      </c>
      <c r="W1111">
        <v>1</v>
      </c>
      <c r="X1111">
        <v>1</v>
      </c>
      <c r="Y1111">
        <v>0</v>
      </c>
      <c r="Z1111">
        <v>1</v>
      </c>
      <c r="AA1111">
        <v>0</v>
      </c>
      <c r="AB1111">
        <v>163.66</v>
      </c>
      <c r="AC1111">
        <v>144</v>
      </c>
      <c r="AD1111">
        <v>0</v>
      </c>
      <c r="AE1111">
        <v>19.66</v>
      </c>
      <c r="AF1111">
        <v>0</v>
      </c>
      <c r="AG1111">
        <v>0</v>
      </c>
      <c r="AH1111">
        <v>0</v>
      </c>
      <c r="AI1111">
        <v>29.46</v>
      </c>
      <c r="AJ1111">
        <v>163.66</v>
      </c>
      <c r="AK1111">
        <v>0</v>
      </c>
      <c r="AL1111" t="s">
        <v>53</v>
      </c>
      <c r="AM1111" t="s">
        <v>53</v>
      </c>
      <c r="AN1111" t="s">
        <v>132</v>
      </c>
      <c r="AO1111" t="s">
        <v>53</v>
      </c>
      <c r="AP1111" t="s">
        <v>53</v>
      </c>
    </row>
    <row r="1112" spans="2:42" x14ac:dyDescent="0.2">
      <c r="B1112" t="s">
        <v>44</v>
      </c>
      <c r="C1112" t="str">
        <f>HYPERLINK("https://us2.cloudbeds.com/connect/8493803454333002#/reservations/598544130236?display=E1F68ZG7&amp;reservation_id=598544130236", "E1F68ZG7")</f>
        <v>E1F68ZG7</v>
      </c>
      <c r="D1112" t="s">
        <v>45</v>
      </c>
      <c r="E1112" t="s">
        <v>110</v>
      </c>
      <c r="F1112" t="s">
        <v>47</v>
      </c>
      <c r="G1112" t="s">
        <v>48</v>
      </c>
      <c r="H1112" t="s">
        <v>49</v>
      </c>
      <c r="I1112" t="s">
        <v>50</v>
      </c>
      <c r="J1112" t="s">
        <v>881</v>
      </c>
      <c r="K1112" t="s">
        <v>882</v>
      </c>
      <c r="L1112" t="s">
        <v>53</v>
      </c>
      <c r="N1112" t="s">
        <v>2042</v>
      </c>
      <c r="P1112" t="s">
        <v>55</v>
      </c>
      <c r="R1112" t="s">
        <v>56</v>
      </c>
      <c r="T1112" t="s">
        <v>2036</v>
      </c>
      <c r="U1112" t="s">
        <v>58</v>
      </c>
      <c r="V1112">
        <v>1</v>
      </c>
      <c r="W1112">
        <v>1</v>
      </c>
      <c r="X1112">
        <v>1</v>
      </c>
      <c r="Y1112">
        <v>0</v>
      </c>
      <c r="Z1112">
        <v>1</v>
      </c>
      <c r="AA1112">
        <v>0</v>
      </c>
      <c r="AB1112">
        <v>78.760000000000005</v>
      </c>
      <c r="AC1112">
        <v>69.3</v>
      </c>
      <c r="AD1112">
        <v>0</v>
      </c>
      <c r="AE1112">
        <v>9.4700000000000006</v>
      </c>
      <c r="AF1112">
        <v>0</v>
      </c>
      <c r="AG1112">
        <v>0</v>
      </c>
      <c r="AH1112">
        <v>0</v>
      </c>
      <c r="AI1112">
        <v>14.18</v>
      </c>
      <c r="AJ1112">
        <v>78.77</v>
      </c>
      <c r="AK1112">
        <v>0.01</v>
      </c>
      <c r="AL1112" t="s">
        <v>53</v>
      </c>
      <c r="AM1112" t="s">
        <v>53</v>
      </c>
      <c r="AN1112" t="s">
        <v>84</v>
      </c>
      <c r="AO1112" t="s">
        <v>53</v>
      </c>
      <c r="AP1112" t="s">
        <v>53</v>
      </c>
    </row>
    <row r="1113" spans="2:42" x14ac:dyDescent="0.2">
      <c r="B1113" t="s">
        <v>44</v>
      </c>
      <c r="C1113" t="str">
        <f>HYPERLINK("https://us2.cloudbeds.com/connect/8493803454333002#/reservations/598345375902?display=E1A3M3KK&amp;reservation_id=598345375902", "E1A3M3KK")</f>
        <v>E1A3M3KK</v>
      </c>
      <c r="D1113" t="s">
        <v>45</v>
      </c>
      <c r="E1113" t="s">
        <v>98</v>
      </c>
      <c r="F1113" t="s">
        <v>86</v>
      </c>
      <c r="G1113" t="s">
        <v>48</v>
      </c>
      <c r="H1113" t="s">
        <v>49</v>
      </c>
      <c r="I1113" t="s">
        <v>79</v>
      </c>
      <c r="J1113" t="s">
        <v>881</v>
      </c>
      <c r="K1113" t="s">
        <v>882</v>
      </c>
      <c r="L1113" t="s">
        <v>53</v>
      </c>
      <c r="N1113" t="s">
        <v>2043</v>
      </c>
      <c r="P1113" t="s">
        <v>55</v>
      </c>
      <c r="R1113" t="s">
        <v>56</v>
      </c>
      <c r="T1113" t="s">
        <v>2036</v>
      </c>
      <c r="U1113" t="s">
        <v>58</v>
      </c>
      <c r="V1113">
        <v>1</v>
      </c>
      <c r="W1113">
        <v>1</v>
      </c>
      <c r="X1113">
        <v>1</v>
      </c>
      <c r="Y1113">
        <v>0</v>
      </c>
      <c r="Z1113">
        <v>1</v>
      </c>
      <c r="AA1113">
        <v>0</v>
      </c>
      <c r="AB1113">
        <v>99.22</v>
      </c>
      <c r="AC1113">
        <v>87.3</v>
      </c>
      <c r="AD1113">
        <v>0</v>
      </c>
      <c r="AE1113">
        <v>11.92</v>
      </c>
      <c r="AF1113">
        <v>0</v>
      </c>
      <c r="AG1113">
        <v>0</v>
      </c>
      <c r="AH1113">
        <v>0</v>
      </c>
      <c r="AI1113">
        <v>0</v>
      </c>
      <c r="AJ1113">
        <v>99.22</v>
      </c>
      <c r="AK1113">
        <v>0</v>
      </c>
      <c r="AL1113" t="s">
        <v>53</v>
      </c>
      <c r="AM1113" t="s">
        <v>53</v>
      </c>
      <c r="AN1113" t="s">
        <v>59</v>
      </c>
      <c r="AO1113" t="s">
        <v>53</v>
      </c>
      <c r="AP1113" t="s">
        <v>53</v>
      </c>
    </row>
    <row r="1114" spans="2:42" x14ac:dyDescent="0.2">
      <c r="B1114" t="s">
        <v>44</v>
      </c>
      <c r="C1114" t="str">
        <f>HYPERLINK("https://us2.cloudbeds.com/connect/8493803454333002#/reservations/598441062539?display=E1CXBZ4Y&amp;reservation_id=598441062539", "E1CXBZ4Y")</f>
        <v>E1CXBZ4Y</v>
      </c>
      <c r="D1114" t="s">
        <v>45</v>
      </c>
      <c r="E1114" t="s">
        <v>381</v>
      </c>
      <c r="F1114" t="s">
        <v>47</v>
      </c>
      <c r="G1114" t="s">
        <v>48</v>
      </c>
      <c r="H1114" t="s">
        <v>71</v>
      </c>
      <c r="I1114" t="s">
        <v>72</v>
      </c>
      <c r="J1114" t="s">
        <v>260</v>
      </c>
      <c r="K1114" t="s">
        <v>133</v>
      </c>
      <c r="L1114" t="s">
        <v>53</v>
      </c>
      <c r="N1114" t="s">
        <v>2044</v>
      </c>
      <c r="P1114" t="s">
        <v>55</v>
      </c>
      <c r="R1114" t="s">
        <v>56</v>
      </c>
      <c r="T1114" t="s">
        <v>2036</v>
      </c>
      <c r="U1114" t="s">
        <v>58</v>
      </c>
      <c r="V1114">
        <v>3</v>
      </c>
      <c r="W1114">
        <v>1</v>
      </c>
      <c r="X1114">
        <v>1</v>
      </c>
      <c r="Y1114">
        <v>0</v>
      </c>
      <c r="Z1114">
        <v>1</v>
      </c>
      <c r="AA1114">
        <v>0</v>
      </c>
      <c r="AB1114">
        <v>443.24</v>
      </c>
      <c r="AC1114">
        <v>390</v>
      </c>
      <c r="AD1114">
        <v>0</v>
      </c>
      <c r="AE1114">
        <v>53.25</v>
      </c>
      <c r="AF1114">
        <v>0</v>
      </c>
      <c r="AG1114">
        <v>0</v>
      </c>
      <c r="AH1114">
        <v>0</v>
      </c>
      <c r="AI1114">
        <v>0</v>
      </c>
      <c r="AJ1114">
        <v>443.25</v>
      </c>
      <c r="AK1114">
        <v>0.01</v>
      </c>
      <c r="AL1114" t="s">
        <v>53</v>
      </c>
      <c r="AM1114" t="s">
        <v>53</v>
      </c>
      <c r="AN1114" t="s">
        <v>2045</v>
      </c>
      <c r="AO1114" t="s">
        <v>53</v>
      </c>
      <c r="AP1114" t="s">
        <v>53</v>
      </c>
    </row>
    <row r="1115" spans="2:42" x14ac:dyDescent="0.2">
      <c r="B1115" t="s">
        <v>44</v>
      </c>
      <c r="C1115" t="str">
        <f>HYPERLINK("https://us2.cloudbeds.com/connect/8493803454333002#/reservations/598439485581?display=E1CH0S22&amp;reservation_id=598439485581", "E1CH0S22")</f>
        <v>E1CH0S22</v>
      </c>
      <c r="D1115" t="s">
        <v>45</v>
      </c>
      <c r="E1115" t="s">
        <v>85</v>
      </c>
      <c r="F1115" t="s">
        <v>86</v>
      </c>
      <c r="G1115" t="s">
        <v>48</v>
      </c>
      <c r="H1115" t="s">
        <v>49</v>
      </c>
      <c r="I1115" t="s">
        <v>50</v>
      </c>
      <c r="J1115" t="s">
        <v>783</v>
      </c>
      <c r="K1115" t="s">
        <v>333</v>
      </c>
      <c r="L1115" t="s">
        <v>53</v>
      </c>
      <c r="N1115" t="s">
        <v>2046</v>
      </c>
      <c r="P1115" t="s">
        <v>55</v>
      </c>
      <c r="R1115" t="s">
        <v>56</v>
      </c>
      <c r="T1115" t="s">
        <v>2036</v>
      </c>
      <c r="U1115" t="s">
        <v>58</v>
      </c>
      <c r="V1115">
        <v>2</v>
      </c>
      <c r="W1115">
        <v>1</v>
      </c>
      <c r="X1115">
        <v>1</v>
      </c>
      <c r="Y1115">
        <v>0</v>
      </c>
      <c r="Z1115">
        <v>1</v>
      </c>
      <c r="AA1115">
        <v>0</v>
      </c>
      <c r="AB1115">
        <v>345.72</v>
      </c>
      <c r="AC1115">
        <v>304.2</v>
      </c>
      <c r="AD1115">
        <v>0</v>
      </c>
      <c r="AE1115">
        <v>41.52</v>
      </c>
      <c r="AF1115">
        <v>0</v>
      </c>
      <c r="AG1115">
        <v>0</v>
      </c>
      <c r="AH1115">
        <v>0</v>
      </c>
      <c r="AI1115">
        <v>62.23</v>
      </c>
      <c r="AJ1115">
        <v>345.72</v>
      </c>
      <c r="AK1115">
        <v>0</v>
      </c>
      <c r="AL1115" t="s">
        <v>53</v>
      </c>
      <c r="AM1115" t="s">
        <v>53</v>
      </c>
      <c r="AN1115" t="s">
        <v>68</v>
      </c>
      <c r="AO1115" t="s">
        <v>53</v>
      </c>
      <c r="AP1115" t="s">
        <v>53</v>
      </c>
    </row>
    <row r="1116" spans="2:42" x14ac:dyDescent="0.2">
      <c r="B1116" t="s">
        <v>44</v>
      </c>
      <c r="C1116" t="str">
        <f>HYPERLINK("https://us2.cloudbeds.com/connect/8493803454333002#/reservations/598547898505?display=E1F9EJQ1&amp;reservation_id=598547898505", "E1F9EJQ1")</f>
        <v>E1F9EJQ1</v>
      </c>
      <c r="D1116" t="s">
        <v>45</v>
      </c>
      <c r="E1116" t="s">
        <v>406</v>
      </c>
      <c r="F1116" t="s">
        <v>61</v>
      </c>
      <c r="G1116" t="s">
        <v>48</v>
      </c>
      <c r="H1116" t="s">
        <v>49</v>
      </c>
      <c r="I1116" t="s">
        <v>62</v>
      </c>
      <c r="J1116" t="s">
        <v>881</v>
      </c>
      <c r="K1116" t="s">
        <v>882</v>
      </c>
      <c r="L1116" t="s">
        <v>53</v>
      </c>
      <c r="N1116" t="s">
        <v>2047</v>
      </c>
      <c r="P1116" t="s">
        <v>55</v>
      </c>
      <c r="R1116" t="s">
        <v>56</v>
      </c>
      <c r="T1116" t="s">
        <v>2036</v>
      </c>
      <c r="U1116" t="s">
        <v>58</v>
      </c>
      <c r="V1116">
        <v>1</v>
      </c>
      <c r="W1116">
        <v>1</v>
      </c>
      <c r="X1116">
        <v>1</v>
      </c>
      <c r="Y1116">
        <v>0</v>
      </c>
      <c r="Z1116">
        <v>1</v>
      </c>
      <c r="AA1116">
        <v>0</v>
      </c>
      <c r="AB1116">
        <v>94.27</v>
      </c>
      <c r="AC1116">
        <v>82.95</v>
      </c>
      <c r="AD1116">
        <v>0</v>
      </c>
      <c r="AE1116">
        <v>11.32</v>
      </c>
      <c r="AF1116">
        <v>0</v>
      </c>
      <c r="AG1116">
        <v>0</v>
      </c>
      <c r="AH1116">
        <v>0</v>
      </c>
      <c r="AI1116">
        <v>14.14</v>
      </c>
      <c r="AJ1116">
        <v>94.27</v>
      </c>
      <c r="AK1116">
        <v>0</v>
      </c>
      <c r="AL1116" t="s">
        <v>53</v>
      </c>
      <c r="AM1116" t="s">
        <v>53</v>
      </c>
      <c r="AN1116" t="s">
        <v>2048</v>
      </c>
      <c r="AO1116" t="s">
        <v>53</v>
      </c>
      <c r="AP1116" t="s">
        <v>53</v>
      </c>
    </row>
    <row r="1117" spans="2:42" x14ac:dyDescent="0.2">
      <c r="B1117" t="s">
        <v>44</v>
      </c>
      <c r="C1117" t="str">
        <f>HYPERLINK("https://us2.cloudbeds.com/connect/8493803454333002#/reservations/598452523227?display=E1CS0Y67&amp;reservation_id=598452523227", "E1CS0Y67")</f>
        <v>E1CS0Y67</v>
      </c>
      <c r="D1117" t="s">
        <v>45</v>
      </c>
      <c r="E1117" t="s">
        <v>92</v>
      </c>
      <c r="F1117" t="s">
        <v>86</v>
      </c>
      <c r="G1117" t="s">
        <v>48</v>
      </c>
      <c r="H1117" t="s">
        <v>49</v>
      </c>
      <c r="I1117" t="s">
        <v>50</v>
      </c>
      <c r="J1117" t="s">
        <v>783</v>
      </c>
      <c r="K1117" t="s">
        <v>333</v>
      </c>
      <c r="L1117" t="s">
        <v>53</v>
      </c>
      <c r="N1117" t="s">
        <v>2049</v>
      </c>
      <c r="P1117" t="s">
        <v>55</v>
      </c>
      <c r="R1117" t="s">
        <v>56</v>
      </c>
      <c r="T1117" t="s">
        <v>2036</v>
      </c>
      <c r="U1117" t="s">
        <v>58</v>
      </c>
      <c r="V1117">
        <v>2</v>
      </c>
      <c r="W1117">
        <v>1</v>
      </c>
      <c r="X1117">
        <v>1</v>
      </c>
      <c r="Y1117">
        <v>0</v>
      </c>
      <c r="Z1117">
        <v>1</v>
      </c>
      <c r="AA1117">
        <v>0</v>
      </c>
      <c r="AB1117">
        <v>345.72</v>
      </c>
      <c r="AC1117">
        <v>304.2</v>
      </c>
      <c r="AD1117">
        <v>0</v>
      </c>
      <c r="AE1117">
        <v>41.52</v>
      </c>
      <c r="AF1117">
        <v>0</v>
      </c>
      <c r="AG1117">
        <v>0</v>
      </c>
      <c r="AH1117">
        <v>0</v>
      </c>
      <c r="AI1117">
        <v>62.23</v>
      </c>
      <c r="AJ1117">
        <v>345.72</v>
      </c>
      <c r="AK1117">
        <v>0</v>
      </c>
      <c r="AL1117" t="s">
        <v>53</v>
      </c>
      <c r="AM1117" t="s">
        <v>53</v>
      </c>
      <c r="AN1117" t="s">
        <v>84</v>
      </c>
      <c r="AO1117" t="s">
        <v>53</v>
      </c>
      <c r="AP1117" t="s">
        <v>53</v>
      </c>
    </row>
    <row r="1118" spans="2:42" x14ac:dyDescent="0.2">
      <c r="B1118" t="s">
        <v>44</v>
      </c>
      <c r="C1118" t="str">
        <f>HYPERLINK("https://us2.cloudbeds.com/connect/8493803454333002#/reservations/598533226649?display=E1EU2B0G&amp;reservation_id=598533226649", "E1EU2B0G")</f>
        <v>E1EU2B0G</v>
      </c>
      <c r="D1118" t="s">
        <v>45</v>
      </c>
      <c r="E1118" t="s">
        <v>305</v>
      </c>
      <c r="F1118" t="s">
        <v>61</v>
      </c>
      <c r="G1118" t="s">
        <v>48</v>
      </c>
      <c r="H1118" t="s">
        <v>49</v>
      </c>
      <c r="I1118" t="s">
        <v>62</v>
      </c>
      <c r="J1118" t="s">
        <v>881</v>
      </c>
      <c r="K1118" t="s">
        <v>882</v>
      </c>
      <c r="L1118" t="s">
        <v>53</v>
      </c>
      <c r="N1118" t="s">
        <v>2047</v>
      </c>
      <c r="P1118" t="s">
        <v>55</v>
      </c>
      <c r="R1118" t="s">
        <v>56</v>
      </c>
      <c r="T1118" t="s">
        <v>2036</v>
      </c>
      <c r="U1118" t="s">
        <v>58</v>
      </c>
      <c r="V1118">
        <v>1</v>
      </c>
      <c r="W1118">
        <v>1</v>
      </c>
      <c r="X1118">
        <v>1</v>
      </c>
      <c r="Y1118">
        <v>0</v>
      </c>
      <c r="Z1118">
        <v>1</v>
      </c>
      <c r="AA1118">
        <v>0</v>
      </c>
      <c r="AB1118">
        <v>94.27</v>
      </c>
      <c r="AC1118">
        <v>82.95</v>
      </c>
      <c r="AD1118">
        <v>0</v>
      </c>
      <c r="AE1118">
        <v>11.32</v>
      </c>
      <c r="AF1118">
        <v>0</v>
      </c>
      <c r="AG1118">
        <v>0</v>
      </c>
      <c r="AH1118">
        <v>0</v>
      </c>
      <c r="AI1118">
        <v>14.14</v>
      </c>
      <c r="AJ1118">
        <v>94.27</v>
      </c>
      <c r="AK1118">
        <v>0</v>
      </c>
      <c r="AL1118" t="s">
        <v>53</v>
      </c>
      <c r="AM1118" t="s">
        <v>53</v>
      </c>
      <c r="AN1118" t="s">
        <v>780</v>
      </c>
      <c r="AO1118" t="s">
        <v>53</v>
      </c>
      <c r="AP1118" t="s">
        <v>53</v>
      </c>
    </row>
    <row r="1119" spans="2:42" x14ac:dyDescent="0.2">
      <c r="B1119" t="s">
        <v>44</v>
      </c>
      <c r="C1119" t="str">
        <f>HYPERLINK("https://us2.cloudbeds.com/connect/8493803454333002#/reservations/579392332013?display=DJKQVNU9&amp;reservation_id=579392332013", "DJKQVNU9")</f>
        <v>DJKQVNU9</v>
      </c>
      <c r="D1119" t="s">
        <v>45</v>
      </c>
      <c r="E1119" t="s">
        <v>2050</v>
      </c>
      <c r="F1119" t="s">
        <v>61</v>
      </c>
      <c r="G1119" t="s">
        <v>48</v>
      </c>
      <c r="H1119" t="s">
        <v>49</v>
      </c>
      <c r="I1119" t="s">
        <v>62</v>
      </c>
      <c r="J1119" t="s">
        <v>1898</v>
      </c>
      <c r="K1119" t="s">
        <v>1458</v>
      </c>
      <c r="L1119" t="s">
        <v>53</v>
      </c>
      <c r="N1119" t="s">
        <v>2051</v>
      </c>
      <c r="P1119" t="s">
        <v>55</v>
      </c>
      <c r="R1119" t="s">
        <v>56</v>
      </c>
      <c r="T1119" t="s">
        <v>2036</v>
      </c>
      <c r="U1119" t="s">
        <v>58</v>
      </c>
      <c r="V1119">
        <v>2</v>
      </c>
      <c r="W1119">
        <v>2</v>
      </c>
      <c r="X1119">
        <v>2</v>
      </c>
      <c r="Y1119">
        <v>0</v>
      </c>
      <c r="Z1119">
        <v>2</v>
      </c>
      <c r="AA1119">
        <v>0</v>
      </c>
      <c r="AB1119">
        <v>277.32</v>
      </c>
      <c r="AC1119">
        <v>244</v>
      </c>
      <c r="AD1119">
        <v>0</v>
      </c>
      <c r="AE1119">
        <v>33.32</v>
      </c>
      <c r="AF1119">
        <v>0</v>
      </c>
      <c r="AG1119">
        <v>0</v>
      </c>
      <c r="AH1119">
        <v>0</v>
      </c>
      <c r="AI1119">
        <v>41.6</v>
      </c>
      <c r="AJ1119">
        <v>277.32</v>
      </c>
      <c r="AK1119">
        <v>0</v>
      </c>
      <c r="AL1119" t="s">
        <v>53</v>
      </c>
      <c r="AM1119" t="s">
        <v>53</v>
      </c>
      <c r="AN1119" t="s">
        <v>225</v>
      </c>
      <c r="AO1119" t="s">
        <v>53</v>
      </c>
      <c r="AP1119" t="s">
        <v>53</v>
      </c>
    </row>
    <row r="1120" spans="2:42" x14ac:dyDescent="0.2">
      <c r="B1120" t="s">
        <v>44</v>
      </c>
      <c r="C1120" t="str">
        <f>HYPERLINK("https://us2.cloudbeds.com/connect/8493803454333002#/reservations/598541365425?display=E1F3UQY2&amp;reservation_id=598541365425", "E1F3UQY2")</f>
        <v>E1F3UQY2</v>
      </c>
      <c r="D1120" t="s">
        <v>45</v>
      </c>
      <c r="E1120" t="s">
        <v>373</v>
      </c>
      <c r="F1120" t="s">
        <v>47</v>
      </c>
      <c r="G1120" t="s">
        <v>48</v>
      </c>
      <c r="H1120" t="s">
        <v>49</v>
      </c>
      <c r="I1120" t="s">
        <v>50</v>
      </c>
      <c r="J1120" t="s">
        <v>881</v>
      </c>
      <c r="K1120" t="s">
        <v>882</v>
      </c>
      <c r="L1120" t="s">
        <v>53</v>
      </c>
      <c r="N1120" t="s">
        <v>2052</v>
      </c>
      <c r="P1120" t="s">
        <v>55</v>
      </c>
      <c r="R1120" t="s">
        <v>56</v>
      </c>
      <c r="T1120" t="s">
        <v>2036</v>
      </c>
      <c r="U1120" t="s">
        <v>58</v>
      </c>
      <c r="V1120">
        <v>1</v>
      </c>
      <c r="W1120">
        <v>1</v>
      </c>
      <c r="X1120">
        <v>1</v>
      </c>
      <c r="Y1120">
        <v>0</v>
      </c>
      <c r="Z1120">
        <v>1</v>
      </c>
      <c r="AA1120">
        <v>0</v>
      </c>
      <c r="AB1120">
        <v>78.760000000000005</v>
      </c>
      <c r="AC1120">
        <v>69.3</v>
      </c>
      <c r="AD1120">
        <v>0</v>
      </c>
      <c r="AE1120">
        <v>9.4700000000000006</v>
      </c>
      <c r="AF1120">
        <v>0</v>
      </c>
      <c r="AG1120">
        <v>0</v>
      </c>
      <c r="AH1120">
        <v>0</v>
      </c>
      <c r="AI1120">
        <v>14.18</v>
      </c>
      <c r="AJ1120">
        <v>78.77</v>
      </c>
      <c r="AK1120">
        <v>0.01</v>
      </c>
      <c r="AL1120" t="s">
        <v>53</v>
      </c>
      <c r="AM1120" t="s">
        <v>53</v>
      </c>
      <c r="AN1120" t="s">
        <v>146</v>
      </c>
      <c r="AO1120" t="s">
        <v>53</v>
      </c>
      <c r="AP1120" t="s">
        <v>53</v>
      </c>
    </row>
    <row r="1121" spans="2:42" x14ac:dyDescent="0.2">
      <c r="B1121" t="s">
        <v>44</v>
      </c>
      <c r="C1121" t="str">
        <f>HYPERLINK("https://us2.cloudbeds.com/connect/8493803454333002#/reservations/598045548767?display=E12ERW8S&amp;reservation_id=598045548767", "E12ERW8S")</f>
        <v>E12ERW8S</v>
      </c>
      <c r="D1121" t="s">
        <v>45</v>
      </c>
      <c r="E1121" t="s">
        <v>213</v>
      </c>
      <c r="F1121" t="s">
        <v>86</v>
      </c>
      <c r="G1121" t="s">
        <v>48</v>
      </c>
      <c r="H1121" t="s">
        <v>71</v>
      </c>
      <c r="I1121" t="s">
        <v>72</v>
      </c>
      <c r="J1121" t="s">
        <v>181</v>
      </c>
      <c r="K1121" t="s">
        <v>475</v>
      </c>
      <c r="L1121" t="s">
        <v>53</v>
      </c>
      <c r="N1121" t="s">
        <v>2053</v>
      </c>
      <c r="P1121" t="s">
        <v>58</v>
      </c>
      <c r="R1121" t="s">
        <v>56</v>
      </c>
      <c r="T1121" t="s">
        <v>2036</v>
      </c>
      <c r="U1121" t="s">
        <v>58</v>
      </c>
      <c r="V1121">
        <v>3</v>
      </c>
      <c r="W1121">
        <v>1</v>
      </c>
      <c r="X1121">
        <v>1</v>
      </c>
      <c r="Y1121">
        <v>0</v>
      </c>
      <c r="Z1121">
        <v>1</v>
      </c>
      <c r="AA1121">
        <v>0</v>
      </c>
      <c r="AB1121">
        <v>514.83000000000004</v>
      </c>
      <c r="AC1121">
        <v>453</v>
      </c>
      <c r="AD1121">
        <v>0</v>
      </c>
      <c r="AE1121">
        <v>61.86</v>
      </c>
      <c r="AF1121">
        <v>0</v>
      </c>
      <c r="AG1121">
        <v>0</v>
      </c>
      <c r="AH1121">
        <v>0</v>
      </c>
      <c r="AI1121">
        <v>0</v>
      </c>
      <c r="AJ1121">
        <v>514.86</v>
      </c>
      <c r="AK1121">
        <v>0.03</v>
      </c>
      <c r="AL1121" t="s">
        <v>53</v>
      </c>
      <c r="AM1121" t="s">
        <v>53</v>
      </c>
      <c r="AN1121" t="s">
        <v>378</v>
      </c>
      <c r="AO1121" t="s">
        <v>53</v>
      </c>
      <c r="AP1121" t="s">
        <v>53</v>
      </c>
    </row>
    <row r="1122" spans="2:42" x14ac:dyDescent="0.2">
      <c r="B1122" t="s">
        <v>44</v>
      </c>
      <c r="C1122" t="str">
        <f>HYPERLINK("https://us2.cloudbeds.com/connect/8493803454333002#/reservations/598375514284?display=E1AT2ZTT&amp;reservation_id=598375514284", "E1AT2ZTT")</f>
        <v>E1AT2ZTT</v>
      </c>
      <c r="D1122" t="s">
        <v>45</v>
      </c>
      <c r="E1122" t="s">
        <v>381</v>
      </c>
      <c r="F1122" t="s">
        <v>47</v>
      </c>
      <c r="G1122" t="s">
        <v>48</v>
      </c>
      <c r="H1122" t="s">
        <v>49</v>
      </c>
      <c r="I1122" t="s">
        <v>62</v>
      </c>
      <c r="J1122" t="s">
        <v>881</v>
      </c>
      <c r="K1122" t="s">
        <v>882</v>
      </c>
      <c r="L1122" t="s">
        <v>53</v>
      </c>
      <c r="N1122" t="s">
        <v>2054</v>
      </c>
      <c r="P1122" t="s">
        <v>55</v>
      </c>
      <c r="R1122" t="s">
        <v>56</v>
      </c>
      <c r="T1122" t="s">
        <v>2036</v>
      </c>
      <c r="U1122" t="s">
        <v>58</v>
      </c>
      <c r="V1122">
        <v>1</v>
      </c>
      <c r="W1122">
        <v>1</v>
      </c>
      <c r="X1122">
        <v>1</v>
      </c>
      <c r="Y1122">
        <v>0</v>
      </c>
      <c r="Z1122">
        <v>1</v>
      </c>
      <c r="AA1122">
        <v>0</v>
      </c>
      <c r="AB1122">
        <v>85.92</v>
      </c>
      <c r="AC1122">
        <v>75.599999999999994</v>
      </c>
      <c r="AD1122">
        <v>0</v>
      </c>
      <c r="AE1122">
        <v>10.32</v>
      </c>
      <c r="AF1122">
        <v>0</v>
      </c>
      <c r="AG1122">
        <v>0</v>
      </c>
      <c r="AH1122">
        <v>0</v>
      </c>
      <c r="AI1122">
        <v>12.89</v>
      </c>
      <c r="AJ1122">
        <v>85.92</v>
      </c>
      <c r="AK1122">
        <v>0</v>
      </c>
      <c r="AL1122" t="s">
        <v>53</v>
      </c>
      <c r="AM1122" t="s">
        <v>53</v>
      </c>
      <c r="AN1122" t="s">
        <v>1240</v>
      </c>
      <c r="AO1122" t="s">
        <v>53</v>
      </c>
      <c r="AP1122" t="s">
        <v>53</v>
      </c>
    </row>
    <row r="1123" spans="2:42" x14ac:dyDescent="0.2">
      <c r="B1123" t="s">
        <v>44</v>
      </c>
      <c r="C1123" t="str">
        <f>HYPERLINK("https://us2.cloudbeds.com/connect/8493803454333002#/reservations/598401020034?display=E1BHJG5E&amp;reservation_id=598401020034", "E1BHJG5E")</f>
        <v>E1BHJG5E</v>
      </c>
      <c r="D1123" t="s">
        <v>45</v>
      </c>
      <c r="E1123" t="s">
        <v>85</v>
      </c>
      <c r="F1123" t="s">
        <v>86</v>
      </c>
      <c r="G1123" t="s">
        <v>48</v>
      </c>
      <c r="H1123" t="s">
        <v>49</v>
      </c>
      <c r="I1123" t="s">
        <v>79</v>
      </c>
      <c r="J1123" t="s">
        <v>253</v>
      </c>
      <c r="K1123" t="s">
        <v>354</v>
      </c>
      <c r="L1123" t="s">
        <v>53</v>
      </c>
      <c r="N1123" t="s">
        <v>2055</v>
      </c>
      <c r="P1123" t="s">
        <v>55</v>
      </c>
      <c r="R1123" t="s">
        <v>56</v>
      </c>
      <c r="T1123" t="s">
        <v>2036</v>
      </c>
      <c r="U1123" t="s">
        <v>58</v>
      </c>
      <c r="V1123">
        <v>1</v>
      </c>
      <c r="W1123">
        <v>1</v>
      </c>
      <c r="X1123">
        <v>1</v>
      </c>
      <c r="Y1123">
        <v>0</v>
      </c>
      <c r="Z1123">
        <v>1</v>
      </c>
      <c r="AA1123">
        <v>0</v>
      </c>
      <c r="AB1123">
        <v>119.67</v>
      </c>
      <c r="AC1123">
        <v>105.3</v>
      </c>
      <c r="AD1123">
        <v>0</v>
      </c>
      <c r="AE1123">
        <v>14.38</v>
      </c>
      <c r="AF1123">
        <v>0</v>
      </c>
      <c r="AG1123">
        <v>0</v>
      </c>
      <c r="AH1123">
        <v>0</v>
      </c>
      <c r="AI1123">
        <v>0</v>
      </c>
      <c r="AJ1123">
        <v>119.68</v>
      </c>
      <c r="AK1123">
        <v>0.01</v>
      </c>
      <c r="AL1123" t="s">
        <v>53</v>
      </c>
      <c r="AM1123" t="s">
        <v>53</v>
      </c>
      <c r="AN1123" t="s">
        <v>252</v>
      </c>
      <c r="AO1123" t="s">
        <v>53</v>
      </c>
      <c r="AP1123" t="s">
        <v>53</v>
      </c>
    </row>
    <row r="1124" spans="2:42" x14ac:dyDescent="0.2">
      <c r="B1124" t="s">
        <v>44</v>
      </c>
      <c r="C1124" t="str">
        <f>HYPERLINK("https://us2.cloudbeds.com/connect/8493803454333002#/reservations/598242967715?display=E17GAET7&amp;reservation_id=598242967715", "E17GAET7")</f>
        <v>E17GAET7</v>
      </c>
      <c r="D1124" t="s">
        <v>45</v>
      </c>
      <c r="E1124" t="s">
        <v>69</v>
      </c>
      <c r="F1124" t="s">
        <v>70</v>
      </c>
      <c r="G1124" t="s">
        <v>48</v>
      </c>
      <c r="H1124" t="s">
        <v>49</v>
      </c>
      <c r="I1124" t="s">
        <v>62</v>
      </c>
      <c r="J1124" t="s">
        <v>881</v>
      </c>
      <c r="K1124" t="s">
        <v>882</v>
      </c>
      <c r="L1124" t="s">
        <v>53</v>
      </c>
      <c r="N1124" t="s">
        <v>2056</v>
      </c>
      <c r="P1124" t="s">
        <v>55</v>
      </c>
      <c r="R1124" t="s">
        <v>56</v>
      </c>
      <c r="T1124" t="s">
        <v>2036</v>
      </c>
      <c r="U1124" t="s">
        <v>58</v>
      </c>
      <c r="V1124">
        <v>1</v>
      </c>
      <c r="W1124">
        <v>1</v>
      </c>
      <c r="X1124">
        <v>1</v>
      </c>
      <c r="Y1124">
        <v>0</v>
      </c>
      <c r="Z1124">
        <v>1</v>
      </c>
      <c r="AA1124">
        <v>0</v>
      </c>
      <c r="AB1124">
        <v>83.53</v>
      </c>
      <c r="AC1124">
        <v>73.5</v>
      </c>
      <c r="AD1124">
        <v>0</v>
      </c>
      <c r="AE1124">
        <v>10.029999999999999</v>
      </c>
      <c r="AF1124">
        <v>0</v>
      </c>
      <c r="AG1124">
        <v>0</v>
      </c>
      <c r="AH1124">
        <v>0</v>
      </c>
      <c r="AI1124">
        <v>12.53</v>
      </c>
      <c r="AJ1124">
        <v>83.53</v>
      </c>
      <c r="AK1124">
        <v>0</v>
      </c>
      <c r="AL1124" t="s">
        <v>53</v>
      </c>
      <c r="AM1124" t="s">
        <v>53</v>
      </c>
      <c r="AN1124" t="s">
        <v>742</v>
      </c>
      <c r="AO1124" t="s">
        <v>53</v>
      </c>
      <c r="AP1124" t="s">
        <v>53</v>
      </c>
    </row>
    <row r="1125" spans="2:42" x14ac:dyDescent="0.2">
      <c r="B1125" t="s">
        <v>44</v>
      </c>
      <c r="C1125" t="str">
        <f>HYPERLINK("https://us2.cloudbeds.com/connect/8493803454333002#/reservations/579333742789?display=DJJAXCW9&amp;reservation_id=579333742789", "DJJAXCW9")</f>
        <v>DJJAXCW9</v>
      </c>
      <c r="D1125" t="s">
        <v>45</v>
      </c>
      <c r="E1125" t="s">
        <v>2057</v>
      </c>
      <c r="F1125" t="s">
        <v>47</v>
      </c>
      <c r="G1125" t="s">
        <v>48</v>
      </c>
      <c r="H1125" t="s">
        <v>49</v>
      </c>
      <c r="I1125" t="s">
        <v>62</v>
      </c>
      <c r="J1125" t="s">
        <v>1903</v>
      </c>
      <c r="K1125" t="s">
        <v>2058</v>
      </c>
      <c r="L1125" t="s">
        <v>53</v>
      </c>
      <c r="N1125" t="s">
        <v>2059</v>
      </c>
      <c r="P1125" t="s">
        <v>55</v>
      </c>
      <c r="R1125" t="s">
        <v>946</v>
      </c>
      <c r="T1125" t="s">
        <v>2036</v>
      </c>
      <c r="U1125" t="s">
        <v>58</v>
      </c>
      <c r="V1125">
        <v>3</v>
      </c>
      <c r="W1125">
        <v>3</v>
      </c>
      <c r="X1125">
        <v>3</v>
      </c>
      <c r="Y1125">
        <v>0</v>
      </c>
      <c r="Z1125">
        <v>3</v>
      </c>
      <c r="AA1125">
        <v>0</v>
      </c>
      <c r="AB1125">
        <v>470.52</v>
      </c>
      <c r="AC1125">
        <v>414</v>
      </c>
      <c r="AD1125">
        <v>0</v>
      </c>
      <c r="AE1125">
        <v>56.52</v>
      </c>
      <c r="AF1125">
        <v>0</v>
      </c>
      <c r="AG1125">
        <v>0</v>
      </c>
      <c r="AH1125">
        <v>0</v>
      </c>
      <c r="AI1125">
        <v>70.58</v>
      </c>
      <c r="AJ1125">
        <v>470.52</v>
      </c>
      <c r="AK1125">
        <v>0</v>
      </c>
      <c r="AL1125" t="s">
        <v>53</v>
      </c>
      <c r="AM1125" t="s">
        <v>53</v>
      </c>
      <c r="AN1125" t="s">
        <v>84</v>
      </c>
      <c r="AO1125" t="s">
        <v>53</v>
      </c>
      <c r="AP1125" t="s">
        <v>53</v>
      </c>
    </row>
    <row r="1126" spans="2:42" x14ac:dyDescent="0.2">
      <c r="B1126" t="s">
        <v>44</v>
      </c>
      <c r="C1126" t="str">
        <f>HYPERLINK("https://us2.cloudbeds.com/connect/8493803454333002#/reservations/598529810641?display=E1ER6963&amp;reservation_id=598529810641", "E1ER6963")</f>
        <v>E1ER6963</v>
      </c>
      <c r="D1126" t="s">
        <v>45</v>
      </c>
      <c r="E1126" t="s">
        <v>121</v>
      </c>
      <c r="F1126" t="s">
        <v>86</v>
      </c>
      <c r="G1126" t="s">
        <v>48</v>
      </c>
      <c r="H1126" t="s">
        <v>49</v>
      </c>
      <c r="I1126" t="s">
        <v>50</v>
      </c>
      <c r="J1126" t="s">
        <v>647</v>
      </c>
      <c r="K1126" t="s">
        <v>214</v>
      </c>
      <c r="L1126" t="s">
        <v>53</v>
      </c>
      <c r="N1126" t="s">
        <v>2060</v>
      </c>
      <c r="P1126" t="s">
        <v>55</v>
      </c>
      <c r="R1126" t="s">
        <v>56</v>
      </c>
      <c r="T1126" t="s">
        <v>2061</v>
      </c>
      <c r="U1126" t="s">
        <v>58</v>
      </c>
      <c r="V1126">
        <v>1</v>
      </c>
      <c r="W1126">
        <v>1</v>
      </c>
      <c r="X1126">
        <v>1</v>
      </c>
      <c r="Y1126">
        <v>0</v>
      </c>
      <c r="Z1126">
        <v>1</v>
      </c>
      <c r="AA1126">
        <v>0</v>
      </c>
      <c r="AB1126">
        <v>161.61000000000001</v>
      </c>
      <c r="AC1126">
        <v>142.19999999999999</v>
      </c>
      <c r="AD1126">
        <v>0</v>
      </c>
      <c r="AE1126">
        <v>19.41</v>
      </c>
      <c r="AF1126">
        <v>0</v>
      </c>
      <c r="AG1126">
        <v>0</v>
      </c>
      <c r="AH1126">
        <v>0</v>
      </c>
      <c r="AI1126">
        <v>29.09</v>
      </c>
      <c r="AJ1126">
        <v>161.61000000000001</v>
      </c>
      <c r="AK1126">
        <v>0</v>
      </c>
      <c r="AL1126" t="s">
        <v>53</v>
      </c>
      <c r="AM1126" t="s">
        <v>53</v>
      </c>
      <c r="AN1126" t="s">
        <v>91</v>
      </c>
      <c r="AO1126" t="s">
        <v>53</v>
      </c>
      <c r="AP1126" t="s">
        <v>53</v>
      </c>
    </row>
    <row r="1127" spans="2:42" x14ac:dyDescent="0.2">
      <c r="B1127" t="s">
        <v>44</v>
      </c>
      <c r="C1127" t="str">
        <f>HYPERLINK("https://us2.cloudbeds.com/connect/8493803454333002#/reservations/579396206785?display=DJKU7X0Y&amp;reservation_id=579396206785", "DJKU7X0Y")</f>
        <v>DJKU7X0Y</v>
      </c>
      <c r="D1127" t="s">
        <v>45</v>
      </c>
      <c r="E1127" t="s">
        <v>128</v>
      </c>
      <c r="F1127" t="s">
        <v>86</v>
      </c>
      <c r="G1127" t="s">
        <v>48</v>
      </c>
      <c r="H1127" t="s">
        <v>49</v>
      </c>
      <c r="I1127" t="s">
        <v>50</v>
      </c>
      <c r="J1127" t="s">
        <v>1336</v>
      </c>
      <c r="K1127" t="s">
        <v>2062</v>
      </c>
      <c r="L1127" t="s">
        <v>53</v>
      </c>
      <c r="N1127" t="s">
        <v>2063</v>
      </c>
      <c r="P1127" t="s">
        <v>55</v>
      </c>
      <c r="R1127" t="s">
        <v>56</v>
      </c>
      <c r="T1127" t="s">
        <v>2061</v>
      </c>
      <c r="U1127" t="s">
        <v>58</v>
      </c>
      <c r="V1127">
        <v>2</v>
      </c>
      <c r="W1127">
        <v>1</v>
      </c>
      <c r="X1127">
        <v>1</v>
      </c>
      <c r="Y1127">
        <v>0</v>
      </c>
      <c r="Z1127">
        <v>1</v>
      </c>
      <c r="AA1127">
        <v>0</v>
      </c>
      <c r="AB1127">
        <v>286.39999999999998</v>
      </c>
      <c r="AC1127">
        <v>252</v>
      </c>
      <c r="AD1127">
        <v>0</v>
      </c>
      <c r="AE1127">
        <v>34.4</v>
      </c>
      <c r="AF1127">
        <v>0</v>
      </c>
      <c r="AG1127">
        <v>0</v>
      </c>
      <c r="AH1127">
        <v>0</v>
      </c>
      <c r="AI1127">
        <v>51.55</v>
      </c>
      <c r="AJ1127">
        <v>286.39999999999998</v>
      </c>
      <c r="AK1127">
        <v>0</v>
      </c>
      <c r="AL1127" t="s">
        <v>53</v>
      </c>
      <c r="AM1127" t="s">
        <v>53</v>
      </c>
      <c r="AN1127" t="s">
        <v>198</v>
      </c>
      <c r="AO1127" t="s">
        <v>53</v>
      </c>
      <c r="AP1127" t="s">
        <v>53</v>
      </c>
    </row>
    <row r="1128" spans="2:42" x14ac:dyDescent="0.2">
      <c r="B1128" t="s">
        <v>44</v>
      </c>
      <c r="C1128" t="str">
        <f>HYPERLINK("https://us2.cloudbeds.com/connect/8493803454333002#/reservations/598319579359?display=E19EU9B5&amp;reservation_id=598319579359", "E19EU9B5")</f>
        <v>E19EU9B5</v>
      </c>
      <c r="D1128" t="s">
        <v>45</v>
      </c>
      <c r="E1128" t="s">
        <v>406</v>
      </c>
      <c r="F1128" t="s">
        <v>61</v>
      </c>
      <c r="G1128" t="s">
        <v>48</v>
      </c>
      <c r="H1128" t="s">
        <v>49</v>
      </c>
      <c r="I1128" t="s">
        <v>79</v>
      </c>
      <c r="J1128" t="s">
        <v>882</v>
      </c>
      <c r="K1128" t="s">
        <v>801</v>
      </c>
      <c r="L1128" t="s">
        <v>53</v>
      </c>
      <c r="N1128" t="s">
        <v>2064</v>
      </c>
      <c r="P1128" t="s">
        <v>55</v>
      </c>
      <c r="R1128" t="s">
        <v>56</v>
      </c>
      <c r="T1128" t="s">
        <v>2061</v>
      </c>
      <c r="U1128" t="s">
        <v>58</v>
      </c>
      <c r="V1128">
        <v>1</v>
      </c>
      <c r="W1128">
        <v>1</v>
      </c>
      <c r="X1128">
        <v>1</v>
      </c>
      <c r="Y1128">
        <v>0</v>
      </c>
      <c r="Z1128">
        <v>1</v>
      </c>
      <c r="AA1128">
        <v>0</v>
      </c>
      <c r="AB1128">
        <v>85.92</v>
      </c>
      <c r="AC1128">
        <v>75.599999999999994</v>
      </c>
      <c r="AD1128">
        <v>0</v>
      </c>
      <c r="AE1128">
        <v>10.32</v>
      </c>
      <c r="AF1128">
        <v>0</v>
      </c>
      <c r="AG1128">
        <v>0</v>
      </c>
      <c r="AH1128">
        <v>0</v>
      </c>
      <c r="AI1128">
        <v>0</v>
      </c>
      <c r="AJ1128">
        <v>85.92</v>
      </c>
      <c r="AK1128">
        <v>0</v>
      </c>
      <c r="AL1128" t="s">
        <v>53</v>
      </c>
      <c r="AM1128" t="s">
        <v>53</v>
      </c>
      <c r="AN1128" t="s">
        <v>2065</v>
      </c>
      <c r="AO1128" t="s">
        <v>53</v>
      </c>
      <c r="AP1128" t="s">
        <v>53</v>
      </c>
    </row>
    <row r="1129" spans="2:42" x14ac:dyDescent="0.2">
      <c r="B1129" t="s">
        <v>44</v>
      </c>
      <c r="C1129" t="str">
        <f>HYPERLINK("https://us2.cloudbeds.com/connect/8493803454333002#/reservations/598218109142?display=E16SBNU4&amp;reservation_id=598218109142", "E16SBNU4")</f>
        <v>E16SBNU4</v>
      </c>
      <c r="D1129" t="s">
        <v>45</v>
      </c>
      <c r="E1129" t="s">
        <v>138</v>
      </c>
      <c r="F1129" t="s">
        <v>70</v>
      </c>
      <c r="G1129" t="s">
        <v>48</v>
      </c>
      <c r="H1129" t="s">
        <v>71</v>
      </c>
      <c r="I1129" t="s">
        <v>72</v>
      </c>
      <c r="J1129" t="s">
        <v>882</v>
      </c>
      <c r="K1129" t="s">
        <v>801</v>
      </c>
      <c r="L1129" t="s">
        <v>53</v>
      </c>
      <c r="N1129" t="s">
        <v>2066</v>
      </c>
      <c r="P1129" t="s">
        <v>55</v>
      </c>
      <c r="R1129" t="s">
        <v>56</v>
      </c>
      <c r="T1129" t="s">
        <v>2061</v>
      </c>
      <c r="U1129" t="s">
        <v>58</v>
      </c>
      <c r="V1129">
        <v>1</v>
      </c>
      <c r="W1129">
        <v>1</v>
      </c>
      <c r="X1129">
        <v>1</v>
      </c>
      <c r="Y1129">
        <v>0</v>
      </c>
      <c r="Z1129">
        <v>1</v>
      </c>
      <c r="AA1129">
        <v>0</v>
      </c>
      <c r="AB1129">
        <v>79.56</v>
      </c>
      <c r="AC1129">
        <v>70</v>
      </c>
      <c r="AD1129">
        <v>0</v>
      </c>
      <c r="AE1129">
        <v>9.56</v>
      </c>
      <c r="AF1129">
        <v>0</v>
      </c>
      <c r="AG1129">
        <v>0</v>
      </c>
      <c r="AH1129">
        <v>0</v>
      </c>
      <c r="AI1129">
        <v>0</v>
      </c>
      <c r="AJ1129">
        <v>79.56</v>
      </c>
      <c r="AK1129">
        <v>0</v>
      </c>
      <c r="AL1129" t="s">
        <v>53</v>
      </c>
      <c r="AM1129" t="s">
        <v>53</v>
      </c>
      <c r="AN1129" t="s">
        <v>378</v>
      </c>
      <c r="AO1129" t="s">
        <v>53</v>
      </c>
      <c r="AP1129" t="s">
        <v>53</v>
      </c>
    </row>
    <row r="1130" spans="2:42" x14ac:dyDescent="0.2">
      <c r="B1130" t="s">
        <v>44</v>
      </c>
      <c r="C1130" t="str">
        <f>HYPERLINK("https://us2.cloudbeds.com/connect/8493803454333002#/reservations/579150631099?display=DJEY51B6&amp;reservation_id=579150631099", "DJEY51B6")</f>
        <v>DJEY51B6</v>
      </c>
      <c r="D1130" t="s">
        <v>45</v>
      </c>
      <c r="E1130" t="s">
        <v>373</v>
      </c>
      <c r="F1130" t="s">
        <v>47</v>
      </c>
      <c r="G1130" t="s">
        <v>48</v>
      </c>
      <c r="H1130" t="s">
        <v>71</v>
      </c>
      <c r="I1130" t="s">
        <v>72</v>
      </c>
      <c r="J1130" t="s">
        <v>1296</v>
      </c>
      <c r="K1130" t="s">
        <v>1660</v>
      </c>
      <c r="L1130" t="s">
        <v>53</v>
      </c>
      <c r="N1130" t="s">
        <v>2067</v>
      </c>
      <c r="P1130" t="s">
        <v>58</v>
      </c>
      <c r="R1130" t="s">
        <v>56</v>
      </c>
      <c r="T1130" t="s">
        <v>2061</v>
      </c>
      <c r="U1130" t="s">
        <v>58</v>
      </c>
      <c r="V1130">
        <v>1</v>
      </c>
      <c r="W1130">
        <v>1</v>
      </c>
      <c r="X1130">
        <v>1</v>
      </c>
      <c r="Y1130">
        <v>0</v>
      </c>
      <c r="Z1130">
        <v>1</v>
      </c>
      <c r="AA1130">
        <v>0</v>
      </c>
      <c r="AB1130">
        <v>165.93</v>
      </c>
      <c r="AC1130">
        <v>146</v>
      </c>
      <c r="AD1130">
        <v>0</v>
      </c>
      <c r="AE1130">
        <v>19.93</v>
      </c>
      <c r="AF1130">
        <v>0</v>
      </c>
      <c r="AG1130">
        <v>0</v>
      </c>
      <c r="AH1130">
        <v>0</v>
      </c>
      <c r="AI1130">
        <v>0</v>
      </c>
      <c r="AJ1130">
        <v>165.93</v>
      </c>
      <c r="AK1130">
        <v>0</v>
      </c>
      <c r="AL1130" t="s">
        <v>53</v>
      </c>
      <c r="AM1130" t="s">
        <v>53</v>
      </c>
      <c r="AN1130" t="s">
        <v>2068</v>
      </c>
      <c r="AO1130" t="s">
        <v>53</v>
      </c>
      <c r="AP1130" t="s">
        <v>53</v>
      </c>
    </row>
    <row r="1131" spans="2:42" x14ac:dyDescent="0.2">
      <c r="B1131" t="s">
        <v>44</v>
      </c>
      <c r="C1131" t="str">
        <f>HYPERLINK("https://us2.cloudbeds.com/connect/8493803454333002#/reservations/598247887088?display=E17KFB74&amp;reservation_id=598247887088", "E17KFB74")</f>
        <v>E17KFB74</v>
      </c>
      <c r="D1131" t="s">
        <v>45</v>
      </c>
      <c r="E1131" t="s">
        <v>113</v>
      </c>
      <c r="F1131" t="s">
        <v>61</v>
      </c>
      <c r="G1131" t="s">
        <v>48</v>
      </c>
      <c r="H1131" t="s">
        <v>49</v>
      </c>
      <c r="I1131" t="s">
        <v>79</v>
      </c>
      <c r="J1131" t="s">
        <v>122</v>
      </c>
      <c r="K1131" t="s">
        <v>123</v>
      </c>
      <c r="L1131" t="s">
        <v>53</v>
      </c>
      <c r="N1131" t="s">
        <v>2069</v>
      </c>
      <c r="P1131" t="s">
        <v>55</v>
      </c>
      <c r="R1131" t="s">
        <v>56</v>
      </c>
      <c r="T1131" t="s">
        <v>2061</v>
      </c>
      <c r="U1131" t="s">
        <v>58</v>
      </c>
      <c r="V1131">
        <v>1</v>
      </c>
      <c r="W1131">
        <v>1</v>
      </c>
      <c r="X1131">
        <v>1</v>
      </c>
      <c r="Y1131">
        <v>0</v>
      </c>
      <c r="Z1131">
        <v>1</v>
      </c>
      <c r="AA1131">
        <v>0</v>
      </c>
      <c r="AB1131">
        <v>151.38</v>
      </c>
      <c r="AC1131">
        <v>133.19999999999999</v>
      </c>
      <c r="AD1131">
        <v>0</v>
      </c>
      <c r="AE1131">
        <v>18.170000000000002</v>
      </c>
      <c r="AF1131">
        <v>0</v>
      </c>
      <c r="AG1131">
        <v>0</v>
      </c>
      <c r="AH1131">
        <v>0</v>
      </c>
      <c r="AI1131">
        <v>0</v>
      </c>
      <c r="AJ1131">
        <v>151.37</v>
      </c>
      <c r="AK1131">
        <v>-0.01</v>
      </c>
      <c r="AL1131" t="s">
        <v>53</v>
      </c>
      <c r="AM1131" t="s">
        <v>53</v>
      </c>
      <c r="AN1131" t="s">
        <v>225</v>
      </c>
      <c r="AO1131" t="s">
        <v>53</v>
      </c>
      <c r="AP1131" t="s">
        <v>53</v>
      </c>
    </row>
    <row r="1132" spans="2:42" x14ac:dyDescent="0.2">
      <c r="B1132" t="s">
        <v>44</v>
      </c>
      <c r="C1132" t="str">
        <f>HYPERLINK("https://us2.cloudbeds.com/connect/8493803454333002#/reservations/598240424165?display=E17E5M6V&amp;reservation_id=598240424165", "E17E5M6V")</f>
        <v>E17E5M6V</v>
      </c>
      <c r="D1132" t="s">
        <v>45</v>
      </c>
      <c r="E1132" t="s">
        <v>190</v>
      </c>
      <c r="F1132" t="s">
        <v>61</v>
      </c>
      <c r="G1132" t="s">
        <v>48</v>
      </c>
      <c r="H1132" t="s">
        <v>49</v>
      </c>
      <c r="I1132" t="s">
        <v>79</v>
      </c>
      <c r="J1132" t="s">
        <v>122</v>
      </c>
      <c r="K1132" t="s">
        <v>123</v>
      </c>
      <c r="L1132" t="s">
        <v>53</v>
      </c>
      <c r="N1132" t="s">
        <v>2070</v>
      </c>
      <c r="P1132" t="s">
        <v>55</v>
      </c>
      <c r="R1132" t="s">
        <v>56</v>
      </c>
      <c r="T1132" t="s">
        <v>2061</v>
      </c>
      <c r="U1132" t="s">
        <v>58</v>
      </c>
      <c r="V1132">
        <v>1</v>
      </c>
      <c r="W1132">
        <v>1</v>
      </c>
      <c r="X1132">
        <v>1</v>
      </c>
      <c r="Y1132">
        <v>0</v>
      </c>
      <c r="Z1132">
        <v>1</v>
      </c>
      <c r="AA1132">
        <v>0</v>
      </c>
      <c r="AB1132">
        <v>151.38</v>
      </c>
      <c r="AC1132">
        <v>133.19999999999999</v>
      </c>
      <c r="AD1132">
        <v>0</v>
      </c>
      <c r="AE1132">
        <v>18.170000000000002</v>
      </c>
      <c r="AF1132">
        <v>0</v>
      </c>
      <c r="AG1132">
        <v>0</v>
      </c>
      <c r="AH1132">
        <v>0</v>
      </c>
      <c r="AI1132">
        <v>0</v>
      </c>
      <c r="AJ1132">
        <v>151.37</v>
      </c>
      <c r="AK1132">
        <v>-0.01</v>
      </c>
      <c r="AL1132" t="s">
        <v>53</v>
      </c>
      <c r="AM1132" t="s">
        <v>53</v>
      </c>
      <c r="AN1132" t="s">
        <v>225</v>
      </c>
      <c r="AO1132" t="s">
        <v>53</v>
      </c>
      <c r="AP1132" t="s">
        <v>53</v>
      </c>
    </row>
    <row r="1133" spans="2:42" x14ac:dyDescent="0.2">
      <c r="B1133" t="s">
        <v>44</v>
      </c>
      <c r="C1133" t="str">
        <f>HYPERLINK("https://us2.cloudbeds.com/connect/8493803454333002#/reservations/579258560676?display=DJHD5B7E&amp;reservation_id=579258560676", "DJHD5B7E")</f>
        <v>DJHD5B7E</v>
      </c>
      <c r="D1133" t="s">
        <v>45</v>
      </c>
      <c r="E1133" t="s">
        <v>381</v>
      </c>
      <c r="F1133" t="s">
        <v>47</v>
      </c>
      <c r="G1133" t="s">
        <v>48</v>
      </c>
      <c r="H1133" t="s">
        <v>71</v>
      </c>
      <c r="I1133" t="s">
        <v>72</v>
      </c>
      <c r="J1133" t="s">
        <v>1296</v>
      </c>
      <c r="K1133" t="s">
        <v>1660</v>
      </c>
      <c r="L1133" t="s">
        <v>53</v>
      </c>
      <c r="N1133" t="s">
        <v>2071</v>
      </c>
      <c r="P1133" t="s">
        <v>58</v>
      </c>
      <c r="R1133" t="s">
        <v>56</v>
      </c>
      <c r="T1133" t="s">
        <v>2061</v>
      </c>
      <c r="U1133" t="s">
        <v>58</v>
      </c>
      <c r="V1133">
        <v>1</v>
      </c>
      <c r="W1133">
        <v>1</v>
      </c>
      <c r="X1133">
        <v>1</v>
      </c>
      <c r="Y1133">
        <v>0</v>
      </c>
      <c r="Z1133">
        <v>1</v>
      </c>
      <c r="AA1133">
        <v>0</v>
      </c>
      <c r="AB1133">
        <v>165.93</v>
      </c>
      <c r="AC1133">
        <v>146</v>
      </c>
      <c r="AD1133">
        <v>0</v>
      </c>
      <c r="AE1133">
        <v>19.93</v>
      </c>
      <c r="AF1133">
        <v>0</v>
      </c>
      <c r="AG1133">
        <v>0</v>
      </c>
      <c r="AH1133">
        <v>0</v>
      </c>
      <c r="AI1133">
        <v>0</v>
      </c>
      <c r="AJ1133">
        <v>165.93</v>
      </c>
      <c r="AK1133">
        <v>0</v>
      </c>
      <c r="AL1133" t="s">
        <v>53</v>
      </c>
      <c r="AM1133" t="s">
        <v>53</v>
      </c>
      <c r="AN1133" t="s">
        <v>2072</v>
      </c>
      <c r="AO1133" t="s">
        <v>53</v>
      </c>
      <c r="AP1133" t="s">
        <v>53</v>
      </c>
    </row>
    <row r="1134" spans="2:42" x14ac:dyDescent="0.2">
      <c r="B1134" t="s">
        <v>44</v>
      </c>
      <c r="C1134" t="str">
        <f>HYPERLINK("https://us2.cloudbeds.com/connect/8493803454333002#/reservations/598276047061?display=E18B6UPY&amp;reservation_id=598276047061", "E18B6UPY")</f>
        <v>E18B6UPY</v>
      </c>
      <c r="D1134" t="s">
        <v>45</v>
      </c>
      <c r="E1134" t="s">
        <v>265</v>
      </c>
      <c r="F1134" t="s">
        <v>61</v>
      </c>
      <c r="G1134" t="s">
        <v>48</v>
      </c>
      <c r="H1134" t="s">
        <v>49</v>
      </c>
      <c r="I1134" t="s">
        <v>50</v>
      </c>
      <c r="J1134" t="s">
        <v>295</v>
      </c>
      <c r="K1134" t="s">
        <v>292</v>
      </c>
      <c r="L1134" t="s">
        <v>53</v>
      </c>
      <c r="N1134" t="s">
        <v>2073</v>
      </c>
      <c r="P1134" t="s">
        <v>55</v>
      </c>
      <c r="R1134" t="s">
        <v>56</v>
      </c>
      <c r="T1134" t="s">
        <v>2061</v>
      </c>
      <c r="U1134" t="s">
        <v>58</v>
      </c>
      <c r="V1134">
        <v>1</v>
      </c>
      <c r="W1134">
        <v>1</v>
      </c>
      <c r="X1134">
        <v>1</v>
      </c>
      <c r="Y1134">
        <v>0</v>
      </c>
      <c r="Z1134">
        <v>1</v>
      </c>
      <c r="AA1134">
        <v>0</v>
      </c>
      <c r="AB1134">
        <v>151.38</v>
      </c>
      <c r="AC1134">
        <v>133.19999999999999</v>
      </c>
      <c r="AD1134">
        <v>0</v>
      </c>
      <c r="AE1134">
        <v>18.170000000000002</v>
      </c>
      <c r="AF1134">
        <v>0</v>
      </c>
      <c r="AG1134">
        <v>0</v>
      </c>
      <c r="AH1134">
        <v>0</v>
      </c>
      <c r="AI1134">
        <v>27.25</v>
      </c>
      <c r="AJ1134">
        <v>151.37</v>
      </c>
      <c r="AK1134">
        <v>-0.01</v>
      </c>
      <c r="AL1134" t="s">
        <v>53</v>
      </c>
      <c r="AM1134" t="s">
        <v>53</v>
      </c>
      <c r="AN1134" t="s">
        <v>2074</v>
      </c>
      <c r="AO1134" t="s">
        <v>53</v>
      </c>
      <c r="AP1134" t="s">
        <v>53</v>
      </c>
    </row>
    <row r="1135" spans="2:42" x14ac:dyDescent="0.2">
      <c r="B1135" t="s">
        <v>44</v>
      </c>
      <c r="C1135" t="str">
        <f>HYPERLINK("https://us2.cloudbeds.com/connect/8493803454333002#/reservations/598028959889?display=E120SC4J&amp;reservation_id=598028959889", "E120SC4J")</f>
        <v>E120SC4J</v>
      </c>
      <c r="D1135" t="s">
        <v>45</v>
      </c>
      <c r="E1135" t="s">
        <v>128</v>
      </c>
      <c r="F1135" t="s">
        <v>86</v>
      </c>
      <c r="G1135" t="s">
        <v>48</v>
      </c>
      <c r="H1135" t="s">
        <v>49</v>
      </c>
      <c r="I1135" t="s">
        <v>50</v>
      </c>
      <c r="J1135" t="s">
        <v>882</v>
      </c>
      <c r="K1135" t="s">
        <v>1430</v>
      </c>
      <c r="L1135" t="s">
        <v>53</v>
      </c>
      <c r="N1135" t="s">
        <v>2075</v>
      </c>
      <c r="P1135" t="s">
        <v>55</v>
      </c>
      <c r="R1135" t="s">
        <v>56</v>
      </c>
      <c r="T1135" t="s">
        <v>2061</v>
      </c>
      <c r="U1135" t="s">
        <v>58</v>
      </c>
      <c r="V1135">
        <v>3</v>
      </c>
      <c r="W1135">
        <v>1</v>
      </c>
      <c r="X1135">
        <v>1</v>
      </c>
      <c r="Y1135">
        <v>0</v>
      </c>
      <c r="Z1135">
        <v>1</v>
      </c>
      <c r="AA1135">
        <v>0</v>
      </c>
      <c r="AB1135">
        <v>282.31</v>
      </c>
      <c r="AC1135">
        <v>248.4</v>
      </c>
      <c r="AD1135">
        <v>0</v>
      </c>
      <c r="AE1135">
        <v>33.93</v>
      </c>
      <c r="AF1135">
        <v>0</v>
      </c>
      <c r="AG1135">
        <v>0</v>
      </c>
      <c r="AH1135">
        <v>0</v>
      </c>
      <c r="AI1135">
        <v>50.82</v>
      </c>
      <c r="AJ1135">
        <v>282.33</v>
      </c>
      <c r="AK1135">
        <v>0.02</v>
      </c>
      <c r="AL1135" t="s">
        <v>53</v>
      </c>
      <c r="AM1135" t="s">
        <v>53</v>
      </c>
      <c r="AN1135" t="s">
        <v>127</v>
      </c>
      <c r="AO1135" t="s">
        <v>53</v>
      </c>
      <c r="AP1135" t="s">
        <v>53</v>
      </c>
    </row>
    <row r="1136" spans="2:42" x14ac:dyDescent="0.2">
      <c r="B1136" t="s">
        <v>44</v>
      </c>
      <c r="C1136" t="str">
        <f>HYPERLINK("https://us2.cloudbeds.com/connect/8493803454333002#/reservations/598457233645?display=E1CVWNY6&amp;reservation_id=598457233645", "E1CVWNY6")</f>
        <v>E1CVWNY6</v>
      </c>
      <c r="D1136" t="s">
        <v>45</v>
      </c>
      <c r="E1136" t="s">
        <v>487</v>
      </c>
      <c r="F1136" t="s">
        <v>61</v>
      </c>
      <c r="G1136" t="s">
        <v>48</v>
      </c>
      <c r="H1136" t="s">
        <v>71</v>
      </c>
      <c r="I1136" t="s">
        <v>72</v>
      </c>
      <c r="J1136" t="s">
        <v>882</v>
      </c>
      <c r="K1136" t="s">
        <v>801</v>
      </c>
      <c r="L1136" t="s">
        <v>53</v>
      </c>
      <c r="N1136" t="s">
        <v>2076</v>
      </c>
      <c r="P1136" t="s">
        <v>55</v>
      </c>
      <c r="R1136" t="s">
        <v>56</v>
      </c>
      <c r="T1136" t="s">
        <v>2061</v>
      </c>
      <c r="U1136" t="s">
        <v>58</v>
      </c>
      <c r="V1136">
        <v>1</v>
      </c>
      <c r="W1136">
        <v>1</v>
      </c>
      <c r="X1136">
        <v>1</v>
      </c>
      <c r="Y1136">
        <v>0</v>
      </c>
      <c r="Z1136">
        <v>1</v>
      </c>
      <c r="AA1136">
        <v>0</v>
      </c>
      <c r="AB1136">
        <v>89.78</v>
      </c>
      <c r="AC1136">
        <v>79</v>
      </c>
      <c r="AD1136">
        <v>0</v>
      </c>
      <c r="AE1136">
        <v>10.79</v>
      </c>
      <c r="AF1136">
        <v>0</v>
      </c>
      <c r="AG1136">
        <v>0</v>
      </c>
      <c r="AH1136">
        <v>0</v>
      </c>
      <c r="AI1136">
        <v>0</v>
      </c>
      <c r="AJ1136">
        <v>89.79</v>
      </c>
      <c r="AK1136">
        <v>0.01</v>
      </c>
      <c r="AL1136" t="s">
        <v>53</v>
      </c>
      <c r="AM1136" t="s">
        <v>53</v>
      </c>
      <c r="AN1136" t="s">
        <v>2077</v>
      </c>
      <c r="AO1136" t="s">
        <v>53</v>
      </c>
      <c r="AP1136" t="s">
        <v>53</v>
      </c>
    </row>
    <row r="1137" spans="2:42" x14ac:dyDescent="0.2">
      <c r="B1137" t="s">
        <v>44</v>
      </c>
      <c r="C1137" t="str">
        <f>HYPERLINK("https://us2.cloudbeds.com/connect/8493803454333002#/reservations/598592798855?display=E1GEA0JR&amp;reservation_id=598592798855", "E1GEA0JR")</f>
        <v>E1GEA0JR</v>
      </c>
      <c r="D1137" t="s">
        <v>45</v>
      </c>
      <c r="E1137" t="s">
        <v>110</v>
      </c>
      <c r="F1137" t="s">
        <v>47</v>
      </c>
      <c r="G1137" t="s">
        <v>48</v>
      </c>
      <c r="H1137" t="s">
        <v>71</v>
      </c>
      <c r="I1137" t="s">
        <v>72</v>
      </c>
      <c r="J1137" t="s">
        <v>309</v>
      </c>
      <c r="K1137" t="s">
        <v>133</v>
      </c>
      <c r="L1137" t="s">
        <v>53</v>
      </c>
      <c r="N1137" t="s">
        <v>2078</v>
      </c>
      <c r="P1137" t="s">
        <v>58</v>
      </c>
      <c r="R1137" t="s">
        <v>56</v>
      </c>
      <c r="T1137" t="s">
        <v>2061</v>
      </c>
      <c r="U1137" t="s">
        <v>58</v>
      </c>
      <c r="V1137">
        <v>1</v>
      </c>
      <c r="W1137">
        <v>1</v>
      </c>
      <c r="X1137">
        <v>1</v>
      </c>
      <c r="Y1137">
        <v>0</v>
      </c>
      <c r="Z1137">
        <v>1</v>
      </c>
      <c r="AA1137">
        <v>0</v>
      </c>
      <c r="AB1137">
        <v>147.75</v>
      </c>
      <c r="AC1137">
        <v>130</v>
      </c>
      <c r="AD1137">
        <v>0</v>
      </c>
      <c r="AE1137">
        <v>17.75</v>
      </c>
      <c r="AF1137">
        <v>0</v>
      </c>
      <c r="AG1137">
        <v>0</v>
      </c>
      <c r="AH1137">
        <v>0</v>
      </c>
      <c r="AI1137">
        <v>0</v>
      </c>
      <c r="AJ1137">
        <v>147.75</v>
      </c>
      <c r="AK1137">
        <v>0</v>
      </c>
      <c r="AL1137" t="s">
        <v>53</v>
      </c>
      <c r="AM1137" t="s">
        <v>53</v>
      </c>
      <c r="AN1137" t="s">
        <v>378</v>
      </c>
      <c r="AO1137" t="s">
        <v>53</v>
      </c>
      <c r="AP1137" t="s">
        <v>53</v>
      </c>
    </row>
    <row r="1138" spans="2:42" x14ac:dyDescent="0.2">
      <c r="B1138" t="s">
        <v>44</v>
      </c>
      <c r="C1138" t="str">
        <f>HYPERLINK("https://us2.cloudbeds.com/connect/8493803454333002#/reservations/598282682506?display=E18GQXUZ&amp;reservation_id=598282682506", "E18GQXUZ")</f>
        <v>E18GQXUZ</v>
      </c>
      <c r="D1138" t="s">
        <v>45</v>
      </c>
      <c r="E1138" t="s">
        <v>155</v>
      </c>
      <c r="F1138" t="s">
        <v>86</v>
      </c>
      <c r="G1138" t="s">
        <v>48</v>
      </c>
      <c r="H1138" t="s">
        <v>49</v>
      </c>
      <c r="I1138" t="s">
        <v>62</v>
      </c>
      <c r="J1138" t="s">
        <v>1988</v>
      </c>
      <c r="K1138" t="s">
        <v>1027</v>
      </c>
      <c r="L1138" t="s">
        <v>53</v>
      </c>
      <c r="N1138" t="s">
        <v>2079</v>
      </c>
      <c r="P1138" t="s">
        <v>55</v>
      </c>
      <c r="R1138" t="s">
        <v>56</v>
      </c>
      <c r="T1138" t="s">
        <v>2061</v>
      </c>
      <c r="U1138" t="s">
        <v>58</v>
      </c>
      <c r="V1138">
        <v>2</v>
      </c>
      <c r="W1138">
        <v>1</v>
      </c>
      <c r="X1138">
        <v>1</v>
      </c>
      <c r="Y1138">
        <v>0</v>
      </c>
      <c r="Z1138">
        <v>1</v>
      </c>
      <c r="AA1138">
        <v>0</v>
      </c>
      <c r="AB1138">
        <v>303.45</v>
      </c>
      <c r="AC1138">
        <v>267</v>
      </c>
      <c r="AD1138">
        <v>0</v>
      </c>
      <c r="AE1138">
        <v>36.44</v>
      </c>
      <c r="AF1138">
        <v>0</v>
      </c>
      <c r="AG1138">
        <v>0</v>
      </c>
      <c r="AH1138">
        <v>0</v>
      </c>
      <c r="AI1138">
        <v>45.52</v>
      </c>
      <c r="AJ1138">
        <v>303.44</v>
      </c>
      <c r="AK1138">
        <v>-0.01</v>
      </c>
      <c r="AL1138" t="s">
        <v>53</v>
      </c>
      <c r="AM1138" t="s">
        <v>53</v>
      </c>
      <c r="AN1138" t="s">
        <v>2080</v>
      </c>
      <c r="AO1138" t="s">
        <v>53</v>
      </c>
      <c r="AP1138" t="s">
        <v>53</v>
      </c>
    </row>
    <row r="1139" spans="2:42" x14ac:dyDescent="0.2">
      <c r="B1139" t="s">
        <v>44</v>
      </c>
      <c r="C1139" t="str">
        <f>HYPERLINK("https://us2.cloudbeds.com/connect/8493803454333002#/reservations/598321655969?display=E19GM27P&amp;reservation_id=598321655969", "E19GM27P")</f>
        <v>E19GM27P</v>
      </c>
      <c r="D1139" t="s">
        <v>45</v>
      </c>
      <c r="E1139" t="s">
        <v>406</v>
      </c>
      <c r="F1139" t="s">
        <v>61</v>
      </c>
      <c r="G1139" t="s">
        <v>48</v>
      </c>
      <c r="H1139" t="s">
        <v>49</v>
      </c>
      <c r="I1139" t="s">
        <v>79</v>
      </c>
      <c r="J1139" t="s">
        <v>801</v>
      </c>
      <c r="K1139" t="s">
        <v>202</v>
      </c>
      <c r="L1139" t="s">
        <v>53</v>
      </c>
      <c r="N1139" t="s">
        <v>2081</v>
      </c>
      <c r="P1139" t="s">
        <v>55</v>
      </c>
      <c r="R1139" t="s">
        <v>56</v>
      </c>
      <c r="T1139" t="s">
        <v>2061</v>
      </c>
      <c r="U1139" t="s">
        <v>58</v>
      </c>
      <c r="V1139">
        <v>1</v>
      </c>
      <c r="W1139">
        <v>1</v>
      </c>
      <c r="X1139">
        <v>1</v>
      </c>
      <c r="Y1139">
        <v>0</v>
      </c>
      <c r="Z1139">
        <v>1</v>
      </c>
      <c r="AA1139">
        <v>0</v>
      </c>
      <c r="AB1139">
        <v>85.92</v>
      </c>
      <c r="AC1139">
        <v>75.599999999999994</v>
      </c>
      <c r="AD1139">
        <v>0</v>
      </c>
      <c r="AE1139">
        <v>10.32</v>
      </c>
      <c r="AF1139">
        <v>0</v>
      </c>
      <c r="AG1139">
        <v>0</v>
      </c>
      <c r="AH1139">
        <v>0</v>
      </c>
      <c r="AI1139">
        <v>0</v>
      </c>
      <c r="AJ1139">
        <v>85.92</v>
      </c>
      <c r="AK1139">
        <v>0</v>
      </c>
      <c r="AL1139" t="s">
        <v>53</v>
      </c>
      <c r="AM1139" t="s">
        <v>53</v>
      </c>
      <c r="AN1139" t="s">
        <v>132</v>
      </c>
      <c r="AO1139" t="s">
        <v>53</v>
      </c>
      <c r="AP1139" t="s">
        <v>53</v>
      </c>
    </row>
    <row r="1140" spans="2:42" x14ac:dyDescent="0.2">
      <c r="B1140" t="s">
        <v>44</v>
      </c>
      <c r="C1140" t="str">
        <f>HYPERLINK("https://us2.cloudbeds.com/connect/8493803454333002#/reservations/598476390533?display=E1DF4PTV&amp;reservation_id=598476390533", "E1DF4PTV")</f>
        <v>E1DF4PTV</v>
      </c>
      <c r="D1140" t="s">
        <v>45</v>
      </c>
      <c r="E1140" t="s">
        <v>121</v>
      </c>
      <c r="F1140" t="s">
        <v>86</v>
      </c>
      <c r="G1140" t="s">
        <v>48</v>
      </c>
      <c r="H1140" t="s">
        <v>49</v>
      </c>
      <c r="I1140" t="s">
        <v>50</v>
      </c>
      <c r="J1140" t="s">
        <v>882</v>
      </c>
      <c r="K1140" t="s">
        <v>1430</v>
      </c>
      <c r="L1140" t="s">
        <v>53</v>
      </c>
      <c r="N1140" t="s">
        <v>2082</v>
      </c>
      <c r="P1140" t="s">
        <v>55</v>
      </c>
      <c r="R1140" t="s">
        <v>56</v>
      </c>
      <c r="T1140" t="s">
        <v>2061</v>
      </c>
      <c r="U1140" t="s">
        <v>58</v>
      </c>
      <c r="V1140">
        <v>3</v>
      </c>
      <c r="W1140">
        <v>1</v>
      </c>
      <c r="X1140">
        <v>1</v>
      </c>
      <c r="Y1140">
        <v>0</v>
      </c>
      <c r="Z1140">
        <v>1</v>
      </c>
      <c r="AA1140">
        <v>0</v>
      </c>
      <c r="AB1140">
        <v>282.31</v>
      </c>
      <c r="AC1140">
        <v>248.4</v>
      </c>
      <c r="AD1140">
        <v>0</v>
      </c>
      <c r="AE1140">
        <v>33.93</v>
      </c>
      <c r="AF1140">
        <v>0</v>
      </c>
      <c r="AG1140">
        <v>0</v>
      </c>
      <c r="AH1140">
        <v>0</v>
      </c>
      <c r="AI1140">
        <v>50.82</v>
      </c>
      <c r="AJ1140">
        <v>282.33</v>
      </c>
      <c r="AK1140">
        <v>0.02</v>
      </c>
      <c r="AL1140" t="s">
        <v>53</v>
      </c>
      <c r="AM1140" t="s">
        <v>53</v>
      </c>
      <c r="AN1140" t="s">
        <v>225</v>
      </c>
      <c r="AO1140" t="s">
        <v>53</v>
      </c>
      <c r="AP1140" t="s">
        <v>53</v>
      </c>
    </row>
    <row r="1141" spans="2:42" x14ac:dyDescent="0.2">
      <c r="B1141" t="s">
        <v>44</v>
      </c>
      <c r="C1141" t="str">
        <f>HYPERLINK("https://us2.cloudbeds.com/connect/8493803454333002#/reservations/598429757583?display=E1C8R538&amp;reservation_id=598429757583", "E1C8R538")</f>
        <v>E1C8R538</v>
      </c>
      <c r="D1141" t="s">
        <v>45</v>
      </c>
      <c r="E1141" t="s">
        <v>373</v>
      </c>
      <c r="F1141" t="s">
        <v>47</v>
      </c>
      <c r="G1141" t="s">
        <v>48</v>
      </c>
      <c r="H1141" t="s">
        <v>49</v>
      </c>
      <c r="I1141" t="s">
        <v>79</v>
      </c>
      <c r="J1141" t="s">
        <v>334</v>
      </c>
      <c r="K1141" t="s">
        <v>538</v>
      </c>
      <c r="L1141" t="s">
        <v>53</v>
      </c>
      <c r="N1141" t="s">
        <v>2083</v>
      </c>
      <c r="P1141" t="s">
        <v>55</v>
      </c>
      <c r="R1141" t="s">
        <v>56</v>
      </c>
      <c r="T1141" t="s">
        <v>2061</v>
      </c>
      <c r="U1141" t="s">
        <v>58</v>
      </c>
      <c r="V1141">
        <v>1</v>
      </c>
      <c r="W1141">
        <v>1</v>
      </c>
      <c r="X1141">
        <v>1</v>
      </c>
      <c r="Y1141">
        <v>0</v>
      </c>
      <c r="Z1141">
        <v>1</v>
      </c>
      <c r="AA1141">
        <v>0</v>
      </c>
      <c r="AB1141">
        <v>122.74</v>
      </c>
      <c r="AC1141">
        <v>108</v>
      </c>
      <c r="AD1141">
        <v>0</v>
      </c>
      <c r="AE1141">
        <v>14.74</v>
      </c>
      <c r="AF1141">
        <v>0</v>
      </c>
      <c r="AG1141">
        <v>0</v>
      </c>
      <c r="AH1141">
        <v>0</v>
      </c>
      <c r="AI1141">
        <v>0</v>
      </c>
      <c r="AJ1141">
        <v>122.74</v>
      </c>
      <c r="AK1141">
        <v>0</v>
      </c>
      <c r="AL1141" t="s">
        <v>53</v>
      </c>
      <c r="AM1141" t="s">
        <v>53</v>
      </c>
      <c r="AN1141" t="s">
        <v>137</v>
      </c>
      <c r="AO1141" t="s">
        <v>53</v>
      </c>
      <c r="AP1141" t="s">
        <v>53</v>
      </c>
    </row>
    <row r="1142" spans="2:42" x14ac:dyDescent="0.2">
      <c r="B1142" t="s">
        <v>44</v>
      </c>
      <c r="C1142" t="str">
        <f>HYPERLINK("https://us2.cloudbeds.com/connect/8493803454333002#/reservations/598523302106?display=E1EYN5XP&amp;reservation_id=598523302106", "E1EYN5XP")</f>
        <v>E1EYN5XP</v>
      </c>
      <c r="D1142" t="s">
        <v>45</v>
      </c>
      <c r="E1142" t="s">
        <v>213</v>
      </c>
      <c r="F1142" t="s">
        <v>86</v>
      </c>
      <c r="G1142" t="s">
        <v>48</v>
      </c>
      <c r="H1142" t="s">
        <v>71</v>
      </c>
      <c r="I1142" t="s">
        <v>72</v>
      </c>
      <c r="J1142" t="s">
        <v>354</v>
      </c>
      <c r="K1142" t="s">
        <v>1117</v>
      </c>
      <c r="L1142" t="s">
        <v>53</v>
      </c>
      <c r="N1142" t="s">
        <v>2084</v>
      </c>
      <c r="P1142" t="s">
        <v>55</v>
      </c>
      <c r="R1142" t="s">
        <v>56</v>
      </c>
      <c r="T1142" t="s">
        <v>2061</v>
      </c>
      <c r="U1142" t="s">
        <v>58</v>
      </c>
      <c r="V1142">
        <v>5</v>
      </c>
      <c r="W1142">
        <v>1</v>
      </c>
      <c r="X1142">
        <v>1</v>
      </c>
      <c r="Y1142">
        <v>0</v>
      </c>
      <c r="Z1142">
        <v>1</v>
      </c>
      <c r="AA1142">
        <v>0</v>
      </c>
      <c r="AB1142">
        <v>664.85</v>
      </c>
      <c r="AC1142">
        <v>585</v>
      </c>
      <c r="AD1142">
        <v>0</v>
      </c>
      <c r="AE1142">
        <v>79.849999999999994</v>
      </c>
      <c r="AF1142">
        <v>0</v>
      </c>
      <c r="AG1142">
        <v>0</v>
      </c>
      <c r="AH1142">
        <v>0</v>
      </c>
      <c r="AI1142">
        <v>0</v>
      </c>
      <c r="AJ1142">
        <v>664.85</v>
      </c>
      <c r="AK1142">
        <v>0</v>
      </c>
      <c r="AL1142" t="s">
        <v>53</v>
      </c>
      <c r="AM1142" t="s">
        <v>53</v>
      </c>
      <c r="AN1142" t="s">
        <v>2085</v>
      </c>
      <c r="AO1142" t="s">
        <v>53</v>
      </c>
      <c r="AP1142" t="s">
        <v>53</v>
      </c>
    </row>
    <row r="1143" spans="2:42" x14ac:dyDescent="0.2">
      <c r="B1143" t="s">
        <v>44</v>
      </c>
      <c r="C1143" t="str">
        <f>HYPERLINK("https://us2.cloudbeds.com/connect/8493803454333002#/reservations/598044106986?display=E12DKSAH&amp;reservation_id=598044106986", "E12DKSAH")</f>
        <v>E12DKSAH</v>
      </c>
      <c r="D1143" t="s">
        <v>45</v>
      </c>
      <c r="E1143" t="s">
        <v>92</v>
      </c>
      <c r="F1143" t="s">
        <v>86</v>
      </c>
      <c r="G1143" t="s">
        <v>48</v>
      </c>
      <c r="H1143" t="s">
        <v>49</v>
      </c>
      <c r="I1143" t="s">
        <v>50</v>
      </c>
      <c r="J1143" t="s">
        <v>882</v>
      </c>
      <c r="K1143" t="s">
        <v>1430</v>
      </c>
      <c r="L1143" t="s">
        <v>53</v>
      </c>
      <c r="N1143" t="s">
        <v>2086</v>
      </c>
      <c r="P1143" t="s">
        <v>55</v>
      </c>
      <c r="R1143" t="s">
        <v>56</v>
      </c>
      <c r="T1143" t="s">
        <v>2061</v>
      </c>
      <c r="U1143" t="s">
        <v>58</v>
      </c>
      <c r="V1143">
        <v>3</v>
      </c>
      <c r="W1143">
        <v>1</v>
      </c>
      <c r="X1143">
        <v>1</v>
      </c>
      <c r="Y1143">
        <v>0</v>
      </c>
      <c r="Z1143">
        <v>1</v>
      </c>
      <c r="AA1143">
        <v>0</v>
      </c>
      <c r="AB1143">
        <v>282.31</v>
      </c>
      <c r="AC1143">
        <v>248.4</v>
      </c>
      <c r="AD1143">
        <v>0</v>
      </c>
      <c r="AE1143">
        <v>33.93</v>
      </c>
      <c r="AF1143">
        <v>0</v>
      </c>
      <c r="AG1143">
        <v>0</v>
      </c>
      <c r="AH1143">
        <v>0</v>
      </c>
      <c r="AI1143">
        <v>50.82</v>
      </c>
      <c r="AJ1143">
        <v>282.33</v>
      </c>
      <c r="AK1143">
        <v>0.02</v>
      </c>
      <c r="AL1143" t="s">
        <v>53</v>
      </c>
      <c r="AM1143" t="s">
        <v>53</v>
      </c>
      <c r="AN1143" t="s">
        <v>84</v>
      </c>
      <c r="AO1143" t="s">
        <v>53</v>
      </c>
      <c r="AP1143" t="s">
        <v>53</v>
      </c>
    </row>
    <row r="1144" spans="2:42" x14ac:dyDescent="0.2">
      <c r="B1144" t="s">
        <v>44</v>
      </c>
      <c r="C1144" t="str">
        <f>HYPERLINK("https://us2.cloudbeds.com/connect/8493803454333002#/reservations/598568202449?display=E1FQXJC7&amp;reservation_id=598568202449", "E1FQXJC7")</f>
        <v>E1FQXJC7</v>
      </c>
      <c r="D1144" t="s">
        <v>45</v>
      </c>
      <c r="E1144" t="s">
        <v>78</v>
      </c>
      <c r="F1144" t="s">
        <v>61</v>
      </c>
      <c r="G1144" t="s">
        <v>48</v>
      </c>
      <c r="H1144" t="s">
        <v>49</v>
      </c>
      <c r="I1144" t="s">
        <v>114</v>
      </c>
      <c r="J1144" t="s">
        <v>1430</v>
      </c>
      <c r="K1144" t="s">
        <v>1092</v>
      </c>
      <c r="L1144" t="s">
        <v>53</v>
      </c>
      <c r="N1144" t="s">
        <v>2087</v>
      </c>
      <c r="P1144" t="s">
        <v>55</v>
      </c>
      <c r="R1144" t="s">
        <v>56</v>
      </c>
      <c r="T1144" t="s">
        <v>2061</v>
      </c>
      <c r="U1144" t="s">
        <v>58</v>
      </c>
      <c r="V1144">
        <v>2</v>
      </c>
      <c r="W1144">
        <v>1</v>
      </c>
      <c r="X1144">
        <v>1</v>
      </c>
      <c r="Y1144">
        <v>0</v>
      </c>
      <c r="Z1144">
        <v>1</v>
      </c>
      <c r="AA1144">
        <v>0</v>
      </c>
      <c r="AB1144">
        <v>204.57</v>
      </c>
      <c r="AC1144">
        <v>180</v>
      </c>
      <c r="AD1144">
        <v>0</v>
      </c>
      <c r="AE1144">
        <v>24.58</v>
      </c>
      <c r="AF1144">
        <v>0</v>
      </c>
      <c r="AG1144">
        <v>0</v>
      </c>
      <c r="AH1144">
        <v>0</v>
      </c>
      <c r="AI1144">
        <v>0</v>
      </c>
      <c r="AJ1144">
        <v>204.58</v>
      </c>
      <c r="AK1144">
        <v>0.01</v>
      </c>
      <c r="AL1144" t="s">
        <v>53</v>
      </c>
      <c r="AM1144" t="s">
        <v>53</v>
      </c>
      <c r="AN1144" t="s">
        <v>2088</v>
      </c>
      <c r="AO1144" t="s">
        <v>53</v>
      </c>
      <c r="AP1144" t="s">
        <v>53</v>
      </c>
    </row>
    <row r="1145" spans="2:42" x14ac:dyDescent="0.2">
      <c r="B1145" t="s">
        <v>44</v>
      </c>
      <c r="C1145" t="str">
        <f>HYPERLINK("https://us2.cloudbeds.com/connect/8493803454333002#/reservations/598201139353?display=E16E1H02&amp;reservation_id=598201139353", "E16E1H02")</f>
        <v>E16E1H02</v>
      </c>
      <c r="D1145" t="s">
        <v>45</v>
      </c>
      <c r="E1145" t="s">
        <v>105</v>
      </c>
      <c r="F1145" t="s">
        <v>47</v>
      </c>
      <c r="G1145" t="s">
        <v>48</v>
      </c>
      <c r="H1145" t="s">
        <v>71</v>
      </c>
      <c r="I1145" t="s">
        <v>72</v>
      </c>
      <c r="J1145" t="s">
        <v>801</v>
      </c>
      <c r="K1145" t="s">
        <v>202</v>
      </c>
      <c r="L1145" t="s">
        <v>53</v>
      </c>
      <c r="N1145" t="s">
        <v>2089</v>
      </c>
      <c r="P1145" t="s">
        <v>55</v>
      </c>
      <c r="R1145" t="s">
        <v>56</v>
      </c>
      <c r="T1145" t="s">
        <v>2090</v>
      </c>
      <c r="U1145" t="s">
        <v>58</v>
      </c>
      <c r="V1145">
        <v>1</v>
      </c>
      <c r="W1145">
        <v>1</v>
      </c>
      <c r="X1145">
        <v>1</v>
      </c>
      <c r="Y1145">
        <v>0</v>
      </c>
      <c r="Z1145">
        <v>1</v>
      </c>
      <c r="AA1145">
        <v>0</v>
      </c>
      <c r="AB1145">
        <v>81.83</v>
      </c>
      <c r="AC1145">
        <v>72</v>
      </c>
      <c r="AD1145">
        <v>0</v>
      </c>
      <c r="AE1145">
        <v>9.83</v>
      </c>
      <c r="AF1145">
        <v>0</v>
      </c>
      <c r="AG1145">
        <v>0</v>
      </c>
      <c r="AH1145">
        <v>0</v>
      </c>
      <c r="AI1145">
        <v>0</v>
      </c>
      <c r="AJ1145">
        <v>81.83</v>
      </c>
      <c r="AK1145">
        <v>0</v>
      </c>
      <c r="AL1145" t="s">
        <v>53</v>
      </c>
      <c r="AM1145" t="s">
        <v>53</v>
      </c>
      <c r="AN1145" t="s">
        <v>378</v>
      </c>
      <c r="AO1145" t="s">
        <v>53</v>
      </c>
      <c r="AP1145" t="s">
        <v>53</v>
      </c>
    </row>
    <row r="1146" spans="2:42" x14ac:dyDescent="0.2">
      <c r="B1146" t="s">
        <v>44</v>
      </c>
      <c r="C1146" t="str">
        <f>HYPERLINK("https://us2.cloudbeds.com/connect/8493803454333002#/reservations/598467272859?display=E1D7F2CQ&amp;reservation_id=598467272859", "E1D7F2CQ")</f>
        <v>E1D7F2CQ</v>
      </c>
      <c r="D1146" t="s">
        <v>45</v>
      </c>
      <c r="E1146" t="s">
        <v>406</v>
      </c>
      <c r="F1146" t="s">
        <v>61</v>
      </c>
      <c r="G1146" t="s">
        <v>48</v>
      </c>
      <c r="H1146" t="s">
        <v>49</v>
      </c>
      <c r="I1146" t="s">
        <v>79</v>
      </c>
      <c r="J1146" t="s">
        <v>1430</v>
      </c>
      <c r="K1146" t="s">
        <v>1092</v>
      </c>
      <c r="L1146" t="s">
        <v>53</v>
      </c>
      <c r="N1146" t="s">
        <v>2091</v>
      </c>
      <c r="P1146" t="s">
        <v>55</v>
      </c>
      <c r="R1146" t="s">
        <v>56</v>
      </c>
      <c r="T1146" t="s">
        <v>2090</v>
      </c>
      <c r="U1146" t="s">
        <v>58</v>
      </c>
      <c r="V1146">
        <v>2</v>
      </c>
      <c r="W1146">
        <v>1</v>
      </c>
      <c r="X1146">
        <v>1</v>
      </c>
      <c r="Y1146">
        <v>0</v>
      </c>
      <c r="Z1146">
        <v>1</v>
      </c>
      <c r="AA1146">
        <v>0</v>
      </c>
      <c r="AB1146">
        <v>192.3</v>
      </c>
      <c r="AC1146">
        <v>169.2</v>
      </c>
      <c r="AD1146">
        <v>0</v>
      </c>
      <c r="AE1146">
        <v>23.08</v>
      </c>
      <c r="AF1146">
        <v>0</v>
      </c>
      <c r="AG1146">
        <v>0</v>
      </c>
      <c r="AH1146">
        <v>0</v>
      </c>
      <c r="AI1146">
        <v>0</v>
      </c>
      <c r="AJ1146">
        <v>192.28</v>
      </c>
      <c r="AK1146">
        <v>-0.02</v>
      </c>
      <c r="AL1146" t="s">
        <v>53</v>
      </c>
      <c r="AM1146" t="s">
        <v>53</v>
      </c>
      <c r="AN1146" t="s">
        <v>198</v>
      </c>
      <c r="AO1146" t="s">
        <v>53</v>
      </c>
      <c r="AP1146" t="s">
        <v>53</v>
      </c>
    </row>
    <row r="1147" spans="2:42" x14ac:dyDescent="0.2">
      <c r="B1147" t="s">
        <v>44</v>
      </c>
      <c r="C1147" t="str">
        <f>HYPERLINK("https://us2.cloudbeds.com/connect/8493803454333002#/reservations/598557364433?display=E1FHE03G&amp;reservation_id=598557364433", "E1FHE03G")</f>
        <v>E1FHE03G</v>
      </c>
      <c r="D1147" t="s">
        <v>45</v>
      </c>
      <c r="E1147" t="s">
        <v>381</v>
      </c>
      <c r="F1147" t="s">
        <v>47</v>
      </c>
      <c r="G1147" t="s">
        <v>48</v>
      </c>
      <c r="H1147" t="s">
        <v>49</v>
      </c>
      <c r="I1147" t="s">
        <v>50</v>
      </c>
      <c r="J1147" t="s">
        <v>281</v>
      </c>
      <c r="K1147" t="s">
        <v>1988</v>
      </c>
      <c r="L1147" t="s">
        <v>53</v>
      </c>
      <c r="N1147" t="s">
        <v>2092</v>
      </c>
      <c r="P1147" t="s">
        <v>55</v>
      </c>
      <c r="R1147" t="s">
        <v>56</v>
      </c>
      <c r="T1147" t="s">
        <v>2090</v>
      </c>
      <c r="U1147" t="s">
        <v>58</v>
      </c>
      <c r="V1147">
        <v>1</v>
      </c>
      <c r="W1147">
        <v>1</v>
      </c>
      <c r="X1147">
        <v>1</v>
      </c>
      <c r="Y1147">
        <v>0</v>
      </c>
      <c r="Z1147">
        <v>1</v>
      </c>
      <c r="AA1147">
        <v>0</v>
      </c>
      <c r="AB1147">
        <v>103.31</v>
      </c>
      <c r="AC1147">
        <v>90.9</v>
      </c>
      <c r="AD1147">
        <v>0</v>
      </c>
      <c r="AE1147">
        <v>12.41</v>
      </c>
      <c r="AF1147">
        <v>0</v>
      </c>
      <c r="AG1147">
        <v>0</v>
      </c>
      <c r="AH1147">
        <v>0</v>
      </c>
      <c r="AI1147">
        <v>18.600000000000001</v>
      </c>
      <c r="AJ1147">
        <v>103.31</v>
      </c>
      <c r="AK1147">
        <v>0</v>
      </c>
      <c r="AL1147" t="s">
        <v>53</v>
      </c>
      <c r="AM1147" t="s">
        <v>53</v>
      </c>
      <c r="AN1147" t="s">
        <v>127</v>
      </c>
      <c r="AO1147" t="s">
        <v>53</v>
      </c>
      <c r="AP1147" t="s">
        <v>53</v>
      </c>
    </row>
    <row r="1148" spans="2:42" x14ac:dyDescent="0.2">
      <c r="B1148" t="s">
        <v>44</v>
      </c>
      <c r="C1148" t="str">
        <f>HYPERLINK("https://us2.cloudbeds.com/connect/8493803454333002#/reservations/598124536053?display=E14FEU6W&amp;reservation_id=598124536053", "E14FEU6W")</f>
        <v>E14FEU6W</v>
      </c>
      <c r="D1148" t="s">
        <v>45</v>
      </c>
      <c r="E1148" t="s">
        <v>92</v>
      </c>
      <c r="F1148" t="s">
        <v>86</v>
      </c>
      <c r="G1148" t="s">
        <v>48</v>
      </c>
      <c r="H1148" t="s">
        <v>71</v>
      </c>
      <c r="I1148" t="s">
        <v>72</v>
      </c>
      <c r="J1148" t="s">
        <v>282</v>
      </c>
      <c r="K1148" t="s">
        <v>1027</v>
      </c>
      <c r="L1148" t="s">
        <v>53</v>
      </c>
      <c r="N1148" t="s">
        <v>2093</v>
      </c>
      <c r="P1148" t="s">
        <v>55</v>
      </c>
      <c r="R1148" t="s">
        <v>56</v>
      </c>
      <c r="T1148" t="s">
        <v>2090</v>
      </c>
      <c r="U1148" t="s">
        <v>58</v>
      </c>
      <c r="V1148">
        <v>1</v>
      </c>
      <c r="W1148">
        <v>1</v>
      </c>
      <c r="X1148">
        <v>1</v>
      </c>
      <c r="Y1148">
        <v>0</v>
      </c>
      <c r="Z1148">
        <v>1</v>
      </c>
      <c r="AA1148">
        <v>0</v>
      </c>
      <c r="AB1148">
        <v>164.79</v>
      </c>
      <c r="AC1148">
        <v>145</v>
      </c>
      <c r="AD1148">
        <v>0</v>
      </c>
      <c r="AE1148">
        <v>19.8</v>
      </c>
      <c r="AF1148">
        <v>0</v>
      </c>
      <c r="AG1148">
        <v>0</v>
      </c>
      <c r="AH1148">
        <v>0</v>
      </c>
      <c r="AI1148">
        <v>0</v>
      </c>
      <c r="AJ1148">
        <v>164.8</v>
      </c>
      <c r="AK1148">
        <v>0.01</v>
      </c>
      <c r="AL1148" t="s">
        <v>53</v>
      </c>
      <c r="AM1148" t="s">
        <v>53</v>
      </c>
      <c r="AN1148" t="s">
        <v>378</v>
      </c>
      <c r="AO1148" t="s">
        <v>53</v>
      </c>
      <c r="AP1148" t="s">
        <v>53</v>
      </c>
    </row>
    <row r="1149" spans="2:42" x14ac:dyDescent="0.2">
      <c r="B1149" t="s">
        <v>44</v>
      </c>
      <c r="C1149" t="str">
        <f>HYPERLINK("https://us2.cloudbeds.com/connect/8493803454333002#/reservations/598316126421?display=E19C06JN&amp;reservation_id=598316126421", "E19C06JN")</f>
        <v>E19C06JN</v>
      </c>
      <c r="D1149" t="s">
        <v>45</v>
      </c>
      <c r="E1149" t="s">
        <v>381</v>
      </c>
      <c r="F1149" t="s">
        <v>47</v>
      </c>
      <c r="G1149" t="s">
        <v>48</v>
      </c>
      <c r="H1149" t="s">
        <v>71</v>
      </c>
      <c r="I1149" t="s">
        <v>72</v>
      </c>
      <c r="J1149" t="s">
        <v>180</v>
      </c>
      <c r="K1149" t="s">
        <v>123</v>
      </c>
      <c r="L1149" t="s">
        <v>53</v>
      </c>
      <c r="N1149" t="s">
        <v>2094</v>
      </c>
      <c r="P1149" t="s">
        <v>55</v>
      </c>
      <c r="R1149" t="s">
        <v>56</v>
      </c>
      <c r="T1149" t="s">
        <v>2090</v>
      </c>
      <c r="U1149" t="s">
        <v>58</v>
      </c>
      <c r="V1149">
        <v>3</v>
      </c>
      <c r="W1149">
        <v>1</v>
      </c>
      <c r="X1149">
        <v>1</v>
      </c>
      <c r="Y1149">
        <v>0</v>
      </c>
      <c r="Z1149">
        <v>1</v>
      </c>
      <c r="AA1149">
        <v>0</v>
      </c>
      <c r="AB1149">
        <v>453.46</v>
      </c>
      <c r="AC1149">
        <v>399</v>
      </c>
      <c r="AD1149">
        <v>0</v>
      </c>
      <c r="AE1149">
        <v>54.48</v>
      </c>
      <c r="AF1149">
        <v>0</v>
      </c>
      <c r="AG1149">
        <v>0</v>
      </c>
      <c r="AH1149">
        <v>0</v>
      </c>
      <c r="AI1149">
        <v>0</v>
      </c>
      <c r="AJ1149">
        <v>453.48</v>
      </c>
      <c r="AK1149">
        <v>0.02</v>
      </c>
      <c r="AL1149" t="s">
        <v>53</v>
      </c>
      <c r="AM1149" t="s">
        <v>53</v>
      </c>
      <c r="AN1149" t="s">
        <v>2095</v>
      </c>
      <c r="AO1149" t="s">
        <v>53</v>
      </c>
      <c r="AP1149" t="s">
        <v>53</v>
      </c>
    </row>
    <row r="1150" spans="2:42" x14ac:dyDescent="0.2">
      <c r="B1150" t="s">
        <v>44</v>
      </c>
      <c r="C1150" t="str">
        <f>HYPERLINK("https://us2.cloudbeds.com/connect/8493803454333002#/reservations/598374158486?display=E1ARV0U3&amp;reservation_id=598374158486", "E1ARV0U3")</f>
        <v>E1ARV0U3</v>
      </c>
      <c r="D1150" t="s">
        <v>45</v>
      </c>
      <c r="E1150" t="s">
        <v>69</v>
      </c>
      <c r="F1150" t="s">
        <v>70</v>
      </c>
      <c r="G1150" t="s">
        <v>48</v>
      </c>
      <c r="H1150" t="s">
        <v>49</v>
      </c>
      <c r="I1150" t="s">
        <v>79</v>
      </c>
      <c r="J1150" t="s">
        <v>192</v>
      </c>
      <c r="K1150" t="s">
        <v>1068</v>
      </c>
      <c r="L1150" t="s">
        <v>53</v>
      </c>
      <c r="N1150" t="s">
        <v>2096</v>
      </c>
      <c r="P1150" t="s">
        <v>55</v>
      </c>
      <c r="R1150" t="s">
        <v>56</v>
      </c>
      <c r="T1150" t="s">
        <v>2090</v>
      </c>
      <c r="U1150" t="s">
        <v>58</v>
      </c>
      <c r="V1150">
        <v>1</v>
      </c>
      <c r="W1150">
        <v>1</v>
      </c>
      <c r="X1150">
        <v>1</v>
      </c>
      <c r="Y1150">
        <v>0</v>
      </c>
      <c r="Z1150">
        <v>1</v>
      </c>
      <c r="AA1150">
        <v>0</v>
      </c>
      <c r="AB1150">
        <v>95.13</v>
      </c>
      <c r="AC1150">
        <v>83.7</v>
      </c>
      <c r="AD1150">
        <v>0</v>
      </c>
      <c r="AE1150">
        <v>11.42</v>
      </c>
      <c r="AF1150">
        <v>0</v>
      </c>
      <c r="AG1150">
        <v>0</v>
      </c>
      <c r="AH1150">
        <v>0</v>
      </c>
      <c r="AI1150">
        <v>0</v>
      </c>
      <c r="AJ1150">
        <v>95.12</v>
      </c>
      <c r="AK1150">
        <v>-0.01</v>
      </c>
      <c r="AL1150" t="s">
        <v>53</v>
      </c>
      <c r="AM1150" t="s">
        <v>53</v>
      </c>
      <c r="AN1150" t="s">
        <v>97</v>
      </c>
      <c r="AO1150" t="s">
        <v>53</v>
      </c>
      <c r="AP1150" t="s">
        <v>53</v>
      </c>
    </row>
    <row r="1151" spans="2:42" x14ac:dyDescent="0.2">
      <c r="B1151" t="s">
        <v>44</v>
      </c>
      <c r="C1151" t="str">
        <f>HYPERLINK("https://us2.cloudbeds.com/connect/8493803454333002#/reservations/598441275573?display=E1CXHYP7&amp;reservation_id=598441275573", "E1CXHYP7")</f>
        <v>E1CXHYP7</v>
      </c>
      <c r="D1151" t="s">
        <v>45</v>
      </c>
      <c r="E1151" t="s">
        <v>381</v>
      </c>
      <c r="F1151" t="s">
        <v>47</v>
      </c>
      <c r="G1151" t="s">
        <v>48</v>
      </c>
      <c r="H1151" t="s">
        <v>49</v>
      </c>
      <c r="I1151" t="s">
        <v>79</v>
      </c>
      <c r="J1151" t="s">
        <v>801</v>
      </c>
      <c r="K1151" t="s">
        <v>202</v>
      </c>
      <c r="L1151" t="s">
        <v>53</v>
      </c>
      <c r="N1151" t="s">
        <v>2097</v>
      </c>
      <c r="P1151" t="s">
        <v>55</v>
      </c>
      <c r="R1151" t="s">
        <v>56</v>
      </c>
      <c r="T1151" t="s">
        <v>2090</v>
      </c>
      <c r="U1151" t="s">
        <v>58</v>
      </c>
      <c r="V1151">
        <v>1</v>
      </c>
      <c r="W1151">
        <v>1</v>
      </c>
      <c r="X1151">
        <v>1</v>
      </c>
      <c r="Y1151">
        <v>0</v>
      </c>
      <c r="Z1151">
        <v>1</v>
      </c>
      <c r="AA1151">
        <v>0</v>
      </c>
      <c r="AB1151">
        <v>78.760000000000005</v>
      </c>
      <c r="AC1151">
        <v>69.3</v>
      </c>
      <c r="AD1151">
        <v>0</v>
      </c>
      <c r="AE1151">
        <v>9.4700000000000006</v>
      </c>
      <c r="AF1151">
        <v>0</v>
      </c>
      <c r="AG1151">
        <v>0</v>
      </c>
      <c r="AH1151">
        <v>0</v>
      </c>
      <c r="AI1151">
        <v>0</v>
      </c>
      <c r="AJ1151">
        <v>78.77</v>
      </c>
      <c r="AK1151">
        <v>0.01</v>
      </c>
      <c r="AL1151" t="s">
        <v>53</v>
      </c>
      <c r="AM1151" t="s">
        <v>53</v>
      </c>
      <c r="AN1151" t="s">
        <v>159</v>
      </c>
      <c r="AO1151" t="s">
        <v>53</v>
      </c>
      <c r="AP1151" t="s">
        <v>53</v>
      </c>
    </row>
    <row r="1152" spans="2:42" x14ac:dyDescent="0.2">
      <c r="B1152" t="s">
        <v>44</v>
      </c>
      <c r="C1152" t="str">
        <f>HYPERLINK("https://us2.cloudbeds.com/connect/8493803454333002#/reservations/598343061654?display=E1A1NNGT&amp;reservation_id=598343061654", "E1A1NNGT")</f>
        <v>E1A1NNGT</v>
      </c>
      <c r="D1152" t="s">
        <v>45</v>
      </c>
      <c r="E1152" t="s">
        <v>46</v>
      </c>
      <c r="F1152" t="s">
        <v>47</v>
      </c>
      <c r="G1152" t="s">
        <v>48</v>
      </c>
      <c r="H1152" t="s">
        <v>49</v>
      </c>
      <c r="I1152" t="s">
        <v>50</v>
      </c>
      <c r="J1152" t="s">
        <v>801</v>
      </c>
      <c r="K1152" t="s">
        <v>1430</v>
      </c>
      <c r="L1152" t="s">
        <v>53</v>
      </c>
      <c r="N1152" t="s">
        <v>2098</v>
      </c>
      <c r="P1152" t="s">
        <v>55</v>
      </c>
      <c r="R1152" t="s">
        <v>56</v>
      </c>
      <c r="T1152" t="s">
        <v>2090</v>
      </c>
      <c r="U1152" t="s">
        <v>58</v>
      </c>
      <c r="V1152">
        <v>2</v>
      </c>
      <c r="W1152">
        <v>1</v>
      </c>
      <c r="X1152">
        <v>1</v>
      </c>
      <c r="Y1152">
        <v>0</v>
      </c>
      <c r="Z1152">
        <v>1</v>
      </c>
      <c r="AA1152">
        <v>0</v>
      </c>
      <c r="AB1152">
        <v>157.52000000000001</v>
      </c>
      <c r="AC1152">
        <v>138.6</v>
      </c>
      <c r="AD1152">
        <v>0</v>
      </c>
      <c r="AE1152">
        <v>18.940000000000001</v>
      </c>
      <c r="AF1152">
        <v>0</v>
      </c>
      <c r="AG1152">
        <v>0</v>
      </c>
      <c r="AH1152">
        <v>0</v>
      </c>
      <c r="AI1152">
        <v>28.36</v>
      </c>
      <c r="AJ1152">
        <v>157.54</v>
      </c>
      <c r="AK1152">
        <v>0.02</v>
      </c>
      <c r="AL1152" t="s">
        <v>53</v>
      </c>
      <c r="AM1152" t="s">
        <v>53</v>
      </c>
      <c r="AN1152" t="s">
        <v>2099</v>
      </c>
      <c r="AO1152" t="s">
        <v>53</v>
      </c>
      <c r="AP1152" t="s">
        <v>53</v>
      </c>
    </row>
    <row r="1153" spans="2:42" x14ac:dyDescent="0.2">
      <c r="B1153" t="s">
        <v>44</v>
      </c>
      <c r="C1153" t="str">
        <f>HYPERLINK("https://us2.cloudbeds.com/connect/8493803454333002#/reservations/598509400266?display=E1E9WAST&amp;reservation_id=598509400266", "E1E9WAST")</f>
        <v>E1E9WAST</v>
      </c>
      <c r="D1153" t="s">
        <v>45</v>
      </c>
      <c r="E1153" t="s">
        <v>113</v>
      </c>
      <c r="F1153" t="s">
        <v>61</v>
      </c>
      <c r="G1153" t="s">
        <v>48</v>
      </c>
      <c r="H1153" t="s">
        <v>49</v>
      </c>
      <c r="I1153" t="s">
        <v>50</v>
      </c>
      <c r="J1153" t="s">
        <v>282</v>
      </c>
      <c r="K1153" t="s">
        <v>1027</v>
      </c>
      <c r="L1153" t="s">
        <v>53</v>
      </c>
      <c r="N1153" t="s">
        <v>2100</v>
      </c>
      <c r="P1153" t="s">
        <v>55</v>
      </c>
      <c r="R1153" t="s">
        <v>56</v>
      </c>
      <c r="T1153" t="s">
        <v>2090</v>
      </c>
      <c r="U1153" t="s">
        <v>58</v>
      </c>
      <c r="V1153">
        <v>1</v>
      </c>
      <c r="W1153">
        <v>1</v>
      </c>
      <c r="X1153">
        <v>1</v>
      </c>
      <c r="Y1153">
        <v>0</v>
      </c>
      <c r="Z1153">
        <v>1</v>
      </c>
      <c r="AA1153">
        <v>0</v>
      </c>
      <c r="AB1153">
        <v>140.13</v>
      </c>
      <c r="AC1153">
        <v>123.3</v>
      </c>
      <c r="AD1153">
        <v>0</v>
      </c>
      <c r="AE1153">
        <v>16.84</v>
      </c>
      <c r="AF1153">
        <v>0</v>
      </c>
      <c r="AG1153">
        <v>0</v>
      </c>
      <c r="AH1153">
        <v>0</v>
      </c>
      <c r="AI1153">
        <v>25.23</v>
      </c>
      <c r="AJ1153">
        <v>140.13999999999999</v>
      </c>
      <c r="AK1153">
        <v>0.01</v>
      </c>
      <c r="AL1153" t="s">
        <v>53</v>
      </c>
      <c r="AM1153" t="s">
        <v>53</v>
      </c>
      <c r="AN1153" t="s">
        <v>142</v>
      </c>
      <c r="AO1153" t="s">
        <v>53</v>
      </c>
      <c r="AP1153" t="s">
        <v>53</v>
      </c>
    </row>
    <row r="1154" spans="2:42" x14ac:dyDescent="0.2">
      <c r="B1154" t="s">
        <v>44</v>
      </c>
      <c r="C1154" t="str">
        <f>HYPERLINK("https://us2.cloudbeds.com/connect/8493803454333002#/reservations/598092497050?display=E13YECY3&amp;reservation_id=598092497050", "E13YECY3")</f>
        <v>E13YECY3</v>
      </c>
      <c r="D1154" t="s">
        <v>45</v>
      </c>
      <c r="E1154" t="s">
        <v>155</v>
      </c>
      <c r="F1154" t="s">
        <v>86</v>
      </c>
      <c r="G1154" t="s">
        <v>48</v>
      </c>
      <c r="H1154" t="s">
        <v>49</v>
      </c>
      <c r="I1154" t="s">
        <v>50</v>
      </c>
      <c r="J1154" t="s">
        <v>1430</v>
      </c>
      <c r="K1154" t="s">
        <v>203</v>
      </c>
      <c r="L1154" t="s">
        <v>53</v>
      </c>
      <c r="N1154" t="s">
        <v>2101</v>
      </c>
      <c r="P1154" t="s">
        <v>55</v>
      </c>
      <c r="R1154" t="s">
        <v>56</v>
      </c>
      <c r="T1154" t="s">
        <v>2090</v>
      </c>
      <c r="U1154" t="s">
        <v>58</v>
      </c>
      <c r="V1154">
        <v>1</v>
      </c>
      <c r="W1154">
        <v>1</v>
      </c>
      <c r="X1154">
        <v>1</v>
      </c>
      <c r="Y1154">
        <v>0</v>
      </c>
      <c r="Z1154">
        <v>1</v>
      </c>
      <c r="AA1154">
        <v>0</v>
      </c>
      <c r="AB1154">
        <v>108.42</v>
      </c>
      <c r="AC1154">
        <v>95.4</v>
      </c>
      <c r="AD1154">
        <v>0</v>
      </c>
      <c r="AE1154">
        <v>13.03</v>
      </c>
      <c r="AF1154">
        <v>0</v>
      </c>
      <c r="AG1154">
        <v>0</v>
      </c>
      <c r="AH1154">
        <v>0</v>
      </c>
      <c r="AI1154">
        <v>19.52</v>
      </c>
      <c r="AJ1154">
        <v>108.43</v>
      </c>
      <c r="AK1154">
        <v>0.01</v>
      </c>
      <c r="AL1154" t="s">
        <v>53</v>
      </c>
      <c r="AM1154" t="s">
        <v>53</v>
      </c>
      <c r="AN1154" t="s">
        <v>545</v>
      </c>
      <c r="AO1154" t="s">
        <v>53</v>
      </c>
      <c r="AP1154" t="s">
        <v>53</v>
      </c>
    </row>
    <row r="1155" spans="2:42" x14ac:dyDescent="0.2">
      <c r="B1155" t="s">
        <v>44</v>
      </c>
      <c r="C1155" t="str">
        <f>HYPERLINK("https://us2.cloudbeds.com/connect/8493803454333002#/reservations/598240428256?display=E17E5PVU&amp;reservation_id=598240428256", "E17E5PVU")</f>
        <v>E17E5PVU</v>
      </c>
      <c r="D1155" t="s">
        <v>45</v>
      </c>
      <c r="E1155" t="s">
        <v>128</v>
      </c>
      <c r="F1155" t="s">
        <v>86</v>
      </c>
      <c r="G1155" t="s">
        <v>48</v>
      </c>
      <c r="H1155" t="s">
        <v>49</v>
      </c>
      <c r="I1155" t="s">
        <v>79</v>
      </c>
      <c r="J1155" t="s">
        <v>1792</v>
      </c>
      <c r="K1155" t="s">
        <v>2102</v>
      </c>
      <c r="L1155" t="s">
        <v>53</v>
      </c>
      <c r="N1155" t="s">
        <v>2103</v>
      </c>
      <c r="P1155" t="s">
        <v>55</v>
      </c>
      <c r="R1155" t="s">
        <v>56</v>
      </c>
      <c r="T1155" t="s">
        <v>2090</v>
      </c>
      <c r="U1155" t="s">
        <v>58</v>
      </c>
      <c r="V1155">
        <v>3</v>
      </c>
      <c r="W1155">
        <v>1</v>
      </c>
      <c r="X1155">
        <v>1</v>
      </c>
      <c r="Y1155">
        <v>0</v>
      </c>
      <c r="Z1155">
        <v>1</v>
      </c>
      <c r="AA1155">
        <v>0</v>
      </c>
      <c r="AB1155">
        <v>509.38</v>
      </c>
      <c r="AC1155">
        <v>448.2</v>
      </c>
      <c r="AD1155">
        <v>0</v>
      </c>
      <c r="AE1155">
        <v>61.17</v>
      </c>
      <c r="AF1155">
        <v>0</v>
      </c>
      <c r="AG1155">
        <v>0</v>
      </c>
      <c r="AH1155">
        <v>0</v>
      </c>
      <c r="AI1155">
        <v>0</v>
      </c>
      <c r="AJ1155">
        <v>509.37</v>
      </c>
      <c r="AK1155">
        <v>-0.01</v>
      </c>
      <c r="AL1155" t="s">
        <v>53</v>
      </c>
      <c r="AM1155" t="s">
        <v>53</v>
      </c>
      <c r="AN1155" t="s">
        <v>59</v>
      </c>
      <c r="AO1155" t="s">
        <v>53</v>
      </c>
      <c r="AP1155" t="s">
        <v>53</v>
      </c>
    </row>
    <row r="1156" spans="2:42" x14ac:dyDescent="0.2">
      <c r="B1156" t="s">
        <v>44</v>
      </c>
      <c r="C1156" t="str">
        <f>HYPERLINK("https://us2.cloudbeds.com/connect/8493803454333002#/reservations/598257037466?display=E17S5VPA&amp;reservation_id=598257037466", "E17S5VPA")</f>
        <v>E17S5VPA</v>
      </c>
      <c r="D1156" t="s">
        <v>45</v>
      </c>
      <c r="E1156" t="s">
        <v>373</v>
      </c>
      <c r="F1156" t="s">
        <v>47</v>
      </c>
      <c r="G1156" t="s">
        <v>48</v>
      </c>
      <c r="H1156" t="s">
        <v>49</v>
      </c>
      <c r="I1156" t="s">
        <v>50</v>
      </c>
      <c r="J1156" t="s">
        <v>1988</v>
      </c>
      <c r="K1156" t="s">
        <v>1027</v>
      </c>
      <c r="L1156" t="s">
        <v>53</v>
      </c>
      <c r="N1156" t="s">
        <v>2104</v>
      </c>
      <c r="P1156" t="s">
        <v>55</v>
      </c>
      <c r="R1156" t="s">
        <v>56</v>
      </c>
      <c r="T1156" t="s">
        <v>2090</v>
      </c>
      <c r="U1156" t="s">
        <v>58</v>
      </c>
      <c r="V1156">
        <v>2</v>
      </c>
      <c r="W1156">
        <v>1</v>
      </c>
      <c r="X1156">
        <v>1</v>
      </c>
      <c r="Y1156">
        <v>0</v>
      </c>
      <c r="Z1156">
        <v>1</v>
      </c>
      <c r="AA1156">
        <v>0</v>
      </c>
      <c r="AB1156">
        <v>231.16</v>
      </c>
      <c r="AC1156">
        <v>203.4</v>
      </c>
      <c r="AD1156">
        <v>0</v>
      </c>
      <c r="AE1156">
        <v>27.76</v>
      </c>
      <c r="AF1156">
        <v>0</v>
      </c>
      <c r="AG1156">
        <v>0</v>
      </c>
      <c r="AH1156">
        <v>0</v>
      </c>
      <c r="AI1156">
        <v>41.61</v>
      </c>
      <c r="AJ1156">
        <v>231.16</v>
      </c>
      <c r="AK1156">
        <v>0</v>
      </c>
      <c r="AL1156" t="s">
        <v>53</v>
      </c>
      <c r="AM1156" t="s">
        <v>53</v>
      </c>
      <c r="AN1156" t="s">
        <v>91</v>
      </c>
      <c r="AO1156" t="s">
        <v>53</v>
      </c>
      <c r="AP1156" t="s">
        <v>53</v>
      </c>
    </row>
    <row r="1157" spans="2:42" x14ac:dyDescent="0.2">
      <c r="B1157" t="s">
        <v>44</v>
      </c>
      <c r="C1157" t="str">
        <f>HYPERLINK("https://us2.cloudbeds.com/connect/8493803454333002#/reservations/598568399029?display=E1FQZ1T6&amp;reservation_id=598568399029", "E1FQZ1T6")</f>
        <v>E1FQZ1T6</v>
      </c>
      <c r="D1157" t="s">
        <v>45</v>
      </c>
      <c r="E1157" t="s">
        <v>213</v>
      </c>
      <c r="F1157" t="s">
        <v>86</v>
      </c>
      <c r="G1157" t="s">
        <v>48</v>
      </c>
      <c r="H1157" t="s">
        <v>49</v>
      </c>
      <c r="I1157" t="s">
        <v>79</v>
      </c>
      <c r="J1157" t="s">
        <v>1792</v>
      </c>
      <c r="K1157" t="s">
        <v>2102</v>
      </c>
      <c r="L1157" t="s">
        <v>53</v>
      </c>
      <c r="N1157" t="s">
        <v>2105</v>
      </c>
      <c r="P1157" t="s">
        <v>55</v>
      </c>
      <c r="R1157" t="s">
        <v>56</v>
      </c>
      <c r="T1157" t="s">
        <v>2090</v>
      </c>
      <c r="U1157" t="s">
        <v>58</v>
      </c>
      <c r="V1157">
        <v>3</v>
      </c>
      <c r="W1157">
        <v>1</v>
      </c>
      <c r="X1157">
        <v>1</v>
      </c>
      <c r="Y1157">
        <v>0</v>
      </c>
      <c r="Z1157">
        <v>1</v>
      </c>
      <c r="AA1157">
        <v>0</v>
      </c>
      <c r="AB1157">
        <v>509.38</v>
      </c>
      <c r="AC1157">
        <v>448.2</v>
      </c>
      <c r="AD1157">
        <v>0</v>
      </c>
      <c r="AE1157">
        <v>61.17</v>
      </c>
      <c r="AF1157">
        <v>0</v>
      </c>
      <c r="AG1157">
        <v>0</v>
      </c>
      <c r="AH1157">
        <v>0</v>
      </c>
      <c r="AI1157">
        <v>0</v>
      </c>
      <c r="AJ1157">
        <v>509.37</v>
      </c>
      <c r="AK1157">
        <v>-0.01</v>
      </c>
      <c r="AL1157" t="s">
        <v>53</v>
      </c>
      <c r="AM1157" t="s">
        <v>53</v>
      </c>
      <c r="AN1157" t="s">
        <v>127</v>
      </c>
      <c r="AO1157" t="s">
        <v>53</v>
      </c>
      <c r="AP1157" t="s">
        <v>53</v>
      </c>
    </row>
    <row r="1158" spans="2:42" x14ac:dyDescent="0.2">
      <c r="B1158" t="s">
        <v>44</v>
      </c>
      <c r="C1158" t="str">
        <f>HYPERLINK("https://us2.cloudbeds.com/connect/8493803454333002#/reservations/597562413202?display=E0N3F0K6&amp;reservation_id=597562413202", "E0N3F0K6")</f>
        <v>E0N3F0K6</v>
      </c>
      <c r="D1158" t="s">
        <v>45</v>
      </c>
      <c r="E1158" t="s">
        <v>190</v>
      </c>
      <c r="F1158" t="s">
        <v>61</v>
      </c>
      <c r="G1158" t="s">
        <v>48</v>
      </c>
      <c r="H1158" t="s">
        <v>49</v>
      </c>
      <c r="I1158" t="s">
        <v>79</v>
      </c>
      <c r="J1158" t="s">
        <v>1782</v>
      </c>
      <c r="K1158" t="s">
        <v>1244</v>
      </c>
      <c r="L1158" t="s">
        <v>53</v>
      </c>
      <c r="N1158" t="s">
        <v>2106</v>
      </c>
      <c r="P1158" t="s">
        <v>55</v>
      </c>
      <c r="R1158" t="s">
        <v>56</v>
      </c>
      <c r="T1158" t="s">
        <v>2090</v>
      </c>
      <c r="U1158" t="s">
        <v>58</v>
      </c>
      <c r="V1158">
        <v>1</v>
      </c>
      <c r="W1158">
        <v>1</v>
      </c>
      <c r="X1158">
        <v>1</v>
      </c>
      <c r="Y1158">
        <v>0</v>
      </c>
      <c r="Z1158">
        <v>1</v>
      </c>
      <c r="AA1158">
        <v>0</v>
      </c>
      <c r="AB1158">
        <v>112.51</v>
      </c>
      <c r="AC1158">
        <v>99</v>
      </c>
      <c r="AD1158">
        <v>0</v>
      </c>
      <c r="AE1158">
        <v>13.52</v>
      </c>
      <c r="AF1158">
        <v>0</v>
      </c>
      <c r="AG1158">
        <v>0</v>
      </c>
      <c r="AH1158">
        <v>0</v>
      </c>
      <c r="AI1158">
        <v>0</v>
      </c>
      <c r="AJ1158">
        <v>112.52</v>
      </c>
      <c r="AK1158">
        <v>0.01</v>
      </c>
      <c r="AL1158" t="s">
        <v>53</v>
      </c>
      <c r="AM1158" t="s">
        <v>53</v>
      </c>
      <c r="AN1158" t="s">
        <v>97</v>
      </c>
      <c r="AO1158" t="s">
        <v>53</v>
      </c>
      <c r="AP1158" t="s">
        <v>53</v>
      </c>
    </row>
    <row r="1159" spans="2:42" x14ac:dyDescent="0.2">
      <c r="B1159" t="s">
        <v>44</v>
      </c>
      <c r="C1159" t="str">
        <f>HYPERLINK("https://us2.cloudbeds.com/connect/8493803454333002#/reservations/598114296026?display=E146QW24&amp;reservation_id=598114296026", "E146QW24")</f>
        <v>E146QW24</v>
      </c>
      <c r="D1159" t="s">
        <v>45</v>
      </c>
      <c r="E1159" t="s">
        <v>381</v>
      </c>
      <c r="F1159" t="s">
        <v>47</v>
      </c>
      <c r="G1159" t="s">
        <v>48</v>
      </c>
      <c r="H1159" t="s">
        <v>49</v>
      </c>
      <c r="I1159" t="s">
        <v>50</v>
      </c>
      <c r="J1159" t="s">
        <v>202</v>
      </c>
      <c r="K1159" t="s">
        <v>1430</v>
      </c>
      <c r="L1159" t="s">
        <v>53</v>
      </c>
      <c r="N1159" t="s">
        <v>2107</v>
      </c>
      <c r="P1159" t="s">
        <v>55</v>
      </c>
      <c r="R1159" t="s">
        <v>56</v>
      </c>
      <c r="T1159" t="s">
        <v>2108</v>
      </c>
      <c r="U1159" t="s">
        <v>58</v>
      </c>
      <c r="V1159">
        <v>1</v>
      </c>
      <c r="W1159">
        <v>1</v>
      </c>
      <c r="X1159">
        <v>1</v>
      </c>
      <c r="Y1159">
        <v>0</v>
      </c>
      <c r="Z1159">
        <v>1</v>
      </c>
      <c r="AA1159">
        <v>0</v>
      </c>
      <c r="AB1159">
        <v>78.760000000000005</v>
      </c>
      <c r="AC1159">
        <v>69.3</v>
      </c>
      <c r="AD1159">
        <v>0</v>
      </c>
      <c r="AE1159">
        <v>9.4700000000000006</v>
      </c>
      <c r="AF1159">
        <v>0</v>
      </c>
      <c r="AG1159">
        <v>0</v>
      </c>
      <c r="AH1159">
        <v>0</v>
      </c>
      <c r="AI1159">
        <v>14.18</v>
      </c>
      <c r="AJ1159">
        <v>78.77</v>
      </c>
      <c r="AK1159">
        <v>0.01</v>
      </c>
      <c r="AL1159" t="s">
        <v>53</v>
      </c>
      <c r="AM1159" t="s">
        <v>53</v>
      </c>
      <c r="AN1159" t="s">
        <v>159</v>
      </c>
      <c r="AO1159" t="s">
        <v>53</v>
      </c>
      <c r="AP1159" t="s">
        <v>53</v>
      </c>
    </row>
    <row r="1160" spans="2:42" x14ac:dyDescent="0.2">
      <c r="B1160" t="s">
        <v>44</v>
      </c>
      <c r="C1160" t="str">
        <f>HYPERLINK("https://us2.cloudbeds.com/connect/8493803454333002#/reservations/598334103805?display=E19R5EZU&amp;reservation_id=598334103805", "E19R5EZU")</f>
        <v>E19R5EZU</v>
      </c>
      <c r="D1160" t="s">
        <v>45</v>
      </c>
      <c r="E1160" t="s">
        <v>78</v>
      </c>
      <c r="F1160" t="s">
        <v>61</v>
      </c>
      <c r="G1160" t="s">
        <v>48</v>
      </c>
      <c r="H1160" t="s">
        <v>49</v>
      </c>
      <c r="I1160" t="s">
        <v>62</v>
      </c>
      <c r="J1160" t="s">
        <v>202</v>
      </c>
      <c r="K1160" t="s">
        <v>1430</v>
      </c>
      <c r="L1160" t="s">
        <v>53</v>
      </c>
      <c r="N1160" t="s">
        <v>2109</v>
      </c>
      <c r="P1160" t="s">
        <v>55</v>
      </c>
      <c r="R1160" t="s">
        <v>56</v>
      </c>
      <c r="T1160" t="s">
        <v>2108</v>
      </c>
      <c r="U1160" t="s">
        <v>58</v>
      </c>
      <c r="V1160">
        <v>1</v>
      </c>
      <c r="W1160">
        <v>1</v>
      </c>
      <c r="X1160">
        <v>1</v>
      </c>
      <c r="Y1160">
        <v>0</v>
      </c>
      <c r="Z1160">
        <v>1</v>
      </c>
      <c r="AA1160">
        <v>0</v>
      </c>
      <c r="AB1160">
        <v>94.27</v>
      </c>
      <c r="AC1160">
        <v>82.95</v>
      </c>
      <c r="AD1160">
        <v>0</v>
      </c>
      <c r="AE1160">
        <v>11.32</v>
      </c>
      <c r="AF1160">
        <v>0</v>
      </c>
      <c r="AG1160">
        <v>0</v>
      </c>
      <c r="AH1160">
        <v>0</v>
      </c>
      <c r="AI1160">
        <v>14.14</v>
      </c>
      <c r="AJ1160">
        <v>94.27</v>
      </c>
      <c r="AK1160">
        <v>0</v>
      </c>
      <c r="AL1160" t="s">
        <v>53</v>
      </c>
      <c r="AM1160" t="s">
        <v>53</v>
      </c>
      <c r="AN1160" t="s">
        <v>2110</v>
      </c>
      <c r="AO1160" t="s">
        <v>53</v>
      </c>
      <c r="AP1160" t="s">
        <v>53</v>
      </c>
    </row>
    <row r="1161" spans="2:42" x14ac:dyDescent="0.2">
      <c r="B1161" t="s">
        <v>44</v>
      </c>
      <c r="C1161" t="str">
        <f>HYPERLINK("https://us2.cloudbeds.com/connect/8493803454333002#/reservations/597610991762?display=E0ZBDQ0P&amp;reservation_id=597610991762", "E0ZBDQ0P")</f>
        <v>E0ZBDQ0P</v>
      </c>
      <c r="D1161" t="s">
        <v>45</v>
      </c>
      <c r="E1161" t="s">
        <v>46</v>
      </c>
      <c r="F1161" t="s">
        <v>47</v>
      </c>
      <c r="G1161" t="s">
        <v>48</v>
      </c>
      <c r="H1161" t="s">
        <v>49</v>
      </c>
      <c r="I1161" t="s">
        <v>114</v>
      </c>
      <c r="J1161" t="s">
        <v>709</v>
      </c>
      <c r="K1161" t="s">
        <v>600</v>
      </c>
      <c r="L1161" t="s">
        <v>53</v>
      </c>
      <c r="N1161" t="s">
        <v>2111</v>
      </c>
      <c r="P1161" t="s">
        <v>55</v>
      </c>
      <c r="R1161" t="s">
        <v>56</v>
      </c>
      <c r="T1161" t="s">
        <v>2108</v>
      </c>
      <c r="U1161" t="s">
        <v>58</v>
      </c>
      <c r="V1161">
        <v>4</v>
      </c>
      <c r="W1161">
        <v>1</v>
      </c>
      <c r="X1161">
        <v>1</v>
      </c>
      <c r="Y1161">
        <v>0</v>
      </c>
      <c r="Z1161">
        <v>1</v>
      </c>
      <c r="AA1161">
        <v>0</v>
      </c>
      <c r="AB1161">
        <v>459.15</v>
      </c>
      <c r="AC1161">
        <v>404</v>
      </c>
      <c r="AD1161">
        <v>0</v>
      </c>
      <c r="AE1161">
        <v>55.16</v>
      </c>
      <c r="AF1161">
        <v>0</v>
      </c>
      <c r="AG1161">
        <v>0</v>
      </c>
      <c r="AH1161">
        <v>0</v>
      </c>
      <c r="AI1161">
        <v>0</v>
      </c>
      <c r="AJ1161">
        <v>459.16</v>
      </c>
      <c r="AK1161">
        <v>0.01</v>
      </c>
      <c r="AL1161" t="s">
        <v>53</v>
      </c>
      <c r="AM1161" t="s">
        <v>53</v>
      </c>
      <c r="AN1161" t="s">
        <v>2112</v>
      </c>
      <c r="AO1161" t="s">
        <v>53</v>
      </c>
      <c r="AP1161" t="s">
        <v>53</v>
      </c>
    </row>
    <row r="1162" spans="2:42" x14ac:dyDescent="0.2">
      <c r="B1162" t="s">
        <v>44</v>
      </c>
      <c r="C1162" t="str">
        <f>HYPERLINK("https://us2.cloudbeds.com/connect/8493803454333002#/reservations/598555205836?display=E1FFJUUF&amp;reservation_id=598555205836", "E1FFJUUF")</f>
        <v>E1FFJUUF</v>
      </c>
      <c r="D1162" t="s">
        <v>45</v>
      </c>
      <c r="E1162" t="s">
        <v>113</v>
      </c>
      <c r="F1162" t="s">
        <v>61</v>
      </c>
      <c r="G1162" t="s">
        <v>48</v>
      </c>
      <c r="H1162" t="s">
        <v>71</v>
      </c>
      <c r="I1162" t="s">
        <v>72</v>
      </c>
      <c r="J1162" t="s">
        <v>202</v>
      </c>
      <c r="K1162" t="s">
        <v>1430</v>
      </c>
      <c r="L1162" t="s">
        <v>53</v>
      </c>
      <c r="N1162" t="s">
        <v>2113</v>
      </c>
      <c r="P1162" t="s">
        <v>55</v>
      </c>
      <c r="R1162" t="s">
        <v>56</v>
      </c>
      <c r="T1162" t="s">
        <v>2108</v>
      </c>
      <c r="U1162" t="s">
        <v>58</v>
      </c>
      <c r="V1162">
        <v>1</v>
      </c>
      <c r="W1162">
        <v>1</v>
      </c>
      <c r="X1162">
        <v>1</v>
      </c>
      <c r="Y1162">
        <v>0</v>
      </c>
      <c r="Z1162">
        <v>1</v>
      </c>
      <c r="AA1162">
        <v>0</v>
      </c>
      <c r="AB1162">
        <v>89.78</v>
      </c>
      <c r="AC1162">
        <v>79</v>
      </c>
      <c r="AD1162">
        <v>0</v>
      </c>
      <c r="AE1162">
        <v>10.79</v>
      </c>
      <c r="AF1162">
        <v>0</v>
      </c>
      <c r="AG1162">
        <v>0</v>
      </c>
      <c r="AH1162">
        <v>0</v>
      </c>
      <c r="AI1162">
        <v>0</v>
      </c>
      <c r="AJ1162">
        <v>89.79</v>
      </c>
      <c r="AK1162">
        <v>0.01</v>
      </c>
      <c r="AL1162" t="s">
        <v>53</v>
      </c>
      <c r="AM1162" t="s">
        <v>53</v>
      </c>
      <c r="AN1162" t="s">
        <v>378</v>
      </c>
      <c r="AO1162" t="s">
        <v>53</v>
      </c>
      <c r="AP1162" t="s">
        <v>53</v>
      </c>
    </row>
    <row r="1163" spans="2:42" x14ac:dyDescent="0.2">
      <c r="B1163" t="s">
        <v>44</v>
      </c>
      <c r="C1163" t="str">
        <f>HYPERLINK("https://us2.cloudbeds.com/connect/8493803454333002#/reservations/598420590736?display=E1C132E0&amp;reservation_id=598420590736", "E1C132E0")</f>
        <v>E1C132E0</v>
      </c>
      <c r="D1163" t="s">
        <v>45</v>
      </c>
      <c r="E1163" t="s">
        <v>223</v>
      </c>
      <c r="F1163" t="s">
        <v>47</v>
      </c>
      <c r="G1163" t="s">
        <v>48</v>
      </c>
      <c r="H1163" t="s">
        <v>71</v>
      </c>
      <c r="I1163" t="s">
        <v>72</v>
      </c>
      <c r="J1163" t="s">
        <v>259</v>
      </c>
      <c r="K1163" t="s">
        <v>295</v>
      </c>
      <c r="L1163" t="s">
        <v>53</v>
      </c>
      <c r="N1163" t="s">
        <v>2114</v>
      </c>
      <c r="P1163" t="s">
        <v>55</v>
      </c>
      <c r="R1163" t="s">
        <v>56</v>
      </c>
      <c r="T1163" t="s">
        <v>2108</v>
      </c>
      <c r="U1163" t="s">
        <v>58</v>
      </c>
      <c r="V1163">
        <v>1</v>
      </c>
      <c r="W1163">
        <v>1</v>
      </c>
      <c r="X1163">
        <v>1</v>
      </c>
      <c r="Y1163">
        <v>0</v>
      </c>
      <c r="Z1163">
        <v>1</v>
      </c>
      <c r="AA1163">
        <v>0</v>
      </c>
      <c r="AB1163">
        <v>114.79</v>
      </c>
      <c r="AC1163">
        <v>101</v>
      </c>
      <c r="AD1163">
        <v>0</v>
      </c>
      <c r="AE1163">
        <v>13.79</v>
      </c>
      <c r="AF1163">
        <v>0</v>
      </c>
      <c r="AG1163">
        <v>0</v>
      </c>
      <c r="AH1163">
        <v>0</v>
      </c>
      <c r="AI1163">
        <v>0</v>
      </c>
      <c r="AJ1163">
        <v>114.79</v>
      </c>
      <c r="AK1163">
        <v>0</v>
      </c>
      <c r="AL1163" t="s">
        <v>53</v>
      </c>
      <c r="AM1163" t="s">
        <v>53</v>
      </c>
      <c r="AN1163" t="s">
        <v>2115</v>
      </c>
      <c r="AO1163" t="s">
        <v>53</v>
      </c>
      <c r="AP1163" t="s">
        <v>53</v>
      </c>
    </row>
    <row r="1164" spans="2:42" x14ac:dyDescent="0.2">
      <c r="B1164" t="s">
        <v>44</v>
      </c>
      <c r="C1164" t="str">
        <f>HYPERLINK("https://us2.cloudbeds.com/connect/8493803454333002#/reservations/598605045978?display=E1GZKQQQ&amp;reservation_id=598605045978", "E1GZKQQQ")</f>
        <v>E1GZKQQQ</v>
      </c>
      <c r="D1164" t="s">
        <v>45</v>
      </c>
      <c r="E1164" t="s">
        <v>223</v>
      </c>
      <c r="F1164" t="s">
        <v>47</v>
      </c>
      <c r="G1164" t="s">
        <v>48</v>
      </c>
      <c r="H1164" t="s">
        <v>71</v>
      </c>
      <c r="I1164" t="s">
        <v>72</v>
      </c>
      <c r="J1164" t="s">
        <v>1757</v>
      </c>
      <c r="K1164" t="s">
        <v>1988</v>
      </c>
      <c r="L1164" t="s">
        <v>53</v>
      </c>
      <c r="N1164" t="s">
        <v>2116</v>
      </c>
      <c r="P1164" t="s">
        <v>58</v>
      </c>
      <c r="R1164" t="s">
        <v>56</v>
      </c>
      <c r="T1164" t="s">
        <v>2108</v>
      </c>
      <c r="U1164" t="s">
        <v>58</v>
      </c>
      <c r="V1164">
        <v>2</v>
      </c>
      <c r="W1164">
        <v>1</v>
      </c>
      <c r="X1164">
        <v>1</v>
      </c>
      <c r="Y1164">
        <v>0</v>
      </c>
      <c r="Z1164">
        <v>1</v>
      </c>
      <c r="AA1164">
        <v>0</v>
      </c>
      <c r="AB1164">
        <v>226.16</v>
      </c>
      <c r="AC1164">
        <v>199</v>
      </c>
      <c r="AD1164">
        <v>0</v>
      </c>
      <c r="AE1164">
        <v>27.16</v>
      </c>
      <c r="AF1164">
        <v>0</v>
      </c>
      <c r="AG1164">
        <v>0</v>
      </c>
      <c r="AH1164">
        <v>0</v>
      </c>
      <c r="AI1164">
        <v>0</v>
      </c>
      <c r="AJ1164">
        <v>226.16</v>
      </c>
      <c r="AK1164">
        <v>0</v>
      </c>
      <c r="AL1164" t="s">
        <v>53</v>
      </c>
      <c r="AM1164" t="s">
        <v>53</v>
      </c>
      <c r="AN1164" t="s">
        <v>378</v>
      </c>
      <c r="AO1164" t="s">
        <v>53</v>
      </c>
      <c r="AP1164" t="s">
        <v>53</v>
      </c>
    </row>
    <row r="1165" spans="2:42" x14ac:dyDescent="0.2">
      <c r="B1165" t="s">
        <v>44</v>
      </c>
      <c r="C1165" t="str">
        <f>HYPERLINK("https://us2.cloudbeds.com/connect/8493803454333002#/reservations/598557364475?display=E1FHE04P&amp;reservation_id=598557364475", "E1FHE04P")</f>
        <v>E1FHE04P</v>
      </c>
      <c r="D1165" t="s">
        <v>45</v>
      </c>
      <c r="E1165" t="s">
        <v>165</v>
      </c>
      <c r="F1165" t="s">
        <v>61</v>
      </c>
      <c r="G1165" t="s">
        <v>48</v>
      </c>
      <c r="H1165" t="s">
        <v>49</v>
      </c>
      <c r="I1165" t="s">
        <v>50</v>
      </c>
      <c r="J1165" t="s">
        <v>1430</v>
      </c>
      <c r="K1165" t="s">
        <v>203</v>
      </c>
      <c r="L1165" t="s">
        <v>53</v>
      </c>
      <c r="N1165" t="s">
        <v>2117</v>
      </c>
      <c r="P1165" t="s">
        <v>55</v>
      </c>
      <c r="R1165" t="s">
        <v>56</v>
      </c>
      <c r="T1165" t="s">
        <v>2108</v>
      </c>
      <c r="U1165" t="s">
        <v>58</v>
      </c>
      <c r="V1165">
        <v>1</v>
      </c>
      <c r="W1165">
        <v>1</v>
      </c>
      <c r="X1165">
        <v>1</v>
      </c>
      <c r="Y1165">
        <v>0</v>
      </c>
      <c r="Z1165">
        <v>1</v>
      </c>
      <c r="AA1165">
        <v>0</v>
      </c>
      <c r="AB1165">
        <v>96.15</v>
      </c>
      <c r="AC1165">
        <v>84.6</v>
      </c>
      <c r="AD1165">
        <v>0</v>
      </c>
      <c r="AE1165">
        <v>11.54</v>
      </c>
      <c r="AF1165">
        <v>0</v>
      </c>
      <c r="AG1165">
        <v>0</v>
      </c>
      <c r="AH1165">
        <v>0</v>
      </c>
      <c r="AI1165">
        <v>17.309999999999999</v>
      </c>
      <c r="AJ1165">
        <v>96.14</v>
      </c>
      <c r="AK1165">
        <v>-0.01</v>
      </c>
      <c r="AL1165" t="s">
        <v>53</v>
      </c>
      <c r="AM1165" t="s">
        <v>53</v>
      </c>
      <c r="AN1165" t="s">
        <v>159</v>
      </c>
      <c r="AO1165" t="s">
        <v>53</v>
      </c>
      <c r="AP1165" t="s">
        <v>53</v>
      </c>
    </row>
    <row r="1166" spans="2:42" x14ac:dyDescent="0.2">
      <c r="B1166" t="s">
        <v>44</v>
      </c>
      <c r="C1166" t="str">
        <f>HYPERLINK("https://us2.cloudbeds.com/connect/8493803454333002#/reservations/598549577882?display=E1FASAUD&amp;reservation_id=598549577882", "E1FASAUD")</f>
        <v>E1FASAUD</v>
      </c>
      <c r="D1166" t="s">
        <v>45</v>
      </c>
      <c r="E1166" t="s">
        <v>487</v>
      </c>
      <c r="F1166" t="s">
        <v>61</v>
      </c>
      <c r="G1166" t="s">
        <v>48</v>
      </c>
      <c r="H1166" t="s">
        <v>71</v>
      </c>
      <c r="I1166" t="s">
        <v>72</v>
      </c>
      <c r="J1166" t="s">
        <v>202</v>
      </c>
      <c r="K1166" t="s">
        <v>203</v>
      </c>
      <c r="L1166" t="s">
        <v>53</v>
      </c>
      <c r="N1166" t="s">
        <v>2118</v>
      </c>
      <c r="P1166" t="s">
        <v>55</v>
      </c>
      <c r="R1166" t="s">
        <v>56</v>
      </c>
      <c r="T1166" t="s">
        <v>2108</v>
      </c>
      <c r="U1166" t="s">
        <v>58</v>
      </c>
      <c r="V1166">
        <v>2</v>
      </c>
      <c r="W1166">
        <v>1</v>
      </c>
      <c r="X1166">
        <v>1</v>
      </c>
      <c r="Y1166">
        <v>0</v>
      </c>
      <c r="Z1166">
        <v>1</v>
      </c>
      <c r="AA1166">
        <v>0</v>
      </c>
      <c r="AB1166">
        <v>190.93</v>
      </c>
      <c r="AC1166">
        <v>168</v>
      </c>
      <c r="AD1166">
        <v>0</v>
      </c>
      <c r="AE1166">
        <v>22.94</v>
      </c>
      <c r="AF1166">
        <v>0</v>
      </c>
      <c r="AG1166">
        <v>0</v>
      </c>
      <c r="AH1166">
        <v>0</v>
      </c>
      <c r="AI1166">
        <v>0</v>
      </c>
      <c r="AJ1166">
        <v>190.94</v>
      </c>
      <c r="AK1166">
        <v>0.01</v>
      </c>
      <c r="AL1166" t="s">
        <v>53</v>
      </c>
      <c r="AM1166" t="s">
        <v>53</v>
      </c>
      <c r="AN1166" t="s">
        <v>378</v>
      </c>
      <c r="AO1166" t="s">
        <v>53</v>
      </c>
      <c r="AP1166" t="s">
        <v>53</v>
      </c>
    </row>
    <row r="1167" spans="2:42" x14ac:dyDescent="0.2">
      <c r="B1167" t="s">
        <v>44</v>
      </c>
      <c r="C1167" t="str">
        <f>HYPERLINK("https://us2.cloudbeds.com/connect/8493803454333002#/reservations/598302724306?display=E190N8Q0&amp;reservation_id=598302724306", "E190N8Q0")</f>
        <v>E190N8Q0</v>
      </c>
      <c r="D1167" t="s">
        <v>45</v>
      </c>
      <c r="E1167" t="s">
        <v>155</v>
      </c>
      <c r="F1167" t="s">
        <v>86</v>
      </c>
      <c r="G1167" t="s">
        <v>48</v>
      </c>
      <c r="H1167" t="s">
        <v>49</v>
      </c>
      <c r="I1167" t="s">
        <v>114</v>
      </c>
      <c r="J1167" t="s">
        <v>1092</v>
      </c>
      <c r="K1167" t="s">
        <v>1757</v>
      </c>
      <c r="L1167" t="s">
        <v>53</v>
      </c>
      <c r="N1167" t="s">
        <v>2119</v>
      </c>
      <c r="P1167" t="s">
        <v>55</v>
      </c>
      <c r="R1167" t="s">
        <v>56</v>
      </c>
      <c r="T1167" t="s">
        <v>2108</v>
      </c>
      <c r="U1167" t="s">
        <v>58</v>
      </c>
      <c r="V1167">
        <v>2</v>
      </c>
      <c r="W1167">
        <v>1</v>
      </c>
      <c r="X1167">
        <v>1</v>
      </c>
      <c r="Y1167">
        <v>0</v>
      </c>
      <c r="Z1167">
        <v>1</v>
      </c>
      <c r="AA1167">
        <v>0</v>
      </c>
      <c r="AB1167">
        <v>161.38</v>
      </c>
      <c r="AC1167">
        <v>142</v>
      </c>
      <c r="AD1167">
        <v>0</v>
      </c>
      <c r="AE1167">
        <v>19.399999999999999</v>
      </c>
      <c r="AF1167">
        <v>0</v>
      </c>
      <c r="AG1167">
        <v>0</v>
      </c>
      <c r="AH1167">
        <v>0</v>
      </c>
      <c r="AI1167">
        <v>0</v>
      </c>
      <c r="AJ1167">
        <v>161.4</v>
      </c>
      <c r="AK1167">
        <v>0.02</v>
      </c>
      <c r="AL1167" t="s">
        <v>53</v>
      </c>
      <c r="AM1167" t="s">
        <v>53</v>
      </c>
      <c r="AN1167" t="s">
        <v>2120</v>
      </c>
      <c r="AO1167" t="s">
        <v>53</v>
      </c>
      <c r="AP1167" t="s">
        <v>53</v>
      </c>
    </row>
    <row r="1168" spans="2:42" x14ac:dyDescent="0.2">
      <c r="B1168" t="s">
        <v>44</v>
      </c>
      <c r="C1168" t="str">
        <f>HYPERLINK("https://us2.cloudbeds.com/connect/8493803454333002#/reservations/598573879525?display=E1FVBXFR&amp;reservation_id=598573879525", "E1FVBXFR")</f>
        <v>E1FVBXFR</v>
      </c>
      <c r="D1168" t="s">
        <v>45</v>
      </c>
      <c r="E1168" t="s">
        <v>165</v>
      </c>
      <c r="F1168" t="s">
        <v>61</v>
      </c>
      <c r="G1168" t="s">
        <v>48</v>
      </c>
      <c r="H1168" t="s">
        <v>71</v>
      </c>
      <c r="I1168" t="s">
        <v>72</v>
      </c>
      <c r="J1168" t="s">
        <v>938</v>
      </c>
      <c r="K1168" t="s">
        <v>360</v>
      </c>
      <c r="L1168" t="s">
        <v>53</v>
      </c>
      <c r="N1168" t="s">
        <v>2121</v>
      </c>
      <c r="P1168" t="s">
        <v>55</v>
      </c>
      <c r="R1168" t="s">
        <v>56</v>
      </c>
      <c r="T1168" t="s">
        <v>2108</v>
      </c>
      <c r="U1168" t="s">
        <v>58</v>
      </c>
      <c r="V1168">
        <v>2</v>
      </c>
      <c r="W1168">
        <v>1</v>
      </c>
      <c r="X1168">
        <v>1</v>
      </c>
      <c r="Y1168">
        <v>0</v>
      </c>
      <c r="Z1168">
        <v>1</v>
      </c>
      <c r="AA1168">
        <v>0</v>
      </c>
      <c r="AB1168">
        <v>250.03</v>
      </c>
      <c r="AC1168">
        <v>220</v>
      </c>
      <c r="AD1168">
        <v>0</v>
      </c>
      <c r="AE1168">
        <v>30.04</v>
      </c>
      <c r="AF1168">
        <v>0</v>
      </c>
      <c r="AG1168">
        <v>0</v>
      </c>
      <c r="AH1168">
        <v>0</v>
      </c>
      <c r="AI1168">
        <v>0</v>
      </c>
      <c r="AJ1168">
        <v>250.04</v>
      </c>
      <c r="AK1168">
        <v>0.01</v>
      </c>
      <c r="AL1168" t="s">
        <v>53</v>
      </c>
      <c r="AM1168" t="s">
        <v>53</v>
      </c>
      <c r="AN1168" t="s">
        <v>378</v>
      </c>
      <c r="AO1168" t="s">
        <v>53</v>
      </c>
      <c r="AP1168" t="s">
        <v>53</v>
      </c>
    </row>
    <row r="1169" spans="2:42" x14ac:dyDescent="0.2">
      <c r="B1169" t="s">
        <v>44</v>
      </c>
      <c r="C1169" t="str">
        <f>HYPERLINK("https://us2.cloudbeds.com/connect/8493803454333002#/reservations/598479405261?display=E1DHMM8B&amp;reservation_id=598479405261", "E1DHMM8B")</f>
        <v>E1DHMM8B</v>
      </c>
      <c r="D1169" t="s">
        <v>45</v>
      </c>
      <c r="E1169" t="s">
        <v>406</v>
      </c>
      <c r="F1169" t="s">
        <v>61</v>
      </c>
      <c r="G1169" t="s">
        <v>48</v>
      </c>
      <c r="H1169" t="s">
        <v>71</v>
      </c>
      <c r="I1169" t="s">
        <v>72</v>
      </c>
      <c r="J1169" t="s">
        <v>202</v>
      </c>
      <c r="K1169" t="s">
        <v>1430</v>
      </c>
      <c r="L1169" t="s">
        <v>53</v>
      </c>
      <c r="N1169" t="s">
        <v>2122</v>
      </c>
      <c r="P1169" t="s">
        <v>58</v>
      </c>
      <c r="R1169" t="s">
        <v>56</v>
      </c>
      <c r="T1169" t="s">
        <v>2108</v>
      </c>
      <c r="U1169" t="s">
        <v>58</v>
      </c>
      <c r="V1169">
        <v>1</v>
      </c>
      <c r="W1169">
        <v>1</v>
      </c>
      <c r="X1169">
        <v>1</v>
      </c>
      <c r="Y1169">
        <v>0</v>
      </c>
      <c r="Z1169">
        <v>1</v>
      </c>
      <c r="AA1169">
        <v>0</v>
      </c>
      <c r="AB1169">
        <v>85.24</v>
      </c>
      <c r="AC1169">
        <v>75</v>
      </c>
      <c r="AD1169">
        <v>0</v>
      </c>
      <c r="AE1169">
        <v>10.25</v>
      </c>
      <c r="AF1169">
        <v>0</v>
      </c>
      <c r="AG1169">
        <v>0</v>
      </c>
      <c r="AH1169">
        <v>0</v>
      </c>
      <c r="AI1169">
        <v>0</v>
      </c>
      <c r="AJ1169">
        <v>85.25</v>
      </c>
      <c r="AK1169">
        <v>0.01</v>
      </c>
      <c r="AL1169" t="s">
        <v>53</v>
      </c>
      <c r="AM1169" t="s">
        <v>53</v>
      </c>
      <c r="AN1169" t="s">
        <v>683</v>
      </c>
      <c r="AO1169" t="s">
        <v>53</v>
      </c>
      <c r="AP1169" t="s">
        <v>53</v>
      </c>
    </row>
    <row r="1170" spans="2:42" x14ac:dyDescent="0.2">
      <c r="B1170" t="s">
        <v>44</v>
      </c>
      <c r="C1170" t="str">
        <f>HYPERLINK("https://us2.cloudbeds.com/connect/8493803454333002#/reservations/598502240420?display=E1E3V35S&amp;reservation_id=598502240420", "E1E3V35S")</f>
        <v>E1E3V35S</v>
      </c>
      <c r="D1170" t="s">
        <v>45</v>
      </c>
      <c r="E1170" t="s">
        <v>381</v>
      </c>
      <c r="F1170" t="s">
        <v>47</v>
      </c>
      <c r="G1170" t="s">
        <v>48</v>
      </c>
      <c r="H1170" t="s">
        <v>49</v>
      </c>
      <c r="I1170" t="s">
        <v>50</v>
      </c>
      <c r="J1170" t="s">
        <v>129</v>
      </c>
      <c r="K1170" t="s">
        <v>87</v>
      </c>
      <c r="L1170" t="s">
        <v>53</v>
      </c>
      <c r="N1170" t="s">
        <v>2123</v>
      </c>
      <c r="P1170" t="s">
        <v>55</v>
      </c>
      <c r="R1170" t="s">
        <v>56</v>
      </c>
      <c r="T1170" t="s">
        <v>2108</v>
      </c>
      <c r="U1170" t="s">
        <v>58</v>
      </c>
      <c r="V1170">
        <v>3</v>
      </c>
      <c r="W1170">
        <v>1</v>
      </c>
      <c r="X1170">
        <v>1</v>
      </c>
      <c r="Y1170">
        <v>0</v>
      </c>
      <c r="Z1170">
        <v>1</v>
      </c>
      <c r="AA1170">
        <v>0</v>
      </c>
      <c r="AB1170">
        <v>414.25</v>
      </c>
      <c r="AC1170">
        <v>364.5</v>
      </c>
      <c r="AD1170">
        <v>0</v>
      </c>
      <c r="AE1170">
        <v>49.74</v>
      </c>
      <c r="AF1170">
        <v>0</v>
      </c>
      <c r="AG1170">
        <v>0</v>
      </c>
      <c r="AH1170">
        <v>0</v>
      </c>
      <c r="AI1170">
        <v>74.56</v>
      </c>
      <c r="AJ1170">
        <v>414.24</v>
      </c>
      <c r="AK1170">
        <v>-0.01</v>
      </c>
      <c r="AL1170" t="s">
        <v>53</v>
      </c>
      <c r="AM1170" t="s">
        <v>53</v>
      </c>
      <c r="AN1170" t="s">
        <v>2124</v>
      </c>
      <c r="AO1170" t="s">
        <v>53</v>
      </c>
      <c r="AP1170" t="s">
        <v>53</v>
      </c>
    </row>
    <row r="1171" spans="2:42" x14ac:dyDescent="0.2">
      <c r="B1171" t="s">
        <v>44</v>
      </c>
      <c r="C1171" t="str">
        <f>HYPERLINK("https://us2.cloudbeds.com/connect/8493803454333002#/reservations/598514794630?display=E1EEHECE&amp;reservation_id=598514794630", "E1EEHECE")</f>
        <v>E1EEHECE</v>
      </c>
      <c r="D1171" t="s">
        <v>45</v>
      </c>
      <c r="E1171" t="s">
        <v>85</v>
      </c>
      <c r="F1171" t="s">
        <v>86</v>
      </c>
      <c r="G1171" t="s">
        <v>48</v>
      </c>
      <c r="H1171" t="s">
        <v>49</v>
      </c>
      <c r="I1171" t="s">
        <v>50</v>
      </c>
      <c r="J1171" t="s">
        <v>388</v>
      </c>
      <c r="K1171" t="s">
        <v>647</v>
      </c>
      <c r="L1171" t="s">
        <v>53</v>
      </c>
      <c r="N1171" t="s">
        <v>2125</v>
      </c>
      <c r="P1171" t="s">
        <v>55</v>
      </c>
      <c r="R1171" t="s">
        <v>56</v>
      </c>
      <c r="T1171" t="s">
        <v>2126</v>
      </c>
      <c r="U1171" t="s">
        <v>58</v>
      </c>
      <c r="V1171">
        <v>1</v>
      </c>
      <c r="W1171">
        <v>1</v>
      </c>
      <c r="X1171">
        <v>1</v>
      </c>
      <c r="Y1171">
        <v>0</v>
      </c>
      <c r="Z1171">
        <v>1</v>
      </c>
      <c r="AA1171">
        <v>0</v>
      </c>
      <c r="AB1171">
        <v>161.61000000000001</v>
      </c>
      <c r="AC1171">
        <v>142.19999999999999</v>
      </c>
      <c r="AD1171">
        <v>0</v>
      </c>
      <c r="AE1171">
        <v>19.41</v>
      </c>
      <c r="AF1171">
        <v>0</v>
      </c>
      <c r="AG1171">
        <v>0</v>
      </c>
      <c r="AH1171">
        <v>0</v>
      </c>
      <c r="AI1171">
        <v>29.09</v>
      </c>
      <c r="AJ1171">
        <v>161.61000000000001</v>
      </c>
      <c r="AK1171">
        <v>0</v>
      </c>
      <c r="AL1171" t="s">
        <v>53</v>
      </c>
      <c r="AM1171" t="s">
        <v>53</v>
      </c>
      <c r="AN1171" t="s">
        <v>84</v>
      </c>
      <c r="AO1171" t="s">
        <v>53</v>
      </c>
      <c r="AP1171" t="s">
        <v>53</v>
      </c>
    </row>
    <row r="1172" spans="2:42" x14ac:dyDescent="0.2">
      <c r="B1172" t="s">
        <v>44</v>
      </c>
      <c r="C1172" t="str">
        <f>HYPERLINK("https://us2.cloudbeds.com/connect/8493803454333002#/reservations/598497759434?display=E1E05DDD&amp;reservation_id=598497759434", "E1E05DDD")</f>
        <v>E1E05DDD</v>
      </c>
      <c r="D1172" t="s">
        <v>45</v>
      </c>
      <c r="E1172" t="s">
        <v>46</v>
      </c>
      <c r="F1172" t="s">
        <v>47</v>
      </c>
      <c r="G1172" t="s">
        <v>48</v>
      </c>
      <c r="H1172" t="s">
        <v>49</v>
      </c>
      <c r="I1172" t="s">
        <v>79</v>
      </c>
      <c r="J1172" t="s">
        <v>236</v>
      </c>
      <c r="K1172" t="s">
        <v>237</v>
      </c>
      <c r="L1172" t="s">
        <v>53</v>
      </c>
      <c r="N1172" t="s">
        <v>2127</v>
      </c>
      <c r="P1172" t="s">
        <v>55</v>
      </c>
      <c r="R1172" t="s">
        <v>56</v>
      </c>
      <c r="T1172" t="s">
        <v>2126</v>
      </c>
      <c r="U1172" t="s">
        <v>58</v>
      </c>
      <c r="V1172">
        <v>1</v>
      </c>
      <c r="W1172">
        <v>1</v>
      </c>
      <c r="X1172">
        <v>1</v>
      </c>
      <c r="Y1172">
        <v>0</v>
      </c>
      <c r="Z1172">
        <v>1</v>
      </c>
      <c r="AA1172">
        <v>0</v>
      </c>
      <c r="AB1172">
        <v>141.15</v>
      </c>
      <c r="AC1172">
        <v>124.2</v>
      </c>
      <c r="AD1172">
        <v>0</v>
      </c>
      <c r="AE1172">
        <v>16.95</v>
      </c>
      <c r="AF1172">
        <v>0</v>
      </c>
      <c r="AG1172">
        <v>0</v>
      </c>
      <c r="AH1172">
        <v>0</v>
      </c>
      <c r="AI1172">
        <v>0</v>
      </c>
      <c r="AJ1172">
        <v>141.15</v>
      </c>
      <c r="AK1172">
        <v>0</v>
      </c>
      <c r="AL1172" t="s">
        <v>53</v>
      </c>
      <c r="AM1172" t="s">
        <v>53</v>
      </c>
      <c r="AN1172" t="s">
        <v>2128</v>
      </c>
      <c r="AO1172" t="s">
        <v>53</v>
      </c>
      <c r="AP1172" t="s">
        <v>53</v>
      </c>
    </row>
    <row r="1173" spans="2:42" x14ac:dyDescent="0.2">
      <c r="B1173" t="s">
        <v>44</v>
      </c>
      <c r="C1173" t="str">
        <f>HYPERLINK("https://us2.cloudbeds.com/connect/8493803454333002#/reservations/598302306475?display=E190BY3F&amp;reservation_id=598302306475", "E190BY3F")</f>
        <v>E190BY3F</v>
      </c>
      <c r="D1173" t="s">
        <v>45</v>
      </c>
      <c r="E1173" t="s">
        <v>46</v>
      </c>
      <c r="F1173" t="s">
        <v>47</v>
      </c>
      <c r="G1173" t="s">
        <v>48</v>
      </c>
      <c r="H1173" t="s">
        <v>49</v>
      </c>
      <c r="I1173" t="s">
        <v>62</v>
      </c>
      <c r="J1173" t="s">
        <v>611</v>
      </c>
      <c r="K1173" t="s">
        <v>1117</v>
      </c>
      <c r="L1173" t="s">
        <v>53</v>
      </c>
      <c r="N1173" t="s">
        <v>2129</v>
      </c>
      <c r="P1173" t="s">
        <v>55</v>
      </c>
      <c r="R1173" t="s">
        <v>871</v>
      </c>
      <c r="T1173" t="s">
        <v>2126</v>
      </c>
      <c r="U1173" t="s">
        <v>58</v>
      </c>
      <c r="V1173">
        <v>1</v>
      </c>
      <c r="W1173">
        <v>1</v>
      </c>
      <c r="X1173">
        <v>1</v>
      </c>
      <c r="Y1173">
        <v>0</v>
      </c>
      <c r="Z1173">
        <v>1</v>
      </c>
      <c r="AA1173">
        <v>0</v>
      </c>
      <c r="AB1173">
        <v>114.79</v>
      </c>
      <c r="AC1173">
        <v>101</v>
      </c>
      <c r="AD1173">
        <v>0</v>
      </c>
      <c r="AE1173">
        <v>13.79</v>
      </c>
      <c r="AF1173">
        <v>0</v>
      </c>
      <c r="AG1173">
        <v>0</v>
      </c>
      <c r="AH1173">
        <v>0</v>
      </c>
      <c r="AI1173">
        <v>17.22</v>
      </c>
      <c r="AJ1173">
        <v>114.79</v>
      </c>
      <c r="AK1173">
        <v>0</v>
      </c>
      <c r="AL1173" t="s">
        <v>53</v>
      </c>
      <c r="AM1173" t="s">
        <v>53</v>
      </c>
      <c r="AN1173" t="s">
        <v>413</v>
      </c>
      <c r="AO1173" t="s">
        <v>53</v>
      </c>
      <c r="AP1173" t="s">
        <v>53</v>
      </c>
    </row>
    <row r="1174" spans="2:42" x14ac:dyDescent="0.2">
      <c r="B1174" t="s">
        <v>44</v>
      </c>
      <c r="C1174" t="str">
        <f>HYPERLINK("https://us2.cloudbeds.com/connect/8493803454333002#/reservations/598559506595?display=E1FJ7K6G&amp;reservation_id=598559506595", "E1FJ7K6G")</f>
        <v>E1FJ7K6G</v>
      </c>
      <c r="D1174" t="s">
        <v>45</v>
      </c>
      <c r="E1174" t="s">
        <v>69</v>
      </c>
      <c r="F1174" t="s">
        <v>70</v>
      </c>
      <c r="G1174" t="s">
        <v>48</v>
      </c>
      <c r="H1174" t="s">
        <v>49</v>
      </c>
      <c r="I1174" t="s">
        <v>62</v>
      </c>
      <c r="J1174" t="s">
        <v>203</v>
      </c>
      <c r="K1174" t="s">
        <v>1092</v>
      </c>
      <c r="L1174" t="s">
        <v>53</v>
      </c>
      <c r="N1174" t="s">
        <v>2130</v>
      </c>
      <c r="P1174" t="s">
        <v>55</v>
      </c>
      <c r="R1174" t="s">
        <v>56</v>
      </c>
      <c r="T1174" t="s">
        <v>2126</v>
      </c>
      <c r="U1174" t="s">
        <v>58</v>
      </c>
      <c r="V1174">
        <v>1</v>
      </c>
      <c r="W1174">
        <v>1</v>
      </c>
      <c r="X1174">
        <v>1</v>
      </c>
      <c r="Y1174">
        <v>0</v>
      </c>
      <c r="Z1174">
        <v>1</v>
      </c>
      <c r="AA1174">
        <v>0</v>
      </c>
      <c r="AB1174">
        <v>87.11</v>
      </c>
      <c r="AC1174">
        <v>76.650000000000006</v>
      </c>
      <c r="AD1174">
        <v>0</v>
      </c>
      <c r="AE1174">
        <v>10.45</v>
      </c>
      <c r="AF1174">
        <v>0</v>
      </c>
      <c r="AG1174">
        <v>0</v>
      </c>
      <c r="AH1174">
        <v>0</v>
      </c>
      <c r="AI1174">
        <v>13.07</v>
      </c>
      <c r="AJ1174">
        <v>87.1</v>
      </c>
      <c r="AK1174">
        <v>-0.01</v>
      </c>
      <c r="AL1174" t="s">
        <v>53</v>
      </c>
      <c r="AM1174" t="s">
        <v>53</v>
      </c>
      <c r="AN1174" t="s">
        <v>847</v>
      </c>
      <c r="AO1174" t="s">
        <v>53</v>
      </c>
      <c r="AP1174" t="s">
        <v>53</v>
      </c>
    </row>
    <row r="1175" spans="2:42" x14ac:dyDescent="0.2">
      <c r="B1175" t="s">
        <v>44</v>
      </c>
      <c r="C1175" t="str">
        <f>HYPERLINK("https://us2.cloudbeds.com/connect/8493803454333002#/reservations/598533972205?display=E1EUN2Y2&amp;reservation_id=598533972205", "E1EUN2Y2")</f>
        <v>E1EUN2Y2</v>
      </c>
      <c r="D1175" t="s">
        <v>45</v>
      </c>
      <c r="E1175" t="s">
        <v>128</v>
      </c>
      <c r="F1175" t="s">
        <v>86</v>
      </c>
      <c r="G1175" t="s">
        <v>48</v>
      </c>
      <c r="H1175" t="s">
        <v>71</v>
      </c>
      <c r="I1175" t="s">
        <v>72</v>
      </c>
      <c r="J1175" t="s">
        <v>709</v>
      </c>
      <c r="K1175" t="s">
        <v>1782</v>
      </c>
      <c r="L1175" t="s">
        <v>53</v>
      </c>
      <c r="N1175" t="s">
        <v>2131</v>
      </c>
      <c r="P1175" t="s">
        <v>55</v>
      </c>
      <c r="R1175" t="s">
        <v>56</v>
      </c>
      <c r="T1175" t="s">
        <v>2126</v>
      </c>
      <c r="U1175" t="s">
        <v>58</v>
      </c>
      <c r="V1175">
        <v>1</v>
      </c>
      <c r="W1175">
        <v>1</v>
      </c>
      <c r="X1175">
        <v>1</v>
      </c>
      <c r="Y1175">
        <v>0</v>
      </c>
      <c r="Z1175">
        <v>1</v>
      </c>
      <c r="AA1175">
        <v>0</v>
      </c>
      <c r="AB1175">
        <v>155.69999999999999</v>
      </c>
      <c r="AC1175">
        <v>137</v>
      </c>
      <c r="AD1175">
        <v>0</v>
      </c>
      <c r="AE1175">
        <v>18.7</v>
      </c>
      <c r="AF1175">
        <v>0</v>
      </c>
      <c r="AG1175">
        <v>0</v>
      </c>
      <c r="AH1175">
        <v>0</v>
      </c>
      <c r="AI1175">
        <v>0</v>
      </c>
      <c r="AJ1175">
        <v>155.69999999999999</v>
      </c>
      <c r="AK1175">
        <v>0</v>
      </c>
      <c r="AL1175" t="s">
        <v>53</v>
      </c>
      <c r="AM1175" t="s">
        <v>53</v>
      </c>
      <c r="AN1175" t="s">
        <v>2132</v>
      </c>
      <c r="AO1175" t="s">
        <v>53</v>
      </c>
      <c r="AP1175" t="s">
        <v>53</v>
      </c>
    </row>
    <row r="1176" spans="2:42" x14ac:dyDescent="0.2">
      <c r="B1176" t="s">
        <v>44</v>
      </c>
      <c r="C1176" t="str">
        <f>HYPERLINK("https://us2.cloudbeds.com/connect/8493803454333002#/reservations/598490935429?display=E1DRDH3C&amp;reservation_id=598490935429", "E1DRDH3C")</f>
        <v>E1DRDH3C</v>
      </c>
      <c r="D1176" t="s">
        <v>45</v>
      </c>
      <c r="E1176" t="s">
        <v>92</v>
      </c>
      <c r="F1176" t="s">
        <v>86</v>
      </c>
      <c r="G1176" t="s">
        <v>48</v>
      </c>
      <c r="H1176" t="s">
        <v>49</v>
      </c>
      <c r="I1176" t="s">
        <v>50</v>
      </c>
      <c r="J1176" t="s">
        <v>99</v>
      </c>
      <c r="K1176" t="s">
        <v>100</v>
      </c>
      <c r="L1176" t="s">
        <v>53</v>
      </c>
      <c r="N1176" t="s">
        <v>2133</v>
      </c>
      <c r="P1176" t="s">
        <v>55</v>
      </c>
      <c r="R1176" t="s">
        <v>946</v>
      </c>
      <c r="T1176" t="s">
        <v>2126</v>
      </c>
      <c r="U1176" t="s">
        <v>58</v>
      </c>
      <c r="V1176">
        <v>2</v>
      </c>
      <c r="W1176">
        <v>1</v>
      </c>
      <c r="X1176">
        <v>1</v>
      </c>
      <c r="Y1176">
        <v>0</v>
      </c>
      <c r="Z1176">
        <v>1</v>
      </c>
      <c r="AA1176">
        <v>0</v>
      </c>
      <c r="AB1176">
        <v>335.49</v>
      </c>
      <c r="AC1176">
        <v>295.2</v>
      </c>
      <c r="AD1176">
        <v>0</v>
      </c>
      <c r="AE1176">
        <v>40.299999999999997</v>
      </c>
      <c r="AF1176">
        <v>0</v>
      </c>
      <c r="AG1176">
        <v>0</v>
      </c>
      <c r="AH1176">
        <v>0</v>
      </c>
      <c r="AI1176">
        <v>60.39</v>
      </c>
      <c r="AJ1176">
        <v>335.5</v>
      </c>
      <c r="AK1176">
        <v>0.01</v>
      </c>
      <c r="AL1176" t="s">
        <v>53</v>
      </c>
      <c r="AM1176" t="s">
        <v>53</v>
      </c>
      <c r="AN1176" t="s">
        <v>2134</v>
      </c>
      <c r="AO1176" t="s">
        <v>53</v>
      </c>
      <c r="AP1176" t="s">
        <v>53</v>
      </c>
    </row>
    <row r="1177" spans="2:42" x14ac:dyDescent="0.2">
      <c r="B1177" t="s">
        <v>44</v>
      </c>
      <c r="C1177" t="str">
        <f>HYPERLINK("https://us2.cloudbeds.com/connect/8493803454333002#/reservations/598579765454?display=E1G3ABCA&amp;reservation_id=598579765454", "E1G3ABCA")</f>
        <v>E1G3ABCA</v>
      </c>
      <c r="D1177" t="s">
        <v>45</v>
      </c>
      <c r="E1177" t="s">
        <v>98</v>
      </c>
      <c r="F1177" t="s">
        <v>86</v>
      </c>
      <c r="G1177" t="s">
        <v>48</v>
      </c>
      <c r="H1177" t="s">
        <v>49</v>
      </c>
      <c r="I1177" t="s">
        <v>79</v>
      </c>
      <c r="J1177" t="s">
        <v>1757</v>
      </c>
      <c r="K1177" t="s">
        <v>281</v>
      </c>
      <c r="L1177" t="s">
        <v>53</v>
      </c>
      <c r="N1177" t="s">
        <v>2135</v>
      </c>
      <c r="P1177" t="s">
        <v>55</v>
      </c>
      <c r="R1177" t="s">
        <v>56</v>
      </c>
      <c r="T1177" t="s">
        <v>2126</v>
      </c>
      <c r="U1177" t="s">
        <v>58</v>
      </c>
      <c r="V1177">
        <v>1</v>
      </c>
      <c r="W1177">
        <v>1</v>
      </c>
      <c r="X1177">
        <v>1</v>
      </c>
      <c r="Y1177">
        <v>0</v>
      </c>
      <c r="Z1177">
        <v>1</v>
      </c>
      <c r="AA1177">
        <v>0</v>
      </c>
      <c r="AB1177">
        <v>94.1</v>
      </c>
      <c r="AC1177">
        <v>82.8</v>
      </c>
      <c r="AD1177">
        <v>0</v>
      </c>
      <c r="AE1177">
        <v>11.31</v>
      </c>
      <c r="AF1177">
        <v>0</v>
      </c>
      <c r="AG1177">
        <v>0</v>
      </c>
      <c r="AH1177">
        <v>0</v>
      </c>
      <c r="AI1177">
        <v>0</v>
      </c>
      <c r="AJ1177">
        <v>94.11</v>
      </c>
      <c r="AK1177">
        <v>0.01</v>
      </c>
      <c r="AL1177" t="s">
        <v>53</v>
      </c>
      <c r="AM1177" t="s">
        <v>53</v>
      </c>
      <c r="AN1177" t="s">
        <v>545</v>
      </c>
      <c r="AO1177" t="s">
        <v>53</v>
      </c>
      <c r="AP1177" t="s">
        <v>53</v>
      </c>
    </row>
    <row r="1178" spans="2:42" x14ac:dyDescent="0.2">
      <c r="B1178" t="s">
        <v>44</v>
      </c>
      <c r="C1178" t="str">
        <f>HYPERLINK("https://us2.cloudbeds.com/connect/8493803454333002#/reservations/598351761635?display=E1A91QFY&amp;reservation_id=598351761635", "E1A91QFY")</f>
        <v>E1A91QFY</v>
      </c>
      <c r="D1178" t="s">
        <v>45</v>
      </c>
      <c r="E1178" t="s">
        <v>128</v>
      </c>
      <c r="F1178" t="s">
        <v>86</v>
      </c>
      <c r="G1178" t="s">
        <v>48</v>
      </c>
      <c r="H1178" t="s">
        <v>49</v>
      </c>
      <c r="I1178" t="s">
        <v>50</v>
      </c>
      <c r="J1178" t="s">
        <v>1430</v>
      </c>
      <c r="K1178" t="s">
        <v>203</v>
      </c>
      <c r="L1178" t="s">
        <v>53</v>
      </c>
      <c r="N1178" t="s">
        <v>2136</v>
      </c>
      <c r="P1178" t="s">
        <v>55</v>
      </c>
      <c r="R1178" t="s">
        <v>56</v>
      </c>
      <c r="T1178" t="s">
        <v>2126</v>
      </c>
      <c r="U1178" t="s">
        <v>58</v>
      </c>
      <c r="V1178">
        <v>1</v>
      </c>
      <c r="W1178">
        <v>1</v>
      </c>
      <c r="X1178">
        <v>1</v>
      </c>
      <c r="Y1178">
        <v>0</v>
      </c>
      <c r="Z1178">
        <v>1</v>
      </c>
      <c r="AA1178">
        <v>0</v>
      </c>
      <c r="AB1178">
        <v>108.42</v>
      </c>
      <c r="AC1178">
        <v>95.4</v>
      </c>
      <c r="AD1178">
        <v>0</v>
      </c>
      <c r="AE1178">
        <v>13.03</v>
      </c>
      <c r="AF1178">
        <v>0</v>
      </c>
      <c r="AG1178">
        <v>0</v>
      </c>
      <c r="AH1178">
        <v>0</v>
      </c>
      <c r="AI1178">
        <v>19.52</v>
      </c>
      <c r="AJ1178">
        <v>108.43</v>
      </c>
      <c r="AK1178">
        <v>0.01</v>
      </c>
      <c r="AL1178" t="s">
        <v>53</v>
      </c>
      <c r="AM1178" t="s">
        <v>53</v>
      </c>
      <c r="AN1178" t="s">
        <v>2137</v>
      </c>
      <c r="AO1178" t="s">
        <v>53</v>
      </c>
      <c r="AP1178" t="s">
        <v>53</v>
      </c>
    </row>
    <row r="1179" spans="2:42" x14ac:dyDescent="0.2">
      <c r="B1179" t="s">
        <v>44</v>
      </c>
      <c r="C1179" t="str">
        <f>HYPERLINK("https://us2.cloudbeds.com/connect/8493803454333002#/reservations/598368342194?display=E1AN15VR&amp;reservation_id=598368342194", "E1AN15VR")</f>
        <v>E1AN15VR</v>
      </c>
      <c r="D1179" t="s">
        <v>45</v>
      </c>
      <c r="E1179" t="s">
        <v>165</v>
      </c>
      <c r="F1179" t="s">
        <v>61</v>
      </c>
      <c r="G1179" t="s">
        <v>48</v>
      </c>
      <c r="H1179" t="s">
        <v>49</v>
      </c>
      <c r="I1179" t="s">
        <v>62</v>
      </c>
      <c r="J1179" t="s">
        <v>203</v>
      </c>
      <c r="K1179" t="s">
        <v>1757</v>
      </c>
      <c r="L1179" t="s">
        <v>53</v>
      </c>
      <c r="N1179" t="s">
        <v>2138</v>
      </c>
      <c r="P1179" t="s">
        <v>55</v>
      </c>
      <c r="R1179" t="s">
        <v>56</v>
      </c>
      <c r="T1179" t="s">
        <v>2126</v>
      </c>
      <c r="U1179" t="s">
        <v>58</v>
      </c>
      <c r="V1179">
        <v>3</v>
      </c>
      <c r="W1179">
        <v>1</v>
      </c>
      <c r="X1179">
        <v>1</v>
      </c>
      <c r="Y1179">
        <v>0</v>
      </c>
      <c r="Z1179">
        <v>1</v>
      </c>
      <c r="AA1179">
        <v>0</v>
      </c>
      <c r="AB1179">
        <v>294.75</v>
      </c>
      <c r="AC1179">
        <v>259.35000000000002</v>
      </c>
      <c r="AD1179">
        <v>0</v>
      </c>
      <c r="AE1179">
        <v>35.43</v>
      </c>
      <c r="AF1179">
        <v>0</v>
      </c>
      <c r="AG1179">
        <v>0</v>
      </c>
      <c r="AH1179">
        <v>0</v>
      </c>
      <c r="AI1179">
        <v>44.22</v>
      </c>
      <c r="AJ1179">
        <v>294.77999999999997</v>
      </c>
      <c r="AK1179">
        <v>0.03</v>
      </c>
      <c r="AL1179" t="s">
        <v>53</v>
      </c>
      <c r="AM1179" t="s">
        <v>53</v>
      </c>
      <c r="AN1179" t="s">
        <v>1203</v>
      </c>
      <c r="AO1179" t="s">
        <v>53</v>
      </c>
      <c r="AP1179" t="s">
        <v>53</v>
      </c>
    </row>
    <row r="1180" spans="2:42" x14ac:dyDescent="0.2">
      <c r="B1180" t="s">
        <v>44</v>
      </c>
      <c r="C1180" t="str">
        <f>HYPERLINK("https://us2.cloudbeds.com/connect/8493803454333002#/reservations/597589995664?display=E0NQNHSB&amp;reservation_id=597589995664", "E0NQNHSB")</f>
        <v>E0NQNHSB</v>
      </c>
      <c r="D1180" t="s">
        <v>45</v>
      </c>
      <c r="E1180" t="s">
        <v>138</v>
      </c>
      <c r="F1180" t="s">
        <v>70</v>
      </c>
      <c r="G1180" t="s">
        <v>48</v>
      </c>
      <c r="H1180" t="s">
        <v>71</v>
      </c>
      <c r="I1180" t="s">
        <v>72</v>
      </c>
      <c r="J1180" t="s">
        <v>1988</v>
      </c>
      <c r="K1180" t="s">
        <v>282</v>
      </c>
      <c r="L1180" t="s">
        <v>53</v>
      </c>
      <c r="N1180" t="s">
        <v>2139</v>
      </c>
      <c r="P1180" t="s">
        <v>55</v>
      </c>
      <c r="R1180" t="s">
        <v>56</v>
      </c>
      <c r="T1180" t="s">
        <v>2126</v>
      </c>
      <c r="U1180" t="s">
        <v>58</v>
      </c>
      <c r="V1180">
        <v>1</v>
      </c>
      <c r="W1180">
        <v>1</v>
      </c>
      <c r="X1180">
        <v>1</v>
      </c>
      <c r="Y1180">
        <v>0</v>
      </c>
      <c r="Z1180">
        <v>1</v>
      </c>
      <c r="AA1180">
        <v>0</v>
      </c>
      <c r="AB1180">
        <v>97.01</v>
      </c>
      <c r="AC1180">
        <v>85.36</v>
      </c>
      <c r="AD1180">
        <v>0</v>
      </c>
      <c r="AE1180">
        <v>11.66</v>
      </c>
      <c r="AF1180">
        <v>0</v>
      </c>
      <c r="AG1180">
        <v>0</v>
      </c>
      <c r="AH1180">
        <v>0</v>
      </c>
      <c r="AI1180">
        <v>0</v>
      </c>
      <c r="AJ1180">
        <v>97.02</v>
      </c>
      <c r="AK1180">
        <v>0.01</v>
      </c>
      <c r="AL1180" t="s">
        <v>53</v>
      </c>
      <c r="AM1180" t="s">
        <v>53</v>
      </c>
      <c r="AN1180" t="s">
        <v>2140</v>
      </c>
      <c r="AO1180" t="s">
        <v>53</v>
      </c>
      <c r="AP1180" t="s">
        <v>53</v>
      </c>
    </row>
    <row r="1181" spans="2:42" x14ac:dyDescent="0.2">
      <c r="B1181" t="s">
        <v>44</v>
      </c>
      <c r="C1181" t="str">
        <f>HYPERLINK("https://us2.cloudbeds.com/connect/8493803454333002#/reservations/598446661841?display=E1CN2HRF&amp;reservation_id=598446661841", "E1CN2HRF")</f>
        <v>E1CN2HRF</v>
      </c>
      <c r="D1181" t="s">
        <v>45</v>
      </c>
      <c r="E1181" t="s">
        <v>69</v>
      </c>
      <c r="F1181" t="s">
        <v>70</v>
      </c>
      <c r="G1181" t="s">
        <v>48</v>
      </c>
      <c r="H1181" t="s">
        <v>49</v>
      </c>
      <c r="I1181" t="s">
        <v>62</v>
      </c>
      <c r="J1181" t="s">
        <v>1430</v>
      </c>
      <c r="K1181" t="s">
        <v>203</v>
      </c>
      <c r="L1181" t="s">
        <v>53</v>
      </c>
      <c r="N1181" t="s">
        <v>2141</v>
      </c>
      <c r="P1181" t="s">
        <v>55</v>
      </c>
      <c r="R1181" t="s">
        <v>56</v>
      </c>
      <c r="T1181" t="s">
        <v>2126</v>
      </c>
      <c r="U1181" t="s">
        <v>58</v>
      </c>
      <c r="V1181">
        <v>1</v>
      </c>
      <c r="W1181">
        <v>1</v>
      </c>
      <c r="X1181">
        <v>1</v>
      </c>
      <c r="Y1181">
        <v>0</v>
      </c>
      <c r="Z1181">
        <v>1</v>
      </c>
      <c r="AA1181">
        <v>0</v>
      </c>
      <c r="AB1181">
        <v>87.11</v>
      </c>
      <c r="AC1181">
        <v>76.650000000000006</v>
      </c>
      <c r="AD1181">
        <v>0</v>
      </c>
      <c r="AE1181">
        <v>10.45</v>
      </c>
      <c r="AF1181">
        <v>0</v>
      </c>
      <c r="AG1181">
        <v>0</v>
      </c>
      <c r="AH1181">
        <v>0</v>
      </c>
      <c r="AI1181">
        <v>13.07</v>
      </c>
      <c r="AJ1181">
        <v>87.1</v>
      </c>
      <c r="AK1181">
        <v>-0.01</v>
      </c>
      <c r="AL1181" t="s">
        <v>53</v>
      </c>
      <c r="AM1181" t="s">
        <v>53</v>
      </c>
      <c r="AN1181" t="s">
        <v>634</v>
      </c>
      <c r="AO1181" t="s">
        <v>53</v>
      </c>
      <c r="AP1181" t="s">
        <v>53</v>
      </c>
    </row>
    <row r="1182" spans="2:42" x14ac:dyDescent="0.2">
      <c r="B1182" t="s">
        <v>44</v>
      </c>
      <c r="C1182" t="str">
        <f>HYPERLINK("https://us2.cloudbeds.com/connect/8493803454333002#/reservations/598278574230?display=E18DB8DH&amp;reservation_id=598278574230", "E18DB8DH")</f>
        <v>E18DB8DH</v>
      </c>
      <c r="D1182" t="s">
        <v>45</v>
      </c>
      <c r="E1182" t="s">
        <v>373</v>
      </c>
      <c r="F1182" t="s">
        <v>47</v>
      </c>
      <c r="G1182" t="s">
        <v>48</v>
      </c>
      <c r="H1182" t="s">
        <v>49</v>
      </c>
      <c r="I1182" t="s">
        <v>266</v>
      </c>
      <c r="J1182" t="s">
        <v>1822</v>
      </c>
      <c r="K1182" t="s">
        <v>94</v>
      </c>
      <c r="L1182" t="s">
        <v>53</v>
      </c>
      <c r="N1182" t="s">
        <v>2142</v>
      </c>
      <c r="P1182" t="s">
        <v>55</v>
      </c>
      <c r="R1182" t="s">
        <v>56</v>
      </c>
      <c r="T1182" t="s">
        <v>2126</v>
      </c>
      <c r="U1182" t="s">
        <v>58</v>
      </c>
      <c r="V1182">
        <v>1</v>
      </c>
      <c r="W1182">
        <v>1</v>
      </c>
      <c r="X1182">
        <v>1</v>
      </c>
      <c r="Y1182">
        <v>0</v>
      </c>
      <c r="Z1182">
        <v>1</v>
      </c>
      <c r="AA1182">
        <v>0</v>
      </c>
      <c r="AB1182">
        <v>153.43</v>
      </c>
      <c r="AC1182">
        <v>135</v>
      </c>
      <c r="AD1182">
        <v>0</v>
      </c>
      <c r="AE1182">
        <v>18.440000000000001</v>
      </c>
      <c r="AF1182">
        <v>0</v>
      </c>
      <c r="AG1182">
        <v>0</v>
      </c>
      <c r="AH1182">
        <v>0</v>
      </c>
      <c r="AI1182">
        <v>0</v>
      </c>
      <c r="AJ1182">
        <v>153.44</v>
      </c>
      <c r="AK1182">
        <v>0.01</v>
      </c>
      <c r="AL1182" t="s">
        <v>53</v>
      </c>
      <c r="AM1182" t="s">
        <v>53</v>
      </c>
      <c r="AN1182" t="s">
        <v>2143</v>
      </c>
      <c r="AO1182" t="s">
        <v>53</v>
      </c>
      <c r="AP1182" t="s">
        <v>53</v>
      </c>
    </row>
    <row r="1183" spans="2:42" x14ac:dyDescent="0.2">
      <c r="B1183" t="s">
        <v>44</v>
      </c>
      <c r="C1183" t="str">
        <f>HYPERLINK("https://us2.cloudbeds.com/connect/8493803454333002#/reservations/579323060443?display=DJJ1X4YR&amp;reservation_id=579323060443", "DJJ1X4YR")</f>
        <v>DJJ1X4YR</v>
      </c>
      <c r="D1183" t="s">
        <v>45</v>
      </c>
      <c r="E1183" t="s">
        <v>2144</v>
      </c>
      <c r="F1183" t="s">
        <v>2145</v>
      </c>
      <c r="G1183" t="s">
        <v>48</v>
      </c>
      <c r="H1183" t="s">
        <v>49</v>
      </c>
      <c r="I1183" t="s">
        <v>62</v>
      </c>
      <c r="J1183" t="s">
        <v>1555</v>
      </c>
      <c r="K1183" t="s">
        <v>1406</v>
      </c>
      <c r="L1183" t="s">
        <v>53</v>
      </c>
      <c r="N1183" t="s">
        <v>2146</v>
      </c>
      <c r="P1183" t="s">
        <v>55</v>
      </c>
      <c r="R1183" t="s">
        <v>56</v>
      </c>
      <c r="T1183" t="s">
        <v>2126</v>
      </c>
      <c r="U1183" t="s">
        <v>58</v>
      </c>
      <c r="V1183">
        <v>2</v>
      </c>
      <c r="W1183">
        <v>2</v>
      </c>
      <c r="X1183">
        <v>2</v>
      </c>
      <c r="Y1183">
        <v>0</v>
      </c>
      <c r="Z1183">
        <v>2</v>
      </c>
      <c r="AA1183">
        <v>0</v>
      </c>
      <c r="AB1183">
        <v>344.37</v>
      </c>
      <c r="AC1183">
        <v>303</v>
      </c>
      <c r="AD1183">
        <v>0</v>
      </c>
      <c r="AE1183">
        <v>41.37</v>
      </c>
      <c r="AF1183">
        <v>0</v>
      </c>
      <c r="AG1183">
        <v>0</v>
      </c>
      <c r="AH1183">
        <v>0</v>
      </c>
      <c r="AI1183">
        <v>51.66</v>
      </c>
      <c r="AJ1183">
        <v>344.37</v>
      </c>
      <c r="AK1183">
        <v>0</v>
      </c>
      <c r="AL1183" t="s">
        <v>53</v>
      </c>
      <c r="AM1183" t="s">
        <v>53</v>
      </c>
      <c r="AN1183" t="s">
        <v>2147</v>
      </c>
      <c r="AO1183" t="s">
        <v>53</v>
      </c>
      <c r="AP1183" t="s">
        <v>53</v>
      </c>
    </row>
    <row r="1184" spans="2:42" x14ac:dyDescent="0.2">
      <c r="B1184" t="s">
        <v>44</v>
      </c>
      <c r="C1184" t="str">
        <f>HYPERLINK("https://us2.cloudbeds.com/connect/8493803454333002#/reservations/597698105586?display=E0QXSSBK&amp;reservation_id=597698105586", "E0QXSSBK")</f>
        <v>E0QXSSBK</v>
      </c>
      <c r="D1184" t="s">
        <v>45</v>
      </c>
      <c r="E1184" t="s">
        <v>110</v>
      </c>
      <c r="F1184" t="s">
        <v>47</v>
      </c>
      <c r="G1184" t="s">
        <v>48</v>
      </c>
      <c r="H1184" t="s">
        <v>71</v>
      </c>
      <c r="I1184" t="s">
        <v>72</v>
      </c>
      <c r="J1184" t="s">
        <v>203</v>
      </c>
      <c r="K1184" t="s">
        <v>1092</v>
      </c>
      <c r="L1184" t="s">
        <v>53</v>
      </c>
      <c r="N1184" t="s">
        <v>2148</v>
      </c>
      <c r="P1184" t="s">
        <v>55</v>
      </c>
      <c r="R1184" t="s">
        <v>56</v>
      </c>
      <c r="T1184" t="s">
        <v>2149</v>
      </c>
      <c r="U1184" t="s">
        <v>58</v>
      </c>
      <c r="V1184">
        <v>1</v>
      </c>
      <c r="W1184">
        <v>1</v>
      </c>
      <c r="X1184">
        <v>1</v>
      </c>
      <c r="Y1184">
        <v>0</v>
      </c>
      <c r="Z1184">
        <v>1</v>
      </c>
      <c r="AA1184">
        <v>0</v>
      </c>
      <c r="AB1184">
        <v>90.92</v>
      </c>
      <c r="AC1184">
        <v>80</v>
      </c>
      <c r="AD1184">
        <v>0</v>
      </c>
      <c r="AE1184">
        <v>10.92</v>
      </c>
      <c r="AF1184">
        <v>0</v>
      </c>
      <c r="AG1184">
        <v>0</v>
      </c>
      <c r="AH1184">
        <v>0</v>
      </c>
      <c r="AI1184">
        <v>0</v>
      </c>
      <c r="AJ1184">
        <v>90.92</v>
      </c>
      <c r="AK1184">
        <v>0</v>
      </c>
      <c r="AL1184" t="s">
        <v>53</v>
      </c>
      <c r="AM1184" t="s">
        <v>53</v>
      </c>
      <c r="AN1184" t="s">
        <v>2150</v>
      </c>
      <c r="AO1184" t="s">
        <v>53</v>
      </c>
      <c r="AP1184" t="s">
        <v>53</v>
      </c>
    </row>
    <row r="1185" spans="2:42" x14ac:dyDescent="0.2">
      <c r="B1185" t="s">
        <v>44</v>
      </c>
      <c r="C1185" t="str">
        <f>HYPERLINK("https://us2.cloudbeds.com/connect/8493803454333002#/reservations/598197272724?display=E16APUCH&amp;reservation_id=598197272724", "E16APUCH")</f>
        <v>E16APUCH</v>
      </c>
      <c r="D1185" t="s">
        <v>45</v>
      </c>
      <c r="E1185" t="s">
        <v>98</v>
      </c>
      <c r="F1185" t="s">
        <v>86</v>
      </c>
      <c r="G1185" t="s">
        <v>48</v>
      </c>
      <c r="H1185" t="s">
        <v>49</v>
      </c>
      <c r="I1185" t="s">
        <v>50</v>
      </c>
      <c r="J1185" t="s">
        <v>1473</v>
      </c>
      <c r="K1185" t="s">
        <v>387</v>
      </c>
      <c r="L1185" t="s">
        <v>53</v>
      </c>
      <c r="N1185" t="s">
        <v>2151</v>
      </c>
      <c r="P1185" t="s">
        <v>55</v>
      </c>
      <c r="R1185" t="s">
        <v>56</v>
      </c>
      <c r="T1185" t="s">
        <v>2149</v>
      </c>
      <c r="U1185" t="s">
        <v>58</v>
      </c>
      <c r="V1185">
        <v>3</v>
      </c>
      <c r="W1185">
        <v>1</v>
      </c>
      <c r="X1185">
        <v>1</v>
      </c>
      <c r="Y1185">
        <v>0</v>
      </c>
      <c r="Z1185">
        <v>1</v>
      </c>
      <c r="AA1185">
        <v>0</v>
      </c>
      <c r="AB1185">
        <v>497.11</v>
      </c>
      <c r="AC1185">
        <v>437.4</v>
      </c>
      <c r="AD1185">
        <v>0</v>
      </c>
      <c r="AE1185">
        <v>59.7</v>
      </c>
      <c r="AF1185">
        <v>0</v>
      </c>
      <c r="AG1185">
        <v>0</v>
      </c>
      <c r="AH1185">
        <v>0</v>
      </c>
      <c r="AI1185">
        <v>89.48</v>
      </c>
      <c r="AJ1185">
        <v>497.1</v>
      </c>
      <c r="AK1185">
        <v>-0.01</v>
      </c>
      <c r="AL1185" t="s">
        <v>53</v>
      </c>
      <c r="AM1185" t="s">
        <v>53</v>
      </c>
      <c r="AN1185" t="s">
        <v>159</v>
      </c>
      <c r="AO1185" t="s">
        <v>53</v>
      </c>
      <c r="AP1185" t="s">
        <v>53</v>
      </c>
    </row>
    <row r="1186" spans="2:42" x14ac:dyDescent="0.2">
      <c r="B1186" t="s">
        <v>44</v>
      </c>
      <c r="C1186" t="str">
        <f>HYPERLINK("https://us2.cloudbeds.com/connect/8493803454333002#/reservations/598438355129?display=E1CG2CWU&amp;reservation_id=598438355129", "E1CG2CWU")</f>
        <v>E1CG2CWU</v>
      </c>
      <c r="D1186" t="s">
        <v>45</v>
      </c>
      <c r="E1186" t="s">
        <v>46</v>
      </c>
      <c r="F1186" t="s">
        <v>47</v>
      </c>
      <c r="G1186" t="s">
        <v>48</v>
      </c>
      <c r="H1186" t="s">
        <v>49</v>
      </c>
      <c r="I1186" t="s">
        <v>62</v>
      </c>
      <c r="J1186" t="s">
        <v>549</v>
      </c>
      <c r="K1186" t="s">
        <v>129</v>
      </c>
      <c r="L1186" t="s">
        <v>53</v>
      </c>
      <c r="N1186" t="s">
        <v>2152</v>
      </c>
      <c r="P1186" t="s">
        <v>55</v>
      </c>
      <c r="R1186" t="s">
        <v>56</v>
      </c>
      <c r="T1186" t="s">
        <v>2149</v>
      </c>
      <c r="U1186" t="s">
        <v>58</v>
      </c>
      <c r="V1186">
        <v>3</v>
      </c>
      <c r="W1186">
        <v>1</v>
      </c>
      <c r="X1186">
        <v>1</v>
      </c>
      <c r="Y1186">
        <v>0</v>
      </c>
      <c r="Z1186">
        <v>1</v>
      </c>
      <c r="AA1186">
        <v>0</v>
      </c>
      <c r="AB1186">
        <v>467.1</v>
      </c>
      <c r="AC1186">
        <v>411</v>
      </c>
      <c r="AD1186">
        <v>0</v>
      </c>
      <c r="AE1186">
        <v>56.1</v>
      </c>
      <c r="AF1186">
        <v>0</v>
      </c>
      <c r="AG1186">
        <v>0</v>
      </c>
      <c r="AH1186">
        <v>0</v>
      </c>
      <c r="AI1186">
        <v>70.069999999999993</v>
      </c>
      <c r="AJ1186">
        <v>467.1</v>
      </c>
      <c r="AK1186">
        <v>0</v>
      </c>
      <c r="AL1186" t="s">
        <v>53</v>
      </c>
      <c r="AM1186" t="s">
        <v>53</v>
      </c>
      <c r="AN1186" t="s">
        <v>132</v>
      </c>
      <c r="AO1186" t="s">
        <v>53</v>
      </c>
      <c r="AP1186" t="s">
        <v>53</v>
      </c>
    </row>
    <row r="1187" spans="2:42" x14ac:dyDescent="0.2">
      <c r="B1187" t="s">
        <v>44</v>
      </c>
      <c r="C1187" t="str">
        <f>HYPERLINK("https://us2.cloudbeds.com/connect/8493803454333002#/reservations/598317142238?display=E19CSFD1&amp;reservation_id=598317142238", "E19CSFD1")</f>
        <v>E19CSFD1</v>
      </c>
      <c r="D1187" t="s">
        <v>45</v>
      </c>
      <c r="E1187" t="s">
        <v>179</v>
      </c>
      <c r="F1187" t="s">
        <v>47</v>
      </c>
      <c r="G1187" t="s">
        <v>48</v>
      </c>
      <c r="H1187" t="s">
        <v>49</v>
      </c>
      <c r="I1187" t="s">
        <v>79</v>
      </c>
      <c r="J1187" t="s">
        <v>1092</v>
      </c>
      <c r="K1187" t="s">
        <v>1757</v>
      </c>
      <c r="L1187" t="s">
        <v>53</v>
      </c>
      <c r="N1187" t="s">
        <v>2153</v>
      </c>
      <c r="P1187" t="s">
        <v>55</v>
      </c>
      <c r="R1187" t="s">
        <v>56</v>
      </c>
      <c r="T1187" t="s">
        <v>2149</v>
      </c>
      <c r="U1187" t="s">
        <v>58</v>
      </c>
      <c r="V1187">
        <v>2</v>
      </c>
      <c r="W1187">
        <v>1</v>
      </c>
      <c r="X1187">
        <v>1</v>
      </c>
      <c r="Y1187">
        <v>0</v>
      </c>
      <c r="Z1187">
        <v>1</v>
      </c>
      <c r="AA1187">
        <v>0</v>
      </c>
      <c r="AB1187">
        <v>157.52000000000001</v>
      </c>
      <c r="AC1187">
        <v>138.6</v>
      </c>
      <c r="AD1187">
        <v>0</v>
      </c>
      <c r="AE1187">
        <v>18.940000000000001</v>
      </c>
      <c r="AF1187">
        <v>0</v>
      </c>
      <c r="AG1187">
        <v>0</v>
      </c>
      <c r="AH1187">
        <v>0</v>
      </c>
      <c r="AI1187">
        <v>0</v>
      </c>
      <c r="AJ1187">
        <v>157.54</v>
      </c>
      <c r="AK1187">
        <v>0.02</v>
      </c>
      <c r="AL1187" t="s">
        <v>53</v>
      </c>
      <c r="AM1187" t="s">
        <v>53</v>
      </c>
      <c r="AN1187" t="s">
        <v>349</v>
      </c>
      <c r="AO1187" t="s">
        <v>53</v>
      </c>
      <c r="AP1187" t="s">
        <v>53</v>
      </c>
    </row>
    <row r="1188" spans="2:42" x14ac:dyDescent="0.2">
      <c r="B1188" t="s">
        <v>44</v>
      </c>
      <c r="C1188" t="str">
        <f>HYPERLINK("https://us2.cloudbeds.com/connect/8493803454333002#/reservations/598343606465?display=E1A25SQA&amp;reservation_id=598343606465", "E1A25SQA")</f>
        <v>E1A25SQA</v>
      </c>
      <c r="D1188" t="s">
        <v>45</v>
      </c>
      <c r="E1188" t="s">
        <v>69</v>
      </c>
      <c r="F1188" t="s">
        <v>70</v>
      </c>
      <c r="G1188" t="s">
        <v>48</v>
      </c>
      <c r="H1188" t="s">
        <v>49</v>
      </c>
      <c r="I1188" t="s">
        <v>50</v>
      </c>
      <c r="J1188" t="s">
        <v>359</v>
      </c>
      <c r="K1188" t="s">
        <v>1117</v>
      </c>
      <c r="L1188" t="s">
        <v>53</v>
      </c>
      <c r="N1188" t="s">
        <v>2154</v>
      </c>
      <c r="P1188" t="s">
        <v>55</v>
      </c>
      <c r="R1188" t="s">
        <v>56</v>
      </c>
      <c r="T1188" t="s">
        <v>2149</v>
      </c>
      <c r="U1188" t="s">
        <v>58</v>
      </c>
      <c r="V1188">
        <v>3</v>
      </c>
      <c r="W1188">
        <v>1</v>
      </c>
      <c r="X1188">
        <v>1</v>
      </c>
      <c r="Y1188">
        <v>0</v>
      </c>
      <c r="Z1188">
        <v>1</v>
      </c>
      <c r="AA1188">
        <v>0</v>
      </c>
      <c r="AB1188">
        <v>285.38</v>
      </c>
      <c r="AC1188">
        <v>251.1</v>
      </c>
      <c r="AD1188">
        <v>0</v>
      </c>
      <c r="AE1188">
        <v>34.26</v>
      </c>
      <c r="AF1188">
        <v>0</v>
      </c>
      <c r="AG1188">
        <v>0</v>
      </c>
      <c r="AH1188">
        <v>0</v>
      </c>
      <c r="AI1188">
        <v>51.36</v>
      </c>
      <c r="AJ1188">
        <v>285.36</v>
      </c>
      <c r="AK1188">
        <v>-0.02</v>
      </c>
      <c r="AL1188" t="s">
        <v>53</v>
      </c>
      <c r="AM1188" t="s">
        <v>53</v>
      </c>
      <c r="AN1188" t="s">
        <v>91</v>
      </c>
      <c r="AO1188" t="s">
        <v>53</v>
      </c>
      <c r="AP1188" t="s">
        <v>53</v>
      </c>
    </row>
    <row r="1189" spans="2:42" x14ac:dyDescent="0.2">
      <c r="B1189" t="s">
        <v>44</v>
      </c>
      <c r="C1189" t="str">
        <f>HYPERLINK("https://us2.cloudbeds.com/connect/8493803454333002#/reservations/598485487870?display=E1DMQUZR&amp;reservation_id=598485487870", "E1DMQUZR")</f>
        <v>E1DMQUZR</v>
      </c>
      <c r="D1189" t="s">
        <v>45</v>
      </c>
      <c r="E1189" t="s">
        <v>138</v>
      </c>
      <c r="F1189" t="s">
        <v>70</v>
      </c>
      <c r="G1189" t="s">
        <v>48</v>
      </c>
      <c r="H1189" t="s">
        <v>49</v>
      </c>
      <c r="I1189" t="s">
        <v>50</v>
      </c>
      <c r="J1189" t="s">
        <v>106</v>
      </c>
      <c r="K1189" t="s">
        <v>922</v>
      </c>
      <c r="L1189" t="s">
        <v>53</v>
      </c>
      <c r="N1189" t="s">
        <v>2155</v>
      </c>
      <c r="P1189" t="s">
        <v>55</v>
      </c>
      <c r="R1189" t="s">
        <v>56</v>
      </c>
      <c r="T1189" t="s">
        <v>2149</v>
      </c>
      <c r="U1189" t="s">
        <v>58</v>
      </c>
      <c r="V1189">
        <v>1</v>
      </c>
      <c r="W1189">
        <v>1</v>
      </c>
      <c r="X1189">
        <v>1</v>
      </c>
      <c r="Y1189">
        <v>0</v>
      </c>
      <c r="Z1189">
        <v>1</v>
      </c>
      <c r="AA1189">
        <v>0</v>
      </c>
      <c r="AB1189">
        <v>130.91999999999999</v>
      </c>
      <c r="AC1189">
        <v>115.2</v>
      </c>
      <c r="AD1189">
        <v>0</v>
      </c>
      <c r="AE1189">
        <v>15.72</v>
      </c>
      <c r="AF1189">
        <v>0</v>
      </c>
      <c r="AG1189">
        <v>0</v>
      </c>
      <c r="AH1189">
        <v>0</v>
      </c>
      <c r="AI1189">
        <v>23.57</v>
      </c>
      <c r="AJ1189">
        <v>130.91999999999999</v>
      </c>
      <c r="AK1189">
        <v>0</v>
      </c>
      <c r="AL1189" t="s">
        <v>53</v>
      </c>
      <c r="AM1189" t="s">
        <v>53</v>
      </c>
      <c r="AN1189" t="s">
        <v>2156</v>
      </c>
      <c r="AO1189" t="s">
        <v>53</v>
      </c>
      <c r="AP1189" t="s">
        <v>53</v>
      </c>
    </row>
    <row r="1190" spans="2:42" x14ac:dyDescent="0.2">
      <c r="B1190" t="s">
        <v>44</v>
      </c>
      <c r="C1190" t="str">
        <f>HYPERLINK("https://us2.cloudbeds.com/connect/8493803454333002#/reservations/598545424580?display=E1F7BP1P&amp;reservation_id=598545424580", "E1F7BP1P")</f>
        <v>E1F7BP1P</v>
      </c>
      <c r="D1190" t="s">
        <v>45</v>
      </c>
      <c r="E1190" t="s">
        <v>305</v>
      </c>
      <c r="F1190" t="s">
        <v>61</v>
      </c>
      <c r="G1190" t="s">
        <v>48</v>
      </c>
      <c r="H1190" t="s">
        <v>71</v>
      </c>
      <c r="I1190" t="s">
        <v>72</v>
      </c>
      <c r="J1190" t="s">
        <v>1757</v>
      </c>
      <c r="K1190" t="s">
        <v>281</v>
      </c>
      <c r="L1190" t="s">
        <v>53</v>
      </c>
      <c r="N1190" t="s">
        <v>2157</v>
      </c>
      <c r="P1190" t="s">
        <v>58</v>
      </c>
      <c r="R1190" t="s">
        <v>56</v>
      </c>
      <c r="T1190" t="s">
        <v>2149</v>
      </c>
      <c r="U1190" t="s">
        <v>58</v>
      </c>
      <c r="V1190">
        <v>1</v>
      </c>
      <c r="W1190">
        <v>1</v>
      </c>
      <c r="X1190">
        <v>1</v>
      </c>
      <c r="Y1190">
        <v>0</v>
      </c>
      <c r="Z1190">
        <v>1</v>
      </c>
      <c r="AA1190">
        <v>0</v>
      </c>
      <c r="AB1190">
        <v>89.78</v>
      </c>
      <c r="AC1190">
        <v>79</v>
      </c>
      <c r="AD1190">
        <v>0</v>
      </c>
      <c r="AE1190">
        <v>10.79</v>
      </c>
      <c r="AF1190">
        <v>0</v>
      </c>
      <c r="AG1190">
        <v>0</v>
      </c>
      <c r="AH1190">
        <v>0</v>
      </c>
      <c r="AI1190">
        <v>0</v>
      </c>
      <c r="AJ1190">
        <v>89.79</v>
      </c>
      <c r="AK1190">
        <v>0.01</v>
      </c>
      <c r="AL1190" t="s">
        <v>53</v>
      </c>
      <c r="AM1190" t="s">
        <v>53</v>
      </c>
      <c r="AN1190" t="s">
        <v>2158</v>
      </c>
      <c r="AO1190" t="s">
        <v>53</v>
      </c>
      <c r="AP1190" t="s">
        <v>53</v>
      </c>
    </row>
    <row r="1191" spans="2:42" x14ac:dyDescent="0.2">
      <c r="B1191" t="s">
        <v>44</v>
      </c>
      <c r="C1191" t="str">
        <f>HYPERLINK("https://us2.cloudbeds.com/connect/8493803454333002#/reservations/598605398170?display=E1GZUK79&amp;reservation_id=598605398170", "E1GZUK79")</f>
        <v>E1GZUK79</v>
      </c>
      <c r="D1191" t="s">
        <v>45</v>
      </c>
      <c r="E1191" t="s">
        <v>165</v>
      </c>
      <c r="F1191" t="s">
        <v>61</v>
      </c>
      <c r="G1191" t="s">
        <v>48</v>
      </c>
      <c r="H1191" t="s">
        <v>49</v>
      </c>
      <c r="I1191" t="s">
        <v>50</v>
      </c>
      <c r="J1191" t="s">
        <v>259</v>
      </c>
      <c r="K1191" t="s">
        <v>292</v>
      </c>
      <c r="L1191" t="s">
        <v>53</v>
      </c>
      <c r="N1191" t="s">
        <v>2159</v>
      </c>
      <c r="P1191" t="s">
        <v>55</v>
      </c>
      <c r="R1191" t="s">
        <v>56</v>
      </c>
      <c r="T1191" t="s">
        <v>2149</v>
      </c>
      <c r="U1191" t="s">
        <v>58</v>
      </c>
      <c r="V1191">
        <v>2</v>
      </c>
      <c r="W1191">
        <v>1</v>
      </c>
      <c r="X1191">
        <v>1</v>
      </c>
      <c r="Y1191">
        <v>0</v>
      </c>
      <c r="Z1191">
        <v>1</v>
      </c>
      <c r="AA1191">
        <v>0</v>
      </c>
      <c r="AB1191">
        <v>304.58</v>
      </c>
      <c r="AC1191">
        <v>268</v>
      </c>
      <c r="AD1191">
        <v>0</v>
      </c>
      <c r="AE1191">
        <v>36.6</v>
      </c>
      <c r="AF1191">
        <v>0</v>
      </c>
      <c r="AG1191">
        <v>0</v>
      </c>
      <c r="AH1191">
        <v>0</v>
      </c>
      <c r="AI1191">
        <v>54.83</v>
      </c>
      <c r="AJ1191">
        <v>304.60000000000002</v>
      </c>
      <c r="AK1191">
        <v>0.02</v>
      </c>
      <c r="AL1191" t="s">
        <v>53</v>
      </c>
      <c r="AM1191" t="s">
        <v>53</v>
      </c>
      <c r="AN1191" t="s">
        <v>225</v>
      </c>
      <c r="AO1191" t="s">
        <v>53</v>
      </c>
      <c r="AP1191" t="s">
        <v>53</v>
      </c>
    </row>
    <row r="1192" spans="2:42" x14ac:dyDescent="0.2">
      <c r="B1192" t="s">
        <v>44</v>
      </c>
      <c r="C1192" t="str">
        <f>HYPERLINK("https://us2.cloudbeds.com/connect/8493803454333002#/reservations/598525341889?display=E1EDXWBG&amp;reservation_id=598525341889", "E1EDXWBG")</f>
        <v>E1EDXWBG</v>
      </c>
      <c r="D1192" t="s">
        <v>45</v>
      </c>
      <c r="E1192" t="s">
        <v>98</v>
      </c>
      <c r="F1192" t="s">
        <v>86</v>
      </c>
      <c r="G1192" t="s">
        <v>48</v>
      </c>
      <c r="H1192" t="s">
        <v>49</v>
      </c>
      <c r="I1192" t="s">
        <v>50</v>
      </c>
      <c r="J1192" t="s">
        <v>203</v>
      </c>
      <c r="K1192" t="s">
        <v>1092</v>
      </c>
      <c r="L1192" t="s">
        <v>53</v>
      </c>
      <c r="N1192" t="s">
        <v>2160</v>
      </c>
      <c r="P1192" t="s">
        <v>55</v>
      </c>
      <c r="R1192" t="s">
        <v>56</v>
      </c>
      <c r="T1192" t="s">
        <v>2149</v>
      </c>
      <c r="U1192" t="s">
        <v>58</v>
      </c>
      <c r="V1192">
        <v>1</v>
      </c>
      <c r="W1192">
        <v>1</v>
      </c>
      <c r="X1192">
        <v>1</v>
      </c>
      <c r="Y1192">
        <v>0</v>
      </c>
      <c r="Z1192">
        <v>1</v>
      </c>
      <c r="AA1192">
        <v>0</v>
      </c>
      <c r="AB1192">
        <v>108.42</v>
      </c>
      <c r="AC1192">
        <v>95.4</v>
      </c>
      <c r="AD1192">
        <v>0</v>
      </c>
      <c r="AE1192">
        <v>13.03</v>
      </c>
      <c r="AF1192">
        <v>0</v>
      </c>
      <c r="AG1192">
        <v>0</v>
      </c>
      <c r="AH1192">
        <v>0</v>
      </c>
      <c r="AI1192">
        <v>19.52</v>
      </c>
      <c r="AJ1192">
        <v>108.43</v>
      </c>
      <c r="AK1192">
        <v>0.01</v>
      </c>
      <c r="AL1192" t="s">
        <v>53</v>
      </c>
      <c r="AM1192" t="s">
        <v>53</v>
      </c>
      <c r="AN1192" t="s">
        <v>225</v>
      </c>
      <c r="AO1192" t="s">
        <v>53</v>
      </c>
      <c r="AP1192" t="s">
        <v>53</v>
      </c>
    </row>
    <row r="1193" spans="2:42" x14ac:dyDescent="0.2">
      <c r="B1193" t="s">
        <v>44</v>
      </c>
      <c r="C1193" t="str">
        <f>HYPERLINK("https://us2.cloudbeds.com/connect/8493803454333002#/reservations/598502531274?display=E1E4668K&amp;reservation_id=598502531274", "E1E4668K")</f>
        <v>E1E4668K</v>
      </c>
      <c r="D1193" t="s">
        <v>45</v>
      </c>
      <c r="E1193" t="s">
        <v>46</v>
      </c>
      <c r="F1193" t="s">
        <v>47</v>
      </c>
      <c r="G1193" t="s">
        <v>48</v>
      </c>
      <c r="H1193" t="s">
        <v>49</v>
      </c>
      <c r="I1193" t="s">
        <v>62</v>
      </c>
      <c r="J1193" t="s">
        <v>1792</v>
      </c>
      <c r="K1193" t="s">
        <v>1633</v>
      </c>
      <c r="L1193" t="s">
        <v>53</v>
      </c>
      <c r="N1193" t="s">
        <v>2161</v>
      </c>
      <c r="P1193" t="s">
        <v>55</v>
      </c>
      <c r="R1193" t="s">
        <v>56</v>
      </c>
      <c r="T1193" t="s">
        <v>2149</v>
      </c>
      <c r="U1193" t="s">
        <v>58</v>
      </c>
      <c r="V1193">
        <v>1</v>
      </c>
      <c r="W1193">
        <v>1</v>
      </c>
      <c r="X1193">
        <v>1</v>
      </c>
      <c r="Y1193">
        <v>0</v>
      </c>
      <c r="Z1193">
        <v>1</v>
      </c>
      <c r="AA1193">
        <v>0</v>
      </c>
      <c r="AB1193">
        <v>170.48</v>
      </c>
      <c r="AC1193">
        <v>150</v>
      </c>
      <c r="AD1193">
        <v>0</v>
      </c>
      <c r="AE1193">
        <v>20.48</v>
      </c>
      <c r="AF1193">
        <v>0</v>
      </c>
      <c r="AG1193">
        <v>0</v>
      </c>
      <c r="AH1193">
        <v>0</v>
      </c>
      <c r="AI1193">
        <v>25.57</v>
      </c>
      <c r="AJ1193">
        <v>170.48</v>
      </c>
      <c r="AK1193">
        <v>0</v>
      </c>
      <c r="AL1193" t="s">
        <v>53</v>
      </c>
      <c r="AM1193" t="s">
        <v>53</v>
      </c>
      <c r="AN1193" t="s">
        <v>68</v>
      </c>
      <c r="AO1193" t="s">
        <v>53</v>
      </c>
      <c r="AP1193" t="s">
        <v>53</v>
      </c>
    </row>
    <row r="1194" spans="2:42" x14ac:dyDescent="0.2">
      <c r="B1194" t="s">
        <v>44</v>
      </c>
      <c r="C1194" t="str">
        <f>HYPERLINK("https://us2.cloudbeds.com/connect/8493803454333002#/reservations/579317809361?display=DJXU40Z4&amp;reservation_id=579317809361", "DJXU40Z4")</f>
        <v>DJXU40Z4</v>
      </c>
      <c r="D1194" t="s">
        <v>45</v>
      </c>
      <c r="E1194" t="s">
        <v>113</v>
      </c>
      <c r="F1194" t="s">
        <v>61</v>
      </c>
      <c r="G1194" t="s">
        <v>48</v>
      </c>
      <c r="H1194" t="s">
        <v>49</v>
      </c>
      <c r="I1194" t="s">
        <v>79</v>
      </c>
      <c r="J1194" t="s">
        <v>2162</v>
      </c>
      <c r="K1194" t="s">
        <v>2163</v>
      </c>
      <c r="L1194" t="s">
        <v>53</v>
      </c>
      <c r="N1194" t="s">
        <v>2164</v>
      </c>
      <c r="P1194" t="s">
        <v>55</v>
      </c>
      <c r="R1194" t="s">
        <v>56</v>
      </c>
      <c r="T1194" t="s">
        <v>2149</v>
      </c>
      <c r="U1194" t="s">
        <v>58</v>
      </c>
      <c r="V1194">
        <v>2</v>
      </c>
      <c r="W1194">
        <v>1</v>
      </c>
      <c r="X1194">
        <v>1</v>
      </c>
      <c r="Y1194">
        <v>0</v>
      </c>
      <c r="Z1194">
        <v>1</v>
      </c>
      <c r="AA1194">
        <v>0</v>
      </c>
      <c r="AB1194">
        <v>312.98</v>
      </c>
      <c r="AC1194">
        <v>275.39999999999998</v>
      </c>
      <c r="AD1194">
        <v>0</v>
      </c>
      <c r="AE1194">
        <v>37.58</v>
      </c>
      <c r="AF1194">
        <v>0</v>
      </c>
      <c r="AG1194">
        <v>0</v>
      </c>
      <c r="AH1194">
        <v>0</v>
      </c>
      <c r="AI1194">
        <v>0</v>
      </c>
      <c r="AJ1194">
        <v>312.98</v>
      </c>
      <c r="AK1194">
        <v>0</v>
      </c>
      <c r="AL1194" t="s">
        <v>53</v>
      </c>
      <c r="AM1194" t="s">
        <v>53</v>
      </c>
      <c r="AN1194" t="s">
        <v>159</v>
      </c>
      <c r="AO1194" t="s">
        <v>53</v>
      </c>
      <c r="AP1194" t="s">
        <v>53</v>
      </c>
    </row>
    <row r="1195" spans="2:42" x14ac:dyDescent="0.2">
      <c r="B1195" t="s">
        <v>44</v>
      </c>
      <c r="C1195" t="str">
        <f>HYPERLINK("https://us2.cloudbeds.com/connect/8493803454333002#/reservations/598340710593?display=E19WZ9JK&amp;reservation_id=598340710593", "E19WZ9JK")</f>
        <v>E19WZ9JK</v>
      </c>
      <c r="D1195" t="s">
        <v>45</v>
      </c>
      <c r="E1195" t="s">
        <v>69</v>
      </c>
      <c r="F1195" t="s">
        <v>70</v>
      </c>
      <c r="G1195" t="s">
        <v>48</v>
      </c>
      <c r="H1195" t="s">
        <v>49</v>
      </c>
      <c r="I1195" t="s">
        <v>62</v>
      </c>
      <c r="J1195" t="s">
        <v>1092</v>
      </c>
      <c r="K1195" t="s">
        <v>419</v>
      </c>
      <c r="L1195" t="s">
        <v>53</v>
      </c>
      <c r="N1195" t="s">
        <v>2165</v>
      </c>
      <c r="P1195" t="s">
        <v>55</v>
      </c>
      <c r="R1195" t="s">
        <v>56</v>
      </c>
      <c r="T1195" t="s">
        <v>2166</v>
      </c>
      <c r="U1195" t="s">
        <v>58</v>
      </c>
      <c r="V1195">
        <v>1</v>
      </c>
      <c r="W1195">
        <v>1</v>
      </c>
      <c r="X1195">
        <v>1</v>
      </c>
      <c r="Y1195">
        <v>0</v>
      </c>
      <c r="Z1195">
        <v>1</v>
      </c>
      <c r="AA1195">
        <v>0</v>
      </c>
      <c r="AB1195">
        <v>83.53</v>
      </c>
      <c r="AC1195">
        <v>73.5</v>
      </c>
      <c r="AD1195">
        <v>0</v>
      </c>
      <c r="AE1195">
        <v>10.029999999999999</v>
      </c>
      <c r="AF1195">
        <v>0</v>
      </c>
      <c r="AG1195">
        <v>0</v>
      </c>
      <c r="AH1195">
        <v>0</v>
      </c>
      <c r="AI1195">
        <v>12.53</v>
      </c>
      <c r="AJ1195">
        <v>83.53</v>
      </c>
      <c r="AK1195">
        <v>0</v>
      </c>
      <c r="AL1195" t="s">
        <v>53</v>
      </c>
      <c r="AM1195" t="s">
        <v>53</v>
      </c>
      <c r="AN1195" t="s">
        <v>386</v>
      </c>
      <c r="AO1195" t="s">
        <v>53</v>
      </c>
      <c r="AP1195" t="s">
        <v>53</v>
      </c>
    </row>
    <row r="1196" spans="2:42" x14ac:dyDescent="0.2">
      <c r="B1196" t="s">
        <v>44</v>
      </c>
      <c r="C1196" t="str">
        <f>HYPERLINK("https://us2.cloudbeds.com/connect/8493803454333002#/reservations/598321184931?display=E19G8VMT&amp;reservation_id=598321184931", "E19G8VMT")</f>
        <v>E19G8VMT</v>
      </c>
      <c r="D1196" t="s">
        <v>45</v>
      </c>
      <c r="E1196" t="s">
        <v>223</v>
      </c>
      <c r="F1196" t="s">
        <v>47</v>
      </c>
      <c r="G1196" t="s">
        <v>48</v>
      </c>
      <c r="H1196" t="s">
        <v>71</v>
      </c>
      <c r="I1196" t="s">
        <v>72</v>
      </c>
      <c r="J1196" t="s">
        <v>1092</v>
      </c>
      <c r="K1196" t="s">
        <v>419</v>
      </c>
      <c r="L1196" t="s">
        <v>53</v>
      </c>
      <c r="N1196" t="s">
        <v>2167</v>
      </c>
      <c r="P1196" t="s">
        <v>58</v>
      </c>
      <c r="R1196" t="s">
        <v>56</v>
      </c>
      <c r="T1196" t="s">
        <v>2166</v>
      </c>
      <c r="U1196" t="s">
        <v>58</v>
      </c>
      <c r="V1196">
        <v>1</v>
      </c>
      <c r="W1196">
        <v>1</v>
      </c>
      <c r="X1196">
        <v>1</v>
      </c>
      <c r="Y1196">
        <v>0</v>
      </c>
      <c r="Z1196">
        <v>1</v>
      </c>
      <c r="AA1196">
        <v>0</v>
      </c>
      <c r="AB1196">
        <v>81.83</v>
      </c>
      <c r="AC1196">
        <v>72</v>
      </c>
      <c r="AD1196">
        <v>0</v>
      </c>
      <c r="AE1196">
        <v>9.83</v>
      </c>
      <c r="AF1196">
        <v>0</v>
      </c>
      <c r="AG1196">
        <v>0</v>
      </c>
      <c r="AH1196">
        <v>0</v>
      </c>
      <c r="AI1196">
        <v>0</v>
      </c>
      <c r="AJ1196">
        <v>81.83</v>
      </c>
      <c r="AK1196">
        <v>0</v>
      </c>
      <c r="AL1196" t="s">
        <v>53</v>
      </c>
      <c r="AM1196" t="s">
        <v>53</v>
      </c>
      <c r="AN1196" t="s">
        <v>2168</v>
      </c>
      <c r="AO1196" t="s">
        <v>53</v>
      </c>
      <c r="AP1196" t="s">
        <v>53</v>
      </c>
    </row>
    <row r="1197" spans="2:42" x14ac:dyDescent="0.2">
      <c r="B1197" t="s">
        <v>44</v>
      </c>
      <c r="C1197" t="str">
        <f>HYPERLINK("https://us2.cloudbeds.com/connect/8493803454333002#/reservations/598520000730?display=E1EXUA02&amp;reservation_id=598520000730", "E1EXUA02")</f>
        <v>E1EXUA02</v>
      </c>
      <c r="D1197" t="s">
        <v>45</v>
      </c>
      <c r="E1197" t="s">
        <v>110</v>
      </c>
      <c r="F1197" t="s">
        <v>47</v>
      </c>
      <c r="G1197" t="s">
        <v>48</v>
      </c>
      <c r="H1197" t="s">
        <v>49</v>
      </c>
      <c r="I1197" t="s">
        <v>79</v>
      </c>
      <c r="J1197" t="s">
        <v>1027</v>
      </c>
      <c r="K1197" t="s">
        <v>709</v>
      </c>
      <c r="L1197" t="s">
        <v>53</v>
      </c>
      <c r="N1197" t="s">
        <v>2169</v>
      </c>
      <c r="P1197" t="s">
        <v>55</v>
      </c>
      <c r="R1197" t="s">
        <v>56</v>
      </c>
      <c r="T1197" t="s">
        <v>2166</v>
      </c>
      <c r="U1197" t="s">
        <v>58</v>
      </c>
      <c r="V1197">
        <v>1</v>
      </c>
      <c r="W1197">
        <v>1</v>
      </c>
      <c r="X1197">
        <v>1</v>
      </c>
      <c r="Y1197">
        <v>0</v>
      </c>
      <c r="Z1197">
        <v>1</v>
      </c>
      <c r="AA1197">
        <v>0</v>
      </c>
      <c r="AB1197">
        <v>127.86</v>
      </c>
      <c r="AC1197">
        <v>112.5</v>
      </c>
      <c r="AD1197">
        <v>0</v>
      </c>
      <c r="AE1197">
        <v>15.36</v>
      </c>
      <c r="AF1197">
        <v>0</v>
      </c>
      <c r="AG1197">
        <v>0</v>
      </c>
      <c r="AH1197">
        <v>0</v>
      </c>
      <c r="AI1197">
        <v>0</v>
      </c>
      <c r="AJ1197">
        <v>127.86</v>
      </c>
      <c r="AK1197">
        <v>0</v>
      </c>
      <c r="AL1197" t="s">
        <v>53</v>
      </c>
      <c r="AM1197" t="s">
        <v>53</v>
      </c>
      <c r="AN1197" t="s">
        <v>413</v>
      </c>
      <c r="AO1197" t="s">
        <v>53</v>
      </c>
      <c r="AP1197" t="s">
        <v>53</v>
      </c>
    </row>
    <row r="1198" spans="2:42" x14ac:dyDescent="0.2">
      <c r="B1198" t="s">
        <v>44</v>
      </c>
      <c r="C1198" t="str">
        <f>HYPERLINK("https://us2.cloudbeds.com/connect/8493803454333002#/reservations/598528258232?display=E1EPT2YD&amp;reservation_id=598528258232", "E1EPT2YD")</f>
        <v>E1EPT2YD</v>
      </c>
      <c r="D1198" t="s">
        <v>45</v>
      </c>
      <c r="E1198" t="s">
        <v>121</v>
      </c>
      <c r="F1198" t="s">
        <v>86</v>
      </c>
      <c r="G1198" t="s">
        <v>48</v>
      </c>
      <c r="H1198" t="s">
        <v>49</v>
      </c>
      <c r="I1198" t="s">
        <v>50</v>
      </c>
      <c r="J1198" t="s">
        <v>419</v>
      </c>
      <c r="K1198" t="s">
        <v>1757</v>
      </c>
      <c r="L1198" t="s">
        <v>53</v>
      </c>
      <c r="N1198" t="s">
        <v>2170</v>
      </c>
      <c r="P1198" t="s">
        <v>55</v>
      </c>
      <c r="R1198" t="s">
        <v>56</v>
      </c>
      <c r="T1198" t="s">
        <v>2166</v>
      </c>
      <c r="U1198" t="s">
        <v>58</v>
      </c>
      <c r="V1198">
        <v>1</v>
      </c>
      <c r="W1198">
        <v>1</v>
      </c>
      <c r="X1198">
        <v>1</v>
      </c>
      <c r="Y1198">
        <v>0</v>
      </c>
      <c r="Z1198">
        <v>1</v>
      </c>
      <c r="AA1198">
        <v>0</v>
      </c>
      <c r="AB1198">
        <v>99.22</v>
      </c>
      <c r="AC1198">
        <v>87.3</v>
      </c>
      <c r="AD1198">
        <v>0</v>
      </c>
      <c r="AE1198">
        <v>11.92</v>
      </c>
      <c r="AF1198">
        <v>0</v>
      </c>
      <c r="AG1198">
        <v>0</v>
      </c>
      <c r="AH1198">
        <v>0</v>
      </c>
      <c r="AI1198">
        <v>17.86</v>
      </c>
      <c r="AJ1198">
        <v>99.22</v>
      </c>
      <c r="AK1198">
        <v>0</v>
      </c>
      <c r="AL1198" t="s">
        <v>53</v>
      </c>
      <c r="AM1198" t="s">
        <v>53</v>
      </c>
      <c r="AN1198" t="s">
        <v>137</v>
      </c>
      <c r="AO1198" t="s">
        <v>53</v>
      </c>
      <c r="AP1198" t="s">
        <v>53</v>
      </c>
    </row>
    <row r="1199" spans="2:42" x14ac:dyDescent="0.2">
      <c r="B1199" t="s">
        <v>44</v>
      </c>
      <c r="C1199" t="str">
        <f>HYPERLINK("https://us2.cloudbeds.com/connect/8493803454333002#/reservations/598271156378?display=E1872RQ3&amp;reservation_id=598271156378", "E1872RQ3")</f>
        <v>E1872RQ3</v>
      </c>
      <c r="D1199" t="s">
        <v>45</v>
      </c>
      <c r="E1199" t="s">
        <v>98</v>
      </c>
      <c r="F1199" t="s">
        <v>86</v>
      </c>
      <c r="G1199" t="s">
        <v>48</v>
      </c>
      <c r="H1199" t="s">
        <v>71</v>
      </c>
      <c r="I1199" t="s">
        <v>72</v>
      </c>
      <c r="J1199" t="s">
        <v>1092</v>
      </c>
      <c r="K1199" t="s">
        <v>419</v>
      </c>
      <c r="L1199" t="s">
        <v>53</v>
      </c>
      <c r="N1199" t="s">
        <v>2171</v>
      </c>
      <c r="P1199" t="s">
        <v>55</v>
      </c>
      <c r="R1199" t="s">
        <v>56</v>
      </c>
      <c r="T1199" t="s">
        <v>2166</v>
      </c>
      <c r="U1199" t="s">
        <v>58</v>
      </c>
      <c r="V1199">
        <v>1</v>
      </c>
      <c r="W1199">
        <v>1</v>
      </c>
      <c r="X1199">
        <v>1</v>
      </c>
      <c r="Y1199">
        <v>0</v>
      </c>
      <c r="Z1199">
        <v>1</v>
      </c>
      <c r="AA1199">
        <v>0</v>
      </c>
      <c r="AB1199">
        <v>98.88</v>
      </c>
      <c r="AC1199">
        <v>87</v>
      </c>
      <c r="AD1199">
        <v>0</v>
      </c>
      <c r="AE1199">
        <v>11.88</v>
      </c>
      <c r="AF1199">
        <v>0</v>
      </c>
      <c r="AG1199">
        <v>0</v>
      </c>
      <c r="AH1199">
        <v>0</v>
      </c>
      <c r="AI1199">
        <v>0</v>
      </c>
      <c r="AJ1199">
        <v>98.88</v>
      </c>
      <c r="AK1199">
        <v>0</v>
      </c>
      <c r="AL1199" t="s">
        <v>53</v>
      </c>
      <c r="AM1199" t="s">
        <v>53</v>
      </c>
      <c r="AN1199" t="s">
        <v>378</v>
      </c>
      <c r="AO1199" t="s">
        <v>53</v>
      </c>
      <c r="AP1199" t="s">
        <v>53</v>
      </c>
    </row>
    <row r="1200" spans="2:42" x14ac:dyDescent="0.2">
      <c r="B1200" t="s">
        <v>44</v>
      </c>
      <c r="C1200" t="str">
        <f>HYPERLINK("https://us2.cloudbeds.com/connect/8493803454333002#/reservations/598469193878?display=E1D92HDG&amp;reservation_id=598469193878", "E1D92HDG")</f>
        <v>E1D92HDG</v>
      </c>
      <c r="D1200" t="s">
        <v>45</v>
      </c>
      <c r="E1200" t="s">
        <v>98</v>
      </c>
      <c r="F1200" t="s">
        <v>86</v>
      </c>
      <c r="G1200" t="s">
        <v>48</v>
      </c>
      <c r="H1200" t="s">
        <v>49</v>
      </c>
      <c r="I1200" t="s">
        <v>50</v>
      </c>
      <c r="J1200" t="s">
        <v>282</v>
      </c>
      <c r="K1200" t="s">
        <v>1027</v>
      </c>
      <c r="L1200" t="s">
        <v>53</v>
      </c>
      <c r="N1200" t="s">
        <v>2172</v>
      </c>
      <c r="P1200" t="s">
        <v>55</v>
      </c>
      <c r="R1200" t="s">
        <v>56</v>
      </c>
      <c r="T1200" t="s">
        <v>2166</v>
      </c>
      <c r="U1200" t="s">
        <v>58</v>
      </c>
      <c r="V1200">
        <v>1</v>
      </c>
      <c r="W1200">
        <v>1</v>
      </c>
      <c r="X1200">
        <v>1</v>
      </c>
      <c r="Y1200">
        <v>0</v>
      </c>
      <c r="Z1200">
        <v>1</v>
      </c>
      <c r="AA1200">
        <v>0</v>
      </c>
      <c r="AB1200">
        <v>158.54</v>
      </c>
      <c r="AC1200">
        <v>139.5</v>
      </c>
      <c r="AD1200">
        <v>0</v>
      </c>
      <c r="AE1200">
        <v>19.04</v>
      </c>
      <c r="AF1200">
        <v>0</v>
      </c>
      <c r="AG1200">
        <v>0</v>
      </c>
      <c r="AH1200">
        <v>0</v>
      </c>
      <c r="AI1200">
        <v>28.54</v>
      </c>
      <c r="AJ1200">
        <v>158.54</v>
      </c>
      <c r="AK1200">
        <v>0</v>
      </c>
      <c r="AL1200" t="s">
        <v>53</v>
      </c>
      <c r="AM1200" t="s">
        <v>53</v>
      </c>
      <c r="AN1200" t="s">
        <v>2173</v>
      </c>
      <c r="AO1200" t="s">
        <v>53</v>
      </c>
      <c r="AP1200" t="s">
        <v>53</v>
      </c>
    </row>
    <row r="1201" spans="2:42" x14ac:dyDescent="0.2">
      <c r="B1201" t="s">
        <v>44</v>
      </c>
      <c r="C1201" t="str">
        <f>HYPERLINK("https://us2.cloudbeds.com/connect/8493803454333002#/reservations/598333747408?display=E19QSHFW&amp;reservation_id=598333747408", "E19QSHFW")</f>
        <v>E19QSHFW</v>
      </c>
      <c r="D1201" t="s">
        <v>45</v>
      </c>
      <c r="E1201" t="s">
        <v>92</v>
      </c>
      <c r="F1201" t="s">
        <v>86</v>
      </c>
      <c r="G1201" t="s">
        <v>48</v>
      </c>
      <c r="H1201" t="s">
        <v>49</v>
      </c>
      <c r="I1201" t="s">
        <v>79</v>
      </c>
      <c r="J1201" t="s">
        <v>354</v>
      </c>
      <c r="K1201" t="s">
        <v>359</v>
      </c>
      <c r="L1201" t="s">
        <v>53</v>
      </c>
      <c r="N1201" t="s">
        <v>2174</v>
      </c>
      <c r="P1201" t="s">
        <v>55</v>
      </c>
      <c r="R1201" t="s">
        <v>56</v>
      </c>
      <c r="T1201" t="s">
        <v>2166</v>
      </c>
      <c r="U1201" t="s">
        <v>58</v>
      </c>
      <c r="V1201">
        <v>2</v>
      </c>
      <c r="W1201">
        <v>1</v>
      </c>
      <c r="X1201">
        <v>1</v>
      </c>
      <c r="Y1201">
        <v>0</v>
      </c>
      <c r="Z1201">
        <v>1</v>
      </c>
      <c r="AA1201">
        <v>0</v>
      </c>
      <c r="AB1201">
        <v>259.8</v>
      </c>
      <c r="AC1201">
        <v>228.6</v>
      </c>
      <c r="AD1201">
        <v>0</v>
      </c>
      <c r="AE1201">
        <v>31.2</v>
      </c>
      <c r="AF1201">
        <v>0</v>
      </c>
      <c r="AG1201">
        <v>0</v>
      </c>
      <c r="AH1201">
        <v>0</v>
      </c>
      <c r="AI1201">
        <v>0</v>
      </c>
      <c r="AJ1201">
        <v>259.8</v>
      </c>
      <c r="AK1201">
        <v>0</v>
      </c>
      <c r="AL1201" t="s">
        <v>53</v>
      </c>
      <c r="AM1201" t="s">
        <v>53</v>
      </c>
      <c r="AN1201" t="s">
        <v>332</v>
      </c>
      <c r="AO1201" t="s">
        <v>53</v>
      </c>
      <c r="AP1201" t="s">
        <v>53</v>
      </c>
    </row>
    <row r="1202" spans="2:42" x14ac:dyDescent="0.2">
      <c r="B1202" t="s">
        <v>44</v>
      </c>
      <c r="C1202" t="str">
        <f>HYPERLINK("https://us2.cloudbeds.com/connect/8493803454333002#/reservations/598504050885?display=E1E5FFME&amp;reservation_id=598504050885", "E1E5FFME")</f>
        <v>E1E5FFME</v>
      </c>
      <c r="D1202" t="s">
        <v>45</v>
      </c>
      <c r="E1202" t="s">
        <v>155</v>
      </c>
      <c r="F1202" t="s">
        <v>86</v>
      </c>
      <c r="G1202" t="s">
        <v>48</v>
      </c>
      <c r="H1202" t="s">
        <v>71</v>
      </c>
      <c r="I1202" t="s">
        <v>72</v>
      </c>
      <c r="J1202" t="s">
        <v>489</v>
      </c>
      <c r="K1202" t="s">
        <v>1822</v>
      </c>
      <c r="L1202" t="s">
        <v>53</v>
      </c>
      <c r="N1202" t="s">
        <v>2175</v>
      </c>
      <c r="P1202" t="s">
        <v>55</v>
      </c>
      <c r="R1202" t="s">
        <v>56</v>
      </c>
      <c r="T1202" t="s">
        <v>2166</v>
      </c>
      <c r="U1202" t="s">
        <v>58</v>
      </c>
      <c r="V1202">
        <v>3</v>
      </c>
      <c r="W1202">
        <v>1</v>
      </c>
      <c r="X1202">
        <v>1</v>
      </c>
      <c r="Y1202">
        <v>0</v>
      </c>
      <c r="Z1202">
        <v>1</v>
      </c>
      <c r="AA1202">
        <v>0</v>
      </c>
      <c r="AB1202">
        <v>622.79999999999995</v>
      </c>
      <c r="AC1202">
        <v>548</v>
      </c>
      <c r="AD1202">
        <v>0</v>
      </c>
      <c r="AE1202">
        <v>74.790000000000006</v>
      </c>
      <c r="AF1202">
        <v>0</v>
      </c>
      <c r="AG1202">
        <v>0</v>
      </c>
      <c r="AH1202">
        <v>0</v>
      </c>
      <c r="AI1202">
        <v>0</v>
      </c>
      <c r="AJ1202">
        <v>622.79</v>
      </c>
      <c r="AK1202">
        <v>-0.01</v>
      </c>
      <c r="AL1202" t="s">
        <v>53</v>
      </c>
      <c r="AM1202" t="s">
        <v>53</v>
      </c>
      <c r="AN1202" t="s">
        <v>2176</v>
      </c>
      <c r="AO1202" t="s">
        <v>53</v>
      </c>
      <c r="AP1202" t="s">
        <v>53</v>
      </c>
    </row>
    <row r="1203" spans="2:42" x14ac:dyDescent="0.2">
      <c r="B1203" t="s">
        <v>44</v>
      </c>
      <c r="C1203" t="str">
        <f>HYPERLINK("https://us2.cloudbeds.com/connect/8493803454333002#/reservations/598586458326?display=E1G8VJ8K&amp;reservation_id=598586458326", "E1G8VJ8K")</f>
        <v>E1G8VJ8K</v>
      </c>
      <c r="D1203" t="s">
        <v>45</v>
      </c>
      <c r="E1203" t="s">
        <v>69</v>
      </c>
      <c r="F1203" t="s">
        <v>70</v>
      </c>
      <c r="G1203" t="s">
        <v>48</v>
      </c>
      <c r="H1203" t="s">
        <v>49</v>
      </c>
      <c r="I1203" t="s">
        <v>62</v>
      </c>
      <c r="J1203" t="s">
        <v>341</v>
      </c>
      <c r="K1203" t="s">
        <v>129</v>
      </c>
      <c r="L1203" t="s">
        <v>53</v>
      </c>
      <c r="N1203" t="s">
        <v>2177</v>
      </c>
      <c r="P1203" t="s">
        <v>55</v>
      </c>
      <c r="R1203" t="s">
        <v>513</v>
      </c>
      <c r="T1203" t="s">
        <v>2166</v>
      </c>
      <c r="U1203" t="s">
        <v>58</v>
      </c>
      <c r="V1203">
        <v>1</v>
      </c>
      <c r="W1203">
        <v>1</v>
      </c>
      <c r="X1203">
        <v>1</v>
      </c>
      <c r="Y1203">
        <v>0</v>
      </c>
      <c r="Z1203">
        <v>1</v>
      </c>
      <c r="AA1203">
        <v>0</v>
      </c>
      <c r="AB1203">
        <v>142.06</v>
      </c>
      <c r="AC1203">
        <v>125</v>
      </c>
      <c r="AD1203">
        <v>0</v>
      </c>
      <c r="AE1203">
        <v>17.07</v>
      </c>
      <c r="AF1203">
        <v>0</v>
      </c>
      <c r="AG1203">
        <v>0</v>
      </c>
      <c r="AH1203">
        <v>0</v>
      </c>
      <c r="AI1203">
        <v>21.31</v>
      </c>
      <c r="AJ1203">
        <v>142.07</v>
      </c>
      <c r="AK1203">
        <v>0.01</v>
      </c>
      <c r="AL1203" t="s">
        <v>53</v>
      </c>
      <c r="AM1203" t="s">
        <v>53</v>
      </c>
      <c r="AN1203" t="s">
        <v>159</v>
      </c>
      <c r="AO1203" t="s">
        <v>53</v>
      </c>
      <c r="AP1203" t="s">
        <v>53</v>
      </c>
    </row>
    <row r="1204" spans="2:42" x14ac:dyDescent="0.2">
      <c r="B1204" t="s">
        <v>44</v>
      </c>
      <c r="C1204" t="str">
        <f>HYPERLINK("https://us2.cloudbeds.com/connect/8493803454333002#/reservations/598096060556?display=E13ZEHU4&amp;reservation_id=598096060556", "E13ZEHU4")</f>
        <v>E13ZEHU4</v>
      </c>
      <c r="D1204" t="s">
        <v>45</v>
      </c>
      <c r="E1204" t="s">
        <v>165</v>
      </c>
      <c r="F1204" t="s">
        <v>61</v>
      </c>
      <c r="G1204" t="s">
        <v>48</v>
      </c>
      <c r="H1204" t="s">
        <v>49</v>
      </c>
      <c r="I1204" t="s">
        <v>79</v>
      </c>
      <c r="J1204" t="s">
        <v>618</v>
      </c>
      <c r="K1204" t="s">
        <v>600</v>
      </c>
      <c r="L1204" t="s">
        <v>53</v>
      </c>
      <c r="N1204" t="s">
        <v>2178</v>
      </c>
      <c r="P1204" t="s">
        <v>55</v>
      </c>
      <c r="R1204" t="s">
        <v>56</v>
      </c>
      <c r="T1204" t="s">
        <v>2166</v>
      </c>
      <c r="U1204" t="s">
        <v>58</v>
      </c>
      <c r="V1204">
        <v>1</v>
      </c>
      <c r="W1204">
        <v>1</v>
      </c>
      <c r="X1204">
        <v>1</v>
      </c>
      <c r="Y1204">
        <v>0</v>
      </c>
      <c r="Z1204">
        <v>1</v>
      </c>
      <c r="AA1204">
        <v>0</v>
      </c>
      <c r="AB1204">
        <v>112.51</v>
      </c>
      <c r="AC1204">
        <v>99</v>
      </c>
      <c r="AD1204">
        <v>0</v>
      </c>
      <c r="AE1204">
        <v>13.52</v>
      </c>
      <c r="AF1204">
        <v>0</v>
      </c>
      <c r="AG1204">
        <v>0</v>
      </c>
      <c r="AH1204">
        <v>0</v>
      </c>
      <c r="AI1204">
        <v>0</v>
      </c>
      <c r="AJ1204">
        <v>112.52</v>
      </c>
      <c r="AK1204">
        <v>0.01</v>
      </c>
      <c r="AL1204" t="s">
        <v>53</v>
      </c>
      <c r="AM1204" t="s">
        <v>53</v>
      </c>
      <c r="AN1204" t="s">
        <v>198</v>
      </c>
      <c r="AO1204" t="s">
        <v>53</v>
      </c>
      <c r="AP1204" t="s">
        <v>53</v>
      </c>
    </row>
    <row r="1205" spans="2:42" x14ac:dyDescent="0.2">
      <c r="B1205" t="s">
        <v>44</v>
      </c>
      <c r="C1205" t="str">
        <f>HYPERLINK("https://us2.cloudbeds.com/connect/8493803454333002#/reservations/598463262938?display=E1D42G61&amp;reservation_id=598463262938", "E1D42G61")</f>
        <v>E1D42G61</v>
      </c>
      <c r="D1205" t="s">
        <v>45</v>
      </c>
      <c r="E1205" t="s">
        <v>373</v>
      </c>
      <c r="F1205" t="s">
        <v>47</v>
      </c>
      <c r="G1205" t="s">
        <v>48</v>
      </c>
      <c r="H1205" t="s">
        <v>49</v>
      </c>
      <c r="I1205" t="s">
        <v>50</v>
      </c>
      <c r="J1205" t="s">
        <v>94</v>
      </c>
      <c r="K1205" t="s">
        <v>1750</v>
      </c>
      <c r="L1205" t="s">
        <v>53</v>
      </c>
      <c r="N1205" t="s">
        <v>2179</v>
      </c>
      <c r="P1205" t="s">
        <v>55</v>
      </c>
      <c r="R1205" t="s">
        <v>56</v>
      </c>
      <c r="T1205" t="s">
        <v>2166</v>
      </c>
      <c r="U1205" t="s">
        <v>58</v>
      </c>
      <c r="V1205">
        <v>3</v>
      </c>
      <c r="W1205">
        <v>1</v>
      </c>
      <c r="X1205">
        <v>1</v>
      </c>
      <c r="Y1205">
        <v>0</v>
      </c>
      <c r="Z1205">
        <v>1</v>
      </c>
      <c r="AA1205">
        <v>0</v>
      </c>
      <c r="AB1205">
        <v>432.67</v>
      </c>
      <c r="AC1205">
        <v>380.7</v>
      </c>
      <c r="AD1205">
        <v>0</v>
      </c>
      <c r="AE1205">
        <v>51.96</v>
      </c>
      <c r="AF1205">
        <v>0</v>
      </c>
      <c r="AG1205">
        <v>0</v>
      </c>
      <c r="AH1205">
        <v>0</v>
      </c>
      <c r="AI1205">
        <v>77.88</v>
      </c>
      <c r="AJ1205">
        <v>432.66</v>
      </c>
      <c r="AK1205">
        <v>-0.01</v>
      </c>
      <c r="AL1205" t="s">
        <v>53</v>
      </c>
      <c r="AM1205" t="s">
        <v>53</v>
      </c>
      <c r="AN1205" t="s">
        <v>142</v>
      </c>
      <c r="AO1205" t="s">
        <v>53</v>
      </c>
      <c r="AP1205" t="s">
        <v>53</v>
      </c>
    </row>
    <row r="1206" spans="2:42" x14ac:dyDescent="0.2">
      <c r="B1206" t="s">
        <v>44</v>
      </c>
      <c r="C1206" t="str">
        <f>HYPERLINK("https://us2.cloudbeds.com/connect/8493803454333002#/reservations/598416289980?display=E1BUFD52&amp;reservation_id=598416289980", "E1BUFD52")</f>
        <v>E1BUFD52</v>
      </c>
      <c r="D1206" t="s">
        <v>45</v>
      </c>
      <c r="E1206" t="s">
        <v>155</v>
      </c>
      <c r="F1206" t="s">
        <v>86</v>
      </c>
      <c r="G1206" t="s">
        <v>48</v>
      </c>
      <c r="H1206" t="s">
        <v>49</v>
      </c>
      <c r="I1206" t="s">
        <v>50</v>
      </c>
      <c r="J1206" t="s">
        <v>426</v>
      </c>
      <c r="K1206" t="s">
        <v>130</v>
      </c>
      <c r="L1206" t="s">
        <v>53</v>
      </c>
      <c r="N1206" t="s">
        <v>2180</v>
      </c>
      <c r="P1206" t="s">
        <v>55</v>
      </c>
      <c r="R1206" t="s">
        <v>56</v>
      </c>
      <c r="T1206" t="s">
        <v>2166</v>
      </c>
      <c r="U1206" t="s">
        <v>58</v>
      </c>
      <c r="V1206">
        <v>1</v>
      </c>
      <c r="W1206">
        <v>1</v>
      </c>
      <c r="X1206">
        <v>1</v>
      </c>
      <c r="Y1206">
        <v>0</v>
      </c>
      <c r="Z1206">
        <v>1</v>
      </c>
      <c r="AA1206">
        <v>0</v>
      </c>
      <c r="AB1206">
        <v>153.43</v>
      </c>
      <c r="AC1206">
        <v>135</v>
      </c>
      <c r="AD1206">
        <v>0</v>
      </c>
      <c r="AE1206">
        <v>18.440000000000001</v>
      </c>
      <c r="AF1206">
        <v>0</v>
      </c>
      <c r="AG1206">
        <v>0</v>
      </c>
      <c r="AH1206">
        <v>0</v>
      </c>
      <c r="AI1206">
        <v>27.62</v>
      </c>
      <c r="AJ1206">
        <v>153.44</v>
      </c>
      <c r="AK1206">
        <v>0.01</v>
      </c>
      <c r="AL1206" t="s">
        <v>53</v>
      </c>
      <c r="AM1206" t="s">
        <v>53</v>
      </c>
      <c r="AN1206" t="s">
        <v>2181</v>
      </c>
      <c r="AO1206" t="s">
        <v>53</v>
      </c>
      <c r="AP1206" t="s">
        <v>53</v>
      </c>
    </row>
    <row r="1207" spans="2:42" x14ac:dyDescent="0.2">
      <c r="B1207" t="s">
        <v>44</v>
      </c>
      <c r="C1207" t="str">
        <f>HYPERLINK("https://us2.cloudbeds.com/connect/8493803454333002#/reservations/598347554969?display=E1A5GZJV&amp;reservation_id=598347554969", "E1A5GZJV")</f>
        <v>E1A5GZJV</v>
      </c>
      <c r="D1207" t="s">
        <v>45</v>
      </c>
      <c r="E1207" t="s">
        <v>185</v>
      </c>
      <c r="F1207" t="s">
        <v>47</v>
      </c>
      <c r="G1207" t="s">
        <v>48</v>
      </c>
      <c r="H1207" t="s">
        <v>71</v>
      </c>
      <c r="I1207" t="s">
        <v>72</v>
      </c>
      <c r="J1207" t="s">
        <v>1092</v>
      </c>
      <c r="K1207" t="s">
        <v>419</v>
      </c>
      <c r="L1207" t="s">
        <v>53</v>
      </c>
      <c r="N1207" t="s">
        <v>2182</v>
      </c>
      <c r="P1207" t="s">
        <v>55</v>
      </c>
      <c r="R1207" t="s">
        <v>56</v>
      </c>
      <c r="T1207" t="s">
        <v>2166</v>
      </c>
      <c r="U1207" t="s">
        <v>58</v>
      </c>
      <c r="V1207">
        <v>1</v>
      </c>
      <c r="W1207">
        <v>1</v>
      </c>
      <c r="X1207">
        <v>1</v>
      </c>
      <c r="Y1207">
        <v>0</v>
      </c>
      <c r="Z1207">
        <v>1</v>
      </c>
      <c r="AA1207">
        <v>0</v>
      </c>
      <c r="AB1207">
        <v>81.83</v>
      </c>
      <c r="AC1207">
        <v>72</v>
      </c>
      <c r="AD1207">
        <v>0</v>
      </c>
      <c r="AE1207">
        <v>9.83</v>
      </c>
      <c r="AF1207">
        <v>0</v>
      </c>
      <c r="AG1207">
        <v>0</v>
      </c>
      <c r="AH1207">
        <v>0</v>
      </c>
      <c r="AI1207">
        <v>0</v>
      </c>
      <c r="AJ1207">
        <v>81.83</v>
      </c>
      <c r="AK1207">
        <v>0</v>
      </c>
      <c r="AL1207" t="s">
        <v>53</v>
      </c>
      <c r="AM1207" t="s">
        <v>53</v>
      </c>
      <c r="AN1207" t="s">
        <v>378</v>
      </c>
      <c r="AO1207" t="s">
        <v>53</v>
      </c>
      <c r="AP1207" t="s">
        <v>53</v>
      </c>
    </row>
    <row r="1208" spans="2:42" x14ac:dyDescent="0.2">
      <c r="B1208" t="s">
        <v>44</v>
      </c>
      <c r="C1208" t="str">
        <f>HYPERLINK("https://us2.cloudbeds.com/connect/8493803454333002#/reservations/598379458768?display=E1AWDH0Z&amp;reservation_id=598379458768", "E1AWDH0Z")</f>
        <v>E1AWDH0Z</v>
      </c>
      <c r="D1208" t="s">
        <v>45</v>
      </c>
      <c r="E1208" t="s">
        <v>78</v>
      </c>
      <c r="F1208" t="s">
        <v>61</v>
      </c>
      <c r="G1208" t="s">
        <v>48</v>
      </c>
      <c r="H1208" t="s">
        <v>49</v>
      </c>
      <c r="I1208" t="s">
        <v>50</v>
      </c>
      <c r="J1208" t="s">
        <v>1092</v>
      </c>
      <c r="K1208" t="s">
        <v>419</v>
      </c>
      <c r="L1208" t="s">
        <v>53</v>
      </c>
      <c r="N1208" t="s">
        <v>2183</v>
      </c>
      <c r="P1208" t="s">
        <v>55</v>
      </c>
      <c r="R1208" t="s">
        <v>56</v>
      </c>
      <c r="T1208" t="s">
        <v>2166</v>
      </c>
      <c r="U1208" t="s">
        <v>58</v>
      </c>
      <c r="V1208">
        <v>1</v>
      </c>
      <c r="W1208">
        <v>1</v>
      </c>
      <c r="X1208">
        <v>1</v>
      </c>
      <c r="Y1208">
        <v>0</v>
      </c>
      <c r="Z1208">
        <v>1</v>
      </c>
      <c r="AA1208">
        <v>0</v>
      </c>
      <c r="AB1208">
        <v>85.92</v>
      </c>
      <c r="AC1208">
        <v>75.599999999999994</v>
      </c>
      <c r="AD1208">
        <v>0</v>
      </c>
      <c r="AE1208">
        <v>10.32</v>
      </c>
      <c r="AF1208">
        <v>0</v>
      </c>
      <c r="AG1208">
        <v>0</v>
      </c>
      <c r="AH1208">
        <v>0</v>
      </c>
      <c r="AI1208">
        <v>15.47</v>
      </c>
      <c r="AJ1208">
        <v>85.92</v>
      </c>
      <c r="AK1208">
        <v>0</v>
      </c>
      <c r="AL1208" t="s">
        <v>53</v>
      </c>
      <c r="AM1208" t="s">
        <v>53</v>
      </c>
      <c r="AN1208" t="s">
        <v>280</v>
      </c>
      <c r="AO1208" t="s">
        <v>53</v>
      </c>
      <c r="AP1208" t="s">
        <v>53</v>
      </c>
    </row>
    <row r="1209" spans="2:42" x14ac:dyDescent="0.2">
      <c r="B1209" t="s">
        <v>44</v>
      </c>
      <c r="C1209" t="str">
        <f>HYPERLINK("https://us2.cloudbeds.com/connect/8493803454333002#/reservations/598443729047?display=E1CKJUNV&amp;reservation_id=598443729047", "E1CKJUNV")</f>
        <v>E1CKJUNV</v>
      </c>
      <c r="D1209" t="s">
        <v>45</v>
      </c>
      <c r="E1209" t="s">
        <v>105</v>
      </c>
      <c r="F1209" t="s">
        <v>47</v>
      </c>
      <c r="G1209" t="s">
        <v>48</v>
      </c>
      <c r="H1209" t="s">
        <v>49</v>
      </c>
      <c r="I1209" t="s">
        <v>62</v>
      </c>
      <c r="J1209" t="s">
        <v>1092</v>
      </c>
      <c r="K1209" t="s">
        <v>419</v>
      </c>
      <c r="L1209" t="s">
        <v>53</v>
      </c>
      <c r="N1209" t="s">
        <v>2184</v>
      </c>
      <c r="P1209" t="s">
        <v>55</v>
      </c>
      <c r="R1209" t="s">
        <v>118</v>
      </c>
      <c r="T1209" t="s">
        <v>2166</v>
      </c>
      <c r="U1209" t="s">
        <v>58</v>
      </c>
      <c r="V1209">
        <v>1</v>
      </c>
      <c r="W1209">
        <v>1</v>
      </c>
      <c r="X1209">
        <v>1</v>
      </c>
      <c r="Y1209">
        <v>0</v>
      </c>
      <c r="Z1209">
        <v>1</v>
      </c>
      <c r="AA1209">
        <v>0</v>
      </c>
      <c r="AB1209">
        <v>85.92</v>
      </c>
      <c r="AC1209">
        <v>75.599999999999994</v>
      </c>
      <c r="AD1209">
        <v>0</v>
      </c>
      <c r="AE1209">
        <v>10.32</v>
      </c>
      <c r="AF1209">
        <v>0</v>
      </c>
      <c r="AG1209">
        <v>0</v>
      </c>
      <c r="AH1209">
        <v>0</v>
      </c>
      <c r="AI1209">
        <v>12.89</v>
      </c>
      <c r="AJ1209">
        <v>85.92</v>
      </c>
      <c r="AK1209">
        <v>0</v>
      </c>
      <c r="AL1209" t="s">
        <v>53</v>
      </c>
      <c r="AM1209" t="s">
        <v>53</v>
      </c>
      <c r="AN1209" t="s">
        <v>529</v>
      </c>
      <c r="AO1209" t="s">
        <v>53</v>
      </c>
      <c r="AP1209" t="s">
        <v>53</v>
      </c>
    </row>
    <row r="1210" spans="2:42" x14ac:dyDescent="0.2">
      <c r="B1210" t="s">
        <v>44</v>
      </c>
      <c r="C1210" t="str">
        <f>HYPERLINK("https://us2.cloudbeds.com/connect/8493803454333002#/reservations/598476791969?display=E1DFFVHM&amp;reservation_id=598476791969", "E1DFFVHM")</f>
        <v>E1DFFVHM</v>
      </c>
      <c r="D1210" t="s">
        <v>45</v>
      </c>
      <c r="E1210" t="s">
        <v>110</v>
      </c>
      <c r="F1210" t="s">
        <v>47</v>
      </c>
      <c r="G1210" t="s">
        <v>48</v>
      </c>
      <c r="H1210" t="s">
        <v>49</v>
      </c>
      <c r="I1210" t="s">
        <v>50</v>
      </c>
      <c r="J1210" t="s">
        <v>94</v>
      </c>
      <c r="K1210" t="s">
        <v>1750</v>
      </c>
      <c r="L1210" t="s">
        <v>53</v>
      </c>
      <c r="N1210" t="s">
        <v>2185</v>
      </c>
      <c r="P1210" t="s">
        <v>55</v>
      </c>
      <c r="R1210" t="s">
        <v>56</v>
      </c>
      <c r="T1210" t="s">
        <v>2166</v>
      </c>
      <c r="U1210" t="s">
        <v>58</v>
      </c>
      <c r="V1210">
        <v>3</v>
      </c>
      <c r="W1210">
        <v>1</v>
      </c>
      <c r="X1210">
        <v>1</v>
      </c>
      <c r="Y1210">
        <v>0</v>
      </c>
      <c r="Z1210">
        <v>1</v>
      </c>
      <c r="AA1210">
        <v>0</v>
      </c>
      <c r="AB1210">
        <v>432.67</v>
      </c>
      <c r="AC1210">
        <v>380.7</v>
      </c>
      <c r="AD1210">
        <v>0</v>
      </c>
      <c r="AE1210">
        <v>51.96</v>
      </c>
      <c r="AF1210">
        <v>0</v>
      </c>
      <c r="AG1210">
        <v>0</v>
      </c>
      <c r="AH1210">
        <v>0</v>
      </c>
      <c r="AI1210">
        <v>77.88</v>
      </c>
      <c r="AJ1210">
        <v>432.66</v>
      </c>
      <c r="AK1210">
        <v>-0.01</v>
      </c>
      <c r="AL1210" t="s">
        <v>53</v>
      </c>
      <c r="AM1210" t="s">
        <v>53</v>
      </c>
      <c r="AN1210" t="s">
        <v>59</v>
      </c>
      <c r="AO1210" t="s">
        <v>53</v>
      </c>
      <c r="AP1210" t="s">
        <v>53</v>
      </c>
    </row>
    <row r="1211" spans="2:42" x14ac:dyDescent="0.2">
      <c r="B1211" t="s">
        <v>44</v>
      </c>
      <c r="C1211" t="str">
        <f>HYPERLINK("https://us2.cloudbeds.com/connect/8493803454333002#/reservations/598560456893?display=E1FK11RD&amp;reservation_id=598560456893", "E1FK11RD")</f>
        <v>E1FK11RD</v>
      </c>
      <c r="D1211" t="s">
        <v>45</v>
      </c>
      <c r="E1211" t="s">
        <v>98</v>
      </c>
      <c r="F1211" t="s">
        <v>86</v>
      </c>
      <c r="G1211" t="s">
        <v>48</v>
      </c>
      <c r="H1211" t="s">
        <v>49</v>
      </c>
      <c r="I1211" t="s">
        <v>62</v>
      </c>
      <c r="J1211" t="s">
        <v>549</v>
      </c>
      <c r="K1211" t="s">
        <v>134</v>
      </c>
      <c r="L1211" t="s">
        <v>53</v>
      </c>
      <c r="N1211" t="s">
        <v>2186</v>
      </c>
      <c r="P1211" t="s">
        <v>55</v>
      </c>
      <c r="R1211" t="s">
        <v>56</v>
      </c>
      <c r="T1211" t="s">
        <v>2166</v>
      </c>
      <c r="U1211" t="s">
        <v>58</v>
      </c>
      <c r="V1211">
        <v>1</v>
      </c>
      <c r="W1211">
        <v>1</v>
      </c>
      <c r="X1211">
        <v>1</v>
      </c>
      <c r="Y1211">
        <v>0</v>
      </c>
      <c r="Z1211">
        <v>1</v>
      </c>
      <c r="AA1211">
        <v>0</v>
      </c>
      <c r="AB1211">
        <v>177.29</v>
      </c>
      <c r="AC1211">
        <v>156</v>
      </c>
      <c r="AD1211">
        <v>0</v>
      </c>
      <c r="AE1211">
        <v>21.29</v>
      </c>
      <c r="AF1211">
        <v>0</v>
      </c>
      <c r="AG1211">
        <v>0</v>
      </c>
      <c r="AH1211">
        <v>0</v>
      </c>
      <c r="AI1211">
        <v>26.59</v>
      </c>
      <c r="AJ1211">
        <v>177.29</v>
      </c>
      <c r="AK1211">
        <v>0</v>
      </c>
      <c r="AL1211" t="s">
        <v>53</v>
      </c>
      <c r="AM1211" t="s">
        <v>53</v>
      </c>
      <c r="AN1211" t="s">
        <v>142</v>
      </c>
      <c r="AO1211" t="s">
        <v>53</v>
      </c>
      <c r="AP1211" t="s">
        <v>53</v>
      </c>
    </row>
    <row r="1212" spans="2:42" x14ac:dyDescent="0.2">
      <c r="B1212" t="s">
        <v>44</v>
      </c>
      <c r="C1212" t="str">
        <f>HYPERLINK("https://us2.cloudbeds.com/connect/8493803454333002#/reservations/598498541761?display=E1E0R5Q9&amp;reservation_id=598498541761", "E1E0R5Q9")</f>
        <v>E1E0R5Q9</v>
      </c>
      <c r="D1212" t="s">
        <v>45</v>
      </c>
      <c r="E1212" t="s">
        <v>223</v>
      </c>
      <c r="F1212" t="s">
        <v>47</v>
      </c>
      <c r="G1212" t="s">
        <v>48</v>
      </c>
      <c r="H1212" t="s">
        <v>49</v>
      </c>
      <c r="I1212" t="s">
        <v>62</v>
      </c>
      <c r="J1212" t="s">
        <v>1568</v>
      </c>
      <c r="K1212" t="s">
        <v>93</v>
      </c>
      <c r="L1212" t="s">
        <v>53</v>
      </c>
      <c r="N1212" t="s">
        <v>2187</v>
      </c>
      <c r="P1212" t="s">
        <v>55</v>
      </c>
      <c r="R1212" t="s">
        <v>56</v>
      </c>
      <c r="T1212" t="s">
        <v>2166</v>
      </c>
      <c r="U1212" t="s">
        <v>58</v>
      </c>
      <c r="V1212">
        <v>1</v>
      </c>
      <c r="W1212">
        <v>1</v>
      </c>
      <c r="X1212">
        <v>1</v>
      </c>
      <c r="Y1212">
        <v>0</v>
      </c>
      <c r="Z1212">
        <v>1</v>
      </c>
      <c r="AA1212">
        <v>0</v>
      </c>
      <c r="AB1212">
        <v>185.25</v>
      </c>
      <c r="AC1212">
        <v>163</v>
      </c>
      <c r="AD1212">
        <v>0</v>
      </c>
      <c r="AE1212">
        <v>22.26</v>
      </c>
      <c r="AF1212">
        <v>0</v>
      </c>
      <c r="AG1212">
        <v>0</v>
      </c>
      <c r="AH1212">
        <v>0</v>
      </c>
      <c r="AI1212">
        <v>27.79</v>
      </c>
      <c r="AJ1212">
        <v>185.26</v>
      </c>
      <c r="AK1212">
        <v>0.01</v>
      </c>
      <c r="AL1212" t="s">
        <v>53</v>
      </c>
      <c r="AM1212" t="s">
        <v>53</v>
      </c>
      <c r="AN1212" t="s">
        <v>127</v>
      </c>
      <c r="AO1212" t="s">
        <v>53</v>
      </c>
      <c r="AP1212" t="s">
        <v>53</v>
      </c>
    </row>
    <row r="1213" spans="2:42" x14ac:dyDescent="0.2">
      <c r="B1213" t="s">
        <v>44</v>
      </c>
      <c r="C1213" t="str">
        <f>HYPERLINK("https://us2.cloudbeds.com/connect/8493803454333002#/reservations/598234251485?display=E178VU01&amp;reservation_id=598234251485", "E178VU01")</f>
        <v>E178VU01</v>
      </c>
      <c r="D1213" t="s">
        <v>45</v>
      </c>
      <c r="E1213" t="s">
        <v>69</v>
      </c>
      <c r="F1213" t="s">
        <v>70</v>
      </c>
      <c r="G1213" t="s">
        <v>48</v>
      </c>
      <c r="H1213" t="s">
        <v>49</v>
      </c>
      <c r="I1213" t="s">
        <v>50</v>
      </c>
      <c r="J1213" t="s">
        <v>419</v>
      </c>
      <c r="K1213" t="s">
        <v>1757</v>
      </c>
      <c r="L1213" t="s">
        <v>53</v>
      </c>
      <c r="N1213" t="s">
        <v>2188</v>
      </c>
      <c r="P1213" t="s">
        <v>55</v>
      </c>
      <c r="R1213" t="s">
        <v>56</v>
      </c>
      <c r="T1213" t="s">
        <v>2189</v>
      </c>
      <c r="U1213" t="s">
        <v>58</v>
      </c>
      <c r="V1213">
        <v>1</v>
      </c>
      <c r="W1213">
        <v>1</v>
      </c>
      <c r="X1213">
        <v>1</v>
      </c>
      <c r="Y1213">
        <v>0</v>
      </c>
      <c r="Z1213">
        <v>1</v>
      </c>
      <c r="AA1213">
        <v>0</v>
      </c>
      <c r="AB1213">
        <v>76.709999999999994</v>
      </c>
      <c r="AC1213">
        <v>67.5</v>
      </c>
      <c r="AD1213">
        <v>0</v>
      </c>
      <c r="AE1213">
        <v>9.2100000000000009</v>
      </c>
      <c r="AF1213">
        <v>0</v>
      </c>
      <c r="AG1213">
        <v>0</v>
      </c>
      <c r="AH1213">
        <v>0</v>
      </c>
      <c r="AI1213">
        <v>13.81</v>
      </c>
      <c r="AJ1213">
        <v>76.709999999999994</v>
      </c>
      <c r="AK1213">
        <v>0</v>
      </c>
      <c r="AL1213" t="s">
        <v>53</v>
      </c>
      <c r="AM1213" t="s">
        <v>53</v>
      </c>
      <c r="AN1213" t="s">
        <v>545</v>
      </c>
      <c r="AO1213" t="s">
        <v>53</v>
      </c>
      <c r="AP1213" t="s">
        <v>53</v>
      </c>
    </row>
    <row r="1214" spans="2:42" x14ac:dyDescent="0.2">
      <c r="B1214" t="s">
        <v>44</v>
      </c>
      <c r="C1214" t="str">
        <f>HYPERLINK("https://us2.cloudbeds.com/connect/8493803454333002#/reservations/598504394970?display=E1E5P1Y8&amp;reservation_id=598504394970", "E1E5P1Y8")</f>
        <v>E1E5P1Y8</v>
      </c>
      <c r="D1214" t="s">
        <v>45</v>
      </c>
      <c r="E1214" t="s">
        <v>406</v>
      </c>
      <c r="F1214" t="s">
        <v>61</v>
      </c>
      <c r="G1214" t="s">
        <v>48</v>
      </c>
      <c r="H1214" t="s">
        <v>49</v>
      </c>
      <c r="I1214" t="s">
        <v>62</v>
      </c>
      <c r="J1214" t="s">
        <v>419</v>
      </c>
      <c r="K1214" t="s">
        <v>1757</v>
      </c>
      <c r="L1214" t="s">
        <v>53</v>
      </c>
      <c r="N1214" t="s">
        <v>2190</v>
      </c>
      <c r="P1214" t="s">
        <v>55</v>
      </c>
      <c r="R1214" t="s">
        <v>946</v>
      </c>
      <c r="T1214" t="s">
        <v>2189</v>
      </c>
      <c r="U1214" t="s">
        <v>58</v>
      </c>
      <c r="V1214">
        <v>1</v>
      </c>
      <c r="W1214">
        <v>1</v>
      </c>
      <c r="X1214">
        <v>1</v>
      </c>
      <c r="Y1214">
        <v>0</v>
      </c>
      <c r="Z1214">
        <v>1</v>
      </c>
      <c r="AA1214">
        <v>0</v>
      </c>
      <c r="AB1214">
        <v>94.27</v>
      </c>
      <c r="AC1214">
        <v>82.95</v>
      </c>
      <c r="AD1214">
        <v>0</v>
      </c>
      <c r="AE1214">
        <v>11.32</v>
      </c>
      <c r="AF1214">
        <v>0</v>
      </c>
      <c r="AG1214">
        <v>0</v>
      </c>
      <c r="AH1214">
        <v>0</v>
      </c>
      <c r="AI1214">
        <v>14.14</v>
      </c>
      <c r="AJ1214">
        <v>94.27</v>
      </c>
      <c r="AK1214">
        <v>0</v>
      </c>
      <c r="AL1214" t="s">
        <v>53</v>
      </c>
      <c r="AM1214" t="s">
        <v>53</v>
      </c>
      <c r="AN1214" t="s">
        <v>634</v>
      </c>
      <c r="AO1214" t="s">
        <v>53</v>
      </c>
      <c r="AP1214" t="s">
        <v>53</v>
      </c>
    </row>
    <row r="1215" spans="2:42" x14ac:dyDescent="0.2">
      <c r="B1215" t="s">
        <v>44</v>
      </c>
      <c r="C1215" t="str">
        <f>HYPERLINK("https://us2.cloudbeds.com/connect/8493803454333002#/reservations/579213922473?display=DJG8H74K&amp;reservation_id=579213922473", "DJG8H74K")</f>
        <v>DJG8H74K</v>
      </c>
      <c r="D1215" t="s">
        <v>45</v>
      </c>
      <c r="E1215" t="s">
        <v>69</v>
      </c>
      <c r="F1215" t="s">
        <v>70</v>
      </c>
      <c r="G1215" t="s">
        <v>48</v>
      </c>
      <c r="H1215" t="s">
        <v>71</v>
      </c>
      <c r="I1215" t="s">
        <v>72</v>
      </c>
      <c r="J1215" t="s">
        <v>1295</v>
      </c>
      <c r="K1215" t="s">
        <v>1900</v>
      </c>
      <c r="L1215" t="s">
        <v>53</v>
      </c>
      <c r="N1215" t="s">
        <v>2191</v>
      </c>
      <c r="P1215" t="s">
        <v>55</v>
      </c>
      <c r="R1215" t="s">
        <v>56</v>
      </c>
      <c r="T1215" t="s">
        <v>2189</v>
      </c>
      <c r="U1215" t="s">
        <v>58</v>
      </c>
      <c r="V1215">
        <v>2</v>
      </c>
      <c r="W1215">
        <v>1</v>
      </c>
      <c r="X1215">
        <v>1</v>
      </c>
      <c r="Y1215">
        <v>0</v>
      </c>
      <c r="Z1215">
        <v>1</v>
      </c>
      <c r="AA1215">
        <v>0</v>
      </c>
      <c r="AB1215">
        <v>295.5</v>
      </c>
      <c r="AC1215">
        <v>260</v>
      </c>
      <c r="AD1215">
        <v>0</v>
      </c>
      <c r="AE1215">
        <v>35.5</v>
      </c>
      <c r="AF1215">
        <v>0</v>
      </c>
      <c r="AG1215">
        <v>0</v>
      </c>
      <c r="AH1215">
        <v>0</v>
      </c>
      <c r="AI1215">
        <v>0</v>
      </c>
      <c r="AJ1215">
        <v>295.5</v>
      </c>
      <c r="AK1215">
        <v>0</v>
      </c>
      <c r="AL1215" t="s">
        <v>53</v>
      </c>
      <c r="AM1215" t="s">
        <v>53</v>
      </c>
      <c r="AN1215" t="s">
        <v>2192</v>
      </c>
      <c r="AO1215" t="s">
        <v>53</v>
      </c>
      <c r="AP1215" t="s">
        <v>53</v>
      </c>
    </row>
    <row r="1216" spans="2:42" x14ac:dyDescent="0.2">
      <c r="B1216" t="s">
        <v>44</v>
      </c>
      <c r="C1216" t="str">
        <f>HYPERLINK("https://us2.cloudbeds.com/connect/8493803454333002#/reservations/598373519572?display=E1ARD871&amp;reservation_id=598373519572", "E1ARD871")</f>
        <v>E1ARD871</v>
      </c>
      <c r="D1216" t="s">
        <v>45</v>
      </c>
      <c r="E1216" t="s">
        <v>165</v>
      </c>
      <c r="F1216" t="s">
        <v>61</v>
      </c>
      <c r="G1216" t="s">
        <v>48</v>
      </c>
      <c r="H1216" t="s">
        <v>49</v>
      </c>
      <c r="I1216" t="s">
        <v>50</v>
      </c>
      <c r="J1216" t="s">
        <v>282</v>
      </c>
      <c r="K1216" t="s">
        <v>709</v>
      </c>
      <c r="L1216" t="s">
        <v>53</v>
      </c>
      <c r="N1216" t="s">
        <v>2193</v>
      </c>
      <c r="P1216" t="s">
        <v>55</v>
      </c>
      <c r="R1216" t="s">
        <v>56</v>
      </c>
      <c r="T1216" t="s">
        <v>2189</v>
      </c>
      <c r="U1216" t="s">
        <v>58</v>
      </c>
      <c r="V1216">
        <v>2</v>
      </c>
      <c r="W1216">
        <v>1</v>
      </c>
      <c r="X1216">
        <v>1</v>
      </c>
      <c r="Y1216">
        <v>0</v>
      </c>
      <c r="Z1216">
        <v>1</v>
      </c>
      <c r="AA1216">
        <v>0</v>
      </c>
      <c r="AB1216">
        <v>280.26</v>
      </c>
      <c r="AC1216">
        <v>246.6</v>
      </c>
      <c r="AD1216">
        <v>0</v>
      </c>
      <c r="AE1216">
        <v>33.68</v>
      </c>
      <c r="AF1216">
        <v>0</v>
      </c>
      <c r="AG1216">
        <v>0</v>
      </c>
      <c r="AH1216">
        <v>0</v>
      </c>
      <c r="AI1216">
        <v>50.45</v>
      </c>
      <c r="AJ1216">
        <v>280.27999999999997</v>
      </c>
      <c r="AK1216">
        <v>0.02</v>
      </c>
      <c r="AL1216" t="s">
        <v>53</v>
      </c>
      <c r="AM1216" t="s">
        <v>53</v>
      </c>
      <c r="AN1216" t="s">
        <v>137</v>
      </c>
      <c r="AO1216" t="s">
        <v>53</v>
      </c>
      <c r="AP1216" t="s">
        <v>53</v>
      </c>
    </row>
    <row r="1217" spans="2:42" x14ac:dyDescent="0.2">
      <c r="B1217" t="s">
        <v>44</v>
      </c>
      <c r="C1217" t="str">
        <f>HYPERLINK("https://us2.cloudbeds.com/connect/8493803454333002#/reservations/598450704564?display=E1CQG158&amp;reservation_id=598450704564", "E1CQG158")</f>
        <v>E1CQG158</v>
      </c>
      <c r="D1217" t="s">
        <v>45</v>
      </c>
      <c r="E1217" t="s">
        <v>69</v>
      </c>
      <c r="F1217" t="s">
        <v>70</v>
      </c>
      <c r="G1217" t="s">
        <v>48</v>
      </c>
      <c r="H1217" t="s">
        <v>49</v>
      </c>
      <c r="I1217" t="s">
        <v>50</v>
      </c>
      <c r="J1217" t="s">
        <v>938</v>
      </c>
      <c r="K1217" t="s">
        <v>359</v>
      </c>
      <c r="L1217" t="s">
        <v>53</v>
      </c>
      <c r="N1217" t="s">
        <v>2194</v>
      </c>
      <c r="P1217" t="s">
        <v>55</v>
      </c>
      <c r="R1217" t="s">
        <v>56</v>
      </c>
      <c r="T1217" t="s">
        <v>2189</v>
      </c>
      <c r="U1217" t="s">
        <v>58</v>
      </c>
      <c r="V1217">
        <v>1</v>
      </c>
      <c r="W1217">
        <v>1</v>
      </c>
      <c r="X1217">
        <v>1</v>
      </c>
      <c r="Y1217">
        <v>0</v>
      </c>
      <c r="Z1217">
        <v>1</v>
      </c>
      <c r="AA1217">
        <v>0</v>
      </c>
      <c r="AB1217">
        <v>113.65</v>
      </c>
      <c r="AC1217">
        <v>100</v>
      </c>
      <c r="AD1217">
        <v>0</v>
      </c>
      <c r="AE1217">
        <v>13.65</v>
      </c>
      <c r="AF1217">
        <v>0</v>
      </c>
      <c r="AG1217">
        <v>0</v>
      </c>
      <c r="AH1217">
        <v>0</v>
      </c>
      <c r="AI1217">
        <v>20.46</v>
      </c>
      <c r="AJ1217">
        <v>113.65</v>
      </c>
      <c r="AK1217">
        <v>0</v>
      </c>
      <c r="AL1217" t="s">
        <v>53</v>
      </c>
      <c r="AM1217" t="s">
        <v>53</v>
      </c>
      <c r="AN1217" t="s">
        <v>245</v>
      </c>
      <c r="AO1217" t="s">
        <v>53</v>
      </c>
      <c r="AP1217" t="s">
        <v>53</v>
      </c>
    </row>
    <row r="1218" spans="2:42" x14ac:dyDescent="0.2">
      <c r="B1218" t="s">
        <v>44</v>
      </c>
      <c r="C1218" t="str">
        <f>HYPERLINK("https://us2.cloudbeds.com/connect/8493803454333002#/reservations/598332424363?display=E19PZNXN&amp;reservation_id=598332424363", "E19PZNXN")</f>
        <v>E19PZNXN</v>
      </c>
      <c r="D1218" t="s">
        <v>45</v>
      </c>
      <c r="E1218" t="s">
        <v>138</v>
      </c>
      <c r="F1218" t="s">
        <v>70</v>
      </c>
      <c r="G1218" t="s">
        <v>48</v>
      </c>
      <c r="H1218" t="s">
        <v>71</v>
      </c>
      <c r="I1218" t="s">
        <v>72</v>
      </c>
      <c r="J1218" t="s">
        <v>419</v>
      </c>
      <c r="K1218" t="s">
        <v>1757</v>
      </c>
      <c r="L1218" t="s">
        <v>53</v>
      </c>
      <c r="N1218" t="s">
        <v>2195</v>
      </c>
      <c r="P1218" t="s">
        <v>55</v>
      </c>
      <c r="R1218" t="s">
        <v>56</v>
      </c>
      <c r="T1218" t="s">
        <v>2189</v>
      </c>
      <c r="U1218" t="s">
        <v>58</v>
      </c>
      <c r="V1218">
        <v>1</v>
      </c>
      <c r="W1218">
        <v>1</v>
      </c>
      <c r="X1218">
        <v>1</v>
      </c>
      <c r="Y1218">
        <v>0</v>
      </c>
      <c r="Z1218">
        <v>1</v>
      </c>
      <c r="AA1218">
        <v>0</v>
      </c>
      <c r="AB1218">
        <v>79.56</v>
      </c>
      <c r="AC1218">
        <v>70</v>
      </c>
      <c r="AD1218">
        <v>0</v>
      </c>
      <c r="AE1218">
        <v>9.56</v>
      </c>
      <c r="AF1218">
        <v>0</v>
      </c>
      <c r="AG1218">
        <v>0</v>
      </c>
      <c r="AH1218">
        <v>0</v>
      </c>
      <c r="AI1218">
        <v>0</v>
      </c>
      <c r="AJ1218">
        <v>79.56</v>
      </c>
      <c r="AK1218">
        <v>0</v>
      </c>
      <c r="AL1218" t="s">
        <v>53</v>
      </c>
      <c r="AM1218" t="s">
        <v>53</v>
      </c>
      <c r="AN1218" t="s">
        <v>2196</v>
      </c>
      <c r="AO1218" t="s">
        <v>53</v>
      </c>
      <c r="AP1218" t="s">
        <v>53</v>
      </c>
    </row>
    <row r="1219" spans="2:42" x14ac:dyDescent="0.2">
      <c r="B1219" t="s">
        <v>44</v>
      </c>
      <c r="C1219" t="str">
        <f>HYPERLINK("https://us2.cloudbeds.com/connect/8493803454333002#/reservations/598589407435?display=E1GBEYBX&amp;reservation_id=598589407435", "E1GBEYBX")</f>
        <v>E1GBEYBX</v>
      </c>
      <c r="D1219" t="s">
        <v>45</v>
      </c>
      <c r="E1219" t="s">
        <v>185</v>
      </c>
      <c r="F1219" t="s">
        <v>47</v>
      </c>
      <c r="G1219" t="s">
        <v>48</v>
      </c>
      <c r="H1219" t="s">
        <v>49</v>
      </c>
      <c r="I1219" t="s">
        <v>50</v>
      </c>
      <c r="J1219" t="s">
        <v>253</v>
      </c>
      <c r="K1219" t="s">
        <v>354</v>
      </c>
      <c r="L1219" t="s">
        <v>53</v>
      </c>
      <c r="N1219" t="s">
        <v>2197</v>
      </c>
      <c r="P1219" t="s">
        <v>55</v>
      </c>
      <c r="R1219" t="s">
        <v>56</v>
      </c>
      <c r="T1219" t="s">
        <v>2189</v>
      </c>
      <c r="U1219" t="s">
        <v>58</v>
      </c>
      <c r="V1219">
        <v>1</v>
      </c>
      <c r="W1219">
        <v>1</v>
      </c>
      <c r="X1219">
        <v>1</v>
      </c>
      <c r="Y1219">
        <v>0</v>
      </c>
      <c r="Z1219">
        <v>1</v>
      </c>
      <c r="AA1219">
        <v>0</v>
      </c>
      <c r="AB1219">
        <v>103.31</v>
      </c>
      <c r="AC1219">
        <v>90.9</v>
      </c>
      <c r="AD1219">
        <v>0</v>
      </c>
      <c r="AE1219">
        <v>12.41</v>
      </c>
      <c r="AF1219">
        <v>0</v>
      </c>
      <c r="AG1219">
        <v>0</v>
      </c>
      <c r="AH1219">
        <v>0</v>
      </c>
      <c r="AI1219">
        <v>18.600000000000001</v>
      </c>
      <c r="AJ1219">
        <v>103.31</v>
      </c>
      <c r="AK1219">
        <v>0</v>
      </c>
      <c r="AL1219" t="s">
        <v>53</v>
      </c>
      <c r="AM1219" t="s">
        <v>53</v>
      </c>
      <c r="AN1219" t="s">
        <v>137</v>
      </c>
      <c r="AO1219" t="s">
        <v>53</v>
      </c>
      <c r="AP1219" t="s">
        <v>53</v>
      </c>
    </row>
    <row r="1220" spans="2:42" x14ac:dyDescent="0.2">
      <c r="B1220" t="s">
        <v>44</v>
      </c>
      <c r="C1220" t="str">
        <f>HYPERLINK("https://us2.cloudbeds.com/connect/8493803454333002#/reservations/597936804088?display=E0WM4WTH&amp;reservation_id=597936804088", "E0WM4WTH")</f>
        <v>E0WM4WTH</v>
      </c>
      <c r="D1220" t="s">
        <v>45</v>
      </c>
      <c r="E1220" t="s">
        <v>92</v>
      </c>
      <c r="F1220" t="s">
        <v>86</v>
      </c>
      <c r="G1220" t="s">
        <v>48</v>
      </c>
      <c r="H1220" t="s">
        <v>49</v>
      </c>
      <c r="I1220" t="s">
        <v>50</v>
      </c>
      <c r="J1220" t="s">
        <v>611</v>
      </c>
      <c r="K1220" t="s">
        <v>1117</v>
      </c>
      <c r="L1220" t="s">
        <v>53</v>
      </c>
      <c r="N1220" t="s">
        <v>2198</v>
      </c>
      <c r="P1220" t="s">
        <v>55</v>
      </c>
      <c r="R1220" t="s">
        <v>56</v>
      </c>
      <c r="T1220" t="s">
        <v>2189</v>
      </c>
      <c r="U1220" t="s">
        <v>58</v>
      </c>
      <c r="V1220">
        <v>1</v>
      </c>
      <c r="W1220">
        <v>1</v>
      </c>
      <c r="X1220">
        <v>1</v>
      </c>
      <c r="Y1220">
        <v>0</v>
      </c>
      <c r="Z1220">
        <v>1</v>
      </c>
      <c r="AA1220">
        <v>0</v>
      </c>
      <c r="AB1220">
        <v>119.67</v>
      </c>
      <c r="AC1220">
        <v>105.3</v>
      </c>
      <c r="AD1220">
        <v>0</v>
      </c>
      <c r="AE1220">
        <v>14.38</v>
      </c>
      <c r="AF1220">
        <v>0</v>
      </c>
      <c r="AG1220">
        <v>0</v>
      </c>
      <c r="AH1220">
        <v>0</v>
      </c>
      <c r="AI1220">
        <v>21.54</v>
      </c>
      <c r="AJ1220">
        <v>119.68</v>
      </c>
      <c r="AK1220">
        <v>0.01</v>
      </c>
      <c r="AL1220" t="s">
        <v>53</v>
      </c>
      <c r="AM1220" t="s">
        <v>53</v>
      </c>
      <c r="AN1220" t="s">
        <v>132</v>
      </c>
      <c r="AO1220" t="s">
        <v>53</v>
      </c>
      <c r="AP1220" t="s">
        <v>53</v>
      </c>
    </row>
    <row r="1221" spans="2:42" x14ac:dyDescent="0.2">
      <c r="B1221" t="s">
        <v>44</v>
      </c>
      <c r="C1221" t="str">
        <f>HYPERLINK("https://us2.cloudbeds.com/connect/8493803454333002#/reservations/598435688590?display=E1CDR6CZ&amp;reservation_id=598435688590", "E1CDR6CZ")</f>
        <v>E1CDR6CZ</v>
      </c>
      <c r="D1221" t="s">
        <v>45</v>
      </c>
      <c r="E1221" t="s">
        <v>78</v>
      </c>
      <c r="F1221" t="s">
        <v>61</v>
      </c>
      <c r="G1221" t="s">
        <v>48</v>
      </c>
      <c r="H1221" t="s">
        <v>49</v>
      </c>
      <c r="I1221" t="s">
        <v>50</v>
      </c>
      <c r="J1221" t="s">
        <v>288</v>
      </c>
      <c r="K1221" t="s">
        <v>180</v>
      </c>
      <c r="L1221" t="s">
        <v>53</v>
      </c>
      <c r="N1221" t="s">
        <v>2199</v>
      </c>
      <c r="P1221" t="s">
        <v>55</v>
      </c>
      <c r="R1221" t="s">
        <v>56</v>
      </c>
      <c r="T1221" t="s">
        <v>2189</v>
      </c>
      <c r="U1221" t="s">
        <v>58</v>
      </c>
      <c r="V1221">
        <v>3</v>
      </c>
      <c r="W1221">
        <v>1</v>
      </c>
      <c r="X1221">
        <v>1</v>
      </c>
      <c r="Y1221">
        <v>0</v>
      </c>
      <c r="Z1221">
        <v>1</v>
      </c>
      <c r="AA1221">
        <v>0</v>
      </c>
      <c r="AB1221">
        <v>438.8</v>
      </c>
      <c r="AC1221">
        <v>386.1</v>
      </c>
      <c r="AD1221">
        <v>0</v>
      </c>
      <c r="AE1221">
        <v>52.68</v>
      </c>
      <c r="AF1221">
        <v>0</v>
      </c>
      <c r="AG1221">
        <v>0</v>
      </c>
      <c r="AH1221">
        <v>0</v>
      </c>
      <c r="AI1221">
        <v>78.98</v>
      </c>
      <c r="AJ1221">
        <v>438.78</v>
      </c>
      <c r="AK1221">
        <v>-0.02</v>
      </c>
      <c r="AL1221" t="s">
        <v>53</v>
      </c>
      <c r="AM1221" t="s">
        <v>53</v>
      </c>
      <c r="AN1221" t="s">
        <v>91</v>
      </c>
      <c r="AO1221" t="s">
        <v>53</v>
      </c>
      <c r="AP1221" t="s">
        <v>53</v>
      </c>
    </row>
    <row r="1222" spans="2:42" x14ac:dyDescent="0.2">
      <c r="B1222" t="s">
        <v>44</v>
      </c>
      <c r="C1222" t="str">
        <f>HYPERLINK("https://us2.cloudbeds.com/connect/8493803454333002#/reservations/598178275539?display=E15RP9P8&amp;reservation_id=598178275539", "E15RP9P8")</f>
        <v>E15RP9P8</v>
      </c>
      <c r="D1222" t="s">
        <v>45</v>
      </c>
      <c r="E1222" t="s">
        <v>185</v>
      </c>
      <c r="F1222" t="s">
        <v>47</v>
      </c>
      <c r="G1222" t="s">
        <v>48</v>
      </c>
      <c r="H1222" t="s">
        <v>71</v>
      </c>
      <c r="I1222" t="s">
        <v>72</v>
      </c>
      <c r="J1222" t="s">
        <v>783</v>
      </c>
      <c r="K1222" t="s">
        <v>196</v>
      </c>
      <c r="L1222" t="s">
        <v>53</v>
      </c>
      <c r="N1222" t="s">
        <v>2200</v>
      </c>
      <c r="P1222" t="s">
        <v>55</v>
      </c>
      <c r="R1222" t="s">
        <v>56</v>
      </c>
      <c r="T1222" t="s">
        <v>2189</v>
      </c>
      <c r="U1222" t="s">
        <v>58</v>
      </c>
      <c r="V1222">
        <v>1</v>
      </c>
      <c r="W1222">
        <v>1</v>
      </c>
      <c r="X1222">
        <v>1</v>
      </c>
      <c r="Y1222">
        <v>0</v>
      </c>
      <c r="Z1222">
        <v>1</v>
      </c>
      <c r="AA1222">
        <v>0</v>
      </c>
      <c r="AB1222">
        <v>165.93</v>
      </c>
      <c r="AC1222">
        <v>146</v>
      </c>
      <c r="AD1222">
        <v>0</v>
      </c>
      <c r="AE1222">
        <v>19.93</v>
      </c>
      <c r="AF1222">
        <v>0</v>
      </c>
      <c r="AG1222">
        <v>0</v>
      </c>
      <c r="AH1222">
        <v>0</v>
      </c>
      <c r="AI1222">
        <v>0</v>
      </c>
      <c r="AJ1222">
        <v>165.93</v>
      </c>
      <c r="AK1222">
        <v>0</v>
      </c>
      <c r="AL1222" t="s">
        <v>53</v>
      </c>
      <c r="AM1222" t="s">
        <v>53</v>
      </c>
      <c r="AN1222" t="s">
        <v>2201</v>
      </c>
      <c r="AO1222" t="s">
        <v>53</v>
      </c>
      <c r="AP1222" t="s">
        <v>53</v>
      </c>
    </row>
    <row r="1223" spans="2:42" x14ac:dyDescent="0.2">
      <c r="B1223" t="s">
        <v>44</v>
      </c>
      <c r="C1223" t="str">
        <f>HYPERLINK("https://us2.cloudbeds.com/connect/8493803454333002#/reservations/598255653007?display=E17R0EF0&amp;reservation_id=598255653007", "E17R0EF0")</f>
        <v>E17R0EF0</v>
      </c>
      <c r="D1223" t="s">
        <v>45</v>
      </c>
      <c r="E1223" t="s">
        <v>105</v>
      </c>
      <c r="F1223" t="s">
        <v>47</v>
      </c>
      <c r="G1223" t="s">
        <v>48</v>
      </c>
      <c r="H1223" t="s">
        <v>49</v>
      </c>
      <c r="I1223" t="s">
        <v>79</v>
      </c>
      <c r="J1223" t="s">
        <v>419</v>
      </c>
      <c r="K1223" t="s">
        <v>1757</v>
      </c>
      <c r="L1223" t="s">
        <v>53</v>
      </c>
      <c r="N1223" t="s">
        <v>2202</v>
      </c>
      <c r="P1223" t="s">
        <v>55</v>
      </c>
      <c r="R1223" t="s">
        <v>56</v>
      </c>
      <c r="T1223" t="s">
        <v>2189</v>
      </c>
      <c r="U1223" t="s">
        <v>58</v>
      </c>
      <c r="V1223">
        <v>1</v>
      </c>
      <c r="W1223">
        <v>1</v>
      </c>
      <c r="X1223">
        <v>1</v>
      </c>
      <c r="Y1223">
        <v>0</v>
      </c>
      <c r="Z1223">
        <v>1</v>
      </c>
      <c r="AA1223">
        <v>0</v>
      </c>
      <c r="AB1223">
        <v>78.760000000000005</v>
      </c>
      <c r="AC1223">
        <v>69.3</v>
      </c>
      <c r="AD1223">
        <v>0</v>
      </c>
      <c r="AE1223">
        <v>9.4700000000000006</v>
      </c>
      <c r="AF1223">
        <v>0</v>
      </c>
      <c r="AG1223">
        <v>0</v>
      </c>
      <c r="AH1223">
        <v>0</v>
      </c>
      <c r="AI1223">
        <v>0</v>
      </c>
      <c r="AJ1223">
        <v>78.77</v>
      </c>
      <c r="AK1223">
        <v>0.01</v>
      </c>
      <c r="AL1223" t="s">
        <v>53</v>
      </c>
      <c r="AM1223" t="s">
        <v>53</v>
      </c>
      <c r="AN1223" t="s">
        <v>245</v>
      </c>
      <c r="AO1223" t="s">
        <v>53</v>
      </c>
      <c r="AP1223" t="s">
        <v>53</v>
      </c>
    </row>
    <row r="1224" spans="2:42" x14ac:dyDescent="0.2">
      <c r="B1224" t="s">
        <v>44</v>
      </c>
      <c r="C1224" t="str">
        <f>HYPERLINK("https://us2.cloudbeds.com/connect/8493803454333002#/reservations/598331441303?display=E19ZUBS1&amp;reservation_id=598331441303", "E19ZUBS1")</f>
        <v>E19ZUBS1</v>
      </c>
      <c r="D1224" t="s">
        <v>45</v>
      </c>
      <c r="E1224" t="s">
        <v>155</v>
      </c>
      <c r="F1224" t="s">
        <v>86</v>
      </c>
      <c r="G1224" t="s">
        <v>48</v>
      </c>
      <c r="H1224" t="s">
        <v>49</v>
      </c>
      <c r="I1224" t="s">
        <v>50</v>
      </c>
      <c r="J1224" t="s">
        <v>144</v>
      </c>
      <c r="K1224" t="s">
        <v>783</v>
      </c>
      <c r="L1224" t="s">
        <v>53</v>
      </c>
      <c r="N1224" t="s">
        <v>2203</v>
      </c>
      <c r="P1224" t="s">
        <v>55</v>
      </c>
      <c r="R1224" t="s">
        <v>56</v>
      </c>
      <c r="T1224" t="s">
        <v>2189</v>
      </c>
      <c r="U1224" t="s">
        <v>58</v>
      </c>
      <c r="V1224">
        <v>1</v>
      </c>
      <c r="W1224">
        <v>1</v>
      </c>
      <c r="X1224">
        <v>1</v>
      </c>
      <c r="Y1224">
        <v>0</v>
      </c>
      <c r="Z1224">
        <v>1</v>
      </c>
      <c r="AA1224">
        <v>0</v>
      </c>
      <c r="AB1224">
        <v>184.11</v>
      </c>
      <c r="AC1224">
        <v>162</v>
      </c>
      <c r="AD1224">
        <v>0</v>
      </c>
      <c r="AE1224">
        <v>22.12</v>
      </c>
      <c r="AF1224">
        <v>0</v>
      </c>
      <c r="AG1224">
        <v>0</v>
      </c>
      <c r="AH1224">
        <v>0</v>
      </c>
      <c r="AI1224">
        <v>33.14</v>
      </c>
      <c r="AJ1224">
        <v>184.12</v>
      </c>
      <c r="AK1224">
        <v>0.01</v>
      </c>
      <c r="AL1224" t="s">
        <v>53</v>
      </c>
      <c r="AM1224" t="s">
        <v>53</v>
      </c>
      <c r="AN1224" t="s">
        <v>142</v>
      </c>
      <c r="AO1224" t="s">
        <v>53</v>
      </c>
      <c r="AP1224" t="s">
        <v>53</v>
      </c>
    </row>
    <row r="1225" spans="2:42" x14ac:dyDescent="0.2">
      <c r="B1225" t="s">
        <v>44</v>
      </c>
      <c r="C1225" t="str">
        <f>HYPERLINK("https://us2.cloudbeds.com/connect/8493803454333002#/reservations/598546120935?display=E1F7V4GE&amp;reservation_id=598546120935", "E1F7V4GE")</f>
        <v>E1F7V4GE</v>
      </c>
      <c r="D1225" t="s">
        <v>45</v>
      </c>
      <c r="E1225" t="s">
        <v>69</v>
      </c>
      <c r="F1225" t="s">
        <v>70</v>
      </c>
      <c r="G1225" t="s">
        <v>48</v>
      </c>
      <c r="H1225" t="s">
        <v>49</v>
      </c>
      <c r="I1225" t="s">
        <v>62</v>
      </c>
      <c r="J1225" t="s">
        <v>1988</v>
      </c>
      <c r="K1225" t="s">
        <v>282</v>
      </c>
      <c r="L1225" t="s">
        <v>53</v>
      </c>
      <c r="N1225" t="s">
        <v>2204</v>
      </c>
      <c r="P1225" t="s">
        <v>55</v>
      </c>
      <c r="R1225" t="s">
        <v>56</v>
      </c>
      <c r="T1225" t="s">
        <v>2189</v>
      </c>
      <c r="U1225" t="s">
        <v>58</v>
      </c>
      <c r="V1225">
        <v>1</v>
      </c>
      <c r="W1225">
        <v>1</v>
      </c>
      <c r="X1225">
        <v>1</v>
      </c>
      <c r="Y1225">
        <v>0</v>
      </c>
      <c r="Z1225">
        <v>1</v>
      </c>
      <c r="AA1225">
        <v>0</v>
      </c>
      <c r="AB1225">
        <v>105.69</v>
      </c>
      <c r="AC1225">
        <v>93</v>
      </c>
      <c r="AD1225">
        <v>0</v>
      </c>
      <c r="AE1225">
        <v>12.7</v>
      </c>
      <c r="AF1225">
        <v>0</v>
      </c>
      <c r="AG1225">
        <v>0</v>
      </c>
      <c r="AH1225">
        <v>0</v>
      </c>
      <c r="AI1225">
        <v>15.86</v>
      </c>
      <c r="AJ1225">
        <v>105.7</v>
      </c>
      <c r="AK1225">
        <v>0.01</v>
      </c>
      <c r="AL1225" t="s">
        <v>53</v>
      </c>
      <c r="AM1225" t="s">
        <v>53</v>
      </c>
      <c r="AN1225" t="s">
        <v>545</v>
      </c>
      <c r="AO1225" t="s">
        <v>53</v>
      </c>
      <c r="AP1225" t="s">
        <v>53</v>
      </c>
    </row>
    <row r="1226" spans="2:42" x14ac:dyDescent="0.2">
      <c r="B1226" t="s">
        <v>44</v>
      </c>
      <c r="C1226" t="str">
        <f>HYPERLINK("https://us2.cloudbeds.com/connect/8493803454333002#/reservations/579381027030?display=DJKHE4S2&amp;reservation_id=579381027030", "DJKHE4S2")</f>
        <v>DJKHE4S2</v>
      </c>
      <c r="D1226" t="s">
        <v>45</v>
      </c>
      <c r="E1226" t="s">
        <v>121</v>
      </c>
      <c r="F1226" t="s">
        <v>86</v>
      </c>
      <c r="G1226" t="s">
        <v>48</v>
      </c>
      <c r="H1226" t="s">
        <v>49</v>
      </c>
      <c r="I1226" t="s">
        <v>50</v>
      </c>
      <c r="J1226" t="s">
        <v>1337</v>
      </c>
      <c r="K1226" t="s">
        <v>1380</v>
      </c>
      <c r="L1226" t="s">
        <v>53</v>
      </c>
      <c r="N1226" t="s">
        <v>2205</v>
      </c>
      <c r="P1226" t="s">
        <v>55</v>
      </c>
      <c r="R1226" t="s">
        <v>56</v>
      </c>
      <c r="T1226" t="s">
        <v>2189</v>
      </c>
      <c r="U1226" t="s">
        <v>58</v>
      </c>
      <c r="V1226">
        <v>2</v>
      </c>
      <c r="W1226">
        <v>1</v>
      </c>
      <c r="X1226">
        <v>1</v>
      </c>
      <c r="Y1226">
        <v>0</v>
      </c>
      <c r="Z1226">
        <v>1</v>
      </c>
      <c r="AA1226">
        <v>0</v>
      </c>
      <c r="AB1226">
        <v>272.06</v>
      </c>
      <c r="AC1226">
        <v>239.4</v>
      </c>
      <c r="AD1226">
        <v>0</v>
      </c>
      <c r="AE1226">
        <v>32.659999999999997</v>
      </c>
      <c r="AF1226">
        <v>0</v>
      </c>
      <c r="AG1226">
        <v>0</v>
      </c>
      <c r="AH1226">
        <v>0</v>
      </c>
      <c r="AI1226">
        <v>48.97</v>
      </c>
      <c r="AJ1226">
        <v>272.06</v>
      </c>
      <c r="AK1226">
        <v>0</v>
      </c>
      <c r="AL1226" t="s">
        <v>53</v>
      </c>
      <c r="AM1226" t="s">
        <v>53</v>
      </c>
      <c r="AN1226" t="s">
        <v>91</v>
      </c>
      <c r="AO1226" t="s">
        <v>53</v>
      </c>
      <c r="AP1226" t="s">
        <v>53</v>
      </c>
    </row>
    <row r="1227" spans="2:42" x14ac:dyDescent="0.2">
      <c r="B1227" t="s">
        <v>44</v>
      </c>
      <c r="C1227" t="str">
        <f>HYPERLINK("https://us2.cloudbeds.com/connect/8493803454333002#/reservations/579334783193?display=DJJBEBBM&amp;reservation_id=579334783193", "DJJBEBBM")</f>
        <v>DJJBEBBM</v>
      </c>
      <c r="D1227" t="s">
        <v>45</v>
      </c>
      <c r="E1227" t="s">
        <v>165</v>
      </c>
      <c r="F1227" t="s">
        <v>61</v>
      </c>
      <c r="G1227" t="s">
        <v>48</v>
      </c>
      <c r="H1227" t="s">
        <v>71</v>
      </c>
      <c r="I1227" t="s">
        <v>72</v>
      </c>
      <c r="J1227" t="s">
        <v>2206</v>
      </c>
      <c r="K1227" t="s">
        <v>1902</v>
      </c>
      <c r="L1227" t="s">
        <v>53</v>
      </c>
      <c r="N1227" t="s">
        <v>2207</v>
      </c>
      <c r="P1227" t="s">
        <v>55</v>
      </c>
      <c r="R1227" t="s">
        <v>946</v>
      </c>
      <c r="T1227" t="s">
        <v>2189</v>
      </c>
      <c r="U1227" t="s">
        <v>58</v>
      </c>
      <c r="V1227">
        <v>1</v>
      </c>
      <c r="W1227">
        <v>1</v>
      </c>
      <c r="X1227">
        <v>1</v>
      </c>
      <c r="Y1227">
        <v>0</v>
      </c>
      <c r="Z1227">
        <v>1</v>
      </c>
      <c r="AA1227">
        <v>0</v>
      </c>
      <c r="AB1227">
        <v>160.25</v>
      </c>
      <c r="AC1227">
        <v>141</v>
      </c>
      <c r="AD1227">
        <v>0</v>
      </c>
      <c r="AE1227">
        <v>19.25</v>
      </c>
      <c r="AF1227">
        <v>0</v>
      </c>
      <c r="AG1227">
        <v>0</v>
      </c>
      <c r="AH1227">
        <v>0</v>
      </c>
      <c r="AI1227">
        <v>0</v>
      </c>
      <c r="AJ1227">
        <v>160.25</v>
      </c>
      <c r="AK1227">
        <v>0</v>
      </c>
      <c r="AL1227" t="s">
        <v>53</v>
      </c>
      <c r="AM1227" t="s">
        <v>53</v>
      </c>
      <c r="AN1227" t="s">
        <v>2208</v>
      </c>
      <c r="AO1227" t="s">
        <v>53</v>
      </c>
      <c r="AP1227" t="s">
        <v>53</v>
      </c>
    </row>
    <row r="1228" spans="2:42" x14ac:dyDescent="0.2">
      <c r="B1228" t="s">
        <v>44</v>
      </c>
      <c r="C1228" t="str">
        <f>HYPERLINK("https://us2.cloudbeds.com/connect/8493803454333002#/reservations/579378442375?display=DJKF87E6&amp;reservation_id=579378442375", "DJKF87E6")</f>
        <v>DJKF87E6</v>
      </c>
      <c r="D1228" t="s">
        <v>45</v>
      </c>
      <c r="E1228" t="s">
        <v>92</v>
      </c>
      <c r="F1228" t="s">
        <v>86</v>
      </c>
      <c r="G1228" t="s">
        <v>48</v>
      </c>
      <c r="H1228" t="s">
        <v>49</v>
      </c>
      <c r="I1228" t="s">
        <v>50</v>
      </c>
      <c r="J1228" t="s">
        <v>1337</v>
      </c>
      <c r="K1228" t="s">
        <v>1380</v>
      </c>
      <c r="L1228" t="s">
        <v>53</v>
      </c>
      <c r="N1228" t="s">
        <v>2209</v>
      </c>
      <c r="P1228" t="s">
        <v>55</v>
      </c>
      <c r="R1228" t="s">
        <v>56</v>
      </c>
      <c r="T1228" t="s">
        <v>2189</v>
      </c>
      <c r="U1228" t="s">
        <v>58</v>
      </c>
      <c r="V1228">
        <v>2</v>
      </c>
      <c r="W1228">
        <v>1</v>
      </c>
      <c r="X1228">
        <v>1</v>
      </c>
      <c r="Y1228">
        <v>0</v>
      </c>
      <c r="Z1228">
        <v>1</v>
      </c>
      <c r="AA1228">
        <v>0</v>
      </c>
      <c r="AB1228">
        <v>282.3</v>
      </c>
      <c r="AC1228">
        <v>248.4</v>
      </c>
      <c r="AD1228">
        <v>0</v>
      </c>
      <c r="AE1228">
        <v>33.9</v>
      </c>
      <c r="AF1228">
        <v>0</v>
      </c>
      <c r="AG1228">
        <v>0</v>
      </c>
      <c r="AH1228">
        <v>0</v>
      </c>
      <c r="AI1228">
        <v>50.81</v>
      </c>
      <c r="AJ1228">
        <v>282.3</v>
      </c>
      <c r="AK1228">
        <v>0</v>
      </c>
      <c r="AL1228" t="s">
        <v>53</v>
      </c>
      <c r="AM1228" t="s">
        <v>53</v>
      </c>
      <c r="AN1228" t="s">
        <v>332</v>
      </c>
      <c r="AO1228" t="s">
        <v>53</v>
      </c>
      <c r="AP1228" t="s">
        <v>53</v>
      </c>
    </row>
    <row r="1229" spans="2:42" x14ac:dyDescent="0.2">
      <c r="B1229" t="s">
        <v>44</v>
      </c>
      <c r="C1229" t="str">
        <f>HYPERLINK("https://us2.cloudbeds.com/connect/8493803454333002#/reservations/598540976263?display=E1F3JW99&amp;reservation_id=598540976263", "E1F3JW99")</f>
        <v>E1F3JW99</v>
      </c>
      <c r="D1229" t="s">
        <v>45</v>
      </c>
      <c r="E1229" t="s">
        <v>69</v>
      </c>
      <c r="F1229" t="s">
        <v>70</v>
      </c>
      <c r="G1229" t="s">
        <v>48</v>
      </c>
      <c r="H1229" t="s">
        <v>71</v>
      </c>
      <c r="I1229" t="s">
        <v>72</v>
      </c>
      <c r="J1229" t="s">
        <v>1757</v>
      </c>
      <c r="K1229" t="s">
        <v>281</v>
      </c>
      <c r="L1229" t="s">
        <v>53</v>
      </c>
      <c r="N1229" t="s">
        <v>2210</v>
      </c>
      <c r="P1229" t="s">
        <v>55</v>
      </c>
      <c r="R1229" t="s">
        <v>56</v>
      </c>
      <c r="T1229" t="s">
        <v>2211</v>
      </c>
      <c r="U1229" t="s">
        <v>58</v>
      </c>
      <c r="V1229">
        <v>1</v>
      </c>
      <c r="W1229">
        <v>1</v>
      </c>
      <c r="X1229">
        <v>1</v>
      </c>
      <c r="Y1229">
        <v>0</v>
      </c>
      <c r="Z1229">
        <v>1</v>
      </c>
      <c r="AA1229">
        <v>0</v>
      </c>
      <c r="AB1229">
        <v>79.56</v>
      </c>
      <c r="AC1229">
        <v>70</v>
      </c>
      <c r="AD1229">
        <v>0</v>
      </c>
      <c r="AE1229">
        <v>9.56</v>
      </c>
      <c r="AF1229">
        <v>0</v>
      </c>
      <c r="AG1229">
        <v>0</v>
      </c>
      <c r="AH1229">
        <v>0</v>
      </c>
      <c r="AI1229">
        <v>0</v>
      </c>
      <c r="AJ1229">
        <v>79.56</v>
      </c>
      <c r="AK1229">
        <v>0</v>
      </c>
      <c r="AL1229" t="s">
        <v>53</v>
      </c>
      <c r="AM1229" t="s">
        <v>53</v>
      </c>
      <c r="AN1229" t="s">
        <v>378</v>
      </c>
      <c r="AO1229" t="s">
        <v>53</v>
      </c>
      <c r="AP1229" t="s">
        <v>53</v>
      </c>
    </row>
    <row r="1230" spans="2:42" x14ac:dyDescent="0.2">
      <c r="B1230" t="s">
        <v>44</v>
      </c>
      <c r="C1230" t="str">
        <f>HYPERLINK("https://us2.cloudbeds.com/connect/8493803454333002#/reservations/598543138964?display=E1F5E57M&amp;reservation_id=598543138964", "E1F5E57M")</f>
        <v>E1F5E57M</v>
      </c>
      <c r="D1230" t="s">
        <v>45</v>
      </c>
      <c r="E1230" t="s">
        <v>190</v>
      </c>
      <c r="F1230" t="s">
        <v>61</v>
      </c>
      <c r="G1230" t="s">
        <v>48</v>
      </c>
      <c r="H1230" t="s">
        <v>71</v>
      </c>
      <c r="I1230" t="s">
        <v>72</v>
      </c>
      <c r="J1230" t="s">
        <v>709</v>
      </c>
      <c r="K1230" t="s">
        <v>1782</v>
      </c>
      <c r="L1230" t="s">
        <v>53</v>
      </c>
      <c r="N1230" t="s">
        <v>2212</v>
      </c>
      <c r="P1230" t="s">
        <v>58</v>
      </c>
      <c r="R1230" t="s">
        <v>56</v>
      </c>
      <c r="T1230" t="s">
        <v>2211</v>
      </c>
      <c r="U1230" t="s">
        <v>58</v>
      </c>
      <c r="V1230">
        <v>1</v>
      </c>
      <c r="W1230">
        <v>1</v>
      </c>
      <c r="X1230">
        <v>1</v>
      </c>
      <c r="Y1230">
        <v>0</v>
      </c>
      <c r="Z1230">
        <v>1</v>
      </c>
      <c r="AA1230">
        <v>0</v>
      </c>
      <c r="AB1230">
        <v>145.47</v>
      </c>
      <c r="AC1230">
        <v>128</v>
      </c>
      <c r="AD1230">
        <v>0</v>
      </c>
      <c r="AE1230">
        <v>17.47</v>
      </c>
      <c r="AF1230">
        <v>0</v>
      </c>
      <c r="AG1230">
        <v>0</v>
      </c>
      <c r="AH1230">
        <v>0</v>
      </c>
      <c r="AI1230">
        <v>0</v>
      </c>
      <c r="AJ1230">
        <v>145.47</v>
      </c>
      <c r="AK1230">
        <v>0</v>
      </c>
      <c r="AL1230" t="s">
        <v>53</v>
      </c>
      <c r="AM1230" t="s">
        <v>53</v>
      </c>
      <c r="AN1230" t="s">
        <v>378</v>
      </c>
      <c r="AO1230" t="s">
        <v>53</v>
      </c>
      <c r="AP1230" t="s">
        <v>53</v>
      </c>
    </row>
    <row r="1231" spans="2:42" x14ac:dyDescent="0.2">
      <c r="B1231" t="s">
        <v>44</v>
      </c>
      <c r="C1231" t="str">
        <f>HYPERLINK("https://us2.cloudbeds.com/connect/8493803454333002#/reservations/598339809408?display=E19VW3BQ&amp;reservation_id=598339809408", "E19VW3BQ")</f>
        <v>E19VW3BQ</v>
      </c>
      <c r="D1231" t="s">
        <v>45</v>
      </c>
      <c r="E1231" t="s">
        <v>373</v>
      </c>
      <c r="F1231" t="s">
        <v>47</v>
      </c>
      <c r="G1231" t="s">
        <v>48</v>
      </c>
      <c r="H1231" t="s">
        <v>71</v>
      </c>
      <c r="I1231" t="s">
        <v>72</v>
      </c>
      <c r="J1231" t="s">
        <v>281</v>
      </c>
      <c r="K1231" t="s">
        <v>1988</v>
      </c>
      <c r="L1231" t="s">
        <v>53</v>
      </c>
      <c r="N1231" t="s">
        <v>2213</v>
      </c>
      <c r="P1231" t="s">
        <v>55</v>
      </c>
      <c r="R1231" t="s">
        <v>56</v>
      </c>
      <c r="T1231" t="s">
        <v>2211</v>
      </c>
      <c r="U1231" t="s">
        <v>58</v>
      </c>
      <c r="V1231">
        <v>1</v>
      </c>
      <c r="W1231">
        <v>1</v>
      </c>
      <c r="X1231">
        <v>1</v>
      </c>
      <c r="Y1231">
        <v>0</v>
      </c>
      <c r="Z1231">
        <v>1</v>
      </c>
      <c r="AA1231">
        <v>0</v>
      </c>
      <c r="AB1231">
        <v>84.1</v>
      </c>
      <c r="AC1231">
        <v>74</v>
      </c>
      <c r="AD1231">
        <v>0</v>
      </c>
      <c r="AE1231">
        <v>10.11</v>
      </c>
      <c r="AF1231">
        <v>0</v>
      </c>
      <c r="AG1231">
        <v>0</v>
      </c>
      <c r="AH1231">
        <v>0</v>
      </c>
      <c r="AI1231">
        <v>0</v>
      </c>
      <c r="AJ1231">
        <v>84.11</v>
      </c>
      <c r="AK1231">
        <v>0.01</v>
      </c>
      <c r="AL1231" t="s">
        <v>53</v>
      </c>
      <c r="AM1231" t="s">
        <v>53</v>
      </c>
      <c r="AN1231" t="s">
        <v>2214</v>
      </c>
      <c r="AO1231" t="s">
        <v>53</v>
      </c>
      <c r="AP1231" t="s">
        <v>53</v>
      </c>
    </row>
    <row r="1232" spans="2:42" x14ac:dyDescent="0.2">
      <c r="B1232" t="s">
        <v>44</v>
      </c>
      <c r="C1232" t="str">
        <f>HYPERLINK("https://us2.cloudbeds.com/connect/8493803454333002#/reservations/598536487074?display=E1EWR1W8&amp;reservation_id=598536487074", "E1EWR1W8")</f>
        <v>E1EWR1W8</v>
      </c>
      <c r="D1232" t="s">
        <v>45</v>
      </c>
      <c r="E1232" t="s">
        <v>185</v>
      </c>
      <c r="F1232" t="s">
        <v>47</v>
      </c>
      <c r="G1232" t="s">
        <v>48</v>
      </c>
      <c r="H1232" t="s">
        <v>71</v>
      </c>
      <c r="I1232" t="s">
        <v>72</v>
      </c>
      <c r="J1232" t="s">
        <v>709</v>
      </c>
      <c r="K1232" t="s">
        <v>1782</v>
      </c>
      <c r="L1232" t="s">
        <v>53</v>
      </c>
      <c r="N1232" t="s">
        <v>2215</v>
      </c>
      <c r="P1232" t="s">
        <v>58</v>
      </c>
      <c r="R1232" t="s">
        <v>56</v>
      </c>
      <c r="T1232" t="s">
        <v>2211</v>
      </c>
      <c r="U1232" t="s">
        <v>58</v>
      </c>
      <c r="V1232">
        <v>1</v>
      </c>
      <c r="W1232">
        <v>1</v>
      </c>
      <c r="X1232">
        <v>1</v>
      </c>
      <c r="Y1232">
        <v>0</v>
      </c>
      <c r="Z1232">
        <v>1</v>
      </c>
      <c r="AA1232">
        <v>0</v>
      </c>
      <c r="AB1232">
        <v>127.29</v>
      </c>
      <c r="AC1232">
        <v>112</v>
      </c>
      <c r="AD1232">
        <v>0</v>
      </c>
      <c r="AE1232">
        <v>15.29</v>
      </c>
      <c r="AF1232">
        <v>0</v>
      </c>
      <c r="AG1232">
        <v>0</v>
      </c>
      <c r="AH1232">
        <v>0</v>
      </c>
      <c r="AI1232">
        <v>0</v>
      </c>
      <c r="AJ1232">
        <v>127.29</v>
      </c>
      <c r="AK1232">
        <v>0</v>
      </c>
      <c r="AL1232" t="s">
        <v>53</v>
      </c>
      <c r="AM1232" t="s">
        <v>53</v>
      </c>
      <c r="AN1232" t="s">
        <v>378</v>
      </c>
      <c r="AO1232" t="s">
        <v>53</v>
      </c>
      <c r="AP1232" t="s">
        <v>53</v>
      </c>
    </row>
    <row r="1233" spans="2:42" x14ac:dyDescent="0.2">
      <c r="B1233" t="s">
        <v>44</v>
      </c>
      <c r="C1233" t="str">
        <f>HYPERLINK("https://us2.cloudbeds.com/connect/8493803454333002#/reservations/598536483000?display=E1EWQV7Q&amp;reservation_id=598536483000", "E1EWQV7Q")</f>
        <v>E1EWQV7Q</v>
      </c>
      <c r="D1233" t="s">
        <v>45</v>
      </c>
      <c r="E1233" t="s">
        <v>381</v>
      </c>
      <c r="F1233" t="s">
        <v>47</v>
      </c>
      <c r="G1233" t="s">
        <v>48</v>
      </c>
      <c r="H1233" t="s">
        <v>49</v>
      </c>
      <c r="I1233" t="s">
        <v>50</v>
      </c>
      <c r="J1233" t="s">
        <v>1473</v>
      </c>
      <c r="K1233" t="s">
        <v>1269</v>
      </c>
      <c r="L1233" t="s">
        <v>53</v>
      </c>
      <c r="N1233" t="s">
        <v>2216</v>
      </c>
      <c r="P1233" t="s">
        <v>55</v>
      </c>
      <c r="R1233" t="s">
        <v>56</v>
      </c>
      <c r="T1233" t="s">
        <v>2211</v>
      </c>
      <c r="U1233" t="s">
        <v>58</v>
      </c>
      <c r="V1233">
        <v>2</v>
      </c>
      <c r="W1233">
        <v>1</v>
      </c>
      <c r="X1233">
        <v>1</v>
      </c>
      <c r="Y1233">
        <v>0</v>
      </c>
      <c r="Z1233">
        <v>1</v>
      </c>
      <c r="AA1233">
        <v>0</v>
      </c>
      <c r="AB1233">
        <v>288.44</v>
      </c>
      <c r="AC1233">
        <v>253.8</v>
      </c>
      <c r="AD1233">
        <v>0</v>
      </c>
      <c r="AE1233">
        <v>34.64</v>
      </c>
      <c r="AF1233">
        <v>0</v>
      </c>
      <c r="AG1233">
        <v>0</v>
      </c>
      <c r="AH1233">
        <v>0</v>
      </c>
      <c r="AI1233">
        <v>51.92</v>
      </c>
      <c r="AJ1233">
        <v>288.44</v>
      </c>
      <c r="AK1233">
        <v>0</v>
      </c>
      <c r="AL1233" t="s">
        <v>53</v>
      </c>
      <c r="AM1233" t="s">
        <v>53</v>
      </c>
      <c r="AN1233" t="s">
        <v>127</v>
      </c>
      <c r="AO1233" t="s">
        <v>53</v>
      </c>
      <c r="AP1233" t="s">
        <v>53</v>
      </c>
    </row>
    <row r="1234" spans="2:42" x14ac:dyDescent="0.2">
      <c r="B1234" t="s">
        <v>44</v>
      </c>
      <c r="C1234" t="str">
        <f>HYPERLINK("https://us2.cloudbeds.com/connect/8493803454333002#/reservations/598316060824?display=E19BVCBU&amp;reservation_id=598316060824", "E19BVCBU")</f>
        <v>E19BVCBU</v>
      </c>
      <c r="D1234" t="s">
        <v>45</v>
      </c>
      <c r="E1234" t="s">
        <v>138</v>
      </c>
      <c r="F1234" t="s">
        <v>70</v>
      </c>
      <c r="G1234" t="s">
        <v>48</v>
      </c>
      <c r="H1234" t="s">
        <v>71</v>
      </c>
      <c r="I1234" t="s">
        <v>72</v>
      </c>
      <c r="J1234" t="s">
        <v>1757</v>
      </c>
      <c r="K1234" t="s">
        <v>281</v>
      </c>
      <c r="L1234" t="s">
        <v>53</v>
      </c>
      <c r="N1234" t="s">
        <v>2217</v>
      </c>
      <c r="P1234" t="s">
        <v>55</v>
      </c>
      <c r="R1234" t="s">
        <v>56</v>
      </c>
      <c r="T1234" t="s">
        <v>2211</v>
      </c>
      <c r="U1234" t="s">
        <v>58</v>
      </c>
      <c r="V1234">
        <v>1</v>
      </c>
      <c r="W1234">
        <v>1</v>
      </c>
      <c r="X1234">
        <v>1</v>
      </c>
      <c r="Y1234">
        <v>0</v>
      </c>
      <c r="Z1234">
        <v>1</v>
      </c>
      <c r="AA1234">
        <v>0</v>
      </c>
      <c r="AB1234">
        <v>79.56</v>
      </c>
      <c r="AC1234">
        <v>70</v>
      </c>
      <c r="AD1234">
        <v>0</v>
      </c>
      <c r="AE1234">
        <v>9.56</v>
      </c>
      <c r="AF1234">
        <v>0</v>
      </c>
      <c r="AG1234">
        <v>0</v>
      </c>
      <c r="AH1234">
        <v>0</v>
      </c>
      <c r="AI1234">
        <v>0</v>
      </c>
      <c r="AJ1234">
        <v>79.56</v>
      </c>
      <c r="AK1234">
        <v>0</v>
      </c>
      <c r="AL1234" t="s">
        <v>53</v>
      </c>
      <c r="AM1234" t="s">
        <v>53</v>
      </c>
      <c r="AN1234" t="s">
        <v>378</v>
      </c>
      <c r="AO1234" t="s">
        <v>53</v>
      </c>
      <c r="AP1234" t="s">
        <v>53</v>
      </c>
    </row>
    <row r="1235" spans="2:42" x14ac:dyDescent="0.2">
      <c r="B1235" t="s">
        <v>44</v>
      </c>
      <c r="C1235" t="str">
        <f>HYPERLINK("https://us2.cloudbeds.com/connect/8493803454333002#/reservations/598350254273?display=E1A7PSA1&amp;reservation_id=598350254273", "E1A7PSA1")</f>
        <v>E1A7PSA1</v>
      </c>
      <c r="D1235" t="s">
        <v>45</v>
      </c>
      <c r="E1235" t="s">
        <v>105</v>
      </c>
      <c r="F1235" t="s">
        <v>47</v>
      </c>
      <c r="G1235" t="s">
        <v>48</v>
      </c>
      <c r="H1235" t="s">
        <v>49</v>
      </c>
      <c r="I1235" t="s">
        <v>79</v>
      </c>
      <c r="J1235" t="s">
        <v>1757</v>
      </c>
      <c r="K1235" t="s">
        <v>281</v>
      </c>
      <c r="L1235" t="s">
        <v>53</v>
      </c>
      <c r="N1235" t="s">
        <v>2218</v>
      </c>
      <c r="P1235" t="s">
        <v>55</v>
      </c>
      <c r="R1235" t="s">
        <v>56</v>
      </c>
      <c r="T1235" t="s">
        <v>2211</v>
      </c>
      <c r="U1235" t="s">
        <v>58</v>
      </c>
      <c r="V1235">
        <v>1</v>
      </c>
      <c r="W1235">
        <v>1</v>
      </c>
      <c r="X1235">
        <v>1</v>
      </c>
      <c r="Y1235">
        <v>0</v>
      </c>
      <c r="Z1235">
        <v>1</v>
      </c>
      <c r="AA1235">
        <v>0</v>
      </c>
      <c r="AB1235">
        <v>78.760000000000005</v>
      </c>
      <c r="AC1235">
        <v>69.3</v>
      </c>
      <c r="AD1235">
        <v>0</v>
      </c>
      <c r="AE1235">
        <v>9.4700000000000006</v>
      </c>
      <c r="AF1235">
        <v>0</v>
      </c>
      <c r="AG1235">
        <v>0</v>
      </c>
      <c r="AH1235">
        <v>0</v>
      </c>
      <c r="AI1235">
        <v>0</v>
      </c>
      <c r="AJ1235">
        <v>78.77</v>
      </c>
      <c r="AK1235">
        <v>0.01</v>
      </c>
      <c r="AL1235" t="s">
        <v>53</v>
      </c>
      <c r="AM1235" t="s">
        <v>53</v>
      </c>
      <c r="AN1235" t="s">
        <v>280</v>
      </c>
      <c r="AO1235" t="s">
        <v>53</v>
      </c>
      <c r="AP1235" t="s">
        <v>53</v>
      </c>
    </row>
    <row r="1236" spans="2:42" x14ac:dyDescent="0.2">
      <c r="B1236" t="s">
        <v>44</v>
      </c>
      <c r="C1236" t="str">
        <f>HYPERLINK("https://us2.cloudbeds.com/connect/8493803454333002#/reservations/598534115535?display=E1EUR28D&amp;reservation_id=598534115535", "E1EUR28D")</f>
        <v>E1EUR28D</v>
      </c>
      <c r="D1236" t="s">
        <v>45</v>
      </c>
      <c r="E1236" t="s">
        <v>138</v>
      </c>
      <c r="F1236" t="s">
        <v>70</v>
      </c>
      <c r="G1236" t="s">
        <v>48</v>
      </c>
      <c r="H1236" t="s">
        <v>49</v>
      </c>
      <c r="I1236" t="s">
        <v>114</v>
      </c>
      <c r="J1236" t="s">
        <v>1027</v>
      </c>
      <c r="K1236" t="s">
        <v>709</v>
      </c>
      <c r="L1236" t="s">
        <v>53</v>
      </c>
      <c r="N1236" t="s">
        <v>2219</v>
      </c>
      <c r="P1236" t="s">
        <v>55</v>
      </c>
      <c r="R1236" t="s">
        <v>56</v>
      </c>
      <c r="T1236" t="s">
        <v>2211</v>
      </c>
      <c r="U1236" t="s">
        <v>58</v>
      </c>
      <c r="V1236">
        <v>1</v>
      </c>
      <c r="W1236">
        <v>1</v>
      </c>
      <c r="X1236">
        <v>1</v>
      </c>
      <c r="Y1236">
        <v>0</v>
      </c>
      <c r="Z1236">
        <v>1</v>
      </c>
      <c r="AA1236">
        <v>0</v>
      </c>
      <c r="AB1236">
        <v>120.47</v>
      </c>
      <c r="AC1236">
        <v>106</v>
      </c>
      <c r="AD1236">
        <v>0</v>
      </c>
      <c r="AE1236">
        <v>14.47</v>
      </c>
      <c r="AF1236">
        <v>0</v>
      </c>
      <c r="AG1236">
        <v>0</v>
      </c>
      <c r="AH1236">
        <v>0</v>
      </c>
      <c r="AI1236">
        <v>0</v>
      </c>
      <c r="AJ1236">
        <v>120.47</v>
      </c>
      <c r="AK1236">
        <v>0</v>
      </c>
      <c r="AL1236" t="s">
        <v>53</v>
      </c>
      <c r="AM1236" t="s">
        <v>53</v>
      </c>
      <c r="AN1236" t="s">
        <v>2220</v>
      </c>
      <c r="AO1236" t="s">
        <v>53</v>
      </c>
      <c r="AP1236" t="s">
        <v>53</v>
      </c>
    </row>
    <row r="1237" spans="2:42" x14ac:dyDescent="0.2">
      <c r="B1237" t="s">
        <v>44</v>
      </c>
      <c r="C1237" t="str">
        <f>HYPERLINK("https://us2.cloudbeds.com/connect/8493803454333002#/reservations/598359617694?display=E1AFMDG2&amp;reservation_id=598359617694", "E1AFMDG2")</f>
        <v>E1AFMDG2</v>
      </c>
      <c r="D1237" t="s">
        <v>45</v>
      </c>
      <c r="E1237" t="s">
        <v>165</v>
      </c>
      <c r="F1237" t="s">
        <v>61</v>
      </c>
      <c r="G1237" t="s">
        <v>48</v>
      </c>
      <c r="H1237" t="s">
        <v>71</v>
      </c>
      <c r="I1237" t="s">
        <v>72</v>
      </c>
      <c r="J1237" t="s">
        <v>327</v>
      </c>
      <c r="K1237" t="s">
        <v>970</v>
      </c>
      <c r="L1237" t="s">
        <v>53</v>
      </c>
      <c r="N1237" t="s">
        <v>2221</v>
      </c>
      <c r="P1237" t="s">
        <v>55</v>
      </c>
      <c r="R1237" t="s">
        <v>56</v>
      </c>
      <c r="T1237" t="s">
        <v>2211</v>
      </c>
      <c r="U1237" t="s">
        <v>58</v>
      </c>
      <c r="V1237">
        <v>1</v>
      </c>
      <c r="W1237">
        <v>1</v>
      </c>
      <c r="X1237">
        <v>1</v>
      </c>
      <c r="Y1237">
        <v>0</v>
      </c>
      <c r="Z1237">
        <v>1</v>
      </c>
      <c r="AA1237">
        <v>0</v>
      </c>
      <c r="AB1237">
        <v>163.66</v>
      </c>
      <c r="AC1237">
        <v>144</v>
      </c>
      <c r="AD1237">
        <v>0</v>
      </c>
      <c r="AE1237">
        <v>19.66</v>
      </c>
      <c r="AF1237">
        <v>0</v>
      </c>
      <c r="AG1237">
        <v>0</v>
      </c>
      <c r="AH1237">
        <v>0</v>
      </c>
      <c r="AI1237">
        <v>0</v>
      </c>
      <c r="AJ1237">
        <v>163.66</v>
      </c>
      <c r="AK1237">
        <v>0</v>
      </c>
      <c r="AL1237" t="s">
        <v>53</v>
      </c>
      <c r="AM1237" t="s">
        <v>53</v>
      </c>
      <c r="AN1237" t="s">
        <v>2222</v>
      </c>
      <c r="AO1237" t="s">
        <v>53</v>
      </c>
      <c r="AP1237" t="s">
        <v>53</v>
      </c>
    </row>
    <row r="1238" spans="2:42" x14ac:dyDescent="0.2">
      <c r="B1238" t="s">
        <v>44</v>
      </c>
      <c r="C1238" t="str">
        <f>HYPERLINK("https://us2.cloudbeds.com/connect/8493803454333002#/reservations/597583864006?display=E0NYHUAX&amp;reservation_id=597583864006", "E0NYHUAX")</f>
        <v>E0NYHUAX</v>
      </c>
      <c r="D1238" t="s">
        <v>45</v>
      </c>
      <c r="E1238" t="s">
        <v>190</v>
      </c>
      <c r="F1238" t="s">
        <v>61</v>
      </c>
      <c r="G1238" t="s">
        <v>48</v>
      </c>
      <c r="H1238" t="s">
        <v>49</v>
      </c>
      <c r="I1238" t="s">
        <v>62</v>
      </c>
      <c r="J1238" t="s">
        <v>196</v>
      </c>
      <c r="K1238" t="s">
        <v>259</v>
      </c>
      <c r="L1238" t="s">
        <v>53</v>
      </c>
      <c r="N1238" t="s">
        <v>2223</v>
      </c>
      <c r="P1238" t="s">
        <v>55</v>
      </c>
      <c r="R1238" t="s">
        <v>56</v>
      </c>
      <c r="T1238" t="s">
        <v>2211</v>
      </c>
      <c r="U1238" t="s">
        <v>58</v>
      </c>
      <c r="V1238">
        <v>4</v>
      </c>
      <c r="W1238">
        <v>1</v>
      </c>
      <c r="X1238">
        <v>1</v>
      </c>
      <c r="Y1238">
        <v>0</v>
      </c>
      <c r="Z1238">
        <v>1</v>
      </c>
      <c r="AA1238">
        <v>0</v>
      </c>
      <c r="AB1238">
        <v>590.98</v>
      </c>
      <c r="AC1238">
        <v>520</v>
      </c>
      <c r="AD1238">
        <v>0</v>
      </c>
      <c r="AE1238">
        <v>71</v>
      </c>
      <c r="AF1238">
        <v>0</v>
      </c>
      <c r="AG1238">
        <v>0</v>
      </c>
      <c r="AH1238">
        <v>0</v>
      </c>
      <c r="AI1238">
        <v>88.65</v>
      </c>
      <c r="AJ1238">
        <v>591</v>
      </c>
      <c r="AK1238">
        <v>0.02</v>
      </c>
      <c r="AL1238" t="s">
        <v>53</v>
      </c>
      <c r="AM1238" t="s">
        <v>53</v>
      </c>
      <c r="AN1238" t="s">
        <v>198</v>
      </c>
      <c r="AO1238" t="s">
        <v>53</v>
      </c>
      <c r="AP1238" t="s">
        <v>53</v>
      </c>
    </row>
    <row r="1239" spans="2:42" x14ac:dyDescent="0.2">
      <c r="B1239" t="s">
        <v>44</v>
      </c>
      <c r="C1239" t="str">
        <f>HYPERLINK("https://us2.cloudbeds.com/connect/8493803454333002#/reservations/598558490840?display=E1FXCBF1&amp;reservation_id=598558490840", "E1FXCBF1")</f>
        <v>E1FXCBF1</v>
      </c>
      <c r="D1239" t="s">
        <v>45</v>
      </c>
      <c r="E1239" t="s">
        <v>185</v>
      </c>
      <c r="F1239" t="s">
        <v>47</v>
      </c>
      <c r="G1239" t="s">
        <v>48</v>
      </c>
      <c r="H1239" t="s">
        <v>49</v>
      </c>
      <c r="I1239" t="s">
        <v>62</v>
      </c>
      <c r="J1239" t="s">
        <v>196</v>
      </c>
      <c r="K1239" t="s">
        <v>259</v>
      </c>
      <c r="L1239" t="s">
        <v>53</v>
      </c>
      <c r="N1239" t="s">
        <v>2224</v>
      </c>
      <c r="P1239" t="s">
        <v>55</v>
      </c>
      <c r="R1239" t="s">
        <v>56</v>
      </c>
      <c r="T1239" t="s">
        <v>2211</v>
      </c>
      <c r="U1239" t="s">
        <v>58</v>
      </c>
      <c r="V1239">
        <v>4</v>
      </c>
      <c r="W1239">
        <v>1</v>
      </c>
      <c r="X1239">
        <v>1</v>
      </c>
      <c r="Y1239">
        <v>0</v>
      </c>
      <c r="Z1239">
        <v>1</v>
      </c>
      <c r="AA1239">
        <v>0</v>
      </c>
      <c r="AB1239">
        <v>538.70000000000005</v>
      </c>
      <c r="AC1239">
        <v>474</v>
      </c>
      <c r="AD1239">
        <v>0</v>
      </c>
      <c r="AE1239">
        <v>64.72</v>
      </c>
      <c r="AF1239">
        <v>0</v>
      </c>
      <c r="AG1239">
        <v>0</v>
      </c>
      <c r="AH1239">
        <v>0</v>
      </c>
      <c r="AI1239">
        <v>80.81</v>
      </c>
      <c r="AJ1239">
        <v>538.72</v>
      </c>
      <c r="AK1239">
        <v>0.02</v>
      </c>
      <c r="AL1239" t="s">
        <v>53</v>
      </c>
      <c r="AM1239" t="s">
        <v>53</v>
      </c>
      <c r="AN1239" t="s">
        <v>178</v>
      </c>
      <c r="AO1239" t="s">
        <v>53</v>
      </c>
      <c r="AP1239" t="s">
        <v>53</v>
      </c>
    </row>
    <row r="1240" spans="2:42" x14ac:dyDescent="0.2">
      <c r="B1240" t="s">
        <v>44</v>
      </c>
      <c r="C1240" t="str">
        <f>HYPERLINK("https://us2.cloudbeds.com/connect/8493803454333002#/reservations/598371360942?display=E1APJ602&amp;reservation_id=598371360942", "E1APJ602")</f>
        <v>E1APJ602</v>
      </c>
      <c r="D1240" t="s">
        <v>45</v>
      </c>
      <c r="E1240" t="s">
        <v>98</v>
      </c>
      <c r="F1240" t="s">
        <v>86</v>
      </c>
      <c r="G1240" t="s">
        <v>48</v>
      </c>
      <c r="H1240" t="s">
        <v>49</v>
      </c>
      <c r="I1240" t="s">
        <v>79</v>
      </c>
      <c r="J1240" t="s">
        <v>341</v>
      </c>
      <c r="K1240" t="s">
        <v>129</v>
      </c>
      <c r="L1240" t="s">
        <v>53</v>
      </c>
      <c r="N1240" t="s">
        <v>2225</v>
      </c>
      <c r="P1240" t="s">
        <v>55</v>
      </c>
      <c r="R1240" t="s">
        <v>56</v>
      </c>
      <c r="T1240" t="s">
        <v>2211</v>
      </c>
      <c r="U1240" t="s">
        <v>58</v>
      </c>
      <c r="V1240">
        <v>1</v>
      </c>
      <c r="W1240">
        <v>1</v>
      </c>
      <c r="X1240">
        <v>1</v>
      </c>
      <c r="Y1240">
        <v>0</v>
      </c>
      <c r="Z1240">
        <v>1</v>
      </c>
      <c r="AA1240">
        <v>0</v>
      </c>
      <c r="AB1240">
        <v>153.43</v>
      </c>
      <c r="AC1240">
        <v>135</v>
      </c>
      <c r="AD1240">
        <v>0</v>
      </c>
      <c r="AE1240">
        <v>18.440000000000001</v>
      </c>
      <c r="AF1240">
        <v>0</v>
      </c>
      <c r="AG1240">
        <v>0</v>
      </c>
      <c r="AH1240">
        <v>0</v>
      </c>
      <c r="AI1240">
        <v>0</v>
      </c>
      <c r="AJ1240">
        <v>153.44</v>
      </c>
      <c r="AK1240">
        <v>0.01</v>
      </c>
      <c r="AL1240" t="s">
        <v>53</v>
      </c>
      <c r="AM1240" t="s">
        <v>53</v>
      </c>
      <c r="AN1240" t="s">
        <v>159</v>
      </c>
      <c r="AO1240" t="s">
        <v>53</v>
      </c>
      <c r="AP1240" t="s">
        <v>53</v>
      </c>
    </row>
    <row r="1241" spans="2:42" x14ac:dyDescent="0.2">
      <c r="B1241" t="s">
        <v>44</v>
      </c>
      <c r="C1241" t="str">
        <f>HYPERLINK("https://us2.cloudbeds.com/connect/8493803454333002#/reservations/598275301595?display=E18AJ67P&amp;reservation_id=598275301595", "E18AJ67P")</f>
        <v>E18AJ67P</v>
      </c>
      <c r="D1241" t="s">
        <v>45</v>
      </c>
      <c r="E1241" t="s">
        <v>179</v>
      </c>
      <c r="F1241" t="s">
        <v>47</v>
      </c>
      <c r="G1241" t="s">
        <v>48</v>
      </c>
      <c r="H1241" t="s">
        <v>49</v>
      </c>
      <c r="I1241" t="s">
        <v>79</v>
      </c>
      <c r="J1241" t="s">
        <v>1757</v>
      </c>
      <c r="K1241" t="s">
        <v>281</v>
      </c>
      <c r="L1241" t="s">
        <v>53</v>
      </c>
      <c r="N1241" t="s">
        <v>2226</v>
      </c>
      <c r="P1241" t="s">
        <v>55</v>
      </c>
      <c r="R1241" t="s">
        <v>56</v>
      </c>
      <c r="T1241" t="s">
        <v>2211</v>
      </c>
      <c r="U1241" t="s">
        <v>58</v>
      </c>
      <c r="V1241">
        <v>1</v>
      </c>
      <c r="W1241">
        <v>1</v>
      </c>
      <c r="X1241">
        <v>1</v>
      </c>
      <c r="Y1241">
        <v>0</v>
      </c>
      <c r="Z1241">
        <v>1</v>
      </c>
      <c r="AA1241">
        <v>0</v>
      </c>
      <c r="AB1241">
        <v>78.760000000000005</v>
      </c>
      <c r="AC1241">
        <v>69.3</v>
      </c>
      <c r="AD1241">
        <v>0</v>
      </c>
      <c r="AE1241">
        <v>9.4700000000000006</v>
      </c>
      <c r="AF1241">
        <v>0</v>
      </c>
      <c r="AG1241">
        <v>0</v>
      </c>
      <c r="AH1241">
        <v>0</v>
      </c>
      <c r="AI1241">
        <v>0</v>
      </c>
      <c r="AJ1241">
        <v>78.77</v>
      </c>
      <c r="AK1241">
        <v>0.01</v>
      </c>
      <c r="AL1241" t="s">
        <v>53</v>
      </c>
      <c r="AM1241" t="s">
        <v>53</v>
      </c>
      <c r="AN1241" t="s">
        <v>132</v>
      </c>
      <c r="AO1241" t="s">
        <v>53</v>
      </c>
      <c r="AP1241" t="s">
        <v>53</v>
      </c>
    </row>
    <row r="1242" spans="2:42" x14ac:dyDescent="0.2">
      <c r="B1242" t="s">
        <v>44</v>
      </c>
      <c r="C1242" t="str">
        <f>HYPERLINK("https://us2.cloudbeds.com/connect/8493803454333002#/reservations/598481371322?display=E1DJBCKU&amp;reservation_id=598481371322", "E1DJBCKU")</f>
        <v>E1DJBCKU</v>
      </c>
      <c r="D1242" t="s">
        <v>45</v>
      </c>
      <c r="E1242" t="s">
        <v>85</v>
      </c>
      <c r="F1242" t="s">
        <v>86</v>
      </c>
      <c r="G1242" t="s">
        <v>48</v>
      </c>
      <c r="H1242" t="s">
        <v>49</v>
      </c>
      <c r="I1242" t="s">
        <v>79</v>
      </c>
      <c r="J1242" t="s">
        <v>922</v>
      </c>
      <c r="K1242" t="s">
        <v>107</v>
      </c>
      <c r="L1242" t="s">
        <v>53</v>
      </c>
      <c r="N1242" t="s">
        <v>2227</v>
      </c>
      <c r="P1242" t="s">
        <v>55</v>
      </c>
      <c r="R1242" t="s">
        <v>56</v>
      </c>
      <c r="T1242" t="s">
        <v>2211</v>
      </c>
      <c r="U1242" t="s">
        <v>58</v>
      </c>
      <c r="V1242">
        <v>1</v>
      </c>
      <c r="W1242">
        <v>1</v>
      </c>
      <c r="X1242">
        <v>1</v>
      </c>
      <c r="Y1242">
        <v>0</v>
      </c>
      <c r="Z1242">
        <v>1</v>
      </c>
      <c r="AA1242">
        <v>0</v>
      </c>
      <c r="AB1242">
        <v>193.21</v>
      </c>
      <c r="AC1242">
        <v>170</v>
      </c>
      <c r="AD1242">
        <v>0</v>
      </c>
      <c r="AE1242">
        <v>23.21</v>
      </c>
      <c r="AF1242">
        <v>0</v>
      </c>
      <c r="AG1242">
        <v>0</v>
      </c>
      <c r="AH1242">
        <v>0</v>
      </c>
      <c r="AI1242">
        <v>0</v>
      </c>
      <c r="AJ1242">
        <v>193.21</v>
      </c>
      <c r="AK1242">
        <v>0</v>
      </c>
      <c r="AL1242" t="s">
        <v>53</v>
      </c>
      <c r="AM1242" t="s">
        <v>53</v>
      </c>
      <c r="AN1242" t="s">
        <v>97</v>
      </c>
      <c r="AO1242" t="s">
        <v>53</v>
      </c>
      <c r="AP1242" t="s">
        <v>53</v>
      </c>
    </row>
    <row r="1243" spans="2:42" x14ac:dyDescent="0.2">
      <c r="B1243" t="s">
        <v>44</v>
      </c>
      <c r="C1243" t="str">
        <f>HYPERLINK("https://us2.cloudbeds.com/connect/8493803454333002#/reservations/598520156300?display=E1EJ1KS9&amp;reservation_id=598520156300", "E1EJ1KS9")</f>
        <v>E1EJ1KS9</v>
      </c>
      <c r="D1243" t="s">
        <v>45</v>
      </c>
      <c r="E1243" t="s">
        <v>46</v>
      </c>
      <c r="F1243" t="s">
        <v>47</v>
      </c>
      <c r="G1243" t="s">
        <v>48</v>
      </c>
      <c r="H1243" t="s">
        <v>49</v>
      </c>
      <c r="I1243" t="s">
        <v>50</v>
      </c>
      <c r="J1243" t="s">
        <v>1117</v>
      </c>
      <c r="K1243" t="s">
        <v>143</v>
      </c>
      <c r="L1243" t="s">
        <v>53</v>
      </c>
      <c r="N1243" t="s">
        <v>2228</v>
      </c>
      <c r="P1243" t="s">
        <v>55</v>
      </c>
      <c r="R1243" t="s">
        <v>56</v>
      </c>
      <c r="T1243" t="s">
        <v>2211</v>
      </c>
      <c r="U1243" t="s">
        <v>58</v>
      </c>
      <c r="V1243">
        <v>2</v>
      </c>
      <c r="W1243">
        <v>1</v>
      </c>
      <c r="X1243">
        <v>1</v>
      </c>
      <c r="Y1243">
        <v>0</v>
      </c>
      <c r="Z1243">
        <v>1</v>
      </c>
      <c r="AA1243">
        <v>0</v>
      </c>
      <c r="AB1243">
        <v>285.26</v>
      </c>
      <c r="AC1243">
        <v>251</v>
      </c>
      <c r="AD1243">
        <v>0</v>
      </c>
      <c r="AE1243">
        <v>34.26</v>
      </c>
      <c r="AF1243">
        <v>0</v>
      </c>
      <c r="AG1243">
        <v>0</v>
      </c>
      <c r="AH1243">
        <v>0</v>
      </c>
      <c r="AI1243">
        <v>51.35</v>
      </c>
      <c r="AJ1243">
        <v>285.26</v>
      </c>
      <c r="AK1243">
        <v>0</v>
      </c>
      <c r="AL1243" t="s">
        <v>53</v>
      </c>
      <c r="AM1243" t="s">
        <v>53</v>
      </c>
      <c r="AN1243" t="s">
        <v>2229</v>
      </c>
      <c r="AO1243" t="s">
        <v>53</v>
      </c>
      <c r="AP1243" t="s">
        <v>53</v>
      </c>
    </row>
    <row r="1244" spans="2:42" x14ac:dyDescent="0.2">
      <c r="B1244" t="s">
        <v>44</v>
      </c>
      <c r="C1244" t="str">
        <f>HYPERLINK("https://us2.cloudbeds.com/connect/8493803454333002#/reservations/598236811403?display=E17B44NA&amp;reservation_id=598236811403", "E17B44NA")</f>
        <v>E17B44NA</v>
      </c>
      <c r="D1244" t="s">
        <v>45</v>
      </c>
      <c r="E1244" t="s">
        <v>98</v>
      </c>
      <c r="F1244" t="s">
        <v>86</v>
      </c>
      <c r="G1244" t="s">
        <v>48</v>
      </c>
      <c r="H1244" t="s">
        <v>49</v>
      </c>
      <c r="I1244" t="s">
        <v>62</v>
      </c>
      <c r="J1244" t="s">
        <v>260</v>
      </c>
      <c r="K1244" t="s">
        <v>640</v>
      </c>
      <c r="L1244" t="s">
        <v>53</v>
      </c>
      <c r="N1244" t="s">
        <v>2230</v>
      </c>
      <c r="P1244" t="s">
        <v>55</v>
      </c>
      <c r="R1244" t="s">
        <v>56</v>
      </c>
      <c r="T1244" t="s">
        <v>2211</v>
      </c>
      <c r="U1244" t="s">
        <v>58</v>
      </c>
      <c r="V1244">
        <v>1</v>
      </c>
      <c r="W1244">
        <v>1</v>
      </c>
      <c r="X1244">
        <v>1</v>
      </c>
      <c r="Y1244">
        <v>0</v>
      </c>
      <c r="Z1244">
        <v>1</v>
      </c>
      <c r="AA1244">
        <v>0</v>
      </c>
      <c r="AB1244">
        <v>162.52000000000001</v>
      </c>
      <c r="AC1244">
        <v>143</v>
      </c>
      <c r="AD1244">
        <v>0</v>
      </c>
      <c r="AE1244">
        <v>19.53</v>
      </c>
      <c r="AF1244">
        <v>0</v>
      </c>
      <c r="AG1244">
        <v>0</v>
      </c>
      <c r="AH1244">
        <v>0</v>
      </c>
      <c r="AI1244">
        <v>24.38</v>
      </c>
      <c r="AJ1244">
        <v>162.53</v>
      </c>
      <c r="AK1244">
        <v>0.01</v>
      </c>
      <c r="AL1244" t="s">
        <v>53</v>
      </c>
      <c r="AM1244" t="s">
        <v>53</v>
      </c>
      <c r="AN1244" t="s">
        <v>2231</v>
      </c>
      <c r="AO1244" t="s">
        <v>53</v>
      </c>
      <c r="AP1244" t="s">
        <v>53</v>
      </c>
    </row>
    <row r="1245" spans="2:42" x14ac:dyDescent="0.2">
      <c r="B1245" t="s">
        <v>44</v>
      </c>
      <c r="C1245" t="str">
        <f>HYPERLINK("https://us2.cloudbeds.com/connect/8493803454333002#/reservations/598409740493?display=E1BZV4UP&amp;reservation_id=598409740493", "E1BZV4UP")</f>
        <v>E1BZV4UP</v>
      </c>
      <c r="D1245" t="s">
        <v>45</v>
      </c>
      <c r="E1245" t="s">
        <v>113</v>
      </c>
      <c r="F1245" t="s">
        <v>61</v>
      </c>
      <c r="G1245" t="s">
        <v>48</v>
      </c>
      <c r="H1245" t="s">
        <v>49</v>
      </c>
      <c r="I1245" t="s">
        <v>50</v>
      </c>
      <c r="J1245" t="s">
        <v>1757</v>
      </c>
      <c r="K1245" t="s">
        <v>281</v>
      </c>
      <c r="L1245" t="s">
        <v>53</v>
      </c>
      <c r="N1245" t="s">
        <v>2232</v>
      </c>
      <c r="P1245" t="s">
        <v>55</v>
      </c>
      <c r="R1245" t="s">
        <v>56</v>
      </c>
      <c r="T1245" t="s">
        <v>2211</v>
      </c>
      <c r="U1245" t="s">
        <v>58</v>
      </c>
      <c r="V1245">
        <v>1</v>
      </c>
      <c r="W1245">
        <v>1</v>
      </c>
      <c r="X1245">
        <v>1</v>
      </c>
      <c r="Y1245">
        <v>0</v>
      </c>
      <c r="Z1245">
        <v>1</v>
      </c>
      <c r="AA1245">
        <v>0</v>
      </c>
      <c r="AB1245">
        <v>85.92</v>
      </c>
      <c r="AC1245">
        <v>75.599999999999994</v>
      </c>
      <c r="AD1245">
        <v>0</v>
      </c>
      <c r="AE1245">
        <v>10.32</v>
      </c>
      <c r="AF1245">
        <v>0</v>
      </c>
      <c r="AG1245">
        <v>0</v>
      </c>
      <c r="AH1245">
        <v>0</v>
      </c>
      <c r="AI1245">
        <v>15.47</v>
      </c>
      <c r="AJ1245">
        <v>85.92</v>
      </c>
      <c r="AK1245">
        <v>0</v>
      </c>
      <c r="AL1245" t="s">
        <v>53</v>
      </c>
      <c r="AM1245" t="s">
        <v>53</v>
      </c>
      <c r="AN1245" t="s">
        <v>146</v>
      </c>
      <c r="AO1245" t="s">
        <v>53</v>
      </c>
      <c r="AP1245" t="s">
        <v>53</v>
      </c>
    </row>
    <row r="1246" spans="2:42" x14ac:dyDescent="0.2">
      <c r="B1246" t="s">
        <v>44</v>
      </c>
      <c r="C1246" t="str">
        <f>HYPERLINK("https://us2.cloudbeds.com/connect/8493803454333002#/reservations/598418174109?display=E1BW1R9T&amp;reservation_id=598418174109", "E1BW1R9T")</f>
        <v>E1BW1R9T</v>
      </c>
      <c r="D1246" t="s">
        <v>45</v>
      </c>
      <c r="E1246" t="s">
        <v>92</v>
      </c>
      <c r="F1246" t="s">
        <v>86</v>
      </c>
      <c r="G1246" t="s">
        <v>48</v>
      </c>
      <c r="H1246" t="s">
        <v>49</v>
      </c>
      <c r="I1246" t="s">
        <v>79</v>
      </c>
      <c r="J1246" t="s">
        <v>1988</v>
      </c>
      <c r="K1246" t="s">
        <v>282</v>
      </c>
      <c r="L1246" t="s">
        <v>53</v>
      </c>
      <c r="N1246" t="s">
        <v>2233</v>
      </c>
      <c r="P1246" t="s">
        <v>55</v>
      </c>
      <c r="R1246" t="s">
        <v>56</v>
      </c>
      <c r="T1246" t="s">
        <v>2211</v>
      </c>
      <c r="U1246" t="s">
        <v>58</v>
      </c>
      <c r="V1246">
        <v>1</v>
      </c>
      <c r="W1246">
        <v>1</v>
      </c>
      <c r="X1246">
        <v>1</v>
      </c>
      <c r="Y1246">
        <v>0</v>
      </c>
      <c r="Z1246">
        <v>1</v>
      </c>
      <c r="AA1246">
        <v>0</v>
      </c>
      <c r="AB1246">
        <v>119.67</v>
      </c>
      <c r="AC1246">
        <v>105.3</v>
      </c>
      <c r="AD1246">
        <v>0</v>
      </c>
      <c r="AE1246">
        <v>14.38</v>
      </c>
      <c r="AF1246">
        <v>0</v>
      </c>
      <c r="AG1246">
        <v>0</v>
      </c>
      <c r="AH1246">
        <v>0</v>
      </c>
      <c r="AI1246">
        <v>0</v>
      </c>
      <c r="AJ1246">
        <v>119.68</v>
      </c>
      <c r="AK1246">
        <v>0.01</v>
      </c>
      <c r="AL1246" t="s">
        <v>53</v>
      </c>
      <c r="AM1246" t="s">
        <v>53</v>
      </c>
      <c r="AN1246" t="s">
        <v>91</v>
      </c>
      <c r="AO1246" t="s">
        <v>53</v>
      </c>
      <c r="AP1246" t="s">
        <v>53</v>
      </c>
    </row>
    <row r="1247" spans="2:42" x14ac:dyDescent="0.2">
      <c r="B1247" t="s">
        <v>44</v>
      </c>
      <c r="C1247" t="str">
        <f>HYPERLINK("https://us2.cloudbeds.com/connect/8493803454333002#/reservations/598209831058?display=E16YCCC2&amp;reservation_id=598209831058", "E16YCCC2")</f>
        <v>E16YCCC2</v>
      </c>
      <c r="D1247" t="s">
        <v>45</v>
      </c>
      <c r="E1247" t="s">
        <v>487</v>
      </c>
      <c r="F1247" t="s">
        <v>61</v>
      </c>
      <c r="G1247" t="s">
        <v>48</v>
      </c>
      <c r="H1247" t="s">
        <v>49</v>
      </c>
      <c r="I1247" t="s">
        <v>62</v>
      </c>
      <c r="J1247" t="s">
        <v>106</v>
      </c>
      <c r="K1247" t="s">
        <v>922</v>
      </c>
      <c r="L1247" t="s">
        <v>53</v>
      </c>
      <c r="N1247" t="s">
        <v>2234</v>
      </c>
      <c r="P1247" t="s">
        <v>55</v>
      </c>
      <c r="R1247" t="s">
        <v>56</v>
      </c>
      <c r="T1247" t="s">
        <v>2211</v>
      </c>
      <c r="U1247" t="s">
        <v>58</v>
      </c>
      <c r="V1247">
        <v>1</v>
      </c>
      <c r="W1247">
        <v>1</v>
      </c>
      <c r="X1247">
        <v>1</v>
      </c>
      <c r="Y1247">
        <v>0</v>
      </c>
      <c r="Z1247">
        <v>1</v>
      </c>
      <c r="AA1247">
        <v>0</v>
      </c>
      <c r="AB1247">
        <v>170.48</v>
      </c>
      <c r="AC1247">
        <v>150</v>
      </c>
      <c r="AD1247">
        <v>0</v>
      </c>
      <c r="AE1247">
        <v>20.48</v>
      </c>
      <c r="AF1247">
        <v>0</v>
      </c>
      <c r="AG1247">
        <v>0</v>
      </c>
      <c r="AH1247">
        <v>0</v>
      </c>
      <c r="AI1247">
        <v>25.57</v>
      </c>
      <c r="AJ1247">
        <v>170.48</v>
      </c>
      <c r="AK1247">
        <v>0</v>
      </c>
      <c r="AL1247" t="s">
        <v>53</v>
      </c>
      <c r="AM1247" t="s">
        <v>53</v>
      </c>
      <c r="AN1247" t="s">
        <v>68</v>
      </c>
      <c r="AO1247" t="s">
        <v>53</v>
      </c>
      <c r="AP1247" t="s">
        <v>53</v>
      </c>
    </row>
    <row r="1248" spans="2:42" x14ac:dyDescent="0.2">
      <c r="B1248" t="s">
        <v>44</v>
      </c>
      <c r="C1248" t="str">
        <f>HYPERLINK("https://us2.cloudbeds.com/connect/8493803454333002#/reservations/598430212299?display=E1C96QYG&amp;reservation_id=598430212299", "E1C96QYG")</f>
        <v>E1C96QYG</v>
      </c>
      <c r="D1248" t="s">
        <v>45</v>
      </c>
      <c r="E1248" t="s">
        <v>165</v>
      </c>
      <c r="F1248" t="s">
        <v>61</v>
      </c>
      <c r="G1248" t="s">
        <v>48</v>
      </c>
      <c r="H1248" t="s">
        <v>49</v>
      </c>
      <c r="I1248" t="s">
        <v>114</v>
      </c>
      <c r="J1248" t="s">
        <v>1757</v>
      </c>
      <c r="K1248" t="s">
        <v>281</v>
      </c>
      <c r="L1248" t="s">
        <v>53</v>
      </c>
      <c r="N1248" t="s">
        <v>2235</v>
      </c>
      <c r="P1248" t="s">
        <v>55</v>
      </c>
      <c r="R1248" t="s">
        <v>56</v>
      </c>
      <c r="T1248" t="s">
        <v>2211</v>
      </c>
      <c r="U1248" t="s">
        <v>58</v>
      </c>
      <c r="V1248">
        <v>1</v>
      </c>
      <c r="W1248">
        <v>1</v>
      </c>
      <c r="X1248">
        <v>1</v>
      </c>
      <c r="Y1248">
        <v>0</v>
      </c>
      <c r="Z1248">
        <v>1</v>
      </c>
      <c r="AA1248">
        <v>0</v>
      </c>
      <c r="AB1248">
        <v>89.78</v>
      </c>
      <c r="AC1248">
        <v>79</v>
      </c>
      <c r="AD1248">
        <v>0</v>
      </c>
      <c r="AE1248">
        <v>10.79</v>
      </c>
      <c r="AF1248">
        <v>0</v>
      </c>
      <c r="AG1248">
        <v>0</v>
      </c>
      <c r="AH1248">
        <v>0</v>
      </c>
      <c r="AI1248">
        <v>0</v>
      </c>
      <c r="AJ1248">
        <v>89.79</v>
      </c>
      <c r="AK1248">
        <v>0.01</v>
      </c>
      <c r="AL1248" t="s">
        <v>53</v>
      </c>
      <c r="AM1248" t="s">
        <v>53</v>
      </c>
      <c r="AN1248" t="s">
        <v>2236</v>
      </c>
      <c r="AO1248" t="s">
        <v>53</v>
      </c>
      <c r="AP1248" t="s">
        <v>53</v>
      </c>
    </row>
    <row r="1249" spans="2:42" x14ac:dyDescent="0.2">
      <c r="B1249" t="s">
        <v>44</v>
      </c>
      <c r="C1249" t="str">
        <f>HYPERLINK("https://us2.cloudbeds.com/connect/8493803454333002#/reservations/598435111046?display=E1CDB419&amp;reservation_id=598435111046", "E1CDB419")</f>
        <v>E1CDB419</v>
      </c>
      <c r="D1249" t="s">
        <v>45</v>
      </c>
      <c r="E1249" t="s">
        <v>190</v>
      </c>
      <c r="F1249" t="s">
        <v>61</v>
      </c>
      <c r="G1249" t="s">
        <v>48</v>
      </c>
      <c r="H1249" t="s">
        <v>49</v>
      </c>
      <c r="I1249" t="s">
        <v>79</v>
      </c>
      <c r="J1249" t="s">
        <v>549</v>
      </c>
      <c r="K1249" t="s">
        <v>129</v>
      </c>
      <c r="L1249" t="s">
        <v>53</v>
      </c>
      <c r="N1249" t="s">
        <v>2237</v>
      </c>
      <c r="P1249" t="s">
        <v>55</v>
      </c>
      <c r="R1249" t="s">
        <v>56</v>
      </c>
      <c r="T1249" t="s">
        <v>2211</v>
      </c>
      <c r="U1249" t="s">
        <v>58</v>
      </c>
      <c r="V1249">
        <v>3</v>
      </c>
      <c r="W1249">
        <v>1</v>
      </c>
      <c r="X1249">
        <v>1</v>
      </c>
      <c r="Y1249">
        <v>0</v>
      </c>
      <c r="Z1249">
        <v>1</v>
      </c>
      <c r="AA1249">
        <v>0</v>
      </c>
      <c r="AB1249">
        <v>449.03</v>
      </c>
      <c r="AC1249">
        <v>395.1</v>
      </c>
      <c r="AD1249">
        <v>0</v>
      </c>
      <c r="AE1249">
        <v>53.91</v>
      </c>
      <c r="AF1249">
        <v>0</v>
      </c>
      <c r="AG1249">
        <v>0</v>
      </c>
      <c r="AH1249">
        <v>0</v>
      </c>
      <c r="AI1249">
        <v>0</v>
      </c>
      <c r="AJ1249">
        <v>449.01</v>
      </c>
      <c r="AK1249">
        <v>-0.02</v>
      </c>
      <c r="AL1249" t="s">
        <v>53</v>
      </c>
      <c r="AM1249" t="s">
        <v>53</v>
      </c>
      <c r="AN1249" t="s">
        <v>68</v>
      </c>
      <c r="AO1249" t="s">
        <v>53</v>
      </c>
      <c r="AP1249" t="s">
        <v>53</v>
      </c>
    </row>
    <row r="1250" spans="2:42" x14ac:dyDescent="0.2">
      <c r="B1250" t="s">
        <v>44</v>
      </c>
      <c r="C1250" t="str">
        <f>HYPERLINK("https://us2.cloudbeds.com/connect/8493803454333002#/reservations/598603342038?display=E1GN6D47&amp;reservation_id=598603342038", "E1GN6D47")</f>
        <v>E1GN6D47</v>
      </c>
      <c r="D1250" t="s">
        <v>45</v>
      </c>
      <c r="E1250" t="s">
        <v>46</v>
      </c>
      <c r="F1250" t="s">
        <v>47</v>
      </c>
      <c r="G1250" t="s">
        <v>48</v>
      </c>
      <c r="H1250" t="s">
        <v>71</v>
      </c>
      <c r="I1250" t="s">
        <v>72</v>
      </c>
      <c r="J1250" t="s">
        <v>1757</v>
      </c>
      <c r="K1250" t="s">
        <v>1988</v>
      </c>
      <c r="L1250" t="s">
        <v>53</v>
      </c>
      <c r="N1250" t="s">
        <v>2238</v>
      </c>
      <c r="P1250" t="s">
        <v>58</v>
      </c>
      <c r="R1250" t="s">
        <v>56</v>
      </c>
      <c r="T1250" t="s">
        <v>2211</v>
      </c>
      <c r="U1250" t="s">
        <v>58</v>
      </c>
      <c r="V1250">
        <v>2</v>
      </c>
      <c r="W1250">
        <v>1</v>
      </c>
      <c r="X1250">
        <v>1</v>
      </c>
      <c r="Y1250">
        <v>0</v>
      </c>
      <c r="Z1250">
        <v>1</v>
      </c>
      <c r="AA1250">
        <v>0</v>
      </c>
      <c r="AB1250">
        <v>190.93</v>
      </c>
      <c r="AC1250">
        <v>168</v>
      </c>
      <c r="AD1250">
        <v>0</v>
      </c>
      <c r="AE1250">
        <v>22.94</v>
      </c>
      <c r="AF1250">
        <v>0</v>
      </c>
      <c r="AG1250">
        <v>0</v>
      </c>
      <c r="AH1250">
        <v>0</v>
      </c>
      <c r="AI1250">
        <v>0</v>
      </c>
      <c r="AJ1250">
        <v>190.94</v>
      </c>
      <c r="AK1250">
        <v>0.01</v>
      </c>
      <c r="AL1250" t="s">
        <v>53</v>
      </c>
      <c r="AM1250" t="s">
        <v>53</v>
      </c>
      <c r="AN1250" t="s">
        <v>2239</v>
      </c>
      <c r="AO1250" t="s">
        <v>53</v>
      </c>
      <c r="AP1250" t="s">
        <v>53</v>
      </c>
    </row>
    <row r="1251" spans="2:42" x14ac:dyDescent="0.2">
      <c r="B1251" t="s">
        <v>44</v>
      </c>
      <c r="C1251" t="str">
        <f>HYPERLINK("https://us2.cloudbeds.com/connect/8493803454333002#/reservations/598137913584?display=E14QZ5EN&amp;reservation_id=598137913584", "E14QZ5EN")</f>
        <v>E14QZ5EN</v>
      </c>
      <c r="D1251" t="s">
        <v>45</v>
      </c>
      <c r="E1251" t="s">
        <v>46</v>
      </c>
      <c r="F1251" t="s">
        <v>47</v>
      </c>
      <c r="G1251" t="s">
        <v>48</v>
      </c>
      <c r="H1251" t="s">
        <v>49</v>
      </c>
      <c r="I1251" t="s">
        <v>50</v>
      </c>
      <c r="J1251" t="s">
        <v>1988</v>
      </c>
      <c r="K1251" t="s">
        <v>709</v>
      </c>
      <c r="L1251" t="s">
        <v>53</v>
      </c>
      <c r="N1251" t="s">
        <v>2240</v>
      </c>
      <c r="P1251" t="s">
        <v>55</v>
      </c>
      <c r="R1251" t="s">
        <v>118</v>
      </c>
      <c r="T1251" t="s">
        <v>2211</v>
      </c>
      <c r="U1251" t="s">
        <v>58</v>
      </c>
      <c r="V1251">
        <v>3</v>
      </c>
      <c r="W1251">
        <v>1</v>
      </c>
      <c r="X1251">
        <v>1</v>
      </c>
      <c r="Y1251">
        <v>0</v>
      </c>
      <c r="Z1251">
        <v>1</v>
      </c>
      <c r="AA1251">
        <v>0</v>
      </c>
      <c r="AB1251">
        <v>359.02</v>
      </c>
      <c r="AC1251">
        <v>315.89999999999998</v>
      </c>
      <c r="AD1251">
        <v>0</v>
      </c>
      <c r="AE1251">
        <v>43.14</v>
      </c>
      <c r="AF1251">
        <v>0</v>
      </c>
      <c r="AG1251">
        <v>0</v>
      </c>
      <c r="AH1251">
        <v>0</v>
      </c>
      <c r="AI1251">
        <v>64.63</v>
      </c>
      <c r="AJ1251">
        <v>359.04</v>
      </c>
      <c r="AK1251">
        <v>0.02</v>
      </c>
      <c r="AL1251" t="s">
        <v>53</v>
      </c>
      <c r="AM1251" t="s">
        <v>53</v>
      </c>
      <c r="AN1251" t="s">
        <v>225</v>
      </c>
      <c r="AO1251" t="s">
        <v>53</v>
      </c>
      <c r="AP1251" t="s">
        <v>53</v>
      </c>
    </row>
    <row r="1252" spans="2:42" x14ac:dyDescent="0.2">
      <c r="B1252" t="s">
        <v>44</v>
      </c>
      <c r="C1252" t="str">
        <f>HYPERLINK("https://us2.cloudbeds.com/connect/8493803454333002#/reservations/598146703505?display=E1514ZWV&amp;reservation_id=598146703505", "E1514ZWV")</f>
        <v>E1514ZWV</v>
      </c>
      <c r="D1252" t="s">
        <v>45</v>
      </c>
      <c r="E1252" t="s">
        <v>98</v>
      </c>
      <c r="F1252" t="s">
        <v>86</v>
      </c>
      <c r="G1252" t="s">
        <v>48</v>
      </c>
      <c r="H1252" t="s">
        <v>71</v>
      </c>
      <c r="I1252" t="s">
        <v>72</v>
      </c>
      <c r="J1252" t="s">
        <v>192</v>
      </c>
      <c r="K1252" t="s">
        <v>354</v>
      </c>
      <c r="L1252" t="s">
        <v>53</v>
      </c>
      <c r="N1252" t="s">
        <v>2241</v>
      </c>
      <c r="P1252" t="s">
        <v>55</v>
      </c>
      <c r="R1252" t="s">
        <v>56</v>
      </c>
      <c r="T1252" t="s">
        <v>2211</v>
      </c>
      <c r="U1252" t="s">
        <v>58</v>
      </c>
      <c r="V1252">
        <v>3</v>
      </c>
      <c r="W1252">
        <v>1</v>
      </c>
      <c r="X1252">
        <v>1</v>
      </c>
      <c r="Y1252">
        <v>0</v>
      </c>
      <c r="Z1252">
        <v>1</v>
      </c>
      <c r="AA1252">
        <v>0</v>
      </c>
      <c r="AB1252">
        <v>385.27</v>
      </c>
      <c r="AC1252">
        <v>339</v>
      </c>
      <c r="AD1252">
        <v>0</v>
      </c>
      <c r="AE1252">
        <v>46.29</v>
      </c>
      <c r="AF1252">
        <v>0</v>
      </c>
      <c r="AG1252">
        <v>0</v>
      </c>
      <c r="AH1252">
        <v>0</v>
      </c>
      <c r="AI1252">
        <v>0</v>
      </c>
      <c r="AJ1252">
        <v>385.29</v>
      </c>
      <c r="AK1252">
        <v>0.02</v>
      </c>
      <c r="AL1252" t="s">
        <v>53</v>
      </c>
      <c r="AM1252" t="s">
        <v>53</v>
      </c>
      <c r="AN1252" t="s">
        <v>2242</v>
      </c>
      <c r="AO1252" t="s">
        <v>53</v>
      </c>
      <c r="AP1252" t="s">
        <v>53</v>
      </c>
    </row>
    <row r="1253" spans="2:42" x14ac:dyDescent="0.2">
      <c r="B1253" t="s">
        <v>44</v>
      </c>
      <c r="C1253" t="str">
        <f>HYPERLINK("https://us2.cloudbeds.com/connect/8493803454333002#/reservations/598356185219?display=E1ACPTHY&amp;reservation_id=598356185219", "E1ACPTHY")</f>
        <v>E1ACPTHY</v>
      </c>
      <c r="D1253" t="s">
        <v>45</v>
      </c>
      <c r="E1253" t="s">
        <v>185</v>
      </c>
      <c r="F1253" t="s">
        <v>47</v>
      </c>
      <c r="G1253" t="s">
        <v>48</v>
      </c>
      <c r="H1253" t="s">
        <v>49</v>
      </c>
      <c r="I1253" t="s">
        <v>50</v>
      </c>
      <c r="J1253" t="s">
        <v>1757</v>
      </c>
      <c r="K1253" t="s">
        <v>281</v>
      </c>
      <c r="L1253" t="s">
        <v>53</v>
      </c>
      <c r="N1253" t="s">
        <v>2243</v>
      </c>
      <c r="P1253" t="s">
        <v>55</v>
      </c>
      <c r="R1253" t="s">
        <v>56</v>
      </c>
      <c r="T1253" t="s">
        <v>2211</v>
      </c>
      <c r="U1253" t="s">
        <v>58</v>
      </c>
      <c r="V1253">
        <v>1</v>
      </c>
      <c r="W1253">
        <v>1</v>
      </c>
      <c r="X1253">
        <v>1</v>
      </c>
      <c r="Y1253">
        <v>0</v>
      </c>
      <c r="Z1253">
        <v>1</v>
      </c>
      <c r="AA1253">
        <v>0</v>
      </c>
      <c r="AB1253">
        <v>78.760000000000005</v>
      </c>
      <c r="AC1253">
        <v>69.3</v>
      </c>
      <c r="AD1253">
        <v>0</v>
      </c>
      <c r="AE1253">
        <v>9.4700000000000006</v>
      </c>
      <c r="AF1253">
        <v>0</v>
      </c>
      <c r="AG1253">
        <v>0</v>
      </c>
      <c r="AH1253">
        <v>0</v>
      </c>
      <c r="AI1253">
        <v>14.18</v>
      </c>
      <c r="AJ1253">
        <v>78.77</v>
      </c>
      <c r="AK1253">
        <v>0.01</v>
      </c>
      <c r="AL1253" t="s">
        <v>53</v>
      </c>
      <c r="AM1253" t="s">
        <v>53</v>
      </c>
      <c r="AN1253" t="s">
        <v>349</v>
      </c>
      <c r="AO1253" t="s">
        <v>53</v>
      </c>
      <c r="AP1253" t="s">
        <v>53</v>
      </c>
    </row>
    <row r="1254" spans="2:42" x14ac:dyDescent="0.2">
      <c r="B1254" t="s">
        <v>44</v>
      </c>
      <c r="C1254" t="str">
        <f>HYPERLINK("https://us2.cloudbeds.com/connect/8493803454333002#/reservations/598599413890?display=E1GJT30F&amp;reservation_id=598599413890", "E1GJT30F")</f>
        <v>E1GJT30F</v>
      </c>
      <c r="D1254" t="s">
        <v>45</v>
      </c>
      <c r="E1254" t="s">
        <v>69</v>
      </c>
      <c r="F1254" t="s">
        <v>70</v>
      </c>
      <c r="G1254" t="s">
        <v>48</v>
      </c>
      <c r="H1254" t="s">
        <v>49</v>
      </c>
      <c r="I1254" t="s">
        <v>79</v>
      </c>
      <c r="J1254" t="s">
        <v>93</v>
      </c>
      <c r="K1254" t="s">
        <v>152</v>
      </c>
      <c r="L1254" t="s">
        <v>53</v>
      </c>
      <c r="N1254" t="s">
        <v>2244</v>
      </c>
      <c r="P1254" t="s">
        <v>55</v>
      </c>
      <c r="R1254" t="s">
        <v>56</v>
      </c>
      <c r="T1254" t="s">
        <v>2245</v>
      </c>
      <c r="U1254" t="s">
        <v>58</v>
      </c>
      <c r="V1254">
        <v>3</v>
      </c>
      <c r="W1254">
        <v>1</v>
      </c>
      <c r="X1254">
        <v>1</v>
      </c>
      <c r="Y1254">
        <v>0</v>
      </c>
      <c r="Z1254">
        <v>1</v>
      </c>
      <c r="AA1254">
        <v>0</v>
      </c>
      <c r="AB1254">
        <v>465.97</v>
      </c>
      <c r="AC1254">
        <v>410</v>
      </c>
      <c r="AD1254">
        <v>0</v>
      </c>
      <c r="AE1254">
        <v>55.94</v>
      </c>
      <c r="AF1254">
        <v>0</v>
      </c>
      <c r="AG1254">
        <v>0</v>
      </c>
      <c r="AH1254">
        <v>0</v>
      </c>
      <c r="AI1254">
        <v>0</v>
      </c>
      <c r="AJ1254">
        <v>465.94</v>
      </c>
      <c r="AK1254">
        <v>-0.03</v>
      </c>
      <c r="AL1254" t="s">
        <v>53</v>
      </c>
      <c r="AM1254" t="s">
        <v>53</v>
      </c>
      <c r="AN1254" t="s">
        <v>280</v>
      </c>
      <c r="AO1254" t="s">
        <v>53</v>
      </c>
      <c r="AP1254" t="s">
        <v>53</v>
      </c>
    </row>
    <row r="1255" spans="2:42" x14ac:dyDescent="0.2">
      <c r="B1255" t="s">
        <v>44</v>
      </c>
      <c r="C1255" t="str">
        <f>HYPERLINK("https://us2.cloudbeds.com/connect/8493803454333002#/reservations/598608294110?display=E1GRC6G1&amp;reservation_id=598608294110", "E1GRC6G1")</f>
        <v>E1GRC6G1</v>
      </c>
      <c r="D1255" t="s">
        <v>45</v>
      </c>
      <c r="E1255" t="s">
        <v>138</v>
      </c>
      <c r="F1255" t="s">
        <v>70</v>
      </c>
      <c r="G1255" t="s">
        <v>48</v>
      </c>
      <c r="H1255" t="s">
        <v>49</v>
      </c>
      <c r="I1255" t="s">
        <v>62</v>
      </c>
      <c r="J1255" t="s">
        <v>1473</v>
      </c>
      <c r="K1255" t="s">
        <v>1750</v>
      </c>
      <c r="L1255" t="s">
        <v>53</v>
      </c>
      <c r="N1255" t="s">
        <v>2246</v>
      </c>
      <c r="P1255" t="s">
        <v>55</v>
      </c>
      <c r="R1255" t="s">
        <v>56</v>
      </c>
      <c r="T1255" t="s">
        <v>2245</v>
      </c>
      <c r="U1255" t="s">
        <v>58</v>
      </c>
      <c r="V1255">
        <v>1</v>
      </c>
      <c r="W1255">
        <v>1</v>
      </c>
      <c r="X1255">
        <v>1</v>
      </c>
      <c r="Y1255">
        <v>0</v>
      </c>
      <c r="Z1255">
        <v>1</v>
      </c>
      <c r="AA1255">
        <v>0</v>
      </c>
      <c r="AB1255">
        <v>153.43</v>
      </c>
      <c r="AC1255">
        <v>135</v>
      </c>
      <c r="AD1255">
        <v>0</v>
      </c>
      <c r="AE1255">
        <v>18.440000000000001</v>
      </c>
      <c r="AF1255">
        <v>0</v>
      </c>
      <c r="AG1255">
        <v>0</v>
      </c>
      <c r="AH1255">
        <v>0</v>
      </c>
      <c r="AI1255">
        <v>23.02</v>
      </c>
      <c r="AJ1255">
        <v>153.44</v>
      </c>
      <c r="AK1255">
        <v>0.01</v>
      </c>
      <c r="AL1255" t="s">
        <v>53</v>
      </c>
      <c r="AM1255" t="s">
        <v>53</v>
      </c>
      <c r="AN1255" t="s">
        <v>132</v>
      </c>
      <c r="AO1255" t="s">
        <v>53</v>
      </c>
      <c r="AP1255" t="s">
        <v>53</v>
      </c>
    </row>
    <row r="1256" spans="2:42" x14ac:dyDescent="0.2">
      <c r="B1256" t="s">
        <v>44</v>
      </c>
      <c r="C1256" t="str">
        <f>HYPERLINK("https://us2.cloudbeds.com/connect/8493803454333002#/reservations/598469177495?display=E1D922C1&amp;reservation_id=598469177495", "E1D922C1")</f>
        <v>E1D922C1</v>
      </c>
      <c r="D1256" t="s">
        <v>45</v>
      </c>
      <c r="E1256" t="s">
        <v>213</v>
      </c>
      <c r="F1256" t="s">
        <v>86</v>
      </c>
      <c r="G1256" t="s">
        <v>48</v>
      </c>
      <c r="H1256" t="s">
        <v>49</v>
      </c>
      <c r="I1256" t="s">
        <v>50</v>
      </c>
      <c r="J1256" t="s">
        <v>309</v>
      </c>
      <c r="K1256" t="s">
        <v>549</v>
      </c>
      <c r="L1256" t="s">
        <v>53</v>
      </c>
      <c r="N1256" t="s">
        <v>2247</v>
      </c>
      <c r="P1256" t="s">
        <v>55</v>
      </c>
      <c r="R1256" t="s">
        <v>56</v>
      </c>
      <c r="T1256" t="s">
        <v>2245</v>
      </c>
      <c r="U1256" t="s">
        <v>58</v>
      </c>
      <c r="V1256">
        <v>2</v>
      </c>
      <c r="W1256">
        <v>1</v>
      </c>
      <c r="X1256">
        <v>1</v>
      </c>
      <c r="Y1256">
        <v>0</v>
      </c>
      <c r="Z1256">
        <v>1</v>
      </c>
      <c r="AA1256">
        <v>0</v>
      </c>
      <c r="AB1256">
        <v>340.95</v>
      </c>
      <c r="AC1256">
        <v>300</v>
      </c>
      <c r="AD1256">
        <v>0</v>
      </c>
      <c r="AE1256">
        <v>40.96</v>
      </c>
      <c r="AF1256">
        <v>0</v>
      </c>
      <c r="AG1256">
        <v>0</v>
      </c>
      <c r="AH1256">
        <v>0</v>
      </c>
      <c r="AI1256">
        <v>61.37</v>
      </c>
      <c r="AJ1256">
        <v>340.96</v>
      </c>
      <c r="AK1256">
        <v>0.01</v>
      </c>
      <c r="AL1256" t="s">
        <v>53</v>
      </c>
      <c r="AM1256" t="s">
        <v>53</v>
      </c>
      <c r="AN1256" t="s">
        <v>349</v>
      </c>
      <c r="AO1256" t="s">
        <v>53</v>
      </c>
      <c r="AP1256" t="s">
        <v>53</v>
      </c>
    </row>
    <row r="1257" spans="2:42" x14ac:dyDescent="0.2">
      <c r="B1257" t="s">
        <v>44</v>
      </c>
      <c r="C1257" t="str">
        <f>HYPERLINK("https://us2.cloudbeds.com/connect/8493803454333002#/reservations/598566228187?display=E1FZTYF2&amp;reservation_id=598566228187", "E1FZTYF2")</f>
        <v>E1FZTYF2</v>
      </c>
      <c r="D1257" t="s">
        <v>45</v>
      </c>
      <c r="E1257" t="s">
        <v>487</v>
      </c>
      <c r="F1257" t="s">
        <v>61</v>
      </c>
      <c r="G1257" t="s">
        <v>48</v>
      </c>
      <c r="H1257" t="s">
        <v>49</v>
      </c>
      <c r="I1257" t="s">
        <v>50</v>
      </c>
      <c r="J1257" t="s">
        <v>259</v>
      </c>
      <c r="K1257" t="s">
        <v>292</v>
      </c>
      <c r="L1257" t="s">
        <v>53</v>
      </c>
      <c r="N1257" t="s">
        <v>2248</v>
      </c>
      <c r="P1257" t="s">
        <v>55</v>
      </c>
      <c r="R1257" t="s">
        <v>56</v>
      </c>
      <c r="T1257" t="s">
        <v>2245</v>
      </c>
      <c r="U1257" t="s">
        <v>58</v>
      </c>
      <c r="V1257">
        <v>2</v>
      </c>
      <c r="W1257">
        <v>1</v>
      </c>
      <c r="X1257">
        <v>1</v>
      </c>
      <c r="Y1257">
        <v>0</v>
      </c>
      <c r="Z1257">
        <v>1</v>
      </c>
      <c r="AA1257">
        <v>0</v>
      </c>
      <c r="AB1257">
        <v>274.12</v>
      </c>
      <c r="AC1257">
        <v>241.2</v>
      </c>
      <c r="AD1257">
        <v>0</v>
      </c>
      <c r="AE1257">
        <v>32.92</v>
      </c>
      <c r="AF1257">
        <v>0</v>
      </c>
      <c r="AG1257">
        <v>0</v>
      </c>
      <c r="AH1257">
        <v>0</v>
      </c>
      <c r="AI1257">
        <v>49.34</v>
      </c>
      <c r="AJ1257">
        <v>274.12</v>
      </c>
      <c r="AK1257">
        <v>0</v>
      </c>
      <c r="AL1257" t="s">
        <v>53</v>
      </c>
      <c r="AM1257" t="s">
        <v>53</v>
      </c>
      <c r="AN1257" t="s">
        <v>146</v>
      </c>
      <c r="AO1257" t="s">
        <v>53</v>
      </c>
      <c r="AP1257" t="s">
        <v>53</v>
      </c>
    </row>
    <row r="1258" spans="2:42" x14ac:dyDescent="0.2">
      <c r="B1258" t="s">
        <v>44</v>
      </c>
      <c r="C1258" t="str">
        <f>HYPERLINK("https://us2.cloudbeds.com/connect/8493803454333002#/reservations/598481465502?display=E1DJE03T&amp;reservation_id=598481465502", "E1DJE03T")</f>
        <v>E1DJE03T</v>
      </c>
      <c r="D1258" t="s">
        <v>45</v>
      </c>
      <c r="E1258" t="s">
        <v>223</v>
      </c>
      <c r="F1258" t="s">
        <v>47</v>
      </c>
      <c r="G1258" t="s">
        <v>48</v>
      </c>
      <c r="H1258" t="s">
        <v>49</v>
      </c>
      <c r="I1258" t="s">
        <v>114</v>
      </c>
      <c r="J1258" t="s">
        <v>1244</v>
      </c>
      <c r="K1258" t="s">
        <v>618</v>
      </c>
      <c r="L1258" t="s">
        <v>53</v>
      </c>
      <c r="N1258" t="s">
        <v>2249</v>
      </c>
      <c r="P1258" t="s">
        <v>55</v>
      </c>
      <c r="R1258" t="s">
        <v>56</v>
      </c>
      <c r="T1258" t="s">
        <v>2245</v>
      </c>
      <c r="U1258" t="s">
        <v>58</v>
      </c>
      <c r="V1258">
        <v>1</v>
      </c>
      <c r="W1258">
        <v>1</v>
      </c>
      <c r="X1258">
        <v>1</v>
      </c>
      <c r="Y1258">
        <v>0</v>
      </c>
      <c r="Z1258">
        <v>1</v>
      </c>
      <c r="AA1258">
        <v>0</v>
      </c>
      <c r="AB1258">
        <v>109.1</v>
      </c>
      <c r="AC1258">
        <v>96</v>
      </c>
      <c r="AD1258">
        <v>0</v>
      </c>
      <c r="AE1258">
        <v>13.1</v>
      </c>
      <c r="AF1258">
        <v>0</v>
      </c>
      <c r="AG1258">
        <v>0</v>
      </c>
      <c r="AH1258">
        <v>0</v>
      </c>
      <c r="AI1258">
        <v>0</v>
      </c>
      <c r="AJ1258">
        <v>109.1</v>
      </c>
      <c r="AK1258">
        <v>0</v>
      </c>
      <c r="AL1258" t="s">
        <v>53</v>
      </c>
      <c r="AM1258" t="s">
        <v>53</v>
      </c>
      <c r="AN1258" t="s">
        <v>2250</v>
      </c>
      <c r="AO1258" t="s">
        <v>53</v>
      </c>
      <c r="AP1258" t="s">
        <v>53</v>
      </c>
    </row>
    <row r="1259" spans="2:42" x14ac:dyDescent="0.2">
      <c r="B1259" t="s">
        <v>44</v>
      </c>
      <c r="C1259" t="str">
        <f>HYPERLINK("https://us2.cloudbeds.com/connect/8493803454333002#/reservations/598283354244?display=E18HC8PE&amp;reservation_id=598283354244", "E18HC8PE")</f>
        <v>E18HC8PE</v>
      </c>
      <c r="D1259" t="s">
        <v>45</v>
      </c>
      <c r="E1259" t="s">
        <v>105</v>
      </c>
      <c r="F1259" t="s">
        <v>47</v>
      </c>
      <c r="G1259" t="s">
        <v>48</v>
      </c>
      <c r="H1259" t="s">
        <v>71</v>
      </c>
      <c r="I1259" t="s">
        <v>72</v>
      </c>
      <c r="J1259" t="s">
        <v>281</v>
      </c>
      <c r="K1259" t="s">
        <v>1988</v>
      </c>
      <c r="L1259" t="s">
        <v>53</v>
      </c>
      <c r="N1259" t="s">
        <v>2251</v>
      </c>
      <c r="P1259" t="s">
        <v>58</v>
      </c>
      <c r="R1259" t="s">
        <v>56</v>
      </c>
      <c r="T1259" t="s">
        <v>2245</v>
      </c>
      <c r="U1259" t="s">
        <v>58</v>
      </c>
      <c r="V1259">
        <v>1</v>
      </c>
      <c r="W1259">
        <v>1</v>
      </c>
      <c r="X1259">
        <v>1</v>
      </c>
      <c r="Y1259">
        <v>0</v>
      </c>
      <c r="Z1259">
        <v>1</v>
      </c>
      <c r="AA1259">
        <v>0</v>
      </c>
      <c r="AB1259">
        <v>102.29</v>
      </c>
      <c r="AC1259">
        <v>90</v>
      </c>
      <c r="AD1259">
        <v>0</v>
      </c>
      <c r="AE1259">
        <v>12.29</v>
      </c>
      <c r="AF1259">
        <v>0</v>
      </c>
      <c r="AG1259">
        <v>0</v>
      </c>
      <c r="AH1259">
        <v>0</v>
      </c>
      <c r="AI1259">
        <v>0</v>
      </c>
      <c r="AJ1259">
        <v>102.29</v>
      </c>
      <c r="AK1259">
        <v>0</v>
      </c>
      <c r="AL1259" t="s">
        <v>53</v>
      </c>
      <c r="AM1259" t="s">
        <v>53</v>
      </c>
      <c r="AN1259" t="s">
        <v>378</v>
      </c>
      <c r="AO1259" t="s">
        <v>53</v>
      </c>
      <c r="AP1259" t="s">
        <v>53</v>
      </c>
    </row>
    <row r="1260" spans="2:42" x14ac:dyDescent="0.2">
      <c r="B1260" t="s">
        <v>44</v>
      </c>
      <c r="C1260" t="str">
        <f>HYPERLINK("https://us2.cloudbeds.com/connect/8493803454333002#/reservations/598579933433?display=E1G3F0KJ&amp;reservation_id=598579933433", "E1G3F0KJ")</f>
        <v>E1G3F0KJ</v>
      </c>
      <c r="D1260" t="s">
        <v>45</v>
      </c>
      <c r="E1260" t="s">
        <v>105</v>
      </c>
      <c r="F1260" t="s">
        <v>47</v>
      </c>
      <c r="G1260" t="s">
        <v>48</v>
      </c>
      <c r="H1260" t="s">
        <v>49</v>
      </c>
      <c r="I1260" t="s">
        <v>50</v>
      </c>
      <c r="J1260" t="s">
        <v>938</v>
      </c>
      <c r="K1260" t="s">
        <v>359</v>
      </c>
      <c r="L1260" t="s">
        <v>53</v>
      </c>
      <c r="N1260" t="s">
        <v>2252</v>
      </c>
      <c r="P1260" t="s">
        <v>55</v>
      </c>
      <c r="R1260" t="s">
        <v>56</v>
      </c>
      <c r="T1260" t="s">
        <v>2245</v>
      </c>
      <c r="U1260" t="s">
        <v>58</v>
      </c>
      <c r="V1260">
        <v>1</v>
      </c>
      <c r="W1260">
        <v>1</v>
      </c>
      <c r="X1260">
        <v>1</v>
      </c>
      <c r="Y1260">
        <v>0</v>
      </c>
      <c r="Z1260">
        <v>1</v>
      </c>
      <c r="AA1260">
        <v>0</v>
      </c>
      <c r="AB1260">
        <v>107.4</v>
      </c>
      <c r="AC1260">
        <v>94.5</v>
      </c>
      <c r="AD1260">
        <v>0</v>
      </c>
      <c r="AE1260">
        <v>12.9</v>
      </c>
      <c r="AF1260">
        <v>0</v>
      </c>
      <c r="AG1260">
        <v>0</v>
      </c>
      <c r="AH1260">
        <v>0</v>
      </c>
      <c r="AI1260">
        <v>19.329999999999998</v>
      </c>
      <c r="AJ1260">
        <v>107.4</v>
      </c>
      <c r="AK1260">
        <v>0</v>
      </c>
      <c r="AL1260" t="s">
        <v>53</v>
      </c>
      <c r="AM1260" t="s">
        <v>53</v>
      </c>
      <c r="AN1260" t="s">
        <v>332</v>
      </c>
      <c r="AO1260" t="s">
        <v>53</v>
      </c>
      <c r="AP1260" t="s">
        <v>53</v>
      </c>
    </row>
    <row r="1261" spans="2:42" x14ac:dyDescent="0.2">
      <c r="B1261" t="s">
        <v>44</v>
      </c>
      <c r="C1261" t="str">
        <f>HYPERLINK("https://us2.cloudbeds.com/connect/8493803454333002#/reservations/598203986157?display=E16GEZ4T&amp;reservation_id=598203986157", "E16GEZ4T")</f>
        <v>E16GEZ4T</v>
      </c>
      <c r="D1261" t="s">
        <v>45</v>
      </c>
      <c r="E1261" t="s">
        <v>265</v>
      </c>
      <c r="F1261" t="s">
        <v>61</v>
      </c>
      <c r="G1261" t="s">
        <v>48</v>
      </c>
      <c r="H1261" t="s">
        <v>49</v>
      </c>
      <c r="I1261" t="s">
        <v>50</v>
      </c>
      <c r="J1261" t="s">
        <v>289</v>
      </c>
      <c r="K1261" t="s">
        <v>180</v>
      </c>
      <c r="L1261" t="s">
        <v>53</v>
      </c>
      <c r="N1261" t="s">
        <v>2253</v>
      </c>
      <c r="P1261" t="s">
        <v>55</v>
      </c>
      <c r="R1261" t="s">
        <v>56</v>
      </c>
      <c r="T1261" t="s">
        <v>2245</v>
      </c>
      <c r="U1261" t="s">
        <v>58</v>
      </c>
      <c r="V1261">
        <v>2</v>
      </c>
      <c r="W1261">
        <v>1</v>
      </c>
      <c r="X1261">
        <v>1</v>
      </c>
      <c r="Y1261">
        <v>0</v>
      </c>
      <c r="Z1261">
        <v>1</v>
      </c>
      <c r="AA1261">
        <v>0</v>
      </c>
      <c r="AB1261">
        <v>310.95</v>
      </c>
      <c r="AC1261">
        <v>273.60000000000002</v>
      </c>
      <c r="AD1261">
        <v>0</v>
      </c>
      <c r="AE1261">
        <v>37.36</v>
      </c>
      <c r="AF1261">
        <v>0</v>
      </c>
      <c r="AG1261">
        <v>0</v>
      </c>
      <c r="AH1261">
        <v>0</v>
      </c>
      <c r="AI1261">
        <v>55.97</v>
      </c>
      <c r="AJ1261">
        <v>310.95999999999998</v>
      </c>
      <c r="AK1261">
        <v>0.01</v>
      </c>
      <c r="AL1261" t="s">
        <v>53</v>
      </c>
      <c r="AM1261" t="s">
        <v>53</v>
      </c>
      <c r="AN1261" t="s">
        <v>413</v>
      </c>
      <c r="AO1261" t="s">
        <v>53</v>
      </c>
      <c r="AP1261" t="s">
        <v>53</v>
      </c>
    </row>
    <row r="1262" spans="2:42" x14ac:dyDescent="0.2">
      <c r="B1262" t="s">
        <v>44</v>
      </c>
      <c r="C1262" t="str">
        <f>HYPERLINK("https://us2.cloudbeds.com/connect/8493803454333002#/reservations/598380564734?display=E1B0B9JS&amp;reservation_id=598380564734", "E1B0B9JS")</f>
        <v>E1B0B9JS</v>
      </c>
      <c r="D1262" t="s">
        <v>45</v>
      </c>
      <c r="E1262" t="s">
        <v>69</v>
      </c>
      <c r="F1262" t="s">
        <v>70</v>
      </c>
      <c r="G1262" t="s">
        <v>48</v>
      </c>
      <c r="H1262" t="s">
        <v>49</v>
      </c>
      <c r="I1262" t="s">
        <v>62</v>
      </c>
      <c r="J1262" t="s">
        <v>281</v>
      </c>
      <c r="K1262" t="s">
        <v>1988</v>
      </c>
      <c r="L1262" t="s">
        <v>53</v>
      </c>
      <c r="N1262" t="s">
        <v>2254</v>
      </c>
      <c r="P1262" t="s">
        <v>55</v>
      </c>
      <c r="R1262" t="s">
        <v>56</v>
      </c>
      <c r="T1262" t="s">
        <v>2245</v>
      </c>
      <c r="U1262" t="s">
        <v>58</v>
      </c>
      <c r="V1262">
        <v>1</v>
      </c>
      <c r="W1262">
        <v>1</v>
      </c>
      <c r="X1262">
        <v>1</v>
      </c>
      <c r="Y1262">
        <v>0</v>
      </c>
      <c r="Z1262">
        <v>1</v>
      </c>
      <c r="AA1262">
        <v>0</v>
      </c>
      <c r="AB1262">
        <v>105.01</v>
      </c>
      <c r="AC1262">
        <v>92.4</v>
      </c>
      <c r="AD1262">
        <v>0</v>
      </c>
      <c r="AE1262">
        <v>12.61</v>
      </c>
      <c r="AF1262">
        <v>0</v>
      </c>
      <c r="AG1262">
        <v>0</v>
      </c>
      <c r="AH1262">
        <v>0</v>
      </c>
      <c r="AI1262">
        <v>15.75</v>
      </c>
      <c r="AJ1262">
        <v>105.01</v>
      </c>
      <c r="AK1262">
        <v>0</v>
      </c>
      <c r="AL1262" t="s">
        <v>53</v>
      </c>
      <c r="AM1262" t="s">
        <v>53</v>
      </c>
      <c r="AN1262" t="s">
        <v>760</v>
      </c>
      <c r="AO1262" t="s">
        <v>53</v>
      </c>
      <c r="AP1262" t="s">
        <v>53</v>
      </c>
    </row>
    <row r="1263" spans="2:42" x14ac:dyDescent="0.2">
      <c r="B1263" t="s">
        <v>44</v>
      </c>
      <c r="C1263" t="str">
        <f>HYPERLINK("https://us2.cloudbeds.com/connect/8493803454333002#/reservations/598435881123?display=E1CDWX62&amp;reservation_id=598435881123", "E1CDWX62")</f>
        <v>E1CDWX62</v>
      </c>
      <c r="D1263" t="s">
        <v>45</v>
      </c>
      <c r="E1263" t="s">
        <v>190</v>
      </c>
      <c r="F1263" t="s">
        <v>61</v>
      </c>
      <c r="G1263" t="s">
        <v>48</v>
      </c>
      <c r="H1263" t="s">
        <v>49</v>
      </c>
      <c r="I1263" t="s">
        <v>50</v>
      </c>
      <c r="J1263" t="s">
        <v>1988</v>
      </c>
      <c r="K1263" t="s">
        <v>1027</v>
      </c>
      <c r="L1263" t="s">
        <v>53</v>
      </c>
      <c r="N1263" t="s">
        <v>2255</v>
      </c>
      <c r="P1263" t="s">
        <v>55</v>
      </c>
      <c r="R1263" t="s">
        <v>56</v>
      </c>
      <c r="T1263" t="s">
        <v>2245</v>
      </c>
      <c r="U1263" t="s">
        <v>58</v>
      </c>
      <c r="V1263">
        <v>2</v>
      </c>
      <c r="W1263">
        <v>1</v>
      </c>
      <c r="X1263">
        <v>1</v>
      </c>
      <c r="Y1263">
        <v>0</v>
      </c>
      <c r="Z1263">
        <v>1</v>
      </c>
      <c r="AA1263">
        <v>0</v>
      </c>
      <c r="AB1263">
        <v>252.64</v>
      </c>
      <c r="AC1263">
        <v>222.3</v>
      </c>
      <c r="AD1263">
        <v>0</v>
      </c>
      <c r="AE1263">
        <v>30.34</v>
      </c>
      <c r="AF1263">
        <v>0</v>
      </c>
      <c r="AG1263">
        <v>0</v>
      </c>
      <c r="AH1263">
        <v>0</v>
      </c>
      <c r="AI1263">
        <v>45.48</v>
      </c>
      <c r="AJ1263">
        <v>252.64</v>
      </c>
      <c r="AK1263">
        <v>0</v>
      </c>
      <c r="AL1263" t="s">
        <v>53</v>
      </c>
      <c r="AM1263" t="s">
        <v>53</v>
      </c>
      <c r="AN1263" t="s">
        <v>225</v>
      </c>
      <c r="AO1263" t="s">
        <v>53</v>
      </c>
      <c r="AP1263" t="s">
        <v>53</v>
      </c>
    </row>
    <row r="1264" spans="2:42" x14ac:dyDescent="0.2">
      <c r="B1264" t="s">
        <v>44</v>
      </c>
      <c r="C1264" t="str">
        <f>HYPERLINK("https://us2.cloudbeds.com/connect/8493803454333002#/reservations/598503702744?display=E1E55PWN&amp;reservation_id=598503702744", "E1E55PWN")</f>
        <v>E1E55PWN</v>
      </c>
      <c r="D1264" t="s">
        <v>45</v>
      </c>
      <c r="E1264" t="s">
        <v>110</v>
      </c>
      <c r="F1264" t="s">
        <v>47</v>
      </c>
      <c r="G1264" t="s">
        <v>48</v>
      </c>
      <c r="H1264" t="s">
        <v>49</v>
      </c>
      <c r="I1264" t="s">
        <v>50</v>
      </c>
      <c r="J1264" t="s">
        <v>281</v>
      </c>
      <c r="K1264" t="s">
        <v>1988</v>
      </c>
      <c r="L1264" t="s">
        <v>53</v>
      </c>
      <c r="N1264" t="s">
        <v>2256</v>
      </c>
      <c r="P1264" t="s">
        <v>55</v>
      </c>
      <c r="R1264" t="s">
        <v>56</v>
      </c>
      <c r="T1264" t="s">
        <v>2245</v>
      </c>
      <c r="U1264" t="s">
        <v>58</v>
      </c>
      <c r="V1264">
        <v>1</v>
      </c>
      <c r="W1264">
        <v>1</v>
      </c>
      <c r="X1264">
        <v>1</v>
      </c>
      <c r="Y1264">
        <v>0</v>
      </c>
      <c r="Z1264">
        <v>1</v>
      </c>
      <c r="AA1264">
        <v>0</v>
      </c>
      <c r="AB1264">
        <v>103.31</v>
      </c>
      <c r="AC1264">
        <v>90.9</v>
      </c>
      <c r="AD1264">
        <v>0</v>
      </c>
      <c r="AE1264">
        <v>12.41</v>
      </c>
      <c r="AF1264">
        <v>0</v>
      </c>
      <c r="AG1264">
        <v>0</v>
      </c>
      <c r="AH1264">
        <v>0</v>
      </c>
      <c r="AI1264">
        <v>18.600000000000001</v>
      </c>
      <c r="AJ1264">
        <v>103.31</v>
      </c>
      <c r="AK1264">
        <v>0</v>
      </c>
      <c r="AL1264" t="s">
        <v>53</v>
      </c>
      <c r="AM1264" t="s">
        <v>53</v>
      </c>
      <c r="AN1264" t="s">
        <v>68</v>
      </c>
      <c r="AO1264" t="s">
        <v>53</v>
      </c>
      <c r="AP1264" t="s">
        <v>53</v>
      </c>
    </row>
    <row r="1265" spans="2:42" x14ac:dyDescent="0.2">
      <c r="B1265" t="s">
        <v>44</v>
      </c>
      <c r="C1265" t="str">
        <f>HYPERLINK("https://us2.cloudbeds.com/connect/8493803454333002#/reservations/598403784925?display=E1BJUE2W&amp;reservation_id=598403784925", "E1BJUE2W")</f>
        <v>E1BJUE2W</v>
      </c>
      <c r="D1265" t="s">
        <v>45</v>
      </c>
      <c r="E1265" t="s">
        <v>69</v>
      </c>
      <c r="F1265" t="s">
        <v>70</v>
      </c>
      <c r="G1265" t="s">
        <v>48</v>
      </c>
      <c r="H1265" t="s">
        <v>49</v>
      </c>
      <c r="I1265" t="s">
        <v>50</v>
      </c>
      <c r="J1265" t="s">
        <v>191</v>
      </c>
      <c r="K1265" t="s">
        <v>192</v>
      </c>
      <c r="L1265" t="s">
        <v>53</v>
      </c>
      <c r="N1265" t="s">
        <v>2257</v>
      </c>
      <c r="P1265" t="s">
        <v>55</v>
      </c>
      <c r="R1265" t="s">
        <v>56</v>
      </c>
      <c r="T1265" t="s">
        <v>2245</v>
      </c>
      <c r="U1265" t="s">
        <v>58</v>
      </c>
      <c r="V1265">
        <v>1</v>
      </c>
      <c r="W1265">
        <v>1</v>
      </c>
      <c r="X1265">
        <v>1</v>
      </c>
      <c r="Y1265">
        <v>0</v>
      </c>
      <c r="Z1265">
        <v>1</v>
      </c>
      <c r="AA1265">
        <v>0</v>
      </c>
      <c r="AB1265">
        <v>95.13</v>
      </c>
      <c r="AC1265">
        <v>83.7</v>
      </c>
      <c r="AD1265">
        <v>0</v>
      </c>
      <c r="AE1265">
        <v>11.42</v>
      </c>
      <c r="AF1265">
        <v>0</v>
      </c>
      <c r="AG1265">
        <v>0</v>
      </c>
      <c r="AH1265">
        <v>0</v>
      </c>
      <c r="AI1265">
        <v>17.12</v>
      </c>
      <c r="AJ1265">
        <v>95.12</v>
      </c>
      <c r="AK1265">
        <v>-0.01</v>
      </c>
      <c r="AL1265" t="s">
        <v>53</v>
      </c>
      <c r="AM1265" t="s">
        <v>53</v>
      </c>
      <c r="AN1265" t="s">
        <v>159</v>
      </c>
      <c r="AO1265" t="s">
        <v>53</v>
      </c>
      <c r="AP1265" t="s">
        <v>53</v>
      </c>
    </row>
    <row r="1266" spans="2:42" x14ac:dyDescent="0.2">
      <c r="B1266" t="s">
        <v>44</v>
      </c>
      <c r="C1266" t="str">
        <f>HYPERLINK("https://us2.cloudbeds.com/connect/8493803454333002#/reservations/598384181437?display=E1B3CUNU&amp;reservation_id=598384181437", "E1B3CUNU")</f>
        <v>E1B3CUNU</v>
      </c>
      <c r="D1266" t="s">
        <v>45</v>
      </c>
      <c r="E1266" t="s">
        <v>138</v>
      </c>
      <c r="F1266" t="s">
        <v>70</v>
      </c>
      <c r="G1266" t="s">
        <v>48</v>
      </c>
      <c r="H1266" t="s">
        <v>71</v>
      </c>
      <c r="I1266" t="s">
        <v>72</v>
      </c>
      <c r="J1266" t="s">
        <v>281</v>
      </c>
      <c r="K1266" t="s">
        <v>1988</v>
      </c>
      <c r="L1266" t="s">
        <v>53</v>
      </c>
      <c r="N1266" t="s">
        <v>2258</v>
      </c>
      <c r="P1266" t="s">
        <v>58</v>
      </c>
      <c r="R1266" t="s">
        <v>56</v>
      </c>
      <c r="T1266" t="s">
        <v>2245</v>
      </c>
      <c r="U1266" t="s">
        <v>58</v>
      </c>
      <c r="V1266">
        <v>1</v>
      </c>
      <c r="W1266">
        <v>1</v>
      </c>
      <c r="X1266">
        <v>1</v>
      </c>
      <c r="Y1266">
        <v>0</v>
      </c>
      <c r="Z1266">
        <v>1</v>
      </c>
      <c r="AA1266">
        <v>0</v>
      </c>
      <c r="AB1266">
        <v>85.24</v>
      </c>
      <c r="AC1266">
        <v>75</v>
      </c>
      <c r="AD1266">
        <v>0</v>
      </c>
      <c r="AE1266">
        <v>10.25</v>
      </c>
      <c r="AF1266">
        <v>0</v>
      </c>
      <c r="AG1266">
        <v>0</v>
      </c>
      <c r="AH1266">
        <v>0</v>
      </c>
      <c r="AI1266">
        <v>0</v>
      </c>
      <c r="AJ1266">
        <v>85.25</v>
      </c>
      <c r="AK1266">
        <v>0.01</v>
      </c>
      <c r="AL1266" t="s">
        <v>53</v>
      </c>
      <c r="AM1266" t="s">
        <v>53</v>
      </c>
      <c r="AN1266" t="s">
        <v>378</v>
      </c>
      <c r="AO1266" t="s">
        <v>53</v>
      </c>
      <c r="AP1266" t="s">
        <v>53</v>
      </c>
    </row>
    <row r="1267" spans="2:42" x14ac:dyDescent="0.2">
      <c r="B1267" t="s">
        <v>44</v>
      </c>
      <c r="C1267" t="str">
        <f>HYPERLINK("https://us2.cloudbeds.com/connect/8493803454333002#/reservations/598384173272?display=E1B3CN7G&amp;reservation_id=598384173272", "E1B3CN7G")</f>
        <v>E1B3CN7G</v>
      </c>
      <c r="D1267" t="s">
        <v>45</v>
      </c>
      <c r="E1267" t="s">
        <v>78</v>
      </c>
      <c r="F1267" t="s">
        <v>61</v>
      </c>
      <c r="G1267" t="s">
        <v>48</v>
      </c>
      <c r="H1267" t="s">
        <v>49</v>
      </c>
      <c r="I1267" t="s">
        <v>62</v>
      </c>
      <c r="J1267" t="s">
        <v>354</v>
      </c>
      <c r="K1267" t="s">
        <v>360</v>
      </c>
      <c r="L1267" t="s">
        <v>53</v>
      </c>
      <c r="N1267" t="s">
        <v>2259</v>
      </c>
      <c r="P1267" t="s">
        <v>55</v>
      </c>
      <c r="R1267" t="s">
        <v>56</v>
      </c>
      <c r="T1267" t="s">
        <v>2245</v>
      </c>
      <c r="U1267" t="s">
        <v>58</v>
      </c>
      <c r="V1267">
        <v>3</v>
      </c>
      <c r="W1267">
        <v>1</v>
      </c>
      <c r="X1267">
        <v>1</v>
      </c>
      <c r="Y1267">
        <v>0</v>
      </c>
      <c r="Z1267">
        <v>1</v>
      </c>
      <c r="AA1267">
        <v>0</v>
      </c>
      <c r="AB1267">
        <v>397.78</v>
      </c>
      <c r="AC1267">
        <v>350</v>
      </c>
      <c r="AD1267">
        <v>0</v>
      </c>
      <c r="AE1267">
        <v>47.75</v>
      </c>
      <c r="AF1267">
        <v>0</v>
      </c>
      <c r="AG1267">
        <v>0</v>
      </c>
      <c r="AH1267">
        <v>0</v>
      </c>
      <c r="AI1267">
        <v>59.66</v>
      </c>
      <c r="AJ1267">
        <v>397.75</v>
      </c>
      <c r="AK1267">
        <v>-0.03</v>
      </c>
      <c r="AL1267" t="s">
        <v>53</v>
      </c>
      <c r="AM1267" t="s">
        <v>53</v>
      </c>
      <c r="AN1267" t="s">
        <v>132</v>
      </c>
      <c r="AO1267" t="s">
        <v>53</v>
      </c>
      <c r="AP1267" t="s">
        <v>53</v>
      </c>
    </row>
    <row r="1268" spans="2:42" x14ac:dyDescent="0.2">
      <c r="B1268" t="s">
        <v>44</v>
      </c>
      <c r="C1268" t="str">
        <f>HYPERLINK("https://us2.cloudbeds.com/connect/8493803454333002#/reservations/598427074759?display=E1C6XGHX&amp;reservation_id=598427074759", "E1C6XGHX")</f>
        <v>E1C6XGHX</v>
      </c>
      <c r="D1268" t="s">
        <v>45</v>
      </c>
      <c r="E1268" t="s">
        <v>121</v>
      </c>
      <c r="F1268" t="s">
        <v>86</v>
      </c>
      <c r="G1268" t="s">
        <v>48</v>
      </c>
      <c r="H1268" t="s">
        <v>49</v>
      </c>
      <c r="I1268" t="s">
        <v>79</v>
      </c>
      <c r="J1268" t="s">
        <v>970</v>
      </c>
      <c r="K1268" t="s">
        <v>288</v>
      </c>
      <c r="L1268" t="s">
        <v>53</v>
      </c>
      <c r="N1268" t="s">
        <v>2260</v>
      </c>
      <c r="P1268" t="s">
        <v>55</v>
      </c>
      <c r="R1268" t="s">
        <v>56</v>
      </c>
      <c r="T1268" t="s">
        <v>2245</v>
      </c>
      <c r="U1268" t="s">
        <v>58</v>
      </c>
      <c r="V1268">
        <v>1</v>
      </c>
      <c r="W1268">
        <v>1</v>
      </c>
      <c r="X1268">
        <v>1</v>
      </c>
      <c r="Y1268">
        <v>0</v>
      </c>
      <c r="Z1268">
        <v>1</v>
      </c>
      <c r="AA1268">
        <v>0</v>
      </c>
      <c r="AB1268">
        <v>153.43</v>
      </c>
      <c r="AC1268">
        <v>135</v>
      </c>
      <c r="AD1268">
        <v>0</v>
      </c>
      <c r="AE1268">
        <v>18.440000000000001</v>
      </c>
      <c r="AF1268">
        <v>0</v>
      </c>
      <c r="AG1268">
        <v>0</v>
      </c>
      <c r="AH1268">
        <v>0</v>
      </c>
      <c r="AI1268">
        <v>0</v>
      </c>
      <c r="AJ1268">
        <v>153.44</v>
      </c>
      <c r="AK1268">
        <v>0.01</v>
      </c>
      <c r="AL1268" t="s">
        <v>53</v>
      </c>
      <c r="AM1268" t="s">
        <v>53</v>
      </c>
      <c r="AN1268" t="s">
        <v>97</v>
      </c>
      <c r="AO1268" t="s">
        <v>53</v>
      </c>
      <c r="AP1268" t="s">
        <v>53</v>
      </c>
    </row>
    <row r="1269" spans="2:42" x14ac:dyDescent="0.2">
      <c r="B1269" t="s">
        <v>44</v>
      </c>
      <c r="C1269" t="str">
        <f>HYPERLINK("https://us2.cloudbeds.com/connect/8493803454333002#/reservations/579210031298?display=DJG57UW6&amp;reservation_id=579210031298", "DJG57UW6")</f>
        <v>DJG57UW6</v>
      </c>
      <c r="D1269" t="s">
        <v>602</v>
      </c>
      <c r="E1269" t="s">
        <v>53</v>
      </c>
      <c r="F1269" t="s">
        <v>47</v>
      </c>
      <c r="G1269" t="s">
        <v>48</v>
      </c>
      <c r="H1269" t="s">
        <v>49</v>
      </c>
      <c r="I1269" t="s">
        <v>79</v>
      </c>
      <c r="J1269" t="s">
        <v>505</v>
      </c>
      <c r="K1269" t="s">
        <v>603</v>
      </c>
      <c r="L1269" t="s">
        <v>53</v>
      </c>
      <c r="N1269" t="s">
        <v>2261</v>
      </c>
      <c r="P1269" t="s">
        <v>55</v>
      </c>
      <c r="R1269" t="s">
        <v>56</v>
      </c>
      <c r="T1269" t="s">
        <v>2245</v>
      </c>
      <c r="U1269" t="s">
        <v>58</v>
      </c>
      <c r="V1269">
        <v>1</v>
      </c>
      <c r="W1269">
        <v>1</v>
      </c>
      <c r="X1269">
        <v>1</v>
      </c>
      <c r="Y1269">
        <v>0</v>
      </c>
      <c r="Z1269">
        <v>1</v>
      </c>
      <c r="AA1269">
        <v>0</v>
      </c>
      <c r="AB1269">
        <v>0</v>
      </c>
      <c r="AC1269">
        <v>0</v>
      </c>
      <c r="AD1269">
        <v>0</v>
      </c>
      <c r="AE1269">
        <v>0</v>
      </c>
      <c r="AF1269">
        <v>0</v>
      </c>
      <c r="AG1269">
        <v>0</v>
      </c>
      <c r="AH1269">
        <v>0</v>
      </c>
      <c r="AI1269">
        <v>0</v>
      </c>
      <c r="AJ1269">
        <v>0</v>
      </c>
      <c r="AK1269">
        <v>0</v>
      </c>
      <c r="AL1269">
        <v>141</v>
      </c>
      <c r="AM1269">
        <v>160.25</v>
      </c>
      <c r="AN1269" t="s">
        <v>605</v>
      </c>
      <c r="AO1269" t="s">
        <v>53</v>
      </c>
      <c r="AP1269" t="s">
        <v>53</v>
      </c>
    </row>
    <row r="1270" spans="2:42" x14ac:dyDescent="0.2">
      <c r="B1270" t="s">
        <v>44</v>
      </c>
      <c r="C1270" t="str">
        <f>HYPERLINK("https://us2.cloudbeds.com/connect/8493803454333002#/reservations/579212415207?display=DJG7891T&amp;reservation_id=579212415207", "DJG7891T")</f>
        <v>DJG7891T</v>
      </c>
      <c r="D1270" t="s">
        <v>45</v>
      </c>
      <c r="E1270" t="s">
        <v>46</v>
      </c>
      <c r="F1270" t="s">
        <v>47</v>
      </c>
      <c r="G1270" t="s">
        <v>48</v>
      </c>
      <c r="H1270" t="s">
        <v>49</v>
      </c>
      <c r="I1270" t="s">
        <v>62</v>
      </c>
      <c r="J1270" t="s">
        <v>1140</v>
      </c>
      <c r="K1270" t="s">
        <v>2039</v>
      </c>
      <c r="L1270" t="s">
        <v>53</v>
      </c>
      <c r="N1270" t="s">
        <v>2262</v>
      </c>
      <c r="P1270" t="s">
        <v>55</v>
      </c>
      <c r="R1270" t="s">
        <v>205</v>
      </c>
      <c r="T1270" t="s">
        <v>2245</v>
      </c>
      <c r="U1270" t="s">
        <v>58</v>
      </c>
      <c r="V1270">
        <v>1</v>
      </c>
      <c r="W1270">
        <v>1</v>
      </c>
      <c r="X1270">
        <v>1</v>
      </c>
      <c r="Y1270">
        <v>0</v>
      </c>
      <c r="Z1270">
        <v>1</v>
      </c>
      <c r="AA1270">
        <v>0</v>
      </c>
      <c r="AB1270">
        <v>329.6</v>
      </c>
      <c r="AC1270">
        <v>145</v>
      </c>
      <c r="AD1270">
        <v>0</v>
      </c>
      <c r="AE1270">
        <v>19.8</v>
      </c>
      <c r="AF1270">
        <v>0</v>
      </c>
      <c r="AG1270">
        <v>0</v>
      </c>
      <c r="AH1270">
        <v>0</v>
      </c>
      <c r="AI1270">
        <v>24.72</v>
      </c>
      <c r="AJ1270">
        <v>164.8</v>
      </c>
      <c r="AK1270">
        <v>0</v>
      </c>
      <c r="AL1270" t="s">
        <v>53</v>
      </c>
      <c r="AM1270" t="s">
        <v>53</v>
      </c>
      <c r="AN1270" t="s">
        <v>225</v>
      </c>
      <c r="AO1270" t="s">
        <v>53</v>
      </c>
      <c r="AP1270" t="s">
        <v>53</v>
      </c>
    </row>
    <row r="1271" spans="2:42" x14ac:dyDescent="0.2">
      <c r="B1271" t="s">
        <v>44</v>
      </c>
      <c r="C1271" t="str">
        <f>HYPERLINK("https://us2.cloudbeds.com/connect/8493803454333002#/reservations/598561226905?display=E1FKMFU3&amp;reservation_id=598561226905", "E1FKMFU3")</f>
        <v>E1FKMFU3</v>
      </c>
      <c r="D1271" t="s">
        <v>45</v>
      </c>
      <c r="E1271" t="s">
        <v>78</v>
      </c>
      <c r="F1271" t="s">
        <v>61</v>
      </c>
      <c r="G1271" t="s">
        <v>48</v>
      </c>
      <c r="H1271" t="s">
        <v>49</v>
      </c>
      <c r="I1271" t="s">
        <v>50</v>
      </c>
      <c r="J1271" t="s">
        <v>282</v>
      </c>
      <c r="K1271" t="s">
        <v>1027</v>
      </c>
      <c r="L1271" t="s">
        <v>53</v>
      </c>
      <c r="N1271" t="s">
        <v>2263</v>
      </c>
      <c r="P1271" t="s">
        <v>55</v>
      </c>
      <c r="R1271" t="s">
        <v>56</v>
      </c>
      <c r="T1271" t="s">
        <v>2264</v>
      </c>
      <c r="U1271" t="s">
        <v>58</v>
      </c>
      <c r="V1271">
        <v>1</v>
      </c>
      <c r="W1271">
        <v>1</v>
      </c>
      <c r="X1271">
        <v>1</v>
      </c>
      <c r="Y1271">
        <v>0</v>
      </c>
      <c r="Z1271">
        <v>1</v>
      </c>
      <c r="AA1271">
        <v>0</v>
      </c>
      <c r="AB1271">
        <v>140.13</v>
      </c>
      <c r="AC1271">
        <v>123.3</v>
      </c>
      <c r="AD1271">
        <v>0</v>
      </c>
      <c r="AE1271">
        <v>16.84</v>
      </c>
      <c r="AF1271">
        <v>0</v>
      </c>
      <c r="AG1271">
        <v>0</v>
      </c>
      <c r="AH1271">
        <v>0</v>
      </c>
      <c r="AI1271">
        <v>25.23</v>
      </c>
      <c r="AJ1271">
        <v>140.13999999999999</v>
      </c>
      <c r="AK1271">
        <v>0.01</v>
      </c>
      <c r="AL1271" t="s">
        <v>53</v>
      </c>
      <c r="AM1271" t="s">
        <v>53</v>
      </c>
      <c r="AN1271" t="s">
        <v>112</v>
      </c>
      <c r="AO1271" t="s">
        <v>53</v>
      </c>
      <c r="AP1271" t="s">
        <v>53</v>
      </c>
    </row>
    <row r="1272" spans="2:42" x14ac:dyDescent="0.2">
      <c r="B1272" t="s">
        <v>44</v>
      </c>
      <c r="C1272" t="str">
        <f>HYPERLINK("https://us2.cloudbeds.com/connect/8493803454333002#/reservations/598294970530?display=E18R5GN3&amp;reservation_id=598294970530", "E18R5GN3")</f>
        <v>E18R5GN3</v>
      </c>
      <c r="D1272" t="s">
        <v>45</v>
      </c>
      <c r="E1272" t="s">
        <v>155</v>
      </c>
      <c r="F1272" t="s">
        <v>86</v>
      </c>
      <c r="G1272" t="s">
        <v>48</v>
      </c>
      <c r="H1272" t="s">
        <v>49</v>
      </c>
      <c r="I1272" t="s">
        <v>62</v>
      </c>
      <c r="J1272" t="s">
        <v>341</v>
      </c>
      <c r="K1272" t="s">
        <v>129</v>
      </c>
      <c r="L1272" t="s">
        <v>53</v>
      </c>
      <c r="N1272" t="s">
        <v>2265</v>
      </c>
      <c r="P1272" t="s">
        <v>55</v>
      </c>
      <c r="R1272" t="s">
        <v>56</v>
      </c>
      <c r="T1272" t="s">
        <v>2264</v>
      </c>
      <c r="U1272" t="s">
        <v>58</v>
      </c>
      <c r="V1272">
        <v>1</v>
      </c>
      <c r="W1272">
        <v>1</v>
      </c>
      <c r="X1272">
        <v>1</v>
      </c>
      <c r="Y1272">
        <v>0</v>
      </c>
      <c r="Z1272">
        <v>1</v>
      </c>
      <c r="AA1272">
        <v>0</v>
      </c>
      <c r="AB1272">
        <v>180.7</v>
      </c>
      <c r="AC1272">
        <v>159</v>
      </c>
      <c r="AD1272">
        <v>0</v>
      </c>
      <c r="AE1272">
        <v>21.71</v>
      </c>
      <c r="AF1272">
        <v>0</v>
      </c>
      <c r="AG1272">
        <v>0</v>
      </c>
      <c r="AH1272">
        <v>0</v>
      </c>
      <c r="AI1272">
        <v>27.11</v>
      </c>
      <c r="AJ1272">
        <v>180.71</v>
      </c>
      <c r="AK1272">
        <v>0.01</v>
      </c>
      <c r="AL1272" t="s">
        <v>53</v>
      </c>
      <c r="AM1272" t="s">
        <v>53</v>
      </c>
      <c r="AN1272" t="s">
        <v>59</v>
      </c>
      <c r="AO1272" t="s">
        <v>53</v>
      </c>
      <c r="AP1272" t="s">
        <v>53</v>
      </c>
    </row>
    <row r="1273" spans="2:42" x14ac:dyDescent="0.2">
      <c r="B1273" t="s">
        <v>44</v>
      </c>
      <c r="C1273" t="str">
        <f>HYPERLINK("https://us2.cloudbeds.com/connect/8493803454333002#/reservations/598488055940?display=E1DZWCV4&amp;reservation_id=598488055940", "E1DZWCV4")</f>
        <v>E1DZWCV4</v>
      </c>
      <c r="D1273" t="s">
        <v>45</v>
      </c>
      <c r="E1273" t="s">
        <v>190</v>
      </c>
      <c r="F1273" t="s">
        <v>61</v>
      </c>
      <c r="G1273" t="s">
        <v>48</v>
      </c>
      <c r="H1273" t="s">
        <v>49</v>
      </c>
      <c r="I1273" t="s">
        <v>79</v>
      </c>
      <c r="J1273" t="s">
        <v>133</v>
      </c>
      <c r="K1273" t="s">
        <v>549</v>
      </c>
      <c r="L1273" t="s">
        <v>53</v>
      </c>
      <c r="N1273" t="s">
        <v>2266</v>
      </c>
      <c r="P1273" t="s">
        <v>55</v>
      </c>
      <c r="R1273" t="s">
        <v>56</v>
      </c>
      <c r="T1273" t="s">
        <v>2264</v>
      </c>
      <c r="U1273" t="s">
        <v>58</v>
      </c>
      <c r="V1273">
        <v>1</v>
      </c>
      <c r="W1273">
        <v>1</v>
      </c>
      <c r="X1273">
        <v>1</v>
      </c>
      <c r="Y1273">
        <v>0</v>
      </c>
      <c r="Z1273">
        <v>1</v>
      </c>
      <c r="AA1273">
        <v>0</v>
      </c>
      <c r="AB1273">
        <v>172.75</v>
      </c>
      <c r="AC1273">
        <v>152</v>
      </c>
      <c r="AD1273">
        <v>0</v>
      </c>
      <c r="AE1273">
        <v>20.75</v>
      </c>
      <c r="AF1273">
        <v>0</v>
      </c>
      <c r="AG1273">
        <v>0</v>
      </c>
      <c r="AH1273">
        <v>0</v>
      </c>
      <c r="AI1273">
        <v>0</v>
      </c>
      <c r="AJ1273">
        <v>172.75</v>
      </c>
      <c r="AK1273">
        <v>0</v>
      </c>
      <c r="AL1273" t="s">
        <v>53</v>
      </c>
      <c r="AM1273" t="s">
        <v>53</v>
      </c>
      <c r="AN1273" t="s">
        <v>68</v>
      </c>
      <c r="AO1273" t="s">
        <v>53</v>
      </c>
      <c r="AP1273" t="s">
        <v>53</v>
      </c>
    </row>
    <row r="1274" spans="2:42" x14ac:dyDescent="0.2">
      <c r="B1274" t="s">
        <v>44</v>
      </c>
      <c r="C1274" t="str">
        <f>HYPERLINK("https://us2.cloudbeds.com/connect/8493803454333002#/reservations/598552055969?display=E1FCV9FV&amp;reservation_id=598552055969", "E1FCV9FV")</f>
        <v>E1FCV9FV</v>
      </c>
      <c r="D1274" t="s">
        <v>45</v>
      </c>
      <c r="E1274" t="s">
        <v>487</v>
      </c>
      <c r="F1274" t="s">
        <v>61</v>
      </c>
      <c r="G1274" t="s">
        <v>48</v>
      </c>
      <c r="H1274" t="s">
        <v>71</v>
      </c>
      <c r="I1274" t="s">
        <v>72</v>
      </c>
      <c r="J1274" t="s">
        <v>1027</v>
      </c>
      <c r="K1274" t="s">
        <v>709</v>
      </c>
      <c r="L1274" t="s">
        <v>53</v>
      </c>
      <c r="N1274" t="s">
        <v>2267</v>
      </c>
      <c r="P1274" t="s">
        <v>55</v>
      </c>
      <c r="R1274" t="s">
        <v>56</v>
      </c>
      <c r="T1274" t="s">
        <v>2264</v>
      </c>
      <c r="U1274" t="s">
        <v>58</v>
      </c>
      <c r="V1274">
        <v>1</v>
      </c>
      <c r="W1274">
        <v>1</v>
      </c>
      <c r="X1274">
        <v>1</v>
      </c>
      <c r="Y1274">
        <v>0</v>
      </c>
      <c r="Z1274">
        <v>1</v>
      </c>
      <c r="AA1274">
        <v>0</v>
      </c>
      <c r="AB1274">
        <v>151.15</v>
      </c>
      <c r="AC1274">
        <v>133</v>
      </c>
      <c r="AD1274">
        <v>0</v>
      </c>
      <c r="AE1274">
        <v>18.16</v>
      </c>
      <c r="AF1274">
        <v>0</v>
      </c>
      <c r="AG1274">
        <v>0</v>
      </c>
      <c r="AH1274">
        <v>0</v>
      </c>
      <c r="AI1274">
        <v>0</v>
      </c>
      <c r="AJ1274">
        <v>151.16</v>
      </c>
      <c r="AK1274">
        <v>0.01</v>
      </c>
      <c r="AL1274" t="s">
        <v>53</v>
      </c>
      <c r="AM1274" t="s">
        <v>53</v>
      </c>
      <c r="AN1274" t="s">
        <v>2268</v>
      </c>
      <c r="AO1274" t="s">
        <v>53</v>
      </c>
      <c r="AP1274" t="s">
        <v>53</v>
      </c>
    </row>
    <row r="1275" spans="2:42" x14ac:dyDescent="0.2">
      <c r="B1275" t="s">
        <v>44</v>
      </c>
      <c r="C1275" t="str">
        <f>HYPERLINK("https://us2.cloudbeds.com/connect/8493803454333002#/reservations/598187839688?display=E162RE8V&amp;reservation_id=598187839688", "E162RE8V")</f>
        <v>E162RE8V</v>
      </c>
      <c r="D1275" t="s">
        <v>45</v>
      </c>
      <c r="E1275" t="s">
        <v>223</v>
      </c>
      <c r="F1275" t="s">
        <v>47</v>
      </c>
      <c r="G1275" t="s">
        <v>48</v>
      </c>
      <c r="H1275" t="s">
        <v>71</v>
      </c>
      <c r="I1275" t="s">
        <v>72</v>
      </c>
      <c r="J1275" t="s">
        <v>1988</v>
      </c>
      <c r="K1275" t="s">
        <v>282</v>
      </c>
      <c r="L1275" t="s">
        <v>53</v>
      </c>
      <c r="N1275" t="s">
        <v>2269</v>
      </c>
      <c r="P1275" t="s">
        <v>58</v>
      </c>
      <c r="R1275" t="s">
        <v>56</v>
      </c>
      <c r="T1275" t="s">
        <v>2264</v>
      </c>
      <c r="U1275" t="s">
        <v>58</v>
      </c>
      <c r="V1275">
        <v>1</v>
      </c>
      <c r="W1275">
        <v>1</v>
      </c>
      <c r="X1275">
        <v>1</v>
      </c>
      <c r="Y1275">
        <v>0</v>
      </c>
      <c r="Z1275">
        <v>1</v>
      </c>
      <c r="AA1275">
        <v>0</v>
      </c>
      <c r="AB1275">
        <v>109.1</v>
      </c>
      <c r="AC1275">
        <v>96</v>
      </c>
      <c r="AD1275">
        <v>0</v>
      </c>
      <c r="AE1275">
        <v>13.1</v>
      </c>
      <c r="AF1275">
        <v>0</v>
      </c>
      <c r="AG1275">
        <v>0</v>
      </c>
      <c r="AH1275">
        <v>0</v>
      </c>
      <c r="AI1275">
        <v>0</v>
      </c>
      <c r="AJ1275">
        <v>109.1</v>
      </c>
      <c r="AK1275">
        <v>0</v>
      </c>
      <c r="AL1275" t="s">
        <v>53</v>
      </c>
      <c r="AM1275" t="s">
        <v>53</v>
      </c>
      <c r="AN1275" t="s">
        <v>378</v>
      </c>
      <c r="AO1275" t="s">
        <v>53</v>
      </c>
      <c r="AP1275" t="s">
        <v>53</v>
      </c>
    </row>
    <row r="1276" spans="2:42" x14ac:dyDescent="0.2">
      <c r="B1276" t="s">
        <v>44</v>
      </c>
      <c r="C1276" t="str">
        <f>HYPERLINK("https://us2.cloudbeds.com/connect/8493803454333002#/reservations/598390513792?display=E1B8Z0S9&amp;reservation_id=598390513792", "E1B8Z0S9")</f>
        <v>E1B8Z0S9</v>
      </c>
      <c r="D1276" t="s">
        <v>45</v>
      </c>
      <c r="E1276" t="s">
        <v>105</v>
      </c>
      <c r="F1276" t="s">
        <v>47</v>
      </c>
      <c r="G1276" t="s">
        <v>48</v>
      </c>
      <c r="H1276" t="s">
        <v>71</v>
      </c>
      <c r="I1276" t="s">
        <v>72</v>
      </c>
      <c r="J1276" t="s">
        <v>1988</v>
      </c>
      <c r="K1276" t="s">
        <v>282</v>
      </c>
      <c r="L1276" t="s">
        <v>53</v>
      </c>
      <c r="N1276" t="s">
        <v>2270</v>
      </c>
      <c r="P1276" t="s">
        <v>58</v>
      </c>
      <c r="R1276" t="s">
        <v>56</v>
      </c>
      <c r="T1276" t="s">
        <v>2264</v>
      </c>
      <c r="U1276" t="s">
        <v>58</v>
      </c>
      <c r="V1276">
        <v>1</v>
      </c>
      <c r="W1276">
        <v>1</v>
      </c>
      <c r="X1276">
        <v>1</v>
      </c>
      <c r="Y1276">
        <v>0</v>
      </c>
      <c r="Z1276">
        <v>1</v>
      </c>
      <c r="AA1276">
        <v>0</v>
      </c>
      <c r="AB1276">
        <v>109.1</v>
      </c>
      <c r="AC1276">
        <v>96</v>
      </c>
      <c r="AD1276">
        <v>0</v>
      </c>
      <c r="AE1276">
        <v>13.1</v>
      </c>
      <c r="AF1276">
        <v>0</v>
      </c>
      <c r="AG1276">
        <v>0</v>
      </c>
      <c r="AH1276">
        <v>0</v>
      </c>
      <c r="AI1276">
        <v>0</v>
      </c>
      <c r="AJ1276">
        <v>109.1</v>
      </c>
      <c r="AK1276">
        <v>0</v>
      </c>
      <c r="AL1276" t="s">
        <v>53</v>
      </c>
      <c r="AM1276" t="s">
        <v>53</v>
      </c>
      <c r="AN1276" t="s">
        <v>378</v>
      </c>
      <c r="AO1276" t="s">
        <v>53</v>
      </c>
      <c r="AP1276" t="s">
        <v>53</v>
      </c>
    </row>
    <row r="1277" spans="2:42" x14ac:dyDescent="0.2">
      <c r="B1277" t="s">
        <v>44</v>
      </c>
      <c r="C1277" t="str">
        <f>HYPERLINK("https://us2.cloudbeds.com/connect/8493803454333002#/reservations/598196527298?display=E16A55SS&amp;reservation_id=598196527298", "E16A55SS")</f>
        <v>E16A55SS</v>
      </c>
      <c r="D1277" t="s">
        <v>45</v>
      </c>
      <c r="E1277" t="s">
        <v>406</v>
      </c>
      <c r="F1277" t="s">
        <v>61</v>
      </c>
      <c r="G1277" t="s">
        <v>48</v>
      </c>
      <c r="H1277" t="s">
        <v>49</v>
      </c>
      <c r="I1277" t="s">
        <v>50</v>
      </c>
      <c r="J1277" t="s">
        <v>259</v>
      </c>
      <c r="K1277" t="s">
        <v>295</v>
      </c>
      <c r="L1277" t="s">
        <v>53</v>
      </c>
      <c r="N1277" t="s">
        <v>2271</v>
      </c>
      <c r="P1277" t="s">
        <v>55</v>
      </c>
      <c r="R1277" t="s">
        <v>56</v>
      </c>
      <c r="T1277" t="s">
        <v>2264</v>
      </c>
      <c r="U1277" t="s">
        <v>58</v>
      </c>
      <c r="V1277">
        <v>1</v>
      </c>
      <c r="W1277">
        <v>1</v>
      </c>
      <c r="X1277">
        <v>1</v>
      </c>
      <c r="Y1277">
        <v>0</v>
      </c>
      <c r="Z1277">
        <v>1</v>
      </c>
      <c r="AA1277">
        <v>0</v>
      </c>
      <c r="AB1277">
        <v>122.74</v>
      </c>
      <c r="AC1277">
        <v>108</v>
      </c>
      <c r="AD1277">
        <v>0</v>
      </c>
      <c r="AE1277">
        <v>14.74</v>
      </c>
      <c r="AF1277">
        <v>0</v>
      </c>
      <c r="AG1277">
        <v>0</v>
      </c>
      <c r="AH1277">
        <v>0</v>
      </c>
      <c r="AI1277">
        <v>22.09</v>
      </c>
      <c r="AJ1277">
        <v>122.74</v>
      </c>
      <c r="AK1277">
        <v>0</v>
      </c>
      <c r="AL1277" t="s">
        <v>53</v>
      </c>
      <c r="AM1277" t="s">
        <v>53</v>
      </c>
      <c r="AN1277" t="s">
        <v>545</v>
      </c>
      <c r="AO1277" t="s">
        <v>53</v>
      </c>
      <c r="AP1277" t="s">
        <v>53</v>
      </c>
    </row>
    <row r="1278" spans="2:42" x14ac:dyDescent="0.2">
      <c r="B1278" t="s">
        <v>44</v>
      </c>
      <c r="C1278" t="str">
        <f>HYPERLINK("https://us2.cloudbeds.com/connect/8493803454333002#/reservations/598422982890?display=E1C33Y2H&amp;reservation_id=598422982890", "E1C33Y2H")</f>
        <v>E1C33Y2H</v>
      </c>
      <c r="D1278" t="s">
        <v>45</v>
      </c>
      <c r="E1278" t="s">
        <v>128</v>
      </c>
      <c r="F1278" t="s">
        <v>86</v>
      </c>
      <c r="G1278" t="s">
        <v>48</v>
      </c>
      <c r="H1278" t="s">
        <v>49</v>
      </c>
      <c r="I1278" t="s">
        <v>50</v>
      </c>
      <c r="J1278" t="s">
        <v>1988</v>
      </c>
      <c r="K1278" t="s">
        <v>282</v>
      </c>
      <c r="L1278" t="s">
        <v>53</v>
      </c>
      <c r="N1278" t="s">
        <v>2272</v>
      </c>
      <c r="P1278" t="s">
        <v>55</v>
      </c>
      <c r="R1278" t="s">
        <v>56</v>
      </c>
      <c r="T1278" t="s">
        <v>2264</v>
      </c>
      <c r="U1278" t="s">
        <v>58</v>
      </c>
      <c r="V1278">
        <v>1</v>
      </c>
      <c r="W1278">
        <v>1</v>
      </c>
      <c r="X1278">
        <v>1</v>
      </c>
      <c r="Y1278">
        <v>0</v>
      </c>
      <c r="Z1278">
        <v>1</v>
      </c>
      <c r="AA1278">
        <v>0</v>
      </c>
      <c r="AB1278">
        <v>119.67</v>
      </c>
      <c r="AC1278">
        <v>105.3</v>
      </c>
      <c r="AD1278">
        <v>0</v>
      </c>
      <c r="AE1278">
        <v>14.38</v>
      </c>
      <c r="AF1278">
        <v>0</v>
      </c>
      <c r="AG1278">
        <v>0</v>
      </c>
      <c r="AH1278">
        <v>0</v>
      </c>
      <c r="AI1278">
        <v>21.54</v>
      </c>
      <c r="AJ1278">
        <v>119.68</v>
      </c>
      <c r="AK1278">
        <v>0.01</v>
      </c>
      <c r="AL1278" t="s">
        <v>53</v>
      </c>
      <c r="AM1278" t="s">
        <v>53</v>
      </c>
      <c r="AN1278" t="s">
        <v>332</v>
      </c>
      <c r="AO1278" t="s">
        <v>53</v>
      </c>
      <c r="AP1278" t="s">
        <v>53</v>
      </c>
    </row>
    <row r="1279" spans="2:42" x14ac:dyDescent="0.2">
      <c r="B1279" t="s">
        <v>44</v>
      </c>
      <c r="C1279" t="str">
        <f>HYPERLINK("https://us2.cloudbeds.com/connect/8493803454333002#/reservations/598111015069?display=E1441M86&amp;reservation_id=598111015069", "E1441M86")</f>
        <v>E1441M86</v>
      </c>
      <c r="D1279" t="s">
        <v>45</v>
      </c>
      <c r="E1279" t="s">
        <v>121</v>
      </c>
      <c r="F1279" t="s">
        <v>86</v>
      </c>
      <c r="G1279" t="s">
        <v>48</v>
      </c>
      <c r="H1279" t="s">
        <v>49</v>
      </c>
      <c r="I1279" t="s">
        <v>79</v>
      </c>
      <c r="J1279" t="s">
        <v>106</v>
      </c>
      <c r="K1279" t="s">
        <v>922</v>
      </c>
      <c r="L1279" t="s">
        <v>53</v>
      </c>
      <c r="N1279" t="s">
        <v>2273</v>
      </c>
      <c r="P1279" t="s">
        <v>55</v>
      </c>
      <c r="R1279" t="s">
        <v>56</v>
      </c>
      <c r="T1279" t="s">
        <v>2264</v>
      </c>
      <c r="U1279" t="s">
        <v>58</v>
      </c>
      <c r="V1279">
        <v>1</v>
      </c>
      <c r="W1279">
        <v>1</v>
      </c>
      <c r="X1279">
        <v>1</v>
      </c>
      <c r="Y1279">
        <v>0</v>
      </c>
      <c r="Z1279">
        <v>1</v>
      </c>
      <c r="AA1279">
        <v>0</v>
      </c>
      <c r="AB1279">
        <v>173.88</v>
      </c>
      <c r="AC1279">
        <v>153</v>
      </c>
      <c r="AD1279">
        <v>0</v>
      </c>
      <c r="AE1279">
        <v>20.89</v>
      </c>
      <c r="AF1279">
        <v>0</v>
      </c>
      <c r="AG1279">
        <v>0</v>
      </c>
      <c r="AH1279">
        <v>0</v>
      </c>
      <c r="AI1279">
        <v>0</v>
      </c>
      <c r="AJ1279">
        <v>173.89</v>
      </c>
      <c r="AK1279">
        <v>0.01</v>
      </c>
      <c r="AL1279" t="s">
        <v>53</v>
      </c>
      <c r="AM1279" t="s">
        <v>53</v>
      </c>
      <c r="AN1279" t="s">
        <v>198</v>
      </c>
      <c r="AO1279" t="s">
        <v>53</v>
      </c>
      <c r="AP1279" t="s">
        <v>53</v>
      </c>
    </row>
    <row r="1280" spans="2:42" x14ac:dyDescent="0.2">
      <c r="B1280" t="s">
        <v>44</v>
      </c>
      <c r="C1280" t="str">
        <f>HYPERLINK("https://us2.cloudbeds.com/connect/8493803454333002#/reservations/598151213268?display=E154V86E&amp;reservation_id=598151213268", "E154V86E")</f>
        <v>E154V86E</v>
      </c>
      <c r="D1280" t="s">
        <v>45</v>
      </c>
      <c r="E1280" t="s">
        <v>85</v>
      </c>
      <c r="F1280" t="s">
        <v>86</v>
      </c>
      <c r="G1280" t="s">
        <v>48</v>
      </c>
      <c r="H1280" t="s">
        <v>49</v>
      </c>
      <c r="I1280" t="s">
        <v>79</v>
      </c>
      <c r="J1280" t="s">
        <v>106</v>
      </c>
      <c r="K1280" t="s">
        <v>922</v>
      </c>
      <c r="L1280" t="s">
        <v>53</v>
      </c>
      <c r="N1280" t="s">
        <v>2274</v>
      </c>
      <c r="P1280" t="s">
        <v>55</v>
      </c>
      <c r="R1280" t="s">
        <v>56</v>
      </c>
      <c r="T1280" t="s">
        <v>2264</v>
      </c>
      <c r="U1280" t="s">
        <v>58</v>
      </c>
      <c r="V1280">
        <v>1</v>
      </c>
      <c r="W1280">
        <v>1</v>
      </c>
      <c r="X1280">
        <v>1</v>
      </c>
      <c r="Y1280">
        <v>0</v>
      </c>
      <c r="Z1280">
        <v>1</v>
      </c>
      <c r="AA1280">
        <v>0</v>
      </c>
      <c r="AB1280">
        <v>173.88</v>
      </c>
      <c r="AC1280">
        <v>153</v>
      </c>
      <c r="AD1280">
        <v>0</v>
      </c>
      <c r="AE1280">
        <v>20.89</v>
      </c>
      <c r="AF1280">
        <v>0</v>
      </c>
      <c r="AG1280">
        <v>0</v>
      </c>
      <c r="AH1280">
        <v>0</v>
      </c>
      <c r="AI1280">
        <v>0</v>
      </c>
      <c r="AJ1280">
        <v>173.89</v>
      </c>
      <c r="AK1280">
        <v>0.01</v>
      </c>
      <c r="AL1280" t="s">
        <v>53</v>
      </c>
      <c r="AM1280" t="s">
        <v>53</v>
      </c>
      <c r="AN1280" t="s">
        <v>97</v>
      </c>
      <c r="AO1280" t="s">
        <v>53</v>
      </c>
      <c r="AP1280" t="s">
        <v>53</v>
      </c>
    </row>
    <row r="1281" spans="2:42" x14ac:dyDescent="0.2">
      <c r="B1281" t="s">
        <v>44</v>
      </c>
      <c r="C1281" t="str">
        <f>HYPERLINK("https://us2.cloudbeds.com/connect/8493803454333002#/reservations/598296461523?display=E18SDWRN&amp;reservation_id=598296461523", "E18SDWRN")</f>
        <v>E18SDWRN</v>
      </c>
      <c r="D1281" t="s">
        <v>45</v>
      </c>
      <c r="E1281" t="s">
        <v>190</v>
      </c>
      <c r="F1281" t="s">
        <v>61</v>
      </c>
      <c r="G1281" t="s">
        <v>48</v>
      </c>
      <c r="H1281" t="s">
        <v>49</v>
      </c>
      <c r="I1281" t="s">
        <v>79</v>
      </c>
      <c r="J1281" t="s">
        <v>1027</v>
      </c>
      <c r="K1281" t="s">
        <v>709</v>
      </c>
      <c r="L1281" t="s">
        <v>53</v>
      </c>
      <c r="N1281" t="s">
        <v>2275</v>
      </c>
      <c r="P1281" t="s">
        <v>55</v>
      </c>
      <c r="R1281" t="s">
        <v>56</v>
      </c>
      <c r="T1281" t="s">
        <v>2264</v>
      </c>
      <c r="U1281" t="s">
        <v>58</v>
      </c>
      <c r="V1281">
        <v>1</v>
      </c>
      <c r="W1281">
        <v>1</v>
      </c>
      <c r="X1281">
        <v>1</v>
      </c>
      <c r="Y1281">
        <v>0</v>
      </c>
      <c r="Z1281">
        <v>1</v>
      </c>
      <c r="AA1281">
        <v>0</v>
      </c>
      <c r="AB1281">
        <v>140.13</v>
      </c>
      <c r="AC1281">
        <v>123.3</v>
      </c>
      <c r="AD1281">
        <v>0</v>
      </c>
      <c r="AE1281">
        <v>16.84</v>
      </c>
      <c r="AF1281">
        <v>0</v>
      </c>
      <c r="AG1281">
        <v>0</v>
      </c>
      <c r="AH1281">
        <v>0</v>
      </c>
      <c r="AI1281">
        <v>0</v>
      </c>
      <c r="AJ1281">
        <v>140.13999999999999</v>
      </c>
      <c r="AK1281">
        <v>0.01</v>
      </c>
      <c r="AL1281" t="s">
        <v>53</v>
      </c>
      <c r="AM1281" t="s">
        <v>53</v>
      </c>
      <c r="AN1281" t="s">
        <v>349</v>
      </c>
      <c r="AO1281" t="s">
        <v>53</v>
      </c>
      <c r="AP1281" t="s">
        <v>53</v>
      </c>
    </row>
    <row r="1282" spans="2:42" x14ac:dyDescent="0.2">
      <c r="B1282" t="s">
        <v>44</v>
      </c>
      <c r="C1282" t="str">
        <f>HYPERLINK("https://us2.cloudbeds.com/connect/8493803454333002#/reservations/598311248029?display=E197TETY&amp;reservation_id=598311248029", "E197TETY")</f>
        <v>E197TETY</v>
      </c>
      <c r="D1282" t="s">
        <v>45</v>
      </c>
      <c r="E1282" t="s">
        <v>121</v>
      </c>
      <c r="F1282" t="s">
        <v>86</v>
      </c>
      <c r="G1282" t="s">
        <v>48</v>
      </c>
      <c r="H1282" t="s">
        <v>71</v>
      </c>
      <c r="I1282" t="s">
        <v>72</v>
      </c>
      <c r="J1282" t="s">
        <v>1988</v>
      </c>
      <c r="K1282" t="s">
        <v>282</v>
      </c>
      <c r="L1282" t="s">
        <v>53</v>
      </c>
      <c r="N1282" t="s">
        <v>2276</v>
      </c>
      <c r="P1282" t="s">
        <v>55</v>
      </c>
      <c r="R1282" t="s">
        <v>56</v>
      </c>
      <c r="T1282" t="s">
        <v>2264</v>
      </c>
      <c r="U1282" t="s">
        <v>58</v>
      </c>
      <c r="V1282">
        <v>1</v>
      </c>
      <c r="W1282">
        <v>1</v>
      </c>
      <c r="X1282">
        <v>1</v>
      </c>
      <c r="Y1282">
        <v>0</v>
      </c>
      <c r="Z1282">
        <v>1</v>
      </c>
      <c r="AA1282">
        <v>0</v>
      </c>
      <c r="AB1282">
        <v>127.29</v>
      </c>
      <c r="AC1282">
        <v>112</v>
      </c>
      <c r="AD1282">
        <v>0</v>
      </c>
      <c r="AE1282">
        <v>15.29</v>
      </c>
      <c r="AF1282">
        <v>0</v>
      </c>
      <c r="AG1282">
        <v>0</v>
      </c>
      <c r="AH1282">
        <v>0</v>
      </c>
      <c r="AI1282">
        <v>0</v>
      </c>
      <c r="AJ1282">
        <v>127.29</v>
      </c>
      <c r="AK1282">
        <v>0</v>
      </c>
      <c r="AL1282" t="s">
        <v>53</v>
      </c>
      <c r="AM1282" t="s">
        <v>53</v>
      </c>
      <c r="AN1282" t="s">
        <v>378</v>
      </c>
      <c r="AO1282" t="s">
        <v>53</v>
      </c>
      <c r="AP1282" t="s">
        <v>53</v>
      </c>
    </row>
    <row r="1283" spans="2:42" x14ac:dyDescent="0.2">
      <c r="B1283" t="s">
        <v>44</v>
      </c>
      <c r="C1283" t="str">
        <f>HYPERLINK("https://us2.cloudbeds.com/connect/8493803454333002#/reservations/598338052229?display=E19UGAG4&amp;reservation_id=598338052229", "E19UGAG4")</f>
        <v>E19UGAG4</v>
      </c>
      <c r="D1283" t="s">
        <v>45</v>
      </c>
      <c r="E1283" t="s">
        <v>138</v>
      </c>
      <c r="F1283" t="s">
        <v>70</v>
      </c>
      <c r="G1283" t="s">
        <v>48</v>
      </c>
      <c r="H1283" t="s">
        <v>49</v>
      </c>
      <c r="I1283" t="s">
        <v>79</v>
      </c>
      <c r="J1283" t="s">
        <v>600</v>
      </c>
      <c r="K1283" t="s">
        <v>106</v>
      </c>
      <c r="L1283" t="s">
        <v>53</v>
      </c>
      <c r="N1283" t="s">
        <v>2277</v>
      </c>
      <c r="P1283" t="s">
        <v>55</v>
      </c>
      <c r="R1283" t="s">
        <v>56</v>
      </c>
      <c r="T1283" t="s">
        <v>2264</v>
      </c>
      <c r="U1283" t="s">
        <v>58</v>
      </c>
      <c r="V1283">
        <v>1</v>
      </c>
      <c r="W1283">
        <v>1</v>
      </c>
      <c r="X1283">
        <v>1</v>
      </c>
      <c r="Y1283">
        <v>0</v>
      </c>
      <c r="Z1283">
        <v>1</v>
      </c>
      <c r="AA1283">
        <v>0</v>
      </c>
      <c r="AB1283">
        <v>95.13</v>
      </c>
      <c r="AC1283">
        <v>83.7</v>
      </c>
      <c r="AD1283">
        <v>0</v>
      </c>
      <c r="AE1283">
        <v>11.42</v>
      </c>
      <c r="AF1283">
        <v>0</v>
      </c>
      <c r="AG1283">
        <v>0</v>
      </c>
      <c r="AH1283">
        <v>0</v>
      </c>
      <c r="AI1283">
        <v>0</v>
      </c>
      <c r="AJ1283">
        <v>95.12</v>
      </c>
      <c r="AK1283">
        <v>-0.01</v>
      </c>
      <c r="AL1283" t="s">
        <v>53</v>
      </c>
      <c r="AM1283" t="s">
        <v>53</v>
      </c>
      <c r="AN1283" t="s">
        <v>545</v>
      </c>
      <c r="AO1283" t="s">
        <v>53</v>
      </c>
      <c r="AP1283" t="s">
        <v>53</v>
      </c>
    </row>
    <row r="1284" spans="2:42" x14ac:dyDescent="0.2">
      <c r="B1284" t="s">
        <v>44</v>
      </c>
      <c r="C1284" t="str">
        <f>HYPERLINK("https://us2.cloudbeds.com/connect/8493803454333002#/reservations/598109364439?display=E142YZH3&amp;reservation_id=598109364439", "E142YZH3")</f>
        <v>E142YZH3</v>
      </c>
      <c r="D1284" t="s">
        <v>45</v>
      </c>
      <c r="E1284" t="s">
        <v>113</v>
      </c>
      <c r="F1284" t="s">
        <v>61</v>
      </c>
      <c r="G1284" t="s">
        <v>48</v>
      </c>
      <c r="H1284" t="s">
        <v>49</v>
      </c>
      <c r="I1284" t="s">
        <v>79</v>
      </c>
      <c r="J1284" t="s">
        <v>295</v>
      </c>
      <c r="K1284" t="s">
        <v>309</v>
      </c>
      <c r="L1284" t="s">
        <v>53</v>
      </c>
      <c r="N1284" t="s">
        <v>2278</v>
      </c>
      <c r="P1284" t="s">
        <v>55</v>
      </c>
      <c r="R1284" t="s">
        <v>56</v>
      </c>
      <c r="T1284" t="s">
        <v>2264</v>
      </c>
      <c r="U1284" t="s">
        <v>58</v>
      </c>
      <c r="V1284">
        <v>4</v>
      </c>
      <c r="W1284">
        <v>1</v>
      </c>
      <c r="X1284">
        <v>1</v>
      </c>
      <c r="Y1284">
        <v>0</v>
      </c>
      <c r="Z1284">
        <v>1</v>
      </c>
      <c r="AA1284">
        <v>0</v>
      </c>
      <c r="AB1284">
        <v>630.08000000000004</v>
      </c>
      <c r="AC1284">
        <v>554.4</v>
      </c>
      <c r="AD1284">
        <v>0</v>
      </c>
      <c r="AE1284">
        <v>75.680000000000007</v>
      </c>
      <c r="AF1284">
        <v>0</v>
      </c>
      <c r="AG1284">
        <v>0</v>
      </c>
      <c r="AH1284">
        <v>0</v>
      </c>
      <c r="AI1284">
        <v>0</v>
      </c>
      <c r="AJ1284">
        <v>630.08000000000004</v>
      </c>
      <c r="AK1284">
        <v>0</v>
      </c>
      <c r="AL1284" t="s">
        <v>53</v>
      </c>
      <c r="AM1284" t="s">
        <v>53</v>
      </c>
      <c r="AN1284" t="s">
        <v>97</v>
      </c>
      <c r="AO1284" t="s">
        <v>53</v>
      </c>
      <c r="AP1284" t="s">
        <v>53</v>
      </c>
    </row>
    <row r="1285" spans="2:42" x14ac:dyDescent="0.2">
      <c r="B1285" t="s">
        <v>44</v>
      </c>
      <c r="C1285" t="str">
        <f>HYPERLINK("https://us2.cloudbeds.com/connect/8493803454333002#/reservations/598383816930?display=E1B32Q08&amp;reservation_id=598383816930", "E1B32Q08")</f>
        <v>E1B32Q08</v>
      </c>
      <c r="D1285" t="s">
        <v>45</v>
      </c>
      <c r="E1285" t="s">
        <v>381</v>
      </c>
      <c r="F1285" t="s">
        <v>47</v>
      </c>
      <c r="G1285" t="s">
        <v>48</v>
      </c>
      <c r="H1285" t="s">
        <v>49</v>
      </c>
      <c r="I1285" t="s">
        <v>62</v>
      </c>
      <c r="J1285" t="s">
        <v>1988</v>
      </c>
      <c r="K1285" t="s">
        <v>282</v>
      </c>
      <c r="L1285" t="s">
        <v>53</v>
      </c>
      <c r="N1285" t="s">
        <v>2279</v>
      </c>
      <c r="P1285" t="s">
        <v>55</v>
      </c>
      <c r="R1285" t="s">
        <v>56</v>
      </c>
      <c r="T1285" t="s">
        <v>2264</v>
      </c>
      <c r="U1285" t="s">
        <v>58</v>
      </c>
      <c r="V1285">
        <v>1</v>
      </c>
      <c r="W1285">
        <v>1</v>
      </c>
      <c r="X1285">
        <v>1</v>
      </c>
      <c r="Y1285">
        <v>0</v>
      </c>
      <c r="Z1285">
        <v>1</v>
      </c>
      <c r="AA1285">
        <v>0</v>
      </c>
      <c r="AB1285">
        <v>114.56</v>
      </c>
      <c r="AC1285">
        <v>100.8</v>
      </c>
      <c r="AD1285">
        <v>0</v>
      </c>
      <c r="AE1285">
        <v>13.76</v>
      </c>
      <c r="AF1285">
        <v>0</v>
      </c>
      <c r="AG1285">
        <v>0</v>
      </c>
      <c r="AH1285">
        <v>0</v>
      </c>
      <c r="AI1285">
        <v>17.18</v>
      </c>
      <c r="AJ1285">
        <v>114.56</v>
      </c>
      <c r="AK1285">
        <v>0</v>
      </c>
      <c r="AL1285" t="s">
        <v>53</v>
      </c>
      <c r="AM1285" t="s">
        <v>53</v>
      </c>
      <c r="AN1285" t="s">
        <v>524</v>
      </c>
      <c r="AO1285" t="s">
        <v>53</v>
      </c>
      <c r="AP1285" t="s">
        <v>53</v>
      </c>
    </row>
    <row r="1286" spans="2:42" x14ac:dyDescent="0.2">
      <c r="B1286" t="s">
        <v>44</v>
      </c>
      <c r="C1286" t="str">
        <f>HYPERLINK("https://us2.cloudbeds.com/connect/8493803454333002#/reservations/598564229326?display=E1FN70VX&amp;reservation_id=598564229326", "E1FN70VX")</f>
        <v>E1FN70VX</v>
      </c>
      <c r="D1286" t="s">
        <v>45</v>
      </c>
      <c r="E1286" t="s">
        <v>138</v>
      </c>
      <c r="F1286" t="s">
        <v>70</v>
      </c>
      <c r="G1286" t="s">
        <v>48</v>
      </c>
      <c r="H1286" t="s">
        <v>49</v>
      </c>
      <c r="I1286" t="s">
        <v>62</v>
      </c>
      <c r="J1286" t="s">
        <v>282</v>
      </c>
      <c r="K1286" t="s">
        <v>1027</v>
      </c>
      <c r="L1286" t="s">
        <v>53</v>
      </c>
      <c r="N1286" t="s">
        <v>2280</v>
      </c>
      <c r="P1286" t="s">
        <v>55</v>
      </c>
      <c r="R1286" t="s">
        <v>118</v>
      </c>
      <c r="T1286" t="s">
        <v>2264</v>
      </c>
      <c r="U1286" t="s">
        <v>58</v>
      </c>
      <c r="V1286">
        <v>1</v>
      </c>
      <c r="W1286">
        <v>1</v>
      </c>
      <c r="X1286">
        <v>1</v>
      </c>
      <c r="Y1286">
        <v>0</v>
      </c>
      <c r="Z1286">
        <v>1</v>
      </c>
      <c r="AA1286">
        <v>0</v>
      </c>
      <c r="AB1286">
        <v>125.3</v>
      </c>
      <c r="AC1286">
        <v>110.25</v>
      </c>
      <c r="AD1286">
        <v>0</v>
      </c>
      <c r="AE1286">
        <v>15.06</v>
      </c>
      <c r="AF1286">
        <v>0</v>
      </c>
      <c r="AG1286">
        <v>0</v>
      </c>
      <c r="AH1286">
        <v>0</v>
      </c>
      <c r="AI1286">
        <v>18.8</v>
      </c>
      <c r="AJ1286">
        <v>125.31</v>
      </c>
      <c r="AK1286">
        <v>0.01</v>
      </c>
      <c r="AL1286" t="s">
        <v>53</v>
      </c>
      <c r="AM1286" t="s">
        <v>53</v>
      </c>
      <c r="AN1286" t="s">
        <v>386</v>
      </c>
      <c r="AO1286" t="s">
        <v>53</v>
      </c>
      <c r="AP1286" t="s">
        <v>53</v>
      </c>
    </row>
    <row r="1287" spans="2:42" x14ac:dyDescent="0.2">
      <c r="B1287" t="s">
        <v>44</v>
      </c>
      <c r="C1287" t="str">
        <f>HYPERLINK("https://us2.cloudbeds.com/connect/8493803454333002#/reservations/598142124176?display=E14U9AUD&amp;reservation_id=598142124176", "E14U9AUD")</f>
        <v>E14U9AUD</v>
      </c>
      <c r="D1287" t="s">
        <v>45</v>
      </c>
      <c r="E1287" t="s">
        <v>98</v>
      </c>
      <c r="F1287" t="s">
        <v>86</v>
      </c>
      <c r="G1287" t="s">
        <v>48</v>
      </c>
      <c r="H1287" t="s">
        <v>71</v>
      </c>
      <c r="I1287" t="s">
        <v>72</v>
      </c>
      <c r="J1287" t="s">
        <v>129</v>
      </c>
      <c r="K1287" t="s">
        <v>426</v>
      </c>
      <c r="L1287" t="s">
        <v>53</v>
      </c>
      <c r="N1287" t="s">
        <v>2281</v>
      </c>
      <c r="P1287" t="s">
        <v>55</v>
      </c>
      <c r="R1287" t="s">
        <v>56</v>
      </c>
      <c r="T1287" t="s">
        <v>2264</v>
      </c>
      <c r="U1287" t="s">
        <v>58</v>
      </c>
      <c r="V1287">
        <v>1</v>
      </c>
      <c r="W1287">
        <v>1</v>
      </c>
      <c r="X1287">
        <v>1</v>
      </c>
      <c r="Y1287">
        <v>0</v>
      </c>
      <c r="Z1287">
        <v>1</v>
      </c>
      <c r="AA1287">
        <v>0</v>
      </c>
      <c r="AB1287">
        <v>162.52000000000001</v>
      </c>
      <c r="AC1287">
        <v>143</v>
      </c>
      <c r="AD1287">
        <v>0</v>
      </c>
      <c r="AE1287">
        <v>19.53</v>
      </c>
      <c r="AF1287">
        <v>0</v>
      </c>
      <c r="AG1287">
        <v>0</v>
      </c>
      <c r="AH1287">
        <v>0</v>
      </c>
      <c r="AI1287">
        <v>0</v>
      </c>
      <c r="AJ1287">
        <v>162.53</v>
      </c>
      <c r="AK1287">
        <v>0.01</v>
      </c>
      <c r="AL1287" t="s">
        <v>53</v>
      </c>
      <c r="AM1287" t="s">
        <v>53</v>
      </c>
      <c r="AN1287" t="s">
        <v>378</v>
      </c>
      <c r="AO1287" t="s">
        <v>53</v>
      </c>
      <c r="AP1287" t="s">
        <v>53</v>
      </c>
    </row>
    <row r="1288" spans="2:42" x14ac:dyDescent="0.2">
      <c r="B1288" t="s">
        <v>44</v>
      </c>
      <c r="C1288" t="str">
        <f>HYPERLINK("https://us2.cloudbeds.com/connect/8493803454333002#/reservations/579238473859?display=DJGT7D10&amp;reservation_id=579238473859", "DJGT7D10")</f>
        <v>DJGT7D10</v>
      </c>
      <c r="D1288" t="s">
        <v>45</v>
      </c>
      <c r="E1288" t="s">
        <v>46</v>
      </c>
      <c r="F1288" t="s">
        <v>47</v>
      </c>
      <c r="G1288" t="s">
        <v>48</v>
      </c>
      <c r="H1288" t="s">
        <v>49</v>
      </c>
      <c r="I1288" t="s">
        <v>50</v>
      </c>
      <c r="J1288" t="s">
        <v>1477</v>
      </c>
      <c r="K1288" t="s">
        <v>1664</v>
      </c>
      <c r="L1288" t="s">
        <v>53</v>
      </c>
      <c r="N1288" t="s">
        <v>2282</v>
      </c>
      <c r="P1288" t="s">
        <v>55</v>
      </c>
      <c r="R1288" t="s">
        <v>56</v>
      </c>
      <c r="T1288" t="s">
        <v>2264</v>
      </c>
      <c r="U1288" t="s">
        <v>58</v>
      </c>
      <c r="V1288">
        <v>1</v>
      </c>
      <c r="W1288">
        <v>1</v>
      </c>
      <c r="X1288">
        <v>1</v>
      </c>
      <c r="Y1288">
        <v>0</v>
      </c>
      <c r="Z1288">
        <v>1</v>
      </c>
      <c r="AA1288">
        <v>0</v>
      </c>
      <c r="AB1288">
        <v>153.44</v>
      </c>
      <c r="AC1288">
        <v>135</v>
      </c>
      <c r="AD1288">
        <v>0</v>
      </c>
      <c r="AE1288">
        <v>18.440000000000001</v>
      </c>
      <c r="AF1288">
        <v>0</v>
      </c>
      <c r="AG1288">
        <v>0</v>
      </c>
      <c r="AH1288">
        <v>0</v>
      </c>
      <c r="AI1288">
        <v>27.62</v>
      </c>
      <c r="AJ1288">
        <v>153.44</v>
      </c>
      <c r="AK1288">
        <v>0</v>
      </c>
      <c r="AL1288" t="s">
        <v>53</v>
      </c>
      <c r="AM1288" t="s">
        <v>53</v>
      </c>
      <c r="AN1288" t="s">
        <v>137</v>
      </c>
      <c r="AO1288" t="s">
        <v>53</v>
      </c>
      <c r="AP1288" t="s">
        <v>53</v>
      </c>
    </row>
    <row r="1289" spans="2:42" x14ac:dyDescent="0.2">
      <c r="B1289" t="s">
        <v>44</v>
      </c>
      <c r="C1289" t="str">
        <f>HYPERLINK("https://us2.cloudbeds.com/connect/8493803454333002#/reservations/579365302482?display=DJK45JDK&amp;reservation_id=579365302482", "DJK45JDK")</f>
        <v>DJK45JDK</v>
      </c>
      <c r="D1289" t="s">
        <v>45</v>
      </c>
      <c r="E1289" t="s">
        <v>92</v>
      </c>
      <c r="F1289" t="s">
        <v>86</v>
      </c>
      <c r="G1289" t="s">
        <v>48</v>
      </c>
      <c r="H1289" t="s">
        <v>49</v>
      </c>
      <c r="I1289" t="s">
        <v>114</v>
      </c>
      <c r="J1289" t="s">
        <v>2283</v>
      </c>
      <c r="K1289" t="s">
        <v>2284</v>
      </c>
      <c r="L1289" t="s">
        <v>53</v>
      </c>
      <c r="N1289" t="s">
        <v>2285</v>
      </c>
      <c r="P1289" t="s">
        <v>55</v>
      </c>
      <c r="R1289" t="s">
        <v>56</v>
      </c>
      <c r="T1289" t="s">
        <v>2286</v>
      </c>
      <c r="U1289" t="s">
        <v>58</v>
      </c>
      <c r="V1289">
        <v>3</v>
      </c>
      <c r="W1289">
        <v>1</v>
      </c>
      <c r="X1289">
        <v>1</v>
      </c>
      <c r="Y1289">
        <v>0</v>
      </c>
      <c r="Z1289">
        <v>1</v>
      </c>
      <c r="AA1289">
        <v>0</v>
      </c>
      <c r="AB1289">
        <v>278.45</v>
      </c>
      <c r="AC1289">
        <v>245</v>
      </c>
      <c r="AD1289">
        <v>0</v>
      </c>
      <c r="AE1289">
        <v>33.450000000000003</v>
      </c>
      <c r="AF1289">
        <v>0</v>
      </c>
      <c r="AG1289">
        <v>0</v>
      </c>
      <c r="AH1289">
        <v>0</v>
      </c>
      <c r="AI1289">
        <v>0</v>
      </c>
      <c r="AJ1289">
        <v>278.45</v>
      </c>
      <c r="AK1289">
        <v>0</v>
      </c>
      <c r="AL1289" t="s">
        <v>53</v>
      </c>
      <c r="AM1289" t="s">
        <v>53</v>
      </c>
      <c r="AN1289" t="s">
        <v>2287</v>
      </c>
      <c r="AO1289" t="s">
        <v>53</v>
      </c>
      <c r="AP1289" t="s">
        <v>53</v>
      </c>
    </row>
    <row r="1290" spans="2:42" x14ac:dyDescent="0.2">
      <c r="B1290" t="s">
        <v>44</v>
      </c>
      <c r="C1290" t="str">
        <f>HYPERLINK("https://us2.cloudbeds.com/connect/8493803454333002#/reservations/579287273661?display=DJX4CAXZ&amp;reservation_id=579287273661", "DJX4CAXZ")</f>
        <v>DJX4CAXZ</v>
      </c>
      <c r="D1290" t="s">
        <v>45</v>
      </c>
      <c r="E1290" t="s">
        <v>113</v>
      </c>
      <c r="F1290" t="s">
        <v>61</v>
      </c>
      <c r="G1290" t="s">
        <v>48</v>
      </c>
      <c r="H1290" t="s">
        <v>49</v>
      </c>
      <c r="I1290" t="s">
        <v>79</v>
      </c>
      <c r="J1290" t="s">
        <v>2062</v>
      </c>
      <c r="K1290" t="s">
        <v>1380</v>
      </c>
      <c r="L1290" t="s">
        <v>53</v>
      </c>
      <c r="N1290" t="s">
        <v>2288</v>
      </c>
      <c r="P1290" t="s">
        <v>55</v>
      </c>
      <c r="R1290" t="s">
        <v>56</v>
      </c>
      <c r="T1290" t="s">
        <v>2286</v>
      </c>
      <c r="U1290" t="s">
        <v>58</v>
      </c>
      <c r="V1290">
        <v>1</v>
      </c>
      <c r="W1290">
        <v>1</v>
      </c>
      <c r="X1290">
        <v>1</v>
      </c>
      <c r="Y1290">
        <v>0</v>
      </c>
      <c r="Z1290">
        <v>1</v>
      </c>
      <c r="AA1290">
        <v>0</v>
      </c>
      <c r="AB1290">
        <v>124.78</v>
      </c>
      <c r="AC1290">
        <v>109.8</v>
      </c>
      <c r="AD1290">
        <v>0</v>
      </c>
      <c r="AE1290">
        <v>14.98</v>
      </c>
      <c r="AF1290">
        <v>0</v>
      </c>
      <c r="AG1290">
        <v>0</v>
      </c>
      <c r="AH1290">
        <v>0</v>
      </c>
      <c r="AI1290">
        <v>0</v>
      </c>
      <c r="AJ1290">
        <v>124.78</v>
      </c>
      <c r="AK1290">
        <v>0</v>
      </c>
      <c r="AL1290" t="s">
        <v>53</v>
      </c>
      <c r="AM1290" t="s">
        <v>53</v>
      </c>
      <c r="AN1290" t="s">
        <v>132</v>
      </c>
      <c r="AO1290" t="s">
        <v>53</v>
      </c>
      <c r="AP1290" t="s">
        <v>53</v>
      </c>
    </row>
    <row r="1291" spans="2:42" x14ac:dyDescent="0.2">
      <c r="B1291" t="s">
        <v>44</v>
      </c>
      <c r="C1291" t="str">
        <f>HYPERLINK("https://us2.cloudbeds.com/connect/8493803454333002#/reservations/598567440523?display=E1FPUCNX&amp;reservation_id=598567440523", "E1FPUCNX")</f>
        <v>E1FPUCNX</v>
      </c>
      <c r="D1291" t="s">
        <v>45</v>
      </c>
      <c r="E1291" t="s">
        <v>373</v>
      </c>
      <c r="F1291" t="s">
        <v>47</v>
      </c>
      <c r="G1291" t="s">
        <v>48</v>
      </c>
      <c r="H1291" t="s">
        <v>71</v>
      </c>
      <c r="I1291" t="s">
        <v>72</v>
      </c>
      <c r="J1291" t="s">
        <v>1027</v>
      </c>
      <c r="K1291" t="s">
        <v>709</v>
      </c>
      <c r="L1291" t="s">
        <v>53</v>
      </c>
      <c r="N1291" t="s">
        <v>2289</v>
      </c>
      <c r="P1291" t="s">
        <v>55</v>
      </c>
      <c r="R1291" t="s">
        <v>56</v>
      </c>
      <c r="T1291" t="s">
        <v>2286</v>
      </c>
      <c r="U1291" t="s">
        <v>58</v>
      </c>
      <c r="V1291">
        <v>1</v>
      </c>
      <c r="W1291">
        <v>1</v>
      </c>
      <c r="X1291">
        <v>1</v>
      </c>
      <c r="Y1291">
        <v>0</v>
      </c>
      <c r="Z1291">
        <v>1</v>
      </c>
      <c r="AA1291">
        <v>0</v>
      </c>
      <c r="AB1291">
        <v>137.52000000000001</v>
      </c>
      <c r="AC1291">
        <v>121</v>
      </c>
      <c r="AD1291">
        <v>0</v>
      </c>
      <c r="AE1291">
        <v>16.52</v>
      </c>
      <c r="AF1291">
        <v>0</v>
      </c>
      <c r="AG1291">
        <v>0</v>
      </c>
      <c r="AH1291">
        <v>0</v>
      </c>
      <c r="AI1291">
        <v>0</v>
      </c>
      <c r="AJ1291">
        <v>137.52000000000001</v>
      </c>
      <c r="AK1291">
        <v>0</v>
      </c>
      <c r="AL1291" t="s">
        <v>53</v>
      </c>
      <c r="AM1291" t="s">
        <v>53</v>
      </c>
      <c r="AN1291" t="s">
        <v>2290</v>
      </c>
      <c r="AO1291" t="s">
        <v>53</v>
      </c>
      <c r="AP1291" t="s">
        <v>53</v>
      </c>
    </row>
    <row r="1292" spans="2:42" x14ac:dyDescent="0.2">
      <c r="B1292" t="s">
        <v>44</v>
      </c>
      <c r="C1292" t="str">
        <f>HYPERLINK("https://us2.cloudbeds.com/connect/8493803454333002#/reservations/598028816540?display=E120ZCGY&amp;reservation_id=598028816540", "E120ZCGY")</f>
        <v>E120ZCGY</v>
      </c>
      <c r="D1292" t="s">
        <v>45</v>
      </c>
      <c r="E1292" t="s">
        <v>381</v>
      </c>
      <c r="F1292" t="s">
        <v>47</v>
      </c>
      <c r="G1292" t="s">
        <v>48</v>
      </c>
      <c r="H1292" t="s">
        <v>49</v>
      </c>
      <c r="I1292" t="s">
        <v>50</v>
      </c>
      <c r="J1292" t="s">
        <v>282</v>
      </c>
      <c r="K1292" t="s">
        <v>1027</v>
      </c>
      <c r="L1292" t="s">
        <v>53</v>
      </c>
      <c r="N1292" t="s">
        <v>2291</v>
      </c>
      <c r="P1292" t="s">
        <v>55</v>
      </c>
      <c r="R1292" t="s">
        <v>56</v>
      </c>
      <c r="T1292" t="s">
        <v>2286</v>
      </c>
      <c r="U1292" t="s">
        <v>58</v>
      </c>
      <c r="V1292">
        <v>1</v>
      </c>
      <c r="W1292">
        <v>1</v>
      </c>
      <c r="X1292">
        <v>1</v>
      </c>
      <c r="Y1292">
        <v>0</v>
      </c>
      <c r="Z1292">
        <v>1</v>
      </c>
      <c r="AA1292">
        <v>0</v>
      </c>
      <c r="AB1292">
        <v>127.86</v>
      </c>
      <c r="AC1292">
        <v>112.5</v>
      </c>
      <c r="AD1292">
        <v>0</v>
      </c>
      <c r="AE1292">
        <v>15.36</v>
      </c>
      <c r="AF1292">
        <v>0</v>
      </c>
      <c r="AG1292">
        <v>0</v>
      </c>
      <c r="AH1292">
        <v>0</v>
      </c>
      <c r="AI1292">
        <v>23.01</v>
      </c>
      <c r="AJ1292">
        <v>127.86</v>
      </c>
      <c r="AK1292">
        <v>0</v>
      </c>
      <c r="AL1292" t="s">
        <v>53</v>
      </c>
      <c r="AM1292" t="s">
        <v>53</v>
      </c>
      <c r="AN1292" t="s">
        <v>413</v>
      </c>
      <c r="AO1292" t="s">
        <v>53</v>
      </c>
      <c r="AP1292" t="s">
        <v>53</v>
      </c>
    </row>
    <row r="1293" spans="2:42" x14ac:dyDescent="0.2">
      <c r="B1293" t="s">
        <v>44</v>
      </c>
      <c r="C1293" t="str">
        <f>HYPERLINK("https://us2.cloudbeds.com/connect/8493803454333002#/reservations/598438392031?display=E1CG3DT6&amp;reservation_id=598438392031", "E1CG3DT6")</f>
        <v>E1CG3DT6</v>
      </c>
      <c r="D1293" t="s">
        <v>45</v>
      </c>
      <c r="E1293" t="s">
        <v>138</v>
      </c>
      <c r="F1293" t="s">
        <v>70</v>
      </c>
      <c r="G1293" t="s">
        <v>48</v>
      </c>
      <c r="H1293" t="s">
        <v>49</v>
      </c>
      <c r="I1293" t="s">
        <v>79</v>
      </c>
      <c r="J1293" t="s">
        <v>333</v>
      </c>
      <c r="K1293" t="s">
        <v>334</v>
      </c>
      <c r="L1293" t="s">
        <v>53</v>
      </c>
      <c r="N1293" t="s">
        <v>2292</v>
      </c>
      <c r="P1293" t="s">
        <v>55</v>
      </c>
      <c r="R1293" t="s">
        <v>56</v>
      </c>
      <c r="T1293" t="s">
        <v>2286</v>
      </c>
      <c r="U1293" t="s">
        <v>58</v>
      </c>
      <c r="V1293">
        <v>1</v>
      </c>
      <c r="W1293">
        <v>1</v>
      </c>
      <c r="X1293">
        <v>1</v>
      </c>
      <c r="Y1293">
        <v>0</v>
      </c>
      <c r="Z1293">
        <v>1</v>
      </c>
      <c r="AA1293">
        <v>0</v>
      </c>
      <c r="AB1293">
        <v>100.24</v>
      </c>
      <c r="AC1293">
        <v>88.2</v>
      </c>
      <c r="AD1293">
        <v>0</v>
      </c>
      <c r="AE1293">
        <v>12.04</v>
      </c>
      <c r="AF1293">
        <v>0</v>
      </c>
      <c r="AG1293">
        <v>0</v>
      </c>
      <c r="AH1293">
        <v>0</v>
      </c>
      <c r="AI1293">
        <v>0</v>
      </c>
      <c r="AJ1293">
        <v>100.24</v>
      </c>
      <c r="AK1293">
        <v>0</v>
      </c>
      <c r="AL1293" t="s">
        <v>53</v>
      </c>
      <c r="AM1293" t="s">
        <v>53</v>
      </c>
      <c r="AN1293" t="s">
        <v>132</v>
      </c>
      <c r="AO1293" t="s">
        <v>53</v>
      </c>
      <c r="AP1293" t="s">
        <v>53</v>
      </c>
    </row>
    <row r="1294" spans="2:42" x14ac:dyDescent="0.2">
      <c r="B1294" t="s">
        <v>44</v>
      </c>
      <c r="C1294" t="str">
        <f>HYPERLINK("https://us2.cloudbeds.com/connect/8493803454333002#/reservations/598560559286?display=E1FK3TS7&amp;reservation_id=598560559286", "E1FK3TS7")</f>
        <v>E1FK3TS7</v>
      </c>
      <c r="D1294" t="s">
        <v>45</v>
      </c>
      <c r="E1294" t="s">
        <v>406</v>
      </c>
      <c r="F1294" t="s">
        <v>61</v>
      </c>
      <c r="G1294" t="s">
        <v>48</v>
      </c>
      <c r="H1294" t="s">
        <v>49</v>
      </c>
      <c r="I1294" t="s">
        <v>79</v>
      </c>
      <c r="J1294" t="s">
        <v>107</v>
      </c>
      <c r="K1294" t="s">
        <v>191</v>
      </c>
      <c r="L1294" t="s">
        <v>53</v>
      </c>
      <c r="N1294" t="s">
        <v>2293</v>
      </c>
      <c r="P1294" t="s">
        <v>55</v>
      </c>
      <c r="R1294" t="s">
        <v>56</v>
      </c>
      <c r="T1294" t="s">
        <v>2286</v>
      </c>
      <c r="U1294" t="s">
        <v>58</v>
      </c>
      <c r="V1294">
        <v>1</v>
      </c>
      <c r="W1294">
        <v>1</v>
      </c>
      <c r="X1294">
        <v>1</v>
      </c>
      <c r="Y1294">
        <v>0</v>
      </c>
      <c r="Z1294">
        <v>1</v>
      </c>
      <c r="AA1294">
        <v>0</v>
      </c>
      <c r="AB1294">
        <v>117.63</v>
      </c>
      <c r="AC1294">
        <v>103.5</v>
      </c>
      <c r="AD1294">
        <v>0</v>
      </c>
      <c r="AE1294">
        <v>14.12</v>
      </c>
      <c r="AF1294">
        <v>0</v>
      </c>
      <c r="AG1294">
        <v>0</v>
      </c>
      <c r="AH1294">
        <v>0</v>
      </c>
      <c r="AI1294">
        <v>0</v>
      </c>
      <c r="AJ1294">
        <v>117.62</v>
      </c>
      <c r="AK1294">
        <v>-0.01</v>
      </c>
      <c r="AL1294" t="s">
        <v>53</v>
      </c>
      <c r="AM1294" t="s">
        <v>53</v>
      </c>
      <c r="AN1294" t="s">
        <v>178</v>
      </c>
      <c r="AO1294" t="s">
        <v>53</v>
      </c>
      <c r="AP1294" t="s">
        <v>53</v>
      </c>
    </row>
    <row r="1295" spans="2:42" x14ac:dyDescent="0.2">
      <c r="B1295" t="s">
        <v>44</v>
      </c>
      <c r="C1295" t="str">
        <f>HYPERLINK("https://us2.cloudbeds.com/connect/8493803454333002#/reservations/598165373074?display=E15GT8PF&amp;reservation_id=598165373074", "E15GT8PF")</f>
        <v>E15GT8PF</v>
      </c>
      <c r="D1295" t="s">
        <v>45</v>
      </c>
      <c r="E1295" t="s">
        <v>223</v>
      </c>
      <c r="F1295" t="s">
        <v>47</v>
      </c>
      <c r="G1295" t="s">
        <v>48</v>
      </c>
      <c r="H1295" t="s">
        <v>49</v>
      </c>
      <c r="I1295" t="s">
        <v>79</v>
      </c>
      <c r="J1295" t="s">
        <v>282</v>
      </c>
      <c r="K1295" t="s">
        <v>1027</v>
      </c>
      <c r="L1295" t="s">
        <v>53</v>
      </c>
      <c r="N1295" t="s">
        <v>2294</v>
      </c>
      <c r="P1295" t="s">
        <v>55</v>
      </c>
      <c r="R1295" t="s">
        <v>56</v>
      </c>
      <c r="T1295" t="s">
        <v>2286</v>
      </c>
      <c r="U1295" t="s">
        <v>58</v>
      </c>
      <c r="V1295">
        <v>1</v>
      </c>
      <c r="W1295">
        <v>1</v>
      </c>
      <c r="X1295">
        <v>1</v>
      </c>
      <c r="Y1295">
        <v>0</v>
      </c>
      <c r="Z1295">
        <v>1</v>
      </c>
      <c r="AA1295">
        <v>0</v>
      </c>
      <c r="AB1295">
        <v>127.86</v>
      </c>
      <c r="AC1295">
        <v>112.5</v>
      </c>
      <c r="AD1295">
        <v>0</v>
      </c>
      <c r="AE1295">
        <v>15.36</v>
      </c>
      <c r="AF1295">
        <v>0</v>
      </c>
      <c r="AG1295">
        <v>0</v>
      </c>
      <c r="AH1295">
        <v>0</v>
      </c>
      <c r="AI1295">
        <v>0</v>
      </c>
      <c r="AJ1295">
        <v>127.86</v>
      </c>
      <c r="AK1295">
        <v>0</v>
      </c>
      <c r="AL1295" t="s">
        <v>53</v>
      </c>
      <c r="AM1295" t="s">
        <v>53</v>
      </c>
      <c r="AN1295" t="s">
        <v>252</v>
      </c>
      <c r="AO1295" t="s">
        <v>53</v>
      </c>
      <c r="AP1295" t="s">
        <v>53</v>
      </c>
    </row>
    <row r="1296" spans="2:42" x14ac:dyDescent="0.2">
      <c r="B1296" t="s">
        <v>44</v>
      </c>
      <c r="C1296" t="str">
        <f>HYPERLINK("https://us2.cloudbeds.com/connect/8493803454333002#/reservations/598124118151?display=E14F39F8&amp;reservation_id=598124118151", "E14F39F8")</f>
        <v>E14F39F8</v>
      </c>
      <c r="D1296" t="s">
        <v>45</v>
      </c>
      <c r="E1296" t="s">
        <v>110</v>
      </c>
      <c r="F1296" t="s">
        <v>47</v>
      </c>
      <c r="G1296" t="s">
        <v>48</v>
      </c>
      <c r="H1296" t="s">
        <v>71</v>
      </c>
      <c r="I1296" t="s">
        <v>72</v>
      </c>
      <c r="J1296" t="s">
        <v>282</v>
      </c>
      <c r="K1296" t="s">
        <v>1027</v>
      </c>
      <c r="L1296" t="s">
        <v>53</v>
      </c>
      <c r="N1296" t="s">
        <v>2295</v>
      </c>
      <c r="P1296" t="s">
        <v>55</v>
      </c>
      <c r="R1296" t="s">
        <v>56</v>
      </c>
      <c r="T1296" t="s">
        <v>2286</v>
      </c>
      <c r="U1296" t="s">
        <v>58</v>
      </c>
      <c r="V1296">
        <v>1</v>
      </c>
      <c r="W1296">
        <v>1</v>
      </c>
      <c r="X1296">
        <v>1</v>
      </c>
      <c r="Y1296">
        <v>0</v>
      </c>
      <c r="Z1296">
        <v>1</v>
      </c>
      <c r="AA1296">
        <v>0</v>
      </c>
      <c r="AB1296">
        <v>136.38</v>
      </c>
      <c r="AC1296">
        <v>120</v>
      </c>
      <c r="AD1296">
        <v>0</v>
      </c>
      <c r="AE1296">
        <v>16.38</v>
      </c>
      <c r="AF1296">
        <v>0</v>
      </c>
      <c r="AG1296">
        <v>0</v>
      </c>
      <c r="AH1296">
        <v>0</v>
      </c>
      <c r="AI1296">
        <v>0</v>
      </c>
      <c r="AJ1296">
        <v>136.38</v>
      </c>
      <c r="AK1296">
        <v>0</v>
      </c>
      <c r="AL1296" t="s">
        <v>53</v>
      </c>
      <c r="AM1296" t="s">
        <v>53</v>
      </c>
      <c r="AN1296" t="s">
        <v>378</v>
      </c>
      <c r="AO1296" t="s">
        <v>53</v>
      </c>
      <c r="AP1296" t="s">
        <v>53</v>
      </c>
    </row>
    <row r="1297" spans="2:42" x14ac:dyDescent="0.2">
      <c r="B1297" t="s">
        <v>44</v>
      </c>
      <c r="C1297" t="str">
        <f>HYPERLINK("https://us2.cloudbeds.com/connect/8493803454333002#/reservations/597575303371?display=E0NEANAB&amp;reservation_id=597575303371", "E0NEANAB")</f>
        <v>E0NEANAB</v>
      </c>
      <c r="D1297" t="s">
        <v>45</v>
      </c>
      <c r="E1297" t="s">
        <v>78</v>
      </c>
      <c r="F1297" t="s">
        <v>61</v>
      </c>
      <c r="G1297" t="s">
        <v>48</v>
      </c>
      <c r="H1297" t="s">
        <v>49</v>
      </c>
      <c r="I1297" t="s">
        <v>79</v>
      </c>
      <c r="J1297" t="s">
        <v>1027</v>
      </c>
      <c r="K1297" t="s">
        <v>709</v>
      </c>
      <c r="L1297" t="s">
        <v>53</v>
      </c>
      <c r="N1297" t="s">
        <v>2296</v>
      </c>
      <c r="P1297" t="s">
        <v>55</v>
      </c>
      <c r="R1297" t="s">
        <v>56</v>
      </c>
      <c r="T1297" t="s">
        <v>2286</v>
      </c>
      <c r="U1297" t="s">
        <v>58</v>
      </c>
      <c r="V1297">
        <v>1</v>
      </c>
      <c r="W1297">
        <v>1</v>
      </c>
      <c r="X1297">
        <v>1</v>
      </c>
      <c r="Y1297">
        <v>0</v>
      </c>
      <c r="Z1297">
        <v>1</v>
      </c>
      <c r="AA1297">
        <v>0</v>
      </c>
      <c r="AB1297">
        <v>140.13</v>
      </c>
      <c r="AC1297">
        <v>123.3</v>
      </c>
      <c r="AD1297">
        <v>0</v>
      </c>
      <c r="AE1297">
        <v>16.84</v>
      </c>
      <c r="AF1297">
        <v>0</v>
      </c>
      <c r="AG1297">
        <v>0</v>
      </c>
      <c r="AH1297">
        <v>0</v>
      </c>
      <c r="AI1297">
        <v>0</v>
      </c>
      <c r="AJ1297">
        <v>140.13999999999999</v>
      </c>
      <c r="AK1297">
        <v>0.01</v>
      </c>
      <c r="AL1297" t="s">
        <v>53</v>
      </c>
      <c r="AM1297" t="s">
        <v>53</v>
      </c>
      <c r="AN1297" t="s">
        <v>178</v>
      </c>
      <c r="AO1297" t="s">
        <v>53</v>
      </c>
      <c r="AP1297" t="s">
        <v>53</v>
      </c>
    </row>
    <row r="1298" spans="2:42" x14ac:dyDescent="0.2">
      <c r="B1298" t="s">
        <v>44</v>
      </c>
      <c r="C1298" t="str">
        <f>HYPERLINK("https://us2.cloudbeds.com/connect/8493803454333002#/reservations/579268382944?display=DJHYEYZU&amp;reservation_id=579268382944", "DJHYEYZU")</f>
        <v>DJHYEYZU</v>
      </c>
      <c r="D1298" t="s">
        <v>45</v>
      </c>
      <c r="E1298" t="s">
        <v>185</v>
      </c>
      <c r="F1298" t="s">
        <v>47</v>
      </c>
      <c r="G1298" t="s">
        <v>48</v>
      </c>
      <c r="H1298" t="s">
        <v>49</v>
      </c>
      <c r="I1298" t="s">
        <v>50</v>
      </c>
      <c r="J1298" t="s">
        <v>2162</v>
      </c>
      <c r="K1298" t="s">
        <v>2163</v>
      </c>
      <c r="L1298" t="s">
        <v>53</v>
      </c>
      <c r="N1298" t="s">
        <v>2297</v>
      </c>
      <c r="P1298" t="s">
        <v>55</v>
      </c>
      <c r="R1298" t="s">
        <v>56</v>
      </c>
      <c r="T1298" t="s">
        <v>2286</v>
      </c>
      <c r="U1298" t="s">
        <v>58</v>
      </c>
      <c r="V1298">
        <v>2</v>
      </c>
      <c r="W1298">
        <v>1</v>
      </c>
      <c r="X1298">
        <v>1</v>
      </c>
      <c r="Y1298">
        <v>0</v>
      </c>
      <c r="Z1298">
        <v>1</v>
      </c>
      <c r="AA1298">
        <v>0</v>
      </c>
      <c r="AB1298">
        <v>296.62</v>
      </c>
      <c r="AC1298">
        <v>261</v>
      </c>
      <c r="AD1298">
        <v>0</v>
      </c>
      <c r="AE1298">
        <v>35.619999999999997</v>
      </c>
      <c r="AF1298">
        <v>0</v>
      </c>
      <c r="AG1298">
        <v>0</v>
      </c>
      <c r="AH1298">
        <v>0</v>
      </c>
      <c r="AI1298">
        <v>53.39</v>
      </c>
      <c r="AJ1298">
        <v>296.62</v>
      </c>
      <c r="AK1298">
        <v>0</v>
      </c>
      <c r="AL1298" t="s">
        <v>53</v>
      </c>
      <c r="AM1298" t="s">
        <v>53</v>
      </c>
      <c r="AN1298" t="s">
        <v>245</v>
      </c>
      <c r="AO1298" t="s">
        <v>53</v>
      </c>
      <c r="AP1298" t="s">
        <v>53</v>
      </c>
    </row>
    <row r="1299" spans="2:42" x14ac:dyDescent="0.2">
      <c r="B1299" t="s">
        <v>44</v>
      </c>
      <c r="C1299" t="str">
        <f>HYPERLINK("https://us2.cloudbeds.com/connect/8493803454333002#/reservations/598512652423?display=E1ECNR83&amp;reservation_id=598512652423", "E1ECNR83")</f>
        <v>E1ECNR83</v>
      </c>
      <c r="D1299" t="s">
        <v>45</v>
      </c>
      <c r="E1299" t="s">
        <v>223</v>
      </c>
      <c r="F1299" t="s">
        <v>47</v>
      </c>
      <c r="G1299" t="s">
        <v>48</v>
      </c>
      <c r="H1299" t="s">
        <v>49</v>
      </c>
      <c r="I1299" t="s">
        <v>50</v>
      </c>
      <c r="J1299" t="s">
        <v>360</v>
      </c>
      <c r="K1299" t="s">
        <v>611</v>
      </c>
      <c r="L1299" t="s">
        <v>53</v>
      </c>
      <c r="N1299" t="s">
        <v>2298</v>
      </c>
      <c r="P1299" t="s">
        <v>55</v>
      </c>
      <c r="R1299" t="s">
        <v>56</v>
      </c>
      <c r="T1299" t="s">
        <v>2286</v>
      </c>
      <c r="U1299" t="s">
        <v>58</v>
      </c>
      <c r="V1299">
        <v>1</v>
      </c>
      <c r="W1299">
        <v>1</v>
      </c>
      <c r="X1299">
        <v>1</v>
      </c>
      <c r="Y1299">
        <v>0</v>
      </c>
      <c r="Z1299">
        <v>1</v>
      </c>
      <c r="AA1299">
        <v>0</v>
      </c>
      <c r="AB1299">
        <v>103.31</v>
      </c>
      <c r="AC1299">
        <v>90.9</v>
      </c>
      <c r="AD1299">
        <v>0</v>
      </c>
      <c r="AE1299">
        <v>12.41</v>
      </c>
      <c r="AF1299">
        <v>0</v>
      </c>
      <c r="AG1299">
        <v>0</v>
      </c>
      <c r="AH1299">
        <v>0</v>
      </c>
      <c r="AI1299">
        <v>18.600000000000001</v>
      </c>
      <c r="AJ1299">
        <v>103.31</v>
      </c>
      <c r="AK1299">
        <v>0</v>
      </c>
      <c r="AL1299" t="s">
        <v>53</v>
      </c>
      <c r="AM1299" t="s">
        <v>53</v>
      </c>
      <c r="AN1299" t="s">
        <v>84</v>
      </c>
      <c r="AO1299" t="s">
        <v>53</v>
      </c>
      <c r="AP1299" t="s">
        <v>53</v>
      </c>
    </row>
    <row r="1300" spans="2:42" x14ac:dyDescent="0.2">
      <c r="B1300" t="s">
        <v>44</v>
      </c>
      <c r="C1300" t="str">
        <f>HYPERLINK("https://us2.cloudbeds.com/connect/8493803454333002#/reservations/598326603905?display=E19KRZQ7&amp;reservation_id=598326603905", "E19KRZQ7")</f>
        <v>E19KRZQ7</v>
      </c>
      <c r="D1300" t="s">
        <v>45</v>
      </c>
      <c r="E1300" t="s">
        <v>185</v>
      </c>
      <c r="F1300" t="s">
        <v>47</v>
      </c>
      <c r="G1300" t="s">
        <v>48</v>
      </c>
      <c r="H1300" t="s">
        <v>49</v>
      </c>
      <c r="I1300" t="s">
        <v>50</v>
      </c>
      <c r="J1300" t="s">
        <v>107</v>
      </c>
      <c r="K1300" t="s">
        <v>191</v>
      </c>
      <c r="L1300" t="s">
        <v>53</v>
      </c>
      <c r="N1300" t="s">
        <v>2299</v>
      </c>
      <c r="P1300" t="s">
        <v>55</v>
      </c>
      <c r="R1300" t="s">
        <v>56</v>
      </c>
      <c r="T1300" t="s">
        <v>2300</v>
      </c>
      <c r="U1300" t="s">
        <v>58</v>
      </c>
      <c r="V1300">
        <v>1</v>
      </c>
      <c r="W1300">
        <v>1</v>
      </c>
      <c r="X1300">
        <v>1</v>
      </c>
      <c r="Y1300">
        <v>0</v>
      </c>
      <c r="Z1300">
        <v>1</v>
      </c>
      <c r="AA1300">
        <v>0</v>
      </c>
      <c r="AB1300">
        <v>103.31</v>
      </c>
      <c r="AC1300">
        <v>90.9</v>
      </c>
      <c r="AD1300">
        <v>0</v>
      </c>
      <c r="AE1300">
        <v>12.41</v>
      </c>
      <c r="AF1300">
        <v>0</v>
      </c>
      <c r="AG1300">
        <v>0</v>
      </c>
      <c r="AH1300">
        <v>0</v>
      </c>
      <c r="AI1300">
        <v>18.600000000000001</v>
      </c>
      <c r="AJ1300">
        <v>103.31</v>
      </c>
      <c r="AK1300">
        <v>0</v>
      </c>
      <c r="AL1300" t="s">
        <v>53</v>
      </c>
      <c r="AM1300" t="s">
        <v>53</v>
      </c>
      <c r="AN1300" t="s">
        <v>178</v>
      </c>
      <c r="AO1300" t="s">
        <v>53</v>
      </c>
      <c r="AP1300" t="s">
        <v>53</v>
      </c>
    </row>
    <row r="1301" spans="2:42" x14ac:dyDescent="0.2">
      <c r="B1301" t="s">
        <v>44</v>
      </c>
      <c r="C1301" t="str">
        <f>HYPERLINK("https://us2.cloudbeds.com/connect/8493803454333002#/reservations/579342868718?display=DJJX8B2J&amp;reservation_id=579342868718", "DJJX8B2J")</f>
        <v>DJJX8B2J</v>
      </c>
      <c r="D1301" t="s">
        <v>45</v>
      </c>
      <c r="E1301" t="s">
        <v>121</v>
      </c>
      <c r="F1301" t="s">
        <v>86</v>
      </c>
      <c r="G1301" t="s">
        <v>48</v>
      </c>
      <c r="H1301" t="s">
        <v>49</v>
      </c>
      <c r="I1301" t="s">
        <v>50</v>
      </c>
      <c r="J1301" t="s">
        <v>1333</v>
      </c>
      <c r="K1301" t="s">
        <v>1933</v>
      </c>
      <c r="L1301" t="s">
        <v>53</v>
      </c>
      <c r="N1301" t="s">
        <v>2301</v>
      </c>
      <c r="P1301" t="s">
        <v>55</v>
      </c>
      <c r="R1301" t="s">
        <v>56</v>
      </c>
      <c r="T1301" t="s">
        <v>2300</v>
      </c>
      <c r="U1301" t="s">
        <v>58</v>
      </c>
      <c r="V1301">
        <v>1</v>
      </c>
      <c r="W1301">
        <v>1</v>
      </c>
      <c r="X1301">
        <v>1</v>
      </c>
      <c r="Y1301">
        <v>0</v>
      </c>
      <c r="Z1301">
        <v>1</v>
      </c>
      <c r="AA1301">
        <v>0</v>
      </c>
      <c r="AB1301">
        <v>172.86</v>
      </c>
      <c r="AC1301">
        <v>152.1</v>
      </c>
      <c r="AD1301">
        <v>0</v>
      </c>
      <c r="AE1301">
        <v>20.76</v>
      </c>
      <c r="AF1301">
        <v>0</v>
      </c>
      <c r="AG1301">
        <v>0</v>
      </c>
      <c r="AH1301">
        <v>0</v>
      </c>
      <c r="AI1301">
        <v>31.11</v>
      </c>
      <c r="AJ1301">
        <v>172.86</v>
      </c>
      <c r="AK1301">
        <v>0</v>
      </c>
      <c r="AL1301" t="s">
        <v>53</v>
      </c>
      <c r="AM1301" t="s">
        <v>53</v>
      </c>
      <c r="AN1301" t="s">
        <v>127</v>
      </c>
      <c r="AO1301" t="s">
        <v>53</v>
      </c>
      <c r="AP1301" t="s">
        <v>53</v>
      </c>
    </row>
    <row r="1302" spans="2:42" x14ac:dyDescent="0.2">
      <c r="B1302" t="s">
        <v>44</v>
      </c>
      <c r="C1302" t="str">
        <f>HYPERLINK("https://us2.cloudbeds.com/connect/8493803454333002#/reservations/598525653233?display=E1ENMJX1&amp;reservation_id=598525653233", "E1ENMJX1")</f>
        <v>E1ENMJX1</v>
      </c>
      <c r="D1302" t="s">
        <v>45</v>
      </c>
      <c r="E1302" t="s">
        <v>138</v>
      </c>
      <c r="F1302" t="s">
        <v>70</v>
      </c>
      <c r="G1302" t="s">
        <v>48</v>
      </c>
      <c r="H1302" t="s">
        <v>49</v>
      </c>
      <c r="I1302" t="s">
        <v>79</v>
      </c>
      <c r="J1302" t="s">
        <v>334</v>
      </c>
      <c r="K1302" t="s">
        <v>538</v>
      </c>
      <c r="L1302" t="s">
        <v>53</v>
      </c>
      <c r="N1302" t="s">
        <v>2302</v>
      </c>
      <c r="P1302" t="s">
        <v>55</v>
      </c>
      <c r="R1302" t="s">
        <v>56</v>
      </c>
      <c r="T1302" t="s">
        <v>2300</v>
      </c>
      <c r="U1302" t="s">
        <v>58</v>
      </c>
      <c r="V1302">
        <v>1</v>
      </c>
      <c r="W1302">
        <v>1</v>
      </c>
      <c r="X1302">
        <v>1</v>
      </c>
      <c r="Y1302">
        <v>0</v>
      </c>
      <c r="Z1302">
        <v>1</v>
      </c>
      <c r="AA1302">
        <v>0</v>
      </c>
      <c r="AB1302">
        <v>100.24</v>
      </c>
      <c r="AC1302">
        <v>88.2</v>
      </c>
      <c r="AD1302">
        <v>0</v>
      </c>
      <c r="AE1302">
        <v>12.04</v>
      </c>
      <c r="AF1302">
        <v>0</v>
      </c>
      <c r="AG1302">
        <v>0</v>
      </c>
      <c r="AH1302">
        <v>0</v>
      </c>
      <c r="AI1302">
        <v>0</v>
      </c>
      <c r="AJ1302">
        <v>100.24</v>
      </c>
      <c r="AK1302">
        <v>0</v>
      </c>
      <c r="AL1302" t="s">
        <v>53</v>
      </c>
      <c r="AM1302" t="s">
        <v>53</v>
      </c>
      <c r="AN1302" t="s">
        <v>132</v>
      </c>
      <c r="AO1302" t="s">
        <v>53</v>
      </c>
      <c r="AP1302" t="s">
        <v>53</v>
      </c>
    </row>
    <row r="1303" spans="2:42" x14ac:dyDescent="0.2">
      <c r="B1303" t="s">
        <v>44</v>
      </c>
      <c r="C1303" t="str">
        <f>HYPERLINK("https://us2.cloudbeds.com/connect/8493803454333002#/reservations/598616993940?display=E1H1N9A8&amp;reservation_id=598616993940", "E1H1N9A8")</f>
        <v>E1H1N9A8</v>
      </c>
      <c r="D1303" t="s">
        <v>45</v>
      </c>
      <c r="E1303" t="s">
        <v>179</v>
      </c>
      <c r="F1303" t="s">
        <v>47</v>
      </c>
      <c r="G1303" t="s">
        <v>48</v>
      </c>
      <c r="H1303" t="s">
        <v>49</v>
      </c>
      <c r="I1303" t="s">
        <v>266</v>
      </c>
      <c r="J1303" t="s">
        <v>94</v>
      </c>
      <c r="K1303" t="s">
        <v>152</v>
      </c>
      <c r="L1303" t="s">
        <v>53</v>
      </c>
      <c r="N1303" t="s">
        <v>2303</v>
      </c>
      <c r="P1303" t="s">
        <v>55</v>
      </c>
      <c r="R1303" t="s">
        <v>56</v>
      </c>
      <c r="T1303" t="s">
        <v>2300</v>
      </c>
      <c r="U1303" t="s">
        <v>58</v>
      </c>
      <c r="V1303">
        <v>1</v>
      </c>
      <c r="W1303">
        <v>1</v>
      </c>
      <c r="X1303">
        <v>1</v>
      </c>
      <c r="Y1303">
        <v>0</v>
      </c>
      <c r="Z1303">
        <v>1</v>
      </c>
      <c r="AA1303">
        <v>0</v>
      </c>
      <c r="AB1303">
        <v>160.25</v>
      </c>
      <c r="AC1303">
        <v>141</v>
      </c>
      <c r="AD1303">
        <v>0</v>
      </c>
      <c r="AE1303">
        <v>19.25</v>
      </c>
      <c r="AF1303">
        <v>0</v>
      </c>
      <c r="AG1303">
        <v>0</v>
      </c>
      <c r="AH1303">
        <v>0</v>
      </c>
      <c r="AI1303">
        <v>0</v>
      </c>
      <c r="AJ1303">
        <v>160.25</v>
      </c>
      <c r="AK1303">
        <v>0</v>
      </c>
      <c r="AL1303" t="s">
        <v>53</v>
      </c>
      <c r="AM1303" t="s">
        <v>53</v>
      </c>
      <c r="AN1303" t="s">
        <v>225</v>
      </c>
      <c r="AO1303" t="s">
        <v>53</v>
      </c>
      <c r="AP1303" t="s">
        <v>53</v>
      </c>
    </row>
    <row r="1304" spans="2:42" x14ac:dyDescent="0.2">
      <c r="B1304" t="s">
        <v>44</v>
      </c>
      <c r="C1304" t="str">
        <f>HYPERLINK("https://us2.cloudbeds.com/connect/8493803454333002#/reservations/598228115620?display=E173Q5JZ&amp;reservation_id=598228115620", "E173Q5JZ")</f>
        <v>E173Q5JZ</v>
      </c>
      <c r="D1304" t="s">
        <v>45</v>
      </c>
      <c r="E1304" t="s">
        <v>92</v>
      </c>
      <c r="F1304" t="s">
        <v>86</v>
      </c>
      <c r="G1304" t="s">
        <v>48</v>
      </c>
      <c r="H1304" t="s">
        <v>71</v>
      </c>
      <c r="I1304" t="s">
        <v>72</v>
      </c>
      <c r="J1304" t="s">
        <v>922</v>
      </c>
      <c r="K1304" t="s">
        <v>107</v>
      </c>
      <c r="L1304" t="s">
        <v>53</v>
      </c>
      <c r="N1304" t="s">
        <v>2304</v>
      </c>
      <c r="P1304" t="s">
        <v>55</v>
      </c>
      <c r="R1304" t="s">
        <v>56</v>
      </c>
      <c r="T1304" t="s">
        <v>2300</v>
      </c>
      <c r="U1304" t="s">
        <v>58</v>
      </c>
      <c r="V1304">
        <v>1</v>
      </c>
      <c r="W1304">
        <v>1</v>
      </c>
      <c r="X1304">
        <v>1</v>
      </c>
      <c r="Y1304">
        <v>0</v>
      </c>
      <c r="Z1304">
        <v>1</v>
      </c>
      <c r="AA1304">
        <v>0</v>
      </c>
      <c r="AB1304">
        <v>188.66</v>
      </c>
      <c r="AC1304">
        <v>166</v>
      </c>
      <c r="AD1304">
        <v>0</v>
      </c>
      <c r="AE1304">
        <v>22.66</v>
      </c>
      <c r="AF1304">
        <v>0</v>
      </c>
      <c r="AG1304">
        <v>0</v>
      </c>
      <c r="AH1304">
        <v>0</v>
      </c>
      <c r="AI1304">
        <v>0</v>
      </c>
      <c r="AJ1304">
        <v>188.66</v>
      </c>
      <c r="AK1304">
        <v>0</v>
      </c>
      <c r="AL1304" t="s">
        <v>53</v>
      </c>
      <c r="AM1304" t="s">
        <v>53</v>
      </c>
      <c r="AN1304" t="s">
        <v>2305</v>
      </c>
      <c r="AO1304" t="s">
        <v>53</v>
      </c>
      <c r="AP1304" t="s">
        <v>53</v>
      </c>
    </row>
    <row r="1305" spans="2:42" x14ac:dyDescent="0.2">
      <c r="B1305" t="s">
        <v>44</v>
      </c>
      <c r="C1305" t="str">
        <f>HYPERLINK("https://us2.cloudbeds.com/connect/8493803454333002#/reservations/598531502284?display=E1ESKBJ0&amp;reservation_id=598531502284", "E1ESKBJ0")</f>
        <v>E1ESKBJ0</v>
      </c>
      <c r="D1305" t="s">
        <v>45</v>
      </c>
      <c r="E1305" t="s">
        <v>155</v>
      </c>
      <c r="F1305" t="s">
        <v>86</v>
      </c>
      <c r="G1305" t="s">
        <v>48</v>
      </c>
      <c r="H1305" t="s">
        <v>71</v>
      </c>
      <c r="I1305" t="s">
        <v>72</v>
      </c>
      <c r="J1305" t="s">
        <v>1027</v>
      </c>
      <c r="K1305" t="s">
        <v>709</v>
      </c>
      <c r="L1305" t="s">
        <v>53</v>
      </c>
      <c r="N1305" t="s">
        <v>2306</v>
      </c>
      <c r="P1305" t="s">
        <v>55</v>
      </c>
      <c r="R1305" t="s">
        <v>56</v>
      </c>
      <c r="T1305" t="s">
        <v>2300</v>
      </c>
      <c r="U1305" t="s">
        <v>58</v>
      </c>
      <c r="V1305">
        <v>1</v>
      </c>
      <c r="W1305">
        <v>1</v>
      </c>
      <c r="X1305">
        <v>1</v>
      </c>
      <c r="Y1305">
        <v>0</v>
      </c>
      <c r="Z1305">
        <v>1</v>
      </c>
      <c r="AA1305">
        <v>0</v>
      </c>
      <c r="AB1305">
        <v>164.79</v>
      </c>
      <c r="AC1305">
        <v>145</v>
      </c>
      <c r="AD1305">
        <v>0</v>
      </c>
      <c r="AE1305">
        <v>19.8</v>
      </c>
      <c r="AF1305">
        <v>0</v>
      </c>
      <c r="AG1305">
        <v>0</v>
      </c>
      <c r="AH1305">
        <v>0</v>
      </c>
      <c r="AI1305">
        <v>0</v>
      </c>
      <c r="AJ1305">
        <v>164.8</v>
      </c>
      <c r="AK1305">
        <v>0.01</v>
      </c>
      <c r="AL1305" t="s">
        <v>53</v>
      </c>
      <c r="AM1305" t="s">
        <v>53</v>
      </c>
      <c r="AN1305" t="s">
        <v>378</v>
      </c>
      <c r="AO1305" t="s">
        <v>53</v>
      </c>
      <c r="AP1305" t="s">
        <v>53</v>
      </c>
    </row>
    <row r="1306" spans="2:42" x14ac:dyDescent="0.2">
      <c r="B1306" t="s">
        <v>44</v>
      </c>
      <c r="C1306" t="str">
        <f>HYPERLINK("https://us2.cloudbeds.com/connect/8493803454333002#/reservations/598209794273?display=E16YBBJD&amp;reservation_id=598209794273", "E16YBBJD")</f>
        <v>E16YBBJD</v>
      </c>
      <c r="D1306" t="s">
        <v>45</v>
      </c>
      <c r="E1306" t="s">
        <v>105</v>
      </c>
      <c r="F1306" t="s">
        <v>47</v>
      </c>
      <c r="G1306" t="s">
        <v>48</v>
      </c>
      <c r="H1306" t="s">
        <v>49</v>
      </c>
      <c r="I1306" t="s">
        <v>266</v>
      </c>
      <c r="J1306" t="s">
        <v>94</v>
      </c>
      <c r="K1306" t="s">
        <v>152</v>
      </c>
      <c r="L1306" t="s">
        <v>53</v>
      </c>
      <c r="N1306" t="s">
        <v>2307</v>
      </c>
      <c r="P1306" t="s">
        <v>55</v>
      </c>
      <c r="R1306" t="s">
        <v>56</v>
      </c>
      <c r="T1306" t="s">
        <v>2300</v>
      </c>
      <c r="U1306" t="s">
        <v>58</v>
      </c>
      <c r="V1306">
        <v>1</v>
      </c>
      <c r="W1306">
        <v>1</v>
      </c>
      <c r="X1306">
        <v>1</v>
      </c>
      <c r="Y1306">
        <v>0</v>
      </c>
      <c r="Z1306">
        <v>1</v>
      </c>
      <c r="AA1306">
        <v>0</v>
      </c>
      <c r="AB1306">
        <v>160.25</v>
      </c>
      <c r="AC1306">
        <v>141</v>
      </c>
      <c r="AD1306">
        <v>0</v>
      </c>
      <c r="AE1306">
        <v>19.25</v>
      </c>
      <c r="AF1306">
        <v>0</v>
      </c>
      <c r="AG1306">
        <v>0</v>
      </c>
      <c r="AH1306">
        <v>0</v>
      </c>
      <c r="AI1306">
        <v>0</v>
      </c>
      <c r="AJ1306">
        <v>160.25</v>
      </c>
      <c r="AK1306">
        <v>0</v>
      </c>
      <c r="AL1306" t="s">
        <v>53</v>
      </c>
      <c r="AM1306" t="s">
        <v>53</v>
      </c>
      <c r="AN1306" t="s">
        <v>132</v>
      </c>
      <c r="AO1306" t="s">
        <v>53</v>
      </c>
      <c r="AP1306" t="s">
        <v>53</v>
      </c>
    </row>
    <row r="1307" spans="2:42" x14ac:dyDescent="0.2">
      <c r="B1307" t="s">
        <v>44</v>
      </c>
      <c r="C1307" t="str">
        <f>HYPERLINK("https://us2.cloudbeds.com/connect/8493803454333002#/reservations/598422159511?display=E1C2DNWY&amp;reservation_id=598422159511", "E1C2DNWY")</f>
        <v>E1C2DNWY</v>
      </c>
      <c r="D1307" t="s">
        <v>45</v>
      </c>
      <c r="E1307" t="s">
        <v>69</v>
      </c>
      <c r="F1307" t="s">
        <v>70</v>
      </c>
      <c r="G1307" t="s">
        <v>48</v>
      </c>
      <c r="H1307" t="s">
        <v>49</v>
      </c>
      <c r="I1307" t="s">
        <v>62</v>
      </c>
      <c r="J1307" t="s">
        <v>143</v>
      </c>
      <c r="K1307" t="s">
        <v>144</v>
      </c>
      <c r="L1307" t="s">
        <v>53</v>
      </c>
      <c r="N1307" t="s">
        <v>2308</v>
      </c>
      <c r="P1307" t="s">
        <v>55</v>
      </c>
      <c r="R1307" t="s">
        <v>56</v>
      </c>
      <c r="T1307" t="s">
        <v>2300</v>
      </c>
      <c r="U1307" t="s">
        <v>58</v>
      </c>
      <c r="V1307">
        <v>1</v>
      </c>
      <c r="W1307">
        <v>1</v>
      </c>
      <c r="X1307">
        <v>1</v>
      </c>
      <c r="Y1307">
        <v>0</v>
      </c>
      <c r="Z1307">
        <v>1</v>
      </c>
      <c r="AA1307">
        <v>0</v>
      </c>
      <c r="AB1307">
        <v>164.79</v>
      </c>
      <c r="AC1307">
        <v>145</v>
      </c>
      <c r="AD1307">
        <v>0</v>
      </c>
      <c r="AE1307">
        <v>19.8</v>
      </c>
      <c r="AF1307">
        <v>0</v>
      </c>
      <c r="AG1307">
        <v>0</v>
      </c>
      <c r="AH1307">
        <v>0</v>
      </c>
      <c r="AI1307">
        <v>24.72</v>
      </c>
      <c r="AJ1307">
        <v>164.8</v>
      </c>
      <c r="AK1307">
        <v>0.01</v>
      </c>
      <c r="AL1307" t="s">
        <v>53</v>
      </c>
      <c r="AM1307" t="s">
        <v>53</v>
      </c>
      <c r="AN1307" t="s">
        <v>178</v>
      </c>
      <c r="AO1307" t="s">
        <v>53</v>
      </c>
      <c r="AP1307" t="s">
        <v>53</v>
      </c>
    </row>
    <row r="1308" spans="2:42" x14ac:dyDescent="0.2">
      <c r="B1308" t="s">
        <v>44</v>
      </c>
      <c r="C1308" t="str">
        <f>HYPERLINK("https://us2.cloudbeds.com/connect/8493803454333002#/reservations/598535344298?display=E1EVS8JY&amp;reservation_id=598535344298", "E1EVS8JY")</f>
        <v>E1EVS8JY</v>
      </c>
      <c r="D1308" t="s">
        <v>45</v>
      </c>
      <c r="E1308" t="s">
        <v>223</v>
      </c>
      <c r="F1308" t="s">
        <v>47</v>
      </c>
      <c r="G1308" t="s">
        <v>48</v>
      </c>
      <c r="H1308" t="s">
        <v>71</v>
      </c>
      <c r="I1308" t="s">
        <v>72</v>
      </c>
      <c r="J1308" t="s">
        <v>538</v>
      </c>
      <c r="K1308" t="s">
        <v>259</v>
      </c>
      <c r="L1308" t="s">
        <v>53</v>
      </c>
      <c r="N1308" t="s">
        <v>2309</v>
      </c>
      <c r="P1308" t="s">
        <v>55</v>
      </c>
      <c r="R1308" t="s">
        <v>56</v>
      </c>
      <c r="T1308" t="s">
        <v>2300</v>
      </c>
      <c r="U1308" t="s">
        <v>58</v>
      </c>
      <c r="V1308">
        <v>1</v>
      </c>
      <c r="W1308">
        <v>1</v>
      </c>
      <c r="X1308">
        <v>1</v>
      </c>
      <c r="Y1308">
        <v>0</v>
      </c>
      <c r="Z1308">
        <v>1</v>
      </c>
      <c r="AA1308">
        <v>0</v>
      </c>
      <c r="AB1308">
        <v>118.2</v>
      </c>
      <c r="AC1308">
        <v>104</v>
      </c>
      <c r="AD1308">
        <v>0</v>
      </c>
      <c r="AE1308">
        <v>14.2</v>
      </c>
      <c r="AF1308">
        <v>0</v>
      </c>
      <c r="AG1308">
        <v>0</v>
      </c>
      <c r="AH1308">
        <v>0</v>
      </c>
      <c r="AI1308">
        <v>0</v>
      </c>
      <c r="AJ1308">
        <v>118.2</v>
      </c>
      <c r="AK1308">
        <v>0</v>
      </c>
      <c r="AL1308" t="s">
        <v>53</v>
      </c>
      <c r="AM1308" t="s">
        <v>53</v>
      </c>
      <c r="AN1308" t="s">
        <v>2310</v>
      </c>
      <c r="AO1308" t="s">
        <v>53</v>
      </c>
      <c r="AP1308" t="s">
        <v>53</v>
      </c>
    </row>
    <row r="1309" spans="2:42" x14ac:dyDescent="0.2">
      <c r="B1309" t="s">
        <v>44</v>
      </c>
      <c r="C1309" t="str">
        <f>HYPERLINK("https://us2.cloudbeds.com/connect/8493803454333002#/reservations/598554919119?display=E1FFBVY2&amp;reservation_id=598554919119", "E1FFBVY2")</f>
        <v>E1FFBVY2</v>
      </c>
      <c r="D1309" t="s">
        <v>45</v>
      </c>
      <c r="E1309" t="s">
        <v>373</v>
      </c>
      <c r="F1309" t="s">
        <v>47</v>
      </c>
      <c r="G1309" t="s">
        <v>48</v>
      </c>
      <c r="H1309" t="s">
        <v>49</v>
      </c>
      <c r="I1309" t="s">
        <v>79</v>
      </c>
      <c r="J1309" t="s">
        <v>1244</v>
      </c>
      <c r="K1309" t="s">
        <v>618</v>
      </c>
      <c r="L1309" t="s">
        <v>53</v>
      </c>
      <c r="N1309" t="s">
        <v>2311</v>
      </c>
      <c r="P1309" t="s">
        <v>55</v>
      </c>
      <c r="R1309" t="s">
        <v>56</v>
      </c>
      <c r="T1309" t="s">
        <v>2300</v>
      </c>
      <c r="U1309" t="s">
        <v>58</v>
      </c>
      <c r="V1309">
        <v>1</v>
      </c>
      <c r="W1309">
        <v>1</v>
      </c>
      <c r="X1309">
        <v>1</v>
      </c>
      <c r="Y1309">
        <v>0</v>
      </c>
      <c r="Z1309">
        <v>1</v>
      </c>
      <c r="AA1309">
        <v>0</v>
      </c>
      <c r="AB1309">
        <v>103.31</v>
      </c>
      <c r="AC1309">
        <v>90.9</v>
      </c>
      <c r="AD1309">
        <v>0</v>
      </c>
      <c r="AE1309">
        <v>12.41</v>
      </c>
      <c r="AF1309">
        <v>0</v>
      </c>
      <c r="AG1309">
        <v>0</v>
      </c>
      <c r="AH1309">
        <v>0</v>
      </c>
      <c r="AI1309">
        <v>0</v>
      </c>
      <c r="AJ1309">
        <v>103.31</v>
      </c>
      <c r="AK1309">
        <v>0</v>
      </c>
      <c r="AL1309" t="s">
        <v>53</v>
      </c>
      <c r="AM1309" t="s">
        <v>53</v>
      </c>
      <c r="AN1309" t="s">
        <v>159</v>
      </c>
      <c r="AO1309" t="s">
        <v>53</v>
      </c>
      <c r="AP1309" t="s">
        <v>53</v>
      </c>
    </row>
    <row r="1310" spans="2:42" x14ac:dyDescent="0.2">
      <c r="B1310" t="s">
        <v>44</v>
      </c>
      <c r="C1310" t="str">
        <f>HYPERLINK("https://us2.cloudbeds.com/connect/8493803454333002#/reservations/579285790931?display=DJX3421Y&amp;reservation_id=579285790931", "DJX3421Y")</f>
        <v>DJX3421Y</v>
      </c>
      <c r="D1310" t="s">
        <v>45</v>
      </c>
      <c r="E1310" t="s">
        <v>98</v>
      </c>
      <c r="F1310" t="s">
        <v>86</v>
      </c>
      <c r="G1310" t="s">
        <v>48</v>
      </c>
      <c r="H1310" t="s">
        <v>49</v>
      </c>
      <c r="I1310" t="s">
        <v>50</v>
      </c>
      <c r="J1310" t="s">
        <v>1556</v>
      </c>
      <c r="K1310" t="s">
        <v>1458</v>
      </c>
      <c r="L1310" t="s">
        <v>53</v>
      </c>
      <c r="N1310" t="s">
        <v>2312</v>
      </c>
      <c r="P1310" t="s">
        <v>55</v>
      </c>
      <c r="R1310" t="s">
        <v>56</v>
      </c>
      <c r="T1310" t="s">
        <v>2300</v>
      </c>
      <c r="U1310" t="s">
        <v>58</v>
      </c>
      <c r="V1310">
        <v>6</v>
      </c>
      <c r="W1310">
        <v>1</v>
      </c>
      <c r="X1310">
        <v>1</v>
      </c>
      <c r="Y1310">
        <v>0</v>
      </c>
      <c r="Z1310">
        <v>1</v>
      </c>
      <c r="AA1310">
        <v>0</v>
      </c>
      <c r="AB1310">
        <v>916.5</v>
      </c>
      <c r="AC1310">
        <v>806.4</v>
      </c>
      <c r="AD1310">
        <v>0</v>
      </c>
      <c r="AE1310">
        <v>110.1</v>
      </c>
      <c r="AF1310">
        <v>0</v>
      </c>
      <c r="AG1310">
        <v>0</v>
      </c>
      <c r="AH1310">
        <v>0</v>
      </c>
      <c r="AI1310">
        <v>164.97</v>
      </c>
      <c r="AJ1310">
        <v>916.5</v>
      </c>
      <c r="AK1310">
        <v>0</v>
      </c>
      <c r="AL1310" t="s">
        <v>53</v>
      </c>
      <c r="AM1310" t="s">
        <v>53</v>
      </c>
      <c r="AN1310" t="s">
        <v>2313</v>
      </c>
      <c r="AO1310" t="s">
        <v>53</v>
      </c>
      <c r="AP1310" t="s">
        <v>53</v>
      </c>
    </row>
    <row r="1311" spans="2:42" x14ac:dyDescent="0.2">
      <c r="B1311" t="s">
        <v>44</v>
      </c>
      <c r="C1311" t="str">
        <f>HYPERLINK("https://us2.cloudbeds.com/connect/8493803454333002#/reservations/579236225214?display=DJGRAR57&amp;reservation_id=579236225214", "DJGRAR57")</f>
        <v>DJGRAR57</v>
      </c>
      <c r="D1311" t="s">
        <v>45</v>
      </c>
      <c r="E1311" t="s">
        <v>223</v>
      </c>
      <c r="F1311" t="s">
        <v>47</v>
      </c>
      <c r="G1311" t="s">
        <v>48</v>
      </c>
      <c r="H1311" t="s">
        <v>71</v>
      </c>
      <c r="I1311" t="s">
        <v>72</v>
      </c>
      <c r="J1311" t="s">
        <v>2314</v>
      </c>
      <c r="K1311" t="s">
        <v>2315</v>
      </c>
      <c r="L1311" t="s">
        <v>53</v>
      </c>
      <c r="N1311" t="s">
        <v>2316</v>
      </c>
      <c r="P1311" t="s">
        <v>55</v>
      </c>
      <c r="R1311" t="s">
        <v>56</v>
      </c>
      <c r="T1311" t="s">
        <v>2300</v>
      </c>
      <c r="U1311" t="s">
        <v>58</v>
      </c>
      <c r="V1311">
        <v>5</v>
      </c>
      <c r="W1311">
        <v>1</v>
      </c>
      <c r="X1311">
        <v>1</v>
      </c>
      <c r="Y1311">
        <v>0</v>
      </c>
      <c r="Z1311">
        <v>1</v>
      </c>
      <c r="AA1311">
        <v>0</v>
      </c>
      <c r="AB1311">
        <v>776.21</v>
      </c>
      <c r="AC1311">
        <v>683</v>
      </c>
      <c r="AD1311">
        <v>0</v>
      </c>
      <c r="AE1311">
        <v>93.21</v>
      </c>
      <c r="AF1311">
        <v>0</v>
      </c>
      <c r="AG1311">
        <v>0</v>
      </c>
      <c r="AH1311">
        <v>0</v>
      </c>
      <c r="AI1311">
        <v>0</v>
      </c>
      <c r="AJ1311">
        <v>776.21</v>
      </c>
      <c r="AK1311">
        <v>0</v>
      </c>
      <c r="AL1311" t="s">
        <v>53</v>
      </c>
      <c r="AM1311" t="s">
        <v>53</v>
      </c>
      <c r="AN1311" t="s">
        <v>2317</v>
      </c>
      <c r="AO1311" t="s">
        <v>53</v>
      </c>
      <c r="AP1311" t="s">
        <v>53</v>
      </c>
    </row>
    <row r="1312" spans="2:42" x14ac:dyDescent="0.2">
      <c r="B1312" t="s">
        <v>44</v>
      </c>
      <c r="C1312" t="str">
        <f>HYPERLINK("https://us2.cloudbeds.com/connect/8493803454333002#/reservations/598155726998?display=E158ZS14&amp;reservation_id=598155726998", "E158ZS14")</f>
        <v>E158ZS14</v>
      </c>
      <c r="D1312" t="s">
        <v>45</v>
      </c>
      <c r="E1312" t="s">
        <v>85</v>
      </c>
      <c r="F1312" t="s">
        <v>86</v>
      </c>
      <c r="G1312" t="s">
        <v>48</v>
      </c>
      <c r="H1312" t="s">
        <v>49</v>
      </c>
      <c r="I1312" t="s">
        <v>50</v>
      </c>
      <c r="J1312" t="s">
        <v>354</v>
      </c>
      <c r="K1312" t="s">
        <v>938</v>
      </c>
      <c r="L1312" t="s">
        <v>53</v>
      </c>
      <c r="N1312" t="s">
        <v>2318</v>
      </c>
      <c r="P1312" t="s">
        <v>55</v>
      </c>
      <c r="R1312" t="s">
        <v>56</v>
      </c>
      <c r="T1312" t="s">
        <v>2319</v>
      </c>
      <c r="U1312" t="s">
        <v>58</v>
      </c>
      <c r="V1312">
        <v>1</v>
      </c>
      <c r="W1312">
        <v>1</v>
      </c>
      <c r="X1312">
        <v>1</v>
      </c>
      <c r="Y1312">
        <v>0</v>
      </c>
      <c r="Z1312">
        <v>1</v>
      </c>
      <c r="AA1312">
        <v>0</v>
      </c>
      <c r="AB1312">
        <v>144.34</v>
      </c>
      <c r="AC1312">
        <v>127</v>
      </c>
      <c r="AD1312">
        <v>0</v>
      </c>
      <c r="AE1312">
        <v>17.34</v>
      </c>
      <c r="AF1312">
        <v>0</v>
      </c>
      <c r="AG1312">
        <v>0</v>
      </c>
      <c r="AH1312">
        <v>0</v>
      </c>
      <c r="AI1312">
        <v>25.98</v>
      </c>
      <c r="AJ1312">
        <v>144.34</v>
      </c>
      <c r="AK1312">
        <v>0</v>
      </c>
      <c r="AL1312" t="s">
        <v>53</v>
      </c>
      <c r="AM1312" t="s">
        <v>53</v>
      </c>
      <c r="AN1312" t="s">
        <v>112</v>
      </c>
      <c r="AO1312" t="s">
        <v>53</v>
      </c>
      <c r="AP1312" t="s">
        <v>53</v>
      </c>
    </row>
    <row r="1313" spans="2:42" x14ac:dyDescent="0.2">
      <c r="B1313" t="s">
        <v>44</v>
      </c>
      <c r="C1313" t="str">
        <f>HYPERLINK("https://us2.cloudbeds.com/connect/8493803454333002#/reservations/598536597751?display=E1EWU4K3&amp;reservation_id=598536597751", "E1EWU4K3")</f>
        <v>E1EWU4K3</v>
      </c>
      <c r="D1313" t="s">
        <v>45</v>
      </c>
      <c r="E1313" t="s">
        <v>46</v>
      </c>
      <c r="F1313" t="s">
        <v>47</v>
      </c>
      <c r="G1313" t="s">
        <v>48</v>
      </c>
      <c r="H1313" t="s">
        <v>71</v>
      </c>
      <c r="I1313" t="s">
        <v>72</v>
      </c>
      <c r="J1313" t="s">
        <v>253</v>
      </c>
      <c r="K1313" t="s">
        <v>354</v>
      </c>
      <c r="L1313" t="s">
        <v>53</v>
      </c>
      <c r="N1313" t="s">
        <v>2320</v>
      </c>
      <c r="P1313" t="s">
        <v>55</v>
      </c>
      <c r="R1313" t="s">
        <v>56</v>
      </c>
      <c r="T1313" t="s">
        <v>2319</v>
      </c>
      <c r="U1313" t="s">
        <v>58</v>
      </c>
      <c r="V1313">
        <v>1</v>
      </c>
      <c r="W1313">
        <v>1</v>
      </c>
      <c r="X1313">
        <v>1</v>
      </c>
      <c r="Y1313">
        <v>0</v>
      </c>
      <c r="Z1313">
        <v>1</v>
      </c>
      <c r="AA1313">
        <v>0</v>
      </c>
      <c r="AB1313">
        <v>56.83</v>
      </c>
      <c r="AC1313">
        <v>50</v>
      </c>
      <c r="AD1313">
        <v>0</v>
      </c>
      <c r="AE1313">
        <v>6.83</v>
      </c>
      <c r="AF1313">
        <v>0</v>
      </c>
      <c r="AG1313">
        <v>0</v>
      </c>
      <c r="AH1313">
        <v>0</v>
      </c>
      <c r="AI1313">
        <v>0</v>
      </c>
      <c r="AJ1313">
        <v>56.83</v>
      </c>
      <c r="AK1313">
        <v>0</v>
      </c>
      <c r="AL1313" t="s">
        <v>53</v>
      </c>
      <c r="AM1313" t="s">
        <v>53</v>
      </c>
      <c r="AN1313" t="s">
        <v>378</v>
      </c>
      <c r="AO1313" t="s">
        <v>53</v>
      </c>
      <c r="AP1313" t="s">
        <v>53</v>
      </c>
    </row>
    <row r="1314" spans="2:42" x14ac:dyDescent="0.2">
      <c r="B1314" t="s">
        <v>44</v>
      </c>
      <c r="C1314" t="str">
        <f>HYPERLINK("https://us2.cloudbeds.com/connect/8493803454333002#/reservations/598547443938?display=E1F91VCE&amp;reservation_id=598547443938", "E1F91VCE")</f>
        <v>E1F91VCE</v>
      </c>
      <c r="D1314" t="s">
        <v>45</v>
      </c>
      <c r="E1314" t="s">
        <v>98</v>
      </c>
      <c r="F1314" t="s">
        <v>86</v>
      </c>
      <c r="G1314" t="s">
        <v>48</v>
      </c>
      <c r="H1314" t="s">
        <v>71</v>
      </c>
      <c r="I1314" t="s">
        <v>72</v>
      </c>
      <c r="J1314" t="s">
        <v>196</v>
      </c>
      <c r="K1314" t="s">
        <v>333</v>
      </c>
      <c r="L1314" t="s">
        <v>53</v>
      </c>
      <c r="N1314" t="s">
        <v>2321</v>
      </c>
      <c r="P1314" t="s">
        <v>55</v>
      </c>
      <c r="R1314" t="s">
        <v>56</v>
      </c>
      <c r="T1314" t="s">
        <v>2319</v>
      </c>
      <c r="U1314" t="s">
        <v>58</v>
      </c>
      <c r="V1314">
        <v>1</v>
      </c>
      <c r="W1314">
        <v>1</v>
      </c>
      <c r="X1314">
        <v>1</v>
      </c>
      <c r="Y1314">
        <v>0</v>
      </c>
      <c r="Z1314">
        <v>1</v>
      </c>
      <c r="AA1314">
        <v>0</v>
      </c>
      <c r="AB1314">
        <v>187.52</v>
      </c>
      <c r="AC1314">
        <v>165</v>
      </c>
      <c r="AD1314">
        <v>0</v>
      </c>
      <c r="AE1314">
        <v>22.53</v>
      </c>
      <c r="AF1314">
        <v>0</v>
      </c>
      <c r="AG1314">
        <v>0</v>
      </c>
      <c r="AH1314">
        <v>0</v>
      </c>
      <c r="AI1314">
        <v>0</v>
      </c>
      <c r="AJ1314">
        <v>187.53</v>
      </c>
      <c r="AK1314">
        <v>0.01</v>
      </c>
      <c r="AL1314" t="s">
        <v>53</v>
      </c>
      <c r="AM1314" t="s">
        <v>53</v>
      </c>
      <c r="AN1314" t="s">
        <v>2322</v>
      </c>
      <c r="AO1314" t="s">
        <v>53</v>
      </c>
      <c r="AP1314" t="s">
        <v>53</v>
      </c>
    </row>
    <row r="1315" spans="2:42" x14ac:dyDescent="0.2">
      <c r="B1315" t="s">
        <v>44</v>
      </c>
      <c r="C1315" t="str">
        <f>HYPERLINK("https://us2.cloudbeds.com/connect/8493803454333002#/reservations/598566494358?display=E1FP41ST&amp;reservation_id=598566494358", "E1FP41ST")</f>
        <v>E1FP41ST</v>
      </c>
      <c r="D1315" t="s">
        <v>45</v>
      </c>
      <c r="E1315" t="s">
        <v>373</v>
      </c>
      <c r="F1315" t="s">
        <v>47</v>
      </c>
      <c r="G1315" t="s">
        <v>48</v>
      </c>
      <c r="H1315" t="s">
        <v>49</v>
      </c>
      <c r="I1315" t="s">
        <v>50</v>
      </c>
      <c r="J1315" t="s">
        <v>130</v>
      </c>
      <c r="K1315" t="s">
        <v>88</v>
      </c>
      <c r="L1315" t="s">
        <v>53</v>
      </c>
      <c r="N1315" t="s">
        <v>2323</v>
      </c>
      <c r="P1315" t="s">
        <v>55</v>
      </c>
      <c r="R1315" t="s">
        <v>56</v>
      </c>
      <c r="T1315" t="s">
        <v>2319</v>
      </c>
      <c r="U1315" t="s">
        <v>58</v>
      </c>
      <c r="V1315">
        <v>2</v>
      </c>
      <c r="W1315">
        <v>1</v>
      </c>
      <c r="X1315">
        <v>1</v>
      </c>
      <c r="Y1315">
        <v>0</v>
      </c>
      <c r="Z1315">
        <v>1</v>
      </c>
      <c r="AA1315">
        <v>0</v>
      </c>
      <c r="AB1315">
        <v>292.54000000000002</v>
      </c>
      <c r="AC1315">
        <v>257.39999999999998</v>
      </c>
      <c r="AD1315">
        <v>0</v>
      </c>
      <c r="AE1315">
        <v>35.119999999999997</v>
      </c>
      <c r="AF1315">
        <v>0</v>
      </c>
      <c r="AG1315">
        <v>0</v>
      </c>
      <c r="AH1315">
        <v>0</v>
      </c>
      <c r="AI1315">
        <v>52.65</v>
      </c>
      <c r="AJ1315">
        <v>292.52</v>
      </c>
      <c r="AK1315">
        <v>-0.02</v>
      </c>
      <c r="AL1315" t="s">
        <v>53</v>
      </c>
      <c r="AM1315" t="s">
        <v>53</v>
      </c>
      <c r="AN1315" t="s">
        <v>545</v>
      </c>
      <c r="AO1315" t="s">
        <v>53</v>
      </c>
      <c r="AP1315" t="s">
        <v>53</v>
      </c>
    </row>
    <row r="1316" spans="2:42" x14ac:dyDescent="0.2">
      <c r="B1316" t="s">
        <v>44</v>
      </c>
      <c r="C1316" t="str">
        <f>HYPERLINK("https://us2.cloudbeds.com/connect/8493803454333002#/reservations/598371946690?display=E1AQ2FT0&amp;reservation_id=598371946690", "E1AQ2FT0")</f>
        <v>E1AQ2FT0</v>
      </c>
      <c r="D1316" t="s">
        <v>45</v>
      </c>
      <c r="E1316" t="s">
        <v>406</v>
      </c>
      <c r="F1316" t="s">
        <v>61</v>
      </c>
      <c r="G1316" t="s">
        <v>48</v>
      </c>
      <c r="H1316" t="s">
        <v>49</v>
      </c>
      <c r="I1316" t="s">
        <v>79</v>
      </c>
      <c r="J1316" t="s">
        <v>618</v>
      </c>
      <c r="K1316" t="s">
        <v>600</v>
      </c>
      <c r="L1316" t="s">
        <v>53</v>
      </c>
      <c r="N1316" t="s">
        <v>2324</v>
      </c>
      <c r="P1316" t="s">
        <v>55</v>
      </c>
      <c r="R1316" t="s">
        <v>56</v>
      </c>
      <c r="T1316" t="s">
        <v>2319</v>
      </c>
      <c r="U1316" t="s">
        <v>58</v>
      </c>
      <c r="V1316">
        <v>1</v>
      </c>
      <c r="W1316">
        <v>1</v>
      </c>
      <c r="X1316">
        <v>1</v>
      </c>
      <c r="Y1316">
        <v>0</v>
      </c>
      <c r="Z1316">
        <v>1</v>
      </c>
      <c r="AA1316">
        <v>0</v>
      </c>
      <c r="AB1316">
        <v>112.51</v>
      </c>
      <c r="AC1316">
        <v>99</v>
      </c>
      <c r="AD1316">
        <v>0</v>
      </c>
      <c r="AE1316">
        <v>13.52</v>
      </c>
      <c r="AF1316">
        <v>0</v>
      </c>
      <c r="AG1316">
        <v>0</v>
      </c>
      <c r="AH1316">
        <v>0</v>
      </c>
      <c r="AI1316">
        <v>0</v>
      </c>
      <c r="AJ1316">
        <v>112.52</v>
      </c>
      <c r="AK1316">
        <v>0.01</v>
      </c>
      <c r="AL1316" t="s">
        <v>53</v>
      </c>
      <c r="AM1316" t="s">
        <v>53</v>
      </c>
      <c r="AN1316" t="s">
        <v>104</v>
      </c>
      <c r="AO1316" t="s">
        <v>53</v>
      </c>
      <c r="AP1316" t="s">
        <v>53</v>
      </c>
    </row>
    <row r="1317" spans="2:42" x14ac:dyDescent="0.2">
      <c r="B1317" t="s">
        <v>44</v>
      </c>
      <c r="C1317" t="str">
        <f>HYPERLINK("https://us2.cloudbeds.com/connect/8493803454333002#/reservations/598383005896?display=E1B2D78F&amp;reservation_id=598383005896", "E1B2D78F")</f>
        <v>E1B2D78F</v>
      </c>
      <c r="D1317" t="s">
        <v>45</v>
      </c>
      <c r="E1317" t="s">
        <v>138</v>
      </c>
      <c r="F1317" t="s">
        <v>70</v>
      </c>
      <c r="G1317" t="s">
        <v>48</v>
      </c>
      <c r="H1317" t="s">
        <v>49</v>
      </c>
      <c r="I1317" t="s">
        <v>62</v>
      </c>
      <c r="J1317" t="s">
        <v>611</v>
      </c>
      <c r="K1317" t="s">
        <v>1117</v>
      </c>
      <c r="L1317" t="s">
        <v>53</v>
      </c>
      <c r="N1317" t="s">
        <v>2325</v>
      </c>
      <c r="P1317" t="s">
        <v>55</v>
      </c>
      <c r="R1317" t="s">
        <v>56</v>
      </c>
      <c r="T1317" t="s">
        <v>2319</v>
      </c>
      <c r="U1317" t="s">
        <v>58</v>
      </c>
      <c r="V1317">
        <v>1</v>
      </c>
      <c r="W1317">
        <v>1</v>
      </c>
      <c r="X1317">
        <v>1</v>
      </c>
      <c r="Y1317">
        <v>0</v>
      </c>
      <c r="Z1317">
        <v>1</v>
      </c>
      <c r="AA1317">
        <v>0</v>
      </c>
      <c r="AB1317">
        <v>105.69</v>
      </c>
      <c r="AC1317">
        <v>93</v>
      </c>
      <c r="AD1317">
        <v>0</v>
      </c>
      <c r="AE1317">
        <v>12.7</v>
      </c>
      <c r="AF1317">
        <v>0</v>
      </c>
      <c r="AG1317">
        <v>0</v>
      </c>
      <c r="AH1317">
        <v>0</v>
      </c>
      <c r="AI1317">
        <v>15.86</v>
      </c>
      <c r="AJ1317">
        <v>105.7</v>
      </c>
      <c r="AK1317">
        <v>0.01</v>
      </c>
      <c r="AL1317" t="s">
        <v>53</v>
      </c>
      <c r="AM1317" t="s">
        <v>53</v>
      </c>
      <c r="AN1317" t="s">
        <v>2326</v>
      </c>
      <c r="AO1317" t="s">
        <v>53</v>
      </c>
      <c r="AP1317" t="s">
        <v>53</v>
      </c>
    </row>
    <row r="1318" spans="2:42" x14ac:dyDescent="0.2">
      <c r="B1318" t="s">
        <v>44</v>
      </c>
      <c r="C1318" t="str">
        <f>HYPERLINK("https://us2.cloudbeds.com/connect/8493803454333002#/reservations/598443110591?display=E1CK2NQS&amp;reservation_id=598443110591", "E1CK2NQS")</f>
        <v>E1CK2NQS</v>
      </c>
      <c r="D1318" t="s">
        <v>45</v>
      </c>
      <c r="E1318" t="s">
        <v>2327</v>
      </c>
      <c r="F1318" t="s">
        <v>2328</v>
      </c>
      <c r="G1318" t="s">
        <v>48</v>
      </c>
      <c r="H1318" t="s">
        <v>49</v>
      </c>
      <c r="I1318" t="s">
        <v>62</v>
      </c>
      <c r="J1318" t="s">
        <v>1473</v>
      </c>
      <c r="K1318" t="s">
        <v>1750</v>
      </c>
      <c r="L1318" t="s">
        <v>53</v>
      </c>
      <c r="N1318" t="s">
        <v>2329</v>
      </c>
      <c r="P1318" t="s">
        <v>55</v>
      </c>
      <c r="R1318" t="s">
        <v>2330</v>
      </c>
      <c r="T1318" t="s">
        <v>2319</v>
      </c>
      <c r="U1318" t="s">
        <v>58</v>
      </c>
      <c r="V1318">
        <v>3</v>
      </c>
      <c r="W1318">
        <v>3</v>
      </c>
      <c r="X1318">
        <v>3</v>
      </c>
      <c r="Y1318">
        <v>0</v>
      </c>
      <c r="Z1318">
        <v>3</v>
      </c>
      <c r="AA1318">
        <v>0</v>
      </c>
      <c r="AB1318">
        <v>493.24</v>
      </c>
      <c r="AC1318">
        <v>434</v>
      </c>
      <c r="AD1318">
        <v>0</v>
      </c>
      <c r="AE1318">
        <v>59.26</v>
      </c>
      <c r="AF1318">
        <v>0</v>
      </c>
      <c r="AG1318">
        <v>0</v>
      </c>
      <c r="AH1318">
        <v>0</v>
      </c>
      <c r="AI1318">
        <v>73.989999999999995</v>
      </c>
      <c r="AJ1318">
        <v>493.26</v>
      </c>
      <c r="AK1318">
        <v>0.02</v>
      </c>
      <c r="AL1318" t="s">
        <v>53</v>
      </c>
      <c r="AM1318" t="s">
        <v>53</v>
      </c>
      <c r="AN1318" t="s">
        <v>137</v>
      </c>
      <c r="AO1318" t="s">
        <v>53</v>
      </c>
      <c r="AP1318" t="s">
        <v>53</v>
      </c>
    </row>
    <row r="1319" spans="2:42" x14ac:dyDescent="0.2">
      <c r="B1319" t="s">
        <v>44</v>
      </c>
      <c r="C1319" t="str">
        <f>HYPERLINK("https://us2.cloudbeds.com/connect/8493803454333002#/reservations/598408532179?display=E1BNUHC6&amp;reservation_id=598408532179", "E1BNUHC6")</f>
        <v>E1BNUHC6</v>
      </c>
      <c r="D1319" t="s">
        <v>45</v>
      </c>
      <c r="E1319" t="s">
        <v>373</v>
      </c>
      <c r="F1319" t="s">
        <v>47</v>
      </c>
      <c r="G1319" t="s">
        <v>48</v>
      </c>
      <c r="H1319" t="s">
        <v>49</v>
      </c>
      <c r="I1319" t="s">
        <v>79</v>
      </c>
      <c r="J1319" t="s">
        <v>568</v>
      </c>
      <c r="K1319" t="s">
        <v>181</v>
      </c>
      <c r="L1319" t="s">
        <v>53</v>
      </c>
      <c r="N1319" t="s">
        <v>2331</v>
      </c>
      <c r="P1319" t="s">
        <v>55</v>
      </c>
      <c r="R1319" t="s">
        <v>56</v>
      </c>
      <c r="T1319" t="s">
        <v>2319</v>
      </c>
      <c r="U1319" t="s">
        <v>58</v>
      </c>
      <c r="V1319">
        <v>2</v>
      </c>
      <c r="W1319">
        <v>1</v>
      </c>
      <c r="X1319">
        <v>1</v>
      </c>
      <c r="Y1319">
        <v>0</v>
      </c>
      <c r="Z1319">
        <v>1</v>
      </c>
      <c r="AA1319">
        <v>0</v>
      </c>
      <c r="AB1319">
        <v>292.54000000000002</v>
      </c>
      <c r="AC1319">
        <v>257.39999999999998</v>
      </c>
      <c r="AD1319">
        <v>0</v>
      </c>
      <c r="AE1319">
        <v>35.119999999999997</v>
      </c>
      <c r="AF1319">
        <v>0</v>
      </c>
      <c r="AG1319">
        <v>0</v>
      </c>
      <c r="AH1319">
        <v>0</v>
      </c>
      <c r="AI1319">
        <v>0</v>
      </c>
      <c r="AJ1319">
        <v>292.52</v>
      </c>
      <c r="AK1319">
        <v>-0.02</v>
      </c>
      <c r="AL1319" t="s">
        <v>53</v>
      </c>
      <c r="AM1319" t="s">
        <v>53</v>
      </c>
      <c r="AN1319" t="s">
        <v>137</v>
      </c>
      <c r="AO1319" t="s">
        <v>53</v>
      </c>
      <c r="AP1319" t="s">
        <v>53</v>
      </c>
    </row>
    <row r="1320" spans="2:42" x14ac:dyDescent="0.2">
      <c r="B1320" t="s">
        <v>44</v>
      </c>
      <c r="C1320" t="str">
        <f>HYPERLINK("https://us2.cloudbeds.com/connect/8493803454333002#/reservations/598572118151?display=E1FTSX1S&amp;reservation_id=598572118151", "E1FTSX1S")</f>
        <v>E1FTSX1S</v>
      </c>
      <c r="D1320" t="s">
        <v>45</v>
      </c>
      <c r="E1320" t="s">
        <v>223</v>
      </c>
      <c r="F1320" t="s">
        <v>47</v>
      </c>
      <c r="G1320" t="s">
        <v>48</v>
      </c>
      <c r="H1320" t="s">
        <v>49</v>
      </c>
      <c r="I1320" t="s">
        <v>50</v>
      </c>
      <c r="J1320" t="s">
        <v>130</v>
      </c>
      <c r="K1320" t="s">
        <v>88</v>
      </c>
      <c r="L1320" t="s">
        <v>53</v>
      </c>
      <c r="N1320" t="s">
        <v>2332</v>
      </c>
      <c r="P1320" t="s">
        <v>55</v>
      </c>
      <c r="R1320" t="s">
        <v>56</v>
      </c>
      <c r="T1320" t="s">
        <v>2319</v>
      </c>
      <c r="U1320" t="s">
        <v>58</v>
      </c>
      <c r="V1320">
        <v>2</v>
      </c>
      <c r="W1320">
        <v>1</v>
      </c>
      <c r="X1320">
        <v>1</v>
      </c>
      <c r="Y1320">
        <v>0</v>
      </c>
      <c r="Z1320">
        <v>1</v>
      </c>
      <c r="AA1320">
        <v>0</v>
      </c>
      <c r="AB1320">
        <v>292.54000000000002</v>
      </c>
      <c r="AC1320">
        <v>257.39999999999998</v>
      </c>
      <c r="AD1320">
        <v>0</v>
      </c>
      <c r="AE1320">
        <v>35.119999999999997</v>
      </c>
      <c r="AF1320">
        <v>0</v>
      </c>
      <c r="AG1320">
        <v>0</v>
      </c>
      <c r="AH1320">
        <v>0</v>
      </c>
      <c r="AI1320">
        <v>52.65</v>
      </c>
      <c r="AJ1320">
        <v>292.52</v>
      </c>
      <c r="AK1320">
        <v>-0.02</v>
      </c>
      <c r="AL1320" t="s">
        <v>53</v>
      </c>
      <c r="AM1320" t="s">
        <v>53</v>
      </c>
      <c r="AN1320" t="s">
        <v>132</v>
      </c>
      <c r="AO1320" t="s">
        <v>53</v>
      </c>
      <c r="AP1320" t="s">
        <v>53</v>
      </c>
    </row>
    <row r="1321" spans="2:42" x14ac:dyDescent="0.2">
      <c r="B1321" t="s">
        <v>44</v>
      </c>
      <c r="C1321" t="str">
        <f>HYPERLINK("https://us2.cloudbeds.com/connect/8493803454333002#/reservations/598186717376?display=E161T2WA&amp;reservation_id=598186717376", "E161T2WA")</f>
        <v>E161T2WA</v>
      </c>
      <c r="D1321" t="s">
        <v>45</v>
      </c>
      <c r="E1321" t="s">
        <v>223</v>
      </c>
      <c r="F1321" t="s">
        <v>47</v>
      </c>
      <c r="G1321" t="s">
        <v>48</v>
      </c>
      <c r="H1321" t="s">
        <v>49</v>
      </c>
      <c r="I1321" t="s">
        <v>62</v>
      </c>
      <c r="J1321" t="s">
        <v>333</v>
      </c>
      <c r="K1321" t="s">
        <v>334</v>
      </c>
      <c r="L1321" t="s">
        <v>53</v>
      </c>
      <c r="N1321" t="s">
        <v>2333</v>
      </c>
      <c r="P1321" t="s">
        <v>55</v>
      </c>
      <c r="R1321" t="s">
        <v>125</v>
      </c>
      <c r="T1321" t="s">
        <v>2319</v>
      </c>
      <c r="U1321" t="s">
        <v>58</v>
      </c>
      <c r="V1321">
        <v>1</v>
      </c>
      <c r="W1321">
        <v>1</v>
      </c>
      <c r="X1321">
        <v>1</v>
      </c>
      <c r="Y1321">
        <v>0</v>
      </c>
      <c r="Z1321">
        <v>1</v>
      </c>
      <c r="AA1321">
        <v>0</v>
      </c>
      <c r="AB1321">
        <v>122.74</v>
      </c>
      <c r="AC1321">
        <v>108</v>
      </c>
      <c r="AD1321">
        <v>0</v>
      </c>
      <c r="AE1321">
        <v>14.74</v>
      </c>
      <c r="AF1321">
        <v>0</v>
      </c>
      <c r="AG1321">
        <v>0</v>
      </c>
      <c r="AH1321">
        <v>0</v>
      </c>
      <c r="AI1321">
        <v>18.41</v>
      </c>
      <c r="AJ1321">
        <v>122.74</v>
      </c>
      <c r="AK1321">
        <v>0</v>
      </c>
      <c r="AL1321" t="s">
        <v>53</v>
      </c>
      <c r="AM1321" t="s">
        <v>53</v>
      </c>
      <c r="AN1321" t="s">
        <v>349</v>
      </c>
      <c r="AO1321" t="s">
        <v>53</v>
      </c>
      <c r="AP1321" t="s">
        <v>53</v>
      </c>
    </row>
    <row r="1322" spans="2:42" x14ac:dyDescent="0.2">
      <c r="B1322" t="s">
        <v>44</v>
      </c>
      <c r="C1322" t="str">
        <f>HYPERLINK("https://us2.cloudbeds.com/connect/8493803454333002#/reservations/598187532493?display=E162XT60&amp;reservation_id=598187532493", "E162XT60")</f>
        <v>E162XT60</v>
      </c>
      <c r="D1322" t="s">
        <v>45</v>
      </c>
      <c r="E1322" t="s">
        <v>213</v>
      </c>
      <c r="F1322" t="s">
        <v>86</v>
      </c>
      <c r="G1322" t="s">
        <v>48</v>
      </c>
      <c r="H1322" t="s">
        <v>49</v>
      </c>
      <c r="I1322" t="s">
        <v>79</v>
      </c>
      <c r="J1322" t="s">
        <v>289</v>
      </c>
      <c r="K1322" t="s">
        <v>568</v>
      </c>
      <c r="L1322" t="s">
        <v>53</v>
      </c>
      <c r="N1322" t="s">
        <v>2334</v>
      </c>
      <c r="P1322" t="s">
        <v>55</v>
      </c>
      <c r="R1322" t="s">
        <v>56</v>
      </c>
      <c r="T1322" t="s">
        <v>2319</v>
      </c>
      <c r="U1322" t="s">
        <v>58</v>
      </c>
      <c r="V1322">
        <v>1</v>
      </c>
      <c r="W1322">
        <v>1</v>
      </c>
      <c r="X1322">
        <v>1</v>
      </c>
      <c r="Y1322">
        <v>0</v>
      </c>
      <c r="Z1322">
        <v>1</v>
      </c>
      <c r="AA1322">
        <v>0</v>
      </c>
      <c r="AB1322">
        <v>155.47</v>
      </c>
      <c r="AC1322">
        <v>136.80000000000001</v>
      </c>
      <c r="AD1322">
        <v>0</v>
      </c>
      <c r="AE1322">
        <v>18.68</v>
      </c>
      <c r="AF1322">
        <v>0</v>
      </c>
      <c r="AG1322">
        <v>0</v>
      </c>
      <c r="AH1322">
        <v>0</v>
      </c>
      <c r="AI1322">
        <v>0</v>
      </c>
      <c r="AJ1322">
        <v>155.47999999999999</v>
      </c>
      <c r="AK1322">
        <v>0.01</v>
      </c>
      <c r="AL1322" t="s">
        <v>53</v>
      </c>
      <c r="AM1322" t="s">
        <v>53</v>
      </c>
      <c r="AN1322" t="s">
        <v>198</v>
      </c>
      <c r="AO1322" t="s">
        <v>53</v>
      </c>
      <c r="AP1322" t="s">
        <v>53</v>
      </c>
    </row>
    <row r="1323" spans="2:42" x14ac:dyDescent="0.2">
      <c r="B1323" t="s">
        <v>44</v>
      </c>
      <c r="C1323" t="str">
        <f>HYPERLINK("https://us2.cloudbeds.com/connect/8493803454333002#/reservations/598452342994?display=E1CRSKMY&amp;reservation_id=598452342994", "E1CRSKMY")</f>
        <v>E1CRSKMY</v>
      </c>
      <c r="D1323" t="s">
        <v>45</v>
      </c>
      <c r="E1323" t="s">
        <v>213</v>
      </c>
      <c r="F1323" t="s">
        <v>86</v>
      </c>
      <c r="G1323" t="s">
        <v>48</v>
      </c>
      <c r="H1323" t="s">
        <v>49</v>
      </c>
      <c r="I1323" t="s">
        <v>62</v>
      </c>
      <c r="J1323" t="s">
        <v>640</v>
      </c>
      <c r="K1323" t="s">
        <v>309</v>
      </c>
      <c r="L1323" t="s">
        <v>53</v>
      </c>
      <c r="N1323" t="s">
        <v>2335</v>
      </c>
      <c r="P1323" t="s">
        <v>55</v>
      </c>
      <c r="R1323" t="s">
        <v>56</v>
      </c>
      <c r="T1323" t="s">
        <v>2319</v>
      </c>
      <c r="U1323" t="s">
        <v>58</v>
      </c>
      <c r="V1323">
        <v>1</v>
      </c>
      <c r="W1323">
        <v>1</v>
      </c>
      <c r="X1323">
        <v>1</v>
      </c>
      <c r="Y1323">
        <v>0</v>
      </c>
      <c r="Z1323">
        <v>1</v>
      </c>
      <c r="AA1323">
        <v>0</v>
      </c>
      <c r="AB1323">
        <v>180.7</v>
      </c>
      <c r="AC1323">
        <v>159</v>
      </c>
      <c r="AD1323">
        <v>0</v>
      </c>
      <c r="AE1323">
        <v>21.71</v>
      </c>
      <c r="AF1323">
        <v>0</v>
      </c>
      <c r="AG1323">
        <v>0</v>
      </c>
      <c r="AH1323">
        <v>0</v>
      </c>
      <c r="AI1323">
        <v>27.11</v>
      </c>
      <c r="AJ1323">
        <v>180.71</v>
      </c>
      <c r="AK1323">
        <v>0.01</v>
      </c>
      <c r="AL1323" t="s">
        <v>53</v>
      </c>
      <c r="AM1323" t="s">
        <v>53</v>
      </c>
      <c r="AN1323" t="s">
        <v>198</v>
      </c>
      <c r="AO1323" t="s">
        <v>53</v>
      </c>
      <c r="AP1323" t="s">
        <v>53</v>
      </c>
    </row>
    <row r="1324" spans="2:42" x14ac:dyDescent="0.2">
      <c r="B1324" t="s">
        <v>44</v>
      </c>
      <c r="C1324" t="str">
        <f>HYPERLINK("https://us2.cloudbeds.com/connect/8493803454333002#/reservations/598460838042?display=E1D210FB&amp;reservation_id=598460838042", "E1D210FB")</f>
        <v>E1D210FB</v>
      </c>
      <c r="D1324" t="s">
        <v>45</v>
      </c>
      <c r="E1324" t="s">
        <v>121</v>
      </c>
      <c r="F1324" t="s">
        <v>86</v>
      </c>
      <c r="G1324" t="s">
        <v>48</v>
      </c>
      <c r="H1324" t="s">
        <v>49</v>
      </c>
      <c r="I1324" t="s">
        <v>50</v>
      </c>
      <c r="J1324" t="s">
        <v>360</v>
      </c>
      <c r="K1324" t="s">
        <v>1117</v>
      </c>
      <c r="L1324" t="s">
        <v>53</v>
      </c>
      <c r="N1324" t="s">
        <v>2336</v>
      </c>
      <c r="P1324" t="s">
        <v>55</v>
      </c>
      <c r="R1324" t="s">
        <v>56</v>
      </c>
      <c r="T1324" t="s">
        <v>2319</v>
      </c>
      <c r="U1324" t="s">
        <v>58</v>
      </c>
      <c r="V1324">
        <v>2</v>
      </c>
      <c r="W1324">
        <v>1</v>
      </c>
      <c r="X1324">
        <v>1</v>
      </c>
      <c r="Y1324">
        <v>0</v>
      </c>
      <c r="Z1324">
        <v>1</v>
      </c>
      <c r="AA1324">
        <v>0</v>
      </c>
      <c r="AB1324">
        <v>239.35</v>
      </c>
      <c r="AC1324">
        <v>210.6</v>
      </c>
      <c r="AD1324">
        <v>0</v>
      </c>
      <c r="AE1324">
        <v>28.76</v>
      </c>
      <c r="AF1324">
        <v>0</v>
      </c>
      <c r="AG1324">
        <v>0</v>
      </c>
      <c r="AH1324">
        <v>0</v>
      </c>
      <c r="AI1324">
        <v>43.08</v>
      </c>
      <c r="AJ1324">
        <v>239.36</v>
      </c>
      <c r="AK1324">
        <v>0.01</v>
      </c>
      <c r="AL1324" t="s">
        <v>53</v>
      </c>
      <c r="AM1324" t="s">
        <v>53</v>
      </c>
      <c r="AN1324" t="s">
        <v>132</v>
      </c>
      <c r="AO1324" t="s">
        <v>53</v>
      </c>
      <c r="AP1324" t="s">
        <v>53</v>
      </c>
    </row>
    <row r="1325" spans="2:42" x14ac:dyDescent="0.2">
      <c r="B1325" t="s">
        <v>44</v>
      </c>
      <c r="C1325" t="str">
        <f>HYPERLINK("https://us2.cloudbeds.com/connect/8493803454333002#/reservations/598507520202?display=E1E8D0F8&amp;reservation_id=598507520202", "E1E8D0F8")</f>
        <v>E1E8D0F8</v>
      </c>
      <c r="D1325" t="s">
        <v>45</v>
      </c>
      <c r="E1325" t="s">
        <v>46</v>
      </c>
      <c r="F1325" t="s">
        <v>47</v>
      </c>
      <c r="G1325" t="s">
        <v>48</v>
      </c>
      <c r="H1325" t="s">
        <v>49</v>
      </c>
      <c r="I1325" t="s">
        <v>62</v>
      </c>
      <c r="J1325" t="s">
        <v>938</v>
      </c>
      <c r="K1325" t="s">
        <v>359</v>
      </c>
      <c r="L1325" t="s">
        <v>53</v>
      </c>
      <c r="N1325" t="s">
        <v>2337</v>
      </c>
      <c r="P1325" t="s">
        <v>55</v>
      </c>
      <c r="R1325" t="s">
        <v>56</v>
      </c>
      <c r="T1325" t="s">
        <v>2319</v>
      </c>
      <c r="U1325" t="s">
        <v>58</v>
      </c>
      <c r="V1325">
        <v>1</v>
      </c>
      <c r="W1325">
        <v>1</v>
      </c>
      <c r="X1325">
        <v>1</v>
      </c>
      <c r="Y1325">
        <v>0</v>
      </c>
      <c r="Z1325">
        <v>1</v>
      </c>
      <c r="AA1325">
        <v>0</v>
      </c>
      <c r="AB1325">
        <v>119.33</v>
      </c>
      <c r="AC1325">
        <v>105</v>
      </c>
      <c r="AD1325">
        <v>0</v>
      </c>
      <c r="AE1325">
        <v>14.34</v>
      </c>
      <c r="AF1325">
        <v>0</v>
      </c>
      <c r="AG1325">
        <v>0</v>
      </c>
      <c r="AH1325">
        <v>0</v>
      </c>
      <c r="AI1325">
        <v>17.899999999999999</v>
      </c>
      <c r="AJ1325">
        <v>119.34</v>
      </c>
      <c r="AK1325">
        <v>0.01</v>
      </c>
      <c r="AL1325" t="s">
        <v>53</v>
      </c>
      <c r="AM1325" t="s">
        <v>53</v>
      </c>
      <c r="AN1325" t="s">
        <v>127</v>
      </c>
      <c r="AO1325" t="s">
        <v>53</v>
      </c>
      <c r="AP1325" t="s">
        <v>53</v>
      </c>
    </row>
    <row r="1326" spans="2:42" x14ac:dyDescent="0.2">
      <c r="B1326" t="s">
        <v>44</v>
      </c>
      <c r="C1326" t="str">
        <f>HYPERLINK("https://us2.cloudbeds.com/connect/8493803454333002#/reservations/598433153264?display=E1CBMY8M&amp;reservation_id=598433153264", "E1CBMY8M")</f>
        <v>E1CBMY8M</v>
      </c>
      <c r="D1326" t="s">
        <v>45</v>
      </c>
      <c r="E1326" t="s">
        <v>98</v>
      </c>
      <c r="F1326" t="s">
        <v>86</v>
      </c>
      <c r="G1326" t="s">
        <v>48</v>
      </c>
      <c r="H1326" t="s">
        <v>71</v>
      </c>
      <c r="I1326" t="s">
        <v>72</v>
      </c>
      <c r="J1326" t="s">
        <v>709</v>
      </c>
      <c r="K1326" t="s">
        <v>1782</v>
      </c>
      <c r="L1326" t="s">
        <v>53</v>
      </c>
      <c r="N1326" t="s">
        <v>2338</v>
      </c>
      <c r="P1326" t="s">
        <v>55</v>
      </c>
      <c r="R1326" t="s">
        <v>56</v>
      </c>
      <c r="T1326" t="s">
        <v>2319</v>
      </c>
      <c r="U1326" t="s">
        <v>58</v>
      </c>
      <c r="V1326">
        <v>1</v>
      </c>
      <c r="W1326">
        <v>1</v>
      </c>
      <c r="X1326">
        <v>1</v>
      </c>
      <c r="Y1326">
        <v>0</v>
      </c>
      <c r="Z1326">
        <v>1</v>
      </c>
      <c r="AA1326">
        <v>0</v>
      </c>
      <c r="AB1326">
        <v>56.83</v>
      </c>
      <c r="AC1326">
        <v>50</v>
      </c>
      <c r="AD1326">
        <v>0</v>
      </c>
      <c r="AE1326">
        <v>6.83</v>
      </c>
      <c r="AF1326">
        <v>0</v>
      </c>
      <c r="AG1326">
        <v>0</v>
      </c>
      <c r="AH1326">
        <v>0</v>
      </c>
      <c r="AI1326">
        <v>0</v>
      </c>
      <c r="AJ1326">
        <v>56.83</v>
      </c>
      <c r="AK1326">
        <v>0</v>
      </c>
      <c r="AL1326" t="s">
        <v>53</v>
      </c>
      <c r="AM1326" t="s">
        <v>53</v>
      </c>
      <c r="AN1326" t="s">
        <v>2339</v>
      </c>
      <c r="AO1326" t="s">
        <v>53</v>
      </c>
      <c r="AP1326" t="s">
        <v>53</v>
      </c>
    </row>
    <row r="1327" spans="2:42" x14ac:dyDescent="0.2">
      <c r="B1327" t="s">
        <v>44</v>
      </c>
      <c r="C1327" t="str">
        <f>HYPERLINK("https://us2.cloudbeds.com/connect/8493803454333002#/reservations/598477119723?display=E1DFP2GJ&amp;reservation_id=598477119723", "E1DFP2GJ")</f>
        <v>E1DFP2GJ</v>
      </c>
      <c r="D1327" t="s">
        <v>45</v>
      </c>
      <c r="E1327" t="s">
        <v>69</v>
      </c>
      <c r="F1327" t="s">
        <v>70</v>
      </c>
      <c r="G1327" t="s">
        <v>48</v>
      </c>
      <c r="H1327" t="s">
        <v>71</v>
      </c>
      <c r="I1327" t="s">
        <v>72</v>
      </c>
      <c r="J1327" t="s">
        <v>1244</v>
      </c>
      <c r="K1327" t="s">
        <v>618</v>
      </c>
      <c r="L1327" t="s">
        <v>53</v>
      </c>
      <c r="N1327" t="s">
        <v>2340</v>
      </c>
      <c r="P1327" t="s">
        <v>55</v>
      </c>
      <c r="R1327" t="s">
        <v>56</v>
      </c>
      <c r="T1327" t="s">
        <v>2319</v>
      </c>
      <c r="U1327" t="s">
        <v>58</v>
      </c>
      <c r="V1327">
        <v>1</v>
      </c>
      <c r="W1327">
        <v>1</v>
      </c>
      <c r="X1327">
        <v>1</v>
      </c>
      <c r="Y1327">
        <v>0</v>
      </c>
      <c r="Z1327">
        <v>1</v>
      </c>
      <c r="AA1327">
        <v>0</v>
      </c>
      <c r="AB1327">
        <v>100.01</v>
      </c>
      <c r="AC1327">
        <v>88</v>
      </c>
      <c r="AD1327">
        <v>0</v>
      </c>
      <c r="AE1327">
        <v>12.01</v>
      </c>
      <c r="AF1327">
        <v>0</v>
      </c>
      <c r="AG1327">
        <v>0</v>
      </c>
      <c r="AH1327">
        <v>0</v>
      </c>
      <c r="AI1327">
        <v>0</v>
      </c>
      <c r="AJ1327">
        <v>100.01</v>
      </c>
      <c r="AK1327">
        <v>0</v>
      </c>
      <c r="AL1327" t="s">
        <v>53</v>
      </c>
      <c r="AM1327" t="s">
        <v>53</v>
      </c>
      <c r="AN1327" t="s">
        <v>378</v>
      </c>
      <c r="AO1327" t="s">
        <v>53</v>
      </c>
      <c r="AP1327" t="s">
        <v>53</v>
      </c>
    </row>
    <row r="1328" spans="2:42" x14ac:dyDescent="0.2">
      <c r="B1328" t="s">
        <v>44</v>
      </c>
      <c r="C1328" t="str">
        <f>HYPERLINK("https://us2.cloudbeds.com/connect/8493803454333002#/reservations/598598394069?display=E1GJ0NHQ&amp;reservation_id=598598394069", "E1GJ0NHQ")</f>
        <v>E1GJ0NHQ</v>
      </c>
      <c r="D1328" t="s">
        <v>45</v>
      </c>
      <c r="E1328" t="s">
        <v>113</v>
      </c>
      <c r="F1328" t="s">
        <v>61</v>
      </c>
      <c r="G1328" t="s">
        <v>48</v>
      </c>
      <c r="H1328" t="s">
        <v>49</v>
      </c>
      <c r="I1328" t="s">
        <v>50</v>
      </c>
      <c r="J1328" t="s">
        <v>288</v>
      </c>
      <c r="K1328" t="s">
        <v>568</v>
      </c>
      <c r="L1328" t="s">
        <v>53</v>
      </c>
      <c r="N1328" t="s">
        <v>2341</v>
      </c>
      <c r="P1328" t="s">
        <v>55</v>
      </c>
      <c r="R1328" t="s">
        <v>56</v>
      </c>
      <c r="T1328" t="s">
        <v>2342</v>
      </c>
      <c r="U1328" t="s">
        <v>58</v>
      </c>
      <c r="V1328">
        <v>2</v>
      </c>
      <c r="W1328">
        <v>1</v>
      </c>
      <c r="X1328">
        <v>1</v>
      </c>
      <c r="Y1328">
        <v>0</v>
      </c>
      <c r="Z1328">
        <v>1</v>
      </c>
      <c r="AA1328">
        <v>0</v>
      </c>
      <c r="AB1328">
        <v>345.5</v>
      </c>
      <c r="AC1328">
        <v>304</v>
      </c>
      <c r="AD1328">
        <v>0</v>
      </c>
      <c r="AE1328">
        <v>41.5</v>
      </c>
      <c r="AF1328">
        <v>0</v>
      </c>
      <c r="AG1328">
        <v>0</v>
      </c>
      <c r="AH1328">
        <v>0</v>
      </c>
      <c r="AI1328">
        <v>62.19</v>
      </c>
      <c r="AJ1328">
        <v>345.5</v>
      </c>
      <c r="AK1328">
        <v>0</v>
      </c>
      <c r="AL1328" t="s">
        <v>53</v>
      </c>
      <c r="AM1328" t="s">
        <v>53</v>
      </c>
      <c r="AN1328" t="s">
        <v>178</v>
      </c>
      <c r="AO1328" t="s">
        <v>53</v>
      </c>
      <c r="AP1328" t="s">
        <v>53</v>
      </c>
    </row>
    <row r="1329" spans="2:42" x14ac:dyDescent="0.2">
      <c r="B1329" t="s">
        <v>44</v>
      </c>
      <c r="C1329" t="str">
        <f>HYPERLINK("https://us2.cloudbeds.com/connect/8493803454333002#/reservations/598421209314?display=E1C1K9EQ&amp;reservation_id=598421209314", "E1C1K9EQ")</f>
        <v>E1C1K9EQ</v>
      </c>
      <c r="D1329" t="s">
        <v>45</v>
      </c>
      <c r="E1329" t="s">
        <v>381</v>
      </c>
      <c r="F1329" t="s">
        <v>47</v>
      </c>
      <c r="G1329" t="s">
        <v>48</v>
      </c>
      <c r="H1329" t="s">
        <v>49</v>
      </c>
      <c r="I1329" t="s">
        <v>114</v>
      </c>
      <c r="J1329" t="s">
        <v>1244</v>
      </c>
      <c r="K1329" t="s">
        <v>618</v>
      </c>
      <c r="L1329" t="s">
        <v>53</v>
      </c>
      <c r="N1329" t="s">
        <v>2343</v>
      </c>
      <c r="P1329" t="s">
        <v>58</v>
      </c>
      <c r="R1329" t="s">
        <v>56</v>
      </c>
      <c r="T1329" t="s">
        <v>2342</v>
      </c>
      <c r="U1329" t="s">
        <v>58</v>
      </c>
      <c r="V1329">
        <v>1</v>
      </c>
      <c r="W1329">
        <v>1</v>
      </c>
      <c r="X1329">
        <v>1</v>
      </c>
      <c r="Y1329">
        <v>0</v>
      </c>
      <c r="Z1329">
        <v>1</v>
      </c>
      <c r="AA1329">
        <v>0</v>
      </c>
      <c r="AB1329">
        <v>100.01</v>
      </c>
      <c r="AC1329">
        <v>88</v>
      </c>
      <c r="AD1329">
        <v>0</v>
      </c>
      <c r="AE1329">
        <v>12.01</v>
      </c>
      <c r="AF1329">
        <v>0</v>
      </c>
      <c r="AG1329">
        <v>0</v>
      </c>
      <c r="AH1329">
        <v>0</v>
      </c>
      <c r="AI1329">
        <v>0</v>
      </c>
      <c r="AJ1329">
        <v>100.01</v>
      </c>
      <c r="AK1329">
        <v>0</v>
      </c>
      <c r="AL1329" t="s">
        <v>53</v>
      </c>
      <c r="AM1329" t="s">
        <v>53</v>
      </c>
      <c r="AN1329" t="s">
        <v>2344</v>
      </c>
      <c r="AO1329" t="s">
        <v>53</v>
      </c>
      <c r="AP1329" t="s">
        <v>53</v>
      </c>
    </row>
    <row r="1330" spans="2:42" x14ac:dyDescent="0.2">
      <c r="B1330" t="s">
        <v>44</v>
      </c>
      <c r="C1330" t="str">
        <f>HYPERLINK("https://us2.cloudbeds.com/connect/8493803454333002#/reservations/579310792840?display=DJXZ6PY9&amp;reservation_id=579310792840", "DJXZ6PY9")</f>
        <v>DJXZ6PY9</v>
      </c>
      <c r="D1330" t="s">
        <v>45</v>
      </c>
      <c r="E1330" t="s">
        <v>121</v>
      </c>
      <c r="F1330" t="s">
        <v>86</v>
      </c>
      <c r="G1330" t="s">
        <v>48</v>
      </c>
      <c r="H1330" t="s">
        <v>49</v>
      </c>
      <c r="I1330" t="s">
        <v>62</v>
      </c>
      <c r="J1330" t="s">
        <v>1477</v>
      </c>
      <c r="K1330" t="s">
        <v>1664</v>
      </c>
      <c r="L1330" t="s">
        <v>53</v>
      </c>
      <c r="N1330" t="s">
        <v>2345</v>
      </c>
      <c r="P1330" t="s">
        <v>55</v>
      </c>
      <c r="R1330" t="s">
        <v>118</v>
      </c>
      <c r="T1330" t="s">
        <v>2342</v>
      </c>
      <c r="U1330" t="s">
        <v>58</v>
      </c>
      <c r="V1330">
        <v>1</v>
      </c>
      <c r="W1330">
        <v>1</v>
      </c>
      <c r="X1330">
        <v>1</v>
      </c>
      <c r="Y1330">
        <v>0</v>
      </c>
      <c r="Z1330">
        <v>1</v>
      </c>
      <c r="AA1330">
        <v>0</v>
      </c>
      <c r="AB1330">
        <v>189.8</v>
      </c>
      <c r="AC1330">
        <v>167</v>
      </c>
      <c r="AD1330">
        <v>0</v>
      </c>
      <c r="AE1330">
        <v>22.8</v>
      </c>
      <c r="AF1330">
        <v>0</v>
      </c>
      <c r="AG1330">
        <v>0</v>
      </c>
      <c r="AH1330">
        <v>0</v>
      </c>
      <c r="AI1330">
        <v>28.47</v>
      </c>
      <c r="AJ1330">
        <v>189.8</v>
      </c>
      <c r="AK1330">
        <v>0</v>
      </c>
      <c r="AL1330" t="s">
        <v>53</v>
      </c>
      <c r="AM1330" t="s">
        <v>53</v>
      </c>
      <c r="AN1330" t="s">
        <v>142</v>
      </c>
      <c r="AO1330" t="s">
        <v>53</v>
      </c>
      <c r="AP1330" t="s">
        <v>53</v>
      </c>
    </row>
    <row r="1331" spans="2:42" x14ac:dyDescent="0.2">
      <c r="B1331" t="s">
        <v>44</v>
      </c>
      <c r="C1331" t="str">
        <f>HYPERLINK("https://us2.cloudbeds.com/connect/8493803454333002#/reservations/579353411776?display=DJJQ7VPM&amp;reservation_id=579353411776", "DJJQ7VPM")</f>
        <v>DJJQ7VPM</v>
      </c>
      <c r="D1331" t="s">
        <v>45</v>
      </c>
      <c r="E1331" t="s">
        <v>128</v>
      </c>
      <c r="F1331" t="s">
        <v>86</v>
      </c>
      <c r="G1331" t="s">
        <v>48</v>
      </c>
      <c r="H1331" t="s">
        <v>49</v>
      </c>
      <c r="I1331" t="s">
        <v>79</v>
      </c>
      <c r="J1331" t="s">
        <v>2013</v>
      </c>
      <c r="K1331" t="s">
        <v>1258</v>
      </c>
      <c r="L1331" t="s">
        <v>53</v>
      </c>
      <c r="N1331" t="s">
        <v>2346</v>
      </c>
      <c r="P1331" t="s">
        <v>55</v>
      </c>
      <c r="R1331" t="s">
        <v>56</v>
      </c>
      <c r="T1331" t="s">
        <v>2342</v>
      </c>
      <c r="U1331" t="s">
        <v>58</v>
      </c>
      <c r="V1331">
        <v>6</v>
      </c>
      <c r="W1331">
        <v>1</v>
      </c>
      <c r="X1331">
        <v>1</v>
      </c>
      <c r="Y1331">
        <v>0</v>
      </c>
      <c r="Z1331">
        <v>1</v>
      </c>
      <c r="AA1331">
        <v>0</v>
      </c>
      <c r="AB1331">
        <v>821.01</v>
      </c>
      <c r="AC1331">
        <v>722.4</v>
      </c>
      <c r="AD1331">
        <v>0</v>
      </c>
      <c r="AE1331">
        <v>98.61</v>
      </c>
      <c r="AF1331">
        <v>0</v>
      </c>
      <c r="AG1331">
        <v>0</v>
      </c>
      <c r="AH1331">
        <v>0</v>
      </c>
      <c r="AI1331">
        <v>0</v>
      </c>
      <c r="AJ1331">
        <v>821.01</v>
      </c>
      <c r="AK1331">
        <v>0</v>
      </c>
      <c r="AL1331" t="s">
        <v>53</v>
      </c>
      <c r="AM1331" t="s">
        <v>53</v>
      </c>
      <c r="AN1331" t="s">
        <v>2347</v>
      </c>
      <c r="AO1331" t="s">
        <v>53</v>
      </c>
      <c r="AP1331" t="s">
        <v>53</v>
      </c>
    </row>
    <row r="1332" spans="2:42" x14ac:dyDescent="0.2">
      <c r="B1332" t="s">
        <v>44</v>
      </c>
      <c r="C1332" t="str">
        <f>HYPERLINK("https://us2.cloudbeds.com/connect/8493803454333002#/reservations/598480564369?display=E1DXYUKR&amp;reservation_id=598480564369", "E1DXYUKR")</f>
        <v>E1DXYUKR</v>
      </c>
      <c r="D1332" t="s">
        <v>45</v>
      </c>
      <c r="E1332" t="s">
        <v>113</v>
      </c>
      <c r="F1332" t="s">
        <v>61</v>
      </c>
      <c r="G1332" t="s">
        <v>48</v>
      </c>
      <c r="H1332" t="s">
        <v>49</v>
      </c>
      <c r="I1332" t="s">
        <v>62</v>
      </c>
      <c r="J1332" t="s">
        <v>1792</v>
      </c>
      <c r="K1332" t="s">
        <v>1633</v>
      </c>
      <c r="L1332" t="s">
        <v>53</v>
      </c>
      <c r="N1332" t="s">
        <v>2348</v>
      </c>
      <c r="P1332" t="s">
        <v>55</v>
      </c>
      <c r="R1332" t="s">
        <v>56</v>
      </c>
      <c r="T1332" t="s">
        <v>2342</v>
      </c>
      <c r="U1332" t="s">
        <v>58</v>
      </c>
      <c r="V1332">
        <v>1</v>
      </c>
      <c r="W1332">
        <v>1</v>
      </c>
      <c r="X1332">
        <v>1</v>
      </c>
      <c r="Y1332">
        <v>0</v>
      </c>
      <c r="Z1332">
        <v>1</v>
      </c>
      <c r="AA1332">
        <v>0</v>
      </c>
      <c r="AB1332">
        <v>186.39</v>
      </c>
      <c r="AC1332">
        <v>164</v>
      </c>
      <c r="AD1332">
        <v>0</v>
      </c>
      <c r="AE1332">
        <v>22.39</v>
      </c>
      <c r="AF1332">
        <v>0</v>
      </c>
      <c r="AG1332">
        <v>0</v>
      </c>
      <c r="AH1332">
        <v>0</v>
      </c>
      <c r="AI1332">
        <v>27.96</v>
      </c>
      <c r="AJ1332">
        <v>186.39</v>
      </c>
      <c r="AK1332">
        <v>0</v>
      </c>
      <c r="AL1332" t="s">
        <v>53</v>
      </c>
      <c r="AM1332" t="s">
        <v>53</v>
      </c>
      <c r="AN1332" t="s">
        <v>545</v>
      </c>
      <c r="AO1332" t="s">
        <v>53</v>
      </c>
      <c r="AP1332" t="s">
        <v>53</v>
      </c>
    </row>
    <row r="1333" spans="2:42" x14ac:dyDescent="0.2">
      <c r="B1333" t="s">
        <v>44</v>
      </c>
      <c r="C1333" t="str">
        <f>HYPERLINK("https://us2.cloudbeds.com/connect/8493803454333002#/reservations/598605402248?display=E1GZUNVS&amp;reservation_id=598605402248", "E1GZUNVS")</f>
        <v>E1GZUNVS</v>
      </c>
      <c r="D1333" t="s">
        <v>45</v>
      </c>
      <c r="E1333" t="s">
        <v>179</v>
      </c>
      <c r="F1333" t="s">
        <v>47</v>
      </c>
      <c r="G1333" t="s">
        <v>48</v>
      </c>
      <c r="H1333" t="s">
        <v>49</v>
      </c>
      <c r="I1333" t="s">
        <v>50</v>
      </c>
      <c r="J1333" t="s">
        <v>447</v>
      </c>
      <c r="K1333" t="s">
        <v>2102</v>
      </c>
      <c r="L1333" t="s">
        <v>53</v>
      </c>
      <c r="N1333" t="s">
        <v>2349</v>
      </c>
      <c r="P1333" t="s">
        <v>55</v>
      </c>
      <c r="R1333" t="s">
        <v>56</v>
      </c>
      <c r="T1333" t="s">
        <v>2342</v>
      </c>
      <c r="U1333" t="s">
        <v>58</v>
      </c>
      <c r="V1333">
        <v>1</v>
      </c>
      <c r="W1333">
        <v>1</v>
      </c>
      <c r="X1333">
        <v>1</v>
      </c>
      <c r="Y1333">
        <v>0</v>
      </c>
      <c r="Z1333">
        <v>1</v>
      </c>
      <c r="AA1333">
        <v>0</v>
      </c>
      <c r="AB1333">
        <v>144.22</v>
      </c>
      <c r="AC1333">
        <v>126.9</v>
      </c>
      <c r="AD1333">
        <v>0</v>
      </c>
      <c r="AE1333">
        <v>17.32</v>
      </c>
      <c r="AF1333">
        <v>0</v>
      </c>
      <c r="AG1333">
        <v>0</v>
      </c>
      <c r="AH1333">
        <v>0</v>
      </c>
      <c r="AI1333">
        <v>25.96</v>
      </c>
      <c r="AJ1333">
        <v>144.22</v>
      </c>
      <c r="AK1333">
        <v>0</v>
      </c>
      <c r="AL1333" t="s">
        <v>53</v>
      </c>
      <c r="AM1333" t="s">
        <v>53</v>
      </c>
      <c r="AN1333" t="s">
        <v>178</v>
      </c>
      <c r="AO1333" t="s">
        <v>53</v>
      </c>
      <c r="AP1333" t="s">
        <v>53</v>
      </c>
    </row>
    <row r="1334" spans="2:42" x14ac:dyDescent="0.2">
      <c r="B1334" t="s">
        <v>44</v>
      </c>
      <c r="C1334" t="str">
        <f>HYPERLINK("https://us2.cloudbeds.com/connect/8493803454333002#/reservations/598404350161?display=E1BKD54C&amp;reservation_id=598404350161", "E1BKD54C")</f>
        <v>E1BKD54C</v>
      </c>
      <c r="D1334" t="s">
        <v>45</v>
      </c>
      <c r="E1334" t="s">
        <v>69</v>
      </c>
      <c r="F1334" t="s">
        <v>70</v>
      </c>
      <c r="G1334" t="s">
        <v>48</v>
      </c>
      <c r="H1334" t="s">
        <v>49</v>
      </c>
      <c r="I1334" t="s">
        <v>79</v>
      </c>
      <c r="J1334" t="s">
        <v>327</v>
      </c>
      <c r="K1334" t="s">
        <v>970</v>
      </c>
      <c r="L1334" t="s">
        <v>53</v>
      </c>
      <c r="N1334" t="s">
        <v>2350</v>
      </c>
      <c r="P1334" t="s">
        <v>55</v>
      </c>
      <c r="R1334" t="s">
        <v>56</v>
      </c>
      <c r="T1334" t="s">
        <v>2342</v>
      </c>
      <c r="U1334" t="s">
        <v>58</v>
      </c>
      <c r="V1334">
        <v>1</v>
      </c>
      <c r="W1334">
        <v>1</v>
      </c>
      <c r="X1334">
        <v>1</v>
      </c>
      <c r="Y1334">
        <v>0</v>
      </c>
      <c r="Z1334">
        <v>1</v>
      </c>
      <c r="AA1334">
        <v>0</v>
      </c>
      <c r="AB1334">
        <v>144.22</v>
      </c>
      <c r="AC1334">
        <v>126.9</v>
      </c>
      <c r="AD1334">
        <v>0</v>
      </c>
      <c r="AE1334">
        <v>17.32</v>
      </c>
      <c r="AF1334">
        <v>0</v>
      </c>
      <c r="AG1334">
        <v>0</v>
      </c>
      <c r="AH1334">
        <v>0</v>
      </c>
      <c r="AI1334">
        <v>0</v>
      </c>
      <c r="AJ1334">
        <v>144.22</v>
      </c>
      <c r="AK1334">
        <v>0</v>
      </c>
      <c r="AL1334" t="s">
        <v>53</v>
      </c>
      <c r="AM1334" t="s">
        <v>53</v>
      </c>
      <c r="AN1334" t="s">
        <v>349</v>
      </c>
      <c r="AO1334" t="s">
        <v>53</v>
      </c>
      <c r="AP1334" t="s">
        <v>53</v>
      </c>
    </row>
    <row r="1335" spans="2:42" x14ac:dyDescent="0.2">
      <c r="B1335" t="s">
        <v>44</v>
      </c>
      <c r="C1335" t="str">
        <f>HYPERLINK("https://us2.cloudbeds.com/connect/8493803454333002#/reservations/598540538046?display=E1F37PSU&amp;reservation_id=598540538046", "E1F37PSU")</f>
        <v>E1F37PSU</v>
      </c>
      <c r="D1335" t="s">
        <v>45</v>
      </c>
      <c r="E1335" t="s">
        <v>190</v>
      </c>
      <c r="F1335" t="s">
        <v>61</v>
      </c>
      <c r="G1335" t="s">
        <v>48</v>
      </c>
      <c r="H1335" t="s">
        <v>49</v>
      </c>
      <c r="I1335" t="s">
        <v>50</v>
      </c>
      <c r="J1335" t="s">
        <v>106</v>
      </c>
      <c r="K1335" t="s">
        <v>922</v>
      </c>
      <c r="L1335" t="s">
        <v>53</v>
      </c>
      <c r="N1335" t="s">
        <v>2351</v>
      </c>
      <c r="P1335" t="s">
        <v>55</v>
      </c>
      <c r="R1335" t="s">
        <v>56</v>
      </c>
      <c r="T1335" t="s">
        <v>2342</v>
      </c>
      <c r="U1335" t="s">
        <v>58</v>
      </c>
      <c r="V1335">
        <v>1</v>
      </c>
      <c r="W1335">
        <v>1</v>
      </c>
      <c r="X1335">
        <v>1</v>
      </c>
      <c r="Y1335">
        <v>0</v>
      </c>
      <c r="Z1335">
        <v>1</v>
      </c>
      <c r="AA1335">
        <v>0</v>
      </c>
      <c r="AB1335">
        <v>153.43</v>
      </c>
      <c r="AC1335">
        <v>135</v>
      </c>
      <c r="AD1335">
        <v>0</v>
      </c>
      <c r="AE1335">
        <v>18.440000000000001</v>
      </c>
      <c r="AF1335">
        <v>0</v>
      </c>
      <c r="AG1335">
        <v>0</v>
      </c>
      <c r="AH1335">
        <v>0</v>
      </c>
      <c r="AI1335">
        <v>27.62</v>
      </c>
      <c r="AJ1335">
        <v>153.44</v>
      </c>
      <c r="AK1335">
        <v>0.01</v>
      </c>
      <c r="AL1335" t="s">
        <v>53</v>
      </c>
      <c r="AM1335" t="s">
        <v>53</v>
      </c>
      <c r="AN1335" t="s">
        <v>332</v>
      </c>
      <c r="AO1335" t="s">
        <v>53</v>
      </c>
      <c r="AP1335" t="s">
        <v>53</v>
      </c>
    </row>
    <row r="1336" spans="2:42" x14ac:dyDescent="0.2">
      <c r="B1336" t="s">
        <v>44</v>
      </c>
      <c r="C1336" t="str">
        <f>HYPERLINK("https://us2.cloudbeds.com/connect/8493803454333002#/reservations/598493597865?display=E1DTYJV8&amp;reservation_id=598493597865", "E1DTYJV8")</f>
        <v>E1DTYJV8</v>
      </c>
      <c r="D1336" t="s">
        <v>45</v>
      </c>
      <c r="E1336" t="s">
        <v>110</v>
      </c>
      <c r="F1336" t="s">
        <v>47</v>
      </c>
      <c r="G1336" t="s">
        <v>48</v>
      </c>
      <c r="H1336" t="s">
        <v>71</v>
      </c>
      <c r="I1336" t="s">
        <v>72</v>
      </c>
      <c r="J1336" t="s">
        <v>1782</v>
      </c>
      <c r="K1336" t="s">
        <v>1244</v>
      </c>
      <c r="L1336" t="s">
        <v>53</v>
      </c>
      <c r="N1336" t="s">
        <v>2352</v>
      </c>
      <c r="P1336" t="s">
        <v>55</v>
      </c>
      <c r="R1336" t="s">
        <v>56</v>
      </c>
      <c r="T1336" t="s">
        <v>2342</v>
      </c>
      <c r="U1336" t="s">
        <v>58</v>
      </c>
      <c r="V1336">
        <v>1</v>
      </c>
      <c r="W1336">
        <v>1</v>
      </c>
      <c r="X1336">
        <v>1</v>
      </c>
      <c r="Y1336">
        <v>0</v>
      </c>
      <c r="Z1336">
        <v>1</v>
      </c>
      <c r="AA1336">
        <v>0</v>
      </c>
      <c r="AB1336">
        <v>96.6</v>
      </c>
      <c r="AC1336">
        <v>85</v>
      </c>
      <c r="AD1336">
        <v>0</v>
      </c>
      <c r="AE1336">
        <v>11.61</v>
      </c>
      <c r="AF1336">
        <v>0</v>
      </c>
      <c r="AG1336">
        <v>0</v>
      </c>
      <c r="AH1336">
        <v>0</v>
      </c>
      <c r="AI1336">
        <v>0</v>
      </c>
      <c r="AJ1336">
        <v>96.61</v>
      </c>
      <c r="AK1336">
        <v>0.01</v>
      </c>
      <c r="AL1336" t="s">
        <v>53</v>
      </c>
      <c r="AM1336" t="s">
        <v>53</v>
      </c>
      <c r="AN1336" t="s">
        <v>378</v>
      </c>
      <c r="AO1336" t="s">
        <v>53</v>
      </c>
      <c r="AP1336" t="s">
        <v>53</v>
      </c>
    </row>
    <row r="1337" spans="2:42" x14ac:dyDescent="0.2">
      <c r="B1337" t="s">
        <v>44</v>
      </c>
      <c r="C1337" t="str">
        <f>HYPERLINK("https://us2.cloudbeds.com/connect/8493803454333002#/reservations/598311362753?display=E197WHHU&amp;reservation_id=598311362753", "E197WHHU")</f>
        <v>E197WHHU</v>
      </c>
      <c r="D1337" t="s">
        <v>45</v>
      </c>
      <c r="E1337" t="s">
        <v>98</v>
      </c>
      <c r="F1337" t="s">
        <v>86</v>
      </c>
      <c r="G1337" t="s">
        <v>48</v>
      </c>
      <c r="H1337" t="s">
        <v>49</v>
      </c>
      <c r="I1337" t="s">
        <v>62</v>
      </c>
      <c r="J1337" t="s">
        <v>1244</v>
      </c>
      <c r="K1337" t="s">
        <v>618</v>
      </c>
      <c r="L1337" t="s">
        <v>53</v>
      </c>
      <c r="N1337" t="s">
        <v>2353</v>
      </c>
      <c r="P1337" t="s">
        <v>55</v>
      </c>
      <c r="R1337" t="s">
        <v>56</v>
      </c>
      <c r="T1337" t="s">
        <v>2342</v>
      </c>
      <c r="U1337" t="s">
        <v>58</v>
      </c>
      <c r="V1337">
        <v>1</v>
      </c>
      <c r="W1337">
        <v>1</v>
      </c>
      <c r="X1337">
        <v>1</v>
      </c>
      <c r="Y1337">
        <v>0</v>
      </c>
      <c r="Z1337">
        <v>1</v>
      </c>
      <c r="AA1337">
        <v>0</v>
      </c>
      <c r="AB1337">
        <v>132.97</v>
      </c>
      <c r="AC1337">
        <v>117</v>
      </c>
      <c r="AD1337">
        <v>0</v>
      </c>
      <c r="AE1337">
        <v>15.97</v>
      </c>
      <c r="AF1337">
        <v>0</v>
      </c>
      <c r="AG1337">
        <v>0</v>
      </c>
      <c r="AH1337">
        <v>0</v>
      </c>
      <c r="AI1337">
        <v>19.95</v>
      </c>
      <c r="AJ1337">
        <v>132.97</v>
      </c>
      <c r="AK1337">
        <v>0</v>
      </c>
      <c r="AL1337" t="s">
        <v>53</v>
      </c>
      <c r="AM1337" t="s">
        <v>53</v>
      </c>
      <c r="AN1337" t="s">
        <v>252</v>
      </c>
      <c r="AO1337" t="s">
        <v>53</v>
      </c>
      <c r="AP1337" t="s">
        <v>53</v>
      </c>
    </row>
    <row r="1338" spans="2:42" x14ac:dyDescent="0.2">
      <c r="B1338" t="s">
        <v>44</v>
      </c>
      <c r="C1338" t="str">
        <f>HYPERLINK("https://us2.cloudbeds.com/connect/8493803454333002#/reservations/598310895803?display=E197JYF4&amp;reservation_id=598310895803", "E197JYF4")</f>
        <v>E197JYF4</v>
      </c>
      <c r="D1338" t="s">
        <v>45</v>
      </c>
      <c r="E1338" t="s">
        <v>105</v>
      </c>
      <c r="F1338" t="s">
        <v>47</v>
      </c>
      <c r="G1338" t="s">
        <v>48</v>
      </c>
      <c r="H1338" t="s">
        <v>49</v>
      </c>
      <c r="I1338" t="s">
        <v>266</v>
      </c>
      <c r="J1338" t="s">
        <v>87</v>
      </c>
      <c r="K1338" t="s">
        <v>88</v>
      </c>
      <c r="L1338" t="s">
        <v>53</v>
      </c>
      <c r="N1338" t="s">
        <v>2354</v>
      </c>
      <c r="P1338" t="s">
        <v>55</v>
      </c>
      <c r="R1338" t="s">
        <v>56</v>
      </c>
      <c r="T1338" t="s">
        <v>2342</v>
      </c>
      <c r="U1338" t="s">
        <v>58</v>
      </c>
      <c r="V1338">
        <v>1</v>
      </c>
      <c r="W1338">
        <v>1</v>
      </c>
      <c r="X1338">
        <v>1</v>
      </c>
      <c r="Y1338">
        <v>0</v>
      </c>
      <c r="Z1338">
        <v>1</v>
      </c>
      <c r="AA1338">
        <v>0</v>
      </c>
      <c r="AB1338">
        <v>146.27000000000001</v>
      </c>
      <c r="AC1338">
        <v>128.69999999999999</v>
      </c>
      <c r="AD1338">
        <v>0</v>
      </c>
      <c r="AE1338">
        <v>17.559999999999999</v>
      </c>
      <c r="AF1338">
        <v>0</v>
      </c>
      <c r="AG1338">
        <v>0</v>
      </c>
      <c r="AH1338">
        <v>0</v>
      </c>
      <c r="AI1338">
        <v>0</v>
      </c>
      <c r="AJ1338">
        <v>146.26</v>
      </c>
      <c r="AK1338">
        <v>-0.01</v>
      </c>
      <c r="AL1338" t="s">
        <v>53</v>
      </c>
      <c r="AM1338" t="s">
        <v>53</v>
      </c>
      <c r="AN1338" t="s">
        <v>332</v>
      </c>
      <c r="AO1338" t="s">
        <v>53</v>
      </c>
      <c r="AP1338" t="s">
        <v>53</v>
      </c>
    </row>
    <row r="1339" spans="2:42" x14ac:dyDescent="0.2">
      <c r="B1339" t="s">
        <v>44</v>
      </c>
      <c r="C1339" t="str">
        <f>HYPERLINK("https://us2.cloudbeds.com/connect/8493803454333002#/reservations/598435221676?display=E1CDE6KR&amp;reservation_id=598435221676", "E1CDE6KR")</f>
        <v>E1CDE6KR</v>
      </c>
      <c r="D1339" t="s">
        <v>45</v>
      </c>
      <c r="E1339" t="s">
        <v>179</v>
      </c>
      <c r="F1339" t="s">
        <v>47</v>
      </c>
      <c r="G1339" t="s">
        <v>48</v>
      </c>
      <c r="H1339" t="s">
        <v>49</v>
      </c>
      <c r="I1339" t="s">
        <v>50</v>
      </c>
      <c r="J1339" t="s">
        <v>600</v>
      </c>
      <c r="K1339" t="s">
        <v>107</v>
      </c>
      <c r="L1339" t="s">
        <v>53</v>
      </c>
      <c r="N1339" t="s">
        <v>2355</v>
      </c>
      <c r="P1339" t="s">
        <v>55</v>
      </c>
      <c r="R1339" t="s">
        <v>56</v>
      </c>
      <c r="T1339" t="s">
        <v>2342</v>
      </c>
      <c r="U1339" t="s">
        <v>58</v>
      </c>
      <c r="V1339">
        <v>3</v>
      </c>
      <c r="W1339">
        <v>1</v>
      </c>
      <c r="X1339">
        <v>1</v>
      </c>
      <c r="Y1339">
        <v>0</v>
      </c>
      <c r="Z1339">
        <v>1</v>
      </c>
      <c r="AA1339">
        <v>0</v>
      </c>
      <c r="AB1339">
        <v>399.14</v>
      </c>
      <c r="AC1339">
        <v>351.2</v>
      </c>
      <c r="AD1339">
        <v>0</v>
      </c>
      <c r="AE1339">
        <v>47.96</v>
      </c>
      <c r="AF1339">
        <v>0</v>
      </c>
      <c r="AG1339">
        <v>0</v>
      </c>
      <c r="AH1339">
        <v>0</v>
      </c>
      <c r="AI1339">
        <v>71.849999999999994</v>
      </c>
      <c r="AJ1339">
        <v>399.16</v>
      </c>
      <c r="AK1339">
        <v>0.02</v>
      </c>
      <c r="AL1339" t="s">
        <v>53</v>
      </c>
      <c r="AM1339" t="s">
        <v>53</v>
      </c>
      <c r="AN1339" t="s">
        <v>178</v>
      </c>
      <c r="AO1339" t="s">
        <v>53</v>
      </c>
      <c r="AP1339" t="s">
        <v>53</v>
      </c>
    </row>
    <row r="1340" spans="2:42" x14ac:dyDescent="0.2">
      <c r="B1340" t="s">
        <v>44</v>
      </c>
      <c r="C1340" t="str">
        <f>HYPERLINK("https://us2.cloudbeds.com/connect/8493803454333002#/reservations/598119702738?display=E14BCDTT&amp;reservation_id=598119702738", "E14BCDTT")</f>
        <v>E14BCDTT</v>
      </c>
      <c r="D1340" t="s">
        <v>45</v>
      </c>
      <c r="E1340" t="s">
        <v>265</v>
      </c>
      <c r="F1340" t="s">
        <v>61</v>
      </c>
      <c r="G1340" t="s">
        <v>48</v>
      </c>
      <c r="H1340" t="s">
        <v>49</v>
      </c>
      <c r="I1340" t="s">
        <v>50</v>
      </c>
      <c r="J1340" t="s">
        <v>1068</v>
      </c>
      <c r="K1340" t="s">
        <v>354</v>
      </c>
      <c r="L1340" t="s">
        <v>53</v>
      </c>
      <c r="N1340" t="s">
        <v>2356</v>
      </c>
      <c r="P1340" t="s">
        <v>55</v>
      </c>
      <c r="R1340" t="s">
        <v>56</v>
      </c>
      <c r="T1340" t="s">
        <v>2342</v>
      </c>
      <c r="U1340" t="s">
        <v>58</v>
      </c>
      <c r="V1340">
        <v>2</v>
      </c>
      <c r="W1340">
        <v>1</v>
      </c>
      <c r="X1340">
        <v>1</v>
      </c>
      <c r="Y1340">
        <v>0</v>
      </c>
      <c r="Z1340">
        <v>1</v>
      </c>
      <c r="AA1340">
        <v>0</v>
      </c>
      <c r="AB1340">
        <v>225.03</v>
      </c>
      <c r="AC1340">
        <v>198</v>
      </c>
      <c r="AD1340">
        <v>0</v>
      </c>
      <c r="AE1340">
        <v>27.04</v>
      </c>
      <c r="AF1340">
        <v>0</v>
      </c>
      <c r="AG1340">
        <v>0</v>
      </c>
      <c r="AH1340">
        <v>0</v>
      </c>
      <c r="AI1340">
        <v>40.51</v>
      </c>
      <c r="AJ1340">
        <v>225.04</v>
      </c>
      <c r="AK1340">
        <v>0.01</v>
      </c>
      <c r="AL1340" t="s">
        <v>53</v>
      </c>
      <c r="AM1340" t="s">
        <v>53</v>
      </c>
      <c r="AN1340" t="s">
        <v>252</v>
      </c>
      <c r="AO1340" t="s">
        <v>53</v>
      </c>
      <c r="AP1340" t="s">
        <v>53</v>
      </c>
    </row>
    <row r="1341" spans="2:42" x14ac:dyDescent="0.2">
      <c r="B1341" t="s">
        <v>44</v>
      </c>
      <c r="C1341" t="str">
        <f>HYPERLINK("https://us2.cloudbeds.com/connect/8493803454333002#/reservations/598593134740?display=E1GEJC16&amp;reservation_id=598593134740", "E1GEJC16")</f>
        <v>E1GEJC16</v>
      </c>
      <c r="D1341" t="s">
        <v>45</v>
      </c>
      <c r="E1341" t="s">
        <v>138</v>
      </c>
      <c r="F1341" t="s">
        <v>70</v>
      </c>
      <c r="G1341" t="s">
        <v>48</v>
      </c>
      <c r="H1341" t="s">
        <v>49</v>
      </c>
      <c r="I1341" t="s">
        <v>62</v>
      </c>
      <c r="J1341" t="s">
        <v>922</v>
      </c>
      <c r="K1341" t="s">
        <v>107</v>
      </c>
      <c r="L1341" t="s">
        <v>53</v>
      </c>
      <c r="N1341" t="s">
        <v>2357</v>
      </c>
      <c r="P1341" t="s">
        <v>55</v>
      </c>
      <c r="R1341" t="s">
        <v>56</v>
      </c>
      <c r="T1341" t="s">
        <v>2342</v>
      </c>
      <c r="U1341" t="s">
        <v>58</v>
      </c>
      <c r="V1341">
        <v>1</v>
      </c>
      <c r="W1341">
        <v>1</v>
      </c>
      <c r="X1341">
        <v>1</v>
      </c>
      <c r="Y1341">
        <v>0</v>
      </c>
      <c r="Z1341">
        <v>1</v>
      </c>
      <c r="AA1341">
        <v>0</v>
      </c>
      <c r="AB1341">
        <v>145.47</v>
      </c>
      <c r="AC1341">
        <v>128</v>
      </c>
      <c r="AD1341">
        <v>0</v>
      </c>
      <c r="AE1341">
        <v>17.47</v>
      </c>
      <c r="AF1341">
        <v>0</v>
      </c>
      <c r="AG1341">
        <v>0</v>
      </c>
      <c r="AH1341">
        <v>0</v>
      </c>
      <c r="AI1341">
        <v>21.82</v>
      </c>
      <c r="AJ1341">
        <v>145.47</v>
      </c>
      <c r="AK1341">
        <v>0</v>
      </c>
      <c r="AL1341" t="s">
        <v>53</v>
      </c>
      <c r="AM1341" t="s">
        <v>53</v>
      </c>
      <c r="AN1341" t="s">
        <v>59</v>
      </c>
      <c r="AO1341" t="s">
        <v>53</v>
      </c>
      <c r="AP1341" t="s">
        <v>53</v>
      </c>
    </row>
    <row r="1342" spans="2:42" x14ac:dyDescent="0.2">
      <c r="B1342" t="s">
        <v>44</v>
      </c>
      <c r="C1342" t="str">
        <f>HYPERLINK("https://us2.cloudbeds.com/connect/8493803454333002#/reservations/598415790231?display=E1BU1G85&amp;reservation_id=598415790231", "E1BU1G85")</f>
        <v>E1BU1G85</v>
      </c>
      <c r="D1342" t="s">
        <v>45</v>
      </c>
      <c r="E1342" t="s">
        <v>69</v>
      </c>
      <c r="F1342" t="s">
        <v>70</v>
      </c>
      <c r="G1342" t="s">
        <v>48</v>
      </c>
      <c r="H1342" t="s">
        <v>49</v>
      </c>
      <c r="I1342" t="s">
        <v>79</v>
      </c>
      <c r="J1342" t="s">
        <v>970</v>
      </c>
      <c r="K1342" t="s">
        <v>288</v>
      </c>
      <c r="L1342" t="s">
        <v>53</v>
      </c>
      <c r="N1342" t="s">
        <v>2358</v>
      </c>
      <c r="P1342" t="s">
        <v>55</v>
      </c>
      <c r="R1342" t="s">
        <v>56</v>
      </c>
      <c r="T1342" t="s">
        <v>2342</v>
      </c>
      <c r="U1342" t="s">
        <v>58</v>
      </c>
      <c r="V1342">
        <v>1</v>
      </c>
      <c r="W1342">
        <v>1</v>
      </c>
      <c r="X1342">
        <v>1</v>
      </c>
      <c r="Y1342">
        <v>0</v>
      </c>
      <c r="Z1342">
        <v>1</v>
      </c>
      <c r="AA1342">
        <v>0</v>
      </c>
      <c r="AB1342">
        <v>138.08000000000001</v>
      </c>
      <c r="AC1342">
        <v>121.5</v>
      </c>
      <c r="AD1342">
        <v>0</v>
      </c>
      <c r="AE1342">
        <v>16.579999999999998</v>
      </c>
      <c r="AF1342">
        <v>0</v>
      </c>
      <c r="AG1342">
        <v>0</v>
      </c>
      <c r="AH1342">
        <v>0</v>
      </c>
      <c r="AI1342">
        <v>0</v>
      </c>
      <c r="AJ1342">
        <v>138.08000000000001</v>
      </c>
      <c r="AK1342">
        <v>0</v>
      </c>
      <c r="AL1342" t="s">
        <v>53</v>
      </c>
      <c r="AM1342" t="s">
        <v>53</v>
      </c>
      <c r="AN1342" t="s">
        <v>84</v>
      </c>
      <c r="AO1342" t="s">
        <v>53</v>
      </c>
      <c r="AP1342" t="s">
        <v>53</v>
      </c>
    </row>
    <row r="1343" spans="2:42" x14ac:dyDescent="0.2">
      <c r="B1343" t="s">
        <v>44</v>
      </c>
      <c r="C1343" t="str">
        <f>HYPERLINK("https://us2.cloudbeds.com/connect/8493803454333002#/reservations/598428696738?display=E1C7UKVE&amp;reservation_id=598428696738", "E1C7UKVE")</f>
        <v>E1C7UKVE</v>
      </c>
      <c r="D1343" t="s">
        <v>45</v>
      </c>
      <c r="E1343" t="s">
        <v>53</v>
      </c>
      <c r="F1343" t="s">
        <v>86</v>
      </c>
      <c r="G1343" t="s">
        <v>48</v>
      </c>
      <c r="H1343" t="s">
        <v>49</v>
      </c>
      <c r="I1343" t="s">
        <v>62</v>
      </c>
      <c r="J1343" t="s">
        <v>426</v>
      </c>
      <c r="K1343" t="s">
        <v>130</v>
      </c>
      <c r="L1343" t="s">
        <v>53</v>
      </c>
      <c r="N1343" t="s">
        <v>2359</v>
      </c>
      <c r="P1343" t="s">
        <v>58</v>
      </c>
      <c r="R1343" t="s">
        <v>56</v>
      </c>
      <c r="T1343" t="s">
        <v>2342</v>
      </c>
      <c r="U1343" t="s">
        <v>58</v>
      </c>
      <c r="V1343">
        <v>2</v>
      </c>
      <c r="W1343">
        <v>2</v>
      </c>
      <c r="X1343">
        <v>2</v>
      </c>
      <c r="Y1343">
        <v>0</v>
      </c>
      <c r="Z1343">
        <v>2</v>
      </c>
      <c r="AA1343">
        <v>0</v>
      </c>
      <c r="AB1343">
        <v>361.41</v>
      </c>
      <c r="AC1343">
        <v>318</v>
      </c>
      <c r="AD1343">
        <v>0</v>
      </c>
      <c r="AE1343">
        <v>43.42</v>
      </c>
      <c r="AF1343">
        <v>0</v>
      </c>
      <c r="AG1343">
        <v>0</v>
      </c>
      <c r="AH1343">
        <v>0</v>
      </c>
      <c r="AI1343">
        <v>54.21</v>
      </c>
      <c r="AJ1343">
        <v>361.42</v>
      </c>
      <c r="AK1343">
        <v>0.01</v>
      </c>
      <c r="AL1343" t="s">
        <v>53</v>
      </c>
      <c r="AM1343" t="s">
        <v>53</v>
      </c>
      <c r="AN1343" t="s">
        <v>349</v>
      </c>
      <c r="AO1343" t="s">
        <v>53</v>
      </c>
      <c r="AP1343" t="s">
        <v>53</v>
      </c>
    </row>
    <row r="1344" spans="2:42" x14ac:dyDescent="0.2">
      <c r="B1344" t="s">
        <v>44</v>
      </c>
      <c r="C1344" t="str">
        <f>HYPERLINK("https://us2.cloudbeds.com/connect/8493803454333002#/reservations/598106800365?display=E140GCWR&amp;reservation_id=598106800365", "E140GCWR")</f>
        <v>E140GCWR</v>
      </c>
      <c r="D1344" t="s">
        <v>45</v>
      </c>
      <c r="E1344" t="s">
        <v>138</v>
      </c>
      <c r="F1344" t="s">
        <v>70</v>
      </c>
      <c r="G1344" t="s">
        <v>48</v>
      </c>
      <c r="H1344" t="s">
        <v>49</v>
      </c>
      <c r="I1344" t="s">
        <v>62</v>
      </c>
      <c r="J1344" t="s">
        <v>538</v>
      </c>
      <c r="K1344" t="s">
        <v>295</v>
      </c>
      <c r="L1344" t="s">
        <v>53</v>
      </c>
      <c r="N1344" t="s">
        <v>2360</v>
      </c>
      <c r="P1344" t="s">
        <v>55</v>
      </c>
      <c r="R1344" t="s">
        <v>56</v>
      </c>
      <c r="T1344" t="s">
        <v>2342</v>
      </c>
      <c r="U1344" t="s">
        <v>58</v>
      </c>
      <c r="V1344">
        <v>2</v>
      </c>
      <c r="W1344">
        <v>1</v>
      </c>
      <c r="X1344">
        <v>1</v>
      </c>
      <c r="Y1344">
        <v>0</v>
      </c>
      <c r="Z1344">
        <v>1</v>
      </c>
      <c r="AA1344">
        <v>0</v>
      </c>
      <c r="AB1344">
        <v>272.76</v>
      </c>
      <c r="AC1344">
        <v>240</v>
      </c>
      <c r="AD1344">
        <v>0</v>
      </c>
      <c r="AE1344">
        <v>32.76</v>
      </c>
      <c r="AF1344">
        <v>0</v>
      </c>
      <c r="AG1344">
        <v>0</v>
      </c>
      <c r="AH1344">
        <v>0</v>
      </c>
      <c r="AI1344">
        <v>40.909999999999997</v>
      </c>
      <c r="AJ1344">
        <v>272.76</v>
      </c>
      <c r="AK1344">
        <v>0</v>
      </c>
      <c r="AL1344" t="s">
        <v>53</v>
      </c>
      <c r="AM1344" t="s">
        <v>53</v>
      </c>
      <c r="AN1344" t="s">
        <v>2361</v>
      </c>
      <c r="AO1344" t="s">
        <v>53</v>
      </c>
      <c r="AP1344" t="s">
        <v>53</v>
      </c>
    </row>
    <row r="1345" spans="2:42" x14ac:dyDescent="0.2">
      <c r="B1345" t="s">
        <v>44</v>
      </c>
      <c r="C1345" t="str">
        <f>HYPERLINK("https://us2.cloudbeds.com/connect/8493803454333002#/reservations/598420390109?display=E1C0UG6C&amp;reservation_id=598420390109", "E1C0UG6C")</f>
        <v>E1C0UG6C</v>
      </c>
      <c r="D1345" t="s">
        <v>45</v>
      </c>
      <c r="E1345" t="s">
        <v>617</v>
      </c>
      <c r="F1345" t="s">
        <v>86</v>
      </c>
      <c r="G1345" t="s">
        <v>48</v>
      </c>
      <c r="H1345" t="s">
        <v>49</v>
      </c>
      <c r="I1345" t="s">
        <v>62</v>
      </c>
      <c r="J1345" t="s">
        <v>426</v>
      </c>
      <c r="K1345" t="s">
        <v>130</v>
      </c>
      <c r="L1345" t="s">
        <v>53</v>
      </c>
      <c r="N1345" t="s">
        <v>2359</v>
      </c>
      <c r="P1345" t="s">
        <v>58</v>
      </c>
      <c r="R1345" t="s">
        <v>56</v>
      </c>
      <c r="T1345" t="s">
        <v>2342</v>
      </c>
      <c r="U1345" t="s">
        <v>58</v>
      </c>
      <c r="V1345">
        <v>2</v>
      </c>
      <c r="W1345">
        <v>2</v>
      </c>
      <c r="X1345">
        <v>2</v>
      </c>
      <c r="Y1345">
        <v>0</v>
      </c>
      <c r="Z1345">
        <v>2</v>
      </c>
      <c r="AA1345">
        <v>0</v>
      </c>
      <c r="AB1345">
        <v>361.41</v>
      </c>
      <c r="AC1345">
        <v>318</v>
      </c>
      <c r="AD1345">
        <v>0</v>
      </c>
      <c r="AE1345">
        <v>43.42</v>
      </c>
      <c r="AF1345">
        <v>0</v>
      </c>
      <c r="AG1345">
        <v>0</v>
      </c>
      <c r="AH1345">
        <v>0</v>
      </c>
      <c r="AI1345">
        <v>54.21</v>
      </c>
      <c r="AJ1345">
        <v>361.42</v>
      </c>
      <c r="AK1345">
        <v>0.01</v>
      </c>
      <c r="AL1345" t="s">
        <v>53</v>
      </c>
      <c r="AM1345" t="s">
        <v>53</v>
      </c>
      <c r="AN1345" t="s">
        <v>159</v>
      </c>
      <c r="AO1345" t="s">
        <v>53</v>
      </c>
      <c r="AP1345" t="s">
        <v>53</v>
      </c>
    </row>
    <row r="1346" spans="2:42" x14ac:dyDescent="0.2">
      <c r="B1346" t="s">
        <v>44</v>
      </c>
      <c r="C1346" t="str">
        <f>HYPERLINK("https://us2.cloudbeds.com/connect/8493803454333002#/reservations/579327934630?display=DJJ5YPGF&amp;reservation_id=579327934630", "DJJ5YPGF")</f>
        <v>DJJ5YPGF</v>
      </c>
      <c r="D1346" t="s">
        <v>45</v>
      </c>
      <c r="E1346" t="s">
        <v>381</v>
      </c>
      <c r="F1346" t="s">
        <v>47</v>
      </c>
      <c r="G1346" t="s">
        <v>48</v>
      </c>
      <c r="H1346" t="s">
        <v>71</v>
      </c>
      <c r="I1346" t="s">
        <v>72</v>
      </c>
      <c r="J1346" t="s">
        <v>1665</v>
      </c>
      <c r="K1346" t="s">
        <v>1478</v>
      </c>
      <c r="L1346" t="s">
        <v>53</v>
      </c>
      <c r="N1346" t="s">
        <v>2362</v>
      </c>
      <c r="P1346" t="s">
        <v>55</v>
      </c>
      <c r="R1346" t="s">
        <v>56</v>
      </c>
      <c r="T1346" t="s">
        <v>2342</v>
      </c>
      <c r="U1346" t="s">
        <v>58</v>
      </c>
      <c r="V1346">
        <v>1</v>
      </c>
      <c r="W1346">
        <v>1</v>
      </c>
      <c r="X1346">
        <v>1</v>
      </c>
      <c r="Y1346">
        <v>0</v>
      </c>
      <c r="Z1346">
        <v>1</v>
      </c>
      <c r="AA1346">
        <v>0</v>
      </c>
      <c r="AB1346">
        <v>145.47</v>
      </c>
      <c r="AC1346">
        <v>128</v>
      </c>
      <c r="AD1346">
        <v>0</v>
      </c>
      <c r="AE1346">
        <v>17.47</v>
      </c>
      <c r="AF1346">
        <v>0</v>
      </c>
      <c r="AG1346">
        <v>0</v>
      </c>
      <c r="AH1346">
        <v>0</v>
      </c>
      <c r="AI1346">
        <v>0</v>
      </c>
      <c r="AJ1346">
        <v>145.47</v>
      </c>
      <c r="AK1346">
        <v>0</v>
      </c>
      <c r="AL1346" t="s">
        <v>53</v>
      </c>
      <c r="AM1346" t="s">
        <v>53</v>
      </c>
      <c r="AN1346" t="s">
        <v>378</v>
      </c>
      <c r="AO1346" t="s">
        <v>53</v>
      </c>
      <c r="AP1346" t="s">
        <v>53</v>
      </c>
    </row>
    <row r="1347" spans="2:42" x14ac:dyDescent="0.2">
      <c r="B1347" t="s">
        <v>44</v>
      </c>
      <c r="C1347" t="str">
        <f>HYPERLINK("https://us2.cloudbeds.com/connect/8493803454333002#/reservations/579384869035?display=DJKKM1SF&amp;reservation_id=579384869035", "DJKKM1SF")</f>
        <v>DJKKM1SF</v>
      </c>
      <c r="D1347" t="s">
        <v>45</v>
      </c>
      <c r="E1347" t="s">
        <v>92</v>
      </c>
      <c r="F1347" t="s">
        <v>86</v>
      </c>
      <c r="G1347" t="s">
        <v>48</v>
      </c>
      <c r="H1347" t="s">
        <v>71</v>
      </c>
      <c r="I1347" t="s">
        <v>72</v>
      </c>
      <c r="J1347" t="s">
        <v>1716</v>
      </c>
      <c r="K1347" t="s">
        <v>1258</v>
      </c>
      <c r="L1347" t="s">
        <v>53</v>
      </c>
      <c r="N1347" t="s">
        <v>2363</v>
      </c>
      <c r="P1347" t="s">
        <v>55</v>
      </c>
      <c r="R1347" t="s">
        <v>56</v>
      </c>
      <c r="T1347" t="s">
        <v>2342</v>
      </c>
      <c r="U1347" t="s">
        <v>58</v>
      </c>
      <c r="V1347">
        <v>1</v>
      </c>
      <c r="W1347">
        <v>1</v>
      </c>
      <c r="X1347">
        <v>1</v>
      </c>
      <c r="Y1347">
        <v>0</v>
      </c>
      <c r="Z1347">
        <v>1</v>
      </c>
      <c r="AA1347">
        <v>0</v>
      </c>
      <c r="AB1347">
        <v>138.66</v>
      </c>
      <c r="AC1347">
        <v>122</v>
      </c>
      <c r="AD1347">
        <v>0</v>
      </c>
      <c r="AE1347">
        <v>16.66</v>
      </c>
      <c r="AF1347">
        <v>0</v>
      </c>
      <c r="AG1347">
        <v>0</v>
      </c>
      <c r="AH1347">
        <v>0</v>
      </c>
      <c r="AI1347">
        <v>0</v>
      </c>
      <c r="AJ1347">
        <v>138.66</v>
      </c>
      <c r="AK1347">
        <v>0</v>
      </c>
      <c r="AL1347" t="s">
        <v>53</v>
      </c>
      <c r="AM1347" t="s">
        <v>53</v>
      </c>
      <c r="AN1347" t="s">
        <v>2364</v>
      </c>
      <c r="AO1347" t="s">
        <v>53</v>
      </c>
      <c r="AP1347" t="s">
        <v>53</v>
      </c>
    </row>
    <row r="1348" spans="2:42" x14ac:dyDescent="0.2">
      <c r="B1348" t="s">
        <v>44</v>
      </c>
      <c r="C1348" t="str">
        <f>HYPERLINK("https://us2.cloudbeds.com/connect/8493803454333002#/reservations/598446682358?display=E1CN33M7&amp;reservation_id=598446682358", "E1CN33M7")</f>
        <v>E1CN33M7</v>
      </c>
      <c r="D1348" t="s">
        <v>45</v>
      </c>
      <c r="E1348" t="s">
        <v>487</v>
      </c>
      <c r="F1348" t="s">
        <v>61</v>
      </c>
      <c r="G1348" t="s">
        <v>48</v>
      </c>
      <c r="H1348" t="s">
        <v>49</v>
      </c>
      <c r="I1348" t="s">
        <v>50</v>
      </c>
      <c r="J1348" t="s">
        <v>618</v>
      </c>
      <c r="K1348" t="s">
        <v>600</v>
      </c>
      <c r="L1348" t="s">
        <v>53</v>
      </c>
      <c r="N1348" t="s">
        <v>2365</v>
      </c>
      <c r="P1348" t="s">
        <v>55</v>
      </c>
      <c r="R1348" t="s">
        <v>56</v>
      </c>
      <c r="T1348" t="s">
        <v>2366</v>
      </c>
      <c r="U1348" t="s">
        <v>58</v>
      </c>
      <c r="V1348">
        <v>1</v>
      </c>
      <c r="W1348">
        <v>1</v>
      </c>
      <c r="X1348">
        <v>1</v>
      </c>
      <c r="Y1348">
        <v>0</v>
      </c>
      <c r="Z1348">
        <v>1</v>
      </c>
      <c r="AA1348">
        <v>0</v>
      </c>
      <c r="AB1348">
        <v>112.51</v>
      </c>
      <c r="AC1348">
        <v>99</v>
      </c>
      <c r="AD1348">
        <v>0</v>
      </c>
      <c r="AE1348">
        <v>13.52</v>
      </c>
      <c r="AF1348">
        <v>0</v>
      </c>
      <c r="AG1348">
        <v>0</v>
      </c>
      <c r="AH1348">
        <v>0</v>
      </c>
      <c r="AI1348">
        <v>20.25</v>
      </c>
      <c r="AJ1348">
        <v>112.52</v>
      </c>
      <c r="AK1348">
        <v>0.01</v>
      </c>
      <c r="AL1348" t="s">
        <v>53</v>
      </c>
      <c r="AM1348" t="s">
        <v>53</v>
      </c>
      <c r="AN1348" t="s">
        <v>252</v>
      </c>
      <c r="AO1348" t="s">
        <v>53</v>
      </c>
      <c r="AP1348" t="s">
        <v>53</v>
      </c>
    </row>
    <row r="1349" spans="2:42" x14ac:dyDescent="0.2">
      <c r="B1349" t="s">
        <v>44</v>
      </c>
      <c r="C1349" t="str">
        <f>HYPERLINK("https://us2.cloudbeds.com/connect/8493803454333002#/reservations/598181359852?display=E15UC409&amp;reservation_id=598181359852", "E15UC409")</f>
        <v>E15UC409</v>
      </c>
      <c r="D1349" t="s">
        <v>45</v>
      </c>
      <c r="E1349" t="s">
        <v>113</v>
      </c>
      <c r="F1349" t="s">
        <v>61</v>
      </c>
      <c r="G1349" t="s">
        <v>48</v>
      </c>
      <c r="H1349" t="s">
        <v>71</v>
      </c>
      <c r="I1349" t="s">
        <v>72</v>
      </c>
      <c r="J1349" t="s">
        <v>1244</v>
      </c>
      <c r="K1349" t="s">
        <v>618</v>
      </c>
      <c r="L1349" t="s">
        <v>53</v>
      </c>
      <c r="N1349" t="s">
        <v>2367</v>
      </c>
      <c r="P1349" t="s">
        <v>55</v>
      </c>
      <c r="R1349" t="s">
        <v>56</v>
      </c>
      <c r="T1349" t="s">
        <v>2366</v>
      </c>
      <c r="U1349" t="s">
        <v>58</v>
      </c>
      <c r="V1349">
        <v>1</v>
      </c>
      <c r="W1349">
        <v>1</v>
      </c>
      <c r="X1349">
        <v>1</v>
      </c>
      <c r="Y1349">
        <v>0</v>
      </c>
      <c r="Z1349">
        <v>1</v>
      </c>
      <c r="AA1349">
        <v>0</v>
      </c>
      <c r="AB1349">
        <v>119.33</v>
      </c>
      <c r="AC1349">
        <v>105</v>
      </c>
      <c r="AD1349">
        <v>0</v>
      </c>
      <c r="AE1349">
        <v>14.34</v>
      </c>
      <c r="AF1349">
        <v>0</v>
      </c>
      <c r="AG1349">
        <v>0</v>
      </c>
      <c r="AH1349">
        <v>0</v>
      </c>
      <c r="AI1349">
        <v>0</v>
      </c>
      <c r="AJ1349">
        <v>119.34</v>
      </c>
      <c r="AK1349">
        <v>0.01</v>
      </c>
      <c r="AL1349" t="s">
        <v>53</v>
      </c>
      <c r="AM1349" t="s">
        <v>53</v>
      </c>
      <c r="AN1349" t="s">
        <v>378</v>
      </c>
      <c r="AO1349" t="s">
        <v>53</v>
      </c>
      <c r="AP1349" t="s">
        <v>53</v>
      </c>
    </row>
    <row r="1350" spans="2:42" x14ac:dyDescent="0.2">
      <c r="B1350" t="s">
        <v>44</v>
      </c>
      <c r="C1350" t="str">
        <f>HYPERLINK("https://us2.cloudbeds.com/connect/8493803454333002#/reservations/598336823464?display=E19TF44R&amp;reservation_id=598336823464", "E19TF44R")</f>
        <v>E19TF44R</v>
      </c>
      <c r="D1350" t="s">
        <v>45</v>
      </c>
      <c r="E1350" t="s">
        <v>155</v>
      </c>
      <c r="F1350" t="s">
        <v>86</v>
      </c>
      <c r="G1350" t="s">
        <v>48</v>
      </c>
      <c r="H1350" t="s">
        <v>49</v>
      </c>
      <c r="I1350" t="s">
        <v>79</v>
      </c>
      <c r="J1350" t="s">
        <v>1244</v>
      </c>
      <c r="K1350" t="s">
        <v>618</v>
      </c>
      <c r="L1350" t="s">
        <v>53</v>
      </c>
      <c r="N1350" t="s">
        <v>2368</v>
      </c>
      <c r="P1350" t="s">
        <v>55</v>
      </c>
      <c r="R1350" t="s">
        <v>56</v>
      </c>
      <c r="T1350" t="s">
        <v>2366</v>
      </c>
      <c r="U1350" t="s">
        <v>58</v>
      </c>
      <c r="V1350">
        <v>1</v>
      </c>
      <c r="W1350">
        <v>1</v>
      </c>
      <c r="X1350">
        <v>1</v>
      </c>
      <c r="Y1350">
        <v>0</v>
      </c>
      <c r="Z1350">
        <v>1</v>
      </c>
      <c r="AA1350">
        <v>0</v>
      </c>
      <c r="AB1350">
        <v>119.67</v>
      </c>
      <c r="AC1350">
        <v>105.3</v>
      </c>
      <c r="AD1350">
        <v>0</v>
      </c>
      <c r="AE1350">
        <v>14.38</v>
      </c>
      <c r="AF1350">
        <v>0</v>
      </c>
      <c r="AG1350">
        <v>0</v>
      </c>
      <c r="AH1350">
        <v>0</v>
      </c>
      <c r="AI1350">
        <v>0</v>
      </c>
      <c r="AJ1350">
        <v>119.68</v>
      </c>
      <c r="AK1350">
        <v>0.01</v>
      </c>
      <c r="AL1350" t="s">
        <v>53</v>
      </c>
      <c r="AM1350" t="s">
        <v>53</v>
      </c>
      <c r="AN1350" t="s">
        <v>178</v>
      </c>
      <c r="AO1350" t="s">
        <v>53</v>
      </c>
      <c r="AP1350" t="s">
        <v>53</v>
      </c>
    </row>
    <row r="1351" spans="2:42" x14ac:dyDescent="0.2">
      <c r="B1351" t="s">
        <v>44</v>
      </c>
      <c r="C1351" t="str">
        <f>HYPERLINK("https://us2.cloudbeds.com/connect/8493803454333002#/reservations/598390497469?display=E1B8NMXQ&amp;reservation_id=598390497469", "E1B8NMXQ")</f>
        <v>E1B8NMXQ</v>
      </c>
      <c r="D1351" t="s">
        <v>45</v>
      </c>
      <c r="E1351" t="s">
        <v>138</v>
      </c>
      <c r="F1351" t="s">
        <v>70</v>
      </c>
      <c r="G1351" t="s">
        <v>48</v>
      </c>
      <c r="H1351" t="s">
        <v>71</v>
      </c>
      <c r="I1351" t="s">
        <v>72</v>
      </c>
      <c r="J1351" t="s">
        <v>1244</v>
      </c>
      <c r="K1351" t="s">
        <v>618</v>
      </c>
      <c r="L1351" t="s">
        <v>53</v>
      </c>
      <c r="N1351" t="s">
        <v>2369</v>
      </c>
      <c r="P1351" t="s">
        <v>55</v>
      </c>
      <c r="R1351" t="s">
        <v>56</v>
      </c>
      <c r="T1351" t="s">
        <v>2366</v>
      </c>
      <c r="U1351" t="s">
        <v>58</v>
      </c>
      <c r="V1351">
        <v>1</v>
      </c>
      <c r="W1351">
        <v>1</v>
      </c>
      <c r="X1351">
        <v>1</v>
      </c>
      <c r="Y1351">
        <v>0</v>
      </c>
      <c r="Z1351">
        <v>1</v>
      </c>
      <c r="AA1351">
        <v>0</v>
      </c>
      <c r="AB1351">
        <v>100.01</v>
      </c>
      <c r="AC1351">
        <v>88</v>
      </c>
      <c r="AD1351">
        <v>0</v>
      </c>
      <c r="AE1351">
        <v>12.01</v>
      </c>
      <c r="AF1351">
        <v>0</v>
      </c>
      <c r="AG1351">
        <v>0</v>
      </c>
      <c r="AH1351">
        <v>0</v>
      </c>
      <c r="AI1351">
        <v>0</v>
      </c>
      <c r="AJ1351">
        <v>100.01</v>
      </c>
      <c r="AK1351">
        <v>0</v>
      </c>
      <c r="AL1351" t="s">
        <v>53</v>
      </c>
      <c r="AM1351" t="s">
        <v>53</v>
      </c>
      <c r="AN1351" t="s">
        <v>2370</v>
      </c>
      <c r="AO1351" t="s">
        <v>53</v>
      </c>
      <c r="AP1351" t="s">
        <v>53</v>
      </c>
    </row>
    <row r="1352" spans="2:42" x14ac:dyDescent="0.2">
      <c r="B1352" t="s">
        <v>44</v>
      </c>
      <c r="C1352" t="str">
        <f>HYPERLINK("https://us2.cloudbeds.com/connect/8493803454333002#/reservations/598564225251?display=E1FN6U72&amp;reservation_id=598564225251", "E1FN6U72")</f>
        <v>E1FN6U72</v>
      </c>
      <c r="D1352" t="s">
        <v>45</v>
      </c>
      <c r="E1352" t="s">
        <v>406</v>
      </c>
      <c r="F1352" t="s">
        <v>61</v>
      </c>
      <c r="G1352" t="s">
        <v>48</v>
      </c>
      <c r="H1352" t="s">
        <v>49</v>
      </c>
      <c r="I1352" t="s">
        <v>50</v>
      </c>
      <c r="J1352" t="s">
        <v>237</v>
      </c>
      <c r="K1352" t="s">
        <v>525</v>
      </c>
      <c r="L1352" t="s">
        <v>53</v>
      </c>
      <c r="N1352" t="s">
        <v>2371</v>
      </c>
      <c r="P1352" t="s">
        <v>55</v>
      </c>
      <c r="R1352" t="s">
        <v>56</v>
      </c>
      <c r="T1352" t="s">
        <v>2366</v>
      </c>
      <c r="U1352" t="s">
        <v>58</v>
      </c>
      <c r="V1352">
        <v>1</v>
      </c>
      <c r="W1352">
        <v>1</v>
      </c>
      <c r="X1352">
        <v>1</v>
      </c>
      <c r="Y1352">
        <v>0</v>
      </c>
      <c r="Z1352">
        <v>1</v>
      </c>
      <c r="AA1352">
        <v>0</v>
      </c>
      <c r="AB1352">
        <v>180.7</v>
      </c>
      <c r="AC1352">
        <v>159</v>
      </c>
      <c r="AD1352">
        <v>0</v>
      </c>
      <c r="AE1352">
        <v>21.71</v>
      </c>
      <c r="AF1352">
        <v>0</v>
      </c>
      <c r="AG1352">
        <v>0</v>
      </c>
      <c r="AH1352">
        <v>0</v>
      </c>
      <c r="AI1352">
        <v>32.53</v>
      </c>
      <c r="AJ1352">
        <v>180.71</v>
      </c>
      <c r="AK1352">
        <v>0.01</v>
      </c>
      <c r="AL1352" t="s">
        <v>53</v>
      </c>
      <c r="AM1352" t="s">
        <v>53</v>
      </c>
      <c r="AN1352" t="s">
        <v>91</v>
      </c>
      <c r="AO1352" t="s">
        <v>53</v>
      </c>
      <c r="AP1352" t="s">
        <v>53</v>
      </c>
    </row>
    <row r="1353" spans="2:42" x14ac:dyDescent="0.2">
      <c r="B1353" t="s">
        <v>44</v>
      </c>
      <c r="C1353" t="str">
        <f>HYPERLINK("https://us2.cloudbeds.com/connect/8493803454333002#/reservations/598498545860?display=E1E0R9XG&amp;reservation_id=598498545860", "E1E0R9XG")</f>
        <v>E1E0R9XG</v>
      </c>
      <c r="D1353" t="s">
        <v>45</v>
      </c>
      <c r="E1353" t="s">
        <v>165</v>
      </c>
      <c r="F1353" t="s">
        <v>61</v>
      </c>
      <c r="G1353" t="s">
        <v>48</v>
      </c>
      <c r="H1353" t="s">
        <v>71</v>
      </c>
      <c r="I1353" t="s">
        <v>72</v>
      </c>
      <c r="J1353" t="s">
        <v>1244</v>
      </c>
      <c r="K1353" t="s">
        <v>618</v>
      </c>
      <c r="L1353" t="s">
        <v>53</v>
      </c>
      <c r="N1353" t="s">
        <v>2372</v>
      </c>
      <c r="P1353" t="s">
        <v>55</v>
      </c>
      <c r="R1353" t="s">
        <v>56</v>
      </c>
      <c r="T1353" t="s">
        <v>2366</v>
      </c>
      <c r="U1353" t="s">
        <v>58</v>
      </c>
      <c r="V1353">
        <v>1</v>
      </c>
      <c r="W1353">
        <v>1</v>
      </c>
      <c r="X1353">
        <v>1</v>
      </c>
      <c r="Y1353">
        <v>0</v>
      </c>
      <c r="Z1353">
        <v>1</v>
      </c>
      <c r="AA1353">
        <v>0</v>
      </c>
      <c r="AB1353">
        <v>119.33</v>
      </c>
      <c r="AC1353">
        <v>105</v>
      </c>
      <c r="AD1353">
        <v>0</v>
      </c>
      <c r="AE1353">
        <v>14.34</v>
      </c>
      <c r="AF1353">
        <v>0</v>
      </c>
      <c r="AG1353">
        <v>0</v>
      </c>
      <c r="AH1353">
        <v>0</v>
      </c>
      <c r="AI1353">
        <v>0</v>
      </c>
      <c r="AJ1353">
        <v>119.34</v>
      </c>
      <c r="AK1353">
        <v>0.01</v>
      </c>
      <c r="AL1353" t="s">
        <v>53</v>
      </c>
      <c r="AM1353" t="s">
        <v>53</v>
      </c>
      <c r="AN1353" t="s">
        <v>378</v>
      </c>
      <c r="AO1353" t="s">
        <v>53</v>
      </c>
      <c r="AP1353" t="s">
        <v>53</v>
      </c>
    </row>
    <row r="1354" spans="2:42" x14ac:dyDescent="0.2">
      <c r="B1354" t="s">
        <v>44</v>
      </c>
      <c r="C1354" t="str">
        <f>HYPERLINK("https://us2.cloudbeds.com/connect/8493803454333002#/reservations/598561751262?display=E1FY42DN&amp;reservation_id=598561751262", "E1FY42DN")</f>
        <v>E1FY42DN</v>
      </c>
      <c r="D1354" t="s">
        <v>45</v>
      </c>
      <c r="E1354" t="s">
        <v>381</v>
      </c>
      <c r="F1354" t="s">
        <v>47</v>
      </c>
      <c r="G1354" t="s">
        <v>48</v>
      </c>
      <c r="H1354" t="s">
        <v>71</v>
      </c>
      <c r="I1354" t="s">
        <v>72</v>
      </c>
      <c r="J1354" t="s">
        <v>699</v>
      </c>
      <c r="K1354" t="s">
        <v>144</v>
      </c>
      <c r="L1354" t="s">
        <v>53</v>
      </c>
      <c r="N1354" t="s">
        <v>2373</v>
      </c>
      <c r="P1354" t="s">
        <v>55</v>
      </c>
      <c r="R1354" t="s">
        <v>56</v>
      </c>
      <c r="T1354" t="s">
        <v>2366</v>
      </c>
      <c r="U1354" t="s">
        <v>58</v>
      </c>
      <c r="V1354">
        <v>2</v>
      </c>
      <c r="W1354">
        <v>1</v>
      </c>
      <c r="X1354">
        <v>1</v>
      </c>
      <c r="Y1354">
        <v>0</v>
      </c>
      <c r="Z1354">
        <v>1</v>
      </c>
      <c r="AA1354">
        <v>0</v>
      </c>
      <c r="AB1354">
        <v>334.13</v>
      </c>
      <c r="AC1354">
        <v>294</v>
      </c>
      <c r="AD1354">
        <v>0</v>
      </c>
      <c r="AE1354">
        <v>40.14</v>
      </c>
      <c r="AF1354">
        <v>0</v>
      </c>
      <c r="AG1354">
        <v>0</v>
      </c>
      <c r="AH1354">
        <v>0</v>
      </c>
      <c r="AI1354">
        <v>0</v>
      </c>
      <c r="AJ1354">
        <v>334.14</v>
      </c>
      <c r="AK1354">
        <v>0.01</v>
      </c>
      <c r="AL1354" t="s">
        <v>53</v>
      </c>
      <c r="AM1354" t="s">
        <v>53</v>
      </c>
      <c r="AN1354" t="s">
        <v>378</v>
      </c>
      <c r="AO1354" t="s">
        <v>53</v>
      </c>
      <c r="AP1354" t="s">
        <v>53</v>
      </c>
    </row>
    <row r="1355" spans="2:42" x14ac:dyDescent="0.2">
      <c r="B1355" t="s">
        <v>44</v>
      </c>
      <c r="C1355" t="str">
        <f>HYPERLINK("https://us2.cloudbeds.com/connect/8493803454333002#/reservations/598585868450?display=E1G8F5JJ&amp;reservation_id=598585868450", "E1G8F5JJ")</f>
        <v>E1G8F5JJ</v>
      </c>
      <c r="D1355" t="s">
        <v>45</v>
      </c>
      <c r="E1355" t="s">
        <v>265</v>
      </c>
      <c r="F1355" t="s">
        <v>61</v>
      </c>
      <c r="G1355" t="s">
        <v>48</v>
      </c>
      <c r="H1355" t="s">
        <v>49</v>
      </c>
      <c r="I1355" t="s">
        <v>114</v>
      </c>
      <c r="J1355" t="s">
        <v>525</v>
      </c>
      <c r="K1355" t="s">
        <v>489</v>
      </c>
      <c r="L1355" t="s">
        <v>53</v>
      </c>
      <c r="N1355" t="s">
        <v>2374</v>
      </c>
      <c r="P1355" t="s">
        <v>55</v>
      </c>
      <c r="R1355" t="s">
        <v>56</v>
      </c>
      <c r="T1355" t="s">
        <v>2366</v>
      </c>
      <c r="U1355" t="s">
        <v>58</v>
      </c>
      <c r="V1355">
        <v>4</v>
      </c>
      <c r="W1355">
        <v>1</v>
      </c>
      <c r="X1355">
        <v>1</v>
      </c>
      <c r="Y1355">
        <v>0</v>
      </c>
      <c r="Z1355">
        <v>1</v>
      </c>
      <c r="AA1355">
        <v>0</v>
      </c>
      <c r="AB1355">
        <v>689.86</v>
      </c>
      <c r="AC1355">
        <v>607</v>
      </c>
      <c r="AD1355">
        <v>0</v>
      </c>
      <c r="AE1355">
        <v>82.88</v>
      </c>
      <c r="AF1355">
        <v>0</v>
      </c>
      <c r="AG1355">
        <v>0</v>
      </c>
      <c r="AH1355">
        <v>0</v>
      </c>
      <c r="AI1355">
        <v>0</v>
      </c>
      <c r="AJ1355">
        <v>689.88</v>
      </c>
      <c r="AK1355">
        <v>0.02</v>
      </c>
      <c r="AL1355" t="s">
        <v>53</v>
      </c>
      <c r="AM1355" t="s">
        <v>53</v>
      </c>
      <c r="AN1355" t="s">
        <v>2375</v>
      </c>
      <c r="AO1355" t="s">
        <v>53</v>
      </c>
      <c r="AP1355" t="s">
        <v>53</v>
      </c>
    </row>
    <row r="1356" spans="2:42" x14ac:dyDescent="0.2">
      <c r="B1356" t="s">
        <v>44</v>
      </c>
      <c r="C1356" t="str">
        <f>HYPERLINK("https://us2.cloudbeds.com/connect/8493803454333002#/reservations/598568403197?display=E1FQZ5NG&amp;reservation_id=598568403197", "E1FQZ5NG")</f>
        <v>E1FQZ5NG</v>
      </c>
      <c r="D1356" t="s">
        <v>45</v>
      </c>
      <c r="E1356" t="s">
        <v>487</v>
      </c>
      <c r="F1356" t="s">
        <v>61</v>
      </c>
      <c r="G1356" t="s">
        <v>48</v>
      </c>
      <c r="H1356" t="s">
        <v>49</v>
      </c>
      <c r="I1356" t="s">
        <v>50</v>
      </c>
      <c r="J1356" t="s">
        <v>237</v>
      </c>
      <c r="K1356" t="s">
        <v>525</v>
      </c>
      <c r="L1356" t="s">
        <v>53</v>
      </c>
      <c r="N1356" t="s">
        <v>2376</v>
      </c>
      <c r="P1356" t="s">
        <v>55</v>
      </c>
      <c r="R1356" t="s">
        <v>56</v>
      </c>
      <c r="T1356" t="s">
        <v>2366</v>
      </c>
      <c r="U1356" t="s">
        <v>58</v>
      </c>
      <c r="V1356">
        <v>1</v>
      </c>
      <c r="W1356">
        <v>1</v>
      </c>
      <c r="X1356">
        <v>1</v>
      </c>
      <c r="Y1356">
        <v>0</v>
      </c>
      <c r="Z1356">
        <v>1</v>
      </c>
      <c r="AA1356">
        <v>0</v>
      </c>
      <c r="AB1356">
        <v>180.7</v>
      </c>
      <c r="AC1356">
        <v>159</v>
      </c>
      <c r="AD1356">
        <v>0</v>
      </c>
      <c r="AE1356">
        <v>21.71</v>
      </c>
      <c r="AF1356">
        <v>0</v>
      </c>
      <c r="AG1356">
        <v>0</v>
      </c>
      <c r="AH1356">
        <v>0</v>
      </c>
      <c r="AI1356">
        <v>32.53</v>
      </c>
      <c r="AJ1356">
        <v>180.71</v>
      </c>
      <c r="AK1356">
        <v>0.01</v>
      </c>
      <c r="AL1356" t="s">
        <v>53</v>
      </c>
      <c r="AM1356" t="s">
        <v>53</v>
      </c>
      <c r="AN1356" t="s">
        <v>159</v>
      </c>
      <c r="AO1356" t="s">
        <v>53</v>
      </c>
      <c r="AP1356" t="s">
        <v>53</v>
      </c>
    </row>
    <row r="1357" spans="2:42" x14ac:dyDescent="0.2">
      <c r="B1357" t="s">
        <v>44</v>
      </c>
      <c r="C1357" t="str">
        <f>HYPERLINK("https://us2.cloudbeds.com/connect/8493803454333002#/reservations/598337380552?display=E19TUKN9&amp;reservation_id=598337380552", "E19TUKN9")</f>
        <v>E19TUKN9</v>
      </c>
      <c r="D1357" t="s">
        <v>45</v>
      </c>
      <c r="E1357" t="s">
        <v>92</v>
      </c>
      <c r="F1357" t="s">
        <v>86</v>
      </c>
      <c r="G1357" t="s">
        <v>48</v>
      </c>
      <c r="H1357" t="s">
        <v>49</v>
      </c>
      <c r="I1357" t="s">
        <v>79</v>
      </c>
      <c r="J1357" t="s">
        <v>525</v>
      </c>
      <c r="K1357" t="s">
        <v>768</v>
      </c>
      <c r="L1357" t="s">
        <v>53</v>
      </c>
      <c r="N1357" t="s">
        <v>2377</v>
      </c>
      <c r="P1357" t="s">
        <v>55</v>
      </c>
      <c r="R1357" t="s">
        <v>56</v>
      </c>
      <c r="T1357" t="s">
        <v>2366</v>
      </c>
      <c r="U1357" t="s">
        <v>58</v>
      </c>
      <c r="V1357">
        <v>2</v>
      </c>
      <c r="W1357">
        <v>1</v>
      </c>
      <c r="X1357">
        <v>1</v>
      </c>
      <c r="Y1357">
        <v>0</v>
      </c>
      <c r="Z1357">
        <v>1</v>
      </c>
      <c r="AA1357">
        <v>0</v>
      </c>
      <c r="AB1357">
        <v>324.24</v>
      </c>
      <c r="AC1357">
        <v>285.3</v>
      </c>
      <c r="AD1357">
        <v>0</v>
      </c>
      <c r="AE1357">
        <v>38.94</v>
      </c>
      <c r="AF1357">
        <v>0</v>
      </c>
      <c r="AG1357">
        <v>0</v>
      </c>
      <c r="AH1357">
        <v>0</v>
      </c>
      <c r="AI1357">
        <v>0</v>
      </c>
      <c r="AJ1357">
        <v>324.24</v>
      </c>
      <c r="AK1357">
        <v>0</v>
      </c>
      <c r="AL1357" t="s">
        <v>53</v>
      </c>
      <c r="AM1357" t="s">
        <v>53</v>
      </c>
      <c r="AN1357" t="s">
        <v>127</v>
      </c>
      <c r="AO1357" t="s">
        <v>53</v>
      </c>
      <c r="AP1357" t="s">
        <v>53</v>
      </c>
    </row>
    <row r="1358" spans="2:42" x14ac:dyDescent="0.2">
      <c r="B1358" t="s">
        <v>44</v>
      </c>
      <c r="C1358" t="str">
        <f>HYPERLINK("https://us2.cloudbeds.com/connect/8493803454333002#/reservations/579241902284?display=DJGW3Q8M&amp;reservation_id=579241902284", "DJGW3Q8M")</f>
        <v>DJGW3Q8M</v>
      </c>
      <c r="D1358" t="s">
        <v>45</v>
      </c>
      <c r="E1358" t="s">
        <v>305</v>
      </c>
      <c r="F1358" t="s">
        <v>61</v>
      </c>
      <c r="G1358" t="s">
        <v>48</v>
      </c>
      <c r="H1358" t="s">
        <v>49</v>
      </c>
      <c r="I1358" t="s">
        <v>50</v>
      </c>
      <c r="J1358" t="s">
        <v>2314</v>
      </c>
      <c r="K1358" t="s">
        <v>1555</v>
      </c>
      <c r="L1358" t="s">
        <v>53</v>
      </c>
      <c r="N1358" t="s">
        <v>2378</v>
      </c>
      <c r="P1358" t="s">
        <v>55</v>
      </c>
      <c r="R1358" t="s">
        <v>56</v>
      </c>
      <c r="T1358" t="s">
        <v>2366</v>
      </c>
      <c r="U1358" t="s">
        <v>58</v>
      </c>
      <c r="V1358">
        <v>1</v>
      </c>
      <c r="W1358">
        <v>1</v>
      </c>
      <c r="X1358">
        <v>1</v>
      </c>
      <c r="Y1358">
        <v>0</v>
      </c>
      <c r="Z1358">
        <v>1</v>
      </c>
      <c r="AA1358">
        <v>0</v>
      </c>
      <c r="AB1358">
        <v>148.31</v>
      </c>
      <c r="AC1358">
        <v>130.5</v>
      </c>
      <c r="AD1358">
        <v>0</v>
      </c>
      <c r="AE1358">
        <v>17.809999999999999</v>
      </c>
      <c r="AF1358">
        <v>0</v>
      </c>
      <c r="AG1358">
        <v>0</v>
      </c>
      <c r="AH1358">
        <v>0</v>
      </c>
      <c r="AI1358">
        <v>26.7</v>
      </c>
      <c r="AJ1358">
        <v>148.31</v>
      </c>
      <c r="AK1358">
        <v>0</v>
      </c>
      <c r="AL1358" t="s">
        <v>53</v>
      </c>
      <c r="AM1358" t="s">
        <v>53</v>
      </c>
      <c r="AN1358" t="s">
        <v>316</v>
      </c>
      <c r="AO1358" t="s">
        <v>53</v>
      </c>
      <c r="AP1358" t="s">
        <v>53</v>
      </c>
    </row>
    <row r="1359" spans="2:42" x14ac:dyDescent="0.2">
      <c r="B1359" t="s">
        <v>44</v>
      </c>
      <c r="C1359" t="str">
        <f>HYPERLINK("https://us2.cloudbeds.com/connect/8493803454333002#/reservations/598144524496?display=E14WA42C&amp;reservation_id=598144524496", "E14WA42C")</f>
        <v>E14WA42C</v>
      </c>
      <c r="D1359" t="s">
        <v>45</v>
      </c>
      <c r="E1359" t="s">
        <v>223</v>
      </c>
      <c r="F1359" t="s">
        <v>47</v>
      </c>
      <c r="G1359" t="s">
        <v>48</v>
      </c>
      <c r="H1359" t="s">
        <v>71</v>
      </c>
      <c r="I1359" t="s">
        <v>72</v>
      </c>
      <c r="J1359" t="s">
        <v>618</v>
      </c>
      <c r="K1359" t="s">
        <v>106</v>
      </c>
      <c r="L1359" t="s">
        <v>53</v>
      </c>
      <c r="N1359" t="s">
        <v>2379</v>
      </c>
      <c r="P1359" t="s">
        <v>55</v>
      </c>
      <c r="R1359" t="s">
        <v>56</v>
      </c>
      <c r="T1359" t="s">
        <v>2380</v>
      </c>
      <c r="U1359" t="s">
        <v>58</v>
      </c>
      <c r="V1359">
        <v>2</v>
      </c>
      <c r="W1359">
        <v>1</v>
      </c>
      <c r="X1359">
        <v>1</v>
      </c>
      <c r="Y1359">
        <v>0</v>
      </c>
      <c r="Z1359">
        <v>1</v>
      </c>
      <c r="AA1359">
        <v>0</v>
      </c>
      <c r="AB1359">
        <v>218.21</v>
      </c>
      <c r="AC1359">
        <v>192</v>
      </c>
      <c r="AD1359">
        <v>0</v>
      </c>
      <c r="AE1359">
        <v>26.2</v>
      </c>
      <c r="AF1359">
        <v>0</v>
      </c>
      <c r="AG1359">
        <v>0</v>
      </c>
      <c r="AH1359">
        <v>0</v>
      </c>
      <c r="AI1359">
        <v>0</v>
      </c>
      <c r="AJ1359">
        <v>218.2</v>
      </c>
      <c r="AK1359">
        <v>-0.01</v>
      </c>
      <c r="AL1359" t="s">
        <v>53</v>
      </c>
      <c r="AM1359" t="s">
        <v>53</v>
      </c>
      <c r="AN1359" t="s">
        <v>378</v>
      </c>
      <c r="AO1359" t="s">
        <v>53</v>
      </c>
      <c r="AP1359" t="s">
        <v>53</v>
      </c>
    </row>
    <row r="1360" spans="2:42" x14ac:dyDescent="0.2">
      <c r="B1360" t="s">
        <v>44</v>
      </c>
      <c r="C1360" t="str">
        <f>HYPERLINK("https://us2.cloudbeds.com/connect/8493803454333002#/reservations/598369415340?display=E1ANV1DE&amp;reservation_id=598369415340", "E1ANV1DE")</f>
        <v>E1ANV1DE</v>
      </c>
      <c r="D1360" t="s">
        <v>45</v>
      </c>
      <c r="E1360" t="s">
        <v>185</v>
      </c>
      <c r="F1360" t="s">
        <v>47</v>
      </c>
      <c r="G1360" t="s">
        <v>48</v>
      </c>
      <c r="H1360" t="s">
        <v>71</v>
      </c>
      <c r="I1360" t="s">
        <v>72</v>
      </c>
      <c r="J1360" t="s">
        <v>922</v>
      </c>
      <c r="K1360" t="s">
        <v>107</v>
      </c>
      <c r="L1360" t="s">
        <v>53</v>
      </c>
      <c r="N1360" t="s">
        <v>2381</v>
      </c>
      <c r="P1360" t="s">
        <v>55</v>
      </c>
      <c r="R1360" t="s">
        <v>56</v>
      </c>
      <c r="T1360" t="s">
        <v>2380</v>
      </c>
      <c r="U1360" t="s">
        <v>58</v>
      </c>
      <c r="V1360">
        <v>1</v>
      </c>
      <c r="W1360">
        <v>1</v>
      </c>
      <c r="X1360">
        <v>1</v>
      </c>
      <c r="Y1360">
        <v>0</v>
      </c>
      <c r="Z1360">
        <v>1</v>
      </c>
      <c r="AA1360">
        <v>0</v>
      </c>
      <c r="AB1360">
        <v>147.75</v>
      </c>
      <c r="AC1360">
        <v>130</v>
      </c>
      <c r="AD1360">
        <v>0</v>
      </c>
      <c r="AE1360">
        <v>17.75</v>
      </c>
      <c r="AF1360">
        <v>0</v>
      </c>
      <c r="AG1360">
        <v>0</v>
      </c>
      <c r="AH1360">
        <v>0</v>
      </c>
      <c r="AI1360">
        <v>0</v>
      </c>
      <c r="AJ1360">
        <v>147.75</v>
      </c>
      <c r="AK1360">
        <v>0</v>
      </c>
      <c r="AL1360" t="s">
        <v>53</v>
      </c>
      <c r="AM1360" t="s">
        <v>53</v>
      </c>
      <c r="AN1360" t="s">
        <v>378</v>
      </c>
      <c r="AO1360" t="s">
        <v>53</v>
      </c>
      <c r="AP1360" t="s">
        <v>53</v>
      </c>
    </row>
    <row r="1361" spans="2:42" x14ac:dyDescent="0.2">
      <c r="B1361" t="s">
        <v>44</v>
      </c>
      <c r="C1361" t="str">
        <f>HYPERLINK("https://us2.cloudbeds.com/connect/8493803454333002#/reservations/598553358471?display=E1FE1HHM&amp;reservation_id=598553358471", "E1FE1HHM")</f>
        <v>E1FE1HHM</v>
      </c>
      <c r="D1361" t="s">
        <v>45</v>
      </c>
      <c r="E1361" t="s">
        <v>155</v>
      </c>
      <c r="F1361" t="s">
        <v>86</v>
      </c>
      <c r="G1361" t="s">
        <v>48</v>
      </c>
      <c r="H1361" t="s">
        <v>49</v>
      </c>
      <c r="I1361" t="s">
        <v>79</v>
      </c>
      <c r="J1361" t="s">
        <v>938</v>
      </c>
      <c r="K1361" t="s">
        <v>359</v>
      </c>
      <c r="L1361" t="s">
        <v>53</v>
      </c>
      <c r="N1361" t="s">
        <v>2382</v>
      </c>
      <c r="P1361" t="s">
        <v>55</v>
      </c>
      <c r="R1361" t="s">
        <v>56</v>
      </c>
      <c r="T1361" t="s">
        <v>2380</v>
      </c>
      <c r="U1361" t="s">
        <v>58</v>
      </c>
      <c r="V1361">
        <v>1</v>
      </c>
      <c r="W1361">
        <v>1</v>
      </c>
      <c r="X1361">
        <v>1</v>
      </c>
      <c r="Y1361">
        <v>0</v>
      </c>
      <c r="Z1361">
        <v>1</v>
      </c>
      <c r="AA1361">
        <v>0</v>
      </c>
      <c r="AB1361">
        <v>129.9</v>
      </c>
      <c r="AC1361">
        <v>114.3</v>
      </c>
      <c r="AD1361">
        <v>0</v>
      </c>
      <c r="AE1361">
        <v>15.6</v>
      </c>
      <c r="AF1361">
        <v>0</v>
      </c>
      <c r="AG1361">
        <v>0</v>
      </c>
      <c r="AH1361">
        <v>0</v>
      </c>
      <c r="AI1361">
        <v>0</v>
      </c>
      <c r="AJ1361">
        <v>129.9</v>
      </c>
      <c r="AK1361">
        <v>0</v>
      </c>
      <c r="AL1361" t="s">
        <v>53</v>
      </c>
      <c r="AM1361" t="s">
        <v>53</v>
      </c>
      <c r="AN1361" t="s">
        <v>91</v>
      </c>
      <c r="AO1361" t="s">
        <v>53</v>
      </c>
      <c r="AP1361" t="s">
        <v>53</v>
      </c>
    </row>
    <row r="1362" spans="2:42" x14ac:dyDescent="0.2">
      <c r="B1362" t="s">
        <v>44</v>
      </c>
      <c r="C1362" t="str">
        <f>HYPERLINK("https://us2.cloudbeds.com/connect/8493803454333002#/reservations/579362685133?display=DJK1VZW0&amp;reservation_id=579362685133", "DJK1VZW0")</f>
        <v>DJK1VZW0</v>
      </c>
      <c r="D1362" t="s">
        <v>45</v>
      </c>
      <c r="E1362" t="s">
        <v>165</v>
      </c>
      <c r="F1362" t="s">
        <v>61</v>
      </c>
      <c r="G1362" t="s">
        <v>48</v>
      </c>
      <c r="H1362" t="s">
        <v>71</v>
      </c>
      <c r="I1362" t="s">
        <v>72</v>
      </c>
      <c r="J1362" t="s">
        <v>1381</v>
      </c>
      <c r="K1362" t="s">
        <v>1523</v>
      </c>
      <c r="L1362" t="s">
        <v>53</v>
      </c>
      <c r="N1362" t="s">
        <v>2383</v>
      </c>
      <c r="P1362" t="s">
        <v>58</v>
      </c>
      <c r="R1362" t="s">
        <v>56</v>
      </c>
      <c r="T1362" t="s">
        <v>2380</v>
      </c>
      <c r="U1362" t="s">
        <v>58</v>
      </c>
      <c r="V1362">
        <v>1</v>
      </c>
      <c r="W1362">
        <v>1</v>
      </c>
      <c r="X1362">
        <v>1</v>
      </c>
      <c r="Y1362">
        <v>0</v>
      </c>
      <c r="Z1362">
        <v>1</v>
      </c>
      <c r="AA1362">
        <v>0</v>
      </c>
      <c r="AB1362">
        <v>120.47</v>
      </c>
      <c r="AC1362">
        <v>106</v>
      </c>
      <c r="AD1362">
        <v>0</v>
      </c>
      <c r="AE1362">
        <v>14.47</v>
      </c>
      <c r="AF1362">
        <v>0</v>
      </c>
      <c r="AG1362">
        <v>0</v>
      </c>
      <c r="AH1362">
        <v>0</v>
      </c>
      <c r="AI1362">
        <v>0</v>
      </c>
      <c r="AJ1362">
        <v>120.47</v>
      </c>
      <c r="AK1362">
        <v>0</v>
      </c>
      <c r="AL1362" t="s">
        <v>53</v>
      </c>
      <c r="AM1362" t="s">
        <v>53</v>
      </c>
      <c r="AN1362" t="s">
        <v>378</v>
      </c>
      <c r="AO1362" t="s">
        <v>53</v>
      </c>
      <c r="AP1362" t="s">
        <v>53</v>
      </c>
    </row>
    <row r="1363" spans="2:42" x14ac:dyDescent="0.2">
      <c r="B1363" t="s">
        <v>44</v>
      </c>
      <c r="C1363" t="str">
        <f>HYPERLINK("https://us2.cloudbeds.com/connect/8493803454333002#/reservations/579342110882?display=DJJHK85R&amp;reservation_id=579342110882", "DJJHK85R")</f>
        <v>DJJHK85R</v>
      </c>
      <c r="D1363" t="s">
        <v>45</v>
      </c>
      <c r="E1363" t="s">
        <v>265</v>
      </c>
      <c r="F1363" t="s">
        <v>61</v>
      </c>
      <c r="G1363" t="s">
        <v>48</v>
      </c>
      <c r="H1363" t="s">
        <v>49</v>
      </c>
      <c r="I1363" t="s">
        <v>79</v>
      </c>
      <c r="J1363" t="s">
        <v>2384</v>
      </c>
      <c r="K1363" t="s">
        <v>2163</v>
      </c>
      <c r="L1363" t="s">
        <v>53</v>
      </c>
      <c r="N1363" t="s">
        <v>2385</v>
      </c>
      <c r="P1363" t="s">
        <v>55</v>
      </c>
      <c r="R1363" t="s">
        <v>56</v>
      </c>
      <c r="T1363" t="s">
        <v>2380</v>
      </c>
      <c r="U1363" t="s">
        <v>58</v>
      </c>
      <c r="V1363">
        <v>1</v>
      </c>
      <c r="W1363">
        <v>1</v>
      </c>
      <c r="X1363">
        <v>1</v>
      </c>
      <c r="Y1363">
        <v>0</v>
      </c>
      <c r="Z1363">
        <v>1</v>
      </c>
      <c r="AA1363">
        <v>0</v>
      </c>
      <c r="AB1363">
        <v>156.49</v>
      </c>
      <c r="AC1363">
        <v>137.69999999999999</v>
      </c>
      <c r="AD1363">
        <v>0</v>
      </c>
      <c r="AE1363">
        <v>18.79</v>
      </c>
      <c r="AF1363">
        <v>0</v>
      </c>
      <c r="AG1363">
        <v>0</v>
      </c>
      <c r="AH1363">
        <v>0</v>
      </c>
      <c r="AI1363">
        <v>0</v>
      </c>
      <c r="AJ1363">
        <v>156.49</v>
      </c>
      <c r="AK1363">
        <v>0</v>
      </c>
      <c r="AL1363" t="s">
        <v>53</v>
      </c>
      <c r="AM1363" t="s">
        <v>53</v>
      </c>
      <c r="AN1363" t="s">
        <v>84</v>
      </c>
      <c r="AO1363" t="s">
        <v>53</v>
      </c>
      <c r="AP1363" t="s">
        <v>53</v>
      </c>
    </row>
    <row r="1364" spans="2:42" x14ac:dyDescent="0.2">
      <c r="B1364" t="s">
        <v>44</v>
      </c>
      <c r="C1364" t="str">
        <f>HYPERLINK("https://us2.cloudbeds.com/connect/8493803454333002#/reservations/598103625923?display=E13UR1WM&amp;reservation_id=598103625923", "E13UR1WM")</f>
        <v>E13UR1WM</v>
      </c>
      <c r="D1364" t="s">
        <v>45</v>
      </c>
      <c r="E1364" t="s">
        <v>121</v>
      </c>
      <c r="F1364" t="s">
        <v>86</v>
      </c>
      <c r="G1364" t="s">
        <v>48</v>
      </c>
      <c r="H1364" t="s">
        <v>71</v>
      </c>
      <c r="I1364" t="s">
        <v>72</v>
      </c>
      <c r="J1364" t="s">
        <v>922</v>
      </c>
      <c r="K1364" t="s">
        <v>107</v>
      </c>
      <c r="L1364" t="s">
        <v>53</v>
      </c>
      <c r="N1364" t="s">
        <v>2386</v>
      </c>
      <c r="P1364" t="s">
        <v>55</v>
      </c>
      <c r="R1364" t="s">
        <v>56</v>
      </c>
      <c r="T1364" t="s">
        <v>2380</v>
      </c>
      <c r="U1364" t="s">
        <v>58</v>
      </c>
      <c r="V1364">
        <v>1</v>
      </c>
      <c r="W1364">
        <v>1</v>
      </c>
      <c r="X1364">
        <v>1</v>
      </c>
      <c r="Y1364">
        <v>0</v>
      </c>
      <c r="Z1364">
        <v>1</v>
      </c>
      <c r="AA1364">
        <v>0</v>
      </c>
      <c r="AB1364">
        <v>181.84</v>
      </c>
      <c r="AC1364">
        <v>160</v>
      </c>
      <c r="AD1364">
        <v>0</v>
      </c>
      <c r="AE1364">
        <v>21.84</v>
      </c>
      <c r="AF1364">
        <v>0</v>
      </c>
      <c r="AG1364">
        <v>0</v>
      </c>
      <c r="AH1364">
        <v>0</v>
      </c>
      <c r="AI1364">
        <v>0</v>
      </c>
      <c r="AJ1364">
        <v>181.84</v>
      </c>
      <c r="AK1364">
        <v>0</v>
      </c>
      <c r="AL1364" t="s">
        <v>53</v>
      </c>
      <c r="AM1364" t="s">
        <v>53</v>
      </c>
      <c r="AN1364" t="s">
        <v>2387</v>
      </c>
      <c r="AO1364" t="s">
        <v>53</v>
      </c>
      <c r="AP1364" t="s">
        <v>53</v>
      </c>
    </row>
    <row r="1365" spans="2:42" x14ac:dyDescent="0.2">
      <c r="B1365" t="s">
        <v>44</v>
      </c>
      <c r="C1365" t="str">
        <f>HYPERLINK("https://us2.cloudbeds.com/connect/8493803454333002#/reservations/598565265571?display=E1FZ2SGT&amp;reservation_id=598565265571", "E1FZ2SGT")</f>
        <v>E1FZ2SGT</v>
      </c>
      <c r="D1365" t="s">
        <v>45</v>
      </c>
      <c r="E1365" t="s">
        <v>78</v>
      </c>
      <c r="F1365" t="s">
        <v>61</v>
      </c>
      <c r="G1365" t="s">
        <v>48</v>
      </c>
      <c r="H1365" t="s">
        <v>49</v>
      </c>
      <c r="I1365" t="s">
        <v>79</v>
      </c>
      <c r="J1365" t="s">
        <v>236</v>
      </c>
      <c r="K1365" t="s">
        <v>237</v>
      </c>
      <c r="L1365" t="s">
        <v>53</v>
      </c>
      <c r="N1365" t="s">
        <v>2388</v>
      </c>
      <c r="P1365" t="s">
        <v>55</v>
      </c>
      <c r="R1365" t="s">
        <v>56</v>
      </c>
      <c r="T1365" t="s">
        <v>2380</v>
      </c>
      <c r="U1365" t="s">
        <v>58</v>
      </c>
      <c r="V1365">
        <v>1</v>
      </c>
      <c r="W1365">
        <v>1</v>
      </c>
      <c r="X1365">
        <v>1</v>
      </c>
      <c r="Y1365">
        <v>0</v>
      </c>
      <c r="Z1365">
        <v>1</v>
      </c>
      <c r="AA1365">
        <v>0</v>
      </c>
      <c r="AB1365">
        <v>162.63</v>
      </c>
      <c r="AC1365">
        <v>143.1</v>
      </c>
      <c r="AD1365">
        <v>0</v>
      </c>
      <c r="AE1365">
        <v>19.53</v>
      </c>
      <c r="AF1365">
        <v>0</v>
      </c>
      <c r="AG1365">
        <v>0</v>
      </c>
      <c r="AH1365">
        <v>0</v>
      </c>
      <c r="AI1365">
        <v>0</v>
      </c>
      <c r="AJ1365">
        <v>162.63</v>
      </c>
      <c r="AK1365">
        <v>0</v>
      </c>
      <c r="AL1365" t="s">
        <v>53</v>
      </c>
      <c r="AM1365" t="s">
        <v>53</v>
      </c>
      <c r="AN1365" t="s">
        <v>252</v>
      </c>
      <c r="AO1365" t="s">
        <v>53</v>
      </c>
      <c r="AP1365" t="s">
        <v>53</v>
      </c>
    </row>
    <row r="1366" spans="2:42" x14ac:dyDescent="0.2">
      <c r="B1366" t="s">
        <v>44</v>
      </c>
      <c r="C1366" t="str">
        <f>HYPERLINK("https://us2.cloudbeds.com/connect/8493803454333002#/reservations/598598684814?display=E1GJ8QH8&amp;reservation_id=598598684814", "E1GJ8QH8")</f>
        <v>E1GJ8QH8</v>
      </c>
      <c r="D1366" t="s">
        <v>45</v>
      </c>
      <c r="E1366" t="s">
        <v>113</v>
      </c>
      <c r="F1366" t="s">
        <v>61</v>
      </c>
      <c r="G1366" t="s">
        <v>48</v>
      </c>
      <c r="H1366" t="s">
        <v>49</v>
      </c>
      <c r="I1366" t="s">
        <v>50</v>
      </c>
      <c r="J1366" t="s">
        <v>388</v>
      </c>
      <c r="K1366" t="s">
        <v>647</v>
      </c>
      <c r="L1366" t="s">
        <v>53</v>
      </c>
      <c r="N1366" t="s">
        <v>2389</v>
      </c>
      <c r="P1366" t="s">
        <v>55</v>
      </c>
      <c r="R1366" t="s">
        <v>56</v>
      </c>
      <c r="T1366" t="s">
        <v>2380</v>
      </c>
      <c r="U1366" t="s">
        <v>58</v>
      </c>
      <c r="V1366">
        <v>1</v>
      </c>
      <c r="W1366">
        <v>1</v>
      </c>
      <c r="X1366">
        <v>1</v>
      </c>
      <c r="Y1366">
        <v>0</v>
      </c>
      <c r="Z1366">
        <v>1</v>
      </c>
      <c r="AA1366">
        <v>0</v>
      </c>
      <c r="AB1366">
        <v>157.52000000000001</v>
      </c>
      <c r="AC1366">
        <v>138.6</v>
      </c>
      <c r="AD1366">
        <v>0</v>
      </c>
      <c r="AE1366">
        <v>18.920000000000002</v>
      </c>
      <c r="AF1366">
        <v>0</v>
      </c>
      <c r="AG1366">
        <v>0</v>
      </c>
      <c r="AH1366">
        <v>0</v>
      </c>
      <c r="AI1366">
        <v>28.35</v>
      </c>
      <c r="AJ1366">
        <v>157.52000000000001</v>
      </c>
      <c r="AK1366">
        <v>0</v>
      </c>
      <c r="AL1366" t="s">
        <v>53</v>
      </c>
      <c r="AM1366" t="s">
        <v>53</v>
      </c>
      <c r="AN1366" t="s">
        <v>132</v>
      </c>
      <c r="AO1366" t="s">
        <v>53</v>
      </c>
      <c r="AP1366" t="s">
        <v>53</v>
      </c>
    </row>
    <row r="1367" spans="2:42" x14ac:dyDescent="0.2">
      <c r="B1367" t="s">
        <v>44</v>
      </c>
      <c r="C1367" t="str">
        <f>HYPERLINK("https://us2.cloudbeds.com/connect/8493803454333002#/reservations/598593597678?display=E1GEW84K&amp;reservation_id=598593597678", "E1GEW84K")</f>
        <v>E1GEW84K</v>
      </c>
      <c r="D1367" t="s">
        <v>45</v>
      </c>
      <c r="E1367" t="s">
        <v>113</v>
      </c>
      <c r="F1367" t="s">
        <v>61</v>
      </c>
      <c r="G1367" t="s">
        <v>48</v>
      </c>
      <c r="H1367" t="s">
        <v>49</v>
      </c>
      <c r="I1367" t="s">
        <v>50</v>
      </c>
      <c r="J1367" t="s">
        <v>1269</v>
      </c>
      <c r="K1367" t="s">
        <v>387</v>
      </c>
      <c r="L1367" t="s">
        <v>53</v>
      </c>
      <c r="N1367" t="s">
        <v>2390</v>
      </c>
      <c r="P1367" t="s">
        <v>55</v>
      </c>
      <c r="R1367" t="s">
        <v>56</v>
      </c>
      <c r="T1367" t="s">
        <v>2380</v>
      </c>
      <c r="U1367" t="s">
        <v>58</v>
      </c>
      <c r="V1367">
        <v>1</v>
      </c>
      <c r="W1367">
        <v>1</v>
      </c>
      <c r="X1367">
        <v>1</v>
      </c>
      <c r="Y1367">
        <v>0</v>
      </c>
      <c r="Z1367">
        <v>1</v>
      </c>
      <c r="AA1367">
        <v>0</v>
      </c>
      <c r="AB1367">
        <v>167.75</v>
      </c>
      <c r="AC1367">
        <v>147.6</v>
      </c>
      <c r="AD1367">
        <v>0</v>
      </c>
      <c r="AE1367">
        <v>20.149999999999999</v>
      </c>
      <c r="AF1367">
        <v>0</v>
      </c>
      <c r="AG1367">
        <v>0</v>
      </c>
      <c r="AH1367">
        <v>0</v>
      </c>
      <c r="AI1367">
        <v>30.2</v>
      </c>
      <c r="AJ1367">
        <v>167.75</v>
      </c>
      <c r="AK1367">
        <v>0</v>
      </c>
      <c r="AL1367" t="s">
        <v>53</v>
      </c>
      <c r="AM1367" t="s">
        <v>53</v>
      </c>
      <c r="AN1367" t="s">
        <v>332</v>
      </c>
      <c r="AO1367" t="s">
        <v>53</v>
      </c>
      <c r="AP1367" t="s">
        <v>53</v>
      </c>
    </row>
    <row r="1368" spans="2:42" x14ac:dyDescent="0.2">
      <c r="B1368" t="s">
        <v>44</v>
      </c>
      <c r="C1368" t="str">
        <f>HYPERLINK("https://us2.cloudbeds.com/connect/8493803454333002#/reservations/598438854803?display=E1CGG9RJ&amp;reservation_id=598438854803", "E1CGG9RJ")</f>
        <v>E1CGG9RJ</v>
      </c>
      <c r="D1368" t="s">
        <v>45</v>
      </c>
      <c r="E1368" t="s">
        <v>406</v>
      </c>
      <c r="F1368" t="s">
        <v>61</v>
      </c>
      <c r="G1368" t="s">
        <v>48</v>
      </c>
      <c r="H1368" t="s">
        <v>49</v>
      </c>
      <c r="I1368" t="s">
        <v>50</v>
      </c>
      <c r="J1368" t="s">
        <v>1269</v>
      </c>
      <c r="K1368" t="s">
        <v>387</v>
      </c>
      <c r="L1368" t="s">
        <v>53</v>
      </c>
      <c r="N1368" t="s">
        <v>2391</v>
      </c>
      <c r="P1368" t="s">
        <v>55</v>
      </c>
      <c r="R1368" t="s">
        <v>56</v>
      </c>
      <c r="T1368" t="s">
        <v>2380</v>
      </c>
      <c r="U1368" t="s">
        <v>58</v>
      </c>
      <c r="V1368">
        <v>1</v>
      </c>
      <c r="W1368">
        <v>1</v>
      </c>
      <c r="X1368">
        <v>1</v>
      </c>
      <c r="Y1368">
        <v>0</v>
      </c>
      <c r="Z1368">
        <v>1</v>
      </c>
      <c r="AA1368">
        <v>0</v>
      </c>
      <c r="AB1368">
        <v>167.75</v>
      </c>
      <c r="AC1368">
        <v>147.6</v>
      </c>
      <c r="AD1368">
        <v>0</v>
      </c>
      <c r="AE1368">
        <v>20.149999999999999</v>
      </c>
      <c r="AF1368">
        <v>0</v>
      </c>
      <c r="AG1368">
        <v>0</v>
      </c>
      <c r="AH1368">
        <v>0</v>
      </c>
      <c r="AI1368">
        <v>30.2</v>
      </c>
      <c r="AJ1368">
        <v>167.75</v>
      </c>
      <c r="AK1368">
        <v>0</v>
      </c>
      <c r="AL1368" t="s">
        <v>53</v>
      </c>
      <c r="AM1368" t="s">
        <v>53</v>
      </c>
      <c r="AN1368" t="s">
        <v>413</v>
      </c>
      <c r="AO1368" t="s">
        <v>53</v>
      </c>
      <c r="AP1368" t="s">
        <v>53</v>
      </c>
    </row>
    <row r="1369" spans="2:42" x14ac:dyDescent="0.2">
      <c r="B1369" t="s">
        <v>44</v>
      </c>
      <c r="C1369" t="str">
        <f>HYPERLINK("https://us2.cloudbeds.com/connect/8493803454333002#/reservations/579214725343?display=DJG96XD0&amp;reservation_id=579214725343", "DJG96XD0")</f>
        <v>DJG96XD0</v>
      </c>
      <c r="D1369" t="s">
        <v>45</v>
      </c>
      <c r="E1369" t="s">
        <v>223</v>
      </c>
      <c r="F1369" t="s">
        <v>47</v>
      </c>
      <c r="G1369" t="s">
        <v>48</v>
      </c>
      <c r="H1369" t="s">
        <v>71</v>
      </c>
      <c r="I1369" t="s">
        <v>72</v>
      </c>
      <c r="J1369" t="s">
        <v>2039</v>
      </c>
      <c r="K1369" t="s">
        <v>1141</v>
      </c>
      <c r="L1369" t="s">
        <v>53</v>
      </c>
      <c r="N1369" t="s">
        <v>2392</v>
      </c>
      <c r="P1369" t="s">
        <v>58</v>
      </c>
      <c r="R1369" t="s">
        <v>56</v>
      </c>
      <c r="T1369" t="s">
        <v>2380</v>
      </c>
      <c r="U1369" t="s">
        <v>58</v>
      </c>
      <c r="V1369">
        <v>1</v>
      </c>
      <c r="W1369">
        <v>1</v>
      </c>
      <c r="X1369">
        <v>1</v>
      </c>
      <c r="Y1369">
        <v>0</v>
      </c>
      <c r="Z1369">
        <v>1</v>
      </c>
      <c r="AA1369">
        <v>0</v>
      </c>
      <c r="AB1369">
        <v>147.75</v>
      </c>
      <c r="AC1369">
        <v>130</v>
      </c>
      <c r="AD1369">
        <v>0</v>
      </c>
      <c r="AE1369">
        <v>17.75</v>
      </c>
      <c r="AF1369">
        <v>0</v>
      </c>
      <c r="AG1369">
        <v>0</v>
      </c>
      <c r="AH1369">
        <v>0</v>
      </c>
      <c r="AI1369">
        <v>0</v>
      </c>
      <c r="AJ1369">
        <v>147.75</v>
      </c>
      <c r="AK1369">
        <v>0</v>
      </c>
      <c r="AL1369" t="s">
        <v>53</v>
      </c>
      <c r="AM1369" t="s">
        <v>53</v>
      </c>
      <c r="AN1369" t="s">
        <v>2393</v>
      </c>
      <c r="AO1369" t="s">
        <v>53</v>
      </c>
      <c r="AP1369" t="s">
        <v>53</v>
      </c>
    </row>
    <row r="1370" spans="2:42" x14ac:dyDescent="0.2">
      <c r="B1370" t="s">
        <v>44</v>
      </c>
      <c r="C1370" t="str">
        <f>HYPERLINK("https://us2.cloudbeds.com/connect/8493803454333002#/reservations/598602297573?display=E1GMAB0P&amp;reservation_id=598602297573", "E1GMAB0P")</f>
        <v>E1GMAB0P</v>
      </c>
      <c r="D1370" t="s">
        <v>45</v>
      </c>
      <c r="E1370" t="s">
        <v>165</v>
      </c>
      <c r="F1370" t="s">
        <v>61</v>
      </c>
      <c r="G1370" t="s">
        <v>48</v>
      </c>
      <c r="H1370" t="s">
        <v>49</v>
      </c>
      <c r="I1370" t="s">
        <v>62</v>
      </c>
      <c r="J1370" t="s">
        <v>288</v>
      </c>
      <c r="K1370" t="s">
        <v>568</v>
      </c>
      <c r="L1370" t="s">
        <v>53</v>
      </c>
      <c r="N1370" t="s">
        <v>2394</v>
      </c>
      <c r="P1370" t="s">
        <v>55</v>
      </c>
      <c r="R1370" t="s">
        <v>56</v>
      </c>
      <c r="T1370" t="s">
        <v>2380</v>
      </c>
      <c r="U1370" t="s">
        <v>58</v>
      </c>
      <c r="V1370">
        <v>2</v>
      </c>
      <c r="W1370">
        <v>1</v>
      </c>
      <c r="X1370">
        <v>1</v>
      </c>
      <c r="Y1370">
        <v>0</v>
      </c>
      <c r="Z1370">
        <v>1</v>
      </c>
      <c r="AA1370">
        <v>0</v>
      </c>
      <c r="AB1370">
        <v>345.5</v>
      </c>
      <c r="AC1370">
        <v>304</v>
      </c>
      <c r="AD1370">
        <v>0</v>
      </c>
      <c r="AE1370">
        <v>41.5</v>
      </c>
      <c r="AF1370">
        <v>0</v>
      </c>
      <c r="AG1370">
        <v>0</v>
      </c>
      <c r="AH1370">
        <v>0</v>
      </c>
      <c r="AI1370">
        <v>51.83</v>
      </c>
      <c r="AJ1370">
        <v>345.5</v>
      </c>
      <c r="AK1370">
        <v>0</v>
      </c>
      <c r="AL1370" t="s">
        <v>53</v>
      </c>
      <c r="AM1370" t="s">
        <v>53</v>
      </c>
      <c r="AN1370" t="s">
        <v>545</v>
      </c>
      <c r="AO1370" t="s">
        <v>53</v>
      </c>
      <c r="AP1370" t="s">
        <v>53</v>
      </c>
    </row>
    <row r="1371" spans="2:42" x14ac:dyDescent="0.2">
      <c r="B1371" t="s">
        <v>44</v>
      </c>
      <c r="C1371" t="str">
        <f>HYPERLINK("https://us2.cloudbeds.com/connect/8493803454333002#/reservations/598546108567?display=E1F7UQ4Y&amp;reservation_id=598546108567", "E1F7UQ4Y")</f>
        <v>E1F7UQ4Y</v>
      </c>
      <c r="D1371" t="s">
        <v>45</v>
      </c>
      <c r="E1371" t="s">
        <v>305</v>
      </c>
      <c r="F1371" t="s">
        <v>61</v>
      </c>
      <c r="G1371" t="s">
        <v>48</v>
      </c>
      <c r="H1371" t="s">
        <v>71</v>
      </c>
      <c r="I1371" t="s">
        <v>72</v>
      </c>
      <c r="J1371" t="s">
        <v>938</v>
      </c>
      <c r="K1371" t="s">
        <v>359</v>
      </c>
      <c r="L1371" t="s">
        <v>53</v>
      </c>
      <c r="N1371" t="s">
        <v>2395</v>
      </c>
      <c r="P1371" t="s">
        <v>55</v>
      </c>
      <c r="R1371" t="s">
        <v>56</v>
      </c>
      <c r="T1371" t="s">
        <v>2380</v>
      </c>
      <c r="U1371" t="s">
        <v>58</v>
      </c>
      <c r="V1371">
        <v>1</v>
      </c>
      <c r="W1371">
        <v>1</v>
      </c>
      <c r="X1371">
        <v>1</v>
      </c>
      <c r="Y1371">
        <v>0</v>
      </c>
      <c r="Z1371">
        <v>1</v>
      </c>
      <c r="AA1371">
        <v>0</v>
      </c>
      <c r="AB1371">
        <v>131.83000000000001</v>
      </c>
      <c r="AC1371">
        <v>116</v>
      </c>
      <c r="AD1371">
        <v>0</v>
      </c>
      <c r="AE1371">
        <v>15.83</v>
      </c>
      <c r="AF1371">
        <v>0</v>
      </c>
      <c r="AG1371">
        <v>0</v>
      </c>
      <c r="AH1371">
        <v>0</v>
      </c>
      <c r="AI1371">
        <v>0</v>
      </c>
      <c r="AJ1371">
        <v>131.83000000000001</v>
      </c>
      <c r="AK1371">
        <v>0</v>
      </c>
      <c r="AL1371" t="s">
        <v>53</v>
      </c>
      <c r="AM1371" t="s">
        <v>53</v>
      </c>
      <c r="AN1371" t="s">
        <v>2396</v>
      </c>
      <c r="AO1371" t="s">
        <v>53</v>
      </c>
      <c r="AP1371" t="s">
        <v>53</v>
      </c>
    </row>
    <row r="1372" spans="2:42" x14ac:dyDescent="0.2">
      <c r="B1372" t="s">
        <v>44</v>
      </c>
      <c r="C1372" t="str">
        <f>HYPERLINK("https://us2.cloudbeds.com/connect/8493803454333002#/reservations/598452834519?display=E1CS9A1A&amp;reservation_id=598452834519", "E1CS9A1A")</f>
        <v>E1CS9A1A</v>
      </c>
      <c r="D1372" t="s">
        <v>45</v>
      </c>
      <c r="E1372" t="s">
        <v>165</v>
      </c>
      <c r="F1372" t="s">
        <v>61</v>
      </c>
      <c r="G1372" t="s">
        <v>48</v>
      </c>
      <c r="H1372" t="s">
        <v>49</v>
      </c>
      <c r="I1372" t="s">
        <v>50</v>
      </c>
      <c r="J1372" t="s">
        <v>388</v>
      </c>
      <c r="K1372" t="s">
        <v>647</v>
      </c>
      <c r="L1372" t="s">
        <v>53</v>
      </c>
      <c r="N1372" t="s">
        <v>2397</v>
      </c>
      <c r="P1372" t="s">
        <v>55</v>
      </c>
      <c r="R1372" t="s">
        <v>56</v>
      </c>
      <c r="T1372" t="s">
        <v>2380</v>
      </c>
      <c r="U1372" t="s">
        <v>58</v>
      </c>
      <c r="V1372">
        <v>1</v>
      </c>
      <c r="W1372">
        <v>1</v>
      </c>
      <c r="X1372">
        <v>1</v>
      </c>
      <c r="Y1372">
        <v>0</v>
      </c>
      <c r="Z1372">
        <v>1</v>
      </c>
      <c r="AA1372">
        <v>0</v>
      </c>
      <c r="AB1372">
        <v>157.52000000000001</v>
      </c>
      <c r="AC1372">
        <v>138.6</v>
      </c>
      <c r="AD1372">
        <v>0</v>
      </c>
      <c r="AE1372">
        <v>18.920000000000002</v>
      </c>
      <c r="AF1372">
        <v>0</v>
      </c>
      <c r="AG1372">
        <v>0</v>
      </c>
      <c r="AH1372">
        <v>0</v>
      </c>
      <c r="AI1372">
        <v>28.35</v>
      </c>
      <c r="AJ1372">
        <v>157.52000000000001</v>
      </c>
      <c r="AK1372">
        <v>0</v>
      </c>
      <c r="AL1372" t="s">
        <v>53</v>
      </c>
      <c r="AM1372" t="s">
        <v>53</v>
      </c>
      <c r="AN1372" t="s">
        <v>332</v>
      </c>
      <c r="AO1372" t="s">
        <v>53</v>
      </c>
      <c r="AP1372" t="s">
        <v>53</v>
      </c>
    </row>
    <row r="1373" spans="2:42" x14ac:dyDescent="0.2">
      <c r="B1373" t="s">
        <v>44</v>
      </c>
      <c r="C1373" t="str">
        <f>HYPERLINK("https://us2.cloudbeds.com/connect/8493803454333002#/reservations/598519726278?display=E1EXMYWB&amp;reservation_id=598519726278", "E1EXMYWB")</f>
        <v>E1EXMYWB</v>
      </c>
      <c r="D1373" t="s">
        <v>45</v>
      </c>
      <c r="E1373" t="s">
        <v>98</v>
      </c>
      <c r="F1373" t="s">
        <v>86</v>
      </c>
      <c r="G1373" t="s">
        <v>48</v>
      </c>
      <c r="H1373" t="s">
        <v>71</v>
      </c>
      <c r="I1373" t="s">
        <v>72</v>
      </c>
      <c r="J1373" t="s">
        <v>600</v>
      </c>
      <c r="K1373" t="s">
        <v>106</v>
      </c>
      <c r="L1373" t="s">
        <v>53</v>
      </c>
      <c r="N1373" t="s">
        <v>2398</v>
      </c>
      <c r="P1373" t="s">
        <v>55</v>
      </c>
      <c r="R1373" t="s">
        <v>56</v>
      </c>
      <c r="T1373" t="s">
        <v>2380</v>
      </c>
      <c r="U1373" t="s">
        <v>58</v>
      </c>
      <c r="V1373">
        <v>1</v>
      </c>
      <c r="W1373">
        <v>1</v>
      </c>
      <c r="X1373">
        <v>1</v>
      </c>
      <c r="Y1373">
        <v>0</v>
      </c>
      <c r="Z1373">
        <v>1</v>
      </c>
      <c r="AA1373">
        <v>0</v>
      </c>
      <c r="AB1373">
        <v>127.29</v>
      </c>
      <c r="AC1373">
        <v>112</v>
      </c>
      <c r="AD1373">
        <v>0</v>
      </c>
      <c r="AE1373">
        <v>15.29</v>
      </c>
      <c r="AF1373">
        <v>0</v>
      </c>
      <c r="AG1373">
        <v>0</v>
      </c>
      <c r="AH1373">
        <v>0</v>
      </c>
      <c r="AI1373">
        <v>0</v>
      </c>
      <c r="AJ1373">
        <v>127.29</v>
      </c>
      <c r="AK1373">
        <v>0</v>
      </c>
      <c r="AL1373" t="s">
        <v>53</v>
      </c>
      <c r="AM1373" t="s">
        <v>53</v>
      </c>
      <c r="AN1373" t="s">
        <v>2399</v>
      </c>
      <c r="AO1373" t="s">
        <v>53</v>
      </c>
      <c r="AP1373" t="s">
        <v>53</v>
      </c>
    </row>
    <row r="1374" spans="2:42" x14ac:dyDescent="0.2">
      <c r="B1374" t="s">
        <v>44</v>
      </c>
      <c r="C1374" t="str">
        <f>HYPERLINK("https://us2.cloudbeds.com/connect/8493803454333002#/reservations/598552957173?display=E1FDNC15&amp;reservation_id=598552957173", "E1FDNC15")</f>
        <v>E1FDNC15</v>
      </c>
      <c r="D1374" t="s">
        <v>45</v>
      </c>
      <c r="E1374" t="s">
        <v>305</v>
      </c>
      <c r="F1374" t="s">
        <v>61</v>
      </c>
      <c r="G1374" t="s">
        <v>48</v>
      </c>
      <c r="H1374" t="s">
        <v>49</v>
      </c>
      <c r="I1374" t="s">
        <v>114</v>
      </c>
      <c r="J1374" t="s">
        <v>359</v>
      </c>
      <c r="K1374" t="s">
        <v>360</v>
      </c>
      <c r="L1374" t="s">
        <v>53</v>
      </c>
      <c r="N1374" t="s">
        <v>2400</v>
      </c>
      <c r="P1374" t="s">
        <v>55</v>
      </c>
      <c r="R1374" t="s">
        <v>56</v>
      </c>
      <c r="T1374" t="s">
        <v>2380</v>
      </c>
      <c r="U1374" t="s">
        <v>58</v>
      </c>
      <c r="V1374">
        <v>1</v>
      </c>
      <c r="W1374">
        <v>1</v>
      </c>
      <c r="X1374">
        <v>1</v>
      </c>
      <c r="Y1374">
        <v>0</v>
      </c>
      <c r="Z1374">
        <v>1</v>
      </c>
      <c r="AA1374">
        <v>0</v>
      </c>
      <c r="AB1374">
        <v>120.47</v>
      </c>
      <c r="AC1374">
        <v>106</v>
      </c>
      <c r="AD1374">
        <v>0</v>
      </c>
      <c r="AE1374">
        <v>14.47</v>
      </c>
      <c r="AF1374">
        <v>0</v>
      </c>
      <c r="AG1374">
        <v>0</v>
      </c>
      <c r="AH1374">
        <v>0</v>
      </c>
      <c r="AI1374">
        <v>0</v>
      </c>
      <c r="AJ1374">
        <v>120.47</v>
      </c>
      <c r="AK1374">
        <v>0</v>
      </c>
      <c r="AL1374" t="s">
        <v>53</v>
      </c>
      <c r="AM1374" t="s">
        <v>53</v>
      </c>
      <c r="AN1374" t="s">
        <v>2401</v>
      </c>
      <c r="AO1374" t="s">
        <v>53</v>
      </c>
      <c r="AP1374" t="s">
        <v>53</v>
      </c>
    </row>
    <row r="1375" spans="2:42" x14ac:dyDescent="0.2">
      <c r="B1375" t="s">
        <v>44</v>
      </c>
      <c r="C1375" t="str">
        <f>HYPERLINK("https://us2.cloudbeds.com/connect/8493803454333002#/reservations/598443323604?display=E1CK8YDQ&amp;reservation_id=598443323604", "E1CK8YDQ")</f>
        <v>E1CK8YDQ</v>
      </c>
      <c r="D1375" t="s">
        <v>45</v>
      </c>
      <c r="E1375" t="s">
        <v>305</v>
      </c>
      <c r="F1375" t="s">
        <v>61</v>
      </c>
      <c r="G1375" t="s">
        <v>48</v>
      </c>
      <c r="H1375" t="s">
        <v>49</v>
      </c>
      <c r="I1375" t="s">
        <v>50</v>
      </c>
      <c r="J1375" t="s">
        <v>143</v>
      </c>
      <c r="K1375" t="s">
        <v>144</v>
      </c>
      <c r="L1375" t="s">
        <v>53</v>
      </c>
      <c r="N1375" t="s">
        <v>2402</v>
      </c>
      <c r="P1375" t="s">
        <v>55</v>
      </c>
      <c r="R1375" t="s">
        <v>56</v>
      </c>
      <c r="T1375" t="s">
        <v>2380</v>
      </c>
      <c r="U1375" t="s">
        <v>58</v>
      </c>
      <c r="V1375">
        <v>1</v>
      </c>
      <c r="W1375">
        <v>1</v>
      </c>
      <c r="X1375">
        <v>1</v>
      </c>
      <c r="Y1375">
        <v>0</v>
      </c>
      <c r="Z1375">
        <v>1</v>
      </c>
      <c r="AA1375">
        <v>0</v>
      </c>
      <c r="AB1375">
        <v>166.72</v>
      </c>
      <c r="AC1375">
        <v>146.69999999999999</v>
      </c>
      <c r="AD1375">
        <v>0</v>
      </c>
      <c r="AE1375">
        <v>20.010000000000002</v>
      </c>
      <c r="AF1375">
        <v>0</v>
      </c>
      <c r="AG1375">
        <v>0</v>
      </c>
      <c r="AH1375">
        <v>0</v>
      </c>
      <c r="AI1375">
        <v>30.01</v>
      </c>
      <c r="AJ1375">
        <v>166.71</v>
      </c>
      <c r="AK1375">
        <v>-0.01</v>
      </c>
      <c r="AL1375" t="s">
        <v>53</v>
      </c>
      <c r="AM1375" t="s">
        <v>53</v>
      </c>
      <c r="AN1375" t="s">
        <v>413</v>
      </c>
      <c r="AO1375" t="s">
        <v>53</v>
      </c>
      <c r="AP1375" t="s">
        <v>53</v>
      </c>
    </row>
    <row r="1376" spans="2:42" x14ac:dyDescent="0.2">
      <c r="B1376" t="s">
        <v>44</v>
      </c>
      <c r="C1376" t="str">
        <f>HYPERLINK("https://us2.cloudbeds.com/connect/8493803454333002#/reservations/598239932662?display=E17DZWST&amp;reservation_id=598239932662", "E17DZWST")</f>
        <v>E17DZWST</v>
      </c>
      <c r="D1376" t="s">
        <v>45</v>
      </c>
      <c r="E1376" t="s">
        <v>138</v>
      </c>
      <c r="F1376" t="s">
        <v>70</v>
      </c>
      <c r="G1376" t="s">
        <v>48</v>
      </c>
      <c r="H1376" t="s">
        <v>49</v>
      </c>
      <c r="I1376" t="s">
        <v>79</v>
      </c>
      <c r="J1376" t="s">
        <v>191</v>
      </c>
      <c r="K1376" t="s">
        <v>1068</v>
      </c>
      <c r="L1376" t="s">
        <v>53</v>
      </c>
      <c r="N1376" t="s">
        <v>2403</v>
      </c>
      <c r="P1376" t="s">
        <v>55</v>
      </c>
      <c r="R1376" t="s">
        <v>56</v>
      </c>
      <c r="T1376" t="s">
        <v>2380</v>
      </c>
      <c r="U1376" t="s">
        <v>58</v>
      </c>
      <c r="V1376">
        <v>2</v>
      </c>
      <c r="W1376">
        <v>1</v>
      </c>
      <c r="X1376">
        <v>1</v>
      </c>
      <c r="Y1376">
        <v>0</v>
      </c>
      <c r="Z1376">
        <v>1</v>
      </c>
      <c r="AA1376">
        <v>0</v>
      </c>
      <c r="AB1376">
        <v>190.25</v>
      </c>
      <c r="AC1376">
        <v>167.4</v>
      </c>
      <c r="AD1376">
        <v>0</v>
      </c>
      <c r="AE1376">
        <v>22.84</v>
      </c>
      <c r="AF1376">
        <v>0</v>
      </c>
      <c r="AG1376">
        <v>0</v>
      </c>
      <c r="AH1376">
        <v>0</v>
      </c>
      <c r="AI1376">
        <v>0</v>
      </c>
      <c r="AJ1376">
        <v>190.24</v>
      </c>
      <c r="AK1376">
        <v>-0.01</v>
      </c>
      <c r="AL1376" t="s">
        <v>53</v>
      </c>
      <c r="AM1376" t="s">
        <v>53</v>
      </c>
      <c r="AN1376" t="s">
        <v>252</v>
      </c>
      <c r="AO1376" t="s">
        <v>53</v>
      </c>
      <c r="AP1376" t="s">
        <v>53</v>
      </c>
    </row>
    <row r="1377" spans="2:42" x14ac:dyDescent="0.2">
      <c r="B1377" t="s">
        <v>44</v>
      </c>
      <c r="C1377" t="str">
        <f>HYPERLINK("https://us2.cloudbeds.com/connect/8493803454333002#/reservations/598364143769?display=E1AJGBYS&amp;reservation_id=598364143769", "E1AJGBYS")</f>
        <v>E1AJGBYS</v>
      </c>
      <c r="D1377" t="s">
        <v>45</v>
      </c>
      <c r="E1377" t="s">
        <v>110</v>
      </c>
      <c r="F1377" t="s">
        <v>47</v>
      </c>
      <c r="G1377" t="s">
        <v>48</v>
      </c>
      <c r="H1377" t="s">
        <v>71</v>
      </c>
      <c r="I1377" t="s">
        <v>72</v>
      </c>
      <c r="J1377" t="s">
        <v>600</v>
      </c>
      <c r="K1377" t="s">
        <v>106</v>
      </c>
      <c r="L1377" t="s">
        <v>53</v>
      </c>
      <c r="N1377" t="s">
        <v>2404</v>
      </c>
      <c r="P1377" t="s">
        <v>55</v>
      </c>
      <c r="R1377" t="s">
        <v>56</v>
      </c>
      <c r="T1377" t="s">
        <v>2405</v>
      </c>
      <c r="U1377" t="s">
        <v>58</v>
      </c>
      <c r="V1377">
        <v>1</v>
      </c>
      <c r="W1377">
        <v>1</v>
      </c>
      <c r="X1377">
        <v>1</v>
      </c>
      <c r="Y1377">
        <v>0</v>
      </c>
      <c r="Z1377">
        <v>1</v>
      </c>
      <c r="AA1377">
        <v>0</v>
      </c>
      <c r="AB1377">
        <v>109.1</v>
      </c>
      <c r="AC1377">
        <v>96</v>
      </c>
      <c r="AD1377">
        <v>0</v>
      </c>
      <c r="AE1377">
        <v>13.1</v>
      </c>
      <c r="AF1377">
        <v>0</v>
      </c>
      <c r="AG1377">
        <v>0</v>
      </c>
      <c r="AH1377">
        <v>0</v>
      </c>
      <c r="AI1377">
        <v>0</v>
      </c>
      <c r="AJ1377">
        <v>109.1</v>
      </c>
      <c r="AK1377">
        <v>0</v>
      </c>
      <c r="AL1377" t="s">
        <v>53</v>
      </c>
      <c r="AM1377" t="s">
        <v>53</v>
      </c>
      <c r="AN1377" t="s">
        <v>378</v>
      </c>
      <c r="AO1377" t="s">
        <v>53</v>
      </c>
      <c r="AP1377" t="s">
        <v>53</v>
      </c>
    </row>
    <row r="1378" spans="2:42" x14ac:dyDescent="0.2">
      <c r="B1378" t="s">
        <v>44</v>
      </c>
      <c r="C1378" t="str">
        <f>HYPERLINK("https://us2.cloudbeds.com/connect/8493803454333002#/reservations/598385545347?display=E1B4HT5H&amp;reservation_id=598385545347", "E1B4HT5H")</f>
        <v>E1B4HT5H</v>
      </c>
      <c r="D1378" t="s">
        <v>45</v>
      </c>
      <c r="E1378" t="s">
        <v>190</v>
      </c>
      <c r="F1378" t="s">
        <v>61</v>
      </c>
      <c r="G1378" t="s">
        <v>48</v>
      </c>
      <c r="H1378" t="s">
        <v>49</v>
      </c>
      <c r="I1378" t="s">
        <v>62</v>
      </c>
      <c r="J1378" t="s">
        <v>259</v>
      </c>
      <c r="K1378" t="s">
        <v>640</v>
      </c>
      <c r="L1378" t="s">
        <v>53</v>
      </c>
      <c r="N1378" t="s">
        <v>2406</v>
      </c>
      <c r="P1378" t="s">
        <v>55</v>
      </c>
      <c r="R1378" t="s">
        <v>56</v>
      </c>
      <c r="T1378" t="s">
        <v>2405</v>
      </c>
      <c r="U1378" t="s">
        <v>58</v>
      </c>
      <c r="V1378">
        <v>4</v>
      </c>
      <c r="W1378">
        <v>1</v>
      </c>
      <c r="X1378">
        <v>1</v>
      </c>
      <c r="Y1378">
        <v>0</v>
      </c>
      <c r="Z1378">
        <v>1</v>
      </c>
      <c r="AA1378">
        <v>0</v>
      </c>
      <c r="AB1378">
        <v>613.71</v>
      </c>
      <c r="AC1378">
        <v>540</v>
      </c>
      <c r="AD1378">
        <v>0</v>
      </c>
      <c r="AE1378">
        <v>73.760000000000005</v>
      </c>
      <c r="AF1378">
        <v>0</v>
      </c>
      <c r="AG1378">
        <v>0</v>
      </c>
      <c r="AH1378">
        <v>0</v>
      </c>
      <c r="AI1378">
        <v>92.06</v>
      </c>
      <c r="AJ1378">
        <v>613.76</v>
      </c>
      <c r="AK1378">
        <v>0.05</v>
      </c>
      <c r="AL1378" t="s">
        <v>53</v>
      </c>
      <c r="AM1378" t="s">
        <v>53</v>
      </c>
      <c r="AN1378" t="s">
        <v>91</v>
      </c>
      <c r="AO1378" t="s">
        <v>53</v>
      </c>
      <c r="AP1378" t="s">
        <v>53</v>
      </c>
    </row>
    <row r="1379" spans="2:42" x14ac:dyDescent="0.2">
      <c r="B1379" t="s">
        <v>44</v>
      </c>
      <c r="C1379" t="str">
        <f>HYPERLINK("https://us2.cloudbeds.com/connect/8493803454333002#/reservations/598526988472?display=E1EZQZYQ&amp;reservation_id=598526988472", "E1EZQZYQ")</f>
        <v>E1EZQZYQ</v>
      </c>
      <c r="D1379" t="s">
        <v>45</v>
      </c>
      <c r="E1379" t="s">
        <v>406</v>
      </c>
      <c r="F1379" t="s">
        <v>61</v>
      </c>
      <c r="G1379" t="s">
        <v>48</v>
      </c>
      <c r="H1379" t="s">
        <v>49</v>
      </c>
      <c r="I1379" t="s">
        <v>50</v>
      </c>
      <c r="J1379" t="s">
        <v>133</v>
      </c>
      <c r="K1379" t="s">
        <v>341</v>
      </c>
      <c r="L1379" t="s">
        <v>53</v>
      </c>
      <c r="N1379" t="s">
        <v>2407</v>
      </c>
      <c r="P1379" t="s">
        <v>55</v>
      </c>
      <c r="R1379" t="s">
        <v>56</v>
      </c>
      <c r="T1379" t="s">
        <v>2405</v>
      </c>
      <c r="U1379" t="s">
        <v>58</v>
      </c>
      <c r="V1379">
        <v>3</v>
      </c>
      <c r="W1379">
        <v>1</v>
      </c>
      <c r="X1379">
        <v>1</v>
      </c>
      <c r="Y1379">
        <v>0</v>
      </c>
      <c r="Z1379">
        <v>1</v>
      </c>
      <c r="AA1379">
        <v>0</v>
      </c>
      <c r="AB1379">
        <v>490.97</v>
      </c>
      <c r="AC1379">
        <v>432</v>
      </c>
      <c r="AD1379">
        <v>0</v>
      </c>
      <c r="AE1379">
        <v>58.98</v>
      </c>
      <c r="AF1379">
        <v>0</v>
      </c>
      <c r="AG1379">
        <v>0</v>
      </c>
      <c r="AH1379">
        <v>0</v>
      </c>
      <c r="AI1379">
        <v>88.38</v>
      </c>
      <c r="AJ1379">
        <v>490.98</v>
      </c>
      <c r="AK1379">
        <v>0.01</v>
      </c>
      <c r="AL1379" t="s">
        <v>53</v>
      </c>
      <c r="AM1379" t="s">
        <v>53</v>
      </c>
      <c r="AN1379" t="s">
        <v>84</v>
      </c>
      <c r="AO1379" t="s">
        <v>53</v>
      </c>
      <c r="AP1379" t="s">
        <v>53</v>
      </c>
    </row>
    <row r="1380" spans="2:42" x14ac:dyDescent="0.2">
      <c r="B1380" t="s">
        <v>44</v>
      </c>
      <c r="C1380" t="str">
        <f>HYPERLINK("https://us2.cloudbeds.com/connect/8493803454333002#/reservations/598273507526?display=E18928Q1&amp;reservation_id=598273507526", "E18928Q1")</f>
        <v>E18928Q1</v>
      </c>
      <c r="D1380" t="s">
        <v>45</v>
      </c>
      <c r="E1380" t="s">
        <v>138</v>
      </c>
      <c r="F1380" t="s">
        <v>70</v>
      </c>
      <c r="G1380" t="s">
        <v>48</v>
      </c>
      <c r="H1380" t="s">
        <v>49</v>
      </c>
      <c r="I1380" t="s">
        <v>79</v>
      </c>
      <c r="J1380" t="s">
        <v>1068</v>
      </c>
      <c r="K1380" t="s">
        <v>253</v>
      </c>
      <c r="L1380" t="s">
        <v>53</v>
      </c>
      <c r="N1380" t="s">
        <v>2408</v>
      </c>
      <c r="P1380" t="s">
        <v>55</v>
      </c>
      <c r="R1380" t="s">
        <v>56</v>
      </c>
      <c r="T1380" t="s">
        <v>2405</v>
      </c>
      <c r="U1380" t="s">
        <v>58</v>
      </c>
      <c r="V1380">
        <v>1</v>
      </c>
      <c r="W1380">
        <v>1</v>
      </c>
      <c r="X1380">
        <v>1</v>
      </c>
      <c r="Y1380">
        <v>0</v>
      </c>
      <c r="Z1380">
        <v>1</v>
      </c>
      <c r="AA1380">
        <v>0</v>
      </c>
      <c r="AB1380">
        <v>95.13</v>
      </c>
      <c r="AC1380">
        <v>83.7</v>
      </c>
      <c r="AD1380">
        <v>0</v>
      </c>
      <c r="AE1380">
        <v>11.42</v>
      </c>
      <c r="AF1380">
        <v>0</v>
      </c>
      <c r="AG1380">
        <v>0</v>
      </c>
      <c r="AH1380">
        <v>0</v>
      </c>
      <c r="AI1380">
        <v>0</v>
      </c>
      <c r="AJ1380">
        <v>95.12</v>
      </c>
      <c r="AK1380">
        <v>-0.01</v>
      </c>
      <c r="AL1380" t="s">
        <v>53</v>
      </c>
      <c r="AM1380" t="s">
        <v>53</v>
      </c>
      <c r="AN1380" t="s">
        <v>198</v>
      </c>
      <c r="AO1380" t="s">
        <v>53</v>
      </c>
      <c r="AP1380" t="s">
        <v>53</v>
      </c>
    </row>
    <row r="1381" spans="2:42" x14ac:dyDescent="0.2">
      <c r="B1381" t="s">
        <v>44</v>
      </c>
      <c r="C1381" t="str">
        <f>HYPERLINK("https://us2.cloudbeds.com/connect/8493803454333002#/reservations/598383812825?display=E1B32M7S&amp;reservation_id=598383812825", "E1B32M7S")</f>
        <v>E1B32M7S</v>
      </c>
      <c r="D1381" t="s">
        <v>45</v>
      </c>
      <c r="E1381" t="s">
        <v>381</v>
      </c>
      <c r="F1381" t="s">
        <v>47</v>
      </c>
      <c r="G1381" t="s">
        <v>48</v>
      </c>
      <c r="H1381" t="s">
        <v>49</v>
      </c>
      <c r="I1381" t="s">
        <v>50</v>
      </c>
      <c r="J1381" t="s">
        <v>144</v>
      </c>
      <c r="K1381" t="s">
        <v>196</v>
      </c>
      <c r="L1381" t="s">
        <v>53</v>
      </c>
      <c r="N1381" t="s">
        <v>2409</v>
      </c>
      <c r="P1381" t="s">
        <v>55</v>
      </c>
      <c r="R1381" t="s">
        <v>56</v>
      </c>
      <c r="T1381" t="s">
        <v>2405</v>
      </c>
      <c r="U1381" t="s">
        <v>58</v>
      </c>
      <c r="V1381">
        <v>2</v>
      </c>
      <c r="W1381">
        <v>1</v>
      </c>
      <c r="X1381">
        <v>1</v>
      </c>
      <c r="Y1381">
        <v>0</v>
      </c>
      <c r="Z1381">
        <v>1</v>
      </c>
      <c r="AA1381">
        <v>0</v>
      </c>
      <c r="AB1381">
        <v>310.95</v>
      </c>
      <c r="AC1381">
        <v>273.60000000000002</v>
      </c>
      <c r="AD1381">
        <v>0</v>
      </c>
      <c r="AE1381">
        <v>37.36</v>
      </c>
      <c r="AF1381">
        <v>0</v>
      </c>
      <c r="AG1381">
        <v>0</v>
      </c>
      <c r="AH1381">
        <v>0</v>
      </c>
      <c r="AI1381">
        <v>55.97</v>
      </c>
      <c r="AJ1381">
        <v>310.95999999999998</v>
      </c>
      <c r="AK1381">
        <v>0.01</v>
      </c>
      <c r="AL1381" t="s">
        <v>53</v>
      </c>
      <c r="AM1381" t="s">
        <v>53</v>
      </c>
      <c r="AN1381" t="s">
        <v>142</v>
      </c>
      <c r="AO1381" t="s">
        <v>53</v>
      </c>
      <c r="AP1381" t="s">
        <v>53</v>
      </c>
    </row>
    <row r="1382" spans="2:42" x14ac:dyDescent="0.2">
      <c r="B1382" t="s">
        <v>44</v>
      </c>
      <c r="C1382" t="str">
        <f>HYPERLINK("https://us2.cloudbeds.com/connect/8493803454333002#/reservations/598615072942?display=E1H02RA6&amp;reservation_id=598615072942", "E1H02RA6")</f>
        <v>E1H02RA6</v>
      </c>
      <c r="D1382" t="s">
        <v>45</v>
      </c>
      <c r="E1382" t="s">
        <v>105</v>
      </c>
      <c r="F1382" t="s">
        <v>47</v>
      </c>
      <c r="G1382" t="s">
        <v>48</v>
      </c>
      <c r="H1382" t="s">
        <v>49</v>
      </c>
      <c r="I1382" t="s">
        <v>79</v>
      </c>
      <c r="J1382" t="s">
        <v>1269</v>
      </c>
      <c r="K1382" t="s">
        <v>388</v>
      </c>
      <c r="L1382" t="s">
        <v>53</v>
      </c>
      <c r="N1382" t="s">
        <v>2410</v>
      </c>
      <c r="P1382" t="s">
        <v>55</v>
      </c>
      <c r="R1382" t="s">
        <v>56</v>
      </c>
      <c r="T1382" t="s">
        <v>2405</v>
      </c>
      <c r="U1382" t="s">
        <v>58</v>
      </c>
      <c r="V1382">
        <v>2</v>
      </c>
      <c r="W1382">
        <v>1</v>
      </c>
      <c r="X1382">
        <v>1</v>
      </c>
      <c r="Y1382">
        <v>0</v>
      </c>
      <c r="Z1382">
        <v>1</v>
      </c>
      <c r="AA1382">
        <v>0</v>
      </c>
      <c r="AB1382">
        <v>306.86</v>
      </c>
      <c r="AC1382">
        <v>270</v>
      </c>
      <c r="AD1382">
        <v>0</v>
      </c>
      <c r="AE1382">
        <v>36.880000000000003</v>
      </c>
      <c r="AF1382">
        <v>0</v>
      </c>
      <c r="AG1382">
        <v>0</v>
      </c>
      <c r="AH1382">
        <v>0</v>
      </c>
      <c r="AI1382">
        <v>0</v>
      </c>
      <c r="AJ1382">
        <v>306.88</v>
      </c>
      <c r="AK1382">
        <v>0.02</v>
      </c>
      <c r="AL1382" t="s">
        <v>53</v>
      </c>
      <c r="AM1382" t="s">
        <v>53</v>
      </c>
      <c r="AN1382" t="s">
        <v>2411</v>
      </c>
      <c r="AO1382" t="s">
        <v>53</v>
      </c>
      <c r="AP1382" t="s">
        <v>53</v>
      </c>
    </row>
    <row r="1383" spans="2:42" x14ac:dyDescent="0.2">
      <c r="B1383" t="s">
        <v>44</v>
      </c>
      <c r="C1383" t="str">
        <f>HYPERLINK("https://us2.cloudbeds.com/connect/8493803454333002#/reservations/579236225161?display=DJGRAR3E&amp;reservation_id=579236225161", "DJGRAR3E")</f>
        <v>DJGRAR3E</v>
      </c>
      <c r="D1383" t="s">
        <v>45</v>
      </c>
      <c r="E1383" t="s">
        <v>381</v>
      </c>
      <c r="F1383" t="s">
        <v>47</v>
      </c>
      <c r="G1383" t="s">
        <v>48</v>
      </c>
      <c r="H1383" t="s">
        <v>49</v>
      </c>
      <c r="I1383" t="s">
        <v>62</v>
      </c>
      <c r="J1383" t="s">
        <v>1933</v>
      </c>
      <c r="K1383" t="s">
        <v>2412</v>
      </c>
      <c r="L1383" t="s">
        <v>53</v>
      </c>
      <c r="N1383" t="s">
        <v>2413</v>
      </c>
      <c r="P1383" t="s">
        <v>55</v>
      </c>
      <c r="R1383" t="s">
        <v>56</v>
      </c>
      <c r="T1383" t="s">
        <v>2405</v>
      </c>
      <c r="U1383" t="s">
        <v>58</v>
      </c>
      <c r="V1383">
        <v>1</v>
      </c>
      <c r="W1383">
        <v>1</v>
      </c>
      <c r="X1383">
        <v>1</v>
      </c>
      <c r="Y1383">
        <v>0</v>
      </c>
      <c r="Z1383">
        <v>1</v>
      </c>
      <c r="AA1383">
        <v>0</v>
      </c>
      <c r="AB1383">
        <v>165.93</v>
      </c>
      <c r="AC1383">
        <v>146</v>
      </c>
      <c r="AD1383">
        <v>0</v>
      </c>
      <c r="AE1383">
        <v>19.93</v>
      </c>
      <c r="AF1383">
        <v>0</v>
      </c>
      <c r="AG1383">
        <v>0</v>
      </c>
      <c r="AH1383">
        <v>0</v>
      </c>
      <c r="AI1383">
        <v>24.89</v>
      </c>
      <c r="AJ1383">
        <v>165.93</v>
      </c>
      <c r="AK1383">
        <v>0</v>
      </c>
      <c r="AL1383" t="s">
        <v>53</v>
      </c>
      <c r="AM1383" t="s">
        <v>53</v>
      </c>
      <c r="AN1383" t="s">
        <v>59</v>
      </c>
      <c r="AO1383" t="s">
        <v>53</v>
      </c>
      <c r="AP1383" t="s">
        <v>53</v>
      </c>
    </row>
    <row r="1384" spans="2:42" x14ac:dyDescent="0.2">
      <c r="B1384" t="s">
        <v>44</v>
      </c>
      <c r="C1384" t="str">
        <f>HYPERLINK("https://us2.cloudbeds.com/connect/8493803454333002#/reservations/598416740606?display=E1BURUVD&amp;reservation_id=598416740606", "E1BURUVD")</f>
        <v>E1BURUVD</v>
      </c>
      <c r="D1384" t="s">
        <v>45</v>
      </c>
      <c r="E1384" t="s">
        <v>373</v>
      </c>
      <c r="F1384" t="s">
        <v>47</v>
      </c>
      <c r="G1384" t="s">
        <v>48</v>
      </c>
      <c r="H1384" t="s">
        <v>49</v>
      </c>
      <c r="I1384" t="s">
        <v>79</v>
      </c>
      <c r="J1384" t="s">
        <v>600</v>
      </c>
      <c r="K1384" t="s">
        <v>106</v>
      </c>
      <c r="L1384" t="s">
        <v>53</v>
      </c>
      <c r="N1384" t="s">
        <v>2414</v>
      </c>
      <c r="P1384" t="s">
        <v>55</v>
      </c>
      <c r="R1384" t="s">
        <v>56</v>
      </c>
      <c r="T1384" t="s">
        <v>2405</v>
      </c>
      <c r="U1384" t="s">
        <v>58</v>
      </c>
      <c r="V1384">
        <v>1</v>
      </c>
      <c r="W1384">
        <v>1</v>
      </c>
      <c r="X1384">
        <v>1</v>
      </c>
      <c r="Y1384">
        <v>0</v>
      </c>
      <c r="Z1384">
        <v>1</v>
      </c>
      <c r="AA1384">
        <v>0</v>
      </c>
      <c r="AB1384">
        <v>103.31</v>
      </c>
      <c r="AC1384">
        <v>90.9</v>
      </c>
      <c r="AD1384">
        <v>0</v>
      </c>
      <c r="AE1384">
        <v>12.41</v>
      </c>
      <c r="AF1384">
        <v>0</v>
      </c>
      <c r="AG1384">
        <v>0</v>
      </c>
      <c r="AH1384">
        <v>0</v>
      </c>
      <c r="AI1384">
        <v>0</v>
      </c>
      <c r="AJ1384">
        <v>103.31</v>
      </c>
      <c r="AK1384">
        <v>0</v>
      </c>
      <c r="AL1384" t="s">
        <v>53</v>
      </c>
      <c r="AM1384" t="s">
        <v>53</v>
      </c>
      <c r="AN1384" t="s">
        <v>349</v>
      </c>
      <c r="AO1384" t="s">
        <v>53</v>
      </c>
      <c r="AP1384" t="s">
        <v>53</v>
      </c>
    </row>
    <row r="1385" spans="2:42" x14ac:dyDescent="0.2">
      <c r="B1385" t="s">
        <v>44</v>
      </c>
      <c r="C1385" t="str">
        <f>HYPERLINK("https://us2.cloudbeds.com/connect/8493803454333002#/reservations/598457524368?display=E1CW7QJS&amp;reservation_id=598457524368", "E1CW7QJS")</f>
        <v>E1CW7QJS</v>
      </c>
      <c r="D1385" t="s">
        <v>45</v>
      </c>
      <c r="E1385" t="s">
        <v>105</v>
      </c>
      <c r="F1385" t="s">
        <v>47</v>
      </c>
      <c r="G1385" t="s">
        <v>48</v>
      </c>
      <c r="H1385" t="s">
        <v>71</v>
      </c>
      <c r="I1385" t="s">
        <v>72</v>
      </c>
      <c r="J1385" t="s">
        <v>88</v>
      </c>
      <c r="K1385" t="s">
        <v>327</v>
      </c>
      <c r="L1385" t="s">
        <v>53</v>
      </c>
      <c r="N1385" t="s">
        <v>2415</v>
      </c>
      <c r="P1385" t="s">
        <v>55</v>
      </c>
      <c r="R1385" t="s">
        <v>56</v>
      </c>
      <c r="T1385" t="s">
        <v>2405</v>
      </c>
      <c r="U1385" t="s">
        <v>58</v>
      </c>
      <c r="V1385">
        <v>1</v>
      </c>
      <c r="W1385">
        <v>1</v>
      </c>
      <c r="X1385">
        <v>1</v>
      </c>
      <c r="Y1385">
        <v>0</v>
      </c>
      <c r="Z1385">
        <v>1</v>
      </c>
      <c r="AA1385">
        <v>0</v>
      </c>
      <c r="AB1385">
        <v>163.66</v>
      </c>
      <c r="AC1385">
        <v>144</v>
      </c>
      <c r="AD1385">
        <v>0</v>
      </c>
      <c r="AE1385">
        <v>19.66</v>
      </c>
      <c r="AF1385">
        <v>0</v>
      </c>
      <c r="AG1385">
        <v>0</v>
      </c>
      <c r="AH1385">
        <v>0</v>
      </c>
      <c r="AI1385">
        <v>0</v>
      </c>
      <c r="AJ1385">
        <v>163.66</v>
      </c>
      <c r="AK1385">
        <v>0</v>
      </c>
      <c r="AL1385" t="s">
        <v>53</v>
      </c>
      <c r="AM1385" t="s">
        <v>53</v>
      </c>
      <c r="AN1385" t="s">
        <v>378</v>
      </c>
      <c r="AO1385" t="s">
        <v>53</v>
      </c>
      <c r="AP1385" t="s">
        <v>53</v>
      </c>
    </row>
    <row r="1386" spans="2:42" x14ac:dyDescent="0.2">
      <c r="B1386" t="s">
        <v>44</v>
      </c>
      <c r="C1386" t="str">
        <f>HYPERLINK("https://us2.cloudbeds.com/connect/8493803454333002#/reservations/598423818374?display=E1C3QT96&amp;reservation_id=598423818374", "E1C3QT96")</f>
        <v>E1C3QT96</v>
      </c>
      <c r="D1386" t="s">
        <v>45</v>
      </c>
      <c r="E1386" t="s">
        <v>373</v>
      </c>
      <c r="F1386" t="s">
        <v>47</v>
      </c>
      <c r="G1386" t="s">
        <v>48</v>
      </c>
      <c r="H1386" t="s">
        <v>71</v>
      </c>
      <c r="I1386" t="s">
        <v>72</v>
      </c>
      <c r="J1386" t="s">
        <v>1068</v>
      </c>
      <c r="K1386" t="s">
        <v>253</v>
      </c>
      <c r="L1386" t="s">
        <v>53</v>
      </c>
      <c r="N1386" t="s">
        <v>2416</v>
      </c>
      <c r="P1386" t="s">
        <v>55</v>
      </c>
      <c r="R1386" t="s">
        <v>56</v>
      </c>
      <c r="T1386" t="s">
        <v>2405</v>
      </c>
      <c r="U1386" t="s">
        <v>58</v>
      </c>
      <c r="V1386">
        <v>1</v>
      </c>
      <c r="W1386">
        <v>1</v>
      </c>
      <c r="X1386">
        <v>1</v>
      </c>
      <c r="Y1386">
        <v>0</v>
      </c>
      <c r="Z1386">
        <v>1</v>
      </c>
      <c r="AA1386">
        <v>0</v>
      </c>
      <c r="AB1386">
        <v>109.1</v>
      </c>
      <c r="AC1386">
        <v>96</v>
      </c>
      <c r="AD1386">
        <v>0</v>
      </c>
      <c r="AE1386">
        <v>13.1</v>
      </c>
      <c r="AF1386">
        <v>0</v>
      </c>
      <c r="AG1386">
        <v>0</v>
      </c>
      <c r="AH1386">
        <v>0</v>
      </c>
      <c r="AI1386">
        <v>0</v>
      </c>
      <c r="AJ1386">
        <v>109.1</v>
      </c>
      <c r="AK1386">
        <v>0</v>
      </c>
      <c r="AL1386" t="s">
        <v>53</v>
      </c>
      <c r="AM1386" t="s">
        <v>53</v>
      </c>
      <c r="AN1386" t="s">
        <v>378</v>
      </c>
      <c r="AO1386" t="s">
        <v>53</v>
      </c>
      <c r="AP1386" t="s">
        <v>53</v>
      </c>
    </row>
    <row r="1387" spans="2:42" x14ac:dyDescent="0.2">
      <c r="B1387" t="s">
        <v>44</v>
      </c>
      <c r="C1387" t="str">
        <f>HYPERLINK("https://us2.cloudbeds.com/connect/8493803454333002#/reservations/598513451162?display=E1EDD1NA&amp;reservation_id=598513451162", "E1EDD1NA")</f>
        <v>E1EDD1NA</v>
      </c>
      <c r="D1387" t="s">
        <v>45</v>
      </c>
      <c r="E1387" t="s">
        <v>487</v>
      </c>
      <c r="F1387" t="s">
        <v>61</v>
      </c>
      <c r="G1387" t="s">
        <v>48</v>
      </c>
      <c r="H1387" t="s">
        <v>49</v>
      </c>
      <c r="I1387" t="s">
        <v>50</v>
      </c>
      <c r="J1387" t="s">
        <v>133</v>
      </c>
      <c r="K1387" t="s">
        <v>341</v>
      </c>
      <c r="L1387" t="s">
        <v>53</v>
      </c>
      <c r="N1387" t="s">
        <v>2417</v>
      </c>
      <c r="P1387" t="s">
        <v>55</v>
      </c>
      <c r="R1387" t="s">
        <v>56</v>
      </c>
      <c r="T1387" t="s">
        <v>2405</v>
      </c>
      <c r="U1387" t="s">
        <v>58</v>
      </c>
      <c r="V1387">
        <v>3</v>
      </c>
      <c r="W1387">
        <v>1</v>
      </c>
      <c r="X1387">
        <v>1</v>
      </c>
      <c r="Y1387">
        <v>0</v>
      </c>
      <c r="Z1387">
        <v>1</v>
      </c>
      <c r="AA1387">
        <v>0</v>
      </c>
      <c r="AB1387">
        <v>490.97</v>
      </c>
      <c r="AC1387">
        <v>432</v>
      </c>
      <c r="AD1387">
        <v>0</v>
      </c>
      <c r="AE1387">
        <v>58.98</v>
      </c>
      <c r="AF1387">
        <v>0</v>
      </c>
      <c r="AG1387">
        <v>0</v>
      </c>
      <c r="AH1387">
        <v>0</v>
      </c>
      <c r="AI1387">
        <v>88.38</v>
      </c>
      <c r="AJ1387">
        <v>490.98</v>
      </c>
      <c r="AK1387">
        <v>0.01</v>
      </c>
      <c r="AL1387" t="s">
        <v>53</v>
      </c>
      <c r="AM1387" t="s">
        <v>53</v>
      </c>
      <c r="AN1387" t="s">
        <v>413</v>
      </c>
      <c r="AO1387" t="s">
        <v>53</v>
      </c>
      <c r="AP1387" t="s">
        <v>53</v>
      </c>
    </row>
    <row r="1388" spans="2:42" x14ac:dyDescent="0.2">
      <c r="B1388" t="s">
        <v>44</v>
      </c>
      <c r="C1388" t="str">
        <f>HYPERLINK("https://us2.cloudbeds.com/connect/8493803454333002#/reservations/598358888593?display=E1AF23W3&amp;reservation_id=598358888593", "E1AF23W3")</f>
        <v>E1AF23W3</v>
      </c>
      <c r="D1388" t="s">
        <v>45</v>
      </c>
      <c r="E1388" t="s">
        <v>487</v>
      </c>
      <c r="F1388" t="s">
        <v>61</v>
      </c>
      <c r="G1388" t="s">
        <v>48</v>
      </c>
      <c r="H1388" t="s">
        <v>49</v>
      </c>
      <c r="I1388" t="s">
        <v>50</v>
      </c>
      <c r="J1388" t="s">
        <v>354</v>
      </c>
      <c r="K1388" t="s">
        <v>359</v>
      </c>
      <c r="L1388" t="s">
        <v>53</v>
      </c>
      <c r="N1388" t="s">
        <v>2418</v>
      </c>
      <c r="P1388" t="s">
        <v>55</v>
      </c>
      <c r="R1388" t="s">
        <v>56</v>
      </c>
      <c r="T1388" t="s">
        <v>2405</v>
      </c>
      <c r="U1388" t="s">
        <v>58</v>
      </c>
      <c r="V1388">
        <v>2</v>
      </c>
      <c r="W1388">
        <v>1</v>
      </c>
      <c r="X1388">
        <v>1</v>
      </c>
      <c r="Y1388">
        <v>0</v>
      </c>
      <c r="Z1388">
        <v>1</v>
      </c>
      <c r="AA1388">
        <v>0</v>
      </c>
      <c r="AB1388">
        <v>245.48</v>
      </c>
      <c r="AC1388">
        <v>216</v>
      </c>
      <c r="AD1388">
        <v>0</v>
      </c>
      <c r="AE1388">
        <v>29.48</v>
      </c>
      <c r="AF1388">
        <v>0</v>
      </c>
      <c r="AG1388">
        <v>0</v>
      </c>
      <c r="AH1388">
        <v>0</v>
      </c>
      <c r="AI1388">
        <v>44.19</v>
      </c>
      <c r="AJ1388">
        <v>245.48</v>
      </c>
      <c r="AK1388">
        <v>0</v>
      </c>
      <c r="AL1388" t="s">
        <v>53</v>
      </c>
      <c r="AM1388" t="s">
        <v>53</v>
      </c>
      <c r="AN1388" t="s">
        <v>545</v>
      </c>
      <c r="AO1388" t="s">
        <v>53</v>
      </c>
      <c r="AP1388" t="s">
        <v>53</v>
      </c>
    </row>
    <row r="1389" spans="2:42" x14ac:dyDescent="0.2">
      <c r="B1389" t="s">
        <v>44</v>
      </c>
      <c r="C1389" t="str">
        <f>HYPERLINK("https://us2.cloudbeds.com/connect/8493803454333002#/reservations/598354464959?display=E1ABB0SJ&amp;reservation_id=598354464959", "E1ABB0SJ")</f>
        <v>E1ABB0SJ</v>
      </c>
      <c r="D1389" t="s">
        <v>45</v>
      </c>
      <c r="E1389" t="s">
        <v>105</v>
      </c>
      <c r="F1389" t="s">
        <v>47</v>
      </c>
      <c r="G1389" t="s">
        <v>48</v>
      </c>
      <c r="H1389" t="s">
        <v>49</v>
      </c>
      <c r="I1389" t="s">
        <v>50</v>
      </c>
      <c r="J1389" t="s">
        <v>600</v>
      </c>
      <c r="K1389" t="s">
        <v>106</v>
      </c>
      <c r="L1389" t="s">
        <v>53</v>
      </c>
      <c r="N1389" t="s">
        <v>2419</v>
      </c>
      <c r="P1389" t="s">
        <v>55</v>
      </c>
      <c r="R1389" t="s">
        <v>56</v>
      </c>
      <c r="T1389" t="s">
        <v>2405</v>
      </c>
      <c r="U1389" t="s">
        <v>58</v>
      </c>
      <c r="V1389">
        <v>1</v>
      </c>
      <c r="W1389">
        <v>1</v>
      </c>
      <c r="X1389">
        <v>1</v>
      </c>
      <c r="Y1389">
        <v>0</v>
      </c>
      <c r="Z1389">
        <v>1</v>
      </c>
      <c r="AA1389">
        <v>0</v>
      </c>
      <c r="AB1389">
        <v>103.31</v>
      </c>
      <c r="AC1389">
        <v>90.9</v>
      </c>
      <c r="AD1389">
        <v>0</v>
      </c>
      <c r="AE1389">
        <v>12.41</v>
      </c>
      <c r="AF1389">
        <v>0</v>
      </c>
      <c r="AG1389">
        <v>0</v>
      </c>
      <c r="AH1389">
        <v>0</v>
      </c>
      <c r="AI1389">
        <v>18.600000000000001</v>
      </c>
      <c r="AJ1389">
        <v>103.31</v>
      </c>
      <c r="AK1389">
        <v>0</v>
      </c>
      <c r="AL1389" t="s">
        <v>53</v>
      </c>
      <c r="AM1389" t="s">
        <v>53</v>
      </c>
      <c r="AN1389" t="s">
        <v>413</v>
      </c>
      <c r="AO1389" t="s">
        <v>53</v>
      </c>
      <c r="AP1389" t="s">
        <v>53</v>
      </c>
    </row>
    <row r="1390" spans="2:42" x14ac:dyDescent="0.2">
      <c r="B1390" t="s">
        <v>44</v>
      </c>
      <c r="C1390" t="str">
        <f>HYPERLINK("https://us2.cloudbeds.com/connect/8493803454333002#/reservations/598598492363?display=E1GEA0JS&amp;reservation_id=598598492363", "E1GEA0JS")</f>
        <v>E1GEA0JS</v>
      </c>
      <c r="D1390" t="s">
        <v>45</v>
      </c>
      <c r="E1390" t="s">
        <v>46</v>
      </c>
      <c r="F1390" t="s">
        <v>47</v>
      </c>
      <c r="G1390" t="s">
        <v>48</v>
      </c>
      <c r="H1390" t="s">
        <v>49</v>
      </c>
      <c r="I1390" t="s">
        <v>79</v>
      </c>
      <c r="J1390" t="s">
        <v>600</v>
      </c>
      <c r="K1390" t="s">
        <v>106</v>
      </c>
      <c r="L1390" t="s">
        <v>53</v>
      </c>
      <c r="N1390" t="s">
        <v>2420</v>
      </c>
      <c r="P1390" t="s">
        <v>55</v>
      </c>
      <c r="R1390" t="s">
        <v>56</v>
      </c>
      <c r="T1390" t="s">
        <v>2405</v>
      </c>
      <c r="U1390" t="s">
        <v>58</v>
      </c>
      <c r="V1390">
        <v>1</v>
      </c>
      <c r="W1390">
        <v>1</v>
      </c>
      <c r="X1390">
        <v>1</v>
      </c>
      <c r="Y1390">
        <v>0</v>
      </c>
      <c r="Z1390">
        <v>1</v>
      </c>
      <c r="AA1390">
        <v>0</v>
      </c>
      <c r="AB1390">
        <v>103.31</v>
      </c>
      <c r="AC1390">
        <v>90.9</v>
      </c>
      <c r="AD1390">
        <v>0</v>
      </c>
      <c r="AE1390">
        <v>12.41</v>
      </c>
      <c r="AF1390">
        <v>0</v>
      </c>
      <c r="AG1390">
        <v>0</v>
      </c>
      <c r="AH1390">
        <v>0</v>
      </c>
      <c r="AI1390">
        <v>0</v>
      </c>
      <c r="AJ1390">
        <v>103.31</v>
      </c>
      <c r="AK1390">
        <v>0</v>
      </c>
      <c r="AL1390" t="s">
        <v>53</v>
      </c>
      <c r="AM1390" t="s">
        <v>53</v>
      </c>
      <c r="AN1390" t="s">
        <v>2421</v>
      </c>
      <c r="AO1390" t="s">
        <v>53</v>
      </c>
      <c r="AP1390" t="s">
        <v>53</v>
      </c>
    </row>
    <row r="1391" spans="2:42" x14ac:dyDescent="0.2">
      <c r="B1391" t="s">
        <v>44</v>
      </c>
      <c r="C1391" t="str">
        <f>HYPERLINK("https://us2.cloudbeds.com/connect/8493803454333002#/reservations/598438252749?display=E1CFWHWH&amp;reservation_id=598438252749", "E1CFWHWH")</f>
        <v>E1CFWHWH</v>
      </c>
      <c r="D1391" t="s">
        <v>45</v>
      </c>
      <c r="E1391" t="s">
        <v>138</v>
      </c>
      <c r="F1391" t="s">
        <v>70</v>
      </c>
      <c r="G1391" t="s">
        <v>48</v>
      </c>
      <c r="H1391" t="s">
        <v>49</v>
      </c>
      <c r="I1391" t="s">
        <v>79</v>
      </c>
      <c r="J1391" t="s">
        <v>107</v>
      </c>
      <c r="K1391" t="s">
        <v>191</v>
      </c>
      <c r="L1391" t="s">
        <v>53</v>
      </c>
      <c r="N1391" t="s">
        <v>2422</v>
      </c>
      <c r="P1391" t="s">
        <v>55</v>
      </c>
      <c r="R1391" t="s">
        <v>56</v>
      </c>
      <c r="T1391" t="s">
        <v>2405</v>
      </c>
      <c r="U1391" t="s">
        <v>58</v>
      </c>
      <c r="V1391">
        <v>1</v>
      </c>
      <c r="W1391">
        <v>1</v>
      </c>
      <c r="X1391">
        <v>1</v>
      </c>
      <c r="Y1391">
        <v>0</v>
      </c>
      <c r="Z1391">
        <v>1</v>
      </c>
      <c r="AA1391">
        <v>0</v>
      </c>
      <c r="AB1391">
        <v>97.17</v>
      </c>
      <c r="AC1391">
        <v>85.5</v>
      </c>
      <c r="AD1391">
        <v>0</v>
      </c>
      <c r="AE1391">
        <v>11.67</v>
      </c>
      <c r="AF1391">
        <v>0</v>
      </c>
      <c r="AG1391">
        <v>0</v>
      </c>
      <c r="AH1391">
        <v>0</v>
      </c>
      <c r="AI1391">
        <v>0</v>
      </c>
      <c r="AJ1391">
        <v>97.17</v>
      </c>
      <c r="AK1391">
        <v>0</v>
      </c>
      <c r="AL1391" t="s">
        <v>53</v>
      </c>
      <c r="AM1391" t="s">
        <v>53</v>
      </c>
      <c r="AN1391" t="s">
        <v>132</v>
      </c>
      <c r="AO1391" t="s">
        <v>53</v>
      </c>
      <c r="AP1391" t="s">
        <v>53</v>
      </c>
    </row>
    <row r="1392" spans="2:42" x14ac:dyDescent="0.2">
      <c r="B1392" t="s">
        <v>44</v>
      </c>
      <c r="C1392" t="str">
        <f>HYPERLINK("https://us2.cloudbeds.com/connect/8493803454333002#/reservations/598320550028?display=E19FZ9MD&amp;reservation_id=598320550028", "E19FZ9MD")</f>
        <v>E19FZ9MD</v>
      </c>
      <c r="D1392" t="s">
        <v>45</v>
      </c>
      <c r="E1392" t="s">
        <v>406</v>
      </c>
      <c r="F1392" t="s">
        <v>61</v>
      </c>
      <c r="G1392" t="s">
        <v>48</v>
      </c>
      <c r="H1392" t="s">
        <v>49</v>
      </c>
      <c r="I1392" t="s">
        <v>114</v>
      </c>
      <c r="J1392" t="s">
        <v>253</v>
      </c>
      <c r="K1392" t="s">
        <v>360</v>
      </c>
      <c r="L1392" t="s">
        <v>53</v>
      </c>
      <c r="N1392" t="s">
        <v>2423</v>
      </c>
      <c r="P1392" t="s">
        <v>55</v>
      </c>
      <c r="R1392" t="s">
        <v>56</v>
      </c>
      <c r="T1392" t="s">
        <v>2405</v>
      </c>
      <c r="U1392" t="s">
        <v>58</v>
      </c>
      <c r="V1392">
        <v>4</v>
      </c>
      <c r="W1392">
        <v>1</v>
      </c>
      <c r="X1392">
        <v>1</v>
      </c>
      <c r="Y1392">
        <v>0</v>
      </c>
      <c r="Z1392">
        <v>1</v>
      </c>
      <c r="AA1392">
        <v>0</v>
      </c>
      <c r="AB1392">
        <v>500.06</v>
      </c>
      <c r="AC1392">
        <v>440</v>
      </c>
      <c r="AD1392">
        <v>0</v>
      </c>
      <c r="AE1392">
        <v>60.08</v>
      </c>
      <c r="AF1392">
        <v>0</v>
      </c>
      <c r="AG1392">
        <v>0</v>
      </c>
      <c r="AH1392">
        <v>0</v>
      </c>
      <c r="AI1392">
        <v>0</v>
      </c>
      <c r="AJ1392">
        <v>500.08</v>
      </c>
      <c r="AK1392">
        <v>0.02</v>
      </c>
      <c r="AL1392" t="s">
        <v>53</v>
      </c>
      <c r="AM1392" t="s">
        <v>53</v>
      </c>
      <c r="AN1392" t="s">
        <v>2424</v>
      </c>
      <c r="AO1392" t="s">
        <v>53</v>
      </c>
      <c r="AP1392" t="s">
        <v>53</v>
      </c>
    </row>
    <row r="1393" spans="2:42" x14ac:dyDescent="0.2">
      <c r="B1393" t="s">
        <v>44</v>
      </c>
      <c r="C1393" t="str">
        <f>HYPERLINK("https://us2.cloudbeds.com/connect/8493803454333002#/reservations/598134489222?display=E14NRSV5&amp;reservation_id=598134489222", "E14NRSV5")</f>
        <v>E14NRSV5</v>
      </c>
      <c r="D1393" t="s">
        <v>45</v>
      </c>
      <c r="E1393" t="s">
        <v>265</v>
      </c>
      <c r="F1393" t="s">
        <v>61</v>
      </c>
      <c r="G1393" t="s">
        <v>48</v>
      </c>
      <c r="H1393" t="s">
        <v>71</v>
      </c>
      <c r="I1393" t="s">
        <v>72</v>
      </c>
      <c r="J1393" t="s">
        <v>106</v>
      </c>
      <c r="K1393" t="s">
        <v>107</v>
      </c>
      <c r="L1393" t="s">
        <v>53</v>
      </c>
      <c r="N1393" t="s">
        <v>2425</v>
      </c>
      <c r="P1393" t="s">
        <v>58</v>
      </c>
      <c r="R1393" t="s">
        <v>56</v>
      </c>
      <c r="T1393" t="s">
        <v>2405</v>
      </c>
      <c r="U1393" t="s">
        <v>58</v>
      </c>
      <c r="V1393">
        <v>2</v>
      </c>
      <c r="W1393">
        <v>1</v>
      </c>
      <c r="X1393">
        <v>1</v>
      </c>
      <c r="Y1393">
        <v>0</v>
      </c>
      <c r="Z1393">
        <v>1</v>
      </c>
      <c r="AA1393">
        <v>0</v>
      </c>
      <c r="AB1393">
        <v>329.59</v>
      </c>
      <c r="AC1393">
        <v>290</v>
      </c>
      <c r="AD1393">
        <v>0</v>
      </c>
      <c r="AE1393">
        <v>39.6</v>
      </c>
      <c r="AF1393">
        <v>0</v>
      </c>
      <c r="AG1393">
        <v>0</v>
      </c>
      <c r="AH1393">
        <v>0</v>
      </c>
      <c r="AI1393">
        <v>0</v>
      </c>
      <c r="AJ1393">
        <v>329.6</v>
      </c>
      <c r="AK1393">
        <v>0.01</v>
      </c>
      <c r="AL1393" t="s">
        <v>53</v>
      </c>
      <c r="AM1393" t="s">
        <v>53</v>
      </c>
      <c r="AN1393" t="s">
        <v>2426</v>
      </c>
      <c r="AO1393" t="s">
        <v>53</v>
      </c>
      <c r="AP1393" t="s">
        <v>53</v>
      </c>
    </row>
    <row r="1394" spans="2:42" x14ac:dyDescent="0.2">
      <c r="B1394" t="s">
        <v>44</v>
      </c>
      <c r="C1394" t="str">
        <f>HYPERLINK("https://us2.cloudbeds.com/connect/8493803454333002#/reservations/598174335122?display=E15ZEYCY&amp;reservation_id=598174335122", "E15ZEYCY")</f>
        <v>E15ZEYCY</v>
      </c>
      <c r="D1394" t="s">
        <v>45</v>
      </c>
      <c r="E1394" t="s">
        <v>179</v>
      </c>
      <c r="F1394" t="s">
        <v>47</v>
      </c>
      <c r="G1394" t="s">
        <v>48</v>
      </c>
      <c r="H1394" t="s">
        <v>49</v>
      </c>
      <c r="I1394" t="s">
        <v>266</v>
      </c>
      <c r="J1394" t="s">
        <v>351</v>
      </c>
      <c r="K1394" t="s">
        <v>323</v>
      </c>
      <c r="L1394" t="s">
        <v>53</v>
      </c>
      <c r="N1394" t="s">
        <v>2427</v>
      </c>
      <c r="P1394" t="s">
        <v>55</v>
      </c>
      <c r="R1394" t="s">
        <v>56</v>
      </c>
      <c r="T1394" t="s">
        <v>2405</v>
      </c>
      <c r="U1394" t="s">
        <v>58</v>
      </c>
      <c r="V1394">
        <v>2</v>
      </c>
      <c r="W1394">
        <v>1</v>
      </c>
      <c r="X1394">
        <v>1</v>
      </c>
      <c r="Y1394">
        <v>0</v>
      </c>
      <c r="Z1394">
        <v>1</v>
      </c>
      <c r="AA1394">
        <v>0</v>
      </c>
      <c r="AB1394">
        <v>306.86</v>
      </c>
      <c r="AC1394">
        <v>270</v>
      </c>
      <c r="AD1394">
        <v>0</v>
      </c>
      <c r="AE1394">
        <v>36.880000000000003</v>
      </c>
      <c r="AF1394">
        <v>0</v>
      </c>
      <c r="AG1394">
        <v>0</v>
      </c>
      <c r="AH1394">
        <v>0</v>
      </c>
      <c r="AI1394">
        <v>0</v>
      </c>
      <c r="AJ1394">
        <v>306.88</v>
      </c>
      <c r="AK1394">
        <v>0.02</v>
      </c>
      <c r="AL1394" t="s">
        <v>53</v>
      </c>
      <c r="AM1394" t="s">
        <v>53</v>
      </c>
      <c r="AN1394" t="s">
        <v>127</v>
      </c>
      <c r="AO1394" t="s">
        <v>53</v>
      </c>
      <c r="AP1394" t="s">
        <v>53</v>
      </c>
    </row>
    <row r="1395" spans="2:42" x14ac:dyDescent="0.2">
      <c r="B1395" t="s">
        <v>44</v>
      </c>
      <c r="C1395" t="str">
        <f>HYPERLINK("https://us2.cloudbeds.com/connect/8493803454333002#/reservations/598544130208?display=E1F68ZFB&amp;reservation_id=598544130208", "E1F68ZFB")</f>
        <v>E1F68ZFB</v>
      </c>
      <c r="D1395" t="s">
        <v>45</v>
      </c>
      <c r="E1395" t="s">
        <v>185</v>
      </c>
      <c r="F1395" t="s">
        <v>47</v>
      </c>
      <c r="G1395" t="s">
        <v>48</v>
      </c>
      <c r="H1395" t="s">
        <v>49</v>
      </c>
      <c r="I1395" t="s">
        <v>114</v>
      </c>
      <c r="J1395" t="s">
        <v>600</v>
      </c>
      <c r="K1395" t="s">
        <v>106</v>
      </c>
      <c r="L1395" t="s">
        <v>53</v>
      </c>
      <c r="N1395" t="s">
        <v>2428</v>
      </c>
      <c r="P1395" t="s">
        <v>55</v>
      </c>
      <c r="R1395" t="s">
        <v>56</v>
      </c>
      <c r="T1395" t="s">
        <v>2405</v>
      </c>
      <c r="U1395" t="s">
        <v>58</v>
      </c>
      <c r="V1395">
        <v>1</v>
      </c>
      <c r="W1395">
        <v>1</v>
      </c>
      <c r="X1395">
        <v>1</v>
      </c>
      <c r="Y1395">
        <v>0</v>
      </c>
      <c r="Z1395">
        <v>1</v>
      </c>
      <c r="AA1395">
        <v>0</v>
      </c>
      <c r="AB1395">
        <v>109.1</v>
      </c>
      <c r="AC1395">
        <v>96</v>
      </c>
      <c r="AD1395">
        <v>0</v>
      </c>
      <c r="AE1395">
        <v>13.1</v>
      </c>
      <c r="AF1395">
        <v>0</v>
      </c>
      <c r="AG1395">
        <v>0</v>
      </c>
      <c r="AH1395">
        <v>0</v>
      </c>
      <c r="AI1395">
        <v>0</v>
      </c>
      <c r="AJ1395">
        <v>109.1</v>
      </c>
      <c r="AK1395">
        <v>0</v>
      </c>
      <c r="AL1395" t="s">
        <v>53</v>
      </c>
      <c r="AM1395" t="s">
        <v>53</v>
      </c>
      <c r="AN1395" t="s">
        <v>2429</v>
      </c>
      <c r="AO1395" t="s">
        <v>53</v>
      </c>
      <c r="AP1395" t="s">
        <v>53</v>
      </c>
    </row>
    <row r="1396" spans="2:42" x14ac:dyDescent="0.2">
      <c r="B1396" t="s">
        <v>44</v>
      </c>
      <c r="C1396" t="str">
        <f>HYPERLINK("https://us2.cloudbeds.com/connect/8493803454333002#/reservations/598604415227?display=E1GZ38K4&amp;reservation_id=598604415227", "E1GZ38K4")</f>
        <v>E1GZ38K4</v>
      </c>
      <c r="D1396" t="s">
        <v>45</v>
      </c>
      <c r="E1396" t="s">
        <v>381</v>
      </c>
      <c r="F1396" t="s">
        <v>47</v>
      </c>
      <c r="G1396" t="s">
        <v>48</v>
      </c>
      <c r="H1396" t="s">
        <v>71</v>
      </c>
      <c r="I1396" t="s">
        <v>72</v>
      </c>
      <c r="J1396" t="s">
        <v>600</v>
      </c>
      <c r="K1396" t="s">
        <v>106</v>
      </c>
      <c r="L1396" t="s">
        <v>53</v>
      </c>
      <c r="N1396" t="s">
        <v>2430</v>
      </c>
      <c r="P1396" t="s">
        <v>55</v>
      </c>
      <c r="R1396" t="s">
        <v>56</v>
      </c>
      <c r="T1396" t="s">
        <v>2405</v>
      </c>
      <c r="U1396" t="s">
        <v>58</v>
      </c>
      <c r="V1396">
        <v>1</v>
      </c>
      <c r="W1396">
        <v>1</v>
      </c>
      <c r="X1396">
        <v>1</v>
      </c>
      <c r="Y1396">
        <v>0</v>
      </c>
      <c r="Z1396">
        <v>1</v>
      </c>
      <c r="AA1396">
        <v>0</v>
      </c>
      <c r="AB1396">
        <v>97.74</v>
      </c>
      <c r="AC1396">
        <v>86</v>
      </c>
      <c r="AD1396">
        <v>0</v>
      </c>
      <c r="AE1396">
        <v>11.74</v>
      </c>
      <c r="AF1396">
        <v>0</v>
      </c>
      <c r="AG1396">
        <v>0</v>
      </c>
      <c r="AH1396">
        <v>0</v>
      </c>
      <c r="AI1396">
        <v>0</v>
      </c>
      <c r="AJ1396">
        <v>97.74</v>
      </c>
      <c r="AK1396">
        <v>0</v>
      </c>
      <c r="AL1396" t="s">
        <v>53</v>
      </c>
      <c r="AM1396" t="s">
        <v>53</v>
      </c>
      <c r="AN1396" t="s">
        <v>378</v>
      </c>
      <c r="AO1396" t="s">
        <v>53</v>
      </c>
      <c r="AP1396" t="s">
        <v>53</v>
      </c>
    </row>
    <row r="1397" spans="2:42" x14ac:dyDescent="0.2">
      <c r="B1397" t="s">
        <v>44</v>
      </c>
      <c r="C1397" t="str">
        <f>HYPERLINK("https://us2.cloudbeds.com/connect/8493803454333002#/reservations/598144983233?display=E14WMTAG&amp;reservation_id=598144983233", "E14WMTAG")</f>
        <v>E14WMTAG</v>
      </c>
      <c r="D1397" t="s">
        <v>45</v>
      </c>
      <c r="E1397" t="s">
        <v>381</v>
      </c>
      <c r="F1397" t="s">
        <v>47</v>
      </c>
      <c r="G1397" t="s">
        <v>48</v>
      </c>
      <c r="H1397" t="s">
        <v>49</v>
      </c>
      <c r="I1397" t="s">
        <v>62</v>
      </c>
      <c r="J1397" t="s">
        <v>938</v>
      </c>
      <c r="K1397" t="s">
        <v>359</v>
      </c>
      <c r="L1397" t="s">
        <v>53</v>
      </c>
      <c r="N1397" t="s">
        <v>2431</v>
      </c>
      <c r="P1397" t="s">
        <v>55</v>
      </c>
      <c r="R1397" t="s">
        <v>56</v>
      </c>
      <c r="T1397" t="s">
        <v>2405</v>
      </c>
      <c r="U1397" t="s">
        <v>58</v>
      </c>
      <c r="V1397">
        <v>1</v>
      </c>
      <c r="W1397">
        <v>1</v>
      </c>
      <c r="X1397">
        <v>1</v>
      </c>
      <c r="Y1397">
        <v>0</v>
      </c>
      <c r="Z1397">
        <v>1</v>
      </c>
      <c r="AA1397">
        <v>0</v>
      </c>
      <c r="AB1397">
        <v>119.33</v>
      </c>
      <c r="AC1397">
        <v>105</v>
      </c>
      <c r="AD1397">
        <v>0</v>
      </c>
      <c r="AE1397">
        <v>14.34</v>
      </c>
      <c r="AF1397">
        <v>0</v>
      </c>
      <c r="AG1397">
        <v>0</v>
      </c>
      <c r="AH1397">
        <v>0</v>
      </c>
      <c r="AI1397">
        <v>17.899999999999999</v>
      </c>
      <c r="AJ1397">
        <v>119.34</v>
      </c>
      <c r="AK1397">
        <v>0.01</v>
      </c>
      <c r="AL1397" t="s">
        <v>53</v>
      </c>
      <c r="AM1397" t="s">
        <v>53</v>
      </c>
      <c r="AN1397" t="s">
        <v>137</v>
      </c>
      <c r="AO1397" t="s">
        <v>53</v>
      </c>
      <c r="AP1397" t="s">
        <v>53</v>
      </c>
    </row>
    <row r="1398" spans="2:42" x14ac:dyDescent="0.2">
      <c r="B1398" t="s">
        <v>44</v>
      </c>
      <c r="C1398" t="str">
        <f>HYPERLINK("https://us2.cloudbeds.com/connect/8493803454333002#/reservations/579358720136?display=DJJVKE0J&amp;reservation_id=579358720136", "DJJVKE0J")</f>
        <v>DJJVKE0J</v>
      </c>
      <c r="D1398" t="s">
        <v>45</v>
      </c>
      <c r="E1398" t="s">
        <v>98</v>
      </c>
      <c r="F1398" t="s">
        <v>86</v>
      </c>
      <c r="G1398" t="s">
        <v>48</v>
      </c>
      <c r="H1398" t="s">
        <v>71</v>
      </c>
      <c r="I1398" t="s">
        <v>72</v>
      </c>
      <c r="J1398" t="s">
        <v>1716</v>
      </c>
      <c r="K1398" t="s">
        <v>1258</v>
      </c>
      <c r="L1398" t="s">
        <v>53</v>
      </c>
      <c r="N1398" t="s">
        <v>2432</v>
      </c>
      <c r="P1398" t="s">
        <v>55</v>
      </c>
      <c r="R1398" t="s">
        <v>56</v>
      </c>
      <c r="T1398" t="s">
        <v>2405</v>
      </c>
      <c r="U1398" t="s">
        <v>58</v>
      </c>
      <c r="V1398">
        <v>1</v>
      </c>
      <c r="W1398">
        <v>1</v>
      </c>
      <c r="X1398">
        <v>1</v>
      </c>
      <c r="Y1398">
        <v>0</v>
      </c>
      <c r="Z1398">
        <v>1</v>
      </c>
      <c r="AA1398">
        <v>0</v>
      </c>
      <c r="AB1398">
        <v>138.66</v>
      </c>
      <c r="AC1398">
        <v>122</v>
      </c>
      <c r="AD1398">
        <v>0</v>
      </c>
      <c r="AE1398">
        <v>16.66</v>
      </c>
      <c r="AF1398">
        <v>0</v>
      </c>
      <c r="AG1398">
        <v>0</v>
      </c>
      <c r="AH1398">
        <v>0</v>
      </c>
      <c r="AI1398">
        <v>0</v>
      </c>
      <c r="AJ1398">
        <v>138.66</v>
      </c>
      <c r="AK1398">
        <v>0</v>
      </c>
      <c r="AL1398" t="s">
        <v>53</v>
      </c>
      <c r="AM1398" t="s">
        <v>53</v>
      </c>
      <c r="AN1398" t="s">
        <v>2433</v>
      </c>
      <c r="AO1398" t="s">
        <v>53</v>
      </c>
      <c r="AP1398" t="s">
        <v>53</v>
      </c>
    </row>
    <row r="1399" spans="2:42" x14ac:dyDescent="0.2">
      <c r="B1399" t="s">
        <v>44</v>
      </c>
      <c r="C1399" t="str">
        <f>HYPERLINK("https://us2.cloudbeds.com/connect/8493803454333002#/reservations/598410166421?display=E1BPA01M&amp;reservation_id=598410166421", "E1BPA01M")</f>
        <v>E1BPA01M</v>
      </c>
      <c r="D1399" t="s">
        <v>45</v>
      </c>
      <c r="E1399" t="s">
        <v>98</v>
      </c>
      <c r="F1399" t="s">
        <v>86</v>
      </c>
      <c r="G1399" t="s">
        <v>48</v>
      </c>
      <c r="H1399" t="s">
        <v>49</v>
      </c>
      <c r="I1399" t="s">
        <v>50</v>
      </c>
      <c r="J1399" t="s">
        <v>359</v>
      </c>
      <c r="K1399" t="s">
        <v>360</v>
      </c>
      <c r="L1399" t="s">
        <v>53</v>
      </c>
      <c r="N1399" t="s">
        <v>2434</v>
      </c>
      <c r="P1399" t="s">
        <v>55</v>
      </c>
      <c r="R1399" t="s">
        <v>56</v>
      </c>
      <c r="T1399" t="s">
        <v>2405</v>
      </c>
      <c r="U1399" t="s">
        <v>58</v>
      </c>
      <c r="V1399">
        <v>1</v>
      </c>
      <c r="W1399">
        <v>1</v>
      </c>
      <c r="X1399">
        <v>1</v>
      </c>
      <c r="Y1399">
        <v>0</v>
      </c>
      <c r="Z1399">
        <v>1</v>
      </c>
      <c r="AA1399">
        <v>0</v>
      </c>
      <c r="AB1399">
        <v>119.67</v>
      </c>
      <c r="AC1399">
        <v>105.3</v>
      </c>
      <c r="AD1399">
        <v>0</v>
      </c>
      <c r="AE1399">
        <v>14.38</v>
      </c>
      <c r="AF1399">
        <v>0</v>
      </c>
      <c r="AG1399">
        <v>0</v>
      </c>
      <c r="AH1399">
        <v>0</v>
      </c>
      <c r="AI1399">
        <v>21.54</v>
      </c>
      <c r="AJ1399">
        <v>119.68</v>
      </c>
      <c r="AK1399">
        <v>0.01</v>
      </c>
      <c r="AL1399" t="s">
        <v>53</v>
      </c>
      <c r="AM1399" t="s">
        <v>53</v>
      </c>
      <c r="AN1399" t="s">
        <v>112</v>
      </c>
      <c r="AO1399" t="s">
        <v>53</v>
      </c>
      <c r="AP1399" t="s">
        <v>53</v>
      </c>
    </row>
    <row r="1400" spans="2:42" x14ac:dyDescent="0.2">
      <c r="B1400" t="s">
        <v>44</v>
      </c>
      <c r="C1400" t="str">
        <f>HYPERLINK("https://us2.cloudbeds.com/connect/8493803454333002#/reservations/579275215023?display=DJHR6PEE&amp;reservation_id=579275215023", "DJHR6PEE")</f>
        <v>DJHR6PEE</v>
      </c>
      <c r="D1400" t="s">
        <v>45</v>
      </c>
      <c r="E1400" t="s">
        <v>165</v>
      </c>
      <c r="F1400" t="s">
        <v>61</v>
      </c>
      <c r="G1400" t="s">
        <v>48</v>
      </c>
      <c r="H1400" t="s">
        <v>49</v>
      </c>
      <c r="I1400" t="s">
        <v>50</v>
      </c>
      <c r="J1400" t="s">
        <v>1523</v>
      </c>
      <c r="K1400" t="s">
        <v>2013</v>
      </c>
      <c r="L1400" t="s">
        <v>53</v>
      </c>
      <c r="N1400" t="s">
        <v>2435</v>
      </c>
      <c r="P1400" t="s">
        <v>55</v>
      </c>
      <c r="R1400" t="s">
        <v>56</v>
      </c>
      <c r="T1400" t="s">
        <v>2436</v>
      </c>
      <c r="U1400" t="s">
        <v>58</v>
      </c>
      <c r="V1400">
        <v>1</v>
      </c>
      <c r="W1400">
        <v>1</v>
      </c>
      <c r="X1400">
        <v>1</v>
      </c>
      <c r="Y1400">
        <v>0</v>
      </c>
      <c r="Z1400">
        <v>1</v>
      </c>
      <c r="AA1400">
        <v>0</v>
      </c>
      <c r="AB1400">
        <v>124.78</v>
      </c>
      <c r="AC1400">
        <v>109.8</v>
      </c>
      <c r="AD1400">
        <v>0</v>
      </c>
      <c r="AE1400">
        <v>14.98</v>
      </c>
      <c r="AF1400">
        <v>0</v>
      </c>
      <c r="AG1400">
        <v>0</v>
      </c>
      <c r="AH1400">
        <v>0</v>
      </c>
      <c r="AI1400">
        <v>22.46</v>
      </c>
      <c r="AJ1400">
        <v>124.78</v>
      </c>
      <c r="AK1400">
        <v>0</v>
      </c>
      <c r="AL1400" t="s">
        <v>53</v>
      </c>
      <c r="AM1400" t="s">
        <v>53</v>
      </c>
      <c r="AN1400" t="s">
        <v>245</v>
      </c>
      <c r="AO1400" t="s">
        <v>53</v>
      </c>
      <c r="AP1400" t="s">
        <v>53</v>
      </c>
    </row>
    <row r="1401" spans="2:42" x14ac:dyDescent="0.2">
      <c r="B1401" t="s">
        <v>44</v>
      </c>
      <c r="C1401" t="str">
        <f>HYPERLINK("https://us2.cloudbeds.com/connect/8493803454333002#/reservations/597603016864?display=E0Z4MST6&amp;reservation_id=597603016864", "E0Z4MST6")</f>
        <v>E0Z4MST6</v>
      </c>
      <c r="D1401" t="s">
        <v>45</v>
      </c>
      <c r="E1401" t="s">
        <v>78</v>
      </c>
      <c r="F1401" t="s">
        <v>61</v>
      </c>
      <c r="G1401" t="s">
        <v>48</v>
      </c>
      <c r="H1401" t="s">
        <v>71</v>
      </c>
      <c r="I1401" t="s">
        <v>72</v>
      </c>
      <c r="J1401" t="s">
        <v>106</v>
      </c>
      <c r="K1401" t="s">
        <v>922</v>
      </c>
      <c r="L1401" t="s">
        <v>53</v>
      </c>
      <c r="N1401" t="s">
        <v>2437</v>
      </c>
      <c r="P1401" t="s">
        <v>55</v>
      </c>
      <c r="R1401" t="s">
        <v>56</v>
      </c>
      <c r="T1401" t="s">
        <v>2436</v>
      </c>
      <c r="U1401" t="s">
        <v>58</v>
      </c>
      <c r="V1401">
        <v>1</v>
      </c>
      <c r="W1401">
        <v>1</v>
      </c>
      <c r="X1401">
        <v>1</v>
      </c>
      <c r="Y1401">
        <v>0</v>
      </c>
      <c r="Z1401">
        <v>1</v>
      </c>
      <c r="AA1401">
        <v>0</v>
      </c>
      <c r="AB1401">
        <v>153.43</v>
      </c>
      <c r="AC1401">
        <v>135</v>
      </c>
      <c r="AD1401">
        <v>0</v>
      </c>
      <c r="AE1401">
        <v>18.440000000000001</v>
      </c>
      <c r="AF1401">
        <v>0</v>
      </c>
      <c r="AG1401">
        <v>0</v>
      </c>
      <c r="AH1401">
        <v>0</v>
      </c>
      <c r="AI1401">
        <v>0</v>
      </c>
      <c r="AJ1401">
        <v>153.44</v>
      </c>
      <c r="AK1401">
        <v>0.01</v>
      </c>
      <c r="AL1401" t="s">
        <v>53</v>
      </c>
      <c r="AM1401" t="s">
        <v>53</v>
      </c>
      <c r="AN1401" t="s">
        <v>378</v>
      </c>
      <c r="AO1401" t="s">
        <v>53</v>
      </c>
      <c r="AP1401" t="s">
        <v>53</v>
      </c>
    </row>
    <row r="1402" spans="2:42" x14ac:dyDescent="0.2">
      <c r="B1402" t="s">
        <v>44</v>
      </c>
      <c r="C1402" t="str">
        <f>HYPERLINK("https://us2.cloudbeds.com/connect/8493803454333002#/reservations/598550007946?display=E1FB79RY&amp;reservation_id=598550007946", "E1FB79RY")</f>
        <v>E1FB79RY</v>
      </c>
      <c r="D1402" t="s">
        <v>45</v>
      </c>
      <c r="E1402" t="s">
        <v>305</v>
      </c>
      <c r="F1402" t="s">
        <v>61</v>
      </c>
      <c r="G1402" t="s">
        <v>48</v>
      </c>
      <c r="H1402" t="s">
        <v>49</v>
      </c>
      <c r="I1402" t="s">
        <v>62</v>
      </c>
      <c r="J1402" t="s">
        <v>192</v>
      </c>
      <c r="K1402" t="s">
        <v>253</v>
      </c>
      <c r="L1402" t="s">
        <v>53</v>
      </c>
      <c r="N1402" t="s">
        <v>2438</v>
      </c>
      <c r="P1402" t="s">
        <v>55</v>
      </c>
      <c r="R1402" t="s">
        <v>56</v>
      </c>
      <c r="T1402" t="s">
        <v>2436</v>
      </c>
      <c r="U1402" t="s">
        <v>58</v>
      </c>
      <c r="V1402">
        <v>2</v>
      </c>
      <c r="W1402">
        <v>1</v>
      </c>
      <c r="X1402">
        <v>1</v>
      </c>
      <c r="Y1402">
        <v>0</v>
      </c>
      <c r="Z1402">
        <v>1</v>
      </c>
      <c r="AA1402">
        <v>0</v>
      </c>
      <c r="AB1402">
        <v>229.12</v>
      </c>
      <c r="AC1402">
        <v>201.6</v>
      </c>
      <c r="AD1402">
        <v>0</v>
      </c>
      <c r="AE1402">
        <v>27.52</v>
      </c>
      <c r="AF1402">
        <v>0</v>
      </c>
      <c r="AG1402">
        <v>0</v>
      </c>
      <c r="AH1402">
        <v>0</v>
      </c>
      <c r="AI1402">
        <v>34.369999999999997</v>
      </c>
      <c r="AJ1402">
        <v>229.12</v>
      </c>
      <c r="AK1402">
        <v>0</v>
      </c>
      <c r="AL1402" t="s">
        <v>53</v>
      </c>
      <c r="AM1402" t="s">
        <v>53</v>
      </c>
      <c r="AN1402" t="s">
        <v>2439</v>
      </c>
      <c r="AO1402" t="s">
        <v>53</v>
      </c>
      <c r="AP1402" t="s">
        <v>53</v>
      </c>
    </row>
    <row r="1403" spans="2:42" x14ac:dyDescent="0.2">
      <c r="B1403" t="s">
        <v>44</v>
      </c>
      <c r="C1403" t="str">
        <f>HYPERLINK("https://us2.cloudbeds.com/connect/8493803454333002#/reservations/598264668320?display=E181K9WA&amp;reservation_id=598264668320", "E181K9WA")</f>
        <v>E181K9WA</v>
      </c>
      <c r="D1403" t="s">
        <v>45</v>
      </c>
      <c r="E1403" t="s">
        <v>78</v>
      </c>
      <c r="F1403" t="s">
        <v>61</v>
      </c>
      <c r="G1403" t="s">
        <v>48</v>
      </c>
      <c r="H1403" t="s">
        <v>71</v>
      </c>
      <c r="I1403" t="s">
        <v>72</v>
      </c>
      <c r="J1403" t="s">
        <v>525</v>
      </c>
      <c r="K1403" t="s">
        <v>488</v>
      </c>
      <c r="L1403" t="s">
        <v>53</v>
      </c>
      <c r="N1403" t="s">
        <v>2440</v>
      </c>
      <c r="P1403" t="s">
        <v>55</v>
      </c>
      <c r="R1403" t="s">
        <v>56</v>
      </c>
      <c r="T1403" t="s">
        <v>2436</v>
      </c>
      <c r="U1403" t="s">
        <v>58</v>
      </c>
      <c r="V1403">
        <v>3</v>
      </c>
      <c r="W1403">
        <v>1</v>
      </c>
      <c r="X1403">
        <v>1</v>
      </c>
      <c r="Y1403">
        <v>0</v>
      </c>
      <c r="Z1403">
        <v>1</v>
      </c>
      <c r="AA1403">
        <v>0</v>
      </c>
      <c r="AB1403">
        <v>543.25</v>
      </c>
      <c r="AC1403">
        <v>478</v>
      </c>
      <c r="AD1403">
        <v>0</v>
      </c>
      <c r="AE1403">
        <v>65.260000000000005</v>
      </c>
      <c r="AF1403">
        <v>0</v>
      </c>
      <c r="AG1403">
        <v>0</v>
      </c>
      <c r="AH1403">
        <v>0</v>
      </c>
      <c r="AI1403">
        <v>0</v>
      </c>
      <c r="AJ1403">
        <v>543.26</v>
      </c>
      <c r="AK1403">
        <v>0.01</v>
      </c>
      <c r="AL1403" t="s">
        <v>53</v>
      </c>
      <c r="AM1403" t="s">
        <v>53</v>
      </c>
      <c r="AN1403" t="s">
        <v>2441</v>
      </c>
      <c r="AO1403" t="s">
        <v>53</v>
      </c>
      <c r="AP1403" t="s">
        <v>53</v>
      </c>
    </row>
    <row r="1404" spans="2:42" x14ac:dyDescent="0.2">
      <c r="B1404" t="s">
        <v>44</v>
      </c>
      <c r="C1404" t="str">
        <f>HYPERLINK("https://us2.cloudbeds.com/connect/8493803454333002#/reservations/598107730075?display=E14198NT&amp;reservation_id=598107730075", "E14198NT")</f>
        <v>E14198NT</v>
      </c>
      <c r="D1404" t="s">
        <v>45</v>
      </c>
      <c r="E1404" t="s">
        <v>155</v>
      </c>
      <c r="F1404" t="s">
        <v>86</v>
      </c>
      <c r="G1404" t="s">
        <v>48</v>
      </c>
      <c r="H1404" t="s">
        <v>49</v>
      </c>
      <c r="I1404" t="s">
        <v>79</v>
      </c>
      <c r="J1404" t="s">
        <v>354</v>
      </c>
      <c r="K1404" t="s">
        <v>938</v>
      </c>
      <c r="L1404" t="s">
        <v>53</v>
      </c>
      <c r="N1404" t="s">
        <v>2442</v>
      </c>
      <c r="P1404" t="s">
        <v>55</v>
      </c>
      <c r="R1404" t="s">
        <v>56</v>
      </c>
      <c r="T1404" t="s">
        <v>2436</v>
      </c>
      <c r="U1404" t="s">
        <v>58</v>
      </c>
      <c r="V1404">
        <v>1</v>
      </c>
      <c r="W1404">
        <v>1</v>
      </c>
      <c r="X1404">
        <v>1</v>
      </c>
      <c r="Y1404">
        <v>0</v>
      </c>
      <c r="Z1404">
        <v>1</v>
      </c>
      <c r="AA1404">
        <v>0</v>
      </c>
      <c r="AB1404">
        <v>129.9</v>
      </c>
      <c r="AC1404">
        <v>114.3</v>
      </c>
      <c r="AD1404">
        <v>0</v>
      </c>
      <c r="AE1404">
        <v>15.6</v>
      </c>
      <c r="AF1404">
        <v>0</v>
      </c>
      <c r="AG1404">
        <v>0</v>
      </c>
      <c r="AH1404">
        <v>0</v>
      </c>
      <c r="AI1404">
        <v>0</v>
      </c>
      <c r="AJ1404">
        <v>129.9</v>
      </c>
      <c r="AK1404">
        <v>0</v>
      </c>
      <c r="AL1404" t="s">
        <v>53</v>
      </c>
      <c r="AM1404" t="s">
        <v>53</v>
      </c>
      <c r="AN1404" t="s">
        <v>146</v>
      </c>
      <c r="AO1404" t="s">
        <v>53</v>
      </c>
      <c r="AP1404" t="s">
        <v>53</v>
      </c>
    </row>
    <row r="1405" spans="2:42" x14ac:dyDescent="0.2">
      <c r="B1405" t="s">
        <v>44</v>
      </c>
      <c r="C1405" t="str">
        <f>HYPERLINK("https://us2.cloudbeds.com/connect/8493803454333002#/reservations/598553604315?display=E1FE8C9G&amp;reservation_id=598553604315", "E1FE8C9G")</f>
        <v>E1FE8C9G</v>
      </c>
      <c r="D1405" t="s">
        <v>45</v>
      </c>
      <c r="E1405" t="s">
        <v>179</v>
      </c>
      <c r="F1405" t="s">
        <v>47</v>
      </c>
      <c r="G1405" t="s">
        <v>48</v>
      </c>
      <c r="H1405" t="s">
        <v>49</v>
      </c>
      <c r="I1405" t="s">
        <v>50</v>
      </c>
      <c r="J1405" t="s">
        <v>611</v>
      </c>
      <c r="K1405" t="s">
        <v>1117</v>
      </c>
      <c r="L1405" t="s">
        <v>53</v>
      </c>
      <c r="N1405" t="s">
        <v>2443</v>
      </c>
      <c r="P1405" t="s">
        <v>55</v>
      </c>
      <c r="R1405" t="s">
        <v>56</v>
      </c>
      <c r="T1405" t="s">
        <v>2436</v>
      </c>
      <c r="U1405" t="s">
        <v>58</v>
      </c>
      <c r="V1405">
        <v>1</v>
      </c>
      <c r="W1405">
        <v>1</v>
      </c>
      <c r="X1405">
        <v>1</v>
      </c>
      <c r="Y1405">
        <v>0</v>
      </c>
      <c r="Z1405">
        <v>1</v>
      </c>
      <c r="AA1405">
        <v>0</v>
      </c>
      <c r="AB1405">
        <v>103.31</v>
      </c>
      <c r="AC1405">
        <v>90.9</v>
      </c>
      <c r="AD1405">
        <v>0</v>
      </c>
      <c r="AE1405">
        <v>12.41</v>
      </c>
      <c r="AF1405">
        <v>0</v>
      </c>
      <c r="AG1405">
        <v>0</v>
      </c>
      <c r="AH1405">
        <v>0</v>
      </c>
      <c r="AI1405">
        <v>18.600000000000001</v>
      </c>
      <c r="AJ1405">
        <v>103.31</v>
      </c>
      <c r="AK1405">
        <v>0</v>
      </c>
      <c r="AL1405" t="s">
        <v>53</v>
      </c>
      <c r="AM1405" t="s">
        <v>53</v>
      </c>
      <c r="AN1405" t="s">
        <v>2444</v>
      </c>
      <c r="AO1405" t="s">
        <v>53</v>
      </c>
      <c r="AP1405" t="s">
        <v>53</v>
      </c>
    </row>
    <row r="1406" spans="2:42" x14ac:dyDescent="0.2">
      <c r="B1406" t="s">
        <v>44</v>
      </c>
      <c r="C1406" t="str">
        <f>HYPERLINK("https://us2.cloudbeds.com/connect/8493803454333002#/reservations/598499557580?display=E1E1MEJM&amp;reservation_id=598499557580", "E1E1MEJM")</f>
        <v>E1E1MEJM</v>
      </c>
      <c r="D1406" t="s">
        <v>45</v>
      </c>
      <c r="E1406" t="s">
        <v>223</v>
      </c>
      <c r="F1406" t="s">
        <v>47</v>
      </c>
      <c r="G1406" t="s">
        <v>48</v>
      </c>
      <c r="H1406" t="s">
        <v>49</v>
      </c>
      <c r="I1406" t="s">
        <v>50</v>
      </c>
      <c r="J1406" t="s">
        <v>938</v>
      </c>
      <c r="K1406" t="s">
        <v>359</v>
      </c>
      <c r="L1406" t="s">
        <v>53</v>
      </c>
      <c r="N1406" t="s">
        <v>2445</v>
      </c>
      <c r="P1406" t="s">
        <v>55</v>
      </c>
      <c r="R1406" t="s">
        <v>56</v>
      </c>
      <c r="T1406" t="s">
        <v>2436</v>
      </c>
      <c r="U1406" t="s">
        <v>58</v>
      </c>
      <c r="V1406">
        <v>1</v>
      </c>
      <c r="W1406">
        <v>1</v>
      </c>
      <c r="X1406">
        <v>1</v>
      </c>
      <c r="Y1406">
        <v>0</v>
      </c>
      <c r="Z1406">
        <v>1</v>
      </c>
      <c r="AA1406">
        <v>0</v>
      </c>
      <c r="AB1406">
        <v>107.4</v>
      </c>
      <c r="AC1406">
        <v>94.5</v>
      </c>
      <c r="AD1406">
        <v>0</v>
      </c>
      <c r="AE1406">
        <v>12.9</v>
      </c>
      <c r="AF1406">
        <v>0</v>
      </c>
      <c r="AG1406">
        <v>0</v>
      </c>
      <c r="AH1406">
        <v>0</v>
      </c>
      <c r="AI1406">
        <v>19.329999999999998</v>
      </c>
      <c r="AJ1406">
        <v>107.4</v>
      </c>
      <c r="AK1406">
        <v>0</v>
      </c>
      <c r="AL1406" t="s">
        <v>53</v>
      </c>
      <c r="AM1406" t="s">
        <v>53</v>
      </c>
      <c r="AN1406" t="s">
        <v>349</v>
      </c>
      <c r="AO1406" t="s">
        <v>53</v>
      </c>
      <c r="AP1406" t="s">
        <v>53</v>
      </c>
    </row>
    <row r="1407" spans="2:42" x14ac:dyDescent="0.2">
      <c r="B1407" t="s">
        <v>44</v>
      </c>
      <c r="C1407" t="str">
        <f>HYPERLINK("https://us2.cloudbeds.com/connect/8493803454333002#/reservations/598569869442?display=E1FRVW45&amp;reservation_id=598569869442", "E1FRVW45")</f>
        <v>E1FRVW45</v>
      </c>
      <c r="D1407" t="s">
        <v>45</v>
      </c>
      <c r="E1407" t="s">
        <v>185</v>
      </c>
      <c r="F1407" t="s">
        <v>47</v>
      </c>
      <c r="G1407" t="s">
        <v>48</v>
      </c>
      <c r="H1407" t="s">
        <v>71</v>
      </c>
      <c r="I1407" t="s">
        <v>72</v>
      </c>
      <c r="J1407" t="s">
        <v>549</v>
      </c>
      <c r="K1407" t="s">
        <v>129</v>
      </c>
      <c r="L1407" t="s">
        <v>53</v>
      </c>
      <c r="N1407" t="s">
        <v>2446</v>
      </c>
      <c r="P1407" t="s">
        <v>55</v>
      </c>
      <c r="R1407" t="s">
        <v>56</v>
      </c>
      <c r="T1407" t="s">
        <v>2436</v>
      </c>
      <c r="U1407" t="s">
        <v>58</v>
      </c>
      <c r="V1407">
        <v>3</v>
      </c>
      <c r="W1407">
        <v>1</v>
      </c>
      <c r="X1407">
        <v>1</v>
      </c>
      <c r="Y1407">
        <v>0</v>
      </c>
      <c r="Z1407">
        <v>1</v>
      </c>
      <c r="AA1407">
        <v>0</v>
      </c>
      <c r="AB1407">
        <v>498.92</v>
      </c>
      <c r="AC1407">
        <v>439</v>
      </c>
      <c r="AD1407">
        <v>0</v>
      </c>
      <c r="AE1407">
        <v>59.91</v>
      </c>
      <c r="AF1407">
        <v>0</v>
      </c>
      <c r="AG1407">
        <v>0</v>
      </c>
      <c r="AH1407">
        <v>0</v>
      </c>
      <c r="AI1407">
        <v>0</v>
      </c>
      <c r="AJ1407">
        <v>498.91</v>
      </c>
      <c r="AK1407">
        <v>-0.01</v>
      </c>
      <c r="AL1407" t="s">
        <v>53</v>
      </c>
      <c r="AM1407" t="s">
        <v>53</v>
      </c>
      <c r="AN1407" t="s">
        <v>2447</v>
      </c>
      <c r="AO1407" t="s">
        <v>53</v>
      </c>
      <c r="AP1407" t="s">
        <v>53</v>
      </c>
    </row>
    <row r="1408" spans="2:42" x14ac:dyDescent="0.2">
      <c r="B1408" t="s">
        <v>44</v>
      </c>
      <c r="C1408" t="str">
        <f>HYPERLINK("https://us2.cloudbeds.com/connect/8493803454333002#/reservations/598598389954?display=E1GJ0JP3&amp;reservation_id=598598389954", "E1GJ0JP3")</f>
        <v>E1GJ0JP3</v>
      </c>
      <c r="D1408" t="s">
        <v>45</v>
      </c>
      <c r="E1408" t="s">
        <v>78</v>
      </c>
      <c r="F1408" t="s">
        <v>61</v>
      </c>
      <c r="G1408" t="s">
        <v>48</v>
      </c>
      <c r="H1408" t="s">
        <v>49</v>
      </c>
      <c r="I1408" t="s">
        <v>50</v>
      </c>
      <c r="J1408" t="s">
        <v>549</v>
      </c>
      <c r="K1408" t="s">
        <v>129</v>
      </c>
      <c r="L1408" t="s">
        <v>53</v>
      </c>
      <c r="N1408" t="s">
        <v>2448</v>
      </c>
      <c r="P1408" t="s">
        <v>55</v>
      </c>
      <c r="R1408" t="s">
        <v>56</v>
      </c>
      <c r="T1408" t="s">
        <v>2436</v>
      </c>
      <c r="U1408" t="s">
        <v>58</v>
      </c>
      <c r="V1408">
        <v>3</v>
      </c>
      <c r="W1408">
        <v>1</v>
      </c>
      <c r="X1408">
        <v>1</v>
      </c>
      <c r="Y1408">
        <v>0</v>
      </c>
      <c r="Z1408">
        <v>1</v>
      </c>
      <c r="AA1408">
        <v>0</v>
      </c>
      <c r="AB1408">
        <v>490.97</v>
      </c>
      <c r="AC1408">
        <v>432</v>
      </c>
      <c r="AD1408">
        <v>0</v>
      </c>
      <c r="AE1408">
        <v>58.98</v>
      </c>
      <c r="AF1408">
        <v>0</v>
      </c>
      <c r="AG1408">
        <v>0</v>
      </c>
      <c r="AH1408">
        <v>0</v>
      </c>
      <c r="AI1408">
        <v>88.38</v>
      </c>
      <c r="AJ1408">
        <v>490.98</v>
      </c>
      <c r="AK1408">
        <v>0.01</v>
      </c>
      <c r="AL1408" t="s">
        <v>53</v>
      </c>
      <c r="AM1408" t="s">
        <v>53</v>
      </c>
      <c r="AN1408" t="s">
        <v>127</v>
      </c>
      <c r="AO1408" t="s">
        <v>53</v>
      </c>
      <c r="AP1408" t="s">
        <v>53</v>
      </c>
    </row>
    <row r="1409" spans="2:42" x14ac:dyDescent="0.2">
      <c r="B1409" t="s">
        <v>44</v>
      </c>
      <c r="C1409" t="str">
        <f>HYPERLINK("https://us2.cloudbeds.com/connect/8493803454333002#/reservations/579360026826?display=DJJWNPU8&amp;reservation_id=579360026826", "DJJWNPU8")</f>
        <v>DJJWNPU8</v>
      </c>
      <c r="D1409" t="s">
        <v>45</v>
      </c>
      <c r="E1409" t="s">
        <v>138</v>
      </c>
      <c r="F1409" t="s">
        <v>70</v>
      </c>
      <c r="G1409" t="s">
        <v>48</v>
      </c>
      <c r="H1409" t="s">
        <v>49</v>
      </c>
      <c r="I1409" t="s">
        <v>62</v>
      </c>
      <c r="J1409" t="s">
        <v>1162</v>
      </c>
      <c r="K1409" t="s">
        <v>2449</v>
      </c>
      <c r="L1409" t="s">
        <v>53</v>
      </c>
      <c r="N1409" t="s">
        <v>2450</v>
      </c>
      <c r="P1409" t="s">
        <v>55</v>
      </c>
      <c r="R1409" t="s">
        <v>56</v>
      </c>
      <c r="T1409" t="s">
        <v>2436</v>
      </c>
      <c r="U1409" t="s">
        <v>58</v>
      </c>
      <c r="V1409">
        <v>1</v>
      </c>
      <c r="W1409">
        <v>1</v>
      </c>
      <c r="X1409">
        <v>1</v>
      </c>
      <c r="Y1409">
        <v>0</v>
      </c>
      <c r="Z1409">
        <v>1</v>
      </c>
      <c r="AA1409">
        <v>0</v>
      </c>
      <c r="AB1409">
        <v>117.07</v>
      </c>
      <c r="AC1409">
        <v>103</v>
      </c>
      <c r="AD1409">
        <v>0</v>
      </c>
      <c r="AE1409">
        <v>14.07</v>
      </c>
      <c r="AF1409">
        <v>0</v>
      </c>
      <c r="AG1409">
        <v>0</v>
      </c>
      <c r="AH1409">
        <v>0</v>
      </c>
      <c r="AI1409">
        <v>17.559999999999999</v>
      </c>
      <c r="AJ1409">
        <v>117.07</v>
      </c>
      <c r="AK1409">
        <v>0</v>
      </c>
      <c r="AL1409" t="s">
        <v>53</v>
      </c>
      <c r="AM1409" t="s">
        <v>53</v>
      </c>
      <c r="AN1409" t="s">
        <v>127</v>
      </c>
      <c r="AO1409" t="s">
        <v>53</v>
      </c>
      <c r="AP1409" t="s">
        <v>53</v>
      </c>
    </row>
    <row r="1410" spans="2:42" x14ac:dyDescent="0.2">
      <c r="B1410" t="s">
        <v>44</v>
      </c>
      <c r="C1410" t="str">
        <f>HYPERLINK("https://us2.cloudbeds.com/connect/8493803454333002#/reservations/579273396359?display=DJHPM5EX&amp;reservation_id=579273396359", "DJHPM5EX")</f>
        <v>DJHPM5EX</v>
      </c>
      <c r="D1410" t="s">
        <v>45</v>
      </c>
      <c r="E1410" t="s">
        <v>406</v>
      </c>
      <c r="F1410" t="s">
        <v>61</v>
      </c>
      <c r="G1410" t="s">
        <v>48</v>
      </c>
      <c r="H1410" t="s">
        <v>49</v>
      </c>
      <c r="I1410" t="s">
        <v>79</v>
      </c>
      <c r="J1410" t="s">
        <v>1898</v>
      </c>
      <c r="K1410" t="s">
        <v>1458</v>
      </c>
      <c r="L1410" t="s">
        <v>53</v>
      </c>
      <c r="N1410" t="s">
        <v>2451</v>
      </c>
      <c r="P1410" t="s">
        <v>55</v>
      </c>
      <c r="R1410" t="s">
        <v>56</v>
      </c>
      <c r="T1410" t="s">
        <v>2452</v>
      </c>
      <c r="U1410" t="s">
        <v>58</v>
      </c>
      <c r="V1410">
        <v>1</v>
      </c>
      <c r="W1410">
        <v>1</v>
      </c>
      <c r="X1410">
        <v>1</v>
      </c>
      <c r="Y1410">
        <v>0</v>
      </c>
      <c r="Z1410">
        <v>1</v>
      </c>
      <c r="AA1410">
        <v>0</v>
      </c>
      <c r="AB1410">
        <v>124.78</v>
      </c>
      <c r="AC1410">
        <v>109.8</v>
      </c>
      <c r="AD1410">
        <v>0</v>
      </c>
      <c r="AE1410">
        <v>14.98</v>
      </c>
      <c r="AF1410">
        <v>0</v>
      </c>
      <c r="AG1410">
        <v>0</v>
      </c>
      <c r="AH1410">
        <v>0</v>
      </c>
      <c r="AI1410">
        <v>0</v>
      </c>
      <c r="AJ1410">
        <v>124.78</v>
      </c>
      <c r="AK1410">
        <v>0</v>
      </c>
      <c r="AL1410" t="s">
        <v>53</v>
      </c>
      <c r="AM1410" t="s">
        <v>53</v>
      </c>
      <c r="AN1410" t="s">
        <v>545</v>
      </c>
      <c r="AO1410" t="s">
        <v>53</v>
      </c>
      <c r="AP1410" t="s">
        <v>53</v>
      </c>
    </row>
    <row r="1411" spans="2:42" x14ac:dyDescent="0.2">
      <c r="B1411" t="s">
        <v>44</v>
      </c>
      <c r="C1411" t="str">
        <f>HYPERLINK("https://us2.cloudbeds.com/connect/8493803454333002#/reservations/579357315275?display=DJJUEAW1&amp;reservation_id=579357315275", "DJJUEAW1")</f>
        <v>DJJUEAW1</v>
      </c>
      <c r="D1411" t="s">
        <v>45</v>
      </c>
      <c r="E1411" t="s">
        <v>78</v>
      </c>
      <c r="F1411" t="s">
        <v>61</v>
      </c>
      <c r="G1411" t="s">
        <v>48</v>
      </c>
      <c r="H1411" t="s">
        <v>49</v>
      </c>
      <c r="I1411" t="s">
        <v>79</v>
      </c>
      <c r="J1411" t="s">
        <v>1898</v>
      </c>
      <c r="K1411" t="s">
        <v>1458</v>
      </c>
      <c r="L1411" t="s">
        <v>53</v>
      </c>
      <c r="N1411" t="s">
        <v>2453</v>
      </c>
      <c r="P1411" t="s">
        <v>55</v>
      </c>
      <c r="R1411" t="s">
        <v>56</v>
      </c>
      <c r="T1411" t="s">
        <v>2452</v>
      </c>
      <c r="U1411" t="s">
        <v>58</v>
      </c>
      <c r="V1411">
        <v>1</v>
      </c>
      <c r="W1411">
        <v>1</v>
      </c>
      <c r="X1411">
        <v>1</v>
      </c>
      <c r="Y1411">
        <v>0</v>
      </c>
      <c r="Z1411">
        <v>1</v>
      </c>
      <c r="AA1411">
        <v>0</v>
      </c>
      <c r="AB1411">
        <v>124.78</v>
      </c>
      <c r="AC1411">
        <v>109.8</v>
      </c>
      <c r="AD1411">
        <v>0</v>
      </c>
      <c r="AE1411">
        <v>14.98</v>
      </c>
      <c r="AF1411">
        <v>0</v>
      </c>
      <c r="AG1411">
        <v>0</v>
      </c>
      <c r="AH1411">
        <v>0</v>
      </c>
      <c r="AI1411">
        <v>0</v>
      </c>
      <c r="AJ1411">
        <v>124.78</v>
      </c>
      <c r="AK1411">
        <v>0</v>
      </c>
      <c r="AL1411" t="s">
        <v>53</v>
      </c>
      <c r="AM1411" t="s">
        <v>53</v>
      </c>
      <c r="AN1411" t="s">
        <v>127</v>
      </c>
      <c r="AO1411" t="s">
        <v>53</v>
      </c>
      <c r="AP1411" t="s">
        <v>53</v>
      </c>
    </row>
    <row r="1412" spans="2:42" x14ac:dyDescent="0.2">
      <c r="B1412" t="s">
        <v>44</v>
      </c>
      <c r="C1412" t="str">
        <f>HYPERLINK("https://us2.cloudbeds.com/connect/8493803454333002#/reservations/598134051024?display=E14NFMXE&amp;reservation_id=598134051024", "E14NFMXE")</f>
        <v>E14NFMXE</v>
      </c>
      <c r="D1412" t="s">
        <v>45</v>
      </c>
      <c r="E1412" t="s">
        <v>46</v>
      </c>
      <c r="F1412" t="s">
        <v>47</v>
      </c>
      <c r="G1412" t="s">
        <v>48</v>
      </c>
      <c r="H1412" t="s">
        <v>49</v>
      </c>
      <c r="I1412" t="s">
        <v>79</v>
      </c>
      <c r="J1412" t="s">
        <v>354</v>
      </c>
      <c r="K1412" t="s">
        <v>938</v>
      </c>
      <c r="L1412" t="s">
        <v>53</v>
      </c>
      <c r="N1412" t="s">
        <v>2454</v>
      </c>
      <c r="P1412" t="s">
        <v>55</v>
      </c>
      <c r="R1412" t="s">
        <v>56</v>
      </c>
      <c r="T1412" t="s">
        <v>2452</v>
      </c>
      <c r="U1412" t="s">
        <v>58</v>
      </c>
      <c r="V1412">
        <v>1</v>
      </c>
      <c r="W1412">
        <v>1</v>
      </c>
      <c r="X1412">
        <v>1</v>
      </c>
      <c r="Y1412">
        <v>0</v>
      </c>
      <c r="Z1412">
        <v>1</v>
      </c>
      <c r="AA1412">
        <v>0</v>
      </c>
      <c r="AB1412">
        <v>107.4</v>
      </c>
      <c r="AC1412">
        <v>94.5</v>
      </c>
      <c r="AD1412">
        <v>0</v>
      </c>
      <c r="AE1412">
        <v>12.9</v>
      </c>
      <c r="AF1412">
        <v>0</v>
      </c>
      <c r="AG1412">
        <v>0</v>
      </c>
      <c r="AH1412">
        <v>0</v>
      </c>
      <c r="AI1412">
        <v>0</v>
      </c>
      <c r="AJ1412">
        <v>107.4</v>
      </c>
      <c r="AK1412">
        <v>0</v>
      </c>
      <c r="AL1412" t="s">
        <v>53</v>
      </c>
      <c r="AM1412" t="s">
        <v>53</v>
      </c>
      <c r="AN1412" t="s">
        <v>2455</v>
      </c>
      <c r="AO1412" t="s">
        <v>53</v>
      </c>
      <c r="AP1412" t="s">
        <v>53</v>
      </c>
    </row>
    <row r="1413" spans="2:42" x14ac:dyDescent="0.2">
      <c r="B1413" t="s">
        <v>44</v>
      </c>
      <c r="C1413" t="str">
        <f>HYPERLINK("https://us2.cloudbeds.com/connect/8493803454333002#/reservations/598105821426?display=E13WM522&amp;reservation_id=598105821426", "E13WM522")</f>
        <v>E13WM522</v>
      </c>
      <c r="D1413" t="s">
        <v>45</v>
      </c>
      <c r="E1413" t="s">
        <v>179</v>
      </c>
      <c r="F1413" t="s">
        <v>47</v>
      </c>
      <c r="G1413" t="s">
        <v>48</v>
      </c>
      <c r="H1413" t="s">
        <v>49</v>
      </c>
      <c r="I1413" t="s">
        <v>62</v>
      </c>
      <c r="J1413" t="s">
        <v>107</v>
      </c>
      <c r="K1413" t="s">
        <v>191</v>
      </c>
      <c r="L1413" t="s">
        <v>53</v>
      </c>
      <c r="N1413" t="s">
        <v>2456</v>
      </c>
      <c r="P1413" t="s">
        <v>55</v>
      </c>
      <c r="R1413" t="s">
        <v>118</v>
      </c>
      <c r="T1413" t="s">
        <v>2452</v>
      </c>
      <c r="U1413" t="s">
        <v>58</v>
      </c>
      <c r="V1413">
        <v>1</v>
      </c>
      <c r="W1413">
        <v>1</v>
      </c>
      <c r="X1413">
        <v>1</v>
      </c>
      <c r="Y1413">
        <v>0</v>
      </c>
      <c r="Z1413">
        <v>1</v>
      </c>
      <c r="AA1413">
        <v>0</v>
      </c>
      <c r="AB1413">
        <v>114.56</v>
      </c>
      <c r="AC1413">
        <v>100.8</v>
      </c>
      <c r="AD1413">
        <v>0</v>
      </c>
      <c r="AE1413">
        <v>13.76</v>
      </c>
      <c r="AF1413">
        <v>0</v>
      </c>
      <c r="AG1413">
        <v>0</v>
      </c>
      <c r="AH1413">
        <v>0</v>
      </c>
      <c r="AI1413">
        <v>17.18</v>
      </c>
      <c r="AJ1413">
        <v>114.56</v>
      </c>
      <c r="AK1413">
        <v>0</v>
      </c>
      <c r="AL1413" t="s">
        <v>53</v>
      </c>
      <c r="AM1413" t="s">
        <v>53</v>
      </c>
      <c r="AN1413" t="s">
        <v>2457</v>
      </c>
      <c r="AO1413" t="s">
        <v>53</v>
      </c>
      <c r="AP1413" t="s">
        <v>53</v>
      </c>
    </row>
    <row r="1414" spans="2:42" x14ac:dyDescent="0.2">
      <c r="B1414" t="s">
        <v>44</v>
      </c>
      <c r="C1414" t="str">
        <f>HYPERLINK("https://us2.cloudbeds.com/connect/8493803454333002#/reservations/598256009377?display=E17RABN3&amp;reservation_id=598256009377", "E17RABN3")</f>
        <v>E17RABN3</v>
      </c>
      <c r="D1414" t="s">
        <v>45</v>
      </c>
      <c r="E1414" t="s">
        <v>128</v>
      </c>
      <c r="F1414" t="s">
        <v>86</v>
      </c>
      <c r="G1414" t="s">
        <v>48</v>
      </c>
      <c r="H1414" t="s">
        <v>71</v>
      </c>
      <c r="I1414" t="s">
        <v>72</v>
      </c>
      <c r="J1414" t="s">
        <v>1269</v>
      </c>
      <c r="K1414" t="s">
        <v>387</v>
      </c>
      <c r="L1414" t="s">
        <v>53</v>
      </c>
      <c r="N1414" t="s">
        <v>2458</v>
      </c>
      <c r="P1414" t="s">
        <v>58</v>
      </c>
      <c r="R1414" t="s">
        <v>56</v>
      </c>
      <c r="T1414" t="s">
        <v>2452</v>
      </c>
      <c r="U1414" t="s">
        <v>58</v>
      </c>
      <c r="V1414">
        <v>1</v>
      </c>
      <c r="W1414">
        <v>1</v>
      </c>
      <c r="X1414">
        <v>1</v>
      </c>
      <c r="Y1414">
        <v>0</v>
      </c>
      <c r="Z1414">
        <v>1</v>
      </c>
      <c r="AA1414">
        <v>0</v>
      </c>
      <c r="AB1414">
        <v>196.61</v>
      </c>
      <c r="AC1414">
        <v>173</v>
      </c>
      <c r="AD1414">
        <v>0</v>
      </c>
      <c r="AE1414">
        <v>23.62</v>
      </c>
      <c r="AF1414">
        <v>0</v>
      </c>
      <c r="AG1414">
        <v>0</v>
      </c>
      <c r="AH1414">
        <v>0</v>
      </c>
      <c r="AI1414">
        <v>0</v>
      </c>
      <c r="AJ1414">
        <v>196.62</v>
      </c>
      <c r="AK1414">
        <v>0.01</v>
      </c>
      <c r="AL1414" t="s">
        <v>53</v>
      </c>
      <c r="AM1414" t="s">
        <v>53</v>
      </c>
      <c r="AN1414" t="s">
        <v>2459</v>
      </c>
      <c r="AO1414" t="s">
        <v>53</v>
      </c>
      <c r="AP1414" t="s">
        <v>53</v>
      </c>
    </row>
    <row r="1415" spans="2:42" x14ac:dyDescent="0.2">
      <c r="B1415" t="s">
        <v>44</v>
      </c>
      <c r="C1415" t="str">
        <f>HYPERLINK("https://us2.cloudbeds.com/connect/8493803454333002#/reservations/598515847312?display=E1EFDZ0U&amp;reservation_id=598515847312", "E1EFDZ0U")</f>
        <v>E1EFDZ0U</v>
      </c>
      <c r="D1415" t="s">
        <v>45</v>
      </c>
      <c r="E1415" t="s">
        <v>265</v>
      </c>
      <c r="F1415" t="s">
        <v>61</v>
      </c>
      <c r="G1415" t="s">
        <v>48</v>
      </c>
      <c r="H1415" t="s">
        <v>49</v>
      </c>
      <c r="I1415" t="s">
        <v>79</v>
      </c>
      <c r="J1415" t="s">
        <v>611</v>
      </c>
      <c r="K1415" t="s">
        <v>699</v>
      </c>
      <c r="L1415" t="s">
        <v>53</v>
      </c>
      <c r="N1415" t="s">
        <v>2460</v>
      </c>
      <c r="P1415" t="s">
        <v>55</v>
      </c>
      <c r="R1415" t="s">
        <v>56</v>
      </c>
      <c r="T1415" t="s">
        <v>2452</v>
      </c>
      <c r="U1415" t="s">
        <v>58</v>
      </c>
      <c r="V1415">
        <v>2</v>
      </c>
      <c r="W1415">
        <v>1</v>
      </c>
      <c r="X1415">
        <v>1</v>
      </c>
      <c r="Y1415">
        <v>0</v>
      </c>
      <c r="Z1415">
        <v>1</v>
      </c>
      <c r="AA1415">
        <v>0</v>
      </c>
      <c r="AB1415">
        <v>225.03</v>
      </c>
      <c r="AC1415">
        <v>198</v>
      </c>
      <c r="AD1415">
        <v>0</v>
      </c>
      <c r="AE1415">
        <v>27.04</v>
      </c>
      <c r="AF1415">
        <v>0</v>
      </c>
      <c r="AG1415">
        <v>0</v>
      </c>
      <c r="AH1415">
        <v>0</v>
      </c>
      <c r="AI1415">
        <v>0</v>
      </c>
      <c r="AJ1415">
        <v>225.04</v>
      </c>
      <c r="AK1415">
        <v>0.01</v>
      </c>
      <c r="AL1415" t="s">
        <v>53</v>
      </c>
      <c r="AM1415" t="s">
        <v>53</v>
      </c>
      <c r="AN1415" t="s">
        <v>413</v>
      </c>
      <c r="AO1415" t="s">
        <v>53</v>
      </c>
      <c r="AP1415" t="s">
        <v>53</v>
      </c>
    </row>
    <row r="1416" spans="2:42" x14ac:dyDescent="0.2">
      <c r="B1416" t="s">
        <v>44</v>
      </c>
      <c r="C1416" t="str">
        <f>HYPERLINK("https://us2.cloudbeds.com/connect/8493803454333002#/reservations/598432202921?display=E1CAT6JD&amp;reservation_id=598432202921", "E1CAT6JD")</f>
        <v>E1CAT6JD</v>
      </c>
      <c r="D1416" t="s">
        <v>45</v>
      </c>
      <c r="E1416" t="s">
        <v>128</v>
      </c>
      <c r="F1416" t="s">
        <v>86</v>
      </c>
      <c r="G1416" t="s">
        <v>48</v>
      </c>
      <c r="H1416" t="s">
        <v>71</v>
      </c>
      <c r="I1416" t="s">
        <v>72</v>
      </c>
      <c r="J1416" t="s">
        <v>341</v>
      </c>
      <c r="K1416" t="s">
        <v>129</v>
      </c>
      <c r="L1416" t="s">
        <v>53</v>
      </c>
      <c r="N1416" t="s">
        <v>2461</v>
      </c>
      <c r="P1416" t="s">
        <v>55</v>
      </c>
      <c r="R1416" t="s">
        <v>56</v>
      </c>
      <c r="T1416" t="s">
        <v>2452</v>
      </c>
      <c r="U1416" t="s">
        <v>58</v>
      </c>
      <c r="V1416">
        <v>1</v>
      </c>
      <c r="W1416">
        <v>1</v>
      </c>
      <c r="X1416">
        <v>1</v>
      </c>
      <c r="Y1416">
        <v>0</v>
      </c>
      <c r="Z1416">
        <v>1</v>
      </c>
      <c r="AA1416">
        <v>0</v>
      </c>
      <c r="AB1416">
        <v>187.52</v>
      </c>
      <c r="AC1416">
        <v>165</v>
      </c>
      <c r="AD1416">
        <v>0</v>
      </c>
      <c r="AE1416">
        <v>22.53</v>
      </c>
      <c r="AF1416">
        <v>0</v>
      </c>
      <c r="AG1416">
        <v>0</v>
      </c>
      <c r="AH1416">
        <v>0</v>
      </c>
      <c r="AI1416">
        <v>0</v>
      </c>
      <c r="AJ1416">
        <v>187.53</v>
      </c>
      <c r="AK1416">
        <v>0.01</v>
      </c>
      <c r="AL1416" t="s">
        <v>53</v>
      </c>
      <c r="AM1416" t="s">
        <v>53</v>
      </c>
      <c r="AN1416" t="s">
        <v>2462</v>
      </c>
      <c r="AO1416" t="s">
        <v>53</v>
      </c>
      <c r="AP1416" t="s">
        <v>53</v>
      </c>
    </row>
    <row r="1417" spans="2:42" x14ac:dyDescent="0.2">
      <c r="B1417" t="s">
        <v>44</v>
      </c>
      <c r="C1417" t="str">
        <f>HYPERLINK("https://us2.cloudbeds.com/connect/8493803454333002#/reservations/598538530985?display=E1F1HURV&amp;reservation_id=598538530985", "E1F1HURV")</f>
        <v>E1F1HURV</v>
      </c>
      <c r="D1417" t="s">
        <v>45</v>
      </c>
      <c r="E1417" t="s">
        <v>373</v>
      </c>
      <c r="F1417" t="s">
        <v>47</v>
      </c>
      <c r="G1417" t="s">
        <v>48</v>
      </c>
      <c r="H1417" t="s">
        <v>49</v>
      </c>
      <c r="I1417" t="s">
        <v>62</v>
      </c>
      <c r="J1417" t="s">
        <v>143</v>
      </c>
      <c r="K1417" t="s">
        <v>144</v>
      </c>
      <c r="L1417" t="s">
        <v>53</v>
      </c>
      <c r="N1417" t="s">
        <v>2463</v>
      </c>
      <c r="P1417" t="s">
        <v>55</v>
      </c>
      <c r="R1417" t="s">
        <v>56</v>
      </c>
      <c r="T1417" t="s">
        <v>2452</v>
      </c>
      <c r="U1417" t="s">
        <v>58</v>
      </c>
      <c r="V1417">
        <v>1</v>
      </c>
      <c r="W1417">
        <v>1</v>
      </c>
      <c r="X1417">
        <v>1</v>
      </c>
      <c r="Y1417">
        <v>0</v>
      </c>
      <c r="Z1417">
        <v>1</v>
      </c>
      <c r="AA1417">
        <v>0</v>
      </c>
      <c r="AB1417">
        <v>175.02</v>
      </c>
      <c r="AC1417">
        <v>154</v>
      </c>
      <c r="AD1417">
        <v>0</v>
      </c>
      <c r="AE1417">
        <v>21.03</v>
      </c>
      <c r="AF1417">
        <v>0</v>
      </c>
      <c r="AG1417">
        <v>0</v>
      </c>
      <c r="AH1417">
        <v>0</v>
      </c>
      <c r="AI1417">
        <v>26.25</v>
      </c>
      <c r="AJ1417">
        <v>175.03</v>
      </c>
      <c r="AK1417">
        <v>0.01</v>
      </c>
      <c r="AL1417" t="s">
        <v>53</v>
      </c>
      <c r="AM1417" t="s">
        <v>53</v>
      </c>
      <c r="AN1417" t="s">
        <v>225</v>
      </c>
      <c r="AO1417" t="s">
        <v>53</v>
      </c>
      <c r="AP1417" t="s">
        <v>53</v>
      </c>
    </row>
    <row r="1418" spans="2:42" x14ac:dyDescent="0.2">
      <c r="B1418" t="s">
        <v>44</v>
      </c>
      <c r="C1418" t="str">
        <f>HYPERLINK("https://us2.cloudbeds.com/connect/8493803454333002#/reservations/598503338165?display=E1E4SY6S&amp;reservation_id=598503338165", "E1E4SY6S")</f>
        <v>E1E4SY6S</v>
      </c>
      <c r="D1418" t="s">
        <v>45</v>
      </c>
      <c r="E1418" t="s">
        <v>213</v>
      </c>
      <c r="F1418" t="s">
        <v>86</v>
      </c>
      <c r="G1418" t="s">
        <v>48</v>
      </c>
      <c r="H1418" t="s">
        <v>49</v>
      </c>
      <c r="I1418" t="s">
        <v>62</v>
      </c>
      <c r="J1418" t="s">
        <v>88</v>
      </c>
      <c r="K1418" t="s">
        <v>970</v>
      </c>
      <c r="L1418" t="s">
        <v>53</v>
      </c>
      <c r="N1418" t="s">
        <v>2464</v>
      </c>
      <c r="P1418" t="s">
        <v>55</v>
      </c>
      <c r="R1418" t="s">
        <v>56</v>
      </c>
      <c r="T1418" t="s">
        <v>2452</v>
      </c>
      <c r="U1418" t="s">
        <v>58</v>
      </c>
      <c r="V1418">
        <v>2</v>
      </c>
      <c r="W1418">
        <v>1</v>
      </c>
      <c r="X1418">
        <v>1</v>
      </c>
      <c r="Y1418">
        <v>0</v>
      </c>
      <c r="Z1418">
        <v>1</v>
      </c>
      <c r="AA1418">
        <v>0</v>
      </c>
      <c r="AB1418">
        <v>372.77</v>
      </c>
      <c r="AC1418">
        <v>328</v>
      </c>
      <c r="AD1418">
        <v>0</v>
      </c>
      <c r="AE1418">
        <v>44.78</v>
      </c>
      <c r="AF1418">
        <v>0</v>
      </c>
      <c r="AG1418">
        <v>0</v>
      </c>
      <c r="AH1418">
        <v>0</v>
      </c>
      <c r="AI1418">
        <v>55.92</v>
      </c>
      <c r="AJ1418">
        <v>372.78</v>
      </c>
      <c r="AK1418">
        <v>0.01</v>
      </c>
      <c r="AL1418" t="s">
        <v>53</v>
      </c>
      <c r="AM1418" t="s">
        <v>53</v>
      </c>
      <c r="AN1418" t="s">
        <v>332</v>
      </c>
      <c r="AO1418" t="s">
        <v>53</v>
      </c>
      <c r="AP1418" t="s">
        <v>53</v>
      </c>
    </row>
    <row r="1419" spans="2:42" x14ac:dyDescent="0.2">
      <c r="B1419" t="s">
        <v>44</v>
      </c>
      <c r="C1419" t="str">
        <f>HYPERLINK("https://us2.cloudbeds.com/connect/8493803454333002#/reservations/598423040154?display=E1C357YQ&amp;reservation_id=598423040154", "E1C357YQ")</f>
        <v>E1C357YQ</v>
      </c>
      <c r="D1419" t="s">
        <v>45</v>
      </c>
      <c r="E1419" t="s">
        <v>69</v>
      </c>
      <c r="F1419" t="s">
        <v>70</v>
      </c>
      <c r="G1419" t="s">
        <v>48</v>
      </c>
      <c r="H1419" t="s">
        <v>49</v>
      </c>
      <c r="I1419" t="s">
        <v>114</v>
      </c>
      <c r="J1419" t="s">
        <v>107</v>
      </c>
      <c r="K1419" t="s">
        <v>191</v>
      </c>
      <c r="L1419" t="s">
        <v>53</v>
      </c>
      <c r="N1419" t="s">
        <v>2465</v>
      </c>
      <c r="P1419" t="s">
        <v>58</v>
      </c>
      <c r="R1419" t="s">
        <v>56</v>
      </c>
      <c r="T1419" t="s">
        <v>2466</v>
      </c>
      <c r="U1419" t="s">
        <v>58</v>
      </c>
      <c r="V1419">
        <v>1</v>
      </c>
      <c r="W1419">
        <v>1</v>
      </c>
      <c r="X1419">
        <v>1</v>
      </c>
      <c r="Y1419">
        <v>0</v>
      </c>
      <c r="Z1419">
        <v>1</v>
      </c>
      <c r="AA1419">
        <v>0</v>
      </c>
      <c r="AB1419">
        <v>102.29</v>
      </c>
      <c r="AC1419">
        <v>90</v>
      </c>
      <c r="AD1419">
        <v>0</v>
      </c>
      <c r="AE1419">
        <v>12.29</v>
      </c>
      <c r="AF1419">
        <v>0</v>
      </c>
      <c r="AG1419">
        <v>0</v>
      </c>
      <c r="AH1419">
        <v>0</v>
      </c>
      <c r="AI1419">
        <v>0</v>
      </c>
      <c r="AJ1419">
        <v>102.29</v>
      </c>
      <c r="AK1419">
        <v>0</v>
      </c>
      <c r="AL1419" t="s">
        <v>53</v>
      </c>
      <c r="AM1419" t="s">
        <v>53</v>
      </c>
      <c r="AN1419" t="s">
        <v>2467</v>
      </c>
      <c r="AO1419" t="s">
        <v>53</v>
      </c>
      <c r="AP1419" t="s">
        <v>53</v>
      </c>
    </row>
    <row r="1420" spans="2:42" x14ac:dyDescent="0.2">
      <c r="B1420" t="s">
        <v>44</v>
      </c>
      <c r="C1420" t="str">
        <f>HYPERLINK("https://us2.cloudbeds.com/connect/8493803454333002#/reservations/579287871712?display=DJX4SVPY&amp;reservation_id=579287871712", "DJX4SVPY")</f>
        <v>DJX4SVPY</v>
      </c>
      <c r="D1420" t="s">
        <v>45</v>
      </c>
      <c r="E1420" t="s">
        <v>2468</v>
      </c>
      <c r="F1420" t="s">
        <v>86</v>
      </c>
      <c r="G1420" t="s">
        <v>48</v>
      </c>
      <c r="H1420" t="s">
        <v>49</v>
      </c>
      <c r="I1420" t="s">
        <v>62</v>
      </c>
      <c r="J1420" t="s">
        <v>2469</v>
      </c>
      <c r="K1420" t="s">
        <v>1140</v>
      </c>
      <c r="L1420" t="s">
        <v>53</v>
      </c>
      <c r="N1420" t="s">
        <v>2470</v>
      </c>
      <c r="P1420" t="s">
        <v>55</v>
      </c>
      <c r="R1420" t="s">
        <v>205</v>
      </c>
      <c r="T1420" t="s">
        <v>2466</v>
      </c>
      <c r="U1420" t="s">
        <v>58</v>
      </c>
      <c r="V1420">
        <v>2</v>
      </c>
      <c r="W1420">
        <v>2</v>
      </c>
      <c r="X1420">
        <v>2</v>
      </c>
      <c r="Y1420">
        <v>0</v>
      </c>
      <c r="Z1420">
        <v>2</v>
      </c>
      <c r="AA1420">
        <v>0</v>
      </c>
      <c r="AB1420">
        <v>363.68</v>
      </c>
      <c r="AC1420">
        <v>320</v>
      </c>
      <c r="AD1420">
        <v>0</v>
      </c>
      <c r="AE1420">
        <v>43.68</v>
      </c>
      <c r="AF1420">
        <v>0</v>
      </c>
      <c r="AG1420">
        <v>0</v>
      </c>
      <c r="AH1420">
        <v>0</v>
      </c>
      <c r="AI1420">
        <v>54.55</v>
      </c>
      <c r="AJ1420">
        <v>363.68</v>
      </c>
      <c r="AK1420">
        <v>0</v>
      </c>
      <c r="AL1420" t="s">
        <v>53</v>
      </c>
      <c r="AM1420" t="s">
        <v>53</v>
      </c>
      <c r="AN1420" t="s">
        <v>2471</v>
      </c>
      <c r="AO1420" t="s">
        <v>53</v>
      </c>
      <c r="AP1420" t="s">
        <v>53</v>
      </c>
    </row>
    <row r="1421" spans="2:42" x14ac:dyDescent="0.2">
      <c r="B1421" t="s">
        <v>44</v>
      </c>
      <c r="C1421" t="str">
        <f>HYPERLINK("https://us2.cloudbeds.com/connect/8493803454333002#/reservations/579139530946?display=DJEBQ5BU&amp;reservation_id=579139530946", "DJEBQ5BU")</f>
        <v>DJEBQ5BU</v>
      </c>
      <c r="D1421" t="s">
        <v>45</v>
      </c>
      <c r="E1421" t="s">
        <v>69</v>
      </c>
      <c r="F1421" t="s">
        <v>70</v>
      </c>
      <c r="G1421" t="s">
        <v>48</v>
      </c>
      <c r="H1421" t="s">
        <v>71</v>
      </c>
      <c r="I1421" t="s">
        <v>72</v>
      </c>
      <c r="J1421" t="s">
        <v>1900</v>
      </c>
      <c r="K1421" t="s">
        <v>1296</v>
      </c>
      <c r="L1421" t="s">
        <v>53</v>
      </c>
      <c r="N1421" t="s">
        <v>2472</v>
      </c>
      <c r="P1421" t="s">
        <v>58</v>
      </c>
      <c r="R1421" t="s">
        <v>56</v>
      </c>
      <c r="T1421" t="s">
        <v>2466</v>
      </c>
      <c r="U1421" t="s">
        <v>58</v>
      </c>
      <c r="V1421">
        <v>1</v>
      </c>
      <c r="W1421">
        <v>1</v>
      </c>
      <c r="X1421">
        <v>1</v>
      </c>
      <c r="Y1421">
        <v>0</v>
      </c>
      <c r="Z1421">
        <v>1</v>
      </c>
      <c r="AA1421">
        <v>0</v>
      </c>
      <c r="AB1421">
        <v>147.75</v>
      </c>
      <c r="AC1421">
        <v>130</v>
      </c>
      <c r="AD1421">
        <v>0</v>
      </c>
      <c r="AE1421">
        <v>17.75</v>
      </c>
      <c r="AF1421">
        <v>0</v>
      </c>
      <c r="AG1421">
        <v>0</v>
      </c>
      <c r="AH1421">
        <v>0</v>
      </c>
      <c r="AI1421">
        <v>0</v>
      </c>
      <c r="AJ1421">
        <v>147.75</v>
      </c>
      <c r="AK1421">
        <v>0</v>
      </c>
      <c r="AL1421" t="s">
        <v>53</v>
      </c>
      <c r="AM1421" t="s">
        <v>53</v>
      </c>
      <c r="AN1421" t="s">
        <v>2473</v>
      </c>
      <c r="AO1421" t="s">
        <v>53</v>
      </c>
      <c r="AP1421" t="s">
        <v>53</v>
      </c>
    </row>
    <row r="1422" spans="2:42" x14ac:dyDescent="0.2">
      <c r="B1422" t="s">
        <v>44</v>
      </c>
      <c r="C1422" t="str">
        <f>HYPERLINK("https://us2.cloudbeds.com/connect/8493803454333002#/reservations/598259441808?display=E17U6SK5&amp;reservation_id=598259441808", "E17U6SK5")</f>
        <v>E17U6SK5</v>
      </c>
      <c r="D1422" t="s">
        <v>45</v>
      </c>
      <c r="E1422" t="s">
        <v>46</v>
      </c>
      <c r="F1422" t="s">
        <v>47</v>
      </c>
      <c r="G1422" t="s">
        <v>48</v>
      </c>
      <c r="H1422" t="s">
        <v>49</v>
      </c>
      <c r="I1422" t="s">
        <v>50</v>
      </c>
      <c r="J1422" t="s">
        <v>647</v>
      </c>
      <c r="K1422" t="s">
        <v>215</v>
      </c>
      <c r="L1422" t="s">
        <v>53</v>
      </c>
      <c r="N1422" t="s">
        <v>2474</v>
      </c>
      <c r="P1422" t="s">
        <v>55</v>
      </c>
      <c r="R1422" t="s">
        <v>56</v>
      </c>
      <c r="T1422" t="s">
        <v>2466</v>
      </c>
      <c r="U1422" t="s">
        <v>58</v>
      </c>
      <c r="V1422">
        <v>2</v>
      </c>
      <c r="W1422">
        <v>1</v>
      </c>
      <c r="X1422">
        <v>1</v>
      </c>
      <c r="Y1422">
        <v>0</v>
      </c>
      <c r="Z1422">
        <v>1</v>
      </c>
      <c r="AA1422">
        <v>0</v>
      </c>
      <c r="AB1422">
        <v>335.27</v>
      </c>
      <c r="AC1422">
        <v>295</v>
      </c>
      <c r="AD1422">
        <v>0</v>
      </c>
      <c r="AE1422">
        <v>40.26</v>
      </c>
      <c r="AF1422">
        <v>0</v>
      </c>
      <c r="AG1422">
        <v>0</v>
      </c>
      <c r="AH1422">
        <v>0</v>
      </c>
      <c r="AI1422">
        <v>60.35</v>
      </c>
      <c r="AJ1422">
        <v>335.26</v>
      </c>
      <c r="AK1422">
        <v>-0.01</v>
      </c>
      <c r="AL1422" t="s">
        <v>53</v>
      </c>
      <c r="AM1422" t="s">
        <v>53</v>
      </c>
      <c r="AN1422" t="s">
        <v>349</v>
      </c>
      <c r="AO1422" t="s">
        <v>53</v>
      </c>
      <c r="AP1422" t="s">
        <v>53</v>
      </c>
    </row>
    <row r="1423" spans="2:42" x14ac:dyDescent="0.2">
      <c r="B1423" t="s">
        <v>44</v>
      </c>
      <c r="C1423" t="str">
        <f>HYPERLINK("https://us2.cloudbeds.com/connect/8493803454333002#/reservations/598370324629?display=E1AZNBCY&amp;reservation_id=598370324629", "E1AZNBCY")</f>
        <v>E1AZNBCY</v>
      </c>
      <c r="D1423" t="s">
        <v>45</v>
      </c>
      <c r="E1423" t="s">
        <v>381</v>
      </c>
      <c r="F1423" t="s">
        <v>47</v>
      </c>
      <c r="G1423" t="s">
        <v>48</v>
      </c>
      <c r="H1423" t="s">
        <v>71</v>
      </c>
      <c r="I1423" t="s">
        <v>72</v>
      </c>
      <c r="J1423" t="s">
        <v>107</v>
      </c>
      <c r="K1423" t="s">
        <v>192</v>
      </c>
      <c r="L1423" t="s">
        <v>53</v>
      </c>
      <c r="N1423" t="s">
        <v>2475</v>
      </c>
      <c r="P1423" t="s">
        <v>58</v>
      </c>
      <c r="R1423" t="s">
        <v>56</v>
      </c>
      <c r="T1423" t="s">
        <v>2466</v>
      </c>
      <c r="U1423" t="s">
        <v>58</v>
      </c>
      <c r="V1423">
        <v>2</v>
      </c>
      <c r="W1423">
        <v>1</v>
      </c>
      <c r="X1423">
        <v>1</v>
      </c>
      <c r="Y1423">
        <v>0</v>
      </c>
      <c r="Z1423">
        <v>1</v>
      </c>
      <c r="AA1423">
        <v>0</v>
      </c>
      <c r="AB1423">
        <v>211.39</v>
      </c>
      <c r="AC1423">
        <v>186</v>
      </c>
      <c r="AD1423">
        <v>0</v>
      </c>
      <c r="AE1423">
        <v>25.4</v>
      </c>
      <c r="AF1423">
        <v>0</v>
      </c>
      <c r="AG1423">
        <v>0</v>
      </c>
      <c r="AH1423">
        <v>0</v>
      </c>
      <c r="AI1423">
        <v>0</v>
      </c>
      <c r="AJ1423">
        <v>211.4</v>
      </c>
      <c r="AK1423">
        <v>0.01</v>
      </c>
      <c r="AL1423" t="s">
        <v>53</v>
      </c>
      <c r="AM1423" t="s">
        <v>53</v>
      </c>
      <c r="AN1423" t="s">
        <v>2476</v>
      </c>
      <c r="AO1423" t="s">
        <v>53</v>
      </c>
      <c r="AP1423" t="s">
        <v>53</v>
      </c>
    </row>
    <row r="1424" spans="2:42" x14ac:dyDescent="0.2">
      <c r="B1424" t="s">
        <v>44</v>
      </c>
      <c r="C1424" t="str">
        <f>HYPERLINK("https://us2.cloudbeds.com/connect/8493803454333002#/reservations/598420386007?display=E1C0UCE3&amp;reservation_id=598420386007", "E1C0UCE3")</f>
        <v>E1C0UCE3</v>
      </c>
      <c r="D1424" t="s">
        <v>45</v>
      </c>
      <c r="E1424" t="s">
        <v>128</v>
      </c>
      <c r="F1424" t="s">
        <v>86</v>
      </c>
      <c r="G1424" t="s">
        <v>48</v>
      </c>
      <c r="H1424" t="s">
        <v>49</v>
      </c>
      <c r="I1424" t="s">
        <v>79</v>
      </c>
      <c r="J1424" t="s">
        <v>354</v>
      </c>
      <c r="K1424" t="s">
        <v>359</v>
      </c>
      <c r="L1424" t="s">
        <v>53</v>
      </c>
      <c r="N1424" t="s">
        <v>2477</v>
      </c>
      <c r="P1424" t="s">
        <v>55</v>
      </c>
      <c r="R1424" t="s">
        <v>56</v>
      </c>
      <c r="T1424" t="s">
        <v>2466</v>
      </c>
      <c r="U1424" t="s">
        <v>58</v>
      </c>
      <c r="V1424">
        <v>2</v>
      </c>
      <c r="W1424">
        <v>1</v>
      </c>
      <c r="X1424">
        <v>1</v>
      </c>
      <c r="Y1424">
        <v>0</v>
      </c>
      <c r="Z1424">
        <v>1</v>
      </c>
      <c r="AA1424">
        <v>0</v>
      </c>
      <c r="AB1424">
        <v>259.8</v>
      </c>
      <c r="AC1424">
        <v>228.6</v>
      </c>
      <c r="AD1424">
        <v>0</v>
      </c>
      <c r="AE1424">
        <v>31.2</v>
      </c>
      <c r="AF1424">
        <v>0</v>
      </c>
      <c r="AG1424">
        <v>0</v>
      </c>
      <c r="AH1424">
        <v>0</v>
      </c>
      <c r="AI1424">
        <v>0</v>
      </c>
      <c r="AJ1424">
        <v>259.8</v>
      </c>
      <c r="AK1424">
        <v>0</v>
      </c>
      <c r="AL1424" t="s">
        <v>53</v>
      </c>
      <c r="AM1424" t="s">
        <v>53</v>
      </c>
      <c r="AN1424" t="s">
        <v>146</v>
      </c>
      <c r="AO1424" t="s">
        <v>53</v>
      </c>
      <c r="AP1424" t="s">
        <v>53</v>
      </c>
    </row>
    <row r="1425" spans="2:42" x14ac:dyDescent="0.2">
      <c r="B1425" t="s">
        <v>44</v>
      </c>
      <c r="C1425" t="str">
        <f>HYPERLINK("https://us2.cloudbeds.com/connect/8493803454333002#/reservations/598494777548?display=E1DUYE76&amp;reservation_id=598494777548", "E1DUYE76")</f>
        <v>E1DUYE76</v>
      </c>
      <c r="D1425" t="s">
        <v>45</v>
      </c>
      <c r="E1425" t="s">
        <v>487</v>
      </c>
      <c r="F1425" t="s">
        <v>61</v>
      </c>
      <c r="G1425" t="s">
        <v>48</v>
      </c>
      <c r="H1425" t="s">
        <v>71</v>
      </c>
      <c r="I1425" t="s">
        <v>72</v>
      </c>
      <c r="J1425" t="s">
        <v>107</v>
      </c>
      <c r="K1425" t="s">
        <v>191</v>
      </c>
      <c r="L1425" t="s">
        <v>53</v>
      </c>
      <c r="N1425" t="s">
        <v>2478</v>
      </c>
      <c r="P1425" t="s">
        <v>55</v>
      </c>
      <c r="R1425" t="s">
        <v>56</v>
      </c>
      <c r="T1425" t="s">
        <v>2466</v>
      </c>
      <c r="U1425" t="s">
        <v>58</v>
      </c>
      <c r="V1425">
        <v>1</v>
      </c>
      <c r="W1425">
        <v>1</v>
      </c>
      <c r="X1425">
        <v>1</v>
      </c>
      <c r="Y1425">
        <v>0</v>
      </c>
      <c r="Z1425">
        <v>1</v>
      </c>
      <c r="AA1425">
        <v>0</v>
      </c>
      <c r="AB1425">
        <v>113.65</v>
      </c>
      <c r="AC1425">
        <v>100</v>
      </c>
      <c r="AD1425">
        <v>0</v>
      </c>
      <c r="AE1425">
        <v>13.65</v>
      </c>
      <c r="AF1425">
        <v>0</v>
      </c>
      <c r="AG1425">
        <v>0</v>
      </c>
      <c r="AH1425">
        <v>0</v>
      </c>
      <c r="AI1425">
        <v>0</v>
      </c>
      <c r="AJ1425">
        <v>113.65</v>
      </c>
      <c r="AK1425">
        <v>0</v>
      </c>
      <c r="AL1425" t="s">
        <v>53</v>
      </c>
      <c r="AM1425" t="s">
        <v>53</v>
      </c>
      <c r="AN1425" t="s">
        <v>683</v>
      </c>
      <c r="AO1425" t="s">
        <v>53</v>
      </c>
      <c r="AP1425" t="s">
        <v>53</v>
      </c>
    </row>
    <row r="1426" spans="2:42" x14ac:dyDescent="0.2">
      <c r="B1426" t="s">
        <v>44</v>
      </c>
      <c r="C1426" t="str">
        <f>HYPERLINK("https://us2.cloudbeds.com/connect/8493803454333002#/reservations/598584680689?display=E1G7F3TR&amp;reservation_id=598584680689", "E1G7F3TR")</f>
        <v>E1G7F3TR</v>
      </c>
      <c r="D1426" t="s">
        <v>45</v>
      </c>
      <c r="E1426" t="s">
        <v>46</v>
      </c>
      <c r="F1426" t="s">
        <v>47</v>
      </c>
      <c r="G1426" t="s">
        <v>48</v>
      </c>
      <c r="H1426" t="s">
        <v>49</v>
      </c>
      <c r="I1426" t="s">
        <v>62</v>
      </c>
      <c r="J1426" t="s">
        <v>1068</v>
      </c>
      <c r="K1426" t="s">
        <v>253</v>
      </c>
      <c r="L1426" t="s">
        <v>53</v>
      </c>
      <c r="N1426" t="s">
        <v>2479</v>
      </c>
      <c r="P1426" t="s">
        <v>55</v>
      </c>
      <c r="R1426" t="s">
        <v>56</v>
      </c>
      <c r="T1426" t="s">
        <v>2466</v>
      </c>
      <c r="U1426" t="s">
        <v>58</v>
      </c>
      <c r="V1426">
        <v>1</v>
      </c>
      <c r="W1426">
        <v>1</v>
      </c>
      <c r="X1426">
        <v>1</v>
      </c>
      <c r="Y1426">
        <v>0</v>
      </c>
      <c r="Z1426">
        <v>1</v>
      </c>
      <c r="AA1426">
        <v>0</v>
      </c>
      <c r="AB1426">
        <v>114.56</v>
      </c>
      <c r="AC1426">
        <v>100.8</v>
      </c>
      <c r="AD1426">
        <v>0</v>
      </c>
      <c r="AE1426">
        <v>13.76</v>
      </c>
      <c r="AF1426">
        <v>0</v>
      </c>
      <c r="AG1426">
        <v>0</v>
      </c>
      <c r="AH1426">
        <v>0</v>
      </c>
      <c r="AI1426">
        <v>17.18</v>
      </c>
      <c r="AJ1426">
        <v>114.56</v>
      </c>
      <c r="AK1426">
        <v>0</v>
      </c>
      <c r="AL1426" t="s">
        <v>53</v>
      </c>
      <c r="AM1426" t="s">
        <v>53</v>
      </c>
      <c r="AN1426" t="s">
        <v>529</v>
      </c>
      <c r="AO1426" t="s">
        <v>53</v>
      </c>
      <c r="AP1426" t="s">
        <v>53</v>
      </c>
    </row>
    <row r="1427" spans="2:42" x14ac:dyDescent="0.2">
      <c r="B1427" t="s">
        <v>44</v>
      </c>
      <c r="C1427" t="str">
        <f>HYPERLINK("https://us2.cloudbeds.com/connect/8493803454333002#/reservations/579315331291?display=DJXS1263&amp;reservation_id=579315331291", "DJXS1263")</f>
        <v>DJXS1263</v>
      </c>
      <c r="D1427" t="s">
        <v>45</v>
      </c>
      <c r="E1427" t="s">
        <v>213</v>
      </c>
      <c r="F1427" t="s">
        <v>86</v>
      </c>
      <c r="G1427" t="s">
        <v>48</v>
      </c>
      <c r="H1427" t="s">
        <v>49</v>
      </c>
      <c r="I1427" t="s">
        <v>62</v>
      </c>
      <c r="J1427" t="s">
        <v>2469</v>
      </c>
      <c r="K1427" t="s">
        <v>1140</v>
      </c>
      <c r="L1427" t="s">
        <v>53</v>
      </c>
      <c r="N1427" t="s">
        <v>2480</v>
      </c>
      <c r="P1427" t="s">
        <v>55</v>
      </c>
      <c r="R1427" t="s">
        <v>125</v>
      </c>
      <c r="T1427" t="s">
        <v>2466</v>
      </c>
      <c r="U1427" t="s">
        <v>58</v>
      </c>
      <c r="V1427">
        <v>1</v>
      </c>
      <c r="W1427">
        <v>1</v>
      </c>
      <c r="X1427">
        <v>1</v>
      </c>
      <c r="Y1427">
        <v>0</v>
      </c>
      <c r="Z1427">
        <v>1</v>
      </c>
      <c r="AA1427">
        <v>0</v>
      </c>
      <c r="AB1427">
        <v>181.84</v>
      </c>
      <c r="AC1427">
        <v>160</v>
      </c>
      <c r="AD1427">
        <v>0</v>
      </c>
      <c r="AE1427">
        <v>21.84</v>
      </c>
      <c r="AF1427">
        <v>0</v>
      </c>
      <c r="AG1427">
        <v>0</v>
      </c>
      <c r="AH1427">
        <v>0</v>
      </c>
      <c r="AI1427">
        <v>27.28</v>
      </c>
      <c r="AJ1427">
        <v>181.84</v>
      </c>
      <c r="AK1427">
        <v>0</v>
      </c>
      <c r="AL1427" t="s">
        <v>53</v>
      </c>
      <c r="AM1427" t="s">
        <v>53</v>
      </c>
      <c r="AN1427" t="s">
        <v>280</v>
      </c>
      <c r="AO1427" t="s">
        <v>53</v>
      </c>
      <c r="AP1427" t="s">
        <v>53</v>
      </c>
    </row>
    <row r="1428" spans="2:42" x14ac:dyDescent="0.2">
      <c r="B1428" t="s">
        <v>44</v>
      </c>
      <c r="C1428" t="str">
        <f>HYPERLINK("https://us2.cloudbeds.com/connect/8493803454333002#/reservations/598038716570?display=E1292SEJ&amp;reservation_id=598038716570", "E1292SEJ")</f>
        <v>E1292SEJ</v>
      </c>
      <c r="D1428" t="s">
        <v>45</v>
      </c>
      <c r="E1428" t="s">
        <v>78</v>
      </c>
      <c r="F1428" t="s">
        <v>61</v>
      </c>
      <c r="G1428" t="s">
        <v>48</v>
      </c>
      <c r="H1428" t="s">
        <v>71</v>
      </c>
      <c r="I1428" t="s">
        <v>72</v>
      </c>
      <c r="J1428" t="s">
        <v>259</v>
      </c>
      <c r="K1428" t="s">
        <v>260</v>
      </c>
      <c r="L1428" t="s">
        <v>53</v>
      </c>
      <c r="N1428" t="s">
        <v>2481</v>
      </c>
      <c r="P1428" t="s">
        <v>58</v>
      </c>
      <c r="R1428" t="s">
        <v>56</v>
      </c>
      <c r="T1428" t="s">
        <v>2466</v>
      </c>
      <c r="U1428" t="s">
        <v>58</v>
      </c>
      <c r="V1428">
        <v>3</v>
      </c>
      <c r="W1428">
        <v>1</v>
      </c>
      <c r="X1428">
        <v>1</v>
      </c>
      <c r="Y1428">
        <v>0</v>
      </c>
      <c r="Z1428">
        <v>1</v>
      </c>
      <c r="AA1428">
        <v>0</v>
      </c>
      <c r="AB1428">
        <v>484.15</v>
      </c>
      <c r="AC1428">
        <v>426</v>
      </c>
      <c r="AD1428">
        <v>0</v>
      </c>
      <c r="AE1428">
        <v>58.17</v>
      </c>
      <c r="AF1428">
        <v>0</v>
      </c>
      <c r="AG1428">
        <v>0</v>
      </c>
      <c r="AH1428">
        <v>0</v>
      </c>
      <c r="AI1428">
        <v>0</v>
      </c>
      <c r="AJ1428">
        <v>484.17</v>
      </c>
      <c r="AK1428">
        <v>0.02</v>
      </c>
      <c r="AL1428" t="s">
        <v>53</v>
      </c>
      <c r="AM1428" t="s">
        <v>53</v>
      </c>
      <c r="AN1428" t="s">
        <v>378</v>
      </c>
      <c r="AO1428" t="s">
        <v>53</v>
      </c>
      <c r="AP1428" t="s">
        <v>53</v>
      </c>
    </row>
    <row r="1429" spans="2:42" x14ac:dyDescent="0.2">
      <c r="B1429" t="s">
        <v>44</v>
      </c>
      <c r="C1429" t="str">
        <f>HYPERLINK("https://us2.cloudbeds.com/connect/8493803454333002#/reservations/598097076408?display=E13P9QZH&amp;reservation_id=598097076408", "E13P9QZH")</f>
        <v>E13P9QZH</v>
      </c>
      <c r="D1429" t="s">
        <v>45</v>
      </c>
      <c r="E1429" t="s">
        <v>179</v>
      </c>
      <c r="F1429" t="s">
        <v>47</v>
      </c>
      <c r="G1429" t="s">
        <v>48</v>
      </c>
      <c r="H1429" t="s">
        <v>49</v>
      </c>
      <c r="I1429" t="s">
        <v>79</v>
      </c>
      <c r="J1429" t="s">
        <v>938</v>
      </c>
      <c r="K1429" t="s">
        <v>359</v>
      </c>
      <c r="L1429" t="s">
        <v>53</v>
      </c>
      <c r="N1429" t="s">
        <v>2482</v>
      </c>
      <c r="P1429" t="s">
        <v>55</v>
      </c>
      <c r="R1429" t="s">
        <v>56</v>
      </c>
      <c r="T1429" t="s">
        <v>2466</v>
      </c>
      <c r="U1429" t="s">
        <v>58</v>
      </c>
      <c r="V1429">
        <v>1</v>
      </c>
      <c r="W1429">
        <v>1</v>
      </c>
      <c r="X1429">
        <v>1</v>
      </c>
      <c r="Y1429">
        <v>0</v>
      </c>
      <c r="Z1429">
        <v>1</v>
      </c>
      <c r="AA1429">
        <v>0</v>
      </c>
      <c r="AB1429">
        <v>107.4</v>
      </c>
      <c r="AC1429">
        <v>94.5</v>
      </c>
      <c r="AD1429">
        <v>0</v>
      </c>
      <c r="AE1429">
        <v>12.9</v>
      </c>
      <c r="AF1429">
        <v>0</v>
      </c>
      <c r="AG1429">
        <v>0</v>
      </c>
      <c r="AH1429">
        <v>0</v>
      </c>
      <c r="AI1429">
        <v>0</v>
      </c>
      <c r="AJ1429">
        <v>107.4</v>
      </c>
      <c r="AK1429">
        <v>0</v>
      </c>
      <c r="AL1429" t="s">
        <v>53</v>
      </c>
      <c r="AM1429" t="s">
        <v>53</v>
      </c>
      <c r="AN1429" t="s">
        <v>127</v>
      </c>
      <c r="AO1429" t="s">
        <v>53</v>
      </c>
      <c r="AP1429" t="s">
        <v>53</v>
      </c>
    </row>
    <row r="1430" spans="2:42" x14ac:dyDescent="0.2">
      <c r="B1430" t="s">
        <v>44</v>
      </c>
      <c r="C1430" t="str">
        <f>HYPERLINK("https://us2.cloudbeds.com/connect/8493803454333002#/reservations/598526693528?display=E1EZXHR4&amp;reservation_id=598526693528", "E1EZXHR4")</f>
        <v>E1EZXHR4</v>
      </c>
      <c r="D1430" t="s">
        <v>45</v>
      </c>
      <c r="E1430" t="s">
        <v>165</v>
      </c>
      <c r="F1430" t="s">
        <v>61</v>
      </c>
      <c r="G1430" t="s">
        <v>48</v>
      </c>
      <c r="H1430" t="s">
        <v>71</v>
      </c>
      <c r="I1430" t="s">
        <v>72</v>
      </c>
      <c r="J1430" t="s">
        <v>180</v>
      </c>
      <c r="K1430" t="s">
        <v>123</v>
      </c>
      <c r="L1430" t="s">
        <v>53</v>
      </c>
      <c r="N1430" t="s">
        <v>2483</v>
      </c>
      <c r="P1430" t="s">
        <v>55</v>
      </c>
      <c r="R1430" t="s">
        <v>56</v>
      </c>
      <c r="T1430" t="s">
        <v>2466</v>
      </c>
      <c r="U1430" t="s">
        <v>58</v>
      </c>
      <c r="V1430">
        <v>3</v>
      </c>
      <c r="W1430">
        <v>1</v>
      </c>
      <c r="X1430">
        <v>1</v>
      </c>
      <c r="Y1430">
        <v>0</v>
      </c>
      <c r="Z1430">
        <v>1</v>
      </c>
      <c r="AA1430">
        <v>0</v>
      </c>
      <c r="AB1430">
        <v>531.88</v>
      </c>
      <c r="AC1430">
        <v>468</v>
      </c>
      <c r="AD1430">
        <v>0</v>
      </c>
      <c r="AE1430">
        <v>63.87</v>
      </c>
      <c r="AF1430">
        <v>0</v>
      </c>
      <c r="AG1430">
        <v>0</v>
      </c>
      <c r="AH1430">
        <v>0</v>
      </c>
      <c r="AI1430">
        <v>0</v>
      </c>
      <c r="AJ1430">
        <v>531.87</v>
      </c>
      <c r="AK1430">
        <v>-0.01</v>
      </c>
      <c r="AL1430" t="s">
        <v>53</v>
      </c>
      <c r="AM1430" t="s">
        <v>53</v>
      </c>
      <c r="AN1430" t="s">
        <v>2484</v>
      </c>
      <c r="AO1430" t="s">
        <v>53</v>
      </c>
      <c r="AP1430" t="s">
        <v>53</v>
      </c>
    </row>
    <row r="1431" spans="2:42" x14ac:dyDescent="0.2">
      <c r="B1431" t="s">
        <v>44</v>
      </c>
      <c r="C1431" t="str">
        <f>HYPERLINK("https://us2.cloudbeds.com/connect/8493803454333002#/reservations/598455234763?display=E1CUA340&amp;reservation_id=598455234763", "E1CUA340")</f>
        <v>E1CUA340</v>
      </c>
      <c r="D1431" t="s">
        <v>45</v>
      </c>
      <c r="E1431" t="s">
        <v>381</v>
      </c>
      <c r="F1431" t="s">
        <v>47</v>
      </c>
      <c r="G1431" t="s">
        <v>48</v>
      </c>
      <c r="H1431" t="s">
        <v>71</v>
      </c>
      <c r="I1431" t="s">
        <v>72</v>
      </c>
      <c r="J1431" t="s">
        <v>333</v>
      </c>
      <c r="K1431" t="s">
        <v>259</v>
      </c>
      <c r="L1431" t="s">
        <v>53</v>
      </c>
      <c r="N1431" t="s">
        <v>2485</v>
      </c>
      <c r="P1431" t="s">
        <v>55</v>
      </c>
      <c r="R1431" t="s">
        <v>56</v>
      </c>
      <c r="T1431" t="s">
        <v>2466</v>
      </c>
      <c r="U1431" t="s">
        <v>58</v>
      </c>
      <c r="V1431">
        <v>3</v>
      </c>
      <c r="W1431">
        <v>1</v>
      </c>
      <c r="X1431">
        <v>1</v>
      </c>
      <c r="Y1431">
        <v>0</v>
      </c>
      <c r="Z1431">
        <v>1</v>
      </c>
      <c r="AA1431">
        <v>0</v>
      </c>
      <c r="AB1431">
        <v>340.95</v>
      </c>
      <c r="AC1431">
        <v>300</v>
      </c>
      <c r="AD1431">
        <v>0</v>
      </c>
      <c r="AE1431">
        <v>40.950000000000003</v>
      </c>
      <c r="AF1431">
        <v>0</v>
      </c>
      <c r="AG1431">
        <v>0</v>
      </c>
      <c r="AH1431">
        <v>0</v>
      </c>
      <c r="AI1431">
        <v>0</v>
      </c>
      <c r="AJ1431">
        <v>340.95</v>
      </c>
      <c r="AK1431">
        <v>0</v>
      </c>
      <c r="AL1431" t="s">
        <v>53</v>
      </c>
      <c r="AM1431" t="s">
        <v>53</v>
      </c>
      <c r="AN1431" t="s">
        <v>378</v>
      </c>
      <c r="AO1431" t="s">
        <v>53</v>
      </c>
      <c r="AP1431" t="s">
        <v>53</v>
      </c>
    </row>
    <row r="1432" spans="2:42" x14ac:dyDescent="0.2">
      <c r="B1432" t="s">
        <v>44</v>
      </c>
      <c r="C1432" t="str">
        <f>HYPERLINK("https://us2.cloudbeds.com/connect/8493803454333002#/reservations/598286508186?display=E18K10VE&amp;reservation_id=598286508186", "E18K10VE")</f>
        <v>E18K10VE</v>
      </c>
      <c r="D1432" t="s">
        <v>45</v>
      </c>
      <c r="E1432" t="s">
        <v>373</v>
      </c>
      <c r="F1432" t="s">
        <v>47</v>
      </c>
      <c r="G1432" t="s">
        <v>48</v>
      </c>
      <c r="H1432" t="s">
        <v>49</v>
      </c>
      <c r="I1432" t="s">
        <v>79</v>
      </c>
      <c r="J1432" t="s">
        <v>107</v>
      </c>
      <c r="K1432" t="s">
        <v>1068</v>
      </c>
      <c r="L1432" t="s">
        <v>53</v>
      </c>
      <c r="N1432" t="s">
        <v>2486</v>
      </c>
      <c r="P1432" t="s">
        <v>55</v>
      </c>
      <c r="R1432" t="s">
        <v>56</v>
      </c>
      <c r="T1432" t="s">
        <v>2466</v>
      </c>
      <c r="U1432" t="s">
        <v>58</v>
      </c>
      <c r="V1432">
        <v>3</v>
      </c>
      <c r="W1432">
        <v>1</v>
      </c>
      <c r="X1432">
        <v>1</v>
      </c>
      <c r="Y1432">
        <v>0</v>
      </c>
      <c r="Z1432">
        <v>1</v>
      </c>
      <c r="AA1432">
        <v>0</v>
      </c>
      <c r="AB1432">
        <v>309.92</v>
      </c>
      <c r="AC1432">
        <v>272.7</v>
      </c>
      <c r="AD1432">
        <v>0</v>
      </c>
      <c r="AE1432">
        <v>37.229999999999997</v>
      </c>
      <c r="AF1432">
        <v>0</v>
      </c>
      <c r="AG1432">
        <v>0</v>
      </c>
      <c r="AH1432">
        <v>0</v>
      </c>
      <c r="AI1432">
        <v>0</v>
      </c>
      <c r="AJ1432">
        <v>309.93</v>
      </c>
      <c r="AK1432">
        <v>0.01</v>
      </c>
      <c r="AL1432" t="s">
        <v>53</v>
      </c>
      <c r="AM1432" t="s">
        <v>53</v>
      </c>
      <c r="AN1432" t="s">
        <v>159</v>
      </c>
      <c r="AO1432" t="s">
        <v>53</v>
      </c>
      <c r="AP1432" t="s">
        <v>53</v>
      </c>
    </row>
    <row r="1433" spans="2:42" x14ac:dyDescent="0.2">
      <c r="B1433" t="s">
        <v>44</v>
      </c>
      <c r="C1433" t="str">
        <f>HYPERLINK("https://us2.cloudbeds.com/connect/8493803454333002#/reservations/598577184961?display=E1G14HPX&amp;reservation_id=598577184961", "E1G14HPX")</f>
        <v>E1G14HPX</v>
      </c>
      <c r="D1433" t="s">
        <v>45</v>
      </c>
      <c r="E1433" t="s">
        <v>406</v>
      </c>
      <c r="F1433" t="s">
        <v>61</v>
      </c>
      <c r="G1433" t="s">
        <v>48</v>
      </c>
      <c r="H1433" t="s">
        <v>71</v>
      </c>
      <c r="I1433" t="s">
        <v>72</v>
      </c>
      <c r="J1433" t="s">
        <v>144</v>
      </c>
      <c r="K1433" t="s">
        <v>196</v>
      </c>
      <c r="L1433" t="s">
        <v>53</v>
      </c>
      <c r="N1433" t="s">
        <v>2487</v>
      </c>
      <c r="P1433" t="s">
        <v>55</v>
      </c>
      <c r="R1433" t="s">
        <v>56</v>
      </c>
      <c r="T1433" t="s">
        <v>2466</v>
      </c>
      <c r="U1433" t="s">
        <v>58</v>
      </c>
      <c r="V1433">
        <v>2</v>
      </c>
      <c r="W1433">
        <v>1</v>
      </c>
      <c r="X1433">
        <v>1</v>
      </c>
      <c r="Y1433">
        <v>0</v>
      </c>
      <c r="Z1433">
        <v>1</v>
      </c>
      <c r="AA1433">
        <v>0</v>
      </c>
      <c r="AB1433">
        <v>355.72</v>
      </c>
      <c r="AC1433">
        <v>313</v>
      </c>
      <c r="AD1433">
        <v>0</v>
      </c>
      <c r="AE1433">
        <v>42.74</v>
      </c>
      <c r="AF1433">
        <v>0</v>
      </c>
      <c r="AG1433">
        <v>0</v>
      </c>
      <c r="AH1433">
        <v>0</v>
      </c>
      <c r="AI1433">
        <v>0</v>
      </c>
      <c r="AJ1433">
        <v>355.74</v>
      </c>
      <c r="AK1433">
        <v>0.02</v>
      </c>
      <c r="AL1433" t="s">
        <v>53</v>
      </c>
      <c r="AM1433" t="s">
        <v>53</v>
      </c>
      <c r="AN1433" t="s">
        <v>2488</v>
      </c>
      <c r="AO1433" t="s">
        <v>53</v>
      </c>
      <c r="AP1433" t="s">
        <v>53</v>
      </c>
    </row>
    <row r="1434" spans="2:42" x14ac:dyDescent="0.2">
      <c r="B1434" t="s">
        <v>44</v>
      </c>
      <c r="C1434" t="str">
        <f>HYPERLINK("https://us2.cloudbeds.com/connect/8493803454333002#/reservations/598538539228?display=E1F1X5DZ&amp;reservation_id=598538539228", "E1F1X5DZ")</f>
        <v>E1F1X5DZ</v>
      </c>
      <c r="D1434" t="s">
        <v>45</v>
      </c>
      <c r="E1434" t="s">
        <v>85</v>
      </c>
      <c r="F1434" t="s">
        <v>86</v>
      </c>
      <c r="G1434" t="s">
        <v>48</v>
      </c>
      <c r="H1434" t="s">
        <v>49</v>
      </c>
      <c r="I1434" t="s">
        <v>62</v>
      </c>
      <c r="J1434" t="s">
        <v>323</v>
      </c>
      <c r="K1434" t="s">
        <v>504</v>
      </c>
      <c r="L1434" t="s">
        <v>53</v>
      </c>
      <c r="N1434" t="s">
        <v>2489</v>
      </c>
      <c r="P1434" t="s">
        <v>55</v>
      </c>
      <c r="R1434" t="s">
        <v>102</v>
      </c>
      <c r="T1434" t="s">
        <v>2466</v>
      </c>
      <c r="U1434" t="s">
        <v>58</v>
      </c>
      <c r="V1434">
        <v>2</v>
      </c>
      <c r="W1434">
        <v>1</v>
      </c>
      <c r="X1434">
        <v>1</v>
      </c>
      <c r="Y1434">
        <v>0</v>
      </c>
      <c r="Z1434">
        <v>1</v>
      </c>
      <c r="AA1434">
        <v>0</v>
      </c>
      <c r="AB1434">
        <v>373.91</v>
      </c>
      <c r="AC1434">
        <v>329</v>
      </c>
      <c r="AD1434">
        <v>0</v>
      </c>
      <c r="AE1434">
        <v>44.92</v>
      </c>
      <c r="AF1434">
        <v>0</v>
      </c>
      <c r="AG1434">
        <v>0</v>
      </c>
      <c r="AH1434">
        <v>0</v>
      </c>
      <c r="AI1434">
        <v>56.09</v>
      </c>
      <c r="AJ1434">
        <v>373.92</v>
      </c>
      <c r="AK1434">
        <v>0.01</v>
      </c>
      <c r="AL1434" t="s">
        <v>53</v>
      </c>
      <c r="AM1434" t="s">
        <v>53</v>
      </c>
      <c r="AN1434" t="s">
        <v>316</v>
      </c>
      <c r="AO1434" t="s">
        <v>53</v>
      </c>
      <c r="AP1434" t="s">
        <v>53</v>
      </c>
    </row>
    <row r="1435" spans="2:42" x14ac:dyDescent="0.2">
      <c r="B1435" t="s">
        <v>44</v>
      </c>
      <c r="C1435" t="str">
        <f>HYPERLINK("https://us2.cloudbeds.com/connect/8493803454333002#/reservations/579240468614?display=DJGUTTP4&amp;reservation_id=579240468614", "DJGUTTP4")</f>
        <v>DJGUTTP4</v>
      </c>
      <c r="D1435" t="s">
        <v>45</v>
      </c>
      <c r="E1435" t="s">
        <v>105</v>
      </c>
      <c r="F1435" t="s">
        <v>47</v>
      </c>
      <c r="G1435" t="s">
        <v>48</v>
      </c>
      <c r="H1435" t="s">
        <v>71</v>
      </c>
      <c r="I1435" t="s">
        <v>72</v>
      </c>
      <c r="J1435" t="s">
        <v>1501</v>
      </c>
      <c r="K1435" t="s">
        <v>1611</v>
      </c>
      <c r="L1435" t="s">
        <v>53</v>
      </c>
      <c r="N1435" t="s">
        <v>2490</v>
      </c>
      <c r="P1435" t="s">
        <v>55</v>
      </c>
      <c r="R1435" t="s">
        <v>56</v>
      </c>
      <c r="T1435" t="s">
        <v>2466</v>
      </c>
      <c r="U1435" t="s">
        <v>58</v>
      </c>
      <c r="V1435">
        <v>1</v>
      </c>
      <c r="W1435">
        <v>1</v>
      </c>
      <c r="X1435">
        <v>1</v>
      </c>
      <c r="Y1435">
        <v>0</v>
      </c>
      <c r="Z1435">
        <v>1</v>
      </c>
      <c r="AA1435">
        <v>0</v>
      </c>
      <c r="AB1435">
        <v>157.97999999999999</v>
      </c>
      <c r="AC1435">
        <v>139</v>
      </c>
      <c r="AD1435">
        <v>0</v>
      </c>
      <c r="AE1435">
        <v>18.98</v>
      </c>
      <c r="AF1435">
        <v>0</v>
      </c>
      <c r="AG1435">
        <v>0</v>
      </c>
      <c r="AH1435">
        <v>0</v>
      </c>
      <c r="AI1435">
        <v>0</v>
      </c>
      <c r="AJ1435">
        <v>157.97999999999999</v>
      </c>
      <c r="AK1435">
        <v>0</v>
      </c>
      <c r="AL1435" t="s">
        <v>53</v>
      </c>
      <c r="AM1435" t="s">
        <v>53</v>
      </c>
      <c r="AN1435" t="s">
        <v>2491</v>
      </c>
      <c r="AO1435" t="s">
        <v>53</v>
      </c>
      <c r="AP1435" t="s">
        <v>53</v>
      </c>
    </row>
    <row r="1436" spans="2:42" x14ac:dyDescent="0.2">
      <c r="B1436" t="s">
        <v>44</v>
      </c>
      <c r="C1436" t="str">
        <f>HYPERLINK("https://us2.cloudbeds.com/connect/8493803454333002#/reservations/598571286742?display=E1FT5DJY&amp;reservation_id=598571286742", "E1FT5DJY")</f>
        <v>E1FT5DJY</v>
      </c>
      <c r="D1436" t="s">
        <v>45</v>
      </c>
      <c r="E1436" t="s">
        <v>265</v>
      </c>
      <c r="F1436" t="s">
        <v>61</v>
      </c>
      <c r="G1436" t="s">
        <v>48</v>
      </c>
      <c r="H1436" t="s">
        <v>49</v>
      </c>
      <c r="I1436" t="s">
        <v>50</v>
      </c>
      <c r="J1436" t="s">
        <v>192</v>
      </c>
      <c r="K1436" t="s">
        <v>1068</v>
      </c>
      <c r="L1436" t="s">
        <v>53</v>
      </c>
      <c r="N1436" t="s">
        <v>2492</v>
      </c>
      <c r="P1436" t="s">
        <v>55</v>
      </c>
      <c r="R1436" t="s">
        <v>56</v>
      </c>
      <c r="T1436" t="s">
        <v>2466</v>
      </c>
      <c r="U1436" t="s">
        <v>58</v>
      </c>
      <c r="V1436">
        <v>1</v>
      </c>
      <c r="W1436">
        <v>1</v>
      </c>
      <c r="X1436">
        <v>1</v>
      </c>
      <c r="Y1436">
        <v>0</v>
      </c>
      <c r="Z1436">
        <v>1</v>
      </c>
      <c r="AA1436">
        <v>0</v>
      </c>
      <c r="AB1436">
        <v>112.51</v>
      </c>
      <c r="AC1436">
        <v>99</v>
      </c>
      <c r="AD1436">
        <v>0</v>
      </c>
      <c r="AE1436">
        <v>13.52</v>
      </c>
      <c r="AF1436">
        <v>0</v>
      </c>
      <c r="AG1436">
        <v>0</v>
      </c>
      <c r="AH1436">
        <v>0</v>
      </c>
      <c r="AI1436">
        <v>20.25</v>
      </c>
      <c r="AJ1436">
        <v>112.52</v>
      </c>
      <c r="AK1436">
        <v>0.01</v>
      </c>
      <c r="AL1436" t="s">
        <v>53</v>
      </c>
      <c r="AM1436" t="s">
        <v>53</v>
      </c>
      <c r="AN1436" t="s">
        <v>97</v>
      </c>
      <c r="AO1436" t="s">
        <v>53</v>
      </c>
      <c r="AP1436" t="s">
        <v>53</v>
      </c>
    </row>
    <row r="1437" spans="2:42" x14ac:dyDescent="0.2">
      <c r="B1437" t="s">
        <v>44</v>
      </c>
      <c r="C1437" t="str">
        <f>HYPERLINK("https://us2.cloudbeds.com/connect/8493803454333002#/reservations/598595924113?display=E1GGUWEY&amp;reservation_id=598595924113", "E1GGUWEY")</f>
        <v>E1GGUWEY</v>
      </c>
      <c r="D1437" t="s">
        <v>45</v>
      </c>
      <c r="E1437" t="s">
        <v>381</v>
      </c>
      <c r="F1437" t="s">
        <v>47</v>
      </c>
      <c r="G1437" t="s">
        <v>48</v>
      </c>
      <c r="H1437" t="s">
        <v>49</v>
      </c>
      <c r="I1437" t="s">
        <v>62</v>
      </c>
      <c r="J1437" t="s">
        <v>259</v>
      </c>
      <c r="K1437" t="s">
        <v>295</v>
      </c>
      <c r="L1437" t="s">
        <v>53</v>
      </c>
      <c r="N1437" t="s">
        <v>2493</v>
      </c>
      <c r="P1437" t="s">
        <v>55</v>
      </c>
      <c r="R1437" t="s">
        <v>56</v>
      </c>
      <c r="T1437" t="s">
        <v>2466</v>
      </c>
      <c r="U1437" t="s">
        <v>58</v>
      </c>
      <c r="V1437">
        <v>1</v>
      </c>
      <c r="W1437">
        <v>1</v>
      </c>
      <c r="X1437">
        <v>1</v>
      </c>
      <c r="Y1437">
        <v>0</v>
      </c>
      <c r="Z1437">
        <v>1</v>
      </c>
      <c r="AA1437">
        <v>0</v>
      </c>
      <c r="AB1437">
        <v>119.33</v>
      </c>
      <c r="AC1437">
        <v>105</v>
      </c>
      <c r="AD1437">
        <v>0</v>
      </c>
      <c r="AE1437">
        <v>14.34</v>
      </c>
      <c r="AF1437">
        <v>0</v>
      </c>
      <c r="AG1437">
        <v>0</v>
      </c>
      <c r="AH1437">
        <v>0</v>
      </c>
      <c r="AI1437">
        <v>17.899999999999999</v>
      </c>
      <c r="AJ1437">
        <v>119.34</v>
      </c>
      <c r="AK1437">
        <v>0.01</v>
      </c>
      <c r="AL1437" t="s">
        <v>53</v>
      </c>
      <c r="AM1437" t="s">
        <v>53</v>
      </c>
      <c r="AN1437" t="s">
        <v>198</v>
      </c>
      <c r="AO1437" t="s">
        <v>53</v>
      </c>
      <c r="AP1437" t="s">
        <v>53</v>
      </c>
    </row>
    <row r="1438" spans="2:42" x14ac:dyDescent="0.2">
      <c r="B1438" t="s">
        <v>44</v>
      </c>
      <c r="C1438" t="str">
        <f>HYPERLINK("https://us2.cloudbeds.com/connect/8493803454333002#/reservations/579336700062?display=DJJD1MXK&amp;reservation_id=579336700062", "DJJD1MXK")</f>
        <v>DJJD1MXK</v>
      </c>
      <c r="D1438" t="s">
        <v>45</v>
      </c>
      <c r="E1438" t="s">
        <v>305</v>
      </c>
      <c r="F1438" t="s">
        <v>61</v>
      </c>
      <c r="G1438" t="s">
        <v>48</v>
      </c>
      <c r="H1438" t="s">
        <v>49</v>
      </c>
      <c r="I1438" t="s">
        <v>79</v>
      </c>
      <c r="J1438" t="s">
        <v>2494</v>
      </c>
      <c r="K1438" t="s">
        <v>1405</v>
      </c>
      <c r="L1438" t="s">
        <v>53</v>
      </c>
      <c r="N1438" t="s">
        <v>2495</v>
      </c>
      <c r="P1438" t="s">
        <v>55</v>
      </c>
      <c r="R1438" t="s">
        <v>56</v>
      </c>
      <c r="T1438" t="s">
        <v>2466</v>
      </c>
      <c r="U1438" t="s">
        <v>58</v>
      </c>
      <c r="V1438">
        <v>2</v>
      </c>
      <c r="W1438">
        <v>1</v>
      </c>
      <c r="X1438">
        <v>1</v>
      </c>
      <c r="Y1438">
        <v>0</v>
      </c>
      <c r="Z1438">
        <v>1</v>
      </c>
      <c r="AA1438">
        <v>0</v>
      </c>
      <c r="AB1438">
        <v>311.98</v>
      </c>
      <c r="AC1438">
        <v>274.5</v>
      </c>
      <c r="AD1438">
        <v>0</v>
      </c>
      <c r="AE1438">
        <v>37.479999999999997</v>
      </c>
      <c r="AF1438">
        <v>0</v>
      </c>
      <c r="AG1438">
        <v>0</v>
      </c>
      <c r="AH1438">
        <v>0</v>
      </c>
      <c r="AI1438">
        <v>0</v>
      </c>
      <c r="AJ1438">
        <v>311.98</v>
      </c>
      <c r="AK1438">
        <v>0</v>
      </c>
      <c r="AL1438" t="s">
        <v>53</v>
      </c>
      <c r="AM1438" t="s">
        <v>53</v>
      </c>
      <c r="AN1438" t="s">
        <v>146</v>
      </c>
      <c r="AO1438" t="s">
        <v>53</v>
      </c>
      <c r="AP1438" t="s">
        <v>53</v>
      </c>
    </row>
    <row r="1439" spans="2:42" x14ac:dyDescent="0.2">
      <c r="B1439" t="s">
        <v>44</v>
      </c>
      <c r="C1439" t="str">
        <f>HYPERLINK("https://us2.cloudbeds.com/connect/8493803454333002#/reservations/598617972874?display=E1H2HH7U&amp;reservation_id=598617972874", "E1H2HH7U")</f>
        <v>E1H2HH7U</v>
      </c>
      <c r="D1439" t="s">
        <v>45</v>
      </c>
      <c r="E1439" t="s">
        <v>69</v>
      </c>
      <c r="F1439" t="s">
        <v>70</v>
      </c>
      <c r="G1439" t="s">
        <v>48</v>
      </c>
      <c r="H1439" t="s">
        <v>71</v>
      </c>
      <c r="I1439" t="s">
        <v>72</v>
      </c>
      <c r="J1439" t="s">
        <v>1633</v>
      </c>
      <c r="K1439" t="s">
        <v>447</v>
      </c>
      <c r="L1439" t="s">
        <v>53</v>
      </c>
      <c r="N1439" t="s">
        <v>2496</v>
      </c>
      <c r="P1439" t="s">
        <v>55</v>
      </c>
      <c r="R1439" t="s">
        <v>56</v>
      </c>
      <c r="T1439" t="s">
        <v>2466</v>
      </c>
      <c r="U1439" t="s">
        <v>58</v>
      </c>
      <c r="V1439">
        <v>1</v>
      </c>
      <c r="W1439">
        <v>1</v>
      </c>
      <c r="X1439">
        <v>1</v>
      </c>
      <c r="Y1439">
        <v>0</v>
      </c>
      <c r="Z1439">
        <v>1</v>
      </c>
      <c r="AA1439">
        <v>0</v>
      </c>
      <c r="AB1439">
        <v>159.11000000000001</v>
      </c>
      <c r="AC1439">
        <v>140</v>
      </c>
      <c r="AD1439">
        <v>0</v>
      </c>
      <c r="AE1439">
        <v>19.11</v>
      </c>
      <c r="AF1439">
        <v>0</v>
      </c>
      <c r="AG1439">
        <v>0</v>
      </c>
      <c r="AH1439">
        <v>0</v>
      </c>
      <c r="AI1439">
        <v>0</v>
      </c>
      <c r="AJ1439">
        <v>159.11000000000001</v>
      </c>
      <c r="AK1439">
        <v>0</v>
      </c>
      <c r="AL1439" t="s">
        <v>53</v>
      </c>
      <c r="AM1439" t="s">
        <v>53</v>
      </c>
      <c r="AN1439" t="s">
        <v>2497</v>
      </c>
      <c r="AO1439" t="s">
        <v>53</v>
      </c>
      <c r="AP1439" t="s">
        <v>53</v>
      </c>
    </row>
    <row r="1440" spans="2:42" x14ac:dyDescent="0.2">
      <c r="B1440" t="s">
        <v>44</v>
      </c>
      <c r="C1440" t="str">
        <f>HYPERLINK("https://us2.cloudbeds.com/connect/8493803454333002#/reservations/579334779110?display=DJJBE7JV&amp;reservation_id=579334779110", "DJJBE7JV")</f>
        <v>DJJBE7JV</v>
      </c>
      <c r="D1440" t="s">
        <v>45</v>
      </c>
      <c r="E1440" t="s">
        <v>85</v>
      </c>
      <c r="F1440" t="s">
        <v>86</v>
      </c>
      <c r="G1440" t="s">
        <v>48</v>
      </c>
      <c r="H1440" t="s">
        <v>71</v>
      </c>
      <c r="I1440" t="s">
        <v>72</v>
      </c>
      <c r="J1440" t="s">
        <v>1664</v>
      </c>
      <c r="K1440" t="s">
        <v>1665</v>
      </c>
      <c r="L1440" t="s">
        <v>53</v>
      </c>
      <c r="N1440" t="s">
        <v>2498</v>
      </c>
      <c r="P1440" t="s">
        <v>55</v>
      </c>
      <c r="R1440" t="s">
        <v>56</v>
      </c>
      <c r="T1440" t="s">
        <v>2466</v>
      </c>
      <c r="U1440" t="s">
        <v>58</v>
      </c>
      <c r="V1440">
        <v>1</v>
      </c>
      <c r="W1440">
        <v>1</v>
      </c>
      <c r="X1440">
        <v>1</v>
      </c>
      <c r="Y1440">
        <v>0</v>
      </c>
      <c r="Z1440">
        <v>1</v>
      </c>
      <c r="AA1440">
        <v>0</v>
      </c>
      <c r="AB1440">
        <v>201.16</v>
      </c>
      <c r="AC1440">
        <v>177</v>
      </c>
      <c r="AD1440">
        <v>0</v>
      </c>
      <c r="AE1440">
        <v>24.16</v>
      </c>
      <c r="AF1440">
        <v>0</v>
      </c>
      <c r="AG1440">
        <v>0</v>
      </c>
      <c r="AH1440">
        <v>0</v>
      </c>
      <c r="AI1440">
        <v>0</v>
      </c>
      <c r="AJ1440">
        <v>201.16</v>
      </c>
      <c r="AK1440">
        <v>0</v>
      </c>
      <c r="AL1440" t="s">
        <v>53</v>
      </c>
      <c r="AM1440" t="s">
        <v>53</v>
      </c>
      <c r="AN1440" t="s">
        <v>2499</v>
      </c>
      <c r="AO1440" t="s">
        <v>53</v>
      </c>
      <c r="AP1440" t="s">
        <v>53</v>
      </c>
    </row>
    <row r="1441" spans="2:42" x14ac:dyDescent="0.2">
      <c r="B1441" t="s">
        <v>44</v>
      </c>
      <c r="C1441" t="str">
        <f>HYPERLINK("https://us2.cloudbeds.com/connect/8493803454333002#/reservations/598488412390?display=E1DP9A8K&amp;reservation_id=598488412390", "E1DP9A8K")</f>
        <v>E1DP9A8K</v>
      </c>
      <c r="D1441" t="s">
        <v>45</v>
      </c>
      <c r="E1441" t="s">
        <v>305</v>
      </c>
      <c r="F1441" t="s">
        <v>61</v>
      </c>
      <c r="G1441" t="s">
        <v>48</v>
      </c>
      <c r="H1441" t="s">
        <v>49</v>
      </c>
      <c r="I1441" t="s">
        <v>50</v>
      </c>
      <c r="J1441" t="s">
        <v>611</v>
      </c>
      <c r="K1441" t="s">
        <v>699</v>
      </c>
      <c r="L1441" t="s">
        <v>53</v>
      </c>
      <c r="N1441" t="s">
        <v>2500</v>
      </c>
      <c r="P1441" t="s">
        <v>55</v>
      </c>
      <c r="R1441" t="s">
        <v>56</v>
      </c>
      <c r="T1441" t="s">
        <v>2501</v>
      </c>
      <c r="U1441" t="s">
        <v>58</v>
      </c>
      <c r="V1441">
        <v>2</v>
      </c>
      <c r="W1441">
        <v>1</v>
      </c>
      <c r="X1441">
        <v>1</v>
      </c>
      <c r="Y1441">
        <v>0</v>
      </c>
      <c r="Z1441">
        <v>1</v>
      </c>
      <c r="AA1441">
        <v>0</v>
      </c>
      <c r="AB1441">
        <v>225.03</v>
      </c>
      <c r="AC1441">
        <v>198</v>
      </c>
      <c r="AD1441">
        <v>0</v>
      </c>
      <c r="AE1441">
        <v>27.04</v>
      </c>
      <c r="AF1441">
        <v>0</v>
      </c>
      <c r="AG1441">
        <v>0</v>
      </c>
      <c r="AH1441">
        <v>0</v>
      </c>
      <c r="AI1441">
        <v>40.51</v>
      </c>
      <c r="AJ1441">
        <v>225.04</v>
      </c>
      <c r="AK1441">
        <v>0.01</v>
      </c>
      <c r="AL1441" t="s">
        <v>53</v>
      </c>
      <c r="AM1441" t="s">
        <v>53</v>
      </c>
      <c r="AN1441" t="s">
        <v>59</v>
      </c>
      <c r="AO1441" t="s">
        <v>53</v>
      </c>
      <c r="AP1441" t="s">
        <v>53</v>
      </c>
    </row>
    <row r="1442" spans="2:42" x14ac:dyDescent="0.2">
      <c r="B1442" t="s">
        <v>44</v>
      </c>
      <c r="C1442" t="str">
        <f>HYPERLINK("https://us2.cloudbeds.com/connect/8493803454333002#/reservations/598410571950?display=E1BPY9ED&amp;reservation_id=598410571950", "E1BPY9ED")</f>
        <v>E1BPY9ED</v>
      </c>
      <c r="D1442" t="s">
        <v>45</v>
      </c>
      <c r="E1442" t="s">
        <v>85</v>
      </c>
      <c r="F1442" t="s">
        <v>86</v>
      </c>
      <c r="G1442" t="s">
        <v>48</v>
      </c>
      <c r="H1442" t="s">
        <v>49</v>
      </c>
      <c r="I1442" t="s">
        <v>50</v>
      </c>
      <c r="J1442" t="s">
        <v>1068</v>
      </c>
      <c r="K1442" t="s">
        <v>253</v>
      </c>
      <c r="L1442" t="s">
        <v>53</v>
      </c>
      <c r="N1442" t="s">
        <v>2502</v>
      </c>
      <c r="P1442" t="s">
        <v>55</v>
      </c>
      <c r="R1442" t="s">
        <v>56</v>
      </c>
      <c r="T1442" t="s">
        <v>2501</v>
      </c>
      <c r="U1442" t="s">
        <v>58</v>
      </c>
      <c r="V1442">
        <v>1</v>
      </c>
      <c r="W1442">
        <v>1</v>
      </c>
      <c r="X1442">
        <v>1</v>
      </c>
      <c r="Y1442">
        <v>0</v>
      </c>
      <c r="Z1442">
        <v>1</v>
      </c>
      <c r="AA1442">
        <v>0</v>
      </c>
      <c r="AB1442">
        <v>119.67</v>
      </c>
      <c r="AC1442">
        <v>105.3</v>
      </c>
      <c r="AD1442">
        <v>0</v>
      </c>
      <c r="AE1442">
        <v>14.38</v>
      </c>
      <c r="AF1442">
        <v>0</v>
      </c>
      <c r="AG1442">
        <v>0</v>
      </c>
      <c r="AH1442">
        <v>0</v>
      </c>
      <c r="AI1442">
        <v>21.54</v>
      </c>
      <c r="AJ1442">
        <v>119.68</v>
      </c>
      <c r="AK1442">
        <v>0.01</v>
      </c>
      <c r="AL1442" t="s">
        <v>53</v>
      </c>
      <c r="AM1442" t="s">
        <v>53</v>
      </c>
      <c r="AN1442" t="s">
        <v>2503</v>
      </c>
      <c r="AO1442" t="s">
        <v>53</v>
      </c>
      <c r="AP1442" t="s">
        <v>53</v>
      </c>
    </row>
    <row r="1443" spans="2:42" x14ac:dyDescent="0.2">
      <c r="B1443" t="s">
        <v>44</v>
      </c>
      <c r="C1443" t="str">
        <f>HYPERLINK("https://us2.cloudbeds.com/connect/8493803454333002#/reservations/598531506376?display=E1ESKFB0&amp;reservation_id=598531506376", "E1ESKFB0")</f>
        <v>E1ESKFB0</v>
      </c>
      <c r="D1443" t="s">
        <v>45</v>
      </c>
      <c r="E1443" t="s">
        <v>98</v>
      </c>
      <c r="F1443" t="s">
        <v>86</v>
      </c>
      <c r="G1443" t="s">
        <v>48</v>
      </c>
      <c r="H1443" t="s">
        <v>49</v>
      </c>
      <c r="I1443" t="s">
        <v>50</v>
      </c>
      <c r="J1443" t="s">
        <v>354</v>
      </c>
      <c r="K1443" t="s">
        <v>359</v>
      </c>
      <c r="L1443" t="s">
        <v>53</v>
      </c>
      <c r="N1443" t="s">
        <v>2504</v>
      </c>
      <c r="P1443" t="s">
        <v>55</v>
      </c>
      <c r="R1443" t="s">
        <v>56</v>
      </c>
      <c r="T1443" t="s">
        <v>2501</v>
      </c>
      <c r="U1443" t="s">
        <v>58</v>
      </c>
      <c r="V1443">
        <v>2</v>
      </c>
      <c r="W1443">
        <v>1</v>
      </c>
      <c r="X1443">
        <v>1</v>
      </c>
      <c r="Y1443">
        <v>0</v>
      </c>
      <c r="Z1443">
        <v>1</v>
      </c>
      <c r="AA1443">
        <v>0</v>
      </c>
      <c r="AB1443">
        <v>288.67</v>
      </c>
      <c r="AC1443">
        <v>254</v>
      </c>
      <c r="AD1443">
        <v>0</v>
      </c>
      <c r="AE1443">
        <v>34.68</v>
      </c>
      <c r="AF1443">
        <v>0</v>
      </c>
      <c r="AG1443">
        <v>0</v>
      </c>
      <c r="AH1443">
        <v>0</v>
      </c>
      <c r="AI1443">
        <v>51.96</v>
      </c>
      <c r="AJ1443">
        <v>288.68</v>
      </c>
      <c r="AK1443">
        <v>0.01</v>
      </c>
      <c r="AL1443" t="s">
        <v>53</v>
      </c>
      <c r="AM1443" t="s">
        <v>53</v>
      </c>
      <c r="AN1443" t="s">
        <v>91</v>
      </c>
      <c r="AO1443" t="s">
        <v>53</v>
      </c>
      <c r="AP1443" t="s">
        <v>53</v>
      </c>
    </row>
    <row r="1444" spans="2:42" x14ac:dyDescent="0.2">
      <c r="B1444" t="s">
        <v>44</v>
      </c>
      <c r="C1444" t="str">
        <f>HYPERLINK("https://us2.cloudbeds.com/connect/8493803454333002#/reservations/598433587336?display=E1CC1NSB&amp;reservation_id=598433587336", "E1CC1NSB")</f>
        <v>E1CC1NSB</v>
      </c>
      <c r="D1444" t="s">
        <v>45</v>
      </c>
      <c r="E1444" t="s">
        <v>213</v>
      </c>
      <c r="F1444" t="s">
        <v>86</v>
      </c>
      <c r="G1444" t="s">
        <v>48</v>
      </c>
      <c r="H1444" t="s">
        <v>71</v>
      </c>
      <c r="I1444" t="s">
        <v>72</v>
      </c>
      <c r="J1444" t="s">
        <v>94</v>
      </c>
      <c r="K1444" t="s">
        <v>152</v>
      </c>
      <c r="L1444" t="s">
        <v>53</v>
      </c>
      <c r="N1444" t="s">
        <v>2505</v>
      </c>
      <c r="P1444" t="s">
        <v>58</v>
      </c>
      <c r="R1444" t="s">
        <v>56</v>
      </c>
      <c r="T1444" t="s">
        <v>2501</v>
      </c>
      <c r="U1444" t="s">
        <v>58</v>
      </c>
      <c r="V1444">
        <v>1</v>
      </c>
      <c r="W1444">
        <v>1</v>
      </c>
      <c r="X1444">
        <v>1</v>
      </c>
      <c r="Y1444">
        <v>0</v>
      </c>
      <c r="Z1444">
        <v>1</v>
      </c>
      <c r="AA1444">
        <v>0</v>
      </c>
      <c r="AB1444">
        <v>181.27</v>
      </c>
      <c r="AC1444">
        <v>159.5</v>
      </c>
      <c r="AD1444">
        <v>0</v>
      </c>
      <c r="AE1444">
        <v>21.77</v>
      </c>
      <c r="AF1444">
        <v>0</v>
      </c>
      <c r="AG1444">
        <v>0</v>
      </c>
      <c r="AH1444">
        <v>0</v>
      </c>
      <c r="AI1444">
        <v>0</v>
      </c>
      <c r="AJ1444">
        <v>181.27</v>
      </c>
      <c r="AK1444">
        <v>0</v>
      </c>
      <c r="AL1444" t="s">
        <v>53</v>
      </c>
      <c r="AM1444" t="s">
        <v>53</v>
      </c>
      <c r="AN1444" t="s">
        <v>378</v>
      </c>
      <c r="AO1444" t="s">
        <v>53</v>
      </c>
      <c r="AP1444" t="s">
        <v>53</v>
      </c>
    </row>
    <row r="1445" spans="2:42" x14ac:dyDescent="0.2">
      <c r="B1445" t="s">
        <v>44</v>
      </c>
      <c r="C1445" t="str">
        <f>HYPERLINK("https://us2.cloudbeds.com/connect/8493803454333002#/reservations/598512816288?display=E1ECSCNN&amp;reservation_id=598512816288", "E1ECSCNN")</f>
        <v>E1ECSCNN</v>
      </c>
      <c r="D1445" t="s">
        <v>45</v>
      </c>
      <c r="E1445" t="s">
        <v>265</v>
      </c>
      <c r="F1445" t="s">
        <v>61</v>
      </c>
      <c r="G1445" t="s">
        <v>48</v>
      </c>
      <c r="H1445" t="s">
        <v>49</v>
      </c>
      <c r="I1445" t="s">
        <v>50</v>
      </c>
      <c r="J1445" t="s">
        <v>938</v>
      </c>
      <c r="K1445" t="s">
        <v>359</v>
      </c>
      <c r="L1445" t="s">
        <v>53</v>
      </c>
      <c r="N1445" t="s">
        <v>2506</v>
      </c>
      <c r="P1445" t="s">
        <v>55</v>
      </c>
      <c r="R1445" t="s">
        <v>56</v>
      </c>
      <c r="T1445" t="s">
        <v>2501</v>
      </c>
      <c r="U1445" t="s">
        <v>58</v>
      </c>
      <c r="V1445">
        <v>1</v>
      </c>
      <c r="W1445">
        <v>1</v>
      </c>
      <c r="X1445">
        <v>1</v>
      </c>
      <c r="Y1445">
        <v>0</v>
      </c>
      <c r="Z1445">
        <v>1</v>
      </c>
      <c r="AA1445">
        <v>0</v>
      </c>
      <c r="AB1445">
        <v>122.74</v>
      </c>
      <c r="AC1445">
        <v>108</v>
      </c>
      <c r="AD1445">
        <v>0</v>
      </c>
      <c r="AE1445">
        <v>14.74</v>
      </c>
      <c r="AF1445">
        <v>0</v>
      </c>
      <c r="AG1445">
        <v>0</v>
      </c>
      <c r="AH1445">
        <v>0</v>
      </c>
      <c r="AI1445">
        <v>22.09</v>
      </c>
      <c r="AJ1445">
        <v>122.74</v>
      </c>
      <c r="AK1445">
        <v>0</v>
      </c>
      <c r="AL1445" t="s">
        <v>53</v>
      </c>
      <c r="AM1445" t="s">
        <v>53</v>
      </c>
      <c r="AN1445" t="s">
        <v>2507</v>
      </c>
      <c r="AO1445" t="s">
        <v>53</v>
      </c>
      <c r="AP1445" t="s">
        <v>53</v>
      </c>
    </row>
    <row r="1446" spans="2:42" x14ac:dyDescent="0.2">
      <c r="B1446" t="s">
        <v>44</v>
      </c>
      <c r="C1446" t="str">
        <f>HYPERLINK("https://us2.cloudbeds.com/connect/8493803454333002#/reservations/598216380636?display=E16QTKM5&amp;reservation_id=598216380636", "E16QTKM5")</f>
        <v>E16QTKM5</v>
      </c>
      <c r="D1446" t="s">
        <v>45</v>
      </c>
      <c r="E1446" t="s">
        <v>113</v>
      </c>
      <c r="F1446" t="s">
        <v>61</v>
      </c>
      <c r="G1446" t="s">
        <v>48</v>
      </c>
      <c r="H1446" t="s">
        <v>71</v>
      </c>
      <c r="I1446" t="s">
        <v>72</v>
      </c>
      <c r="J1446" t="s">
        <v>938</v>
      </c>
      <c r="K1446" t="s">
        <v>359</v>
      </c>
      <c r="L1446" t="s">
        <v>53</v>
      </c>
      <c r="N1446" t="s">
        <v>2508</v>
      </c>
      <c r="P1446" t="s">
        <v>55</v>
      </c>
      <c r="R1446" t="s">
        <v>56</v>
      </c>
      <c r="T1446" t="s">
        <v>2501</v>
      </c>
      <c r="U1446" t="s">
        <v>58</v>
      </c>
      <c r="V1446">
        <v>1</v>
      </c>
      <c r="W1446">
        <v>1</v>
      </c>
      <c r="X1446">
        <v>1</v>
      </c>
      <c r="Y1446">
        <v>0</v>
      </c>
      <c r="Z1446">
        <v>1</v>
      </c>
      <c r="AA1446">
        <v>0</v>
      </c>
      <c r="AB1446">
        <v>131.83000000000001</v>
      </c>
      <c r="AC1446">
        <v>116</v>
      </c>
      <c r="AD1446">
        <v>0</v>
      </c>
      <c r="AE1446">
        <v>15.83</v>
      </c>
      <c r="AF1446">
        <v>0</v>
      </c>
      <c r="AG1446">
        <v>0</v>
      </c>
      <c r="AH1446">
        <v>0</v>
      </c>
      <c r="AI1446">
        <v>0</v>
      </c>
      <c r="AJ1446">
        <v>131.83000000000001</v>
      </c>
      <c r="AK1446">
        <v>0</v>
      </c>
      <c r="AL1446" t="s">
        <v>53</v>
      </c>
      <c r="AM1446" t="s">
        <v>53</v>
      </c>
      <c r="AN1446" t="s">
        <v>2509</v>
      </c>
      <c r="AO1446" t="s">
        <v>53</v>
      </c>
      <c r="AP1446" t="s">
        <v>53</v>
      </c>
    </row>
    <row r="1447" spans="2:42" x14ac:dyDescent="0.2">
      <c r="B1447" t="s">
        <v>44</v>
      </c>
      <c r="C1447" t="str">
        <f>HYPERLINK("https://us2.cloudbeds.com/connect/8493803454333002#/reservations/598350323875?display=E1A7RQ76&amp;reservation_id=598350323875", "E1A7RQ76")</f>
        <v>E1A7RQ76</v>
      </c>
      <c r="D1447" t="s">
        <v>45</v>
      </c>
      <c r="E1447" t="s">
        <v>185</v>
      </c>
      <c r="F1447" t="s">
        <v>47</v>
      </c>
      <c r="G1447" t="s">
        <v>48</v>
      </c>
      <c r="H1447" t="s">
        <v>71</v>
      </c>
      <c r="I1447" t="s">
        <v>72</v>
      </c>
      <c r="J1447" t="s">
        <v>123</v>
      </c>
      <c r="K1447" t="s">
        <v>762</v>
      </c>
      <c r="L1447" t="s">
        <v>53</v>
      </c>
      <c r="N1447" t="s">
        <v>2510</v>
      </c>
      <c r="P1447" t="s">
        <v>55</v>
      </c>
      <c r="R1447" t="s">
        <v>56</v>
      </c>
      <c r="T1447" t="s">
        <v>2501</v>
      </c>
      <c r="U1447" t="s">
        <v>58</v>
      </c>
      <c r="V1447">
        <v>2</v>
      </c>
      <c r="W1447">
        <v>1</v>
      </c>
      <c r="X1447">
        <v>1</v>
      </c>
      <c r="Y1447">
        <v>0</v>
      </c>
      <c r="Z1447">
        <v>1</v>
      </c>
      <c r="AA1447">
        <v>0</v>
      </c>
      <c r="AB1447">
        <v>338.68</v>
      </c>
      <c r="AC1447">
        <v>298</v>
      </c>
      <c r="AD1447">
        <v>0</v>
      </c>
      <c r="AE1447">
        <v>40.68</v>
      </c>
      <c r="AF1447">
        <v>0</v>
      </c>
      <c r="AG1447">
        <v>0</v>
      </c>
      <c r="AH1447">
        <v>0</v>
      </c>
      <c r="AI1447">
        <v>0</v>
      </c>
      <c r="AJ1447">
        <v>338.68</v>
      </c>
      <c r="AK1447">
        <v>0</v>
      </c>
      <c r="AL1447" t="s">
        <v>53</v>
      </c>
      <c r="AM1447" t="s">
        <v>53</v>
      </c>
      <c r="AN1447" t="s">
        <v>2511</v>
      </c>
      <c r="AO1447" t="s">
        <v>53</v>
      </c>
      <c r="AP1447" t="s">
        <v>53</v>
      </c>
    </row>
    <row r="1448" spans="2:42" x14ac:dyDescent="0.2">
      <c r="B1448" t="s">
        <v>44</v>
      </c>
      <c r="C1448" t="str">
        <f>HYPERLINK("https://us2.cloudbeds.com/connect/8493803454333002#/reservations/598439440543?display=E1CGWJN9&amp;reservation_id=598439440543", "E1CGWJN9")</f>
        <v>E1CGWJN9</v>
      </c>
      <c r="D1448" t="s">
        <v>45</v>
      </c>
      <c r="E1448" t="s">
        <v>165</v>
      </c>
      <c r="F1448" t="s">
        <v>61</v>
      </c>
      <c r="G1448" t="s">
        <v>48</v>
      </c>
      <c r="H1448" t="s">
        <v>71</v>
      </c>
      <c r="I1448" t="s">
        <v>72</v>
      </c>
      <c r="J1448" t="s">
        <v>94</v>
      </c>
      <c r="K1448" t="s">
        <v>152</v>
      </c>
      <c r="L1448" t="s">
        <v>53</v>
      </c>
      <c r="N1448" t="s">
        <v>2512</v>
      </c>
      <c r="P1448" t="s">
        <v>58</v>
      </c>
      <c r="R1448" t="s">
        <v>56</v>
      </c>
      <c r="T1448" t="s">
        <v>2501</v>
      </c>
      <c r="U1448" t="s">
        <v>58</v>
      </c>
      <c r="V1448">
        <v>1</v>
      </c>
      <c r="W1448">
        <v>1</v>
      </c>
      <c r="X1448">
        <v>1</v>
      </c>
      <c r="Y1448">
        <v>0</v>
      </c>
      <c r="Z1448">
        <v>1</v>
      </c>
      <c r="AA1448">
        <v>0</v>
      </c>
      <c r="AB1448">
        <v>169.91</v>
      </c>
      <c r="AC1448">
        <v>149.5</v>
      </c>
      <c r="AD1448">
        <v>0</v>
      </c>
      <c r="AE1448">
        <v>20.41</v>
      </c>
      <c r="AF1448">
        <v>0</v>
      </c>
      <c r="AG1448">
        <v>0</v>
      </c>
      <c r="AH1448">
        <v>0</v>
      </c>
      <c r="AI1448">
        <v>0</v>
      </c>
      <c r="AJ1448">
        <v>169.91</v>
      </c>
      <c r="AK1448">
        <v>0</v>
      </c>
      <c r="AL1448" t="s">
        <v>53</v>
      </c>
      <c r="AM1448" t="s">
        <v>53</v>
      </c>
      <c r="AN1448" t="s">
        <v>378</v>
      </c>
      <c r="AO1448" t="s">
        <v>53</v>
      </c>
      <c r="AP1448" t="s">
        <v>53</v>
      </c>
    </row>
    <row r="1449" spans="2:42" x14ac:dyDescent="0.2">
      <c r="B1449" t="s">
        <v>44</v>
      </c>
      <c r="C1449" t="str">
        <f>HYPERLINK("https://us2.cloudbeds.com/connect/8493803454333002#/reservations/598306078863?display=E193HK67&amp;reservation_id=598306078863", "E193HK67")</f>
        <v>E193HK67</v>
      </c>
      <c r="D1449" t="s">
        <v>45</v>
      </c>
      <c r="E1449" t="s">
        <v>121</v>
      </c>
      <c r="F1449" t="s">
        <v>86</v>
      </c>
      <c r="G1449" t="s">
        <v>48</v>
      </c>
      <c r="H1449" t="s">
        <v>71</v>
      </c>
      <c r="I1449" t="s">
        <v>72</v>
      </c>
      <c r="J1449" t="s">
        <v>549</v>
      </c>
      <c r="K1449" t="s">
        <v>341</v>
      </c>
      <c r="L1449" t="s">
        <v>53</v>
      </c>
      <c r="N1449" t="s">
        <v>2513</v>
      </c>
      <c r="P1449" t="s">
        <v>55</v>
      </c>
      <c r="R1449" t="s">
        <v>56</v>
      </c>
      <c r="T1449" t="s">
        <v>2501</v>
      </c>
      <c r="U1449" t="s">
        <v>58</v>
      </c>
      <c r="V1449">
        <v>2</v>
      </c>
      <c r="W1449">
        <v>1</v>
      </c>
      <c r="X1449">
        <v>1</v>
      </c>
      <c r="Y1449">
        <v>0</v>
      </c>
      <c r="Z1449">
        <v>1</v>
      </c>
      <c r="AA1449">
        <v>0</v>
      </c>
      <c r="AB1449">
        <v>363.68</v>
      </c>
      <c r="AC1449">
        <v>320</v>
      </c>
      <c r="AD1449">
        <v>0</v>
      </c>
      <c r="AE1449">
        <v>43.68</v>
      </c>
      <c r="AF1449">
        <v>0</v>
      </c>
      <c r="AG1449">
        <v>0</v>
      </c>
      <c r="AH1449">
        <v>0</v>
      </c>
      <c r="AI1449">
        <v>0</v>
      </c>
      <c r="AJ1449">
        <v>363.68</v>
      </c>
      <c r="AK1449">
        <v>0</v>
      </c>
      <c r="AL1449" t="s">
        <v>53</v>
      </c>
      <c r="AM1449" t="s">
        <v>53</v>
      </c>
      <c r="AN1449" t="s">
        <v>2514</v>
      </c>
      <c r="AO1449" t="s">
        <v>53</v>
      </c>
      <c r="AP1449" t="s">
        <v>53</v>
      </c>
    </row>
    <row r="1450" spans="2:42" x14ac:dyDescent="0.2">
      <c r="B1450" t="s">
        <v>44</v>
      </c>
      <c r="C1450" t="str">
        <f>HYPERLINK("https://us2.cloudbeds.com/connect/8493803454333002#/reservations/598118109392?display=E14A12PY&amp;reservation_id=598118109392", "E14A12PY")</f>
        <v>E14A12PY</v>
      </c>
      <c r="D1450" t="s">
        <v>45</v>
      </c>
      <c r="E1450" t="s">
        <v>46</v>
      </c>
      <c r="F1450" t="s">
        <v>47</v>
      </c>
      <c r="G1450" t="s">
        <v>48</v>
      </c>
      <c r="H1450" t="s">
        <v>49</v>
      </c>
      <c r="I1450" t="s">
        <v>50</v>
      </c>
      <c r="J1450" t="s">
        <v>192</v>
      </c>
      <c r="K1450" t="s">
        <v>1068</v>
      </c>
      <c r="L1450" t="s">
        <v>53</v>
      </c>
      <c r="N1450" t="s">
        <v>2515</v>
      </c>
      <c r="P1450" t="s">
        <v>55</v>
      </c>
      <c r="R1450" t="s">
        <v>56</v>
      </c>
      <c r="T1450" t="s">
        <v>2501</v>
      </c>
      <c r="U1450" t="s">
        <v>58</v>
      </c>
      <c r="V1450">
        <v>1</v>
      </c>
      <c r="W1450">
        <v>1</v>
      </c>
      <c r="X1450">
        <v>1</v>
      </c>
      <c r="Y1450">
        <v>0</v>
      </c>
      <c r="Z1450">
        <v>1</v>
      </c>
      <c r="AA1450">
        <v>0</v>
      </c>
      <c r="AB1450">
        <v>103.31</v>
      </c>
      <c r="AC1450">
        <v>90.9</v>
      </c>
      <c r="AD1450">
        <v>0</v>
      </c>
      <c r="AE1450">
        <v>12.41</v>
      </c>
      <c r="AF1450">
        <v>0</v>
      </c>
      <c r="AG1450">
        <v>0</v>
      </c>
      <c r="AH1450">
        <v>0</v>
      </c>
      <c r="AI1450">
        <v>18.600000000000001</v>
      </c>
      <c r="AJ1450">
        <v>103.31</v>
      </c>
      <c r="AK1450">
        <v>0</v>
      </c>
      <c r="AL1450" t="s">
        <v>53</v>
      </c>
      <c r="AM1450" t="s">
        <v>53</v>
      </c>
      <c r="AN1450" t="s">
        <v>413</v>
      </c>
      <c r="AO1450" t="s">
        <v>53</v>
      </c>
      <c r="AP1450" t="s">
        <v>53</v>
      </c>
    </row>
    <row r="1451" spans="2:42" x14ac:dyDescent="0.2">
      <c r="B1451" t="s">
        <v>44</v>
      </c>
      <c r="C1451" t="str">
        <f>HYPERLINK("https://us2.cloudbeds.com/connect/8493803454333002#/reservations/598503227616?display=E1E4PXMZ&amp;reservation_id=598503227616", "E1E4PXMZ")</f>
        <v>E1E4PXMZ</v>
      </c>
      <c r="D1451" t="s">
        <v>45</v>
      </c>
      <c r="E1451" t="s">
        <v>381</v>
      </c>
      <c r="F1451" t="s">
        <v>47</v>
      </c>
      <c r="G1451" t="s">
        <v>48</v>
      </c>
      <c r="H1451" t="s">
        <v>49</v>
      </c>
      <c r="I1451" t="s">
        <v>50</v>
      </c>
      <c r="J1451" t="s">
        <v>1068</v>
      </c>
      <c r="K1451" t="s">
        <v>253</v>
      </c>
      <c r="L1451" t="s">
        <v>53</v>
      </c>
      <c r="N1451" t="s">
        <v>2516</v>
      </c>
      <c r="P1451" t="s">
        <v>55</v>
      </c>
      <c r="R1451" t="s">
        <v>56</v>
      </c>
      <c r="T1451" t="s">
        <v>2501</v>
      </c>
      <c r="U1451" t="s">
        <v>58</v>
      </c>
      <c r="V1451">
        <v>1</v>
      </c>
      <c r="W1451">
        <v>1</v>
      </c>
      <c r="X1451">
        <v>1</v>
      </c>
      <c r="Y1451">
        <v>0</v>
      </c>
      <c r="Z1451">
        <v>1</v>
      </c>
      <c r="AA1451">
        <v>0</v>
      </c>
      <c r="AB1451">
        <v>103.31</v>
      </c>
      <c r="AC1451">
        <v>90.9</v>
      </c>
      <c r="AD1451">
        <v>0</v>
      </c>
      <c r="AE1451">
        <v>12.41</v>
      </c>
      <c r="AF1451">
        <v>0</v>
      </c>
      <c r="AG1451">
        <v>0</v>
      </c>
      <c r="AH1451">
        <v>0</v>
      </c>
      <c r="AI1451">
        <v>18.600000000000001</v>
      </c>
      <c r="AJ1451">
        <v>103.31</v>
      </c>
      <c r="AK1451">
        <v>0</v>
      </c>
      <c r="AL1451" t="s">
        <v>53</v>
      </c>
      <c r="AM1451" t="s">
        <v>53</v>
      </c>
      <c r="AN1451" t="s">
        <v>112</v>
      </c>
      <c r="AO1451" t="s">
        <v>53</v>
      </c>
      <c r="AP1451" t="s">
        <v>53</v>
      </c>
    </row>
    <row r="1452" spans="2:42" x14ac:dyDescent="0.2">
      <c r="B1452" t="s">
        <v>44</v>
      </c>
      <c r="C1452" t="str">
        <f>HYPERLINK("https://us2.cloudbeds.com/connect/8493803454333002#/reservations/598368018563?display=E1AMP5PS&amp;reservation_id=598368018563", "E1AMP5PS")</f>
        <v>E1AMP5PS</v>
      </c>
      <c r="D1452" t="s">
        <v>45</v>
      </c>
      <c r="E1452" t="s">
        <v>85</v>
      </c>
      <c r="F1452" t="s">
        <v>86</v>
      </c>
      <c r="G1452" t="s">
        <v>48</v>
      </c>
      <c r="H1452" t="s">
        <v>49</v>
      </c>
      <c r="I1452" t="s">
        <v>50</v>
      </c>
      <c r="J1452" t="s">
        <v>191</v>
      </c>
      <c r="K1452" t="s">
        <v>192</v>
      </c>
      <c r="L1452" t="s">
        <v>53</v>
      </c>
      <c r="N1452" t="s">
        <v>2517</v>
      </c>
      <c r="P1452" t="s">
        <v>55</v>
      </c>
      <c r="R1452" t="s">
        <v>56</v>
      </c>
      <c r="T1452" t="s">
        <v>2501</v>
      </c>
      <c r="U1452" t="s">
        <v>58</v>
      </c>
      <c r="V1452">
        <v>1</v>
      </c>
      <c r="W1452">
        <v>1</v>
      </c>
      <c r="X1452">
        <v>1</v>
      </c>
      <c r="Y1452">
        <v>0</v>
      </c>
      <c r="Z1452">
        <v>1</v>
      </c>
      <c r="AA1452">
        <v>0</v>
      </c>
      <c r="AB1452">
        <v>119.67</v>
      </c>
      <c r="AC1452">
        <v>105.3</v>
      </c>
      <c r="AD1452">
        <v>0</v>
      </c>
      <c r="AE1452">
        <v>14.38</v>
      </c>
      <c r="AF1452">
        <v>0</v>
      </c>
      <c r="AG1452">
        <v>0</v>
      </c>
      <c r="AH1452">
        <v>0</v>
      </c>
      <c r="AI1452">
        <v>21.54</v>
      </c>
      <c r="AJ1452">
        <v>119.68</v>
      </c>
      <c r="AK1452">
        <v>0.01</v>
      </c>
      <c r="AL1452" t="s">
        <v>53</v>
      </c>
      <c r="AM1452" t="s">
        <v>53</v>
      </c>
      <c r="AN1452" t="s">
        <v>159</v>
      </c>
      <c r="AO1452" t="s">
        <v>53</v>
      </c>
      <c r="AP1452" t="s">
        <v>53</v>
      </c>
    </row>
    <row r="1453" spans="2:42" x14ac:dyDescent="0.2">
      <c r="B1453" t="s">
        <v>44</v>
      </c>
      <c r="C1453" t="str">
        <f>HYPERLINK("https://us2.cloudbeds.com/connect/8493803454333002#/reservations/598381232265?display=E1B0TSJ2&amp;reservation_id=598381232265", "E1B0TSJ2")</f>
        <v>E1B0TSJ2</v>
      </c>
      <c r="D1453" t="s">
        <v>45</v>
      </c>
      <c r="E1453" t="s">
        <v>185</v>
      </c>
      <c r="F1453" t="s">
        <v>47</v>
      </c>
      <c r="G1453" t="s">
        <v>48</v>
      </c>
      <c r="H1453" t="s">
        <v>71</v>
      </c>
      <c r="I1453" t="s">
        <v>72</v>
      </c>
      <c r="J1453" t="s">
        <v>191</v>
      </c>
      <c r="K1453" t="s">
        <v>1068</v>
      </c>
      <c r="L1453" t="s">
        <v>53</v>
      </c>
      <c r="N1453" t="s">
        <v>2518</v>
      </c>
      <c r="P1453" t="s">
        <v>55</v>
      </c>
      <c r="R1453" t="s">
        <v>56</v>
      </c>
      <c r="T1453" t="s">
        <v>2501</v>
      </c>
      <c r="U1453" t="s">
        <v>58</v>
      </c>
      <c r="V1453">
        <v>2</v>
      </c>
      <c r="W1453">
        <v>1</v>
      </c>
      <c r="X1453">
        <v>1</v>
      </c>
      <c r="Y1453">
        <v>0</v>
      </c>
      <c r="Z1453">
        <v>1</v>
      </c>
      <c r="AA1453">
        <v>0</v>
      </c>
      <c r="AB1453">
        <v>218.21</v>
      </c>
      <c r="AC1453">
        <v>192</v>
      </c>
      <c r="AD1453">
        <v>0</v>
      </c>
      <c r="AE1453">
        <v>26.2</v>
      </c>
      <c r="AF1453">
        <v>0</v>
      </c>
      <c r="AG1453">
        <v>0</v>
      </c>
      <c r="AH1453">
        <v>0</v>
      </c>
      <c r="AI1453">
        <v>0</v>
      </c>
      <c r="AJ1453">
        <v>218.2</v>
      </c>
      <c r="AK1453">
        <v>-0.01</v>
      </c>
      <c r="AL1453" t="s">
        <v>53</v>
      </c>
      <c r="AM1453" t="s">
        <v>53</v>
      </c>
      <c r="AN1453" t="s">
        <v>378</v>
      </c>
      <c r="AO1453" t="s">
        <v>53</v>
      </c>
      <c r="AP1453" t="s">
        <v>53</v>
      </c>
    </row>
    <row r="1454" spans="2:42" x14ac:dyDescent="0.2">
      <c r="B1454" t="s">
        <v>44</v>
      </c>
      <c r="C1454" t="str">
        <f>HYPERLINK("https://us2.cloudbeds.com/connect/8493803454333002#/reservations/598424674473?display=E1C4HNDJ&amp;reservation_id=598424674473", "E1C4HNDJ")</f>
        <v>E1C4HNDJ</v>
      </c>
      <c r="D1454" t="s">
        <v>45</v>
      </c>
      <c r="E1454" t="s">
        <v>223</v>
      </c>
      <c r="F1454" t="s">
        <v>47</v>
      </c>
      <c r="G1454" t="s">
        <v>48</v>
      </c>
      <c r="H1454" t="s">
        <v>49</v>
      </c>
      <c r="I1454" t="s">
        <v>50</v>
      </c>
      <c r="J1454" t="s">
        <v>334</v>
      </c>
      <c r="K1454" t="s">
        <v>538</v>
      </c>
      <c r="L1454" t="s">
        <v>53</v>
      </c>
      <c r="N1454" t="s">
        <v>2519</v>
      </c>
      <c r="P1454" t="s">
        <v>55</v>
      </c>
      <c r="R1454" t="s">
        <v>56</v>
      </c>
      <c r="T1454" t="s">
        <v>2501</v>
      </c>
      <c r="U1454" t="s">
        <v>58</v>
      </c>
      <c r="V1454">
        <v>1</v>
      </c>
      <c r="W1454">
        <v>1</v>
      </c>
      <c r="X1454">
        <v>1</v>
      </c>
      <c r="Y1454">
        <v>0</v>
      </c>
      <c r="Z1454">
        <v>1</v>
      </c>
      <c r="AA1454">
        <v>0</v>
      </c>
      <c r="AB1454">
        <v>110.47</v>
      </c>
      <c r="AC1454">
        <v>97.2</v>
      </c>
      <c r="AD1454">
        <v>0</v>
      </c>
      <c r="AE1454">
        <v>13.26</v>
      </c>
      <c r="AF1454">
        <v>0</v>
      </c>
      <c r="AG1454">
        <v>0</v>
      </c>
      <c r="AH1454">
        <v>0</v>
      </c>
      <c r="AI1454">
        <v>19.88</v>
      </c>
      <c r="AJ1454">
        <v>110.46</v>
      </c>
      <c r="AK1454">
        <v>-0.01</v>
      </c>
      <c r="AL1454" t="s">
        <v>53</v>
      </c>
      <c r="AM1454" t="s">
        <v>53</v>
      </c>
      <c r="AN1454" t="s">
        <v>112</v>
      </c>
      <c r="AO1454" t="s">
        <v>53</v>
      </c>
      <c r="AP1454" t="s">
        <v>53</v>
      </c>
    </row>
    <row r="1455" spans="2:42" x14ac:dyDescent="0.2">
      <c r="B1455" t="s">
        <v>44</v>
      </c>
      <c r="C1455" t="str">
        <f>HYPERLINK("https://us2.cloudbeds.com/connect/8493803454333002#/reservations/598489391298?display=E1DQ3X5H&amp;reservation_id=598489391298", "E1DQ3X5H")</f>
        <v>E1DQ3X5H</v>
      </c>
      <c r="D1455" t="s">
        <v>45</v>
      </c>
      <c r="E1455" t="s">
        <v>113</v>
      </c>
      <c r="F1455" t="s">
        <v>61</v>
      </c>
      <c r="G1455" t="s">
        <v>48</v>
      </c>
      <c r="H1455" t="s">
        <v>71</v>
      </c>
      <c r="I1455" t="s">
        <v>72</v>
      </c>
      <c r="J1455" t="s">
        <v>94</v>
      </c>
      <c r="K1455" t="s">
        <v>152</v>
      </c>
      <c r="L1455" t="s">
        <v>53</v>
      </c>
      <c r="N1455" t="s">
        <v>2520</v>
      </c>
      <c r="P1455" t="s">
        <v>58</v>
      </c>
      <c r="R1455" t="s">
        <v>56</v>
      </c>
      <c r="T1455" t="s">
        <v>2501</v>
      </c>
      <c r="U1455" t="s">
        <v>58</v>
      </c>
      <c r="V1455">
        <v>1</v>
      </c>
      <c r="W1455">
        <v>1</v>
      </c>
      <c r="X1455">
        <v>1</v>
      </c>
      <c r="Y1455">
        <v>0</v>
      </c>
      <c r="Z1455">
        <v>1</v>
      </c>
      <c r="AA1455">
        <v>0</v>
      </c>
      <c r="AB1455">
        <v>169.91</v>
      </c>
      <c r="AC1455">
        <v>149.5</v>
      </c>
      <c r="AD1455">
        <v>0</v>
      </c>
      <c r="AE1455">
        <v>20.41</v>
      </c>
      <c r="AF1455">
        <v>0</v>
      </c>
      <c r="AG1455">
        <v>0</v>
      </c>
      <c r="AH1455">
        <v>0</v>
      </c>
      <c r="AI1455">
        <v>0</v>
      </c>
      <c r="AJ1455">
        <v>169.91</v>
      </c>
      <c r="AK1455">
        <v>0</v>
      </c>
      <c r="AL1455" t="s">
        <v>53</v>
      </c>
      <c r="AM1455" t="s">
        <v>53</v>
      </c>
      <c r="AN1455" t="s">
        <v>378</v>
      </c>
      <c r="AO1455" t="s">
        <v>53</v>
      </c>
      <c r="AP1455" t="s">
        <v>53</v>
      </c>
    </row>
    <row r="1456" spans="2:42" x14ac:dyDescent="0.2">
      <c r="B1456" t="s">
        <v>44</v>
      </c>
      <c r="C1456" t="str">
        <f>HYPERLINK("https://us2.cloudbeds.com/connect/8493803454333002#/reservations/598273376397?display=E188VKCE&amp;reservation_id=598273376397", "E188VKCE")</f>
        <v>E188VKCE</v>
      </c>
      <c r="D1456" t="s">
        <v>45</v>
      </c>
      <c r="E1456" t="s">
        <v>105</v>
      </c>
      <c r="F1456" t="s">
        <v>47</v>
      </c>
      <c r="G1456" t="s">
        <v>48</v>
      </c>
      <c r="H1456" t="s">
        <v>71</v>
      </c>
      <c r="I1456" t="s">
        <v>72</v>
      </c>
      <c r="J1456" t="s">
        <v>192</v>
      </c>
      <c r="K1456" t="s">
        <v>1068</v>
      </c>
      <c r="L1456" t="s">
        <v>53</v>
      </c>
      <c r="N1456" t="s">
        <v>2521</v>
      </c>
      <c r="P1456" t="s">
        <v>58</v>
      </c>
      <c r="R1456" t="s">
        <v>56</v>
      </c>
      <c r="T1456" t="s">
        <v>2501</v>
      </c>
      <c r="U1456" t="s">
        <v>58</v>
      </c>
      <c r="V1456">
        <v>1</v>
      </c>
      <c r="W1456">
        <v>1</v>
      </c>
      <c r="X1456">
        <v>1</v>
      </c>
      <c r="Y1456">
        <v>0</v>
      </c>
      <c r="Z1456">
        <v>1</v>
      </c>
      <c r="AA1456">
        <v>0</v>
      </c>
      <c r="AB1456">
        <v>100.01</v>
      </c>
      <c r="AC1456">
        <v>88</v>
      </c>
      <c r="AD1456">
        <v>0</v>
      </c>
      <c r="AE1456">
        <v>12.01</v>
      </c>
      <c r="AF1456">
        <v>0</v>
      </c>
      <c r="AG1456">
        <v>0</v>
      </c>
      <c r="AH1456">
        <v>0</v>
      </c>
      <c r="AI1456">
        <v>0</v>
      </c>
      <c r="AJ1456">
        <v>100.01</v>
      </c>
      <c r="AK1456">
        <v>0</v>
      </c>
      <c r="AL1456" t="s">
        <v>53</v>
      </c>
      <c r="AM1456" t="s">
        <v>53</v>
      </c>
      <c r="AN1456" t="s">
        <v>378</v>
      </c>
      <c r="AO1456" t="s">
        <v>53</v>
      </c>
      <c r="AP1456" t="s">
        <v>53</v>
      </c>
    </row>
    <row r="1457" spans="2:42" x14ac:dyDescent="0.2">
      <c r="B1457" t="s">
        <v>44</v>
      </c>
      <c r="C1457" t="str">
        <f>HYPERLINK("https://us2.cloudbeds.com/connect/8493803454333002#/reservations/598561927368?display=E1FY8W47&amp;reservation_id=598561927368", "E1FY8W47")</f>
        <v>E1FY8W47</v>
      </c>
      <c r="D1457" t="s">
        <v>45</v>
      </c>
      <c r="E1457" t="s">
        <v>155</v>
      </c>
      <c r="F1457" t="s">
        <v>86</v>
      </c>
      <c r="G1457" t="s">
        <v>48</v>
      </c>
      <c r="H1457" t="s">
        <v>71</v>
      </c>
      <c r="I1457" t="s">
        <v>72</v>
      </c>
      <c r="J1457" t="s">
        <v>356</v>
      </c>
      <c r="K1457" t="s">
        <v>236</v>
      </c>
      <c r="L1457" t="s">
        <v>53</v>
      </c>
      <c r="N1457" t="s">
        <v>2522</v>
      </c>
      <c r="P1457" t="s">
        <v>55</v>
      </c>
      <c r="R1457" t="s">
        <v>56</v>
      </c>
      <c r="T1457" t="s">
        <v>2501</v>
      </c>
      <c r="U1457" t="s">
        <v>58</v>
      </c>
      <c r="V1457">
        <v>2</v>
      </c>
      <c r="W1457">
        <v>1</v>
      </c>
      <c r="X1457">
        <v>1</v>
      </c>
      <c r="Y1457">
        <v>0</v>
      </c>
      <c r="Z1457">
        <v>1</v>
      </c>
      <c r="AA1457">
        <v>0</v>
      </c>
      <c r="AB1457">
        <v>375.05</v>
      </c>
      <c r="AC1457">
        <v>330</v>
      </c>
      <c r="AD1457">
        <v>0</v>
      </c>
      <c r="AE1457">
        <v>45.06</v>
      </c>
      <c r="AF1457">
        <v>0</v>
      </c>
      <c r="AG1457">
        <v>0</v>
      </c>
      <c r="AH1457">
        <v>0</v>
      </c>
      <c r="AI1457">
        <v>0</v>
      </c>
      <c r="AJ1457">
        <v>375.06</v>
      </c>
      <c r="AK1457">
        <v>0.01</v>
      </c>
      <c r="AL1457" t="s">
        <v>53</v>
      </c>
      <c r="AM1457" t="s">
        <v>53</v>
      </c>
      <c r="AN1457" t="s">
        <v>2523</v>
      </c>
      <c r="AO1457" t="s">
        <v>53</v>
      </c>
      <c r="AP1457" t="s">
        <v>53</v>
      </c>
    </row>
    <row r="1458" spans="2:42" x14ac:dyDescent="0.2">
      <c r="B1458" t="s">
        <v>44</v>
      </c>
      <c r="C1458" t="str">
        <f>HYPERLINK("https://us2.cloudbeds.com/connect/8493803454333002#/reservations/598424645853?display=E1C4GU4B&amp;reservation_id=598424645853", "E1C4GU4B")</f>
        <v>E1C4GU4B</v>
      </c>
      <c r="D1458" t="s">
        <v>45</v>
      </c>
      <c r="E1458" t="s">
        <v>406</v>
      </c>
      <c r="F1458" t="s">
        <v>61</v>
      </c>
      <c r="G1458" t="s">
        <v>48</v>
      </c>
      <c r="H1458" t="s">
        <v>49</v>
      </c>
      <c r="I1458" t="s">
        <v>79</v>
      </c>
      <c r="J1458" t="s">
        <v>192</v>
      </c>
      <c r="K1458" t="s">
        <v>1068</v>
      </c>
      <c r="L1458" t="s">
        <v>53</v>
      </c>
      <c r="N1458" t="s">
        <v>2524</v>
      </c>
      <c r="P1458" t="s">
        <v>55</v>
      </c>
      <c r="R1458" t="s">
        <v>56</v>
      </c>
      <c r="T1458" t="s">
        <v>2525</v>
      </c>
      <c r="U1458" t="s">
        <v>58</v>
      </c>
      <c r="V1458">
        <v>1</v>
      </c>
      <c r="W1458">
        <v>1</v>
      </c>
      <c r="X1458">
        <v>1</v>
      </c>
      <c r="Y1458">
        <v>0</v>
      </c>
      <c r="Z1458">
        <v>1</v>
      </c>
      <c r="AA1458">
        <v>0</v>
      </c>
      <c r="AB1458">
        <v>112.51</v>
      </c>
      <c r="AC1458">
        <v>99</v>
      </c>
      <c r="AD1458">
        <v>0</v>
      </c>
      <c r="AE1458">
        <v>13.52</v>
      </c>
      <c r="AF1458">
        <v>0</v>
      </c>
      <c r="AG1458">
        <v>0</v>
      </c>
      <c r="AH1458">
        <v>0</v>
      </c>
      <c r="AI1458">
        <v>0</v>
      </c>
      <c r="AJ1458">
        <v>112.52</v>
      </c>
      <c r="AK1458">
        <v>0.01</v>
      </c>
      <c r="AL1458" t="s">
        <v>53</v>
      </c>
      <c r="AM1458" t="s">
        <v>53</v>
      </c>
      <c r="AN1458" t="s">
        <v>252</v>
      </c>
      <c r="AO1458" t="s">
        <v>53</v>
      </c>
      <c r="AP1458" t="s">
        <v>53</v>
      </c>
    </row>
    <row r="1459" spans="2:42" x14ac:dyDescent="0.2">
      <c r="B1459" t="s">
        <v>44</v>
      </c>
      <c r="C1459" t="str">
        <f>HYPERLINK("https://us2.cloudbeds.com/connect/8493803454333002#/reservations/598589087939?display=E1GB5ZVS&amp;reservation_id=598589087939", "E1GB5ZVS")</f>
        <v>E1GB5ZVS</v>
      </c>
      <c r="D1459" t="s">
        <v>45</v>
      </c>
      <c r="E1459" t="s">
        <v>128</v>
      </c>
      <c r="F1459" t="s">
        <v>86</v>
      </c>
      <c r="G1459" t="s">
        <v>48</v>
      </c>
      <c r="H1459" t="s">
        <v>49</v>
      </c>
      <c r="I1459" t="s">
        <v>50</v>
      </c>
      <c r="J1459" t="s">
        <v>253</v>
      </c>
      <c r="K1459" t="s">
        <v>354</v>
      </c>
      <c r="L1459" t="s">
        <v>53</v>
      </c>
      <c r="N1459" t="s">
        <v>2526</v>
      </c>
      <c r="P1459" t="s">
        <v>55</v>
      </c>
      <c r="R1459" t="s">
        <v>56</v>
      </c>
      <c r="T1459" t="s">
        <v>2525</v>
      </c>
      <c r="U1459" t="s">
        <v>58</v>
      </c>
      <c r="V1459">
        <v>1</v>
      </c>
      <c r="W1459">
        <v>1</v>
      </c>
      <c r="X1459">
        <v>1</v>
      </c>
      <c r="Y1459">
        <v>0</v>
      </c>
      <c r="Z1459">
        <v>1</v>
      </c>
      <c r="AA1459">
        <v>0</v>
      </c>
      <c r="AB1459">
        <v>124.79</v>
      </c>
      <c r="AC1459">
        <v>109.8</v>
      </c>
      <c r="AD1459">
        <v>0</v>
      </c>
      <c r="AE1459">
        <v>14.98</v>
      </c>
      <c r="AF1459">
        <v>0</v>
      </c>
      <c r="AG1459">
        <v>0</v>
      </c>
      <c r="AH1459">
        <v>0</v>
      </c>
      <c r="AI1459">
        <v>22.46</v>
      </c>
      <c r="AJ1459">
        <v>124.78</v>
      </c>
      <c r="AK1459">
        <v>-0.01</v>
      </c>
      <c r="AL1459" t="s">
        <v>53</v>
      </c>
      <c r="AM1459" t="s">
        <v>53</v>
      </c>
      <c r="AN1459" t="s">
        <v>252</v>
      </c>
      <c r="AO1459" t="s">
        <v>53</v>
      </c>
      <c r="AP1459" t="s">
        <v>53</v>
      </c>
    </row>
    <row r="1460" spans="2:42" x14ac:dyDescent="0.2">
      <c r="B1460" t="s">
        <v>44</v>
      </c>
      <c r="C1460" t="str">
        <f>HYPERLINK("https://us2.cloudbeds.com/connect/8493803454333002#/reservations/598558486740?display=E1FXC7MQ&amp;reservation_id=598558486740", "E1FXC7MQ")</f>
        <v>E1FXC7MQ</v>
      </c>
      <c r="D1460" t="s">
        <v>45</v>
      </c>
      <c r="E1460" t="s">
        <v>223</v>
      </c>
      <c r="F1460" t="s">
        <v>47</v>
      </c>
      <c r="G1460" t="s">
        <v>48</v>
      </c>
      <c r="H1460" t="s">
        <v>49</v>
      </c>
      <c r="I1460" t="s">
        <v>50</v>
      </c>
      <c r="J1460" t="s">
        <v>253</v>
      </c>
      <c r="K1460" t="s">
        <v>354</v>
      </c>
      <c r="L1460" t="s">
        <v>53</v>
      </c>
      <c r="N1460" t="s">
        <v>2527</v>
      </c>
      <c r="P1460" t="s">
        <v>55</v>
      </c>
      <c r="R1460" t="s">
        <v>56</v>
      </c>
      <c r="T1460" t="s">
        <v>2525</v>
      </c>
      <c r="U1460" t="s">
        <v>58</v>
      </c>
      <c r="V1460">
        <v>1</v>
      </c>
      <c r="W1460">
        <v>1</v>
      </c>
      <c r="X1460">
        <v>1</v>
      </c>
      <c r="Y1460">
        <v>0</v>
      </c>
      <c r="Z1460">
        <v>1</v>
      </c>
      <c r="AA1460">
        <v>0</v>
      </c>
      <c r="AB1460">
        <v>103.31</v>
      </c>
      <c r="AC1460">
        <v>90.9</v>
      </c>
      <c r="AD1460">
        <v>0</v>
      </c>
      <c r="AE1460">
        <v>12.41</v>
      </c>
      <c r="AF1460">
        <v>0</v>
      </c>
      <c r="AG1460">
        <v>0</v>
      </c>
      <c r="AH1460">
        <v>0</v>
      </c>
      <c r="AI1460">
        <v>18.600000000000001</v>
      </c>
      <c r="AJ1460">
        <v>103.31</v>
      </c>
      <c r="AK1460">
        <v>0</v>
      </c>
      <c r="AL1460" t="s">
        <v>53</v>
      </c>
      <c r="AM1460" t="s">
        <v>53</v>
      </c>
      <c r="AN1460" t="s">
        <v>104</v>
      </c>
      <c r="AO1460" t="s">
        <v>53</v>
      </c>
      <c r="AP1460" t="s">
        <v>53</v>
      </c>
    </row>
    <row r="1461" spans="2:42" x14ac:dyDescent="0.2">
      <c r="B1461" t="s">
        <v>44</v>
      </c>
      <c r="C1461" t="str">
        <f>HYPERLINK("https://us2.cloudbeds.com/connect/8493803454333002#/reservations/598425948370?display=E1C5K56X&amp;reservation_id=598425948370", "E1C5K56X")</f>
        <v>E1C5K56X</v>
      </c>
      <c r="D1461" t="s">
        <v>45</v>
      </c>
      <c r="E1461" t="s">
        <v>155</v>
      </c>
      <c r="F1461" t="s">
        <v>86</v>
      </c>
      <c r="G1461" t="s">
        <v>48</v>
      </c>
      <c r="H1461" t="s">
        <v>71</v>
      </c>
      <c r="I1461" t="s">
        <v>72</v>
      </c>
      <c r="J1461" t="s">
        <v>192</v>
      </c>
      <c r="K1461" t="s">
        <v>1068</v>
      </c>
      <c r="L1461" t="s">
        <v>53</v>
      </c>
      <c r="N1461" t="s">
        <v>2528</v>
      </c>
      <c r="P1461" t="s">
        <v>58</v>
      </c>
      <c r="R1461" t="s">
        <v>56</v>
      </c>
      <c r="T1461" t="s">
        <v>2525</v>
      </c>
      <c r="U1461" t="s">
        <v>58</v>
      </c>
      <c r="V1461">
        <v>1</v>
      </c>
      <c r="W1461">
        <v>1</v>
      </c>
      <c r="X1461">
        <v>1</v>
      </c>
      <c r="Y1461">
        <v>0</v>
      </c>
      <c r="Z1461">
        <v>1</v>
      </c>
      <c r="AA1461">
        <v>0</v>
      </c>
      <c r="AB1461">
        <v>127.29</v>
      </c>
      <c r="AC1461">
        <v>112</v>
      </c>
      <c r="AD1461">
        <v>0</v>
      </c>
      <c r="AE1461">
        <v>15.29</v>
      </c>
      <c r="AF1461">
        <v>0</v>
      </c>
      <c r="AG1461">
        <v>0</v>
      </c>
      <c r="AH1461">
        <v>0</v>
      </c>
      <c r="AI1461">
        <v>0</v>
      </c>
      <c r="AJ1461">
        <v>127.29</v>
      </c>
      <c r="AK1461">
        <v>0</v>
      </c>
      <c r="AL1461" t="s">
        <v>53</v>
      </c>
      <c r="AM1461" t="s">
        <v>53</v>
      </c>
      <c r="AN1461" t="s">
        <v>378</v>
      </c>
      <c r="AO1461" t="s">
        <v>53</v>
      </c>
      <c r="AP1461" t="s">
        <v>53</v>
      </c>
    </row>
    <row r="1462" spans="2:42" x14ac:dyDescent="0.2">
      <c r="B1462" t="s">
        <v>44</v>
      </c>
      <c r="C1462" t="str">
        <f>HYPERLINK("https://us2.cloudbeds.com/connect/8493803454333002#/reservations/598301208711?display=E18WE31T&amp;reservation_id=598301208711", "E18WE31T")</f>
        <v>E18WE31T</v>
      </c>
      <c r="D1462" t="s">
        <v>45</v>
      </c>
      <c r="E1462" t="s">
        <v>223</v>
      </c>
      <c r="F1462" t="s">
        <v>47</v>
      </c>
      <c r="G1462" t="s">
        <v>48</v>
      </c>
      <c r="H1462" t="s">
        <v>71</v>
      </c>
      <c r="I1462" t="s">
        <v>72</v>
      </c>
      <c r="J1462" t="s">
        <v>192</v>
      </c>
      <c r="K1462" t="s">
        <v>253</v>
      </c>
      <c r="L1462" t="s">
        <v>53</v>
      </c>
      <c r="N1462" t="s">
        <v>2529</v>
      </c>
      <c r="P1462" t="s">
        <v>55</v>
      </c>
      <c r="R1462" t="s">
        <v>56</v>
      </c>
      <c r="T1462" t="s">
        <v>2525</v>
      </c>
      <c r="U1462" t="s">
        <v>58</v>
      </c>
      <c r="V1462">
        <v>2</v>
      </c>
      <c r="W1462">
        <v>1</v>
      </c>
      <c r="X1462">
        <v>1</v>
      </c>
      <c r="Y1462">
        <v>0</v>
      </c>
      <c r="Z1462">
        <v>1</v>
      </c>
      <c r="AA1462">
        <v>0</v>
      </c>
      <c r="AB1462">
        <v>211.66</v>
      </c>
      <c r="AC1462">
        <v>186.24</v>
      </c>
      <c r="AD1462">
        <v>0</v>
      </c>
      <c r="AE1462">
        <v>25.42</v>
      </c>
      <c r="AF1462">
        <v>0</v>
      </c>
      <c r="AG1462">
        <v>0</v>
      </c>
      <c r="AH1462">
        <v>0</v>
      </c>
      <c r="AI1462">
        <v>0</v>
      </c>
      <c r="AJ1462">
        <v>211.66</v>
      </c>
      <c r="AK1462">
        <v>0</v>
      </c>
      <c r="AL1462" t="s">
        <v>53</v>
      </c>
      <c r="AM1462" t="s">
        <v>53</v>
      </c>
      <c r="AN1462" t="s">
        <v>2530</v>
      </c>
      <c r="AO1462" t="s">
        <v>53</v>
      </c>
      <c r="AP1462" t="s">
        <v>53</v>
      </c>
    </row>
    <row r="1463" spans="2:42" x14ac:dyDescent="0.2">
      <c r="B1463" t="s">
        <v>44</v>
      </c>
      <c r="C1463" t="str">
        <f>HYPERLINK("https://us2.cloudbeds.com/connect/8493803454333002#/reservations/598580166820?display=E1G3YGUT&amp;reservation_id=598580166820", "E1G3YGUT")</f>
        <v>E1G3YGUT</v>
      </c>
      <c r="D1463" t="s">
        <v>45</v>
      </c>
      <c r="E1463" t="s">
        <v>98</v>
      </c>
      <c r="F1463" t="s">
        <v>86</v>
      </c>
      <c r="G1463" t="s">
        <v>48</v>
      </c>
      <c r="H1463" t="s">
        <v>71</v>
      </c>
      <c r="I1463" t="s">
        <v>72</v>
      </c>
      <c r="J1463" t="s">
        <v>360</v>
      </c>
      <c r="K1463" t="s">
        <v>611</v>
      </c>
      <c r="L1463" t="s">
        <v>53</v>
      </c>
      <c r="N1463" t="s">
        <v>2531</v>
      </c>
      <c r="P1463" t="s">
        <v>55</v>
      </c>
      <c r="R1463" t="s">
        <v>56</v>
      </c>
      <c r="T1463" t="s">
        <v>2525</v>
      </c>
      <c r="U1463" t="s">
        <v>58</v>
      </c>
      <c r="V1463">
        <v>1</v>
      </c>
      <c r="W1463">
        <v>1</v>
      </c>
      <c r="X1463">
        <v>1</v>
      </c>
      <c r="Y1463">
        <v>0</v>
      </c>
      <c r="Z1463">
        <v>1</v>
      </c>
      <c r="AA1463">
        <v>0</v>
      </c>
      <c r="AB1463">
        <v>123.47</v>
      </c>
      <c r="AC1463">
        <v>108.64</v>
      </c>
      <c r="AD1463">
        <v>0</v>
      </c>
      <c r="AE1463">
        <v>14.82</v>
      </c>
      <c r="AF1463">
        <v>0</v>
      </c>
      <c r="AG1463">
        <v>0</v>
      </c>
      <c r="AH1463">
        <v>0</v>
      </c>
      <c r="AI1463">
        <v>0</v>
      </c>
      <c r="AJ1463">
        <v>123.46</v>
      </c>
      <c r="AK1463">
        <v>-0.01</v>
      </c>
      <c r="AL1463" t="s">
        <v>53</v>
      </c>
      <c r="AM1463" t="s">
        <v>53</v>
      </c>
      <c r="AN1463" t="s">
        <v>2532</v>
      </c>
      <c r="AO1463" t="s">
        <v>53</v>
      </c>
      <c r="AP1463" t="s">
        <v>53</v>
      </c>
    </row>
    <row r="1464" spans="2:42" x14ac:dyDescent="0.2">
      <c r="B1464" t="s">
        <v>44</v>
      </c>
      <c r="C1464" t="str">
        <f>HYPERLINK("https://us2.cloudbeds.com/connect/8493803454333002#/reservations/598507987162?display=E1E8Q08H&amp;reservation_id=598507987162", "E1E8Q08H")</f>
        <v>E1E8Q08H</v>
      </c>
      <c r="D1464" t="s">
        <v>45</v>
      </c>
      <c r="E1464" t="s">
        <v>487</v>
      </c>
      <c r="F1464" t="s">
        <v>61</v>
      </c>
      <c r="G1464" t="s">
        <v>48</v>
      </c>
      <c r="H1464" t="s">
        <v>49</v>
      </c>
      <c r="I1464" t="s">
        <v>62</v>
      </c>
      <c r="J1464" t="s">
        <v>192</v>
      </c>
      <c r="K1464" t="s">
        <v>1068</v>
      </c>
      <c r="L1464" t="s">
        <v>53</v>
      </c>
      <c r="N1464" t="s">
        <v>2533</v>
      </c>
      <c r="P1464" t="s">
        <v>55</v>
      </c>
      <c r="R1464" t="s">
        <v>56</v>
      </c>
      <c r="T1464" t="s">
        <v>2525</v>
      </c>
      <c r="U1464" t="s">
        <v>58</v>
      </c>
      <c r="V1464">
        <v>1</v>
      </c>
      <c r="W1464">
        <v>1</v>
      </c>
      <c r="X1464">
        <v>1</v>
      </c>
      <c r="Y1464">
        <v>0</v>
      </c>
      <c r="Z1464">
        <v>1</v>
      </c>
      <c r="AA1464">
        <v>0</v>
      </c>
      <c r="AB1464">
        <v>125.02</v>
      </c>
      <c r="AC1464">
        <v>110</v>
      </c>
      <c r="AD1464">
        <v>0</v>
      </c>
      <c r="AE1464">
        <v>15.02</v>
      </c>
      <c r="AF1464">
        <v>0</v>
      </c>
      <c r="AG1464">
        <v>0</v>
      </c>
      <c r="AH1464">
        <v>0</v>
      </c>
      <c r="AI1464">
        <v>18.75</v>
      </c>
      <c r="AJ1464">
        <v>125.02</v>
      </c>
      <c r="AK1464">
        <v>0</v>
      </c>
      <c r="AL1464" t="s">
        <v>53</v>
      </c>
      <c r="AM1464" t="s">
        <v>53</v>
      </c>
      <c r="AN1464" t="s">
        <v>132</v>
      </c>
      <c r="AO1464" t="s">
        <v>53</v>
      </c>
      <c r="AP1464" t="s">
        <v>53</v>
      </c>
    </row>
    <row r="1465" spans="2:42" x14ac:dyDescent="0.2">
      <c r="B1465" t="s">
        <v>44</v>
      </c>
      <c r="C1465" t="str">
        <f>HYPERLINK("https://us2.cloudbeds.com/connect/8493803454333002#/reservations/598575698064?display=E1FWT5D2&amp;reservation_id=598575698064", "E1FWT5D2")</f>
        <v>E1FWT5D2</v>
      </c>
      <c r="D1465" t="s">
        <v>45</v>
      </c>
      <c r="E1465" t="s">
        <v>85</v>
      </c>
      <c r="F1465" t="s">
        <v>86</v>
      </c>
      <c r="G1465" t="s">
        <v>48</v>
      </c>
      <c r="H1465" t="s">
        <v>71</v>
      </c>
      <c r="I1465" t="s">
        <v>72</v>
      </c>
      <c r="J1465" t="s">
        <v>360</v>
      </c>
      <c r="K1465" t="s">
        <v>699</v>
      </c>
      <c r="L1465" t="s">
        <v>53</v>
      </c>
      <c r="N1465" t="s">
        <v>2534</v>
      </c>
      <c r="P1465" t="s">
        <v>55</v>
      </c>
      <c r="R1465" t="s">
        <v>56</v>
      </c>
      <c r="T1465" t="s">
        <v>2525</v>
      </c>
      <c r="U1465" t="s">
        <v>58</v>
      </c>
      <c r="V1465">
        <v>3</v>
      </c>
      <c r="W1465">
        <v>1</v>
      </c>
      <c r="X1465">
        <v>1</v>
      </c>
      <c r="Y1465">
        <v>0</v>
      </c>
      <c r="Z1465">
        <v>1</v>
      </c>
      <c r="AA1465">
        <v>0</v>
      </c>
      <c r="AB1465">
        <v>385.27</v>
      </c>
      <c r="AC1465">
        <v>339</v>
      </c>
      <c r="AD1465">
        <v>0</v>
      </c>
      <c r="AE1465">
        <v>46.29</v>
      </c>
      <c r="AF1465">
        <v>0</v>
      </c>
      <c r="AG1465">
        <v>0</v>
      </c>
      <c r="AH1465">
        <v>0</v>
      </c>
      <c r="AI1465">
        <v>0</v>
      </c>
      <c r="AJ1465">
        <v>385.29</v>
      </c>
      <c r="AK1465">
        <v>0.02</v>
      </c>
      <c r="AL1465" t="s">
        <v>53</v>
      </c>
      <c r="AM1465" t="s">
        <v>53</v>
      </c>
      <c r="AN1465" t="s">
        <v>2535</v>
      </c>
      <c r="AO1465" t="s">
        <v>53</v>
      </c>
      <c r="AP1465" t="s">
        <v>53</v>
      </c>
    </row>
    <row r="1466" spans="2:42" x14ac:dyDescent="0.2">
      <c r="B1466" t="s">
        <v>44</v>
      </c>
      <c r="C1466" t="str">
        <f>HYPERLINK("https://us2.cloudbeds.com/connect/8493803454333002#/reservations/598380859520?display=E1ATEGC3&amp;reservation_id=598380859520", "E1ATEGC3")</f>
        <v>E1ATEGC3</v>
      </c>
      <c r="D1466" t="s">
        <v>45</v>
      </c>
      <c r="E1466" t="s">
        <v>98</v>
      </c>
      <c r="F1466" t="s">
        <v>86</v>
      </c>
      <c r="G1466" t="s">
        <v>48</v>
      </c>
      <c r="H1466" t="s">
        <v>49</v>
      </c>
      <c r="I1466" t="s">
        <v>79</v>
      </c>
      <c r="J1466" t="s">
        <v>988</v>
      </c>
      <c r="K1466" t="s">
        <v>1439</v>
      </c>
      <c r="L1466" t="s">
        <v>53</v>
      </c>
      <c r="N1466" t="s">
        <v>2536</v>
      </c>
      <c r="P1466" t="s">
        <v>55</v>
      </c>
      <c r="R1466" t="s">
        <v>56</v>
      </c>
      <c r="T1466" t="s">
        <v>2525</v>
      </c>
      <c r="U1466" t="s">
        <v>58</v>
      </c>
      <c r="V1466">
        <v>1</v>
      </c>
      <c r="W1466">
        <v>1</v>
      </c>
      <c r="X1466">
        <v>1</v>
      </c>
      <c r="Y1466">
        <v>0</v>
      </c>
      <c r="Z1466">
        <v>1</v>
      </c>
      <c r="AA1466">
        <v>0</v>
      </c>
      <c r="AB1466">
        <v>168.26</v>
      </c>
      <c r="AC1466">
        <v>148.05000000000001</v>
      </c>
      <c r="AD1466">
        <v>0</v>
      </c>
      <c r="AE1466">
        <v>20.2</v>
      </c>
      <c r="AF1466">
        <v>0</v>
      </c>
      <c r="AG1466">
        <v>0</v>
      </c>
      <c r="AH1466">
        <v>0</v>
      </c>
      <c r="AI1466">
        <v>0</v>
      </c>
      <c r="AJ1466">
        <v>168.25</v>
      </c>
      <c r="AK1466">
        <v>-0.01</v>
      </c>
      <c r="AL1466" t="s">
        <v>53</v>
      </c>
      <c r="AM1466" t="s">
        <v>53</v>
      </c>
      <c r="AN1466" t="s">
        <v>84</v>
      </c>
      <c r="AO1466" t="s">
        <v>53</v>
      </c>
      <c r="AP1466" t="s">
        <v>53</v>
      </c>
    </row>
    <row r="1467" spans="2:42" x14ac:dyDescent="0.2">
      <c r="B1467" t="s">
        <v>44</v>
      </c>
      <c r="C1467" t="str">
        <f>HYPERLINK("https://us2.cloudbeds.com/connect/8493803454333002#/reservations/598133489909?display=E14N029V&amp;reservation_id=598133489909", "E14N029V")</f>
        <v>E14N029V</v>
      </c>
      <c r="D1467" t="s">
        <v>45</v>
      </c>
      <c r="E1467" t="s">
        <v>85</v>
      </c>
      <c r="F1467" t="s">
        <v>86</v>
      </c>
      <c r="G1467" t="s">
        <v>48</v>
      </c>
      <c r="H1467" t="s">
        <v>71</v>
      </c>
      <c r="I1467" t="s">
        <v>72</v>
      </c>
      <c r="J1467" t="s">
        <v>192</v>
      </c>
      <c r="K1467" t="s">
        <v>1068</v>
      </c>
      <c r="L1467" t="s">
        <v>53</v>
      </c>
      <c r="N1467" t="s">
        <v>2537</v>
      </c>
      <c r="P1467" t="s">
        <v>55</v>
      </c>
      <c r="R1467" t="s">
        <v>56</v>
      </c>
      <c r="T1467" t="s">
        <v>2525</v>
      </c>
      <c r="U1467" t="s">
        <v>58</v>
      </c>
      <c r="V1467">
        <v>1</v>
      </c>
      <c r="W1467">
        <v>1</v>
      </c>
      <c r="X1467">
        <v>1</v>
      </c>
      <c r="Y1467">
        <v>0</v>
      </c>
      <c r="Z1467">
        <v>1</v>
      </c>
      <c r="AA1467">
        <v>0</v>
      </c>
      <c r="AB1467">
        <v>127.29</v>
      </c>
      <c r="AC1467">
        <v>112</v>
      </c>
      <c r="AD1467">
        <v>0</v>
      </c>
      <c r="AE1467">
        <v>15.29</v>
      </c>
      <c r="AF1467">
        <v>0</v>
      </c>
      <c r="AG1467">
        <v>0</v>
      </c>
      <c r="AH1467">
        <v>0</v>
      </c>
      <c r="AI1467">
        <v>0</v>
      </c>
      <c r="AJ1467">
        <v>127.29</v>
      </c>
      <c r="AK1467">
        <v>0</v>
      </c>
      <c r="AL1467" t="s">
        <v>53</v>
      </c>
      <c r="AM1467" t="s">
        <v>53</v>
      </c>
      <c r="AN1467" t="s">
        <v>378</v>
      </c>
      <c r="AO1467" t="s">
        <v>53</v>
      </c>
      <c r="AP1467" t="s">
        <v>53</v>
      </c>
    </row>
    <row r="1468" spans="2:42" x14ac:dyDescent="0.2">
      <c r="B1468" t="s">
        <v>44</v>
      </c>
      <c r="C1468" t="str">
        <f>HYPERLINK("https://us2.cloudbeds.com/connect/8493803454333002#/reservations/598565044455?display=E1FNTNFE&amp;reservation_id=598565044455", "E1FNTNFE")</f>
        <v>E1FNTNFE</v>
      </c>
      <c r="D1468" t="s">
        <v>45</v>
      </c>
      <c r="E1468" t="s">
        <v>98</v>
      </c>
      <c r="F1468" t="s">
        <v>86</v>
      </c>
      <c r="G1468" t="s">
        <v>48</v>
      </c>
      <c r="H1468" t="s">
        <v>49</v>
      </c>
      <c r="I1468" t="s">
        <v>50</v>
      </c>
      <c r="J1468" t="s">
        <v>333</v>
      </c>
      <c r="K1468" t="s">
        <v>538</v>
      </c>
      <c r="L1468" t="s">
        <v>53</v>
      </c>
      <c r="N1468" t="s">
        <v>2538</v>
      </c>
      <c r="P1468" t="s">
        <v>55</v>
      </c>
      <c r="R1468" t="s">
        <v>56</v>
      </c>
      <c r="T1468" t="s">
        <v>2525</v>
      </c>
      <c r="U1468" t="s">
        <v>58</v>
      </c>
      <c r="V1468">
        <v>2</v>
      </c>
      <c r="W1468">
        <v>1</v>
      </c>
      <c r="X1468">
        <v>1</v>
      </c>
      <c r="Y1468">
        <v>0</v>
      </c>
      <c r="Z1468">
        <v>1</v>
      </c>
      <c r="AA1468">
        <v>0</v>
      </c>
      <c r="AB1468">
        <v>251.62</v>
      </c>
      <c r="AC1468">
        <v>221.4</v>
      </c>
      <c r="AD1468">
        <v>0</v>
      </c>
      <c r="AE1468">
        <v>30.2</v>
      </c>
      <c r="AF1468">
        <v>0</v>
      </c>
      <c r="AG1468">
        <v>0</v>
      </c>
      <c r="AH1468">
        <v>0</v>
      </c>
      <c r="AI1468">
        <v>45.29</v>
      </c>
      <c r="AJ1468">
        <v>251.6</v>
      </c>
      <c r="AK1468">
        <v>-0.02</v>
      </c>
      <c r="AL1468" t="s">
        <v>53</v>
      </c>
      <c r="AM1468" t="s">
        <v>53</v>
      </c>
      <c r="AN1468" t="s">
        <v>127</v>
      </c>
      <c r="AO1468" t="s">
        <v>53</v>
      </c>
      <c r="AP1468" t="s">
        <v>53</v>
      </c>
    </row>
    <row r="1469" spans="2:42" x14ac:dyDescent="0.2">
      <c r="B1469" t="s">
        <v>44</v>
      </c>
      <c r="C1469" t="str">
        <f>HYPERLINK("https://us2.cloudbeds.com/connect/8493803454333002#/reservations/598442946794?display=E1CJV5D9&amp;reservation_id=598442946794", "E1CJV5D9")</f>
        <v>E1CJV5D9</v>
      </c>
      <c r="D1469" t="s">
        <v>45</v>
      </c>
      <c r="E1469" t="s">
        <v>223</v>
      </c>
      <c r="F1469" t="s">
        <v>47</v>
      </c>
      <c r="G1469" t="s">
        <v>48</v>
      </c>
      <c r="H1469" t="s">
        <v>49</v>
      </c>
      <c r="I1469" t="s">
        <v>62</v>
      </c>
      <c r="J1469" t="s">
        <v>647</v>
      </c>
      <c r="K1469" t="s">
        <v>215</v>
      </c>
      <c r="L1469" t="s">
        <v>53</v>
      </c>
      <c r="N1469" t="s">
        <v>2539</v>
      </c>
      <c r="P1469" t="s">
        <v>55</v>
      </c>
      <c r="R1469" t="s">
        <v>56</v>
      </c>
      <c r="T1469" t="s">
        <v>2525</v>
      </c>
      <c r="U1469" t="s">
        <v>58</v>
      </c>
      <c r="V1469">
        <v>2</v>
      </c>
      <c r="W1469">
        <v>1</v>
      </c>
      <c r="X1469">
        <v>1</v>
      </c>
      <c r="Y1469">
        <v>0</v>
      </c>
      <c r="Z1469">
        <v>1</v>
      </c>
      <c r="AA1469">
        <v>0</v>
      </c>
      <c r="AB1469">
        <v>335.27</v>
      </c>
      <c r="AC1469">
        <v>295</v>
      </c>
      <c r="AD1469">
        <v>0</v>
      </c>
      <c r="AE1469">
        <v>40.26</v>
      </c>
      <c r="AF1469">
        <v>0</v>
      </c>
      <c r="AG1469">
        <v>0</v>
      </c>
      <c r="AH1469">
        <v>0</v>
      </c>
      <c r="AI1469">
        <v>50.29</v>
      </c>
      <c r="AJ1469">
        <v>335.26</v>
      </c>
      <c r="AK1469">
        <v>-0.01</v>
      </c>
      <c r="AL1469" t="s">
        <v>53</v>
      </c>
      <c r="AM1469" t="s">
        <v>53</v>
      </c>
      <c r="AN1469" t="s">
        <v>349</v>
      </c>
      <c r="AO1469" t="s">
        <v>53</v>
      </c>
      <c r="AP1469" t="s">
        <v>53</v>
      </c>
    </row>
    <row r="1470" spans="2:42" x14ac:dyDescent="0.2">
      <c r="B1470" t="s">
        <v>44</v>
      </c>
      <c r="C1470" t="str">
        <f>HYPERLINK("https://us2.cloudbeds.com/connect/8493803454333002#/reservations/598393057420?display=E1BASUA2&amp;reservation_id=598393057420", "E1BASUA2")</f>
        <v>E1BASUA2</v>
      </c>
      <c r="D1470" t="s">
        <v>45</v>
      </c>
      <c r="E1470" t="s">
        <v>190</v>
      </c>
      <c r="F1470" t="s">
        <v>61</v>
      </c>
      <c r="G1470" t="s">
        <v>48</v>
      </c>
      <c r="H1470" t="s">
        <v>71</v>
      </c>
      <c r="I1470" t="s">
        <v>72</v>
      </c>
      <c r="J1470" t="s">
        <v>192</v>
      </c>
      <c r="K1470" t="s">
        <v>1068</v>
      </c>
      <c r="L1470" t="s">
        <v>53</v>
      </c>
      <c r="N1470" t="s">
        <v>2540</v>
      </c>
      <c r="P1470" t="s">
        <v>55</v>
      </c>
      <c r="R1470" t="s">
        <v>56</v>
      </c>
      <c r="T1470" t="s">
        <v>2525</v>
      </c>
      <c r="U1470" t="s">
        <v>58</v>
      </c>
      <c r="V1470">
        <v>1</v>
      </c>
      <c r="W1470">
        <v>1</v>
      </c>
      <c r="X1470">
        <v>1</v>
      </c>
      <c r="Y1470">
        <v>0</v>
      </c>
      <c r="Z1470">
        <v>1</v>
      </c>
      <c r="AA1470">
        <v>0</v>
      </c>
      <c r="AB1470">
        <v>107.97</v>
      </c>
      <c r="AC1470">
        <v>95</v>
      </c>
      <c r="AD1470">
        <v>0</v>
      </c>
      <c r="AE1470">
        <v>12.98</v>
      </c>
      <c r="AF1470">
        <v>0</v>
      </c>
      <c r="AG1470">
        <v>0</v>
      </c>
      <c r="AH1470">
        <v>0</v>
      </c>
      <c r="AI1470">
        <v>0</v>
      </c>
      <c r="AJ1470">
        <v>107.98</v>
      </c>
      <c r="AK1470">
        <v>0.01</v>
      </c>
      <c r="AL1470" t="s">
        <v>53</v>
      </c>
      <c r="AM1470" t="s">
        <v>53</v>
      </c>
      <c r="AN1470" t="s">
        <v>378</v>
      </c>
      <c r="AO1470" t="s">
        <v>53</v>
      </c>
      <c r="AP1470" t="s">
        <v>53</v>
      </c>
    </row>
    <row r="1471" spans="2:42" x14ac:dyDescent="0.2">
      <c r="B1471" t="s">
        <v>44</v>
      </c>
      <c r="C1471" t="str">
        <f>HYPERLINK("https://us2.cloudbeds.com/connect/8493803454333002#/reservations/579278168242?display=DJHTMVB3&amp;reservation_id=579278168242", "DJHTMVB3")</f>
        <v>DJHTMVB3</v>
      </c>
      <c r="D1471" t="s">
        <v>45</v>
      </c>
      <c r="E1471" t="s">
        <v>165</v>
      </c>
      <c r="F1471" t="s">
        <v>61</v>
      </c>
      <c r="G1471" t="s">
        <v>48</v>
      </c>
      <c r="H1471" t="s">
        <v>49</v>
      </c>
      <c r="I1471" t="s">
        <v>266</v>
      </c>
      <c r="J1471" t="s">
        <v>2541</v>
      </c>
      <c r="K1471" t="s">
        <v>1436</v>
      </c>
      <c r="L1471" t="s">
        <v>53</v>
      </c>
      <c r="N1471" t="s">
        <v>2542</v>
      </c>
      <c r="P1471" t="s">
        <v>55</v>
      </c>
      <c r="R1471" t="s">
        <v>56</v>
      </c>
      <c r="T1471" t="s">
        <v>2525</v>
      </c>
      <c r="U1471" t="s">
        <v>58</v>
      </c>
      <c r="V1471">
        <v>2</v>
      </c>
      <c r="W1471">
        <v>1</v>
      </c>
      <c r="X1471">
        <v>1</v>
      </c>
      <c r="Y1471">
        <v>0</v>
      </c>
      <c r="Z1471">
        <v>1</v>
      </c>
      <c r="AA1471">
        <v>0</v>
      </c>
      <c r="AB1471">
        <v>312.98</v>
      </c>
      <c r="AC1471">
        <v>275.39999999999998</v>
      </c>
      <c r="AD1471">
        <v>0</v>
      </c>
      <c r="AE1471">
        <v>37.58</v>
      </c>
      <c r="AF1471">
        <v>0</v>
      </c>
      <c r="AG1471">
        <v>0</v>
      </c>
      <c r="AH1471">
        <v>0</v>
      </c>
      <c r="AI1471">
        <v>0</v>
      </c>
      <c r="AJ1471">
        <v>312.98</v>
      </c>
      <c r="AK1471">
        <v>0</v>
      </c>
      <c r="AL1471" t="s">
        <v>53</v>
      </c>
      <c r="AM1471" t="s">
        <v>53</v>
      </c>
      <c r="AN1471" t="s">
        <v>91</v>
      </c>
      <c r="AO1471" t="s">
        <v>53</v>
      </c>
      <c r="AP1471" t="s">
        <v>53</v>
      </c>
    </row>
    <row r="1472" spans="2:42" x14ac:dyDescent="0.2">
      <c r="B1472" t="s">
        <v>44</v>
      </c>
      <c r="C1472" t="str">
        <f>HYPERLINK("https://us2.cloudbeds.com/connect/8493803454333002#/reservations/598365987028?display=E1AY1Y95&amp;reservation_id=598365987028", "E1AY1Y95")</f>
        <v>E1AY1Y95</v>
      </c>
      <c r="D1472" t="s">
        <v>45</v>
      </c>
      <c r="E1472" t="s">
        <v>128</v>
      </c>
      <c r="F1472" t="s">
        <v>86</v>
      </c>
      <c r="G1472" t="s">
        <v>48</v>
      </c>
      <c r="H1472" t="s">
        <v>49</v>
      </c>
      <c r="I1472" t="s">
        <v>62</v>
      </c>
      <c r="J1472" t="s">
        <v>133</v>
      </c>
      <c r="K1472" t="s">
        <v>549</v>
      </c>
      <c r="L1472" t="s">
        <v>53</v>
      </c>
      <c r="N1472" t="s">
        <v>2543</v>
      </c>
      <c r="P1472" t="s">
        <v>55</v>
      </c>
      <c r="R1472" t="s">
        <v>56</v>
      </c>
      <c r="T1472" t="s">
        <v>2525</v>
      </c>
      <c r="U1472" t="s">
        <v>58</v>
      </c>
      <c r="V1472">
        <v>1</v>
      </c>
      <c r="W1472">
        <v>1</v>
      </c>
      <c r="X1472">
        <v>1</v>
      </c>
      <c r="Y1472">
        <v>0</v>
      </c>
      <c r="Z1472">
        <v>1</v>
      </c>
      <c r="AA1472">
        <v>0</v>
      </c>
      <c r="AB1472">
        <v>192.07</v>
      </c>
      <c r="AC1472">
        <v>169</v>
      </c>
      <c r="AD1472">
        <v>0</v>
      </c>
      <c r="AE1472">
        <v>23.07</v>
      </c>
      <c r="AF1472">
        <v>0</v>
      </c>
      <c r="AG1472">
        <v>0</v>
      </c>
      <c r="AH1472">
        <v>0</v>
      </c>
      <c r="AI1472">
        <v>28.81</v>
      </c>
      <c r="AJ1472">
        <v>192.07</v>
      </c>
      <c r="AK1472">
        <v>0</v>
      </c>
      <c r="AL1472" t="s">
        <v>53</v>
      </c>
      <c r="AM1472" t="s">
        <v>53</v>
      </c>
      <c r="AN1472" t="s">
        <v>159</v>
      </c>
      <c r="AO1472" t="s">
        <v>53</v>
      </c>
      <c r="AP1472" t="s">
        <v>53</v>
      </c>
    </row>
    <row r="1473" spans="2:42" x14ac:dyDescent="0.2">
      <c r="B1473" t="s">
        <v>44</v>
      </c>
      <c r="C1473" t="str">
        <f>HYPERLINK("https://us2.cloudbeds.com/connect/8493803454333002#/reservations/579280785602?display=DJHVTPQ1&amp;reservation_id=579280785602", "DJHVTPQ1")</f>
        <v>DJHVTPQ1</v>
      </c>
      <c r="D1473" t="s">
        <v>45</v>
      </c>
      <c r="E1473" t="s">
        <v>113</v>
      </c>
      <c r="F1473" t="s">
        <v>61</v>
      </c>
      <c r="G1473" t="s">
        <v>48</v>
      </c>
      <c r="H1473" t="s">
        <v>49</v>
      </c>
      <c r="I1473" t="s">
        <v>266</v>
      </c>
      <c r="J1473" t="s">
        <v>2541</v>
      </c>
      <c r="K1473" t="s">
        <v>1436</v>
      </c>
      <c r="L1473" t="s">
        <v>53</v>
      </c>
      <c r="N1473" t="s">
        <v>2544</v>
      </c>
      <c r="P1473" t="s">
        <v>55</v>
      </c>
      <c r="R1473" t="s">
        <v>56</v>
      </c>
      <c r="T1473" t="s">
        <v>2525</v>
      </c>
      <c r="U1473" t="s">
        <v>58</v>
      </c>
      <c r="V1473">
        <v>2</v>
      </c>
      <c r="W1473">
        <v>1</v>
      </c>
      <c r="X1473">
        <v>1</v>
      </c>
      <c r="Y1473">
        <v>0</v>
      </c>
      <c r="Z1473">
        <v>1</v>
      </c>
      <c r="AA1473">
        <v>0</v>
      </c>
      <c r="AB1473">
        <v>312.98</v>
      </c>
      <c r="AC1473">
        <v>275.39999999999998</v>
      </c>
      <c r="AD1473">
        <v>0</v>
      </c>
      <c r="AE1473">
        <v>37.58</v>
      </c>
      <c r="AF1473">
        <v>0</v>
      </c>
      <c r="AG1473">
        <v>0</v>
      </c>
      <c r="AH1473">
        <v>0</v>
      </c>
      <c r="AI1473">
        <v>0</v>
      </c>
      <c r="AJ1473">
        <v>312.98</v>
      </c>
      <c r="AK1473">
        <v>0</v>
      </c>
      <c r="AL1473" t="s">
        <v>53</v>
      </c>
      <c r="AM1473" t="s">
        <v>53</v>
      </c>
      <c r="AN1473" t="s">
        <v>252</v>
      </c>
      <c r="AO1473" t="s">
        <v>53</v>
      </c>
      <c r="AP1473" t="s">
        <v>53</v>
      </c>
    </row>
    <row r="1474" spans="2:42" x14ac:dyDescent="0.2">
      <c r="B1474" t="s">
        <v>44</v>
      </c>
      <c r="C1474" t="str">
        <f>HYPERLINK("https://us2.cloudbeds.com/connect/8493803454333002#/reservations/579341025436?display=DJJGMUN6&amp;reservation_id=579341025436", "DJJGMUN6")</f>
        <v>DJJGMUN6</v>
      </c>
      <c r="D1474" t="s">
        <v>45</v>
      </c>
      <c r="E1474" t="s">
        <v>406</v>
      </c>
      <c r="F1474" t="s">
        <v>61</v>
      </c>
      <c r="G1474" t="s">
        <v>48</v>
      </c>
      <c r="H1474" t="s">
        <v>49</v>
      </c>
      <c r="I1474" t="s">
        <v>79</v>
      </c>
      <c r="J1474" t="s">
        <v>2494</v>
      </c>
      <c r="K1474" t="s">
        <v>2545</v>
      </c>
      <c r="L1474" t="s">
        <v>53</v>
      </c>
      <c r="N1474" t="s">
        <v>2546</v>
      </c>
      <c r="P1474" t="s">
        <v>55</v>
      </c>
      <c r="R1474" t="s">
        <v>56</v>
      </c>
      <c r="T1474" t="s">
        <v>2525</v>
      </c>
      <c r="U1474" t="s">
        <v>58</v>
      </c>
      <c r="V1474">
        <v>1</v>
      </c>
      <c r="W1474">
        <v>1</v>
      </c>
      <c r="X1474">
        <v>1</v>
      </c>
      <c r="Y1474">
        <v>0</v>
      </c>
      <c r="Z1474">
        <v>1</v>
      </c>
      <c r="AA1474">
        <v>0</v>
      </c>
      <c r="AB1474">
        <v>155.47999999999999</v>
      </c>
      <c r="AC1474">
        <v>136.80000000000001</v>
      </c>
      <c r="AD1474">
        <v>0</v>
      </c>
      <c r="AE1474">
        <v>18.68</v>
      </c>
      <c r="AF1474">
        <v>0</v>
      </c>
      <c r="AG1474">
        <v>0</v>
      </c>
      <c r="AH1474">
        <v>0</v>
      </c>
      <c r="AI1474">
        <v>0</v>
      </c>
      <c r="AJ1474">
        <v>155.47999999999999</v>
      </c>
      <c r="AK1474">
        <v>0</v>
      </c>
      <c r="AL1474" t="s">
        <v>53</v>
      </c>
      <c r="AM1474" t="s">
        <v>53</v>
      </c>
      <c r="AN1474" t="s">
        <v>146</v>
      </c>
      <c r="AO1474" t="s">
        <v>53</v>
      </c>
      <c r="AP1474" t="s">
        <v>53</v>
      </c>
    </row>
    <row r="1475" spans="2:42" x14ac:dyDescent="0.2">
      <c r="B1475" t="s">
        <v>44</v>
      </c>
      <c r="C1475" t="str">
        <f>HYPERLINK("https://us2.cloudbeds.com/connect/8493803454333002#/reservations/598120050902?display=E14BM3KA&amp;reservation_id=598120050902", "E14BM3KA")</f>
        <v>E14BM3KA</v>
      </c>
      <c r="D1475" t="s">
        <v>45</v>
      </c>
      <c r="E1475" t="s">
        <v>373</v>
      </c>
      <c r="F1475" t="s">
        <v>47</v>
      </c>
      <c r="G1475" t="s">
        <v>48</v>
      </c>
      <c r="H1475" t="s">
        <v>49</v>
      </c>
      <c r="I1475" t="s">
        <v>79</v>
      </c>
      <c r="J1475" t="s">
        <v>611</v>
      </c>
      <c r="K1475" t="s">
        <v>699</v>
      </c>
      <c r="L1475" t="s">
        <v>53</v>
      </c>
      <c r="N1475" t="s">
        <v>2547</v>
      </c>
      <c r="P1475" t="s">
        <v>55</v>
      </c>
      <c r="R1475" t="s">
        <v>56</v>
      </c>
      <c r="T1475" t="s">
        <v>2548</v>
      </c>
      <c r="U1475" t="s">
        <v>58</v>
      </c>
      <c r="V1475">
        <v>2</v>
      </c>
      <c r="W1475">
        <v>1</v>
      </c>
      <c r="X1475">
        <v>1</v>
      </c>
      <c r="Y1475">
        <v>0</v>
      </c>
      <c r="Z1475">
        <v>1</v>
      </c>
      <c r="AA1475">
        <v>0</v>
      </c>
      <c r="AB1475">
        <v>206.62</v>
      </c>
      <c r="AC1475">
        <v>181.8</v>
      </c>
      <c r="AD1475">
        <v>0</v>
      </c>
      <c r="AE1475">
        <v>24.82</v>
      </c>
      <c r="AF1475">
        <v>0</v>
      </c>
      <c r="AG1475">
        <v>0</v>
      </c>
      <c r="AH1475">
        <v>0</v>
      </c>
      <c r="AI1475">
        <v>0</v>
      </c>
      <c r="AJ1475">
        <v>206.62</v>
      </c>
      <c r="AK1475">
        <v>0</v>
      </c>
      <c r="AL1475" t="s">
        <v>53</v>
      </c>
      <c r="AM1475" t="s">
        <v>53</v>
      </c>
      <c r="AN1475" t="s">
        <v>137</v>
      </c>
      <c r="AO1475" t="s">
        <v>53</v>
      </c>
      <c r="AP1475" t="s">
        <v>53</v>
      </c>
    </row>
    <row r="1476" spans="2:42" x14ac:dyDescent="0.2">
      <c r="B1476" t="s">
        <v>44</v>
      </c>
      <c r="C1476" t="str">
        <f>HYPERLINK("https://us2.cloudbeds.com/connect/8493803454333002#/reservations/598295064807?display=E18R848W&amp;reservation_id=598295064807", "E18R848W")</f>
        <v>E18R848W</v>
      </c>
      <c r="D1476" t="s">
        <v>45</v>
      </c>
      <c r="E1476" t="s">
        <v>305</v>
      </c>
      <c r="F1476" t="s">
        <v>61</v>
      </c>
      <c r="G1476" t="s">
        <v>48</v>
      </c>
      <c r="H1476" t="s">
        <v>49</v>
      </c>
      <c r="I1476" t="s">
        <v>50</v>
      </c>
      <c r="J1476" t="s">
        <v>253</v>
      </c>
      <c r="K1476" t="s">
        <v>354</v>
      </c>
      <c r="L1476" t="s">
        <v>53</v>
      </c>
      <c r="N1476" t="s">
        <v>2549</v>
      </c>
      <c r="P1476" t="s">
        <v>55</v>
      </c>
      <c r="R1476" t="s">
        <v>56</v>
      </c>
      <c r="T1476" t="s">
        <v>2548</v>
      </c>
      <c r="U1476" t="s">
        <v>58</v>
      </c>
      <c r="V1476">
        <v>1</v>
      </c>
      <c r="W1476">
        <v>1</v>
      </c>
      <c r="X1476">
        <v>1</v>
      </c>
      <c r="Y1476">
        <v>0</v>
      </c>
      <c r="Z1476">
        <v>1</v>
      </c>
      <c r="AA1476">
        <v>0</v>
      </c>
      <c r="AB1476">
        <v>112.51</v>
      </c>
      <c r="AC1476">
        <v>99</v>
      </c>
      <c r="AD1476">
        <v>0</v>
      </c>
      <c r="AE1476">
        <v>13.52</v>
      </c>
      <c r="AF1476">
        <v>0</v>
      </c>
      <c r="AG1476">
        <v>0</v>
      </c>
      <c r="AH1476">
        <v>0</v>
      </c>
      <c r="AI1476">
        <v>20.25</v>
      </c>
      <c r="AJ1476">
        <v>112.52</v>
      </c>
      <c r="AK1476">
        <v>0.01</v>
      </c>
      <c r="AL1476" t="s">
        <v>53</v>
      </c>
      <c r="AM1476" t="s">
        <v>53</v>
      </c>
      <c r="AN1476" t="s">
        <v>127</v>
      </c>
      <c r="AO1476" t="s">
        <v>53</v>
      </c>
      <c r="AP1476" t="s">
        <v>53</v>
      </c>
    </row>
    <row r="1477" spans="2:42" x14ac:dyDescent="0.2">
      <c r="B1477" t="s">
        <v>44</v>
      </c>
      <c r="C1477" t="str">
        <f>HYPERLINK("https://us2.cloudbeds.com/connect/8493803454333002#/reservations/598409859281?display=E1BP1F0D&amp;reservation_id=598409859281", "E1BP1F0D")</f>
        <v>E1BP1F0D</v>
      </c>
      <c r="D1477" t="s">
        <v>45</v>
      </c>
      <c r="E1477" t="s">
        <v>381</v>
      </c>
      <c r="F1477" t="s">
        <v>47</v>
      </c>
      <c r="G1477" t="s">
        <v>48</v>
      </c>
      <c r="H1477" t="s">
        <v>49</v>
      </c>
      <c r="I1477" t="s">
        <v>62</v>
      </c>
      <c r="J1477" t="s">
        <v>359</v>
      </c>
      <c r="K1477" t="s">
        <v>611</v>
      </c>
      <c r="L1477" t="s">
        <v>53</v>
      </c>
      <c r="N1477" t="s">
        <v>2550</v>
      </c>
      <c r="P1477" t="s">
        <v>55</v>
      </c>
      <c r="R1477" t="s">
        <v>56</v>
      </c>
      <c r="T1477" t="s">
        <v>2548</v>
      </c>
      <c r="U1477" t="s">
        <v>58</v>
      </c>
      <c r="V1477">
        <v>2</v>
      </c>
      <c r="W1477">
        <v>1</v>
      </c>
      <c r="X1477">
        <v>1</v>
      </c>
      <c r="Y1477">
        <v>0</v>
      </c>
      <c r="Z1477">
        <v>1</v>
      </c>
      <c r="AA1477">
        <v>0</v>
      </c>
      <c r="AB1477">
        <v>229.12</v>
      </c>
      <c r="AC1477">
        <v>201.6</v>
      </c>
      <c r="AD1477">
        <v>0</v>
      </c>
      <c r="AE1477">
        <v>27.52</v>
      </c>
      <c r="AF1477">
        <v>0</v>
      </c>
      <c r="AG1477">
        <v>0</v>
      </c>
      <c r="AH1477">
        <v>0</v>
      </c>
      <c r="AI1477">
        <v>34.369999999999997</v>
      </c>
      <c r="AJ1477">
        <v>229.12</v>
      </c>
      <c r="AK1477">
        <v>0</v>
      </c>
      <c r="AL1477" t="s">
        <v>53</v>
      </c>
      <c r="AM1477" t="s">
        <v>53</v>
      </c>
      <c r="AN1477" t="s">
        <v>1575</v>
      </c>
      <c r="AO1477" t="s">
        <v>53</v>
      </c>
      <c r="AP1477" t="s">
        <v>53</v>
      </c>
    </row>
    <row r="1478" spans="2:42" x14ac:dyDescent="0.2">
      <c r="B1478" t="s">
        <v>44</v>
      </c>
      <c r="C1478" t="str">
        <f>HYPERLINK("https://us2.cloudbeds.com/connect/8493803454333002#/reservations/598524686478?display=E1EMSMQE&amp;reservation_id=598524686478", "E1EMSMQE")</f>
        <v>E1EMSMQE</v>
      </c>
      <c r="D1478" t="s">
        <v>45</v>
      </c>
      <c r="E1478" t="s">
        <v>105</v>
      </c>
      <c r="F1478" t="s">
        <v>47</v>
      </c>
      <c r="G1478" t="s">
        <v>48</v>
      </c>
      <c r="H1478" t="s">
        <v>71</v>
      </c>
      <c r="I1478" t="s">
        <v>72</v>
      </c>
      <c r="J1478" t="s">
        <v>354</v>
      </c>
      <c r="K1478" t="s">
        <v>938</v>
      </c>
      <c r="L1478" t="s">
        <v>53</v>
      </c>
      <c r="N1478" t="s">
        <v>2551</v>
      </c>
      <c r="P1478" t="s">
        <v>55</v>
      </c>
      <c r="R1478" t="s">
        <v>56</v>
      </c>
      <c r="T1478" t="s">
        <v>2548</v>
      </c>
      <c r="U1478" t="s">
        <v>58</v>
      </c>
      <c r="V1478">
        <v>1</v>
      </c>
      <c r="W1478">
        <v>1</v>
      </c>
      <c r="X1478">
        <v>1</v>
      </c>
      <c r="Y1478">
        <v>0</v>
      </c>
      <c r="Z1478">
        <v>1</v>
      </c>
      <c r="AA1478">
        <v>0</v>
      </c>
      <c r="AB1478">
        <v>110.24</v>
      </c>
      <c r="AC1478">
        <v>97</v>
      </c>
      <c r="AD1478">
        <v>0</v>
      </c>
      <c r="AE1478">
        <v>13.24</v>
      </c>
      <c r="AF1478">
        <v>0</v>
      </c>
      <c r="AG1478">
        <v>0</v>
      </c>
      <c r="AH1478">
        <v>0</v>
      </c>
      <c r="AI1478">
        <v>0</v>
      </c>
      <c r="AJ1478">
        <v>110.24</v>
      </c>
      <c r="AK1478">
        <v>0</v>
      </c>
      <c r="AL1478" t="s">
        <v>53</v>
      </c>
      <c r="AM1478" t="s">
        <v>53</v>
      </c>
      <c r="AN1478" t="s">
        <v>1891</v>
      </c>
      <c r="AO1478" t="s">
        <v>53</v>
      </c>
      <c r="AP1478" t="s">
        <v>53</v>
      </c>
    </row>
    <row r="1479" spans="2:42" x14ac:dyDescent="0.2">
      <c r="B1479" t="s">
        <v>44</v>
      </c>
      <c r="C1479" t="str">
        <f>HYPERLINK("https://us2.cloudbeds.com/connect/8493803454333002#/reservations/598330146952?display=E19NRB99&amp;reservation_id=598330146952", "E19NRB99")</f>
        <v>E19NRB99</v>
      </c>
      <c r="D1479" t="s">
        <v>45</v>
      </c>
      <c r="E1479" t="s">
        <v>85</v>
      </c>
      <c r="F1479" t="s">
        <v>86</v>
      </c>
      <c r="G1479" t="s">
        <v>48</v>
      </c>
      <c r="H1479" t="s">
        <v>49</v>
      </c>
      <c r="I1479" t="s">
        <v>79</v>
      </c>
      <c r="J1479" t="s">
        <v>538</v>
      </c>
      <c r="K1479" t="s">
        <v>259</v>
      </c>
      <c r="L1479" t="s">
        <v>53</v>
      </c>
      <c r="N1479" t="s">
        <v>2552</v>
      </c>
      <c r="P1479" t="s">
        <v>55</v>
      </c>
      <c r="R1479" t="s">
        <v>56</v>
      </c>
      <c r="T1479" t="s">
        <v>2548</v>
      </c>
      <c r="U1479" t="s">
        <v>58</v>
      </c>
      <c r="V1479">
        <v>1</v>
      </c>
      <c r="W1479">
        <v>1</v>
      </c>
      <c r="X1479">
        <v>1</v>
      </c>
      <c r="Y1479">
        <v>0</v>
      </c>
      <c r="Z1479">
        <v>1</v>
      </c>
      <c r="AA1479">
        <v>0</v>
      </c>
      <c r="AB1479">
        <v>125.81</v>
      </c>
      <c r="AC1479">
        <v>110.7</v>
      </c>
      <c r="AD1479">
        <v>0</v>
      </c>
      <c r="AE1479">
        <v>15.1</v>
      </c>
      <c r="AF1479">
        <v>0</v>
      </c>
      <c r="AG1479">
        <v>0</v>
      </c>
      <c r="AH1479">
        <v>0</v>
      </c>
      <c r="AI1479">
        <v>0</v>
      </c>
      <c r="AJ1479">
        <v>125.8</v>
      </c>
      <c r="AK1479">
        <v>-0.01</v>
      </c>
      <c r="AL1479" t="s">
        <v>53</v>
      </c>
      <c r="AM1479" t="s">
        <v>53</v>
      </c>
      <c r="AN1479" t="s">
        <v>127</v>
      </c>
      <c r="AO1479" t="s">
        <v>53</v>
      </c>
      <c r="AP1479" t="s">
        <v>53</v>
      </c>
    </row>
    <row r="1480" spans="2:42" x14ac:dyDescent="0.2">
      <c r="B1480" t="s">
        <v>44</v>
      </c>
      <c r="C1480" t="str">
        <f>HYPERLINK("https://us2.cloudbeds.com/connect/8493803454333002#/reservations/598493900937?display=E1DTU188&amp;reservation_id=598493900937", "E1DTU188")</f>
        <v>E1DTU188</v>
      </c>
      <c r="D1480" t="s">
        <v>45</v>
      </c>
      <c r="E1480" t="s">
        <v>78</v>
      </c>
      <c r="F1480" t="s">
        <v>61</v>
      </c>
      <c r="G1480" t="s">
        <v>48</v>
      </c>
      <c r="H1480" t="s">
        <v>71</v>
      </c>
      <c r="I1480" t="s">
        <v>72</v>
      </c>
      <c r="J1480" t="s">
        <v>1068</v>
      </c>
      <c r="K1480" t="s">
        <v>354</v>
      </c>
      <c r="L1480" t="s">
        <v>53</v>
      </c>
      <c r="N1480" t="s">
        <v>2553</v>
      </c>
      <c r="P1480" t="s">
        <v>55</v>
      </c>
      <c r="R1480" t="s">
        <v>56</v>
      </c>
      <c r="T1480" t="s">
        <v>2548</v>
      </c>
      <c r="U1480" t="s">
        <v>58</v>
      </c>
      <c r="V1480">
        <v>2</v>
      </c>
      <c r="W1480">
        <v>1</v>
      </c>
      <c r="X1480">
        <v>1</v>
      </c>
      <c r="Y1480">
        <v>0</v>
      </c>
      <c r="Z1480">
        <v>1</v>
      </c>
      <c r="AA1480">
        <v>0</v>
      </c>
      <c r="AB1480">
        <v>215.94</v>
      </c>
      <c r="AC1480">
        <v>190</v>
      </c>
      <c r="AD1480">
        <v>0</v>
      </c>
      <c r="AE1480">
        <v>25.96</v>
      </c>
      <c r="AF1480">
        <v>0</v>
      </c>
      <c r="AG1480">
        <v>0</v>
      </c>
      <c r="AH1480">
        <v>0</v>
      </c>
      <c r="AI1480">
        <v>0</v>
      </c>
      <c r="AJ1480">
        <v>215.96</v>
      </c>
      <c r="AK1480">
        <v>0.02</v>
      </c>
      <c r="AL1480" t="s">
        <v>53</v>
      </c>
      <c r="AM1480" t="s">
        <v>53</v>
      </c>
      <c r="AN1480" t="s">
        <v>1005</v>
      </c>
      <c r="AO1480" t="s">
        <v>53</v>
      </c>
      <c r="AP1480" t="s">
        <v>53</v>
      </c>
    </row>
    <row r="1481" spans="2:42" x14ac:dyDescent="0.2">
      <c r="B1481" t="s">
        <v>44</v>
      </c>
      <c r="C1481" t="str">
        <f>HYPERLINK("https://us2.cloudbeds.com/connect/8493803454333002#/reservations/598482071760?display=E1DJUSRA&amp;reservation_id=598482071760", "E1DJUSRA")</f>
        <v>E1DJUSRA</v>
      </c>
      <c r="D1481" t="s">
        <v>45</v>
      </c>
      <c r="E1481" t="s">
        <v>113</v>
      </c>
      <c r="F1481" t="s">
        <v>61</v>
      </c>
      <c r="G1481" t="s">
        <v>48</v>
      </c>
      <c r="H1481" t="s">
        <v>71</v>
      </c>
      <c r="I1481" t="s">
        <v>72</v>
      </c>
      <c r="J1481" t="s">
        <v>354</v>
      </c>
      <c r="K1481" t="s">
        <v>938</v>
      </c>
      <c r="L1481" t="s">
        <v>53</v>
      </c>
      <c r="N1481" t="s">
        <v>2554</v>
      </c>
      <c r="P1481" t="s">
        <v>55</v>
      </c>
      <c r="R1481" t="s">
        <v>56</v>
      </c>
      <c r="T1481" t="s">
        <v>2548</v>
      </c>
      <c r="U1481" t="s">
        <v>58</v>
      </c>
      <c r="V1481">
        <v>1</v>
      </c>
      <c r="W1481">
        <v>1</v>
      </c>
      <c r="X1481">
        <v>1</v>
      </c>
      <c r="Y1481">
        <v>0</v>
      </c>
      <c r="Z1481">
        <v>1</v>
      </c>
      <c r="AA1481">
        <v>0</v>
      </c>
      <c r="AB1481">
        <v>126.78</v>
      </c>
      <c r="AC1481">
        <v>111.55</v>
      </c>
      <c r="AD1481">
        <v>0</v>
      </c>
      <c r="AE1481">
        <v>15.22</v>
      </c>
      <c r="AF1481">
        <v>0</v>
      </c>
      <c r="AG1481">
        <v>0</v>
      </c>
      <c r="AH1481">
        <v>0</v>
      </c>
      <c r="AI1481">
        <v>0</v>
      </c>
      <c r="AJ1481">
        <v>126.77</v>
      </c>
      <c r="AK1481">
        <v>-0.01</v>
      </c>
      <c r="AL1481" t="s">
        <v>53</v>
      </c>
      <c r="AM1481" t="s">
        <v>53</v>
      </c>
      <c r="AN1481" t="s">
        <v>2555</v>
      </c>
      <c r="AO1481" t="s">
        <v>53</v>
      </c>
      <c r="AP1481" t="s">
        <v>53</v>
      </c>
    </row>
    <row r="1482" spans="2:42" x14ac:dyDescent="0.2">
      <c r="B1482" t="s">
        <v>44</v>
      </c>
      <c r="C1482" t="str">
        <f>HYPERLINK("https://us2.cloudbeds.com/connect/8493803454333002#/reservations/598506913974?display=E1E7T4PN&amp;reservation_id=598506913974", "E1E7T4PN")</f>
        <v>E1E7T4PN</v>
      </c>
      <c r="D1482" t="s">
        <v>45</v>
      </c>
      <c r="E1482" t="s">
        <v>373</v>
      </c>
      <c r="F1482" t="s">
        <v>47</v>
      </c>
      <c r="G1482" t="s">
        <v>48</v>
      </c>
      <c r="H1482" t="s">
        <v>49</v>
      </c>
      <c r="I1482" t="s">
        <v>50</v>
      </c>
      <c r="J1482" t="s">
        <v>387</v>
      </c>
      <c r="K1482" t="s">
        <v>388</v>
      </c>
      <c r="L1482" t="s">
        <v>53</v>
      </c>
      <c r="N1482" t="s">
        <v>2556</v>
      </c>
      <c r="P1482" t="s">
        <v>55</v>
      </c>
      <c r="R1482" t="s">
        <v>56</v>
      </c>
      <c r="T1482" t="s">
        <v>2548</v>
      </c>
      <c r="U1482" t="s">
        <v>58</v>
      </c>
      <c r="V1482">
        <v>1</v>
      </c>
      <c r="W1482">
        <v>1</v>
      </c>
      <c r="X1482">
        <v>1</v>
      </c>
      <c r="Y1482">
        <v>0</v>
      </c>
      <c r="Z1482">
        <v>1</v>
      </c>
      <c r="AA1482">
        <v>0</v>
      </c>
      <c r="AB1482">
        <v>170.48</v>
      </c>
      <c r="AC1482">
        <v>150</v>
      </c>
      <c r="AD1482">
        <v>0</v>
      </c>
      <c r="AE1482">
        <v>20.48</v>
      </c>
      <c r="AF1482">
        <v>0</v>
      </c>
      <c r="AG1482">
        <v>0</v>
      </c>
      <c r="AH1482">
        <v>0</v>
      </c>
      <c r="AI1482">
        <v>30.69</v>
      </c>
      <c r="AJ1482">
        <v>170.48</v>
      </c>
      <c r="AK1482">
        <v>0</v>
      </c>
      <c r="AL1482" t="s">
        <v>53</v>
      </c>
      <c r="AM1482" t="s">
        <v>53</v>
      </c>
      <c r="AN1482" t="s">
        <v>413</v>
      </c>
      <c r="AO1482" t="s">
        <v>53</v>
      </c>
      <c r="AP1482" t="s">
        <v>53</v>
      </c>
    </row>
    <row r="1483" spans="2:42" x14ac:dyDescent="0.2">
      <c r="B1483" t="s">
        <v>44</v>
      </c>
      <c r="C1483" t="str">
        <f>HYPERLINK("https://us2.cloudbeds.com/connect/8493803454333002#/reservations/598424998088?display=E1C4QNJ4&amp;reservation_id=598424998088", "E1C4QNJ4")</f>
        <v>E1C4QNJ4</v>
      </c>
      <c r="D1483" t="s">
        <v>45</v>
      </c>
      <c r="E1483" t="s">
        <v>381</v>
      </c>
      <c r="F1483" t="s">
        <v>47</v>
      </c>
      <c r="G1483" t="s">
        <v>48</v>
      </c>
      <c r="H1483" t="s">
        <v>49</v>
      </c>
      <c r="I1483" t="s">
        <v>79</v>
      </c>
      <c r="J1483" t="s">
        <v>253</v>
      </c>
      <c r="K1483" t="s">
        <v>354</v>
      </c>
      <c r="L1483" t="s">
        <v>53</v>
      </c>
      <c r="N1483" t="s">
        <v>2557</v>
      </c>
      <c r="P1483" t="s">
        <v>55</v>
      </c>
      <c r="R1483" t="s">
        <v>56</v>
      </c>
      <c r="T1483" t="s">
        <v>2548</v>
      </c>
      <c r="U1483" t="s">
        <v>58</v>
      </c>
      <c r="V1483">
        <v>1</v>
      </c>
      <c r="W1483">
        <v>1</v>
      </c>
      <c r="X1483">
        <v>1</v>
      </c>
      <c r="Y1483">
        <v>0</v>
      </c>
      <c r="Z1483">
        <v>1</v>
      </c>
      <c r="AA1483">
        <v>0</v>
      </c>
      <c r="AB1483">
        <v>103.31</v>
      </c>
      <c r="AC1483">
        <v>90.9</v>
      </c>
      <c r="AD1483">
        <v>0</v>
      </c>
      <c r="AE1483">
        <v>12.41</v>
      </c>
      <c r="AF1483">
        <v>0</v>
      </c>
      <c r="AG1483">
        <v>0</v>
      </c>
      <c r="AH1483">
        <v>0</v>
      </c>
      <c r="AI1483">
        <v>0</v>
      </c>
      <c r="AJ1483">
        <v>103.31</v>
      </c>
      <c r="AK1483">
        <v>0</v>
      </c>
      <c r="AL1483" t="s">
        <v>53</v>
      </c>
      <c r="AM1483" t="s">
        <v>53</v>
      </c>
      <c r="AN1483" t="s">
        <v>132</v>
      </c>
      <c r="AO1483" t="s">
        <v>53</v>
      </c>
      <c r="AP1483" t="s">
        <v>53</v>
      </c>
    </row>
    <row r="1484" spans="2:42" x14ac:dyDescent="0.2">
      <c r="B1484" t="s">
        <v>44</v>
      </c>
      <c r="C1484" t="str">
        <f>HYPERLINK("https://us2.cloudbeds.com/connect/8493803454333002#/reservations/598389371022?display=E1B7PB62&amp;reservation_id=598389371022", "E1B7PB62")</f>
        <v>E1B7PB62</v>
      </c>
      <c r="D1484" t="s">
        <v>45</v>
      </c>
      <c r="E1484" t="s">
        <v>305</v>
      </c>
      <c r="F1484" t="s">
        <v>61</v>
      </c>
      <c r="G1484" t="s">
        <v>48</v>
      </c>
      <c r="H1484" t="s">
        <v>49</v>
      </c>
      <c r="I1484" t="s">
        <v>50</v>
      </c>
      <c r="J1484" t="s">
        <v>354</v>
      </c>
      <c r="K1484" t="s">
        <v>938</v>
      </c>
      <c r="L1484" t="s">
        <v>53</v>
      </c>
      <c r="N1484" t="s">
        <v>2558</v>
      </c>
      <c r="P1484" t="s">
        <v>55</v>
      </c>
      <c r="R1484" t="s">
        <v>56</v>
      </c>
      <c r="T1484" t="s">
        <v>2548</v>
      </c>
      <c r="U1484" t="s">
        <v>58</v>
      </c>
      <c r="V1484">
        <v>1</v>
      </c>
      <c r="W1484">
        <v>1</v>
      </c>
      <c r="X1484">
        <v>1</v>
      </c>
      <c r="Y1484">
        <v>0</v>
      </c>
      <c r="Z1484">
        <v>1</v>
      </c>
      <c r="AA1484">
        <v>0</v>
      </c>
      <c r="AB1484">
        <v>122.74</v>
      </c>
      <c r="AC1484">
        <v>108</v>
      </c>
      <c r="AD1484">
        <v>0</v>
      </c>
      <c r="AE1484">
        <v>14.74</v>
      </c>
      <c r="AF1484">
        <v>0</v>
      </c>
      <c r="AG1484">
        <v>0</v>
      </c>
      <c r="AH1484">
        <v>0</v>
      </c>
      <c r="AI1484">
        <v>22.09</v>
      </c>
      <c r="AJ1484">
        <v>122.74</v>
      </c>
      <c r="AK1484">
        <v>0</v>
      </c>
      <c r="AL1484" t="s">
        <v>53</v>
      </c>
      <c r="AM1484" t="s">
        <v>53</v>
      </c>
      <c r="AN1484" t="s">
        <v>84</v>
      </c>
      <c r="AO1484" t="s">
        <v>53</v>
      </c>
      <c r="AP1484" t="s">
        <v>53</v>
      </c>
    </row>
    <row r="1485" spans="2:42" x14ac:dyDescent="0.2">
      <c r="B1485" t="s">
        <v>44</v>
      </c>
      <c r="C1485" t="str">
        <f>HYPERLINK("https://us2.cloudbeds.com/connect/8493803454333002#/reservations/598401052844?display=E1BHKD9Y&amp;reservation_id=598401052844", "E1BHKD9Y")</f>
        <v>E1BHKD9Y</v>
      </c>
      <c r="D1485" t="s">
        <v>45</v>
      </c>
      <c r="E1485" t="s">
        <v>213</v>
      </c>
      <c r="F1485" t="s">
        <v>86</v>
      </c>
      <c r="G1485" t="s">
        <v>48</v>
      </c>
      <c r="H1485" t="s">
        <v>71</v>
      </c>
      <c r="I1485" t="s">
        <v>72</v>
      </c>
      <c r="J1485" t="s">
        <v>1068</v>
      </c>
      <c r="K1485" t="s">
        <v>253</v>
      </c>
      <c r="L1485" t="s">
        <v>53</v>
      </c>
      <c r="N1485" t="s">
        <v>2559</v>
      </c>
      <c r="P1485" t="s">
        <v>55</v>
      </c>
      <c r="R1485" t="s">
        <v>56</v>
      </c>
      <c r="T1485" t="s">
        <v>2548</v>
      </c>
      <c r="U1485" t="s">
        <v>58</v>
      </c>
      <c r="V1485">
        <v>1</v>
      </c>
      <c r="W1485">
        <v>1</v>
      </c>
      <c r="X1485">
        <v>1</v>
      </c>
      <c r="Y1485">
        <v>0</v>
      </c>
      <c r="Z1485">
        <v>1</v>
      </c>
      <c r="AA1485">
        <v>0</v>
      </c>
      <c r="AB1485">
        <v>119.33</v>
      </c>
      <c r="AC1485">
        <v>105</v>
      </c>
      <c r="AD1485">
        <v>0</v>
      </c>
      <c r="AE1485">
        <v>14.34</v>
      </c>
      <c r="AF1485">
        <v>0</v>
      </c>
      <c r="AG1485">
        <v>0</v>
      </c>
      <c r="AH1485">
        <v>0</v>
      </c>
      <c r="AI1485">
        <v>0</v>
      </c>
      <c r="AJ1485">
        <v>119.34</v>
      </c>
      <c r="AK1485">
        <v>0.01</v>
      </c>
      <c r="AL1485" t="s">
        <v>53</v>
      </c>
      <c r="AM1485" t="s">
        <v>53</v>
      </c>
      <c r="AN1485" t="s">
        <v>378</v>
      </c>
      <c r="AO1485" t="s">
        <v>53</v>
      </c>
      <c r="AP1485" t="s">
        <v>53</v>
      </c>
    </row>
    <row r="1486" spans="2:42" x14ac:dyDescent="0.2">
      <c r="B1486" t="s">
        <v>44</v>
      </c>
      <c r="C1486" t="str">
        <f>HYPERLINK("https://us2.cloudbeds.com/connect/8493803454333002#/reservations/598607024270?display=E1GQ9SE1&amp;reservation_id=598607024270", "E1GQ9SE1")</f>
        <v>E1GQ9SE1</v>
      </c>
      <c r="D1486" t="s">
        <v>45</v>
      </c>
      <c r="E1486" t="s">
        <v>92</v>
      </c>
      <c r="F1486" t="s">
        <v>86</v>
      </c>
      <c r="G1486" t="s">
        <v>48</v>
      </c>
      <c r="H1486" t="s">
        <v>71</v>
      </c>
      <c r="I1486" t="s">
        <v>72</v>
      </c>
      <c r="J1486" t="s">
        <v>134</v>
      </c>
      <c r="K1486" t="s">
        <v>426</v>
      </c>
      <c r="L1486" t="s">
        <v>53</v>
      </c>
      <c r="N1486" t="s">
        <v>2560</v>
      </c>
      <c r="P1486" t="s">
        <v>55</v>
      </c>
      <c r="R1486" t="s">
        <v>56</v>
      </c>
      <c r="T1486" t="s">
        <v>2548</v>
      </c>
      <c r="U1486" t="s">
        <v>58</v>
      </c>
      <c r="V1486">
        <v>3</v>
      </c>
      <c r="W1486">
        <v>1</v>
      </c>
      <c r="X1486">
        <v>1</v>
      </c>
      <c r="Y1486">
        <v>0</v>
      </c>
      <c r="Z1486">
        <v>1</v>
      </c>
      <c r="AA1486">
        <v>0</v>
      </c>
      <c r="AB1486">
        <v>500.06</v>
      </c>
      <c r="AC1486">
        <v>440</v>
      </c>
      <c r="AD1486">
        <v>0</v>
      </c>
      <c r="AE1486">
        <v>60.03</v>
      </c>
      <c r="AF1486">
        <v>0</v>
      </c>
      <c r="AG1486">
        <v>0</v>
      </c>
      <c r="AH1486">
        <v>0</v>
      </c>
      <c r="AI1486">
        <v>0</v>
      </c>
      <c r="AJ1486">
        <v>500.03</v>
      </c>
      <c r="AK1486">
        <v>-0.03</v>
      </c>
      <c r="AL1486" t="s">
        <v>53</v>
      </c>
      <c r="AM1486" t="s">
        <v>53</v>
      </c>
      <c r="AN1486" t="s">
        <v>2561</v>
      </c>
      <c r="AO1486" t="s">
        <v>53</v>
      </c>
      <c r="AP1486" t="s">
        <v>53</v>
      </c>
    </row>
    <row r="1487" spans="2:42" x14ac:dyDescent="0.2">
      <c r="B1487" t="s">
        <v>44</v>
      </c>
      <c r="C1487" t="str">
        <f>HYPERLINK("https://us2.cloudbeds.com/connect/8493803454333002#/reservations/597915070642?display=E0W3R7Y8&amp;reservation_id=597915070642", "E0W3R7Y8")</f>
        <v>E0W3R7Y8</v>
      </c>
      <c r="D1487" t="s">
        <v>45</v>
      </c>
      <c r="E1487" t="s">
        <v>265</v>
      </c>
      <c r="F1487" t="s">
        <v>61</v>
      </c>
      <c r="G1487" t="s">
        <v>48</v>
      </c>
      <c r="H1487" t="s">
        <v>71</v>
      </c>
      <c r="I1487" t="s">
        <v>72</v>
      </c>
      <c r="J1487" t="s">
        <v>354</v>
      </c>
      <c r="K1487" t="s">
        <v>938</v>
      </c>
      <c r="L1487" t="s">
        <v>53</v>
      </c>
      <c r="N1487" t="s">
        <v>2562</v>
      </c>
      <c r="P1487" t="s">
        <v>55</v>
      </c>
      <c r="R1487" t="s">
        <v>56</v>
      </c>
      <c r="T1487" t="s">
        <v>2548</v>
      </c>
      <c r="U1487" t="s">
        <v>58</v>
      </c>
      <c r="V1487">
        <v>1</v>
      </c>
      <c r="W1487">
        <v>1</v>
      </c>
      <c r="X1487">
        <v>1</v>
      </c>
      <c r="Y1487">
        <v>0</v>
      </c>
      <c r="Z1487">
        <v>1</v>
      </c>
      <c r="AA1487">
        <v>0</v>
      </c>
      <c r="AB1487">
        <v>130.69999999999999</v>
      </c>
      <c r="AC1487">
        <v>115</v>
      </c>
      <c r="AD1487">
        <v>0</v>
      </c>
      <c r="AE1487">
        <v>15.71</v>
      </c>
      <c r="AF1487">
        <v>0</v>
      </c>
      <c r="AG1487">
        <v>0</v>
      </c>
      <c r="AH1487">
        <v>0</v>
      </c>
      <c r="AI1487">
        <v>0</v>
      </c>
      <c r="AJ1487">
        <v>130.71</v>
      </c>
      <c r="AK1487">
        <v>0.01</v>
      </c>
      <c r="AL1487" t="s">
        <v>53</v>
      </c>
      <c r="AM1487" t="s">
        <v>53</v>
      </c>
      <c r="AN1487" t="s">
        <v>2563</v>
      </c>
      <c r="AO1487" t="s">
        <v>53</v>
      </c>
      <c r="AP1487" t="s">
        <v>53</v>
      </c>
    </row>
    <row r="1488" spans="2:42" x14ac:dyDescent="0.2">
      <c r="B1488" t="s">
        <v>44</v>
      </c>
      <c r="C1488" t="str">
        <f>HYPERLINK("https://us2.cloudbeds.com/connect/8493803454333002#/reservations/598514925819?display=E1EEY2RT&amp;reservation_id=598514925819", "E1EEY2RT")</f>
        <v>E1EEY2RT</v>
      </c>
      <c r="D1488" t="s">
        <v>45</v>
      </c>
      <c r="E1488" t="s">
        <v>381</v>
      </c>
      <c r="F1488" t="s">
        <v>47</v>
      </c>
      <c r="G1488" t="s">
        <v>48</v>
      </c>
      <c r="H1488" t="s">
        <v>49</v>
      </c>
      <c r="I1488" t="s">
        <v>50</v>
      </c>
      <c r="J1488" t="s">
        <v>295</v>
      </c>
      <c r="K1488" t="s">
        <v>260</v>
      </c>
      <c r="L1488" t="s">
        <v>53</v>
      </c>
      <c r="N1488" t="s">
        <v>2564</v>
      </c>
      <c r="P1488" t="s">
        <v>55</v>
      </c>
      <c r="R1488" t="s">
        <v>56</v>
      </c>
      <c r="T1488" t="s">
        <v>2548</v>
      </c>
      <c r="U1488" t="s">
        <v>58</v>
      </c>
      <c r="V1488">
        <v>2</v>
      </c>
      <c r="W1488">
        <v>1</v>
      </c>
      <c r="X1488">
        <v>1</v>
      </c>
      <c r="Y1488">
        <v>0</v>
      </c>
      <c r="Z1488">
        <v>1</v>
      </c>
      <c r="AA1488">
        <v>0</v>
      </c>
      <c r="AB1488">
        <v>308.89999999999998</v>
      </c>
      <c r="AC1488">
        <v>271.8</v>
      </c>
      <c r="AD1488">
        <v>0</v>
      </c>
      <c r="AE1488">
        <v>37.1</v>
      </c>
      <c r="AF1488">
        <v>0</v>
      </c>
      <c r="AG1488">
        <v>0</v>
      </c>
      <c r="AH1488">
        <v>0</v>
      </c>
      <c r="AI1488">
        <v>55.6</v>
      </c>
      <c r="AJ1488">
        <v>308.89999999999998</v>
      </c>
      <c r="AK1488">
        <v>0</v>
      </c>
      <c r="AL1488" t="s">
        <v>53</v>
      </c>
      <c r="AM1488" t="s">
        <v>53</v>
      </c>
      <c r="AN1488" t="s">
        <v>112</v>
      </c>
      <c r="AO1488" t="s">
        <v>53</v>
      </c>
      <c r="AP1488" t="s">
        <v>53</v>
      </c>
    </row>
    <row r="1489" spans="2:42" x14ac:dyDescent="0.2">
      <c r="B1489" t="s">
        <v>44</v>
      </c>
      <c r="C1489" t="str">
        <f>HYPERLINK("https://us2.cloudbeds.com/connect/8493803454333002#/reservations/598153949391?display=E1578CN8&amp;reservation_id=598153949391", "E1578CN8")</f>
        <v>E1578CN8</v>
      </c>
      <c r="D1489" t="s">
        <v>45</v>
      </c>
      <c r="E1489" t="s">
        <v>105</v>
      </c>
      <c r="F1489" t="s">
        <v>47</v>
      </c>
      <c r="G1489" t="s">
        <v>48</v>
      </c>
      <c r="H1489" t="s">
        <v>49</v>
      </c>
      <c r="I1489" t="s">
        <v>114</v>
      </c>
      <c r="J1489" t="s">
        <v>253</v>
      </c>
      <c r="K1489" t="s">
        <v>354</v>
      </c>
      <c r="L1489" t="s">
        <v>53</v>
      </c>
      <c r="N1489" t="s">
        <v>2565</v>
      </c>
      <c r="P1489" t="s">
        <v>55</v>
      </c>
      <c r="R1489" t="s">
        <v>56</v>
      </c>
      <c r="T1489" t="s">
        <v>2548</v>
      </c>
      <c r="U1489" t="s">
        <v>58</v>
      </c>
      <c r="V1489">
        <v>1</v>
      </c>
      <c r="W1489">
        <v>1</v>
      </c>
      <c r="X1489">
        <v>1</v>
      </c>
      <c r="Y1489">
        <v>0</v>
      </c>
      <c r="Z1489">
        <v>1</v>
      </c>
      <c r="AA1489">
        <v>0</v>
      </c>
      <c r="AB1489">
        <v>110.24</v>
      </c>
      <c r="AC1489">
        <v>97</v>
      </c>
      <c r="AD1489">
        <v>0</v>
      </c>
      <c r="AE1489">
        <v>13.24</v>
      </c>
      <c r="AF1489">
        <v>0</v>
      </c>
      <c r="AG1489">
        <v>0</v>
      </c>
      <c r="AH1489">
        <v>0</v>
      </c>
      <c r="AI1489">
        <v>0</v>
      </c>
      <c r="AJ1489">
        <v>110.24</v>
      </c>
      <c r="AK1489">
        <v>0</v>
      </c>
      <c r="AL1489" t="s">
        <v>53</v>
      </c>
      <c r="AM1489" t="s">
        <v>53</v>
      </c>
      <c r="AN1489" t="s">
        <v>2566</v>
      </c>
      <c r="AO1489" t="s">
        <v>53</v>
      </c>
      <c r="AP1489" t="s">
        <v>53</v>
      </c>
    </row>
    <row r="1490" spans="2:42" x14ac:dyDescent="0.2">
      <c r="B1490" t="s">
        <v>44</v>
      </c>
      <c r="C1490" t="str">
        <f>HYPERLINK("https://us2.cloudbeds.com/connect/8493803454333002#/reservations/598608290031?display=E1GRC2ZE&amp;reservation_id=598608290031", "E1GRC2ZE")</f>
        <v>E1GRC2ZE</v>
      </c>
      <c r="D1490" t="s">
        <v>45</v>
      </c>
      <c r="E1490" t="s">
        <v>113</v>
      </c>
      <c r="F1490" t="s">
        <v>61</v>
      </c>
      <c r="G1490" t="s">
        <v>48</v>
      </c>
      <c r="H1490" t="s">
        <v>49</v>
      </c>
      <c r="I1490" t="s">
        <v>114</v>
      </c>
      <c r="J1490" t="s">
        <v>611</v>
      </c>
      <c r="K1490" t="s">
        <v>699</v>
      </c>
      <c r="L1490" t="s">
        <v>53</v>
      </c>
      <c r="N1490" t="s">
        <v>2567</v>
      </c>
      <c r="P1490" t="s">
        <v>55</v>
      </c>
      <c r="R1490" t="s">
        <v>56</v>
      </c>
      <c r="T1490" t="s">
        <v>2548</v>
      </c>
      <c r="U1490" t="s">
        <v>58</v>
      </c>
      <c r="V1490">
        <v>2</v>
      </c>
      <c r="W1490">
        <v>1</v>
      </c>
      <c r="X1490">
        <v>1</v>
      </c>
      <c r="Y1490">
        <v>0</v>
      </c>
      <c r="Z1490">
        <v>1</v>
      </c>
      <c r="AA1490">
        <v>0</v>
      </c>
      <c r="AB1490">
        <v>231.51</v>
      </c>
      <c r="AC1490">
        <v>203.7</v>
      </c>
      <c r="AD1490">
        <v>0</v>
      </c>
      <c r="AE1490">
        <v>27.8</v>
      </c>
      <c r="AF1490">
        <v>0</v>
      </c>
      <c r="AG1490">
        <v>0</v>
      </c>
      <c r="AH1490">
        <v>0</v>
      </c>
      <c r="AI1490">
        <v>0</v>
      </c>
      <c r="AJ1490">
        <v>231.5</v>
      </c>
      <c r="AK1490">
        <v>-0.01</v>
      </c>
      <c r="AL1490" t="s">
        <v>53</v>
      </c>
      <c r="AM1490" t="s">
        <v>53</v>
      </c>
      <c r="AN1490" t="s">
        <v>2568</v>
      </c>
      <c r="AO1490" t="s">
        <v>53</v>
      </c>
      <c r="AP1490" t="s">
        <v>53</v>
      </c>
    </row>
    <row r="1491" spans="2:42" x14ac:dyDescent="0.2">
      <c r="B1491" t="s">
        <v>44</v>
      </c>
      <c r="C1491" t="str">
        <f>HYPERLINK("https://us2.cloudbeds.com/connect/8493803454333002#/reservations/598245228742?display=E17X7C46&amp;reservation_id=598245228742", "E17X7C46")</f>
        <v>E17X7C46</v>
      </c>
      <c r="D1491" t="s">
        <v>45</v>
      </c>
      <c r="E1491" t="s">
        <v>305</v>
      </c>
      <c r="F1491" t="s">
        <v>61</v>
      </c>
      <c r="G1491" t="s">
        <v>48</v>
      </c>
      <c r="H1491" t="s">
        <v>71</v>
      </c>
      <c r="I1491" t="s">
        <v>72</v>
      </c>
      <c r="J1491" t="s">
        <v>292</v>
      </c>
      <c r="K1491" t="s">
        <v>640</v>
      </c>
      <c r="L1491" t="s">
        <v>53</v>
      </c>
      <c r="N1491" t="s">
        <v>2569</v>
      </c>
      <c r="P1491" t="s">
        <v>55</v>
      </c>
      <c r="R1491" t="s">
        <v>56</v>
      </c>
      <c r="T1491" t="s">
        <v>2548</v>
      </c>
      <c r="U1491" t="s">
        <v>58</v>
      </c>
      <c r="V1491">
        <v>2</v>
      </c>
      <c r="W1491">
        <v>1</v>
      </c>
      <c r="X1491">
        <v>1</v>
      </c>
      <c r="Y1491">
        <v>0</v>
      </c>
      <c r="Z1491">
        <v>1</v>
      </c>
      <c r="AA1491">
        <v>0</v>
      </c>
      <c r="AB1491">
        <v>359.13</v>
      </c>
      <c r="AC1491">
        <v>316</v>
      </c>
      <c r="AD1491">
        <v>0</v>
      </c>
      <c r="AE1491">
        <v>43.14</v>
      </c>
      <c r="AF1491">
        <v>0</v>
      </c>
      <c r="AG1491">
        <v>0</v>
      </c>
      <c r="AH1491">
        <v>0</v>
      </c>
      <c r="AI1491">
        <v>0</v>
      </c>
      <c r="AJ1491">
        <v>359.14</v>
      </c>
      <c r="AK1491">
        <v>0.01</v>
      </c>
      <c r="AL1491" t="s">
        <v>53</v>
      </c>
      <c r="AM1491" t="s">
        <v>53</v>
      </c>
      <c r="AN1491" t="s">
        <v>2570</v>
      </c>
      <c r="AO1491" t="s">
        <v>53</v>
      </c>
      <c r="AP1491" t="s">
        <v>53</v>
      </c>
    </row>
    <row r="1492" spans="2:42" x14ac:dyDescent="0.2">
      <c r="B1492" t="s">
        <v>44</v>
      </c>
      <c r="C1492" t="str">
        <f>HYPERLINK("https://us2.cloudbeds.com/connect/8493803454333002#/reservations/598374338807?display=E1AS31GD&amp;reservation_id=598374338807", "E1AS31GD")</f>
        <v>E1AS31GD</v>
      </c>
      <c r="D1492" t="s">
        <v>45</v>
      </c>
      <c r="E1492" t="s">
        <v>185</v>
      </c>
      <c r="F1492" t="s">
        <v>47</v>
      </c>
      <c r="G1492" t="s">
        <v>48</v>
      </c>
      <c r="H1492" t="s">
        <v>49</v>
      </c>
      <c r="I1492" t="s">
        <v>79</v>
      </c>
      <c r="J1492" t="s">
        <v>1068</v>
      </c>
      <c r="K1492" t="s">
        <v>253</v>
      </c>
      <c r="L1492" t="s">
        <v>53</v>
      </c>
      <c r="N1492" t="s">
        <v>2571</v>
      </c>
      <c r="P1492" t="s">
        <v>55</v>
      </c>
      <c r="R1492" t="s">
        <v>56</v>
      </c>
      <c r="T1492" t="s">
        <v>2548</v>
      </c>
      <c r="U1492" t="s">
        <v>58</v>
      </c>
      <c r="V1492">
        <v>1</v>
      </c>
      <c r="W1492">
        <v>1</v>
      </c>
      <c r="X1492">
        <v>1</v>
      </c>
      <c r="Y1492">
        <v>0</v>
      </c>
      <c r="Z1492">
        <v>1</v>
      </c>
      <c r="AA1492">
        <v>0</v>
      </c>
      <c r="AB1492">
        <v>103.31</v>
      </c>
      <c r="AC1492">
        <v>90.9</v>
      </c>
      <c r="AD1492">
        <v>0</v>
      </c>
      <c r="AE1492">
        <v>12.41</v>
      </c>
      <c r="AF1492">
        <v>0</v>
      </c>
      <c r="AG1492">
        <v>0</v>
      </c>
      <c r="AH1492">
        <v>0</v>
      </c>
      <c r="AI1492">
        <v>0</v>
      </c>
      <c r="AJ1492">
        <v>103.31</v>
      </c>
      <c r="AK1492">
        <v>0</v>
      </c>
      <c r="AL1492" t="s">
        <v>53</v>
      </c>
      <c r="AM1492" t="s">
        <v>53</v>
      </c>
      <c r="AN1492" t="s">
        <v>112</v>
      </c>
      <c r="AO1492" t="s">
        <v>53</v>
      </c>
      <c r="AP1492" t="s">
        <v>53</v>
      </c>
    </row>
    <row r="1493" spans="2:42" x14ac:dyDescent="0.2">
      <c r="B1493" t="s">
        <v>44</v>
      </c>
      <c r="C1493" t="str">
        <f>HYPERLINK("https://us2.cloudbeds.com/connect/8493803454333002#/reservations/598449610914?display=E1CPXJTB&amp;reservation_id=598449610914", "E1CPXJTB")</f>
        <v>E1CPXJTB</v>
      </c>
      <c r="D1493" t="s">
        <v>45</v>
      </c>
      <c r="E1493" t="s">
        <v>190</v>
      </c>
      <c r="F1493" t="s">
        <v>61</v>
      </c>
      <c r="G1493" t="s">
        <v>48</v>
      </c>
      <c r="H1493" t="s">
        <v>71</v>
      </c>
      <c r="I1493" t="s">
        <v>72</v>
      </c>
      <c r="J1493" t="s">
        <v>1068</v>
      </c>
      <c r="K1493" t="s">
        <v>354</v>
      </c>
      <c r="L1493" t="s">
        <v>53</v>
      </c>
      <c r="N1493" t="s">
        <v>2572</v>
      </c>
      <c r="P1493" t="s">
        <v>55</v>
      </c>
      <c r="R1493" t="s">
        <v>56</v>
      </c>
      <c r="T1493" t="s">
        <v>2548</v>
      </c>
      <c r="U1493" t="s">
        <v>58</v>
      </c>
      <c r="V1493">
        <v>2</v>
      </c>
      <c r="W1493">
        <v>1</v>
      </c>
      <c r="X1493">
        <v>1</v>
      </c>
      <c r="Y1493">
        <v>0</v>
      </c>
      <c r="Z1493">
        <v>1</v>
      </c>
      <c r="AA1493">
        <v>0</v>
      </c>
      <c r="AB1493">
        <v>227.3</v>
      </c>
      <c r="AC1493">
        <v>200</v>
      </c>
      <c r="AD1493">
        <v>0</v>
      </c>
      <c r="AE1493">
        <v>27.3</v>
      </c>
      <c r="AF1493">
        <v>0</v>
      </c>
      <c r="AG1493">
        <v>0</v>
      </c>
      <c r="AH1493">
        <v>0</v>
      </c>
      <c r="AI1493">
        <v>0</v>
      </c>
      <c r="AJ1493">
        <v>227.3</v>
      </c>
      <c r="AK1493">
        <v>0</v>
      </c>
      <c r="AL1493" t="s">
        <v>53</v>
      </c>
      <c r="AM1493" t="s">
        <v>53</v>
      </c>
      <c r="AN1493" t="s">
        <v>1891</v>
      </c>
      <c r="AO1493" t="s">
        <v>53</v>
      </c>
      <c r="AP1493" t="s">
        <v>53</v>
      </c>
    </row>
    <row r="1494" spans="2:42" x14ac:dyDescent="0.2">
      <c r="B1494" t="s">
        <v>44</v>
      </c>
      <c r="C1494" t="str">
        <f>HYPERLINK("https://us2.cloudbeds.com/connect/8493803454333002#/reservations/598355161305?display=E1ABUD9W&amp;reservation_id=598355161305", "E1ABUD9W")</f>
        <v>E1ABUD9W</v>
      </c>
      <c r="D1494" t="s">
        <v>45</v>
      </c>
      <c r="E1494" t="s">
        <v>487</v>
      </c>
      <c r="F1494" t="s">
        <v>61</v>
      </c>
      <c r="G1494" t="s">
        <v>48</v>
      </c>
      <c r="H1494" t="s">
        <v>71</v>
      </c>
      <c r="I1494" t="s">
        <v>72</v>
      </c>
      <c r="J1494" t="s">
        <v>1068</v>
      </c>
      <c r="K1494" t="s">
        <v>354</v>
      </c>
      <c r="L1494" t="s">
        <v>53</v>
      </c>
      <c r="N1494" t="s">
        <v>2573</v>
      </c>
      <c r="P1494" t="s">
        <v>55</v>
      </c>
      <c r="R1494" t="s">
        <v>56</v>
      </c>
      <c r="T1494" t="s">
        <v>2548</v>
      </c>
      <c r="U1494" t="s">
        <v>58</v>
      </c>
      <c r="V1494">
        <v>2</v>
      </c>
      <c r="W1494">
        <v>1</v>
      </c>
      <c r="X1494">
        <v>1</v>
      </c>
      <c r="Y1494">
        <v>0</v>
      </c>
      <c r="Z1494">
        <v>1</v>
      </c>
      <c r="AA1494">
        <v>0</v>
      </c>
      <c r="AB1494">
        <v>215.94</v>
      </c>
      <c r="AC1494">
        <v>190</v>
      </c>
      <c r="AD1494">
        <v>0</v>
      </c>
      <c r="AE1494">
        <v>25.96</v>
      </c>
      <c r="AF1494">
        <v>0</v>
      </c>
      <c r="AG1494">
        <v>0</v>
      </c>
      <c r="AH1494">
        <v>0</v>
      </c>
      <c r="AI1494">
        <v>0</v>
      </c>
      <c r="AJ1494">
        <v>215.96</v>
      </c>
      <c r="AK1494">
        <v>0.02</v>
      </c>
      <c r="AL1494" t="s">
        <v>53</v>
      </c>
      <c r="AM1494" t="s">
        <v>53</v>
      </c>
      <c r="AN1494" t="s">
        <v>1005</v>
      </c>
      <c r="AO1494" t="s">
        <v>53</v>
      </c>
      <c r="AP1494" t="s">
        <v>53</v>
      </c>
    </row>
    <row r="1495" spans="2:42" x14ac:dyDescent="0.2">
      <c r="B1495" t="s">
        <v>44</v>
      </c>
      <c r="C1495" t="str">
        <f>HYPERLINK("https://us2.cloudbeds.com/connect/8493803454333002#/reservations/598416089320?display=E1BU9QTF&amp;reservation_id=598416089320", "E1BU9QTF")</f>
        <v>E1BU9QTF</v>
      </c>
      <c r="D1495" t="s">
        <v>45</v>
      </c>
      <c r="E1495" t="s">
        <v>105</v>
      </c>
      <c r="F1495" t="s">
        <v>47</v>
      </c>
      <c r="G1495" t="s">
        <v>48</v>
      </c>
      <c r="H1495" t="s">
        <v>49</v>
      </c>
      <c r="I1495" t="s">
        <v>79</v>
      </c>
      <c r="J1495" t="s">
        <v>1068</v>
      </c>
      <c r="K1495" t="s">
        <v>253</v>
      </c>
      <c r="L1495" t="s">
        <v>53</v>
      </c>
      <c r="N1495" t="s">
        <v>2574</v>
      </c>
      <c r="P1495" t="s">
        <v>55</v>
      </c>
      <c r="R1495" t="s">
        <v>56</v>
      </c>
      <c r="T1495" t="s">
        <v>2548</v>
      </c>
      <c r="U1495" t="s">
        <v>58</v>
      </c>
      <c r="V1495">
        <v>1</v>
      </c>
      <c r="W1495">
        <v>1</v>
      </c>
      <c r="X1495">
        <v>1</v>
      </c>
      <c r="Y1495">
        <v>0</v>
      </c>
      <c r="Z1495">
        <v>1</v>
      </c>
      <c r="AA1495">
        <v>0</v>
      </c>
      <c r="AB1495">
        <v>103.31</v>
      </c>
      <c r="AC1495">
        <v>90.9</v>
      </c>
      <c r="AD1495">
        <v>0</v>
      </c>
      <c r="AE1495">
        <v>12.41</v>
      </c>
      <c r="AF1495">
        <v>0</v>
      </c>
      <c r="AG1495">
        <v>0</v>
      </c>
      <c r="AH1495">
        <v>0</v>
      </c>
      <c r="AI1495">
        <v>0</v>
      </c>
      <c r="AJ1495">
        <v>103.31</v>
      </c>
      <c r="AK1495">
        <v>0</v>
      </c>
      <c r="AL1495" t="s">
        <v>53</v>
      </c>
      <c r="AM1495" t="s">
        <v>53</v>
      </c>
      <c r="AN1495" t="s">
        <v>127</v>
      </c>
      <c r="AO1495" t="s">
        <v>53</v>
      </c>
      <c r="AP1495" t="s">
        <v>53</v>
      </c>
    </row>
    <row r="1496" spans="2:42" x14ac:dyDescent="0.2">
      <c r="B1496" t="s">
        <v>44</v>
      </c>
      <c r="C1496" t="str">
        <f>HYPERLINK("https://us2.cloudbeds.com/connect/8493803454333002#/reservations/598496133266?display=E1DVQ54J&amp;reservation_id=598496133266", "E1DVQ54J")</f>
        <v>E1DVQ54J</v>
      </c>
      <c r="D1496" t="s">
        <v>45</v>
      </c>
      <c r="E1496" t="s">
        <v>138</v>
      </c>
      <c r="F1496" t="s">
        <v>70</v>
      </c>
      <c r="G1496" t="s">
        <v>48</v>
      </c>
      <c r="H1496" t="s">
        <v>49</v>
      </c>
      <c r="I1496" t="s">
        <v>62</v>
      </c>
      <c r="J1496" t="s">
        <v>360</v>
      </c>
      <c r="K1496" t="s">
        <v>611</v>
      </c>
      <c r="L1496" t="s">
        <v>53</v>
      </c>
      <c r="N1496" t="s">
        <v>2575</v>
      </c>
      <c r="P1496" t="s">
        <v>55</v>
      </c>
      <c r="R1496" t="s">
        <v>56</v>
      </c>
      <c r="T1496" t="s">
        <v>2548</v>
      </c>
      <c r="U1496" t="s">
        <v>58</v>
      </c>
      <c r="V1496">
        <v>1</v>
      </c>
      <c r="W1496">
        <v>1</v>
      </c>
      <c r="X1496">
        <v>1</v>
      </c>
      <c r="Y1496">
        <v>0</v>
      </c>
      <c r="Z1496">
        <v>1</v>
      </c>
      <c r="AA1496">
        <v>0</v>
      </c>
      <c r="AB1496">
        <v>105.01</v>
      </c>
      <c r="AC1496">
        <v>92.4</v>
      </c>
      <c r="AD1496">
        <v>0</v>
      </c>
      <c r="AE1496">
        <v>12.61</v>
      </c>
      <c r="AF1496">
        <v>0</v>
      </c>
      <c r="AG1496">
        <v>0</v>
      </c>
      <c r="AH1496">
        <v>0</v>
      </c>
      <c r="AI1496">
        <v>15.75</v>
      </c>
      <c r="AJ1496">
        <v>105.01</v>
      </c>
      <c r="AK1496">
        <v>0</v>
      </c>
      <c r="AL1496" t="s">
        <v>53</v>
      </c>
      <c r="AM1496" t="s">
        <v>53</v>
      </c>
      <c r="AN1496" t="s">
        <v>2576</v>
      </c>
      <c r="AO1496" t="s">
        <v>53</v>
      </c>
      <c r="AP1496" t="s">
        <v>53</v>
      </c>
    </row>
    <row r="1497" spans="2:42" x14ac:dyDescent="0.2">
      <c r="B1497" t="s">
        <v>44</v>
      </c>
      <c r="C1497" t="str">
        <f>HYPERLINK("https://us2.cloudbeds.com/connect/8493803454333002#/reservations/579340517607?display=DJJG8U3P&amp;reservation_id=579340517607", "DJJG8U3P")</f>
        <v>DJJG8U3P</v>
      </c>
      <c r="D1497" t="s">
        <v>45</v>
      </c>
      <c r="E1497" t="s">
        <v>179</v>
      </c>
      <c r="F1497" t="s">
        <v>47</v>
      </c>
      <c r="G1497" t="s">
        <v>48</v>
      </c>
      <c r="H1497" t="s">
        <v>49</v>
      </c>
      <c r="I1497" t="s">
        <v>50</v>
      </c>
      <c r="J1497" t="s">
        <v>1333</v>
      </c>
      <c r="K1497" t="s">
        <v>1933</v>
      </c>
      <c r="L1497" t="s">
        <v>53</v>
      </c>
      <c r="N1497" t="s">
        <v>2577</v>
      </c>
      <c r="P1497" t="s">
        <v>55</v>
      </c>
      <c r="R1497" t="s">
        <v>56</v>
      </c>
      <c r="T1497" t="s">
        <v>2548</v>
      </c>
      <c r="U1497" t="s">
        <v>58</v>
      </c>
      <c r="V1497">
        <v>1</v>
      </c>
      <c r="W1497">
        <v>1</v>
      </c>
      <c r="X1497">
        <v>1</v>
      </c>
      <c r="Y1497">
        <v>0</v>
      </c>
      <c r="Z1497">
        <v>1</v>
      </c>
      <c r="AA1497">
        <v>0</v>
      </c>
      <c r="AB1497">
        <v>146.26</v>
      </c>
      <c r="AC1497">
        <v>128.69999999999999</v>
      </c>
      <c r="AD1497">
        <v>0</v>
      </c>
      <c r="AE1497">
        <v>17.559999999999999</v>
      </c>
      <c r="AF1497">
        <v>0</v>
      </c>
      <c r="AG1497">
        <v>0</v>
      </c>
      <c r="AH1497">
        <v>0</v>
      </c>
      <c r="AI1497">
        <v>26.33</v>
      </c>
      <c r="AJ1497">
        <v>146.26</v>
      </c>
      <c r="AK1497">
        <v>0</v>
      </c>
      <c r="AL1497" t="s">
        <v>53</v>
      </c>
      <c r="AM1497" t="s">
        <v>53</v>
      </c>
      <c r="AN1497" t="s">
        <v>97</v>
      </c>
      <c r="AO1497" t="s">
        <v>53</v>
      </c>
      <c r="AP1497" t="s">
        <v>53</v>
      </c>
    </row>
    <row r="1498" spans="2:42" x14ac:dyDescent="0.2">
      <c r="B1498" t="s">
        <v>44</v>
      </c>
      <c r="C1498" t="str">
        <f>HYPERLINK("https://us2.cloudbeds.com/connect/8493803454333002#/reservations/598471295174?display=E1DARWW4&amp;reservation_id=598471295174", "E1DARWW4")</f>
        <v>E1DARWW4</v>
      </c>
      <c r="D1498" t="s">
        <v>45</v>
      </c>
      <c r="E1498" t="s">
        <v>92</v>
      </c>
      <c r="F1498" t="s">
        <v>86</v>
      </c>
      <c r="G1498" t="s">
        <v>48</v>
      </c>
      <c r="H1498" t="s">
        <v>49</v>
      </c>
      <c r="I1498" t="s">
        <v>50</v>
      </c>
      <c r="J1498" t="s">
        <v>253</v>
      </c>
      <c r="K1498" t="s">
        <v>354</v>
      </c>
      <c r="L1498" t="s">
        <v>53</v>
      </c>
      <c r="N1498" t="s">
        <v>2578</v>
      </c>
      <c r="P1498" t="s">
        <v>55</v>
      </c>
      <c r="R1498" t="s">
        <v>56</v>
      </c>
      <c r="T1498" t="s">
        <v>2579</v>
      </c>
      <c r="U1498" t="s">
        <v>58</v>
      </c>
      <c r="V1498">
        <v>1</v>
      </c>
      <c r="W1498">
        <v>1</v>
      </c>
      <c r="X1498">
        <v>1</v>
      </c>
      <c r="Y1498">
        <v>0</v>
      </c>
      <c r="Z1498">
        <v>1</v>
      </c>
      <c r="AA1498">
        <v>0</v>
      </c>
      <c r="AB1498">
        <v>127.29</v>
      </c>
      <c r="AC1498">
        <v>112</v>
      </c>
      <c r="AD1498">
        <v>0</v>
      </c>
      <c r="AE1498">
        <v>15.29</v>
      </c>
      <c r="AF1498">
        <v>0</v>
      </c>
      <c r="AG1498">
        <v>0</v>
      </c>
      <c r="AH1498">
        <v>0</v>
      </c>
      <c r="AI1498">
        <v>22.91</v>
      </c>
      <c r="AJ1498">
        <v>127.29</v>
      </c>
      <c r="AK1498">
        <v>0</v>
      </c>
      <c r="AL1498" t="s">
        <v>53</v>
      </c>
      <c r="AM1498" t="s">
        <v>53</v>
      </c>
      <c r="AN1498" t="s">
        <v>2580</v>
      </c>
      <c r="AO1498" t="s">
        <v>53</v>
      </c>
      <c r="AP1498" t="s">
        <v>53</v>
      </c>
    </row>
    <row r="1499" spans="2:42" x14ac:dyDescent="0.2">
      <c r="B1499" t="s">
        <v>44</v>
      </c>
      <c r="C1499" t="str">
        <f>HYPERLINK("https://us2.cloudbeds.com/connect/8493803454333002#/reservations/598399365346?display=E1BG6ENC&amp;reservation_id=598399365346", "E1BG6ENC")</f>
        <v>E1BG6ENC</v>
      </c>
      <c r="D1499" t="s">
        <v>45</v>
      </c>
      <c r="E1499" t="s">
        <v>190</v>
      </c>
      <c r="F1499" t="s">
        <v>61</v>
      </c>
      <c r="G1499" t="s">
        <v>48</v>
      </c>
      <c r="H1499" t="s">
        <v>71</v>
      </c>
      <c r="I1499" t="s">
        <v>72</v>
      </c>
      <c r="J1499" t="s">
        <v>354</v>
      </c>
      <c r="K1499" t="s">
        <v>359</v>
      </c>
      <c r="L1499" t="s">
        <v>53</v>
      </c>
      <c r="N1499" t="s">
        <v>2581</v>
      </c>
      <c r="P1499" t="s">
        <v>55</v>
      </c>
      <c r="R1499" t="s">
        <v>56</v>
      </c>
      <c r="T1499" t="s">
        <v>2579</v>
      </c>
      <c r="U1499" t="s">
        <v>58</v>
      </c>
      <c r="V1499">
        <v>2</v>
      </c>
      <c r="W1499">
        <v>1</v>
      </c>
      <c r="X1499">
        <v>1</v>
      </c>
      <c r="Y1499">
        <v>0</v>
      </c>
      <c r="Z1499">
        <v>1</v>
      </c>
      <c r="AA1499">
        <v>0</v>
      </c>
      <c r="AB1499">
        <v>253.55</v>
      </c>
      <c r="AC1499">
        <v>223.1</v>
      </c>
      <c r="AD1499">
        <v>0</v>
      </c>
      <c r="AE1499">
        <v>30.44</v>
      </c>
      <c r="AF1499">
        <v>0</v>
      </c>
      <c r="AG1499">
        <v>0</v>
      </c>
      <c r="AH1499">
        <v>0</v>
      </c>
      <c r="AI1499">
        <v>0</v>
      </c>
      <c r="AJ1499">
        <v>253.54</v>
      </c>
      <c r="AK1499">
        <v>-0.01</v>
      </c>
      <c r="AL1499" t="s">
        <v>53</v>
      </c>
      <c r="AM1499" t="s">
        <v>53</v>
      </c>
      <c r="AN1499" t="s">
        <v>2582</v>
      </c>
      <c r="AO1499" t="s">
        <v>53</v>
      </c>
      <c r="AP1499" t="s">
        <v>53</v>
      </c>
    </row>
    <row r="1500" spans="2:42" x14ac:dyDescent="0.2">
      <c r="B1500" t="s">
        <v>44</v>
      </c>
      <c r="C1500" t="str">
        <f>HYPERLINK("https://us2.cloudbeds.com/connect/8493803454333002#/reservations/598193488023?display=E167JJWJ&amp;reservation_id=598193488023", "E167JJWJ")</f>
        <v>E167JJWJ</v>
      </c>
      <c r="D1500" t="s">
        <v>45</v>
      </c>
      <c r="E1500" t="s">
        <v>155</v>
      </c>
      <c r="F1500" t="s">
        <v>86</v>
      </c>
      <c r="G1500" t="s">
        <v>48</v>
      </c>
      <c r="H1500" t="s">
        <v>71</v>
      </c>
      <c r="I1500" t="s">
        <v>72</v>
      </c>
      <c r="J1500" t="s">
        <v>253</v>
      </c>
      <c r="K1500" t="s">
        <v>354</v>
      </c>
      <c r="L1500" t="s">
        <v>53</v>
      </c>
      <c r="N1500" t="s">
        <v>2583</v>
      </c>
      <c r="P1500" t="s">
        <v>58</v>
      </c>
      <c r="R1500" t="s">
        <v>56</v>
      </c>
      <c r="T1500" t="s">
        <v>2579</v>
      </c>
      <c r="U1500" t="s">
        <v>58</v>
      </c>
      <c r="V1500">
        <v>1</v>
      </c>
      <c r="W1500">
        <v>1</v>
      </c>
      <c r="X1500">
        <v>1</v>
      </c>
      <c r="Y1500">
        <v>0</v>
      </c>
      <c r="Z1500">
        <v>1</v>
      </c>
      <c r="AA1500">
        <v>0</v>
      </c>
      <c r="AB1500">
        <v>127.29</v>
      </c>
      <c r="AC1500">
        <v>112</v>
      </c>
      <c r="AD1500">
        <v>0</v>
      </c>
      <c r="AE1500">
        <v>15.29</v>
      </c>
      <c r="AF1500">
        <v>0</v>
      </c>
      <c r="AG1500">
        <v>0</v>
      </c>
      <c r="AH1500">
        <v>0</v>
      </c>
      <c r="AI1500">
        <v>0</v>
      </c>
      <c r="AJ1500">
        <v>127.29</v>
      </c>
      <c r="AK1500">
        <v>0</v>
      </c>
      <c r="AL1500" t="s">
        <v>53</v>
      </c>
      <c r="AM1500" t="s">
        <v>53</v>
      </c>
      <c r="AN1500" t="s">
        <v>378</v>
      </c>
      <c r="AO1500" t="s">
        <v>53</v>
      </c>
      <c r="AP1500" t="s">
        <v>53</v>
      </c>
    </row>
    <row r="1501" spans="2:42" x14ac:dyDescent="0.2">
      <c r="B1501" t="s">
        <v>44</v>
      </c>
      <c r="C1501" t="str">
        <f>HYPERLINK("https://us2.cloudbeds.com/connect/8493803454333002#/reservations/598342762714?display=E1A1FD03&amp;reservation_id=598342762714", "E1A1FD03")</f>
        <v>E1A1FD03</v>
      </c>
      <c r="D1501" t="s">
        <v>45</v>
      </c>
      <c r="E1501" t="s">
        <v>213</v>
      </c>
      <c r="F1501" t="s">
        <v>86</v>
      </c>
      <c r="G1501" t="s">
        <v>48</v>
      </c>
      <c r="H1501" t="s">
        <v>49</v>
      </c>
      <c r="I1501" t="s">
        <v>50</v>
      </c>
      <c r="J1501" t="s">
        <v>253</v>
      </c>
      <c r="K1501" t="s">
        <v>354</v>
      </c>
      <c r="L1501" t="s">
        <v>53</v>
      </c>
      <c r="N1501" t="s">
        <v>2584</v>
      </c>
      <c r="P1501" t="s">
        <v>55</v>
      </c>
      <c r="R1501" t="s">
        <v>56</v>
      </c>
      <c r="T1501" t="s">
        <v>2579</v>
      </c>
      <c r="U1501" t="s">
        <v>58</v>
      </c>
      <c r="V1501">
        <v>1</v>
      </c>
      <c r="W1501">
        <v>1</v>
      </c>
      <c r="X1501">
        <v>1</v>
      </c>
      <c r="Y1501">
        <v>0</v>
      </c>
      <c r="Z1501">
        <v>1</v>
      </c>
      <c r="AA1501">
        <v>0</v>
      </c>
      <c r="AB1501">
        <v>119.67</v>
      </c>
      <c r="AC1501">
        <v>105.3</v>
      </c>
      <c r="AD1501">
        <v>0</v>
      </c>
      <c r="AE1501">
        <v>14.38</v>
      </c>
      <c r="AF1501">
        <v>0</v>
      </c>
      <c r="AG1501">
        <v>0</v>
      </c>
      <c r="AH1501">
        <v>0</v>
      </c>
      <c r="AI1501">
        <v>21.54</v>
      </c>
      <c r="AJ1501">
        <v>119.68</v>
      </c>
      <c r="AK1501">
        <v>0.01</v>
      </c>
      <c r="AL1501" t="s">
        <v>53</v>
      </c>
      <c r="AM1501" t="s">
        <v>53</v>
      </c>
      <c r="AN1501" t="s">
        <v>413</v>
      </c>
      <c r="AO1501" t="s">
        <v>53</v>
      </c>
      <c r="AP1501" t="s">
        <v>53</v>
      </c>
    </row>
    <row r="1502" spans="2:42" x14ac:dyDescent="0.2">
      <c r="B1502" t="s">
        <v>44</v>
      </c>
      <c r="C1502" t="str">
        <f>HYPERLINK("https://us2.cloudbeds.com/connect/8493803454333002#/reservations/598393872560?display=E1BBXJRA&amp;reservation_id=598393872560", "E1BBXJRA")</f>
        <v>E1BBXJRA</v>
      </c>
      <c r="D1502" t="s">
        <v>45</v>
      </c>
      <c r="E1502" t="s">
        <v>121</v>
      </c>
      <c r="F1502" t="s">
        <v>86</v>
      </c>
      <c r="G1502" t="s">
        <v>48</v>
      </c>
      <c r="H1502" t="s">
        <v>71</v>
      </c>
      <c r="I1502" t="s">
        <v>72</v>
      </c>
      <c r="J1502" t="s">
        <v>253</v>
      </c>
      <c r="K1502" t="s">
        <v>938</v>
      </c>
      <c r="L1502" t="s">
        <v>53</v>
      </c>
      <c r="N1502" t="s">
        <v>2585</v>
      </c>
      <c r="P1502" t="s">
        <v>55</v>
      </c>
      <c r="R1502" t="s">
        <v>56</v>
      </c>
      <c r="T1502" t="s">
        <v>2579</v>
      </c>
      <c r="U1502" t="s">
        <v>58</v>
      </c>
      <c r="V1502">
        <v>2</v>
      </c>
      <c r="W1502">
        <v>1</v>
      </c>
      <c r="X1502">
        <v>1</v>
      </c>
      <c r="Y1502">
        <v>0</v>
      </c>
      <c r="Z1502">
        <v>1</v>
      </c>
      <c r="AA1502">
        <v>0</v>
      </c>
      <c r="AB1502">
        <v>265.94</v>
      </c>
      <c r="AC1502">
        <v>234</v>
      </c>
      <c r="AD1502">
        <v>0</v>
      </c>
      <c r="AE1502">
        <v>31.94</v>
      </c>
      <c r="AF1502">
        <v>0</v>
      </c>
      <c r="AG1502">
        <v>0</v>
      </c>
      <c r="AH1502">
        <v>0</v>
      </c>
      <c r="AI1502">
        <v>0</v>
      </c>
      <c r="AJ1502">
        <v>265.94</v>
      </c>
      <c r="AK1502">
        <v>0</v>
      </c>
      <c r="AL1502" t="s">
        <v>53</v>
      </c>
      <c r="AM1502" t="s">
        <v>53</v>
      </c>
      <c r="AN1502" t="s">
        <v>378</v>
      </c>
      <c r="AO1502" t="s">
        <v>53</v>
      </c>
      <c r="AP1502" t="s">
        <v>53</v>
      </c>
    </row>
    <row r="1503" spans="2:42" x14ac:dyDescent="0.2">
      <c r="B1503" t="s">
        <v>44</v>
      </c>
      <c r="C1503" t="str">
        <f>HYPERLINK("https://us2.cloudbeds.com/connect/8493803454333002#/reservations/598234886366?display=E179GXWS&amp;reservation_id=598234886366", "E179GXWS")</f>
        <v>E179GXWS</v>
      </c>
      <c r="D1503" t="s">
        <v>45</v>
      </c>
      <c r="E1503" t="s">
        <v>128</v>
      </c>
      <c r="F1503" t="s">
        <v>86</v>
      </c>
      <c r="G1503" t="s">
        <v>48</v>
      </c>
      <c r="H1503" t="s">
        <v>49</v>
      </c>
      <c r="I1503" t="s">
        <v>62</v>
      </c>
      <c r="J1503" t="s">
        <v>611</v>
      </c>
      <c r="K1503" t="s">
        <v>1117</v>
      </c>
      <c r="L1503" t="s">
        <v>53</v>
      </c>
      <c r="N1503" t="s">
        <v>2586</v>
      </c>
      <c r="P1503" t="s">
        <v>55</v>
      </c>
      <c r="R1503" t="s">
        <v>56</v>
      </c>
      <c r="T1503" t="s">
        <v>2579</v>
      </c>
      <c r="U1503" t="s">
        <v>58</v>
      </c>
      <c r="V1503">
        <v>1</v>
      </c>
      <c r="W1503">
        <v>1</v>
      </c>
      <c r="X1503">
        <v>1</v>
      </c>
      <c r="Y1503">
        <v>0</v>
      </c>
      <c r="Z1503">
        <v>1</v>
      </c>
      <c r="AA1503">
        <v>0</v>
      </c>
      <c r="AB1503">
        <v>132.97</v>
      </c>
      <c r="AC1503">
        <v>117</v>
      </c>
      <c r="AD1503">
        <v>0</v>
      </c>
      <c r="AE1503">
        <v>15.97</v>
      </c>
      <c r="AF1503">
        <v>0</v>
      </c>
      <c r="AG1503">
        <v>0</v>
      </c>
      <c r="AH1503">
        <v>0</v>
      </c>
      <c r="AI1503">
        <v>19.95</v>
      </c>
      <c r="AJ1503">
        <v>132.97</v>
      </c>
      <c r="AK1503">
        <v>0</v>
      </c>
      <c r="AL1503" t="s">
        <v>53</v>
      </c>
      <c r="AM1503" t="s">
        <v>53</v>
      </c>
      <c r="AN1503" t="s">
        <v>245</v>
      </c>
      <c r="AO1503" t="s">
        <v>53</v>
      </c>
      <c r="AP1503" t="s">
        <v>53</v>
      </c>
    </row>
    <row r="1504" spans="2:42" x14ac:dyDescent="0.2">
      <c r="B1504" t="s">
        <v>44</v>
      </c>
      <c r="C1504" t="str">
        <f>HYPERLINK("https://us2.cloudbeds.com/connect/8493803454333002#/reservations/598611103930?display=E1GTZCM3&amp;reservation_id=598611103930", "E1GTZCM3")</f>
        <v>E1GTZCM3</v>
      </c>
      <c r="D1504" t="s">
        <v>45</v>
      </c>
      <c r="E1504" t="s">
        <v>487</v>
      </c>
      <c r="F1504" t="s">
        <v>61</v>
      </c>
      <c r="G1504" t="s">
        <v>48</v>
      </c>
      <c r="H1504" t="s">
        <v>49</v>
      </c>
      <c r="I1504" t="s">
        <v>62</v>
      </c>
      <c r="J1504" t="s">
        <v>143</v>
      </c>
      <c r="K1504" t="s">
        <v>144</v>
      </c>
      <c r="L1504" t="s">
        <v>53</v>
      </c>
      <c r="N1504" t="s">
        <v>2587</v>
      </c>
      <c r="P1504" t="s">
        <v>55</v>
      </c>
      <c r="R1504" t="s">
        <v>1680</v>
      </c>
      <c r="T1504" t="s">
        <v>2579</v>
      </c>
      <c r="U1504" t="s">
        <v>58</v>
      </c>
      <c r="V1504">
        <v>1</v>
      </c>
      <c r="W1504">
        <v>1</v>
      </c>
      <c r="X1504">
        <v>1</v>
      </c>
      <c r="Y1504">
        <v>0</v>
      </c>
      <c r="Z1504">
        <v>1</v>
      </c>
      <c r="AA1504">
        <v>0</v>
      </c>
      <c r="AB1504">
        <v>185.25</v>
      </c>
      <c r="AC1504">
        <v>163</v>
      </c>
      <c r="AD1504">
        <v>0</v>
      </c>
      <c r="AE1504">
        <v>22.26</v>
      </c>
      <c r="AF1504">
        <v>0</v>
      </c>
      <c r="AG1504">
        <v>0</v>
      </c>
      <c r="AH1504">
        <v>0</v>
      </c>
      <c r="AI1504">
        <v>27.79</v>
      </c>
      <c r="AJ1504">
        <v>185.26</v>
      </c>
      <c r="AK1504">
        <v>0.01</v>
      </c>
      <c r="AL1504" t="s">
        <v>53</v>
      </c>
      <c r="AM1504" t="s">
        <v>53</v>
      </c>
      <c r="AN1504" t="s">
        <v>2588</v>
      </c>
      <c r="AO1504" t="s">
        <v>53</v>
      </c>
      <c r="AP1504" t="s">
        <v>53</v>
      </c>
    </row>
    <row r="1505" spans="2:42" x14ac:dyDescent="0.2">
      <c r="B1505" t="s">
        <v>44</v>
      </c>
      <c r="C1505" t="str">
        <f>HYPERLINK("https://us2.cloudbeds.com/connect/8493803454333002#/reservations/598225637534?display=E171N717&amp;reservation_id=598225637534", "E171N717")</f>
        <v>E171N717</v>
      </c>
      <c r="D1505" t="s">
        <v>45</v>
      </c>
      <c r="E1505" t="s">
        <v>305</v>
      </c>
      <c r="F1505" t="s">
        <v>61</v>
      </c>
      <c r="G1505" t="s">
        <v>48</v>
      </c>
      <c r="H1505" t="s">
        <v>49</v>
      </c>
      <c r="I1505" t="s">
        <v>50</v>
      </c>
      <c r="J1505" t="s">
        <v>288</v>
      </c>
      <c r="K1505" t="s">
        <v>568</v>
      </c>
      <c r="L1505" t="s">
        <v>53</v>
      </c>
      <c r="N1505" t="s">
        <v>2589</v>
      </c>
      <c r="P1505" t="s">
        <v>55</v>
      </c>
      <c r="R1505" t="s">
        <v>56</v>
      </c>
      <c r="T1505" t="s">
        <v>2579</v>
      </c>
      <c r="U1505" t="s">
        <v>58</v>
      </c>
      <c r="V1505">
        <v>2</v>
      </c>
      <c r="W1505">
        <v>1</v>
      </c>
      <c r="X1505">
        <v>1</v>
      </c>
      <c r="Y1505">
        <v>0</v>
      </c>
      <c r="Z1505">
        <v>1</v>
      </c>
      <c r="AA1505">
        <v>0</v>
      </c>
      <c r="AB1505">
        <v>331.4</v>
      </c>
      <c r="AC1505">
        <v>291.60000000000002</v>
      </c>
      <c r="AD1505">
        <v>0</v>
      </c>
      <c r="AE1505">
        <v>39.799999999999997</v>
      </c>
      <c r="AF1505">
        <v>0</v>
      </c>
      <c r="AG1505">
        <v>0</v>
      </c>
      <c r="AH1505">
        <v>0</v>
      </c>
      <c r="AI1505">
        <v>59.65</v>
      </c>
      <c r="AJ1505">
        <v>331.4</v>
      </c>
      <c r="AK1505">
        <v>0</v>
      </c>
      <c r="AL1505" t="s">
        <v>53</v>
      </c>
      <c r="AM1505" t="s">
        <v>53</v>
      </c>
      <c r="AN1505" t="s">
        <v>68</v>
      </c>
      <c r="AO1505" t="s">
        <v>53</v>
      </c>
      <c r="AP1505" t="s">
        <v>53</v>
      </c>
    </row>
    <row r="1506" spans="2:42" x14ac:dyDescent="0.2">
      <c r="B1506" t="s">
        <v>44</v>
      </c>
      <c r="C1506" t="str">
        <f>HYPERLINK("https://us2.cloudbeds.com/connect/8493803454333002#/reservations/598407872686?display=E1BNC5PH&amp;reservation_id=598407872686", "E1BNC5PH")</f>
        <v>E1BNC5PH</v>
      </c>
      <c r="D1506" t="s">
        <v>45</v>
      </c>
      <c r="E1506" t="s">
        <v>179</v>
      </c>
      <c r="F1506" t="s">
        <v>47</v>
      </c>
      <c r="G1506" t="s">
        <v>48</v>
      </c>
      <c r="H1506" t="s">
        <v>71</v>
      </c>
      <c r="I1506" t="s">
        <v>72</v>
      </c>
      <c r="J1506" t="s">
        <v>426</v>
      </c>
      <c r="K1506" t="s">
        <v>87</v>
      </c>
      <c r="L1506" t="s">
        <v>53</v>
      </c>
      <c r="N1506" t="s">
        <v>2590</v>
      </c>
      <c r="P1506" t="s">
        <v>58</v>
      </c>
      <c r="R1506" t="s">
        <v>56</v>
      </c>
      <c r="T1506" t="s">
        <v>2579</v>
      </c>
      <c r="U1506" t="s">
        <v>58</v>
      </c>
      <c r="V1506">
        <v>2</v>
      </c>
      <c r="W1506">
        <v>1</v>
      </c>
      <c r="X1506">
        <v>1</v>
      </c>
      <c r="Y1506">
        <v>0</v>
      </c>
      <c r="Z1506">
        <v>1</v>
      </c>
      <c r="AA1506">
        <v>0</v>
      </c>
      <c r="AB1506">
        <v>312.99</v>
      </c>
      <c r="AC1506">
        <v>275.39999999999998</v>
      </c>
      <c r="AD1506">
        <v>0</v>
      </c>
      <c r="AE1506">
        <v>37.58</v>
      </c>
      <c r="AF1506">
        <v>0</v>
      </c>
      <c r="AG1506">
        <v>0</v>
      </c>
      <c r="AH1506">
        <v>0</v>
      </c>
      <c r="AI1506">
        <v>0</v>
      </c>
      <c r="AJ1506">
        <v>312.98</v>
      </c>
      <c r="AK1506">
        <v>-0.01</v>
      </c>
      <c r="AL1506" t="s">
        <v>53</v>
      </c>
      <c r="AM1506" t="s">
        <v>53</v>
      </c>
      <c r="AN1506" t="s">
        <v>378</v>
      </c>
      <c r="AO1506" t="s">
        <v>53</v>
      </c>
      <c r="AP1506" t="s">
        <v>53</v>
      </c>
    </row>
    <row r="1507" spans="2:42" x14ac:dyDescent="0.2">
      <c r="B1507" t="s">
        <v>44</v>
      </c>
      <c r="C1507" t="str">
        <f>HYPERLINK("https://us2.cloudbeds.com/connect/8493803454333002#/reservations/598465314977?display=E1D5QJH1&amp;reservation_id=598465314977", "E1D5QJH1")</f>
        <v>E1D5QJH1</v>
      </c>
      <c r="D1507" t="s">
        <v>45</v>
      </c>
      <c r="E1507" t="s">
        <v>185</v>
      </c>
      <c r="F1507" t="s">
        <v>47</v>
      </c>
      <c r="G1507" t="s">
        <v>48</v>
      </c>
      <c r="H1507" t="s">
        <v>71</v>
      </c>
      <c r="I1507" t="s">
        <v>72</v>
      </c>
      <c r="J1507" t="s">
        <v>426</v>
      </c>
      <c r="K1507" t="s">
        <v>87</v>
      </c>
      <c r="L1507" t="s">
        <v>53</v>
      </c>
      <c r="N1507" t="s">
        <v>2591</v>
      </c>
      <c r="P1507" t="s">
        <v>58</v>
      </c>
      <c r="R1507" t="s">
        <v>56</v>
      </c>
      <c r="T1507" t="s">
        <v>2579</v>
      </c>
      <c r="U1507" t="s">
        <v>58</v>
      </c>
      <c r="V1507">
        <v>2</v>
      </c>
      <c r="W1507">
        <v>1</v>
      </c>
      <c r="X1507">
        <v>1</v>
      </c>
      <c r="Y1507">
        <v>0</v>
      </c>
      <c r="Z1507">
        <v>1</v>
      </c>
      <c r="AA1507">
        <v>0</v>
      </c>
      <c r="AB1507">
        <v>312.99</v>
      </c>
      <c r="AC1507">
        <v>275.39999999999998</v>
      </c>
      <c r="AD1507">
        <v>0</v>
      </c>
      <c r="AE1507">
        <v>37.58</v>
      </c>
      <c r="AF1507">
        <v>0</v>
      </c>
      <c r="AG1507">
        <v>0</v>
      </c>
      <c r="AH1507">
        <v>0</v>
      </c>
      <c r="AI1507">
        <v>0</v>
      </c>
      <c r="AJ1507">
        <v>312.98</v>
      </c>
      <c r="AK1507">
        <v>-0.01</v>
      </c>
      <c r="AL1507" t="s">
        <v>53</v>
      </c>
      <c r="AM1507" t="s">
        <v>53</v>
      </c>
      <c r="AN1507" t="s">
        <v>378</v>
      </c>
      <c r="AO1507" t="s">
        <v>53</v>
      </c>
      <c r="AP1507" t="s">
        <v>53</v>
      </c>
    </row>
    <row r="1508" spans="2:42" x14ac:dyDescent="0.2">
      <c r="B1508" t="s">
        <v>44</v>
      </c>
      <c r="C1508" t="str">
        <f>HYPERLINK("https://us2.cloudbeds.com/connect/8493803454333002#/reservations/598561779960?display=E1FY4SPB&amp;reservation_id=598561779960", "E1FY4SPB")</f>
        <v>E1FY4SPB</v>
      </c>
      <c r="D1508" t="s">
        <v>45</v>
      </c>
      <c r="E1508" t="s">
        <v>223</v>
      </c>
      <c r="F1508" t="s">
        <v>47</v>
      </c>
      <c r="G1508" t="s">
        <v>48</v>
      </c>
      <c r="H1508" t="s">
        <v>49</v>
      </c>
      <c r="I1508" t="s">
        <v>50</v>
      </c>
      <c r="J1508" t="s">
        <v>611</v>
      </c>
      <c r="K1508" t="s">
        <v>1117</v>
      </c>
      <c r="L1508" t="s">
        <v>53</v>
      </c>
      <c r="N1508" t="s">
        <v>2592</v>
      </c>
      <c r="P1508" t="s">
        <v>55</v>
      </c>
      <c r="R1508" t="s">
        <v>56</v>
      </c>
      <c r="T1508" t="s">
        <v>2579</v>
      </c>
      <c r="U1508" t="s">
        <v>58</v>
      </c>
      <c r="V1508">
        <v>1</v>
      </c>
      <c r="W1508">
        <v>1</v>
      </c>
      <c r="X1508">
        <v>1</v>
      </c>
      <c r="Y1508">
        <v>0</v>
      </c>
      <c r="Z1508">
        <v>1</v>
      </c>
      <c r="AA1508">
        <v>0</v>
      </c>
      <c r="AB1508">
        <v>103.31</v>
      </c>
      <c r="AC1508">
        <v>90.9</v>
      </c>
      <c r="AD1508">
        <v>0</v>
      </c>
      <c r="AE1508">
        <v>12.41</v>
      </c>
      <c r="AF1508">
        <v>0</v>
      </c>
      <c r="AG1508">
        <v>0</v>
      </c>
      <c r="AH1508">
        <v>0</v>
      </c>
      <c r="AI1508">
        <v>18.600000000000001</v>
      </c>
      <c r="AJ1508">
        <v>103.31</v>
      </c>
      <c r="AK1508">
        <v>0</v>
      </c>
      <c r="AL1508" t="s">
        <v>53</v>
      </c>
      <c r="AM1508" t="s">
        <v>53</v>
      </c>
      <c r="AN1508" t="s">
        <v>84</v>
      </c>
      <c r="AO1508" t="s">
        <v>53</v>
      </c>
      <c r="AP1508" t="s">
        <v>53</v>
      </c>
    </row>
    <row r="1509" spans="2:42" x14ac:dyDescent="0.2">
      <c r="B1509" t="s">
        <v>44</v>
      </c>
      <c r="C1509" t="str">
        <f>HYPERLINK("https://us2.cloudbeds.com/connect/8493803454333002#/reservations/598573326529?display=E1FUT5MC&amp;reservation_id=598573326529", "E1FUT5MC")</f>
        <v>E1FUT5MC</v>
      </c>
      <c r="D1509" t="s">
        <v>45</v>
      </c>
      <c r="E1509" t="s">
        <v>121</v>
      </c>
      <c r="F1509" t="s">
        <v>86</v>
      </c>
      <c r="G1509" t="s">
        <v>48</v>
      </c>
      <c r="H1509" t="s">
        <v>49</v>
      </c>
      <c r="I1509" t="s">
        <v>62</v>
      </c>
      <c r="J1509" t="s">
        <v>938</v>
      </c>
      <c r="K1509" t="s">
        <v>359</v>
      </c>
      <c r="L1509" t="s">
        <v>53</v>
      </c>
      <c r="N1509" t="s">
        <v>2593</v>
      </c>
      <c r="P1509" t="s">
        <v>55</v>
      </c>
      <c r="R1509" t="s">
        <v>56</v>
      </c>
      <c r="T1509" t="s">
        <v>2579</v>
      </c>
      <c r="U1509" t="s">
        <v>58</v>
      </c>
      <c r="V1509">
        <v>1</v>
      </c>
      <c r="W1509">
        <v>1</v>
      </c>
      <c r="X1509">
        <v>1</v>
      </c>
      <c r="Y1509">
        <v>0</v>
      </c>
      <c r="Z1509">
        <v>1</v>
      </c>
      <c r="AA1509">
        <v>0</v>
      </c>
      <c r="AB1509">
        <v>144.34</v>
      </c>
      <c r="AC1509">
        <v>127</v>
      </c>
      <c r="AD1509">
        <v>0</v>
      </c>
      <c r="AE1509">
        <v>17.34</v>
      </c>
      <c r="AF1509">
        <v>0</v>
      </c>
      <c r="AG1509">
        <v>0</v>
      </c>
      <c r="AH1509">
        <v>0</v>
      </c>
      <c r="AI1509">
        <v>21.65</v>
      </c>
      <c r="AJ1509">
        <v>144.34</v>
      </c>
      <c r="AK1509">
        <v>0</v>
      </c>
      <c r="AL1509" t="s">
        <v>53</v>
      </c>
      <c r="AM1509" t="s">
        <v>53</v>
      </c>
      <c r="AN1509" t="s">
        <v>252</v>
      </c>
      <c r="AO1509" t="s">
        <v>53</v>
      </c>
      <c r="AP1509" t="s">
        <v>53</v>
      </c>
    </row>
    <row r="1510" spans="2:42" x14ac:dyDescent="0.2">
      <c r="B1510" t="s">
        <v>44</v>
      </c>
      <c r="C1510" t="str">
        <f>HYPERLINK("https://us2.cloudbeds.com/connect/8493803454333002#/reservations/598488060046?display=E1DZWGNX&amp;reservation_id=598488060046", "E1DZWGNX")</f>
        <v>E1DZWGNX</v>
      </c>
      <c r="D1510" t="s">
        <v>45</v>
      </c>
      <c r="E1510" t="s">
        <v>85</v>
      </c>
      <c r="F1510" t="s">
        <v>86</v>
      </c>
      <c r="G1510" t="s">
        <v>48</v>
      </c>
      <c r="H1510" t="s">
        <v>49</v>
      </c>
      <c r="I1510" t="s">
        <v>79</v>
      </c>
      <c r="J1510" t="s">
        <v>549</v>
      </c>
      <c r="K1510" t="s">
        <v>134</v>
      </c>
      <c r="L1510" t="s">
        <v>53</v>
      </c>
      <c r="N1510" t="s">
        <v>2594</v>
      </c>
      <c r="P1510" t="s">
        <v>55</v>
      </c>
      <c r="R1510" t="s">
        <v>2595</v>
      </c>
      <c r="T1510" t="s">
        <v>2579</v>
      </c>
      <c r="U1510" t="s">
        <v>58</v>
      </c>
      <c r="V1510">
        <v>1</v>
      </c>
      <c r="W1510">
        <v>1</v>
      </c>
      <c r="X1510">
        <v>1</v>
      </c>
      <c r="Y1510">
        <v>0</v>
      </c>
      <c r="Z1510">
        <v>1</v>
      </c>
      <c r="AA1510">
        <v>0</v>
      </c>
      <c r="AB1510">
        <v>167.75</v>
      </c>
      <c r="AC1510">
        <v>147.6</v>
      </c>
      <c r="AD1510">
        <v>0</v>
      </c>
      <c r="AE1510">
        <v>20.149999999999999</v>
      </c>
      <c r="AF1510">
        <v>0</v>
      </c>
      <c r="AG1510">
        <v>0</v>
      </c>
      <c r="AH1510">
        <v>0</v>
      </c>
      <c r="AI1510">
        <v>0</v>
      </c>
      <c r="AJ1510">
        <v>167.75</v>
      </c>
      <c r="AK1510">
        <v>0</v>
      </c>
      <c r="AL1510" t="s">
        <v>53</v>
      </c>
      <c r="AM1510" t="s">
        <v>53</v>
      </c>
      <c r="AN1510" t="s">
        <v>2596</v>
      </c>
      <c r="AO1510" t="s">
        <v>53</v>
      </c>
      <c r="AP1510" t="s">
        <v>53</v>
      </c>
    </row>
    <row r="1511" spans="2:42" x14ac:dyDescent="0.2">
      <c r="B1511" t="s">
        <v>44</v>
      </c>
      <c r="C1511" t="str">
        <f>HYPERLINK("https://us2.cloudbeds.com/connect/8493803454333002#/reservations/598402339011?display=E1BXN6BE&amp;reservation_id=598402339011", "E1BXN6BE")</f>
        <v>E1BXN6BE</v>
      </c>
      <c r="D1511" t="s">
        <v>45</v>
      </c>
      <c r="E1511" t="s">
        <v>305</v>
      </c>
      <c r="F1511" t="s">
        <v>61</v>
      </c>
      <c r="G1511" t="s">
        <v>48</v>
      </c>
      <c r="H1511" t="s">
        <v>49</v>
      </c>
      <c r="I1511" t="s">
        <v>50</v>
      </c>
      <c r="J1511" t="s">
        <v>334</v>
      </c>
      <c r="K1511" t="s">
        <v>538</v>
      </c>
      <c r="L1511" t="s">
        <v>53</v>
      </c>
      <c r="N1511" t="s">
        <v>2597</v>
      </c>
      <c r="P1511" t="s">
        <v>55</v>
      </c>
      <c r="R1511" t="s">
        <v>56</v>
      </c>
      <c r="T1511" t="s">
        <v>2579</v>
      </c>
      <c r="U1511" t="s">
        <v>58</v>
      </c>
      <c r="V1511">
        <v>1</v>
      </c>
      <c r="W1511">
        <v>1</v>
      </c>
      <c r="X1511">
        <v>1</v>
      </c>
      <c r="Y1511">
        <v>0</v>
      </c>
      <c r="Z1511">
        <v>1</v>
      </c>
      <c r="AA1511">
        <v>0</v>
      </c>
      <c r="AB1511">
        <v>122.74</v>
      </c>
      <c r="AC1511">
        <v>108</v>
      </c>
      <c r="AD1511">
        <v>0</v>
      </c>
      <c r="AE1511">
        <v>14.74</v>
      </c>
      <c r="AF1511">
        <v>0</v>
      </c>
      <c r="AG1511">
        <v>0</v>
      </c>
      <c r="AH1511">
        <v>0</v>
      </c>
      <c r="AI1511">
        <v>22.09</v>
      </c>
      <c r="AJ1511">
        <v>122.74</v>
      </c>
      <c r="AK1511">
        <v>0</v>
      </c>
      <c r="AL1511" t="s">
        <v>53</v>
      </c>
      <c r="AM1511" t="s">
        <v>53</v>
      </c>
      <c r="AN1511" t="s">
        <v>159</v>
      </c>
      <c r="AO1511" t="s">
        <v>53</v>
      </c>
      <c r="AP1511" t="s">
        <v>53</v>
      </c>
    </row>
    <row r="1512" spans="2:42" x14ac:dyDescent="0.2">
      <c r="B1512" t="s">
        <v>44</v>
      </c>
      <c r="C1512" t="str">
        <f>HYPERLINK("https://us2.cloudbeds.com/connect/8493803454333002#/reservations/579346313389?display=DJJY567X&amp;reservation_id=579346313389", "DJJY567X")</f>
        <v>DJJY567X</v>
      </c>
      <c r="D1512" t="s">
        <v>45</v>
      </c>
      <c r="E1512" t="s">
        <v>487</v>
      </c>
      <c r="F1512" t="s">
        <v>61</v>
      </c>
      <c r="G1512" t="s">
        <v>48</v>
      </c>
      <c r="H1512" t="s">
        <v>49</v>
      </c>
      <c r="I1512" t="s">
        <v>79</v>
      </c>
      <c r="J1512" t="s">
        <v>1406</v>
      </c>
      <c r="K1512" t="s">
        <v>1556</v>
      </c>
      <c r="L1512" t="s">
        <v>53</v>
      </c>
      <c r="N1512" t="s">
        <v>2598</v>
      </c>
      <c r="P1512" t="s">
        <v>55</v>
      </c>
      <c r="R1512" t="s">
        <v>56</v>
      </c>
      <c r="T1512" t="s">
        <v>2599</v>
      </c>
      <c r="U1512" t="s">
        <v>58</v>
      </c>
      <c r="V1512">
        <v>1</v>
      </c>
      <c r="W1512">
        <v>1</v>
      </c>
      <c r="X1512">
        <v>1</v>
      </c>
      <c r="Y1512">
        <v>0</v>
      </c>
      <c r="Z1512">
        <v>1</v>
      </c>
      <c r="AA1512">
        <v>0</v>
      </c>
      <c r="AB1512">
        <v>156.49</v>
      </c>
      <c r="AC1512">
        <v>137.69999999999999</v>
      </c>
      <c r="AD1512">
        <v>0</v>
      </c>
      <c r="AE1512">
        <v>18.79</v>
      </c>
      <c r="AF1512">
        <v>0</v>
      </c>
      <c r="AG1512">
        <v>0</v>
      </c>
      <c r="AH1512">
        <v>0</v>
      </c>
      <c r="AI1512">
        <v>0</v>
      </c>
      <c r="AJ1512">
        <v>156.49</v>
      </c>
      <c r="AK1512">
        <v>0</v>
      </c>
      <c r="AL1512" t="s">
        <v>53</v>
      </c>
      <c r="AM1512" t="s">
        <v>53</v>
      </c>
      <c r="AN1512" t="s">
        <v>59</v>
      </c>
      <c r="AO1512" t="s">
        <v>53</v>
      </c>
      <c r="AP1512" t="s">
        <v>53</v>
      </c>
    </row>
    <row r="1513" spans="2:42" x14ac:dyDescent="0.2">
      <c r="B1513" t="s">
        <v>44</v>
      </c>
      <c r="C1513" t="str">
        <f>HYPERLINK("https://us2.cloudbeds.com/connect/8493803454333002#/reservations/598168588474?display=E15JJZCQ&amp;reservation_id=598168588474", "E15JJZCQ")</f>
        <v>E15JJZCQ</v>
      </c>
      <c r="D1513" t="s">
        <v>45</v>
      </c>
      <c r="E1513" t="s">
        <v>46</v>
      </c>
      <c r="F1513" t="s">
        <v>47</v>
      </c>
      <c r="G1513" t="s">
        <v>48</v>
      </c>
      <c r="H1513" t="s">
        <v>49</v>
      </c>
      <c r="I1513" t="s">
        <v>50</v>
      </c>
      <c r="J1513" t="s">
        <v>94</v>
      </c>
      <c r="K1513" t="s">
        <v>152</v>
      </c>
      <c r="L1513" t="s">
        <v>53</v>
      </c>
      <c r="N1513" t="s">
        <v>2600</v>
      </c>
      <c r="P1513" t="s">
        <v>55</v>
      </c>
      <c r="R1513" t="s">
        <v>56</v>
      </c>
      <c r="T1513" t="s">
        <v>2599</v>
      </c>
      <c r="U1513" t="s">
        <v>58</v>
      </c>
      <c r="V1513">
        <v>1</v>
      </c>
      <c r="W1513">
        <v>1</v>
      </c>
      <c r="X1513">
        <v>1</v>
      </c>
      <c r="Y1513">
        <v>0</v>
      </c>
      <c r="Z1513">
        <v>1</v>
      </c>
      <c r="AA1513">
        <v>0</v>
      </c>
      <c r="AB1513">
        <v>167.63</v>
      </c>
      <c r="AC1513">
        <v>147.5</v>
      </c>
      <c r="AD1513">
        <v>0</v>
      </c>
      <c r="AE1513">
        <v>20.13</v>
      </c>
      <c r="AF1513">
        <v>0</v>
      </c>
      <c r="AG1513">
        <v>0</v>
      </c>
      <c r="AH1513">
        <v>0</v>
      </c>
      <c r="AI1513">
        <v>30.17</v>
      </c>
      <c r="AJ1513">
        <v>167.63</v>
      </c>
      <c r="AK1513">
        <v>0</v>
      </c>
      <c r="AL1513" t="s">
        <v>53</v>
      </c>
      <c r="AM1513" t="s">
        <v>53</v>
      </c>
      <c r="AN1513" t="s">
        <v>59</v>
      </c>
      <c r="AO1513" t="s">
        <v>53</v>
      </c>
      <c r="AP1513" t="s">
        <v>53</v>
      </c>
    </row>
    <row r="1514" spans="2:42" x14ac:dyDescent="0.2">
      <c r="B1514" t="s">
        <v>44</v>
      </c>
      <c r="C1514" t="str">
        <f>HYPERLINK("https://us2.cloudbeds.com/connect/8493803454333002#/reservations/598554013833?display=E1FEJPB4&amp;reservation_id=598554013833", "E1FEJPB4")</f>
        <v>E1FEJPB4</v>
      </c>
      <c r="D1514" t="s">
        <v>45</v>
      </c>
      <c r="E1514" t="s">
        <v>155</v>
      </c>
      <c r="F1514" t="s">
        <v>86</v>
      </c>
      <c r="G1514" t="s">
        <v>48</v>
      </c>
      <c r="H1514" t="s">
        <v>49</v>
      </c>
      <c r="I1514" t="s">
        <v>79</v>
      </c>
      <c r="J1514" t="s">
        <v>611</v>
      </c>
      <c r="K1514" t="s">
        <v>1117</v>
      </c>
      <c r="L1514" t="s">
        <v>53</v>
      </c>
      <c r="N1514" t="s">
        <v>2601</v>
      </c>
      <c r="P1514" t="s">
        <v>55</v>
      </c>
      <c r="R1514" t="s">
        <v>56</v>
      </c>
      <c r="T1514" t="s">
        <v>2599</v>
      </c>
      <c r="U1514" t="s">
        <v>58</v>
      </c>
      <c r="V1514">
        <v>1</v>
      </c>
      <c r="W1514">
        <v>1</v>
      </c>
      <c r="X1514">
        <v>1</v>
      </c>
      <c r="Y1514">
        <v>0</v>
      </c>
      <c r="Z1514">
        <v>1</v>
      </c>
      <c r="AA1514">
        <v>0</v>
      </c>
      <c r="AB1514">
        <v>119.67</v>
      </c>
      <c r="AC1514">
        <v>105.3</v>
      </c>
      <c r="AD1514">
        <v>0</v>
      </c>
      <c r="AE1514">
        <v>14.38</v>
      </c>
      <c r="AF1514">
        <v>0</v>
      </c>
      <c r="AG1514">
        <v>0</v>
      </c>
      <c r="AH1514">
        <v>0</v>
      </c>
      <c r="AI1514">
        <v>0</v>
      </c>
      <c r="AJ1514">
        <v>119.68</v>
      </c>
      <c r="AK1514">
        <v>0.01</v>
      </c>
      <c r="AL1514" t="s">
        <v>53</v>
      </c>
      <c r="AM1514" t="s">
        <v>53</v>
      </c>
      <c r="AN1514" t="s">
        <v>280</v>
      </c>
      <c r="AO1514" t="s">
        <v>53</v>
      </c>
      <c r="AP1514" t="s">
        <v>53</v>
      </c>
    </row>
    <row r="1515" spans="2:42" x14ac:dyDescent="0.2">
      <c r="B1515" t="s">
        <v>44</v>
      </c>
      <c r="C1515" t="str">
        <f>HYPERLINK("https://us2.cloudbeds.com/connect/8493803454333002#/reservations/598523814142?display=E1EM4DP0&amp;reservation_id=598523814142", "E1EM4DP0")</f>
        <v>E1EM4DP0</v>
      </c>
      <c r="D1515" t="s">
        <v>45</v>
      </c>
      <c r="E1515" t="s">
        <v>190</v>
      </c>
      <c r="F1515" t="s">
        <v>61</v>
      </c>
      <c r="G1515" t="s">
        <v>48</v>
      </c>
      <c r="H1515" t="s">
        <v>49</v>
      </c>
      <c r="I1515" t="s">
        <v>50</v>
      </c>
      <c r="J1515" t="s">
        <v>214</v>
      </c>
      <c r="K1515" t="s">
        <v>1792</v>
      </c>
      <c r="L1515" t="s">
        <v>53</v>
      </c>
      <c r="N1515" t="s">
        <v>2602</v>
      </c>
      <c r="P1515" t="s">
        <v>55</v>
      </c>
      <c r="R1515" t="s">
        <v>56</v>
      </c>
      <c r="T1515" t="s">
        <v>2599</v>
      </c>
      <c r="U1515" t="s">
        <v>58</v>
      </c>
      <c r="V1515">
        <v>3</v>
      </c>
      <c r="W1515">
        <v>1</v>
      </c>
      <c r="X1515">
        <v>1</v>
      </c>
      <c r="Y1515">
        <v>0</v>
      </c>
      <c r="Z1515">
        <v>1</v>
      </c>
      <c r="AA1515">
        <v>0</v>
      </c>
      <c r="AB1515">
        <v>457.73</v>
      </c>
      <c r="AC1515">
        <v>402.75</v>
      </c>
      <c r="AD1515">
        <v>0</v>
      </c>
      <c r="AE1515">
        <v>54.99</v>
      </c>
      <c r="AF1515">
        <v>0</v>
      </c>
      <c r="AG1515">
        <v>0</v>
      </c>
      <c r="AH1515">
        <v>0</v>
      </c>
      <c r="AI1515">
        <v>82.39</v>
      </c>
      <c r="AJ1515">
        <v>457.74</v>
      </c>
      <c r="AK1515">
        <v>0.01</v>
      </c>
      <c r="AL1515" t="s">
        <v>53</v>
      </c>
      <c r="AM1515" t="s">
        <v>53</v>
      </c>
      <c r="AN1515" t="s">
        <v>198</v>
      </c>
      <c r="AO1515" t="s">
        <v>53</v>
      </c>
      <c r="AP1515" t="s">
        <v>53</v>
      </c>
    </row>
    <row r="1516" spans="2:42" x14ac:dyDescent="0.2">
      <c r="B1516" t="s">
        <v>44</v>
      </c>
      <c r="C1516" t="str">
        <f>HYPERLINK("https://us2.cloudbeds.com/connect/8493803454333002#/reservations/598559572106?display=E1FJ9EBM&amp;reservation_id=598559572106", "E1FJ9EBM")</f>
        <v>E1FJ9EBM</v>
      </c>
      <c r="D1516" t="s">
        <v>45</v>
      </c>
      <c r="E1516" t="s">
        <v>98</v>
      </c>
      <c r="F1516" t="s">
        <v>86</v>
      </c>
      <c r="G1516" t="s">
        <v>48</v>
      </c>
      <c r="H1516" t="s">
        <v>49</v>
      </c>
      <c r="I1516" t="s">
        <v>79</v>
      </c>
      <c r="J1516" t="s">
        <v>611</v>
      </c>
      <c r="K1516" t="s">
        <v>1117</v>
      </c>
      <c r="L1516" t="s">
        <v>53</v>
      </c>
      <c r="N1516" t="s">
        <v>2603</v>
      </c>
      <c r="P1516" t="s">
        <v>55</v>
      </c>
      <c r="R1516" t="s">
        <v>56</v>
      </c>
      <c r="T1516" t="s">
        <v>2599</v>
      </c>
      <c r="U1516" t="s">
        <v>58</v>
      </c>
      <c r="V1516">
        <v>1</v>
      </c>
      <c r="W1516">
        <v>1</v>
      </c>
      <c r="X1516">
        <v>1</v>
      </c>
      <c r="Y1516">
        <v>0</v>
      </c>
      <c r="Z1516">
        <v>1</v>
      </c>
      <c r="AA1516">
        <v>0</v>
      </c>
      <c r="AB1516">
        <v>119.67</v>
      </c>
      <c r="AC1516">
        <v>105.3</v>
      </c>
      <c r="AD1516">
        <v>0</v>
      </c>
      <c r="AE1516">
        <v>14.38</v>
      </c>
      <c r="AF1516">
        <v>0</v>
      </c>
      <c r="AG1516">
        <v>0</v>
      </c>
      <c r="AH1516">
        <v>0</v>
      </c>
      <c r="AI1516">
        <v>0</v>
      </c>
      <c r="AJ1516">
        <v>119.68</v>
      </c>
      <c r="AK1516">
        <v>0.01</v>
      </c>
      <c r="AL1516" t="s">
        <v>53</v>
      </c>
      <c r="AM1516" t="s">
        <v>53</v>
      </c>
      <c r="AN1516" t="s">
        <v>59</v>
      </c>
      <c r="AO1516" t="s">
        <v>53</v>
      </c>
      <c r="AP1516" t="s">
        <v>53</v>
      </c>
    </row>
    <row r="1517" spans="2:42" x14ac:dyDescent="0.2">
      <c r="B1517" t="s">
        <v>44</v>
      </c>
      <c r="C1517" t="str">
        <f>HYPERLINK("https://us2.cloudbeds.com/connect/8493803454333002#/reservations/598573916316?display=E1FVCJ8N&amp;reservation_id=598573916316", "E1FVCJ8N")</f>
        <v>E1FVCJ8N</v>
      </c>
      <c r="D1517" t="s">
        <v>45</v>
      </c>
      <c r="E1517" t="s">
        <v>223</v>
      </c>
      <c r="F1517" t="s">
        <v>47</v>
      </c>
      <c r="G1517" t="s">
        <v>48</v>
      </c>
      <c r="H1517" t="s">
        <v>71</v>
      </c>
      <c r="I1517" t="s">
        <v>72</v>
      </c>
      <c r="J1517" t="s">
        <v>93</v>
      </c>
      <c r="K1517" t="s">
        <v>1822</v>
      </c>
      <c r="L1517" t="s">
        <v>53</v>
      </c>
      <c r="N1517" t="s">
        <v>2604</v>
      </c>
      <c r="P1517" t="s">
        <v>55</v>
      </c>
      <c r="R1517" t="s">
        <v>56</v>
      </c>
      <c r="T1517" t="s">
        <v>2599</v>
      </c>
      <c r="U1517" t="s">
        <v>58</v>
      </c>
      <c r="V1517">
        <v>1</v>
      </c>
      <c r="W1517">
        <v>1</v>
      </c>
      <c r="X1517">
        <v>1</v>
      </c>
      <c r="Y1517">
        <v>0</v>
      </c>
      <c r="Z1517">
        <v>1</v>
      </c>
      <c r="AA1517">
        <v>0</v>
      </c>
      <c r="AB1517">
        <v>180.7</v>
      </c>
      <c r="AC1517">
        <v>159</v>
      </c>
      <c r="AD1517">
        <v>0</v>
      </c>
      <c r="AE1517">
        <v>21.71</v>
      </c>
      <c r="AF1517">
        <v>0</v>
      </c>
      <c r="AG1517">
        <v>0</v>
      </c>
      <c r="AH1517">
        <v>0</v>
      </c>
      <c r="AI1517">
        <v>0</v>
      </c>
      <c r="AJ1517">
        <v>180.71</v>
      </c>
      <c r="AK1517">
        <v>0.01</v>
      </c>
      <c r="AL1517" t="s">
        <v>53</v>
      </c>
      <c r="AM1517" t="s">
        <v>53</v>
      </c>
      <c r="AN1517" t="s">
        <v>2605</v>
      </c>
      <c r="AO1517" t="s">
        <v>53</v>
      </c>
      <c r="AP1517" t="s">
        <v>53</v>
      </c>
    </row>
    <row r="1518" spans="2:42" x14ac:dyDescent="0.2">
      <c r="B1518" t="s">
        <v>44</v>
      </c>
      <c r="C1518" t="str">
        <f>HYPERLINK("https://us2.cloudbeds.com/connect/8493803454333002#/reservations/598504390896?display=E1E5ZUTQ&amp;reservation_id=598504390896", "E1E5ZUTQ")</f>
        <v>E1E5ZUTQ</v>
      </c>
      <c r="D1518" t="s">
        <v>45</v>
      </c>
      <c r="E1518" t="s">
        <v>179</v>
      </c>
      <c r="F1518" t="s">
        <v>47</v>
      </c>
      <c r="G1518" t="s">
        <v>48</v>
      </c>
      <c r="H1518" t="s">
        <v>49</v>
      </c>
      <c r="I1518" t="s">
        <v>62</v>
      </c>
      <c r="J1518" t="s">
        <v>143</v>
      </c>
      <c r="K1518" t="s">
        <v>144</v>
      </c>
      <c r="L1518" t="s">
        <v>53</v>
      </c>
      <c r="N1518" t="s">
        <v>2606</v>
      </c>
      <c r="P1518" t="s">
        <v>55</v>
      </c>
      <c r="R1518" t="s">
        <v>56</v>
      </c>
      <c r="T1518" t="s">
        <v>2599</v>
      </c>
      <c r="U1518" t="s">
        <v>58</v>
      </c>
      <c r="V1518">
        <v>1</v>
      </c>
      <c r="W1518">
        <v>1</v>
      </c>
      <c r="X1518">
        <v>1</v>
      </c>
      <c r="Y1518">
        <v>0</v>
      </c>
      <c r="Z1518">
        <v>1</v>
      </c>
      <c r="AA1518">
        <v>0</v>
      </c>
      <c r="AB1518">
        <v>178.43</v>
      </c>
      <c r="AC1518">
        <v>157</v>
      </c>
      <c r="AD1518">
        <v>0</v>
      </c>
      <c r="AE1518">
        <v>21.43</v>
      </c>
      <c r="AF1518">
        <v>0</v>
      </c>
      <c r="AG1518">
        <v>0</v>
      </c>
      <c r="AH1518">
        <v>0</v>
      </c>
      <c r="AI1518">
        <v>26.76</v>
      </c>
      <c r="AJ1518">
        <v>178.43</v>
      </c>
      <c r="AK1518">
        <v>0</v>
      </c>
      <c r="AL1518" t="s">
        <v>53</v>
      </c>
      <c r="AM1518" t="s">
        <v>53</v>
      </c>
      <c r="AN1518" t="s">
        <v>198</v>
      </c>
      <c r="AO1518" t="s">
        <v>53</v>
      </c>
      <c r="AP1518" t="s">
        <v>53</v>
      </c>
    </row>
    <row r="1519" spans="2:42" x14ac:dyDescent="0.2">
      <c r="B1519" t="s">
        <v>44</v>
      </c>
      <c r="C1519" t="str">
        <f>HYPERLINK("https://us2.cloudbeds.com/connect/8493803454333002#/reservations/598134132871?display=E14NHVNY&amp;reservation_id=598134132871", "E14NHVNY")</f>
        <v>E14NHVNY</v>
      </c>
      <c r="D1519" t="s">
        <v>45</v>
      </c>
      <c r="E1519" t="s">
        <v>406</v>
      </c>
      <c r="F1519" t="s">
        <v>61</v>
      </c>
      <c r="G1519" t="s">
        <v>48</v>
      </c>
      <c r="H1519" t="s">
        <v>49</v>
      </c>
      <c r="I1519" t="s">
        <v>62</v>
      </c>
      <c r="J1519" t="s">
        <v>611</v>
      </c>
      <c r="K1519" t="s">
        <v>699</v>
      </c>
      <c r="L1519" t="s">
        <v>53</v>
      </c>
      <c r="N1519" t="s">
        <v>2607</v>
      </c>
      <c r="P1519" t="s">
        <v>55</v>
      </c>
      <c r="R1519" t="s">
        <v>56</v>
      </c>
      <c r="T1519" t="s">
        <v>2608</v>
      </c>
      <c r="U1519" t="s">
        <v>58</v>
      </c>
      <c r="V1519">
        <v>2</v>
      </c>
      <c r="W1519">
        <v>1</v>
      </c>
      <c r="X1519">
        <v>1</v>
      </c>
      <c r="Y1519">
        <v>0</v>
      </c>
      <c r="Z1519">
        <v>1</v>
      </c>
      <c r="AA1519">
        <v>0</v>
      </c>
      <c r="AB1519">
        <v>250.03</v>
      </c>
      <c r="AC1519">
        <v>220</v>
      </c>
      <c r="AD1519">
        <v>0</v>
      </c>
      <c r="AE1519">
        <v>30.04</v>
      </c>
      <c r="AF1519">
        <v>0</v>
      </c>
      <c r="AG1519">
        <v>0</v>
      </c>
      <c r="AH1519">
        <v>0</v>
      </c>
      <c r="AI1519">
        <v>37.51</v>
      </c>
      <c r="AJ1519">
        <v>250.04</v>
      </c>
      <c r="AK1519">
        <v>0.01</v>
      </c>
      <c r="AL1519" t="s">
        <v>53</v>
      </c>
      <c r="AM1519" t="s">
        <v>53</v>
      </c>
      <c r="AN1519" t="s">
        <v>84</v>
      </c>
      <c r="AO1519" t="s">
        <v>53</v>
      </c>
      <c r="AP1519" t="s">
        <v>53</v>
      </c>
    </row>
    <row r="1520" spans="2:42" x14ac:dyDescent="0.2">
      <c r="B1520" t="s">
        <v>44</v>
      </c>
      <c r="C1520" t="str">
        <f>HYPERLINK("https://us2.cloudbeds.com/connect/8493803454333002#/reservations/598533230733?display=E1EU2EP8&amp;reservation_id=598533230733", "E1EU2EP8")</f>
        <v>E1EU2EP8</v>
      </c>
      <c r="D1520" t="s">
        <v>45</v>
      </c>
      <c r="E1520" t="s">
        <v>223</v>
      </c>
      <c r="F1520" t="s">
        <v>47</v>
      </c>
      <c r="G1520" t="s">
        <v>48</v>
      </c>
      <c r="H1520" t="s">
        <v>49</v>
      </c>
      <c r="I1520" t="s">
        <v>79</v>
      </c>
      <c r="J1520" t="s">
        <v>143</v>
      </c>
      <c r="K1520" t="s">
        <v>144</v>
      </c>
      <c r="L1520" t="s">
        <v>53</v>
      </c>
      <c r="N1520" t="s">
        <v>2609</v>
      </c>
      <c r="P1520" t="s">
        <v>55</v>
      </c>
      <c r="R1520" t="s">
        <v>56</v>
      </c>
      <c r="T1520" t="s">
        <v>2608</v>
      </c>
      <c r="U1520" t="s">
        <v>58</v>
      </c>
      <c r="V1520">
        <v>1</v>
      </c>
      <c r="W1520">
        <v>1</v>
      </c>
      <c r="X1520">
        <v>1</v>
      </c>
      <c r="Y1520">
        <v>0</v>
      </c>
      <c r="Z1520">
        <v>1</v>
      </c>
      <c r="AA1520">
        <v>0</v>
      </c>
      <c r="AB1520">
        <v>160.59</v>
      </c>
      <c r="AC1520">
        <v>141.30000000000001</v>
      </c>
      <c r="AD1520">
        <v>0</v>
      </c>
      <c r="AE1520">
        <v>19.3</v>
      </c>
      <c r="AF1520">
        <v>0</v>
      </c>
      <c r="AG1520">
        <v>0</v>
      </c>
      <c r="AH1520">
        <v>0</v>
      </c>
      <c r="AI1520">
        <v>0</v>
      </c>
      <c r="AJ1520">
        <v>160.6</v>
      </c>
      <c r="AK1520">
        <v>0.01</v>
      </c>
      <c r="AL1520" t="s">
        <v>53</v>
      </c>
      <c r="AM1520" t="s">
        <v>53</v>
      </c>
      <c r="AN1520" t="s">
        <v>97</v>
      </c>
      <c r="AO1520" t="s">
        <v>53</v>
      </c>
      <c r="AP1520" t="s">
        <v>53</v>
      </c>
    </row>
    <row r="1521" spans="2:42" x14ac:dyDescent="0.2">
      <c r="B1521" t="s">
        <v>44</v>
      </c>
      <c r="C1521" t="str">
        <f>HYPERLINK("https://us2.cloudbeds.com/connect/8493803454333002#/reservations/598540386443?display=E1F33XYV&amp;reservation_id=598540386443", "E1F33XYV")</f>
        <v>E1F33XYV</v>
      </c>
      <c r="D1521" t="s">
        <v>45</v>
      </c>
      <c r="E1521" t="s">
        <v>92</v>
      </c>
      <c r="F1521" t="s">
        <v>86</v>
      </c>
      <c r="G1521" t="s">
        <v>48</v>
      </c>
      <c r="H1521" t="s">
        <v>49</v>
      </c>
      <c r="I1521" t="s">
        <v>79</v>
      </c>
      <c r="J1521" t="s">
        <v>295</v>
      </c>
      <c r="K1521" t="s">
        <v>309</v>
      </c>
      <c r="L1521" t="s">
        <v>53</v>
      </c>
      <c r="N1521" t="s">
        <v>2610</v>
      </c>
      <c r="P1521" t="s">
        <v>55</v>
      </c>
      <c r="R1521" t="s">
        <v>56</v>
      </c>
      <c r="T1521" t="s">
        <v>2608</v>
      </c>
      <c r="U1521" t="s">
        <v>58</v>
      </c>
      <c r="V1521">
        <v>4</v>
      </c>
      <c r="W1521">
        <v>1</v>
      </c>
      <c r="X1521">
        <v>1</v>
      </c>
      <c r="Y1521">
        <v>0</v>
      </c>
      <c r="Z1521">
        <v>1</v>
      </c>
      <c r="AA1521">
        <v>0</v>
      </c>
      <c r="AB1521">
        <v>735.32</v>
      </c>
      <c r="AC1521">
        <v>647</v>
      </c>
      <c r="AD1521">
        <v>0</v>
      </c>
      <c r="AE1521">
        <v>88.32</v>
      </c>
      <c r="AF1521">
        <v>0</v>
      </c>
      <c r="AG1521">
        <v>0</v>
      </c>
      <c r="AH1521">
        <v>0</v>
      </c>
      <c r="AI1521">
        <v>0</v>
      </c>
      <c r="AJ1521">
        <v>735.32</v>
      </c>
      <c r="AK1521">
        <v>0</v>
      </c>
      <c r="AL1521" t="s">
        <v>53</v>
      </c>
      <c r="AM1521" t="s">
        <v>53</v>
      </c>
      <c r="AN1521" t="s">
        <v>332</v>
      </c>
      <c r="AO1521" t="s">
        <v>53</v>
      </c>
      <c r="AP1521" t="s">
        <v>53</v>
      </c>
    </row>
    <row r="1522" spans="2:42" x14ac:dyDescent="0.2">
      <c r="B1522" t="s">
        <v>44</v>
      </c>
      <c r="C1522" t="str">
        <f>HYPERLINK("https://us2.cloudbeds.com/connect/8493803454333002#/reservations/598575693952?display=E1FRW2TF&amp;reservation_id=598575693952", "E1FRW2TF")</f>
        <v>E1FRW2TF</v>
      </c>
      <c r="D1522" t="s">
        <v>45</v>
      </c>
      <c r="E1522" t="s">
        <v>78</v>
      </c>
      <c r="F1522" t="s">
        <v>61</v>
      </c>
      <c r="G1522" t="s">
        <v>48</v>
      </c>
      <c r="H1522" t="s">
        <v>49</v>
      </c>
      <c r="I1522" t="s">
        <v>79</v>
      </c>
      <c r="J1522" t="s">
        <v>611</v>
      </c>
      <c r="K1522" t="s">
        <v>1117</v>
      </c>
      <c r="L1522" t="s">
        <v>53</v>
      </c>
      <c r="N1522" t="s">
        <v>2611</v>
      </c>
      <c r="P1522" t="s">
        <v>55</v>
      </c>
      <c r="R1522" t="s">
        <v>56</v>
      </c>
      <c r="T1522" t="s">
        <v>2608</v>
      </c>
      <c r="U1522" t="s">
        <v>58</v>
      </c>
      <c r="V1522">
        <v>1</v>
      </c>
      <c r="W1522">
        <v>1</v>
      </c>
      <c r="X1522">
        <v>1</v>
      </c>
      <c r="Y1522">
        <v>0</v>
      </c>
      <c r="Z1522">
        <v>1</v>
      </c>
      <c r="AA1522">
        <v>0</v>
      </c>
      <c r="AB1522">
        <v>112.51</v>
      </c>
      <c r="AC1522">
        <v>99</v>
      </c>
      <c r="AD1522">
        <v>0</v>
      </c>
      <c r="AE1522">
        <v>13.52</v>
      </c>
      <c r="AF1522">
        <v>0</v>
      </c>
      <c r="AG1522">
        <v>0</v>
      </c>
      <c r="AH1522">
        <v>0</v>
      </c>
      <c r="AI1522">
        <v>0</v>
      </c>
      <c r="AJ1522">
        <v>112.52</v>
      </c>
      <c r="AK1522">
        <v>0.01</v>
      </c>
      <c r="AL1522" t="s">
        <v>53</v>
      </c>
      <c r="AM1522" t="s">
        <v>53</v>
      </c>
      <c r="AN1522" t="s">
        <v>245</v>
      </c>
      <c r="AO1522" t="s">
        <v>53</v>
      </c>
      <c r="AP1522" t="s">
        <v>53</v>
      </c>
    </row>
    <row r="1523" spans="2:42" x14ac:dyDescent="0.2">
      <c r="B1523" t="s">
        <v>44</v>
      </c>
      <c r="C1523" t="str">
        <f>HYPERLINK("https://us2.cloudbeds.com/connect/8493803454333002#/reservations/579233267888?display=DJGZRHHA&amp;reservation_id=579233267888", "DJGZRHHA")</f>
        <v>DJGZRHHA</v>
      </c>
      <c r="D1523" t="s">
        <v>45</v>
      </c>
      <c r="E1523" t="s">
        <v>121</v>
      </c>
      <c r="F1523" t="s">
        <v>86</v>
      </c>
      <c r="G1523" t="s">
        <v>48</v>
      </c>
      <c r="H1523" t="s">
        <v>49</v>
      </c>
      <c r="I1523" t="s">
        <v>50</v>
      </c>
      <c r="J1523" t="s">
        <v>1141</v>
      </c>
      <c r="K1523" t="s">
        <v>1451</v>
      </c>
      <c r="L1523" t="s">
        <v>53</v>
      </c>
      <c r="N1523" t="s">
        <v>2612</v>
      </c>
      <c r="P1523" t="s">
        <v>55</v>
      </c>
      <c r="R1523" t="s">
        <v>56</v>
      </c>
      <c r="T1523" t="s">
        <v>2608</v>
      </c>
      <c r="U1523" t="s">
        <v>58</v>
      </c>
      <c r="V1523">
        <v>2</v>
      </c>
      <c r="W1523">
        <v>1</v>
      </c>
      <c r="X1523">
        <v>1</v>
      </c>
      <c r="Y1523">
        <v>0</v>
      </c>
      <c r="Z1523">
        <v>1</v>
      </c>
      <c r="AA1523">
        <v>0</v>
      </c>
      <c r="AB1523">
        <v>341.64</v>
      </c>
      <c r="AC1523">
        <v>300.60000000000002</v>
      </c>
      <c r="AD1523">
        <v>0</v>
      </c>
      <c r="AE1523">
        <v>41.04</v>
      </c>
      <c r="AF1523">
        <v>0</v>
      </c>
      <c r="AG1523">
        <v>0</v>
      </c>
      <c r="AH1523">
        <v>0</v>
      </c>
      <c r="AI1523">
        <v>61.5</v>
      </c>
      <c r="AJ1523">
        <v>341.64</v>
      </c>
      <c r="AK1523">
        <v>0</v>
      </c>
      <c r="AL1523" t="s">
        <v>53</v>
      </c>
      <c r="AM1523" t="s">
        <v>53</v>
      </c>
      <c r="AN1523" t="s">
        <v>245</v>
      </c>
      <c r="AO1523" t="s">
        <v>53</v>
      </c>
      <c r="AP1523" t="s">
        <v>53</v>
      </c>
    </row>
    <row r="1524" spans="2:42" x14ac:dyDescent="0.2">
      <c r="B1524" t="s">
        <v>44</v>
      </c>
      <c r="C1524" t="str">
        <f>HYPERLINK("https://us2.cloudbeds.com/connect/8493803454333002#/reservations/598404055211?display=E1BK4V9G&amp;reservation_id=598404055211", "E1BK4V9G")</f>
        <v>E1BK4V9G</v>
      </c>
      <c r="D1524" t="s">
        <v>45</v>
      </c>
      <c r="E1524" t="s">
        <v>179</v>
      </c>
      <c r="F1524" t="s">
        <v>47</v>
      </c>
      <c r="G1524" t="s">
        <v>48</v>
      </c>
      <c r="H1524" t="s">
        <v>49</v>
      </c>
      <c r="I1524" t="s">
        <v>50</v>
      </c>
      <c r="J1524" t="s">
        <v>87</v>
      </c>
      <c r="K1524" t="s">
        <v>88</v>
      </c>
      <c r="L1524" t="s">
        <v>53</v>
      </c>
      <c r="N1524" t="s">
        <v>2613</v>
      </c>
      <c r="P1524" t="s">
        <v>55</v>
      </c>
      <c r="R1524" t="s">
        <v>56</v>
      </c>
      <c r="T1524" t="s">
        <v>2608</v>
      </c>
      <c r="U1524" t="s">
        <v>58</v>
      </c>
      <c r="V1524">
        <v>1</v>
      </c>
      <c r="W1524">
        <v>1</v>
      </c>
      <c r="X1524">
        <v>1</v>
      </c>
      <c r="Y1524">
        <v>0</v>
      </c>
      <c r="Z1524">
        <v>1</v>
      </c>
      <c r="AA1524">
        <v>0</v>
      </c>
      <c r="AB1524">
        <v>160.59</v>
      </c>
      <c r="AC1524">
        <v>141.30000000000001</v>
      </c>
      <c r="AD1524">
        <v>0</v>
      </c>
      <c r="AE1524">
        <v>19.3</v>
      </c>
      <c r="AF1524">
        <v>0</v>
      </c>
      <c r="AG1524">
        <v>0</v>
      </c>
      <c r="AH1524">
        <v>0</v>
      </c>
      <c r="AI1524">
        <v>28.91</v>
      </c>
      <c r="AJ1524">
        <v>160.6</v>
      </c>
      <c r="AK1524">
        <v>0.01</v>
      </c>
      <c r="AL1524" t="s">
        <v>53</v>
      </c>
      <c r="AM1524" t="s">
        <v>53</v>
      </c>
      <c r="AN1524" t="s">
        <v>146</v>
      </c>
      <c r="AO1524" t="s">
        <v>53</v>
      </c>
      <c r="AP1524" t="s">
        <v>53</v>
      </c>
    </row>
    <row r="1525" spans="2:42" x14ac:dyDescent="0.2">
      <c r="B1525" t="s">
        <v>44</v>
      </c>
      <c r="C1525" t="str">
        <f>HYPERLINK("https://us2.cloudbeds.com/connect/8493803454333002#/reservations/598427115725?display=E1C6JY4V&amp;reservation_id=598427115725", "E1C6JY4V")</f>
        <v>E1C6JY4V</v>
      </c>
      <c r="D1525" t="s">
        <v>45</v>
      </c>
      <c r="E1525" t="s">
        <v>487</v>
      </c>
      <c r="F1525" t="s">
        <v>61</v>
      </c>
      <c r="G1525" t="s">
        <v>48</v>
      </c>
      <c r="H1525" t="s">
        <v>49</v>
      </c>
      <c r="I1525" t="s">
        <v>114</v>
      </c>
      <c r="J1525" t="s">
        <v>783</v>
      </c>
      <c r="K1525" t="s">
        <v>333</v>
      </c>
      <c r="L1525" t="s">
        <v>53</v>
      </c>
      <c r="N1525" t="s">
        <v>2614</v>
      </c>
      <c r="P1525" t="s">
        <v>55</v>
      </c>
      <c r="R1525" t="s">
        <v>56</v>
      </c>
      <c r="T1525" t="s">
        <v>2615</v>
      </c>
      <c r="U1525" t="s">
        <v>58</v>
      </c>
      <c r="V1525">
        <v>2</v>
      </c>
      <c r="W1525">
        <v>1</v>
      </c>
      <c r="X1525">
        <v>1</v>
      </c>
      <c r="Y1525">
        <v>0</v>
      </c>
      <c r="Z1525">
        <v>1</v>
      </c>
      <c r="AA1525">
        <v>0</v>
      </c>
      <c r="AB1525">
        <v>354.59</v>
      </c>
      <c r="AC1525">
        <v>312</v>
      </c>
      <c r="AD1525">
        <v>0</v>
      </c>
      <c r="AE1525">
        <v>42.58</v>
      </c>
      <c r="AF1525">
        <v>0</v>
      </c>
      <c r="AG1525">
        <v>0</v>
      </c>
      <c r="AH1525">
        <v>0</v>
      </c>
      <c r="AI1525">
        <v>0</v>
      </c>
      <c r="AJ1525">
        <v>354.58</v>
      </c>
      <c r="AK1525">
        <v>-0.01</v>
      </c>
      <c r="AL1525" t="s">
        <v>53</v>
      </c>
      <c r="AM1525" t="s">
        <v>53</v>
      </c>
      <c r="AN1525" t="s">
        <v>2616</v>
      </c>
      <c r="AO1525" t="s">
        <v>53</v>
      </c>
      <c r="AP1525" t="s">
        <v>53</v>
      </c>
    </row>
    <row r="1526" spans="2:42" x14ac:dyDescent="0.2">
      <c r="B1526" t="s">
        <v>44</v>
      </c>
      <c r="C1526" t="str">
        <f>HYPERLINK("https://us2.cloudbeds.com/connect/8493803454333002#/reservations/598482075859?display=E1DJUWJX&amp;reservation_id=598482075859", "E1DJUWJX")</f>
        <v>E1DJUWJX</v>
      </c>
      <c r="D1526" t="s">
        <v>45</v>
      </c>
      <c r="E1526" t="s">
        <v>128</v>
      </c>
      <c r="F1526" t="s">
        <v>86</v>
      </c>
      <c r="G1526" t="s">
        <v>48</v>
      </c>
      <c r="H1526" t="s">
        <v>49</v>
      </c>
      <c r="I1526" t="s">
        <v>79</v>
      </c>
      <c r="J1526" t="s">
        <v>359</v>
      </c>
      <c r="K1526" t="s">
        <v>360</v>
      </c>
      <c r="L1526" t="s">
        <v>53</v>
      </c>
      <c r="N1526" t="s">
        <v>2617</v>
      </c>
      <c r="P1526" t="s">
        <v>55</v>
      </c>
      <c r="R1526" t="s">
        <v>56</v>
      </c>
      <c r="T1526" t="s">
        <v>2615</v>
      </c>
      <c r="U1526" t="s">
        <v>58</v>
      </c>
      <c r="V1526">
        <v>1</v>
      </c>
      <c r="W1526">
        <v>1</v>
      </c>
      <c r="X1526">
        <v>1</v>
      </c>
      <c r="Y1526">
        <v>0</v>
      </c>
      <c r="Z1526">
        <v>1</v>
      </c>
      <c r="AA1526">
        <v>0</v>
      </c>
      <c r="AB1526">
        <v>119.67</v>
      </c>
      <c r="AC1526">
        <v>105.3</v>
      </c>
      <c r="AD1526">
        <v>0</v>
      </c>
      <c r="AE1526">
        <v>14.38</v>
      </c>
      <c r="AF1526">
        <v>0</v>
      </c>
      <c r="AG1526">
        <v>0</v>
      </c>
      <c r="AH1526">
        <v>0</v>
      </c>
      <c r="AI1526">
        <v>0</v>
      </c>
      <c r="AJ1526">
        <v>119.68</v>
      </c>
      <c r="AK1526">
        <v>0.01</v>
      </c>
      <c r="AL1526" t="s">
        <v>53</v>
      </c>
      <c r="AM1526" t="s">
        <v>53</v>
      </c>
      <c r="AN1526" t="s">
        <v>178</v>
      </c>
      <c r="AO1526" t="s">
        <v>53</v>
      </c>
      <c r="AP1526" t="s">
        <v>53</v>
      </c>
    </row>
    <row r="1527" spans="2:42" x14ac:dyDescent="0.2">
      <c r="B1527" t="s">
        <v>44</v>
      </c>
      <c r="C1527" t="str">
        <f>HYPERLINK("https://us2.cloudbeds.com/connect/8493803454333002#/reservations/598607540378?display=E1GQZ7BM&amp;reservation_id=598607540378", "E1GQZ7BM")</f>
        <v>E1GQZ7BM</v>
      </c>
      <c r="D1527" t="s">
        <v>45</v>
      </c>
      <c r="E1527" t="s">
        <v>128</v>
      </c>
      <c r="F1527" t="s">
        <v>86</v>
      </c>
      <c r="G1527" t="s">
        <v>48</v>
      </c>
      <c r="H1527" t="s">
        <v>49</v>
      </c>
      <c r="I1527" t="s">
        <v>50</v>
      </c>
      <c r="J1527" t="s">
        <v>93</v>
      </c>
      <c r="K1527" t="s">
        <v>1822</v>
      </c>
      <c r="L1527" t="s">
        <v>53</v>
      </c>
      <c r="N1527" t="s">
        <v>2618</v>
      </c>
      <c r="P1527" t="s">
        <v>55</v>
      </c>
      <c r="R1527" t="s">
        <v>56</v>
      </c>
      <c r="T1527" t="s">
        <v>2615</v>
      </c>
      <c r="U1527" t="s">
        <v>58</v>
      </c>
      <c r="V1527">
        <v>1</v>
      </c>
      <c r="W1527">
        <v>1</v>
      </c>
      <c r="X1527">
        <v>1</v>
      </c>
      <c r="Y1527">
        <v>0</v>
      </c>
      <c r="Z1527">
        <v>1</v>
      </c>
      <c r="AA1527">
        <v>0</v>
      </c>
      <c r="AB1527">
        <v>207.98</v>
      </c>
      <c r="AC1527">
        <v>183</v>
      </c>
      <c r="AD1527">
        <v>0</v>
      </c>
      <c r="AE1527">
        <v>24.99</v>
      </c>
      <c r="AF1527">
        <v>0</v>
      </c>
      <c r="AG1527">
        <v>0</v>
      </c>
      <c r="AH1527">
        <v>0</v>
      </c>
      <c r="AI1527">
        <v>37.44</v>
      </c>
      <c r="AJ1527">
        <v>207.99</v>
      </c>
      <c r="AK1527">
        <v>0.01</v>
      </c>
      <c r="AL1527" t="s">
        <v>53</v>
      </c>
      <c r="AM1527" t="s">
        <v>53</v>
      </c>
      <c r="AN1527" t="s">
        <v>112</v>
      </c>
      <c r="AO1527" t="s">
        <v>53</v>
      </c>
      <c r="AP1527" t="s">
        <v>53</v>
      </c>
    </row>
    <row r="1528" spans="2:42" x14ac:dyDescent="0.2">
      <c r="B1528" t="s">
        <v>44</v>
      </c>
      <c r="C1528" t="str">
        <f>HYPERLINK("https://us2.cloudbeds.com/connect/8493803454333002#/reservations/598393630850?display=E1BBBSSZ&amp;reservation_id=598393630850", "E1BBBSSZ")</f>
        <v>E1BBBSSZ</v>
      </c>
      <c r="D1528" t="s">
        <v>45</v>
      </c>
      <c r="E1528" t="s">
        <v>98</v>
      </c>
      <c r="F1528" t="s">
        <v>86</v>
      </c>
      <c r="G1528" t="s">
        <v>48</v>
      </c>
      <c r="H1528" t="s">
        <v>71</v>
      </c>
      <c r="I1528" t="s">
        <v>72</v>
      </c>
      <c r="J1528" t="s">
        <v>1480</v>
      </c>
      <c r="K1528" t="s">
        <v>768</v>
      </c>
      <c r="L1528" t="s">
        <v>53</v>
      </c>
      <c r="N1528" t="s">
        <v>2619</v>
      </c>
      <c r="P1528" t="s">
        <v>58</v>
      </c>
      <c r="R1528" t="s">
        <v>56</v>
      </c>
      <c r="T1528" t="s">
        <v>2615</v>
      </c>
      <c r="U1528" t="s">
        <v>58</v>
      </c>
      <c r="V1528">
        <v>1</v>
      </c>
      <c r="W1528">
        <v>1</v>
      </c>
      <c r="X1528">
        <v>1</v>
      </c>
      <c r="Y1528">
        <v>0</v>
      </c>
      <c r="Z1528">
        <v>1</v>
      </c>
      <c r="AA1528">
        <v>0</v>
      </c>
      <c r="AB1528">
        <v>181.84</v>
      </c>
      <c r="AC1528">
        <v>160</v>
      </c>
      <c r="AD1528">
        <v>0</v>
      </c>
      <c r="AE1528">
        <v>21.84</v>
      </c>
      <c r="AF1528">
        <v>0</v>
      </c>
      <c r="AG1528">
        <v>0</v>
      </c>
      <c r="AH1528">
        <v>0</v>
      </c>
      <c r="AI1528">
        <v>0</v>
      </c>
      <c r="AJ1528">
        <v>181.84</v>
      </c>
      <c r="AK1528">
        <v>0</v>
      </c>
      <c r="AL1528" t="s">
        <v>53</v>
      </c>
      <c r="AM1528" t="s">
        <v>53</v>
      </c>
      <c r="AN1528" t="s">
        <v>378</v>
      </c>
      <c r="AO1528" t="s">
        <v>53</v>
      </c>
      <c r="AP1528" t="s">
        <v>53</v>
      </c>
    </row>
    <row r="1529" spans="2:42" x14ac:dyDescent="0.2">
      <c r="B1529" t="s">
        <v>44</v>
      </c>
      <c r="C1529" t="str">
        <f>HYPERLINK("https://us2.cloudbeds.com/connect/8493803454333002#/reservations/598534111442?display=E1EUQVGD&amp;reservation_id=598534111442", "E1EUQVGD")</f>
        <v>E1EUQVGD</v>
      </c>
      <c r="D1529" t="s">
        <v>45</v>
      </c>
      <c r="E1529" t="s">
        <v>46</v>
      </c>
      <c r="F1529" t="s">
        <v>47</v>
      </c>
      <c r="G1529" t="s">
        <v>48</v>
      </c>
      <c r="H1529" t="s">
        <v>71</v>
      </c>
      <c r="I1529" t="s">
        <v>72</v>
      </c>
      <c r="J1529" t="s">
        <v>970</v>
      </c>
      <c r="K1529" t="s">
        <v>289</v>
      </c>
      <c r="L1529" t="s">
        <v>53</v>
      </c>
      <c r="N1529" t="s">
        <v>2620</v>
      </c>
      <c r="P1529" t="s">
        <v>55</v>
      </c>
      <c r="R1529" t="s">
        <v>56</v>
      </c>
      <c r="T1529" t="s">
        <v>2615</v>
      </c>
      <c r="U1529" t="s">
        <v>58</v>
      </c>
      <c r="V1529">
        <v>2</v>
      </c>
      <c r="W1529">
        <v>1</v>
      </c>
      <c r="X1529">
        <v>1</v>
      </c>
      <c r="Y1529">
        <v>0</v>
      </c>
      <c r="Z1529">
        <v>1</v>
      </c>
      <c r="AA1529">
        <v>0</v>
      </c>
      <c r="AB1529">
        <v>325.04000000000002</v>
      </c>
      <c r="AC1529">
        <v>286</v>
      </c>
      <c r="AD1529">
        <v>0</v>
      </c>
      <c r="AE1529">
        <v>39.06</v>
      </c>
      <c r="AF1529">
        <v>0</v>
      </c>
      <c r="AG1529">
        <v>0</v>
      </c>
      <c r="AH1529">
        <v>0</v>
      </c>
      <c r="AI1529">
        <v>0</v>
      </c>
      <c r="AJ1529">
        <v>325.06</v>
      </c>
      <c r="AK1529">
        <v>0.02</v>
      </c>
      <c r="AL1529" t="s">
        <v>53</v>
      </c>
      <c r="AM1529" t="s">
        <v>53</v>
      </c>
      <c r="AN1529" t="s">
        <v>1005</v>
      </c>
      <c r="AO1529" t="s">
        <v>53</v>
      </c>
      <c r="AP1529" t="s">
        <v>53</v>
      </c>
    </row>
    <row r="1530" spans="2:42" x14ac:dyDescent="0.2">
      <c r="B1530" t="s">
        <v>44</v>
      </c>
      <c r="C1530" t="str">
        <f>HYPERLINK("https://us2.cloudbeds.com/connect/8493803454333002#/reservations/598126485714?display=E14H35HK&amp;reservation_id=598126485714", "E14H35HK")</f>
        <v>E14H35HK</v>
      </c>
      <c r="D1530" t="s">
        <v>45</v>
      </c>
      <c r="E1530" t="s">
        <v>121</v>
      </c>
      <c r="F1530" t="s">
        <v>86</v>
      </c>
      <c r="G1530" t="s">
        <v>48</v>
      </c>
      <c r="H1530" t="s">
        <v>49</v>
      </c>
      <c r="I1530" t="s">
        <v>50</v>
      </c>
      <c r="J1530" t="s">
        <v>359</v>
      </c>
      <c r="K1530" t="s">
        <v>360</v>
      </c>
      <c r="L1530" t="s">
        <v>53</v>
      </c>
      <c r="N1530" t="s">
        <v>2621</v>
      </c>
      <c r="P1530" t="s">
        <v>55</v>
      </c>
      <c r="R1530" t="s">
        <v>56</v>
      </c>
      <c r="T1530" t="s">
        <v>2615</v>
      </c>
      <c r="U1530" t="s">
        <v>58</v>
      </c>
      <c r="V1530">
        <v>1</v>
      </c>
      <c r="W1530">
        <v>1</v>
      </c>
      <c r="X1530">
        <v>1</v>
      </c>
      <c r="Y1530">
        <v>0</v>
      </c>
      <c r="Z1530">
        <v>1</v>
      </c>
      <c r="AA1530">
        <v>0</v>
      </c>
      <c r="AB1530">
        <v>119.67</v>
      </c>
      <c r="AC1530">
        <v>105.3</v>
      </c>
      <c r="AD1530">
        <v>0</v>
      </c>
      <c r="AE1530">
        <v>14.38</v>
      </c>
      <c r="AF1530">
        <v>0</v>
      </c>
      <c r="AG1530">
        <v>0</v>
      </c>
      <c r="AH1530">
        <v>0</v>
      </c>
      <c r="AI1530">
        <v>21.54</v>
      </c>
      <c r="AJ1530">
        <v>119.68</v>
      </c>
      <c r="AK1530">
        <v>0.01</v>
      </c>
      <c r="AL1530" t="s">
        <v>53</v>
      </c>
      <c r="AM1530" t="s">
        <v>53</v>
      </c>
      <c r="AN1530" t="s">
        <v>59</v>
      </c>
      <c r="AO1530" t="s">
        <v>53</v>
      </c>
      <c r="AP1530" t="s">
        <v>53</v>
      </c>
    </row>
    <row r="1531" spans="2:42" x14ac:dyDescent="0.2">
      <c r="B1531" t="s">
        <v>44</v>
      </c>
      <c r="C1531" t="str">
        <f>HYPERLINK("https://us2.cloudbeds.com/connect/8493803454333002#/reservations/598363795671?display=E1AJ6M0D&amp;reservation_id=598363795671", "E1AJ6M0D")</f>
        <v>E1AJ6M0D</v>
      </c>
      <c r="D1531" t="s">
        <v>45</v>
      </c>
      <c r="E1531" t="s">
        <v>138</v>
      </c>
      <c r="F1531" t="s">
        <v>70</v>
      </c>
      <c r="G1531" t="s">
        <v>48</v>
      </c>
      <c r="H1531" t="s">
        <v>49</v>
      </c>
      <c r="I1531" t="s">
        <v>62</v>
      </c>
      <c r="J1531" t="s">
        <v>359</v>
      </c>
      <c r="K1531" t="s">
        <v>360</v>
      </c>
      <c r="L1531" t="s">
        <v>53</v>
      </c>
      <c r="N1531" t="s">
        <v>2622</v>
      </c>
      <c r="P1531" t="s">
        <v>55</v>
      </c>
      <c r="R1531" t="s">
        <v>56</v>
      </c>
      <c r="T1531" t="s">
        <v>2615</v>
      </c>
      <c r="U1531" t="s">
        <v>58</v>
      </c>
      <c r="V1531">
        <v>1</v>
      </c>
      <c r="W1531">
        <v>1</v>
      </c>
      <c r="X1531">
        <v>1</v>
      </c>
      <c r="Y1531">
        <v>0</v>
      </c>
      <c r="Z1531">
        <v>1</v>
      </c>
      <c r="AA1531">
        <v>0</v>
      </c>
      <c r="AB1531">
        <v>105.01</v>
      </c>
      <c r="AC1531">
        <v>92.4</v>
      </c>
      <c r="AD1531">
        <v>0</v>
      </c>
      <c r="AE1531">
        <v>12.61</v>
      </c>
      <c r="AF1531">
        <v>0</v>
      </c>
      <c r="AG1531">
        <v>0</v>
      </c>
      <c r="AH1531">
        <v>0</v>
      </c>
      <c r="AI1531">
        <v>15.75</v>
      </c>
      <c r="AJ1531">
        <v>105.01</v>
      </c>
      <c r="AK1531">
        <v>0</v>
      </c>
      <c r="AL1531" t="s">
        <v>53</v>
      </c>
      <c r="AM1531" t="s">
        <v>53</v>
      </c>
      <c r="AN1531" t="s">
        <v>2623</v>
      </c>
      <c r="AO1531" t="s">
        <v>53</v>
      </c>
      <c r="AP1531" t="s">
        <v>53</v>
      </c>
    </row>
    <row r="1532" spans="2:42" x14ac:dyDescent="0.2">
      <c r="B1532" t="s">
        <v>44</v>
      </c>
      <c r="C1532" t="str">
        <f>HYPERLINK("https://us2.cloudbeds.com/connect/8493803454333002#/reservations/598400602252?display=E1BH7SHC&amp;reservation_id=598400602252", "E1BH7SHC")</f>
        <v>E1BH7SHC</v>
      </c>
      <c r="D1532" t="s">
        <v>45</v>
      </c>
      <c r="E1532" t="s">
        <v>179</v>
      </c>
      <c r="F1532" t="s">
        <v>47</v>
      </c>
      <c r="G1532" t="s">
        <v>48</v>
      </c>
      <c r="H1532" t="s">
        <v>71</v>
      </c>
      <c r="I1532" t="s">
        <v>72</v>
      </c>
      <c r="J1532" t="s">
        <v>1480</v>
      </c>
      <c r="K1532" t="s">
        <v>768</v>
      </c>
      <c r="L1532" t="s">
        <v>53</v>
      </c>
      <c r="N1532" t="s">
        <v>2624</v>
      </c>
      <c r="P1532" t="s">
        <v>58</v>
      </c>
      <c r="R1532" t="s">
        <v>56</v>
      </c>
      <c r="T1532" t="s">
        <v>2615</v>
      </c>
      <c r="U1532" t="s">
        <v>58</v>
      </c>
      <c r="V1532">
        <v>1</v>
      </c>
      <c r="W1532">
        <v>1</v>
      </c>
      <c r="X1532">
        <v>1</v>
      </c>
      <c r="Y1532">
        <v>0</v>
      </c>
      <c r="Z1532">
        <v>1</v>
      </c>
      <c r="AA1532">
        <v>0</v>
      </c>
      <c r="AB1532">
        <v>160.25</v>
      </c>
      <c r="AC1532">
        <v>141</v>
      </c>
      <c r="AD1532">
        <v>0</v>
      </c>
      <c r="AE1532">
        <v>19.25</v>
      </c>
      <c r="AF1532">
        <v>0</v>
      </c>
      <c r="AG1532">
        <v>0</v>
      </c>
      <c r="AH1532">
        <v>0</v>
      </c>
      <c r="AI1532">
        <v>0</v>
      </c>
      <c r="AJ1532">
        <v>160.25</v>
      </c>
      <c r="AK1532">
        <v>0</v>
      </c>
      <c r="AL1532" t="s">
        <v>53</v>
      </c>
      <c r="AM1532" t="s">
        <v>53</v>
      </c>
      <c r="AN1532" t="s">
        <v>378</v>
      </c>
      <c r="AO1532" t="s">
        <v>53</v>
      </c>
      <c r="AP1532" t="s">
        <v>53</v>
      </c>
    </row>
    <row r="1533" spans="2:42" x14ac:dyDescent="0.2">
      <c r="B1533" t="s">
        <v>44</v>
      </c>
      <c r="C1533" t="str">
        <f>HYPERLINK("https://us2.cloudbeds.com/connect/8493803454333002#/reservations/598561931456?display=E1FY8W5V&amp;reservation_id=598561931456", "E1FY8W5V")</f>
        <v>E1FY8W5V</v>
      </c>
      <c r="D1533" t="s">
        <v>45</v>
      </c>
      <c r="E1533" t="s">
        <v>155</v>
      </c>
      <c r="F1533" t="s">
        <v>86</v>
      </c>
      <c r="G1533" t="s">
        <v>48</v>
      </c>
      <c r="H1533" t="s">
        <v>71</v>
      </c>
      <c r="I1533" t="s">
        <v>72</v>
      </c>
      <c r="J1533" t="s">
        <v>359</v>
      </c>
      <c r="K1533" t="s">
        <v>360</v>
      </c>
      <c r="L1533" t="s">
        <v>53</v>
      </c>
      <c r="N1533" t="s">
        <v>2625</v>
      </c>
      <c r="P1533" t="s">
        <v>55</v>
      </c>
      <c r="R1533" t="s">
        <v>56</v>
      </c>
      <c r="T1533" t="s">
        <v>2615</v>
      </c>
      <c r="U1533" t="s">
        <v>58</v>
      </c>
      <c r="V1533">
        <v>1</v>
      </c>
      <c r="W1533">
        <v>1</v>
      </c>
      <c r="X1533">
        <v>1</v>
      </c>
      <c r="Y1533">
        <v>0</v>
      </c>
      <c r="Z1533">
        <v>1</v>
      </c>
      <c r="AA1533">
        <v>0</v>
      </c>
      <c r="AB1533">
        <v>127.29</v>
      </c>
      <c r="AC1533">
        <v>112</v>
      </c>
      <c r="AD1533">
        <v>0</v>
      </c>
      <c r="AE1533">
        <v>15.29</v>
      </c>
      <c r="AF1533">
        <v>0</v>
      </c>
      <c r="AG1533">
        <v>0</v>
      </c>
      <c r="AH1533">
        <v>0</v>
      </c>
      <c r="AI1533">
        <v>0</v>
      </c>
      <c r="AJ1533">
        <v>127.29</v>
      </c>
      <c r="AK1533">
        <v>0</v>
      </c>
      <c r="AL1533" t="s">
        <v>53</v>
      </c>
      <c r="AM1533" t="s">
        <v>53</v>
      </c>
      <c r="AN1533" t="s">
        <v>378</v>
      </c>
      <c r="AO1533" t="s">
        <v>53</v>
      </c>
      <c r="AP1533" t="s">
        <v>53</v>
      </c>
    </row>
    <row r="1534" spans="2:42" x14ac:dyDescent="0.2">
      <c r="B1534" t="s">
        <v>44</v>
      </c>
      <c r="C1534" t="str">
        <f>HYPERLINK("https://us2.cloudbeds.com/connect/8493803454333002#/reservations/598584230096?display=E1G72J4G&amp;reservation_id=598584230096", "E1G72J4G")</f>
        <v>E1G72J4G</v>
      </c>
      <c r="D1534" t="s">
        <v>45</v>
      </c>
      <c r="E1534" t="s">
        <v>113</v>
      </c>
      <c r="F1534" t="s">
        <v>61</v>
      </c>
      <c r="G1534" t="s">
        <v>48</v>
      </c>
      <c r="H1534" t="s">
        <v>71</v>
      </c>
      <c r="I1534" t="s">
        <v>72</v>
      </c>
      <c r="J1534" t="s">
        <v>360</v>
      </c>
      <c r="K1534" t="s">
        <v>611</v>
      </c>
      <c r="L1534" t="s">
        <v>53</v>
      </c>
      <c r="N1534" t="s">
        <v>2626</v>
      </c>
      <c r="P1534" t="s">
        <v>55</v>
      </c>
      <c r="R1534" t="s">
        <v>56</v>
      </c>
      <c r="T1534" t="s">
        <v>2615</v>
      </c>
      <c r="U1534" t="s">
        <v>58</v>
      </c>
      <c r="V1534">
        <v>1</v>
      </c>
      <c r="W1534">
        <v>1</v>
      </c>
      <c r="X1534">
        <v>1</v>
      </c>
      <c r="Y1534">
        <v>0</v>
      </c>
      <c r="Z1534">
        <v>1</v>
      </c>
      <c r="AA1534">
        <v>0</v>
      </c>
      <c r="AB1534">
        <v>113.65</v>
      </c>
      <c r="AC1534">
        <v>100</v>
      </c>
      <c r="AD1534">
        <v>0</v>
      </c>
      <c r="AE1534">
        <v>13.65</v>
      </c>
      <c r="AF1534">
        <v>0</v>
      </c>
      <c r="AG1534">
        <v>0</v>
      </c>
      <c r="AH1534">
        <v>0</v>
      </c>
      <c r="AI1534">
        <v>0</v>
      </c>
      <c r="AJ1534">
        <v>113.65</v>
      </c>
      <c r="AK1534">
        <v>0</v>
      </c>
      <c r="AL1534" t="s">
        <v>53</v>
      </c>
      <c r="AM1534" t="s">
        <v>53</v>
      </c>
      <c r="AN1534" t="s">
        <v>2627</v>
      </c>
      <c r="AO1534" t="s">
        <v>53</v>
      </c>
      <c r="AP1534" t="s">
        <v>53</v>
      </c>
    </row>
    <row r="1535" spans="2:42" x14ac:dyDescent="0.2">
      <c r="B1535" t="s">
        <v>44</v>
      </c>
      <c r="C1535" t="str">
        <f>HYPERLINK("https://us2.cloudbeds.com/connect/8493803454333002#/reservations/598534815937?display=E1EVDXDZ&amp;reservation_id=598534815937", "E1EVDXDZ")</f>
        <v>E1EVDXDZ</v>
      </c>
      <c r="D1535" t="s">
        <v>45</v>
      </c>
      <c r="E1535" t="s">
        <v>185</v>
      </c>
      <c r="F1535" t="s">
        <v>47</v>
      </c>
      <c r="G1535" t="s">
        <v>48</v>
      </c>
      <c r="H1535" t="s">
        <v>71</v>
      </c>
      <c r="I1535" t="s">
        <v>72</v>
      </c>
      <c r="J1535" t="s">
        <v>1480</v>
      </c>
      <c r="K1535" t="s">
        <v>489</v>
      </c>
      <c r="L1535" t="s">
        <v>53</v>
      </c>
      <c r="N1535" t="s">
        <v>2628</v>
      </c>
      <c r="P1535" t="s">
        <v>55</v>
      </c>
      <c r="R1535" t="s">
        <v>56</v>
      </c>
      <c r="T1535" t="s">
        <v>2615</v>
      </c>
      <c r="U1535" t="s">
        <v>58</v>
      </c>
      <c r="V1535">
        <v>3</v>
      </c>
      <c r="W1535">
        <v>1</v>
      </c>
      <c r="X1535">
        <v>1</v>
      </c>
      <c r="Y1535">
        <v>0</v>
      </c>
      <c r="Z1535">
        <v>1</v>
      </c>
      <c r="AA1535">
        <v>0</v>
      </c>
      <c r="AB1535">
        <v>501.2</v>
      </c>
      <c r="AC1535">
        <v>441</v>
      </c>
      <c r="AD1535">
        <v>0</v>
      </c>
      <c r="AE1535">
        <v>60.21</v>
      </c>
      <c r="AF1535">
        <v>0</v>
      </c>
      <c r="AG1535">
        <v>0</v>
      </c>
      <c r="AH1535">
        <v>0</v>
      </c>
      <c r="AI1535">
        <v>0</v>
      </c>
      <c r="AJ1535">
        <v>501.21</v>
      </c>
      <c r="AK1535">
        <v>0.01</v>
      </c>
      <c r="AL1535" t="s">
        <v>53</v>
      </c>
      <c r="AM1535" t="s">
        <v>53</v>
      </c>
      <c r="AN1535" t="s">
        <v>2629</v>
      </c>
      <c r="AO1535" t="s">
        <v>53</v>
      </c>
      <c r="AP1535" t="s">
        <v>53</v>
      </c>
    </row>
    <row r="1536" spans="2:42" x14ac:dyDescent="0.2">
      <c r="B1536" t="s">
        <v>44</v>
      </c>
      <c r="C1536" t="str">
        <f>HYPERLINK("https://us2.cloudbeds.com/connect/8493803454333002#/reservations/598420148418?display=E1C0NP8D&amp;reservation_id=598420148418", "E1C0NP8D")</f>
        <v>E1C0NP8D</v>
      </c>
      <c r="D1536" t="s">
        <v>45</v>
      </c>
      <c r="E1536" t="s">
        <v>98</v>
      </c>
      <c r="F1536" t="s">
        <v>86</v>
      </c>
      <c r="G1536" t="s">
        <v>48</v>
      </c>
      <c r="H1536" t="s">
        <v>49</v>
      </c>
      <c r="I1536" t="s">
        <v>79</v>
      </c>
      <c r="J1536" t="s">
        <v>134</v>
      </c>
      <c r="K1536" t="s">
        <v>341</v>
      </c>
      <c r="L1536" t="s">
        <v>53</v>
      </c>
      <c r="N1536" t="s">
        <v>2630</v>
      </c>
      <c r="P1536" t="s">
        <v>55</v>
      </c>
      <c r="R1536" t="s">
        <v>56</v>
      </c>
      <c r="T1536" t="s">
        <v>2615</v>
      </c>
      <c r="U1536" t="s">
        <v>58</v>
      </c>
      <c r="V1536">
        <v>1</v>
      </c>
      <c r="W1536">
        <v>1</v>
      </c>
      <c r="X1536">
        <v>1</v>
      </c>
      <c r="Y1536">
        <v>0</v>
      </c>
      <c r="Z1536">
        <v>1</v>
      </c>
      <c r="AA1536">
        <v>0</v>
      </c>
      <c r="AB1536">
        <v>186.16</v>
      </c>
      <c r="AC1536">
        <v>163.80000000000001</v>
      </c>
      <c r="AD1536">
        <v>0</v>
      </c>
      <c r="AE1536">
        <v>22.36</v>
      </c>
      <c r="AF1536">
        <v>0</v>
      </c>
      <c r="AG1536">
        <v>0</v>
      </c>
      <c r="AH1536">
        <v>0</v>
      </c>
      <c r="AI1536">
        <v>0</v>
      </c>
      <c r="AJ1536">
        <v>186.16</v>
      </c>
      <c r="AK1536">
        <v>0</v>
      </c>
      <c r="AL1536" t="s">
        <v>53</v>
      </c>
      <c r="AM1536" t="s">
        <v>53</v>
      </c>
      <c r="AN1536" t="s">
        <v>413</v>
      </c>
      <c r="AO1536" t="s">
        <v>53</v>
      </c>
      <c r="AP1536" t="s">
        <v>53</v>
      </c>
    </row>
    <row r="1537" spans="2:42" x14ac:dyDescent="0.2">
      <c r="B1537" t="s">
        <v>44</v>
      </c>
      <c r="C1537" t="str">
        <f>HYPERLINK("https://us2.cloudbeds.com/connect/8493803454333002#/reservations/579283239096?display=DJX0W1PB&amp;reservation_id=579283239096", "DJX0W1PB")</f>
        <v>DJX0W1PB</v>
      </c>
      <c r="D1537" t="s">
        <v>45</v>
      </c>
      <c r="E1537" t="s">
        <v>373</v>
      </c>
      <c r="F1537" t="s">
        <v>47</v>
      </c>
      <c r="G1537" t="s">
        <v>48</v>
      </c>
      <c r="H1537" t="s">
        <v>49</v>
      </c>
      <c r="I1537" t="s">
        <v>79</v>
      </c>
      <c r="J1537" t="s">
        <v>1933</v>
      </c>
      <c r="K1537" t="s">
        <v>1902</v>
      </c>
      <c r="L1537" t="s">
        <v>53</v>
      </c>
      <c r="N1537" t="s">
        <v>2631</v>
      </c>
      <c r="P1537" t="s">
        <v>55</v>
      </c>
      <c r="R1537" t="s">
        <v>56</v>
      </c>
      <c r="T1537" t="s">
        <v>2615</v>
      </c>
      <c r="U1537" t="s">
        <v>58</v>
      </c>
      <c r="V1537">
        <v>3</v>
      </c>
      <c r="W1537">
        <v>1</v>
      </c>
      <c r="X1537">
        <v>1</v>
      </c>
      <c r="Y1537">
        <v>0</v>
      </c>
      <c r="Z1537">
        <v>1</v>
      </c>
      <c r="AA1537">
        <v>0</v>
      </c>
      <c r="AB1537">
        <v>448.02</v>
      </c>
      <c r="AC1537">
        <v>394.2</v>
      </c>
      <c r="AD1537">
        <v>0</v>
      </c>
      <c r="AE1537">
        <v>53.82</v>
      </c>
      <c r="AF1537">
        <v>0</v>
      </c>
      <c r="AG1537">
        <v>0</v>
      </c>
      <c r="AH1537">
        <v>0</v>
      </c>
      <c r="AI1537">
        <v>0</v>
      </c>
      <c r="AJ1537">
        <v>448.02</v>
      </c>
      <c r="AK1537">
        <v>0</v>
      </c>
      <c r="AL1537" t="s">
        <v>53</v>
      </c>
      <c r="AM1537" t="s">
        <v>53</v>
      </c>
      <c r="AN1537" t="s">
        <v>146</v>
      </c>
      <c r="AO1537" t="s">
        <v>53</v>
      </c>
      <c r="AP1537" t="s">
        <v>53</v>
      </c>
    </row>
    <row r="1538" spans="2:42" x14ac:dyDescent="0.2">
      <c r="B1538" t="s">
        <v>44</v>
      </c>
      <c r="C1538" t="str">
        <f>HYPERLINK("https://us2.cloudbeds.com/connect/8493803454333002#/reservations/579379839177?display=DJKGE32H&amp;reservation_id=579379839177", "DJKGE32H")</f>
        <v>DJKGE32H</v>
      </c>
      <c r="D1538" t="s">
        <v>45</v>
      </c>
      <c r="E1538" t="s">
        <v>185</v>
      </c>
      <c r="F1538" t="s">
        <v>47</v>
      </c>
      <c r="G1538" t="s">
        <v>48</v>
      </c>
      <c r="H1538" t="s">
        <v>49</v>
      </c>
      <c r="I1538" t="s">
        <v>79</v>
      </c>
      <c r="J1538" t="s">
        <v>1477</v>
      </c>
      <c r="K1538" t="s">
        <v>1665</v>
      </c>
      <c r="L1538" t="s">
        <v>53</v>
      </c>
      <c r="N1538" t="s">
        <v>2632</v>
      </c>
      <c r="P1538" t="s">
        <v>55</v>
      </c>
      <c r="R1538" t="s">
        <v>56</v>
      </c>
      <c r="T1538" t="s">
        <v>2615</v>
      </c>
      <c r="U1538" t="s">
        <v>58</v>
      </c>
      <c r="V1538">
        <v>2</v>
      </c>
      <c r="W1538">
        <v>1</v>
      </c>
      <c r="X1538">
        <v>1</v>
      </c>
      <c r="Y1538">
        <v>0</v>
      </c>
      <c r="Z1538">
        <v>1</v>
      </c>
      <c r="AA1538">
        <v>0</v>
      </c>
      <c r="AB1538">
        <v>306.88</v>
      </c>
      <c r="AC1538">
        <v>270</v>
      </c>
      <c r="AD1538">
        <v>0</v>
      </c>
      <c r="AE1538">
        <v>36.880000000000003</v>
      </c>
      <c r="AF1538">
        <v>0</v>
      </c>
      <c r="AG1538">
        <v>0</v>
      </c>
      <c r="AH1538">
        <v>0</v>
      </c>
      <c r="AI1538">
        <v>0</v>
      </c>
      <c r="AJ1538">
        <v>306.88</v>
      </c>
      <c r="AK1538">
        <v>0</v>
      </c>
      <c r="AL1538" t="s">
        <v>53</v>
      </c>
      <c r="AM1538" t="s">
        <v>53</v>
      </c>
      <c r="AN1538" t="s">
        <v>97</v>
      </c>
      <c r="AO1538" t="s">
        <v>53</v>
      </c>
      <c r="AP1538" t="s">
        <v>53</v>
      </c>
    </row>
    <row r="1539" spans="2:42" x14ac:dyDescent="0.2">
      <c r="B1539" t="s">
        <v>44</v>
      </c>
      <c r="C1539" t="str">
        <f>HYPERLINK("https://us2.cloudbeds.com/connect/8493803454333002#/reservations/598623051913?display=E1H6QS65&amp;reservation_id=598623051913", "E1H6QS65")</f>
        <v>E1H6QS65</v>
      </c>
      <c r="D1539" t="s">
        <v>45</v>
      </c>
      <c r="E1539" t="s">
        <v>113</v>
      </c>
      <c r="F1539" t="s">
        <v>61</v>
      </c>
      <c r="G1539" t="s">
        <v>48</v>
      </c>
      <c r="H1539" t="s">
        <v>49</v>
      </c>
      <c r="I1539" t="s">
        <v>50</v>
      </c>
      <c r="J1539" t="s">
        <v>489</v>
      </c>
      <c r="K1539" t="s">
        <v>1568</v>
      </c>
      <c r="L1539" t="s">
        <v>53</v>
      </c>
      <c r="N1539" t="s">
        <v>2633</v>
      </c>
      <c r="P1539" t="s">
        <v>55</v>
      </c>
      <c r="R1539" t="s">
        <v>56</v>
      </c>
      <c r="T1539" t="s">
        <v>2615</v>
      </c>
      <c r="U1539" t="s">
        <v>58</v>
      </c>
      <c r="V1539">
        <v>1</v>
      </c>
      <c r="W1539">
        <v>1</v>
      </c>
      <c r="X1539">
        <v>1</v>
      </c>
      <c r="Y1539">
        <v>0</v>
      </c>
      <c r="Z1539">
        <v>1</v>
      </c>
      <c r="AA1539">
        <v>0</v>
      </c>
      <c r="AB1539">
        <v>164.68</v>
      </c>
      <c r="AC1539">
        <v>144.9</v>
      </c>
      <c r="AD1539">
        <v>0</v>
      </c>
      <c r="AE1539">
        <v>19.78</v>
      </c>
      <c r="AF1539">
        <v>0</v>
      </c>
      <c r="AG1539">
        <v>0</v>
      </c>
      <c r="AH1539">
        <v>0</v>
      </c>
      <c r="AI1539">
        <v>29.64</v>
      </c>
      <c r="AJ1539">
        <v>164.68</v>
      </c>
      <c r="AK1539">
        <v>0</v>
      </c>
      <c r="AL1539" t="s">
        <v>53</v>
      </c>
      <c r="AM1539" t="s">
        <v>53</v>
      </c>
      <c r="AN1539" t="s">
        <v>112</v>
      </c>
      <c r="AO1539" t="s">
        <v>53</v>
      </c>
      <c r="AP1539" t="s">
        <v>53</v>
      </c>
    </row>
    <row r="1540" spans="2:42" x14ac:dyDescent="0.2">
      <c r="B1540" t="s">
        <v>44</v>
      </c>
      <c r="C1540" t="str">
        <f>HYPERLINK("https://us2.cloudbeds.com/connect/8493803454333002#/reservations/579254763669?display=DJH9VMHK&amp;reservation_id=579254763669", "DJH9VMHK")</f>
        <v>DJH9VMHK</v>
      </c>
      <c r="D1540" t="s">
        <v>45</v>
      </c>
      <c r="E1540" t="s">
        <v>487</v>
      </c>
      <c r="F1540" t="s">
        <v>61</v>
      </c>
      <c r="G1540" t="s">
        <v>48</v>
      </c>
      <c r="H1540" t="s">
        <v>71</v>
      </c>
      <c r="I1540" t="s">
        <v>72</v>
      </c>
      <c r="J1540" t="s">
        <v>1556</v>
      </c>
      <c r="K1540" t="s">
        <v>2634</v>
      </c>
      <c r="L1540" t="s">
        <v>53</v>
      </c>
      <c r="N1540" t="s">
        <v>2635</v>
      </c>
      <c r="P1540" t="s">
        <v>55</v>
      </c>
      <c r="R1540" t="s">
        <v>56</v>
      </c>
      <c r="T1540" t="s">
        <v>2615</v>
      </c>
      <c r="U1540" t="s">
        <v>58</v>
      </c>
      <c r="V1540">
        <v>1</v>
      </c>
      <c r="W1540">
        <v>1</v>
      </c>
      <c r="X1540">
        <v>1</v>
      </c>
      <c r="Y1540">
        <v>0</v>
      </c>
      <c r="Z1540">
        <v>1</v>
      </c>
      <c r="AA1540">
        <v>0</v>
      </c>
      <c r="AB1540">
        <v>175.03</v>
      </c>
      <c r="AC1540">
        <v>154</v>
      </c>
      <c r="AD1540">
        <v>0</v>
      </c>
      <c r="AE1540">
        <v>21.03</v>
      </c>
      <c r="AF1540">
        <v>0</v>
      </c>
      <c r="AG1540">
        <v>0</v>
      </c>
      <c r="AH1540">
        <v>0</v>
      </c>
      <c r="AI1540">
        <v>0</v>
      </c>
      <c r="AJ1540">
        <v>175.03</v>
      </c>
      <c r="AK1540">
        <v>0</v>
      </c>
      <c r="AL1540" t="s">
        <v>53</v>
      </c>
      <c r="AM1540" t="s">
        <v>53</v>
      </c>
      <c r="AN1540" t="s">
        <v>2636</v>
      </c>
      <c r="AO1540" t="s">
        <v>53</v>
      </c>
      <c r="AP1540" t="s">
        <v>53</v>
      </c>
    </row>
    <row r="1541" spans="2:42" x14ac:dyDescent="0.2">
      <c r="B1541" t="s">
        <v>44</v>
      </c>
      <c r="C1541" t="str">
        <f>HYPERLINK("https://us2.cloudbeds.com/connect/8493803454333002#/reservations/579136876740?display=DJE9XA2E&amp;reservation_id=579136876740", "DJE9XA2E")</f>
        <v>DJE9XA2E</v>
      </c>
      <c r="D1541" t="s">
        <v>45</v>
      </c>
      <c r="E1541" t="s">
        <v>121</v>
      </c>
      <c r="F1541" t="s">
        <v>86</v>
      </c>
      <c r="G1541" t="s">
        <v>48</v>
      </c>
      <c r="H1541" t="s">
        <v>49</v>
      </c>
      <c r="I1541" t="s">
        <v>79</v>
      </c>
      <c r="J1541" t="s">
        <v>1863</v>
      </c>
      <c r="K1541" t="s">
        <v>1745</v>
      </c>
      <c r="L1541" t="s">
        <v>53</v>
      </c>
      <c r="N1541" t="s">
        <v>2637</v>
      </c>
      <c r="P1541" t="s">
        <v>55</v>
      </c>
      <c r="R1541" t="s">
        <v>56</v>
      </c>
      <c r="T1541" t="s">
        <v>2638</v>
      </c>
      <c r="U1541" t="s">
        <v>58</v>
      </c>
      <c r="V1541">
        <v>2</v>
      </c>
      <c r="W1541">
        <v>1</v>
      </c>
      <c r="X1541">
        <v>1</v>
      </c>
      <c r="Y1541">
        <v>0</v>
      </c>
      <c r="Z1541">
        <v>1</v>
      </c>
      <c r="AA1541">
        <v>0</v>
      </c>
      <c r="AB1541">
        <v>327.32</v>
      </c>
      <c r="AC1541">
        <v>288</v>
      </c>
      <c r="AD1541">
        <v>0</v>
      </c>
      <c r="AE1541">
        <v>39.32</v>
      </c>
      <c r="AF1541">
        <v>0</v>
      </c>
      <c r="AG1541">
        <v>0</v>
      </c>
      <c r="AH1541">
        <v>0</v>
      </c>
      <c r="AI1541">
        <v>0</v>
      </c>
      <c r="AJ1541">
        <v>327.32</v>
      </c>
      <c r="AK1541">
        <v>0</v>
      </c>
      <c r="AL1541" t="s">
        <v>53</v>
      </c>
      <c r="AM1541" t="s">
        <v>53</v>
      </c>
      <c r="AN1541" t="s">
        <v>280</v>
      </c>
      <c r="AO1541" t="s">
        <v>53</v>
      </c>
      <c r="AP1541" t="s">
        <v>53</v>
      </c>
    </row>
    <row r="1542" spans="2:42" x14ac:dyDescent="0.2">
      <c r="B1542" t="s">
        <v>44</v>
      </c>
      <c r="C1542" t="str">
        <f>HYPERLINK("https://us2.cloudbeds.com/connect/8493803454333002#/reservations/579248226508?display=DJH4EPKR&amp;reservation_id=579248226508", "DJH4EPKR")</f>
        <v>DJH4EPKR</v>
      </c>
      <c r="D1542" t="s">
        <v>45</v>
      </c>
      <c r="E1542" t="s">
        <v>85</v>
      </c>
      <c r="F1542" t="s">
        <v>86</v>
      </c>
      <c r="G1542" t="s">
        <v>48</v>
      </c>
      <c r="H1542" t="s">
        <v>49</v>
      </c>
      <c r="I1542" t="s">
        <v>50</v>
      </c>
      <c r="J1542" t="s">
        <v>2022</v>
      </c>
      <c r="K1542" t="s">
        <v>2639</v>
      </c>
      <c r="L1542" t="s">
        <v>53</v>
      </c>
      <c r="N1542" t="s">
        <v>2640</v>
      </c>
      <c r="P1542" t="s">
        <v>55</v>
      </c>
      <c r="R1542" t="s">
        <v>56</v>
      </c>
      <c r="T1542" t="s">
        <v>2638</v>
      </c>
      <c r="U1542" t="s">
        <v>58</v>
      </c>
      <c r="V1542">
        <v>2</v>
      </c>
      <c r="W1542">
        <v>1</v>
      </c>
      <c r="X1542">
        <v>1</v>
      </c>
      <c r="Y1542">
        <v>0</v>
      </c>
      <c r="Z1542">
        <v>1</v>
      </c>
      <c r="AA1542">
        <v>0</v>
      </c>
      <c r="AB1542">
        <v>327.32</v>
      </c>
      <c r="AC1542">
        <v>288</v>
      </c>
      <c r="AD1542">
        <v>0</v>
      </c>
      <c r="AE1542">
        <v>39.32</v>
      </c>
      <c r="AF1542">
        <v>0</v>
      </c>
      <c r="AG1542">
        <v>0</v>
      </c>
      <c r="AH1542">
        <v>0</v>
      </c>
      <c r="AI1542">
        <v>58.92</v>
      </c>
      <c r="AJ1542">
        <v>327.32</v>
      </c>
      <c r="AK1542">
        <v>0</v>
      </c>
      <c r="AL1542" t="s">
        <v>53</v>
      </c>
      <c r="AM1542" t="s">
        <v>53</v>
      </c>
      <c r="AN1542" t="s">
        <v>97</v>
      </c>
      <c r="AO1542" t="s">
        <v>53</v>
      </c>
      <c r="AP1542" t="s">
        <v>53</v>
      </c>
    </row>
    <row r="1543" spans="2:42" x14ac:dyDescent="0.2">
      <c r="B1543" t="s">
        <v>44</v>
      </c>
      <c r="C1543" t="str">
        <f>HYPERLINK("https://us2.cloudbeds.com/connect/8493803454333002#/reservations/579249971342?display=DJH5UASJ&amp;reservation_id=579249971342", "DJH5UASJ")</f>
        <v>DJH5UASJ</v>
      </c>
      <c r="D1543" t="s">
        <v>45</v>
      </c>
      <c r="E1543" t="s">
        <v>128</v>
      </c>
      <c r="F1543" t="s">
        <v>86</v>
      </c>
      <c r="G1543" t="s">
        <v>48</v>
      </c>
      <c r="H1543" t="s">
        <v>49</v>
      </c>
      <c r="I1543" t="s">
        <v>50</v>
      </c>
      <c r="J1543" t="s">
        <v>2022</v>
      </c>
      <c r="K1543" t="s">
        <v>2639</v>
      </c>
      <c r="L1543" t="s">
        <v>53</v>
      </c>
      <c r="N1543" t="s">
        <v>2641</v>
      </c>
      <c r="P1543" t="s">
        <v>55</v>
      </c>
      <c r="R1543" t="s">
        <v>56</v>
      </c>
      <c r="T1543" t="s">
        <v>2638</v>
      </c>
      <c r="U1543" t="s">
        <v>58</v>
      </c>
      <c r="V1543">
        <v>2</v>
      </c>
      <c r="W1543">
        <v>1</v>
      </c>
      <c r="X1543">
        <v>1</v>
      </c>
      <c r="Y1543">
        <v>0</v>
      </c>
      <c r="Z1543">
        <v>1</v>
      </c>
      <c r="AA1543">
        <v>0</v>
      </c>
      <c r="AB1543">
        <v>327.32</v>
      </c>
      <c r="AC1543">
        <v>288</v>
      </c>
      <c r="AD1543">
        <v>0</v>
      </c>
      <c r="AE1543">
        <v>39.32</v>
      </c>
      <c r="AF1543">
        <v>0</v>
      </c>
      <c r="AG1543">
        <v>0</v>
      </c>
      <c r="AH1543">
        <v>0</v>
      </c>
      <c r="AI1543">
        <v>58.92</v>
      </c>
      <c r="AJ1543">
        <v>327.32</v>
      </c>
      <c r="AK1543">
        <v>0</v>
      </c>
      <c r="AL1543" t="s">
        <v>53</v>
      </c>
      <c r="AM1543" t="s">
        <v>53</v>
      </c>
      <c r="AN1543" t="s">
        <v>198</v>
      </c>
      <c r="AO1543" t="s">
        <v>53</v>
      </c>
      <c r="AP1543" t="s">
        <v>53</v>
      </c>
    </row>
    <row r="1544" spans="2:42" x14ac:dyDescent="0.2">
      <c r="B1544" t="s">
        <v>44</v>
      </c>
      <c r="C1544" t="str">
        <f>HYPERLINK("https://us2.cloudbeds.com/connect/8493803454333002#/reservations/579288981658?display=DJX5QS0C&amp;reservation_id=579288981658", "DJX5QS0C")</f>
        <v>DJX5QS0C</v>
      </c>
      <c r="D1544" t="s">
        <v>45</v>
      </c>
      <c r="E1544" t="s">
        <v>92</v>
      </c>
      <c r="F1544" t="s">
        <v>86</v>
      </c>
      <c r="G1544" t="s">
        <v>48</v>
      </c>
      <c r="H1544" t="s">
        <v>49</v>
      </c>
      <c r="I1544" t="s">
        <v>79</v>
      </c>
      <c r="J1544" t="s">
        <v>1863</v>
      </c>
      <c r="K1544" t="s">
        <v>1745</v>
      </c>
      <c r="L1544" t="s">
        <v>53</v>
      </c>
      <c r="N1544" t="s">
        <v>2642</v>
      </c>
      <c r="P1544" t="s">
        <v>55</v>
      </c>
      <c r="R1544" t="s">
        <v>56</v>
      </c>
      <c r="T1544" t="s">
        <v>2638</v>
      </c>
      <c r="U1544" t="s">
        <v>58</v>
      </c>
      <c r="V1544">
        <v>2</v>
      </c>
      <c r="W1544">
        <v>1</v>
      </c>
      <c r="X1544">
        <v>1</v>
      </c>
      <c r="Y1544">
        <v>0</v>
      </c>
      <c r="Z1544">
        <v>1</v>
      </c>
      <c r="AA1544">
        <v>0</v>
      </c>
      <c r="AB1544">
        <v>327.32</v>
      </c>
      <c r="AC1544">
        <v>288</v>
      </c>
      <c r="AD1544">
        <v>0</v>
      </c>
      <c r="AE1544">
        <v>39.32</v>
      </c>
      <c r="AF1544">
        <v>0</v>
      </c>
      <c r="AG1544">
        <v>0</v>
      </c>
      <c r="AH1544">
        <v>0</v>
      </c>
      <c r="AI1544">
        <v>0</v>
      </c>
      <c r="AJ1544">
        <v>327.32</v>
      </c>
      <c r="AK1544">
        <v>0</v>
      </c>
      <c r="AL1544" t="s">
        <v>53</v>
      </c>
      <c r="AM1544" t="s">
        <v>53</v>
      </c>
      <c r="AN1544" t="s">
        <v>252</v>
      </c>
      <c r="AO1544" t="s">
        <v>53</v>
      </c>
      <c r="AP1544" t="s">
        <v>53</v>
      </c>
    </row>
    <row r="1545" spans="2:42" x14ac:dyDescent="0.2">
      <c r="B1545" t="s">
        <v>44</v>
      </c>
      <c r="C1545" t="str">
        <f>HYPERLINK("https://us2.cloudbeds.com/connect/8493803454333002#/reservations/579324158169?display=DJJ2FMM8&amp;reservation_id=579324158169", "DJJ2FMM8")</f>
        <v>DJJ2FMM8</v>
      </c>
      <c r="D1545" t="s">
        <v>45</v>
      </c>
      <c r="E1545" t="s">
        <v>213</v>
      </c>
      <c r="F1545" t="s">
        <v>86</v>
      </c>
      <c r="G1545" t="s">
        <v>48</v>
      </c>
      <c r="H1545" t="s">
        <v>49</v>
      </c>
      <c r="I1545" t="s">
        <v>50</v>
      </c>
      <c r="J1545" t="s">
        <v>2384</v>
      </c>
      <c r="K1545" t="s">
        <v>2643</v>
      </c>
      <c r="L1545" t="s">
        <v>53</v>
      </c>
      <c r="N1545" t="s">
        <v>2644</v>
      </c>
      <c r="P1545" t="s">
        <v>55</v>
      </c>
      <c r="R1545" t="s">
        <v>56</v>
      </c>
      <c r="T1545" t="s">
        <v>2638</v>
      </c>
      <c r="U1545" t="s">
        <v>58</v>
      </c>
      <c r="V1545">
        <v>2</v>
      </c>
      <c r="W1545">
        <v>1</v>
      </c>
      <c r="X1545">
        <v>1</v>
      </c>
      <c r="Y1545">
        <v>0</v>
      </c>
      <c r="Z1545">
        <v>1</v>
      </c>
      <c r="AA1545">
        <v>0</v>
      </c>
      <c r="AB1545">
        <v>341.64</v>
      </c>
      <c r="AC1545">
        <v>300.60000000000002</v>
      </c>
      <c r="AD1545">
        <v>0</v>
      </c>
      <c r="AE1545">
        <v>41.04</v>
      </c>
      <c r="AF1545">
        <v>0</v>
      </c>
      <c r="AG1545">
        <v>0</v>
      </c>
      <c r="AH1545">
        <v>0</v>
      </c>
      <c r="AI1545">
        <v>61.5</v>
      </c>
      <c r="AJ1545">
        <v>341.64</v>
      </c>
      <c r="AK1545">
        <v>0</v>
      </c>
      <c r="AL1545" t="s">
        <v>53</v>
      </c>
      <c r="AM1545" t="s">
        <v>53</v>
      </c>
      <c r="AN1545" t="s">
        <v>132</v>
      </c>
      <c r="AO1545" t="s">
        <v>53</v>
      </c>
      <c r="AP1545" t="s">
        <v>53</v>
      </c>
    </row>
    <row r="1546" spans="2:42" x14ac:dyDescent="0.2">
      <c r="B1546" t="s">
        <v>44</v>
      </c>
      <c r="C1546" t="str">
        <f>HYPERLINK("https://us2.cloudbeds.com/connect/8493803454333002#/reservations/598357766389?display=E1AE3TFU&amp;reservation_id=598357766389", "E1AE3TFU")</f>
        <v>E1AE3TFU</v>
      </c>
      <c r="D1546" t="s">
        <v>45</v>
      </c>
      <c r="E1546" t="s">
        <v>487</v>
      </c>
      <c r="F1546" t="s">
        <v>61</v>
      </c>
      <c r="G1546" t="s">
        <v>48</v>
      </c>
      <c r="H1546" t="s">
        <v>49</v>
      </c>
      <c r="I1546" t="s">
        <v>79</v>
      </c>
      <c r="J1546" t="s">
        <v>611</v>
      </c>
      <c r="K1546" t="s">
        <v>1117</v>
      </c>
      <c r="L1546" t="s">
        <v>53</v>
      </c>
      <c r="N1546" t="s">
        <v>2645</v>
      </c>
      <c r="P1546" t="s">
        <v>55</v>
      </c>
      <c r="R1546" t="s">
        <v>56</v>
      </c>
      <c r="T1546" t="s">
        <v>2638</v>
      </c>
      <c r="U1546" t="s">
        <v>58</v>
      </c>
      <c r="V1546">
        <v>1</v>
      </c>
      <c r="W1546">
        <v>1</v>
      </c>
      <c r="X1546">
        <v>1</v>
      </c>
      <c r="Y1546">
        <v>0</v>
      </c>
      <c r="Z1546">
        <v>1</v>
      </c>
      <c r="AA1546">
        <v>0</v>
      </c>
      <c r="AB1546">
        <v>125.02</v>
      </c>
      <c r="AC1546">
        <v>110</v>
      </c>
      <c r="AD1546">
        <v>0</v>
      </c>
      <c r="AE1546">
        <v>15.02</v>
      </c>
      <c r="AF1546">
        <v>0</v>
      </c>
      <c r="AG1546">
        <v>0</v>
      </c>
      <c r="AH1546">
        <v>0</v>
      </c>
      <c r="AI1546">
        <v>0</v>
      </c>
      <c r="AJ1546">
        <v>125.02</v>
      </c>
      <c r="AK1546">
        <v>0</v>
      </c>
      <c r="AL1546" t="s">
        <v>53</v>
      </c>
      <c r="AM1546" t="s">
        <v>53</v>
      </c>
      <c r="AN1546" t="s">
        <v>97</v>
      </c>
      <c r="AO1546" t="s">
        <v>53</v>
      </c>
      <c r="AP1546" t="s">
        <v>53</v>
      </c>
    </row>
    <row r="1547" spans="2:42" x14ac:dyDescent="0.2">
      <c r="B1547" t="s">
        <v>44</v>
      </c>
      <c r="C1547" t="str">
        <f>HYPERLINK("https://us2.cloudbeds.com/connect/8493803454333002#/reservations/598368018623?display=E1AMP5RM&amp;reservation_id=598368018623", "E1AMP5RM")</f>
        <v>E1AMP5RM</v>
      </c>
      <c r="D1547" t="s">
        <v>45</v>
      </c>
      <c r="E1547" t="s">
        <v>179</v>
      </c>
      <c r="F1547" t="s">
        <v>47</v>
      </c>
      <c r="G1547" t="s">
        <v>48</v>
      </c>
      <c r="H1547" t="s">
        <v>71</v>
      </c>
      <c r="I1547" t="s">
        <v>72</v>
      </c>
      <c r="J1547" t="s">
        <v>699</v>
      </c>
      <c r="K1547" t="s">
        <v>143</v>
      </c>
      <c r="L1547" t="s">
        <v>53</v>
      </c>
      <c r="N1547" t="s">
        <v>2646</v>
      </c>
      <c r="P1547" t="s">
        <v>55</v>
      </c>
      <c r="R1547" t="s">
        <v>56</v>
      </c>
      <c r="T1547" t="s">
        <v>2638</v>
      </c>
      <c r="U1547" t="s">
        <v>58</v>
      </c>
      <c r="V1547">
        <v>1</v>
      </c>
      <c r="W1547">
        <v>1</v>
      </c>
      <c r="X1547">
        <v>1</v>
      </c>
      <c r="Y1547">
        <v>0</v>
      </c>
      <c r="Z1547">
        <v>1</v>
      </c>
      <c r="AA1547">
        <v>0</v>
      </c>
      <c r="AB1547">
        <v>159.11000000000001</v>
      </c>
      <c r="AC1547">
        <v>140</v>
      </c>
      <c r="AD1547">
        <v>0</v>
      </c>
      <c r="AE1547">
        <v>19.11</v>
      </c>
      <c r="AF1547">
        <v>0</v>
      </c>
      <c r="AG1547">
        <v>0</v>
      </c>
      <c r="AH1547">
        <v>0</v>
      </c>
      <c r="AI1547">
        <v>0</v>
      </c>
      <c r="AJ1547">
        <v>159.11000000000001</v>
      </c>
      <c r="AK1547">
        <v>0</v>
      </c>
      <c r="AL1547" t="s">
        <v>53</v>
      </c>
      <c r="AM1547" t="s">
        <v>53</v>
      </c>
      <c r="AN1547" t="s">
        <v>2647</v>
      </c>
      <c r="AO1547" t="s">
        <v>53</v>
      </c>
      <c r="AP1547" t="s">
        <v>53</v>
      </c>
    </row>
    <row r="1548" spans="2:42" x14ac:dyDescent="0.2">
      <c r="B1548" t="s">
        <v>44</v>
      </c>
      <c r="C1548" t="str">
        <f>HYPERLINK("https://us2.cloudbeds.com/connect/8493803454333002#/reservations/598376341646?display=E1ATPPYG&amp;reservation_id=598376341646", "E1ATPPYG")</f>
        <v>E1ATPPYG</v>
      </c>
      <c r="D1548" t="s">
        <v>45</v>
      </c>
      <c r="E1548" t="s">
        <v>155</v>
      </c>
      <c r="F1548" t="s">
        <v>86</v>
      </c>
      <c r="G1548" t="s">
        <v>48</v>
      </c>
      <c r="H1548" t="s">
        <v>49</v>
      </c>
      <c r="I1548" t="s">
        <v>79</v>
      </c>
      <c r="J1548" t="s">
        <v>143</v>
      </c>
      <c r="K1548" t="s">
        <v>144</v>
      </c>
      <c r="L1548" t="s">
        <v>53</v>
      </c>
      <c r="N1548" t="s">
        <v>2648</v>
      </c>
      <c r="P1548" t="s">
        <v>55</v>
      </c>
      <c r="R1548" t="s">
        <v>56</v>
      </c>
      <c r="T1548" t="s">
        <v>2638</v>
      </c>
      <c r="U1548" t="s">
        <v>58</v>
      </c>
      <c r="V1548">
        <v>1</v>
      </c>
      <c r="W1548">
        <v>1</v>
      </c>
      <c r="X1548">
        <v>1</v>
      </c>
      <c r="Y1548">
        <v>0</v>
      </c>
      <c r="Z1548">
        <v>1</v>
      </c>
      <c r="AA1548">
        <v>0</v>
      </c>
      <c r="AB1548">
        <v>210.25</v>
      </c>
      <c r="AC1548">
        <v>185</v>
      </c>
      <c r="AD1548">
        <v>0</v>
      </c>
      <c r="AE1548">
        <v>25.26</v>
      </c>
      <c r="AF1548">
        <v>0</v>
      </c>
      <c r="AG1548">
        <v>0</v>
      </c>
      <c r="AH1548">
        <v>0</v>
      </c>
      <c r="AI1548">
        <v>0</v>
      </c>
      <c r="AJ1548">
        <v>210.26</v>
      </c>
      <c r="AK1548">
        <v>0.01</v>
      </c>
      <c r="AL1548" t="s">
        <v>53</v>
      </c>
      <c r="AM1548" t="s">
        <v>53</v>
      </c>
      <c r="AN1548" t="s">
        <v>68</v>
      </c>
      <c r="AO1548" t="s">
        <v>53</v>
      </c>
      <c r="AP1548" t="s">
        <v>53</v>
      </c>
    </row>
    <row r="1549" spans="2:42" x14ac:dyDescent="0.2">
      <c r="B1549" t="s">
        <v>44</v>
      </c>
      <c r="C1549" t="str">
        <f>HYPERLINK("https://us2.cloudbeds.com/connect/8493803454333002#/reservations/598377984183?display=E1AV5FVB&amp;reservation_id=598377984183", "E1AV5FVB")</f>
        <v>E1AV5FVB</v>
      </c>
      <c r="D1549" t="s">
        <v>45</v>
      </c>
      <c r="E1549" t="s">
        <v>185</v>
      </c>
      <c r="F1549" t="s">
        <v>47</v>
      </c>
      <c r="G1549" t="s">
        <v>48</v>
      </c>
      <c r="H1549" t="s">
        <v>49</v>
      </c>
      <c r="I1549" t="s">
        <v>114</v>
      </c>
      <c r="J1549" t="s">
        <v>360</v>
      </c>
      <c r="K1549" t="s">
        <v>1117</v>
      </c>
      <c r="L1549" t="s">
        <v>53</v>
      </c>
      <c r="N1549" t="s">
        <v>2649</v>
      </c>
      <c r="P1549" t="s">
        <v>55</v>
      </c>
      <c r="R1549" t="s">
        <v>56</v>
      </c>
      <c r="T1549" t="s">
        <v>2638</v>
      </c>
      <c r="U1549" t="s">
        <v>58</v>
      </c>
      <c r="V1549">
        <v>2</v>
      </c>
      <c r="W1549">
        <v>1</v>
      </c>
      <c r="X1549">
        <v>1</v>
      </c>
      <c r="Y1549">
        <v>0</v>
      </c>
      <c r="Z1549">
        <v>1</v>
      </c>
      <c r="AA1549">
        <v>0</v>
      </c>
      <c r="AB1549">
        <v>218.21</v>
      </c>
      <c r="AC1549">
        <v>192</v>
      </c>
      <c r="AD1549">
        <v>0</v>
      </c>
      <c r="AE1549">
        <v>26.2</v>
      </c>
      <c r="AF1549">
        <v>0</v>
      </c>
      <c r="AG1549">
        <v>0</v>
      </c>
      <c r="AH1549">
        <v>0</v>
      </c>
      <c r="AI1549">
        <v>0</v>
      </c>
      <c r="AJ1549">
        <v>218.2</v>
      </c>
      <c r="AK1549">
        <v>-0.01</v>
      </c>
      <c r="AL1549" t="s">
        <v>53</v>
      </c>
      <c r="AM1549" t="s">
        <v>53</v>
      </c>
      <c r="AN1549" t="s">
        <v>2650</v>
      </c>
      <c r="AO1549" t="s">
        <v>53</v>
      </c>
      <c r="AP1549" t="s">
        <v>53</v>
      </c>
    </row>
    <row r="1550" spans="2:42" x14ac:dyDescent="0.2">
      <c r="B1550" t="s">
        <v>44</v>
      </c>
      <c r="C1550" t="str">
        <f>HYPERLINK("https://us2.cloudbeds.com/connect/8493803454333002#/reservations/598393147610?display=E1BAVE44&amp;reservation_id=598393147610", "E1BAVE44")</f>
        <v>E1BAVE44</v>
      </c>
      <c r="D1550" t="s">
        <v>45</v>
      </c>
      <c r="E1550" t="s">
        <v>165</v>
      </c>
      <c r="F1550" t="s">
        <v>61</v>
      </c>
      <c r="G1550" t="s">
        <v>48</v>
      </c>
      <c r="H1550" t="s">
        <v>49</v>
      </c>
      <c r="I1550" t="s">
        <v>50</v>
      </c>
      <c r="J1550" t="s">
        <v>360</v>
      </c>
      <c r="K1550" t="s">
        <v>1117</v>
      </c>
      <c r="L1550" t="s">
        <v>53</v>
      </c>
      <c r="N1550" t="s">
        <v>2651</v>
      </c>
      <c r="P1550" t="s">
        <v>55</v>
      </c>
      <c r="R1550" t="s">
        <v>56</v>
      </c>
      <c r="T1550" t="s">
        <v>2638</v>
      </c>
      <c r="U1550" t="s">
        <v>58</v>
      </c>
      <c r="V1550">
        <v>2</v>
      </c>
      <c r="W1550">
        <v>1</v>
      </c>
      <c r="X1550">
        <v>1</v>
      </c>
      <c r="Y1550">
        <v>0</v>
      </c>
      <c r="Z1550">
        <v>1</v>
      </c>
      <c r="AA1550">
        <v>0</v>
      </c>
      <c r="AB1550">
        <v>250.03</v>
      </c>
      <c r="AC1550">
        <v>220</v>
      </c>
      <c r="AD1550">
        <v>0</v>
      </c>
      <c r="AE1550">
        <v>30.04</v>
      </c>
      <c r="AF1550">
        <v>0</v>
      </c>
      <c r="AG1550">
        <v>0</v>
      </c>
      <c r="AH1550">
        <v>0</v>
      </c>
      <c r="AI1550">
        <v>45.01</v>
      </c>
      <c r="AJ1550">
        <v>250.04</v>
      </c>
      <c r="AK1550">
        <v>0.01</v>
      </c>
      <c r="AL1550" t="s">
        <v>53</v>
      </c>
      <c r="AM1550" t="s">
        <v>53</v>
      </c>
      <c r="AN1550" t="s">
        <v>112</v>
      </c>
      <c r="AO1550" t="s">
        <v>53</v>
      </c>
      <c r="AP1550" t="s">
        <v>53</v>
      </c>
    </row>
    <row r="1551" spans="2:42" x14ac:dyDescent="0.2">
      <c r="B1551" t="s">
        <v>44</v>
      </c>
      <c r="C1551" t="str">
        <f>HYPERLINK("https://us2.cloudbeds.com/connect/8493803454333002#/reservations/598404513950?display=E1BKHNHM&amp;reservation_id=598404513950", "E1BKHNHM")</f>
        <v>E1BKHNHM</v>
      </c>
      <c r="D1551" t="s">
        <v>45</v>
      </c>
      <c r="E1551" t="s">
        <v>213</v>
      </c>
      <c r="F1551" t="s">
        <v>86</v>
      </c>
      <c r="G1551" t="s">
        <v>48</v>
      </c>
      <c r="H1551" t="s">
        <v>49</v>
      </c>
      <c r="I1551" t="s">
        <v>79</v>
      </c>
      <c r="J1551" t="s">
        <v>143</v>
      </c>
      <c r="K1551" t="s">
        <v>144</v>
      </c>
      <c r="L1551" t="s">
        <v>53</v>
      </c>
      <c r="N1551" t="s">
        <v>2652</v>
      </c>
      <c r="P1551" t="s">
        <v>55</v>
      </c>
      <c r="R1551" t="s">
        <v>56</v>
      </c>
      <c r="T1551" t="s">
        <v>2638</v>
      </c>
      <c r="U1551" t="s">
        <v>58</v>
      </c>
      <c r="V1551">
        <v>1</v>
      </c>
      <c r="W1551">
        <v>1</v>
      </c>
      <c r="X1551">
        <v>1</v>
      </c>
      <c r="Y1551">
        <v>0</v>
      </c>
      <c r="Z1551">
        <v>1</v>
      </c>
      <c r="AA1551">
        <v>0</v>
      </c>
      <c r="AB1551">
        <v>210.25</v>
      </c>
      <c r="AC1551">
        <v>185</v>
      </c>
      <c r="AD1551">
        <v>0</v>
      </c>
      <c r="AE1551">
        <v>25.26</v>
      </c>
      <c r="AF1551">
        <v>0</v>
      </c>
      <c r="AG1551">
        <v>0</v>
      </c>
      <c r="AH1551">
        <v>0</v>
      </c>
      <c r="AI1551">
        <v>0</v>
      </c>
      <c r="AJ1551">
        <v>210.26</v>
      </c>
      <c r="AK1551">
        <v>0.01</v>
      </c>
      <c r="AL1551" t="s">
        <v>53</v>
      </c>
      <c r="AM1551" t="s">
        <v>53</v>
      </c>
      <c r="AN1551" t="s">
        <v>225</v>
      </c>
      <c r="AO1551" t="s">
        <v>53</v>
      </c>
      <c r="AP1551" t="s">
        <v>53</v>
      </c>
    </row>
    <row r="1552" spans="2:42" x14ac:dyDescent="0.2">
      <c r="B1552" t="s">
        <v>44</v>
      </c>
      <c r="C1552" t="str">
        <f>HYPERLINK("https://us2.cloudbeds.com/connect/8493803454333002#/reservations/598409736396?display=E1BZV15K&amp;reservation_id=598409736396", "E1BZV15K")</f>
        <v>E1BZV15K</v>
      </c>
      <c r="D1552" t="s">
        <v>45</v>
      </c>
      <c r="E1552" t="s">
        <v>190</v>
      </c>
      <c r="F1552" t="s">
        <v>61</v>
      </c>
      <c r="G1552" t="s">
        <v>48</v>
      </c>
      <c r="H1552" t="s">
        <v>71</v>
      </c>
      <c r="I1552" t="s">
        <v>72</v>
      </c>
      <c r="J1552" t="s">
        <v>360</v>
      </c>
      <c r="K1552" t="s">
        <v>611</v>
      </c>
      <c r="L1552" t="s">
        <v>53</v>
      </c>
      <c r="N1552" t="s">
        <v>2653</v>
      </c>
      <c r="P1552" t="s">
        <v>55</v>
      </c>
      <c r="R1552" t="s">
        <v>56</v>
      </c>
      <c r="T1552" t="s">
        <v>2638</v>
      </c>
      <c r="U1552" t="s">
        <v>58</v>
      </c>
      <c r="V1552">
        <v>1</v>
      </c>
      <c r="W1552">
        <v>1</v>
      </c>
      <c r="X1552">
        <v>1</v>
      </c>
      <c r="Y1552">
        <v>0</v>
      </c>
      <c r="Z1552">
        <v>1</v>
      </c>
      <c r="AA1552">
        <v>0</v>
      </c>
      <c r="AB1552">
        <v>115.92</v>
      </c>
      <c r="AC1552">
        <v>102</v>
      </c>
      <c r="AD1552">
        <v>0</v>
      </c>
      <c r="AE1552">
        <v>13.93</v>
      </c>
      <c r="AF1552">
        <v>0</v>
      </c>
      <c r="AG1552">
        <v>0</v>
      </c>
      <c r="AH1552">
        <v>0</v>
      </c>
      <c r="AI1552">
        <v>0</v>
      </c>
      <c r="AJ1552">
        <v>115.93</v>
      </c>
      <c r="AK1552">
        <v>0.01</v>
      </c>
      <c r="AL1552" t="s">
        <v>53</v>
      </c>
      <c r="AM1552" t="s">
        <v>53</v>
      </c>
      <c r="AN1552" t="s">
        <v>378</v>
      </c>
      <c r="AO1552" t="s">
        <v>53</v>
      </c>
      <c r="AP1552" t="s">
        <v>53</v>
      </c>
    </row>
    <row r="1553" spans="2:42" x14ac:dyDescent="0.2">
      <c r="B1553" t="s">
        <v>44</v>
      </c>
      <c r="C1553" t="str">
        <f>HYPERLINK("https://us2.cloudbeds.com/connect/8493803454333002#/reservations/598426357986?display=E1C5VXB4&amp;reservation_id=598426357986", "E1C5VXB4")</f>
        <v>E1C5VXB4</v>
      </c>
      <c r="D1553" t="s">
        <v>45</v>
      </c>
      <c r="E1553" t="s">
        <v>92</v>
      </c>
      <c r="F1553" t="s">
        <v>86</v>
      </c>
      <c r="G1553" t="s">
        <v>48</v>
      </c>
      <c r="H1553" t="s">
        <v>49</v>
      </c>
      <c r="I1553" t="s">
        <v>79</v>
      </c>
      <c r="J1553" t="s">
        <v>360</v>
      </c>
      <c r="K1553" t="s">
        <v>611</v>
      </c>
      <c r="L1553" t="s">
        <v>53</v>
      </c>
      <c r="N1553" t="s">
        <v>2654</v>
      </c>
      <c r="P1553" t="s">
        <v>55</v>
      </c>
      <c r="R1553" t="s">
        <v>56</v>
      </c>
      <c r="T1553" t="s">
        <v>2638</v>
      </c>
      <c r="U1553" t="s">
        <v>58</v>
      </c>
      <c r="V1553">
        <v>1</v>
      </c>
      <c r="W1553">
        <v>1</v>
      </c>
      <c r="X1553">
        <v>1</v>
      </c>
      <c r="Y1553">
        <v>0</v>
      </c>
      <c r="Z1553">
        <v>1</v>
      </c>
      <c r="AA1553">
        <v>0</v>
      </c>
      <c r="AB1553">
        <v>119.67</v>
      </c>
      <c r="AC1553">
        <v>105.3</v>
      </c>
      <c r="AD1553">
        <v>0</v>
      </c>
      <c r="AE1553">
        <v>14.38</v>
      </c>
      <c r="AF1553">
        <v>0</v>
      </c>
      <c r="AG1553">
        <v>0</v>
      </c>
      <c r="AH1553">
        <v>0</v>
      </c>
      <c r="AI1553">
        <v>0</v>
      </c>
      <c r="AJ1553">
        <v>119.68</v>
      </c>
      <c r="AK1553">
        <v>0.01</v>
      </c>
      <c r="AL1553" t="s">
        <v>53</v>
      </c>
      <c r="AM1553" t="s">
        <v>53</v>
      </c>
      <c r="AN1553" t="s">
        <v>316</v>
      </c>
      <c r="AO1553" t="s">
        <v>53</v>
      </c>
      <c r="AP1553" t="s">
        <v>53</v>
      </c>
    </row>
    <row r="1554" spans="2:42" x14ac:dyDescent="0.2">
      <c r="B1554" t="s">
        <v>44</v>
      </c>
      <c r="C1554" t="str">
        <f>HYPERLINK("https://us2.cloudbeds.com/connect/8493803454333002#/reservations/598436663497?display=E1CEYAKB&amp;reservation_id=598436663497", "E1CEYAKB")</f>
        <v>E1CEYAKB</v>
      </c>
      <c r="D1554" t="s">
        <v>45</v>
      </c>
      <c r="E1554" t="s">
        <v>78</v>
      </c>
      <c r="F1554" t="s">
        <v>61</v>
      </c>
      <c r="G1554" t="s">
        <v>48</v>
      </c>
      <c r="H1554" t="s">
        <v>49</v>
      </c>
      <c r="I1554" t="s">
        <v>50</v>
      </c>
      <c r="J1554" t="s">
        <v>360</v>
      </c>
      <c r="K1554" t="s">
        <v>611</v>
      </c>
      <c r="L1554" t="s">
        <v>53</v>
      </c>
      <c r="N1554" t="s">
        <v>2655</v>
      </c>
      <c r="P1554" t="s">
        <v>55</v>
      </c>
      <c r="R1554" t="s">
        <v>56</v>
      </c>
      <c r="T1554" t="s">
        <v>2638</v>
      </c>
      <c r="U1554" t="s">
        <v>58</v>
      </c>
      <c r="V1554">
        <v>1</v>
      </c>
      <c r="W1554">
        <v>1</v>
      </c>
      <c r="X1554">
        <v>1</v>
      </c>
      <c r="Y1554">
        <v>0</v>
      </c>
      <c r="Z1554">
        <v>1</v>
      </c>
      <c r="AA1554">
        <v>0</v>
      </c>
      <c r="AB1554">
        <v>112.51</v>
      </c>
      <c r="AC1554">
        <v>99</v>
      </c>
      <c r="AD1554">
        <v>0</v>
      </c>
      <c r="AE1554">
        <v>13.52</v>
      </c>
      <c r="AF1554">
        <v>0</v>
      </c>
      <c r="AG1554">
        <v>0</v>
      </c>
      <c r="AH1554">
        <v>0</v>
      </c>
      <c r="AI1554">
        <v>20.25</v>
      </c>
      <c r="AJ1554">
        <v>112.52</v>
      </c>
      <c r="AK1554">
        <v>0.01</v>
      </c>
      <c r="AL1554" t="s">
        <v>53</v>
      </c>
      <c r="AM1554" t="s">
        <v>53</v>
      </c>
      <c r="AN1554" t="s">
        <v>127</v>
      </c>
      <c r="AO1554" t="s">
        <v>53</v>
      </c>
      <c r="AP1554" t="s">
        <v>53</v>
      </c>
    </row>
    <row r="1555" spans="2:42" x14ac:dyDescent="0.2">
      <c r="B1555" t="s">
        <v>44</v>
      </c>
      <c r="C1555" t="str">
        <f>HYPERLINK("https://us2.cloudbeds.com/connect/8493803454333002#/reservations/598447788239?display=E1CZ0T5P&amp;reservation_id=598447788239", "E1CZ0T5P")</f>
        <v>E1CZ0T5P</v>
      </c>
      <c r="D1555" t="s">
        <v>45</v>
      </c>
      <c r="E1555" t="s">
        <v>381</v>
      </c>
      <c r="F1555" t="s">
        <v>47</v>
      </c>
      <c r="G1555" t="s">
        <v>48</v>
      </c>
      <c r="H1555" t="s">
        <v>71</v>
      </c>
      <c r="I1555" t="s">
        <v>72</v>
      </c>
      <c r="J1555" t="s">
        <v>611</v>
      </c>
      <c r="K1555" t="s">
        <v>1117</v>
      </c>
      <c r="L1555" t="s">
        <v>53</v>
      </c>
      <c r="N1555" t="s">
        <v>2656</v>
      </c>
      <c r="P1555" t="s">
        <v>55</v>
      </c>
      <c r="R1555" t="s">
        <v>56</v>
      </c>
      <c r="T1555" t="s">
        <v>2638</v>
      </c>
      <c r="U1555" t="s">
        <v>58</v>
      </c>
      <c r="V1555">
        <v>1</v>
      </c>
      <c r="W1555">
        <v>1</v>
      </c>
      <c r="X1555">
        <v>1</v>
      </c>
      <c r="Y1555">
        <v>0</v>
      </c>
      <c r="Z1555">
        <v>1</v>
      </c>
      <c r="AA1555">
        <v>0</v>
      </c>
      <c r="AB1555">
        <v>109.1</v>
      </c>
      <c r="AC1555">
        <v>96</v>
      </c>
      <c r="AD1555">
        <v>0</v>
      </c>
      <c r="AE1555">
        <v>13.1</v>
      </c>
      <c r="AF1555">
        <v>0</v>
      </c>
      <c r="AG1555">
        <v>0</v>
      </c>
      <c r="AH1555">
        <v>0</v>
      </c>
      <c r="AI1555">
        <v>0</v>
      </c>
      <c r="AJ1555">
        <v>109.1</v>
      </c>
      <c r="AK1555">
        <v>0</v>
      </c>
      <c r="AL1555" t="s">
        <v>53</v>
      </c>
      <c r="AM1555" t="s">
        <v>53</v>
      </c>
      <c r="AN1555" t="s">
        <v>2657</v>
      </c>
      <c r="AO1555" t="s">
        <v>53</v>
      </c>
      <c r="AP1555" t="s">
        <v>53</v>
      </c>
    </row>
    <row r="1556" spans="2:42" x14ac:dyDescent="0.2">
      <c r="B1556" t="s">
        <v>44</v>
      </c>
      <c r="C1556" t="str">
        <f>HYPERLINK("https://us2.cloudbeds.com/connect/8493803454333002#/reservations/598489170135?display=E1DPUD2K&amp;reservation_id=598489170135", "E1DPUD2K")</f>
        <v>E1DPUD2K</v>
      </c>
      <c r="D1556" t="s">
        <v>45</v>
      </c>
      <c r="E1556" t="s">
        <v>190</v>
      </c>
      <c r="F1556" t="s">
        <v>61</v>
      </c>
      <c r="G1556" t="s">
        <v>48</v>
      </c>
      <c r="H1556" t="s">
        <v>49</v>
      </c>
      <c r="I1556" t="s">
        <v>62</v>
      </c>
      <c r="J1556" t="s">
        <v>611</v>
      </c>
      <c r="K1556" t="s">
        <v>699</v>
      </c>
      <c r="L1556" t="s">
        <v>53</v>
      </c>
      <c r="N1556" t="s">
        <v>2658</v>
      </c>
      <c r="P1556" t="s">
        <v>55</v>
      </c>
      <c r="R1556" t="s">
        <v>118</v>
      </c>
      <c r="T1556" t="s">
        <v>2638</v>
      </c>
      <c r="U1556" t="s">
        <v>58</v>
      </c>
      <c r="V1556">
        <v>2</v>
      </c>
      <c r="W1556">
        <v>1</v>
      </c>
      <c r="X1556">
        <v>1</v>
      </c>
      <c r="Y1556">
        <v>0</v>
      </c>
      <c r="Z1556">
        <v>1</v>
      </c>
      <c r="AA1556">
        <v>0</v>
      </c>
      <c r="AB1556">
        <v>250.03</v>
      </c>
      <c r="AC1556">
        <v>220</v>
      </c>
      <c r="AD1556">
        <v>0</v>
      </c>
      <c r="AE1556">
        <v>30.04</v>
      </c>
      <c r="AF1556">
        <v>0</v>
      </c>
      <c r="AG1556">
        <v>0</v>
      </c>
      <c r="AH1556">
        <v>0</v>
      </c>
      <c r="AI1556">
        <v>37.51</v>
      </c>
      <c r="AJ1556">
        <v>250.04</v>
      </c>
      <c r="AK1556">
        <v>0.01</v>
      </c>
      <c r="AL1556" t="s">
        <v>53</v>
      </c>
      <c r="AM1556" t="s">
        <v>53</v>
      </c>
      <c r="AN1556" t="s">
        <v>245</v>
      </c>
      <c r="AO1556" t="s">
        <v>53</v>
      </c>
      <c r="AP1556" t="s">
        <v>53</v>
      </c>
    </row>
    <row r="1557" spans="2:42" x14ac:dyDescent="0.2">
      <c r="B1557" t="s">
        <v>44</v>
      </c>
      <c r="C1557" t="str">
        <f>HYPERLINK("https://us2.cloudbeds.com/connect/8493803454333002#/reservations/598516506774?display=E1EFW2JK&amp;reservation_id=598516506774", "E1EFW2JK")</f>
        <v>E1EFW2JK</v>
      </c>
      <c r="D1557" t="s">
        <v>45</v>
      </c>
      <c r="E1557" t="s">
        <v>265</v>
      </c>
      <c r="F1557" t="s">
        <v>61</v>
      </c>
      <c r="G1557" t="s">
        <v>48</v>
      </c>
      <c r="H1557" t="s">
        <v>49</v>
      </c>
      <c r="I1557" t="s">
        <v>50</v>
      </c>
      <c r="J1557" t="s">
        <v>360</v>
      </c>
      <c r="K1557" t="s">
        <v>611</v>
      </c>
      <c r="L1557" t="s">
        <v>53</v>
      </c>
      <c r="N1557" t="s">
        <v>2659</v>
      </c>
      <c r="P1557" t="s">
        <v>55</v>
      </c>
      <c r="R1557" t="s">
        <v>56</v>
      </c>
      <c r="T1557" t="s">
        <v>2638</v>
      </c>
      <c r="U1557" t="s">
        <v>58</v>
      </c>
      <c r="V1557">
        <v>1</v>
      </c>
      <c r="W1557">
        <v>1</v>
      </c>
      <c r="X1557">
        <v>1</v>
      </c>
      <c r="Y1557">
        <v>0</v>
      </c>
      <c r="Z1557">
        <v>1</v>
      </c>
      <c r="AA1557">
        <v>0</v>
      </c>
      <c r="AB1557">
        <v>112.51</v>
      </c>
      <c r="AC1557">
        <v>99</v>
      </c>
      <c r="AD1557">
        <v>0</v>
      </c>
      <c r="AE1557">
        <v>13.52</v>
      </c>
      <c r="AF1557">
        <v>0</v>
      </c>
      <c r="AG1557">
        <v>0</v>
      </c>
      <c r="AH1557">
        <v>0</v>
      </c>
      <c r="AI1557">
        <v>20.25</v>
      </c>
      <c r="AJ1557">
        <v>112.52</v>
      </c>
      <c r="AK1557">
        <v>0.01</v>
      </c>
      <c r="AL1557" t="s">
        <v>53</v>
      </c>
      <c r="AM1557" t="s">
        <v>53</v>
      </c>
      <c r="AN1557" t="s">
        <v>225</v>
      </c>
      <c r="AO1557" t="s">
        <v>53</v>
      </c>
      <c r="AP1557" t="s">
        <v>53</v>
      </c>
    </row>
    <row r="1558" spans="2:42" x14ac:dyDescent="0.2">
      <c r="B1558" t="s">
        <v>44</v>
      </c>
      <c r="C1558" t="str">
        <f>HYPERLINK("https://us2.cloudbeds.com/connect/8493803454333002#/reservations/598564159616?display=E1FN4W7U&amp;reservation_id=598564159616", "E1FN4W7U")</f>
        <v>E1FN4W7U</v>
      </c>
      <c r="D1558" t="s">
        <v>45</v>
      </c>
      <c r="E1558" t="s">
        <v>121</v>
      </c>
      <c r="F1558" t="s">
        <v>86</v>
      </c>
      <c r="G1558" t="s">
        <v>48</v>
      </c>
      <c r="H1558" t="s">
        <v>49</v>
      </c>
      <c r="I1558" t="s">
        <v>79</v>
      </c>
      <c r="J1558" t="s">
        <v>144</v>
      </c>
      <c r="K1558" t="s">
        <v>783</v>
      </c>
      <c r="L1558" t="s">
        <v>53</v>
      </c>
      <c r="N1558" t="s">
        <v>2660</v>
      </c>
      <c r="P1558" t="s">
        <v>55</v>
      </c>
      <c r="R1558" t="s">
        <v>56</v>
      </c>
      <c r="T1558" t="s">
        <v>2638</v>
      </c>
      <c r="U1558" t="s">
        <v>58</v>
      </c>
      <c r="V1558">
        <v>1</v>
      </c>
      <c r="W1558">
        <v>1</v>
      </c>
      <c r="X1558">
        <v>1</v>
      </c>
      <c r="Y1558">
        <v>0</v>
      </c>
      <c r="Z1558">
        <v>1</v>
      </c>
      <c r="AA1558">
        <v>0</v>
      </c>
      <c r="AB1558">
        <v>184.11</v>
      </c>
      <c r="AC1558">
        <v>162</v>
      </c>
      <c r="AD1558">
        <v>0</v>
      </c>
      <c r="AE1558">
        <v>22.12</v>
      </c>
      <c r="AF1558">
        <v>0</v>
      </c>
      <c r="AG1558">
        <v>0</v>
      </c>
      <c r="AH1558">
        <v>0</v>
      </c>
      <c r="AI1558">
        <v>0</v>
      </c>
      <c r="AJ1558">
        <v>184.12</v>
      </c>
      <c r="AK1558">
        <v>0.01</v>
      </c>
      <c r="AL1558" t="s">
        <v>53</v>
      </c>
      <c r="AM1558" t="s">
        <v>53</v>
      </c>
      <c r="AN1558" t="s">
        <v>142</v>
      </c>
      <c r="AO1558" t="s">
        <v>53</v>
      </c>
      <c r="AP1558" t="s">
        <v>53</v>
      </c>
    </row>
    <row r="1559" spans="2:42" x14ac:dyDescent="0.2">
      <c r="B1559" t="s">
        <v>44</v>
      </c>
      <c r="C1559" t="str">
        <f>HYPERLINK("https://us2.cloudbeds.com/connect/8493803454333002#/reservations/598327427251?display=E19YHYS3&amp;reservation_id=598327427251", "E19YHYS3")</f>
        <v>E19YHYS3</v>
      </c>
      <c r="D1559" t="s">
        <v>45</v>
      </c>
      <c r="E1559" t="s">
        <v>179</v>
      </c>
      <c r="F1559" t="s">
        <v>47</v>
      </c>
      <c r="G1559" t="s">
        <v>48</v>
      </c>
      <c r="H1559" t="s">
        <v>49</v>
      </c>
      <c r="I1559" t="s">
        <v>79</v>
      </c>
      <c r="J1559" t="s">
        <v>292</v>
      </c>
      <c r="K1559" t="s">
        <v>640</v>
      </c>
      <c r="L1559" t="s">
        <v>53</v>
      </c>
      <c r="N1559" t="s">
        <v>2661</v>
      </c>
      <c r="P1559" t="s">
        <v>55</v>
      </c>
      <c r="R1559" t="s">
        <v>56</v>
      </c>
      <c r="T1559" t="s">
        <v>2662</v>
      </c>
      <c r="U1559" t="s">
        <v>58</v>
      </c>
      <c r="V1559">
        <v>2</v>
      </c>
      <c r="W1559">
        <v>1</v>
      </c>
      <c r="X1559">
        <v>1</v>
      </c>
      <c r="Y1559">
        <v>0</v>
      </c>
      <c r="Z1559">
        <v>1</v>
      </c>
      <c r="AA1559">
        <v>0</v>
      </c>
      <c r="AB1559">
        <v>312.99</v>
      </c>
      <c r="AC1559">
        <v>275.39999999999998</v>
      </c>
      <c r="AD1559">
        <v>0</v>
      </c>
      <c r="AE1559">
        <v>37.58</v>
      </c>
      <c r="AF1559">
        <v>0</v>
      </c>
      <c r="AG1559">
        <v>0</v>
      </c>
      <c r="AH1559">
        <v>0</v>
      </c>
      <c r="AI1559">
        <v>0</v>
      </c>
      <c r="AJ1559">
        <v>312.98</v>
      </c>
      <c r="AK1559">
        <v>-0.01</v>
      </c>
      <c r="AL1559" t="s">
        <v>53</v>
      </c>
      <c r="AM1559" t="s">
        <v>53</v>
      </c>
      <c r="AN1559" t="s">
        <v>178</v>
      </c>
      <c r="AO1559" t="s">
        <v>53</v>
      </c>
      <c r="AP1559" t="s">
        <v>53</v>
      </c>
    </row>
    <row r="1560" spans="2:42" x14ac:dyDescent="0.2">
      <c r="B1560" t="s">
        <v>44</v>
      </c>
      <c r="C1560" t="str">
        <f>HYPERLINK("https://us2.cloudbeds.com/connect/8493803454333002#/reservations/598184149219?display=E15WNZDX&amp;reservation_id=598184149219", "E15WNZDX")</f>
        <v>E15WNZDX</v>
      </c>
      <c r="D1560" t="s">
        <v>45</v>
      </c>
      <c r="E1560" t="s">
        <v>213</v>
      </c>
      <c r="F1560" t="s">
        <v>86</v>
      </c>
      <c r="G1560" t="s">
        <v>48</v>
      </c>
      <c r="H1560" t="s">
        <v>49</v>
      </c>
      <c r="I1560" t="s">
        <v>50</v>
      </c>
      <c r="J1560" t="s">
        <v>144</v>
      </c>
      <c r="K1560" t="s">
        <v>196</v>
      </c>
      <c r="L1560" t="s">
        <v>53</v>
      </c>
      <c r="N1560" t="s">
        <v>2663</v>
      </c>
      <c r="P1560" t="s">
        <v>55</v>
      </c>
      <c r="R1560" t="s">
        <v>56</v>
      </c>
      <c r="T1560" t="s">
        <v>2662</v>
      </c>
      <c r="U1560" t="s">
        <v>58</v>
      </c>
      <c r="V1560">
        <v>2</v>
      </c>
      <c r="W1560">
        <v>1</v>
      </c>
      <c r="X1560">
        <v>1</v>
      </c>
      <c r="Y1560">
        <v>0</v>
      </c>
      <c r="Z1560">
        <v>1</v>
      </c>
      <c r="AA1560">
        <v>0</v>
      </c>
      <c r="AB1560">
        <v>356.97</v>
      </c>
      <c r="AC1560">
        <v>314.10000000000002</v>
      </c>
      <c r="AD1560">
        <v>0</v>
      </c>
      <c r="AE1560">
        <v>42.88</v>
      </c>
      <c r="AF1560">
        <v>0</v>
      </c>
      <c r="AG1560">
        <v>0</v>
      </c>
      <c r="AH1560">
        <v>0</v>
      </c>
      <c r="AI1560">
        <v>64.260000000000005</v>
      </c>
      <c r="AJ1560">
        <v>356.98</v>
      </c>
      <c r="AK1560">
        <v>0.01</v>
      </c>
      <c r="AL1560" t="s">
        <v>53</v>
      </c>
      <c r="AM1560" t="s">
        <v>53</v>
      </c>
      <c r="AN1560" t="s">
        <v>97</v>
      </c>
      <c r="AO1560" t="s">
        <v>53</v>
      </c>
      <c r="AP1560" t="s">
        <v>53</v>
      </c>
    </row>
    <row r="1561" spans="2:42" x14ac:dyDescent="0.2">
      <c r="B1561" t="s">
        <v>44</v>
      </c>
      <c r="C1561" t="str">
        <f>HYPERLINK("https://us2.cloudbeds.com/connect/8493803454333002#/reservations/579316695186?display=DJXT60K8&amp;reservation_id=579316695186", "DJXT60K8")</f>
        <v>DJXT60K8</v>
      </c>
      <c r="D1561" t="s">
        <v>45</v>
      </c>
      <c r="E1561" t="s">
        <v>138</v>
      </c>
      <c r="F1561" t="s">
        <v>70</v>
      </c>
      <c r="G1561" t="s">
        <v>48</v>
      </c>
      <c r="H1561" t="s">
        <v>49</v>
      </c>
      <c r="I1561" t="s">
        <v>79</v>
      </c>
      <c r="J1561" t="s">
        <v>2283</v>
      </c>
      <c r="K1561" t="s">
        <v>2664</v>
      </c>
      <c r="L1561" t="s">
        <v>53</v>
      </c>
      <c r="N1561" t="s">
        <v>2665</v>
      </c>
      <c r="P1561" t="s">
        <v>55</v>
      </c>
      <c r="R1561" t="s">
        <v>56</v>
      </c>
      <c r="T1561" t="s">
        <v>2662</v>
      </c>
      <c r="U1561" t="s">
        <v>58</v>
      </c>
      <c r="V1561">
        <v>1</v>
      </c>
      <c r="W1561">
        <v>1</v>
      </c>
      <c r="X1561">
        <v>1</v>
      </c>
      <c r="Y1561">
        <v>0</v>
      </c>
      <c r="Z1561">
        <v>1</v>
      </c>
      <c r="AA1561">
        <v>0</v>
      </c>
      <c r="AB1561">
        <v>68.540000000000006</v>
      </c>
      <c r="AC1561">
        <v>60.3</v>
      </c>
      <c r="AD1561">
        <v>0</v>
      </c>
      <c r="AE1561">
        <v>8.24</v>
      </c>
      <c r="AF1561">
        <v>0</v>
      </c>
      <c r="AG1561">
        <v>0</v>
      </c>
      <c r="AH1561">
        <v>0</v>
      </c>
      <c r="AI1561">
        <v>0</v>
      </c>
      <c r="AJ1561">
        <v>68.540000000000006</v>
      </c>
      <c r="AK1561">
        <v>0</v>
      </c>
      <c r="AL1561" t="s">
        <v>53</v>
      </c>
      <c r="AM1561" t="s">
        <v>53</v>
      </c>
      <c r="AN1561" t="s">
        <v>545</v>
      </c>
      <c r="AO1561" t="s">
        <v>53</v>
      </c>
      <c r="AP1561" t="s">
        <v>53</v>
      </c>
    </row>
    <row r="1562" spans="2:42" x14ac:dyDescent="0.2">
      <c r="B1562" t="s">
        <v>44</v>
      </c>
      <c r="C1562" t="str">
        <f>HYPERLINK("https://us2.cloudbeds.com/connect/8493803454333002#/reservations/598471184580?display=E1DAZUDP&amp;reservation_id=598471184580", "E1DAZUDP")</f>
        <v>E1DAZUDP</v>
      </c>
      <c r="D1562" t="s">
        <v>45</v>
      </c>
      <c r="E1562" t="s">
        <v>69</v>
      </c>
      <c r="F1562" t="s">
        <v>70</v>
      </c>
      <c r="G1562" t="s">
        <v>48</v>
      </c>
      <c r="H1562" t="s">
        <v>49</v>
      </c>
      <c r="I1562" t="s">
        <v>62</v>
      </c>
      <c r="J1562" t="s">
        <v>134</v>
      </c>
      <c r="K1562" t="s">
        <v>341</v>
      </c>
      <c r="L1562" t="s">
        <v>53</v>
      </c>
      <c r="N1562" t="s">
        <v>2666</v>
      </c>
      <c r="P1562" t="s">
        <v>55</v>
      </c>
      <c r="R1562" t="s">
        <v>56</v>
      </c>
      <c r="T1562" t="s">
        <v>2662</v>
      </c>
      <c r="U1562" t="s">
        <v>58</v>
      </c>
      <c r="V1562">
        <v>1</v>
      </c>
      <c r="W1562">
        <v>1</v>
      </c>
      <c r="X1562">
        <v>1</v>
      </c>
      <c r="Y1562">
        <v>0</v>
      </c>
      <c r="Z1562">
        <v>1</v>
      </c>
      <c r="AA1562">
        <v>0</v>
      </c>
      <c r="AB1562">
        <v>167.07</v>
      </c>
      <c r="AC1562">
        <v>147</v>
      </c>
      <c r="AD1562">
        <v>0</v>
      </c>
      <c r="AE1562">
        <v>20.07</v>
      </c>
      <c r="AF1562">
        <v>0</v>
      </c>
      <c r="AG1562">
        <v>0</v>
      </c>
      <c r="AH1562">
        <v>0</v>
      </c>
      <c r="AI1562">
        <v>25.06</v>
      </c>
      <c r="AJ1562">
        <v>167.07</v>
      </c>
      <c r="AK1562">
        <v>0</v>
      </c>
      <c r="AL1562" t="s">
        <v>53</v>
      </c>
      <c r="AM1562" t="s">
        <v>53</v>
      </c>
      <c r="AN1562" t="s">
        <v>225</v>
      </c>
      <c r="AO1562" t="s">
        <v>53</v>
      </c>
      <c r="AP1562" t="s">
        <v>53</v>
      </c>
    </row>
    <row r="1563" spans="2:42" x14ac:dyDescent="0.2">
      <c r="B1563" t="s">
        <v>44</v>
      </c>
      <c r="C1563" t="str">
        <f>HYPERLINK("https://us2.cloudbeds.com/connect/8493803454333002#/reservations/598360203454?display=E1AG5NCC&amp;reservation_id=598360203454", "E1AG5NCC")</f>
        <v>E1AG5NCC</v>
      </c>
      <c r="D1563" t="s">
        <v>45</v>
      </c>
      <c r="E1563" t="s">
        <v>98</v>
      </c>
      <c r="F1563" t="s">
        <v>86</v>
      </c>
      <c r="G1563" t="s">
        <v>48</v>
      </c>
      <c r="H1563" t="s">
        <v>49</v>
      </c>
      <c r="I1563" t="s">
        <v>79</v>
      </c>
      <c r="J1563" t="s">
        <v>478</v>
      </c>
      <c r="K1563" t="s">
        <v>237</v>
      </c>
      <c r="L1563" t="s">
        <v>53</v>
      </c>
      <c r="N1563" t="s">
        <v>2667</v>
      </c>
      <c r="P1563" t="s">
        <v>55</v>
      </c>
      <c r="R1563" t="s">
        <v>56</v>
      </c>
      <c r="T1563" t="s">
        <v>2662</v>
      </c>
      <c r="U1563" t="s">
        <v>58</v>
      </c>
      <c r="V1563">
        <v>2</v>
      </c>
      <c r="W1563">
        <v>1</v>
      </c>
      <c r="X1563">
        <v>1</v>
      </c>
      <c r="Y1563">
        <v>0</v>
      </c>
      <c r="Z1563">
        <v>1</v>
      </c>
      <c r="AA1563">
        <v>0</v>
      </c>
      <c r="AB1563">
        <v>340.61</v>
      </c>
      <c r="AC1563">
        <v>299.7</v>
      </c>
      <c r="AD1563">
        <v>0</v>
      </c>
      <c r="AE1563">
        <v>40.92</v>
      </c>
      <c r="AF1563">
        <v>0</v>
      </c>
      <c r="AG1563">
        <v>0</v>
      </c>
      <c r="AH1563">
        <v>0</v>
      </c>
      <c r="AI1563">
        <v>0</v>
      </c>
      <c r="AJ1563">
        <v>340.62</v>
      </c>
      <c r="AK1563">
        <v>0.01</v>
      </c>
      <c r="AL1563" t="s">
        <v>53</v>
      </c>
      <c r="AM1563" t="s">
        <v>53</v>
      </c>
      <c r="AN1563" t="s">
        <v>245</v>
      </c>
      <c r="AO1563" t="s">
        <v>53</v>
      </c>
      <c r="AP1563" t="s">
        <v>53</v>
      </c>
    </row>
    <row r="1564" spans="2:42" x14ac:dyDescent="0.2">
      <c r="B1564" t="s">
        <v>44</v>
      </c>
      <c r="C1564" t="str">
        <f>HYPERLINK("https://us2.cloudbeds.com/connect/8493803454333002#/reservations/598359470237?display=E1AFXA2M&amp;reservation_id=598359470237", "E1AFXA2M")</f>
        <v>E1AFXA2M</v>
      </c>
      <c r="D1564" t="s">
        <v>45</v>
      </c>
      <c r="E1564" t="s">
        <v>381</v>
      </c>
      <c r="F1564" t="s">
        <v>47</v>
      </c>
      <c r="G1564" t="s">
        <v>48</v>
      </c>
      <c r="H1564" t="s">
        <v>49</v>
      </c>
      <c r="I1564" t="s">
        <v>79</v>
      </c>
      <c r="J1564" t="s">
        <v>1117</v>
      </c>
      <c r="K1564" t="s">
        <v>699</v>
      </c>
      <c r="L1564" t="s">
        <v>53</v>
      </c>
      <c r="N1564" t="s">
        <v>2668</v>
      </c>
      <c r="P1564" t="s">
        <v>55</v>
      </c>
      <c r="R1564" t="s">
        <v>56</v>
      </c>
      <c r="T1564" t="s">
        <v>2662</v>
      </c>
      <c r="U1564" t="s">
        <v>58</v>
      </c>
      <c r="V1564">
        <v>1</v>
      </c>
      <c r="W1564">
        <v>1</v>
      </c>
      <c r="X1564">
        <v>1</v>
      </c>
      <c r="Y1564">
        <v>0</v>
      </c>
      <c r="Z1564">
        <v>1</v>
      </c>
      <c r="AA1564">
        <v>0</v>
      </c>
      <c r="AB1564">
        <v>103.31</v>
      </c>
      <c r="AC1564">
        <v>90.9</v>
      </c>
      <c r="AD1564">
        <v>0</v>
      </c>
      <c r="AE1564">
        <v>12.41</v>
      </c>
      <c r="AF1564">
        <v>0</v>
      </c>
      <c r="AG1564">
        <v>0</v>
      </c>
      <c r="AH1564">
        <v>0</v>
      </c>
      <c r="AI1564">
        <v>0</v>
      </c>
      <c r="AJ1564">
        <v>103.31</v>
      </c>
      <c r="AK1564">
        <v>0</v>
      </c>
      <c r="AL1564" t="s">
        <v>53</v>
      </c>
      <c r="AM1564" t="s">
        <v>53</v>
      </c>
      <c r="AN1564" t="s">
        <v>252</v>
      </c>
      <c r="AO1564" t="s">
        <v>53</v>
      </c>
      <c r="AP1564" t="s">
        <v>53</v>
      </c>
    </row>
    <row r="1565" spans="2:42" x14ac:dyDescent="0.2">
      <c r="B1565" t="s">
        <v>44</v>
      </c>
      <c r="C1565" t="str">
        <f>HYPERLINK("https://us2.cloudbeds.com/connect/8493803454333002#/reservations/598275264650?display=E18AX5A7&amp;reservation_id=598275264650", "E18AX5A7")</f>
        <v>E18AX5A7</v>
      </c>
      <c r="D1565" t="s">
        <v>45</v>
      </c>
      <c r="E1565" t="s">
        <v>265</v>
      </c>
      <c r="F1565" t="s">
        <v>61</v>
      </c>
      <c r="G1565" t="s">
        <v>48</v>
      </c>
      <c r="H1565" t="s">
        <v>49</v>
      </c>
      <c r="I1565" t="s">
        <v>50</v>
      </c>
      <c r="J1565" t="s">
        <v>322</v>
      </c>
      <c r="K1565" t="s">
        <v>351</v>
      </c>
      <c r="L1565" t="s">
        <v>53</v>
      </c>
      <c r="N1565" t="s">
        <v>2669</v>
      </c>
      <c r="P1565" t="s">
        <v>55</v>
      </c>
      <c r="R1565" t="s">
        <v>56</v>
      </c>
      <c r="T1565" t="s">
        <v>2662</v>
      </c>
      <c r="U1565" t="s">
        <v>58</v>
      </c>
      <c r="V1565">
        <v>1</v>
      </c>
      <c r="W1565">
        <v>1</v>
      </c>
      <c r="X1565">
        <v>1</v>
      </c>
      <c r="Y1565">
        <v>0</v>
      </c>
      <c r="Z1565">
        <v>1</v>
      </c>
      <c r="AA1565">
        <v>0</v>
      </c>
      <c r="AB1565">
        <v>168.77</v>
      </c>
      <c r="AC1565">
        <v>148.5</v>
      </c>
      <c r="AD1565">
        <v>0</v>
      </c>
      <c r="AE1565">
        <v>20.28</v>
      </c>
      <c r="AF1565">
        <v>0</v>
      </c>
      <c r="AG1565">
        <v>0</v>
      </c>
      <c r="AH1565">
        <v>0</v>
      </c>
      <c r="AI1565">
        <v>30.38</v>
      </c>
      <c r="AJ1565">
        <v>168.78</v>
      </c>
      <c r="AK1565">
        <v>0.01</v>
      </c>
      <c r="AL1565" t="s">
        <v>53</v>
      </c>
      <c r="AM1565" t="s">
        <v>53</v>
      </c>
      <c r="AN1565" t="s">
        <v>2670</v>
      </c>
      <c r="AO1565" t="s">
        <v>53</v>
      </c>
      <c r="AP1565" t="s">
        <v>53</v>
      </c>
    </row>
    <row r="1566" spans="2:42" x14ac:dyDescent="0.2">
      <c r="B1566" t="s">
        <v>44</v>
      </c>
      <c r="C1566" t="str">
        <f>HYPERLINK("https://us2.cloudbeds.com/connect/8493803454333002#/reservations/579141816481?display=DJEDNP3X&amp;reservation_id=579141816481", "DJEDNP3X")</f>
        <v>DJEDNP3X</v>
      </c>
      <c r="D1566" t="s">
        <v>45</v>
      </c>
      <c r="E1566" t="s">
        <v>165</v>
      </c>
      <c r="F1566" t="s">
        <v>61</v>
      </c>
      <c r="G1566" t="s">
        <v>48</v>
      </c>
      <c r="H1566" t="s">
        <v>49</v>
      </c>
      <c r="I1566" t="s">
        <v>50</v>
      </c>
      <c r="J1566" t="s">
        <v>1140</v>
      </c>
      <c r="K1566" t="s">
        <v>1450</v>
      </c>
      <c r="L1566" t="s">
        <v>53</v>
      </c>
      <c r="N1566" t="s">
        <v>2671</v>
      </c>
      <c r="P1566" t="s">
        <v>55</v>
      </c>
      <c r="R1566" t="s">
        <v>56</v>
      </c>
      <c r="T1566" t="s">
        <v>2662</v>
      </c>
      <c r="U1566" t="s">
        <v>58</v>
      </c>
      <c r="V1566">
        <v>3</v>
      </c>
      <c r="W1566">
        <v>1</v>
      </c>
      <c r="X1566">
        <v>1</v>
      </c>
      <c r="Y1566">
        <v>0</v>
      </c>
      <c r="Z1566">
        <v>1</v>
      </c>
      <c r="AA1566">
        <v>0</v>
      </c>
      <c r="AB1566">
        <v>476.64</v>
      </c>
      <c r="AC1566">
        <v>419.4</v>
      </c>
      <c r="AD1566">
        <v>0</v>
      </c>
      <c r="AE1566">
        <v>57.24</v>
      </c>
      <c r="AF1566">
        <v>0</v>
      </c>
      <c r="AG1566">
        <v>0</v>
      </c>
      <c r="AH1566">
        <v>0</v>
      </c>
      <c r="AI1566">
        <v>85.8</v>
      </c>
      <c r="AJ1566">
        <v>476.64</v>
      </c>
      <c r="AK1566">
        <v>0</v>
      </c>
      <c r="AL1566" t="s">
        <v>53</v>
      </c>
      <c r="AM1566" t="s">
        <v>53</v>
      </c>
      <c r="AN1566" t="s">
        <v>545</v>
      </c>
      <c r="AO1566" t="s">
        <v>53</v>
      </c>
      <c r="AP1566" t="s">
        <v>53</v>
      </c>
    </row>
    <row r="1567" spans="2:42" x14ac:dyDescent="0.2">
      <c r="B1567" t="s">
        <v>44</v>
      </c>
      <c r="C1567" t="str">
        <f>HYPERLINK("https://us2.cloudbeds.com/connect/8493803454333002#/reservations/598277722275?display=E18CKX2N&amp;reservation_id=598277722275", "E18CKX2N")</f>
        <v>E18CKX2N</v>
      </c>
      <c r="D1567" t="s">
        <v>45</v>
      </c>
      <c r="E1567" t="s">
        <v>113</v>
      </c>
      <c r="F1567" t="s">
        <v>61</v>
      </c>
      <c r="G1567" t="s">
        <v>48</v>
      </c>
      <c r="H1567" t="s">
        <v>71</v>
      </c>
      <c r="I1567" t="s">
        <v>72</v>
      </c>
      <c r="J1567" t="s">
        <v>333</v>
      </c>
      <c r="K1567" t="s">
        <v>334</v>
      </c>
      <c r="L1567" t="s">
        <v>53</v>
      </c>
      <c r="N1567" t="s">
        <v>2672</v>
      </c>
      <c r="P1567" t="s">
        <v>58</v>
      </c>
      <c r="R1567" t="s">
        <v>56</v>
      </c>
      <c r="T1567" t="s">
        <v>2662</v>
      </c>
      <c r="U1567" t="s">
        <v>58</v>
      </c>
      <c r="V1567">
        <v>1</v>
      </c>
      <c r="W1567">
        <v>1</v>
      </c>
      <c r="X1567">
        <v>1</v>
      </c>
      <c r="Y1567">
        <v>0</v>
      </c>
      <c r="Z1567">
        <v>1</v>
      </c>
      <c r="AA1567">
        <v>0</v>
      </c>
      <c r="AB1567">
        <v>130.69999999999999</v>
      </c>
      <c r="AC1567">
        <v>115</v>
      </c>
      <c r="AD1567">
        <v>0</v>
      </c>
      <c r="AE1567">
        <v>15.71</v>
      </c>
      <c r="AF1567">
        <v>0</v>
      </c>
      <c r="AG1567">
        <v>0</v>
      </c>
      <c r="AH1567">
        <v>0</v>
      </c>
      <c r="AI1567">
        <v>0</v>
      </c>
      <c r="AJ1567">
        <v>130.71</v>
      </c>
      <c r="AK1567">
        <v>0.01</v>
      </c>
      <c r="AL1567" t="s">
        <v>53</v>
      </c>
      <c r="AM1567" t="s">
        <v>53</v>
      </c>
      <c r="AN1567" t="s">
        <v>378</v>
      </c>
      <c r="AO1567" t="s">
        <v>53</v>
      </c>
      <c r="AP1567" t="s">
        <v>53</v>
      </c>
    </row>
    <row r="1568" spans="2:42" x14ac:dyDescent="0.2">
      <c r="B1568" t="s">
        <v>44</v>
      </c>
      <c r="C1568" t="str">
        <f>HYPERLINK("https://us2.cloudbeds.com/connect/8493803454333002#/reservations/598513971427?display=E1EDRHEZ&amp;reservation_id=598513971427", "E1EDRHEZ")</f>
        <v>E1EDRHEZ</v>
      </c>
      <c r="D1568" t="s">
        <v>45</v>
      </c>
      <c r="E1568" t="s">
        <v>98</v>
      </c>
      <c r="F1568" t="s">
        <v>86</v>
      </c>
      <c r="G1568" t="s">
        <v>48</v>
      </c>
      <c r="H1568" t="s">
        <v>49</v>
      </c>
      <c r="I1568" t="s">
        <v>50</v>
      </c>
      <c r="J1568" t="s">
        <v>1117</v>
      </c>
      <c r="K1568" t="s">
        <v>699</v>
      </c>
      <c r="L1568" t="s">
        <v>53</v>
      </c>
      <c r="N1568" t="s">
        <v>2673</v>
      </c>
      <c r="P1568" t="s">
        <v>55</v>
      </c>
      <c r="R1568" t="s">
        <v>56</v>
      </c>
      <c r="T1568" t="s">
        <v>2662</v>
      </c>
      <c r="U1568" t="s">
        <v>58</v>
      </c>
      <c r="V1568">
        <v>1</v>
      </c>
      <c r="W1568">
        <v>1</v>
      </c>
      <c r="X1568">
        <v>1</v>
      </c>
      <c r="Y1568">
        <v>0</v>
      </c>
      <c r="Z1568">
        <v>1</v>
      </c>
      <c r="AA1568">
        <v>0</v>
      </c>
      <c r="AB1568">
        <v>119.67</v>
      </c>
      <c r="AC1568">
        <v>105.3</v>
      </c>
      <c r="AD1568">
        <v>0</v>
      </c>
      <c r="AE1568">
        <v>14.38</v>
      </c>
      <c r="AF1568">
        <v>0</v>
      </c>
      <c r="AG1568">
        <v>0</v>
      </c>
      <c r="AH1568">
        <v>0</v>
      </c>
      <c r="AI1568">
        <v>21.54</v>
      </c>
      <c r="AJ1568">
        <v>119.68</v>
      </c>
      <c r="AK1568">
        <v>0.01</v>
      </c>
      <c r="AL1568" t="s">
        <v>53</v>
      </c>
      <c r="AM1568" t="s">
        <v>53</v>
      </c>
      <c r="AN1568" t="s">
        <v>316</v>
      </c>
      <c r="AO1568" t="s">
        <v>53</v>
      </c>
      <c r="AP1568" t="s">
        <v>53</v>
      </c>
    </row>
    <row r="1569" spans="2:42" x14ac:dyDescent="0.2">
      <c r="B1569" t="s">
        <v>44</v>
      </c>
      <c r="C1569" t="str">
        <f>HYPERLINK("https://us2.cloudbeds.com/connect/8493803454333002#/reservations/598128976012?display=E14J6FA5&amp;reservation_id=598128976012", "E14J6FA5")</f>
        <v>E14J6FA5</v>
      </c>
      <c r="D1569" t="s">
        <v>45</v>
      </c>
      <c r="E1569" t="s">
        <v>265</v>
      </c>
      <c r="F1569" t="s">
        <v>61</v>
      </c>
      <c r="G1569" t="s">
        <v>48</v>
      </c>
      <c r="H1569" t="s">
        <v>49</v>
      </c>
      <c r="I1569" t="s">
        <v>50</v>
      </c>
      <c r="J1569" t="s">
        <v>549</v>
      </c>
      <c r="K1569" t="s">
        <v>134</v>
      </c>
      <c r="L1569" t="s">
        <v>53</v>
      </c>
      <c r="N1569" t="s">
        <v>2674</v>
      </c>
      <c r="P1569" t="s">
        <v>55</v>
      </c>
      <c r="R1569" t="s">
        <v>56</v>
      </c>
      <c r="T1569" t="s">
        <v>2662</v>
      </c>
      <c r="U1569" t="s">
        <v>58</v>
      </c>
      <c r="V1569">
        <v>1</v>
      </c>
      <c r="W1569">
        <v>1</v>
      </c>
      <c r="X1569">
        <v>1</v>
      </c>
      <c r="Y1569">
        <v>0</v>
      </c>
      <c r="Z1569">
        <v>1</v>
      </c>
      <c r="AA1569">
        <v>0</v>
      </c>
      <c r="AB1569">
        <v>168.77</v>
      </c>
      <c r="AC1569">
        <v>148.5</v>
      </c>
      <c r="AD1569">
        <v>0</v>
      </c>
      <c r="AE1569">
        <v>20.28</v>
      </c>
      <c r="AF1569">
        <v>0</v>
      </c>
      <c r="AG1569">
        <v>0</v>
      </c>
      <c r="AH1569">
        <v>0</v>
      </c>
      <c r="AI1569">
        <v>30.38</v>
      </c>
      <c r="AJ1569">
        <v>168.78</v>
      </c>
      <c r="AK1569">
        <v>0.01</v>
      </c>
      <c r="AL1569" t="s">
        <v>53</v>
      </c>
      <c r="AM1569" t="s">
        <v>53</v>
      </c>
      <c r="AN1569" t="s">
        <v>132</v>
      </c>
      <c r="AO1569" t="s">
        <v>53</v>
      </c>
      <c r="AP1569" t="s">
        <v>53</v>
      </c>
    </row>
    <row r="1570" spans="2:42" x14ac:dyDescent="0.2">
      <c r="B1570" t="s">
        <v>44</v>
      </c>
      <c r="C1570" t="str">
        <f>HYPERLINK("https://us2.cloudbeds.com/connect/8493803454333002#/reservations/598348693754?display=E1A6FEAJ&amp;reservation_id=598348693754", "E1A6FEAJ")</f>
        <v>E1A6FEAJ</v>
      </c>
      <c r="D1570" t="s">
        <v>45</v>
      </c>
      <c r="E1570" t="s">
        <v>265</v>
      </c>
      <c r="F1570" t="s">
        <v>61</v>
      </c>
      <c r="G1570" t="s">
        <v>48</v>
      </c>
      <c r="H1570" t="s">
        <v>49</v>
      </c>
      <c r="I1570" t="s">
        <v>79</v>
      </c>
      <c r="J1570" t="s">
        <v>334</v>
      </c>
      <c r="K1570" t="s">
        <v>538</v>
      </c>
      <c r="L1570" t="s">
        <v>53</v>
      </c>
      <c r="N1570" t="s">
        <v>2675</v>
      </c>
      <c r="P1570" t="s">
        <v>55</v>
      </c>
      <c r="R1570" t="s">
        <v>56</v>
      </c>
      <c r="T1570" t="s">
        <v>2662</v>
      </c>
      <c r="U1570" t="s">
        <v>58</v>
      </c>
      <c r="V1570">
        <v>1</v>
      </c>
      <c r="W1570">
        <v>1</v>
      </c>
      <c r="X1570">
        <v>1</v>
      </c>
      <c r="Y1570">
        <v>0</v>
      </c>
      <c r="Z1570">
        <v>1</v>
      </c>
      <c r="AA1570">
        <v>0</v>
      </c>
      <c r="AB1570">
        <v>132.97</v>
      </c>
      <c r="AC1570">
        <v>117</v>
      </c>
      <c r="AD1570">
        <v>0</v>
      </c>
      <c r="AE1570">
        <v>15.97</v>
      </c>
      <c r="AF1570">
        <v>0</v>
      </c>
      <c r="AG1570">
        <v>0</v>
      </c>
      <c r="AH1570">
        <v>0</v>
      </c>
      <c r="AI1570">
        <v>0</v>
      </c>
      <c r="AJ1570">
        <v>132.97</v>
      </c>
      <c r="AK1570">
        <v>0</v>
      </c>
      <c r="AL1570" t="s">
        <v>53</v>
      </c>
      <c r="AM1570" t="s">
        <v>53</v>
      </c>
      <c r="AN1570" t="s">
        <v>349</v>
      </c>
      <c r="AO1570" t="s">
        <v>53</v>
      </c>
      <c r="AP1570" t="s">
        <v>53</v>
      </c>
    </row>
    <row r="1571" spans="2:42" x14ac:dyDescent="0.2">
      <c r="B1571" t="s">
        <v>44</v>
      </c>
      <c r="C1571" t="str">
        <f>HYPERLINK("https://us2.cloudbeds.com/connect/8493803454333002#/reservations/598168592545?display=E15JJZCR&amp;reservation_id=598168592545", "E15JJZCR")</f>
        <v>E15JJZCR</v>
      </c>
      <c r="D1571" t="s">
        <v>45</v>
      </c>
      <c r="E1571" t="s">
        <v>46</v>
      </c>
      <c r="F1571" t="s">
        <v>47</v>
      </c>
      <c r="G1571" t="s">
        <v>48</v>
      </c>
      <c r="H1571" t="s">
        <v>71</v>
      </c>
      <c r="I1571" t="s">
        <v>72</v>
      </c>
      <c r="J1571" t="s">
        <v>129</v>
      </c>
      <c r="K1571" t="s">
        <v>426</v>
      </c>
      <c r="L1571" t="s">
        <v>53</v>
      </c>
      <c r="N1571" t="s">
        <v>2676</v>
      </c>
      <c r="P1571" t="s">
        <v>55</v>
      </c>
      <c r="R1571" t="s">
        <v>56</v>
      </c>
      <c r="T1571" t="s">
        <v>2662</v>
      </c>
      <c r="U1571" t="s">
        <v>58</v>
      </c>
      <c r="V1571">
        <v>1</v>
      </c>
      <c r="W1571">
        <v>1</v>
      </c>
      <c r="X1571">
        <v>1</v>
      </c>
      <c r="Y1571">
        <v>0</v>
      </c>
      <c r="Z1571">
        <v>1</v>
      </c>
      <c r="AA1571">
        <v>0</v>
      </c>
      <c r="AB1571">
        <v>168.2</v>
      </c>
      <c r="AC1571">
        <v>148</v>
      </c>
      <c r="AD1571">
        <v>0</v>
      </c>
      <c r="AE1571">
        <v>20.2</v>
      </c>
      <c r="AF1571">
        <v>0</v>
      </c>
      <c r="AG1571">
        <v>0</v>
      </c>
      <c r="AH1571">
        <v>0</v>
      </c>
      <c r="AI1571">
        <v>0</v>
      </c>
      <c r="AJ1571">
        <v>168.2</v>
      </c>
      <c r="AK1571">
        <v>0</v>
      </c>
      <c r="AL1571" t="s">
        <v>53</v>
      </c>
      <c r="AM1571" t="s">
        <v>53</v>
      </c>
      <c r="AN1571" t="s">
        <v>378</v>
      </c>
      <c r="AO1571" t="s">
        <v>53</v>
      </c>
      <c r="AP1571" t="s">
        <v>53</v>
      </c>
    </row>
    <row r="1572" spans="2:42" x14ac:dyDescent="0.2">
      <c r="B1572" t="s">
        <v>44</v>
      </c>
      <c r="C1572" t="str">
        <f>HYPERLINK("https://us2.cloudbeds.com/connect/8493803454333002#/reservations/598182068416?display=E15UVNVZ&amp;reservation_id=598182068416", "E15UVNVZ")</f>
        <v>E15UVNVZ</v>
      </c>
      <c r="D1572" t="s">
        <v>45</v>
      </c>
      <c r="E1572" t="s">
        <v>179</v>
      </c>
      <c r="F1572" t="s">
        <v>47</v>
      </c>
      <c r="G1572" t="s">
        <v>48</v>
      </c>
      <c r="H1572" t="s">
        <v>71</v>
      </c>
      <c r="I1572" t="s">
        <v>72</v>
      </c>
      <c r="J1572" t="s">
        <v>488</v>
      </c>
      <c r="K1572" t="s">
        <v>489</v>
      </c>
      <c r="L1572" t="s">
        <v>53</v>
      </c>
      <c r="N1572" t="s">
        <v>2677</v>
      </c>
      <c r="P1572" t="s">
        <v>55</v>
      </c>
      <c r="R1572" t="s">
        <v>56</v>
      </c>
      <c r="T1572" t="s">
        <v>2662</v>
      </c>
      <c r="U1572" t="s">
        <v>58</v>
      </c>
      <c r="V1572">
        <v>1</v>
      </c>
      <c r="W1572">
        <v>1</v>
      </c>
      <c r="X1572">
        <v>1</v>
      </c>
      <c r="Y1572">
        <v>0</v>
      </c>
      <c r="Z1572">
        <v>1</v>
      </c>
      <c r="AA1572">
        <v>0</v>
      </c>
      <c r="AB1572">
        <v>167.07</v>
      </c>
      <c r="AC1572">
        <v>147</v>
      </c>
      <c r="AD1572">
        <v>0</v>
      </c>
      <c r="AE1572">
        <v>20.07</v>
      </c>
      <c r="AF1572">
        <v>0</v>
      </c>
      <c r="AG1572">
        <v>0</v>
      </c>
      <c r="AH1572">
        <v>0</v>
      </c>
      <c r="AI1572">
        <v>0</v>
      </c>
      <c r="AJ1572">
        <v>167.07</v>
      </c>
      <c r="AK1572">
        <v>0</v>
      </c>
      <c r="AL1572" t="s">
        <v>53</v>
      </c>
      <c r="AM1572" t="s">
        <v>53</v>
      </c>
      <c r="AN1572" t="s">
        <v>2678</v>
      </c>
      <c r="AO1572" t="s">
        <v>53</v>
      </c>
      <c r="AP1572" t="s">
        <v>53</v>
      </c>
    </row>
    <row r="1573" spans="2:42" x14ac:dyDescent="0.2">
      <c r="B1573" t="s">
        <v>44</v>
      </c>
      <c r="C1573" t="str">
        <f>HYPERLINK("https://us2.cloudbeds.com/connect/8493803454333002#/reservations/579211071645?display=DJG63T9T&amp;reservation_id=579211071645", "DJG63T9T")</f>
        <v>DJG63T9T</v>
      </c>
      <c r="D1573" t="s">
        <v>45</v>
      </c>
      <c r="E1573" t="s">
        <v>110</v>
      </c>
      <c r="F1573" t="s">
        <v>47</v>
      </c>
      <c r="G1573" t="s">
        <v>48</v>
      </c>
      <c r="H1573" t="s">
        <v>49</v>
      </c>
      <c r="I1573" t="s">
        <v>50</v>
      </c>
      <c r="J1573" t="s">
        <v>1515</v>
      </c>
      <c r="K1573" t="s">
        <v>2162</v>
      </c>
      <c r="L1573" t="s">
        <v>53</v>
      </c>
      <c r="N1573" t="s">
        <v>2679</v>
      </c>
      <c r="P1573" t="s">
        <v>55</v>
      </c>
      <c r="R1573" t="s">
        <v>56</v>
      </c>
      <c r="T1573" t="s">
        <v>2662</v>
      </c>
      <c r="U1573" t="s">
        <v>58</v>
      </c>
      <c r="V1573">
        <v>1</v>
      </c>
      <c r="W1573">
        <v>1</v>
      </c>
      <c r="X1573">
        <v>1</v>
      </c>
      <c r="Y1573">
        <v>0</v>
      </c>
      <c r="Z1573">
        <v>1</v>
      </c>
      <c r="AA1573">
        <v>0</v>
      </c>
      <c r="AB1573">
        <v>148.31</v>
      </c>
      <c r="AC1573">
        <v>130.5</v>
      </c>
      <c r="AD1573">
        <v>0</v>
      </c>
      <c r="AE1573">
        <v>17.809999999999999</v>
      </c>
      <c r="AF1573">
        <v>0</v>
      </c>
      <c r="AG1573">
        <v>0</v>
      </c>
      <c r="AH1573">
        <v>0</v>
      </c>
      <c r="AI1573">
        <v>26.7</v>
      </c>
      <c r="AJ1573">
        <v>148.31</v>
      </c>
      <c r="AK1573">
        <v>0</v>
      </c>
      <c r="AL1573" t="s">
        <v>53</v>
      </c>
      <c r="AM1573" t="s">
        <v>53</v>
      </c>
      <c r="AN1573" t="s">
        <v>316</v>
      </c>
      <c r="AO1573" t="s">
        <v>53</v>
      </c>
      <c r="AP1573" t="s">
        <v>53</v>
      </c>
    </row>
    <row r="1574" spans="2:42" x14ac:dyDescent="0.2">
      <c r="B1574" t="s">
        <v>44</v>
      </c>
      <c r="C1574" t="str">
        <f>HYPERLINK("https://us2.cloudbeds.com/connect/8493803454333002#/reservations/598597222538?display=E1GX13ZS&amp;reservation_id=598597222538", "E1GX13ZS")</f>
        <v>E1GX13ZS</v>
      </c>
      <c r="D1574" t="s">
        <v>45</v>
      </c>
      <c r="E1574" t="s">
        <v>85</v>
      </c>
      <c r="F1574" t="s">
        <v>86</v>
      </c>
      <c r="G1574" t="s">
        <v>48</v>
      </c>
      <c r="H1574" t="s">
        <v>49</v>
      </c>
      <c r="I1574" t="s">
        <v>50</v>
      </c>
      <c r="J1574" t="s">
        <v>1568</v>
      </c>
      <c r="K1574" t="s">
        <v>93</v>
      </c>
      <c r="L1574" t="s">
        <v>53</v>
      </c>
      <c r="N1574" t="s">
        <v>2680</v>
      </c>
      <c r="P1574" t="s">
        <v>55</v>
      </c>
      <c r="R1574" t="s">
        <v>56</v>
      </c>
      <c r="T1574" t="s">
        <v>2662</v>
      </c>
      <c r="U1574" t="s">
        <v>58</v>
      </c>
      <c r="V1574">
        <v>1</v>
      </c>
      <c r="W1574">
        <v>1</v>
      </c>
      <c r="X1574">
        <v>1</v>
      </c>
      <c r="Y1574">
        <v>0</v>
      </c>
      <c r="Z1574">
        <v>1</v>
      </c>
      <c r="AA1574">
        <v>0</v>
      </c>
      <c r="AB1574">
        <v>187.18</v>
      </c>
      <c r="AC1574">
        <v>164.7</v>
      </c>
      <c r="AD1574">
        <v>0</v>
      </c>
      <c r="AE1574">
        <v>22.48</v>
      </c>
      <c r="AF1574">
        <v>0</v>
      </c>
      <c r="AG1574">
        <v>0</v>
      </c>
      <c r="AH1574">
        <v>0</v>
      </c>
      <c r="AI1574">
        <v>33.69</v>
      </c>
      <c r="AJ1574">
        <v>187.18</v>
      </c>
      <c r="AK1574">
        <v>0</v>
      </c>
      <c r="AL1574" t="s">
        <v>53</v>
      </c>
      <c r="AM1574" t="s">
        <v>53</v>
      </c>
      <c r="AN1574" t="s">
        <v>198</v>
      </c>
      <c r="AO1574" t="s">
        <v>53</v>
      </c>
      <c r="AP1574" t="s">
        <v>53</v>
      </c>
    </row>
    <row r="1575" spans="2:42" x14ac:dyDescent="0.2">
      <c r="B1575" t="s">
        <v>44</v>
      </c>
      <c r="C1575" t="str">
        <f>HYPERLINK("https://us2.cloudbeds.com/connect/8493803454333002#/reservations/579355361463?display=DJJSPVRK&amp;reservation_id=579355361463", "DJJSPVRK")</f>
        <v>DJJSPVRK</v>
      </c>
      <c r="D1575" t="s">
        <v>45</v>
      </c>
      <c r="E1575" t="s">
        <v>190</v>
      </c>
      <c r="F1575" t="s">
        <v>61</v>
      </c>
      <c r="G1575" t="s">
        <v>48</v>
      </c>
      <c r="H1575" t="s">
        <v>49</v>
      </c>
      <c r="I1575" t="s">
        <v>50</v>
      </c>
      <c r="J1575" t="s">
        <v>1336</v>
      </c>
      <c r="K1575" t="s">
        <v>2062</v>
      </c>
      <c r="L1575" t="s">
        <v>53</v>
      </c>
      <c r="N1575" t="s">
        <v>2681</v>
      </c>
      <c r="P1575" t="s">
        <v>55</v>
      </c>
      <c r="R1575" t="s">
        <v>56</v>
      </c>
      <c r="T1575" t="s">
        <v>2662</v>
      </c>
      <c r="U1575" t="s">
        <v>58</v>
      </c>
      <c r="V1575">
        <v>2</v>
      </c>
      <c r="W1575">
        <v>1</v>
      </c>
      <c r="X1575">
        <v>1</v>
      </c>
      <c r="Y1575">
        <v>0</v>
      </c>
      <c r="Z1575">
        <v>1</v>
      </c>
      <c r="AA1575">
        <v>0</v>
      </c>
      <c r="AB1575">
        <v>290.94</v>
      </c>
      <c r="AC1575">
        <v>256</v>
      </c>
      <c r="AD1575">
        <v>0</v>
      </c>
      <c r="AE1575">
        <v>34.94</v>
      </c>
      <c r="AF1575">
        <v>0</v>
      </c>
      <c r="AG1575">
        <v>0</v>
      </c>
      <c r="AH1575">
        <v>0</v>
      </c>
      <c r="AI1575">
        <v>52.37</v>
      </c>
      <c r="AJ1575">
        <v>290.94</v>
      </c>
      <c r="AK1575">
        <v>0</v>
      </c>
      <c r="AL1575" t="s">
        <v>53</v>
      </c>
      <c r="AM1575" t="s">
        <v>53</v>
      </c>
      <c r="AN1575" t="s">
        <v>146</v>
      </c>
      <c r="AO1575" t="s">
        <v>53</v>
      </c>
      <c r="AP1575" t="s">
        <v>53</v>
      </c>
    </row>
    <row r="1576" spans="2:42" x14ac:dyDescent="0.2">
      <c r="B1576" t="s">
        <v>44</v>
      </c>
      <c r="C1576" t="str">
        <f>HYPERLINK("https://us2.cloudbeds.com/connect/8493803454333002#/reservations/598357135588?display=E1ADJB7Z&amp;reservation_id=598357135588", "E1ADJB7Z")</f>
        <v>E1ADJB7Z</v>
      </c>
      <c r="D1576" t="s">
        <v>45</v>
      </c>
      <c r="E1576" t="s">
        <v>179</v>
      </c>
      <c r="F1576" t="s">
        <v>47</v>
      </c>
      <c r="G1576" t="s">
        <v>48</v>
      </c>
      <c r="H1576" t="s">
        <v>49</v>
      </c>
      <c r="I1576" t="s">
        <v>79</v>
      </c>
      <c r="J1576" t="s">
        <v>289</v>
      </c>
      <c r="K1576" t="s">
        <v>568</v>
      </c>
      <c r="L1576" t="s">
        <v>53</v>
      </c>
      <c r="N1576" t="s">
        <v>2682</v>
      </c>
      <c r="P1576" t="s">
        <v>55</v>
      </c>
      <c r="R1576" t="s">
        <v>56</v>
      </c>
      <c r="T1576" t="s">
        <v>2683</v>
      </c>
      <c r="U1576" t="s">
        <v>58</v>
      </c>
      <c r="V1576">
        <v>1</v>
      </c>
      <c r="W1576">
        <v>1</v>
      </c>
      <c r="X1576">
        <v>1</v>
      </c>
      <c r="Y1576">
        <v>0</v>
      </c>
      <c r="Z1576">
        <v>1</v>
      </c>
      <c r="AA1576">
        <v>0</v>
      </c>
      <c r="AB1576">
        <v>156.5</v>
      </c>
      <c r="AC1576">
        <v>137.69999999999999</v>
      </c>
      <c r="AD1576">
        <v>0</v>
      </c>
      <c r="AE1576">
        <v>18.79</v>
      </c>
      <c r="AF1576">
        <v>0</v>
      </c>
      <c r="AG1576">
        <v>0</v>
      </c>
      <c r="AH1576">
        <v>0</v>
      </c>
      <c r="AI1576">
        <v>0</v>
      </c>
      <c r="AJ1576">
        <v>156.49</v>
      </c>
      <c r="AK1576">
        <v>-0.01</v>
      </c>
      <c r="AL1576" t="s">
        <v>53</v>
      </c>
      <c r="AM1576" t="s">
        <v>53</v>
      </c>
      <c r="AN1576" t="s">
        <v>332</v>
      </c>
      <c r="AO1576" t="s">
        <v>53</v>
      </c>
      <c r="AP1576" t="s">
        <v>53</v>
      </c>
    </row>
    <row r="1577" spans="2:42" x14ac:dyDescent="0.2">
      <c r="B1577" t="s">
        <v>44</v>
      </c>
      <c r="C1577" t="str">
        <f>HYPERLINK("https://us2.cloudbeds.com/connect/8493803454333002#/reservations/598128971979?display=E14J6BJW&amp;reservation_id=598128971979", "E14J6BJW")</f>
        <v>E14J6BJW</v>
      </c>
      <c r="D1577" t="s">
        <v>45</v>
      </c>
      <c r="E1577" t="s">
        <v>105</v>
      </c>
      <c r="F1577" t="s">
        <v>47</v>
      </c>
      <c r="G1577" t="s">
        <v>48</v>
      </c>
      <c r="H1577" t="s">
        <v>49</v>
      </c>
      <c r="I1577" t="s">
        <v>62</v>
      </c>
      <c r="J1577" t="s">
        <v>538</v>
      </c>
      <c r="K1577" t="s">
        <v>259</v>
      </c>
      <c r="L1577" t="s">
        <v>53</v>
      </c>
      <c r="N1577" t="s">
        <v>2684</v>
      </c>
      <c r="P1577" t="s">
        <v>55</v>
      </c>
      <c r="R1577" t="s">
        <v>56</v>
      </c>
      <c r="T1577" t="s">
        <v>2683</v>
      </c>
      <c r="U1577" t="s">
        <v>58</v>
      </c>
      <c r="V1577">
        <v>1</v>
      </c>
      <c r="W1577">
        <v>1</v>
      </c>
      <c r="X1577">
        <v>1</v>
      </c>
      <c r="Y1577">
        <v>0</v>
      </c>
      <c r="Z1577">
        <v>1</v>
      </c>
      <c r="AA1577">
        <v>0</v>
      </c>
      <c r="AB1577">
        <v>134.11000000000001</v>
      </c>
      <c r="AC1577">
        <v>118</v>
      </c>
      <c r="AD1577">
        <v>0</v>
      </c>
      <c r="AE1577">
        <v>16.11</v>
      </c>
      <c r="AF1577">
        <v>0</v>
      </c>
      <c r="AG1577">
        <v>0</v>
      </c>
      <c r="AH1577">
        <v>0</v>
      </c>
      <c r="AI1577">
        <v>20.12</v>
      </c>
      <c r="AJ1577">
        <v>134.11000000000001</v>
      </c>
      <c r="AK1577">
        <v>0</v>
      </c>
      <c r="AL1577" t="s">
        <v>53</v>
      </c>
      <c r="AM1577" t="s">
        <v>53</v>
      </c>
      <c r="AN1577" t="s">
        <v>413</v>
      </c>
      <c r="AO1577" t="s">
        <v>53</v>
      </c>
      <c r="AP1577" t="s">
        <v>53</v>
      </c>
    </row>
    <row r="1578" spans="2:42" x14ac:dyDescent="0.2">
      <c r="B1578" t="s">
        <v>44</v>
      </c>
      <c r="C1578" t="str">
        <f>HYPERLINK("https://us2.cloudbeds.com/connect/8493803454333002#/reservations/598520152208?display=E1EJ1H3A&amp;reservation_id=598520152208", "E1EJ1H3A")</f>
        <v>E1EJ1H3A</v>
      </c>
      <c r="D1578" t="s">
        <v>45</v>
      </c>
      <c r="E1578" t="s">
        <v>179</v>
      </c>
      <c r="F1578" t="s">
        <v>47</v>
      </c>
      <c r="G1578" t="s">
        <v>48</v>
      </c>
      <c r="H1578" t="s">
        <v>71</v>
      </c>
      <c r="I1578" t="s">
        <v>72</v>
      </c>
      <c r="J1578" t="s">
        <v>1117</v>
      </c>
      <c r="K1578" t="s">
        <v>699</v>
      </c>
      <c r="L1578" t="s">
        <v>53</v>
      </c>
      <c r="N1578" t="s">
        <v>2685</v>
      </c>
      <c r="P1578" t="s">
        <v>55</v>
      </c>
      <c r="R1578" t="s">
        <v>56</v>
      </c>
      <c r="T1578" t="s">
        <v>2683</v>
      </c>
      <c r="U1578" t="s">
        <v>58</v>
      </c>
      <c r="V1578">
        <v>1</v>
      </c>
      <c r="W1578">
        <v>1</v>
      </c>
      <c r="X1578">
        <v>1</v>
      </c>
      <c r="Y1578">
        <v>0</v>
      </c>
      <c r="Z1578">
        <v>1</v>
      </c>
      <c r="AA1578">
        <v>0</v>
      </c>
      <c r="AB1578">
        <v>102.29</v>
      </c>
      <c r="AC1578">
        <v>90</v>
      </c>
      <c r="AD1578">
        <v>0</v>
      </c>
      <c r="AE1578">
        <v>12.29</v>
      </c>
      <c r="AF1578">
        <v>0</v>
      </c>
      <c r="AG1578">
        <v>0</v>
      </c>
      <c r="AH1578">
        <v>0</v>
      </c>
      <c r="AI1578">
        <v>0</v>
      </c>
      <c r="AJ1578">
        <v>102.29</v>
      </c>
      <c r="AK1578">
        <v>0</v>
      </c>
      <c r="AL1578" t="s">
        <v>53</v>
      </c>
      <c r="AM1578" t="s">
        <v>53</v>
      </c>
      <c r="AN1578" t="s">
        <v>378</v>
      </c>
      <c r="AO1578" t="s">
        <v>53</v>
      </c>
      <c r="AP1578" t="s">
        <v>53</v>
      </c>
    </row>
    <row r="1579" spans="2:42" x14ac:dyDescent="0.2">
      <c r="B1579" t="s">
        <v>44</v>
      </c>
      <c r="C1579" t="str">
        <f>HYPERLINK("https://us2.cloudbeds.com/connect/8493803454333002#/reservations/598425194747?display=E1C4W65G&amp;reservation_id=598425194747", "E1C4W65G")</f>
        <v>E1C4W65G</v>
      </c>
      <c r="D1579" t="s">
        <v>45</v>
      </c>
      <c r="E1579" t="s">
        <v>155</v>
      </c>
      <c r="F1579" t="s">
        <v>86</v>
      </c>
      <c r="G1579" t="s">
        <v>48</v>
      </c>
      <c r="H1579" t="s">
        <v>71</v>
      </c>
      <c r="I1579" t="s">
        <v>72</v>
      </c>
      <c r="J1579" t="s">
        <v>237</v>
      </c>
      <c r="K1579" t="s">
        <v>525</v>
      </c>
      <c r="L1579" t="s">
        <v>53</v>
      </c>
      <c r="N1579" t="s">
        <v>2686</v>
      </c>
      <c r="P1579" t="s">
        <v>55</v>
      </c>
      <c r="R1579" t="s">
        <v>56</v>
      </c>
      <c r="T1579" t="s">
        <v>2683</v>
      </c>
      <c r="U1579" t="s">
        <v>58</v>
      </c>
      <c r="V1579">
        <v>1</v>
      </c>
      <c r="W1579">
        <v>1</v>
      </c>
      <c r="X1579">
        <v>1</v>
      </c>
      <c r="Y1579">
        <v>0</v>
      </c>
      <c r="Z1579">
        <v>1</v>
      </c>
      <c r="AA1579">
        <v>0</v>
      </c>
      <c r="AB1579">
        <v>169.34</v>
      </c>
      <c r="AC1579">
        <v>149</v>
      </c>
      <c r="AD1579">
        <v>0</v>
      </c>
      <c r="AE1579">
        <v>20.34</v>
      </c>
      <c r="AF1579">
        <v>0</v>
      </c>
      <c r="AG1579">
        <v>0</v>
      </c>
      <c r="AH1579">
        <v>0</v>
      </c>
      <c r="AI1579">
        <v>0</v>
      </c>
      <c r="AJ1579">
        <v>169.34</v>
      </c>
      <c r="AK1579">
        <v>0</v>
      </c>
      <c r="AL1579" t="s">
        <v>53</v>
      </c>
      <c r="AM1579" t="s">
        <v>53</v>
      </c>
      <c r="AN1579" t="s">
        <v>2687</v>
      </c>
      <c r="AO1579" t="s">
        <v>53</v>
      </c>
      <c r="AP1579" t="s">
        <v>53</v>
      </c>
    </row>
    <row r="1580" spans="2:42" x14ac:dyDescent="0.2">
      <c r="B1580" t="s">
        <v>44</v>
      </c>
      <c r="C1580" t="str">
        <f>HYPERLINK("https://us2.cloudbeds.com/connect/8493803454333002#/reservations/598591893650?display=E1GDHRCD&amp;reservation_id=598591893650", "E1GDHRCD")</f>
        <v>E1GDHRCD</v>
      </c>
      <c r="D1580" t="s">
        <v>45</v>
      </c>
      <c r="E1580" t="s">
        <v>46</v>
      </c>
      <c r="F1580" t="s">
        <v>47</v>
      </c>
      <c r="G1580" t="s">
        <v>48</v>
      </c>
      <c r="H1580" t="s">
        <v>49</v>
      </c>
      <c r="I1580" t="s">
        <v>50</v>
      </c>
      <c r="J1580" t="s">
        <v>130</v>
      </c>
      <c r="K1580" t="s">
        <v>87</v>
      </c>
      <c r="L1580" t="s">
        <v>53</v>
      </c>
      <c r="N1580" t="s">
        <v>2688</v>
      </c>
      <c r="P1580" t="s">
        <v>55</v>
      </c>
      <c r="R1580" t="s">
        <v>56</v>
      </c>
      <c r="T1580" t="s">
        <v>2683</v>
      </c>
      <c r="U1580" t="s">
        <v>58</v>
      </c>
      <c r="V1580">
        <v>1</v>
      </c>
      <c r="W1580">
        <v>1</v>
      </c>
      <c r="X1580">
        <v>1</v>
      </c>
      <c r="Y1580">
        <v>0</v>
      </c>
      <c r="Z1580">
        <v>1</v>
      </c>
      <c r="AA1580">
        <v>0</v>
      </c>
      <c r="AB1580">
        <v>160.59</v>
      </c>
      <c r="AC1580">
        <v>141.30000000000001</v>
      </c>
      <c r="AD1580">
        <v>0</v>
      </c>
      <c r="AE1580">
        <v>19.3</v>
      </c>
      <c r="AF1580">
        <v>0</v>
      </c>
      <c r="AG1580">
        <v>0</v>
      </c>
      <c r="AH1580">
        <v>0</v>
      </c>
      <c r="AI1580">
        <v>28.91</v>
      </c>
      <c r="AJ1580">
        <v>160.6</v>
      </c>
      <c r="AK1580">
        <v>0.01</v>
      </c>
      <c r="AL1580" t="s">
        <v>53</v>
      </c>
      <c r="AM1580" t="s">
        <v>53</v>
      </c>
      <c r="AN1580" t="s">
        <v>127</v>
      </c>
      <c r="AO1580" t="s">
        <v>53</v>
      </c>
      <c r="AP1580" t="s">
        <v>53</v>
      </c>
    </row>
    <row r="1581" spans="2:42" x14ac:dyDescent="0.2">
      <c r="B1581" t="s">
        <v>44</v>
      </c>
      <c r="C1581" t="str">
        <f>HYPERLINK("https://us2.cloudbeds.com/connect/8493803454333002#/reservations/598518128832?display=E1EHB3CN&amp;reservation_id=598518128832", "E1EHB3CN")</f>
        <v>E1EHB3CN</v>
      </c>
      <c r="D1581" t="s">
        <v>45</v>
      </c>
      <c r="E1581" t="s">
        <v>105</v>
      </c>
      <c r="F1581" t="s">
        <v>47</v>
      </c>
      <c r="G1581" t="s">
        <v>48</v>
      </c>
      <c r="H1581" t="s">
        <v>49</v>
      </c>
      <c r="I1581" t="s">
        <v>79</v>
      </c>
      <c r="J1581" t="s">
        <v>647</v>
      </c>
      <c r="K1581" t="s">
        <v>214</v>
      </c>
      <c r="L1581" t="s">
        <v>53</v>
      </c>
      <c r="N1581" t="s">
        <v>2689</v>
      </c>
      <c r="P1581" t="s">
        <v>55</v>
      </c>
      <c r="R1581" t="s">
        <v>56</v>
      </c>
      <c r="T1581" t="s">
        <v>2683</v>
      </c>
      <c r="U1581" t="s">
        <v>58</v>
      </c>
      <c r="V1581">
        <v>1</v>
      </c>
      <c r="W1581">
        <v>1</v>
      </c>
      <c r="X1581">
        <v>1</v>
      </c>
      <c r="Y1581">
        <v>0</v>
      </c>
      <c r="Z1581">
        <v>1</v>
      </c>
      <c r="AA1581">
        <v>0</v>
      </c>
      <c r="AB1581">
        <v>155.97999999999999</v>
      </c>
      <c r="AC1581">
        <v>137.25</v>
      </c>
      <c r="AD1581">
        <v>0</v>
      </c>
      <c r="AE1581">
        <v>18.739999999999998</v>
      </c>
      <c r="AF1581">
        <v>0</v>
      </c>
      <c r="AG1581">
        <v>0</v>
      </c>
      <c r="AH1581">
        <v>0</v>
      </c>
      <c r="AI1581">
        <v>0</v>
      </c>
      <c r="AJ1581">
        <v>155.99</v>
      </c>
      <c r="AK1581">
        <v>0.01</v>
      </c>
      <c r="AL1581" t="s">
        <v>53</v>
      </c>
      <c r="AM1581" t="s">
        <v>53</v>
      </c>
      <c r="AN1581" t="s">
        <v>137</v>
      </c>
      <c r="AO1581" t="s">
        <v>53</v>
      </c>
      <c r="AP1581" t="s">
        <v>53</v>
      </c>
    </row>
    <row r="1582" spans="2:42" x14ac:dyDescent="0.2">
      <c r="B1582" t="s">
        <v>44</v>
      </c>
      <c r="C1582" t="str">
        <f>HYPERLINK("https://us2.cloudbeds.com/connect/8493803454333002#/reservations/598534815990?display=E1EVDXF9&amp;reservation_id=598534815990", "E1EVDXF9")</f>
        <v>E1EVDXF9</v>
      </c>
      <c r="D1582" t="s">
        <v>45</v>
      </c>
      <c r="E1582" t="s">
        <v>373</v>
      </c>
      <c r="F1582" t="s">
        <v>47</v>
      </c>
      <c r="G1582" t="s">
        <v>48</v>
      </c>
      <c r="H1582" t="s">
        <v>49</v>
      </c>
      <c r="I1582" t="s">
        <v>79</v>
      </c>
      <c r="J1582" t="s">
        <v>196</v>
      </c>
      <c r="K1582" t="s">
        <v>334</v>
      </c>
      <c r="L1582" t="s">
        <v>53</v>
      </c>
      <c r="N1582" t="s">
        <v>2690</v>
      </c>
      <c r="P1582" t="s">
        <v>55</v>
      </c>
      <c r="R1582" t="s">
        <v>56</v>
      </c>
      <c r="T1582" t="s">
        <v>2683</v>
      </c>
      <c r="U1582" t="s">
        <v>58</v>
      </c>
      <c r="V1582">
        <v>2</v>
      </c>
      <c r="W1582">
        <v>1</v>
      </c>
      <c r="X1582">
        <v>1</v>
      </c>
      <c r="Y1582">
        <v>0</v>
      </c>
      <c r="Z1582">
        <v>1</v>
      </c>
      <c r="AA1582">
        <v>0</v>
      </c>
      <c r="AB1582">
        <v>263.89999999999998</v>
      </c>
      <c r="AC1582">
        <v>232.2</v>
      </c>
      <c r="AD1582">
        <v>0</v>
      </c>
      <c r="AE1582">
        <v>31.7</v>
      </c>
      <c r="AF1582">
        <v>0</v>
      </c>
      <c r="AG1582">
        <v>0</v>
      </c>
      <c r="AH1582">
        <v>0</v>
      </c>
      <c r="AI1582">
        <v>0</v>
      </c>
      <c r="AJ1582">
        <v>263.89999999999998</v>
      </c>
      <c r="AK1582">
        <v>0</v>
      </c>
      <c r="AL1582" t="s">
        <v>53</v>
      </c>
      <c r="AM1582" t="s">
        <v>53</v>
      </c>
      <c r="AN1582" t="s">
        <v>146</v>
      </c>
      <c r="AO1582" t="s">
        <v>53</v>
      </c>
      <c r="AP1582" t="s">
        <v>53</v>
      </c>
    </row>
    <row r="1583" spans="2:42" x14ac:dyDescent="0.2">
      <c r="B1583" t="s">
        <v>44</v>
      </c>
      <c r="C1583" t="str">
        <f>HYPERLINK("https://us2.cloudbeds.com/connect/8493803454333002#/reservations/598386737369?display=E1B5X1PD&amp;reservation_id=598386737369", "E1B5X1PD")</f>
        <v>E1B5X1PD</v>
      </c>
      <c r="D1583" t="s">
        <v>45</v>
      </c>
      <c r="E1583" t="s">
        <v>305</v>
      </c>
      <c r="F1583" t="s">
        <v>61</v>
      </c>
      <c r="G1583" t="s">
        <v>48</v>
      </c>
      <c r="H1583" t="s">
        <v>49</v>
      </c>
      <c r="I1583" t="s">
        <v>50</v>
      </c>
      <c r="J1583" t="s">
        <v>549</v>
      </c>
      <c r="K1583" t="s">
        <v>134</v>
      </c>
      <c r="L1583" t="s">
        <v>53</v>
      </c>
      <c r="N1583" t="s">
        <v>2691</v>
      </c>
      <c r="P1583" t="s">
        <v>55</v>
      </c>
      <c r="R1583" t="s">
        <v>56</v>
      </c>
      <c r="T1583" t="s">
        <v>2683</v>
      </c>
      <c r="U1583" t="s">
        <v>58</v>
      </c>
      <c r="V1583">
        <v>1</v>
      </c>
      <c r="W1583">
        <v>1</v>
      </c>
      <c r="X1583">
        <v>1</v>
      </c>
      <c r="Y1583">
        <v>0</v>
      </c>
      <c r="Z1583">
        <v>1</v>
      </c>
      <c r="AA1583">
        <v>0</v>
      </c>
      <c r="AB1583">
        <v>168.77</v>
      </c>
      <c r="AC1583">
        <v>148.5</v>
      </c>
      <c r="AD1583">
        <v>0</v>
      </c>
      <c r="AE1583">
        <v>20.28</v>
      </c>
      <c r="AF1583">
        <v>0</v>
      </c>
      <c r="AG1583">
        <v>0</v>
      </c>
      <c r="AH1583">
        <v>0</v>
      </c>
      <c r="AI1583">
        <v>30.38</v>
      </c>
      <c r="AJ1583">
        <v>168.78</v>
      </c>
      <c r="AK1583">
        <v>0.01</v>
      </c>
      <c r="AL1583" t="s">
        <v>53</v>
      </c>
      <c r="AM1583" t="s">
        <v>53</v>
      </c>
      <c r="AN1583" t="s">
        <v>280</v>
      </c>
      <c r="AO1583" t="s">
        <v>53</v>
      </c>
      <c r="AP1583" t="s">
        <v>53</v>
      </c>
    </row>
    <row r="1584" spans="2:42" x14ac:dyDescent="0.2">
      <c r="B1584" t="s">
        <v>44</v>
      </c>
      <c r="C1584" t="str">
        <f>HYPERLINK("https://us2.cloudbeds.com/connect/8493803454333002#/reservations/598517989533?display=E1EH7B5N&amp;reservation_id=598517989533", "E1EH7B5N")</f>
        <v>E1EH7B5N</v>
      </c>
      <c r="D1584" t="s">
        <v>45</v>
      </c>
      <c r="E1584" t="s">
        <v>373</v>
      </c>
      <c r="F1584" t="s">
        <v>47</v>
      </c>
      <c r="G1584" t="s">
        <v>48</v>
      </c>
      <c r="H1584" t="s">
        <v>49</v>
      </c>
      <c r="I1584" t="s">
        <v>50</v>
      </c>
      <c r="J1584" t="s">
        <v>144</v>
      </c>
      <c r="K1584" t="s">
        <v>783</v>
      </c>
      <c r="L1584" t="s">
        <v>53</v>
      </c>
      <c r="N1584" t="s">
        <v>2692</v>
      </c>
      <c r="P1584" t="s">
        <v>55</v>
      </c>
      <c r="R1584" t="s">
        <v>56</v>
      </c>
      <c r="T1584" t="s">
        <v>2683</v>
      </c>
      <c r="U1584" t="s">
        <v>58</v>
      </c>
      <c r="V1584">
        <v>1</v>
      </c>
      <c r="W1584">
        <v>1</v>
      </c>
      <c r="X1584">
        <v>1</v>
      </c>
      <c r="Y1584">
        <v>0</v>
      </c>
      <c r="Z1584">
        <v>1</v>
      </c>
      <c r="AA1584">
        <v>0</v>
      </c>
      <c r="AB1584">
        <v>157.52000000000001</v>
      </c>
      <c r="AC1584">
        <v>138.6</v>
      </c>
      <c r="AD1584">
        <v>0</v>
      </c>
      <c r="AE1584">
        <v>18.920000000000002</v>
      </c>
      <c r="AF1584">
        <v>0</v>
      </c>
      <c r="AG1584">
        <v>0</v>
      </c>
      <c r="AH1584">
        <v>0</v>
      </c>
      <c r="AI1584">
        <v>28.35</v>
      </c>
      <c r="AJ1584">
        <v>157.52000000000001</v>
      </c>
      <c r="AK1584">
        <v>0</v>
      </c>
      <c r="AL1584" t="s">
        <v>53</v>
      </c>
      <c r="AM1584" t="s">
        <v>53</v>
      </c>
      <c r="AN1584" t="s">
        <v>104</v>
      </c>
      <c r="AO1584" t="s">
        <v>53</v>
      </c>
      <c r="AP1584" t="s">
        <v>53</v>
      </c>
    </row>
    <row r="1585" spans="2:42" x14ac:dyDescent="0.2">
      <c r="B1585" t="s">
        <v>44</v>
      </c>
      <c r="C1585" t="str">
        <f>HYPERLINK("https://us2.cloudbeds.com/connect/8493803454333002#/reservations/598569054410?display=E1FR99N7&amp;reservation_id=598569054410", "E1FR99N7")</f>
        <v>E1FR99N7</v>
      </c>
      <c r="D1585" t="s">
        <v>45</v>
      </c>
      <c r="E1585" t="s">
        <v>155</v>
      </c>
      <c r="F1585" t="s">
        <v>86</v>
      </c>
      <c r="G1585" t="s">
        <v>48</v>
      </c>
      <c r="H1585" t="s">
        <v>71</v>
      </c>
      <c r="I1585" t="s">
        <v>72</v>
      </c>
      <c r="J1585" t="s">
        <v>1117</v>
      </c>
      <c r="K1585" t="s">
        <v>699</v>
      </c>
      <c r="L1585" t="s">
        <v>53</v>
      </c>
      <c r="N1585" t="s">
        <v>2693</v>
      </c>
      <c r="P1585" t="s">
        <v>55</v>
      </c>
      <c r="R1585" t="s">
        <v>56</v>
      </c>
      <c r="T1585" t="s">
        <v>2683</v>
      </c>
      <c r="U1585" t="s">
        <v>58</v>
      </c>
      <c r="V1585">
        <v>1</v>
      </c>
      <c r="W1585">
        <v>1</v>
      </c>
      <c r="X1585">
        <v>1</v>
      </c>
      <c r="Y1585">
        <v>0</v>
      </c>
      <c r="Z1585">
        <v>1</v>
      </c>
      <c r="AA1585">
        <v>0</v>
      </c>
      <c r="AB1585">
        <v>121.61</v>
      </c>
      <c r="AC1585">
        <v>107</v>
      </c>
      <c r="AD1585">
        <v>0</v>
      </c>
      <c r="AE1585">
        <v>14.61</v>
      </c>
      <c r="AF1585">
        <v>0</v>
      </c>
      <c r="AG1585">
        <v>0</v>
      </c>
      <c r="AH1585">
        <v>0</v>
      </c>
      <c r="AI1585">
        <v>0</v>
      </c>
      <c r="AJ1585">
        <v>121.61</v>
      </c>
      <c r="AK1585">
        <v>0</v>
      </c>
      <c r="AL1585" t="s">
        <v>53</v>
      </c>
      <c r="AM1585" t="s">
        <v>53</v>
      </c>
      <c r="AN1585" t="s">
        <v>378</v>
      </c>
      <c r="AO1585" t="s">
        <v>53</v>
      </c>
      <c r="AP1585" t="s">
        <v>53</v>
      </c>
    </row>
    <row r="1586" spans="2:42" x14ac:dyDescent="0.2">
      <c r="B1586" t="s">
        <v>44</v>
      </c>
      <c r="C1586" t="str">
        <f>HYPERLINK("https://us2.cloudbeds.com/connect/8493803454333002#/reservations/598457086180?display=E1CPXNYH&amp;reservation_id=598457086180", "E1CPXNYH")</f>
        <v>E1CPXNYH</v>
      </c>
      <c r="D1586" t="s">
        <v>45</v>
      </c>
      <c r="E1586" t="s">
        <v>179</v>
      </c>
      <c r="F1586" t="s">
        <v>47</v>
      </c>
      <c r="G1586" t="s">
        <v>48</v>
      </c>
      <c r="H1586" t="s">
        <v>49</v>
      </c>
      <c r="I1586" t="s">
        <v>50</v>
      </c>
      <c r="J1586" t="s">
        <v>309</v>
      </c>
      <c r="K1586" t="s">
        <v>133</v>
      </c>
      <c r="L1586" t="s">
        <v>53</v>
      </c>
      <c r="N1586" t="s">
        <v>2694</v>
      </c>
      <c r="P1586" t="s">
        <v>55</v>
      </c>
      <c r="R1586" t="s">
        <v>56</v>
      </c>
      <c r="T1586" t="s">
        <v>2683</v>
      </c>
      <c r="U1586" t="s">
        <v>58</v>
      </c>
      <c r="V1586">
        <v>1</v>
      </c>
      <c r="W1586">
        <v>1</v>
      </c>
      <c r="X1586">
        <v>1</v>
      </c>
      <c r="Y1586">
        <v>0</v>
      </c>
      <c r="Z1586">
        <v>1</v>
      </c>
      <c r="AA1586">
        <v>0</v>
      </c>
      <c r="AB1586">
        <v>156.5</v>
      </c>
      <c r="AC1586">
        <v>137.69999999999999</v>
      </c>
      <c r="AD1586">
        <v>0</v>
      </c>
      <c r="AE1586">
        <v>18.79</v>
      </c>
      <c r="AF1586">
        <v>0</v>
      </c>
      <c r="AG1586">
        <v>0</v>
      </c>
      <c r="AH1586">
        <v>0</v>
      </c>
      <c r="AI1586">
        <v>28.17</v>
      </c>
      <c r="AJ1586">
        <v>156.49</v>
      </c>
      <c r="AK1586">
        <v>-0.01</v>
      </c>
      <c r="AL1586" t="s">
        <v>53</v>
      </c>
      <c r="AM1586" t="s">
        <v>53</v>
      </c>
      <c r="AN1586" t="s">
        <v>316</v>
      </c>
      <c r="AO1586" t="s">
        <v>53</v>
      </c>
      <c r="AP1586" t="s">
        <v>53</v>
      </c>
    </row>
    <row r="1587" spans="2:42" x14ac:dyDescent="0.2">
      <c r="B1587" t="s">
        <v>44</v>
      </c>
      <c r="C1587" t="str">
        <f>HYPERLINK("https://us2.cloudbeds.com/connect/8493803454333002#/reservations/598381150440?display=E1B0RJEH&amp;reservation_id=598381150440", "E1B0RJEH")</f>
        <v>E1B0RJEH</v>
      </c>
      <c r="D1587" t="s">
        <v>45</v>
      </c>
      <c r="E1587" t="s">
        <v>110</v>
      </c>
      <c r="F1587" t="s">
        <v>47</v>
      </c>
      <c r="G1587" t="s">
        <v>48</v>
      </c>
      <c r="H1587" t="s">
        <v>49</v>
      </c>
      <c r="I1587" t="s">
        <v>50</v>
      </c>
      <c r="J1587" t="s">
        <v>1117</v>
      </c>
      <c r="K1587" t="s">
        <v>699</v>
      </c>
      <c r="L1587" t="s">
        <v>53</v>
      </c>
      <c r="N1587" t="s">
        <v>2695</v>
      </c>
      <c r="P1587" t="s">
        <v>55</v>
      </c>
      <c r="R1587" t="s">
        <v>56</v>
      </c>
      <c r="T1587" t="s">
        <v>2683</v>
      </c>
      <c r="U1587" t="s">
        <v>58</v>
      </c>
      <c r="V1587">
        <v>1</v>
      </c>
      <c r="W1587">
        <v>1</v>
      </c>
      <c r="X1587">
        <v>1</v>
      </c>
      <c r="Y1587">
        <v>0</v>
      </c>
      <c r="Z1587">
        <v>1</v>
      </c>
      <c r="AA1587">
        <v>0</v>
      </c>
      <c r="AB1587">
        <v>103.31</v>
      </c>
      <c r="AC1587">
        <v>90.9</v>
      </c>
      <c r="AD1587">
        <v>0</v>
      </c>
      <c r="AE1587">
        <v>12.41</v>
      </c>
      <c r="AF1587">
        <v>0</v>
      </c>
      <c r="AG1587">
        <v>0</v>
      </c>
      <c r="AH1587">
        <v>0</v>
      </c>
      <c r="AI1587">
        <v>18.600000000000001</v>
      </c>
      <c r="AJ1587">
        <v>103.31</v>
      </c>
      <c r="AK1587">
        <v>0</v>
      </c>
      <c r="AL1587" t="s">
        <v>53</v>
      </c>
      <c r="AM1587" t="s">
        <v>53</v>
      </c>
      <c r="AN1587" t="s">
        <v>280</v>
      </c>
      <c r="AO1587" t="s">
        <v>53</v>
      </c>
      <c r="AP1587" t="s">
        <v>53</v>
      </c>
    </row>
    <row r="1588" spans="2:42" x14ac:dyDescent="0.2">
      <c r="B1588" t="s">
        <v>44</v>
      </c>
      <c r="C1588" t="str">
        <f>HYPERLINK("https://us2.cloudbeds.com/connect/8493803454333002#/reservations/598171234524?display=E15YRC65&amp;reservation_id=598171234524", "E15YRC65")</f>
        <v>E15YRC65</v>
      </c>
      <c r="D1588" t="s">
        <v>45</v>
      </c>
      <c r="E1588" t="s">
        <v>105</v>
      </c>
      <c r="F1588" t="s">
        <v>47</v>
      </c>
      <c r="G1588" t="s">
        <v>48</v>
      </c>
      <c r="H1588" t="s">
        <v>49</v>
      </c>
      <c r="I1588" t="s">
        <v>50</v>
      </c>
      <c r="J1588" t="s">
        <v>144</v>
      </c>
      <c r="K1588" t="s">
        <v>196</v>
      </c>
      <c r="L1588" t="s">
        <v>53</v>
      </c>
      <c r="N1588" t="s">
        <v>2696</v>
      </c>
      <c r="P1588" t="s">
        <v>55</v>
      </c>
      <c r="R1588" t="s">
        <v>56</v>
      </c>
      <c r="T1588" t="s">
        <v>2683</v>
      </c>
      <c r="U1588" t="s">
        <v>58</v>
      </c>
      <c r="V1588">
        <v>2</v>
      </c>
      <c r="W1588">
        <v>1</v>
      </c>
      <c r="X1588">
        <v>1</v>
      </c>
      <c r="Y1588">
        <v>0</v>
      </c>
      <c r="Z1588">
        <v>1</v>
      </c>
      <c r="AA1588">
        <v>0</v>
      </c>
      <c r="AB1588">
        <v>345.5</v>
      </c>
      <c r="AC1588">
        <v>304</v>
      </c>
      <c r="AD1588">
        <v>0</v>
      </c>
      <c r="AE1588">
        <v>41.5</v>
      </c>
      <c r="AF1588">
        <v>0</v>
      </c>
      <c r="AG1588">
        <v>0</v>
      </c>
      <c r="AH1588">
        <v>0</v>
      </c>
      <c r="AI1588">
        <v>62.19</v>
      </c>
      <c r="AJ1588">
        <v>345.5</v>
      </c>
      <c r="AK1588">
        <v>0</v>
      </c>
      <c r="AL1588" t="s">
        <v>53</v>
      </c>
      <c r="AM1588" t="s">
        <v>53</v>
      </c>
      <c r="AN1588" t="s">
        <v>413</v>
      </c>
      <c r="AO1588" t="s">
        <v>53</v>
      </c>
      <c r="AP1588" t="s">
        <v>53</v>
      </c>
    </row>
    <row r="1589" spans="2:42" x14ac:dyDescent="0.2">
      <c r="B1589" t="s">
        <v>44</v>
      </c>
      <c r="C1589" t="str">
        <f>HYPERLINK("https://us2.cloudbeds.com/connect/8493803454333002#/reservations/598578372811?display=E1G24JX0&amp;reservation_id=598578372811", "E1G24JX0")</f>
        <v>E1G24JX0</v>
      </c>
      <c r="D1589" t="s">
        <v>45</v>
      </c>
      <c r="E1589" t="s">
        <v>185</v>
      </c>
      <c r="F1589" t="s">
        <v>47</v>
      </c>
      <c r="G1589" t="s">
        <v>48</v>
      </c>
      <c r="H1589" t="s">
        <v>49</v>
      </c>
      <c r="I1589" t="s">
        <v>79</v>
      </c>
      <c r="J1589" t="s">
        <v>1117</v>
      </c>
      <c r="K1589" t="s">
        <v>699</v>
      </c>
      <c r="L1589" t="s">
        <v>53</v>
      </c>
      <c r="N1589" t="s">
        <v>2697</v>
      </c>
      <c r="P1589" t="s">
        <v>55</v>
      </c>
      <c r="R1589" t="s">
        <v>56</v>
      </c>
      <c r="T1589" t="s">
        <v>2683</v>
      </c>
      <c r="U1589" t="s">
        <v>58</v>
      </c>
      <c r="V1589">
        <v>1</v>
      </c>
      <c r="W1589">
        <v>1</v>
      </c>
      <c r="X1589">
        <v>1</v>
      </c>
      <c r="Y1589">
        <v>0</v>
      </c>
      <c r="Z1589">
        <v>1</v>
      </c>
      <c r="AA1589">
        <v>0</v>
      </c>
      <c r="AB1589">
        <v>103.31</v>
      </c>
      <c r="AC1589">
        <v>90.9</v>
      </c>
      <c r="AD1589">
        <v>0</v>
      </c>
      <c r="AE1589">
        <v>12.41</v>
      </c>
      <c r="AF1589">
        <v>0</v>
      </c>
      <c r="AG1589">
        <v>0</v>
      </c>
      <c r="AH1589">
        <v>0</v>
      </c>
      <c r="AI1589">
        <v>0</v>
      </c>
      <c r="AJ1589">
        <v>103.31</v>
      </c>
      <c r="AK1589">
        <v>0</v>
      </c>
      <c r="AL1589" t="s">
        <v>53</v>
      </c>
      <c r="AM1589" t="s">
        <v>53</v>
      </c>
      <c r="AN1589" t="s">
        <v>59</v>
      </c>
      <c r="AO1589" t="s">
        <v>53</v>
      </c>
      <c r="AP1589" t="s">
        <v>53</v>
      </c>
    </row>
    <row r="1590" spans="2:42" x14ac:dyDescent="0.2">
      <c r="B1590" t="s">
        <v>44</v>
      </c>
      <c r="C1590" t="str">
        <f>HYPERLINK("https://us2.cloudbeds.com/connect/8493803454333002#/reservations/598421450926?display=E1C1R097&amp;reservation_id=598421450926", "E1C1R097")</f>
        <v>E1C1R097</v>
      </c>
      <c r="D1590" t="s">
        <v>45</v>
      </c>
      <c r="E1590" t="s">
        <v>128</v>
      </c>
      <c r="F1590" t="s">
        <v>86</v>
      </c>
      <c r="G1590" t="s">
        <v>48</v>
      </c>
      <c r="H1590" t="s">
        <v>49</v>
      </c>
      <c r="I1590" t="s">
        <v>79</v>
      </c>
      <c r="J1590" t="s">
        <v>143</v>
      </c>
      <c r="K1590" t="s">
        <v>144</v>
      </c>
      <c r="L1590" t="s">
        <v>53</v>
      </c>
      <c r="N1590" t="s">
        <v>2698</v>
      </c>
      <c r="P1590" t="s">
        <v>55</v>
      </c>
      <c r="R1590" t="s">
        <v>56</v>
      </c>
      <c r="T1590" t="s">
        <v>2683</v>
      </c>
      <c r="U1590" t="s">
        <v>58</v>
      </c>
      <c r="V1590">
        <v>1</v>
      </c>
      <c r="W1590">
        <v>1</v>
      </c>
      <c r="X1590">
        <v>1</v>
      </c>
      <c r="Y1590">
        <v>0</v>
      </c>
      <c r="Z1590">
        <v>1</v>
      </c>
      <c r="AA1590">
        <v>0</v>
      </c>
      <c r="AB1590">
        <v>210.25</v>
      </c>
      <c r="AC1590">
        <v>185</v>
      </c>
      <c r="AD1590">
        <v>0</v>
      </c>
      <c r="AE1590">
        <v>25.26</v>
      </c>
      <c r="AF1590">
        <v>0</v>
      </c>
      <c r="AG1590">
        <v>0</v>
      </c>
      <c r="AH1590">
        <v>0</v>
      </c>
      <c r="AI1590">
        <v>0</v>
      </c>
      <c r="AJ1590">
        <v>210.26</v>
      </c>
      <c r="AK1590">
        <v>0.01</v>
      </c>
      <c r="AL1590" t="s">
        <v>53</v>
      </c>
      <c r="AM1590" t="s">
        <v>53</v>
      </c>
      <c r="AN1590" t="s">
        <v>252</v>
      </c>
      <c r="AO1590" t="s">
        <v>53</v>
      </c>
      <c r="AP1590" t="s">
        <v>53</v>
      </c>
    </row>
    <row r="1591" spans="2:42" x14ac:dyDescent="0.2">
      <c r="B1591" t="s">
        <v>44</v>
      </c>
      <c r="C1591" t="str">
        <f>HYPERLINK("https://us2.cloudbeds.com/connect/8493803454333002#/reservations/598373515471?display=E1ARD4EQ&amp;reservation_id=598373515471", "E1ARD4EQ")</f>
        <v>E1ARD4EQ</v>
      </c>
      <c r="D1591" t="s">
        <v>45</v>
      </c>
      <c r="E1591" t="s">
        <v>69</v>
      </c>
      <c r="F1591" t="s">
        <v>70</v>
      </c>
      <c r="G1591" t="s">
        <v>48</v>
      </c>
      <c r="H1591" t="s">
        <v>49</v>
      </c>
      <c r="I1591" t="s">
        <v>62</v>
      </c>
      <c r="J1591" t="s">
        <v>334</v>
      </c>
      <c r="K1591" t="s">
        <v>538</v>
      </c>
      <c r="L1591" t="s">
        <v>53</v>
      </c>
      <c r="N1591" t="s">
        <v>2699</v>
      </c>
      <c r="P1591" t="s">
        <v>55</v>
      </c>
      <c r="R1591" t="s">
        <v>56</v>
      </c>
      <c r="T1591" t="s">
        <v>2683</v>
      </c>
      <c r="U1591" t="s">
        <v>58</v>
      </c>
      <c r="V1591">
        <v>1</v>
      </c>
      <c r="W1591">
        <v>1</v>
      </c>
      <c r="X1591">
        <v>1</v>
      </c>
      <c r="Y1591">
        <v>0</v>
      </c>
      <c r="Z1591">
        <v>1</v>
      </c>
      <c r="AA1591">
        <v>0</v>
      </c>
      <c r="AB1591">
        <v>122.74</v>
      </c>
      <c r="AC1591">
        <v>108</v>
      </c>
      <c r="AD1591">
        <v>0</v>
      </c>
      <c r="AE1591">
        <v>14.74</v>
      </c>
      <c r="AF1591">
        <v>0</v>
      </c>
      <c r="AG1591">
        <v>0</v>
      </c>
      <c r="AH1591">
        <v>0</v>
      </c>
      <c r="AI1591">
        <v>18.41</v>
      </c>
      <c r="AJ1591">
        <v>122.74</v>
      </c>
      <c r="AK1591">
        <v>0</v>
      </c>
      <c r="AL1591" t="s">
        <v>53</v>
      </c>
      <c r="AM1591" t="s">
        <v>53</v>
      </c>
      <c r="AN1591" t="s">
        <v>413</v>
      </c>
      <c r="AO1591" t="s">
        <v>53</v>
      </c>
      <c r="AP1591" t="s">
        <v>53</v>
      </c>
    </row>
    <row r="1592" spans="2:42" x14ac:dyDescent="0.2">
      <c r="B1592" t="s">
        <v>44</v>
      </c>
      <c r="C1592" t="str">
        <f>HYPERLINK("https://us2.cloudbeds.com/connect/8493803454333002#/reservations/598547902605?display=E1F9ENXE&amp;reservation_id=598547902605", "E1F9ENXE")</f>
        <v>E1F9ENXE</v>
      </c>
      <c r="D1592" t="s">
        <v>45</v>
      </c>
      <c r="E1592" t="s">
        <v>128</v>
      </c>
      <c r="F1592" t="s">
        <v>86</v>
      </c>
      <c r="G1592" t="s">
        <v>48</v>
      </c>
      <c r="H1592" t="s">
        <v>49</v>
      </c>
      <c r="I1592" t="s">
        <v>62</v>
      </c>
      <c r="J1592" t="s">
        <v>1117</v>
      </c>
      <c r="K1592" t="s">
        <v>143</v>
      </c>
      <c r="L1592" t="s">
        <v>53</v>
      </c>
      <c r="N1592" t="s">
        <v>2700</v>
      </c>
      <c r="P1592" t="s">
        <v>55</v>
      </c>
      <c r="R1592" t="s">
        <v>56</v>
      </c>
      <c r="T1592" t="s">
        <v>2683</v>
      </c>
      <c r="U1592" t="s">
        <v>58</v>
      </c>
      <c r="V1592">
        <v>2</v>
      </c>
      <c r="W1592">
        <v>1</v>
      </c>
      <c r="X1592">
        <v>1</v>
      </c>
      <c r="Y1592">
        <v>0</v>
      </c>
      <c r="Z1592">
        <v>1</v>
      </c>
      <c r="AA1592">
        <v>0</v>
      </c>
      <c r="AB1592">
        <v>325.04000000000002</v>
      </c>
      <c r="AC1592">
        <v>286</v>
      </c>
      <c r="AD1592">
        <v>0</v>
      </c>
      <c r="AE1592">
        <v>39.06</v>
      </c>
      <c r="AF1592">
        <v>0</v>
      </c>
      <c r="AG1592">
        <v>0</v>
      </c>
      <c r="AH1592">
        <v>0</v>
      </c>
      <c r="AI1592">
        <v>48.76</v>
      </c>
      <c r="AJ1592">
        <v>325.06</v>
      </c>
      <c r="AK1592">
        <v>0.02</v>
      </c>
      <c r="AL1592" t="s">
        <v>53</v>
      </c>
      <c r="AM1592" t="s">
        <v>53</v>
      </c>
      <c r="AN1592" t="s">
        <v>112</v>
      </c>
      <c r="AO1592" t="s">
        <v>53</v>
      </c>
      <c r="AP1592" t="s">
        <v>53</v>
      </c>
    </row>
    <row r="1593" spans="2:42" x14ac:dyDescent="0.2">
      <c r="B1593" t="s">
        <v>44</v>
      </c>
      <c r="C1593" t="str">
        <f>HYPERLINK("https://us2.cloudbeds.com/connect/8493803454333002#/reservations/598196580501?display=E16A6YZ2&amp;reservation_id=598196580501", "E16A6YZ2")</f>
        <v>E16A6YZ2</v>
      </c>
      <c r="D1593" t="s">
        <v>45</v>
      </c>
      <c r="E1593" t="s">
        <v>487</v>
      </c>
      <c r="F1593" t="s">
        <v>61</v>
      </c>
      <c r="G1593" t="s">
        <v>48</v>
      </c>
      <c r="H1593" t="s">
        <v>49</v>
      </c>
      <c r="I1593" t="s">
        <v>79</v>
      </c>
      <c r="J1593" t="s">
        <v>1117</v>
      </c>
      <c r="K1593" t="s">
        <v>699</v>
      </c>
      <c r="L1593" t="s">
        <v>53</v>
      </c>
      <c r="N1593" t="s">
        <v>2701</v>
      </c>
      <c r="P1593" t="s">
        <v>55</v>
      </c>
      <c r="R1593" t="s">
        <v>56</v>
      </c>
      <c r="T1593" t="s">
        <v>2683</v>
      </c>
      <c r="U1593" t="s">
        <v>58</v>
      </c>
      <c r="V1593">
        <v>1</v>
      </c>
      <c r="W1593">
        <v>1</v>
      </c>
      <c r="X1593">
        <v>1</v>
      </c>
      <c r="Y1593">
        <v>0</v>
      </c>
      <c r="Z1593">
        <v>1</v>
      </c>
      <c r="AA1593">
        <v>0</v>
      </c>
      <c r="AB1593">
        <v>112.51</v>
      </c>
      <c r="AC1593">
        <v>99</v>
      </c>
      <c r="AD1593">
        <v>0</v>
      </c>
      <c r="AE1593">
        <v>13.52</v>
      </c>
      <c r="AF1593">
        <v>0</v>
      </c>
      <c r="AG1593">
        <v>0</v>
      </c>
      <c r="AH1593">
        <v>0</v>
      </c>
      <c r="AI1593">
        <v>0</v>
      </c>
      <c r="AJ1593">
        <v>112.52</v>
      </c>
      <c r="AK1593">
        <v>0.01</v>
      </c>
      <c r="AL1593" t="s">
        <v>53</v>
      </c>
      <c r="AM1593" t="s">
        <v>53</v>
      </c>
      <c r="AN1593" t="s">
        <v>68</v>
      </c>
      <c r="AO1593" t="s">
        <v>53</v>
      </c>
      <c r="AP1593" t="s">
        <v>53</v>
      </c>
    </row>
    <row r="1594" spans="2:42" x14ac:dyDescent="0.2">
      <c r="B1594" t="s">
        <v>44</v>
      </c>
      <c r="C1594" t="str">
        <f>HYPERLINK("https://us2.cloudbeds.com/connect/8493803454333002#/reservations/598306070727?display=E193HCNN&amp;reservation_id=598306070727", "E193HCNN")</f>
        <v>E193HCNN</v>
      </c>
      <c r="D1594" t="s">
        <v>45</v>
      </c>
      <c r="E1594" t="s">
        <v>105</v>
      </c>
      <c r="F1594" t="s">
        <v>47</v>
      </c>
      <c r="G1594" t="s">
        <v>48</v>
      </c>
      <c r="H1594" t="s">
        <v>49</v>
      </c>
      <c r="I1594" t="s">
        <v>50</v>
      </c>
      <c r="J1594" t="s">
        <v>1117</v>
      </c>
      <c r="K1594" t="s">
        <v>699</v>
      </c>
      <c r="L1594" t="s">
        <v>53</v>
      </c>
      <c r="N1594" t="s">
        <v>2702</v>
      </c>
      <c r="P1594" t="s">
        <v>55</v>
      </c>
      <c r="R1594" t="s">
        <v>56</v>
      </c>
      <c r="T1594" t="s">
        <v>2683</v>
      </c>
      <c r="U1594" t="s">
        <v>58</v>
      </c>
      <c r="V1594">
        <v>1</v>
      </c>
      <c r="W1594">
        <v>1</v>
      </c>
      <c r="X1594">
        <v>1</v>
      </c>
      <c r="Y1594">
        <v>0</v>
      </c>
      <c r="Z1594">
        <v>1</v>
      </c>
      <c r="AA1594">
        <v>0</v>
      </c>
      <c r="AB1594">
        <v>103.31</v>
      </c>
      <c r="AC1594">
        <v>90.9</v>
      </c>
      <c r="AD1594">
        <v>0</v>
      </c>
      <c r="AE1594">
        <v>12.41</v>
      </c>
      <c r="AF1594">
        <v>0</v>
      </c>
      <c r="AG1594">
        <v>0</v>
      </c>
      <c r="AH1594">
        <v>0</v>
      </c>
      <c r="AI1594">
        <v>18.600000000000001</v>
      </c>
      <c r="AJ1594">
        <v>103.31</v>
      </c>
      <c r="AK1594">
        <v>0</v>
      </c>
      <c r="AL1594" t="s">
        <v>53</v>
      </c>
      <c r="AM1594" t="s">
        <v>53</v>
      </c>
      <c r="AN1594" t="s">
        <v>127</v>
      </c>
      <c r="AO1594" t="s">
        <v>53</v>
      </c>
      <c r="AP1594" t="s">
        <v>53</v>
      </c>
    </row>
    <row r="1595" spans="2:42" x14ac:dyDescent="0.2">
      <c r="B1595" t="s">
        <v>44</v>
      </c>
      <c r="C1595" t="str">
        <f>HYPERLINK("https://us2.cloudbeds.com/connect/8493803454333002#/reservations/598481371279?display=E1DJBCJK&amp;reservation_id=598481371279", "E1DJBCJK")</f>
        <v>E1DJBCJK</v>
      </c>
      <c r="D1595" t="s">
        <v>45</v>
      </c>
      <c r="E1595" t="s">
        <v>155</v>
      </c>
      <c r="F1595" t="s">
        <v>86</v>
      </c>
      <c r="G1595" t="s">
        <v>48</v>
      </c>
      <c r="H1595" t="s">
        <v>49</v>
      </c>
      <c r="I1595" t="s">
        <v>50</v>
      </c>
      <c r="J1595" t="s">
        <v>446</v>
      </c>
      <c r="K1595" t="s">
        <v>1633</v>
      </c>
      <c r="L1595" t="s">
        <v>53</v>
      </c>
      <c r="N1595" t="s">
        <v>2703</v>
      </c>
      <c r="P1595" t="s">
        <v>55</v>
      </c>
      <c r="R1595" t="s">
        <v>56</v>
      </c>
      <c r="T1595" t="s">
        <v>2683</v>
      </c>
      <c r="U1595" t="s">
        <v>58</v>
      </c>
      <c r="V1595">
        <v>2</v>
      </c>
      <c r="W1595">
        <v>1</v>
      </c>
      <c r="X1595">
        <v>1</v>
      </c>
      <c r="Y1595">
        <v>0</v>
      </c>
      <c r="Z1595">
        <v>1</v>
      </c>
      <c r="AA1595">
        <v>0</v>
      </c>
      <c r="AB1595">
        <v>356.46</v>
      </c>
      <c r="AC1595">
        <v>313.64999999999998</v>
      </c>
      <c r="AD1595">
        <v>0</v>
      </c>
      <c r="AE1595">
        <v>42.82</v>
      </c>
      <c r="AF1595">
        <v>0</v>
      </c>
      <c r="AG1595">
        <v>0</v>
      </c>
      <c r="AH1595">
        <v>0</v>
      </c>
      <c r="AI1595">
        <v>64.16</v>
      </c>
      <c r="AJ1595">
        <v>356.47</v>
      </c>
      <c r="AK1595">
        <v>0.01</v>
      </c>
      <c r="AL1595" t="s">
        <v>53</v>
      </c>
      <c r="AM1595" t="s">
        <v>53</v>
      </c>
      <c r="AN1595" t="s">
        <v>127</v>
      </c>
      <c r="AO1595" t="s">
        <v>53</v>
      </c>
      <c r="AP1595" t="s">
        <v>53</v>
      </c>
    </row>
    <row r="1596" spans="2:42" x14ac:dyDescent="0.2">
      <c r="B1596" t="s">
        <v>44</v>
      </c>
      <c r="C1596" t="str">
        <f>HYPERLINK("https://us2.cloudbeds.com/connect/8493803454333002#/reservations/598142787831?display=E14URQB5&amp;reservation_id=598142787831", "E14URQB5")</f>
        <v>E14URQB5</v>
      </c>
      <c r="D1596" t="s">
        <v>45</v>
      </c>
      <c r="E1596" t="s">
        <v>179</v>
      </c>
      <c r="F1596" t="s">
        <v>47</v>
      </c>
      <c r="G1596" t="s">
        <v>48</v>
      </c>
      <c r="H1596" t="s">
        <v>49</v>
      </c>
      <c r="I1596" t="s">
        <v>50</v>
      </c>
      <c r="J1596" t="s">
        <v>783</v>
      </c>
      <c r="K1596" t="s">
        <v>196</v>
      </c>
      <c r="L1596" t="s">
        <v>53</v>
      </c>
      <c r="N1596" t="s">
        <v>2704</v>
      </c>
      <c r="P1596" t="s">
        <v>55</v>
      </c>
      <c r="R1596" t="s">
        <v>56</v>
      </c>
      <c r="T1596" t="s">
        <v>2705</v>
      </c>
      <c r="U1596" t="s">
        <v>58</v>
      </c>
      <c r="V1596">
        <v>1</v>
      </c>
      <c r="W1596">
        <v>1</v>
      </c>
      <c r="X1596">
        <v>1</v>
      </c>
      <c r="Y1596">
        <v>0</v>
      </c>
      <c r="Z1596">
        <v>1</v>
      </c>
      <c r="AA1596">
        <v>0</v>
      </c>
      <c r="AB1596">
        <v>153.43</v>
      </c>
      <c r="AC1596">
        <v>135</v>
      </c>
      <c r="AD1596">
        <v>0</v>
      </c>
      <c r="AE1596">
        <v>18.440000000000001</v>
      </c>
      <c r="AF1596">
        <v>0</v>
      </c>
      <c r="AG1596">
        <v>0</v>
      </c>
      <c r="AH1596">
        <v>0</v>
      </c>
      <c r="AI1596">
        <v>27.62</v>
      </c>
      <c r="AJ1596">
        <v>153.44</v>
      </c>
      <c r="AK1596">
        <v>0.01</v>
      </c>
      <c r="AL1596" t="s">
        <v>53</v>
      </c>
      <c r="AM1596" t="s">
        <v>53</v>
      </c>
      <c r="AN1596" t="s">
        <v>137</v>
      </c>
      <c r="AO1596" t="s">
        <v>53</v>
      </c>
      <c r="AP1596" t="s">
        <v>53</v>
      </c>
    </row>
    <row r="1597" spans="2:42" x14ac:dyDescent="0.2">
      <c r="B1597" t="s">
        <v>44</v>
      </c>
      <c r="C1597" t="str">
        <f>HYPERLINK("https://us2.cloudbeds.com/connect/8493803454333002#/reservations/598485336242?display=E1DMMNH1&amp;reservation_id=598485336242", "E1DMMNH1")</f>
        <v>E1DMMNH1</v>
      </c>
      <c r="D1597" t="s">
        <v>45</v>
      </c>
      <c r="E1597" t="s">
        <v>128</v>
      </c>
      <c r="F1597" t="s">
        <v>86</v>
      </c>
      <c r="G1597" t="s">
        <v>48</v>
      </c>
      <c r="H1597" t="s">
        <v>71</v>
      </c>
      <c r="I1597" t="s">
        <v>72</v>
      </c>
      <c r="J1597" t="s">
        <v>333</v>
      </c>
      <c r="K1597" t="s">
        <v>334</v>
      </c>
      <c r="L1597" t="s">
        <v>53</v>
      </c>
      <c r="N1597" t="s">
        <v>2706</v>
      </c>
      <c r="P1597" t="s">
        <v>55</v>
      </c>
      <c r="R1597" t="s">
        <v>56</v>
      </c>
      <c r="T1597" t="s">
        <v>2705</v>
      </c>
      <c r="U1597" t="s">
        <v>58</v>
      </c>
      <c r="V1597">
        <v>1</v>
      </c>
      <c r="W1597">
        <v>1</v>
      </c>
      <c r="X1597">
        <v>1</v>
      </c>
      <c r="Y1597">
        <v>0</v>
      </c>
      <c r="Z1597">
        <v>1</v>
      </c>
      <c r="AA1597">
        <v>0</v>
      </c>
      <c r="AB1597">
        <v>134.11000000000001</v>
      </c>
      <c r="AC1597">
        <v>118</v>
      </c>
      <c r="AD1597">
        <v>0</v>
      </c>
      <c r="AE1597">
        <v>16.11</v>
      </c>
      <c r="AF1597">
        <v>0</v>
      </c>
      <c r="AG1597">
        <v>0</v>
      </c>
      <c r="AH1597">
        <v>0</v>
      </c>
      <c r="AI1597">
        <v>0</v>
      </c>
      <c r="AJ1597">
        <v>134.11000000000001</v>
      </c>
      <c r="AK1597">
        <v>0</v>
      </c>
      <c r="AL1597" t="s">
        <v>53</v>
      </c>
      <c r="AM1597" t="s">
        <v>53</v>
      </c>
      <c r="AN1597" t="s">
        <v>378</v>
      </c>
      <c r="AO1597" t="s">
        <v>53</v>
      </c>
      <c r="AP1597" t="s">
        <v>53</v>
      </c>
    </row>
    <row r="1598" spans="2:42" x14ac:dyDescent="0.2">
      <c r="B1598" t="s">
        <v>44</v>
      </c>
      <c r="C1598" t="str">
        <f>HYPERLINK("https://us2.cloudbeds.com/connect/8493803454333002#/reservations/598407499945?display=E1BN1QGC&amp;reservation_id=598407499945", "E1BN1QGC")</f>
        <v>E1BN1QGC</v>
      </c>
      <c r="D1598" t="s">
        <v>45</v>
      </c>
      <c r="E1598" t="s">
        <v>155</v>
      </c>
      <c r="F1598" t="s">
        <v>86</v>
      </c>
      <c r="G1598" t="s">
        <v>48</v>
      </c>
      <c r="H1598" t="s">
        <v>49</v>
      </c>
      <c r="I1598" t="s">
        <v>62</v>
      </c>
      <c r="J1598" t="s">
        <v>699</v>
      </c>
      <c r="K1598" t="s">
        <v>143</v>
      </c>
      <c r="L1598" t="s">
        <v>53</v>
      </c>
      <c r="N1598" t="s">
        <v>2707</v>
      </c>
      <c r="P1598" t="s">
        <v>55</v>
      </c>
      <c r="R1598" t="s">
        <v>56</v>
      </c>
      <c r="T1598" t="s">
        <v>2705</v>
      </c>
      <c r="U1598" t="s">
        <v>58</v>
      </c>
      <c r="V1598">
        <v>1</v>
      </c>
      <c r="W1598">
        <v>1</v>
      </c>
      <c r="X1598">
        <v>1</v>
      </c>
      <c r="Y1598">
        <v>0</v>
      </c>
      <c r="Z1598">
        <v>1</v>
      </c>
      <c r="AA1598">
        <v>0</v>
      </c>
      <c r="AB1598">
        <v>192.07</v>
      </c>
      <c r="AC1598">
        <v>169</v>
      </c>
      <c r="AD1598">
        <v>0</v>
      </c>
      <c r="AE1598">
        <v>23.07</v>
      </c>
      <c r="AF1598">
        <v>0</v>
      </c>
      <c r="AG1598">
        <v>0</v>
      </c>
      <c r="AH1598">
        <v>0</v>
      </c>
      <c r="AI1598">
        <v>28.81</v>
      </c>
      <c r="AJ1598">
        <v>192.07</v>
      </c>
      <c r="AK1598">
        <v>0</v>
      </c>
      <c r="AL1598" t="s">
        <v>53</v>
      </c>
      <c r="AM1598" t="s">
        <v>53</v>
      </c>
      <c r="AN1598" t="s">
        <v>2708</v>
      </c>
      <c r="AO1598" t="s">
        <v>53</v>
      </c>
      <c r="AP1598" t="s">
        <v>53</v>
      </c>
    </row>
    <row r="1599" spans="2:42" x14ac:dyDescent="0.2">
      <c r="B1599" t="s">
        <v>44</v>
      </c>
      <c r="C1599" t="str">
        <f>HYPERLINK("https://us2.cloudbeds.com/connect/8493803454333002#/reservations/598457676017?display=E1CWC0SD&amp;reservation_id=598457676017", "E1CWC0SD")</f>
        <v>E1CWC0SD</v>
      </c>
      <c r="D1599" t="s">
        <v>45</v>
      </c>
      <c r="E1599" t="s">
        <v>138</v>
      </c>
      <c r="F1599" t="s">
        <v>70</v>
      </c>
      <c r="G1599" t="s">
        <v>48</v>
      </c>
      <c r="H1599" t="s">
        <v>49</v>
      </c>
      <c r="I1599" t="s">
        <v>50</v>
      </c>
      <c r="J1599" t="s">
        <v>327</v>
      </c>
      <c r="K1599" t="s">
        <v>970</v>
      </c>
      <c r="L1599" t="s">
        <v>53</v>
      </c>
      <c r="N1599" t="s">
        <v>2709</v>
      </c>
      <c r="P1599" t="s">
        <v>55</v>
      </c>
      <c r="R1599" t="s">
        <v>56</v>
      </c>
      <c r="T1599" t="s">
        <v>2705</v>
      </c>
      <c r="U1599" t="s">
        <v>58</v>
      </c>
      <c r="V1599">
        <v>1</v>
      </c>
      <c r="W1599">
        <v>1</v>
      </c>
      <c r="X1599">
        <v>1</v>
      </c>
      <c r="Y1599">
        <v>0</v>
      </c>
      <c r="Z1599">
        <v>1</v>
      </c>
      <c r="AA1599">
        <v>0</v>
      </c>
      <c r="AB1599">
        <v>148.31</v>
      </c>
      <c r="AC1599">
        <v>130.5</v>
      </c>
      <c r="AD1599">
        <v>0</v>
      </c>
      <c r="AE1599">
        <v>17.809999999999999</v>
      </c>
      <c r="AF1599">
        <v>0</v>
      </c>
      <c r="AG1599">
        <v>0</v>
      </c>
      <c r="AH1599">
        <v>0</v>
      </c>
      <c r="AI1599">
        <v>26.7</v>
      </c>
      <c r="AJ1599">
        <v>148.31</v>
      </c>
      <c r="AK1599">
        <v>0</v>
      </c>
      <c r="AL1599" t="s">
        <v>53</v>
      </c>
      <c r="AM1599" t="s">
        <v>53</v>
      </c>
      <c r="AN1599" t="s">
        <v>545</v>
      </c>
      <c r="AO1599" t="s">
        <v>53</v>
      </c>
      <c r="AP1599" t="s">
        <v>53</v>
      </c>
    </row>
    <row r="1600" spans="2:42" x14ac:dyDescent="0.2">
      <c r="B1600" t="s">
        <v>44</v>
      </c>
      <c r="C1600" t="str">
        <f>HYPERLINK("https://us2.cloudbeds.com/connect/8493803454333002#/reservations/598491726023?display=E1DS2H2P&amp;reservation_id=598491726023", "E1DS2H2P")</f>
        <v>E1DS2H2P</v>
      </c>
      <c r="D1600" t="s">
        <v>45</v>
      </c>
      <c r="E1600" t="s">
        <v>85</v>
      </c>
      <c r="F1600" t="s">
        <v>86</v>
      </c>
      <c r="G1600" t="s">
        <v>48</v>
      </c>
      <c r="H1600" t="s">
        <v>71</v>
      </c>
      <c r="I1600" t="s">
        <v>72</v>
      </c>
      <c r="J1600" t="s">
        <v>333</v>
      </c>
      <c r="K1600" t="s">
        <v>334</v>
      </c>
      <c r="L1600" t="s">
        <v>53</v>
      </c>
      <c r="N1600" t="s">
        <v>2710</v>
      </c>
      <c r="P1600" t="s">
        <v>55</v>
      </c>
      <c r="R1600" t="s">
        <v>56</v>
      </c>
      <c r="T1600" t="s">
        <v>2705</v>
      </c>
      <c r="U1600" t="s">
        <v>58</v>
      </c>
      <c r="V1600">
        <v>1</v>
      </c>
      <c r="W1600">
        <v>1</v>
      </c>
      <c r="X1600">
        <v>1</v>
      </c>
      <c r="Y1600">
        <v>0</v>
      </c>
      <c r="Z1600">
        <v>1</v>
      </c>
      <c r="AA1600">
        <v>0</v>
      </c>
      <c r="AB1600">
        <v>134.11000000000001</v>
      </c>
      <c r="AC1600">
        <v>118</v>
      </c>
      <c r="AD1600">
        <v>0</v>
      </c>
      <c r="AE1600">
        <v>16.11</v>
      </c>
      <c r="AF1600">
        <v>0</v>
      </c>
      <c r="AG1600">
        <v>0</v>
      </c>
      <c r="AH1600">
        <v>0</v>
      </c>
      <c r="AI1600">
        <v>0</v>
      </c>
      <c r="AJ1600">
        <v>134.11000000000001</v>
      </c>
      <c r="AK1600">
        <v>0</v>
      </c>
      <c r="AL1600" t="s">
        <v>53</v>
      </c>
      <c r="AM1600" t="s">
        <v>53</v>
      </c>
      <c r="AN1600" t="s">
        <v>378</v>
      </c>
      <c r="AO1600" t="s">
        <v>53</v>
      </c>
      <c r="AP1600" t="s">
        <v>53</v>
      </c>
    </row>
    <row r="1601" spans="2:42" x14ac:dyDescent="0.2">
      <c r="B1601" t="s">
        <v>44</v>
      </c>
      <c r="C1601" t="str">
        <f>HYPERLINK("https://us2.cloudbeds.com/connect/8493803454333002#/reservations/598383939736?display=E1B366PY&amp;reservation_id=598383939736", "E1B366PY")</f>
        <v>E1B366PY</v>
      </c>
      <c r="D1601" t="s">
        <v>45</v>
      </c>
      <c r="E1601" t="s">
        <v>46</v>
      </c>
      <c r="F1601" t="s">
        <v>47</v>
      </c>
      <c r="G1601" t="s">
        <v>48</v>
      </c>
      <c r="H1601" t="s">
        <v>49</v>
      </c>
      <c r="I1601" t="s">
        <v>62</v>
      </c>
      <c r="J1601" t="s">
        <v>180</v>
      </c>
      <c r="K1601" t="s">
        <v>122</v>
      </c>
      <c r="L1601" t="s">
        <v>53</v>
      </c>
      <c r="N1601" t="s">
        <v>2711</v>
      </c>
      <c r="P1601" t="s">
        <v>55</v>
      </c>
      <c r="R1601" t="s">
        <v>56</v>
      </c>
      <c r="T1601" t="s">
        <v>2705</v>
      </c>
      <c r="U1601" t="s">
        <v>58</v>
      </c>
      <c r="V1601">
        <v>2</v>
      </c>
      <c r="W1601">
        <v>1</v>
      </c>
      <c r="X1601">
        <v>1</v>
      </c>
      <c r="Y1601">
        <v>0</v>
      </c>
      <c r="Z1601">
        <v>1</v>
      </c>
      <c r="AA1601">
        <v>0</v>
      </c>
      <c r="AB1601">
        <v>365.95</v>
      </c>
      <c r="AC1601">
        <v>322</v>
      </c>
      <c r="AD1601">
        <v>0</v>
      </c>
      <c r="AE1601">
        <v>43.96</v>
      </c>
      <c r="AF1601">
        <v>0</v>
      </c>
      <c r="AG1601">
        <v>0</v>
      </c>
      <c r="AH1601">
        <v>0</v>
      </c>
      <c r="AI1601">
        <v>54.89</v>
      </c>
      <c r="AJ1601">
        <v>365.96</v>
      </c>
      <c r="AK1601">
        <v>0.01</v>
      </c>
      <c r="AL1601" t="s">
        <v>53</v>
      </c>
      <c r="AM1601" t="s">
        <v>53</v>
      </c>
      <c r="AN1601" t="s">
        <v>2712</v>
      </c>
      <c r="AO1601" t="s">
        <v>53</v>
      </c>
      <c r="AP1601" t="s">
        <v>53</v>
      </c>
    </row>
    <row r="1602" spans="2:42" x14ac:dyDescent="0.2">
      <c r="B1602" t="s">
        <v>44</v>
      </c>
      <c r="C1602" t="str">
        <f>HYPERLINK("https://us2.cloudbeds.com/connect/8493803454333002#/reservations/579256148103?display=DJHB46R4&amp;reservation_id=579256148103", "DJHB46R4")</f>
        <v>DJHB46R4</v>
      </c>
      <c r="D1602" t="s">
        <v>45</v>
      </c>
      <c r="E1602" t="s">
        <v>2713</v>
      </c>
      <c r="F1602" t="s">
        <v>86</v>
      </c>
      <c r="G1602" t="s">
        <v>48</v>
      </c>
      <c r="H1602" t="s">
        <v>49</v>
      </c>
      <c r="I1602" t="s">
        <v>62</v>
      </c>
      <c r="J1602" t="s">
        <v>1515</v>
      </c>
      <c r="K1602" t="s">
        <v>2162</v>
      </c>
      <c r="L1602" t="s">
        <v>53</v>
      </c>
      <c r="N1602" t="s">
        <v>2714</v>
      </c>
      <c r="P1602" t="s">
        <v>55</v>
      </c>
      <c r="R1602" t="s">
        <v>56</v>
      </c>
      <c r="T1602" t="s">
        <v>2705</v>
      </c>
      <c r="U1602" t="s">
        <v>58</v>
      </c>
      <c r="V1602">
        <v>2</v>
      </c>
      <c r="W1602">
        <v>2</v>
      </c>
      <c r="X1602">
        <v>2</v>
      </c>
      <c r="Y1602">
        <v>0</v>
      </c>
      <c r="Z1602">
        <v>2</v>
      </c>
      <c r="AA1602">
        <v>0</v>
      </c>
      <c r="AB1602">
        <v>363.68</v>
      </c>
      <c r="AC1602">
        <v>320</v>
      </c>
      <c r="AD1602">
        <v>0</v>
      </c>
      <c r="AE1602">
        <v>43.68</v>
      </c>
      <c r="AF1602">
        <v>0</v>
      </c>
      <c r="AG1602">
        <v>0</v>
      </c>
      <c r="AH1602">
        <v>0</v>
      </c>
      <c r="AI1602">
        <v>54.55</v>
      </c>
      <c r="AJ1602">
        <v>363.68</v>
      </c>
      <c r="AK1602">
        <v>0</v>
      </c>
      <c r="AL1602" t="s">
        <v>53</v>
      </c>
      <c r="AM1602" t="s">
        <v>53</v>
      </c>
      <c r="AN1602" t="s">
        <v>142</v>
      </c>
      <c r="AO1602" t="s">
        <v>53</v>
      </c>
      <c r="AP1602" t="s">
        <v>53</v>
      </c>
    </row>
    <row r="1603" spans="2:42" x14ac:dyDescent="0.2">
      <c r="B1603" t="s">
        <v>44</v>
      </c>
      <c r="C1603" t="str">
        <f>HYPERLINK("https://us2.cloudbeds.com/connect/8493803454333002#/reservations/598563930258?display=E1FMVNAT&amp;reservation_id=598563930258", "E1FMVNAT")</f>
        <v>E1FMVNAT</v>
      </c>
      <c r="D1603" t="s">
        <v>45</v>
      </c>
      <c r="E1603" t="s">
        <v>46</v>
      </c>
      <c r="F1603" t="s">
        <v>47</v>
      </c>
      <c r="G1603" t="s">
        <v>48</v>
      </c>
      <c r="H1603" t="s">
        <v>49</v>
      </c>
      <c r="I1603" t="s">
        <v>50</v>
      </c>
      <c r="J1603" t="s">
        <v>333</v>
      </c>
      <c r="K1603" t="s">
        <v>334</v>
      </c>
      <c r="L1603" t="s">
        <v>53</v>
      </c>
      <c r="N1603" t="s">
        <v>2715</v>
      </c>
      <c r="P1603" t="s">
        <v>55</v>
      </c>
      <c r="R1603" t="s">
        <v>56</v>
      </c>
      <c r="T1603" t="s">
        <v>2705</v>
      </c>
      <c r="U1603" t="s">
        <v>58</v>
      </c>
      <c r="V1603">
        <v>1</v>
      </c>
      <c r="W1603">
        <v>1</v>
      </c>
      <c r="X1603">
        <v>1</v>
      </c>
      <c r="Y1603">
        <v>0</v>
      </c>
      <c r="Z1603">
        <v>1</v>
      </c>
      <c r="AA1603">
        <v>0</v>
      </c>
      <c r="AB1603">
        <v>122.74</v>
      </c>
      <c r="AC1603">
        <v>108</v>
      </c>
      <c r="AD1603">
        <v>0</v>
      </c>
      <c r="AE1603">
        <v>14.74</v>
      </c>
      <c r="AF1603">
        <v>0</v>
      </c>
      <c r="AG1603">
        <v>0</v>
      </c>
      <c r="AH1603">
        <v>0</v>
      </c>
      <c r="AI1603">
        <v>22.09</v>
      </c>
      <c r="AJ1603">
        <v>122.74</v>
      </c>
      <c r="AK1603">
        <v>0</v>
      </c>
      <c r="AL1603" t="s">
        <v>53</v>
      </c>
      <c r="AM1603" t="s">
        <v>53</v>
      </c>
      <c r="AN1603" t="s">
        <v>332</v>
      </c>
      <c r="AO1603" t="s">
        <v>53</v>
      </c>
      <c r="AP1603" t="s">
        <v>53</v>
      </c>
    </row>
    <row r="1604" spans="2:42" x14ac:dyDescent="0.2">
      <c r="B1604" t="s">
        <v>44</v>
      </c>
      <c r="C1604" t="str">
        <f>HYPERLINK("https://us2.cloudbeds.com/connect/8493803454333002#/reservations/579382837466?display=DJKXVHAP&amp;reservation_id=579382837466", "DJKXVHAP")</f>
        <v>DJKXVHAP</v>
      </c>
      <c r="D1604" t="s">
        <v>45</v>
      </c>
      <c r="E1604" t="s">
        <v>265</v>
      </c>
      <c r="F1604" t="s">
        <v>61</v>
      </c>
      <c r="G1604" t="s">
        <v>48</v>
      </c>
      <c r="H1604" t="s">
        <v>49</v>
      </c>
      <c r="I1604" t="s">
        <v>79</v>
      </c>
      <c r="J1604" t="s">
        <v>1903</v>
      </c>
      <c r="K1604" t="s">
        <v>2058</v>
      </c>
      <c r="L1604" t="s">
        <v>53</v>
      </c>
      <c r="N1604" t="s">
        <v>2716</v>
      </c>
      <c r="P1604" t="s">
        <v>55</v>
      </c>
      <c r="R1604" t="s">
        <v>118</v>
      </c>
      <c r="T1604" t="s">
        <v>2705</v>
      </c>
      <c r="U1604" t="s">
        <v>58</v>
      </c>
      <c r="V1604">
        <v>1</v>
      </c>
      <c r="W1604">
        <v>1</v>
      </c>
      <c r="X1604">
        <v>1</v>
      </c>
      <c r="Y1604">
        <v>0</v>
      </c>
      <c r="Z1604">
        <v>1</v>
      </c>
      <c r="AA1604">
        <v>0</v>
      </c>
      <c r="AB1604">
        <v>156.49</v>
      </c>
      <c r="AC1604">
        <v>137.69999999999999</v>
      </c>
      <c r="AD1604">
        <v>0</v>
      </c>
      <c r="AE1604">
        <v>18.79</v>
      </c>
      <c r="AF1604">
        <v>0</v>
      </c>
      <c r="AG1604">
        <v>0</v>
      </c>
      <c r="AH1604">
        <v>0</v>
      </c>
      <c r="AI1604">
        <v>0</v>
      </c>
      <c r="AJ1604">
        <v>156.49</v>
      </c>
      <c r="AK1604">
        <v>0</v>
      </c>
      <c r="AL1604" t="s">
        <v>53</v>
      </c>
      <c r="AM1604" t="s">
        <v>53</v>
      </c>
      <c r="AN1604" t="s">
        <v>2717</v>
      </c>
      <c r="AO1604" t="s">
        <v>53</v>
      </c>
      <c r="AP1604" t="s">
        <v>53</v>
      </c>
    </row>
    <row r="1605" spans="2:42" x14ac:dyDescent="0.2">
      <c r="B1605" t="s">
        <v>44</v>
      </c>
      <c r="C1605" t="str">
        <f>HYPERLINK("https://us2.cloudbeds.com/connect/8493803454333002#/reservations/598540292343?display=E1F30V8E&amp;reservation_id=598540292343", "E1F30V8E")</f>
        <v>E1F30V8E</v>
      </c>
      <c r="D1605" t="s">
        <v>45</v>
      </c>
      <c r="E1605" t="s">
        <v>179</v>
      </c>
      <c r="F1605" t="s">
        <v>47</v>
      </c>
      <c r="G1605" t="s">
        <v>48</v>
      </c>
      <c r="H1605" t="s">
        <v>49</v>
      </c>
      <c r="I1605" t="s">
        <v>50</v>
      </c>
      <c r="J1605" t="s">
        <v>144</v>
      </c>
      <c r="K1605" t="s">
        <v>783</v>
      </c>
      <c r="L1605" t="s">
        <v>53</v>
      </c>
      <c r="N1605" t="s">
        <v>2718</v>
      </c>
      <c r="P1605" t="s">
        <v>55</v>
      </c>
      <c r="R1605" t="s">
        <v>56</v>
      </c>
      <c r="T1605" t="s">
        <v>2705</v>
      </c>
      <c r="U1605" t="s">
        <v>58</v>
      </c>
      <c r="V1605">
        <v>1</v>
      </c>
      <c r="W1605">
        <v>1</v>
      </c>
      <c r="X1605">
        <v>1</v>
      </c>
      <c r="Y1605">
        <v>0</v>
      </c>
      <c r="Z1605">
        <v>1</v>
      </c>
      <c r="AA1605">
        <v>0</v>
      </c>
      <c r="AB1605">
        <v>157.52000000000001</v>
      </c>
      <c r="AC1605">
        <v>138.6</v>
      </c>
      <c r="AD1605">
        <v>0</v>
      </c>
      <c r="AE1605">
        <v>18.920000000000002</v>
      </c>
      <c r="AF1605">
        <v>0</v>
      </c>
      <c r="AG1605">
        <v>0</v>
      </c>
      <c r="AH1605">
        <v>0</v>
      </c>
      <c r="AI1605">
        <v>28.35</v>
      </c>
      <c r="AJ1605">
        <v>157.52000000000001</v>
      </c>
      <c r="AK1605">
        <v>0</v>
      </c>
      <c r="AL1605" t="s">
        <v>53</v>
      </c>
      <c r="AM1605" t="s">
        <v>53</v>
      </c>
      <c r="AN1605" t="s">
        <v>132</v>
      </c>
      <c r="AO1605" t="s">
        <v>53</v>
      </c>
      <c r="AP1605" t="s">
        <v>53</v>
      </c>
    </row>
    <row r="1606" spans="2:42" x14ac:dyDescent="0.2">
      <c r="B1606" t="s">
        <v>44</v>
      </c>
      <c r="C1606" t="str">
        <f>HYPERLINK("https://us2.cloudbeds.com/connect/8493803454333002#/reservations/598541009045?display=E1F3KTCM&amp;reservation_id=598541009045", "E1F3KTCM")</f>
        <v>E1F3KTCM</v>
      </c>
      <c r="D1606" t="s">
        <v>45</v>
      </c>
      <c r="E1606" t="s">
        <v>155</v>
      </c>
      <c r="F1606" t="s">
        <v>86</v>
      </c>
      <c r="G1606" t="s">
        <v>48</v>
      </c>
      <c r="H1606" t="s">
        <v>49</v>
      </c>
      <c r="I1606" t="s">
        <v>50</v>
      </c>
      <c r="J1606" t="s">
        <v>309</v>
      </c>
      <c r="K1606" t="s">
        <v>549</v>
      </c>
      <c r="L1606" t="s">
        <v>53</v>
      </c>
      <c r="N1606" t="s">
        <v>2719</v>
      </c>
      <c r="P1606" t="s">
        <v>55</v>
      </c>
      <c r="R1606" t="s">
        <v>56</v>
      </c>
      <c r="T1606" t="s">
        <v>2705</v>
      </c>
      <c r="U1606" t="s">
        <v>58</v>
      </c>
      <c r="V1606">
        <v>2</v>
      </c>
      <c r="W1606">
        <v>1</v>
      </c>
      <c r="X1606">
        <v>1</v>
      </c>
      <c r="Y1606">
        <v>0</v>
      </c>
      <c r="Z1606">
        <v>1</v>
      </c>
      <c r="AA1606">
        <v>0</v>
      </c>
      <c r="AB1606">
        <v>345.72</v>
      </c>
      <c r="AC1606">
        <v>304.2</v>
      </c>
      <c r="AD1606">
        <v>0</v>
      </c>
      <c r="AE1606">
        <v>41.52</v>
      </c>
      <c r="AF1606">
        <v>0</v>
      </c>
      <c r="AG1606">
        <v>0</v>
      </c>
      <c r="AH1606">
        <v>0</v>
      </c>
      <c r="AI1606">
        <v>62.23</v>
      </c>
      <c r="AJ1606">
        <v>345.72</v>
      </c>
      <c r="AK1606">
        <v>0</v>
      </c>
      <c r="AL1606" t="s">
        <v>53</v>
      </c>
      <c r="AM1606" t="s">
        <v>53</v>
      </c>
      <c r="AN1606" t="s">
        <v>159</v>
      </c>
      <c r="AO1606" t="s">
        <v>53</v>
      </c>
      <c r="AP1606" t="s">
        <v>53</v>
      </c>
    </row>
    <row r="1607" spans="2:42" x14ac:dyDescent="0.2">
      <c r="B1607" t="s">
        <v>44</v>
      </c>
      <c r="C1607" t="str">
        <f>HYPERLINK("https://us2.cloudbeds.com/connect/8493803454333002#/reservations/598580998362?display=E1G4BYH5&amp;reservation_id=598580998362", "E1G4BYH5")</f>
        <v>E1G4BYH5</v>
      </c>
      <c r="D1607" t="s">
        <v>45</v>
      </c>
      <c r="E1607" t="s">
        <v>98</v>
      </c>
      <c r="F1607" t="s">
        <v>86</v>
      </c>
      <c r="G1607" t="s">
        <v>48</v>
      </c>
      <c r="H1607" t="s">
        <v>49</v>
      </c>
      <c r="I1607" t="s">
        <v>79</v>
      </c>
      <c r="J1607" t="s">
        <v>426</v>
      </c>
      <c r="K1607" t="s">
        <v>130</v>
      </c>
      <c r="L1607" t="s">
        <v>53</v>
      </c>
      <c r="N1607" t="s">
        <v>2720</v>
      </c>
      <c r="P1607" t="s">
        <v>55</v>
      </c>
      <c r="R1607" t="s">
        <v>56</v>
      </c>
      <c r="T1607" t="s">
        <v>2721</v>
      </c>
      <c r="U1607" t="s">
        <v>58</v>
      </c>
      <c r="V1607">
        <v>1</v>
      </c>
      <c r="W1607">
        <v>1</v>
      </c>
      <c r="X1607">
        <v>1</v>
      </c>
      <c r="Y1607">
        <v>0</v>
      </c>
      <c r="Z1607">
        <v>1</v>
      </c>
      <c r="AA1607">
        <v>0</v>
      </c>
      <c r="AB1607">
        <v>177.98</v>
      </c>
      <c r="AC1607">
        <v>156.6</v>
      </c>
      <c r="AD1607">
        <v>0</v>
      </c>
      <c r="AE1607">
        <v>21.37</v>
      </c>
      <c r="AF1607">
        <v>0</v>
      </c>
      <c r="AG1607">
        <v>0</v>
      </c>
      <c r="AH1607">
        <v>0</v>
      </c>
      <c r="AI1607">
        <v>0</v>
      </c>
      <c r="AJ1607">
        <v>177.97</v>
      </c>
      <c r="AK1607">
        <v>-0.01</v>
      </c>
      <c r="AL1607" t="s">
        <v>53</v>
      </c>
      <c r="AM1607" t="s">
        <v>53</v>
      </c>
      <c r="AN1607" t="s">
        <v>68</v>
      </c>
      <c r="AO1607" t="s">
        <v>53</v>
      </c>
      <c r="AP1607" t="s">
        <v>53</v>
      </c>
    </row>
    <row r="1608" spans="2:42" x14ac:dyDescent="0.2">
      <c r="B1608" t="s">
        <v>44</v>
      </c>
      <c r="C1608" t="str">
        <f>HYPERLINK("https://us2.cloudbeds.com/connect/8493803454333002#/reservations/598608408778?display=E1GRFCPR&amp;reservation_id=598608408778", "E1GRFCPR")</f>
        <v>E1GRFCPR</v>
      </c>
      <c r="D1608" t="s">
        <v>45</v>
      </c>
      <c r="E1608" t="s">
        <v>110</v>
      </c>
      <c r="F1608" t="s">
        <v>47</v>
      </c>
      <c r="G1608" t="s">
        <v>48</v>
      </c>
      <c r="H1608" t="s">
        <v>71</v>
      </c>
      <c r="I1608" t="s">
        <v>72</v>
      </c>
      <c r="J1608" t="s">
        <v>640</v>
      </c>
      <c r="K1608" t="s">
        <v>309</v>
      </c>
      <c r="L1608" t="s">
        <v>53</v>
      </c>
      <c r="N1608" t="s">
        <v>2722</v>
      </c>
      <c r="P1608" t="s">
        <v>55</v>
      </c>
      <c r="R1608" t="s">
        <v>56</v>
      </c>
      <c r="T1608" t="s">
        <v>2721</v>
      </c>
      <c r="U1608" t="s">
        <v>58</v>
      </c>
      <c r="V1608">
        <v>1</v>
      </c>
      <c r="W1608">
        <v>1</v>
      </c>
      <c r="X1608">
        <v>1</v>
      </c>
      <c r="Y1608">
        <v>0</v>
      </c>
      <c r="Z1608">
        <v>1</v>
      </c>
      <c r="AA1608">
        <v>0</v>
      </c>
      <c r="AB1608">
        <v>169.34</v>
      </c>
      <c r="AC1608">
        <v>149</v>
      </c>
      <c r="AD1608">
        <v>0</v>
      </c>
      <c r="AE1608">
        <v>20.34</v>
      </c>
      <c r="AF1608">
        <v>0</v>
      </c>
      <c r="AG1608">
        <v>0</v>
      </c>
      <c r="AH1608">
        <v>0</v>
      </c>
      <c r="AI1608">
        <v>0</v>
      </c>
      <c r="AJ1608">
        <v>169.34</v>
      </c>
      <c r="AK1608">
        <v>0</v>
      </c>
      <c r="AL1608" t="s">
        <v>53</v>
      </c>
      <c r="AM1608" t="s">
        <v>53</v>
      </c>
      <c r="AN1608" t="s">
        <v>2723</v>
      </c>
      <c r="AO1608" t="s">
        <v>53</v>
      </c>
      <c r="AP1608" t="s">
        <v>53</v>
      </c>
    </row>
    <row r="1609" spans="2:42" x14ac:dyDescent="0.2">
      <c r="B1609" t="s">
        <v>44</v>
      </c>
      <c r="C1609" t="str">
        <f>HYPERLINK("https://us2.cloudbeds.com/connect/8493803454333002#/reservations/598590439627?display=E1GCAC63&amp;reservation_id=598590439627", "E1GCAC63")</f>
        <v>E1GCAC63</v>
      </c>
      <c r="D1609" t="s">
        <v>45</v>
      </c>
      <c r="E1609" t="s">
        <v>373</v>
      </c>
      <c r="F1609" t="s">
        <v>47</v>
      </c>
      <c r="G1609" t="s">
        <v>48</v>
      </c>
      <c r="H1609" t="s">
        <v>49</v>
      </c>
      <c r="I1609" t="s">
        <v>50</v>
      </c>
      <c r="J1609" t="s">
        <v>1792</v>
      </c>
      <c r="K1609" t="s">
        <v>447</v>
      </c>
      <c r="L1609" t="s">
        <v>53</v>
      </c>
      <c r="N1609" t="s">
        <v>2724</v>
      </c>
      <c r="P1609" t="s">
        <v>55</v>
      </c>
      <c r="R1609" t="s">
        <v>56</v>
      </c>
      <c r="T1609" t="s">
        <v>2721</v>
      </c>
      <c r="U1609" t="s">
        <v>58</v>
      </c>
      <c r="V1609">
        <v>2</v>
      </c>
      <c r="W1609">
        <v>1</v>
      </c>
      <c r="X1609">
        <v>1</v>
      </c>
      <c r="Y1609">
        <v>0</v>
      </c>
      <c r="Z1609">
        <v>1</v>
      </c>
      <c r="AA1609">
        <v>0</v>
      </c>
      <c r="AB1609">
        <v>319.13</v>
      </c>
      <c r="AC1609">
        <v>280.8</v>
      </c>
      <c r="AD1609">
        <v>0</v>
      </c>
      <c r="AE1609">
        <v>38.32</v>
      </c>
      <c r="AF1609">
        <v>0</v>
      </c>
      <c r="AG1609">
        <v>0</v>
      </c>
      <c r="AH1609">
        <v>0</v>
      </c>
      <c r="AI1609">
        <v>57.44</v>
      </c>
      <c r="AJ1609">
        <v>319.12</v>
      </c>
      <c r="AK1609">
        <v>-0.01</v>
      </c>
      <c r="AL1609" t="s">
        <v>53</v>
      </c>
      <c r="AM1609" t="s">
        <v>53</v>
      </c>
      <c r="AN1609" t="s">
        <v>2725</v>
      </c>
      <c r="AO1609" t="s">
        <v>53</v>
      </c>
      <c r="AP1609" t="s">
        <v>53</v>
      </c>
    </row>
    <row r="1610" spans="2:42" x14ac:dyDescent="0.2">
      <c r="B1610" t="s">
        <v>44</v>
      </c>
      <c r="C1610" t="str">
        <f>HYPERLINK("https://us2.cloudbeds.com/connect/8493803454333002#/reservations/598604988630?display=E1GZJ74W&amp;reservation_id=598604988630", "E1GZJ74W")</f>
        <v>E1GZJ74W</v>
      </c>
      <c r="D1610" t="s">
        <v>45</v>
      </c>
      <c r="E1610" t="s">
        <v>113</v>
      </c>
      <c r="F1610" t="s">
        <v>61</v>
      </c>
      <c r="G1610" t="s">
        <v>48</v>
      </c>
      <c r="H1610" t="s">
        <v>49</v>
      </c>
      <c r="I1610" t="s">
        <v>50</v>
      </c>
      <c r="J1610" t="s">
        <v>334</v>
      </c>
      <c r="K1610" t="s">
        <v>538</v>
      </c>
      <c r="L1610" t="s">
        <v>53</v>
      </c>
      <c r="N1610" t="s">
        <v>2726</v>
      </c>
      <c r="P1610" t="s">
        <v>55</v>
      </c>
      <c r="R1610" t="s">
        <v>56</v>
      </c>
      <c r="T1610" t="s">
        <v>2721</v>
      </c>
      <c r="U1610" t="s">
        <v>58</v>
      </c>
      <c r="V1610">
        <v>1</v>
      </c>
      <c r="W1610">
        <v>1</v>
      </c>
      <c r="X1610">
        <v>1</v>
      </c>
      <c r="Y1610">
        <v>0</v>
      </c>
      <c r="Z1610">
        <v>1</v>
      </c>
      <c r="AA1610">
        <v>0</v>
      </c>
      <c r="AB1610">
        <v>120.7</v>
      </c>
      <c r="AC1610">
        <v>106.2</v>
      </c>
      <c r="AD1610">
        <v>0</v>
      </c>
      <c r="AE1610">
        <v>14.5</v>
      </c>
      <c r="AF1610">
        <v>0</v>
      </c>
      <c r="AG1610">
        <v>0</v>
      </c>
      <c r="AH1610">
        <v>0</v>
      </c>
      <c r="AI1610">
        <v>21.73</v>
      </c>
      <c r="AJ1610">
        <v>120.7</v>
      </c>
      <c r="AK1610">
        <v>0</v>
      </c>
      <c r="AL1610" t="s">
        <v>53</v>
      </c>
      <c r="AM1610" t="s">
        <v>53</v>
      </c>
      <c r="AN1610" t="s">
        <v>132</v>
      </c>
      <c r="AO1610" t="s">
        <v>53</v>
      </c>
      <c r="AP1610" t="s">
        <v>53</v>
      </c>
    </row>
    <row r="1611" spans="2:42" x14ac:dyDescent="0.2">
      <c r="B1611" t="s">
        <v>44</v>
      </c>
      <c r="C1611" t="str">
        <f>HYPERLINK("https://us2.cloudbeds.com/connect/8493803454333002#/reservations/598006313132?display=E11EP677&amp;reservation_id=598006313132", "E11EP677")</f>
        <v>E11EP677</v>
      </c>
      <c r="D1611" t="s">
        <v>45</v>
      </c>
      <c r="E1611" t="s">
        <v>110</v>
      </c>
      <c r="F1611" t="s">
        <v>47</v>
      </c>
      <c r="G1611" t="s">
        <v>48</v>
      </c>
      <c r="H1611" t="s">
        <v>49</v>
      </c>
      <c r="I1611" t="s">
        <v>79</v>
      </c>
      <c r="J1611" t="s">
        <v>289</v>
      </c>
      <c r="K1611" t="s">
        <v>568</v>
      </c>
      <c r="L1611" t="s">
        <v>53</v>
      </c>
      <c r="N1611" t="s">
        <v>2727</v>
      </c>
      <c r="P1611" t="s">
        <v>55</v>
      </c>
      <c r="R1611" t="s">
        <v>56</v>
      </c>
      <c r="T1611" t="s">
        <v>2721</v>
      </c>
      <c r="U1611" t="s">
        <v>58</v>
      </c>
      <c r="V1611">
        <v>1</v>
      </c>
      <c r="W1611">
        <v>1</v>
      </c>
      <c r="X1611">
        <v>1</v>
      </c>
      <c r="Y1611">
        <v>0</v>
      </c>
      <c r="Z1611">
        <v>1</v>
      </c>
      <c r="AA1611">
        <v>0</v>
      </c>
      <c r="AB1611">
        <v>156.5</v>
      </c>
      <c r="AC1611">
        <v>137.69999999999999</v>
      </c>
      <c r="AD1611">
        <v>0</v>
      </c>
      <c r="AE1611">
        <v>18.79</v>
      </c>
      <c r="AF1611">
        <v>0</v>
      </c>
      <c r="AG1611">
        <v>0</v>
      </c>
      <c r="AH1611">
        <v>0</v>
      </c>
      <c r="AI1611">
        <v>0</v>
      </c>
      <c r="AJ1611">
        <v>156.49</v>
      </c>
      <c r="AK1611">
        <v>-0.01</v>
      </c>
      <c r="AL1611" t="s">
        <v>53</v>
      </c>
      <c r="AM1611" t="s">
        <v>53</v>
      </c>
      <c r="AN1611" t="s">
        <v>91</v>
      </c>
      <c r="AO1611" t="s">
        <v>53</v>
      </c>
      <c r="AP1611" t="s">
        <v>53</v>
      </c>
    </row>
    <row r="1612" spans="2:42" x14ac:dyDescent="0.2">
      <c r="B1612" t="s">
        <v>44</v>
      </c>
      <c r="C1612" t="str">
        <f>HYPERLINK("https://us2.cloudbeds.com/connect/8493803454333002#/reservations/579235926148?display=DJGR2GHY&amp;reservation_id=579235926148", "DJGR2GHY")</f>
        <v>DJGR2GHY</v>
      </c>
      <c r="D1612" t="s">
        <v>45</v>
      </c>
      <c r="E1612" t="s">
        <v>223</v>
      </c>
      <c r="F1612" t="s">
        <v>47</v>
      </c>
      <c r="G1612" t="s">
        <v>48</v>
      </c>
      <c r="H1612" t="s">
        <v>49</v>
      </c>
      <c r="I1612" t="s">
        <v>266</v>
      </c>
      <c r="J1612" t="s">
        <v>2206</v>
      </c>
      <c r="K1612" t="s">
        <v>1903</v>
      </c>
      <c r="L1612" t="s">
        <v>53</v>
      </c>
      <c r="N1612" t="s">
        <v>2728</v>
      </c>
      <c r="P1612" t="s">
        <v>55</v>
      </c>
      <c r="R1612" t="s">
        <v>56</v>
      </c>
      <c r="T1612" t="s">
        <v>2721</v>
      </c>
      <c r="U1612" t="s">
        <v>58</v>
      </c>
      <c r="V1612">
        <v>2</v>
      </c>
      <c r="W1612">
        <v>1</v>
      </c>
      <c r="X1612">
        <v>1</v>
      </c>
      <c r="Y1612">
        <v>0</v>
      </c>
      <c r="Z1612">
        <v>1</v>
      </c>
      <c r="AA1612">
        <v>0</v>
      </c>
      <c r="AB1612">
        <v>298.68</v>
      </c>
      <c r="AC1612">
        <v>262.8</v>
      </c>
      <c r="AD1612">
        <v>0</v>
      </c>
      <c r="AE1612">
        <v>35.880000000000003</v>
      </c>
      <c r="AF1612">
        <v>0</v>
      </c>
      <c r="AG1612">
        <v>0</v>
      </c>
      <c r="AH1612">
        <v>0</v>
      </c>
      <c r="AI1612">
        <v>0</v>
      </c>
      <c r="AJ1612">
        <v>298.68</v>
      </c>
      <c r="AK1612">
        <v>0</v>
      </c>
      <c r="AL1612" t="s">
        <v>53</v>
      </c>
      <c r="AM1612" t="s">
        <v>53</v>
      </c>
      <c r="AN1612" t="s">
        <v>112</v>
      </c>
      <c r="AO1612" t="s">
        <v>53</v>
      </c>
      <c r="AP1612" t="s">
        <v>53</v>
      </c>
    </row>
    <row r="1613" spans="2:42" x14ac:dyDescent="0.2">
      <c r="B1613" t="s">
        <v>44</v>
      </c>
      <c r="C1613" t="str">
        <f>HYPERLINK("https://us2.cloudbeds.com/connect/8493803454333002#/reservations/598595514547?display=E1GGJJBX&amp;reservation_id=598595514547", "E1GGJJBX")</f>
        <v>E1GGJJBX</v>
      </c>
      <c r="D1613" t="s">
        <v>45</v>
      </c>
      <c r="E1613" t="s">
        <v>373</v>
      </c>
      <c r="F1613" t="s">
        <v>47</v>
      </c>
      <c r="G1613" t="s">
        <v>48</v>
      </c>
      <c r="H1613" t="s">
        <v>49</v>
      </c>
      <c r="I1613" t="s">
        <v>50</v>
      </c>
      <c r="J1613" t="s">
        <v>783</v>
      </c>
      <c r="K1613" t="s">
        <v>196</v>
      </c>
      <c r="L1613" t="s">
        <v>53</v>
      </c>
      <c r="N1613" t="s">
        <v>2729</v>
      </c>
      <c r="P1613" t="s">
        <v>55</v>
      </c>
      <c r="R1613" t="s">
        <v>56</v>
      </c>
      <c r="T1613" t="s">
        <v>2730</v>
      </c>
      <c r="U1613" t="s">
        <v>58</v>
      </c>
      <c r="V1613">
        <v>1</v>
      </c>
      <c r="W1613">
        <v>1</v>
      </c>
      <c r="X1613">
        <v>1</v>
      </c>
      <c r="Y1613">
        <v>0</v>
      </c>
      <c r="Z1613">
        <v>1</v>
      </c>
      <c r="AA1613">
        <v>0</v>
      </c>
      <c r="AB1613">
        <v>153.43</v>
      </c>
      <c r="AC1613">
        <v>135</v>
      </c>
      <c r="AD1613">
        <v>0</v>
      </c>
      <c r="AE1613">
        <v>18.440000000000001</v>
      </c>
      <c r="AF1613">
        <v>0</v>
      </c>
      <c r="AG1613">
        <v>0</v>
      </c>
      <c r="AH1613">
        <v>0</v>
      </c>
      <c r="AI1613">
        <v>27.62</v>
      </c>
      <c r="AJ1613">
        <v>153.44</v>
      </c>
      <c r="AK1613">
        <v>0.01</v>
      </c>
      <c r="AL1613" t="s">
        <v>53</v>
      </c>
      <c r="AM1613" t="s">
        <v>53</v>
      </c>
      <c r="AN1613" t="s">
        <v>97</v>
      </c>
      <c r="AO1613" t="s">
        <v>53</v>
      </c>
      <c r="AP1613" t="s">
        <v>53</v>
      </c>
    </row>
    <row r="1614" spans="2:42" x14ac:dyDescent="0.2">
      <c r="B1614" t="s">
        <v>44</v>
      </c>
      <c r="C1614" t="str">
        <f>HYPERLINK("https://us2.cloudbeds.com/connect/8493803454333002#/reservations/598154965144?display=E1583YEK&amp;reservation_id=598154965144", "E1583YEK")</f>
        <v>E1583YEK</v>
      </c>
      <c r="D1614" t="s">
        <v>45</v>
      </c>
      <c r="E1614" t="s">
        <v>155</v>
      </c>
      <c r="F1614" t="s">
        <v>86</v>
      </c>
      <c r="G1614" t="s">
        <v>48</v>
      </c>
      <c r="H1614" t="s">
        <v>49</v>
      </c>
      <c r="I1614" t="s">
        <v>50</v>
      </c>
      <c r="J1614" t="s">
        <v>333</v>
      </c>
      <c r="K1614" t="s">
        <v>259</v>
      </c>
      <c r="L1614" t="s">
        <v>53</v>
      </c>
      <c r="N1614" t="s">
        <v>2731</v>
      </c>
      <c r="P1614" t="s">
        <v>55</v>
      </c>
      <c r="R1614" t="s">
        <v>56</v>
      </c>
      <c r="T1614" t="s">
        <v>2730</v>
      </c>
      <c r="U1614" t="s">
        <v>58</v>
      </c>
      <c r="V1614">
        <v>3</v>
      </c>
      <c r="W1614">
        <v>1</v>
      </c>
      <c r="X1614">
        <v>1</v>
      </c>
      <c r="Y1614">
        <v>0</v>
      </c>
      <c r="Z1614">
        <v>1</v>
      </c>
      <c r="AA1614">
        <v>0</v>
      </c>
      <c r="AB1614">
        <v>397.89</v>
      </c>
      <c r="AC1614">
        <v>350.1</v>
      </c>
      <c r="AD1614">
        <v>0</v>
      </c>
      <c r="AE1614">
        <v>47.76</v>
      </c>
      <c r="AF1614">
        <v>0</v>
      </c>
      <c r="AG1614">
        <v>0</v>
      </c>
      <c r="AH1614">
        <v>0</v>
      </c>
      <c r="AI1614">
        <v>71.61</v>
      </c>
      <c r="AJ1614">
        <v>397.86</v>
      </c>
      <c r="AK1614">
        <v>-0.03</v>
      </c>
      <c r="AL1614" t="s">
        <v>53</v>
      </c>
      <c r="AM1614" t="s">
        <v>53</v>
      </c>
      <c r="AN1614" t="s">
        <v>332</v>
      </c>
      <c r="AO1614" t="s">
        <v>53</v>
      </c>
      <c r="AP1614" t="s">
        <v>53</v>
      </c>
    </row>
    <row r="1615" spans="2:42" x14ac:dyDescent="0.2">
      <c r="B1615" t="s">
        <v>44</v>
      </c>
      <c r="C1615" t="str">
        <f>HYPERLINK("https://us2.cloudbeds.com/connect/8493803454333002#/reservations/579233267845?display=DJGZRHFW&amp;reservation_id=579233267845", "DJGZRHFW")</f>
        <v>DJGZRHFW</v>
      </c>
      <c r="D1615" t="s">
        <v>45</v>
      </c>
      <c r="E1615" t="s">
        <v>105</v>
      </c>
      <c r="F1615" t="s">
        <v>47</v>
      </c>
      <c r="G1615" t="s">
        <v>48</v>
      </c>
      <c r="H1615" t="s">
        <v>49</v>
      </c>
      <c r="I1615" t="s">
        <v>79</v>
      </c>
      <c r="J1615" t="s">
        <v>1367</v>
      </c>
      <c r="K1615" t="s">
        <v>2023</v>
      </c>
      <c r="L1615" t="s">
        <v>53</v>
      </c>
      <c r="N1615" t="s">
        <v>2732</v>
      </c>
      <c r="P1615" t="s">
        <v>55</v>
      </c>
      <c r="R1615" t="s">
        <v>56</v>
      </c>
      <c r="T1615" t="s">
        <v>2730</v>
      </c>
      <c r="U1615" t="s">
        <v>58</v>
      </c>
      <c r="V1615">
        <v>3</v>
      </c>
      <c r="W1615">
        <v>1</v>
      </c>
      <c r="X1615">
        <v>1</v>
      </c>
      <c r="Y1615">
        <v>0</v>
      </c>
      <c r="Z1615">
        <v>1</v>
      </c>
      <c r="AA1615">
        <v>0</v>
      </c>
      <c r="AB1615">
        <v>455.16</v>
      </c>
      <c r="AC1615">
        <v>400.5</v>
      </c>
      <c r="AD1615">
        <v>0</v>
      </c>
      <c r="AE1615">
        <v>54.66</v>
      </c>
      <c r="AF1615">
        <v>0</v>
      </c>
      <c r="AG1615">
        <v>0</v>
      </c>
      <c r="AH1615">
        <v>0</v>
      </c>
      <c r="AI1615">
        <v>0</v>
      </c>
      <c r="AJ1615">
        <v>455.16</v>
      </c>
      <c r="AK1615">
        <v>0</v>
      </c>
      <c r="AL1615" t="s">
        <v>53</v>
      </c>
      <c r="AM1615" t="s">
        <v>53</v>
      </c>
      <c r="AN1615" t="s">
        <v>252</v>
      </c>
      <c r="AO1615" t="s">
        <v>53</v>
      </c>
      <c r="AP1615" t="s">
        <v>53</v>
      </c>
    </row>
    <row r="1616" spans="2:42" x14ac:dyDescent="0.2">
      <c r="B1616" t="s">
        <v>44</v>
      </c>
      <c r="C1616" t="str">
        <f>HYPERLINK("https://us2.cloudbeds.com/connect/8493803454333002#/reservations/579298939086?display=DJXE6UYK&amp;reservation_id=579298939086", "DJXE6UYK")</f>
        <v>DJXE6UYK</v>
      </c>
      <c r="D1616" t="s">
        <v>45</v>
      </c>
      <c r="E1616" t="s">
        <v>78</v>
      </c>
      <c r="F1616" t="s">
        <v>61</v>
      </c>
      <c r="G1616" t="s">
        <v>48</v>
      </c>
      <c r="H1616" t="s">
        <v>49</v>
      </c>
      <c r="I1616" t="s">
        <v>114</v>
      </c>
      <c r="J1616" t="s">
        <v>1367</v>
      </c>
      <c r="K1616" t="s">
        <v>2023</v>
      </c>
      <c r="L1616" t="s">
        <v>53</v>
      </c>
      <c r="N1616" t="s">
        <v>2733</v>
      </c>
      <c r="P1616" t="s">
        <v>55</v>
      </c>
      <c r="R1616" t="s">
        <v>56</v>
      </c>
      <c r="T1616" t="s">
        <v>2730</v>
      </c>
      <c r="U1616" t="s">
        <v>58</v>
      </c>
      <c r="V1616">
        <v>3</v>
      </c>
      <c r="W1616">
        <v>1</v>
      </c>
      <c r="X1616">
        <v>1</v>
      </c>
      <c r="Y1616">
        <v>0</v>
      </c>
      <c r="Z1616">
        <v>1</v>
      </c>
      <c r="AA1616">
        <v>0</v>
      </c>
      <c r="AB1616">
        <v>520.51</v>
      </c>
      <c r="AC1616">
        <v>458</v>
      </c>
      <c r="AD1616">
        <v>0</v>
      </c>
      <c r="AE1616">
        <v>62.51</v>
      </c>
      <c r="AF1616">
        <v>0</v>
      </c>
      <c r="AG1616">
        <v>0</v>
      </c>
      <c r="AH1616">
        <v>0</v>
      </c>
      <c r="AI1616">
        <v>0</v>
      </c>
      <c r="AJ1616">
        <v>520.51</v>
      </c>
      <c r="AK1616">
        <v>0</v>
      </c>
      <c r="AL1616" t="s">
        <v>53</v>
      </c>
      <c r="AM1616" t="s">
        <v>53</v>
      </c>
      <c r="AN1616" t="s">
        <v>2734</v>
      </c>
      <c r="AO1616" t="s">
        <v>53</v>
      </c>
      <c r="AP1616" t="s">
        <v>53</v>
      </c>
    </row>
    <row r="1617" spans="2:42" x14ac:dyDescent="0.2">
      <c r="B1617" t="s">
        <v>44</v>
      </c>
      <c r="C1617" t="str">
        <f>HYPERLINK("https://us2.cloudbeds.com/connect/8493803454333002#/reservations/598252773583?display=E17ZJABZ&amp;reservation_id=598252773583", "E17ZJABZ")</f>
        <v>E17ZJABZ</v>
      </c>
      <c r="D1617" t="s">
        <v>45</v>
      </c>
      <c r="E1617" t="s">
        <v>406</v>
      </c>
      <c r="F1617" t="s">
        <v>61</v>
      </c>
      <c r="G1617" t="s">
        <v>48</v>
      </c>
      <c r="H1617" t="s">
        <v>49</v>
      </c>
      <c r="I1617" t="s">
        <v>50</v>
      </c>
      <c r="J1617" t="s">
        <v>295</v>
      </c>
      <c r="K1617" t="s">
        <v>292</v>
      </c>
      <c r="L1617" t="s">
        <v>53</v>
      </c>
      <c r="N1617" t="s">
        <v>2735</v>
      </c>
      <c r="P1617" t="s">
        <v>55</v>
      </c>
      <c r="R1617" t="s">
        <v>56</v>
      </c>
      <c r="T1617" t="s">
        <v>2730</v>
      </c>
      <c r="U1617" t="s">
        <v>58</v>
      </c>
      <c r="V1617">
        <v>1</v>
      </c>
      <c r="W1617">
        <v>1</v>
      </c>
      <c r="X1617">
        <v>1</v>
      </c>
      <c r="Y1617">
        <v>0</v>
      </c>
      <c r="Z1617">
        <v>1</v>
      </c>
      <c r="AA1617">
        <v>0</v>
      </c>
      <c r="AB1617">
        <v>147.75</v>
      </c>
      <c r="AC1617">
        <v>130</v>
      </c>
      <c r="AD1617">
        <v>0</v>
      </c>
      <c r="AE1617">
        <v>17.75</v>
      </c>
      <c r="AF1617">
        <v>0</v>
      </c>
      <c r="AG1617">
        <v>0</v>
      </c>
      <c r="AH1617">
        <v>0</v>
      </c>
      <c r="AI1617">
        <v>26.6</v>
      </c>
      <c r="AJ1617">
        <v>147.75</v>
      </c>
      <c r="AK1617">
        <v>0</v>
      </c>
      <c r="AL1617" t="s">
        <v>53</v>
      </c>
      <c r="AM1617" t="s">
        <v>53</v>
      </c>
      <c r="AN1617" t="s">
        <v>2736</v>
      </c>
      <c r="AO1617" t="s">
        <v>53</v>
      </c>
      <c r="AP1617" t="s">
        <v>53</v>
      </c>
    </row>
    <row r="1618" spans="2:42" x14ac:dyDescent="0.2">
      <c r="B1618" t="s">
        <v>44</v>
      </c>
      <c r="C1618" t="str">
        <f>HYPERLINK("https://us2.cloudbeds.com/connect/8493803454333002#/reservations/598405927139?display=E1BYZ17J&amp;reservation_id=598405927139", "E1BYZ17J")</f>
        <v>E1BYZ17J</v>
      </c>
      <c r="D1618" t="s">
        <v>45</v>
      </c>
      <c r="E1618" t="s">
        <v>46</v>
      </c>
      <c r="F1618" t="s">
        <v>47</v>
      </c>
      <c r="G1618" t="s">
        <v>48</v>
      </c>
      <c r="H1618" t="s">
        <v>49</v>
      </c>
      <c r="I1618" t="s">
        <v>79</v>
      </c>
      <c r="J1618" t="s">
        <v>783</v>
      </c>
      <c r="K1618" t="s">
        <v>196</v>
      </c>
      <c r="L1618" t="s">
        <v>53</v>
      </c>
      <c r="N1618" t="s">
        <v>2737</v>
      </c>
      <c r="P1618" t="s">
        <v>55</v>
      </c>
      <c r="R1618" t="s">
        <v>56</v>
      </c>
      <c r="T1618" t="s">
        <v>2730</v>
      </c>
      <c r="U1618" t="s">
        <v>58</v>
      </c>
      <c r="V1618">
        <v>1</v>
      </c>
      <c r="W1618">
        <v>1</v>
      </c>
      <c r="X1618">
        <v>1</v>
      </c>
      <c r="Y1618">
        <v>0</v>
      </c>
      <c r="Z1618">
        <v>1</v>
      </c>
      <c r="AA1618">
        <v>0</v>
      </c>
      <c r="AB1618">
        <v>153.43</v>
      </c>
      <c r="AC1618">
        <v>135</v>
      </c>
      <c r="AD1618">
        <v>0</v>
      </c>
      <c r="AE1618">
        <v>18.440000000000001</v>
      </c>
      <c r="AF1618">
        <v>0</v>
      </c>
      <c r="AG1618">
        <v>0</v>
      </c>
      <c r="AH1618">
        <v>0</v>
      </c>
      <c r="AI1618">
        <v>0</v>
      </c>
      <c r="AJ1618">
        <v>153.44</v>
      </c>
      <c r="AK1618">
        <v>0.01</v>
      </c>
      <c r="AL1618" t="s">
        <v>53</v>
      </c>
      <c r="AM1618" t="s">
        <v>53</v>
      </c>
      <c r="AN1618" t="s">
        <v>104</v>
      </c>
      <c r="AO1618" t="s">
        <v>53</v>
      </c>
      <c r="AP1618" t="s">
        <v>53</v>
      </c>
    </row>
    <row r="1619" spans="2:42" x14ac:dyDescent="0.2">
      <c r="B1619" t="s">
        <v>44</v>
      </c>
      <c r="C1619" t="str">
        <f>HYPERLINK("https://us2.cloudbeds.com/connect/8493803454333002#/reservations/598240387233?display=E17E4Y9Q&amp;reservation_id=598240387233", "E17E4Y9Q")</f>
        <v>E17E4Y9Q</v>
      </c>
      <c r="D1619" t="s">
        <v>45</v>
      </c>
      <c r="E1619" t="s">
        <v>373</v>
      </c>
      <c r="F1619" t="s">
        <v>47</v>
      </c>
      <c r="G1619" t="s">
        <v>48</v>
      </c>
      <c r="H1619" t="s">
        <v>49</v>
      </c>
      <c r="I1619" t="s">
        <v>79</v>
      </c>
      <c r="J1619" t="s">
        <v>327</v>
      </c>
      <c r="K1619" t="s">
        <v>288</v>
      </c>
      <c r="L1619" t="s">
        <v>53</v>
      </c>
      <c r="N1619" t="s">
        <v>2738</v>
      </c>
      <c r="P1619" t="s">
        <v>55</v>
      </c>
      <c r="R1619" t="s">
        <v>56</v>
      </c>
      <c r="T1619" t="s">
        <v>2730</v>
      </c>
      <c r="U1619" t="s">
        <v>58</v>
      </c>
      <c r="V1619">
        <v>2</v>
      </c>
      <c r="W1619">
        <v>1</v>
      </c>
      <c r="X1619">
        <v>1</v>
      </c>
      <c r="Y1619">
        <v>0</v>
      </c>
      <c r="Z1619">
        <v>1</v>
      </c>
      <c r="AA1619">
        <v>0</v>
      </c>
      <c r="AB1619">
        <v>321.17</v>
      </c>
      <c r="AC1619">
        <v>282.60000000000002</v>
      </c>
      <c r="AD1619">
        <v>0</v>
      </c>
      <c r="AE1619">
        <v>38.6</v>
      </c>
      <c r="AF1619">
        <v>0</v>
      </c>
      <c r="AG1619">
        <v>0</v>
      </c>
      <c r="AH1619">
        <v>0</v>
      </c>
      <c r="AI1619">
        <v>0</v>
      </c>
      <c r="AJ1619">
        <v>321.2</v>
      </c>
      <c r="AK1619">
        <v>0.03</v>
      </c>
      <c r="AL1619" t="s">
        <v>53</v>
      </c>
      <c r="AM1619" t="s">
        <v>53</v>
      </c>
      <c r="AN1619" t="s">
        <v>280</v>
      </c>
      <c r="AO1619" t="s">
        <v>53</v>
      </c>
      <c r="AP1619" t="s">
        <v>53</v>
      </c>
    </row>
    <row r="1620" spans="2:42" x14ac:dyDescent="0.2">
      <c r="B1620" t="s">
        <v>44</v>
      </c>
      <c r="C1620" t="str">
        <f>HYPERLINK("https://us2.cloudbeds.com/connect/8493803454333002#/reservations/598513447088?display=E1EDCUVS&amp;reservation_id=598513447088", "E1EDCUVS")</f>
        <v>E1EDCUVS</v>
      </c>
      <c r="D1620" t="s">
        <v>45</v>
      </c>
      <c r="E1620" t="s">
        <v>110</v>
      </c>
      <c r="F1620" t="s">
        <v>47</v>
      </c>
      <c r="G1620" t="s">
        <v>48</v>
      </c>
      <c r="H1620" t="s">
        <v>49</v>
      </c>
      <c r="I1620" t="s">
        <v>50</v>
      </c>
      <c r="J1620" t="s">
        <v>783</v>
      </c>
      <c r="K1620" t="s">
        <v>196</v>
      </c>
      <c r="L1620" t="s">
        <v>53</v>
      </c>
      <c r="N1620" t="s">
        <v>2739</v>
      </c>
      <c r="P1620" t="s">
        <v>55</v>
      </c>
      <c r="R1620" t="s">
        <v>56</v>
      </c>
      <c r="T1620" t="s">
        <v>2730</v>
      </c>
      <c r="U1620" t="s">
        <v>58</v>
      </c>
      <c r="V1620">
        <v>1</v>
      </c>
      <c r="W1620">
        <v>1</v>
      </c>
      <c r="X1620">
        <v>1</v>
      </c>
      <c r="Y1620">
        <v>0</v>
      </c>
      <c r="Z1620">
        <v>1</v>
      </c>
      <c r="AA1620">
        <v>0</v>
      </c>
      <c r="AB1620">
        <v>153.43</v>
      </c>
      <c r="AC1620">
        <v>135</v>
      </c>
      <c r="AD1620">
        <v>0</v>
      </c>
      <c r="AE1620">
        <v>18.440000000000001</v>
      </c>
      <c r="AF1620">
        <v>0</v>
      </c>
      <c r="AG1620">
        <v>0</v>
      </c>
      <c r="AH1620">
        <v>0</v>
      </c>
      <c r="AI1620">
        <v>27.62</v>
      </c>
      <c r="AJ1620">
        <v>153.44</v>
      </c>
      <c r="AK1620">
        <v>0.01</v>
      </c>
      <c r="AL1620" t="s">
        <v>53</v>
      </c>
      <c r="AM1620" t="s">
        <v>53</v>
      </c>
      <c r="AN1620" t="s">
        <v>68</v>
      </c>
      <c r="AO1620" t="s">
        <v>53</v>
      </c>
      <c r="AP1620" t="s">
        <v>53</v>
      </c>
    </row>
    <row r="1621" spans="2:42" x14ac:dyDescent="0.2">
      <c r="B1621" t="s">
        <v>44</v>
      </c>
      <c r="C1621" t="str">
        <f>HYPERLINK("https://us2.cloudbeds.com/connect/8493803454333002#/reservations/598289404063?display=E18MFK59&amp;reservation_id=598289404063", "E18MFK59")</f>
        <v>E18MFK59</v>
      </c>
      <c r="D1621" t="s">
        <v>45</v>
      </c>
      <c r="E1621" t="s">
        <v>105</v>
      </c>
      <c r="F1621" t="s">
        <v>47</v>
      </c>
      <c r="G1621" t="s">
        <v>48</v>
      </c>
      <c r="H1621" t="s">
        <v>49</v>
      </c>
      <c r="I1621" t="s">
        <v>79</v>
      </c>
      <c r="J1621" t="s">
        <v>130</v>
      </c>
      <c r="K1621" t="s">
        <v>87</v>
      </c>
      <c r="L1621" t="s">
        <v>53</v>
      </c>
      <c r="N1621" t="s">
        <v>2740</v>
      </c>
      <c r="P1621" t="s">
        <v>55</v>
      </c>
      <c r="R1621" t="s">
        <v>56</v>
      </c>
      <c r="T1621" t="s">
        <v>2741</v>
      </c>
      <c r="U1621" t="s">
        <v>58</v>
      </c>
      <c r="V1621">
        <v>1</v>
      </c>
      <c r="W1621">
        <v>1</v>
      </c>
      <c r="X1621">
        <v>1</v>
      </c>
      <c r="Y1621">
        <v>0</v>
      </c>
      <c r="Z1621">
        <v>1</v>
      </c>
      <c r="AA1621">
        <v>0</v>
      </c>
      <c r="AB1621">
        <v>160.59</v>
      </c>
      <c r="AC1621">
        <v>141.30000000000001</v>
      </c>
      <c r="AD1621">
        <v>0</v>
      </c>
      <c r="AE1621">
        <v>19.3</v>
      </c>
      <c r="AF1621">
        <v>0</v>
      </c>
      <c r="AG1621">
        <v>0</v>
      </c>
      <c r="AH1621">
        <v>0</v>
      </c>
      <c r="AI1621">
        <v>0</v>
      </c>
      <c r="AJ1621">
        <v>160.6</v>
      </c>
      <c r="AK1621">
        <v>0.01</v>
      </c>
      <c r="AL1621" t="s">
        <v>53</v>
      </c>
      <c r="AM1621" t="s">
        <v>53</v>
      </c>
      <c r="AN1621" t="s">
        <v>132</v>
      </c>
      <c r="AO1621" t="s">
        <v>53</v>
      </c>
      <c r="AP1621" t="s">
        <v>53</v>
      </c>
    </row>
    <row r="1622" spans="2:42" x14ac:dyDescent="0.2">
      <c r="B1622" t="s">
        <v>44</v>
      </c>
      <c r="C1622" t="str">
        <f>HYPERLINK("https://us2.cloudbeds.com/connect/8493803454333002#/reservations/598352392405?display=E1A9JBMU&amp;reservation_id=598352392405", "E1A9JBMU")</f>
        <v>E1A9JBMU</v>
      </c>
      <c r="D1622" t="s">
        <v>45</v>
      </c>
      <c r="E1622" t="s">
        <v>69</v>
      </c>
      <c r="F1622" t="s">
        <v>70</v>
      </c>
      <c r="G1622" t="s">
        <v>48</v>
      </c>
      <c r="H1622" t="s">
        <v>49</v>
      </c>
      <c r="I1622" t="s">
        <v>50</v>
      </c>
      <c r="J1622" t="s">
        <v>196</v>
      </c>
      <c r="K1622" t="s">
        <v>333</v>
      </c>
      <c r="L1622" t="s">
        <v>53</v>
      </c>
      <c r="N1622" t="s">
        <v>2742</v>
      </c>
      <c r="P1622" t="s">
        <v>55</v>
      </c>
      <c r="R1622" t="s">
        <v>56</v>
      </c>
      <c r="T1622" t="s">
        <v>2741</v>
      </c>
      <c r="U1622" t="s">
        <v>58</v>
      </c>
      <c r="V1622">
        <v>1</v>
      </c>
      <c r="W1622">
        <v>1</v>
      </c>
      <c r="X1622">
        <v>1</v>
      </c>
      <c r="Y1622">
        <v>0</v>
      </c>
      <c r="Z1622">
        <v>1</v>
      </c>
      <c r="AA1622">
        <v>0</v>
      </c>
      <c r="AB1622">
        <v>100.24</v>
      </c>
      <c r="AC1622">
        <v>88.2</v>
      </c>
      <c r="AD1622">
        <v>0</v>
      </c>
      <c r="AE1622">
        <v>12.04</v>
      </c>
      <c r="AF1622">
        <v>0</v>
      </c>
      <c r="AG1622">
        <v>0</v>
      </c>
      <c r="AH1622">
        <v>0</v>
      </c>
      <c r="AI1622">
        <v>18.04</v>
      </c>
      <c r="AJ1622">
        <v>100.24</v>
      </c>
      <c r="AK1622">
        <v>0</v>
      </c>
      <c r="AL1622" t="s">
        <v>53</v>
      </c>
      <c r="AM1622" t="s">
        <v>53</v>
      </c>
      <c r="AN1622" t="s">
        <v>127</v>
      </c>
      <c r="AO1622" t="s">
        <v>53</v>
      </c>
      <c r="AP1622" t="s">
        <v>53</v>
      </c>
    </row>
    <row r="1623" spans="2:42" x14ac:dyDescent="0.2">
      <c r="B1623" t="s">
        <v>44</v>
      </c>
      <c r="C1623" t="str">
        <f>HYPERLINK("https://us2.cloudbeds.com/connect/8493803454333002#/reservations/598212128940?display=E16NAAET&amp;reservation_id=598212128940", "E16NAAET")</f>
        <v>E16NAAET</v>
      </c>
      <c r="D1623" t="s">
        <v>45</v>
      </c>
      <c r="E1623" t="s">
        <v>121</v>
      </c>
      <c r="F1623" t="s">
        <v>86</v>
      </c>
      <c r="G1623" t="s">
        <v>48</v>
      </c>
      <c r="H1623" t="s">
        <v>71</v>
      </c>
      <c r="I1623" t="s">
        <v>72</v>
      </c>
      <c r="J1623" t="s">
        <v>783</v>
      </c>
      <c r="K1623" t="s">
        <v>196</v>
      </c>
      <c r="L1623" t="s">
        <v>53</v>
      </c>
      <c r="N1623" t="s">
        <v>2743</v>
      </c>
      <c r="P1623" t="s">
        <v>55</v>
      </c>
      <c r="R1623" t="s">
        <v>56</v>
      </c>
      <c r="T1623" t="s">
        <v>2741</v>
      </c>
      <c r="U1623" t="s">
        <v>58</v>
      </c>
      <c r="V1623">
        <v>1</v>
      </c>
      <c r="W1623">
        <v>1</v>
      </c>
      <c r="X1623">
        <v>1</v>
      </c>
      <c r="Y1623">
        <v>0</v>
      </c>
      <c r="Z1623">
        <v>1</v>
      </c>
      <c r="AA1623">
        <v>0</v>
      </c>
      <c r="AB1623">
        <v>176.16</v>
      </c>
      <c r="AC1623">
        <v>155</v>
      </c>
      <c r="AD1623">
        <v>0</v>
      </c>
      <c r="AE1623">
        <v>21.17</v>
      </c>
      <c r="AF1623">
        <v>0</v>
      </c>
      <c r="AG1623">
        <v>0</v>
      </c>
      <c r="AH1623">
        <v>0</v>
      </c>
      <c r="AI1623">
        <v>0</v>
      </c>
      <c r="AJ1623">
        <v>176.17</v>
      </c>
      <c r="AK1623">
        <v>0.01</v>
      </c>
      <c r="AL1623" t="s">
        <v>53</v>
      </c>
      <c r="AM1623" t="s">
        <v>53</v>
      </c>
      <c r="AN1623" t="s">
        <v>378</v>
      </c>
      <c r="AO1623" t="s">
        <v>53</v>
      </c>
      <c r="AP1623" t="s">
        <v>53</v>
      </c>
    </row>
    <row r="1624" spans="2:42" x14ac:dyDescent="0.2">
      <c r="B1624" t="s">
        <v>44</v>
      </c>
      <c r="C1624" t="str">
        <f>HYPERLINK("https://us2.cloudbeds.com/connect/8493803454333002#/reservations/598508388530?display=E1E945R7&amp;reservation_id=598508388530", "E1E945R7")</f>
        <v>E1E945R7</v>
      </c>
      <c r="D1624" t="s">
        <v>45</v>
      </c>
      <c r="E1624" t="s">
        <v>138</v>
      </c>
      <c r="F1624" t="s">
        <v>70</v>
      </c>
      <c r="G1624" t="s">
        <v>48</v>
      </c>
      <c r="H1624" t="s">
        <v>49</v>
      </c>
      <c r="I1624" t="s">
        <v>50</v>
      </c>
      <c r="J1624" t="s">
        <v>783</v>
      </c>
      <c r="K1624" t="s">
        <v>196</v>
      </c>
      <c r="L1624" t="s">
        <v>53</v>
      </c>
      <c r="N1624" t="s">
        <v>2744</v>
      </c>
      <c r="P1624" t="s">
        <v>55</v>
      </c>
      <c r="R1624" t="s">
        <v>56</v>
      </c>
      <c r="T1624" t="s">
        <v>2741</v>
      </c>
      <c r="U1624" t="s">
        <v>58</v>
      </c>
      <c r="V1624">
        <v>1</v>
      </c>
      <c r="W1624">
        <v>1</v>
      </c>
      <c r="X1624">
        <v>1</v>
      </c>
      <c r="Y1624">
        <v>0</v>
      </c>
      <c r="Z1624">
        <v>1</v>
      </c>
      <c r="AA1624">
        <v>0</v>
      </c>
      <c r="AB1624">
        <v>145.24</v>
      </c>
      <c r="AC1624">
        <v>127.8</v>
      </c>
      <c r="AD1624">
        <v>0</v>
      </c>
      <c r="AE1624">
        <v>17.45</v>
      </c>
      <c r="AF1624">
        <v>0</v>
      </c>
      <c r="AG1624">
        <v>0</v>
      </c>
      <c r="AH1624">
        <v>0</v>
      </c>
      <c r="AI1624">
        <v>26.15</v>
      </c>
      <c r="AJ1624">
        <v>145.25</v>
      </c>
      <c r="AK1624">
        <v>0.01</v>
      </c>
      <c r="AL1624" t="s">
        <v>53</v>
      </c>
      <c r="AM1624" t="s">
        <v>53</v>
      </c>
      <c r="AN1624" t="s">
        <v>252</v>
      </c>
      <c r="AO1624" t="s">
        <v>53</v>
      </c>
      <c r="AP1624" t="s">
        <v>53</v>
      </c>
    </row>
    <row r="1625" spans="2:42" x14ac:dyDescent="0.2">
      <c r="B1625" t="s">
        <v>44</v>
      </c>
      <c r="C1625" t="str">
        <f>HYPERLINK("https://us2.cloudbeds.com/connect/8493803454333002#/reservations/598117978265?display=E149UEC4&amp;reservation_id=598117978265", "E149UEC4")</f>
        <v>E149UEC4</v>
      </c>
      <c r="D1625" t="s">
        <v>45</v>
      </c>
      <c r="E1625" t="s">
        <v>121</v>
      </c>
      <c r="F1625" t="s">
        <v>86</v>
      </c>
      <c r="G1625" t="s">
        <v>48</v>
      </c>
      <c r="H1625" t="s">
        <v>49</v>
      </c>
      <c r="I1625" t="s">
        <v>50</v>
      </c>
      <c r="J1625" t="s">
        <v>309</v>
      </c>
      <c r="K1625" t="s">
        <v>549</v>
      </c>
      <c r="L1625" t="s">
        <v>53</v>
      </c>
      <c r="N1625" t="s">
        <v>2745</v>
      </c>
      <c r="P1625" t="s">
        <v>55</v>
      </c>
      <c r="R1625" t="s">
        <v>56</v>
      </c>
      <c r="T1625" t="s">
        <v>2741</v>
      </c>
      <c r="U1625" t="s">
        <v>58</v>
      </c>
      <c r="V1625">
        <v>2</v>
      </c>
      <c r="W1625">
        <v>1</v>
      </c>
      <c r="X1625">
        <v>1</v>
      </c>
      <c r="Y1625">
        <v>0</v>
      </c>
      <c r="Z1625">
        <v>1</v>
      </c>
      <c r="AA1625">
        <v>0</v>
      </c>
      <c r="AB1625">
        <v>325.27</v>
      </c>
      <c r="AC1625">
        <v>286.2</v>
      </c>
      <c r="AD1625">
        <v>0</v>
      </c>
      <c r="AE1625">
        <v>39.06</v>
      </c>
      <c r="AF1625">
        <v>0</v>
      </c>
      <c r="AG1625">
        <v>0</v>
      </c>
      <c r="AH1625">
        <v>0</v>
      </c>
      <c r="AI1625">
        <v>58.55</v>
      </c>
      <c r="AJ1625">
        <v>325.26</v>
      </c>
      <c r="AK1625">
        <v>-0.01</v>
      </c>
      <c r="AL1625" t="s">
        <v>53</v>
      </c>
      <c r="AM1625" t="s">
        <v>53</v>
      </c>
      <c r="AN1625" t="s">
        <v>2746</v>
      </c>
      <c r="AO1625" t="s">
        <v>53</v>
      </c>
      <c r="AP1625" t="s">
        <v>53</v>
      </c>
    </row>
    <row r="1626" spans="2:42" x14ac:dyDescent="0.2">
      <c r="B1626" t="s">
        <v>44</v>
      </c>
      <c r="C1626" t="str">
        <f>HYPERLINK("https://us2.cloudbeds.com/connect/8493803454333002#/reservations/598004269215?display=E11D1ABB&amp;reservation_id=598004269215", "E11D1ABB")</f>
        <v>E11D1ABB</v>
      </c>
      <c r="D1626" t="s">
        <v>45</v>
      </c>
      <c r="E1626" t="s">
        <v>46</v>
      </c>
      <c r="F1626" t="s">
        <v>47</v>
      </c>
      <c r="G1626" t="s">
        <v>48</v>
      </c>
      <c r="H1626" t="s">
        <v>49</v>
      </c>
      <c r="I1626" t="s">
        <v>62</v>
      </c>
      <c r="J1626" t="s">
        <v>334</v>
      </c>
      <c r="K1626" t="s">
        <v>538</v>
      </c>
      <c r="L1626" t="s">
        <v>53</v>
      </c>
      <c r="N1626" t="s">
        <v>2747</v>
      </c>
      <c r="P1626" t="s">
        <v>55</v>
      </c>
      <c r="R1626" t="s">
        <v>56</v>
      </c>
      <c r="T1626" t="s">
        <v>2741</v>
      </c>
      <c r="U1626" t="s">
        <v>58</v>
      </c>
      <c r="V1626">
        <v>1</v>
      </c>
      <c r="W1626">
        <v>1</v>
      </c>
      <c r="X1626">
        <v>1</v>
      </c>
      <c r="Y1626">
        <v>0</v>
      </c>
      <c r="Z1626">
        <v>1</v>
      </c>
      <c r="AA1626">
        <v>0</v>
      </c>
      <c r="AB1626">
        <v>134.11000000000001</v>
      </c>
      <c r="AC1626">
        <v>118</v>
      </c>
      <c r="AD1626">
        <v>0</v>
      </c>
      <c r="AE1626">
        <v>16.11</v>
      </c>
      <c r="AF1626">
        <v>0</v>
      </c>
      <c r="AG1626">
        <v>0</v>
      </c>
      <c r="AH1626">
        <v>0</v>
      </c>
      <c r="AI1626">
        <v>20.12</v>
      </c>
      <c r="AJ1626">
        <v>134.11000000000001</v>
      </c>
      <c r="AK1626">
        <v>0</v>
      </c>
      <c r="AL1626" t="s">
        <v>53</v>
      </c>
      <c r="AM1626" t="s">
        <v>53</v>
      </c>
      <c r="AN1626" t="s">
        <v>97</v>
      </c>
      <c r="AO1626" t="s">
        <v>53</v>
      </c>
      <c r="AP1626" t="s">
        <v>53</v>
      </c>
    </row>
    <row r="1627" spans="2:42" x14ac:dyDescent="0.2">
      <c r="B1627" t="s">
        <v>44</v>
      </c>
      <c r="C1627" t="str">
        <f>HYPERLINK("https://us2.cloudbeds.com/connect/8493803454333002#/reservations/598572155081?display=E1FTTXVV&amp;reservation_id=598572155081", "E1FTTXVV")</f>
        <v>E1FTTXVV</v>
      </c>
      <c r="D1627" t="s">
        <v>45</v>
      </c>
      <c r="E1627" t="s">
        <v>98</v>
      </c>
      <c r="F1627" t="s">
        <v>86</v>
      </c>
      <c r="G1627" t="s">
        <v>48</v>
      </c>
      <c r="H1627" t="s">
        <v>49</v>
      </c>
      <c r="I1627" t="s">
        <v>79</v>
      </c>
      <c r="J1627" t="s">
        <v>2102</v>
      </c>
      <c r="K1627" t="s">
        <v>988</v>
      </c>
      <c r="L1627" t="s">
        <v>53</v>
      </c>
      <c r="N1627" t="s">
        <v>2748</v>
      </c>
      <c r="P1627" t="s">
        <v>55</v>
      </c>
      <c r="R1627" t="s">
        <v>56</v>
      </c>
      <c r="T1627" t="s">
        <v>2741</v>
      </c>
      <c r="U1627" t="s">
        <v>58</v>
      </c>
      <c r="V1627">
        <v>1</v>
      </c>
      <c r="W1627">
        <v>1</v>
      </c>
      <c r="X1627">
        <v>1</v>
      </c>
      <c r="Y1627">
        <v>0</v>
      </c>
      <c r="Z1627">
        <v>1</v>
      </c>
      <c r="AA1627">
        <v>0</v>
      </c>
      <c r="AB1627">
        <v>176.44</v>
      </c>
      <c r="AC1627">
        <v>155.25</v>
      </c>
      <c r="AD1627">
        <v>0</v>
      </c>
      <c r="AE1627">
        <v>21.19</v>
      </c>
      <c r="AF1627">
        <v>0</v>
      </c>
      <c r="AG1627">
        <v>0</v>
      </c>
      <c r="AH1627">
        <v>0</v>
      </c>
      <c r="AI1627">
        <v>0</v>
      </c>
      <c r="AJ1627">
        <v>176.44</v>
      </c>
      <c r="AK1627">
        <v>0</v>
      </c>
      <c r="AL1627" t="s">
        <v>53</v>
      </c>
      <c r="AM1627" t="s">
        <v>53</v>
      </c>
      <c r="AN1627" t="s">
        <v>137</v>
      </c>
      <c r="AO1627" t="s">
        <v>53</v>
      </c>
      <c r="AP1627" t="s">
        <v>53</v>
      </c>
    </row>
    <row r="1628" spans="2:42" x14ac:dyDescent="0.2">
      <c r="B1628" t="s">
        <v>44</v>
      </c>
      <c r="C1628" t="str">
        <f>HYPERLINK("https://us2.cloudbeds.com/connect/8493803454333002#/reservations/598399361219?display=E1BG6AUA&amp;reservation_id=598399361219", "E1BG6AUA")</f>
        <v>E1BG6AUA</v>
      </c>
      <c r="D1628" t="s">
        <v>45</v>
      </c>
      <c r="E1628" t="s">
        <v>179</v>
      </c>
      <c r="F1628" t="s">
        <v>47</v>
      </c>
      <c r="G1628" t="s">
        <v>48</v>
      </c>
      <c r="H1628" t="s">
        <v>49</v>
      </c>
      <c r="I1628" t="s">
        <v>79</v>
      </c>
      <c r="J1628" t="s">
        <v>2102</v>
      </c>
      <c r="K1628" t="s">
        <v>988</v>
      </c>
      <c r="L1628" t="s">
        <v>53</v>
      </c>
      <c r="N1628" t="s">
        <v>2749</v>
      </c>
      <c r="P1628" t="s">
        <v>55</v>
      </c>
      <c r="R1628" t="s">
        <v>56</v>
      </c>
      <c r="T1628" t="s">
        <v>2741</v>
      </c>
      <c r="U1628" t="s">
        <v>58</v>
      </c>
      <c r="V1628">
        <v>1</v>
      </c>
      <c r="W1628">
        <v>1</v>
      </c>
      <c r="X1628">
        <v>1</v>
      </c>
      <c r="Y1628">
        <v>0</v>
      </c>
      <c r="Z1628">
        <v>1</v>
      </c>
      <c r="AA1628">
        <v>0</v>
      </c>
      <c r="AB1628">
        <v>155.97999999999999</v>
      </c>
      <c r="AC1628">
        <v>137.25</v>
      </c>
      <c r="AD1628">
        <v>0</v>
      </c>
      <c r="AE1628">
        <v>18.739999999999998</v>
      </c>
      <c r="AF1628">
        <v>0</v>
      </c>
      <c r="AG1628">
        <v>0</v>
      </c>
      <c r="AH1628">
        <v>0</v>
      </c>
      <c r="AI1628">
        <v>0</v>
      </c>
      <c r="AJ1628">
        <v>155.99</v>
      </c>
      <c r="AK1628">
        <v>0.01</v>
      </c>
      <c r="AL1628" t="s">
        <v>53</v>
      </c>
      <c r="AM1628" t="s">
        <v>53</v>
      </c>
      <c r="AN1628" t="s">
        <v>252</v>
      </c>
      <c r="AO1628" t="s">
        <v>53</v>
      </c>
      <c r="AP1628" t="s">
        <v>53</v>
      </c>
    </row>
    <row r="1629" spans="2:42" x14ac:dyDescent="0.2">
      <c r="B1629" t="s">
        <v>44</v>
      </c>
      <c r="C1629" t="str">
        <f>HYPERLINK("https://us2.cloudbeds.com/connect/8493803454333002#/reservations/598393680111?display=E1BBD83H&amp;reservation_id=598393680111", "E1BBD83H")</f>
        <v>E1BBD83H</v>
      </c>
      <c r="D1629" t="s">
        <v>45</v>
      </c>
      <c r="E1629" t="s">
        <v>92</v>
      </c>
      <c r="F1629" t="s">
        <v>86</v>
      </c>
      <c r="G1629" t="s">
        <v>48</v>
      </c>
      <c r="H1629" t="s">
        <v>71</v>
      </c>
      <c r="I1629" t="s">
        <v>72</v>
      </c>
      <c r="J1629" t="s">
        <v>181</v>
      </c>
      <c r="K1629" t="s">
        <v>122</v>
      </c>
      <c r="L1629" t="s">
        <v>53</v>
      </c>
      <c r="N1629" t="s">
        <v>2750</v>
      </c>
      <c r="P1629" t="s">
        <v>55</v>
      </c>
      <c r="R1629" t="s">
        <v>56</v>
      </c>
      <c r="T1629" t="s">
        <v>2741</v>
      </c>
      <c r="U1629" t="s">
        <v>58</v>
      </c>
      <c r="V1629">
        <v>1</v>
      </c>
      <c r="W1629">
        <v>1</v>
      </c>
      <c r="X1629">
        <v>1</v>
      </c>
      <c r="Y1629">
        <v>0</v>
      </c>
      <c r="Z1629">
        <v>1</v>
      </c>
      <c r="AA1629">
        <v>0</v>
      </c>
      <c r="AB1629">
        <v>200.02</v>
      </c>
      <c r="AC1629">
        <v>176</v>
      </c>
      <c r="AD1629">
        <v>0</v>
      </c>
      <c r="AE1629">
        <v>24.02</v>
      </c>
      <c r="AF1629">
        <v>0</v>
      </c>
      <c r="AG1629">
        <v>0</v>
      </c>
      <c r="AH1629">
        <v>0</v>
      </c>
      <c r="AI1629">
        <v>0</v>
      </c>
      <c r="AJ1629">
        <v>200.02</v>
      </c>
      <c r="AK1629">
        <v>0</v>
      </c>
      <c r="AL1629" t="s">
        <v>53</v>
      </c>
      <c r="AM1629" t="s">
        <v>53</v>
      </c>
      <c r="AN1629" t="s">
        <v>2751</v>
      </c>
      <c r="AO1629" t="s">
        <v>53</v>
      </c>
      <c r="AP1629" t="s">
        <v>53</v>
      </c>
    </row>
    <row r="1630" spans="2:42" x14ac:dyDescent="0.2">
      <c r="B1630" t="s">
        <v>44</v>
      </c>
      <c r="C1630" t="str">
        <f>HYPERLINK("https://us2.cloudbeds.com/connect/8493803454333002#/reservations/598389366947?display=E1B7P7EJ&amp;reservation_id=598389366947", "E1B7P7EJ")</f>
        <v>E1B7P7EJ</v>
      </c>
      <c r="D1630" t="s">
        <v>45</v>
      </c>
      <c r="E1630" t="s">
        <v>223</v>
      </c>
      <c r="F1630" t="s">
        <v>47</v>
      </c>
      <c r="G1630" t="s">
        <v>48</v>
      </c>
      <c r="H1630" t="s">
        <v>49</v>
      </c>
      <c r="I1630" t="s">
        <v>79</v>
      </c>
      <c r="J1630" t="s">
        <v>2102</v>
      </c>
      <c r="K1630" t="s">
        <v>988</v>
      </c>
      <c r="L1630" t="s">
        <v>53</v>
      </c>
      <c r="N1630" t="s">
        <v>2752</v>
      </c>
      <c r="P1630" t="s">
        <v>55</v>
      </c>
      <c r="R1630" t="s">
        <v>56</v>
      </c>
      <c r="T1630" t="s">
        <v>2741</v>
      </c>
      <c r="U1630" t="s">
        <v>58</v>
      </c>
      <c r="V1630">
        <v>1</v>
      </c>
      <c r="W1630">
        <v>1</v>
      </c>
      <c r="X1630">
        <v>1</v>
      </c>
      <c r="Y1630">
        <v>0</v>
      </c>
      <c r="Z1630">
        <v>1</v>
      </c>
      <c r="AA1630">
        <v>0</v>
      </c>
      <c r="AB1630">
        <v>155.97999999999999</v>
      </c>
      <c r="AC1630">
        <v>137.25</v>
      </c>
      <c r="AD1630">
        <v>0</v>
      </c>
      <c r="AE1630">
        <v>18.739999999999998</v>
      </c>
      <c r="AF1630">
        <v>0</v>
      </c>
      <c r="AG1630">
        <v>0</v>
      </c>
      <c r="AH1630">
        <v>0</v>
      </c>
      <c r="AI1630">
        <v>0</v>
      </c>
      <c r="AJ1630">
        <v>155.99</v>
      </c>
      <c r="AK1630">
        <v>0.01</v>
      </c>
      <c r="AL1630" t="s">
        <v>53</v>
      </c>
      <c r="AM1630" t="s">
        <v>53</v>
      </c>
      <c r="AN1630" t="s">
        <v>68</v>
      </c>
      <c r="AO1630" t="s">
        <v>53</v>
      </c>
      <c r="AP1630" t="s">
        <v>53</v>
      </c>
    </row>
    <row r="1631" spans="2:42" x14ac:dyDescent="0.2">
      <c r="B1631" t="s">
        <v>44</v>
      </c>
      <c r="C1631" t="str">
        <f>HYPERLINK("https://us2.cloudbeds.com/connect/8493803454333002#/reservations/598561222809?display=E1FKMC4W&amp;reservation_id=598561222809", "E1FKMC4W")</f>
        <v>E1FKMC4W</v>
      </c>
      <c r="D1631" t="s">
        <v>45</v>
      </c>
      <c r="E1631" t="s">
        <v>487</v>
      </c>
      <c r="F1631" t="s">
        <v>61</v>
      </c>
      <c r="G1631" t="s">
        <v>48</v>
      </c>
      <c r="H1631" t="s">
        <v>49</v>
      </c>
      <c r="I1631" t="s">
        <v>50</v>
      </c>
      <c r="J1631" t="s">
        <v>538</v>
      </c>
      <c r="K1631" t="s">
        <v>259</v>
      </c>
      <c r="L1631" t="s">
        <v>53</v>
      </c>
      <c r="N1631" t="s">
        <v>2753</v>
      </c>
      <c r="P1631" t="s">
        <v>55</v>
      </c>
      <c r="R1631" t="s">
        <v>56</v>
      </c>
      <c r="T1631" t="s">
        <v>2741</v>
      </c>
      <c r="U1631" t="s">
        <v>58</v>
      </c>
      <c r="V1631">
        <v>1</v>
      </c>
      <c r="W1631">
        <v>1</v>
      </c>
      <c r="X1631">
        <v>1</v>
      </c>
      <c r="Y1631">
        <v>0</v>
      </c>
      <c r="Z1631">
        <v>1</v>
      </c>
      <c r="AA1631">
        <v>0</v>
      </c>
      <c r="AB1631">
        <v>132.97</v>
      </c>
      <c r="AC1631">
        <v>117</v>
      </c>
      <c r="AD1631">
        <v>0</v>
      </c>
      <c r="AE1631">
        <v>15.97</v>
      </c>
      <c r="AF1631">
        <v>0</v>
      </c>
      <c r="AG1631">
        <v>0</v>
      </c>
      <c r="AH1631">
        <v>0</v>
      </c>
      <c r="AI1631">
        <v>23.93</v>
      </c>
      <c r="AJ1631">
        <v>132.97</v>
      </c>
      <c r="AK1631">
        <v>0</v>
      </c>
      <c r="AL1631" t="s">
        <v>53</v>
      </c>
      <c r="AM1631" t="s">
        <v>53</v>
      </c>
      <c r="AN1631" t="s">
        <v>127</v>
      </c>
      <c r="AO1631" t="s">
        <v>53</v>
      </c>
      <c r="AP1631" t="s">
        <v>53</v>
      </c>
    </row>
    <row r="1632" spans="2:42" x14ac:dyDescent="0.2">
      <c r="B1632" t="s">
        <v>44</v>
      </c>
      <c r="C1632" t="str">
        <f>HYPERLINK("https://us2.cloudbeds.com/connect/8493803454333002#/reservations/598596100292?display=E1GH2T7D&amp;reservation_id=598596100292", "E1GH2T7D")</f>
        <v>E1GH2T7D</v>
      </c>
      <c r="D1632" t="s">
        <v>45</v>
      </c>
      <c r="E1632" t="s">
        <v>92</v>
      </c>
      <c r="F1632" t="s">
        <v>86</v>
      </c>
      <c r="G1632" t="s">
        <v>48</v>
      </c>
      <c r="H1632" t="s">
        <v>71</v>
      </c>
      <c r="I1632" t="s">
        <v>72</v>
      </c>
      <c r="J1632" t="s">
        <v>214</v>
      </c>
      <c r="K1632" t="s">
        <v>215</v>
      </c>
      <c r="L1632" t="s">
        <v>53</v>
      </c>
      <c r="N1632" t="s">
        <v>2754</v>
      </c>
      <c r="P1632" t="s">
        <v>55</v>
      </c>
      <c r="R1632" t="s">
        <v>56</v>
      </c>
      <c r="T1632" t="s">
        <v>2741</v>
      </c>
      <c r="U1632" t="s">
        <v>58</v>
      </c>
      <c r="V1632">
        <v>1</v>
      </c>
      <c r="W1632">
        <v>1</v>
      </c>
      <c r="X1632">
        <v>1</v>
      </c>
      <c r="Y1632">
        <v>0</v>
      </c>
      <c r="Z1632">
        <v>1</v>
      </c>
      <c r="AA1632">
        <v>0</v>
      </c>
      <c r="AB1632">
        <v>199.46</v>
      </c>
      <c r="AC1632">
        <v>175.5</v>
      </c>
      <c r="AD1632">
        <v>0</v>
      </c>
      <c r="AE1632">
        <v>23.95</v>
      </c>
      <c r="AF1632">
        <v>0</v>
      </c>
      <c r="AG1632">
        <v>0</v>
      </c>
      <c r="AH1632">
        <v>0</v>
      </c>
      <c r="AI1632">
        <v>0</v>
      </c>
      <c r="AJ1632">
        <v>199.45</v>
      </c>
      <c r="AK1632">
        <v>-0.01</v>
      </c>
      <c r="AL1632" t="s">
        <v>53</v>
      </c>
      <c r="AM1632" t="s">
        <v>53</v>
      </c>
      <c r="AN1632" t="s">
        <v>2755</v>
      </c>
      <c r="AO1632" t="s">
        <v>53</v>
      </c>
      <c r="AP1632" t="s">
        <v>53</v>
      </c>
    </row>
    <row r="1633" spans="2:42" x14ac:dyDescent="0.2">
      <c r="B1633" t="s">
        <v>44</v>
      </c>
      <c r="C1633" t="str">
        <f>HYPERLINK("https://us2.cloudbeds.com/connect/8493803454333002#/reservations/598596174061?display=E1GH4UVR&amp;reservation_id=598596174061", "E1GH4UVR")</f>
        <v>E1GH4UVR</v>
      </c>
      <c r="D1633" t="s">
        <v>45</v>
      </c>
      <c r="E1633" t="s">
        <v>46</v>
      </c>
      <c r="F1633" t="s">
        <v>47</v>
      </c>
      <c r="G1633" t="s">
        <v>48</v>
      </c>
      <c r="H1633" t="s">
        <v>71</v>
      </c>
      <c r="I1633" t="s">
        <v>72</v>
      </c>
      <c r="J1633" t="s">
        <v>152</v>
      </c>
      <c r="K1633" t="s">
        <v>1473</v>
      </c>
      <c r="L1633" t="s">
        <v>53</v>
      </c>
      <c r="N1633" t="s">
        <v>2756</v>
      </c>
      <c r="P1633" t="s">
        <v>55</v>
      </c>
      <c r="R1633" t="s">
        <v>56</v>
      </c>
      <c r="T1633" t="s">
        <v>2741</v>
      </c>
      <c r="U1633" t="s">
        <v>58</v>
      </c>
      <c r="V1633">
        <v>1</v>
      </c>
      <c r="W1633">
        <v>1</v>
      </c>
      <c r="X1633">
        <v>1</v>
      </c>
      <c r="Y1633">
        <v>0</v>
      </c>
      <c r="Z1633">
        <v>1</v>
      </c>
      <c r="AA1633">
        <v>0</v>
      </c>
      <c r="AB1633">
        <v>142.06</v>
      </c>
      <c r="AC1633">
        <v>125</v>
      </c>
      <c r="AD1633">
        <v>0</v>
      </c>
      <c r="AE1633">
        <v>17.07</v>
      </c>
      <c r="AF1633">
        <v>0</v>
      </c>
      <c r="AG1633">
        <v>0</v>
      </c>
      <c r="AH1633">
        <v>0</v>
      </c>
      <c r="AI1633">
        <v>0</v>
      </c>
      <c r="AJ1633">
        <v>142.07</v>
      </c>
      <c r="AK1633">
        <v>0.01</v>
      </c>
      <c r="AL1633" t="s">
        <v>53</v>
      </c>
      <c r="AM1633" t="s">
        <v>53</v>
      </c>
      <c r="AN1633" t="s">
        <v>683</v>
      </c>
      <c r="AO1633" t="s">
        <v>53</v>
      </c>
      <c r="AP1633" t="s">
        <v>53</v>
      </c>
    </row>
    <row r="1634" spans="2:42" x14ac:dyDescent="0.2">
      <c r="B1634" t="s">
        <v>44</v>
      </c>
      <c r="C1634" t="str">
        <f>HYPERLINK("https://us2.cloudbeds.com/connect/8493803454333002#/reservations/598452015281?display=E1CRJGZV&amp;reservation_id=598452015281", "E1CRJGZV")</f>
        <v>E1CRJGZV</v>
      </c>
      <c r="D1634" t="s">
        <v>45</v>
      </c>
      <c r="E1634" t="s">
        <v>46</v>
      </c>
      <c r="F1634" t="s">
        <v>47</v>
      </c>
      <c r="G1634" t="s">
        <v>48</v>
      </c>
      <c r="H1634" t="s">
        <v>49</v>
      </c>
      <c r="I1634" t="s">
        <v>62</v>
      </c>
      <c r="J1634" t="s">
        <v>309</v>
      </c>
      <c r="K1634" t="s">
        <v>549</v>
      </c>
      <c r="L1634" t="s">
        <v>53</v>
      </c>
      <c r="N1634" t="s">
        <v>2757</v>
      </c>
      <c r="P1634" t="s">
        <v>55</v>
      </c>
      <c r="R1634" t="s">
        <v>56</v>
      </c>
      <c r="T1634" t="s">
        <v>2758</v>
      </c>
      <c r="U1634" t="s">
        <v>58</v>
      </c>
      <c r="V1634">
        <v>2</v>
      </c>
      <c r="W1634">
        <v>1</v>
      </c>
      <c r="X1634">
        <v>1</v>
      </c>
      <c r="Y1634">
        <v>0</v>
      </c>
      <c r="Z1634">
        <v>1</v>
      </c>
      <c r="AA1634">
        <v>0</v>
      </c>
      <c r="AB1634">
        <v>325.04000000000002</v>
      </c>
      <c r="AC1634">
        <v>286</v>
      </c>
      <c r="AD1634">
        <v>0</v>
      </c>
      <c r="AE1634">
        <v>39.06</v>
      </c>
      <c r="AF1634">
        <v>0</v>
      </c>
      <c r="AG1634">
        <v>0</v>
      </c>
      <c r="AH1634">
        <v>0</v>
      </c>
      <c r="AI1634">
        <v>48.76</v>
      </c>
      <c r="AJ1634">
        <v>325.06</v>
      </c>
      <c r="AK1634">
        <v>0.02</v>
      </c>
      <c r="AL1634" t="s">
        <v>53</v>
      </c>
      <c r="AM1634" t="s">
        <v>53</v>
      </c>
      <c r="AN1634" t="s">
        <v>349</v>
      </c>
      <c r="AO1634" t="s">
        <v>53</v>
      </c>
      <c r="AP1634" t="s">
        <v>53</v>
      </c>
    </row>
    <row r="1635" spans="2:42" x14ac:dyDescent="0.2">
      <c r="B1635" t="s">
        <v>44</v>
      </c>
      <c r="C1635" t="str">
        <f>HYPERLINK("https://us2.cloudbeds.com/connect/8493803454333002#/reservations/598461665413?display=E1D2Z176&amp;reservation_id=598461665413", "E1D2Z176")</f>
        <v>E1D2Z176</v>
      </c>
      <c r="D1635" t="s">
        <v>45</v>
      </c>
      <c r="E1635" t="s">
        <v>265</v>
      </c>
      <c r="F1635" t="s">
        <v>61</v>
      </c>
      <c r="G1635" t="s">
        <v>48</v>
      </c>
      <c r="H1635" t="s">
        <v>49</v>
      </c>
      <c r="I1635" t="s">
        <v>79</v>
      </c>
      <c r="J1635" t="s">
        <v>134</v>
      </c>
      <c r="K1635" t="s">
        <v>129</v>
      </c>
      <c r="L1635" t="s">
        <v>53</v>
      </c>
      <c r="N1635" t="s">
        <v>2759</v>
      </c>
      <c r="P1635" t="s">
        <v>55</v>
      </c>
      <c r="R1635" t="s">
        <v>56</v>
      </c>
      <c r="T1635" t="s">
        <v>2758</v>
      </c>
      <c r="U1635" t="s">
        <v>58</v>
      </c>
      <c r="V1635">
        <v>2</v>
      </c>
      <c r="W1635">
        <v>1</v>
      </c>
      <c r="X1635">
        <v>1</v>
      </c>
      <c r="Y1635">
        <v>0</v>
      </c>
      <c r="Z1635">
        <v>1</v>
      </c>
      <c r="AA1635">
        <v>0</v>
      </c>
      <c r="AB1635">
        <v>371.64</v>
      </c>
      <c r="AC1635">
        <v>327</v>
      </c>
      <c r="AD1635">
        <v>0</v>
      </c>
      <c r="AE1635">
        <v>44.62</v>
      </c>
      <c r="AF1635">
        <v>0</v>
      </c>
      <c r="AG1635">
        <v>0</v>
      </c>
      <c r="AH1635">
        <v>0</v>
      </c>
      <c r="AI1635">
        <v>0</v>
      </c>
      <c r="AJ1635">
        <v>371.62</v>
      </c>
      <c r="AK1635">
        <v>-0.02</v>
      </c>
      <c r="AL1635" t="s">
        <v>53</v>
      </c>
      <c r="AM1635" t="s">
        <v>53</v>
      </c>
      <c r="AN1635" t="s">
        <v>159</v>
      </c>
      <c r="AO1635" t="s">
        <v>53</v>
      </c>
      <c r="AP1635" t="s">
        <v>53</v>
      </c>
    </row>
    <row r="1636" spans="2:42" x14ac:dyDescent="0.2">
      <c r="B1636" t="s">
        <v>44</v>
      </c>
      <c r="C1636" t="str">
        <f>HYPERLINK("https://us2.cloudbeds.com/connect/8493803454333002#/reservations/598341886172?display=E1A0Z037&amp;reservation_id=598341886172", "E1A0Z037")</f>
        <v>E1A0Z037</v>
      </c>
      <c r="D1636" t="s">
        <v>45</v>
      </c>
      <c r="E1636" t="s">
        <v>128</v>
      </c>
      <c r="F1636" t="s">
        <v>86</v>
      </c>
      <c r="G1636" t="s">
        <v>48</v>
      </c>
      <c r="H1636" t="s">
        <v>49</v>
      </c>
      <c r="I1636" t="s">
        <v>50</v>
      </c>
      <c r="J1636" t="s">
        <v>196</v>
      </c>
      <c r="K1636" t="s">
        <v>333</v>
      </c>
      <c r="L1636" t="s">
        <v>53</v>
      </c>
      <c r="N1636" t="s">
        <v>2760</v>
      </c>
      <c r="P1636" t="s">
        <v>55</v>
      </c>
      <c r="R1636" t="s">
        <v>56</v>
      </c>
      <c r="T1636" t="s">
        <v>2758</v>
      </c>
      <c r="U1636" t="s">
        <v>58</v>
      </c>
      <c r="V1636">
        <v>1</v>
      </c>
      <c r="W1636">
        <v>1</v>
      </c>
      <c r="X1636">
        <v>1</v>
      </c>
      <c r="Y1636">
        <v>0</v>
      </c>
      <c r="Z1636">
        <v>1</v>
      </c>
      <c r="AA1636">
        <v>0</v>
      </c>
      <c r="AB1636">
        <v>130.91999999999999</v>
      </c>
      <c r="AC1636">
        <v>115.2</v>
      </c>
      <c r="AD1636">
        <v>0</v>
      </c>
      <c r="AE1636">
        <v>15.72</v>
      </c>
      <c r="AF1636">
        <v>0</v>
      </c>
      <c r="AG1636">
        <v>0</v>
      </c>
      <c r="AH1636">
        <v>0</v>
      </c>
      <c r="AI1636">
        <v>23.57</v>
      </c>
      <c r="AJ1636">
        <v>130.91999999999999</v>
      </c>
      <c r="AK1636">
        <v>0</v>
      </c>
      <c r="AL1636" t="s">
        <v>53</v>
      </c>
      <c r="AM1636" t="s">
        <v>53</v>
      </c>
      <c r="AN1636" t="s">
        <v>84</v>
      </c>
      <c r="AO1636" t="s">
        <v>53</v>
      </c>
      <c r="AP1636" t="s">
        <v>53</v>
      </c>
    </row>
    <row r="1637" spans="2:42" x14ac:dyDescent="0.2">
      <c r="B1637" t="s">
        <v>44</v>
      </c>
      <c r="C1637" t="str">
        <f>HYPERLINK("https://us2.cloudbeds.com/connect/8493803454333002#/reservations/598443307175?display=E1CK86AV&amp;reservation_id=598443307175", "E1CK86AV")</f>
        <v>E1CK86AV</v>
      </c>
      <c r="D1637" t="s">
        <v>45</v>
      </c>
      <c r="E1637" t="s">
        <v>110</v>
      </c>
      <c r="F1637" t="s">
        <v>47</v>
      </c>
      <c r="G1637" t="s">
        <v>48</v>
      </c>
      <c r="H1637" t="s">
        <v>49</v>
      </c>
      <c r="I1637" t="s">
        <v>79</v>
      </c>
      <c r="J1637" t="s">
        <v>333</v>
      </c>
      <c r="K1637" t="s">
        <v>334</v>
      </c>
      <c r="L1637" t="s">
        <v>53</v>
      </c>
      <c r="N1637" t="s">
        <v>2761</v>
      </c>
      <c r="P1637" t="s">
        <v>55</v>
      </c>
      <c r="R1637" t="s">
        <v>56</v>
      </c>
      <c r="T1637" t="s">
        <v>2758</v>
      </c>
      <c r="U1637" t="s">
        <v>58</v>
      </c>
      <c r="V1637">
        <v>1</v>
      </c>
      <c r="W1637">
        <v>1</v>
      </c>
      <c r="X1637">
        <v>1</v>
      </c>
      <c r="Y1637">
        <v>0</v>
      </c>
      <c r="Z1637">
        <v>1</v>
      </c>
      <c r="AA1637">
        <v>0</v>
      </c>
      <c r="AB1637">
        <v>110.47</v>
      </c>
      <c r="AC1637">
        <v>97.2</v>
      </c>
      <c r="AD1637">
        <v>0</v>
      </c>
      <c r="AE1637">
        <v>13.26</v>
      </c>
      <c r="AF1637">
        <v>0</v>
      </c>
      <c r="AG1637">
        <v>0</v>
      </c>
      <c r="AH1637">
        <v>0</v>
      </c>
      <c r="AI1637">
        <v>0</v>
      </c>
      <c r="AJ1637">
        <v>110.46</v>
      </c>
      <c r="AK1637">
        <v>-0.01</v>
      </c>
      <c r="AL1637" t="s">
        <v>53</v>
      </c>
      <c r="AM1637" t="s">
        <v>53</v>
      </c>
      <c r="AN1637" t="s">
        <v>97</v>
      </c>
      <c r="AO1637" t="s">
        <v>53</v>
      </c>
      <c r="AP1637" t="s">
        <v>53</v>
      </c>
    </row>
    <row r="1638" spans="2:42" x14ac:dyDescent="0.2">
      <c r="B1638" t="s">
        <v>44</v>
      </c>
      <c r="C1638" t="str">
        <f>HYPERLINK("https://us2.cloudbeds.com/connect/8493803454333002#/reservations/598475214990?display=E1DE52EE&amp;reservation_id=598475214990", "E1DE52EE")</f>
        <v>E1DE52EE</v>
      </c>
      <c r="D1638" t="s">
        <v>45</v>
      </c>
      <c r="E1638" t="s">
        <v>185</v>
      </c>
      <c r="F1638" t="s">
        <v>47</v>
      </c>
      <c r="G1638" t="s">
        <v>48</v>
      </c>
      <c r="H1638" t="s">
        <v>49</v>
      </c>
      <c r="I1638" t="s">
        <v>79</v>
      </c>
      <c r="J1638" t="s">
        <v>259</v>
      </c>
      <c r="K1638" t="s">
        <v>295</v>
      </c>
      <c r="L1638" t="s">
        <v>53</v>
      </c>
      <c r="N1638" t="s">
        <v>2762</v>
      </c>
      <c r="P1638" t="s">
        <v>55</v>
      </c>
      <c r="R1638" t="s">
        <v>56</v>
      </c>
      <c r="T1638" t="s">
        <v>2758</v>
      </c>
      <c r="U1638" t="s">
        <v>58</v>
      </c>
      <c r="V1638">
        <v>1</v>
      </c>
      <c r="W1638">
        <v>1</v>
      </c>
      <c r="X1638">
        <v>1</v>
      </c>
      <c r="Y1638">
        <v>0</v>
      </c>
      <c r="Z1638">
        <v>1</v>
      </c>
      <c r="AA1638">
        <v>0</v>
      </c>
      <c r="AB1638">
        <v>117.63</v>
      </c>
      <c r="AC1638">
        <v>103.5</v>
      </c>
      <c r="AD1638">
        <v>0</v>
      </c>
      <c r="AE1638">
        <v>14.12</v>
      </c>
      <c r="AF1638">
        <v>0</v>
      </c>
      <c r="AG1638">
        <v>0</v>
      </c>
      <c r="AH1638">
        <v>0</v>
      </c>
      <c r="AI1638">
        <v>0</v>
      </c>
      <c r="AJ1638">
        <v>117.62</v>
      </c>
      <c r="AK1638">
        <v>-0.01</v>
      </c>
      <c r="AL1638" t="s">
        <v>53</v>
      </c>
      <c r="AM1638" t="s">
        <v>53</v>
      </c>
      <c r="AN1638" t="s">
        <v>225</v>
      </c>
      <c r="AO1638" t="s">
        <v>53</v>
      </c>
      <c r="AP1638" t="s">
        <v>53</v>
      </c>
    </row>
    <row r="1639" spans="2:42" x14ac:dyDescent="0.2">
      <c r="B1639" t="s">
        <v>44</v>
      </c>
      <c r="C1639" t="str">
        <f>HYPERLINK("https://us2.cloudbeds.com/connect/8493803454333002#/reservations/598259757229?display=E17UFY8C&amp;reservation_id=598259757229", "E17UFY8C")</f>
        <v>E17UFY8C</v>
      </c>
      <c r="D1639" t="s">
        <v>45</v>
      </c>
      <c r="E1639" t="s">
        <v>265</v>
      </c>
      <c r="F1639" t="s">
        <v>61</v>
      </c>
      <c r="G1639" t="s">
        <v>48</v>
      </c>
      <c r="H1639" t="s">
        <v>71</v>
      </c>
      <c r="I1639" t="s">
        <v>72</v>
      </c>
      <c r="J1639" t="s">
        <v>129</v>
      </c>
      <c r="K1639" t="s">
        <v>426</v>
      </c>
      <c r="L1639" t="s">
        <v>53</v>
      </c>
      <c r="N1639" t="s">
        <v>2763</v>
      </c>
      <c r="P1639" t="s">
        <v>55</v>
      </c>
      <c r="R1639" t="s">
        <v>56</v>
      </c>
      <c r="T1639" t="s">
        <v>2758</v>
      </c>
      <c r="U1639" t="s">
        <v>58</v>
      </c>
      <c r="V1639">
        <v>1</v>
      </c>
      <c r="W1639">
        <v>1</v>
      </c>
      <c r="X1639">
        <v>1</v>
      </c>
      <c r="Y1639">
        <v>0</v>
      </c>
      <c r="Z1639">
        <v>1</v>
      </c>
      <c r="AA1639">
        <v>0</v>
      </c>
      <c r="AB1639">
        <v>164.79</v>
      </c>
      <c r="AC1639">
        <v>145</v>
      </c>
      <c r="AD1639">
        <v>0</v>
      </c>
      <c r="AE1639">
        <v>19.8</v>
      </c>
      <c r="AF1639">
        <v>0</v>
      </c>
      <c r="AG1639">
        <v>0</v>
      </c>
      <c r="AH1639">
        <v>0</v>
      </c>
      <c r="AI1639">
        <v>0</v>
      </c>
      <c r="AJ1639">
        <v>164.8</v>
      </c>
      <c r="AK1639">
        <v>0.01</v>
      </c>
      <c r="AL1639" t="s">
        <v>53</v>
      </c>
      <c r="AM1639" t="s">
        <v>53</v>
      </c>
      <c r="AN1639" t="s">
        <v>2764</v>
      </c>
      <c r="AO1639" t="s">
        <v>53</v>
      </c>
      <c r="AP1639" t="s">
        <v>53</v>
      </c>
    </row>
    <row r="1640" spans="2:42" x14ac:dyDescent="0.2">
      <c r="B1640" t="s">
        <v>44</v>
      </c>
      <c r="C1640" t="str">
        <f>HYPERLINK("https://us2.cloudbeds.com/connect/8493803454333002#/reservations/598228316360?display=E173VZUZ&amp;reservation_id=598228316360", "E173VZUZ")</f>
        <v>E173VZUZ</v>
      </c>
      <c r="D1640" t="s">
        <v>45</v>
      </c>
      <c r="E1640" t="s">
        <v>69</v>
      </c>
      <c r="F1640" t="s">
        <v>70</v>
      </c>
      <c r="G1640" t="s">
        <v>48</v>
      </c>
      <c r="H1640" t="s">
        <v>71</v>
      </c>
      <c r="I1640" t="s">
        <v>72</v>
      </c>
      <c r="J1640" t="s">
        <v>129</v>
      </c>
      <c r="K1640" t="s">
        <v>426</v>
      </c>
      <c r="L1640" t="s">
        <v>53</v>
      </c>
      <c r="N1640" t="s">
        <v>2765</v>
      </c>
      <c r="P1640" t="s">
        <v>58</v>
      </c>
      <c r="R1640" t="s">
        <v>56</v>
      </c>
      <c r="T1640" t="s">
        <v>2758</v>
      </c>
      <c r="U1640" t="s">
        <v>58</v>
      </c>
      <c r="V1640">
        <v>1</v>
      </c>
      <c r="W1640">
        <v>1</v>
      </c>
      <c r="X1640">
        <v>1</v>
      </c>
      <c r="Y1640">
        <v>0</v>
      </c>
      <c r="Z1640">
        <v>1</v>
      </c>
      <c r="AA1640">
        <v>0</v>
      </c>
      <c r="AB1640">
        <v>154.34</v>
      </c>
      <c r="AC1640">
        <v>135.80000000000001</v>
      </c>
      <c r="AD1640">
        <v>0</v>
      </c>
      <c r="AE1640">
        <v>18.54</v>
      </c>
      <c r="AF1640">
        <v>0</v>
      </c>
      <c r="AG1640">
        <v>0</v>
      </c>
      <c r="AH1640">
        <v>0</v>
      </c>
      <c r="AI1640">
        <v>0</v>
      </c>
      <c r="AJ1640">
        <v>154.34</v>
      </c>
      <c r="AK1640">
        <v>0</v>
      </c>
      <c r="AL1640" t="s">
        <v>53</v>
      </c>
      <c r="AM1640" t="s">
        <v>53</v>
      </c>
      <c r="AN1640" t="s">
        <v>2766</v>
      </c>
      <c r="AO1640" t="s">
        <v>53</v>
      </c>
      <c r="AP1640" t="s">
        <v>53</v>
      </c>
    </row>
    <row r="1641" spans="2:42" x14ac:dyDescent="0.2">
      <c r="B1641" t="s">
        <v>44</v>
      </c>
      <c r="C1641" t="str">
        <f>HYPERLINK("https://us2.cloudbeds.com/connect/8493803454333002#/reservations/598483681476?display=E1DY9YWK&amp;reservation_id=598483681476", "E1DY9YWK")</f>
        <v>E1DY9YWK</v>
      </c>
      <c r="D1641" t="s">
        <v>45</v>
      </c>
      <c r="E1641" t="s">
        <v>85</v>
      </c>
      <c r="F1641" t="s">
        <v>86</v>
      </c>
      <c r="G1641" t="s">
        <v>48</v>
      </c>
      <c r="H1641" t="s">
        <v>49</v>
      </c>
      <c r="I1641" t="s">
        <v>79</v>
      </c>
      <c r="J1641" t="s">
        <v>259</v>
      </c>
      <c r="K1641" t="s">
        <v>295</v>
      </c>
      <c r="L1641" t="s">
        <v>53</v>
      </c>
      <c r="N1641" t="s">
        <v>2767</v>
      </c>
      <c r="P1641" t="s">
        <v>55</v>
      </c>
      <c r="R1641" t="s">
        <v>56</v>
      </c>
      <c r="T1641" t="s">
        <v>2758</v>
      </c>
      <c r="U1641" t="s">
        <v>58</v>
      </c>
      <c r="V1641">
        <v>1</v>
      </c>
      <c r="W1641">
        <v>1</v>
      </c>
      <c r="X1641">
        <v>1</v>
      </c>
      <c r="Y1641">
        <v>0</v>
      </c>
      <c r="Z1641">
        <v>1</v>
      </c>
      <c r="AA1641">
        <v>0</v>
      </c>
      <c r="AB1641">
        <v>143.19999999999999</v>
      </c>
      <c r="AC1641">
        <v>126</v>
      </c>
      <c r="AD1641">
        <v>0</v>
      </c>
      <c r="AE1641">
        <v>17.2</v>
      </c>
      <c r="AF1641">
        <v>0</v>
      </c>
      <c r="AG1641">
        <v>0</v>
      </c>
      <c r="AH1641">
        <v>0</v>
      </c>
      <c r="AI1641">
        <v>0</v>
      </c>
      <c r="AJ1641">
        <v>143.19999999999999</v>
      </c>
      <c r="AK1641">
        <v>0</v>
      </c>
      <c r="AL1641" t="s">
        <v>53</v>
      </c>
      <c r="AM1641" t="s">
        <v>53</v>
      </c>
      <c r="AN1641" t="s">
        <v>137</v>
      </c>
      <c r="AO1641" t="s">
        <v>53</v>
      </c>
      <c r="AP1641" t="s">
        <v>53</v>
      </c>
    </row>
    <row r="1642" spans="2:42" x14ac:dyDescent="0.2">
      <c r="B1642" t="s">
        <v>44</v>
      </c>
      <c r="C1642" t="str">
        <f>HYPERLINK("https://us2.cloudbeds.com/connect/8493803454333002#/reservations/598592884940?display=E1GECDYF&amp;reservation_id=598592884940", "E1GECDYF")</f>
        <v>E1GECDYF</v>
      </c>
      <c r="D1642" t="s">
        <v>45</v>
      </c>
      <c r="E1642" t="s">
        <v>78</v>
      </c>
      <c r="F1642" t="s">
        <v>61</v>
      </c>
      <c r="G1642" t="s">
        <v>48</v>
      </c>
      <c r="H1642" t="s">
        <v>49</v>
      </c>
      <c r="I1642" t="s">
        <v>50</v>
      </c>
      <c r="J1642" t="s">
        <v>322</v>
      </c>
      <c r="K1642" t="s">
        <v>351</v>
      </c>
      <c r="L1642" t="s">
        <v>53</v>
      </c>
      <c r="N1642" t="s">
        <v>2768</v>
      </c>
      <c r="P1642" t="s">
        <v>55</v>
      </c>
      <c r="R1642" t="s">
        <v>56</v>
      </c>
      <c r="T1642" t="s">
        <v>2758</v>
      </c>
      <c r="U1642" t="s">
        <v>58</v>
      </c>
      <c r="V1642">
        <v>1</v>
      </c>
      <c r="W1642">
        <v>1</v>
      </c>
      <c r="X1642">
        <v>1</v>
      </c>
      <c r="Y1642">
        <v>0</v>
      </c>
      <c r="Z1642">
        <v>1</v>
      </c>
      <c r="AA1642">
        <v>0</v>
      </c>
      <c r="AB1642">
        <v>168.77</v>
      </c>
      <c r="AC1642">
        <v>148.5</v>
      </c>
      <c r="AD1642">
        <v>0</v>
      </c>
      <c r="AE1642">
        <v>20.28</v>
      </c>
      <c r="AF1642">
        <v>0</v>
      </c>
      <c r="AG1642">
        <v>0</v>
      </c>
      <c r="AH1642">
        <v>0</v>
      </c>
      <c r="AI1642">
        <v>30.38</v>
      </c>
      <c r="AJ1642">
        <v>168.78</v>
      </c>
      <c r="AK1642">
        <v>0.01</v>
      </c>
      <c r="AL1642" t="s">
        <v>53</v>
      </c>
      <c r="AM1642" t="s">
        <v>53</v>
      </c>
      <c r="AN1642" t="s">
        <v>245</v>
      </c>
      <c r="AO1642" t="s">
        <v>53</v>
      </c>
      <c r="AP1642" t="s">
        <v>53</v>
      </c>
    </row>
    <row r="1643" spans="2:42" x14ac:dyDescent="0.2">
      <c r="B1643" t="s">
        <v>44</v>
      </c>
      <c r="C1643" t="str">
        <f>HYPERLINK("https://us2.cloudbeds.com/connect/8493803454333002#/reservations/598395748502?display=E1BD4QF1&amp;reservation_id=598395748502", "E1BD4QF1")</f>
        <v>E1BD4QF1</v>
      </c>
      <c r="D1643" t="s">
        <v>45</v>
      </c>
      <c r="E1643" t="s">
        <v>128</v>
      </c>
      <c r="F1643" t="s">
        <v>86</v>
      </c>
      <c r="G1643" t="s">
        <v>48</v>
      </c>
      <c r="H1643" t="s">
        <v>49</v>
      </c>
      <c r="I1643" t="s">
        <v>79</v>
      </c>
      <c r="J1643" t="s">
        <v>180</v>
      </c>
      <c r="K1643" t="s">
        <v>181</v>
      </c>
      <c r="L1643" t="s">
        <v>53</v>
      </c>
      <c r="N1643" t="s">
        <v>2769</v>
      </c>
      <c r="P1643" t="s">
        <v>55</v>
      </c>
      <c r="R1643" t="s">
        <v>56</v>
      </c>
      <c r="T1643" t="s">
        <v>2758</v>
      </c>
      <c r="U1643" t="s">
        <v>58</v>
      </c>
      <c r="V1643">
        <v>1</v>
      </c>
      <c r="W1643">
        <v>1</v>
      </c>
      <c r="X1643">
        <v>1</v>
      </c>
      <c r="Y1643">
        <v>0</v>
      </c>
      <c r="Z1643">
        <v>1</v>
      </c>
      <c r="AA1643">
        <v>0</v>
      </c>
      <c r="AB1643">
        <v>179</v>
      </c>
      <c r="AC1643">
        <v>157.5</v>
      </c>
      <c r="AD1643">
        <v>0</v>
      </c>
      <c r="AE1643">
        <v>21.5</v>
      </c>
      <c r="AF1643">
        <v>0</v>
      </c>
      <c r="AG1643">
        <v>0</v>
      </c>
      <c r="AH1643">
        <v>0</v>
      </c>
      <c r="AI1643">
        <v>0</v>
      </c>
      <c r="AJ1643">
        <v>179</v>
      </c>
      <c r="AK1643">
        <v>0</v>
      </c>
      <c r="AL1643" t="s">
        <v>53</v>
      </c>
      <c r="AM1643" t="s">
        <v>53</v>
      </c>
      <c r="AN1643" t="s">
        <v>112</v>
      </c>
      <c r="AO1643" t="s">
        <v>53</v>
      </c>
      <c r="AP1643" t="s">
        <v>53</v>
      </c>
    </row>
    <row r="1644" spans="2:42" x14ac:dyDescent="0.2">
      <c r="B1644" t="s">
        <v>44</v>
      </c>
      <c r="C1644" t="str">
        <f>HYPERLINK("https://us2.cloudbeds.com/connect/8493803454333002#/reservations/597581598940?display=E0NJKTC6&amp;reservation_id=597581598940", "E0NJKTC6")</f>
        <v>E0NJKTC6</v>
      </c>
      <c r="D1644" t="s">
        <v>45</v>
      </c>
      <c r="E1644" t="s">
        <v>121</v>
      </c>
      <c r="F1644" t="s">
        <v>86</v>
      </c>
      <c r="G1644" t="s">
        <v>48</v>
      </c>
      <c r="H1644" t="s">
        <v>71</v>
      </c>
      <c r="I1644" t="s">
        <v>72</v>
      </c>
      <c r="J1644" t="s">
        <v>196</v>
      </c>
      <c r="K1644" t="s">
        <v>333</v>
      </c>
      <c r="L1644" t="s">
        <v>53</v>
      </c>
      <c r="N1644" t="s">
        <v>2770</v>
      </c>
      <c r="P1644" t="s">
        <v>55</v>
      </c>
      <c r="R1644" t="s">
        <v>56</v>
      </c>
      <c r="T1644" t="s">
        <v>2758</v>
      </c>
      <c r="U1644" t="s">
        <v>58</v>
      </c>
      <c r="V1644">
        <v>1</v>
      </c>
      <c r="W1644">
        <v>1</v>
      </c>
      <c r="X1644">
        <v>1</v>
      </c>
      <c r="Y1644">
        <v>0</v>
      </c>
      <c r="Z1644">
        <v>1</v>
      </c>
      <c r="AA1644">
        <v>0</v>
      </c>
      <c r="AB1644">
        <v>125.02</v>
      </c>
      <c r="AC1644">
        <v>110</v>
      </c>
      <c r="AD1644">
        <v>0</v>
      </c>
      <c r="AE1644">
        <v>15.02</v>
      </c>
      <c r="AF1644">
        <v>0</v>
      </c>
      <c r="AG1644">
        <v>0</v>
      </c>
      <c r="AH1644">
        <v>0</v>
      </c>
      <c r="AI1644">
        <v>0</v>
      </c>
      <c r="AJ1644">
        <v>125.02</v>
      </c>
      <c r="AK1644">
        <v>0</v>
      </c>
      <c r="AL1644" t="s">
        <v>53</v>
      </c>
      <c r="AM1644" t="s">
        <v>53</v>
      </c>
      <c r="AN1644" t="s">
        <v>2771</v>
      </c>
      <c r="AO1644" t="s">
        <v>53</v>
      </c>
      <c r="AP1644" t="s">
        <v>53</v>
      </c>
    </row>
    <row r="1645" spans="2:42" x14ac:dyDescent="0.2">
      <c r="B1645" t="s">
        <v>44</v>
      </c>
      <c r="C1645" t="str">
        <f>HYPERLINK("https://us2.cloudbeds.com/connect/8493803454333002#/reservations/598009934038?display=E11HQV6Y&amp;reservation_id=598009934038", "E11HQV6Y")</f>
        <v>E11HQV6Y</v>
      </c>
      <c r="D1645" t="s">
        <v>45</v>
      </c>
      <c r="E1645" t="s">
        <v>85</v>
      </c>
      <c r="F1645" t="s">
        <v>86</v>
      </c>
      <c r="G1645" t="s">
        <v>48</v>
      </c>
      <c r="H1645" t="s">
        <v>71</v>
      </c>
      <c r="I1645" t="s">
        <v>72</v>
      </c>
      <c r="J1645" t="s">
        <v>295</v>
      </c>
      <c r="K1645" t="s">
        <v>292</v>
      </c>
      <c r="L1645" t="s">
        <v>53</v>
      </c>
      <c r="N1645" t="s">
        <v>2772</v>
      </c>
      <c r="P1645" t="s">
        <v>55</v>
      </c>
      <c r="R1645" t="s">
        <v>56</v>
      </c>
      <c r="T1645" t="s">
        <v>2773</v>
      </c>
      <c r="U1645" t="s">
        <v>58</v>
      </c>
      <c r="V1645">
        <v>1</v>
      </c>
      <c r="W1645">
        <v>1</v>
      </c>
      <c r="X1645">
        <v>1</v>
      </c>
      <c r="Y1645">
        <v>0</v>
      </c>
      <c r="Z1645">
        <v>1</v>
      </c>
      <c r="AA1645">
        <v>0</v>
      </c>
      <c r="AB1645">
        <v>165.93</v>
      </c>
      <c r="AC1645">
        <v>146</v>
      </c>
      <c r="AD1645">
        <v>0</v>
      </c>
      <c r="AE1645">
        <v>19.93</v>
      </c>
      <c r="AF1645">
        <v>0</v>
      </c>
      <c r="AG1645">
        <v>0</v>
      </c>
      <c r="AH1645">
        <v>0</v>
      </c>
      <c r="AI1645">
        <v>0</v>
      </c>
      <c r="AJ1645">
        <v>165.93</v>
      </c>
      <c r="AK1645">
        <v>0</v>
      </c>
      <c r="AL1645" t="s">
        <v>53</v>
      </c>
      <c r="AM1645" t="s">
        <v>53</v>
      </c>
      <c r="AN1645" t="s">
        <v>2774</v>
      </c>
      <c r="AO1645" t="s">
        <v>53</v>
      </c>
      <c r="AP1645" t="s">
        <v>53</v>
      </c>
    </row>
    <row r="1646" spans="2:42" x14ac:dyDescent="0.2">
      <c r="B1646" t="s">
        <v>44</v>
      </c>
      <c r="C1646" t="str">
        <f>HYPERLINK("https://us2.cloudbeds.com/connect/8493803454333002#/reservations/598299816091?display=E18V8B89&amp;reservation_id=598299816091", "E18V8B89")</f>
        <v>E18V8B89</v>
      </c>
      <c r="D1646" t="s">
        <v>45</v>
      </c>
      <c r="E1646" t="s">
        <v>487</v>
      </c>
      <c r="F1646" t="s">
        <v>61</v>
      </c>
      <c r="G1646" t="s">
        <v>48</v>
      </c>
      <c r="H1646" t="s">
        <v>49</v>
      </c>
      <c r="I1646" t="s">
        <v>50</v>
      </c>
      <c r="J1646" t="s">
        <v>333</v>
      </c>
      <c r="K1646" t="s">
        <v>334</v>
      </c>
      <c r="L1646" t="s">
        <v>53</v>
      </c>
      <c r="N1646" t="s">
        <v>2775</v>
      </c>
      <c r="P1646" t="s">
        <v>55</v>
      </c>
      <c r="R1646" t="s">
        <v>56</v>
      </c>
      <c r="T1646" t="s">
        <v>2773</v>
      </c>
      <c r="U1646" t="s">
        <v>58</v>
      </c>
      <c r="V1646">
        <v>1</v>
      </c>
      <c r="W1646">
        <v>1</v>
      </c>
      <c r="X1646">
        <v>1</v>
      </c>
      <c r="Y1646">
        <v>0</v>
      </c>
      <c r="Z1646">
        <v>1</v>
      </c>
      <c r="AA1646">
        <v>0</v>
      </c>
      <c r="AB1646">
        <v>122.74</v>
      </c>
      <c r="AC1646">
        <v>108</v>
      </c>
      <c r="AD1646">
        <v>0</v>
      </c>
      <c r="AE1646">
        <v>14.74</v>
      </c>
      <c r="AF1646">
        <v>0</v>
      </c>
      <c r="AG1646">
        <v>0</v>
      </c>
      <c r="AH1646">
        <v>0</v>
      </c>
      <c r="AI1646">
        <v>22.09</v>
      </c>
      <c r="AJ1646">
        <v>122.74</v>
      </c>
      <c r="AK1646">
        <v>0</v>
      </c>
      <c r="AL1646" t="s">
        <v>53</v>
      </c>
      <c r="AM1646" t="s">
        <v>53</v>
      </c>
      <c r="AN1646" t="s">
        <v>91</v>
      </c>
      <c r="AO1646" t="s">
        <v>53</v>
      </c>
      <c r="AP1646" t="s">
        <v>53</v>
      </c>
    </row>
    <row r="1647" spans="2:42" x14ac:dyDescent="0.2">
      <c r="B1647" t="s">
        <v>44</v>
      </c>
      <c r="C1647" t="str">
        <f>HYPERLINK("https://us2.cloudbeds.com/connect/8493803454333002#/reservations/597918740734?display=E0W6UBQ6&amp;reservation_id=597918740734", "E0W6UBQ6")</f>
        <v>E0W6UBQ6</v>
      </c>
      <c r="D1647" t="s">
        <v>45</v>
      </c>
      <c r="E1647" t="s">
        <v>78</v>
      </c>
      <c r="F1647" t="s">
        <v>61</v>
      </c>
      <c r="G1647" t="s">
        <v>48</v>
      </c>
      <c r="H1647" t="s">
        <v>49</v>
      </c>
      <c r="I1647" t="s">
        <v>114</v>
      </c>
      <c r="J1647" t="s">
        <v>334</v>
      </c>
      <c r="K1647" t="s">
        <v>259</v>
      </c>
      <c r="L1647" t="s">
        <v>53</v>
      </c>
      <c r="N1647" t="s">
        <v>2776</v>
      </c>
      <c r="P1647" t="s">
        <v>55</v>
      </c>
      <c r="R1647" t="s">
        <v>56</v>
      </c>
      <c r="T1647" t="s">
        <v>2773</v>
      </c>
      <c r="U1647" t="s">
        <v>58</v>
      </c>
      <c r="V1647">
        <v>2</v>
      </c>
      <c r="W1647">
        <v>1</v>
      </c>
      <c r="X1647">
        <v>1</v>
      </c>
      <c r="Y1647">
        <v>0</v>
      </c>
      <c r="Z1647">
        <v>1</v>
      </c>
      <c r="AA1647">
        <v>0</v>
      </c>
      <c r="AB1647">
        <v>286.39999999999998</v>
      </c>
      <c r="AC1647">
        <v>252</v>
      </c>
      <c r="AD1647">
        <v>0</v>
      </c>
      <c r="AE1647">
        <v>34.4</v>
      </c>
      <c r="AF1647">
        <v>0</v>
      </c>
      <c r="AG1647">
        <v>0</v>
      </c>
      <c r="AH1647">
        <v>0</v>
      </c>
      <c r="AI1647">
        <v>0</v>
      </c>
      <c r="AJ1647">
        <v>286.39999999999998</v>
      </c>
      <c r="AK1647">
        <v>0</v>
      </c>
      <c r="AL1647" t="s">
        <v>53</v>
      </c>
      <c r="AM1647" t="s">
        <v>53</v>
      </c>
      <c r="AN1647" t="s">
        <v>2777</v>
      </c>
      <c r="AO1647" t="s">
        <v>53</v>
      </c>
      <c r="AP1647" t="s">
        <v>53</v>
      </c>
    </row>
    <row r="1648" spans="2:42" x14ac:dyDescent="0.2">
      <c r="B1648" t="s">
        <v>44</v>
      </c>
      <c r="C1648" t="str">
        <f>HYPERLINK("https://us2.cloudbeds.com/connect/8493803454333002#/reservations/598291861658?display=E18ZHWTS&amp;reservation_id=598291861658", "E18ZHWTS")</f>
        <v>E18ZHWTS</v>
      </c>
      <c r="D1648" t="s">
        <v>45</v>
      </c>
      <c r="E1648" t="s">
        <v>105</v>
      </c>
      <c r="F1648" t="s">
        <v>47</v>
      </c>
      <c r="G1648" t="s">
        <v>48</v>
      </c>
      <c r="H1648" t="s">
        <v>49</v>
      </c>
      <c r="I1648" t="s">
        <v>79</v>
      </c>
      <c r="J1648" t="s">
        <v>333</v>
      </c>
      <c r="K1648" t="s">
        <v>538</v>
      </c>
      <c r="L1648" t="s">
        <v>53</v>
      </c>
      <c r="N1648" t="s">
        <v>2778</v>
      </c>
      <c r="P1648" t="s">
        <v>55</v>
      </c>
      <c r="R1648" t="s">
        <v>56</v>
      </c>
      <c r="T1648" t="s">
        <v>2773</v>
      </c>
      <c r="U1648" t="s">
        <v>58</v>
      </c>
      <c r="V1648">
        <v>2</v>
      </c>
      <c r="W1648">
        <v>1</v>
      </c>
      <c r="X1648">
        <v>1</v>
      </c>
      <c r="Y1648">
        <v>0</v>
      </c>
      <c r="Z1648">
        <v>1</v>
      </c>
      <c r="AA1648">
        <v>0</v>
      </c>
      <c r="AB1648">
        <v>231.16</v>
      </c>
      <c r="AC1648">
        <v>203.4</v>
      </c>
      <c r="AD1648">
        <v>0</v>
      </c>
      <c r="AE1648">
        <v>27.76</v>
      </c>
      <c r="AF1648">
        <v>0</v>
      </c>
      <c r="AG1648">
        <v>0</v>
      </c>
      <c r="AH1648">
        <v>0</v>
      </c>
      <c r="AI1648">
        <v>0</v>
      </c>
      <c r="AJ1648">
        <v>231.16</v>
      </c>
      <c r="AK1648">
        <v>0</v>
      </c>
      <c r="AL1648" t="s">
        <v>53</v>
      </c>
      <c r="AM1648" t="s">
        <v>53</v>
      </c>
      <c r="AN1648" t="s">
        <v>127</v>
      </c>
      <c r="AO1648" t="s">
        <v>53</v>
      </c>
      <c r="AP1648" t="s">
        <v>53</v>
      </c>
    </row>
    <row r="1649" spans="2:42" x14ac:dyDescent="0.2">
      <c r="B1649" t="s">
        <v>44</v>
      </c>
      <c r="C1649" t="str">
        <f>HYPERLINK("https://us2.cloudbeds.com/connect/8493803454333002#/reservations/598529814738?display=E1ER6CV7&amp;reservation_id=598529814738", "E1ER6CV7")</f>
        <v>E1ER6CV7</v>
      </c>
      <c r="D1649" t="s">
        <v>45</v>
      </c>
      <c r="E1649" t="s">
        <v>406</v>
      </c>
      <c r="F1649" t="s">
        <v>61</v>
      </c>
      <c r="G1649" t="s">
        <v>48</v>
      </c>
      <c r="H1649" t="s">
        <v>49</v>
      </c>
      <c r="I1649" t="s">
        <v>79</v>
      </c>
      <c r="J1649" t="s">
        <v>333</v>
      </c>
      <c r="K1649" t="s">
        <v>334</v>
      </c>
      <c r="L1649" t="s">
        <v>53</v>
      </c>
      <c r="N1649" t="s">
        <v>2779</v>
      </c>
      <c r="P1649" t="s">
        <v>55</v>
      </c>
      <c r="R1649" t="s">
        <v>56</v>
      </c>
      <c r="T1649" t="s">
        <v>2773</v>
      </c>
      <c r="U1649" t="s">
        <v>58</v>
      </c>
      <c r="V1649">
        <v>1</v>
      </c>
      <c r="W1649">
        <v>1</v>
      </c>
      <c r="X1649">
        <v>1</v>
      </c>
      <c r="Y1649">
        <v>0</v>
      </c>
      <c r="Z1649">
        <v>1</v>
      </c>
      <c r="AA1649">
        <v>0</v>
      </c>
      <c r="AB1649">
        <v>122.74</v>
      </c>
      <c r="AC1649">
        <v>108</v>
      </c>
      <c r="AD1649">
        <v>0</v>
      </c>
      <c r="AE1649">
        <v>14.74</v>
      </c>
      <c r="AF1649">
        <v>0</v>
      </c>
      <c r="AG1649">
        <v>0</v>
      </c>
      <c r="AH1649">
        <v>0</v>
      </c>
      <c r="AI1649">
        <v>0</v>
      </c>
      <c r="AJ1649">
        <v>122.74</v>
      </c>
      <c r="AK1649">
        <v>0</v>
      </c>
      <c r="AL1649" t="s">
        <v>53</v>
      </c>
      <c r="AM1649" t="s">
        <v>53</v>
      </c>
      <c r="AN1649" t="s">
        <v>104</v>
      </c>
      <c r="AO1649" t="s">
        <v>53</v>
      </c>
      <c r="AP1649" t="s">
        <v>53</v>
      </c>
    </row>
    <row r="1650" spans="2:42" x14ac:dyDescent="0.2">
      <c r="B1650" t="s">
        <v>44</v>
      </c>
      <c r="C1650" t="str">
        <f>HYPERLINK("https://us2.cloudbeds.com/connect/8493803454333002#/reservations/598584660201?display=E1G7EX2V&amp;reservation_id=598584660201", "E1G7EX2V")</f>
        <v>E1G7EX2V</v>
      </c>
      <c r="D1650" t="s">
        <v>45</v>
      </c>
      <c r="E1650" t="s">
        <v>305</v>
      </c>
      <c r="F1650" t="s">
        <v>61</v>
      </c>
      <c r="G1650" t="s">
        <v>48</v>
      </c>
      <c r="H1650" t="s">
        <v>49</v>
      </c>
      <c r="I1650" t="s">
        <v>79</v>
      </c>
      <c r="J1650" t="s">
        <v>333</v>
      </c>
      <c r="K1650" t="s">
        <v>334</v>
      </c>
      <c r="L1650" t="s">
        <v>53</v>
      </c>
      <c r="N1650" t="s">
        <v>2780</v>
      </c>
      <c r="P1650" t="s">
        <v>55</v>
      </c>
      <c r="R1650" t="s">
        <v>56</v>
      </c>
      <c r="T1650" t="s">
        <v>2773</v>
      </c>
      <c r="U1650" t="s">
        <v>58</v>
      </c>
      <c r="V1650">
        <v>1</v>
      </c>
      <c r="W1650">
        <v>1</v>
      </c>
      <c r="X1650">
        <v>1</v>
      </c>
      <c r="Y1650">
        <v>0</v>
      </c>
      <c r="Z1650">
        <v>1</v>
      </c>
      <c r="AA1650">
        <v>0</v>
      </c>
      <c r="AB1650">
        <v>122.74</v>
      </c>
      <c r="AC1650">
        <v>108</v>
      </c>
      <c r="AD1650">
        <v>0</v>
      </c>
      <c r="AE1650">
        <v>14.74</v>
      </c>
      <c r="AF1650">
        <v>0</v>
      </c>
      <c r="AG1650">
        <v>0</v>
      </c>
      <c r="AH1650">
        <v>0</v>
      </c>
      <c r="AI1650">
        <v>0</v>
      </c>
      <c r="AJ1650">
        <v>122.74</v>
      </c>
      <c r="AK1650">
        <v>0</v>
      </c>
      <c r="AL1650" t="s">
        <v>53</v>
      </c>
      <c r="AM1650" t="s">
        <v>53</v>
      </c>
      <c r="AN1650" t="s">
        <v>91</v>
      </c>
      <c r="AO1650" t="s">
        <v>53</v>
      </c>
      <c r="AP1650" t="s">
        <v>53</v>
      </c>
    </row>
    <row r="1651" spans="2:42" x14ac:dyDescent="0.2">
      <c r="B1651" t="s">
        <v>44</v>
      </c>
      <c r="C1651" t="str">
        <f>HYPERLINK("https://us2.cloudbeds.com/connect/8493803454333002#/reservations/598196723853?display=E16AAHKZ&amp;reservation_id=598196723853", "E16AAHKZ")</f>
        <v>E16AAHKZ</v>
      </c>
      <c r="D1651" t="s">
        <v>45</v>
      </c>
      <c r="E1651" t="s">
        <v>113</v>
      </c>
      <c r="F1651" t="s">
        <v>61</v>
      </c>
      <c r="G1651" t="s">
        <v>48</v>
      </c>
      <c r="H1651" t="s">
        <v>49</v>
      </c>
      <c r="I1651" t="s">
        <v>79</v>
      </c>
      <c r="J1651" t="s">
        <v>214</v>
      </c>
      <c r="K1651" t="s">
        <v>446</v>
      </c>
      <c r="L1651" t="s">
        <v>53</v>
      </c>
      <c r="N1651" t="s">
        <v>2781</v>
      </c>
      <c r="P1651" t="s">
        <v>55</v>
      </c>
      <c r="R1651" t="s">
        <v>56</v>
      </c>
      <c r="T1651" t="s">
        <v>2773</v>
      </c>
      <c r="U1651" t="s">
        <v>58</v>
      </c>
      <c r="V1651">
        <v>2</v>
      </c>
      <c r="W1651">
        <v>1</v>
      </c>
      <c r="X1651">
        <v>1</v>
      </c>
      <c r="Y1651">
        <v>0</v>
      </c>
      <c r="Z1651">
        <v>1</v>
      </c>
      <c r="AA1651">
        <v>0</v>
      </c>
      <c r="AB1651">
        <v>337.54</v>
      </c>
      <c r="AC1651">
        <v>297</v>
      </c>
      <c r="AD1651">
        <v>0</v>
      </c>
      <c r="AE1651">
        <v>40.56</v>
      </c>
      <c r="AF1651">
        <v>0</v>
      </c>
      <c r="AG1651">
        <v>0</v>
      </c>
      <c r="AH1651">
        <v>0</v>
      </c>
      <c r="AI1651">
        <v>0</v>
      </c>
      <c r="AJ1651">
        <v>337.56</v>
      </c>
      <c r="AK1651">
        <v>0.02</v>
      </c>
      <c r="AL1651" t="s">
        <v>53</v>
      </c>
      <c r="AM1651" t="s">
        <v>53</v>
      </c>
      <c r="AN1651" t="s">
        <v>97</v>
      </c>
      <c r="AO1651" t="s">
        <v>53</v>
      </c>
      <c r="AP1651" t="s">
        <v>53</v>
      </c>
    </row>
    <row r="1652" spans="2:42" x14ac:dyDescent="0.2">
      <c r="B1652" t="s">
        <v>44</v>
      </c>
      <c r="C1652" t="str">
        <f>HYPERLINK("https://us2.cloudbeds.com/connect/8493803454333002#/reservations/598204379275?display=E16GPM4H&amp;reservation_id=598204379275", "E16GPM4H")</f>
        <v>E16GPM4H</v>
      </c>
      <c r="D1652" t="s">
        <v>45</v>
      </c>
      <c r="E1652" t="s">
        <v>78</v>
      </c>
      <c r="F1652" t="s">
        <v>61</v>
      </c>
      <c r="G1652" t="s">
        <v>48</v>
      </c>
      <c r="H1652" t="s">
        <v>49</v>
      </c>
      <c r="I1652" t="s">
        <v>62</v>
      </c>
      <c r="J1652" t="s">
        <v>333</v>
      </c>
      <c r="K1652" t="s">
        <v>334</v>
      </c>
      <c r="L1652" t="s">
        <v>53</v>
      </c>
      <c r="N1652" t="s">
        <v>2782</v>
      </c>
      <c r="P1652" t="s">
        <v>55</v>
      </c>
      <c r="R1652" t="s">
        <v>56</v>
      </c>
      <c r="T1652" t="s">
        <v>2773</v>
      </c>
      <c r="U1652" t="s">
        <v>58</v>
      </c>
      <c r="V1652">
        <v>1</v>
      </c>
      <c r="W1652">
        <v>1</v>
      </c>
      <c r="X1652">
        <v>1</v>
      </c>
      <c r="Y1652">
        <v>0</v>
      </c>
      <c r="Z1652">
        <v>1</v>
      </c>
      <c r="AA1652">
        <v>0</v>
      </c>
      <c r="AB1652">
        <v>136.38</v>
      </c>
      <c r="AC1652">
        <v>120</v>
      </c>
      <c r="AD1652">
        <v>0</v>
      </c>
      <c r="AE1652">
        <v>16.38</v>
      </c>
      <c r="AF1652">
        <v>0</v>
      </c>
      <c r="AG1652">
        <v>0</v>
      </c>
      <c r="AH1652">
        <v>0</v>
      </c>
      <c r="AI1652">
        <v>20.46</v>
      </c>
      <c r="AJ1652">
        <v>136.38</v>
      </c>
      <c r="AK1652">
        <v>0</v>
      </c>
      <c r="AL1652" t="s">
        <v>53</v>
      </c>
      <c r="AM1652" t="s">
        <v>53</v>
      </c>
      <c r="AN1652" t="s">
        <v>137</v>
      </c>
      <c r="AO1652" t="s">
        <v>53</v>
      </c>
      <c r="AP1652" t="s">
        <v>53</v>
      </c>
    </row>
    <row r="1653" spans="2:42" x14ac:dyDescent="0.2">
      <c r="B1653" t="s">
        <v>44</v>
      </c>
      <c r="C1653" t="str">
        <f>HYPERLINK("https://us2.cloudbeds.com/connect/8493803454333002#/reservations/598508871935?display=E1E9HKNN&amp;reservation_id=598508871935", "E1E9HKNN")</f>
        <v>E1E9HKNN</v>
      </c>
      <c r="D1653" t="s">
        <v>45</v>
      </c>
      <c r="E1653" t="s">
        <v>110</v>
      </c>
      <c r="F1653" t="s">
        <v>47</v>
      </c>
      <c r="G1653" t="s">
        <v>48</v>
      </c>
      <c r="H1653" t="s">
        <v>49</v>
      </c>
      <c r="I1653" t="s">
        <v>50</v>
      </c>
      <c r="J1653" t="s">
        <v>334</v>
      </c>
      <c r="K1653" t="s">
        <v>538</v>
      </c>
      <c r="L1653" t="s">
        <v>53</v>
      </c>
      <c r="N1653" t="s">
        <v>2783</v>
      </c>
      <c r="P1653" t="s">
        <v>58</v>
      </c>
      <c r="R1653" t="s">
        <v>56</v>
      </c>
      <c r="T1653" t="s">
        <v>2773</v>
      </c>
      <c r="U1653" t="s">
        <v>58</v>
      </c>
      <c r="V1653">
        <v>1</v>
      </c>
      <c r="W1653">
        <v>1</v>
      </c>
      <c r="X1653">
        <v>1</v>
      </c>
      <c r="Y1653">
        <v>0</v>
      </c>
      <c r="Z1653">
        <v>1</v>
      </c>
      <c r="AA1653">
        <v>0</v>
      </c>
      <c r="AB1653">
        <v>120.7</v>
      </c>
      <c r="AC1653">
        <v>106.2</v>
      </c>
      <c r="AD1653">
        <v>0</v>
      </c>
      <c r="AE1653">
        <v>14.5</v>
      </c>
      <c r="AF1653">
        <v>0</v>
      </c>
      <c r="AG1653">
        <v>0</v>
      </c>
      <c r="AH1653">
        <v>0</v>
      </c>
      <c r="AI1653">
        <v>21.73</v>
      </c>
      <c r="AJ1653">
        <v>120.7</v>
      </c>
      <c r="AK1653">
        <v>0</v>
      </c>
      <c r="AL1653" t="s">
        <v>53</v>
      </c>
      <c r="AM1653" t="s">
        <v>53</v>
      </c>
      <c r="AN1653" t="s">
        <v>332</v>
      </c>
      <c r="AO1653" t="s">
        <v>53</v>
      </c>
      <c r="AP1653" t="s">
        <v>53</v>
      </c>
    </row>
    <row r="1654" spans="2:42" x14ac:dyDescent="0.2">
      <c r="B1654" t="s">
        <v>44</v>
      </c>
      <c r="C1654" t="str">
        <f>HYPERLINK("https://us2.cloudbeds.com/connect/8493803454333002#/reservations/598410428664?display=E1BPH9SE&amp;reservation_id=598410428664", "E1BPH9SE")</f>
        <v>E1BPH9SE</v>
      </c>
      <c r="D1654" t="s">
        <v>45</v>
      </c>
      <c r="E1654" t="s">
        <v>92</v>
      </c>
      <c r="F1654" t="s">
        <v>86</v>
      </c>
      <c r="G1654" t="s">
        <v>48</v>
      </c>
      <c r="H1654" t="s">
        <v>49</v>
      </c>
      <c r="I1654" t="s">
        <v>79</v>
      </c>
      <c r="J1654" t="s">
        <v>988</v>
      </c>
      <c r="K1654" t="s">
        <v>1439</v>
      </c>
      <c r="L1654" t="s">
        <v>53</v>
      </c>
      <c r="N1654" t="s">
        <v>2784</v>
      </c>
      <c r="P1654" t="s">
        <v>55</v>
      </c>
      <c r="R1654" t="s">
        <v>56</v>
      </c>
      <c r="T1654" t="s">
        <v>2773</v>
      </c>
      <c r="U1654" t="s">
        <v>58</v>
      </c>
      <c r="V1654">
        <v>1</v>
      </c>
      <c r="W1654">
        <v>1</v>
      </c>
      <c r="X1654">
        <v>1</v>
      </c>
      <c r="Y1654">
        <v>0</v>
      </c>
      <c r="Z1654">
        <v>1</v>
      </c>
      <c r="AA1654">
        <v>0</v>
      </c>
      <c r="AB1654">
        <v>196.05</v>
      </c>
      <c r="AC1654">
        <v>172.5</v>
      </c>
      <c r="AD1654">
        <v>0</v>
      </c>
      <c r="AE1654">
        <v>23.55</v>
      </c>
      <c r="AF1654">
        <v>0</v>
      </c>
      <c r="AG1654">
        <v>0</v>
      </c>
      <c r="AH1654">
        <v>0</v>
      </c>
      <c r="AI1654">
        <v>0</v>
      </c>
      <c r="AJ1654">
        <v>196.05</v>
      </c>
      <c r="AK1654">
        <v>0</v>
      </c>
      <c r="AL1654" t="s">
        <v>53</v>
      </c>
      <c r="AM1654" t="s">
        <v>53</v>
      </c>
      <c r="AN1654" t="s">
        <v>68</v>
      </c>
      <c r="AO1654" t="s">
        <v>53</v>
      </c>
      <c r="AP1654" t="s">
        <v>53</v>
      </c>
    </row>
    <row r="1655" spans="2:42" x14ac:dyDescent="0.2">
      <c r="B1655" t="s">
        <v>44</v>
      </c>
      <c r="C1655" t="str">
        <f>HYPERLINK("https://us2.cloudbeds.com/connect/8493803454333002#/reservations/598242963640?display=E17GAB4Z&amp;reservation_id=598242963640", "E17GAB4Z")</f>
        <v>E17GAB4Z</v>
      </c>
      <c r="D1655" t="s">
        <v>45</v>
      </c>
      <c r="E1655" t="s">
        <v>179</v>
      </c>
      <c r="F1655" t="s">
        <v>47</v>
      </c>
      <c r="G1655" t="s">
        <v>48</v>
      </c>
      <c r="H1655" t="s">
        <v>49</v>
      </c>
      <c r="I1655" t="s">
        <v>79</v>
      </c>
      <c r="J1655" t="s">
        <v>259</v>
      </c>
      <c r="K1655" t="s">
        <v>295</v>
      </c>
      <c r="L1655" t="s">
        <v>53</v>
      </c>
      <c r="N1655" t="s">
        <v>2785</v>
      </c>
      <c r="P1655" t="s">
        <v>55</v>
      </c>
      <c r="R1655" t="s">
        <v>56</v>
      </c>
      <c r="T1655" t="s">
        <v>2786</v>
      </c>
      <c r="U1655" t="s">
        <v>58</v>
      </c>
      <c r="V1655">
        <v>1</v>
      </c>
      <c r="W1655">
        <v>1</v>
      </c>
      <c r="X1655">
        <v>1</v>
      </c>
      <c r="Y1655">
        <v>0</v>
      </c>
      <c r="Z1655">
        <v>1</v>
      </c>
      <c r="AA1655">
        <v>0</v>
      </c>
      <c r="AB1655">
        <v>117.63</v>
      </c>
      <c r="AC1655">
        <v>103.5</v>
      </c>
      <c r="AD1655">
        <v>0</v>
      </c>
      <c r="AE1655">
        <v>14.12</v>
      </c>
      <c r="AF1655">
        <v>0</v>
      </c>
      <c r="AG1655">
        <v>0</v>
      </c>
      <c r="AH1655">
        <v>0</v>
      </c>
      <c r="AI1655">
        <v>0</v>
      </c>
      <c r="AJ1655">
        <v>117.62</v>
      </c>
      <c r="AK1655">
        <v>-0.01</v>
      </c>
      <c r="AL1655" t="s">
        <v>53</v>
      </c>
      <c r="AM1655" t="s">
        <v>53</v>
      </c>
      <c r="AN1655" t="s">
        <v>159</v>
      </c>
      <c r="AO1655" t="s">
        <v>53</v>
      </c>
      <c r="AP1655" t="s">
        <v>53</v>
      </c>
    </row>
    <row r="1656" spans="2:42" x14ac:dyDescent="0.2">
      <c r="B1656" t="s">
        <v>44</v>
      </c>
      <c r="C1656" t="str">
        <f>HYPERLINK("https://us2.cloudbeds.com/connect/8493803454333002#/reservations/598419607776?display=E1C08NQA&amp;reservation_id=598419607776", "E1C08NQA")</f>
        <v>E1C08NQA</v>
      </c>
      <c r="D1656" t="s">
        <v>45</v>
      </c>
      <c r="E1656" t="s">
        <v>185</v>
      </c>
      <c r="F1656" t="s">
        <v>47</v>
      </c>
      <c r="G1656" t="s">
        <v>48</v>
      </c>
      <c r="H1656" t="s">
        <v>49</v>
      </c>
      <c r="I1656" t="s">
        <v>50</v>
      </c>
      <c r="J1656" t="s">
        <v>295</v>
      </c>
      <c r="K1656" t="s">
        <v>292</v>
      </c>
      <c r="L1656" t="s">
        <v>53</v>
      </c>
      <c r="N1656" t="s">
        <v>2787</v>
      </c>
      <c r="P1656" t="s">
        <v>55</v>
      </c>
      <c r="R1656" t="s">
        <v>56</v>
      </c>
      <c r="T1656" t="s">
        <v>2786</v>
      </c>
      <c r="U1656" t="s">
        <v>58</v>
      </c>
      <c r="V1656">
        <v>1</v>
      </c>
      <c r="W1656">
        <v>1</v>
      </c>
      <c r="X1656">
        <v>1</v>
      </c>
      <c r="Y1656">
        <v>0</v>
      </c>
      <c r="Z1656">
        <v>1</v>
      </c>
      <c r="AA1656">
        <v>0</v>
      </c>
      <c r="AB1656">
        <v>117.63</v>
      </c>
      <c r="AC1656">
        <v>103.5</v>
      </c>
      <c r="AD1656">
        <v>0</v>
      </c>
      <c r="AE1656">
        <v>14.12</v>
      </c>
      <c r="AF1656">
        <v>0</v>
      </c>
      <c r="AG1656">
        <v>0</v>
      </c>
      <c r="AH1656">
        <v>0</v>
      </c>
      <c r="AI1656">
        <v>21.17</v>
      </c>
      <c r="AJ1656">
        <v>117.62</v>
      </c>
      <c r="AK1656">
        <v>-0.01</v>
      </c>
      <c r="AL1656" t="s">
        <v>53</v>
      </c>
      <c r="AM1656" t="s">
        <v>53</v>
      </c>
      <c r="AN1656" t="s">
        <v>97</v>
      </c>
      <c r="AO1656" t="s">
        <v>53</v>
      </c>
      <c r="AP1656" t="s">
        <v>53</v>
      </c>
    </row>
    <row r="1657" spans="2:42" x14ac:dyDescent="0.2">
      <c r="B1657" t="s">
        <v>44</v>
      </c>
      <c r="C1657" t="str">
        <f>HYPERLINK("https://us2.cloudbeds.com/connect/8493803454333002#/reservations/598266720430?display=E183BDCF&amp;reservation_id=598266720430", "E183BDCF")</f>
        <v>E183BDCF</v>
      </c>
      <c r="D1657" t="s">
        <v>45</v>
      </c>
      <c r="E1657" t="s">
        <v>165</v>
      </c>
      <c r="F1657" t="s">
        <v>61</v>
      </c>
      <c r="G1657" t="s">
        <v>48</v>
      </c>
      <c r="H1657" t="s">
        <v>49</v>
      </c>
      <c r="I1657" t="s">
        <v>79</v>
      </c>
      <c r="J1657" t="s">
        <v>549</v>
      </c>
      <c r="K1657" t="s">
        <v>134</v>
      </c>
      <c r="L1657" t="s">
        <v>53</v>
      </c>
      <c r="N1657" t="s">
        <v>2788</v>
      </c>
      <c r="P1657" t="s">
        <v>55</v>
      </c>
      <c r="R1657" t="s">
        <v>56</v>
      </c>
      <c r="T1657" t="s">
        <v>2786</v>
      </c>
      <c r="U1657" t="s">
        <v>58</v>
      </c>
      <c r="V1657">
        <v>1</v>
      </c>
      <c r="W1657">
        <v>1</v>
      </c>
      <c r="X1657">
        <v>1</v>
      </c>
      <c r="Y1657">
        <v>0</v>
      </c>
      <c r="Z1657">
        <v>1</v>
      </c>
      <c r="AA1657">
        <v>0</v>
      </c>
      <c r="AB1657">
        <v>168.77</v>
      </c>
      <c r="AC1657">
        <v>148.5</v>
      </c>
      <c r="AD1657">
        <v>0</v>
      </c>
      <c r="AE1657">
        <v>20.28</v>
      </c>
      <c r="AF1657">
        <v>0</v>
      </c>
      <c r="AG1657">
        <v>0</v>
      </c>
      <c r="AH1657">
        <v>0</v>
      </c>
      <c r="AI1657">
        <v>0</v>
      </c>
      <c r="AJ1657">
        <v>168.78</v>
      </c>
      <c r="AK1657">
        <v>0.01</v>
      </c>
      <c r="AL1657" t="s">
        <v>53</v>
      </c>
      <c r="AM1657" t="s">
        <v>53</v>
      </c>
      <c r="AN1657" t="s">
        <v>97</v>
      </c>
      <c r="AO1657" t="s">
        <v>53</v>
      </c>
      <c r="AP1657" t="s">
        <v>53</v>
      </c>
    </row>
    <row r="1658" spans="2:42" x14ac:dyDescent="0.2">
      <c r="B1658" t="s">
        <v>44</v>
      </c>
      <c r="C1658" t="str">
        <f>HYPERLINK("https://us2.cloudbeds.com/connect/8493803454333002#/reservations/598450286749?display=E1CQ4DG6&amp;reservation_id=598450286749", "E1CQ4DG6")</f>
        <v>E1CQ4DG6</v>
      </c>
      <c r="D1658" t="s">
        <v>45</v>
      </c>
      <c r="E1658" t="s">
        <v>128</v>
      </c>
      <c r="F1658" t="s">
        <v>86</v>
      </c>
      <c r="G1658" t="s">
        <v>48</v>
      </c>
      <c r="H1658" t="s">
        <v>49</v>
      </c>
      <c r="I1658" t="s">
        <v>62</v>
      </c>
      <c r="J1658" t="s">
        <v>259</v>
      </c>
      <c r="K1658" t="s">
        <v>292</v>
      </c>
      <c r="L1658" t="s">
        <v>53</v>
      </c>
      <c r="N1658" t="s">
        <v>2789</v>
      </c>
      <c r="P1658" t="s">
        <v>55</v>
      </c>
      <c r="R1658" t="s">
        <v>56</v>
      </c>
      <c r="T1658" t="s">
        <v>2786</v>
      </c>
      <c r="U1658" t="s">
        <v>58</v>
      </c>
      <c r="V1658">
        <v>2</v>
      </c>
      <c r="W1658">
        <v>1</v>
      </c>
      <c r="X1658">
        <v>1</v>
      </c>
      <c r="Y1658">
        <v>0</v>
      </c>
      <c r="Z1658">
        <v>1</v>
      </c>
      <c r="AA1658">
        <v>0</v>
      </c>
      <c r="AB1658">
        <v>318.22000000000003</v>
      </c>
      <c r="AC1658">
        <v>280</v>
      </c>
      <c r="AD1658">
        <v>0</v>
      </c>
      <c r="AE1658">
        <v>38.22</v>
      </c>
      <c r="AF1658">
        <v>0</v>
      </c>
      <c r="AG1658">
        <v>0</v>
      </c>
      <c r="AH1658">
        <v>0</v>
      </c>
      <c r="AI1658">
        <v>47.73</v>
      </c>
      <c r="AJ1658">
        <v>318.22000000000003</v>
      </c>
      <c r="AK1658">
        <v>0</v>
      </c>
      <c r="AL1658" t="s">
        <v>53</v>
      </c>
      <c r="AM1658" t="s">
        <v>53</v>
      </c>
      <c r="AN1658" t="s">
        <v>104</v>
      </c>
      <c r="AO1658" t="s">
        <v>53</v>
      </c>
      <c r="AP1658" t="s">
        <v>53</v>
      </c>
    </row>
    <row r="1659" spans="2:42" x14ac:dyDescent="0.2">
      <c r="B1659" t="s">
        <v>44</v>
      </c>
      <c r="C1659" t="str">
        <f>HYPERLINK("https://us2.cloudbeds.com/connect/8493803454333002#/reservations/579216978093?display=DJGB3815&amp;reservation_id=579216978093", "DJGB3815")</f>
        <v>DJGB3815</v>
      </c>
      <c r="D1659" t="s">
        <v>45</v>
      </c>
      <c r="E1659" t="s">
        <v>92</v>
      </c>
      <c r="F1659" t="s">
        <v>86</v>
      </c>
      <c r="G1659" t="s">
        <v>48</v>
      </c>
      <c r="H1659" t="s">
        <v>49</v>
      </c>
      <c r="I1659" t="s">
        <v>50</v>
      </c>
      <c r="J1659" t="s">
        <v>2643</v>
      </c>
      <c r="K1659" t="s">
        <v>2790</v>
      </c>
      <c r="L1659" t="s">
        <v>53</v>
      </c>
      <c r="N1659" t="s">
        <v>2791</v>
      </c>
      <c r="P1659" t="s">
        <v>55</v>
      </c>
      <c r="R1659" t="s">
        <v>56</v>
      </c>
      <c r="T1659" t="s">
        <v>2786</v>
      </c>
      <c r="U1659" t="s">
        <v>58</v>
      </c>
      <c r="V1659">
        <v>2</v>
      </c>
      <c r="W1659">
        <v>1</v>
      </c>
      <c r="X1659">
        <v>1</v>
      </c>
      <c r="Y1659">
        <v>0</v>
      </c>
      <c r="Z1659">
        <v>1</v>
      </c>
      <c r="AA1659">
        <v>0</v>
      </c>
      <c r="AB1659">
        <v>341.64</v>
      </c>
      <c r="AC1659">
        <v>300.60000000000002</v>
      </c>
      <c r="AD1659">
        <v>0</v>
      </c>
      <c r="AE1659">
        <v>41.04</v>
      </c>
      <c r="AF1659">
        <v>0</v>
      </c>
      <c r="AG1659">
        <v>0</v>
      </c>
      <c r="AH1659">
        <v>0</v>
      </c>
      <c r="AI1659">
        <v>61.5</v>
      </c>
      <c r="AJ1659">
        <v>341.64</v>
      </c>
      <c r="AK1659">
        <v>0</v>
      </c>
      <c r="AL1659" t="s">
        <v>53</v>
      </c>
      <c r="AM1659" t="s">
        <v>53</v>
      </c>
      <c r="AN1659" t="s">
        <v>159</v>
      </c>
      <c r="AO1659" t="s">
        <v>53</v>
      </c>
      <c r="AP1659" t="s">
        <v>53</v>
      </c>
    </row>
    <row r="1660" spans="2:42" x14ac:dyDescent="0.2">
      <c r="B1660" t="s">
        <v>44</v>
      </c>
      <c r="C1660" t="str">
        <f>HYPERLINK("https://us2.cloudbeds.com/connect/8493803454333002#/reservations/598437241067?display=E1CF4CWF&amp;reservation_id=598437241067", "E1CF4CWF")</f>
        <v>E1CF4CWF</v>
      </c>
      <c r="D1660" t="s">
        <v>45</v>
      </c>
      <c r="E1660" t="s">
        <v>138</v>
      </c>
      <c r="F1660" t="s">
        <v>70</v>
      </c>
      <c r="G1660" t="s">
        <v>48</v>
      </c>
      <c r="H1660" t="s">
        <v>49</v>
      </c>
      <c r="I1660" t="s">
        <v>79</v>
      </c>
      <c r="J1660" t="s">
        <v>1822</v>
      </c>
      <c r="K1660" t="s">
        <v>152</v>
      </c>
      <c r="L1660" t="s">
        <v>53</v>
      </c>
      <c r="N1660" t="s">
        <v>2792</v>
      </c>
      <c r="P1660" t="s">
        <v>55</v>
      </c>
      <c r="R1660" t="s">
        <v>56</v>
      </c>
      <c r="T1660" t="s">
        <v>2786</v>
      </c>
      <c r="U1660" t="s">
        <v>58</v>
      </c>
      <c r="V1660">
        <v>2</v>
      </c>
      <c r="W1660">
        <v>1</v>
      </c>
      <c r="X1660">
        <v>1</v>
      </c>
      <c r="Y1660">
        <v>0</v>
      </c>
      <c r="Z1660">
        <v>1</v>
      </c>
      <c r="AA1660">
        <v>0</v>
      </c>
      <c r="AB1660">
        <v>287.42</v>
      </c>
      <c r="AC1660">
        <v>252.9</v>
      </c>
      <c r="AD1660">
        <v>0</v>
      </c>
      <c r="AE1660">
        <v>34.54</v>
      </c>
      <c r="AF1660">
        <v>0</v>
      </c>
      <c r="AG1660">
        <v>0</v>
      </c>
      <c r="AH1660">
        <v>0</v>
      </c>
      <c r="AI1660">
        <v>0</v>
      </c>
      <c r="AJ1660">
        <v>287.44</v>
      </c>
      <c r="AK1660">
        <v>0.02</v>
      </c>
      <c r="AL1660" t="s">
        <v>53</v>
      </c>
      <c r="AM1660" t="s">
        <v>53</v>
      </c>
      <c r="AN1660" t="s">
        <v>332</v>
      </c>
      <c r="AO1660" t="s">
        <v>53</v>
      </c>
      <c r="AP1660" t="s">
        <v>53</v>
      </c>
    </row>
    <row r="1661" spans="2:42" x14ac:dyDescent="0.2">
      <c r="B1661" t="s">
        <v>44</v>
      </c>
      <c r="C1661" t="str">
        <f>HYPERLINK("https://us2.cloudbeds.com/connect/8493803454333002#/reservations/598435692766?display=E1CDRA79&amp;reservation_id=598435692766", "E1CDRA79")</f>
        <v>E1CDRA79</v>
      </c>
      <c r="D1661" t="s">
        <v>45</v>
      </c>
      <c r="E1661" t="s">
        <v>138</v>
      </c>
      <c r="F1661" t="s">
        <v>70</v>
      </c>
      <c r="G1661" t="s">
        <v>48</v>
      </c>
      <c r="H1661" t="s">
        <v>49</v>
      </c>
      <c r="I1661" t="s">
        <v>50</v>
      </c>
      <c r="J1661" t="s">
        <v>295</v>
      </c>
      <c r="K1661" t="s">
        <v>292</v>
      </c>
      <c r="L1661" t="s">
        <v>53</v>
      </c>
      <c r="N1661" t="s">
        <v>2793</v>
      </c>
      <c r="P1661" t="s">
        <v>55</v>
      </c>
      <c r="R1661" t="s">
        <v>56</v>
      </c>
      <c r="T1661" t="s">
        <v>2786</v>
      </c>
      <c r="U1661" t="s">
        <v>58</v>
      </c>
      <c r="V1661">
        <v>1</v>
      </c>
      <c r="W1661">
        <v>1</v>
      </c>
      <c r="X1661">
        <v>1</v>
      </c>
      <c r="Y1661">
        <v>0</v>
      </c>
      <c r="Z1661">
        <v>1</v>
      </c>
      <c r="AA1661">
        <v>0</v>
      </c>
      <c r="AB1661">
        <v>112.51</v>
      </c>
      <c r="AC1661">
        <v>99</v>
      </c>
      <c r="AD1661">
        <v>0</v>
      </c>
      <c r="AE1661">
        <v>13.52</v>
      </c>
      <c r="AF1661">
        <v>0</v>
      </c>
      <c r="AG1661">
        <v>0</v>
      </c>
      <c r="AH1661">
        <v>0</v>
      </c>
      <c r="AI1661">
        <v>20.25</v>
      </c>
      <c r="AJ1661">
        <v>112.52</v>
      </c>
      <c r="AK1661">
        <v>0.01</v>
      </c>
      <c r="AL1661" t="s">
        <v>53</v>
      </c>
      <c r="AM1661" t="s">
        <v>53</v>
      </c>
      <c r="AN1661" t="s">
        <v>332</v>
      </c>
      <c r="AO1661" t="s">
        <v>53</v>
      </c>
      <c r="AP1661" t="s">
        <v>53</v>
      </c>
    </row>
    <row r="1662" spans="2:42" x14ac:dyDescent="0.2">
      <c r="B1662" t="s">
        <v>44</v>
      </c>
      <c r="C1662" t="str">
        <f>HYPERLINK("https://us2.cloudbeds.com/connect/8493803454333002#/reservations/598497988764?display=E1E0BPWQ&amp;reservation_id=598497988764", "E1E0BPWQ")</f>
        <v>E1E0BPWQ</v>
      </c>
      <c r="D1662" t="s">
        <v>45</v>
      </c>
      <c r="E1662" t="s">
        <v>223</v>
      </c>
      <c r="F1662" t="s">
        <v>47</v>
      </c>
      <c r="G1662" t="s">
        <v>48</v>
      </c>
      <c r="H1662" t="s">
        <v>49</v>
      </c>
      <c r="I1662" t="s">
        <v>50</v>
      </c>
      <c r="J1662" t="s">
        <v>489</v>
      </c>
      <c r="K1662" t="s">
        <v>1568</v>
      </c>
      <c r="L1662" t="s">
        <v>53</v>
      </c>
      <c r="N1662" t="s">
        <v>2794</v>
      </c>
      <c r="P1662" t="s">
        <v>55</v>
      </c>
      <c r="R1662" t="s">
        <v>56</v>
      </c>
      <c r="T1662" t="s">
        <v>2786</v>
      </c>
      <c r="U1662" t="s">
        <v>58</v>
      </c>
      <c r="V1662">
        <v>1</v>
      </c>
      <c r="W1662">
        <v>1</v>
      </c>
      <c r="X1662">
        <v>1</v>
      </c>
      <c r="Y1662">
        <v>0</v>
      </c>
      <c r="Z1662">
        <v>1</v>
      </c>
      <c r="AA1662">
        <v>0</v>
      </c>
      <c r="AB1662">
        <v>153.43</v>
      </c>
      <c r="AC1662">
        <v>135</v>
      </c>
      <c r="AD1662">
        <v>0</v>
      </c>
      <c r="AE1662">
        <v>18.440000000000001</v>
      </c>
      <c r="AF1662">
        <v>0</v>
      </c>
      <c r="AG1662">
        <v>0</v>
      </c>
      <c r="AH1662">
        <v>0</v>
      </c>
      <c r="AI1662">
        <v>27.62</v>
      </c>
      <c r="AJ1662">
        <v>153.44</v>
      </c>
      <c r="AK1662">
        <v>0.01</v>
      </c>
      <c r="AL1662" t="s">
        <v>53</v>
      </c>
      <c r="AM1662" t="s">
        <v>53</v>
      </c>
      <c r="AN1662" t="s">
        <v>159</v>
      </c>
      <c r="AO1662" t="s">
        <v>53</v>
      </c>
      <c r="AP1662" t="s">
        <v>53</v>
      </c>
    </row>
    <row r="1663" spans="2:42" x14ac:dyDescent="0.2">
      <c r="B1663" t="s">
        <v>44</v>
      </c>
      <c r="C1663" t="str">
        <f>HYPERLINK("https://us2.cloudbeds.com/connect/8493803454333002#/reservations/598508060832?display=E1E8S1TW&amp;reservation_id=598508060832", "E1E8S1TW")</f>
        <v>E1E8S1TW</v>
      </c>
      <c r="D1663" t="s">
        <v>45</v>
      </c>
      <c r="E1663" t="s">
        <v>46</v>
      </c>
      <c r="F1663" t="s">
        <v>47</v>
      </c>
      <c r="G1663" t="s">
        <v>48</v>
      </c>
      <c r="H1663" t="s">
        <v>49</v>
      </c>
      <c r="I1663" t="s">
        <v>50</v>
      </c>
      <c r="J1663" t="s">
        <v>489</v>
      </c>
      <c r="K1663" t="s">
        <v>1568</v>
      </c>
      <c r="L1663" t="s">
        <v>53</v>
      </c>
      <c r="N1663" t="s">
        <v>2795</v>
      </c>
      <c r="P1663" t="s">
        <v>55</v>
      </c>
      <c r="R1663" t="s">
        <v>56</v>
      </c>
      <c r="T1663" t="s">
        <v>2786</v>
      </c>
      <c r="U1663" t="s">
        <v>58</v>
      </c>
      <c r="V1663">
        <v>1</v>
      </c>
      <c r="W1663">
        <v>1</v>
      </c>
      <c r="X1663">
        <v>1</v>
      </c>
      <c r="Y1663">
        <v>0</v>
      </c>
      <c r="Z1663">
        <v>1</v>
      </c>
      <c r="AA1663">
        <v>0</v>
      </c>
      <c r="AB1663">
        <v>153.43</v>
      </c>
      <c r="AC1663">
        <v>135</v>
      </c>
      <c r="AD1663">
        <v>0</v>
      </c>
      <c r="AE1663">
        <v>18.440000000000001</v>
      </c>
      <c r="AF1663">
        <v>0</v>
      </c>
      <c r="AG1663">
        <v>0</v>
      </c>
      <c r="AH1663">
        <v>0</v>
      </c>
      <c r="AI1663">
        <v>27.62</v>
      </c>
      <c r="AJ1663">
        <v>153.44</v>
      </c>
      <c r="AK1663">
        <v>0.01</v>
      </c>
      <c r="AL1663" t="s">
        <v>53</v>
      </c>
      <c r="AM1663" t="s">
        <v>53</v>
      </c>
      <c r="AN1663" t="s">
        <v>127</v>
      </c>
      <c r="AO1663" t="s">
        <v>53</v>
      </c>
      <c r="AP1663" t="s">
        <v>53</v>
      </c>
    </row>
    <row r="1664" spans="2:42" x14ac:dyDescent="0.2">
      <c r="B1664" t="s">
        <v>44</v>
      </c>
      <c r="C1664" t="str">
        <f>HYPERLINK("https://us2.cloudbeds.com/connect/8493803454333002#/reservations/597944144065?display=E0WNE99U&amp;reservation_id=597944144065", "E0WNE99U")</f>
        <v>E0WNE99U</v>
      </c>
      <c r="D1664" t="s">
        <v>45</v>
      </c>
      <c r="E1664" t="s">
        <v>92</v>
      </c>
      <c r="F1664" t="s">
        <v>86</v>
      </c>
      <c r="G1664" t="s">
        <v>48</v>
      </c>
      <c r="H1664" t="s">
        <v>71</v>
      </c>
      <c r="I1664" t="s">
        <v>72</v>
      </c>
      <c r="J1664" t="s">
        <v>334</v>
      </c>
      <c r="K1664" t="s">
        <v>538</v>
      </c>
      <c r="L1664" t="s">
        <v>53</v>
      </c>
      <c r="N1664" t="s">
        <v>2796</v>
      </c>
      <c r="P1664" t="s">
        <v>55</v>
      </c>
      <c r="R1664" t="s">
        <v>56</v>
      </c>
      <c r="T1664" t="s">
        <v>2786</v>
      </c>
      <c r="U1664" t="s">
        <v>58</v>
      </c>
      <c r="V1664">
        <v>1</v>
      </c>
      <c r="W1664">
        <v>1</v>
      </c>
      <c r="X1664">
        <v>1</v>
      </c>
      <c r="Y1664">
        <v>0</v>
      </c>
      <c r="Z1664">
        <v>1</v>
      </c>
      <c r="AA1664">
        <v>0</v>
      </c>
      <c r="AB1664">
        <v>136.38</v>
      </c>
      <c r="AC1664">
        <v>120</v>
      </c>
      <c r="AD1664">
        <v>0</v>
      </c>
      <c r="AE1664">
        <v>16.38</v>
      </c>
      <c r="AF1664">
        <v>0</v>
      </c>
      <c r="AG1664">
        <v>0</v>
      </c>
      <c r="AH1664">
        <v>0</v>
      </c>
      <c r="AI1664">
        <v>0</v>
      </c>
      <c r="AJ1664">
        <v>136.38</v>
      </c>
      <c r="AK1664">
        <v>0</v>
      </c>
      <c r="AL1664" t="s">
        <v>53</v>
      </c>
      <c r="AM1664" t="s">
        <v>53</v>
      </c>
      <c r="AN1664" t="s">
        <v>378</v>
      </c>
      <c r="AO1664" t="s">
        <v>53</v>
      </c>
      <c r="AP1664" t="s">
        <v>53</v>
      </c>
    </row>
    <row r="1665" spans="2:42" x14ac:dyDescent="0.2">
      <c r="B1665" t="s">
        <v>44</v>
      </c>
      <c r="C1665" t="str">
        <f>HYPERLINK("https://us2.cloudbeds.com/connect/8493803454333002#/reservations/598236442819?display=E17AQT83&amp;reservation_id=598236442819", "E17AQT83")</f>
        <v>E17AQT83</v>
      </c>
      <c r="D1665" t="s">
        <v>45</v>
      </c>
      <c r="E1665" t="s">
        <v>406</v>
      </c>
      <c r="F1665" t="s">
        <v>61</v>
      </c>
      <c r="G1665" t="s">
        <v>48</v>
      </c>
      <c r="H1665" t="s">
        <v>49</v>
      </c>
      <c r="I1665" t="s">
        <v>79</v>
      </c>
      <c r="J1665" t="s">
        <v>489</v>
      </c>
      <c r="K1665" t="s">
        <v>1568</v>
      </c>
      <c r="L1665" t="s">
        <v>53</v>
      </c>
      <c r="N1665" t="s">
        <v>2797</v>
      </c>
      <c r="P1665" t="s">
        <v>55</v>
      </c>
      <c r="R1665" t="s">
        <v>56</v>
      </c>
      <c r="T1665" t="s">
        <v>2786</v>
      </c>
      <c r="U1665" t="s">
        <v>58</v>
      </c>
      <c r="V1665">
        <v>1</v>
      </c>
      <c r="W1665">
        <v>1</v>
      </c>
      <c r="X1665">
        <v>1</v>
      </c>
      <c r="Y1665">
        <v>0</v>
      </c>
      <c r="Z1665">
        <v>1</v>
      </c>
      <c r="AA1665">
        <v>0</v>
      </c>
      <c r="AB1665">
        <v>164.68</v>
      </c>
      <c r="AC1665">
        <v>144.9</v>
      </c>
      <c r="AD1665">
        <v>0</v>
      </c>
      <c r="AE1665">
        <v>19.78</v>
      </c>
      <c r="AF1665">
        <v>0</v>
      </c>
      <c r="AG1665">
        <v>0</v>
      </c>
      <c r="AH1665">
        <v>0</v>
      </c>
      <c r="AI1665">
        <v>0</v>
      </c>
      <c r="AJ1665">
        <v>164.68</v>
      </c>
      <c r="AK1665">
        <v>0</v>
      </c>
      <c r="AL1665" t="s">
        <v>53</v>
      </c>
      <c r="AM1665" t="s">
        <v>53</v>
      </c>
      <c r="AN1665" t="s">
        <v>349</v>
      </c>
      <c r="AO1665" t="s">
        <v>53</v>
      </c>
      <c r="AP1665" t="s">
        <v>53</v>
      </c>
    </row>
    <row r="1666" spans="2:42" x14ac:dyDescent="0.2">
      <c r="B1666" t="s">
        <v>44</v>
      </c>
      <c r="C1666" t="str">
        <f>HYPERLINK("https://us2.cloudbeds.com/connect/8493803454333002#/reservations/598564114571?display=E1FN3RJ4&amp;reservation_id=598564114571", "E1FN3RJ4")</f>
        <v>E1FN3RJ4</v>
      </c>
      <c r="D1666" t="s">
        <v>45</v>
      </c>
      <c r="E1666" t="s">
        <v>155</v>
      </c>
      <c r="F1666" t="s">
        <v>86</v>
      </c>
      <c r="G1666" t="s">
        <v>48</v>
      </c>
      <c r="H1666" t="s">
        <v>49</v>
      </c>
      <c r="I1666" t="s">
        <v>79</v>
      </c>
      <c r="J1666" t="s">
        <v>295</v>
      </c>
      <c r="K1666" t="s">
        <v>260</v>
      </c>
      <c r="L1666" t="s">
        <v>53</v>
      </c>
      <c r="N1666" t="s">
        <v>2798</v>
      </c>
      <c r="P1666" t="s">
        <v>55</v>
      </c>
      <c r="R1666" t="s">
        <v>56</v>
      </c>
      <c r="T1666" t="s">
        <v>2799</v>
      </c>
      <c r="U1666" t="s">
        <v>58</v>
      </c>
      <c r="V1666">
        <v>2</v>
      </c>
      <c r="W1666">
        <v>1</v>
      </c>
      <c r="X1666">
        <v>1</v>
      </c>
      <c r="Y1666">
        <v>0</v>
      </c>
      <c r="Z1666">
        <v>1</v>
      </c>
      <c r="AA1666">
        <v>0</v>
      </c>
      <c r="AB1666">
        <v>316.06</v>
      </c>
      <c r="AC1666">
        <v>278.10000000000002</v>
      </c>
      <c r="AD1666">
        <v>0</v>
      </c>
      <c r="AE1666">
        <v>37.96</v>
      </c>
      <c r="AF1666">
        <v>0</v>
      </c>
      <c r="AG1666">
        <v>0</v>
      </c>
      <c r="AH1666">
        <v>0</v>
      </c>
      <c r="AI1666">
        <v>0</v>
      </c>
      <c r="AJ1666">
        <v>316.06</v>
      </c>
      <c r="AK1666">
        <v>0</v>
      </c>
      <c r="AL1666" t="s">
        <v>53</v>
      </c>
      <c r="AM1666" t="s">
        <v>53</v>
      </c>
      <c r="AN1666" t="s">
        <v>349</v>
      </c>
      <c r="AO1666" t="s">
        <v>53</v>
      </c>
      <c r="AP1666" t="s">
        <v>53</v>
      </c>
    </row>
    <row r="1667" spans="2:42" x14ac:dyDescent="0.2">
      <c r="B1667" t="s">
        <v>44</v>
      </c>
      <c r="C1667" t="str">
        <f>HYPERLINK("https://us2.cloudbeds.com/connect/8493803454333002#/reservations/598622056627?display=E1H5W57W&amp;reservation_id=598622056627", "E1H5W57W")</f>
        <v>E1H5W57W</v>
      </c>
      <c r="D1667" t="s">
        <v>45</v>
      </c>
      <c r="E1667" t="s">
        <v>155</v>
      </c>
      <c r="F1667" t="s">
        <v>86</v>
      </c>
      <c r="G1667" t="s">
        <v>48</v>
      </c>
      <c r="H1667" t="s">
        <v>49</v>
      </c>
      <c r="I1667" t="s">
        <v>114</v>
      </c>
      <c r="J1667" t="s">
        <v>1633</v>
      </c>
      <c r="K1667" t="s">
        <v>2102</v>
      </c>
      <c r="L1667" t="s">
        <v>53</v>
      </c>
      <c r="N1667" t="s">
        <v>2800</v>
      </c>
      <c r="P1667" t="s">
        <v>55</v>
      </c>
      <c r="R1667" t="s">
        <v>56</v>
      </c>
      <c r="T1667" t="s">
        <v>2799</v>
      </c>
      <c r="U1667" t="s">
        <v>58</v>
      </c>
      <c r="V1667">
        <v>2</v>
      </c>
      <c r="W1667">
        <v>1</v>
      </c>
      <c r="X1667">
        <v>1</v>
      </c>
      <c r="Y1667">
        <v>0</v>
      </c>
      <c r="Z1667">
        <v>1</v>
      </c>
      <c r="AA1667">
        <v>0</v>
      </c>
      <c r="AB1667">
        <v>402.89</v>
      </c>
      <c r="AC1667">
        <v>354.5</v>
      </c>
      <c r="AD1667">
        <v>0</v>
      </c>
      <c r="AE1667">
        <v>48.4</v>
      </c>
      <c r="AF1667">
        <v>0</v>
      </c>
      <c r="AG1667">
        <v>0</v>
      </c>
      <c r="AH1667">
        <v>0</v>
      </c>
      <c r="AI1667">
        <v>0</v>
      </c>
      <c r="AJ1667">
        <v>402.9</v>
      </c>
      <c r="AK1667">
        <v>0.01</v>
      </c>
      <c r="AL1667" t="s">
        <v>53</v>
      </c>
      <c r="AM1667" t="s">
        <v>53</v>
      </c>
      <c r="AN1667" t="s">
        <v>2801</v>
      </c>
      <c r="AO1667" t="s">
        <v>53</v>
      </c>
      <c r="AP1667" t="s">
        <v>53</v>
      </c>
    </row>
    <row r="1668" spans="2:42" x14ac:dyDescent="0.2">
      <c r="B1668" t="s">
        <v>44</v>
      </c>
      <c r="C1668" t="str">
        <f>HYPERLINK("https://us2.cloudbeds.com/connect/8493803454333002#/reservations/598606393477?display=E1GPPA63&amp;reservation_id=598606393477", "E1GPPA63")</f>
        <v>E1GPPA63</v>
      </c>
      <c r="D1668" t="s">
        <v>45</v>
      </c>
      <c r="E1668" t="s">
        <v>155</v>
      </c>
      <c r="F1668" t="s">
        <v>86</v>
      </c>
      <c r="G1668" t="s">
        <v>48</v>
      </c>
      <c r="H1668" t="s">
        <v>49</v>
      </c>
      <c r="I1668" t="s">
        <v>50</v>
      </c>
      <c r="J1668" t="s">
        <v>2102</v>
      </c>
      <c r="K1668" t="s">
        <v>1439</v>
      </c>
      <c r="L1668" t="s">
        <v>53</v>
      </c>
      <c r="N1668" t="s">
        <v>2802</v>
      </c>
      <c r="P1668" t="s">
        <v>55</v>
      </c>
      <c r="R1668" t="s">
        <v>56</v>
      </c>
      <c r="T1668" t="s">
        <v>2799</v>
      </c>
      <c r="U1668" t="s">
        <v>58</v>
      </c>
      <c r="V1668">
        <v>2</v>
      </c>
      <c r="W1668">
        <v>1</v>
      </c>
      <c r="X1668">
        <v>1</v>
      </c>
      <c r="Y1668">
        <v>0</v>
      </c>
      <c r="Z1668">
        <v>1</v>
      </c>
      <c r="AA1668">
        <v>0</v>
      </c>
      <c r="AB1668">
        <v>352.88</v>
      </c>
      <c r="AC1668">
        <v>310.5</v>
      </c>
      <c r="AD1668">
        <v>0</v>
      </c>
      <c r="AE1668">
        <v>42.38</v>
      </c>
      <c r="AF1668">
        <v>0</v>
      </c>
      <c r="AG1668">
        <v>0</v>
      </c>
      <c r="AH1668">
        <v>0</v>
      </c>
      <c r="AI1668">
        <v>63.52</v>
      </c>
      <c r="AJ1668">
        <v>352.88</v>
      </c>
      <c r="AK1668">
        <v>0</v>
      </c>
      <c r="AL1668" t="s">
        <v>53</v>
      </c>
      <c r="AM1668" t="s">
        <v>53</v>
      </c>
      <c r="AN1668" t="s">
        <v>127</v>
      </c>
      <c r="AO1668" t="s">
        <v>53</v>
      </c>
      <c r="AP1668" t="s">
        <v>53</v>
      </c>
    </row>
    <row r="1669" spans="2:42" x14ac:dyDescent="0.2">
      <c r="B1669" t="s">
        <v>44</v>
      </c>
      <c r="C1669" t="str">
        <f>HYPERLINK("https://us2.cloudbeds.com/connect/8493803454333002#/reservations/598581440716?display=E1G4NVNR&amp;reservation_id=598581440716", "E1G4NVNR")</f>
        <v>E1G4NVNR</v>
      </c>
      <c r="D1669" t="s">
        <v>45</v>
      </c>
      <c r="E1669" t="s">
        <v>46</v>
      </c>
      <c r="F1669" t="s">
        <v>47</v>
      </c>
      <c r="G1669" t="s">
        <v>48</v>
      </c>
      <c r="H1669" t="s">
        <v>49</v>
      </c>
      <c r="I1669" t="s">
        <v>50</v>
      </c>
      <c r="J1669" t="s">
        <v>488</v>
      </c>
      <c r="K1669" t="s">
        <v>489</v>
      </c>
      <c r="L1669" t="s">
        <v>53</v>
      </c>
      <c r="N1669" t="s">
        <v>2803</v>
      </c>
      <c r="P1669" t="s">
        <v>55</v>
      </c>
      <c r="R1669" t="s">
        <v>56</v>
      </c>
      <c r="T1669" t="s">
        <v>2799</v>
      </c>
      <c r="U1669" t="s">
        <v>58</v>
      </c>
      <c r="V1669">
        <v>1</v>
      </c>
      <c r="W1669">
        <v>1</v>
      </c>
      <c r="X1669">
        <v>1</v>
      </c>
      <c r="Y1669">
        <v>0</v>
      </c>
      <c r="Z1669">
        <v>1</v>
      </c>
      <c r="AA1669">
        <v>0</v>
      </c>
      <c r="AB1669">
        <v>167.75</v>
      </c>
      <c r="AC1669">
        <v>147.6</v>
      </c>
      <c r="AD1669">
        <v>0</v>
      </c>
      <c r="AE1669">
        <v>20.149999999999999</v>
      </c>
      <c r="AF1669">
        <v>0</v>
      </c>
      <c r="AG1669">
        <v>0</v>
      </c>
      <c r="AH1669">
        <v>0</v>
      </c>
      <c r="AI1669">
        <v>30.2</v>
      </c>
      <c r="AJ1669">
        <v>167.75</v>
      </c>
      <c r="AK1669">
        <v>0</v>
      </c>
      <c r="AL1669" t="s">
        <v>53</v>
      </c>
      <c r="AM1669" t="s">
        <v>53</v>
      </c>
      <c r="AN1669" t="s">
        <v>545</v>
      </c>
      <c r="AO1669" t="s">
        <v>53</v>
      </c>
      <c r="AP1669" t="s">
        <v>53</v>
      </c>
    </row>
    <row r="1670" spans="2:42" x14ac:dyDescent="0.2">
      <c r="B1670" t="s">
        <v>44</v>
      </c>
      <c r="C1670" t="str">
        <f>HYPERLINK("https://us2.cloudbeds.com/connect/8493803454333002#/reservations/579244658892?display=DJH1EGJ8&amp;reservation_id=579244658892", "DJH1EGJ8")</f>
        <v>DJH1EGJ8</v>
      </c>
      <c r="D1670" t="s">
        <v>45</v>
      </c>
      <c r="E1670" t="s">
        <v>305</v>
      </c>
      <c r="F1670" t="s">
        <v>61</v>
      </c>
      <c r="G1670" t="s">
        <v>48</v>
      </c>
      <c r="H1670" t="s">
        <v>49</v>
      </c>
      <c r="I1670" t="s">
        <v>50</v>
      </c>
      <c r="J1670" t="s">
        <v>1436</v>
      </c>
      <c r="K1670" t="s">
        <v>1332</v>
      </c>
      <c r="L1670" t="s">
        <v>53</v>
      </c>
      <c r="N1670" t="s">
        <v>2804</v>
      </c>
      <c r="P1670" t="s">
        <v>55</v>
      </c>
      <c r="R1670" t="s">
        <v>56</v>
      </c>
      <c r="T1670" t="s">
        <v>2799</v>
      </c>
      <c r="U1670" t="s">
        <v>58</v>
      </c>
      <c r="V1670">
        <v>1</v>
      </c>
      <c r="W1670">
        <v>1</v>
      </c>
      <c r="X1670">
        <v>1</v>
      </c>
      <c r="Y1670">
        <v>0</v>
      </c>
      <c r="Z1670">
        <v>1</v>
      </c>
      <c r="AA1670">
        <v>0</v>
      </c>
      <c r="AB1670">
        <v>156.49</v>
      </c>
      <c r="AC1670">
        <v>137.69999999999999</v>
      </c>
      <c r="AD1670">
        <v>0</v>
      </c>
      <c r="AE1670">
        <v>18.79</v>
      </c>
      <c r="AF1670">
        <v>0</v>
      </c>
      <c r="AG1670">
        <v>0</v>
      </c>
      <c r="AH1670">
        <v>0</v>
      </c>
      <c r="AI1670">
        <v>28.17</v>
      </c>
      <c r="AJ1670">
        <v>156.49</v>
      </c>
      <c r="AK1670">
        <v>0</v>
      </c>
      <c r="AL1670" t="s">
        <v>53</v>
      </c>
      <c r="AM1670" t="s">
        <v>53</v>
      </c>
      <c r="AN1670" t="s">
        <v>132</v>
      </c>
      <c r="AO1670" t="s">
        <v>53</v>
      </c>
      <c r="AP1670" t="s">
        <v>53</v>
      </c>
    </row>
    <row r="1671" spans="2:42" x14ac:dyDescent="0.2">
      <c r="B1671" t="s">
        <v>44</v>
      </c>
      <c r="C1671" t="str">
        <f>HYPERLINK("https://us2.cloudbeds.com/connect/8493803454333002#/reservations/598472900832?display=E1DC6MDE&amp;reservation_id=598472900832", "E1DC6MDE")</f>
        <v>E1DC6MDE</v>
      </c>
      <c r="D1671" t="s">
        <v>45</v>
      </c>
      <c r="E1671" t="s">
        <v>121</v>
      </c>
      <c r="F1671" t="s">
        <v>86</v>
      </c>
      <c r="G1671" t="s">
        <v>48</v>
      </c>
      <c r="H1671" t="s">
        <v>49</v>
      </c>
      <c r="I1671" t="s">
        <v>79</v>
      </c>
      <c r="J1671" t="s">
        <v>214</v>
      </c>
      <c r="K1671" t="s">
        <v>446</v>
      </c>
      <c r="L1671" t="s">
        <v>53</v>
      </c>
      <c r="N1671" t="s">
        <v>2805</v>
      </c>
      <c r="P1671" t="s">
        <v>55</v>
      </c>
      <c r="R1671" t="s">
        <v>56</v>
      </c>
      <c r="T1671" t="s">
        <v>2799</v>
      </c>
      <c r="U1671" t="s">
        <v>58</v>
      </c>
      <c r="V1671">
        <v>2</v>
      </c>
      <c r="W1671">
        <v>1</v>
      </c>
      <c r="X1671">
        <v>1</v>
      </c>
      <c r="Y1671">
        <v>0</v>
      </c>
      <c r="Z1671">
        <v>1</v>
      </c>
      <c r="AA1671">
        <v>0</v>
      </c>
      <c r="AB1671">
        <v>352.88</v>
      </c>
      <c r="AC1671">
        <v>310.5</v>
      </c>
      <c r="AD1671">
        <v>0</v>
      </c>
      <c r="AE1671">
        <v>42.38</v>
      </c>
      <c r="AF1671">
        <v>0</v>
      </c>
      <c r="AG1671">
        <v>0</v>
      </c>
      <c r="AH1671">
        <v>0</v>
      </c>
      <c r="AI1671">
        <v>0</v>
      </c>
      <c r="AJ1671">
        <v>352.88</v>
      </c>
      <c r="AK1671">
        <v>0</v>
      </c>
      <c r="AL1671" t="s">
        <v>53</v>
      </c>
      <c r="AM1671" t="s">
        <v>53</v>
      </c>
      <c r="AN1671" t="s">
        <v>127</v>
      </c>
      <c r="AO1671" t="s">
        <v>53</v>
      </c>
      <c r="AP1671" t="s">
        <v>53</v>
      </c>
    </row>
    <row r="1672" spans="2:42" x14ac:dyDescent="0.2">
      <c r="B1672" t="s">
        <v>44</v>
      </c>
      <c r="C1672" t="str">
        <f>HYPERLINK("https://us2.cloudbeds.com/connect/8493803454333002#/reservations/598051225760?display=E12JKV9M&amp;reservation_id=598051225760", "E12JKV9M")</f>
        <v>E12JKV9M</v>
      </c>
      <c r="D1672" t="s">
        <v>45</v>
      </c>
      <c r="E1672" t="s">
        <v>98</v>
      </c>
      <c r="F1672" t="s">
        <v>86</v>
      </c>
      <c r="G1672" t="s">
        <v>48</v>
      </c>
      <c r="H1672" t="s">
        <v>49</v>
      </c>
      <c r="I1672" t="s">
        <v>62</v>
      </c>
      <c r="J1672" t="s">
        <v>87</v>
      </c>
      <c r="K1672" t="s">
        <v>970</v>
      </c>
      <c r="L1672" t="s">
        <v>53</v>
      </c>
      <c r="N1672" t="s">
        <v>2806</v>
      </c>
      <c r="P1672" t="s">
        <v>55</v>
      </c>
      <c r="R1672" t="s">
        <v>56</v>
      </c>
      <c r="T1672" t="s">
        <v>2799</v>
      </c>
      <c r="U1672" t="s">
        <v>58</v>
      </c>
      <c r="V1672">
        <v>3</v>
      </c>
      <c r="W1672">
        <v>1</v>
      </c>
      <c r="X1672">
        <v>1</v>
      </c>
      <c r="Y1672">
        <v>0</v>
      </c>
      <c r="Z1672">
        <v>1</v>
      </c>
      <c r="AA1672">
        <v>0</v>
      </c>
      <c r="AB1672">
        <v>606.89</v>
      </c>
      <c r="AC1672">
        <v>534</v>
      </c>
      <c r="AD1672">
        <v>0</v>
      </c>
      <c r="AE1672">
        <v>72.900000000000006</v>
      </c>
      <c r="AF1672">
        <v>0</v>
      </c>
      <c r="AG1672">
        <v>0</v>
      </c>
      <c r="AH1672">
        <v>0</v>
      </c>
      <c r="AI1672">
        <v>91.04</v>
      </c>
      <c r="AJ1672">
        <v>606.9</v>
      </c>
      <c r="AK1672">
        <v>0.01</v>
      </c>
      <c r="AL1672" t="s">
        <v>53</v>
      </c>
      <c r="AM1672" t="s">
        <v>53</v>
      </c>
      <c r="AN1672" t="s">
        <v>2807</v>
      </c>
      <c r="AO1672" t="s">
        <v>53</v>
      </c>
      <c r="AP1672" t="s">
        <v>53</v>
      </c>
    </row>
    <row r="1673" spans="2:42" x14ac:dyDescent="0.2">
      <c r="B1673" t="s">
        <v>44</v>
      </c>
      <c r="C1673" t="str">
        <f>HYPERLINK("https://us2.cloudbeds.com/connect/8493803454333002#/reservations/598261420238?display=E17VSUBJ&amp;reservation_id=598261420238", "E17VSUBJ")</f>
        <v>E17VSUBJ</v>
      </c>
      <c r="D1673" t="s">
        <v>45</v>
      </c>
      <c r="E1673" t="s">
        <v>46</v>
      </c>
      <c r="F1673" t="s">
        <v>47</v>
      </c>
      <c r="G1673" t="s">
        <v>48</v>
      </c>
      <c r="H1673" t="s">
        <v>71</v>
      </c>
      <c r="I1673" t="s">
        <v>72</v>
      </c>
      <c r="J1673" t="s">
        <v>640</v>
      </c>
      <c r="K1673" t="s">
        <v>309</v>
      </c>
      <c r="L1673" t="s">
        <v>53</v>
      </c>
      <c r="N1673" t="s">
        <v>2808</v>
      </c>
      <c r="P1673" t="s">
        <v>55</v>
      </c>
      <c r="R1673" t="s">
        <v>56</v>
      </c>
      <c r="T1673" t="s">
        <v>2799</v>
      </c>
      <c r="U1673" t="s">
        <v>58</v>
      </c>
      <c r="V1673">
        <v>1</v>
      </c>
      <c r="W1673">
        <v>1</v>
      </c>
      <c r="X1673">
        <v>1</v>
      </c>
      <c r="Y1673">
        <v>0</v>
      </c>
      <c r="Z1673">
        <v>1</v>
      </c>
      <c r="AA1673">
        <v>0</v>
      </c>
      <c r="AB1673">
        <v>157.97</v>
      </c>
      <c r="AC1673">
        <v>139</v>
      </c>
      <c r="AD1673">
        <v>0</v>
      </c>
      <c r="AE1673">
        <v>18.98</v>
      </c>
      <c r="AF1673">
        <v>0</v>
      </c>
      <c r="AG1673">
        <v>0</v>
      </c>
      <c r="AH1673">
        <v>0</v>
      </c>
      <c r="AI1673">
        <v>0</v>
      </c>
      <c r="AJ1673">
        <v>157.97999999999999</v>
      </c>
      <c r="AK1673">
        <v>0.01</v>
      </c>
      <c r="AL1673" t="s">
        <v>53</v>
      </c>
      <c r="AM1673" t="s">
        <v>53</v>
      </c>
      <c r="AN1673" t="s">
        <v>2809</v>
      </c>
      <c r="AO1673" t="s">
        <v>53</v>
      </c>
      <c r="AP1673" t="s">
        <v>53</v>
      </c>
    </row>
    <row r="1674" spans="2:42" x14ac:dyDescent="0.2">
      <c r="B1674" t="s">
        <v>44</v>
      </c>
      <c r="C1674" t="str">
        <f>HYPERLINK("https://us2.cloudbeds.com/connect/8493803454333002#/reservations/579336761493?display=DJJD3CW4&amp;reservation_id=579336761493", "DJJD3CW4")</f>
        <v>DJJD3CW4</v>
      </c>
      <c r="D1674" t="s">
        <v>45</v>
      </c>
      <c r="E1674" t="s">
        <v>46</v>
      </c>
      <c r="F1674" t="s">
        <v>47</v>
      </c>
      <c r="G1674" t="s">
        <v>48</v>
      </c>
      <c r="H1674" t="s">
        <v>49</v>
      </c>
      <c r="I1674" t="s">
        <v>114</v>
      </c>
      <c r="J1674" t="s">
        <v>1556</v>
      </c>
      <c r="K1674" t="s">
        <v>2315</v>
      </c>
      <c r="L1674" t="s">
        <v>53</v>
      </c>
      <c r="N1674" t="s">
        <v>2810</v>
      </c>
      <c r="P1674" t="s">
        <v>55</v>
      </c>
      <c r="R1674" t="s">
        <v>56</v>
      </c>
      <c r="T1674" t="s">
        <v>2799</v>
      </c>
      <c r="U1674" t="s">
        <v>58</v>
      </c>
      <c r="V1674">
        <v>2</v>
      </c>
      <c r="W1674">
        <v>1</v>
      </c>
      <c r="X1674">
        <v>1</v>
      </c>
      <c r="Y1674">
        <v>0</v>
      </c>
      <c r="Z1674">
        <v>1</v>
      </c>
      <c r="AA1674">
        <v>0</v>
      </c>
      <c r="AB1674">
        <v>367.1</v>
      </c>
      <c r="AC1674">
        <v>323</v>
      </c>
      <c r="AD1674">
        <v>0</v>
      </c>
      <c r="AE1674">
        <v>44.1</v>
      </c>
      <c r="AF1674">
        <v>0</v>
      </c>
      <c r="AG1674">
        <v>0</v>
      </c>
      <c r="AH1674">
        <v>0</v>
      </c>
      <c r="AI1674">
        <v>0</v>
      </c>
      <c r="AJ1674">
        <v>367.1</v>
      </c>
      <c r="AK1674">
        <v>0</v>
      </c>
      <c r="AL1674" t="s">
        <v>53</v>
      </c>
      <c r="AM1674" t="s">
        <v>53</v>
      </c>
      <c r="AN1674" t="s">
        <v>2811</v>
      </c>
      <c r="AO1674" t="s">
        <v>53</v>
      </c>
      <c r="AP1674" t="s">
        <v>53</v>
      </c>
    </row>
    <row r="1675" spans="2:42" x14ac:dyDescent="0.2">
      <c r="B1675" t="s">
        <v>44</v>
      </c>
      <c r="C1675" t="str">
        <f>HYPERLINK("https://us2.cloudbeds.com/connect/8493803454333002#/reservations/598597218443?display=E1GX0WWP&amp;reservation_id=598597218443", "E1GX0WWP")</f>
        <v>E1GX0WWP</v>
      </c>
      <c r="D1675" t="s">
        <v>45</v>
      </c>
      <c r="E1675" t="s">
        <v>85</v>
      </c>
      <c r="F1675" t="s">
        <v>86</v>
      </c>
      <c r="G1675" t="s">
        <v>48</v>
      </c>
      <c r="H1675" t="s">
        <v>49</v>
      </c>
      <c r="I1675" t="s">
        <v>50</v>
      </c>
      <c r="J1675" t="s">
        <v>1480</v>
      </c>
      <c r="K1675" t="s">
        <v>768</v>
      </c>
      <c r="L1675" t="s">
        <v>53</v>
      </c>
      <c r="N1675" t="s">
        <v>2812</v>
      </c>
      <c r="P1675" t="s">
        <v>55</v>
      </c>
      <c r="R1675" t="s">
        <v>56</v>
      </c>
      <c r="T1675" t="s">
        <v>2799</v>
      </c>
      <c r="U1675" t="s">
        <v>58</v>
      </c>
      <c r="V1675">
        <v>1</v>
      </c>
      <c r="W1675">
        <v>1</v>
      </c>
      <c r="X1675">
        <v>1</v>
      </c>
      <c r="Y1675">
        <v>0</v>
      </c>
      <c r="Z1675">
        <v>1</v>
      </c>
      <c r="AA1675">
        <v>0</v>
      </c>
      <c r="AB1675">
        <v>171.84</v>
      </c>
      <c r="AC1675">
        <v>151.19999999999999</v>
      </c>
      <c r="AD1675">
        <v>0</v>
      </c>
      <c r="AE1675">
        <v>20.63</v>
      </c>
      <c r="AF1675">
        <v>0</v>
      </c>
      <c r="AG1675">
        <v>0</v>
      </c>
      <c r="AH1675">
        <v>0</v>
      </c>
      <c r="AI1675">
        <v>30.93</v>
      </c>
      <c r="AJ1675">
        <v>171.83</v>
      </c>
      <c r="AK1675">
        <v>-0.01</v>
      </c>
      <c r="AL1675" t="s">
        <v>53</v>
      </c>
      <c r="AM1675" t="s">
        <v>53</v>
      </c>
      <c r="AN1675" t="s">
        <v>332</v>
      </c>
      <c r="AO1675" t="s">
        <v>53</v>
      </c>
      <c r="AP1675" t="s">
        <v>53</v>
      </c>
    </row>
    <row r="1676" spans="2:42" x14ac:dyDescent="0.2">
      <c r="B1676" t="s">
        <v>44</v>
      </c>
      <c r="C1676" t="str">
        <f>HYPERLINK("https://us2.cloudbeds.com/connect/8493803454333002#/reservations/598475116704?display=E1DE2B62&amp;reservation_id=598475116704", "E1DE2B62")</f>
        <v>E1DE2B62</v>
      </c>
      <c r="D1676" t="s">
        <v>45</v>
      </c>
      <c r="E1676" t="s">
        <v>128</v>
      </c>
      <c r="F1676" t="s">
        <v>86</v>
      </c>
      <c r="G1676" t="s">
        <v>48</v>
      </c>
      <c r="H1676" t="s">
        <v>71</v>
      </c>
      <c r="I1676" t="s">
        <v>72</v>
      </c>
      <c r="J1676" t="s">
        <v>1822</v>
      </c>
      <c r="K1676" t="s">
        <v>94</v>
      </c>
      <c r="L1676" t="s">
        <v>53</v>
      </c>
      <c r="N1676" t="s">
        <v>2813</v>
      </c>
      <c r="P1676" t="s">
        <v>58</v>
      </c>
      <c r="R1676" t="s">
        <v>56</v>
      </c>
      <c r="T1676" t="s">
        <v>2814</v>
      </c>
      <c r="U1676" t="s">
        <v>58</v>
      </c>
      <c r="V1676">
        <v>1</v>
      </c>
      <c r="W1676">
        <v>1</v>
      </c>
      <c r="X1676">
        <v>1</v>
      </c>
      <c r="Y1676">
        <v>0</v>
      </c>
      <c r="Z1676">
        <v>1</v>
      </c>
      <c r="AA1676">
        <v>0</v>
      </c>
      <c r="AB1676">
        <v>192.07</v>
      </c>
      <c r="AC1676">
        <v>169</v>
      </c>
      <c r="AD1676">
        <v>0</v>
      </c>
      <c r="AE1676">
        <v>23.07</v>
      </c>
      <c r="AF1676">
        <v>0</v>
      </c>
      <c r="AG1676">
        <v>0</v>
      </c>
      <c r="AH1676">
        <v>0</v>
      </c>
      <c r="AI1676">
        <v>0</v>
      </c>
      <c r="AJ1676">
        <v>192.07</v>
      </c>
      <c r="AK1676">
        <v>0</v>
      </c>
      <c r="AL1676" t="s">
        <v>53</v>
      </c>
      <c r="AM1676" t="s">
        <v>53</v>
      </c>
      <c r="AN1676" t="s">
        <v>2815</v>
      </c>
      <c r="AO1676" t="s">
        <v>53</v>
      </c>
      <c r="AP1676" t="s">
        <v>53</v>
      </c>
    </row>
    <row r="1677" spans="2:42" x14ac:dyDescent="0.2">
      <c r="B1677" t="s">
        <v>44</v>
      </c>
      <c r="C1677" t="str">
        <f>HYPERLINK("https://us2.cloudbeds.com/connect/8493803454333002#/reservations/598013522170?display=E11KRQ2U&amp;reservation_id=598013522170", "E11KRQ2U")</f>
        <v>E11KRQ2U</v>
      </c>
      <c r="D1677" t="s">
        <v>45</v>
      </c>
      <c r="E1677" t="s">
        <v>105</v>
      </c>
      <c r="F1677" t="s">
        <v>47</v>
      </c>
      <c r="G1677" t="s">
        <v>48</v>
      </c>
      <c r="H1677" t="s">
        <v>49</v>
      </c>
      <c r="I1677" t="s">
        <v>50</v>
      </c>
      <c r="J1677" t="s">
        <v>426</v>
      </c>
      <c r="K1677" t="s">
        <v>130</v>
      </c>
      <c r="L1677" t="s">
        <v>53</v>
      </c>
      <c r="N1677" t="s">
        <v>2816</v>
      </c>
      <c r="P1677" t="s">
        <v>55</v>
      </c>
      <c r="R1677" t="s">
        <v>56</v>
      </c>
      <c r="T1677" t="s">
        <v>2814</v>
      </c>
      <c r="U1677" t="s">
        <v>58</v>
      </c>
      <c r="V1677">
        <v>1</v>
      </c>
      <c r="W1677">
        <v>1</v>
      </c>
      <c r="X1677">
        <v>1</v>
      </c>
      <c r="Y1677">
        <v>0</v>
      </c>
      <c r="Z1677">
        <v>1</v>
      </c>
      <c r="AA1677">
        <v>0</v>
      </c>
      <c r="AB1677">
        <v>178.43</v>
      </c>
      <c r="AC1677">
        <v>157</v>
      </c>
      <c r="AD1677">
        <v>0</v>
      </c>
      <c r="AE1677">
        <v>21.43</v>
      </c>
      <c r="AF1677">
        <v>0</v>
      </c>
      <c r="AG1677">
        <v>0</v>
      </c>
      <c r="AH1677">
        <v>0</v>
      </c>
      <c r="AI1677">
        <v>32.119999999999997</v>
      </c>
      <c r="AJ1677">
        <v>178.43</v>
      </c>
      <c r="AK1677">
        <v>0</v>
      </c>
      <c r="AL1677" t="s">
        <v>53</v>
      </c>
      <c r="AM1677" t="s">
        <v>53</v>
      </c>
      <c r="AN1677" t="s">
        <v>280</v>
      </c>
      <c r="AO1677" t="s">
        <v>53</v>
      </c>
      <c r="AP1677" t="s">
        <v>53</v>
      </c>
    </row>
    <row r="1678" spans="2:42" x14ac:dyDescent="0.2">
      <c r="B1678" t="s">
        <v>44</v>
      </c>
      <c r="C1678" t="str">
        <f>HYPERLINK("https://us2.cloudbeds.com/connect/8493803454333002#/reservations/598420676772?display=E1C15FE5&amp;reservation_id=598420676772", "E1C15FE5")</f>
        <v>E1C15FE5</v>
      </c>
      <c r="D1678" t="s">
        <v>45</v>
      </c>
      <c r="E1678" t="s">
        <v>155</v>
      </c>
      <c r="F1678" t="s">
        <v>86</v>
      </c>
      <c r="G1678" t="s">
        <v>48</v>
      </c>
      <c r="H1678" t="s">
        <v>49</v>
      </c>
      <c r="I1678" t="s">
        <v>79</v>
      </c>
      <c r="J1678" t="s">
        <v>259</v>
      </c>
      <c r="K1678" t="s">
        <v>295</v>
      </c>
      <c r="L1678" t="s">
        <v>53</v>
      </c>
      <c r="N1678" t="s">
        <v>2817</v>
      </c>
      <c r="P1678" t="s">
        <v>55</v>
      </c>
      <c r="R1678" t="s">
        <v>56</v>
      </c>
      <c r="T1678" t="s">
        <v>2814</v>
      </c>
      <c r="U1678" t="s">
        <v>58</v>
      </c>
      <c r="V1678">
        <v>1</v>
      </c>
      <c r="W1678">
        <v>1</v>
      </c>
      <c r="X1678">
        <v>1</v>
      </c>
      <c r="Y1678">
        <v>0</v>
      </c>
      <c r="Z1678">
        <v>1</v>
      </c>
      <c r="AA1678">
        <v>0</v>
      </c>
      <c r="AB1678">
        <v>143.19999999999999</v>
      </c>
      <c r="AC1678">
        <v>126</v>
      </c>
      <c r="AD1678">
        <v>0</v>
      </c>
      <c r="AE1678">
        <v>17.2</v>
      </c>
      <c r="AF1678">
        <v>0</v>
      </c>
      <c r="AG1678">
        <v>0</v>
      </c>
      <c r="AH1678">
        <v>0</v>
      </c>
      <c r="AI1678">
        <v>0</v>
      </c>
      <c r="AJ1678">
        <v>143.19999999999999</v>
      </c>
      <c r="AK1678">
        <v>0</v>
      </c>
      <c r="AL1678" t="s">
        <v>53</v>
      </c>
      <c r="AM1678" t="s">
        <v>53</v>
      </c>
      <c r="AN1678" t="s">
        <v>137</v>
      </c>
      <c r="AO1678" t="s">
        <v>53</v>
      </c>
      <c r="AP1678" t="s">
        <v>53</v>
      </c>
    </row>
    <row r="1679" spans="2:42" x14ac:dyDescent="0.2">
      <c r="B1679" t="s">
        <v>44</v>
      </c>
      <c r="C1679" t="str">
        <f>HYPERLINK("https://us2.cloudbeds.com/connect/8493803454333002#/reservations/598415081641?display=E1BTEPXZ&amp;reservation_id=598415081641", "E1BTEPXZ")</f>
        <v>E1BTEPXZ</v>
      </c>
      <c r="D1679" t="s">
        <v>45</v>
      </c>
      <c r="E1679" t="s">
        <v>85</v>
      </c>
      <c r="F1679" t="s">
        <v>86</v>
      </c>
      <c r="G1679" t="s">
        <v>48</v>
      </c>
      <c r="H1679" t="s">
        <v>49</v>
      </c>
      <c r="I1679" t="s">
        <v>50</v>
      </c>
      <c r="J1679" t="s">
        <v>309</v>
      </c>
      <c r="K1679" t="s">
        <v>133</v>
      </c>
      <c r="L1679" t="s">
        <v>53</v>
      </c>
      <c r="N1679" t="s">
        <v>2818</v>
      </c>
      <c r="P1679" t="s">
        <v>55</v>
      </c>
      <c r="R1679" t="s">
        <v>56</v>
      </c>
      <c r="T1679" t="s">
        <v>2814</v>
      </c>
      <c r="U1679" t="s">
        <v>58</v>
      </c>
      <c r="V1679">
        <v>1</v>
      </c>
      <c r="W1679">
        <v>1</v>
      </c>
      <c r="X1679">
        <v>1</v>
      </c>
      <c r="Y1679">
        <v>0</v>
      </c>
      <c r="Z1679">
        <v>1</v>
      </c>
      <c r="AA1679">
        <v>0</v>
      </c>
      <c r="AB1679">
        <v>157.52000000000001</v>
      </c>
      <c r="AC1679">
        <v>138.6</v>
      </c>
      <c r="AD1679">
        <v>0</v>
      </c>
      <c r="AE1679">
        <v>18.920000000000002</v>
      </c>
      <c r="AF1679">
        <v>0</v>
      </c>
      <c r="AG1679">
        <v>0</v>
      </c>
      <c r="AH1679">
        <v>0</v>
      </c>
      <c r="AI1679">
        <v>28.35</v>
      </c>
      <c r="AJ1679">
        <v>157.52000000000001</v>
      </c>
      <c r="AK1679">
        <v>0</v>
      </c>
      <c r="AL1679" t="s">
        <v>53</v>
      </c>
      <c r="AM1679" t="s">
        <v>53</v>
      </c>
      <c r="AN1679" t="s">
        <v>142</v>
      </c>
      <c r="AO1679" t="s">
        <v>53</v>
      </c>
      <c r="AP1679" t="s">
        <v>53</v>
      </c>
    </row>
    <row r="1680" spans="2:42" x14ac:dyDescent="0.2">
      <c r="B1680" t="s">
        <v>44</v>
      </c>
      <c r="C1680" t="str">
        <f>HYPERLINK("https://us2.cloudbeds.com/connect/8493803454333002#/reservations/598253392024?display=E17P3H8C&amp;reservation_id=598253392024", "E17P3H8C")</f>
        <v>E17P3H8C</v>
      </c>
      <c r="D1680" t="s">
        <v>45</v>
      </c>
      <c r="E1680" t="s">
        <v>92</v>
      </c>
      <c r="F1680" t="s">
        <v>86</v>
      </c>
      <c r="G1680" t="s">
        <v>48</v>
      </c>
      <c r="H1680" t="s">
        <v>49</v>
      </c>
      <c r="I1680" t="s">
        <v>79</v>
      </c>
      <c r="J1680" t="s">
        <v>426</v>
      </c>
      <c r="K1680" t="s">
        <v>88</v>
      </c>
      <c r="L1680" t="s">
        <v>53</v>
      </c>
      <c r="N1680" t="s">
        <v>2819</v>
      </c>
      <c r="P1680" t="s">
        <v>55</v>
      </c>
      <c r="R1680" t="s">
        <v>56</v>
      </c>
      <c r="T1680" t="s">
        <v>2814</v>
      </c>
      <c r="U1680" t="s">
        <v>58</v>
      </c>
      <c r="V1680">
        <v>3</v>
      </c>
      <c r="W1680">
        <v>1</v>
      </c>
      <c r="X1680">
        <v>1</v>
      </c>
      <c r="Y1680">
        <v>0</v>
      </c>
      <c r="Z1680">
        <v>1</v>
      </c>
      <c r="AA1680">
        <v>0</v>
      </c>
      <c r="AB1680">
        <v>548.02</v>
      </c>
      <c r="AC1680">
        <v>482.2</v>
      </c>
      <c r="AD1680">
        <v>0</v>
      </c>
      <c r="AE1680">
        <v>65.819999999999993</v>
      </c>
      <c r="AF1680">
        <v>0</v>
      </c>
      <c r="AG1680">
        <v>0</v>
      </c>
      <c r="AH1680">
        <v>0</v>
      </c>
      <c r="AI1680">
        <v>0</v>
      </c>
      <c r="AJ1680">
        <v>548.02</v>
      </c>
      <c r="AK1680">
        <v>0</v>
      </c>
      <c r="AL1680" t="s">
        <v>53</v>
      </c>
      <c r="AM1680" t="s">
        <v>53</v>
      </c>
      <c r="AN1680" t="s">
        <v>59</v>
      </c>
      <c r="AO1680" t="s">
        <v>53</v>
      </c>
      <c r="AP1680" t="s">
        <v>53</v>
      </c>
    </row>
    <row r="1681" spans="2:42" x14ac:dyDescent="0.2">
      <c r="B1681" t="s">
        <v>44</v>
      </c>
      <c r="C1681" t="str">
        <f>HYPERLINK("https://us2.cloudbeds.com/connect/8493803454333002#/reservations/598607536283?display=E1GQZ3JJ&amp;reservation_id=598607536283", "E1GQZ3JJ")</f>
        <v>E1GQZ3JJ</v>
      </c>
      <c r="D1681" t="s">
        <v>45</v>
      </c>
      <c r="E1681" t="s">
        <v>69</v>
      </c>
      <c r="F1681" t="s">
        <v>70</v>
      </c>
      <c r="G1681" t="s">
        <v>48</v>
      </c>
      <c r="H1681" t="s">
        <v>49</v>
      </c>
      <c r="I1681" t="s">
        <v>50</v>
      </c>
      <c r="J1681" t="s">
        <v>1269</v>
      </c>
      <c r="K1681" t="s">
        <v>387</v>
      </c>
      <c r="L1681" t="s">
        <v>53</v>
      </c>
      <c r="N1681" t="s">
        <v>2820</v>
      </c>
      <c r="P1681" t="s">
        <v>58</v>
      </c>
      <c r="R1681" t="s">
        <v>56</v>
      </c>
      <c r="T1681" t="s">
        <v>2814</v>
      </c>
      <c r="U1681" t="s">
        <v>58</v>
      </c>
      <c r="V1681">
        <v>1</v>
      </c>
      <c r="W1681">
        <v>1</v>
      </c>
      <c r="X1681">
        <v>1</v>
      </c>
      <c r="Y1681">
        <v>0</v>
      </c>
      <c r="Z1681">
        <v>1</v>
      </c>
      <c r="AA1681">
        <v>0</v>
      </c>
      <c r="AB1681">
        <v>150.36000000000001</v>
      </c>
      <c r="AC1681">
        <v>132.30000000000001</v>
      </c>
      <c r="AD1681">
        <v>0</v>
      </c>
      <c r="AE1681">
        <v>18.07</v>
      </c>
      <c r="AF1681">
        <v>0</v>
      </c>
      <c r="AG1681">
        <v>0</v>
      </c>
      <c r="AH1681">
        <v>0</v>
      </c>
      <c r="AI1681">
        <v>27.07</v>
      </c>
      <c r="AJ1681">
        <v>150.37</v>
      </c>
      <c r="AK1681">
        <v>0.01</v>
      </c>
      <c r="AL1681" t="s">
        <v>53</v>
      </c>
      <c r="AM1681" t="s">
        <v>53</v>
      </c>
      <c r="AN1681" t="s">
        <v>349</v>
      </c>
      <c r="AO1681" t="s">
        <v>53</v>
      </c>
      <c r="AP1681" t="s">
        <v>53</v>
      </c>
    </row>
    <row r="1682" spans="2:42" x14ac:dyDescent="0.2">
      <c r="B1682" t="s">
        <v>44</v>
      </c>
      <c r="C1682" t="str">
        <f>HYPERLINK("https://us2.cloudbeds.com/connect/8493803454333002#/reservations/598286057723?display=E18JYGA0&amp;reservation_id=598286057723", "E18JYGA0")</f>
        <v>E18JYGA0</v>
      </c>
      <c r="D1682" t="s">
        <v>45</v>
      </c>
      <c r="E1682" t="s">
        <v>373</v>
      </c>
      <c r="F1682" t="s">
        <v>47</v>
      </c>
      <c r="G1682" t="s">
        <v>48</v>
      </c>
      <c r="H1682" t="s">
        <v>49</v>
      </c>
      <c r="I1682" t="s">
        <v>50</v>
      </c>
      <c r="J1682" t="s">
        <v>288</v>
      </c>
      <c r="K1682" t="s">
        <v>289</v>
      </c>
      <c r="L1682" t="s">
        <v>53</v>
      </c>
      <c r="N1682" t="s">
        <v>2821</v>
      </c>
      <c r="P1682" t="s">
        <v>55</v>
      </c>
      <c r="R1682" t="s">
        <v>56</v>
      </c>
      <c r="T1682" t="s">
        <v>2814</v>
      </c>
      <c r="U1682" t="s">
        <v>58</v>
      </c>
      <c r="V1682">
        <v>1</v>
      </c>
      <c r="W1682">
        <v>1</v>
      </c>
      <c r="X1682">
        <v>1</v>
      </c>
      <c r="Y1682">
        <v>0</v>
      </c>
      <c r="Z1682">
        <v>1</v>
      </c>
      <c r="AA1682">
        <v>0</v>
      </c>
      <c r="AB1682">
        <v>156.5</v>
      </c>
      <c r="AC1682">
        <v>137.69999999999999</v>
      </c>
      <c r="AD1682">
        <v>0</v>
      </c>
      <c r="AE1682">
        <v>18.79</v>
      </c>
      <c r="AF1682">
        <v>0</v>
      </c>
      <c r="AG1682">
        <v>0</v>
      </c>
      <c r="AH1682">
        <v>0</v>
      </c>
      <c r="AI1682">
        <v>28.17</v>
      </c>
      <c r="AJ1682">
        <v>156.49</v>
      </c>
      <c r="AK1682">
        <v>-0.01</v>
      </c>
      <c r="AL1682" t="s">
        <v>53</v>
      </c>
      <c r="AM1682" t="s">
        <v>53</v>
      </c>
      <c r="AN1682" t="s">
        <v>178</v>
      </c>
      <c r="AO1682" t="s">
        <v>53</v>
      </c>
      <c r="AP1682" t="s">
        <v>53</v>
      </c>
    </row>
    <row r="1683" spans="2:42" x14ac:dyDescent="0.2">
      <c r="B1683" t="s">
        <v>44</v>
      </c>
      <c r="C1683" t="str">
        <f>HYPERLINK("https://us2.cloudbeds.com/connect/8493803454333002#/reservations/598440468616?display=E1CHS6P0&amp;reservation_id=598440468616", "E1CHS6P0")</f>
        <v>E1CHS6P0</v>
      </c>
      <c r="D1683" t="s">
        <v>45</v>
      </c>
      <c r="E1683" t="s">
        <v>85</v>
      </c>
      <c r="F1683" t="s">
        <v>86</v>
      </c>
      <c r="G1683" t="s">
        <v>48</v>
      </c>
      <c r="H1683" t="s">
        <v>49</v>
      </c>
      <c r="I1683" t="s">
        <v>50</v>
      </c>
      <c r="J1683" t="s">
        <v>236</v>
      </c>
      <c r="K1683" t="s">
        <v>525</v>
      </c>
      <c r="L1683" t="s">
        <v>53</v>
      </c>
      <c r="N1683" t="s">
        <v>2822</v>
      </c>
      <c r="P1683" t="s">
        <v>55</v>
      </c>
      <c r="R1683" t="s">
        <v>56</v>
      </c>
      <c r="T1683" t="s">
        <v>2814</v>
      </c>
      <c r="U1683" t="s">
        <v>58</v>
      </c>
      <c r="V1683">
        <v>2</v>
      </c>
      <c r="W1683">
        <v>1</v>
      </c>
      <c r="X1683">
        <v>1</v>
      </c>
      <c r="Y1683">
        <v>0</v>
      </c>
      <c r="Z1683">
        <v>1</v>
      </c>
      <c r="AA1683">
        <v>0</v>
      </c>
      <c r="AB1683">
        <v>335.49</v>
      </c>
      <c r="AC1683">
        <v>295.2</v>
      </c>
      <c r="AD1683">
        <v>0</v>
      </c>
      <c r="AE1683">
        <v>40.299999999999997</v>
      </c>
      <c r="AF1683">
        <v>0</v>
      </c>
      <c r="AG1683">
        <v>0</v>
      </c>
      <c r="AH1683">
        <v>0</v>
      </c>
      <c r="AI1683">
        <v>60.39</v>
      </c>
      <c r="AJ1683">
        <v>335.5</v>
      </c>
      <c r="AK1683">
        <v>0.01</v>
      </c>
      <c r="AL1683" t="s">
        <v>53</v>
      </c>
      <c r="AM1683" t="s">
        <v>53</v>
      </c>
      <c r="AN1683" t="s">
        <v>2823</v>
      </c>
      <c r="AO1683" t="s">
        <v>53</v>
      </c>
      <c r="AP1683" t="s">
        <v>53</v>
      </c>
    </row>
    <row r="1684" spans="2:42" x14ac:dyDescent="0.2">
      <c r="B1684" t="s">
        <v>44</v>
      </c>
      <c r="C1684" t="str">
        <f>HYPERLINK("https://us2.cloudbeds.com/connect/8493803454333002#/reservations/598454714516?display=E1CTSKCV&amp;reservation_id=598454714516", "E1CTSKCV")</f>
        <v>E1CTSKCV</v>
      </c>
      <c r="D1684" t="s">
        <v>45</v>
      </c>
      <c r="E1684" t="s">
        <v>185</v>
      </c>
      <c r="F1684" t="s">
        <v>47</v>
      </c>
      <c r="G1684" t="s">
        <v>48</v>
      </c>
      <c r="H1684" t="s">
        <v>49</v>
      </c>
      <c r="I1684" t="s">
        <v>50</v>
      </c>
      <c r="J1684" t="s">
        <v>292</v>
      </c>
      <c r="K1684" t="s">
        <v>640</v>
      </c>
      <c r="L1684" t="s">
        <v>53</v>
      </c>
      <c r="N1684" t="s">
        <v>2824</v>
      </c>
      <c r="P1684" t="s">
        <v>55</v>
      </c>
      <c r="R1684" t="s">
        <v>56</v>
      </c>
      <c r="T1684" t="s">
        <v>2814</v>
      </c>
      <c r="U1684" t="s">
        <v>58</v>
      </c>
      <c r="V1684">
        <v>2</v>
      </c>
      <c r="W1684">
        <v>1</v>
      </c>
      <c r="X1684">
        <v>1</v>
      </c>
      <c r="Y1684">
        <v>0</v>
      </c>
      <c r="Z1684">
        <v>1</v>
      </c>
      <c r="AA1684">
        <v>0</v>
      </c>
      <c r="AB1684">
        <v>312.99</v>
      </c>
      <c r="AC1684">
        <v>275.39999999999998</v>
      </c>
      <c r="AD1684">
        <v>0</v>
      </c>
      <c r="AE1684">
        <v>37.58</v>
      </c>
      <c r="AF1684">
        <v>0</v>
      </c>
      <c r="AG1684">
        <v>0</v>
      </c>
      <c r="AH1684">
        <v>0</v>
      </c>
      <c r="AI1684">
        <v>56.34</v>
      </c>
      <c r="AJ1684">
        <v>312.98</v>
      </c>
      <c r="AK1684">
        <v>-0.01</v>
      </c>
      <c r="AL1684" t="s">
        <v>53</v>
      </c>
      <c r="AM1684" t="s">
        <v>53</v>
      </c>
      <c r="AN1684" t="s">
        <v>245</v>
      </c>
      <c r="AO1684" t="s">
        <v>53</v>
      </c>
      <c r="AP1684" t="s">
        <v>53</v>
      </c>
    </row>
    <row r="1685" spans="2:42" x14ac:dyDescent="0.2">
      <c r="B1685" t="s">
        <v>44</v>
      </c>
      <c r="C1685" t="str">
        <f>HYPERLINK("https://us2.cloudbeds.com/connect/8493803454333002#/reservations/598164431071?display=E15G31ZU&amp;reservation_id=598164431071", "E15G31ZU")</f>
        <v>E15G31ZU</v>
      </c>
      <c r="D1685" t="s">
        <v>45</v>
      </c>
      <c r="E1685" t="s">
        <v>179</v>
      </c>
      <c r="F1685" t="s">
        <v>47</v>
      </c>
      <c r="G1685" t="s">
        <v>48</v>
      </c>
      <c r="H1685" t="s">
        <v>49</v>
      </c>
      <c r="I1685" t="s">
        <v>50</v>
      </c>
      <c r="J1685" t="s">
        <v>295</v>
      </c>
      <c r="K1685" t="s">
        <v>292</v>
      </c>
      <c r="L1685" t="s">
        <v>53</v>
      </c>
      <c r="N1685" t="s">
        <v>2825</v>
      </c>
      <c r="P1685" t="s">
        <v>55</v>
      </c>
      <c r="R1685" t="s">
        <v>56</v>
      </c>
      <c r="T1685" t="s">
        <v>2814</v>
      </c>
      <c r="U1685" t="s">
        <v>58</v>
      </c>
      <c r="V1685">
        <v>1</v>
      </c>
      <c r="W1685">
        <v>1</v>
      </c>
      <c r="X1685">
        <v>1</v>
      </c>
      <c r="Y1685">
        <v>0</v>
      </c>
      <c r="Z1685">
        <v>1</v>
      </c>
      <c r="AA1685">
        <v>0</v>
      </c>
      <c r="AB1685">
        <v>117.63</v>
      </c>
      <c r="AC1685">
        <v>103.5</v>
      </c>
      <c r="AD1685">
        <v>0</v>
      </c>
      <c r="AE1685">
        <v>14.12</v>
      </c>
      <c r="AF1685">
        <v>0</v>
      </c>
      <c r="AG1685">
        <v>0</v>
      </c>
      <c r="AH1685">
        <v>0</v>
      </c>
      <c r="AI1685">
        <v>21.17</v>
      </c>
      <c r="AJ1685">
        <v>117.62</v>
      </c>
      <c r="AK1685">
        <v>-0.01</v>
      </c>
      <c r="AL1685" t="s">
        <v>53</v>
      </c>
      <c r="AM1685" t="s">
        <v>53</v>
      </c>
      <c r="AN1685" t="s">
        <v>545</v>
      </c>
      <c r="AO1685" t="s">
        <v>53</v>
      </c>
      <c r="AP1685" t="s">
        <v>53</v>
      </c>
    </row>
    <row r="1686" spans="2:42" x14ac:dyDescent="0.2">
      <c r="B1686" t="s">
        <v>44</v>
      </c>
      <c r="C1686" t="str">
        <f>HYPERLINK("https://us2.cloudbeds.com/connect/8493803454333002#/reservations/598410510543?display=E1BPJJ1K&amp;reservation_id=598410510543", "E1BPJJ1K")</f>
        <v>E1BPJJ1K</v>
      </c>
      <c r="D1686" t="s">
        <v>45</v>
      </c>
      <c r="E1686" t="s">
        <v>128</v>
      </c>
      <c r="F1686" t="s">
        <v>86</v>
      </c>
      <c r="G1686" t="s">
        <v>48</v>
      </c>
      <c r="H1686" t="s">
        <v>49</v>
      </c>
      <c r="I1686" t="s">
        <v>50</v>
      </c>
      <c r="J1686" t="s">
        <v>309</v>
      </c>
      <c r="K1686" t="s">
        <v>133</v>
      </c>
      <c r="L1686" t="s">
        <v>53</v>
      </c>
      <c r="N1686" t="s">
        <v>2826</v>
      </c>
      <c r="P1686" t="s">
        <v>55</v>
      </c>
      <c r="R1686" t="s">
        <v>56</v>
      </c>
      <c r="T1686" t="s">
        <v>2814</v>
      </c>
      <c r="U1686" t="s">
        <v>58</v>
      </c>
      <c r="V1686">
        <v>1</v>
      </c>
      <c r="W1686">
        <v>1</v>
      </c>
      <c r="X1686">
        <v>1</v>
      </c>
      <c r="Y1686">
        <v>0</v>
      </c>
      <c r="Z1686">
        <v>1</v>
      </c>
      <c r="AA1686">
        <v>0</v>
      </c>
      <c r="AB1686">
        <v>157.52000000000001</v>
      </c>
      <c r="AC1686">
        <v>138.6</v>
      </c>
      <c r="AD1686">
        <v>0</v>
      </c>
      <c r="AE1686">
        <v>18.920000000000002</v>
      </c>
      <c r="AF1686">
        <v>0</v>
      </c>
      <c r="AG1686">
        <v>0</v>
      </c>
      <c r="AH1686">
        <v>0</v>
      </c>
      <c r="AI1686">
        <v>28.35</v>
      </c>
      <c r="AJ1686">
        <v>157.52000000000001</v>
      </c>
      <c r="AK1686">
        <v>0</v>
      </c>
      <c r="AL1686" t="s">
        <v>53</v>
      </c>
      <c r="AM1686" t="s">
        <v>53</v>
      </c>
      <c r="AN1686" t="s">
        <v>252</v>
      </c>
      <c r="AO1686" t="s">
        <v>53</v>
      </c>
      <c r="AP1686" t="s">
        <v>53</v>
      </c>
    </row>
    <row r="1687" spans="2:42" x14ac:dyDescent="0.2">
      <c r="B1687" t="s">
        <v>44</v>
      </c>
      <c r="C1687" t="str">
        <f>HYPERLINK("https://us2.cloudbeds.com/connect/8493803454333002#/reservations/598102143228?display=E13TXQFH&amp;reservation_id=598102143228", "E13TXQFH")</f>
        <v>E13TXQFH</v>
      </c>
      <c r="D1687" t="s">
        <v>45</v>
      </c>
      <c r="E1687" t="s">
        <v>121</v>
      </c>
      <c r="F1687" t="s">
        <v>86</v>
      </c>
      <c r="G1687" t="s">
        <v>48</v>
      </c>
      <c r="H1687" t="s">
        <v>71</v>
      </c>
      <c r="I1687" t="s">
        <v>72</v>
      </c>
      <c r="J1687" t="s">
        <v>260</v>
      </c>
      <c r="K1687" t="s">
        <v>640</v>
      </c>
      <c r="L1687" t="s">
        <v>53</v>
      </c>
      <c r="N1687" t="s">
        <v>2827</v>
      </c>
      <c r="P1687" t="s">
        <v>55</v>
      </c>
      <c r="R1687" t="s">
        <v>56</v>
      </c>
      <c r="T1687" t="s">
        <v>2814</v>
      </c>
      <c r="U1687" t="s">
        <v>58</v>
      </c>
      <c r="V1687">
        <v>1</v>
      </c>
      <c r="W1687">
        <v>1</v>
      </c>
      <c r="X1687">
        <v>1</v>
      </c>
      <c r="Y1687">
        <v>0</v>
      </c>
      <c r="Z1687">
        <v>1</v>
      </c>
      <c r="AA1687">
        <v>0</v>
      </c>
      <c r="AB1687">
        <v>187.52</v>
      </c>
      <c r="AC1687">
        <v>165</v>
      </c>
      <c r="AD1687">
        <v>0</v>
      </c>
      <c r="AE1687">
        <v>22.53</v>
      </c>
      <c r="AF1687">
        <v>0</v>
      </c>
      <c r="AG1687">
        <v>0</v>
      </c>
      <c r="AH1687">
        <v>0</v>
      </c>
      <c r="AI1687">
        <v>0</v>
      </c>
      <c r="AJ1687">
        <v>187.53</v>
      </c>
      <c r="AK1687">
        <v>0.01</v>
      </c>
      <c r="AL1687" t="s">
        <v>53</v>
      </c>
      <c r="AM1687" t="s">
        <v>53</v>
      </c>
      <c r="AN1687" t="s">
        <v>2828</v>
      </c>
      <c r="AO1687" t="s">
        <v>53</v>
      </c>
      <c r="AP1687" t="s">
        <v>53</v>
      </c>
    </row>
    <row r="1688" spans="2:42" x14ac:dyDescent="0.2">
      <c r="B1688" t="s">
        <v>44</v>
      </c>
      <c r="C1688" t="str">
        <f>HYPERLINK("https://us2.cloudbeds.com/connect/8493803454333002#/reservations/598394282203?display=E1BBTWWZ&amp;reservation_id=598394282203", "E1BBTWWZ")</f>
        <v>E1BBTWWZ</v>
      </c>
      <c r="D1688" t="s">
        <v>45</v>
      </c>
      <c r="E1688" t="s">
        <v>85</v>
      </c>
      <c r="F1688" t="s">
        <v>86</v>
      </c>
      <c r="G1688" t="s">
        <v>48</v>
      </c>
      <c r="H1688" t="s">
        <v>49</v>
      </c>
      <c r="I1688" t="s">
        <v>79</v>
      </c>
      <c r="J1688" t="s">
        <v>133</v>
      </c>
      <c r="K1688" t="s">
        <v>549</v>
      </c>
      <c r="L1688" t="s">
        <v>53</v>
      </c>
      <c r="N1688" t="s">
        <v>2829</v>
      </c>
      <c r="P1688" t="s">
        <v>55</v>
      </c>
      <c r="R1688" t="s">
        <v>56</v>
      </c>
      <c r="T1688" t="s">
        <v>2830</v>
      </c>
      <c r="U1688" t="s">
        <v>58</v>
      </c>
      <c r="V1688">
        <v>1</v>
      </c>
      <c r="W1688">
        <v>1</v>
      </c>
      <c r="X1688">
        <v>1</v>
      </c>
      <c r="Y1688">
        <v>0</v>
      </c>
      <c r="Z1688">
        <v>1</v>
      </c>
      <c r="AA1688">
        <v>0</v>
      </c>
      <c r="AB1688">
        <v>157.52000000000001</v>
      </c>
      <c r="AC1688">
        <v>138.6</v>
      </c>
      <c r="AD1688">
        <v>0</v>
      </c>
      <c r="AE1688">
        <v>18.920000000000002</v>
      </c>
      <c r="AF1688">
        <v>0</v>
      </c>
      <c r="AG1688">
        <v>0</v>
      </c>
      <c r="AH1688">
        <v>0</v>
      </c>
      <c r="AI1688">
        <v>0</v>
      </c>
      <c r="AJ1688">
        <v>157.52000000000001</v>
      </c>
      <c r="AK1688">
        <v>0</v>
      </c>
      <c r="AL1688" t="s">
        <v>53</v>
      </c>
      <c r="AM1688" t="s">
        <v>53</v>
      </c>
      <c r="AN1688" t="s">
        <v>280</v>
      </c>
      <c r="AO1688" t="s">
        <v>53</v>
      </c>
      <c r="AP1688" t="s">
        <v>53</v>
      </c>
    </row>
    <row r="1689" spans="2:42" x14ac:dyDescent="0.2">
      <c r="B1689" t="s">
        <v>44</v>
      </c>
      <c r="C1689" t="str">
        <f>HYPERLINK("https://us2.cloudbeds.com/connect/8493803454333002#/reservations/598580478082?display=E1G3U5P3&amp;reservation_id=598580478082", "E1G3U5P3")</f>
        <v>E1G3U5P3</v>
      </c>
      <c r="D1689" t="s">
        <v>45</v>
      </c>
      <c r="E1689" t="s">
        <v>113</v>
      </c>
      <c r="F1689" t="s">
        <v>61</v>
      </c>
      <c r="G1689" t="s">
        <v>48</v>
      </c>
      <c r="H1689" t="s">
        <v>49</v>
      </c>
      <c r="I1689" t="s">
        <v>79</v>
      </c>
      <c r="J1689" t="s">
        <v>181</v>
      </c>
      <c r="K1689" t="s">
        <v>122</v>
      </c>
      <c r="L1689" t="s">
        <v>53</v>
      </c>
      <c r="N1689" t="s">
        <v>2831</v>
      </c>
      <c r="P1689" t="s">
        <v>55</v>
      </c>
      <c r="R1689" t="s">
        <v>56</v>
      </c>
      <c r="T1689" t="s">
        <v>2830</v>
      </c>
      <c r="U1689" t="s">
        <v>58</v>
      </c>
      <c r="V1689">
        <v>1</v>
      </c>
      <c r="W1689">
        <v>1</v>
      </c>
      <c r="X1689">
        <v>1</v>
      </c>
      <c r="Y1689">
        <v>0</v>
      </c>
      <c r="Z1689">
        <v>1</v>
      </c>
      <c r="AA1689">
        <v>0</v>
      </c>
      <c r="AB1689">
        <v>173.88</v>
      </c>
      <c r="AC1689">
        <v>153</v>
      </c>
      <c r="AD1689">
        <v>0</v>
      </c>
      <c r="AE1689">
        <v>20.89</v>
      </c>
      <c r="AF1689">
        <v>0</v>
      </c>
      <c r="AG1689">
        <v>0</v>
      </c>
      <c r="AH1689">
        <v>0</v>
      </c>
      <c r="AI1689">
        <v>0</v>
      </c>
      <c r="AJ1689">
        <v>173.89</v>
      </c>
      <c r="AK1689">
        <v>0.01</v>
      </c>
      <c r="AL1689" t="s">
        <v>53</v>
      </c>
      <c r="AM1689" t="s">
        <v>53</v>
      </c>
      <c r="AN1689" t="s">
        <v>332</v>
      </c>
      <c r="AO1689" t="s">
        <v>53</v>
      </c>
      <c r="AP1689" t="s">
        <v>53</v>
      </c>
    </row>
    <row r="1690" spans="2:42" x14ac:dyDescent="0.2">
      <c r="B1690" t="s">
        <v>44</v>
      </c>
      <c r="C1690" t="str">
        <f>HYPERLINK("https://us2.cloudbeds.com/connect/8493803454333002#/reservations/598373376236?display=E1AR98JX&amp;reservation_id=598373376236", "E1AR98JX")</f>
        <v>E1AR98JX</v>
      </c>
      <c r="D1690" t="s">
        <v>45</v>
      </c>
      <c r="E1690" t="s">
        <v>381</v>
      </c>
      <c r="F1690" t="s">
        <v>47</v>
      </c>
      <c r="G1690" t="s">
        <v>48</v>
      </c>
      <c r="H1690" t="s">
        <v>49</v>
      </c>
      <c r="I1690" t="s">
        <v>50</v>
      </c>
      <c r="J1690" t="s">
        <v>288</v>
      </c>
      <c r="K1690" t="s">
        <v>568</v>
      </c>
      <c r="L1690" t="s">
        <v>53</v>
      </c>
      <c r="N1690" t="s">
        <v>2832</v>
      </c>
      <c r="P1690" t="s">
        <v>55</v>
      </c>
      <c r="R1690" t="s">
        <v>56</v>
      </c>
      <c r="T1690" t="s">
        <v>2830</v>
      </c>
      <c r="U1690" t="s">
        <v>58</v>
      </c>
      <c r="V1690">
        <v>2</v>
      </c>
      <c r="W1690">
        <v>1</v>
      </c>
      <c r="X1690">
        <v>1</v>
      </c>
      <c r="Y1690">
        <v>0</v>
      </c>
      <c r="Z1690">
        <v>1</v>
      </c>
      <c r="AA1690">
        <v>0</v>
      </c>
      <c r="AB1690">
        <v>312.99</v>
      </c>
      <c r="AC1690">
        <v>275.39999999999998</v>
      </c>
      <c r="AD1690">
        <v>0</v>
      </c>
      <c r="AE1690">
        <v>37.58</v>
      </c>
      <c r="AF1690">
        <v>0</v>
      </c>
      <c r="AG1690">
        <v>0</v>
      </c>
      <c r="AH1690">
        <v>0</v>
      </c>
      <c r="AI1690">
        <v>56.34</v>
      </c>
      <c r="AJ1690">
        <v>312.98</v>
      </c>
      <c r="AK1690">
        <v>-0.01</v>
      </c>
      <c r="AL1690" t="s">
        <v>53</v>
      </c>
      <c r="AM1690" t="s">
        <v>53</v>
      </c>
      <c r="AN1690" t="s">
        <v>2833</v>
      </c>
      <c r="AO1690" t="s">
        <v>53</v>
      </c>
      <c r="AP1690" t="s">
        <v>53</v>
      </c>
    </row>
    <row r="1691" spans="2:42" x14ac:dyDescent="0.2">
      <c r="B1691" t="s">
        <v>44</v>
      </c>
      <c r="C1691" t="str">
        <f>HYPERLINK("https://us2.cloudbeds.com/connect/8493803454333002#/reservations/598586781941?display=E1G97JE4&amp;reservation_id=598586781941", "E1G97JE4")</f>
        <v>E1G97JE4</v>
      </c>
      <c r="D1691" t="s">
        <v>45</v>
      </c>
      <c r="E1691" t="s">
        <v>185</v>
      </c>
      <c r="F1691" t="s">
        <v>47</v>
      </c>
      <c r="G1691" t="s">
        <v>48</v>
      </c>
      <c r="H1691" t="s">
        <v>49</v>
      </c>
      <c r="I1691" t="s">
        <v>62</v>
      </c>
      <c r="J1691" t="s">
        <v>489</v>
      </c>
      <c r="K1691" t="s">
        <v>1568</v>
      </c>
      <c r="L1691" t="s">
        <v>53</v>
      </c>
      <c r="N1691" t="s">
        <v>2834</v>
      </c>
      <c r="P1691" t="s">
        <v>55</v>
      </c>
      <c r="R1691" t="s">
        <v>56</v>
      </c>
      <c r="T1691" t="s">
        <v>2830</v>
      </c>
      <c r="U1691" t="s">
        <v>58</v>
      </c>
      <c r="V1691">
        <v>1</v>
      </c>
      <c r="W1691">
        <v>1</v>
      </c>
      <c r="X1691">
        <v>1</v>
      </c>
      <c r="Y1691">
        <v>0</v>
      </c>
      <c r="Z1691">
        <v>1</v>
      </c>
      <c r="AA1691">
        <v>0</v>
      </c>
      <c r="AB1691">
        <v>170.48</v>
      </c>
      <c r="AC1691">
        <v>150</v>
      </c>
      <c r="AD1691">
        <v>0</v>
      </c>
      <c r="AE1691">
        <v>20.48</v>
      </c>
      <c r="AF1691">
        <v>0</v>
      </c>
      <c r="AG1691">
        <v>0</v>
      </c>
      <c r="AH1691">
        <v>0</v>
      </c>
      <c r="AI1691">
        <v>25.57</v>
      </c>
      <c r="AJ1691">
        <v>170.48</v>
      </c>
      <c r="AK1691">
        <v>0</v>
      </c>
      <c r="AL1691" t="s">
        <v>53</v>
      </c>
      <c r="AM1691" t="s">
        <v>53</v>
      </c>
      <c r="AN1691" t="s">
        <v>59</v>
      </c>
      <c r="AO1691" t="s">
        <v>53</v>
      </c>
      <c r="AP1691" t="s">
        <v>53</v>
      </c>
    </row>
    <row r="1692" spans="2:42" x14ac:dyDescent="0.2">
      <c r="B1692" t="s">
        <v>44</v>
      </c>
      <c r="C1692" t="str">
        <f>HYPERLINK("https://us2.cloudbeds.com/connect/8493803454333002#/reservations/598278086817?display=E18CUMRD&amp;reservation_id=598278086817", "E18CUMRD")</f>
        <v>E18CUMRD</v>
      </c>
      <c r="D1692" t="s">
        <v>45</v>
      </c>
      <c r="E1692" t="s">
        <v>92</v>
      </c>
      <c r="F1692" t="s">
        <v>86</v>
      </c>
      <c r="G1692" t="s">
        <v>48</v>
      </c>
      <c r="H1692" t="s">
        <v>49</v>
      </c>
      <c r="I1692" t="s">
        <v>62</v>
      </c>
      <c r="J1692" t="s">
        <v>1439</v>
      </c>
      <c r="K1692" t="s">
        <v>322</v>
      </c>
      <c r="L1692" t="s">
        <v>53</v>
      </c>
      <c r="N1692" t="s">
        <v>2835</v>
      </c>
      <c r="P1692" t="s">
        <v>55</v>
      </c>
      <c r="R1692" t="s">
        <v>2836</v>
      </c>
      <c r="T1692" t="s">
        <v>2830</v>
      </c>
      <c r="U1692" t="s">
        <v>58</v>
      </c>
      <c r="V1692">
        <v>1</v>
      </c>
      <c r="W1692">
        <v>1</v>
      </c>
      <c r="X1692">
        <v>1</v>
      </c>
      <c r="Y1692">
        <v>0</v>
      </c>
      <c r="Z1692">
        <v>1</v>
      </c>
      <c r="AA1692">
        <v>0</v>
      </c>
      <c r="AB1692">
        <v>196.05</v>
      </c>
      <c r="AC1692">
        <v>172.5</v>
      </c>
      <c r="AD1692">
        <v>0</v>
      </c>
      <c r="AE1692">
        <v>23.55</v>
      </c>
      <c r="AF1692">
        <v>0</v>
      </c>
      <c r="AG1692">
        <v>0</v>
      </c>
      <c r="AH1692">
        <v>0</v>
      </c>
      <c r="AI1692">
        <v>29.41</v>
      </c>
      <c r="AJ1692">
        <v>196.05</v>
      </c>
      <c r="AK1692">
        <v>0</v>
      </c>
      <c r="AL1692" t="s">
        <v>53</v>
      </c>
      <c r="AM1692" t="s">
        <v>53</v>
      </c>
      <c r="AN1692" t="s">
        <v>68</v>
      </c>
      <c r="AO1692" t="s">
        <v>53</v>
      </c>
      <c r="AP1692" t="s">
        <v>53</v>
      </c>
    </row>
    <row r="1693" spans="2:42" x14ac:dyDescent="0.2">
      <c r="B1693" t="s">
        <v>44</v>
      </c>
      <c r="C1693" t="str">
        <f>HYPERLINK("https://us2.cloudbeds.com/connect/8493803454333002#/reservations/579337273526?display=DJJDHY5A&amp;reservation_id=579337273526", "DJJDHY5A")</f>
        <v>DJJDHY5A</v>
      </c>
      <c r="D1693" t="s">
        <v>45</v>
      </c>
      <c r="E1693" t="s">
        <v>69</v>
      </c>
      <c r="F1693" t="s">
        <v>70</v>
      </c>
      <c r="G1693" t="s">
        <v>48</v>
      </c>
      <c r="H1693" t="s">
        <v>71</v>
      </c>
      <c r="I1693" t="s">
        <v>72</v>
      </c>
      <c r="J1693" t="s">
        <v>2314</v>
      </c>
      <c r="K1693" t="s">
        <v>1555</v>
      </c>
      <c r="L1693" t="s">
        <v>53</v>
      </c>
      <c r="N1693" t="s">
        <v>2837</v>
      </c>
      <c r="P1693" t="s">
        <v>58</v>
      </c>
      <c r="R1693" t="s">
        <v>56</v>
      </c>
      <c r="T1693" t="s">
        <v>2830</v>
      </c>
      <c r="U1693" t="s">
        <v>58</v>
      </c>
      <c r="V1693">
        <v>1</v>
      </c>
      <c r="W1693">
        <v>1</v>
      </c>
      <c r="X1693">
        <v>1</v>
      </c>
      <c r="Y1693">
        <v>0</v>
      </c>
      <c r="Z1693">
        <v>1</v>
      </c>
      <c r="AA1693">
        <v>0</v>
      </c>
      <c r="AB1693">
        <v>145.47</v>
      </c>
      <c r="AC1693">
        <v>128</v>
      </c>
      <c r="AD1693">
        <v>0</v>
      </c>
      <c r="AE1693">
        <v>17.47</v>
      </c>
      <c r="AF1693">
        <v>0</v>
      </c>
      <c r="AG1693">
        <v>0</v>
      </c>
      <c r="AH1693">
        <v>0</v>
      </c>
      <c r="AI1693">
        <v>0</v>
      </c>
      <c r="AJ1693">
        <v>145.47</v>
      </c>
      <c r="AK1693">
        <v>0</v>
      </c>
      <c r="AL1693" t="s">
        <v>53</v>
      </c>
      <c r="AM1693" t="s">
        <v>53</v>
      </c>
      <c r="AN1693" t="s">
        <v>378</v>
      </c>
      <c r="AO1693" t="s">
        <v>53</v>
      </c>
      <c r="AP1693" t="s">
        <v>53</v>
      </c>
    </row>
    <row r="1694" spans="2:42" x14ac:dyDescent="0.2">
      <c r="B1694" t="s">
        <v>44</v>
      </c>
      <c r="C1694" t="str">
        <f>HYPERLINK("https://us2.cloudbeds.com/connect/8493803454333002#/reservations/598392766605?display=E1BAKR8H&amp;reservation_id=598392766605", "E1BAKR8H")</f>
        <v>E1BAKR8H</v>
      </c>
      <c r="D1694" t="s">
        <v>45</v>
      </c>
      <c r="E1694" t="s">
        <v>165</v>
      </c>
      <c r="F1694" t="s">
        <v>61</v>
      </c>
      <c r="G1694" t="s">
        <v>48</v>
      </c>
      <c r="H1694" t="s">
        <v>49</v>
      </c>
      <c r="I1694" t="s">
        <v>79</v>
      </c>
      <c r="J1694" t="s">
        <v>292</v>
      </c>
      <c r="K1694" t="s">
        <v>640</v>
      </c>
      <c r="L1694" t="s">
        <v>53</v>
      </c>
      <c r="N1694" t="s">
        <v>2838</v>
      </c>
      <c r="P1694" t="s">
        <v>55</v>
      </c>
      <c r="R1694" t="s">
        <v>56</v>
      </c>
      <c r="T1694" t="s">
        <v>2830</v>
      </c>
      <c r="U1694" t="s">
        <v>58</v>
      </c>
      <c r="V1694">
        <v>2</v>
      </c>
      <c r="W1694">
        <v>1</v>
      </c>
      <c r="X1694">
        <v>1</v>
      </c>
      <c r="Y1694">
        <v>0</v>
      </c>
      <c r="Z1694">
        <v>1</v>
      </c>
      <c r="AA1694">
        <v>0</v>
      </c>
      <c r="AB1694">
        <v>331.4</v>
      </c>
      <c r="AC1694">
        <v>291.60000000000002</v>
      </c>
      <c r="AD1694">
        <v>0</v>
      </c>
      <c r="AE1694">
        <v>39.799999999999997</v>
      </c>
      <c r="AF1694">
        <v>0</v>
      </c>
      <c r="AG1694">
        <v>0</v>
      </c>
      <c r="AH1694">
        <v>0</v>
      </c>
      <c r="AI1694">
        <v>0</v>
      </c>
      <c r="AJ1694">
        <v>331.4</v>
      </c>
      <c r="AK1694">
        <v>0</v>
      </c>
      <c r="AL1694" t="s">
        <v>53</v>
      </c>
      <c r="AM1694" t="s">
        <v>53</v>
      </c>
      <c r="AN1694" t="s">
        <v>2839</v>
      </c>
      <c r="AO1694" t="s">
        <v>53</v>
      </c>
      <c r="AP1694" t="s">
        <v>53</v>
      </c>
    </row>
    <row r="1695" spans="2:42" x14ac:dyDescent="0.2">
      <c r="B1695" t="s">
        <v>44</v>
      </c>
      <c r="C1695" t="str">
        <f>HYPERLINK("https://us2.cloudbeds.com/connect/8493803454333002#/reservations/598584836312?display=E1G7JEQY&amp;reservation_id=598584836312", "E1G7JEQY")</f>
        <v>E1G7JEQY</v>
      </c>
      <c r="D1695" t="s">
        <v>45</v>
      </c>
      <c r="E1695" t="s">
        <v>113</v>
      </c>
      <c r="F1695" t="s">
        <v>61</v>
      </c>
      <c r="G1695" t="s">
        <v>48</v>
      </c>
      <c r="H1695" t="s">
        <v>49</v>
      </c>
      <c r="I1695" t="s">
        <v>50</v>
      </c>
      <c r="J1695" t="s">
        <v>568</v>
      </c>
      <c r="K1695" t="s">
        <v>181</v>
      </c>
      <c r="L1695" t="s">
        <v>53</v>
      </c>
      <c r="N1695" t="s">
        <v>2840</v>
      </c>
      <c r="P1695" t="s">
        <v>55</v>
      </c>
      <c r="R1695" t="s">
        <v>56</v>
      </c>
      <c r="T1695" t="s">
        <v>2830</v>
      </c>
      <c r="U1695" t="s">
        <v>58</v>
      </c>
      <c r="V1695">
        <v>2</v>
      </c>
      <c r="W1695">
        <v>1</v>
      </c>
      <c r="X1695">
        <v>1</v>
      </c>
      <c r="Y1695">
        <v>0</v>
      </c>
      <c r="Z1695">
        <v>1</v>
      </c>
      <c r="AA1695">
        <v>0</v>
      </c>
      <c r="AB1695">
        <v>334.47</v>
      </c>
      <c r="AC1695">
        <v>294.3</v>
      </c>
      <c r="AD1695">
        <v>0</v>
      </c>
      <c r="AE1695">
        <v>40.18</v>
      </c>
      <c r="AF1695">
        <v>0</v>
      </c>
      <c r="AG1695">
        <v>0</v>
      </c>
      <c r="AH1695">
        <v>0</v>
      </c>
      <c r="AI1695">
        <v>60.21</v>
      </c>
      <c r="AJ1695">
        <v>334.48</v>
      </c>
      <c r="AK1695">
        <v>0.01</v>
      </c>
      <c r="AL1695" t="s">
        <v>53</v>
      </c>
      <c r="AM1695" t="s">
        <v>53</v>
      </c>
      <c r="AN1695" t="s">
        <v>142</v>
      </c>
      <c r="AO1695" t="s">
        <v>53</v>
      </c>
      <c r="AP1695" t="s">
        <v>53</v>
      </c>
    </row>
    <row r="1696" spans="2:42" x14ac:dyDescent="0.2">
      <c r="B1696" t="s">
        <v>44</v>
      </c>
      <c r="C1696" t="str">
        <f>HYPERLINK("https://us2.cloudbeds.com/connect/8493803454333002#/reservations/598353514638?display=E1AAHJ6W&amp;reservation_id=598353514638", "E1AAHJ6W")</f>
        <v>E1AAHJ6W</v>
      </c>
      <c r="D1696" t="s">
        <v>45</v>
      </c>
      <c r="E1696" t="s">
        <v>78</v>
      </c>
      <c r="F1696" t="s">
        <v>61</v>
      </c>
      <c r="G1696" t="s">
        <v>48</v>
      </c>
      <c r="H1696" t="s">
        <v>71</v>
      </c>
      <c r="I1696" t="s">
        <v>72</v>
      </c>
      <c r="J1696" t="s">
        <v>327</v>
      </c>
      <c r="K1696" t="s">
        <v>288</v>
      </c>
      <c r="L1696" t="s">
        <v>53</v>
      </c>
      <c r="N1696" t="s">
        <v>2841</v>
      </c>
      <c r="P1696" t="s">
        <v>55</v>
      </c>
      <c r="R1696" t="s">
        <v>56</v>
      </c>
      <c r="T1696" t="s">
        <v>2830</v>
      </c>
      <c r="U1696" t="s">
        <v>58</v>
      </c>
      <c r="V1696">
        <v>2</v>
      </c>
      <c r="W1696">
        <v>1</v>
      </c>
      <c r="X1696">
        <v>1</v>
      </c>
      <c r="Y1696">
        <v>0</v>
      </c>
      <c r="Z1696">
        <v>1</v>
      </c>
      <c r="AA1696">
        <v>0</v>
      </c>
      <c r="AB1696">
        <v>371.64</v>
      </c>
      <c r="AC1696">
        <v>327</v>
      </c>
      <c r="AD1696">
        <v>0</v>
      </c>
      <c r="AE1696">
        <v>44.62</v>
      </c>
      <c r="AF1696">
        <v>0</v>
      </c>
      <c r="AG1696">
        <v>0</v>
      </c>
      <c r="AH1696">
        <v>0</v>
      </c>
      <c r="AI1696">
        <v>0</v>
      </c>
      <c r="AJ1696">
        <v>371.62</v>
      </c>
      <c r="AK1696">
        <v>-0.02</v>
      </c>
      <c r="AL1696" t="s">
        <v>53</v>
      </c>
      <c r="AM1696" t="s">
        <v>53</v>
      </c>
      <c r="AN1696" t="s">
        <v>2842</v>
      </c>
      <c r="AO1696" t="s">
        <v>53</v>
      </c>
      <c r="AP1696" t="s">
        <v>53</v>
      </c>
    </row>
    <row r="1697" spans="2:42" x14ac:dyDescent="0.2">
      <c r="B1697" t="s">
        <v>44</v>
      </c>
      <c r="C1697" t="str">
        <f>HYPERLINK("https://us2.cloudbeds.com/connect/8493803454333002#/reservations/598086889620?display=E13GNBFW&amp;reservation_id=598086889620", "E13GNBFW")</f>
        <v>E13GNBFW</v>
      </c>
      <c r="D1697" t="s">
        <v>45</v>
      </c>
      <c r="E1697" t="s">
        <v>373</v>
      </c>
      <c r="F1697" t="s">
        <v>47</v>
      </c>
      <c r="G1697" t="s">
        <v>48</v>
      </c>
      <c r="H1697" t="s">
        <v>49</v>
      </c>
      <c r="I1697" t="s">
        <v>62</v>
      </c>
      <c r="J1697" t="s">
        <v>640</v>
      </c>
      <c r="K1697" t="s">
        <v>134</v>
      </c>
      <c r="L1697" t="s">
        <v>53</v>
      </c>
      <c r="N1697" t="s">
        <v>2843</v>
      </c>
      <c r="P1697" t="s">
        <v>55</v>
      </c>
      <c r="R1697" t="s">
        <v>56</v>
      </c>
      <c r="T1697" t="s">
        <v>2830</v>
      </c>
      <c r="U1697" t="s">
        <v>58</v>
      </c>
      <c r="V1697">
        <v>4</v>
      </c>
      <c r="W1697">
        <v>1</v>
      </c>
      <c r="X1697">
        <v>1</v>
      </c>
      <c r="Y1697">
        <v>0</v>
      </c>
      <c r="Z1697">
        <v>1</v>
      </c>
      <c r="AA1697">
        <v>0</v>
      </c>
      <c r="AB1697">
        <v>647.80999999999995</v>
      </c>
      <c r="AC1697">
        <v>570</v>
      </c>
      <c r="AD1697">
        <v>0</v>
      </c>
      <c r="AE1697">
        <v>77.8</v>
      </c>
      <c r="AF1697">
        <v>0</v>
      </c>
      <c r="AG1697">
        <v>0</v>
      </c>
      <c r="AH1697">
        <v>0</v>
      </c>
      <c r="AI1697">
        <v>97.17</v>
      </c>
      <c r="AJ1697">
        <v>647.79999999999995</v>
      </c>
      <c r="AK1697">
        <v>-0.01</v>
      </c>
      <c r="AL1697" t="s">
        <v>53</v>
      </c>
      <c r="AM1697" t="s">
        <v>53</v>
      </c>
      <c r="AN1697" t="s">
        <v>545</v>
      </c>
      <c r="AO1697" t="s">
        <v>53</v>
      </c>
      <c r="AP1697" t="s">
        <v>53</v>
      </c>
    </row>
    <row r="1698" spans="2:42" x14ac:dyDescent="0.2">
      <c r="B1698" t="s">
        <v>44</v>
      </c>
      <c r="C1698" t="str">
        <f>HYPERLINK("https://us2.cloudbeds.com/connect/8493803454333002#/reservations/598398853327?display=E1BFP6HY&amp;reservation_id=598398853327", "E1BFP6HY")</f>
        <v>E1BFP6HY</v>
      </c>
      <c r="D1698" t="s">
        <v>45</v>
      </c>
      <c r="E1698" t="s">
        <v>373</v>
      </c>
      <c r="F1698" t="s">
        <v>47</v>
      </c>
      <c r="G1698" t="s">
        <v>48</v>
      </c>
      <c r="H1698" t="s">
        <v>49</v>
      </c>
      <c r="I1698" t="s">
        <v>62</v>
      </c>
      <c r="J1698" t="s">
        <v>292</v>
      </c>
      <c r="K1698" t="s">
        <v>260</v>
      </c>
      <c r="L1698" t="s">
        <v>53</v>
      </c>
      <c r="N1698" t="s">
        <v>2844</v>
      </c>
      <c r="P1698" t="s">
        <v>55</v>
      </c>
      <c r="R1698" t="s">
        <v>56</v>
      </c>
      <c r="T1698" t="s">
        <v>2830</v>
      </c>
      <c r="U1698" t="s">
        <v>58</v>
      </c>
      <c r="V1698">
        <v>1</v>
      </c>
      <c r="W1698">
        <v>1</v>
      </c>
      <c r="X1698">
        <v>1</v>
      </c>
      <c r="Y1698">
        <v>0</v>
      </c>
      <c r="Z1698">
        <v>1</v>
      </c>
      <c r="AA1698">
        <v>0</v>
      </c>
      <c r="AB1698">
        <v>173.88</v>
      </c>
      <c r="AC1698">
        <v>153</v>
      </c>
      <c r="AD1698">
        <v>0</v>
      </c>
      <c r="AE1698">
        <v>20.89</v>
      </c>
      <c r="AF1698">
        <v>0</v>
      </c>
      <c r="AG1698">
        <v>0</v>
      </c>
      <c r="AH1698">
        <v>0</v>
      </c>
      <c r="AI1698">
        <v>26.08</v>
      </c>
      <c r="AJ1698">
        <v>173.89</v>
      </c>
      <c r="AK1698">
        <v>0.01</v>
      </c>
      <c r="AL1698" t="s">
        <v>53</v>
      </c>
      <c r="AM1698" t="s">
        <v>53</v>
      </c>
      <c r="AN1698" t="s">
        <v>142</v>
      </c>
      <c r="AO1698" t="s">
        <v>53</v>
      </c>
      <c r="AP1698" t="s">
        <v>53</v>
      </c>
    </row>
    <row r="1699" spans="2:42" x14ac:dyDescent="0.2">
      <c r="B1699" t="s">
        <v>44</v>
      </c>
      <c r="C1699" t="str">
        <f>HYPERLINK("https://us2.cloudbeds.com/connect/8493803454333002#/reservations/598460834029?display=E1D20TPZ&amp;reservation_id=598460834029", "E1D20TPZ")</f>
        <v>E1D20TPZ</v>
      </c>
      <c r="D1699" t="s">
        <v>45</v>
      </c>
      <c r="E1699" t="s">
        <v>85</v>
      </c>
      <c r="F1699" t="s">
        <v>86</v>
      </c>
      <c r="G1699" t="s">
        <v>48</v>
      </c>
      <c r="H1699" t="s">
        <v>49</v>
      </c>
      <c r="I1699" t="s">
        <v>50</v>
      </c>
      <c r="J1699" t="s">
        <v>488</v>
      </c>
      <c r="K1699" t="s">
        <v>1568</v>
      </c>
      <c r="L1699" t="s">
        <v>53</v>
      </c>
      <c r="N1699" t="s">
        <v>2845</v>
      </c>
      <c r="P1699" t="s">
        <v>55</v>
      </c>
      <c r="R1699" t="s">
        <v>56</v>
      </c>
      <c r="T1699" t="s">
        <v>2830</v>
      </c>
      <c r="U1699" t="s">
        <v>58</v>
      </c>
      <c r="V1699">
        <v>2</v>
      </c>
      <c r="W1699">
        <v>1</v>
      </c>
      <c r="X1699">
        <v>1</v>
      </c>
      <c r="Y1699">
        <v>0</v>
      </c>
      <c r="Z1699">
        <v>1</v>
      </c>
      <c r="AA1699">
        <v>0</v>
      </c>
      <c r="AB1699">
        <v>348.79</v>
      </c>
      <c r="AC1699">
        <v>306.89999999999998</v>
      </c>
      <c r="AD1699">
        <v>0</v>
      </c>
      <c r="AE1699">
        <v>41.9</v>
      </c>
      <c r="AF1699">
        <v>0</v>
      </c>
      <c r="AG1699">
        <v>0</v>
      </c>
      <c r="AH1699">
        <v>0</v>
      </c>
      <c r="AI1699">
        <v>62.78</v>
      </c>
      <c r="AJ1699">
        <v>348.8</v>
      </c>
      <c r="AK1699">
        <v>0.01</v>
      </c>
      <c r="AL1699" t="s">
        <v>53</v>
      </c>
      <c r="AM1699" t="s">
        <v>53</v>
      </c>
      <c r="AN1699" t="s">
        <v>252</v>
      </c>
      <c r="AO1699" t="s">
        <v>53</v>
      </c>
      <c r="AP1699" t="s">
        <v>53</v>
      </c>
    </row>
    <row r="1700" spans="2:42" x14ac:dyDescent="0.2">
      <c r="B1700" t="s">
        <v>44</v>
      </c>
      <c r="C1700" t="str">
        <f>HYPERLINK("https://us2.cloudbeds.com/connect/8493803454333002#/reservations/579335037177?display=DJJBYDJ4&amp;reservation_id=579335037177", "DJJBYDJ4")</f>
        <v>DJJBYDJ4</v>
      </c>
      <c r="D1700" t="s">
        <v>45</v>
      </c>
      <c r="E1700" t="s">
        <v>138</v>
      </c>
      <c r="F1700" t="s">
        <v>70</v>
      </c>
      <c r="G1700" t="s">
        <v>48</v>
      </c>
      <c r="H1700" t="s">
        <v>71</v>
      </c>
      <c r="I1700" t="s">
        <v>72</v>
      </c>
      <c r="J1700" t="s">
        <v>2314</v>
      </c>
      <c r="K1700" t="s">
        <v>1555</v>
      </c>
      <c r="L1700" t="s">
        <v>53</v>
      </c>
      <c r="N1700" t="s">
        <v>2846</v>
      </c>
      <c r="P1700" t="s">
        <v>58</v>
      </c>
      <c r="R1700" t="s">
        <v>56</v>
      </c>
      <c r="T1700" t="s">
        <v>2830</v>
      </c>
      <c r="U1700" t="s">
        <v>58</v>
      </c>
      <c r="V1700">
        <v>1</v>
      </c>
      <c r="W1700">
        <v>1</v>
      </c>
      <c r="X1700">
        <v>1</v>
      </c>
      <c r="Y1700">
        <v>0</v>
      </c>
      <c r="Z1700">
        <v>1</v>
      </c>
      <c r="AA1700">
        <v>0</v>
      </c>
      <c r="AB1700">
        <v>145.47</v>
      </c>
      <c r="AC1700">
        <v>128</v>
      </c>
      <c r="AD1700">
        <v>0</v>
      </c>
      <c r="AE1700">
        <v>17.47</v>
      </c>
      <c r="AF1700">
        <v>0</v>
      </c>
      <c r="AG1700">
        <v>0</v>
      </c>
      <c r="AH1700">
        <v>0</v>
      </c>
      <c r="AI1700">
        <v>0</v>
      </c>
      <c r="AJ1700">
        <v>145.47</v>
      </c>
      <c r="AK1700">
        <v>0</v>
      </c>
      <c r="AL1700" t="s">
        <v>53</v>
      </c>
      <c r="AM1700" t="s">
        <v>53</v>
      </c>
      <c r="AN1700" t="s">
        <v>378</v>
      </c>
      <c r="AO1700" t="s">
        <v>53</v>
      </c>
      <c r="AP1700" t="s">
        <v>53</v>
      </c>
    </row>
    <row r="1701" spans="2:42" x14ac:dyDescent="0.2">
      <c r="B1701" t="s">
        <v>44</v>
      </c>
      <c r="C1701" t="str">
        <f>HYPERLINK("https://us2.cloudbeds.com/connect/8493803454333002#/reservations/598537011438?display=E1F08YG1&amp;reservation_id=598537011438", "E1F08YG1")</f>
        <v>E1F08YG1</v>
      </c>
      <c r="D1701" t="s">
        <v>45</v>
      </c>
      <c r="E1701" t="s">
        <v>121</v>
      </c>
      <c r="F1701" t="s">
        <v>86</v>
      </c>
      <c r="G1701" t="s">
        <v>48</v>
      </c>
      <c r="H1701" t="s">
        <v>49</v>
      </c>
      <c r="I1701" t="s">
        <v>62</v>
      </c>
      <c r="J1701" t="s">
        <v>568</v>
      </c>
      <c r="K1701" t="s">
        <v>180</v>
      </c>
      <c r="L1701" t="s">
        <v>53</v>
      </c>
      <c r="N1701" t="s">
        <v>2847</v>
      </c>
      <c r="P1701" t="s">
        <v>55</v>
      </c>
      <c r="R1701" t="s">
        <v>56</v>
      </c>
      <c r="T1701" t="s">
        <v>2830</v>
      </c>
      <c r="U1701" t="s">
        <v>58</v>
      </c>
      <c r="V1701">
        <v>1</v>
      </c>
      <c r="W1701">
        <v>1</v>
      </c>
      <c r="X1701">
        <v>1</v>
      </c>
      <c r="Y1701">
        <v>0</v>
      </c>
      <c r="Z1701">
        <v>1</v>
      </c>
      <c r="AA1701">
        <v>0</v>
      </c>
      <c r="AB1701">
        <v>192.07</v>
      </c>
      <c r="AC1701">
        <v>169</v>
      </c>
      <c r="AD1701">
        <v>0</v>
      </c>
      <c r="AE1701">
        <v>23.07</v>
      </c>
      <c r="AF1701">
        <v>0</v>
      </c>
      <c r="AG1701">
        <v>0</v>
      </c>
      <c r="AH1701">
        <v>0</v>
      </c>
      <c r="AI1701">
        <v>28.81</v>
      </c>
      <c r="AJ1701">
        <v>192.07</v>
      </c>
      <c r="AK1701">
        <v>0</v>
      </c>
      <c r="AL1701" t="s">
        <v>53</v>
      </c>
      <c r="AM1701" t="s">
        <v>53</v>
      </c>
      <c r="AN1701" t="s">
        <v>142</v>
      </c>
      <c r="AO1701" t="s">
        <v>53</v>
      </c>
      <c r="AP1701" t="s">
        <v>53</v>
      </c>
    </row>
    <row r="1702" spans="2:42" x14ac:dyDescent="0.2">
      <c r="B1702" t="s">
        <v>44</v>
      </c>
      <c r="C1702" t="str">
        <f>HYPERLINK("https://us2.cloudbeds.com/connect/8493803454333002#/reservations/579335037127?display=DJJBYDHY&amp;reservation_id=579335037127", "DJJBYDHY")</f>
        <v>DJJBYDHY</v>
      </c>
      <c r="D1702" t="s">
        <v>45</v>
      </c>
      <c r="E1702" t="s">
        <v>213</v>
      </c>
      <c r="F1702" t="s">
        <v>86</v>
      </c>
      <c r="G1702" t="s">
        <v>48</v>
      </c>
      <c r="H1702" t="s">
        <v>71</v>
      </c>
      <c r="I1702" t="s">
        <v>72</v>
      </c>
      <c r="J1702" t="s">
        <v>2314</v>
      </c>
      <c r="K1702" t="s">
        <v>1555</v>
      </c>
      <c r="L1702" t="s">
        <v>53</v>
      </c>
      <c r="N1702" t="s">
        <v>2848</v>
      </c>
      <c r="P1702" t="s">
        <v>58</v>
      </c>
      <c r="R1702" t="s">
        <v>56</v>
      </c>
      <c r="T1702" t="s">
        <v>2830</v>
      </c>
      <c r="U1702" t="s">
        <v>58</v>
      </c>
      <c r="V1702">
        <v>1</v>
      </c>
      <c r="W1702">
        <v>1</v>
      </c>
      <c r="X1702">
        <v>1</v>
      </c>
      <c r="Y1702">
        <v>0</v>
      </c>
      <c r="Z1702">
        <v>1</v>
      </c>
      <c r="AA1702">
        <v>0</v>
      </c>
      <c r="AB1702">
        <v>182.98</v>
      </c>
      <c r="AC1702">
        <v>161</v>
      </c>
      <c r="AD1702">
        <v>0</v>
      </c>
      <c r="AE1702">
        <v>21.98</v>
      </c>
      <c r="AF1702">
        <v>0</v>
      </c>
      <c r="AG1702">
        <v>0</v>
      </c>
      <c r="AH1702">
        <v>0</v>
      </c>
      <c r="AI1702">
        <v>0</v>
      </c>
      <c r="AJ1702">
        <v>182.98</v>
      </c>
      <c r="AK1702">
        <v>0</v>
      </c>
      <c r="AL1702" t="s">
        <v>53</v>
      </c>
      <c r="AM1702" t="s">
        <v>53</v>
      </c>
      <c r="AN1702" t="s">
        <v>378</v>
      </c>
      <c r="AO1702" t="s">
        <v>53</v>
      </c>
      <c r="AP1702" t="s">
        <v>53</v>
      </c>
    </row>
    <row r="1703" spans="2:42" x14ac:dyDescent="0.2">
      <c r="B1703" t="s">
        <v>44</v>
      </c>
      <c r="C1703" t="str">
        <f>HYPERLINK("https://us2.cloudbeds.com/connect/8493803454333002#/reservations/579185750232?display=DJFHP9AB&amp;reservation_id=579185750232", "DJFHP9AB")</f>
        <v>DJFHP9AB</v>
      </c>
      <c r="D1703" t="s">
        <v>45</v>
      </c>
      <c r="E1703" t="s">
        <v>165</v>
      </c>
      <c r="F1703" t="s">
        <v>61</v>
      </c>
      <c r="G1703" t="s">
        <v>48</v>
      </c>
      <c r="H1703" t="s">
        <v>49</v>
      </c>
      <c r="I1703" t="s">
        <v>50</v>
      </c>
      <c r="J1703" t="s">
        <v>1862</v>
      </c>
      <c r="K1703" t="s">
        <v>1745</v>
      </c>
      <c r="L1703" t="s">
        <v>53</v>
      </c>
      <c r="N1703" t="s">
        <v>2849</v>
      </c>
      <c r="P1703" t="s">
        <v>55</v>
      </c>
      <c r="R1703" t="s">
        <v>56</v>
      </c>
      <c r="T1703" t="s">
        <v>2850</v>
      </c>
      <c r="U1703" t="s">
        <v>58</v>
      </c>
      <c r="V1703">
        <v>4</v>
      </c>
      <c r="W1703">
        <v>1</v>
      </c>
      <c r="X1703">
        <v>1</v>
      </c>
      <c r="Y1703">
        <v>0</v>
      </c>
      <c r="Z1703">
        <v>1</v>
      </c>
      <c r="AA1703">
        <v>0</v>
      </c>
      <c r="AB1703">
        <v>633.14</v>
      </c>
      <c r="AC1703">
        <v>557.1</v>
      </c>
      <c r="AD1703">
        <v>0</v>
      </c>
      <c r="AE1703">
        <v>76.040000000000006</v>
      </c>
      <c r="AF1703">
        <v>0</v>
      </c>
      <c r="AG1703">
        <v>0</v>
      </c>
      <c r="AH1703">
        <v>0</v>
      </c>
      <c r="AI1703">
        <v>113.97</v>
      </c>
      <c r="AJ1703">
        <v>633.14</v>
      </c>
      <c r="AK1703">
        <v>0</v>
      </c>
      <c r="AL1703" t="s">
        <v>53</v>
      </c>
      <c r="AM1703" t="s">
        <v>53</v>
      </c>
      <c r="AN1703" t="s">
        <v>198</v>
      </c>
      <c r="AO1703" t="s">
        <v>53</v>
      </c>
      <c r="AP1703" t="s">
        <v>53</v>
      </c>
    </row>
    <row r="1704" spans="2:42" x14ac:dyDescent="0.2">
      <c r="B1704" t="s">
        <v>44</v>
      </c>
      <c r="C1704" t="str">
        <f>HYPERLINK("https://us2.cloudbeds.com/connect/8493803454333002#/reservations/598567002312?display=E1FPX6AE&amp;reservation_id=598567002312", "E1FPX6AE")</f>
        <v>E1FPX6AE</v>
      </c>
      <c r="D1704" t="s">
        <v>45</v>
      </c>
      <c r="E1704" t="s">
        <v>179</v>
      </c>
      <c r="F1704" t="s">
        <v>47</v>
      </c>
      <c r="G1704" t="s">
        <v>48</v>
      </c>
      <c r="H1704" t="s">
        <v>49</v>
      </c>
      <c r="I1704" t="s">
        <v>79</v>
      </c>
      <c r="J1704" t="s">
        <v>327</v>
      </c>
      <c r="K1704" t="s">
        <v>970</v>
      </c>
      <c r="L1704" t="s">
        <v>53</v>
      </c>
      <c r="N1704" t="s">
        <v>2851</v>
      </c>
      <c r="P1704" t="s">
        <v>55</v>
      </c>
      <c r="R1704" t="s">
        <v>56</v>
      </c>
      <c r="T1704" t="s">
        <v>2850</v>
      </c>
      <c r="U1704" t="s">
        <v>58</v>
      </c>
      <c r="V1704">
        <v>1</v>
      </c>
      <c r="W1704">
        <v>1</v>
      </c>
      <c r="X1704">
        <v>1</v>
      </c>
      <c r="Y1704">
        <v>0</v>
      </c>
      <c r="Z1704">
        <v>1</v>
      </c>
      <c r="AA1704">
        <v>0</v>
      </c>
      <c r="AB1704">
        <v>164.68</v>
      </c>
      <c r="AC1704">
        <v>144.9</v>
      </c>
      <c r="AD1704">
        <v>0</v>
      </c>
      <c r="AE1704">
        <v>19.78</v>
      </c>
      <c r="AF1704">
        <v>0</v>
      </c>
      <c r="AG1704">
        <v>0</v>
      </c>
      <c r="AH1704">
        <v>0</v>
      </c>
      <c r="AI1704">
        <v>0</v>
      </c>
      <c r="AJ1704">
        <v>164.68</v>
      </c>
      <c r="AK1704">
        <v>0</v>
      </c>
      <c r="AL1704" t="s">
        <v>53</v>
      </c>
      <c r="AM1704" t="s">
        <v>53</v>
      </c>
      <c r="AN1704" t="s">
        <v>104</v>
      </c>
      <c r="AO1704" t="s">
        <v>53</v>
      </c>
      <c r="AP1704" t="s">
        <v>53</v>
      </c>
    </row>
    <row r="1705" spans="2:42" x14ac:dyDescent="0.2">
      <c r="B1705" t="s">
        <v>44</v>
      </c>
      <c r="C1705" t="str">
        <f>HYPERLINK("https://us2.cloudbeds.com/connect/8493803454333002#/reservations/598400209130?display=E1BGTUHJ&amp;reservation_id=598400209130", "E1BGTUHJ")</f>
        <v>E1BGTUHJ</v>
      </c>
      <c r="D1705" t="s">
        <v>45</v>
      </c>
      <c r="E1705" t="s">
        <v>190</v>
      </c>
      <c r="F1705" t="s">
        <v>61</v>
      </c>
      <c r="G1705" t="s">
        <v>48</v>
      </c>
      <c r="H1705" t="s">
        <v>49</v>
      </c>
      <c r="I1705" t="s">
        <v>62</v>
      </c>
      <c r="J1705" t="s">
        <v>640</v>
      </c>
      <c r="K1705" t="s">
        <v>309</v>
      </c>
      <c r="L1705" t="s">
        <v>53</v>
      </c>
      <c r="N1705" t="s">
        <v>2852</v>
      </c>
      <c r="P1705" t="s">
        <v>58</v>
      </c>
      <c r="R1705" t="s">
        <v>56</v>
      </c>
      <c r="T1705" t="s">
        <v>2850</v>
      </c>
      <c r="U1705" t="s">
        <v>58</v>
      </c>
      <c r="V1705">
        <v>1</v>
      </c>
      <c r="W1705">
        <v>1</v>
      </c>
      <c r="X1705">
        <v>1</v>
      </c>
      <c r="Y1705">
        <v>0</v>
      </c>
      <c r="Z1705">
        <v>1</v>
      </c>
      <c r="AA1705">
        <v>0</v>
      </c>
      <c r="AB1705">
        <v>156.84</v>
      </c>
      <c r="AC1705">
        <v>138</v>
      </c>
      <c r="AD1705">
        <v>0</v>
      </c>
      <c r="AE1705">
        <v>18.84</v>
      </c>
      <c r="AF1705">
        <v>0</v>
      </c>
      <c r="AG1705">
        <v>0</v>
      </c>
      <c r="AH1705">
        <v>0</v>
      </c>
      <c r="AI1705">
        <v>23.53</v>
      </c>
      <c r="AJ1705">
        <v>156.84</v>
      </c>
      <c r="AK1705">
        <v>0</v>
      </c>
      <c r="AL1705" t="s">
        <v>53</v>
      </c>
      <c r="AM1705" t="s">
        <v>53</v>
      </c>
      <c r="AN1705" t="s">
        <v>545</v>
      </c>
      <c r="AO1705" t="s">
        <v>53</v>
      </c>
      <c r="AP1705" t="s">
        <v>53</v>
      </c>
    </row>
    <row r="1706" spans="2:42" x14ac:dyDescent="0.2">
      <c r="B1706" t="s">
        <v>44</v>
      </c>
      <c r="C1706" t="str">
        <f>HYPERLINK("https://us2.cloudbeds.com/connect/8493803454333002#/reservations/598479544489?display=E1DHQX3C&amp;reservation_id=598479544489", "E1DHQX3C")</f>
        <v>E1DHQX3C</v>
      </c>
      <c r="D1706" t="s">
        <v>45</v>
      </c>
      <c r="E1706" t="s">
        <v>78</v>
      </c>
      <c r="F1706" t="s">
        <v>61</v>
      </c>
      <c r="G1706" t="s">
        <v>48</v>
      </c>
      <c r="H1706" t="s">
        <v>49</v>
      </c>
      <c r="I1706" t="s">
        <v>62</v>
      </c>
      <c r="J1706" t="s">
        <v>260</v>
      </c>
      <c r="K1706" t="s">
        <v>640</v>
      </c>
      <c r="L1706" t="s">
        <v>53</v>
      </c>
      <c r="N1706" t="s">
        <v>2853</v>
      </c>
      <c r="P1706" t="s">
        <v>55</v>
      </c>
      <c r="R1706" t="s">
        <v>205</v>
      </c>
      <c r="T1706" t="s">
        <v>2850</v>
      </c>
      <c r="U1706" t="s">
        <v>58</v>
      </c>
      <c r="V1706">
        <v>1</v>
      </c>
      <c r="W1706">
        <v>1</v>
      </c>
      <c r="X1706">
        <v>1</v>
      </c>
      <c r="Y1706">
        <v>0</v>
      </c>
      <c r="Z1706">
        <v>1</v>
      </c>
      <c r="AA1706">
        <v>0</v>
      </c>
      <c r="AB1706">
        <v>184.11</v>
      </c>
      <c r="AC1706">
        <v>162</v>
      </c>
      <c r="AD1706">
        <v>0</v>
      </c>
      <c r="AE1706">
        <v>22.12</v>
      </c>
      <c r="AF1706">
        <v>0</v>
      </c>
      <c r="AG1706">
        <v>0</v>
      </c>
      <c r="AH1706">
        <v>0</v>
      </c>
      <c r="AI1706">
        <v>27.62</v>
      </c>
      <c r="AJ1706">
        <v>184.12</v>
      </c>
      <c r="AK1706">
        <v>0.01</v>
      </c>
      <c r="AL1706" t="s">
        <v>53</v>
      </c>
      <c r="AM1706" t="s">
        <v>53</v>
      </c>
      <c r="AN1706" t="s">
        <v>280</v>
      </c>
      <c r="AO1706" t="s">
        <v>53</v>
      </c>
      <c r="AP1706" t="s">
        <v>53</v>
      </c>
    </row>
    <row r="1707" spans="2:42" x14ac:dyDescent="0.2">
      <c r="B1707" t="s">
        <v>44</v>
      </c>
      <c r="C1707" t="str">
        <f>HYPERLINK("https://us2.cloudbeds.com/connect/8493803454333002#/reservations/598407504019?display=E1BN1U7R&amp;reservation_id=598407504019", "E1BN1U7R")</f>
        <v>E1BN1U7R</v>
      </c>
      <c r="D1707" t="s">
        <v>45</v>
      </c>
      <c r="E1707" t="s">
        <v>69</v>
      </c>
      <c r="F1707" t="s">
        <v>70</v>
      </c>
      <c r="G1707" t="s">
        <v>48</v>
      </c>
      <c r="H1707" t="s">
        <v>71</v>
      </c>
      <c r="I1707" t="s">
        <v>72</v>
      </c>
      <c r="J1707" t="s">
        <v>489</v>
      </c>
      <c r="K1707" t="s">
        <v>1568</v>
      </c>
      <c r="L1707" t="s">
        <v>53</v>
      </c>
      <c r="N1707" t="s">
        <v>2854</v>
      </c>
      <c r="P1707" t="s">
        <v>55</v>
      </c>
      <c r="R1707" t="s">
        <v>56</v>
      </c>
      <c r="T1707" t="s">
        <v>2850</v>
      </c>
      <c r="U1707" t="s">
        <v>58</v>
      </c>
      <c r="V1707">
        <v>1</v>
      </c>
      <c r="W1707">
        <v>1</v>
      </c>
      <c r="X1707">
        <v>1</v>
      </c>
      <c r="Y1707">
        <v>0</v>
      </c>
      <c r="Z1707">
        <v>1</v>
      </c>
      <c r="AA1707">
        <v>0</v>
      </c>
      <c r="AB1707">
        <v>148.88</v>
      </c>
      <c r="AC1707">
        <v>131</v>
      </c>
      <c r="AD1707">
        <v>0</v>
      </c>
      <c r="AE1707">
        <v>17.89</v>
      </c>
      <c r="AF1707">
        <v>0</v>
      </c>
      <c r="AG1707">
        <v>0</v>
      </c>
      <c r="AH1707">
        <v>0</v>
      </c>
      <c r="AI1707">
        <v>0</v>
      </c>
      <c r="AJ1707">
        <v>148.88999999999999</v>
      </c>
      <c r="AK1707">
        <v>0.01</v>
      </c>
      <c r="AL1707" t="s">
        <v>53</v>
      </c>
      <c r="AM1707" t="s">
        <v>53</v>
      </c>
      <c r="AN1707" t="s">
        <v>2855</v>
      </c>
      <c r="AO1707" t="s">
        <v>53</v>
      </c>
      <c r="AP1707" t="s">
        <v>53</v>
      </c>
    </row>
    <row r="1708" spans="2:42" x14ac:dyDescent="0.2">
      <c r="B1708" t="s">
        <v>44</v>
      </c>
      <c r="C1708" t="str">
        <f>HYPERLINK("https://us2.cloudbeds.com/connect/8493803454333002#/reservations/598239932664?display=E17DZWSU&amp;reservation_id=598239932664", "E17DZWSU")</f>
        <v>E17DZWSU</v>
      </c>
      <c r="D1708" t="s">
        <v>45</v>
      </c>
      <c r="E1708" t="s">
        <v>373</v>
      </c>
      <c r="F1708" t="s">
        <v>47</v>
      </c>
      <c r="G1708" t="s">
        <v>48</v>
      </c>
      <c r="H1708" t="s">
        <v>49</v>
      </c>
      <c r="I1708" t="s">
        <v>62</v>
      </c>
      <c r="J1708" t="s">
        <v>260</v>
      </c>
      <c r="K1708" t="s">
        <v>640</v>
      </c>
      <c r="L1708" t="s">
        <v>53</v>
      </c>
      <c r="N1708" t="s">
        <v>2856</v>
      </c>
      <c r="P1708" t="s">
        <v>55</v>
      </c>
      <c r="R1708" t="s">
        <v>56</v>
      </c>
      <c r="T1708" t="s">
        <v>2850</v>
      </c>
      <c r="U1708" t="s">
        <v>58</v>
      </c>
      <c r="V1708">
        <v>1</v>
      </c>
      <c r="W1708">
        <v>1</v>
      </c>
      <c r="X1708">
        <v>1</v>
      </c>
      <c r="Y1708">
        <v>0</v>
      </c>
      <c r="Z1708">
        <v>1</v>
      </c>
      <c r="AA1708">
        <v>0</v>
      </c>
      <c r="AB1708">
        <v>173.88</v>
      </c>
      <c r="AC1708">
        <v>153</v>
      </c>
      <c r="AD1708">
        <v>0</v>
      </c>
      <c r="AE1708">
        <v>20.89</v>
      </c>
      <c r="AF1708">
        <v>0</v>
      </c>
      <c r="AG1708">
        <v>0</v>
      </c>
      <c r="AH1708">
        <v>0</v>
      </c>
      <c r="AI1708">
        <v>26.08</v>
      </c>
      <c r="AJ1708">
        <v>173.89</v>
      </c>
      <c r="AK1708">
        <v>0.01</v>
      </c>
      <c r="AL1708" t="s">
        <v>53</v>
      </c>
      <c r="AM1708" t="s">
        <v>53</v>
      </c>
      <c r="AN1708" t="s">
        <v>225</v>
      </c>
      <c r="AO1708" t="s">
        <v>53</v>
      </c>
      <c r="AP1708" t="s">
        <v>53</v>
      </c>
    </row>
    <row r="1709" spans="2:42" x14ac:dyDescent="0.2">
      <c r="B1709" t="s">
        <v>44</v>
      </c>
      <c r="C1709" t="str">
        <f>HYPERLINK("https://us2.cloudbeds.com/connect/8493803454333002#/reservations/598379946207?display=E1AWR2KK&amp;reservation_id=598379946207", "E1AWR2KK")</f>
        <v>E1AWR2KK</v>
      </c>
      <c r="D1709" t="s">
        <v>45</v>
      </c>
      <c r="E1709" t="s">
        <v>110</v>
      </c>
      <c r="F1709" t="s">
        <v>47</v>
      </c>
      <c r="G1709" t="s">
        <v>48</v>
      </c>
      <c r="H1709" t="s">
        <v>49</v>
      </c>
      <c r="I1709" t="s">
        <v>62</v>
      </c>
      <c r="J1709" t="s">
        <v>129</v>
      </c>
      <c r="K1709" t="s">
        <v>426</v>
      </c>
      <c r="L1709" t="s">
        <v>53</v>
      </c>
      <c r="N1709" t="s">
        <v>2857</v>
      </c>
      <c r="P1709" t="s">
        <v>55</v>
      </c>
      <c r="R1709" t="s">
        <v>56</v>
      </c>
      <c r="T1709" t="s">
        <v>2850</v>
      </c>
      <c r="U1709" t="s">
        <v>58</v>
      </c>
      <c r="V1709">
        <v>1</v>
      </c>
      <c r="W1709">
        <v>1</v>
      </c>
      <c r="X1709">
        <v>1</v>
      </c>
      <c r="Y1709">
        <v>0</v>
      </c>
      <c r="Z1709">
        <v>1</v>
      </c>
      <c r="AA1709">
        <v>0</v>
      </c>
      <c r="AB1709">
        <v>173.88</v>
      </c>
      <c r="AC1709">
        <v>153</v>
      </c>
      <c r="AD1709">
        <v>0</v>
      </c>
      <c r="AE1709">
        <v>20.89</v>
      </c>
      <c r="AF1709">
        <v>0</v>
      </c>
      <c r="AG1709">
        <v>0</v>
      </c>
      <c r="AH1709">
        <v>0</v>
      </c>
      <c r="AI1709">
        <v>26.08</v>
      </c>
      <c r="AJ1709">
        <v>173.89</v>
      </c>
      <c r="AK1709">
        <v>0.01</v>
      </c>
      <c r="AL1709" t="s">
        <v>53</v>
      </c>
      <c r="AM1709" t="s">
        <v>53</v>
      </c>
      <c r="AN1709" t="s">
        <v>245</v>
      </c>
      <c r="AO1709" t="s">
        <v>53</v>
      </c>
      <c r="AP1709" t="s">
        <v>53</v>
      </c>
    </row>
    <row r="1710" spans="2:42" x14ac:dyDescent="0.2">
      <c r="B1710" t="s">
        <v>44</v>
      </c>
      <c r="C1710" t="str">
        <f>HYPERLINK("https://us2.cloudbeds.com/connect/8493803454333002#/reservations/597991305430?display=E1123J1C&amp;reservation_id=597991305430", "E1123J1C")</f>
        <v>E1123J1C</v>
      </c>
      <c r="D1710" t="s">
        <v>45</v>
      </c>
      <c r="E1710" t="s">
        <v>213</v>
      </c>
      <c r="F1710" t="s">
        <v>86</v>
      </c>
      <c r="G1710" t="s">
        <v>48</v>
      </c>
      <c r="H1710" t="s">
        <v>71</v>
      </c>
      <c r="I1710" t="s">
        <v>72</v>
      </c>
      <c r="J1710" t="s">
        <v>292</v>
      </c>
      <c r="K1710" t="s">
        <v>260</v>
      </c>
      <c r="L1710" t="s">
        <v>53</v>
      </c>
      <c r="N1710" t="s">
        <v>2858</v>
      </c>
      <c r="P1710" t="s">
        <v>55</v>
      </c>
      <c r="R1710" t="s">
        <v>56</v>
      </c>
      <c r="T1710" t="s">
        <v>2850</v>
      </c>
      <c r="U1710" t="s">
        <v>58</v>
      </c>
      <c r="V1710">
        <v>1</v>
      </c>
      <c r="W1710">
        <v>1</v>
      </c>
      <c r="X1710">
        <v>1</v>
      </c>
      <c r="Y1710">
        <v>0</v>
      </c>
      <c r="Z1710">
        <v>1</v>
      </c>
      <c r="AA1710">
        <v>0</v>
      </c>
      <c r="AB1710">
        <v>170.48</v>
      </c>
      <c r="AC1710">
        <v>150</v>
      </c>
      <c r="AD1710">
        <v>0</v>
      </c>
      <c r="AE1710">
        <v>20.48</v>
      </c>
      <c r="AF1710">
        <v>0</v>
      </c>
      <c r="AG1710">
        <v>0</v>
      </c>
      <c r="AH1710">
        <v>0</v>
      </c>
      <c r="AI1710">
        <v>0</v>
      </c>
      <c r="AJ1710">
        <v>170.48</v>
      </c>
      <c r="AK1710">
        <v>0</v>
      </c>
      <c r="AL1710" t="s">
        <v>53</v>
      </c>
      <c r="AM1710" t="s">
        <v>53</v>
      </c>
      <c r="AN1710" t="s">
        <v>378</v>
      </c>
      <c r="AO1710" t="s">
        <v>53</v>
      </c>
      <c r="AP1710" t="s">
        <v>53</v>
      </c>
    </row>
    <row r="1711" spans="2:42" x14ac:dyDescent="0.2">
      <c r="B1711" t="s">
        <v>44</v>
      </c>
      <c r="C1711" t="str">
        <f>HYPERLINK("https://us2.cloudbeds.com/connect/8493803454333002#/reservations/598231011565?display=E1767ZSY&amp;reservation_id=598231011565", "E1767ZSY")</f>
        <v>E1767ZSY</v>
      </c>
      <c r="D1711" t="s">
        <v>45</v>
      </c>
      <c r="E1711" t="s">
        <v>190</v>
      </c>
      <c r="F1711" t="s">
        <v>61</v>
      </c>
      <c r="G1711" t="s">
        <v>48</v>
      </c>
      <c r="H1711" t="s">
        <v>49</v>
      </c>
      <c r="I1711" t="s">
        <v>79</v>
      </c>
      <c r="J1711" t="s">
        <v>129</v>
      </c>
      <c r="K1711" t="s">
        <v>426</v>
      </c>
      <c r="L1711" t="s">
        <v>53</v>
      </c>
      <c r="N1711" t="s">
        <v>2859</v>
      </c>
      <c r="P1711" t="s">
        <v>55</v>
      </c>
      <c r="R1711" t="s">
        <v>56</v>
      </c>
      <c r="T1711" t="s">
        <v>2850</v>
      </c>
      <c r="U1711" t="s">
        <v>58</v>
      </c>
      <c r="V1711">
        <v>1</v>
      </c>
      <c r="W1711">
        <v>1</v>
      </c>
      <c r="X1711">
        <v>1</v>
      </c>
      <c r="Y1711">
        <v>0</v>
      </c>
      <c r="Z1711">
        <v>1</v>
      </c>
      <c r="AA1711">
        <v>0</v>
      </c>
      <c r="AB1711">
        <v>165.7</v>
      </c>
      <c r="AC1711">
        <v>145.80000000000001</v>
      </c>
      <c r="AD1711">
        <v>0</v>
      </c>
      <c r="AE1711">
        <v>19.899999999999999</v>
      </c>
      <c r="AF1711">
        <v>0</v>
      </c>
      <c r="AG1711">
        <v>0</v>
      </c>
      <c r="AH1711">
        <v>0</v>
      </c>
      <c r="AI1711">
        <v>0</v>
      </c>
      <c r="AJ1711">
        <v>165.7</v>
      </c>
      <c r="AK1711">
        <v>0</v>
      </c>
      <c r="AL1711" t="s">
        <v>53</v>
      </c>
      <c r="AM1711" t="s">
        <v>53</v>
      </c>
      <c r="AN1711" t="s">
        <v>91</v>
      </c>
      <c r="AO1711" t="s">
        <v>53</v>
      </c>
      <c r="AP1711" t="s">
        <v>53</v>
      </c>
    </row>
    <row r="1712" spans="2:42" x14ac:dyDescent="0.2">
      <c r="B1712" t="s">
        <v>44</v>
      </c>
      <c r="C1712" t="str">
        <f>HYPERLINK("https://us2.cloudbeds.com/connect/8493803454333002#/reservations/598120153225?display=E14BZVJ0&amp;reservation_id=598120153225", "E14BZVJ0")</f>
        <v>E14BZVJ0</v>
      </c>
      <c r="D1712" t="s">
        <v>45</v>
      </c>
      <c r="E1712" t="s">
        <v>105</v>
      </c>
      <c r="F1712" t="s">
        <v>47</v>
      </c>
      <c r="G1712" t="s">
        <v>48</v>
      </c>
      <c r="H1712" t="s">
        <v>49</v>
      </c>
      <c r="I1712" t="s">
        <v>79</v>
      </c>
      <c r="J1712" t="s">
        <v>309</v>
      </c>
      <c r="K1712" t="s">
        <v>133</v>
      </c>
      <c r="L1712" t="s">
        <v>53</v>
      </c>
      <c r="N1712" t="s">
        <v>2860</v>
      </c>
      <c r="P1712" t="s">
        <v>55</v>
      </c>
      <c r="R1712" t="s">
        <v>56</v>
      </c>
      <c r="T1712" t="s">
        <v>2850</v>
      </c>
      <c r="U1712" t="s">
        <v>58</v>
      </c>
      <c r="V1712">
        <v>1</v>
      </c>
      <c r="W1712">
        <v>1</v>
      </c>
      <c r="X1712">
        <v>1</v>
      </c>
      <c r="Y1712">
        <v>0</v>
      </c>
      <c r="Z1712">
        <v>1</v>
      </c>
      <c r="AA1712">
        <v>0</v>
      </c>
      <c r="AB1712">
        <v>141.15</v>
      </c>
      <c r="AC1712">
        <v>124.2</v>
      </c>
      <c r="AD1712">
        <v>0</v>
      </c>
      <c r="AE1712">
        <v>16.95</v>
      </c>
      <c r="AF1712">
        <v>0</v>
      </c>
      <c r="AG1712">
        <v>0</v>
      </c>
      <c r="AH1712">
        <v>0</v>
      </c>
      <c r="AI1712">
        <v>0</v>
      </c>
      <c r="AJ1712">
        <v>141.15</v>
      </c>
      <c r="AK1712">
        <v>0</v>
      </c>
      <c r="AL1712" t="s">
        <v>53</v>
      </c>
      <c r="AM1712" t="s">
        <v>53</v>
      </c>
      <c r="AN1712" t="s">
        <v>316</v>
      </c>
      <c r="AO1712" t="s">
        <v>53</v>
      </c>
      <c r="AP1712" t="s">
        <v>53</v>
      </c>
    </row>
    <row r="1713" spans="2:42" x14ac:dyDescent="0.2">
      <c r="B1713" t="s">
        <v>44</v>
      </c>
      <c r="C1713" t="str">
        <f>HYPERLINK("https://us2.cloudbeds.com/connect/8493803454333002#/reservations/598467600601?display=E1D7Z6BC&amp;reservation_id=598467600601", "E1D7Z6BC")</f>
        <v>E1D7Z6BC</v>
      </c>
      <c r="D1713" t="s">
        <v>45</v>
      </c>
      <c r="E1713" t="s">
        <v>69</v>
      </c>
      <c r="F1713" t="s">
        <v>70</v>
      </c>
      <c r="G1713" t="s">
        <v>48</v>
      </c>
      <c r="H1713" t="s">
        <v>49</v>
      </c>
      <c r="I1713" t="s">
        <v>79</v>
      </c>
      <c r="J1713" t="s">
        <v>322</v>
      </c>
      <c r="K1713" t="s">
        <v>351</v>
      </c>
      <c r="L1713" t="s">
        <v>53</v>
      </c>
      <c r="N1713" t="s">
        <v>2861</v>
      </c>
      <c r="P1713" t="s">
        <v>55</v>
      </c>
      <c r="R1713" t="s">
        <v>56</v>
      </c>
      <c r="T1713" t="s">
        <v>2850</v>
      </c>
      <c r="U1713" t="s">
        <v>58</v>
      </c>
      <c r="V1713">
        <v>1</v>
      </c>
      <c r="W1713">
        <v>1</v>
      </c>
      <c r="X1713">
        <v>1</v>
      </c>
      <c r="Y1713">
        <v>0</v>
      </c>
      <c r="Z1713">
        <v>1</v>
      </c>
      <c r="AA1713">
        <v>0</v>
      </c>
      <c r="AB1713">
        <v>149.34</v>
      </c>
      <c r="AC1713">
        <v>131.4</v>
      </c>
      <c r="AD1713">
        <v>0</v>
      </c>
      <c r="AE1713">
        <v>17.940000000000001</v>
      </c>
      <c r="AF1713">
        <v>0</v>
      </c>
      <c r="AG1713">
        <v>0</v>
      </c>
      <c r="AH1713">
        <v>0</v>
      </c>
      <c r="AI1713">
        <v>0</v>
      </c>
      <c r="AJ1713">
        <v>149.34</v>
      </c>
      <c r="AK1713">
        <v>0</v>
      </c>
      <c r="AL1713" t="s">
        <v>53</v>
      </c>
      <c r="AM1713" t="s">
        <v>53</v>
      </c>
      <c r="AN1713" t="s">
        <v>59</v>
      </c>
      <c r="AO1713" t="s">
        <v>53</v>
      </c>
      <c r="AP1713" t="s">
        <v>53</v>
      </c>
    </row>
    <row r="1714" spans="2:42" x14ac:dyDescent="0.2">
      <c r="B1714" t="s">
        <v>44</v>
      </c>
      <c r="C1714" t="str">
        <f>HYPERLINK("https://us2.cloudbeds.com/connect/8493803454333002#/reservations/598593908946?display=E1GF7TVW&amp;reservation_id=598593908946", "E1GF7TVW")</f>
        <v>E1GF7TVW</v>
      </c>
      <c r="D1714" t="s">
        <v>45</v>
      </c>
      <c r="E1714" t="s">
        <v>98</v>
      </c>
      <c r="F1714" t="s">
        <v>86</v>
      </c>
      <c r="G1714" t="s">
        <v>48</v>
      </c>
      <c r="H1714" t="s">
        <v>71</v>
      </c>
      <c r="I1714" t="s">
        <v>72</v>
      </c>
      <c r="J1714" t="s">
        <v>292</v>
      </c>
      <c r="K1714" t="s">
        <v>260</v>
      </c>
      <c r="L1714" t="s">
        <v>53</v>
      </c>
      <c r="N1714" t="s">
        <v>2862</v>
      </c>
      <c r="P1714" t="s">
        <v>58</v>
      </c>
      <c r="R1714" t="s">
        <v>56</v>
      </c>
      <c r="T1714" t="s">
        <v>2850</v>
      </c>
      <c r="U1714" t="s">
        <v>58</v>
      </c>
      <c r="V1714">
        <v>1</v>
      </c>
      <c r="W1714">
        <v>1</v>
      </c>
      <c r="X1714">
        <v>1</v>
      </c>
      <c r="Y1714">
        <v>0</v>
      </c>
      <c r="Z1714">
        <v>1</v>
      </c>
      <c r="AA1714">
        <v>0</v>
      </c>
      <c r="AB1714">
        <v>28.41</v>
      </c>
      <c r="AC1714">
        <v>25</v>
      </c>
      <c r="AD1714">
        <v>0</v>
      </c>
      <c r="AE1714">
        <v>3.42</v>
      </c>
      <c r="AF1714">
        <v>0</v>
      </c>
      <c r="AG1714">
        <v>0</v>
      </c>
      <c r="AH1714">
        <v>0</v>
      </c>
      <c r="AI1714">
        <v>0</v>
      </c>
      <c r="AJ1714">
        <v>28.42</v>
      </c>
      <c r="AK1714">
        <v>0.01</v>
      </c>
      <c r="AL1714" t="s">
        <v>53</v>
      </c>
      <c r="AM1714" t="s">
        <v>53</v>
      </c>
      <c r="AN1714" t="s">
        <v>2863</v>
      </c>
      <c r="AO1714" t="s">
        <v>53</v>
      </c>
      <c r="AP1714" t="s">
        <v>53</v>
      </c>
    </row>
    <row r="1715" spans="2:42" x14ac:dyDescent="0.2">
      <c r="B1715" t="s">
        <v>44</v>
      </c>
      <c r="C1715" t="str">
        <f>HYPERLINK("https://us2.cloudbeds.com/connect/8493803454333002#/reservations/598595756172?display=E1GGQA7H&amp;reservation_id=598595756172", "E1GGQA7H")</f>
        <v>E1GGQA7H</v>
      </c>
      <c r="D1715" t="s">
        <v>45</v>
      </c>
      <c r="E1715" t="s">
        <v>165</v>
      </c>
      <c r="F1715" t="s">
        <v>61</v>
      </c>
      <c r="G1715" t="s">
        <v>48</v>
      </c>
      <c r="H1715" t="s">
        <v>49</v>
      </c>
      <c r="I1715" t="s">
        <v>79</v>
      </c>
      <c r="J1715" t="s">
        <v>93</v>
      </c>
      <c r="K1715" t="s">
        <v>1822</v>
      </c>
      <c r="L1715" t="s">
        <v>53</v>
      </c>
      <c r="N1715" t="s">
        <v>2864</v>
      </c>
      <c r="P1715" t="s">
        <v>55</v>
      </c>
      <c r="R1715" t="s">
        <v>56</v>
      </c>
      <c r="T1715" t="s">
        <v>2850</v>
      </c>
      <c r="U1715" t="s">
        <v>58</v>
      </c>
      <c r="V1715">
        <v>1</v>
      </c>
      <c r="W1715">
        <v>1</v>
      </c>
      <c r="X1715">
        <v>1</v>
      </c>
      <c r="Y1715">
        <v>0</v>
      </c>
      <c r="Z1715">
        <v>1</v>
      </c>
      <c r="AA1715">
        <v>0</v>
      </c>
      <c r="AB1715">
        <v>193.21</v>
      </c>
      <c r="AC1715">
        <v>170</v>
      </c>
      <c r="AD1715">
        <v>0</v>
      </c>
      <c r="AE1715">
        <v>23.21</v>
      </c>
      <c r="AF1715">
        <v>0</v>
      </c>
      <c r="AG1715">
        <v>0</v>
      </c>
      <c r="AH1715">
        <v>0</v>
      </c>
      <c r="AI1715">
        <v>0</v>
      </c>
      <c r="AJ1715">
        <v>193.21</v>
      </c>
      <c r="AK1715">
        <v>0</v>
      </c>
      <c r="AL1715" t="s">
        <v>53</v>
      </c>
      <c r="AM1715" t="s">
        <v>53</v>
      </c>
      <c r="AN1715" t="s">
        <v>2865</v>
      </c>
      <c r="AO1715" t="s">
        <v>53</v>
      </c>
      <c r="AP1715" t="s">
        <v>53</v>
      </c>
    </row>
    <row r="1716" spans="2:42" x14ac:dyDescent="0.2">
      <c r="B1716" t="s">
        <v>44</v>
      </c>
      <c r="C1716" t="str">
        <f>HYPERLINK("https://us2.cloudbeds.com/connect/8493803454333002#/reservations/598441193643?display=E1CXFCHH&amp;reservation_id=598441193643", "E1CXFCHH")</f>
        <v>E1CXFCHH</v>
      </c>
      <c r="D1716" t="s">
        <v>45</v>
      </c>
      <c r="E1716" t="s">
        <v>185</v>
      </c>
      <c r="F1716" t="s">
        <v>47</v>
      </c>
      <c r="G1716" t="s">
        <v>48</v>
      </c>
      <c r="H1716" t="s">
        <v>71</v>
      </c>
      <c r="I1716" t="s">
        <v>72</v>
      </c>
      <c r="J1716" t="s">
        <v>309</v>
      </c>
      <c r="K1716" t="s">
        <v>133</v>
      </c>
      <c r="L1716" t="s">
        <v>53</v>
      </c>
      <c r="N1716" t="s">
        <v>2866</v>
      </c>
      <c r="P1716" t="s">
        <v>58</v>
      </c>
      <c r="R1716" t="s">
        <v>56</v>
      </c>
      <c r="T1716" t="s">
        <v>2850</v>
      </c>
      <c r="U1716" t="s">
        <v>58</v>
      </c>
      <c r="V1716">
        <v>1</v>
      </c>
      <c r="W1716">
        <v>1</v>
      </c>
      <c r="X1716">
        <v>1</v>
      </c>
      <c r="Y1716">
        <v>0</v>
      </c>
      <c r="Z1716">
        <v>1</v>
      </c>
      <c r="AA1716">
        <v>0</v>
      </c>
      <c r="AB1716">
        <v>144.34</v>
      </c>
      <c r="AC1716">
        <v>127</v>
      </c>
      <c r="AD1716">
        <v>0</v>
      </c>
      <c r="AE1716">
        <v>17.34</v>
      </c>
      <c r="AF1716">
        <v>0</v>
      </c>
      <c r="AG1716">
        <v>0</v>
      </c>
      <c r="AH1716">
        <v>0</v>
      </c>
      <c r="AI1716">
        <v>0</v>
      </c>
      <c r="AJ1716">
        <v>144.34</v>
      </c>
      <c r="AK1716">
        <v>0</v>
      </c>
      <c r="AL1716" t="s">
        <v>53</v>
      </c>
      <c r="AM1716" t="s">
        <v>53</v>
      </c>
      <c r="AN1716" t="s">
        <v>378</v>
      </c>
      <c r="AO1716" t="s">
        <v>53</v>
      </c>
      <c r="AP1716" t="s">
        <v>53</v>
      </c>
    </row>
    <row r="1717" spans="2:42" x14ac:dyDescent="0.2">
      <c r="B1717" t="s">
        <v>44</v>
      </c>
      <c r="C1717" t="str">
        <f>HYPERLINK("https://us2.cloudbeds.com/connect/8493803454333002#/reservations/598604701861?display=E1GZB7R0&amp;reservation_id=598604701861", "E1GZB7R0")</f>
        <v>E1GZB7R0</v>
      </c>
      <c r="D1717" t="s">
        <v>45</v>
      </c>
      <c r="E1717" t="s">
        <v>105</v>
      </c>
      <c r="F1717" t="s">
        <v>47</v>
      </c>
      <c r="G1717" t="s">
        <v>48</v>
      </c>
      <c r="H1717" t="s">
        <v>49</v>
      </c>
      <c r="I1717" t="s">
        <v>50</v>
      </c>
      <c r="J1717" t="s">
        <v>489</v>
      </c>
      <c r="K1717" t="s">
        <v>94</v>
      </c>
      <c r="L1717" t="s">
        <v>53</v>
      </c>
      <c r="N1717" t="s">
        <v>2867</v>
      </c>
      <c r="P1717" t="s">
        <v>55</v>
      </c>
      <c r="R1717" t="s">
        <v>56</v>
      </c>
      <c r="T1717" t="s">
        <v>2850</v>
      </c>
      <c r="U1717" t="s">
        <v>58</v>
      </c>
      <c r="V1717">
        <v>4</v>
      </c>
      <c r="W1717">
        <v>1</v>
      </c>
      <c r="X1717">
        <v>1</v>
      </c>
      <c r="Y1717">
        <v>0</v>
      </c>
      <c r="Z1717">
        <v>1</v>
      </c>
      <c r="AA1717">
        <v>0</v>
      </c>
      <c r="AB1717">
        <v>640.29999999999995</v>
      </c>
      <c r="AC1717">
        <v>563.4</v>
      </c>
      <c r="AD1717">
        <v>0</v>
      </c>
      <c r="AE1717">
        <v>76.88</v>
      </c>
      <c r="AF1717">
        <v>0</v>
      </c>
      <c r="AG1717">
        <v>0</v>
      </c>
      <c r="AH1717">
        <v>0</v>
      </c>
      <c r="AI1717">
        <v>115.25</v>
      </c>
      <c r="AJ1717">
        <v>640.28</v>
      </c>
      <c r="AK1717">
        <v>-0.02</v>
      </c>
      <c r="AL1717" t="s">
        <v>53</v>
      </c>
      <c r="AM1717" t="s">
        <v>53</v>
      </c>
      <c r="AN1717" t="s">
        <v>252</v>
      </c>
      <c r="AO1717" t="s">
        <v>53</v>
      </c>
      <c r="AP1717" t="s">
        <v>53</v>
      </c>
    </row>
    <row r="1718" spans="2:42" x14ac:dyDescent="0.2">
      <c r="B1718" t="s">
        <v>44</v>
      </c>
      <c r="C1718" t="str">
        <f>HYPERLINK("https://us2.cloudbeds.com/connect/8493803454333002#/reservations/598449320068?display=E1CPAGQR&amp;reservation_id=598449320068", "E1CPAGQR")</f>
        <v>E1CPAGQR</v>
      </c>
      <c r="D1718" t="s">
        <v>45</v>
      </c>
      <c r="E1718" t="s">
        <v>113</v>
      </c>
      <c r="F1718" t="s">
        <v>61</v>
      </c>
      <c r="G1718" t="s">
        <v>48</v>
      </c>
      <c r="H1718" t="s">
        <v>71</v>
      </c>
      <c r="I1718" t="s">
        <v>72</v>
      </c>
      <c r="J1718" t="s">
        <v>309</v>
      </c>
      <c r="K1718" t="s">
        <v>133</v>
      </c>
      <c r="L1718" t="s">
        <v>53</v>
      </c>
      <c r="N1718" t="s">
        <v>2868</v>
      </c>
      <c r="P1718" t="s">
        <v>58</v>
      </c>
      <c r="R1718" t="s">
        <v>56</v>
      </c>
      <c r="T1718" t="s">
        <v>2850</v>
      </c>
      <c r="U1718" t="s">
        <v>58</v>
      </c>
      <c r="V1718">
        <v>1</v>
      </c>
      <c r="W1718">
        <v>1</v>
      </c>
      <c r="X1718">
        <v>1</v>
      </c>
      <c r="Y1718">
        <v>0</v>
      </c>
      <c r="Z1718">
        <v>1</v>
      </c>
      <c r="AA1718">
        <v>0</v>
      </c>
      <c r="AB1718">
        <v>154.56</v>
      </c>
      <c r="AC1718">
        <v>136</v>
      </c>
      <c r="AD1718">
        <v>0</v>
      </c>
      <c r="AE1718">
        <v>18.559999999999999</v>
      </c>
      <c r="AF1718">
        <v>0</v>
      </c>
      <c r="AG1718">
        <v>0</v>
      </c>
      <c r="AH1718">
        <v>0</v>
      </c>
      <c r="AI1718">
        <v>0</v>
      </c>
      <c r="AJ1718">
        <v>154.56</v>
      </c>
      <c r="AK1718">
        <v>0</v>
      </c>
      <c r="AL1718" t="s">
        <v>53</v>
      </c>
      <c r="AM1718" t="s">
        <v>53</v>
      </c>
      <c r="AN1718" t="s">
        <v>378</v>
      </c>
      <c r="AO1718" t="s">
        <v>53</v>
      </c>
      <c r="AP1718" t="s">
        <v>53</v>
      </c>
    </row>
    <row r="1719" spans="2:42" x14ac:dyDescent="0.2">
      <c r="B1719" t="s">
        <v>44</v>
      </c>
      <c r="C1719" t="str">
        <f>HYPERLINK("https://us2.cloudbeds.com/connect/8493803454333002#/reservations/598214688914?display=E16PFX6S&amp;reservation_id=598214688914", "E16PFX6S")</f>
        <v>E16PFX6S</v>
      </c>
      <c r="D1719" t="s">
        <v>45</v>
      </c>
      <c r="E1719" t="s">
        <v>155</v>
      </c>
      <c r="F1719" t="s">
        <v>86</v>
      </c>
      <c r="G1719" t="s">
        <v>48</v>
      </c>
      <c r="H1719" t="s">
        <v>49</v>
      </c>
      <c r="I1719" t="s">
        <v>50</v>
      </c>
      <c r="J1719" t="s">
        <v>1822</v>
      </c>
      <c r="K1719" t="s">
        <v>94</v>
      </c>
      <c r="L1719" t="s">
        <v>53</v>
      </c>
      <c r="N1719" t="s">
        <v>2869</v>
      </c>
      <c r="P1719" t="s">
        <v>55</v>
      </c>
      <c r="R1719" t="s">
        <v>56</v>
      </c>
      <c r="T1719" t="s">
        <v>2850</v>
      </c>
      <c r="U1719" t="s">
        <v>58</v>
      </c>
      <c r="V1719">
        <v>1</v>
      </c>
      <c r="W1719">
        <v>1</v>
      </c>
      <c r="X1719">
        <v>1</v>
      </c>
      <c r="Y1719">
        <v>0</v>
      </c>
      <c r="Z1719">
        <v>1</v>
      </c>
      <c r="AA1719">
        <v>0</v>
      </c>
      <c r="AB1719">
        <v>176.95</v>
      </c>
      <c r="AC1719">
        <v>155.69999999999999</v>
      </c>
      <c r="AD1719">
        <v>0</v>
      </c>
      <c r="AE1719">
        <v>21.25</v>
      </c>
      <c r="AF1719">
        <v>0</v>
      </c>
      <c r="AG1719">
        <v>0</v>
      </c>
      <c r="AH1719">
        <v>0</v>
      </c>
      <c r="AI1719">
        <v>31.85</v>
      </c>
      <c r="AJ1719">
        <v>176.95</v>
      </c>
      <c r="AK1719">
        <v>0</v>
      </c>
      <c r="AL1719" t="s">
        <v>53</v>
      </c>
      <c r="AM1719" t="s">
        <v>53</v>
      </c>
      <c r="AN1719" t="s">
        <v>146</v>
      </c>
      <c r="AO1719" t="s">
        <v>53</v>
      </c>
      <c r="AP1719" t="s">
        <v>53</v>
      </c>
    </row>
    <row r="1720" spans="2:42" x14ac:dyDescent="0.2">
      <c r="B1720" t="s">
        <v>44</v>
      </c>
      <c r="C1720" t="str">
        <f>HYPERLINK("https://us2.cloudbeds.com/connect/8493803454333002#/reservations/598220673154?display=E16UH2CE&amp;reservation_id=598220673154", "E16UH2CE")</f>
        <v>E16UH2CE</v>
      </c>
      <c r="D1720" t="s">
        <v>45</v>
      </c>
      <c r="E1720" t="s">
        <v>190</v>
      </c>
      <c r="F1720" t="s">
        <v>61</v>
      </c>
      <c r="G1720" t="s">
        <v>48</v>
      </c>
      <c r="H1720" t="s">
        <v>49</v>
      </c>
      <c r="I1720" t="s">
        <v>79</v>
      </c>
      <c r="J1720" t="s">
        <v>130</v>
      </c>
      <c r="K1720" t="s">
        <v>87</v>
      </c>
      <c r="L1720" t="s">
        <v>53</v>
      </c>
      <c r="N1720" t="s">
        <v>2870</v>
      </c>
      <c r="P1720" t="s">
        <v>55</v>
      </c>
      <c r="R1720" t="s">
        <v>56</v>
      </c>
      <c r="T1720" t="s">
        <v>2850</v>
      </c>
      <c r="U1720" t="s">
        <v>58</v>
      </c>
      <c r="V1720">
        <v>1</v>
      </c>
      <c r="W1720">
        <v>1</v>
      </c>
      <c r="X1720">
        <v>1</v>
      </c>
      <c r="Y1720">
        <v>0</v>
      </c>
      <c r="Z1720">
        <v>1</v>
      </c>
      <c r="AA1720">
        <v>0</v>
      </c>
      <c r="AB1720">
        <v>168.77</v>
      </c>
      <c r="AC1720">
        <v>148.5</v>
      </c>
      <c r="AD1720">
        <v>0</v>
      </c>
      <c r="AE1720">
        <v>20.28</v>
      </c>
      <c r="AF1720">
        <v>0</v>
      </c>
      <c r="AG1720">
        <v>0</v>
      </c>
      <c r="AH1720">
        <v>0</v>
      </c>
      <c r="AI1720">
        <v>0</v>
      </c>
      <c r="AJ1720">
        <v>168.78</v>
      </c>
      <c r="AK1720">
        <v>0.01</v>
      </c>
      <c r="AL1720" t="s">
        <v>53</v>
      </c>
      <c r="AM1720" t="s">
        <v>53</v>
      </c>
      <c r="AN1720" t="s">
        <v>252</v>
      </c>
      <c r="AO1720" t="s">
        <v>53</v>
      </c>
      <c r="AP1720" t="s">
        <v>53</v>
      </c>
    </row>
    <row r="1721" spans="2:42" x14ac:dyDescent="0.2">
      <c r="B1721" t="s">
        <v>44</v>
      </c>
      <c r="C1721" t="str">
        <f>HYPERLINK("https://us2.cloudbeds.com/connect/8493803454333002#/reservations/598267773132?display=E1847N1G&amp;reservation_id=598267773132", "E1847N1G")</f>
        <v>E1847N1G</v>
      </c>
      <c r="D1721" t="s">
        <v>45</v>
      </c>
      <c r="E1721" t="s">
        <v>179</v>
      </c>
      <c r="F1721" t="s">
        <v>47</v>
      </c>
      <c r="G1721" t="s">
        <v>48</v>
      </c>
      <c r="H1721" t="s">
        <v>49</v>
      </c>
      <c r="I1721" t="s">
        <v>79</v>
      </c>
      <c r="J1721" t="s">
        <v>640</v>
      </c>
      <c r="K1721" t="s">
        <v>309</v>
      </c>
      <c r="L1721" t="s">
        <v>53</v>
      </c>
      <c r="N1721" t="s">
        <v>2871</v>
      </c>
      <c r="P1721" t="s">
        <v>55</v>
      </c>
      <c r="R1721" t="s">
        <v>56</v>
      </c>
      <c r="T1721" t="s">
        <v>2850</v>
      </c>
      <c r="U1721" t="s">
        <v>58</v>
      </c>
      <c r="V1721">
        <v>1</v>
      </c>
      <c r="W1721">
        <v>1</v>
      </c>
      <c r="X1721">
        <v>1</v>
      </c>
      <c r="Y1721">
        <v>0</v>
      </c>
      <c r="Z1721">
        <v>1</v>
      </c>
      <c r="AA1721">
        <v>0</v>
      </c>
      <c r="AB1721">
        <v>141.15</v>
      </c>
      <c r="AC1721">
        <v>124.2</v>
      </c>
      <c r="AD1721">
        <v>0</v>
      </c>
      <c r="AE1721">
        <v>16.95</v>
      </c>
      <c r="AF1721">
        <v>0</v>
      </c>
      <c r="AG1721">
        <v>0</v>
      </c>
      <c r="AH1721">
        <v>0</v>
      </c>
      <c r="AI1721">
        <v>0</v>
      </c>
      <c r="AJ1721">
        <v>141.15</v>
      </c>
      <c r="AK1721">
        <v>0</v>
      </c>
      <c r="AL1721" t="s">
        <v>53</v>
      </c>
      <c r="AM1721" t="s">
        <v>53</v>
      </c>
      <c r="AN1721" t="s">
        <v>332</v>
      </c>
      <c r="AO1721" t="s">
        <v>53</v>
      </c>
      <c r="AP1721" t="s">
        <v>53</v>
      </c>
    </row>
    <row r="1722" spans="2:42" x14ac:dyDescent="0.2">
      <c r="B1722" t="s">
        <v>44</v>
      </c>
      <c r="C1722" t="str">
        <f>HYPERLINK("https://us2.cloudbeds.com/connect/8493803454333002#/reservations/598261416133?display=E17VSQJ6&amp;reservation_id=598261416133", "E17VSQJ6")</f>
        <v>E17VSQJ6</v>
      </c>
      <c r="D1722" t="s">
        <v>45</v>
      </c>
      <c r="E1722" t="s">
        <v>179</v>
      </c>
      <c r="F1722" t="s">
        <v>47</v>
      </c>
      <c r="G1722" t="s">
        <v>48</v>
      </c>
      <c r="H1722" t="s">
        <v>49</v>
      </c>
      <c r="I1722" t="s">
        <v>62</v>
      </c>
      <c r="J1722" t="s">
        <v>549</v>
      </c>
      <c r="K1722" t="s">
        <v>341</v>
      </c>
      <c r="L1722" t="s">
        <v>53</v>
      </c>
      <c r="N1722" t="s">
        <v>2872</v>
      </c>
      <c r="P1722" t="s">
        <v>55</v>
      </c>
      <c r="R1722" t="s">
        <v>56</v>
      </c>
      <c r="T1722" t="s">
        <v>2873</v>
      </c>
      <c r="U1722" t="s">
        <v>58</v>
      </c>
      <c r="V1722">
        <v>2</v>
      </c>
      <c r="W1722">
        <v>1</v>
      </c>
      <c r="X1722">
        <v>1</v>
      </c>
      <c r="Y1722">
        <v>0</v>
      </c>
      <c r="Z1722">
        <v>1</v>
      </c>
      <c r="AA1722">
        <v>0</v>
      </c>
      <c r="AB1722">
        <v>354.59</v>
      </c>
      <c r="AC1722">
        <v>312</v>
      </c>
      <c r="AD1722">
        <v>0</v>
      </c>
      <c r="AE1722">
        <v>42.58</v>
      </c>
      <c r="AF1722">
        <v>0</v>
      </c>
      <c r="AG1722">
        <v>0</v>
      </c>
      <c r="AH1722">
        <v>0</v>
      </c>
      <c r="AI1722">
        <v>53.19</v>
      </c>
      <c r="AJ1722">
        <v>354.58</v>
      </c>
      <c r="AK1722">
        <v>-0.01</v>
      </c>
      <c r="AL1722" t="s">
        <v>53</v>
      </c>
      <c r="AM1722" t="s">
        <v>53</v>
      </c>
      <c r="AN1722" t="s">
        <v>252</v>
      </c>
      <c r="AO1722" t="s">
        <v>53</v>
      </c>
      <c r="AP1722" t="s">
        <v>53</v>
      </c>
    </row>
    <row r="1723" spans="2:42" x14ac:dyDescent="0.2">
      <c r="B1723" t="s">
        <v>44</v>
      </c>
      <c r="C1723" t="str">
        <f>HYPERLINK("https://us2.cloudbeds.com/connect/8493803454333002#/reservations/598620225698?display=E1H4E6VA&amp;reservation_id=598620225698", "E1H4E6VA")</f>
        <v>E1H4E6VA</v>
      </c>
      <c r="D1723" t="s">
        <v>45</v>
      </c>
      <c r="E1723" t="s">
        <v>223</v>
      </c>
      <c r="F1723" t="s">
        <v>47</v>
      </c>
      <c r="G1723" t="s">
        <v>48</v>
      </c>
      <c r="H1723" t="s">
        <v>49</v>
      </c>
      <c r="I1723" t="s">
        <v>79</v>
      </c>
      <c r="J1723" t="s">
        <v>640</v>
      </c>
      <c r="K1723" t="s">
        <v>309</v>
      </c>
      <c r="L1723" t="s">
        <v>53</v>
      </c>
      <c r="N1723" t="s">
        <v>2874</v>
      </c>
      <c r="P1723" t="s">
        <v>55</v>
      </c>
      <c r="R1723" t="s">
        <v>56</v>
      </c>
      <c r="T1723" t="s">
        <v>2873</v>
      </c>
      <c r="U1723" t="s">
        <v>58</v>
      </c>
      <c r="V1723">
        <v>1</v>
      </c>
      <c r="W1723">
        <v>1</v>
      </c>
      <c r="X1723">
        <v>1</v>
      </c>
      <c r="Y1723">
        <v>0</v>
      </c>
      <c r="Z1723">
        <v>1</v>
      </c>
      <c r="AA1723">
        <v>0</v>
      </c>
      <c r="AB1723">
        <v>141.15</v>
      </c>
      <c r="AC1723">
        <v>124.2</v>
      </c>
      <c r="AD1723">
        <v>0</v>
      </c>
      <c r="AE1723">
        <v>16.95</v>
      </c>
      <c r="AF1723">
        <v>0</v>
      </c>
      <c r="AG1723">
        <v>0</v>
      </c>
      <c r="AH1723">
        <v>0</v>
      </c>
      <c r="AI1723">
        <v>0</v>
      </c>
      <c r="AJ1723">
        <v>141.15</v>
      </c>
      <c r="AK1723">
        <v>0</v>
      </c>
      <c r="AL1723" t="s">
        <v>53</v>
      </c>
      <c r="AM1723" t="s">
        <v>53</v>
      </c>
      <c r="AN1723" t="s">
        <v>142</v>
      </c>
      <c r="AO1723" t="s">
        <v>53</v>
      </c>
      <c r="AP1723" t="s">
        <v>53</v>
      </c>
    </row>
    <row r="1724" spans="2:42" x14ac:dyDescent="0.2">
      <c r="B1724" t="s">
        <v>44</v>
      </c>
      <c r="C1724" t="str">
        <f>HYPERLINK("https://us2.cloudbeds.com/connect/8493803454333002#/reservations/598500552897?display=E1DUYE77&amp;reservation_id=598500552897", "E1DUYE77")</f>
        <v>E1DUYE77</v>
      </c>
      <c r="D1724" t="s">
        <v>45</v>
      </c>
      <c r="E1724" t="s">
        <v>155</v>
      </c>
      <c r="F1724" t="s">
        <v>86</v>
      </c>
      <c r="G1724" t="s">
        <v>48</v>
      </c>
      <c r="H1724" t="s">
        <v>49</v>
      </c>
      <c r="I1724" t="s">
        <v>79</v>
      </c>
      <c r="J1724" t="s">
        <v>549</v>
      </c>
      <c r="K1724" t="s">
        <v>341</v>
      </c>
      <c r="L1724" t="s">
        <v>53</v>
      </c>
      <c r="N1724" t="s">
        <v>2875</v>
      </c>
      <c r="P1724" t="s">
        <v>55</v>
      </c>
      <c r="R1724" t="s">
        <v>56</v>
      </c>
      <c r="T1724" t="s">
        <v>2873</v>
      </c>
      <c r="U1724" t="s">
        <v>58</v>
      </c>
      <c r="V1724">
        <v>2</v>
      </c>
      <c r="W1724">
        <v>1</v>
      </c>
      <c r="X1724">
        <v>1</v>
      </c>
      <c r="Y1724">
        <v>0</v>
      </c>
      <c r="Z1724">
        <v>1</v>
      </c>
      <c r="AA1724">
        <v>0</v>
      </c>
      <c r="AB1724">
        <v>358</v>
      </c>
      <c r="AC1724">
        <v>315</v>
      </c>
      <c r="AD1724">
        <v>0</v>
      </c>
      <c r="AE1724">
        <v>43</v>
      </c>
      <c r="AF1724">
        <v>0</v>
      </c>
      <c r="AG1724">
        <v>0</v>
      </c>
      <c r="AH1724">
        <v>0</v>
      </c>
      <c r="AI1724">
        <v>0</v>
      </c>
      <c r="AJ1724">
        <v>358</v>
      </c>
      <c r="AK1724">
        <v>0</v>
      </c>
      <c r="AL1724" t="s">
        <v>53</v>
      </c>
      <c r="AM1724" t="s">
        <v>53</v>
      </c>
      <c r="AN1724" t="s">
        <v>132</v>
      </c>
      <c r="AO1724" t="s">
        <v>53</v>
      </c>
      <c r="AP1724" t="s">
        <v>53</v>
      </c>
    </row>
    <row r="1725" spans="2:42" x14ac:dyDescent="0.2">
      <c r="B1725" t="s">
        <v>44</v>
      </c>
      <c r="C1725" t="str">
        <f>HYPERLINK("https://us2.cloudbeds.com/connect/8493803454333002#/reservations/598336090272?display=E19SRNST&amp;reservation_id=598336090272", "E19SRNST")</f>
        <v>E19SRNST</v>
      </c>
      <c r="D1725" t="s">
        <v>45</v>
      </c>
      <c r="E1725" t="s">
        <v>46</v>
      </c>
      <c r="F1725" t="s">
        <v>47</v>
      </c>
      <c r="G1725" t="s">
        <v>48</v>
      </c>
      <c r="H1725" t="s">
        <v>71</v>
      </c>
      <c r="I1725" t="s">
        <v>72</v>
      </c>
      <c r="J1725" t="s">
        <v>87</v>
      </c>
      <c r="K1725" t="s">
        <v>88</v>
      </c>
      <c r="L1725" t="s">
        <v>53</v>
      </c>
      <c r="N1725" t="s">
        <v>2876</v>
      </c>
      <c r="P1725" t="s">
        <v>55</v>
      </c>
      <c r="R1725" t="s">
        <v>56</v>
      </c>
      <c r="T1725" t="s">
        <v>2873</v>
      </c>
      <c r="U1725" t="s">
        <v>58</v>
      </c>
      <c r="V1725">
        <v>1</v>
      </c>
      <c r="W1725">
        <v>1</v>
      </c>
      <c r="X1725">
        <v>1</v>
      </c>
      <c r="Y1725">
        <v>0</v>
      </c>
      <c r="Z1725">
        <v>1</v>
      </c>
      <c r="AA1725">
        <v>0</v>
      </c>
      <c r="AB1725">
        <v>172.75</v>
      </c>
      <c r="AC1725">
        <v>152</v>
      </c>
      <c r="AD1725">
        <v>0</v>
      </c>
      <c r="AE1725">
        <v>20.75</v>
      </c>
      <c r="AF1725">
        <v>0</v>
      </c>
      <c r="AG1725">
        <v>0</v>
      </c>
      <c r="AH1725">
        <v>0</v>
      </c>
      <c r="AI1725">
        <v>0</v>
      </c>
      <c r="AJ1725">
        <v>172.75</v>
      </c>
      <c r="AK1725">
        <v>0</v>
      </c>
      <c r="AL1725" t="s">
        <v>53</v>
      </c>
      <c r="AM1725" t="s">
        <v>53</v>
      </c>
      <c r="AN1725" t="s">
        <v>2877</v>
      </c>
      <c r="AO1725" t="s">
        <v>53</v>
      </c>
      <c r="AP1725" t="s">
        <v>53</v>
      </c>
    </row>
    <row r="1726" spans="2:42" x14ac:dyDescent="0.2">
      <c r="B1726" t="s">
        <v>44</v>
      </c>
      <c r="C1726" t="str">
        <f>HYPERLINK("https://us2.cloudbeds.com/connect/8493803454333002#/reservations/579237740740?display=DJGSJWR9&amp;reservation_id=579237740740", "DJGSJWR9")</f>
        <v>DJGSJWR9</v>
      </c>
      <c r="D1726" t="s">
        <v>45</v>
      </c>
      <c r="E1726" t="s">
        <v>128</v>
      </c>
      <c r="F1726" t="s">
        <v>86</v>
      </c>
      <c r="G1726" t="s">
        <v>48</v>
      </c>
      <c r="H1726" t="s">
        <v>49</v>
      </c>
      <c r="I1726" t="s">
        <v>50</v>
      </c>
      <c r="J1726" t="s">
        <v>1610</v>
      </c>
      <c r="K1726" t="s">
        <v>1501</v>
      </c>
      <c r="L1726" t="s">
        <v>53</v>
      </c>
      <c r="N1726" t="s">
        <v>2878</v>
      </c>
      <c r="P1726" t="s">
        <v>55</v>
      </c>
      <c r="R1726" t="s">
        <v>56</v>
      </c>
      <c r="T1726" t="s">
        <v>2873</v>
      </c>
      <c r="U1726" t="s">
        <v>58</v>
      </c>
      <c r="V1726">
        <v>1</v>
      </c>
      <c r="W1726">
        <v>1</v>
      </c>
      <c r="X1726">
        <v>1</v>
      </c>
      <c r="Y1726">
        <v>0</v>
      </c>
      <c r="Z1726">
        <v>1</v>
      </c>
      <c r="AA1726">
        <v>0</v>
      </c>
      <c r="AB1726">
        <v>181.05</v>
      </c>
      <c r="AC1726">
        <v>159.30000000000001</v>
      </c>
      <c r="AD1726">
        <v>0</v>
      </c>
      <c r="AE1726">
        <v>21.75</v>
      </c>
      <c r="AF1726">
        <v>0</v>
      </c>
      <c r="AG1726">
        <v>0</v>
      </c>
      <c r="AH1726">
        <v>0</v>
      </c>
      <c r="AI1726">
        <v>32.590000000000003</v>
      </c>
      <c r="AJ1726">
        <v>181.05</v>
      </c>
      <c r="AK1726">
        <v>0</v>
      </c>
      <c r="AL1726" t="s">
        <v>53</v>
      </c>
      <c r="AM1726" t="s">
        <v>53</v>
      </c>
      <c r="AN1726" t="s">
        <v>245</v>
      </c>
      <c r="AO1726" t="s">
        <v>53</v>
      </c>
      <c r="AP1726" t="s">
        <v>53</v>
      </c>
    </row>
    <row r="1727" spans="2:42" x14ac:dyDescent="0.2">
      <c r="B1727" t="s">
        <v>44</v>
      </c>
      <c r="C1727" t="str">
        <f>HYPERLINK("https://us2.cloudbeds.com/connect/8493803454333002#/reservations/598606151916?display=E1GPXJC2&amp;reservation_id=598606151916", "E1GPXJC2")</f>
        <v>E1GPXJC2</v>
      </c>
      <c r="D1727" t="s">
        <v>45</v>
      </c>
      <c r="E1727" t="s">
        <v>265</v>
      </c>
      <c r="F1727" t="s">
        <v>61</v>
      </c>
      <c r="G1727" t="s">
        <v>48</v>
      </c>
      <c r="H1727" t="s">
        <v>71</v>
      </c>
      <c r="I1727" t="s">
        <v>72</v>
      </c>
      <c r="J1727" t="s">
        <v>260</v>
      </c>
      <c r="K1727" t="s">
        <v>640</v>
      </c>
      <c r="L1727" t="s">
        <v>53</v>
      </c>
      <c r="N1727" t="s">
        <v>2879</v>
      </c>
      <c r="P1727" t="s">
        <v>58</v>
      </c>
      <c r="R1727" t="s">
        <v>56</v>
      </c>
      <c r="T1727" t="s">
        <v>2873</v>
      </c>
      <c r="U1727" t="s">
        <v>58</v>
      </c>
      <c r="V1727">
        <v>1</v>
      </c>
      <c r="W1727">
        <v>1</v>
      </c>
      <c r="X1727">
        <v>1</v>
      </c>
      <c r="Y1727">
        <v>0</v>
      </c>
      <c r="Z1727">
        <v>1</v>
      </c>
      <c r="AA1727">
        <v>0</v>
      </c>
      <c r="AB1727">
        <v>28.41</v>
      </c>
      <c r="AC1727">
        <v>25</v>
      </c>
      <c r="AD1727">
        <v>0</v>
      </c>
      <c r="AE1727">
        <v>3.42</v>
      </c>
      <c r="AF1727">
        <v>0</v>
      </c>
      <c r="AG1727">
        <v>0</v>
      </c>
      <c r="AH1727">
        <v>0</v>
      </c>
      <c r="AI1727">
        <v>0</v>
      </c>
      <c r="AJ1727">
        <v>28.42</v>
      </c>
      <c r="AK1727">
        <v>0.01</v>
      </c>
      <c r="AL1727" t="s">
        <v>53</v>
      </c>
      <c r="AM1727" t="s">
        <v>53</v>
      </c>
      <c r="AN1727" t="s">
        <v>2863</v>
      </c>
      <c r="AO1727" t="s">
        <v>53</v>
      </c>
      <c r="AP1727" t="s">
        <v>53</v>
      </c>
    </row>
    <row r="1728" spans="2:42" x14ac:dyDescent="0.2">
      <c r="B1728" t="s">
        <v>44</v>
      </c>
      <c r="C1728" t="str">
        <f>HYPERLINK("https://us2.cloudbeds.com/connect/8493803454333002#/reservations/598603317428?display=E1GN5NHG&amp;reservation_id=598603317428", "E1GN5NHG")</f>
        <v>E1GN5NHG</v>
      </c>
      <c r="D1728" t="s">
        <v>45</v>
      </c>
      <c r="E1728" t="s">
        <v>105</v>
      </c>
      <c r="F1728" t="s">
        <v>47</v>
      </c>
      <c r="G1728" t="s">
        <v>48</v>
      </c>
      <c r="H1728" t="s">
        <v>71</v>
      </c>
      <c r="I1728" t="s">
        <v>72</v>
      </c>
      <c r="J1728" t="s">
        <v>260</v>
      </c>
      <c r="K1728" t="s">
        <v>640</v>
      </c>
      <c r="L1728" t="s">
        <v>53</v>
      </c>
      <c r="N1728" t="s">
        <v>2880</v>
      </c>
      <c r="P1728" t="s">
        <v>55</v>
      </c>
      <c r="R1728" t="s">
        <v>56</v>
      </c>
      <c r="T1728" t="s">
        <v>2873</v>
      </c>
      <c r="U1728" t="s">
        <v>58</v>
      </c>
      <c r="V1728">
        <v>1</v>
      </c>
      <c r="W1728">
        <v>1</v>
      </c>
      <c r="X1728">
        <v>1</v>
      </c>
      <c r="Y1728">
        <v>0</v>
      </c>
      <c r="Z1728">
        <v>1</v>
      </c>
      <c r="AA1728">
        <v>0</v>
      </c>
      <c r="AB1728">
        <v>168.2</v>
      </c>
      <c r="AC1728">
        <v>148</v>
      </c>
      <c r="AD1728">
        <v>0</v>
      </c>
      <c r="AE1728">
        <v>20.2</v>
      </c>
      <c r="AF1728">
        <v>0</v>
      </c>
      <c r="AG1728">
        <v>0</v>
      </c>
      <c r="AH1728">
        <v>0</v>
      </c>
      <c r="AI1728">
        <v>0</v>
      </c>
      <c r="AJ1728">
        <v>168.2</v>
      </c>
      <c r="AK1728">
        <v>0</v>
      </c>
      <c r="AL1728" t="s">
        <v>53</v>
      </c>
      <c r="AM1728" t="s">
        <v>53</v>
      </c>
      <c r="AN1728" t="s">
        <v>378</v>
      </c>
      <c r="AO1728" t="s">
        <v>53</v>
      </c>
      <c r="AP1728" t="s">
        <v>53</v>
      </c>
    </row>
    <row r="1729" spans="2:42" x14ac:dyDescent="0.2">
      <c r="B1729" t="s">
        <v>44</v>
      </c>
      <c r="C1729" t="str">
        <f>HYPERLINK("https://us2.cloudbeds.com/connect/8493803454333002#/reservations/579234111729?display=DJGPX0D8&amp;reservation_id=579234111729", "DJGPX0D8")</f>
        <v>DJGPX0D8</v>
      </c>
      <c r="D1729" t="s">
        <v>45</v>
      </c>
      <c r="E1729" t="s">
        <v>138</v>
      </c>
      <c r="F1729" t="s">
        <v>70</v>
      </c>
      <c r="G1729" t="s">
        <v>48</v>
      </c>
      <c r="H1729" t="s">
        <v>49</v>
      </c>
      <c r="I1729" t="s">
        <v>50</v>
      </c>
      <c r="J1729" t="s">
        <v>1985</v>
      </c>
      <c r="K1729" t="s">
        <v>2022</v>
      </c>
      <c r="L1729" t="s">
        <v>53</v>
      </c>
      <c r="N1729" t="s">
        <v>2881</v>
      </c>
      <c r="P1729" t="s">
        <v>55</v>
      </c>
      <c r="R1729" t="s">
        <v>56</v>
      </c>
      <c r="T1729" t="s">
        <v>2873</v>
      </c>
      <c r="U1729" t="s">
        <v>58</v>
      </c>
      <c r="V1729">
        <v>1</v>
      </c>
      <c r="W1729">
        <v>1</v>
      </c>
      <c r="X1729">
        <v>1</v>
      </c>
      <c r="Y1729">
        <v>0</v>
      </c>
      <c r="Z1729">
        <v>1</v>
      </c>
      <c r="AA1729">
        <v>0</v>
      </c>
      <c r="AB1729">
        <v>152.30000000000001</v>
      </c>
      <c r="AC1729">
        <v>134</v>
      </c>
      <c r="AD1729">
        <v>0</v>
      </c>
      <c r="AE1729">
        <v>18.3</v>
      </c>
      <c r="AF1729">
        <v>0</v>
      </c>
      <c r="AG1729">
        <v>0</v>
      </c>
      <c r="AH1729">
        <v>0</v>
      </c>
      <c r="AI1729">
        <v>27.41</v>
      </c>
      <c r="AJ1729">
        <v>152.30000000000001</v>
      </c>
      <c r="AK1729">
        <v>0</v>
      </c>
      <c r="AL1729" t="s">
        <v>53</v>
      </c>
      <c r="AM1729" t="s">
        <v>53</v>
      </c>
      <c r="AN1729" t="s">
        <v>97</v>
      </c>
      <c r="AO1729" t="s">
        <v>53</v>
      </c>
      <c r="AP1729" t="s">
        <v>53</v>
      </c>
    </row>
    <row r="1730" spans="2:42" x14ac:dyDescent="0.2">
      <c r="B1730" t="s">
        <v>44</v>
      </c>
      <c r="C1730" t="str">
        <f>HYPERLINK("https://us2.cloudbeds.com/connect/8493803454333002#/reservations/598530801797?display=E1ES0SB4&amp;reservation_id=598530801797", "E1ES0SB4")</f>
        <v>E1ES0SB4</v>
      </c>
      <c r="D1730" t="s">
        <v>45</v>
      </c>
      <c r="E1730" t="s">
        <v>190</v>
      </c>
      <c r="F1730" t="s">
        <v>61</v>
      </c>
      <c r="G1730" t="s">
        <v>48</v>
      </c>
      <c r="H1730" t="s">
        <v>49</v>
      </c>
      <c r="I1730" t="s">
        <v>62</v>
      </c>
      <c r="J1730" t="s">
        <v>1568</v>
      </c>
      <c r="K1730" t="s">
        <v>94</v>
      </c>
      <c r="L1730" t="s">
        <v>53</v>
      </c>
      <c r="N1730" t="s">
        <v>2882</v>
      </c>
      <c r="P1730" t="s">
        <v>55</v>
      </c>
      <c r="R1730" t="s">
        <v>56</v>
      </c>
      <c r="T1730" t="s">
        <v>2873</v>
      </c>
      <c r="U1730" t="s">
        <v>58</v>
      </c>
      <c r="V1730">
        <v>3</v>
      </c>
      <c r="W1730">
        <v>1</v>
      </c>
      <c r="X1730">
        <v>1</v>
      </c>
      <c r="Y1730">
        <v>0</v>
      </c>
      <c r="Z1730">
        <v>1</v>
      </c>
      <c r="AA1730">
        <v>0</v>
      </c>
      <c r="AB1730">
        <v>569.39</v>
      </c>
      <c r="AC1730">
        <v>501</v>
      </c>
      <c r="AD1730">
        <v>0</v>
      </c>
      <c r="AE1730">
        <v>68.400000000000006</v>
      </c>
      <c r="AF1730">
        <v>0</v>
      </c>
      <c r="AG1730">
        <v>0</v>
      </c>
      <c r="AH1730">
        <v>0</v>
      </c>
      <c r="AI1730">
        <v>85.41</v>
      </c>
      <c r="AJ1730">
        <v>569.4</v>
      </c>
      <c r="AK1730">
        <v>0.01</v>
      </c>
      <c r="AL1730" t="s">
        <v>53</v>
      </c>
      <c r="AM1730" t="s">
        <v>53</v>
      </c>
      <c r="AN1730" t="s">
        <v>104</v>
      </c>
      <c r="AO1730" t="s">
        <v>53</v>
      </c>
      <c r="AP1730" t="s">
        <v>53</v>
      </c>
    </row>
    <row r="1731" spans="2:42" x14ac:dyDescent="0.2">
      <c r="B1731" t="s">
        <v>44</v>
      </c>
      <c r="C1731" t="str">
        <f>HYPERLINK("https://us2.cloudbeds.com/connect/8493803454333002#/reservations/598136148110?display=E14P818G&amp;reservation_id=598136148110", "E14P818G")</f>
        <v>E14P818G</v>
      </c>
      <c r="D1731" t="s">
        <v>45</v>
      </c>
      <c r="E1731" t="s">
        <v>113</v>
      </c>
      <c r="F1731" t="s">
        <v>61</v>
      </c>
      <c r="G1731" t="s">
        <v>48</v>
      </c>
      <c r="H1731" t="s">
        <v>49</v>
      </c>
      <c r="I1731" t="s">
        <v>50</v>
      </c>
      <c r="J1731" t="s">
        <v>970</v>
      </c>
      <c r="K1731" t="s">
        <v>288</v>
      </c>
      <c r="L1731" t="s">
        <v>53</v>
      </c>
      <c r="N1731" t="s">
        <v>2883</v>
      </c>
      <c r="P1731" t="s">
        <v>55</v>
      </c>
      <c r="R1731" t="s">
        <v>56</v>
      </c>
      <c r="T1731" t="s">
        <v>2873</v>
      </c>
      <c r="U1731" t="s">
        <v>58</v>
      </c>
      <c r="V1731">
        <v>1</v>
      </c>
      <c r="W1731">
        <v>1</v>
      </c>
      <c r="X1731">
        <v>1</v>
      </c>
      <c r="Y1731">
        <v>0</v>
      </c>
      <c r="Z1731">
        <v>1</v>
      </c>
      <c r="AA1731">
        <v>0</v>
      </c>
      <c r="AB1731">
        <v>165.7</v>
      </c>
      <c r="AC1731">
        <v>145.80000000000001</v>
      </c>
      <c r="AD1731">
        <v>0</v>
      </c>
      <c r="AE1731">
        <v>19.899999999999999</v>
      </c>
      <c r="AF1731">
        <v>0</v>
      </c>
      <c r="AG1731">
        <v>0</v>
      </c>
      <c r="AH1731">
        <v>0</v>
      </c>
      <c r="AI1731">
        <v>29.83</v>
      </c>
      <c r="AJ1731">
        <v>165.7</v>
      </c>
      <c r="AK1731">
        <v>0</v>
      </c>
      <c r="AL1731" t="s">
        <v>53</v>
      </c>
      <c r="AM1731" t="s">
        <v>53</v>
      </c>
      <c r="AN1731" t="s">
        <v>178</v>
      </c>
      <c r="AO1731" t="s">
        <v>53</v>
      </c>
      <c r="AP1731" t="s">
        <v>53</v>
      </c>
    </row>
    <row r="1732" spans="2:42" x14ac:dyDescent="0.2">
      <c r="B1732" t="s">
        <v>44</v>
      </c>
      <c r="C1732" t="str">
        <f>HYPERLINK("https://us2.cloudbeds.com/connect/8493803454333002#/reservations/598540857492?display=E1F3GM75&amp;reservation_id=598540857492", "E1F3GM75")</f>
        <v>E1F3GM75</v>
      </c>
      <c r="D1732" t="s">
        <v>45</v>
      </c>
      <c r="E1732" t="s">
        <v>487</v>
      </c>
      <c r="F1732" t="s">
        <v>61</v>
      </c>
      <c r="G1732" t="s">
        <v>48</v>
      </c>
      <c r="H1732" t="s">
        <v>71</v>
      </c>
      <c r="I1732" t="s">
        <v>72</v>
      </c>
      <c r="J1732" t="s">
        <v>640</v>
      </c>
      <c r="K1732" t="s">
        <v>309</v>
      </c>
      <c r="L1732" t="s">
        <v>53</v>
      </c>
      <c r="N1732" t="s">
        <v>2884</v>
      </c>
      <c r="P1732" t="s">
        <v>58</v>
      </c>
      <c r="R1732" t="s">
        <v>56</v>
      </c>
      <c r="T1732" t="s">
        <v>2873</v>
      </c>
      <c r="U1732" t="s">
        <v>58</v>
      </c>
      <c r="V1732">
        <v>1</v>
      </c>
      <c r="W1732">
        <v>1</v>
      </c>
      <c r="X1732">
        <v>1</v>
      </c>
      <c r="Y1732">
        <v>0</v>
      </c>
      <c r="Z1732">
        <v>1</v>
      </c>
      <c r="AA1732">
        <v>0</v>
      </c>
      <c r="AB1732">
        <v>161.38</v>
      </c>
      <c r="AC1732">
        <v>142</v>
      </c>
      <c r="AD1732">
        <v>0</v>
      </c>
      <c r="AE1732">
        <v>19.39</v>
      </c>
      <c r="AF1732">
        <v>0</v>
      </c>
      <c r="AG1732">
        <v>0</v>
      </c>
      <c r="AH1732">
        <v>0</v>
      </c>
      <c r="AI1732">
        <v>0</v>
      </c>
      <c r="AJ1732">
        <v>161.38999999999999</v>
      </c>
      <c r="AK1732">
        <v>0.01</v>
      </c>
      <c r="AL1732" t="s">
        <v>53</v>
      </c>
      <c r="AM1732" t="s">
        <v>53</v>
      </c>
      <c r="AN1732" t="s">
        <v>378</v>
      </c>
      <c r="AO1732" t="s">
        <v>53</v>
      </c>
      <c r="AP1732" t="s">
        <v>53</v>
      </c>
    </row>
    <row r="1733" spans="2:42" x14ac:dyDescent="0.2">
      <c r="B1733" t="s">
        <v>44</v>
      </c>
      <c r="C1733" t="str">
        <f>HYPERLINK("https://us2.cloudbeds.com/connect/8493803454333002#/reservations/598186959003?display=E1622UXG&amp;reservation_id=598186959003", "E1622UXG")</f>
        <v>E1622UXG</v>
      </c>
      <c r="D1733" t="s">
        <v>45</v>
      </c>
      <c r="E1733" t="s">
        <v>110</v>
      </c>
      <c r="F1733" t="s">
        <v>47</v>
      </c>
      <c r="G1733" t="s">
        <v>48</v>
      </c>
      <c r="H1733" t="s">
        <v>71</v>
      </c>
      <c r="I1733" t="s">
        <v>72</v>
      </c>
      <c r="J1733" t="s">
        <v>489</v>
      </c>
      <c r="K1733" t="s">
        <v>1568</v>
      </c>
      <c r="L1733" t="s">
        <v>53</v>
      </c>
      <c r="N1733" t="s">
        <v>2885</v>
      </c>
      <c r="P1733" t="s">
        <v>58</v>
      </c>
      <c r="R1733" t="s">
        <v>56</v>
      </c>
      <c r="T1733" t="s">
        <v>2873</v>
      </c>
      <c r="U1733" t="s">
        <v>58</v>
      </c>
      <c r="V1733">
        <v>1</v>
      </c>
      <c r="W1733">
        <v>1</v>
      </c>
      <c r="X1733">
        <v>1</v>
      </c>
      <c r="Y1733">
        <v>0</v>
      </c>
      <c r="Z1733">
        <v>1</v>
      </c>
      <c r="AA1733">
        <v>0</v>
      </c>
      <c r="AB1733">
        <v>164.79</v>
      </c>
      <c r="AC1733">
        <v>145</v>
      </c>
      <c r="AD1733">
        <v>0</v>
      </c>
      <c r="AE1733">
        <v>19.8</v>
      </c>
      <c r="AF1733">
        <v>0</v>
      </c>
      <c r="AG1733">
        <v>0</v>
      </c>
      <c r="AH1733">
        <v>0</v>
      </c>
      <c r="AI1733">
        <v>0</v>
      </c>
      <c r="AJ1733">
        <v>164.8</v>
      </c>
      <c r="AK1733">
        <v>0.01</v>
      </c>
      <c r="AL1733" t="s">
        <v>53</v>
      </c>
      <c r="AM1733" t="s">
        <v>53</v>
      </c>
      <c r="AN1733" t="s">
        <v>378</v>
      </c>
      <c r="AO1733" t="s">
        <v>53</v>
      </c>
      <c r="AP1733" t="s">
        <v>53</v>
      </c>
    </row>
    <row r="1734" spans="2:42" x14ac:dyDescent="0.2">
      <c r="B1734" t="s">
        <v>44</v>
      </c>
      <c r="C1734" t="str">
        <f>HYPERLINK("https://us2.cloudbeds.com/connect/8493803454333002#/reservations/579290157192?display=DJX6QXFK&amp;reservation_id=579290157192", "DJX6QXFK")</f>
        <v>DJX6QXFK</v>
      </c>
      <c r="D1734" t="s">
        <v>45</v>
      </c>
      <c r="E1734" t="s">
        <v>179</v>
      </c>
      <c r="F1734" t="s">
        <v>47</v>
      </c>
      <c r="G1734" t="s">
        <v>48</v>
      </c>
      <c r="H1734" t="s">
        <v>49</v>
      </c>
      <c r="I1734" t="s">
        <v>62</v>
      </c>
      <c r="J1734" t="s">
        <v>2022</v>
      </c>
      <c r="K1734" t="s">
        <v>2023</v>
      </c>
      <c r="L1734" t="s">
        <v>53</v>
      </c>
      <c r="N1734" t="s">
        <v>2886</v>
      </c>
      <c r="P1734" t="s">
        <v>55</v>
      </c>
      <c r="R1734" t="s">
        <v>56</v>
      </c>
      <c r="T1734" t="s">
        <v>2873</v>
      </c>
      <c r="U1734" t="s">
        <v>58</v>
      </c>
      <c r="V1734">
        <v>1</v>
      </c>
      <c r="W1734">
        <v>1</v>
      </c>
      <c r="X1734">
        <v>1</v>
      </c>
      <c r="Y1734">
        <v>0</v>
      </c>
      <c r="Z1734">
        <v>1</v>
      </c>
      <c r="AA1734">
        <v>0</v>
      </c>
      <c r="AB1734">
        <v>164.8</v>
      </c>
      <c r="AC1734">
        <v>145</v>
      </c>
      <c r="AD1734">
        <v>0</v>
      </c>
      <c r="AE1734">
        <v>19.8</v>
      </c>
      <c r="AF1734">
        <v>0</v>
      </c>
      <c r="AG1734">
        <v>0</v>
      </c>
      <c r="AH1734">
        <v>0</v>
      </c>
      <c r="AI1734">
        <v>24.72</v>
      </c>
      <c r="AJ1734">
        <v>164.8</v>
      </c>
      <c r="AK1734">
        <v>0</v>
      </c>
      <c r="AL1734" t="s">
        <v>53</v>
      </c>
      <c r="AM1734" t="s">
        <v>53</v>
      </c>
      <c r="AN1734" t="s">
        <v>545</v>
      </c>
      <c r="AO1734" t="s">
        <v>53</v>
      </c>
      <c r="AP1734" t="s">
        <v>53</v>
      </c>
    </row>
    <row r="1735" spans="2:42" x14ac:dyDescent="0.2">
      <c r="B1735" t="s">
        <v>44</v>
      </c>
      <c r="C1735" t="str">
        <f>HYPERLINK("https://us2.cloudbeds.com/connect/8493803454333002#/reservations/598475276514?display=E1DE6PUQ&amp;reservation_id=598475276514", "E1DE6PUQ")</f>
        <v>E1DE6PUQ</v>
      </c>
      <c r="D1735" t="s">
        <v>45</v>
      </c>
      <c r="E1735" t="s">
        <v>165</v>
      </c>
      <c r="F1735" t="s">
        <v>61</v>
      </c>
      <c r="G1735" t="s">
        <v>48</v>
      </c>
      <c r="H1735" t="s">
        <v>49</v>
      </c>
      <c r="I1735" t="s">
        <v>50</v>
      </c>
      <c r="J1735" t="s">
        <v>640</v>
      </c>
      <c r="K1735" t="s">
        <v>309</v>
      </c>
      <c r="L1735" t="s">
        <v>53</v>
      </c>
      <c r="N1735" t="s">
        <v>2887</v>
      </c>
      <c r="P1735" t="s">
        <v>55</v>
      </c>
      <c r="R1735" t="s">
        <v>56</v>
      </c>
      <c r="T1735" t="s">
        <v>2873</v>
      </c>
      <c r="U1735" t="s">
        <v>58</v>
      </c>
      <c r="V1735">
        <v>1</v>
      </c>
      <c r="W1735">
        <v>1</v>
      </c>
      <c r="X1735">
        <v>1</v>
      </c>
      <c r="Y1735">
        <v>0</v>
      </c>
      <c r="Z1735">
        <v>1</v>
      </c>
      <c r="AA1735">
        <v>0</v>
      </c>
      <c r="AB1735">
        <v>150.36000000000001</v>
      </c>
      <c r="AC1735">
        <v>132.30000000000001</v>
      </c>
      <c r="AD1735">
        <v>0</v>
      </c>
      <c r="AE1735">
        <v>18.07</v>
      </c>
      <c r="AF1735">
        <v>0</v>
      </c>
      <c r="AG1735">
        <v>0</v>
      </c>
      <c r="AH1735">
        <v>0</v>
      </c>
      <c r="AI1735">
        <v>27.07</v>
      </c>
      <c r="AJ1735">
        <v>150.37</v>
      </c>
      <c r="AK1735">
        <v>0.01</v>
      </c>
      <c r="AL1735" t="s">
        <v>53</v>
      </c>
      <c r="AM1735" t="s">
        <v>53</v>
      </c>
      <c r="AN1735" t="s">
        <v>68</v>
      </c>
      <c r="AO1735" t="s">
        <v>53</v>
      </c>
      <c r="AP1735" t="s">
        <v>53</v>
      </c>
    </row>
    <row r="1736" spans="2:42" x14ac:dyDescent="0.2">
      <c r="B1736" t="s">
        <v>44</v>
      </c>
      <c r="C1736" t="str">
        <f>HYPERLINK("https://us2.cloudbeds.com/connect/8493803454333002#/reservations/598579282163?display=E1G2TTJ4&amp;reservation_id=598579282163", "E1G2TTJ4")</f>
        <v>E1G2TTJ4</v>
      </c>
      <c r="D1736" t="s">
        <v>45</v>
      </c>
      <c r="E1736" t="s">
        <v>46</v>
      </c>
      <c r="F1736" t="s">
        <v>47</v>
      </c>
      <c r="G1736" t="s">
        <v>48</v>
      </c>
      <c r="H1736" t="s">
        <v>49</v>
      </c>
      <c r="I1736" t="s">
        <v>62</v>
      </c>
      <c r="J1736" t="s">
        <v>99</v>
      </c>
      <c r="K1736" t="s">
        <v>323</v>
      </c>
      <c r="L1736" t="s">
        <v>53</v>
      </c>
      <c r="N1736" t="s">
        <v>2888</v>
      </c>
      <c r="P1736" t="s">
        <v>55</v>
      </c>
      <c r="R1736" t="s">
        <v>56</v>
      </c>
      <c r="T1736" t="s">
        <v>2873</v>
      </c>
      <c r="U1736" t="s">
        <v>58</v>
      </c>
      <c r="V1736">
        <v>1</v>
      </c>
      <c r="W1736">
        <v>1</v>
      </c>
      <c r="X1736">
        <v>1</v>
      </c>
      <c r="Y1736">
        <v>0</v>
      </c>
      <c r="Z1736">
        <v>1</v>
      </c>
      <c r="AA1736">
        <v>0</v>
      </c>
      <c r="AB1736">
        <v>177.29</v>
      </c>
      <c r="AC1736">
        <v>156</v>
      </c>
      <c r="AD1736">
        <v>0</v>
      </c>
      <c r="AE1736">
        <v>21.29</v>
      </c>
      <c r="AF1736">
        <v>0</v>
      </c>
      <c r="AG1736">
        <v>0</v>
      </c>
      <c r="AH1736">
        <v>0</v>
      </c>
      <c r="AI1736">
        <v>26.59</v>
      </c>
      <c r="AJ1736">
        <v>177.29</v>
      </c>
      <c r="AK1736">
        <v>0</v>
      </c>
      <c r="AL1736" t="s">
        <v>53</v>
      </c>
      <c r="AM1736" t="s">
        <v>53</v>
      </c>
      <c r="AN1736" t="s">
        <v>316</v>
      </c>
      <c r="AO1736" t="s">
        <v>53</v>
      </c>
      <c r="AP1736" t="s">
        <v>53</v>
      </c>
    </row>
    <row r="1737" spans="2:42" x14ac:dyDescent="0.2">
      <c r="B1737" t="s">
        <v>44</v>
      </c>
      <c r="C1737" t="str">
        <f>HYPERLINK("https://us2.cloudbeds.com/connect/8493803454333002#/reservations/598488936654?display=E1DPNTME&amp;reservation_id=598488936654", "E1DPNTME")</f>
        <v>E1DPNTME</v>
      </c>
      <c r="D1737" t="s">
        <v>45</v>
      </c>
      <c r="E1737" t="s">
        <v>78</v>
      </c>
      <c r="F1737" t="s">
        <v>61</v>
      </c>
      <c r="G1737" t="s">
        <v>48</v>
      </c>
      <c r="H1737" t="s">
        <v>49</v>
      </c>
      <c r="I1737" t="s">
        <v>79</v>
      </c>
      <c r="J1737" t="s">
        <v>93</v>
      </c>
      <c r="K1737" t="s">
        <v>1822</v>
      </c>
      <c r="L1737" t="s">
        <v>53</v>
      </c>
      <c r="N1737" t="s">
        <v>2889</v>
      </c>
      <c r="P1737" t="s">
        <v>55</v>
      </c>
      <c r="R1737" t="s">
        <v>56</v>
      </c>
      <c r="T1737" t="s">
        <v>2873</v>
      </c>
      <c r="U1737" t="s">
        <v>58</v>
      </c>
      <c r="V1737">
        <v>1</v>
      </c>
      <c r="W1737">
        <v>1</v>
      </c>
      <c r="X1737">
        <v>1</v>
      </c>
      <c r="Y1737">
        <v>0</v>
      </c>
      <c r="Z1737">
        <v>1</v>
      </c>
      <c r="AA1737">
        <v>0</v>
      </c>
      <c r="AB1737">
        <v>173.88</v>
      </c>
      <c r="AC1737">
        <v>153</v>
      </c>
      <c r="AD1737">
        <v>0</v>
      </c>
      <c r="AE1737">
        <v>20.89</v>
      </c>
      <c r="AF1737">
        <v>0</v>
      </c>
      <c r="AG1737">
        <v>0</v>
      </c>
      <c r="AH1737">
        <v>0</v>
      </c>
      <c r="AI1737">
        <v>0</v>
      </c>
      <c r="AJ1737">
        <v>173.89</v>
      </c>
      <c r="AK1737">
        <v>0.01</v>
      </c>
      <c r="AL1737" t="s">
        <v>53</v>
      </c>
      <c r="AM1737" t="s">
        <v>53</v>
      </c>
      <c r="AN1737" t="s">
        <v>142</v>
      </c>
      <c r="AO1737" t="s">
        <v>53</v>
      </c>
      <c r="AP1737" t="s">
        <v>53</v>
      </c>
    </row>
    <row r="1738" spans="2:42" x14ac:dyDescent="0.2">
      <c r="B1738" t="s">
        <v>44</v>
      </c>
      <c r="C1738" t="str">
        <f>HYPERLINK("https://us2.cloudbeds.com/connect/8493803454333002#/reservations/598614216902?display=E1GWC07J&amp;reservation_id=598614216902", "E1GWC07J")</f>
        <v>E1GWC07J</v>
      </c>
      <c r="D1738" t="s">
        <v>45</v>
      </c>
      <c r="E1738" t="s">
        <v>128</v>
      </c>
      <c r="F1738" t="s">
        <v>86</v>
      </c>
      <c r="G1738" t="s">
        <v>48</v>
      </c>
      <c r="H1738" t="s">
        <v>71</v>
      </c>
      <c r="I1738" t="s">
        <v>72</v>
      </c>
      <c r="J1738" t="s">
        <v>640</v>
      </c>
      <c r="K1738" t="s">
        <v>309</v>
      </c>
      <c r="L1738" t="s">
        <v>53</v>
      </c>
      <c r="N1738" t="s">
        <v>2890</v>
      </c>
      <c r="P1738" t="s">
        <v>58</v>
      </c>
      <c r="R1738" t="s">
        <v>56</v>
      </c>
      <c r="T1738" t="s">
        <v>2873</v>
      </c>
      <c r="U1738" t="s">
        <v>58</v>
      </c>
      <c r="V1738">
        <v>1</v>
      </c>
      <c r="W1738">
        <v>1</v>
      </c>
      <c r="X1738">
        <v>1</v>
      </c>
      <c r="Y1738">
        <v>0</v>
      </c>
      <c r="Z1738">
        <v>1</v>
      </c>
      <c r="AA1738">
        <v>0</v>
      </c>
      <c r="AB1738">
        <v>28.41</v>
      </c>
      <c r="AC1738">
        <v>25</v>
      </c>
      <c r="AD1738">
        <v>0</v>
      </c>
      <c r="AE1738">
        <v>3.42</v>
      </c>
      <c r="AF1738">
        <v>0</v>
      </c>
      <c r="AG1738">
        <v>0</v>
      </c>
      <c r="AH1738">
        <v>0</v>
      </c>
      <c r="AI1738">
        <v>0</v>
      </c>
      <c r="AJ1738">
        <v>28.42</v>
      </c>
      <c r="AK1738">
        <v>0.01</v>
      </c>
      <c r="AL1738" t="s">
        <v>53</v>
      </c>
      <c r="AM1738" t="s">
        <v>53</v>
      </c>
      <c r="AN1738" t="s">
        <v>2891</v>
      </c>
      <c r="AO1738" t="s">
        <v>53</v>
      </c>
      <c r="AP1738" t="s">
        <v>53</v>
      </c>
    </row>
    <row r="1739" spans="2:42" x14ac:dyDescent="0.2">
      <c r="B1739" t="s">
        <v>44</v>
      </c>
      <c r="C1739" t="str">
        <f>HYPERLINK("https://us2.cloudbeds.com/connect/8493803454333002#/reservations/598280302817?display=E18EQBNV&amp;reservation_id=598280302817", "E18EQBNV")</f>
        <v>E18EQBNV</v>
      </c>
      <c r="D1739" t="s">
        <v>45</v>
      </c>
      <c r="E1739" t="s">
        <v>92</v>
      </c>
      <c r="F1739" t="s">
        <v>86</v>
      </c>
      <c r="G1739" t="s">
        <v>48</v>
      </c>
      <c r="H1739" t="s">
        <v>71</v>
      </c>
      <c r="I1739" t="s">
        <v>72</v>
      </c>
      <c r="J1739" t="s">
        <v>309</v>
      </c>
      <c r="K1739" t="s">
        <v>133</v>
      </c>
      <c r="L1739" t="s">
        <v>53</v>
      </c>
      <c r="N1739" t="s">
        <v>2892</v>
      </c>
      <c r="P1739" t="s">
        <v>55</v>
      </c>
      <c r="R1739" t="s">
        <v>56</v>
      </c>
      <c r="T1739" t="s">
        <v>2873</v>
      </c>
      <c r="U1739" t="s">
        <v>58</v>
      </c>
      <c r="V1739">
        <v>1</v>
      </c>
      <c r="W1739">
        <v>1</v>
      </c>
      <c r="X1739">
        <v>1</v>
      </c>
      <c r="Y1739">
        <v>0</v>
      </c>
      <c r="Z1739">
        <v>1</v>
      </c>
      <c r="AA1739">
        <v>0</v>
      </c>
      <c r="AB1739">
        <v>169.34</v>
      </c>
      <c r="AC1739">
        <v>149</v>
      </c>
      <c r="AD1739">
        <v>0</v>
      </c>
      <c r="AE1739">
        <v>20.34</v>
      </c>
      <c r="AF1739">
        <v>0</v>
      </c>
      <c r="AG1739">
        <v>0</v>
      </c>
      <c r="AH1739">
        <v>0</v>
      </c>
      <c r="AI1739">
        <v>0</v>
      </c>
      <c r="AJ1739">
        <v>169.34</v>
      </c>
      <c r="AK1739">
        <v>0</v>
      </c>
      <c r="AL1739" t="s">
        <v>53</v>
      </c>
      <c r="AM1739" t="s">
        <v>53</v>
      </c>
      <c r="AN1739" t="s">
        <v>2893</v>
      </c>
      <c r="AO1739" t="s">
        <v>53</v>
      </c>
      <c r="AP1739" t="s">
        <v>53</v>
      </c>
    </row>
    <row r="1740" spans="2:42" x14ac:dyDescent="0.2">
      <c r="B1740" t="s">
        <v>44</v>
      </c>
      <c r="C1740" t="str">
        <f>HYPERLINK("https://us2.cloudbeds.com/connect/8493803454333002#/reservations/598127796380?display=E14X6Y2P&amp;reservation_id=598127796380", "E14X6Y2P")</f>
        <v>E14X6Y2P</v>
      </c>
      <c r="D1740" t="s">
        <v>45</v>
      </c>
      <c r="E1740" t="s">
        <v>165</v>
      </c>
      <c r="F1740" t="s">
        <v>61</v>
      </c>
      <c r="G1740" t="s">
        <v>48</v>
      </c>
      <c r="H1740" t="s">
        <v>49</v>
      </c>
      <c r="I1740" t="s">
        <v>50</v>
      </c>
      <c r="J1740" t="s">
        <v>970</v>
      </c>
      <c r="K1740" t="s">
        <v>288</v>
      </c>
      <c r="L1740" t="s">
        <v>53</v>
      </c>
      <c r="N1740" t="s">
        <v>2894</v>
      </c>
      <c r="P1740" t="s">
        <v>55</v>
      </c>
      <c r="R1740" t="s">
        <v>56</v>
      </c>
      <c r="T1740" t="s">
        <v>2873</v>
      </c>
      <c r="U1740" t="s">
        <v>58</v>
      </c>
      <c r="V1740">
        <v>1</v>
      </c>
      <c r="W1740">
        <v>1</v>
      </c>
      <c r="X1740">
        <v>1</v>
      </c>
      <c r="Y1740">
        <v>0</v>
      </c>
      <c r="Z1740">
        <v>1</v>
      </c>
      <c r="AA1740">
        <v>0</v>
      </c>
      <c r="AB1740">
        <v>165.7</v>
      </c>
      <c r="AC1740">
        <v>145.80000000000001</v>
      </c>
      <c r="AD1740">
        <v>0</v>
      </c>
      <c r="AE1740">
        <v>19.899999999999999</v>
      </c>
      <c r="AF1740">
        <v>0</v>
      </c>
      <c r="AG1740">
        <v>0</v>
      </c>
      <c r="AH1740">
        <v>0</v>
      </c>
      <c r="AI1740">
        <v>29.83</v>
      </c>
      <c r="AJ1740">
        <v>165.7</v>
      </c>
      <c r="AK1740">
        <v>0</v>
      </c>
      <c r="AL1740" t="s">
        <v>53</v>
      </c>
      <c r="AM1740" t="s">
        <v>53</v>
      </c>
      <c r="AN1740" t="s">
        <v>545</v>
      </c>
      <c r="AO1740" t="s">
        <v>53</v>
      </c>
      <c r="AP1740" t="s">
        <v>53</v>
      </c>
    </row>
    <row r="1741" spans="2:42" x14ac:dyDescent="0.2">
      <c r="B1741" t="s">
        <v>44</v>
      </c>
      <c r="C1741" t="str">
        <f>HYPERLINK("https://us2.cloudbeds.com/connect/8493803454333002#/reservations/598463406255?display=E1D46FPW&amp;reservation_id=598463406255", "E1D46FPW")</f>
        <v>E1D46FPW</v>
      </c>
      <c r="D1741" t="s">
        <v>45</v>
      </c>
      <c r="E1741" t="s">
        <v>185</v>
      </c>
      <c r="F1741" t="s">
        <v>47</v>
      </c>
      <c r="G1741" t="s">
        <v>48</v>
      </c>
      <c r="H1741" t="s">
        <v>49</v>
      </c>
      <c r="I1741" t="s">
        <v>50</v>
      </c>
      <c r="J1741" t="s">
        <v>762</v>
      </c>
      <c r="K1741" t="s">
        <v>236</v>
      </c>
      <c r="L1741" t="s">
        <v>53</v>
      </c>
      <c r="N1741" t="s">
        <v>2895</v>
      </c>
      <c r="P1741" t="s">
        <v>55</v>
      </c>
      <c r="R1741" t="s">
        <v>56</v>
      </c>
      <c r="T1741" t="s">
        <v>2896</v>
      </c>
      <c r="U1741" t="s">
        <v>58</v>
      </c>
      <c r="V1741">
        <v>3</v>
      </c>
      <c r="W1741">
        <v>1</v>
      </c>
      <c r="X1741">
        <v>1</v>
      </c>
      <c r="Y1741">
        <v>0</v>
      </c>
      <c r="Z1741">
        <v>1</v>
      </c>
      <c r="AA1741">
        <v>0</v>
      </c>
      <c r="AB1741">
        <v>469.49</v>
      </c>
      <c r="AC1741">
        <v>413.1</v>
      </c>
      <c r="AD1741">
        <v>0</v>
      </c>
      <c r="AE1741">
        <v>56.37</v>
      </c>
      <c r="AF1741">
        <v>0</v>
      </c>
      <c r="AG1741">
        <v>0</v>
      </c>
      <c r="AH1741">
        <v>0</v>
      </c>
      <c r="AI1741">
        <v>84.5</v>
      </c>
      <c r="AJ1741">
        <v>469.47</v>
      </c>
      <c r="AK1741">
        <v>-0.02</v>
      </c>
      <c r="AL1741" t="s">
        <v>53</v>
      </c>
      <c r="AM1741" t="s">
        <v>53</v>
      </c>
      <c r="AN1741" t="s">
        <v>178</v>
      </c>
      <c r="AO1741" t="s">
        <v>53</v>
      </c>
      <c r="AP1741" t="s">
        <v>53</v>
      </c>
    </row>
    <row r="1742" spans="2:42" x14ac:dyDescent="0.2">
      <c r="B1742" t="s">
        <v>44</v>
      </c>
      <c r="C1742" t="str">
        <f>HYPERLINK("https://us2.cloudbeds.com/connect/8493803454333002#/reservations/579335041250?display=DJJBYDJ8&amp;reservation_id=579335041250", "DJJBYDJ8")</f>
        <v>DJJBYDJ8</v>
      </c>
      <c r="D1742" t="s">
        <v>45</v>
      </c>
      <c r="E1742" t="s">
        <v>69</v>
      </c>
      <c r="F1742" t="s">
        <v>70</v>
      </c>
      <c r="G1742" t="s">
        <v>48</v>
      </c>
      <c r="H1742" t="s">
        <v>49</v>
      </c>
      <c r="I1742" t="s">
        <v>62</v>
      </c>
      <c r="J1742" t="s">
        <v>1745</v>
      </c>
      <c r="K1742" t="s">
        <v>1767</v>
      </c>
      <c r="L1742" t="s">
        <v>53</v>
      </c>
      <c r="N1742" t="s">
        <v>2897</v>
      </c>
      <c r="P1742" t="s">
        <v>55</v>
      </c>
      <c r="R1742" t="s">
        <v>56</v>
      </c>
      <c r="T1742" t="s">
        <v>2896</v>
      </c>
      <c r="U1742" t="s">
        <v>58</v>
      </c>
      <c r="V1742">
        <v>1</v>
      </c>
      <c r="W1742">
        <v>1</v>
      </c>
      <c r="X1742">
        <v>1</v>
      </c>
      <c r="Y1742">
        <v>0</v>
      </c>
      <c r="Z1742">
        <v>1</v>
      </c>
      <c r="AA1742">
        <v>0</v>
      </c>
      <c r="AB1742">
        <v>152.30000000000001</v>
      </c>
      <c r="AC1742">
        <v>134</v>
      </c>
      <c r="AD1742">
        <v>0</v>
      </c>
      <c r="AE1742">
        <v>18.3</v>
      </c>
      <c r="AF1742">
        <v>0</v>
      </c>
      <c r="AG1742">
        <v>0</v>
      </c>
      <c r="AH1742">
        <v>0</v>
      </c>
      <c r="AI1742">
        <v>22.85</v>
      </c>
      <c r="AJ1742">
        <v>152.30000000000001</v>
      </c>
      <c r="AK1742">
        <v>0</v>
      </c>
      <c r="AL1742" t="s">
        <v>53</v>
      </c>
      <c r="AM1742" t="s">
        <v>53</v>
      </c>
      <c r="AN1742" t="s">
        <v>349</v>
      </c>
      <c r="AO1742" t="s">
        <v>53</v>
      </c>
      <c r="AP1742" t="s">
        <v>53</v>
      </c>
    </row>
    <row r="1743" spans="2:42" x14ac:dyDescent="0.2">
      <c r="B1743" t="s">
        <v>44</v>
      </c>
      <c r="C1743" t="str">
        <f>HYPERLINK("https://us2.cloudbeds.com/connect/8493803454333002#/reservations/598404346068?display=E1BKD1CB&amp;reservation_id=598404346068", "E1BKD1CB")</f>
        <v>E1BKD1CB</v>
      </c>
      <c r="D1743" t="s">
        <v>45</v>
      </c>
      <c r="E1743" t="s">
        <v>190</v>
      </c>
      <c r="F1743" t="s">
        <v>61</v>
      </c>
      <c r="G1743" t="s">
        <v>48</v>
      </c>
      <c r="H1743" t="s">
        <v>71</v>
      </c>
      <c r="I1743" t="s">
        <v>72</v>
      </c>
      <c r="J1743" t="s">
        <v>309</v>
      </c>
      <c r="K1743" t="s">
        <v>133</v>
      </c>
      <c r="L1743" t="s">
        <v>53</v>
      </c>
      <c r="N1743" t="s">
        <v>2898</v>
      </c>
      <c r="P1743" t="s">
        <v>58</v>
      </c>
      <c r="R1743" t="s">
        <v>56</v>
      </c>
      <c r="T1743" t="s">
        <v>2896</v>
      </c>
      <c r="U1743" t="s">
        <v>58</v>
      </c>
      <c r="V1743">
        <v>1</v>
      </c>
      <c r="W1743">
        <v>1</v>
      </c>
      <c r="X1743">
        <v>1</v>
      </c>
      <c r="Y1743">
        <v>0</v>
      </c>
      <c r="Z1743">
        <v>1</v>
      </c>
      <c r="AA1743">
        <v>0</v>
      </c>
      <c r="AB1743">
        <v>156.84</v>
      </c>
      <c r="AC1743">
        <v>138</v>
      </c>
      <c r="AD1743">
        <v>0</v>
      </c>
      <c r="AE1743">
        <v>18.84</v>
      </c>
      <c r="AF1743">
        <v>0</v>
      </c>
      <c r="AG1743">
        <v>0</v>
      </c>
      <c r="AH1743">
        <v>0</v>
      </c>
      <c r="AI1743">
        <v>0</v>
      </c>
      <c r="AJ1743">
        <v>156.84</v>
      </c>
      <c r="AK1743">
        <v>0</v>
      </c>
      <c r="AL1743" t="s">
        <v>53</v>
      </c>
      <c r="AM1743" t="s">
        <v>53</v>
      </c>
      <c r="AN1743" t="s">
        <v>378</v>
      </c>
      <c r="AO1743" t="s">
        <v>53</v>
      </c>
      <c r="AP1743" t="s">
        <v>53</v>
      </c>
    </row>
    <row r="1744" spans="2:42" x14ac:dyDescent="0.2">
      <c r="B1744" t="s">
        <v>44</v>
      </c>
      <c r="C1744" t="str">
        <f>HYPERLINK("https://us2.cloudbeds.com/connect/8493803454333002#/reservations/598443724937?display=E1CKJQVD&amp;reservation_id=598443724937", "E1CKJQVD")</f>
        <v>E1CKJQVD</v>
      </c>
      <c r="D1744" t="s">
        <v>45</v>
      </c>
      <c r="E1744" t="s">
        <v>105</v>
      </c>
      <c r="F1744" t="s">
        <v>47</v>
      </c>
      <c r="G1744" t="s">
        <v>48</v>
      </c>
      <c r="H1744" t="s">
        <v>71</v>
      </c>
      <c r="I1744" t="s">
        <v>72</v>
      </c>
      <c r="J1744" t="s">
        <v>327</v>
      </c>
      <c r="K1744" t="s">
        <v>970</v>
      </c>
      <c r="L1744" t="s">
        <v>53</v>
      </c>
      <c r="N1744" t="s">
        <v>2899</v>
      </c>
      <c r="P1744" t="s">
        <v>55</v>
      </c>
      <c r="R1744" t="s">
        <v>56</v>
      </c>
      <c r="T1744" t="s">
        <v>2896</v>
      </c>
      <c r="U1744" t="s">
        <v>58</v>
      </c>
      <c r="V1744">
        <v>1</v>
      </c>
      <c r="W1744">
        <v>1</v>
      </c>
      <c r="X1744">
        <v>1</v>
      </c>
      <c r="Y1744">
        <v>0</v>
      </c>
      <c r="Z1744">
        <v>1</v>
      </c>
      <c r="AA1744">
        <v>0</v>
      </c>
      <c r="AB1744">
        <v>177.29</v>
      </c>
      <c r="AC1744">
        <v>156</v>
      </c>
      <c r="AD1744">
        <v>0</v>
      </c>
      <c r="AE1744">
        <v>21.29</v>
      </c>
      <c r="AF1744">
        <v>0</v>
      </c>
      <c r="AG1744">
        <v>0</v>
      </c>
      <c r="AH1744">
        <v>0</v>
      </c>
      <c r="AI1744">
        <v>0</v>
      </c>
      <c r="AJ1744">
        <v>177.29</v>
      </c>
      <c r="AK1744">
        <v>0</v>
      </c>
      <c r="AL1744" t="s">
        <v>53</v>
      </c>
      <c r="AM1744" t="s">
        <v>53</v>
      </c>
      <c r="AN1744" t="s">
        <v>2900</v>
      </c>
      <c r="AO1744" t="s">
        <v>53</v>
      </c>
      <c r="AP1744" t="s">
        <v>53</v>
      </c>
    </row>
    <row r="1745" spans="2:42" x14ac:dyDescent="0.2">
      <c r="B1745" t="s">
        <v>44</v>
      </c>
      <c r="C1745" t="str">
        <f>HYPERLINK("https://us2.cloudbeds.com/connect/8493803454333002#/reservations/598415085714?display=E1BTEPXQ&amp;reservation_id=598415085714", "E1BTEPXQ")</f>
        <v>E1BTEPXQ</v>
      </c>
      <c r="D1745" t="s">
        <v>45</v>
      </c>
      <c r="E1745" t="s">
        <v>265</v>
      </c>
      <c r="F1745" t="s">
        <v>61</v>
      </c>
      <c r="G1745" t="s">
        <v>48</v>
      </c>
      <c r="H1745" t="s">
        <v>71</v>
      </c>
      <c r="I1745" t="s">
        <v>72</v>
      </c>
      <c r="J1745" t="s">
        <v>640</v>
      </c>
      <c r="K1745" t="s">
        <v>309</v>
      </c>
      <c r="L1745" t="s">
        <v>53</v>
      </c>
      <c r="N1745" t="s">
        <v>2901</v>
      </c>
      <c r="P1745" t="s">
        <v>55</v>
      </c>
      <c r="R1745" t="s">
        <v>56</v>
      </c>
      <c r="T1745" t="s">
        <v>2896</v>
      </c>
      <c r="U1745" t="s">
        <v>58</v>
      </c>
      <c r="V1745">
        <v>1</v>
      </c>
      <c r="W1745">
        <v>1</v>
      </c>
      <c r="X1745">
        <v>1</v>
      </c>
      <c r="Y1745">
        <v>0</v>
      </c>
      <c r="Z1745">
        <v>1</v>
      </c>
      <c r="AA1745">
        <v>0</v>
      </c>
      <c r="AB1745">
        <v>153.43</v>
      </c>
      <c r="AC1745">
        <v>135</v>
      </c>
      <c r="AD1745">
        <v>0</v>
      </c>
      <c r="AE1745">
        <v>18.440000000000001</v>
      </c>
      <c r="AF1745">
        <v>0</v>
      </c>
      <c r="AG1745">
        <v>0</v>
      </c>
      <c r="AH1745">
        <v>0</v>
      </c>
      <c r="AI1745">
        <v>0</v>
      </c>
      <c r="AJ1745">
        <v>153.44</v>
      </c>
      <c r="AK1745">
        <v>0.01</v>
      </c>
      <c r="AL1745" t="s">
        <v>53</v>
      </c>
      <c r="AM1745" t="s">
        <v>53</v>
      </c>
      <c r="AN1745" t="s">
        <v>378</v>
      </c>
      <c r="AO1745" t="s">
        <v>53</v>
      </c>
      <c r="AP1745" t="s">
        <v>53</v>
      </c>
    </row>
    <row r="1746" spans="2:42" x14ac:dyDescent="0.2">
      <c r="B1746" t="s">
        <v>44</v>
      </c>
      <c r="C1746" t="str">
        <f>HYPERLINK("https://us2.cloudbeds.com/connect/8493803454333002#/reservations/598194458865?display=E168DKG2&amp;reservation_id=598194458865", "E168DKG2")</f>
        <v>E168DKG2</v>
      </c>
      <c r="D1746" t="s">
        <v>45</v>
      </c>
      <c r="E1746" t="s">
        <v>138</v>
      </c>
      <c r="F1746" t="s">
        <v>70</v>
      </c>
      <c r="G1746" t="s">
        <v>48</v>
      </c>
      <c r="H1746" t="s">
        <v>49</v>
      </c>
      <c r="I1746" t="s">
        <v>50</v>
      </c>
      <c r="J1746" t="s">
        <v>1269</v>
      </c>
      <c r="K1746" t="s">
        <v>387</v>
      </c>
      <c r="L1746" t="s">
        <v>53</v>
      </c>
      <c r="N1746" t="s">
        <v>2902</v>
      </c>
      <c r="P1746" t="s">
        <v>55</v>
      </c>
      <c r="R1746" t="s">
        <v>56</v>
      </c>
      <c r="T1746" t="s">
        <v>2896</v>
      </c>
      <c r="U1746" t="s">
        <v>58</v>
      </c>
      <c r="V1746">
        <v>1</v>
      </c>
      <c r="W1746">
        <v>1</v>
      </c>
      <c r="X1746">
        <v>1</v>
      </c>
      <c r="Y1746">
        <v>0</v>
      </c>
      <c r="Z1746">
        <v>1</v>
      </c>
      <c r="AA1746">
        <v>0</v>
      </c>
      <c r="AB1746">
        <v>150.36000000000001</v>
      </c>
      <c r="AC1746">
        <v>132.30000000000001</v>
      </c>
      <c r="AD1746">
        <v>0</v>
      </c>
      <c r="AE1746">
        <v>18.07</v>
      </c>
      <c r="AF1746">
        <v>0</v>
      </c>
      <c r="AG1746">
        <v>0</v>
      </c>
      <c r="AH1746">
        <v>0</v>
      </c>
      <c r="AI1746">
        <v>27.07</v>
      </c>
      <c r="AJ1746">
        <v>150.37</v>
      </c>
      <c r="AK1746">
        <v>0.01</v>
      </c>
      <c r="AL1746" t="s">
        <v>53</v>
      </c>
      <c r="AM1746" t="s">
        <v>53</v>
      </c>
      <c r="AN1746" t="s">
        <v>280</v>
      </c>
      <c r="AO1746" t="s">
        <v>53</v>
      </c>
      <c r="AP1746" t="s">
        <v>53</v>
      </c>
    </row>
    <row r="1747" spans="2:42" x14ac:dyDescent="0.2">
      <c r="B1747" t="s">
        <v>44</v>
      </c>
      <c r="C1747" t="str">
        <f>HYPERLINK("https://us2.cloudbeds.com/connect/8493803454333002#/reservations/598451052775?display=E1CQPNU2&amp;reservation_id=598451052775", "E1CQPNU2")</f>
        <v>E1CQPNU2</v>
      </c>
      <c r="D1747" t="s">
        <v>45</v>
      </c>
      <c r="E1747" t="s">
        <v>381</v>
      </c>
      <c r="F1747" t="s">
        <v>47</v>
      </c>
      <c r="G1747" t="s">
        <v>48</v>
      </c>
      <c r="H1747" t="s">
        <v>49</v>
      </c>
      <c r="I1747" t="s">
        <v>50</v>
      </c>
      <c r="J1747" t="s">
        <v>478</v>
      </c>
      <c r="K1747" t="s">
        <v>489</v>
      </c>
      <c r="L1747" t="s">
        <v>53</v>
      </c>
      <c r="N1747" t="s">
        <v>2903</v>
      </c>
      <c r="P1747" t="s">
        <v>55</v>
      </c>
      <c r="R1747" t="s">
        <v>56</v>
      </c>
      <c r="T1747" t="s">
        <v>2896</v>
      </c>
      <c r="U1747" t="s">
        <v>58</v>
      </c>
      <c r="V1747">
        <v>7</v>
      </c>
      <c r="W1747">
        <v>1</v>
      </c>
      <c r="X1747">
        <v>1</v>
      </c>
      <c r="Y1747">
        <v>0</v>
      </c>
      <c r="Z1747">
        <v>1</v>
      </c>
      <c r="AA1747">
        <v>0</v>
      </c>
      <c r="AB1747">
        <v>1081.1500000000001</v>
      </c>
      <c r="AC1747">
        <v>951.3</v>
      </c>
      <c r="AD1747">
        <v>0</v>
      </c>
      <c r="AE1747">
        <v>129.85</v>
      </c>
      <c r="AF1747">
        <v>0</v>
      </c>
      <c r="AG1747">
        <v>0</v>
      </c>
      <c r="AH1747">
        <v>0</v>
      </c>
      <c r="AI1747">
        <v>194.61</v>
      </c>
      <c r="AJ1747">
        <v>1081.1500000000001</v>
      </c>
      <c r="AK1747">
        <v>0</v>
      </c>
      <c r="AL1747" t="s">
        <v>53</v>
      </c>
      <c r="AM1747" t="s">
        <v>53</v>
      </c>
      <c r="AN1747" t="s">
        <v>132</v>
      </c>
      <c r="AO1747" t="s">
        <v>53</v>
      </c>
      <c r="AP1747" t="s">
        <v>53</v>
      </c>
    </row>
    <row r="1748" spans="2:42" x14ac:dyDescent="0.2">
      <c r="B1748" t="s">
        <v>44</v>
      </c>
      <c r="C1748" t="str">
        <f>HYPERLINK("https://us2.cloudbeds.com/connect/8493803454333002#/reservations/598102814936?display=E13U4G9A&amp;reservation_id=598102814936", "E13U4G9A")</f>
        <v>E13U4G9A</v>
      </c>
      <c r="D1748" t="s">
        <v>45</v>
      </c>
      <c r="E1748" t="s">
        <v>185</v>
      </c>
      <c r="F1748" t="s">
        <v>47</v>
      </c>
      <c r="G1748" t="s">
        <v>48</v>
      </c>
      <c r="H1748" t="s">
        <v>49</v>
      </c>
      <c r="I1748" t="s">
        <v>114</v>
      </c>
      <c r="J1748" t="s">
        <v>327</v>
      </c>
      <c r="K1748" t="s">
        <v>970</v>
      </c>
      <c r="L1748" t="s">
        <v>53</v>
      </c>
      <c r="N1748" t="s">
        <v>2904</v>
      </c>
      <c r="P1748" t="s">
        <v>55</v>
      </c>
      <c r="R1748" t="s">
        <v>56</v>
      </c>
      <c r="T1748" t="s">
        <v>2896</v>
      </c>
      <c r="U1748" t="s">
        <v>58</v>
      </c>
      <c r="V1748">
        <v>1</v>
      </c>
      <c r="W1748">
        <v>1</v>
      </c>
      <c r="X1748">
        <v>1</v>
      </c>
      <c r="Y1748">
        <v>0</v>
      </c>
      <c r="Z1748">
        <v>1</v>
      </c>
      <c r="AA1748">
        <v>0</v>
      </c>
      <c r="AB1748">
        <v>178.43</v>
      </c>
      <c r="AC1748">
        <v>157</v>
      </c>
      <c r="AD1748">
        <v>0</v>
      </c>
      <c r="AE1748">
        <v>21.43</v>
      </c>
      <c r="AF1748">
        <v>0</v>
      </c>
      <c r="AG1748">
        <v>0</v>
      </c>
      <c r="AH1748">
        <v>0</v>
      </c>
      <c r="AI1748">
        <v>0</v>
      </c>
      <c r="AJ1748">
        <v>178.43</v>
      </c>
      <c r="AK1748">
        <v>0</v>
      </c>
      <c r="AL1748" t="s">
        <v>53</v>
      </c>
      <c r="AM1748" t="s">
        <v>53</v>
      </c>
      <c r="AN1748" t="s">
        <v>2905</v>
      </c>
      <c r="AO1748" t="s">
        <v>53</v>
      </c>
      <c r="AP1748" t="s">
        <v>53</v>
      </c>
    </row>
    <row r="1749" spans="2:42" x14ac:dyDescent="0.2">
      <c r="B1749" t="s">
        <v>44</v>
      </c>
      <c r="C1749" t="str">
        <f>HYPERLINK("https://us2.cloudbeds.com/connect/8493803454333002#/reservations/579310788749?display=DJXZ6YTA&amp;reservation_id=579310788749", "DJXZ6YTA")</f>
        <v>DJXZ6YTA</v>
      </c>
      <c r="D1749" t="s">
        <v>45</v>
      </c>
      <c r="E1749" t="s">
        <v>69</v>
      </c>
      <c r="F1749" t="s">
        <v>70</v>
      </c>
      <c r="G1749" t="s">
        <v>48</v>
      </c>
      <c r="H1749" t="s">
        <v>49</v>
      </c>
      <c r="I1749" t="s">
        <v>62</v>
      </c>
      <c r="J1749" t="s">
        <v>1141</v>
      </c>
      <c r="K1749" t="s">
        <v>1450</v>
      </c>
      <c r="L1749" t="s">
        <v>53</v>
      </c>
      <c r="N1749" t="s">
        <v>2906</v>
      </c>
      <c r="P1749" t="s">
        <v>55</v>
      </c>
      <c r="R1749" t="s">
        <v>871</v>
      </c>
      <c r="T1749" t="s">
        <v>2896</v>
      </c>
      <c r="U1749" t="s">
        <v>58</v>
      </c>
      <c r="V1749">
        <v>1</v>
      </c>
      <c r="W1749">
        <v>1</v>
      </c>
      <c r="X1749">
        <v>1</v>
      </c>
      <c r="Y1749">
        <v>0</v>
      </c>
      <c r="Z1749">
        <v>1</v>
      </c>
      <c r="AA1749">
        <v>0</v>
      </c>
      <c r="AB1749">
        <v>304.60000000000002</v>
      </c>
      <c r="AC1749">
        <v>134</v>
      </c>
      <c r="AD1749">
        <v>0</v>
      </c>
      <c r="AE1749">
        <v>18.3</v>
      </c>
      <c r="AF1749">
        <v>0</v>
      </c>
      <c r="AG1749">
        <v>0</v>
      </c>
      <c r="AH1749">
        <v>0</v>
      </c>
      <c r="AI1749">
        <v>22.85</v>
      </c>
      <c r="AJ1749">
        <v>152.30000000000001</v>
      </c>
      <c r="AK1749">
        <v>0</v>
      </c>
      <c r="AL1749" t="s">
        <v>53</v>
      </c>
      <c r="AM1749" t="s">
        <v>53</v>
      </c>
      <c r="AN1749" t="s">
        <v>245</v>
      </c>
      <c r="AO1749" t="s">
        <v>53</v>
      </c>
      <c r="AP1749" t="s">
        <v>53</v>
      </c>
    </row>
    <row r="1750" spans="2:42" x14ac:dyDescent="0.2">
      <c r="B1750" t="s">
        <v>44</v>
      </c>
      <c r="C1750" t="str">
        <f>HYPERLINK("https://us2.cloudbeds.com/connect/8493803454333002#/reservations/598614220996?display=E1GWC3WY&amp;reservation_id=598614220996", "E1GWC3WY")</f>
        <v>E1GWC3WY</v>
      </c>
      <c r="D1750" t="s">
        <v>45</v>
      </c>
      <c r="E1750" t="s">
        <v>165</v>
      </c>
      <c r="F1750" t="s">
        <v>61</v>
      </c>
      <c r="G1750" t="s">
        <v>48</v>
      </c>
      <c r="H1750" t="s">
        <v>71</v>
      </c>
      <c r="I1750" t="s">
        <v>72</v>
      </c>
      <c r="J1750" t="s">
        <v>309</v>
      </c>
      <c r="K1750" t="s">
        <v>133</v>
      </c>
      <c r="L1750" t="s">
        <v>53</v>
      </c>
      <c r="N1750" t="s">
        <v>2907</v>
      </c>
      <c r="P1750" t="s">
        <v>58</v>
      </c>
      <c r="R1750" t="s">
        <v>56</v>
      </c>
      <c r="T1750" t="s">
        <v>2908</v>
      </c>
      <c r="U1750" t="s">
        <v>58</v>
      </c>
      <c r="V1750">
        <v>1</v>
      </c>
      <c r="W1750">
        <v>1</v>
      </c>
      <c r="X1750">
        <v>1</v>
      </c>
      <c r="Y1750">
        <v>0</v>
      </c>
      <c r="Z1750">
        <v>1</v>
      </c>
      <c r="AA1750">
        <v>0</v>
      </c>
      <c r="AB1750">
        <v>28.41</v>
      </c>
      <c r="AC1750">
        <v>25</v>
      </c>
      <c r="AD1750">
        <v>0</v>
      </c>
      <c r="AE1750">
        <v>3.42</v>
      </c>
      <c r="AF1750">
        <v>0</v>
      </c>
      <c r="AG1750">
        <v>0</v>
      </c>
      <c r="AH1750">
        <v>0</v>
      </c>
      <c r="AI1750">
        <v>0</v>
      </c>
      <c r="AJ1750">
        <v>28.42</v>
      </c>
      <c r="AK1750">
        <v>0.01</v>
      </c>
      <c r="AL1750" t="s">
        <v>53</v>
      </c>
      <c r="AM1750" t="s">
        <v>53</v>
      </c>
      <c r="AN1750" t="s">
        <v>2909</v>
      </c>
      <c r="AO1750" t="s">
        <v>53</v>
      </c>
      <c r="AP1750" t="s">
        <v>53</v>
      </c>
    </row>
    <row r="1751" spans="2:42" x14ac:dyDescent="0.2">
      <c r="B1751" t="s">
        <v>44</v>
      </c>
      <c r="C1751" t="str">
        <f>HYPERLINK("https://us2.cloudbeds.com/connect/8493803454333002#/reservations/598582149269?display=E1G5AMC4&amp;reservation_id=598582149269", "E1G5AMC4")</f>
        <v>E1G5AMC4</v>
      </c>
      <c r="D1751" t="s">
        <v>45</v>
      </c>
      <c r="E1751" t="s">
        <v>305</v>
      </c>
      <c r="F1751" t="s">
        <v>61</v>
      </c>
      <c r="G1751" t="s">
        <v>48</v>
      </c>
      <c r="H1751" t="s">
        <v>71</v>
      </c>
      <c r="I1751" t="s">
        <v>72</v>
      </c>
      <c r="J1751" t="s">
        <v>134</v>
      </c>
      <c r="K1751" t="s">
        <v>341</v>
      </c>
      <c r="L1751" t="s">
        <v>53</v>
      </c>
      <c r="N1751" t="s">
        <v>2910</v>
      </c>
      <c r="P1751" t="s">
        <v>58</v>
      </c>
      <c r="R1751" t="s">
        <v>56</v>
      </c>
      <c r="T1751" t="s">
        <v>2908</v>
      </c>
      <c r="U1751" t="s">
        <v>58</v>
      </c>
      <c r="V1751">
        <v>1</v>
      </c>
      <c r="W1751">
        <v>1</v>
      </c>
      <c r="X1751">
        <v>1</v>
      </c>
      <c r="Y1751">
        <v>0</v>
      </c>
      <c r="Z1751">
        <v>1</v>
      </c>
      <c r="AA1751">
        <v>0</v>
      </c>
      <c r="AB1751">
        <v>56.83</v>
      </c>
      <c r="AC1751">
        <v>50</v>
      </c>
      <c r="AD1751">
        <v>0</v>
      </c>
      <c r="AE1751">
        <v>6.83</v>
      </c>
      <c r="AF1751">
        <v>0</v>
      </c>
      <c r="AG1751">
        <v>0</v>
      </c>
      <c r="AH1751">
        <v>0</v>
      </c>
      <c r="AI1751">
        <v>0</v>
      </c>
      <c r="AJ1751">
        <v>56.83</v>
      </c>
      <c r="AK1751">
        <v>0</v>
      </c>
      <c r="AL1751" t="s">
        <v>53</v>
      </c>
      <c r="AM1751" t="s">
        <v>53</v>
      </c>
      <c r="AN1751" t="s">
        <v>378</v>
      </c>
      <c r="AO1751" t="s">
        <v>53</v>
      </c>
      <c r="AP1751" t="s">
        <v>53</v>
      </c>
    </row>
    <row r="1752" spans="2:42" x14ac:dyDescent="0.2">
      <c r="B1752" t="s">
        <v>44</v>
      </c>
      <c r="C1752" t="str">
        <f>HYPERLINK("https://us2.cloudbeds.com/connect/8493803454333002#/reservations/598148071641?display=E1529RAK&amp;reservation_id=598148071641", "E1529RAK")</f>
        <v>E1529RAK</v>
      </c>
      <c r="D1752" t="s">
        <v>45</v>
      </c>
      <c r="E1752" t="s">
        <v>69</v>
      </c>
      <c r="F1752" t="s">
        <v>70</v>
      </c>
      <c r="G1752" t="s">
        <v>48</v>
      </c>
      <c r="H1752" t="s">
        <v>49</v>
      </c>
      <c r="I1752" t="s">
        <v>50</v>
      </c>
      <c r="J1752" t="s">
        <v>309</v>
      </c>
      <c r="K1752" t="s">
        <v>133</v>
      </c>
      <c r="L1752" t="s">
        <v>53</v>
      </c>
      <c r="N1752" t="s">
        <v>2911</v>
      </c>
      <c r="P1752" t="s">
        <v>55</v>
      </c>
      <c r="R1752" t="s">
        <v>56</v>
      </c>
      <c r="T1752" t="s">
        <v>2908</v>
      </c>
      <c r="U1752" t="s">
        <v>58</v>
      </c>
      <c r="V1752">
        <v>1</v>
      </c>
      <c r="W1752">
        <v>1</v>
      </c>
      <c r="X1752">
        <v>1</v>
      </c>
      <c r="Y1752">
        <v>0</v>
      </c>
      <c r="Z1752">
        <v>1</v>
      </c>
      <c r="AA1752">
        <v>0</v>
      </c>
      <c r="AB1752">
        <v>132.97</v>
      </c>
      <c r="AC1752">
        <v>117</v>
      </c>
      <c r="AD1752">
        <v>0</v>
      </c>
      <c r="AE1752">
        <v>15.97</v>
      </c>
      <c r="AF1752">
        <v>0</v>
      </c>
      <c r="AG1752">
        <v>0</v>
      </c>
      <c r="AH1752">
        <v>0</v>
      </c>
      <c r="AI1752">
        <v>23.93</v>
      </c>
      <c r="AJ1752">
        <v>132.97</v>
      </c>
      <c r="AK1752">
        <v>0</v>
      </c>
      <c r="AL1752" t="s">
        <v>53</v>
      </c>
      <c r="AM1752" t="s">
        <v>53</v>
      </c>
      <c r="AN1752" t="s">
        <v>104</v>
      </c>
      <c r="AO1752" t="s">
        <v>53</v>
      </c>
      <c r="AP1752" t="s">
        <v>53</v>
      </c>
    </row>
    <row r="1753" spans="2:42" x14ac:dyDescent="0.2">
      <c r="B1753" t="s">
        <v>44</v>
      </c>
      <c r="C1753" t="str">
        <f>HYPERLINK("https://us2.cloudbeds.com/connect/8493803454333002#/reservations/598520873118?display=E1EJYJ32&amp;reservation_id=598520873118", "E1EJYJ32")</f>
        <v>E1EJYJ32</v>
      </c>
      <c r="D1753" t="s">
        <v>45</v>
      </c>
      <c r="E1753" t="s">
        <v>69</v>
      </c>
      <c r="F1753" t="s">
        <v>70</v>
      </c>
      <c r="G1753" t="s">
        <v>48</v>
      </c>
      <c r="H1753" t="s">
        <v>49</v>
      </c>
      <c r="I1753" t="s">
        <v>114</v>
      </c>
      <c r="J1753" t="s">
        <v>130</v>
      </c>
      <c r="K1753" t="s">
        <v>87</v>
      </c>
      <c r="L1753" t="s">
        <v>53</v>
      </c>
      <c r="N1753" t="s">
        <v>2912</v>
      </c>
      <c r="P1753" t="s">
        <v>55</v>
      </c>
      <c r="R1753" t="s">
        <v>56</v>
      </c>
      <c r="T1753" t="s">
        <v>2908</v>
      </c>
      <c r="U1753" t="s">
        <v>58</v>
      </c>
      <c r="V1753">
        <v>1</v>
      </c>
      <c r="W1753">
        <v>1</v>
      </c>
      <c r="X1753">
        <v>1</v>
      </c>
      <c r="Y1753">
        <v>0</v>
      </c>
      <c r="Z1753">
        <v>1</v>
      </c>
      <c r="AA1753">
        <v>0</v>
      </c>
      <c r="AB1753">
        <v>160.25</v>
      </c>
      <c r="AC1753">
        <v>141</v>
      </c>
      <c r="AD1753">
        <v>0</v>
      </c>
      <c r="AE1753">
        <v>19.25</v>
      </c>
      <c r="AF1753">
        <v>0</v>
      </c>
      <c r="AG1753">
        <v>0</v>
      </c>
      <c r="AH1753">
        <v>0</v>
      </c>
      <c r="AI1753">
        <v>0</v>
      </c>
      <c r="AJ1753">
        <v>160.25</v>
      </c>
      <c r="AK1753">
        <v>0</v>
      </c>
      <c r="AL1753" t="s">
        <v>53</v>
      </c>
      <c r="AM1753" t="s">
        <v>53</v>
      </c>
      <c r="AN1753" t="s">
        <v>2913</v>
      </c>
      <c r="AO1753" t="s">
        <v>53</v>
      </c>
      <c r="AP1753" t="s">
        <v>53</v>
      </c>
    </row>
    <row r="1754" spans="2:42" x14ac:dyDescent="0.2">
      <c r="B1754" t="s">
        <v>44</v>
      </c>
      <c r="C1754" t="str">
        <f>HYPERLINK("https://us2.cloudbeds.com/connect/8493803454333002#/reservations/598554833108?display=E1FF9XYM&amp;reservation_id=598554833108", "E1FF9XYM")</f>
        <v>E1FF9XYM</v>
      </c>
      <c r="D1754" t="s">
        <v>45</v>
      </c>
      <c r="E1754" t="s">
        <v>128</v>
      </c>
      <c r="F1754" t="s">
        <v>86</v>
      </c>
      <c r="G1754" t="s">
        <v>48</v>
      </c>
      <c r="H1754" t="s">
        <v>49</v>
      </c>
      <c r="I1754" t="s">
        <v>62</v>
      </c>
      <c r="J1754" t="s">
        <v>970</v>
      </c>
      <c r="K1754" t="s">
        <v>288</v>
      </c>
      <c r="L1754" t="s">
        <v>53</v>
      </c>
      <c r="N1754" t="s">
        <v>2914</v>
      </c>
      <c r="P1754" t="s">
        <v>55</v>
      </c>
      <c r="R1754" t="s">
        <v>56</v>
      </c>
      <c r="T1754" t="s">
        <v>2908</v>
      </c>
      <c r="U1754" t="s">
        <v>58</v>
      </c>
      <c r="V1754">
        <v>1</v>
      </c>
      <c r="W1754">
        <v>1</v>
      </c>
      <c r="X1754">
        <v>1</v>
      </c>
      <c r="Y1754">
        <v>0</v>
      </c>
      <c r="Z1754">
        <v>1</v>
      </c>
      <c r="AA1754">
        <v>0</v>
      </c>
      <c r="AB1754">
        <v>184.11</v>
      </c>
      <c r="AC1754">
        <v>162</v>
      </c>
      <c r="AD1754">
        <v>0</v>
      </c>
      <c r="AE1754">
        <v>22.12</v>
      </c>
      <c r="AF1754">
        <v>0</v>
      </c>
      <c r="AG1754">
        <v>0</v>
      </c>
      <c r="AH1754">
        <v>0</v>
      </c>
      <c r="AI1754">
        <v>27.62</v>
      </c>
      <c r="AJ1754">
        <v>184.12</v>
      </c>
      <c r="AK1754">
        <v>0.01</v>
      </c>
      <c r="AL1754" t="s">
        <v>53</v>
      </c>
      <c r="AM1754" t="s">
        <v>53</v>
      </c>
      <c r="AN1754" t="s">
        <v>2915</v>
      </c>
      <c r="AO1754" t="s">
        <v>53</v>
      </c>
      <c r="AP1754" t="s">
        <v>53</v>
      </c>
    </row>
    <row r="1755" spans="2:42" x14ac:dyDescent="0.2">
      <c r="B1755" t="s">
        <v>44</v>
      </c>
      <c r="C1755" t="str">
        <f>HYPERLINK("https://us2.cloudbeds.com/connect/8493803454333002#/reservations/598393729275?display=E1BBEK8B&amp;reservation_id=598393729275", "E1BBEK8B")</f>
        <v>E1BBEK8B</v>
      </c>
      <c r="D1755" t="s">
        <v>45</v>
      </c>
      <c r="E1755" t="s">
        <v>105</v>
      </c>
      <c r="F1755" t="s">
        <v>47</v>
      </c>
      <c r="G1755" t="s">
        <v>48</v>
      </c>
      <c r="H1755" t="s">
        <v>49</v>
      </c>
      <c r="I1755" t="s">
        <v>79</v>
      </c>
      <c r="J1755" t="s">
        <v>133</v>
      </c>
      <c r="K1755" t="s">
        <v>549</v>
      </c>
      <c r="L1755" t="s">
        <v>53</v>
      </c>
      <c r="N1755" t="s">
        <v>2916</v>
      </c>
      <c r="P1755" t="s">
        <v>55</v>
      </c>
      <c r="R1755" t="s">
        <v>56</v>
      </c>
      <c r="T1755" t="s">
        <v>2908</v>
      </c>
      <c r="U1755" t="s">
        <v>58</v>
      </c>
      <c r="V1755">
        <v>1</v>
      </c>
      <c r="W1755">
        <v>1</v>
      </c>
      <c r="X1755">
        <v>1</v>
      </c>
      <c r="Y1755">
        <v>0</v>
      </c>
      <c r="Z1755">
        <v>1</v>
      </c>
      <c r="AA1755">
        <v>0</v>
      </c>
      <c r="AB1755">
        <v>141.15</v>
      </c>
      <c r="AC1755">
        <v>124.2</v>
      </c>
      <c r="AD1755">
        <v>0</v>
      </c>
      <c r="AE1755">
        <v>16.95</v>
      </c>
      <c r="AF1755">
        <v>0</v>
      </c>
      <c r="AG1755">
        <v>0</v>
      </c>
      <c r="AH1755">
        <v>0</v>
      </c>
      <c r="AI1755">
        <v>0</v>
      </c>
      <c r="AJ1755">
        <v>141.15</v>
      </c>
      <c r="AK1755">
        <v>0</v>
      </c>
      <c r="AL1755" t="s">
        <v>53</v>
      </c>
      <c r="AM1755" t="s">
        <v>53</v>
      </c>
      <c r="AN1755" t="s">
        <v>142</v>
      </c>
      <c r="AO1755" t="s">
        <v>53</v>
      </c>
      <c r="AP1755" t="s">
        <v>53</v>
      </c>
    </row>
    <row r="1756" spans="2:42" x14ac:dyDescent="0.2">
      <c r="B1756" t="s">
        <v>44</v>
      </c>
      <c r="C1756" t="str">
        <f>HYPERLINK("https://us2.cloudbeds.com/connect/8493803454333002#/reservations/598590292199?display=E1GC68QJ&amp;reservation_id=598590292199", "E1GC68QJ")</f>
        <v>E1GC68QJ</v>
      </c>
      <c r="D1756" t="s">
        <v>45</v>
      </c>
      <c r="E1756" t="s">
        <v>128</v>
      </c>
      <c r="F1756" t="s">
        <v>86</v>
      </c>
      <c r="G1756" t="s">
        <v>48</v>
      </c>
      <c r="H1756" t="s">
        <v>49</v>
      </c>
      <c r="I1756" t="s">
        <v>79</v>
      </c>
      <c r="J1756" t="s">
        <v>446</v>
      </c>
      <c r="K1756" t="s">
        <v>1792</v>
      </c>
      <c r="L1756" t="s">
        <v>53</v>
      </c>
      <c r="N1756" t="s">
        <v>2917</v>
      </c>
      <c r="P1756" t="s">
        <v>55</v>
      </c>
      <c r="R1756" t="s">
        <v>56</v>
      </c>
      <c r="T1756" t="s">
        <v>2908</v>
      </c>
      <c r="U1756" t="s">
        <v>58</v>
      </c>
      <c r="V1756">
        <v>1</v>
      </c>
      <c r="W1756">
        <v>1</v>
      </c>
      <c r="X1756">
        <v>1</v>
      </c>
      <c r="Y1756">
        <v>0</v>
      </c>
      <c r="Z1756">
        <v>1</v>
      </c>
      <c r="AA1756">
        <v>0</v>
      </c>
      <c r="AB1756">
        <v>190.76</v>
      </c>
      <c r="AC1756">
        <v>167.85</v>
      </c>
      <c r="AD1756">
        <v>0</v>
      </c>
      <c r="AE1756">
        <v>22.91</v>
      </c>
      <c r="AF1756">
        <v>0</v>
      </c>
      <c r="AG1756">
        <v>0</v>
      </c>
      <c r="AH1756">
        <v>0</v>
      </c>
      <c r="AI1756">
        <v>0</v>
      </c>
      <c r="AJ1756">
        <v>190.76</v>
      </c>
      <c r="AK1756">
        <v>0</v>
      </c>
      <c r="AL1756" t="s">
        <v>53</v>
      </c>
      <c r="AM1756" t="s">
        <v>53</v>
      </c>
      <c r="AN1756" t="s">
        <v>132</v>
      </c>
      <c r="AO1756" t="s">
        <v>53</v>
      </c>
      <c r="AP1756" t="s">
        <v>53</v>
      </c>
    </row>
    <row r="1757" spans="2:42" x14ac:dyDescent="0.2">
      <c r="B1757" t="s">
        <v>44</v>
      </c>
      <c r="C1757" t="str">
        <f>HYPERLINK("https://us2.cloudbeds.com/connect/8493803454333002#/reservations/598457082101?display=E1CVSGFU&amp;reservation_id=598457082101", "E1CVSGFU")</f>
        <v>E1CVSGFU</v>
      </c>
      <c r="D1757" t="s">
        <v>45</v>
      </c>
      <c r="E1757" t="s">
        <v>487</v>
      </c>
      <c r="F1757" t="s">
        <v>61</v>
      </c>
      <c r="G1757" t="s">
        <v>48</v>
      </c>
      <c r="H1757" t="s">
        <v>49</v>
      </c>
      <c r="I1757" t="s">
        <v>79</v>
      </c>
      <c r="J1757" t="s">
        <v>1480</v>
      </c>
      <c r="K1757" t="s">
        <v>488</v>
      </c>
      <c r="L1757" t="s">
        <v>53</v>
      </c>
      <c r="N1757" t="s">
        <v>2918</v>
      </c>
      <c r="P1757" t="s">
        <v>55</v>
      </c>
      <c r="R1757" t="s">
        <v>56</v>
      </c>
      <c r="T1757" t="s">
        <v>2908</v>
      </c>
      <c r="U1757" t="s">
        <v>58</v>
      </c>
      <c r="V1757">
        <v>2</v>
      </c>
      <c r="W1757">
        <v>1</v>
      </c>
      <c r="X1757">
        <v>1</v>
      </c>
      <c r="Y1757">
        <v>0</v>
      </c>
      <c r="Z1757">
        <v>1</v>
      </c>
      <c r="AA1757">
        <v>0</v>
      </c>
      <c r="AB1757">
        <v>335.49</v>
      </c>
      <c r="AC1757">
        <v>295.2</v>
      </c>
      <c r="AD1757">
        <v>0</v>
      </c>
      <c r="AE1757">
        <v>40.299999999999997</v>
      </c>
      <c r="AF1757">
        <v>0</v>
      </c>
      <c r="AG1757">
        <v>0</v>
      </c>
      <c r="AH1757">
        <v>0</v>
      </c>
      <c r="AI1757">
        <v>0</v>
      </c>
      <c r="AJ1757">
        <v>335.5</v>
      </c>
      <c r="AK1757">
        <v>0.01</v>
      </c>
      <c r="AL1757" t="s">
        <v>53</v>
      </c>
      <c r="AM1757" t="s">
        <v>53</v>
      </c>
      <c r="AN1757" t="s">
        <v>97</v>
      </c>
      <c r="AO1757" t="s">
        <v>53</v>
      </c>
      <c r="AP1757" t="s">
        <v>53</v>
      </c>
    </row>
    <row r="1758" spans="2:42" x14ac:dyDescent="0.2">
      <c r="B1758" t="s">
        <v>44</v>
      </c>
      <c r="C1758" t="str">
        <f>HYPERLINK("https://us2.cloudbeds.com/connect/8493803454333002#/reservations/598548684976?display=E1FA3FWY&amp;reservation_id=598548684976", "E1FA3FWY")</f>
        <v>E1FA3FWY</v>
      </c>
      <c r="D1758" t="s">
        <v>45</v>
      </c>
      <c r="E1758" t="s">
        <v>305</v>
      </c>
      <c r="F1758" t="s">
        <v>61</v>
      </c>
      <c r="G1758" t="s">
        <v>48</v>
      </c>
      <c r="H1758" t="s">
        <v>49</v>
      </c>
      <c r="I1758" t="s">
        <v>50</v>
      </c>
      <c r="J1758" t="s">
        <v>309</v>
      </c>
      <c r="K1758" t="s">
        <v>549</v>
      </c>
      <c r="L1758" t="s">
        <v>53</v>
      </c>
      <c r="N1758" t="s">
        <v>2919</v>
      </c>
      <c r="P1758" t="s">
        <v>55</v>
      </c>
      <c r="R1758" t="s">
        <v>56</v>
      </c>
      <c r="T1758" t="s">
        <v>2908</v>
      </c>
      <c r="U1758" t="s">
        <v>58</v>
      </c>
      <c r="V1758">
        <v>2</v>
      </c>
      <c r="W1758">
        <v>1</v>
      </c>
      <c r="X1758">
        <v>1</v>
      </c>
      <c r="Y1758">
        <v>0</v>
      </c>
      <c r="Z1758">
        <v>1</v>
      </c>
      <c r="AA1758">
        <v>0</v>
      </c>
      <c r="AB1758">
        <v>300.72000000000003</v>
      </c>
      <c r="AC1758">
        <v>264.60000000000002</v>
      </c>
      <c r="AD1758">
        <v>0</v>
      </c>
      <c r="AE1758">
        <v>36.14</v>
      </c>
      <c r="AF1758">
        <v>0</v>
      </c>
      <c r="AG1758">
        <v>0</v>
      </c>
      <c r="AH1758">
        <v>0</v>
      </c>
      <c r="AI1758">
        <v>54.13</v>
      </c>
      <c r="AJ1758">
        <v>300.74</v>
      </c>
      <c r="AK1758">
        <v>0.02</v>
      </c>
      <c r="AL1758" t="s">
        <v>53</v>
      </c>
      <c r="AM1758" t="s">
        <v>53</v>
      </c>
      <c r="AN1758" t="s">
        <v>142</v>
      </c>
      <c r="AO1758" t="s">
        <v>53</v>
      </c>
      <c r="AP1758" t="s">
        <v>53</v>
      </c>
    </row>
    <row r="1759" spans="2:42" x14ac:dyDescent="0.2">
      <c r="B1759" t="s">
        <v>44</v>
      </c>
      <c r="C1759" t="str">
        <f>HYPERLINK("https://us2.cloudbeds.com/connect/8493803454333002#/reservations/579318857875?display=DJXV06X9&amp;reservation_id=579318857875", "DJXV06X9")</f>
        <v>DJXV06X9</v>
      </c>
      <c r="D1759" t="s">
        <v>45</v>
      </c>
      <c r="E1759" t="s">
        <v>105</v>
      </c>
      <c r="F1759" t="s">
        <v>47</v>
      </c>
      <c r="G1759" t="s">
        <v>48</v>
      </c>
      <c r="H1759" t="s">
        <v>49</v>
      </c>
      <c r="I1759" t="s">
        <v>50</v>
      </c>
      <c r="J1759" t="s">
        <v>2469</v>
      </c>
      <c r="K1759" t="s">
        <v>2384</v>
      </c>
      <c r="L1759" t="s">
        <v>53</v>
      </c>
      <c r="N1759" t="s">
        <v>2920</v>
      </c>
      <c r="P1759" t="s">
        <v>55</v>
      </c>
      <c r="R1759" t="s">
        <v>56</v>
      </c>
      <c r="T1759" t="s">
        <v>2908</v>
      </c>
      <c r="U1759" t="s">
        <v>58</v>
      </c>
      <c r="V1759">
        <v>8</v>
      </c>
      <c r="W1759">
        <v>1</v>
      </c>
      <c r="X1759">
        <v>1</v>
      </c>
      <c r="Y1759">
        <v>0</v>
      </c>
      <c r="Z1759">
        <v>1</v>
      </c>
      <c r="AA1759">
        <v>0</v>
      </c>
      <c r="AB1759">
        <v>1196.76</v>
      </c>
      <c r="AC1759">
        <v>1053</v>
      </c>
      <c r="AD1759">
        <v>0</v>
      </c>
      <c r="AE1759">
        <v>143.76</v>
      </c>
      <c r="AF1759">
        <v>0</v>
      </c>
      <c r="AG1759">
        <v>0</v>
      </c>
      <c r="AH1759">
        <v>0</v>
      </c>
      <c r="AI1759">
        <v>215.42</v>
      </c>
      <c r="AJ1759">
        <v>1196.76</v>
      </c>
      <c r="AK1759">
        <v>0</v>
      </c>
      <c r="AL1759" t="s">
        <v>53</v>
      </c>
      <c r="AM1759" t="s">
        <v>53</v>
      </c>
      <c r="AN1759" t="s">
        <v>146</v>
      </c>
      <c r="AO1759" t="s">
        <v>53</v>
      </c>
      <c r="AP1759" t="s">
        <v>53</v>
      </c>
    </row>
    <row r="1760" spans="2:42" x14ac:dyDescent="0.2">
      <c r="B1760" t="s">
        <v>44</v>
      </c>
      <c r="C1760" t="str">
        <f>HYPERLINK("https://us2.cloudbeds.com/connect/8493803454333002#/reservations/598222115029?display=E16VZ6DJ&amp;reservation_id=598222115029", "E16VZ6DJ")</f>
        <v>E16VZ6DJ</v>
      </c>
      <c r="D1760" t="s">
        <v>45</v>
      </c>
      <c r="E1760" t="s">
        <v>223</v>
      </c>
      <c r="F1760" t="s">
        <v>47</v>
      </c>
      <c r="G1760" t="s">
        <v>48</v>
      </c>
      <c r="H1760" t="s">
        <v>71</v>
      </c>
      <c r="I1760" t="s">
        <v>72</v>
      </c>
      <c r="J1760" t="s">
        <v>1473</v>
      </c>
      <c r="K1760" t="s">
        <v>1269</v>
      </c>
      <c r="L1760" t="s">
        <v>53</v>
      </c>
      <c r="N1760" t="s">
        <v>2921</v>
      </c>
      <c r="P1760" t="s">
        <v>58</v>
      </c>
      <c r="R1760" t="s">
        <v>56</v>
      </c>
      <c r="T1760" t="s">
        <v>2908</v>
      </c>
      <c r="U1760" t="s">
        <v>58</v>
      </c>
      <c r="V1760">
        <v>2</v>
      </c>
      <c r="W1760">
        <v>1</v>
      </c>
      <c r="X1760">
        <v>1</v>
      </c>
      <c r="Y1760">
        <v>0</v>
      </c>
      <c r="Z1760">
        <v>1</v>
      </c>
      <c r="AA1760">
        <v>0</v>
      </c>
      <c r="AB1760">
        <v>325.22000000000003</v>
      </c>
      <c r="AC1760">
        <v>286.16000000000003</v>
      </c>
      <c r="AD1760">
        <v>0</v>
      </c>
      <c r="AE1760">
        <v>39.06</v>
      </c>
      <c r="AF1760">
        <v>0</v>
      </c>
      <c r="AG1760">
        <v>0</v>
      </c>
      <c r="AH1760">
        <v>0</v>
      </c>
      <c r="AI1760">
        <v>0</v>
      </c>
      <c r="AJ1760">
        <v>325.22000000000003</v>
      </c>
      <c r="AK1760">
        <v>0</v>
      </c>
      <c r="AL1760" t="s">
        <v>53</v>
      </c>
      <c r="AM1760" t="s">
        <v>53</v>
      </c>
      <c r="AN1760" t="s">
        <v>2922</v>
      </c>
      <c r="AO1760" t="s">
        <v>53</v>
      </c>
      <c r="AP1760" t="s">
        <v>53</v>
      </c>
    </row>
    <row r="1761" spans="2:42" x14ac:dyDescent="0.2">
      <c r="B1761" t="s">
        <v>44</v>
      </c>
      <c r="C1761" t="str">
        <f>HYPERLINK("https://us2.cloudbeds.com/connect/8493803454333002#/reservations/598550991078?display=E1FC1YKH&amp;reservation_id=598550991078", "E1FC1YKH")</f>
        <v>E1FC1YKH</v>
      </c>
      <c r="D1761" t="s">
        <v>45</v>
      </c>
      <c r="E1761" t="s">
        <v>265</v>
      </c>
      <c r="F1761" t="s">
        <v>61</v>
      </c>
      <c r="G1761" t="s">
        <v>48</v>
      </c>
      <c r="H1761" t="s">
        <v>49</v>
      </c>
      <c r="I1761" t="s">
        <v>50</v>
      </c>
      <c r="J1761" t="s">
        <v>309</v>
      </c>
      <c r="K1761" t="s">
        <v>549</v>
      </c>
      <c r="L1761" t="s">
        <v>53</v>
      </c>
      <c r="N1761" t="s">
        <v>2923</v>
      </c>
      <c r="P1761" t="s">
        <v>55</v>
      </c>
      <c r="R1761" t="s">
        <v>56</v>
      </c>
      <c r="T1761" t="s">
        <v>2908</v>
      </c>
      <c r="U1761" t="s">
        <v>58</v>
      </c>
      <c r="V1761">
        <v>2</v>
      </c>
      <c r="W1761">
        <v>1</v>
      </c>
      <c r="X1761">
        <v>1</v>
      </c>
      <c r="Y1761">
        <v>0</v>
      </c>
      <c r="Z1761">
        <v>1</v>
      </c>
      <c r="AA1761">
        <v>0</v>
      </c>
      <c r="AB1761">
        <v>300.72000000000003</v>
      </c>
      <c r="AC1761">
        <v>264.60000000000002</v>
      </c>
      <c r="AD1761">
        <v>0</v>
      </c>
      <c r="AE1761">
        <v>36.14</v>
      </c>
      <c r="AF1761">
        <v>0</v>
      </c>
      <c r="AG1761">
        <v>0</v>
      </c>
      <c r="AH1761">
        <v>0</v>
      </c>
      <c r="AI1761">
        <v>54.13</v>
      </c>
      <c r="AJ1761">
        <v>300.74</v>
      </c>
      <c r="AK1761">
        <v>0.02</v>
      </c>
      <c r="AL1761" t="s">
        <v>53</v>
      </c>
      <c r="AM1761" t="s">
        <v>53</v>
      </c>
      <c r="AN1761" t="s">
        <v>198</v>
      </c>
      <c r="AO1761" t="s">
        <v>53</v>
      </c>
      <c r="AP1761" t="s">
        <v>53</v>
      </c>
    </row>
    <row r="1762" spans="2:42" x14ac:dyDescent="0.2">
      <c r="B1762" t="s">
        <v>44</v>
      </c>
      <c r="C1762" t="str">
        <f>HYPERLINK("https://us2.cloudbeds.com/connect/8493803454333002#/reservations/598385336546?display=E1B4C2E7&amp;reservation_id=598385336546", "E1B4C2E7")</f>
        <v>E1B4C2E7</v>
      </c>
      <c r="D1762" t="s">
        <v>45</v>
      </c>
      <c r="E1762" t="s">
        <v>223</v>
      </c>
      <c r="F1762" t="s">
        <v>47</v>
      </c>
      <c r="G1762" t="s">
        <v>48</v>
      </c>
      <c r="H1762" t="s">
        <v>71</v>
      </c>
      <c r="I1762" t="s">
        <v>72</v>
      </c>
      <c r="J1762" t="s">
        <v>426</v>
      </c>
      <c r="K1762" t="s">
        <v>130</v>
      </c>
      <c r="L1762" t="s">
        <v>53</v>
      </c>
      <c r="N1762" t="s">
        <v>2924</v>
      </c>
      <c r="P1762" t="s">
        <v>58</v>
      </c>
      <c r="R1762" t="s">
        <v>56</v>
      </c>
      <c r="T1762" t="s">
        <v>2908</v>
      </c>
      <c r="U1762" t="s">
        <v>58</v>
      </c>
      <c r="V1762">
        <v>1</v>
      </c>
      <c r="W1762">
        <v>1</v>
      </c>
      <c r="X1762">
        <v>1</v>
      </c>
      <c r="Y1762">
        <v>0</v>
      </c>
      <c r="Z1762">
        <v>1</v>
      </c>
      <c r="AA1762">
        <v>0</v>
      </c>
      <c r="AB1762">
        <v>172.75</v>
      </c>
      <c r="AC1762">
        <v>152</v>
      </c>
      <c r="AD1762">
        <v>0</v>
      </c>
      <c r="AE1762">
        <v>20.75</v>
      </c>
      <c r="AF1762">
        <v>0</v>
      </c>
      <c r="AG1762">
        <v>0</v>
      </c>
      <c r="AH1762">
        <v>0</v>
      </c>
      <c r="AI1762">
        <v>0</v>
      </c>
      <c r="AJ1762">
        <v>172.75</v>
      </c>
      <c r="AK1762">
        <v>0</v>
      </c>
      <c r="AL1762" t="s">
        <v>53</v>
      </c>
      <c r="AM1762" t="s">
        <v>53</v>
      </c>
      <c r="AN1762" t="s">
        <v>378</v>
      </c>
      <c r="AO1762" t="s">
        <v>53</v>
      </c>
      <c r="AP1762" t="s">
        <v>53</v>
      </c>
    </row>
    <row r="1763" spans="2:42" x14ac:dyDescent="0.2">
      <c r="B1763" t="s">
        <v>44</v>
      </c>
      <c r="C1763" t="str">
        <f>HYPERLINK("https://us2.cloudbeds.com/connect/8493803454333002#/reservations/598574903439?display=E1FW71NH&amp;reservation_id=598574903439", "E1FW71NH")</f>
        <v>E1FW71NH</v>
      </c>
      <c r="D1763" t="s">
        <v>45</v>
      </c>
      <c r="E1763" t="s">
        <v>69</v>
      </c>
      <c r="F1763" t="s">
        <v>70</v>
      </c>
      <c r="G1763" t="s">
        <v>48</v>
      </c>
      <c r="H1763" t="s">
        <v>71</v>
      </c>
      <c r="I1763" t="s">
        <v>72</v>
      </c>
      <c r="J1763" t="s">
        <v>478</v>
      </c>
      <c r="K1763" t="s">
        <v>236</v>
      </c>
      <c r="L1763" t="s">
        <v>53</v>
      </c>
      <c r="N1763" t="s">
        <v>2925</v>
      </c>
      <c r="P1763" t="s">
        <v>55</v>
      </c>
      <c r="R1763" t="s">
        <v>56</v>
      </c>
      <c r="T1763" t="s">
        <v>2908</v>
      </c>
      <c r="U1763" t="s">
        <v>58</v>
      </c>
      <c r="V1763">
        <v>1</v>
      </c>
      <c r="W1763">
        <v>1</v>
      </c>
      <c r="X1763">
        <v>1</v>
      </c>
      <c r="Y1763">
        <v>0</v>
      </c>
      <c r="Z1763">
        <v>1</v>
      </c>
      <c r="AA1763">
        <v>0</v>
      </c>
      <c r="AB1763">
        <v>160.25</v>
      </c>
      <c r="AC1763">
        <v>141</v>
      </c>
      <c r="AD1763">
        <v>0</v>
      </c>
      <c r="AE1763">
        <v>19.25</v>
      </c>
      <c r="AF1763">
        <v>0</v>
      </c>
      <c r="AG1763">
        <v>0</v>
      </c>
      <c r="AH1763">
        <v>0</v>
      </c>
      <c r="AI1763">
        <v>0</v>
      </c>
      <c r="AJ1763">
        <v>160.25</v>
      </c>
      <c r="AK1763">
        <v>0</v>
      </c>
      <c r="AL1763" t="s">
        <v>53</v>
      </c>
      <c r="AM1763" t="s">
        <v>53</v>
      </c>
      <c r="AN1763" t="s">
        <v>2926</v>
      </c>
      <c r="AO1763" t="s">
        <v>53</v>
      </c>
      <c r="AP1763" t="s">
        <v>53</v>
      </c>
    </row>
    <row r="1764" spans="2:42" x14ac:dyDescent="0.2">
      <c r="B1764" t="s">
        <v>44</v>
      </c>
      <c r="C1764" t="str">
        <f>HYPERLINK("https://us2.cloudbeds.com/connect/8493803454333002#/reservations/598229930177?display=E175AYSA&amp;reservation_id=598229930177", "E175AYSA")</f>
        <v>E175AYSA</v>
      </c>
      <c r="D1764" t="s">
        <v>45</v>
      </c>
      <c r="E1764" t="s">
        <v>179</v>
      </c>
      <c r="F1764" t="s">
        <v>47</v>
      </c>
      <c r="G1764" t="s">
        <v>48</v>
      </c>
      <c r="H1764" t="s">
        <v>71</v>
      </c>
      <c r="I1764" t="s">
        <v>72</v>
      </c>
      <c r="J1764" t="s">
        <v>1473</v>
      </c>
      <c r="K1764" t="s">
        <v>1269</v>
      </c>
      <c r="L1764" t="s">
        <v>53</v>
      </c>
      <c r="N1764" t="s">
        <v>2927</v>
      </c>
      <c r="P1764" t="s">
        <v>58</v>
      </c>
      <c r="R1764" t="s">
        <v>56</v>
      </c>
      <c r="T1764" t="s">
        <v>2908</v>
      </c>
      <c r="U1764" t="s">
        <v>58</v>
      </c>
      <c r="V1764">
        <v>2</v>
      </c>
      <c r="W1764">
        <v>1</v>
      </c>
      <c r="X1764">
        <v>1</v>
      </c>
      <c r="Y1764">
        <v>0</v>
      </c>
      <c r="Z1764">
        <v>1</v>
      </c>
      <c r="AA1764">
        <v>0</v>
      </c>
      <c r="AB1764">
        <v>325.22000000000003</v>
      </c>
      <c r="AC1764">
        <v>286.16000000000003</v>
      </c>
      <c r="AD1764">
        <v>0</v>
      </c>
      <c r="AE1764">
        <v>39.06</v>
      </c>
      <c r="AF1764">
        <v>0</v>
      </c>
      <c r="AG1764">
        <v>0</v>
      </c>
      <c r="AH1764">
        <v>0</v>
      </c>
      <c r="AI1764">
        <v>0</v>
      </c>
      <c r="AJ1764">
        <v>325.22000000000003</v>
      </c>
      <c r="AK1764">
        <v>0</v>
      </c>
      <c r="AL1764" t="s">
        <v>53</v>
      </c>
      <c r="AM1764" t="s">
        <v>53</v>
      </c>
      <c r="AN1764" t="s">
        <v>2928</v>
      </c>
      <c r="AO1764" t="s">
        <v>53</v>
      </c>
      <c r="AP1764" t="s">
        <v>53</v>
      </c>
    </row>
    <row r="1765" spans="2:42" x14ac:dyDescent="0.2">
      <c r="B1765" t="s">
        <v>44</v>
      </c>
      <c r="C1765" t="str">
        <f>HYPERLINK("https://us2.cloudbeds.com/connect/8493803454333002#/reservations/598612373705?display=E1GUQNM4&amp;reservation_id=598612373705", "E1GUQNM4")</f>
        <v>E1GUQNM4</v>
      </c>
      <c r="D1765" t="s">
        <v>45</v>
      </c>
      <c r="E1765" t="s">
        <v>110</v>
      </c>
      <c r="F1765" t="s">
        <v>47</v>
      </c>
      <c r="G1765" t="s">
        <v>48</v>
      </c>
      <c r="H1765" t="s">
        <v>49</v>
      </c>
      <c r="I1765" t="s">
        <v>50</v>
      </c>
      <c r="J1765" t="s">
        <v>134</v>
      </c>
      <c r="K1765" t="s">
        <v>341</v>
      </c>
      <c r="L1765" t="s">
        <v>53</v>
      </c>
      <c r="N1765" t="s">
        <v>2929</v>
      </c>
      <c r="P1765" t="s">
        <v>55</v>
      </c>
      <c r="R1765" t="s">
        <v>56</v>
      </c>
      <c r="T1765" t="s">
        <v>2908</v>
      </c>
      <c r="U1765" t="s">
        <v>58</v>
      </c>
      <c r="V1765">
        <v>1</v>
      </c>
      <c r="W1765">
        <v>1</v>
      </c>
      <c r="X1765">
        <v>1</v>
      </c>
      <c r="Y1765">
        <v>0</v>
      </c>
      <c r="Z1765">
        <v>1</v>
      </c>
      <c r="AA1765">
        <v>0</v>
      </c>
      <c r="AB1765">
        <v>159.56</v>
      </c>
      <c r="AC1765">
        <v>140.4</v>
      </c>
      <c r="AD1765">
        <v>0</v>
      </c>
      <c r="AE1765">
        <v>19.16</v>
      </c>
      <c r="AF1765">
        <v>0</v>
      </c>
      <c r="AG1765">
        <v>0</v>
      </c>
      <c r="AH1765">
        <v>0</v>
      </c>
      <c r="AI1765">
        <v>28.72</v>
      </c>
      <c r="AJ1765">
        <v>159.56</v>
      </c>
      <c r="AK1765">
        <v>0</v>
      </c>
      <c r="AL1765" t="s">
        <v>53</v>
      </c>
      <c r="AM1765" t="s">
        <v>53</v>
      </c>
      <c r="AN1765" t="s">
        <v>545</v>
      </c>
      <c r="AO1765" t="s">
        <v>53</v>
      </c>
      <c r="AP1765" t="s">
        <v>53</v>
      </c>
    </row>
    <row r="1766" spans="2:42" x14ac:dyDescent="0.2">
      <c r="B1766" t="s">
        <v>44</v>
      </c>
      <c r="C1766" t="str">
        <f>HYPERLINK("https://us2.cloudbeds.com/connect/8493803454333002#/reservations/598338642160?display=E19UWZ6R&amp;reservation_id=598338642160", "E19UWZ6R")</f>
        <v>E19UWZ6R</v>
      </c>
      <c r="D1766" t="s">
        <v>45</v>
      </c>
      <c r="E1766" t="s">
        <v>85</v>
      </c>
      <c r="F1766" t="s">
        <v>86</v>
      </c>
      <c r="G1766" t="s">
        <v>48</v>
      </c>
      <c r="H1766" t="s">
        <v>49</v>
      </c>
      <c r="I1766" t="s">
        <v>50</v>
      </c>
      <c r="J1766" t="s">
        <v>568</v>
      </c>
      <c r="K1766" t="s">
        <v>180</v>
      </c>
      <c r="L1766" t="s">
        <v>53</v>
      </c>
      <c r="N1766" t="s">
        <v>2930</v>
      </c>
      <c r="P1766" t="s">
        <v>55</v>
      </c>
      <c r="R1766" t="s">
        <v>56</v>
      </c>
      <c r="T1766" t="s">
        <v>2931</v>
      </c>
      <c r="U1766" t="s">
        <v>58</v>
      </c>
      <c r="V1766">
        <v>1</v>
      </c>
      <c r="W1766">
        <v>1</v>
      </c>
      <c r="X1766">
        <v>1</v>
      </c>
      <c r="Y1766">
        <v>0</v>
      </c>
      <c r="Z1766">
        <v>1</v>
      </c>
      <c r="AA1766">
        <v>0</v>
      </c>
      <c r="AB1766">
        <v>172.86</v>
      </c>
      <c r="AC1766">
        <v>152.1</v>
      </c>
      <c r="AD1766">
        <v>0</v>
      </c>
      <c r="AE1766">
        <v>20.76</v>
      </c>
      <c r="AF1766">
        <v>0</v>
      </c>
      <c r="AG1766">
        <v>0</v>
      </c>
      <c r="AH1766">
        <v>0</v>
      </c>
      <c r="AI1766">
        <v>31.11</v>
      </c>
      <c r="AJ1766">
        <v>172.86</v>
      </c>
      <c r="AK1766">
        <v>0</v>
      </c>
      <c r="AL1766" t="s">
        <v>53</v>
      </c>
      <c r="AM1766" t="s">
        <v>53</v>
      </c>
      <c r="AN1766" t="s">
        <v>280</v>
      </c>
      <c r="AO1766" t="s">
        <v>53</v>
      </c>
      <c r="AP1766" t="s">
        <v>53</v>
      </c>
    </row>
    <row r="1767" spans="2:42" x14ac:dyDescent="0.2">
      <c r="B1767" t="s">
        <v>44</v>
      </c>
      <c r="C1767" t="str">
        <f>HYPERLINK("https://us2.cloudbeds.com/connect/8493803454333002#/reservations/598598496472?display=E1GJ3XXS&amp;reservation_id=598598496472", "E1GJ3XXS")</f>
        <v>E1GJ3XXS</v>
      </c>
      <c r="D1767" t="s">
        <v>45</v>
      </c>
      <c r="E1767" t="s">
        <v>179</v>
      </c>
      <c r="F1767" t="s">
        <v>47</v>
      </c>
      <c r="G1767" t="s">
        <v>48</v>
      </c>
      <c r="H1767" t="s">
        <v>71</v>
      </c>
      <c r="I1767" t="s">
        <v>72</v>
      </c>
      <c r="J1767" t="s">
        <v>133</v>
      </c>
      <c r="K1767" t="s">
        <v>549</v>
      </c>
      <c r="L1767" t="s">
        <v>53</v>
      </c>
      <c r="N1767" t="s">
        <v>2932</v>
      </c>
      <c r="P1767" t="s">
        <v>58</v>
      </c>
      <c r="R1767" t="s">
        <v>56</v>
      </c>
      <c r="T1767" t="s">
        <v>2931</v>
      </c>
      <c r="U1767" t="s">
        <v>58</v>
      </c>
      <c r="V1767">
        <v>1</v>
      </c>
      <c r="W1767">
        <v>1</v>
      </c>
      <c r="X1767">
        <v>1</v>
      </c>
      <c r="Y1767">
        <v>0</v>
      </c>
      <c r="Z1767">
        <v>1</v>
      </c>
      <c r="AA1767">
        <v>0</v>
      </c>
      <c r="AB1767">
        <v>151.15</v>
      </c>
      <c r="AC1767">
        <v>133</v>
      </c>
      <c r="AD1767">
        <v>0</v>
      </c>
      <c r="AE1767">
        <v>18.16</v>
      </c>
      <c r="AF1767">
        <v>0</v>
      </c>
      <c r="AG1767">
        <v>0</v>
      </c>
      <c r="AH1767">
        <v>0</v>
      </c>
      <c r="AI1767">
        <v>0</v>
      </c>
      <c r="AJ1767">
        <v>151.16</v>
      </c>
      <c r="AK1767">
        <v>0.01</v>
      </c>
      <c r="AL1767" t="s">
        <v>53</v>
      </c>
      <c r="AM1767" t="s">
        <v>53</v>
      </c>
      <c r="AN1767" t="s">
        <v>378</v>
      </c>
      <c r="AO1767" t="s">
        <v>53</v>
      </c>
      <c r="AP1767" t="s">
        <v>53</v>
      </c>
    </row>
    <row r="1768" spans="2:42" x14ac:dyDescent="0.2">
      <c r="B1768" t="s">
        <v>44</v>
      </c>
      <c r="C1768" t="str">
        <f>HYPERLINK("https://us2.cloudbeds.com/connect/8493803454333002#/reservations/598499278998?display=E1E1EMPQ&amp;reservation_id=598499278998", "E1E1EMPQ")</f>
        <v>E1E1EMPQ</v>
      </c>
      <c r="D1768" t="s">
        <v>45</v>
      </c>
      <c r="E1768" t="s">
        <v>105</v>
      </c>
      <c r="F1768" t="s">
        <v>47</v>
      </c>
      <c r="G1768" t="s">
        <v>48</v>
      </c>
      <c r="H1768" t="s">
        <v>49</v>
      </c>
      <c r="I1768" t="s">
        <v>79</v>
      </c>
      <c r="J1768" t="s">
        <v>549</v>
      </c>
      <c r="K1768" t="s">
        <v>134</v>
      </c>
      <c r="L1768" t="s">
        <v>53</v>
      </c>
      <c r="N1768" t="s">
        <v>2933</v>
      </c>
      <c r="P1768" t="s">
        <v>55</v>
      </c>
      <c r="R1768" t="s">
        <v>56</v>
      </c>
      <c r="T1768" t="s">
        <v>2931</v>
      </c>
      <c r="U1768" t="s">
        <v>58</v>
      </c>
      <c r="V1768">
        <v>1</v>
      </c>
      <c r="W1768">
        <v>1</v>
      </c>
      <c r="X1768">
        <v>1</v>
      </c>
      <c r="Y1768">
        <v>0</v>
      </c>
      <c r="Z1768">
        <v>1</v>
      </c>
      <c r="AA1768">
        <v>0</v>
      </c>
      <c r="AB1768">
        <v>159.56</v>
      </c>
      <c r="AC1768">
        <v>140.4</v>
      </c>
      <c r="AD1768">
        <v>0</v>
      </c>
      <c r="AE1768">
        <v>19.16</v>
      </c>
      <c r="AF1768">
        <v>0</v>
      </c>
      <c r="AG1768">
        <v>0</v>
      </c>
      <c r="AH1768">
        <v>0</v>
      </c>
      <c r="AI1768">
        <v>0</v>
      </c>
      <c r="AJ1768">
        <v>159.56</v>
      </c>
      <c r="AK1768">
        <v>0</v>
      </c>
      <c r="AL1768" t="s">
        <v>53</v>
      </c>
      <c r="AM1768" t="s">
        <v>53</v>
      </c>
      <c r="AN1768" t="s">
        <v>280</v>
      </c>
      <c r="AO1768" t="s">
        <v>53</v>
      </c>
      <c r="AP1768" t="s">
        <v>53</v>
      </c>
    </row>
    <row r="1769" spans="2:42" x14ac:dyDescent="0.2">
      <c r="B1769" t="s">
        <v>44</v>
      </c>
      <c r="C1769" t="str">
        <f>HYPERLINK("https://us2.cloudbeds.com/connect/8493803454333002#/reservations/598423748743?display=E1C3ZVB6&amp;reservation_id=598423748743", "E1C3ZVB6")</f>
        <v>E1C3ZVB6</v>
      </c>
      <c r="D1769" t="s">
        <v>45</v>
      </c>
      <c r="E1769" t="s">
        <v>46</v>
      </c>
      <c r="F1769" t="s">
        <v>47</v>
      </c>
      <c r="G1769" t="s">
        <v>48</v>
      </c>
      <c r="H1769" t="s">
        <v>49</v>
      </c>
      <c r="I1769" t="s">
        <v>50</v>
      </c>
      <c r="J1769" t="s">
        <v>426</v>
      </c>
      <c r="K1769" t="s">
        <v>130</v>
      </c>
      <c r="L1769" t="s">
        <v>53</v>
      </c>
      <c r="N1769" t="s">
        <v>2934</v>
      </c>
      <c r="P1769" t="s">
        <v>55</v>
      </c>
      <c r="R1769" t="s">
        <v>56</v>
      </c>
      <c r="T1769" t="s">
        <v>2931</v>
      </c>
      <c r="U1769" t="s">
        <v>58</v>
      </c>
      <c r="V1769">
        <v>1</v>
      </c>
      <c r="W1769">
        <v>1</v>
      </c>
      <c r="X1769">
        <v>1</v>
      </c>
      <c r="Y1769">
        <v>0</v>
      </c>
      <c r="Z1769">
        <v>1</v>
      </c>
      <c r="AA1769">
        <v>0</v>
      </c>
      <c r="AB1769">
        <v>160.59</v>
      </c>
      <c r="AC1769">
        <v>141.30000000000001</v>
      </c>
      <c r="AD1769">
        <v>0</v>
      </c>
      <c r="AE1769">
        <v>19.3</v>
      </c>
      <c r="AF1769">
        <v>0</v>
      </c>
      <c r="AG1769">
        <v>0</v>
      </c>
      <c r="AH1769">
        <v>0</v>
      </c>
      <c r="AI1769">
        <v>28.91</v>
      </c>
      <c r="AJ1769">
        <v>160.6</v>
      </c>
      <c r="AK1769">
        <v>0.01</v>
      </c>
      <c r="AL1769" t="s">
        <v>53</v>
      </c>
      <c r="AM1769" t="s">
        <v>53</v>
      </c>
      <c r="AN1769" t="s">
        <v>91</v>
      </c>
      <c r="AO1769" t="s">
        <v>53</v>
      </c>
      <c r="AP1769" t="s">
        <v>53</v>
      </c>
    </row>
    <row r="1770" spans="2:42" x14ac:dyDescent="0.2">
      <c r="B1770" t="s">
        <v>44</v>
      </c>
      <c r="C1770" t="str">
        <f>HYPERLINK("https://us2.cloudbeds.com/connect/8493803454333002#/reservations/598518718659?display=E1EHRKNE&amp;reservation_id=598518718659", "E1EHRKNE")</f>
        <v>E1EHRKNE</v>
      </c>
      <c r="D1770" t="s">
        <v>45</v>
      </c>
      <c r="E1770" t="s">
        <v>223</v>
      </c>
      <c r="F1770" t="s">
        <v>47</v>
      </c>
      <c r="G1770" t="s">
        <v>48</v>
      </c>
      <c r="H1770" t="s">
        <v>49</v>
      </c>
      <c r="I1770" t="s">
        <v>79</v>
      </c>
      <c r="J1770" t="s">
        <v>129</v>
      </c>
      <c r="K1770" t="s">
        <v>426</v>
      </c>
      <c r="L1770" t="s">
        <v>53</v>
      </c>
      <c r="N1770" t="s">
        <v>2935</v>
      </c>
      <c r="P1770" t="s">
        <v>55</v>
      </c>
      <c r="R1770" t="s">
        <v>56</v>
      </c>
      <c r="T1770" t="s">
        <v>2931</v>
      </c>
      <c r="U1770" t="s">
        <v>58</v>
      </c>
      <c r="V1770">
        <v>1</v>
      </c>
      <c r="W1770">
        <v>1</v>
      </c>
      <c r="X1770">
        <v>1</v>
      </c>
      <c r="Y1770">
        <v>0</v>
      </c>
      <c r="Z1770">
        <v>1</v>
      </c>
      <c r="AA1770">
        <v>0</v>
      </c>
      <c r="AB1770">
        <v>156.5</v>
      </c>
      <c r="AC1770">
        <v>137.69999999999999</v>
      </c>
      <c r="AD1770">
        <v>0</v>
      </c>
      <c r="AE1770">
        <v>18.79</v>
      </c>
      <c r="AF1770">
        <v>0</v>
      </c>
      <c r="AG1770">
        <v>0</v>
      </c>
      <c r="AH1770">
        <v>0</v>
      </c>
      <c r="AI1770">
        <v>0</v>
      </c>
      <c r="AJ1770">
        <v>156.49</v>
      </c>
      <c r="AK1770">
        <v>-0.01</v>
      </c>
      <c r="AL1770" t="s">
        <v>53</v>
      </c>
      <c r="AM1770" t="s">
        <v>53</v>
      </c>
      <c r="AN1770" t="s">
        <v>280</v>
      </c>
      <c r="AO1770" t="s">
        <v>53</v>
      </c>
      <c r="AP1770" t="s">
        <v>53</v>
      </c>
    </row>
    <row r="1771" spans="2:42" x14ac:dyDescent="0.2">
      <c r="B1771" t="s">
        <v>44</v>
      </c>
      <c r="C1771" t="str">
        <f>HYPERLINK("https://us2.cloudbeds.com/connect/8493803454333002#/reservations/598440292577?display=E1CHNA3F&amp;reservation_id=598440292577", "E1CHNA3F")</f>
        <v>E1CHNA3F</v>
      </c>
      <c r="D1771" t="s">
        <v>45</v>
      </c>
      <c r="E1771" t="s">
        <v>110</v>
      </c>
      <c r="F1771" t="s">
        <v>47</v>
      </c>
      <c r="G1771" t="s">
        <v>48</v>
      </c>
      <c r="H1771" t="s">
        <v>49</v>
      </c>
      <c r="I1771" t="s">
        <v>50</v>
      </c>
      <c r="J1771" t="s">
        <v>133</v>
      </c>
      <c r="K1771" t="s">
        <v>134</v>
      </c>
      <c r="L1771" t="s">
        <v>53</v>
      </c>
      <c r="N1771" t="s">
        <v>2936</v>
      </c>
      <c r="P1771" t="s">
        <v>55</v>
      </c>
      <c r="R1771" t="s">
        <v>56</v>
      </c>
      <c r="T1771" t="s">
        <v>2931</v>
      </c>
      <c r="U1771" t="s">
        <v>58</v>
      </c>
      <c r="V1771">
        <v>2</v>
      </c>
      <c r="W1771">
        <v>1</v>
      </c>
      <c r="X1771">
        <v>1</v>
      </c>
      <c r="Y1771">
        <v>0</v>
      </c>
      <c r="Z1771">
        <v>1</v>
      </c>
      <c r="AA1771">
        <v>0</v>
      </c>
      <c r="AB1771">
        <v>282.31</v>
      </c>
      <c r="AC1771">
        <v>248.4</v>
      </c>
      <c r="AD1771">
        <v>0</v>
      </c>
      <c r="AE1771">
        <v>33.9</v>
      </c>
      <c r="AF1771">
        <v>0</v>
      </c>
      <c r="AG1771">
        <v>0</v>
      </c>
      <c r="AH1771">
        <v>0</v>
      </c>
      <c r="AI1771">
        <v>50.81</v>
      </c>
      <c r="AJ1771">
        <v>282.3</v>
      </c>
      <c r="AK1771">
        <v>-0.01</v>
      </c>
      <c r="AL1771" t="s">
        <v>53</v>
      </c>
      <c r="AM1771" t="s">
        <v>53</v>
      </c>
      <c r="AN1771" t="s">
        <v>2937</v>
      </c>
      <c r="AO1771" t="s">
        <v>53</v>
      </c>
      <c r="AP1771" t="s">
        <v>53</v>
      </c>
    </row>
    <row r="1772" spans="2:42" x14ac:dyDescent="0.2">
      <c r="B1772" t="s">
        <v>44</v>
      </c>
      <c r="C1772" t="str">
        <f>HYPERLINK("https://us2.cloudbeds.com/connect/8493803454333002#/reservations/598333694177?display=E19QR1JV&amp;reservation_id=598333694177", "E19QR1JV")</f>
        <v>E19QR1JV</v>
      </c>
      <c r="D1772" t="s">
        <v>45</v>
      </c>
      <c r="E1772" t="s">
        <v>128</v>
      </c>
      <c r="F1772" t="s">
        <v>86</v>
      </c>
      <c r="G1772" t="s">
        <v>48</v>
      </c>
      <c r="H1772" t="s">
        <v>49</v>
      </c>
      <c r="I1772" t="s">
        <v>50</v>
      </c>
      <c r="J1772" t="s">
        <v>568</v>
      </c>
      <c r="K1772" t="s">
        <v>180</v>
      </c>
      <c r="L1772" t="s">
        <v>53</v>
      </c>
      <c r="N1772" t="s">
        <v>2938</v>
      </c>
      <c r="P1772" t="s">
        <v>55</v>
      </c>
      <c r="R1772" t="s">
        <v>56</v>
      </c>
      <c r="T1772" t="s">
        <v>2931</v>
      </c>
      <c r="U1772" t="s">
        <v>58</v>
      </c>
      <c r="V1772">
        <v>1</v>
      </c>
      <c r="W1772">
        <v>1</v>
      </c>
      <c r="X1772">
        <v>1</v>
      </c>
      <c r="Y1772">
        <v>0</v>
      </c>
      <c r="Z1772">
        <v>1</v>
      </c>
      <c r="AA1772">
        <v>0</v>
      </c>
      <c r="AB1772">
        <v>172.86</v>
      </c>
      <c r="AC1772">
        <v>152.1</v>
      </c>
      <c r="AD1772">
        <v>0</v>
      </c>
      <c r="AE1772">
        <v>20.76</v>
      </c>
      <c r="AF1772">
        <v>0</v>
      </c>
      <c r="AG1772">
        <v>0</v>
      </c>
      <c r="AH1772">
        <v>0</v>
      </c>
      <c r="AI1772">
        <v>31.11</v>
      </c>
      <c r="AJ1772">
        <v>172.86</v>
      </c>
      <c r="AK1772">
        <v>0</v>
      </c>
      <c r="AL1772" t="s">
        <v>53</v>
      </c>
      <c r="AM1772" t="s">
        <v>53</v>
      </c>
      <c r="AN1772" t="s">
        <v>142</v>
      </c>
      <c r="AO1772" t="s">
        <v>53</v>
      </c>
      <c r="AP1772" t="s">
        <v>53</v>
      </c>
    </row>
    <row r="1773" spans="2:42" x14ac:dyDescent="0.2">
      <c r="B1773" t="s">
        <v>44</v>
      </c>
      <c r="C1773" t="str">
        <f>HYPERLINK("https://us2.cloudbeds.com/connect/8493803454333002#/reservations/598159007881?display=E15BH4PQ&amp;reservation_id=598159007881", "E15BH4PQ")</f>
        <v>E15BH4PQ</v>
      </c>
      <c r="D1773" t="s">
        <v>45</v>
      </c>
      <c r="E1773" t="s">
        <v>223</v>
      </c>
      <c r="F1773" t="s">
        <v>47</v>
      </c>
      <c r="G1773" t="s">
        <v>48</v>
      </c>
      <c r="H1773" t="s">
        <v>71</v>
      </c>
      <c r="I1773" t="s">
        <v>72</v>
      </c>
      <c r="J1773" t="s">
        <v>133</v>
      </c>
      <c r="K1773" t="s">
        <v>549</v>
      </c>
      <c r="L1773" t="s">
        <v>53</v>
      </c>
      <c r="N1773" t="s">
        <v>2939</v>
      </c>
      <c r="P1773" t="s">
        <v>55</v>
      </c>
      <c r="R1773" t="s">
        <v>56</v>
      </c>
      <c r="T1773" t="s">
        <v>2931</v>
      </c>
      <c r="U1773" t="s">
        <v>58</v>
      </c>
      <c r="V1773">
        <v>1</v>
      </c>
      <c r="W1773">
        <v>1</v>
      </c>
      <c r="X1773">
        <v>1</v>
      </c>
      <c r="Y1773">
        <v>0</v>
      </c>
      <c r="Z1773">
        <v>1</v>
      </c>
      <c r="AA1773">
        <v>0</v>
      </c>
      <c r="AB1773">
        <v>151.15</v>
      </c>
      <c r="AC1773">
        <v>133</v>
      </c>
      <c r="AD1773">
        <v>0</v>
      </c>
      <c r="AE1773">
        <v>18.16</v>
      </c>
      <c r="AF1773">
        <v>0</v>
      </c>
      <c r="AG1773">
        <v>0</v>
      </c>
      <c r="AH1773">
        <v>0</v>
      </c>
      <c r="AI1773">
        <v>0</v>
      </c>
      <c r="AJ1773">
        <v>151.16</v>
      </c>
      <c r="AK1773">
        <v>0.01</v>
      </c>
      <c r="AL1773" t="s">
        <v>53</v>
      </c>
      <c r="AM1773" t="s">
        <v>53</v>
      </c>
      <c r="AN1773" t="s">
        <v>378</v>
      </c>
      <c r="AO1773" t="s">
        <v>53</v>
      </c>
      <c r="AP1773" t="s">
        <v>53</v>
      </c>
    </row>
    <row r="1774" spans="2:42" x14ac:dyDescent="0.2">
      <c r="B1774" t="s">
        <v>44</v>
      </c>
      <c r="C1774" t="str">
        <f>HYPERLINK("https://us2.cloudbeds.com/connect/8493803454333002#/reservations/598372139178?display=E1AQ7RKW&amp;reservation_id=598372139178", "E1AQ7RKW")</f>
        <v>E1AQ7RKW</v>
      </c>
      <c r="D1774" t="s">
        <v>45</v>
      </c>
      <c r="E1774" t="s">
        <v>98</v>
      </c>
      <c r="F1774" t="s">
        <v>86</v>
      </c>
      <c r="G1774" t="s">
        <v>48</v>
      </c>
      <c r="H1774" t="s">
        <v>71</v>
      </c>
      <c r="I1774" t="s">
        <v>72</v>
      </c>
      <c r="J1774" t="s">
        <v>133</v>
      </c>
      <c r="K1774" t="s">
        <v>549</v>
      </c>
      <c r="L1774" t="s">
        <v>53</v>
      </c>
      <c r="N1774" t="s">
        <v>2940</v>
      </c>
      <c r="P1774" t="s">
        <v>58</v>
      </c>
      <c r="R1774" t="s">
        <v>56</v>
      </c>
      <c r="T1774" t="s">
        <v>2931</v>
      </c>
      <c r="U1774" t="s">
        <v>58</v>
      </c>
      <c r="V1774">
        <v>1</v>
      </c>
      <c r="W1774">
        <v>1</v>
      </c>
      <c r="X1774">
        <v>1</v>
      </c>
      <c r="Y1774">
        <v>0</v>
      </c>
      <c r="Z1774">
        <v>1</v>
      </c>
      <c r="AA1774">
        <v>0</v>
      </c>
      <c r="AB1774">
        <v>28.41</v>
      </c>
      <c r="AC1774">
        <v>25</v>
      </c>
      <c r="AD1774">
        <v>0</v>
      </c>
      <c r="AE1774">
        <v>3.42</v>
      </c>
      <c r="AF1774">
        <v>0</v>
      </c>
      <c r="AG1774">
        <v>0</v>
      </c>
      <c r="AH1774">
        <v>0</v>
      </c>
      <c r="AI1774">
        <v>0</v>
      </c>
      <c r="AJ1774">
        <v>28.42</v>
      </c>
      <c r="AK1774">
        <v>0.01</v>
      </c>
      <c r="AL1774" t="s">
        <v>53</v>
      </c>
      <c r="AM1774" t="s">
        <v>53</v>
      </c>
      <c r="AN1774" t="s">
        <v>2941</v>
      </c>
      <c r="AO1774" t="s">
        <v>53</v>
      </c>
      <c r="AP1774" t="s">
        <v>53</v>
      </c>
    </row>
    <row r="1775" spans="2:42" x14ac:dyDescent="0.2">
      <c r="B1775" t="s">
        <v>44</v>
      </c>
      <c r="C1775" t="str">
        <f>HYPERLINK("https://us2.cloudbeds.com/connect/8493803454333002#/reservations/598620827856?display=E1H4UVTH&amp;reservation_id=598620827856", "E1H4UVTH")</f>
        <v>E1H4UVTH</v>
      </c>
      <c r="D1775" t="s">
        <v>45</v>
      </c>
      <c r="E1775" t="s">
        <v>113</v>
      </c>
      <c r="F1775" t="s">
        <v>61</v>
      </c>
      <c r="G1775" t="s">
        <v>48</v>
      </c>
      <c r="H1775" t="s">
        <v>49</v>
      </c>
      <c r="I1775" t="s">
        <v>50</v>
      </c>
      <c r="J1775" t="s">
        <v>1480</v>
      </c>
      <c r="K1775" t="s">
        <v>489</v>
      </c>
      <c r="L1775" t="s">
        <v>53</v>
      </c>
      <c r="N1775" t="s">
        <v>2942</v>
      </c>
      <c r="P1775" t="s">
        <v>55</v>
      </c>
      <c r="R1775" t="s">
        <v>56</v>
      </c>
      <c r="T1775" t="s">
        <v>2931</v>
      </c>
      <c r="U1775" t="s">
        <v>58</v>
      </c>
      <c r="V1775">
        <v>3</v>
      </c>
      <c r="W1775">
        <v>1</v>
      </c>
      <c r="X1775">
        <v>1</v>
      </c>
      <c r="Y1775">
        <v>0</v>
      </c>
      <c r="Z1775">
        <v>1</v>
      </c>
      <c r="AA1775">
        <v>0</v>
      </c>
      <c r="AB1775">
        <v>503.24</v>
      </c>
      <c r="AC1775">
        <v>442.8</v>
      </c>
      <c r="AD1775">
        <v>0</v>
      </c>
      <c r="AE1775">
        <v>60.45</v>
      </c>
      <c r="AF1775">
        <v>0</v>
      </c>
      <c r="AG1775">
        <v>0</v>
      </c>
      <c r="AH1775">
        <v>0</v>
      </c>
      <c r="AI1775">
        <v>90.59</v>
      </c>
      <c r="AJ1775">
        <v>503.25</v>
      </c>
      <c r="AK1775">
        <v>0.01</v>
      </c>
      <c r="AL1775" t="s">
        <v>53</v>
      </c>
      <c r="AM1775" t="s">
        <v>53</v>
      </c>
      <c r="AN1775" t="s">
        <v>545</v>
      </c>
      <c r="AO1775" t="s">
        <v>53</v>
      </c>
      <c r="AP1775" t="s">
        <v>53</v>
      </c>
    </row>
    <row r="1776" spans="2:42" x14ac:dyDescent="0.2">
      <c r="B1776" t="s">
        <v>44</v>
      </c>
      <c r="C1776" t="str">
        <f>HYPERLINK("https://us2.cloudbeds.com/connect/8493803454333002#/reservations/598478164157?display=E1DGY4J4&amp;reservation_id=598478164157", "E1DGY4J4")</f>
        <v>E1DGY4J4</v>
      </c>
      <c r="D1776" t="s">
        <v>45</v>
      </c>
      <c r="E1776" t="s">
        <v>265</v>
      </c>
      <c r="F1776" t="s">
        <v>61</v>
      </c>
      <c r="G1776" t="s">
        <v>48</v>
      </c>
      <c r="H1776" t="s">
        <v>49</v>
      </c>
      <c r="I1776" t="s">
        <v>62</v>
      </c>
      <c r="J1776" t="s">
        <v>1568</v>
      </c>
      <c r="K1776" t="s">
        <v>93</v>
      </c>
      <c r="L1776" t="s">
        <v>53</v>
      </c>
      <c r="N1776" t="s">
        <v>2943</v>
      </c>
      <c r="P1776" t="s">
        <v>55</v>
      </c>
      <c r="R1776" t="s">
        <v>56</v>
      </c>
      <c r="T1776" t="s">
        <v>2931</v>
      </c>
      <c r="U1776" t="s">
        <v>58</v>
      </c>
      <c r="V1776">
        <v>1</v>
      </c>
      <c r="W1776">
        <v>1</v>
      </c>
      <c r="X1776">
        <v>1</v>
      </c>
      <c r="Y1776">
        <v>0</v>
      </c>
      <c r="Z1776">
        <v>1</v>
      </c>
      <c r="AA1776">
        <v>0</v>
      </c>
      <c r="AB1776">
        <v>193.21</v>
      </c>
      <c r="AC1776">
        <v>170</v>
      </c>
      <c r="AD1776">
        <v>0</v>
      </c>
      <c r="AE1776">
        <v>23.21</v>
      </c>
      <c r="AF1776">
        <v>0</v>
      </c>
      <c r="AG1776">
        <v>0</v>
      </c>
      <c r="AH1776">
        <v>0</v>
      </c>
      <c r="AI1776">
        <v>28.98</v>
      </c>
      <c r="AJ1776">
        <v>193.21</v>
      </c>
      <c r="AK1776">
        <v>0</v>
      </c>
      <c r="AL1776" t="s">
        <v>53</v>
      </c>
      <c r="AM1776" t="s">
        <v>53</v>
      </c>
      <c r="AN1776" t="s">
        <v>225</v>
      </c>
      <c r="AO1776" t="s">
        <v>53</v>
      </c>
      <c r="AP1776" t="s">
        <v>53</v>
      </c>
    </row>
    <row r="1777" spans="2:42" x14ac:dyDescent="0.2">
      <c r="B1777" t="s">
        <v>44</v>
      </c>
      <c r="C1777" t="str">
        <f>HYPERLINK("https://us2.cloudbeds.com/connect/8493803454333002#/reservations/598112006291?display=E144T8F7&amp;reservation_id=598112006291", "E144T8F7")</f>
        <v>E144T8F7</v>
      </c>
      <c r="D1777" t="s">
        <v>45</v>
      </c>
      <c r="E1777" t="s">
        <v>381</v>
      </c>
      <c r="F1777" t="s">
        <v>47</v>
      </c>
      <c r="G1777" t="s">
        <v>48</v>
      </c>
      <c r="H1777" t="s">
        <v>71</v>
      </c>
      <c r="I1777" t="s">
        <v>72</v>
      </c>
      <c r="J1777" t="s">
        <v>549</v>
      </c>
      <c r="K1777" t="s">
        <v>134</v>
      </c>
      <c r="L1777" t="s">
        <v>53</v>
      </c>
      <c r="N1777" t="s">
        <v>2944</v>
      </c>
      <c r="P1777" t="s">
        <v>55</v>
      </c>
      <c r="R1777" t="s">
        <v>56</v>
      </c>
      <c r="T1777" t="s">
        <v>2931</v>
      </c>
      <c r="U1777" t="s">
        <v>58</v>
      </c>
      <c r="V1777">
        <v>1</v>
      </c>
      <c r="W1777">
        <v>1</v>
      </c>
      <c r="X1777">
        <v>1</v>
      </c>
      <c r="Y1777">
        <v>0</v>
      </c>
      <c r="Z1777">
        <v>1</v>
      </c>
      <c r="AA1777">
        <v>0</v>
      </c>
      <c r="AB1777">
        <v>172.75</v>
      </c>
      <c r="AC1777">
        <v>152</v>
      </c>
      <c r="AD1777">
        <v>0</v>
      </c>
      <c r="AE1777">
        <v>20.75</v>
      </c>
      <c r="AF1777">
        <v>0</v>
      </c>
      <c r="AG1777">
        <v>0</v>
      </c>
      <c r="AH1777">
        <v>0</v>
      </c>
      <c r="AI1777">
        <v>0</v>
      </c>
      <c r="AJ1777">
        <v>172.75</v>
      </c>
      <c r="AK1777">
        <v>0</v>
      </c>
      <c r="AL1777" t="s">
        <v>53</v>
      </c>
      <c r="AM1777" t="s">
        <v>53</v>
      </c>
      <c r="AN1777" t="s">
        <v>2945</v>
      </c>
      <c r="AO1777" t="s">
        <v>53</v>
      </c>
      <c r="AP1777" t="s">
        <v>53</v>
      </c>
    </row>
    <row r="1778" spans="2:42" x14ac:dyDescent="0.2">
      <c r="B1778" t="s">
        <v>44</v>
      </c>
      <c r="C1778" t="str">
        <f>HYPERLINK("https://us2.cloudbeds.com/connect/8493803454333002#/reservations/598416740561?display=E1BURUU1&amp;reservation_id=598416740561", "E1BURUU1")</f>
        <v>E1BURUU1</v>
      </c>
      <c r="D1778" t="s">
        <v>45</v>
      </c>
      <c r="E1778" t="s">
        <v>105</v>
      </c>
      <c r="F1778" t="s">
        <v>47</v>
      </c>
      <c r="G1778" t="s">
        <v>48</v>
      </c>
      <c r="H1778" t="s">
        <v>49</v>
      </c>
      <c r="I1778" t="s">
        <v>114</v>
      </c>
      <c r="J1778" t="s">
        <v>341</v>
      </c>
      <c r="K1778" t="s">
        <v>129</v>
      </c>
      <c r="L1778" t="s">
        <v>53</v>
      </c>
      <c r="N1778" t="s">
        <v>2946</v>
      </c>
      <c r="P1778" t="s">
        <v>55</v>
      </c>
      <c r="R1778" t="s">
        <v>56</v>
      </c>
      <c r="T1778" t="s">
        <v>2947</v>
      </c>
      <c r="U1778" t="s">
        <v>58</v>
      </c>
      <c r="V1778">
        <v>1</v>
      </c>
      <c r="W1778">
        <v>1</v>
      </c>
      <c r="X1778">
        <v>1</v>
      </c>
      <c r="Y1778">
        <v>0</v>
      </c>
      <c r="Z1778">
        <v>1</v>
      </c>
      <c r="AA1778">
        <v>0</v>
      </c>
      <c r="AB1778">
        <v>168.2</v>
      </c>
      <c r="AC1778">
        <v>148</v>
      </c>
      <c r="AD1778">
        <v>0</v>
      </c>
      <c r="AE1778">
        <v>20.2</v>
      </c>
      <c r="AF1778">
        <v>0</v>
      </c>
      <c r="AG1778">
        <v>0</v>
      </c>
      <c r="AH1778">
        <v>0</v>
      </c>
      <c r="AI1778">
        <v>0</v>
      </c>
      <c r="AJ1778">
        <v>168.2</v>
      </c>
      <c r="AK1778">
        <v>0</v>
      </c>
      <c r="AL1778" t="s">
        <v>53</v>
      </c>
      <c r="AM1778" t="s">
        <v>53</v>
      </c>
      <c r="AN1778" t="s">
        <v>2948</v>
      </c>
      <c r="AO1778" t="s">
        <v>53</v>
      </c>
      <c r="AP1778" t="s">
        <v>53</v>
      </c>
    </row>
    <row r="1779" spans="2:42" x14ac:dyDescent="0.2">
      <c r="B1779" t="s">
        <v>44</v>
      </c>
      <c r="C1779" t="str">
        <f>HYPERLINK("https://us2.cloudbeds.com/connect/8493803454333002#/reservations/598430490820?display=E1C9EXDX&amp;reservation_id=598430490820", "E1C9EXDX")</f>
        <v>E1C9EXDX</v>
      </c>
      <c r="D1779" t="s">
        <v>45</v>
      </c>
      <c r="E1779" t="s">
        <v>190</v>
      </c>
      <c r="F1779" t="s">
        <v>61</v>
      </c>
      <c r="G1779" t="s">
        <v>48</v>
      </c>
      <c r="H1779" t="s">
        <v>71</v>
      </c>
      <c r="I1779" t="s">
        <v>72</v>
      </c>
      <c r="J1779" t="s">
        <v>426</v>
      </c>
      <c r="K1779" t="s">
        <v>130</v>
      </c>
      <c r="L1779" t="s">
        <v>53</v>
      </c>
      <c r="N1779" t="s">
        <v>2949</v>
      </c>
      <c r="P1779" t="s">
        <v>55</v>
      </c>
      <c r="R1779" t="s">
        <v>56</v>
      </c>
      <c r="T1779" t="s">
        <v>2947</v>
      </c>
      <c r="U1779" t="s">
        <v>58</v>
      </c>
      <c r="V1779">
        <v>1</v>
      </c>
      <c r="W1779">
        <v>1</v>
      </c>
      <c r="X1779">
        <v>1</v>
      </c>
      <c r="Y1779">
        <v>0</v>
      </c>
      <c r="Z1779">
        <v>1</v>
      </c>
      <c r="AA1779">
        <v>0</v>
      </c>
      <c r="AB1779">
        <v>176.16</v>
      </c>
      <c r="AC1779">
        <v>155</v>
      </c>
      <c r="AD1779">
        <v>0</v>
      </c>
      <c r="AE1779">
        <v>21.17</v>
      </c>
      <c r="AF1779">
        <v>0</v>
      </c>
      <c r="AG1779">
        <v>0</v>
      </c>
      <c r="AH1779">
        <v>0</v>
      </c>
      <c r="AI1779">
        <v>0</v>
      </c>
      <c r="AJ1779">
        <v>176.17</v>
      </c>
      <c r="AK1779">
        <v>0.01</v>
      </c>
      <c r="AL1779" t="s">
        <v>53</v>
      </c>
      <c r="AM1779" t="s">
        <v>53</v>
      </c>
      <c r="AN1779" t="s">
        <v>2950</v>
      </c>
      <c r="AO1779" t="s">
        <v>53</v>
      </c>
      <c r="AP1779" t="s">
        <v>53</v>
      </c>
    </row>
    <row r="1780" spans="2:42" x14ac:dyDescent="0.2">
      <c r="B1780" t="s">
        <v>44</v>
      </c>
      <c r="C1780" t="str">
        <f>HYPERLINK("https://us2.cloudbeds.com/connect/8493803454333002#/reservations/579291107464?display=DJX7K02N&amp;reservation_id=579291107464", "DJX7K02N")</f>
        <v>DJX7K02N</v>
      </c>
      <c r="D1780" t="s">
        <v>45</v>
      </c>
      <c r="E1780" t="s">
        <v>265</v>
      </c>
      <c r="F1780" t="s">
        <v>61</v>
      </c>
      <c r="G1780" t="s">
        <v>48</v>
      </c>
      <c r="H1780" t="s">
        <v>49</v>
      </c>
      <c r="I1780" t="s">
        <v>79</v>
      </c>
      <c r="J1780" t="s">
        <v>1900</v>
      </c>
      <c r="K1780" t="s">
        <v>1296</v>
      </c>
      <c r="L1780" t="s">
        <v>53</v>
      </c>
      <c r="N1780" t="s">
        <v>2951</v>
      </c>
      <c r="P1780" t="s">
        <v>55</v>
      </c>
      <c r="R1780" t="s">
        <v>56</v>
      </c>
      <c r="T1780" t="s">
        <v>2947</v>
      </c>
      <c r="U1780" t="s">
        <v>58</v>
      </c>
      <c r="V1780">
        <v>1</v>
      </c>
      <c r="W1780">
        <v>1</v>
      </c>
      <c r="X1780">
        <v>1</v>
      </c>
      <c r="Y1780">
        <v>0</v>
      </c>
      <c r="Z1780">
        <v>1</v>
      </c>
      <c r="AA1780">
        <v>0</v>
      </c>
      <c r="AB1780">
        <v>163.66</v>
      </c>
      <c r="AC1780">
        <v>144</v>
      </c>
      <c r="AD1780">
        <v>0</v>
      </c>
      <c r="AE1780">
        <v>19.66</v>
      </c>
      <c r="AF1780">
        <v>0</v>
      </c>
      <c r="AG1780">
        <v>0</v>
      </c>
      <c r="AH1780">
        <v>0</v>
      </c>
      <c r="AI1780">
        <v>0</v>
      </c>
      <c r="AJ1780">
        <v>163.66</v>
      </c>
      <c r="AK1780">
        <v>0</v>
      </c>
      <c r="AL1780" t="s">
        <v>53</v>
      </c>
      <c r="AM1780" t="s">
        <v>53</v>
      </c>
      <c r="AN1780" t="s">
        <v>280</v>
      </c>
      <c r="AO1780" t="s">
        <v>53</v>
      </c>
      <c r="AP1780" t="s">
        <v>53</v>
      </c>
    </row>
    <row r="1781" spans="2:42" x14ac:dyDescent="0.2">
      <c r="B1781" t="s">
        <v>44</v>
      </c>
      <c r="C1781" t="str">
        <f>HYPERLINK("https://us2.cloudbeds.com/connect/8493803454333002#/reservations/597919371437?display=E0W7ETVD&amp;reservation_id=597919371437", "E0W7ETVD")</f>
        <v>E0W7ETVD</v>
      </c>
      <c r="D1781" t="s">
        <v>45</v>
      </c>
      <c r="E1781" t="s">
        <v>113</v>
      </c>
      <c r="F1781" t="s">
        <v>61</v>
      </c>
      <c r="G1781" t="s">
        <v>48</v>
      </c>
      <c r="H1781" t="s">
        <v>71</v>
      </c>
      <c r="I1781" t="s">
        <v>72</v>
      </c>
      <c r="J1781" t="s">
        <v>356</v>
      </c>
      <c r="K1781" t="s">
        <v>237</v>
      </c>
      <c r="L1781" t="s">
        <v>53</v>
      </c>
      <c r="N1781" t="s">
        <v>2952</v>
      </c>
      <c r="P1781" t="s">
        <v>55</v>
      </c>
      <c r="R1781" t="s">
        <v>56</v>
      </c>
      <c r="T1781" t="s">
        <v>2947</v>
      </c>
      <c r="U1781" t="s">
        <v>58</v>
      </c>
      <c r="V1781">
        <v>3</v>
      </c>
      <c r="W1781">
        <v>1</v>
      </c>
      <c r="X1781">
        <v>1</v>
      </c>
      <c r="Y1781">
        <v>0</v>
      </c>
      <c r="Z1781">
        <v>1</v>
      </c>
      <c r="AA1781">
        <v>0</v>
      </c>
      <c r="AB1781">
        <v>535.29</v>
      </c>
      <c r="AC1781">
        <v>471</v>
      </c>
      <c r="AD1781">
        <v>0</v>
      </c>
      <c r="AE1781">
        <v>64.290000000000006</v>
      </c>
      <c r="AF1781">
        <v>0</v>
      </c>
      <c r="AG1781">
        <v>0</v>
      </c>
      <c r="AH1781">
        <v>0</v>
      </c>
      <c r="AI1781">
        <v>0</v>
      </c>
      <c r="AJ1781">
        <v>535.29</v>
      </c>
      <c r="AK1781">
        <v>0</v>
      </c>
      <c r="AL1781" t="s">
        <v>53</v>
      </c>
      <c r="AM1781" t="s">
        <v>53</v>
      </c>
      <c r="AN1781" t="s">
        <v>2953</v>
      </c>
      <c r="AO1781" t="s">
        <v>53</v>
      </c>
      <c r="AP1781" t="s">
        <v>53</v>
      </c>
    </row>
    <row r="1782" spans="2:42" x14ac:dyDescent="0.2">
      <c r="B1782" t="s">
        <v>44</v>
      </c>
      <c r="C1782" t="str">
        <f>HYPERLINK("https://us2.cloudbeds.com/connect/8493803454333002#/reservations/579311448276?display=DJXZP0GW&amp;reservation_id=579311448276", "DJXZP0GW")</f>
        <v>DJXZP0GW</v>
      </c>
      <c r="D1782" t="s">
        <v>45</v>
      </c>
      <c r="E1782" t="s">
        <v>69</v>
      </c>
      <c r="F1782" t="s">
        <v>70</v>
      </c>
      <c r="G1782" t="s">
        <v>48</v>
      </c>
      <c r="H1782" t="s">
        <v>49</v>
      </c>
      <c r="I1782" t="s">
        <v>114</v>
      </c>
      <c r="J1782" t="s">
        <v>1333</v>
      </c>
      <c r="K1782" t="s">
        <v>1933</v>
      </c>
      <c r="L1782" t="s">
        <v>53</v>
      </c>
      <c r="N1782" t="s">
        <v>2954</v>
      </c>
      <c r="P1782" t="s">
        <v>55</v>
      </c>
      <c r="R1782" t="s">
        <v>56</v>
      </c>
      <c r="T1782" t="s">
        <v>2947</v>
      </c>
      <c r="U1782" t="s">
        <v>58</v>
      </c>
      <c r="V1782">
        <v>1</v>
      </c>
      <c r="W1782">
        <v>1</v>
      </c>
      <c r="X1782">
        <v>1</v>
      </c>
      <c r="Y1782">
        <v>0</v>
      </c>
      <c r="Z1782">
        <v>1</v>
      </c>
      <c r="AA1782">
        <v>0</v>
      </c>
      <c r="AB1782">
        <v>151.16</v>
      </c>
      <c r="AC1782">
        <v>133</v>
      </c>
      <c r="AD1782">
        <v>0</v>
      </c>
      <c r="AE1782">
        <v>18.16</v>
      </c>
      <c r="AF1782">
        <v>0</v>
      </c>
      <c r="AG1782">
        <v>0</v>
      </c>
      <c r="AH1782">
        <v>0</v>
      </c>
      <c r="AI1782">
        <v>0</v>
      </c>
      <c r="AJ1782">
        <v>151.16</v>
      </c>
      <c r="AK1782">
        <v>0</v>
      </c>
      <c r="AL1782" t="s">
        <v>53</v>
      </c>
      <c r="AM1782" t="s">
        <v>53</v>
      </c>
      <c r="AN1782" t="s">
        <v>2955</v>
      </c>
      <c r="AO1782" t="s">
        <v>53</v>
      </c>
      <c r="AP1782" t="s">
        <v>53</v>
      </c>
    </row>
    <row r="1783" spans="2:42" x14ac:dyDescent="0.2">
      <c r="B1783" t="s">
        <v>44</v>
      </c>
      <c r="C1783" t="str">
        <f>HYPERLINK("https://us2.cloudbeds.com/connect/8493803454333002#/reservations/579143004387?display=DJEENQUN&amp;reservation_id=579143004387", "DJEENQUN")</f>
        <v>DJEENQUN</v>
      </c>
      <c r="D1783" t="s">
        <v>45</v>
      </c>
      <c r="E1783" t="s">
        <v>92</v>
      </c>
      <c r="F1783" t="s">
        <v>86</v>
      </c>
      <c r="G1783" t="s">
        <v>48</v>
      </c>
      <c r="H1783" t="s">
        <v>71</v>
      </c>
      <c r="I1783" t="s">
        <v>72</v>
      </c>
      <c r="J1783" t="s">
        <v>2163</v>
      </c>
      <c r="K1783" t="s">
        <v>2643</v>
      </c>
      <c r="L1783" t="s">
        <v>53</v>
      </c>
      <c r="N1783" t="s">
        <v>2956</v>
      </c>
      <c r="P1783" t="s">
        <v>55</v>
      </c>
      <c r="R1783" t="s">
        <v>56</v>
      </c>
      <c r="T1783" t="s">
        <v>2947</v>
      </c>
      <c r="U1783" t="s">
        <v>58</v>
      </c>
      <c r="V1783">
        <v>1</v>
      </c>
      <c r="W1783">
        <v>1</v>
      </c>
      <c r="X1783">
        <v>1</v>
      </c>
      <c r="Y1783">
        <v>0</v>
      </c>
      <c r="Z1783">
        <v>1</v>
      </c>
      <c r="AA1783">
        <v>0</v>
      </c>
      <c r="AB1783">
        <v>185.26</v>
      </c>
      <c r="AC1783">
        <v>163</v>
      </c>
      <c r="AD1783">
        <v>0</v>
      </c>
      <c r="AE1783">
        <v>22.26</v>
      </c>
      <c r="AF1783">
        <v>0</v>
      </c>
      <c r="AG1783">
        <v>0</v>
      </c>
      <c r="AH1783">
        <v>0</v>
      </c>
      <c r="AI1783">
        <v>0</v>
      </c>
      <c r="AJ1783">
        <v>185.26</v>
      </c>
      <c r="AK1783">
        <v>0</v>
      </c>
      <c r="AL1783" t="s">
        <v>53</v>
      </c>
      <c r="AM1783" t="s">
        <v>53</v>
      </c>
      <c r="AN1783" t="s">
        <v>2957</v>
      </c>
      <c r="AO1783" t="s">
        <v>53</v>
      </c>
      <c r="AP1783" t="s">
        <v>53</v>
      </c>
    </row>
    <row r="1784" spans="2:42" x14ac:dyDescent="0.2">
      <c r="B1784" t="s">
        <v>44</v>
      </c>
      <c r="C1784" t="str">
        <f>HYPERLINK("https://us2.cloudbeds.com/connect/8493803454333002#/reservations/579332739236?display=DJJ9NFEJ&amp;reservation_id=579332739236", "DJJ9NFEJ")</f>
        <v>DJJ9NFEJ</v>
      </c>
      <c r="D1784" t="s">
        <v>45</v>
      </c>
      <c r="E1784" t="s">
        <v>223</v>
      </c>
      <c r="F1784" t="s">
        <v>47</v>
      </c>
      <c r="G1784" t="s">
        <v>48</v>
      </c>
      <c r="H1784" t="s">
        <v>49</v>
      </c>
      <c r="I1784" t="s">
        <v>79</v>
      </c>
      <c r="J1784" t="s">
        <v>1933</v>
      </c>
      <c r="K1784" t="s">
        <v>2206</v>
      </c>
      <c r="L1784" t="s">
        <v>53</v>
      </c>
      <c r="N1784" t="s">
        <v>2958</v>
      </c>
      <c r="P1784" t="s">
        <v>55</v>
      </c>
      <c r="R1784" t="s">
        <v>56</v>
      </c>
      <c r="T1784" t="s">
        <v>2947</v>
      </c>
      <c r="U1784" t="s">
        <v>58</v>
      </c>
      <c r="V1784">
        <v>2</v>
      </c>
      <c r="W1784">
        <v>1</v>
      </c>
      <c r="X1784">
        <v>1</v>
      </c>
      <c r="Y1784">
        <v>0</v>
      </c>
      <c r="Z1784">
        <v>1</v>
      </c>
      <c r="AA1784">
        <v>0</v>
      </c>
      <c r="AB1784">
        <v>298.68</v>
      </c>
      <c r="AC1784">
        <v>262.8</v>
      </c>
      <c r="AD1784">
        <v>0</v>
      </c>
      <c r="AE1784">
        <v>35.880000000000003</v>
      </c>
      <c r="AF1784">
        <v>0</v>
      </c>
      <c r="AG1784">
        <v>0</v>
      </c>
      <c r="AH1784">
        <v>0</v>
      </c>
      <c r="AI1784">
        <v>0</v>
      </c>
      <c r="AJ1784">
        <v>298.68</v>
      </c>
      <c r="AK1784">
        <v>0</v>
      </c>
      <c r="AL1784" t="s">
        <v>53</v>
      </c>
      <c r="AM1784" t="s">
        <v>53</v>
      </c>
      <c r="AN1784" t="s">
        <v>252</v>
      </c>
      <c r="AO1784" t="s">
        <v>53</v>
      </c>
      <c r="AP1784" t="s">
        <v>53</v>
      </c>
    </row>
    <row r="1785" spans="2:42" x14ac:dyDescent="0.2">
      <c r="B1785" t="s">
        <v>44</v>
      </c>
      <c r="C1785" t="str">
        <f>HYPERLINK("https://us2.cloudbeds.com/connect/8493803454333002#/reservations/598448300240?display=E1CZF4AU&amp;reservation_id=598448300240", "E1CZF4AU")</f>
        <v>E1CZF4AU</v>
      </c>
      <c r="D1785" t="s">
        <v>45</v>
      </c>
      <c r="E1785" t="s">
        <v>223</v>
      </c>
      <c r="F1785" t="s">
        <v>47</v>
      </c>
      <c r="G1785" t="s">
        <v>48</v>
      </c>
      <c r="H1785" t="s">
        <v>49</v>
      </c>
      <c r="I1785" t="s">
        <v>50</v>
      </c>
      <c r="J1785" t="s">
        <v>549</v>
      </c>
      <c r="K1785" t="s">
        <v>134</v>
      </c>
      <c r="L1785" t="s">
        <v>53</v>
      </c>
      <c r="N1785" t="s">
        <v>2959</v>
      </c>
      <c r="P1785" t="s">
        <v>55</v>
      </c>
      <c r="R1785" t="s">
        <v>56</v>
      </c>
      <c r="T1785" t="s">
        <v>2947</v>
      </c>
      <c r="U1785" t="s">
        <v>58</v>
      </c>
      <c r="V1785">
        <v>1</v>
      </c>
      <c r="W1785">
        <v>1</v>
      </c>
      <c r="X1785">
        <v>1</v>
      </c>
      <c r="Y1785">
        <v>0</v>
      </c>
      <c r="Z1785">
        <v>1</v>
      </c>
      <c r="AA1785">
        <v>0</v>
      </c>
      <c r="AB1785">
        <v>159.56</v>
      </c>
      <c r="AC1785">
        <v>140.4</v>
      </c>
      <c r="AD1785">
        <v>0</v>
      </c>
      <c r="AE1785">
        <v>19.16</v>
      </c>
      <c r="AF1785">
        <v>0</v>
      </c>
      <c r="AG1785">
        <v>0</v>
      </c>
      <c r="AH1785">
        <v>0</v>
      </c>
      <c r="AI1785">
        <v>28.72</v>
      </c>
      <c r="AJ1785">
        <v>159.56</v>
      </c>
      <c r="AK1785">
        <v>0</v>
      </c>
      <c r="AL1785" t="s">
        <v>53</v>
      </c>
      <c r="AM1785" t="s">
        <v>53</v>
      </c>
      <c r="AN1785" t="s">
        <v>349</v>
      </c>
      <c r="AO1785" t="s">
        <v>53</v>
      </c>
      <c r="AP1785" t="s">
        <v>53</v>
      </c>
    </row>
    <row r="1786" spans="2:42" x14ac:dyDescent="0.2">
      <c r="B1786" t="s">
        <v>44</v>
      </c>
      <c r="C1786" t="str">
        <f>HYPERLINK("https://us2.cloudbeds.com/connect/8493803454333002#/reservations/579360825485?display=DJK0D0A1&amp;reservation_id=579360825485", "DJK0D0A1")</f>
        <v>DJK0D0A1</v>
      </c>
      <c r="D1786" t="s">
        <v>45</v>
      </c>
      <c r="E1786" t="s">
        <v>92</v>
      </c>
      <c r="F1786" t="s">
        <v>86</v>
      </c>
      <c r="G1786" t="s">
        <v>48</v>
      </c>
      <c r="H1786" t="s">
        <v>49</v>
      </c>
      <c r="I1786" t="s">
        <v>79</v>
      </c>
      <c r="J1786" t="s">
        <v>2960</v>
      </c>
      <c r="K1786" t="s">
        <v>1523</v>
      </c>
      <c r="L1786" t="s">
        <v>53</v>
      </c>
      <c r="N1786" t="s">
        <v>2961</v>
      </c>
      <c r="P1786" t="s">
        <v>55</v>
      </c>
      <c r="R1786" t="s">
        <v>56</v>
      </c>
      <c r="T1786" t="s">
        <v>2962</v>
      </c>
      <c r="U1786" t="s">
        <v>58</v>
      </c>
      <c r="V1786">
        <v>2</v>
      </c>
      <c r="W1786">
        <v>1</v>
      </c>
      <c r="X1786">
        <v>1</v>
      </c>
      <c r="Y1786">
        <v>0</v>
      </c>
      <c r="Z1786">
        <v>1</v>
      </c>
      <c r="AA1786">
        <v>0</v>
      </c>
      <c r="AB1786">
        <v>286.39999999999998</v>
      </c>
      <c r="AC1786">
        <v>252</v>
      </c>
      <c r="AD1786">
        <v>0</v>
      </c>
      <c r="AE1786">
        <v>34.4</v>
      </c>
      <c r="AF1786">
        <v>0</v>
      </c>
      <c r="AG1786">
        <v>0</v>
      </c>
      <c r="AH1786">
        <v>0</v>
      </c>
      <c r="AI1786">
        <v>0</v>
      </c>
      <c r="AJ1786">
        <v>286.39999999999998</v>
      </c>
      <c r="AK1786">
        <v>0</v>
      </c>
      <c r="AL1786" t="s">
        <v>53</v>
      </c>
      <c r="AM1786" t="s">
        <v>53</v>
      </c>
      <c r="AN1786" t="s">
        <v>132</v>
      </c>
      <c r="AO1786" t="s">
        <v>53</v>
      </c>
      <c r="AP1786" t="s">
        <v>53</v>
      </c>
    </row>
    <row r="1787" spans="2:42" x14ac:dyDescent="0.2">
      <c r="B1787" t="s">
        <v>44</v>
      </c>
      <c r="C1787" t="str">
        <f>HYPERLINK("https://us2.cloudbeds.com/connect/8493803454333002#/reservations/598469050578?display=E1D8VHQS&amp;reservation_id=598469050578", "E1D8VHQS")</f>
        <v>E1D8VHQS</v>
      </c>
      <c r="D1787" t="s">
        <v>45</v>
      </c>
      <c r="E1787" t="s">
        <v>213</v>
      </c>
      <c r="F1787" t="s">
        <v>86</v>
      </c>
      <c r="G1787" t="s">
        <v>48</v>
      </c>
      <c r="H1787" t="s">
        <v>49</v>
      </c>
      <c r="I1787" t="s">
        <v>79</v>
      </c>
      <c r="J1787" t="s">
        <v>351</v>
      </c>
      <c r="K1787" t="s">
        <v>99</v>
      </c>
      <c r="L1787" t="s">
        <v>53</v>
      </c>
      <c r="N1787" t="s">
        <v>2963</v>
      </c>
      <c r="P1787" t="s">
        <v>55</v>
      </c>
      <c r="R1787" t="s">
        <v>56</v>
      </c>
      <c r="T1787" t="s">
        <v>2962</v>
      </c>
      <c r="U1787" t="s">
        <v>58</v>
      </c>
      <c r="V1787">
        <v>1</v>
      </c>
      <c r="W1787">
        <v>1</v>
      </c>
      <c r="X1787">
        <v>1</v>
      </c>
      <c r="Y1787">
        <v>0</v>
      </c>
      <c r="Z1787">
        <v>1</v>
      </c>
      <c r="AA1787">
        <v>0</v>
      </c>
      <c r="AB1787">
        <v>180.02</v>
      </c>
      <c r="AC1787">
        <v>158.4</v>
      </c>
      <c r="AD1787">
        <v>0</v>
      </c>
      <c r="AE1787">
        <v>21.62</v>
      </c>
      <c r="AF1787">
        <v>0</v>
      </c>
      <c r="AG1787">
        <v>0</v>
      </c>
      <c r="AH1787">
        <v>0</v>
      </c>
      <c r="AI1787">
        <v>0</v>
      </c>
      <c r="AJ1787">
        <v>180.02</v>
      </c>
      <c r="AK1787">
        <v>0</v>
      </c>
      <c r="AL1787" t="s">
        <v>53</v>
      </c>
      <c r="AM1787" t="s">
        <v>53</v>
      </c>
      <c r="AN1787" t="s">
        <v>252</v>
      </c>
      <c r="AO1787" t="s">
        <v>53</v>
      </c>
      <c r="AP1787" t="s">
        <v>53</v>
      </c>
    </row>
    <row r="1788" spans="2:42" x14ac:dyDescent="0.2">
      <c r="B1788" t="s">
        <v>44</v>
      </c>
      <c r="C1788" t="str">
        <f>HYPERLINK("https://us2.cloudbeds.com/connect/8493803454333002#/reservations/579177750684?display=DJFB0MHQ&amp;reservation_id=579177750684", "DJFB0MHQ")</f>
        <v>DJFB0MHQ</v>
      </c>
      <c r="D1788" t="s">
        <v>45</v>
      </c>
      <c r="E1788" t="s">
        <v>85</v>
      </c>
      <c r="F1788" t="s">
        <v>86</v>
      </c>
      <c r="G1788" t="s">
        <v>48</v>
      </c>
      <c r="H1788" t="s">
        <v>71</v>
      </c>
      <c r="I1788" t="s">
        <v>72</v>
      </c>
      <c r="J1788" t="s">
        <v>1296</v>
      </c>
      <c r="K1788" t="s">
        <v>1660</v>
      </c>
      <c r="L1788" t="s">
        <v>53</v>
      </c>
      <c r="N1788" t="s">
        <v>2964</v>
      </c>
      <c r="P1788" t="s">
        <v>58</v>
      </c>
      <c r="R1788" t="s">
        <v>56</v>
      </c>
      <c r="T1788" t="s">
        <v>2962</v>
      </c>
      <c r="U1788" t="s">
        <v>58</v>
      </c>
      <c r="V1788">
        <v>1</v>
      </c>
      <c r="W1788">
        <v>1</v>
      </c>
      <c r="X1788">
        <v>1</v>
      </c>
      <c r="Y1788">
        <v>0</v>
      </c>
      <c r="Z1788">
        <v>1</v>
      </c>
      <c r="AA1788">
        <v>0</v>
      </c>
      <c r="AB1788">
        <v>185.26</v>
      </c>
      <c r="AC1788">
        <v>163</v>
      </c>
      <c r="AD1788">
        <v>0</v>
      </c>
      <c r="AE1788">
        <v>22.26</v>
      </c>
      <c r="AF1788">
        <v>0</v>
      </c>
      <c r="AG1788">
        <v>0</v>
      </c>
      <c r="AH1788">
        <v>0</v>
      </c>
      <c r="AI1788">
        <v>0</v>
      </c>
      <c r="AJ1788">
        <v>185.26</v>
      </c>
      <c r="AK1788">
        <v>0</v>
      </c>
      <c r="AL1788" t="s">
        <v>53</v>
      </c>
      <c r="AM1788" t="s">
        <v>53</v>
      </c>
      <c r="AN1788" t="s">
        <v>2965</v>
      </c>
      <c r="AO1788" t="s">
        <v>53</v>
      </c>
      <c r="AP1788" t="s">
        <v>53</v>
      </c>
    </row>
    <row r="1789" spans="2:42" x14ac:dyDescent="0.2">
      <c r="B1789" t="s">
        <v>44</v>
      </c>
      <c r="C1789" t="str">
        <f>HYPERLINK("https://us2.cloudbeds.com/connect/8493803454333002#/reservations/598458237089?display=E1CWRY2X&amp;reservation_id=598458237089", "E1CWRY2X")</f>
        <v>E1CWRY2X</v>
      </c>
      <c r="D1789" t="s">
        <v>45</v>
      </c>
      <c r="E1789" t="s">
        <v>213</v>
      </c>
      <c r="F1789" t="s">
        <v>86</v>
      </c>
      <c r="G1789" t="s">
        <v>48</v>
      </c>
      <c r="H1789" t="s">
        <v>49</v>
      </c>
      <c r="I1789" t="s">
        <v>79</v>
      </c>
      <c r="J1789" t="s">
        <v>322</v>
      </c>
      <c r="K1789" t="s">
        <v>351</v>
      </c>
      <c r="L1789" t="s">
        <v>53</v>
      </c>
      <c r="N1789" t="s">
        <v>2966</v>
      </c>
      <c r="P1789" t="s">
        <v>55</v>
      </c>
      <c r="R1789" t="s">
        <v>56</v>
      </c>
      <c r="T1789" t="s">
        <v>2962</v>
      </c>
      <c r="U1789" t="s">
        <v>58</v>
      </c>
      <c r="V1789">
        <v>1</v>
      </c>
      <c r="W1789">
        <v>1</v>
      </c>
      <c r="X1789">
        <v>1</v>
      </c>
      <c r="Y1789">
        <v>0</v>
      </c>
      <c r="Z1789">
        <v>1</v>
      </c>
      <c r="AA1789">
        <v>0</v>
      </c>
      <c r="AB1789">
        <v>176.44</v>
      </c>
      <c r="AC1789">
        <v>155.25</v>
      </c>
      <c r="AD1789">
        <v>0</v>
      </c>
      <c r="AE1789">
        <v>21.19</v>
      </c>
      <c r="AF1789">
        <v>0</v>
      </c>
      <c r="AG1789">
        <v>0</v>
      </c>
      <c r="AH1789">
        <v>0</v>
      </c>
      <c r="AI1789">
        <v>0</v>
      </c>
      <c r="AJ1789">
        <v>176.44</v>
      </c>
      <c r="AK1789">
        <v>0</v>
      </c>
      <c r="AL1789" t="s">
        <v>53</v>
      </c>
      <c r="AM1789" t="s">
        <v>53</v>
      </c>
      <c r="AN1789" t="s">
        <v>132</v>
      </c>
      <c r="AO1789" t="s">
        <v>53</v>
      </c>
      <c r="AP1789" t="s">
        <v>53</v>
      </c>
    </row>
    <row r="1790" spans="2:42" x14ac:dyDescent="0.2">
      <c r="B1790" t="s">
        <v>44</v>
      </c>
      <c r="C1790" t="str">
        <f>HYPERLINK("https://us2.cloudbeds.com/connect/8493803454333002#/reservations/598549663988?display=E1FAUNWM&amp;reservation_id=598549663988", "E1FAUNWM")</f>
        <v>E1FAUNWM</v>
      </c>
      <c r="D1790" t="s">
        <v>45</v>
      </c>
      <c r="E1790" t="s">
        <v>305</v>
      </c>
      <c r="F1790" t="s">
        <v>61</v>
      </c>
      <c r="G1790" t="s">
        <v>48</v>
      </c>
      <c r="H1790" t="s">
        <v>49</v>
      </c>
      <c r="I1790" t="s">
        <v>50</v>
      </c>
      <c r="J1790" t="s">
        <v>568</v>
      </c>
      <c r="K1790" t="s">
        <v>180</v>
      </c>
      <c r="L1790" t="s">
        <v>53</v>
      </c>
      <c r="N1790" t="s">
        <v>2967</v>
      </c>
      <c r="P1790" t="s">
        <v>55</v>
      </c>
      <c r="R1790" t="s">
        <v>56</v>
      </c>
      <c r="T1790" t="s">
        <v>2962</v>
      </c>
      <c r="U1790" t="s">
        <v>58</v>
      </c>
      <c r="V1790">
        <v>1</v>
      </c>
      <c r="W1790">
        <v>1</v>
      </c>
      <c r="X1790">
        <v>1</v>
      </c>
      <c r="Y1790">
        <v>0</v>
      </c>
      <c r="Z1790">
        <v>1</v>
      </c>
      <c r="AA1790">
        <v>0</v>
      </c>
      <c r="AB1790">
        <v>165.7</v>
      </c>
      <c r="AC1790">
        <v>145.80000000000001</v>
      </c>
      <c r="AD1790">
        <v>0</v>
      </c>
      <c r="AE1790">
        <v>19.899999999999999</v>
      </c>
      <c r="AF1790">
        <v>0</v>
      </c>
      <c r="AG1790">
        <v>0</v>
      </c>
      <c r="AH1790">
        <v>0</v>
      </c>
      <c r="AI1790">
        <v>29.83</v>
      </c>
      <c r="AJ1790">
        <v>165.7</v>
      </c>
      <c r="AK1790">
        <v>0</v>
      </c>
      <c r="AL1790" t="s">
        <v>53</v>
      </c>
      <c r="AM1790" t="s">
        <v>53</v>
      </c>
      <c r="AN1790" t="s">
        <v>198</v>
      </c>
      <c r="AO1790" t="s">
        <v>53</v>
      </c>
      <c r="AP1790" t="s">
        <v>53</v>
      </c>
    </row>
    <row r="1791" spans="2:42" x14ac:dyDescent="0.2">
      <c r="B1791" t="s">
        <v>44</v>
      </c>
      <c r="C1791" t="str">
        <f>HYPERLINK("https://us2.cloudbeds.com/connect/8493803454333002#/reservations/598222672035?display=E16W6MTJ&amp;reservation_id=598222672035", "E16W6MTJ")</f>
        <v>E16W6MTJ</v>
      </c>
      <c r="D1791" t="s">
        <v>45</v>
      </c>
      <c r="E1791" t="s">
        <v>179</v>
      </c>
      <c r="F1791" t="s">
        <v>47</v>
      </c>
      <c r="G1791" t="s">
        <v>48</v>
      </c>
      <c r="H1791" t="s">
        <v>49</v>
      </c>
      <c r="I1791" t="s">
        <v>50</v>
      </c>
      <c r="J1791" t="s">
        <v>181</v>
      </c>
      <c r="K1791" t="s">
        <v>123</v>
      </c>
      <c r="L1791" t="s">
        <v>53</v>
      </c>
      <c r="N1791" t="s">
        <v>2968</v>
      </c>
      <c r="P1791" t="s">
        <v>55</v>
      </c>
      <c r="R1791" t="s">
        <v>56</v>
      </c>
      <c r="T1791" t="s">
        <v>2962</v>
      </c>
      <c r="U1791" t="s">
        <v>58</v>
      </c>
      <c r="V1791">
        <v>2</v>
      </c>
      <c r="W1791">
        <v>1</v>
      </c>
      <c r="X1791">
        <v>1</v>
      </c>
      <c r="Y1791">
        <v>0</v>
      </c>
      <c r="Z1791">
        <v>1</v>
      </c>
      <c r="AA1791">
        <v>0</v>
      </c>
      <c r="AB1791">
        <v>333.45</v>
      </c>
      <c r="AC1791">
        <v>293.39999999999998</v>
      </c>
      <c r="AD1791">
        <v>0</v>
      </c>
      <c r="AE1791">
        <v>40.020000000000003</v>
      </c>
      <c r="AF1791">
        <v>0</v>
      </c>
      <c r="AG1791">
        <v>0</v>
      </c>
      <c r="AH1791">
        <v>0</v>
      </c>
      <c r="AI1791">
        <v>60.02</v>
      </c>
      <c r="AJ1791">
        <v>333.42</v>
      </c>
      <c r="AK1791">
        <v>-0.03</v>
      </c>
      <c r="AL1791" t="s">
        <v>53</v>
      </c>
      <c r="AM1791" t="s">
        <v>53</v>
      </c>
      <c r="AN1791" t="s">
        <v>280</v>
      </c>
      <c r="AO1791" t="s">
        <v>53</v>
      </c>
      <c r="AP1791" t="s">
        <v>53</v>
      </c>
    </row>
    <row r="1792" spans="2:42" x14ac:dyDescent="0.2">
      <c r="B1792" t="s">
        <v>44</v>
      </c>
      <c r="C1792" t="str">
        <f>HYPERLINK("https://us2.cloudbeds.com/connect/8493803454333002#/reservations/579313418400?display=DJXQDRKM&amp;reservation_id=579313418400", "DJXQDRKM")</f>
        <v>DJXQDRKM</v>
      </c>
      <c r="D1792" t="s">
        <v>45</v>
      </c>
      <c r="E1792" t="s">
        <v>138</v>
      </c>
      <c r="F1792" t="s">
        <v>70</v>
      </c>
      <c r="G1792" t="s">
        <v>48</v>
      </c>
      <c r="H1792" t="s">
        <v>71</v>
      </c>
      <c r="I1792" t="s">
        <v>72</v>
      </c>
      <c r="J1792" t="s">
        <v>1660</v>
      </c>
      <c r="K1792" t="s">
        <v>1515</v>
      </c>
      <c r="L1792" t="s">
        <v>53</v>
      </c>
      <c r="N1792" t="s">
        <v>2969</v>
      </c>
      <c r="P1792" t="s">
        <v>55</v>
      </c>
      <c r="R1792" t="s">
        <v>56</v>
      </c>
      <c r="T1792" t="s">
        <v>2962</v>
      </c>
      <c r="U1792" t="s">
        <v>58</v>
      </c>
      <c r="V1792">
        <v>8</v>
      </c>
      <c r="W1792">
        <v>1</v>
      </c>
      <c r="X1792">
        <v>1</v>
      </c>
      <c r="Y1792">
        <v>0</v>
      </c>
      <c r="Z1792">
        <v>1</v>
      </c>
      <c r="AA1792">
        <v>0</v>
      </c>
      <c r="AB1792">
        <v>1172.8800000000001</v>
      </c>
      <c r="AC1792">
        <v>1032</v>
      </c>
      <c r="AD1792">
        <v>0</v>
      </c>
      <c r="AE1792">
        <v>140.88</v>
      </c>
      <c r="AF1792">
        <v>0</v>
      </c>
      <c r="AG1792">
        <v>0</v>
      </c>
      <c r="AH1792">
        <v>0</v>
      </c>
      <c r="AI1792">
        <v>0</v>
      </c>
      <c r="AJ1792">
        <v>1172.8800000000001</v>
      </c>
      <c r="AK1792">
        <v>0</v>
      </c>
      <c r="AL1792" t="s">
        <v>53</v>
      </c>
      <c r="AM1792" t="s">
        <v>53</v>
      </c>
      <c r="AN1792" t="s">
        <v>378</v>
      </c>
      <c r="AO1792" t="s">
        <v>53</v>
      </c>
      <c r="AP1792" t="s">
        <v>53</v>
      </c>
    </row>
    <row r="1793" spans="2:42" x14ac:dyDescent="0.2">
      <c r="B1793" t="s">
        <v>44</v>
      </c>
      <c r="C1793" t="str">
        <f>HYPERLINK("https://us2.cloudbeds.com/connect/8493803454333002#/reservations/598593355950?display=E1GEPH5H&amp;reservation_id=598593355950", "E1GEPH5H")</f>
        <v>E1GEPH5H</v>
      </c>
      <c r="D1793" t="s">
        <v>45</v>
      </c>
      <c r="E1793" t="s">
        <v>138</v>
      </c>
      <c r="F1793" t="s">
        <v>70</v>
      </c>
      <c r="G1793" t="s">
        <v>48</v>
      </c>
      <c r="H1793" t="s">
        <v>49</v>
      </c>
      <c r="I1793" t="s">
        <v>50</v>
      </c>
      <c r="J1793" t="s">
        <v>181</v>
      </c>
      <c r="K1793" t="s">
        <v>123</v>
      </c>
      <c r="L1793" t="s">
        <v>53</v>
      </c>
      <c r="N1793" t="s">
        <v>2970</v>
      </c>
      <c r="P1793" t="s">
        <v>55</v>
      </c>
      <c r="R1793" t="s">
        <v>56</v>
      </c>
      <c r="T1793" t="s">
        <v>2962</v>
      </c>
      <c r="U1793" t="s">
        <v>58</v>
      </c>
      <c r="V1793">
        <v>2</v>
      </c>
      <c r="W1793">
        <v>1</v>
      </c>
      <c r="X1793">
        <v>1</v>
      </c>
      <c r="Y1793">
        <v>0</v>
      </c>
      <c r="Z1793">
        <v>1</v>
      </c>
      <c r="AA1793">
        <v>0</v>
      </c>
      <c r="AB1793">
        <v>300.72000000000003</v>
      </c>
      <c r="AC1793">
        <v>264.60000000000002</v>
      </c>
      <c r="AD1793">
        <v>0</v>
      </c>
      <c r="AE1793">
        <v>36.14</v>
      </c>
      <c r="AF1793">
        <v>0</v>
      </c>
      <c r="AG1793">
        <v>0</v>
      </c>
      <c r="AH1793">
        <v>0</v>
      </c>
      <c r="AI1793">
        <v>54.13</v>
      </c>
      <c r="AJ1793">
        <v>300.74</v>
      </c>
      <c r="AK1793">
        <v>0.02</v>
      </c>
      <c r="AL1793" t="s">
        <v>53</v>
      </c>
      <c r="AM1793" t="s">
        <v>53</v>
      </c>
      <c r="AN1793" t="s">
        <v>97</v>
      </c>
      <c r="AO1793" t="s">
        <v>53</v>
      </c>
      <c r="AP1793" t="s">
        <v>53</v>
      </c>
    </row>
    <row r="1794" spans="2:42" x14ac:dyDescent="0.2">
      <c r="B1794" t="s">
        <v>44</v>
      </c>
      <c r="C1794" t="str">
        <f>HYPERLINK("https://us2.cloudbeds.com/connect/8493803454333002#/reservations/579292463297?display=DJX8ZZ3J&amp;reservation_id=579292463297", "DJX8ZZ3J")</f>
        <v>DJX8ZZ3J</v>
      </c>
      <c r="D1794" t="s">
        <v>602</v>
      </c>
      <c r="E1794" t="s">
        <v>53</v>
      </c>
      <c r="F1794" t="s">
        <v>86</v>
      </c>
      <c r="G1794" t="s">
        <v>48</v>
      </c>
      <c r="H1794" t="s">
        <v>49</v>
      </c>
      <c r="I1794" t="s">
        <v>79</v>
      </c>
      <c r="J1794" t="s">
        <v>1515</v>
      </c>
      <c r="K1794" t="s">
        <v>2162</v>
      </c>
      <c r="L1794" t="s">
        <v>53</v>
      </c>
      <c r="N1794" t="s">
        <v>2971</v>
      </c>
      <c r="P1794" t="s">
        <v>55</v>
      </c>
      <c r="R1794" t="s">
        <v>56</v>
      </c>
      <c r="T1794" t="s">
        <v>2962</v>
      </c>
      <c r="U1794" t="s">
        <v>58</v>
      </c>
      <c r="V1794">
        <v>1</v>
      </c>
      <c r="W1794">
        <v>1</v>
      </c>
      <c r="X1794">
        <v>1</v>
      </c>
      <c r="Y1794">
        <v>0</v>
      </c>
      <c r="Z1794">
        <v>1</v>
      </c>
      <c r="AA1794">
        <v>0</v>
      </c>
      <c r="AB1794">
        <v>0</v>
      </c>
      <c r="AC1794">
        <v>0</v>
      </c>
      <c r="AD1794">
        <v>0</v>
      </c>
      <c r="AE1794">
        <v>0</v>
      </c>
      <c r="AF1794">
        <v>0</v>
      </c>
      <c r="AG1794">
        <v>0</v>
      </c>
      <c r="AH1794">
        <v>0</v>
      </c>
      <c r="AI1794">
        <v>0</v>
      </c>
      <c r="AJ1794">
        <v>0</v>
      </c>
      <c r="AK1794">
        <v>0</v>
      </c>
      <c r="AL1794">
        <v>144</v>
      </c>
      <c r="AM1794">
        <v>163.66</v>
      </c>
      <c r="AN1794" t="s">
        <v>2972</v>
      </c>
      <c r="AO1794" t="s">
        <v>53</v>
      </c>
      <c r="AP1794" t="s">
        <v>53</v>
      </c>
    </row>
    <row r="1795" spans="2:42" x14ac:dyDescent="0.2">
      <c r="B1795" t="s">
        <v>44</v>
      </c>
      <c r="C1795" t="str">
        <f>HYPERLINK("https://us2.cloudbeds.com/connect/8493803454333002#/reservations/579381649614?display=DJKHVFX7&amp;reservation_id=579381649614", "DJKHVFX7")</f>
        <v>DJKHVFX7</v>
      </c>
      <c r="D1795" t="s">
        <v>45</v>
      </c>
      <c r="E1795" t="s">
        <v>110</v>
      </c>
      <c r="F1795" t="s">
        <v>47</v>
      </c>
      <c r="G1795" t="s">
        <v>48</v>
      </c>
      <c r="H1795" t="s">
        <v>49</v>
      </c>
      <c r="I1795" t="s">
        <v>79</v>
      </c>
      <c r="J1795" t="s">
        <v>1337</v>
      </c>
      <c r="K1795" t="s">
        <v>1380</v>
      </c>
      <c r="L1795" t="s">
        <v>53</v>
      </c>
      <c r="N1795" t="s">
        <v>2973</v>
      </c>
      <c r="P1795" t="s">
        <v>55</v>
      </c>
      <c r="R1795" t="s">
        <v>56</v>
      </c>
      <c r="T1795" t="s">
        <v>2974</v>
      </c>
      <c r="U1795" t="s">
        <v>58</v>
      </c>
      <c r="V1795">
        <v>2</v>
      </c>
      <c r="W1795">
        <v>1</v>
      </c>
      <c r="X1795">
        <v>1</v>
      </c>
      <c r="Y1795">
        <v>0</v>
      </c>
      <c r="Z1795">
        <v>1</v>
      </c>
      <c r="AA1795">
        <v>0</v>
      </c>
      <c r="AB1795">
        <v>240.38</v>
      </c>
      <c r="AC1795">
        <v>211.5</v>
      </c>
      <c r="AD1795">
        <v>0</v>
      </c>
      <c r="AE1795">
        <v>28.88</v>
      </c>
      <c r="AF1795">
        <v>0</v>
      </c>
      <c r="AG1795">
        <v>0</v>
      </c>
      <c r="AH1795">
        <v>0</v>
      </c>
      <c r="AI1795">
        <v>0</v>
      </c>
      <c r="AJ1795">
        <v>240.38</v>
      </c>
      <c r="AK1795">
        <v>0</v>
      </c>
      <c r="AL1795" t="s">
        <v>53</v>
      </c>
      <c r="AM1795" t="s">
        <v>53</v>
      </c>
      <c r="AN1795" t="s">
        <v>59</v>
      </c>
      <c r="AO1795" t="s">
        <v>53</v>
      </c>
      <c r="AP1795" t="s">
        <v>53</v>
      </c>
    </row>
    <row r="1796" spans="2:42" x14ac:dyDescent="0.2">
      <c r="B1796" t="s">
        <v>44</v>
      </c>
      <c r="C1796" t="str">
        <f>HYPERLINK("https://us2.cloudbeds.com/connect/8493803454333002#/reservations/579366650004?display=DJK5A2QJ&amp;reservation_id=579366650004", "DJK5A2QJ")</f>
        <v>DJK5A2QJ</v>
      </c>
      <c r="D1796" t="s">
        <v>45</v>
      </c>
      <c r="E1796" t="s">
        <v>138</v>
      </c>
      <c r="F1796" t="s">
        <v>70</v>
      </c>
      <c r="G1796" t="s">
        <v>48</v>
      </c>
      <c r="H1796" t="s">
        <v>49</v>
      </c>
      <c r="I1796" t="s">
        <v>50</v>
      </c>
      <c r="J1796" t="s">
        <v>2975</v>
      </c>
      <c r="K1796" t="s">
        <v>2976</v>
      </c>
      <c r="L1796" t="s">
        <v>53</v>
      </c>
      <c r="N1796" t="s">
        <v>2977</v>
      </c>
      <c r="P1796" t="s">
        <v>55</v>
      </c>
      <c r="R1796" t="s">
        <v>56</v>
      </c>
      <c r="T1796" t="s">
        <v>2974</v>
      </c>
      <c r="U1796" t="s">
        <v>58</v>
      </c>
      <c r="V1796">
        <v>3</v>
      </c>
      <c r="W1796">
        <v>1</v>
      </c>
      <c r="X1796">
        <v>1</v>
      </c>
      <c r="Y1796">
        <v>0</v>
      </c>
      <c r="Z1796">
        <v>1</v>
      </c>
      <c r="AA1796">
        <v>0</v>
      </c>
      <c r="AB1796">
        <v>205.62</v>
      </c>
      <c r="AC1796">
        <v>180.9</v>
      </c>
      <c r="AD1796">
        <v>0</v>
      </c>
      <c r="AE1796">
        <v>24.72</v>
      </c>
      <c r="AF1796">
        <v>0</v>
      </c>
      <c r="AG1796">
        <v>0</v>
      </c>
      <c r="AH1796">
        <v>0</v>
      </c>
      <c r="AI1796">
        <v>37.01</v>
      </c>
      <c r="AJ1796">
        <v>205.62</v>
      </c>
      <c r="AK1796">
        <v>0</v>
      </c>
      <c r="AL1796" t="s">
        <v>53</v>
      </c>
      <c r="AM1796" t="s">
        <v>53</v>
      </c>
      <c r="AN1796" t="s">
        <v>68</v>
      </c>
      <c r="AO1796" t="s">
        <v>53</v>
      </c>
      <c r="AP1796" t="s">
        <v>53</v>
      </c>
    </row>
    <row r="1797" spans="2:42" x14ac:dyDescent="0.2">
      <c r="B1797" t="s">
        <v>44</v>
      </c>
      <c r="C1797" t="str">
        <f>HYPERLINK("https://us2.cloudbeds.com/connect/8493803454333002#/reservations/579351265522?display=DJJPAWK1&amp;reservation_id=579351265522", "DJJPAWK1")</f>
        <v>DJJPAWK1</v>
      </c>
      <c r="D1797" t="s">
        <v>45</v>
      </c>
      <c r="E1797" t="s">
        <v>406</v>
      </c>
      <c r="F1797" t="s">
        <v>61</v>
      </c>
      <c r="G1797" t="s">
        <v>48</v>
      </c>
      <c r="H1797" t="s">
        <v>71</v>
      </c>
      <c r="I1797" t="s">
        <v>72</v>
      </c>
      <c r="J1797" t="s">
        <v>2541</v>
      </c>
      <c r="K1797" t="s">
        <v>1502</v>
      </c>
      <c r="L1797" t="s">
        <v>53</v>
      </c>
      <c r="N1797" t="s">
        <v>2978</v>
      </c>
      <c r="P1797" t="s">
        <v>55</v>
      </c>
      <c r="R1797" t="s">
        <v>56</v>
      </c>
      <c r="T1797" t="s">
        <v>2974</v>
      </c>
      <c r="U1797" t="s">
        <v>58</v>
      </c>
      <c r="V1797">
        <v>1</v>
      </c>
      <c r="W1797">
        <v>1</v>
      </c>
      <c r="X1797">
        <v>1</v>
      </c>
      <c r="Y1797">
        <v>0</v>
      </c>
      <c r="Z1797">
        <v>1</v>
      </c>
      <c r="AA1797">
        <v>0</v>
      </c>
      <c r="AB1797">
        <v>169.34</v>
      </c>
      <c r="AC1797">
        <v>149</v>
      </c>
      <c r="AD1797">
        <v>0</v>
      </c>
      <c r="AE1797">
        <v>20.34</v>
      </c>
      <c r="AF1797">
        <v>0</v>
      </c>
      <c r="AG1797">
        <v>0</v>
      </c>
      <c r="AH1797">
        <v>0</v>
      </c>
      <c r="AI1797">
        <v>0</v>
      </c>
      <c r="AJ1797">
        <v>169.34</v>
      </c>
      <c r="AK1797">
        <v>0</v>
      </c>
      <c r="AL1797" t="s">
        <v>53</v>
      </c>
      <c r="AM1797" t="s">
        <v>53</v>
      </c>
      <c r="AN1797" t="s">
        <v>2979</v>
      </c>
      <c r="AO1797" t="s">
        <v>53</v>
      </c>
      <c r="AP1797" t="s">
        <v>53</v>
      </c>
    </row>
    <row r="1798" spans="2:42" x14ac:dyDescent="0.2">
      <c r="B1798" t="s">
        <v>44</v>
      </c>
      <c r="C1798" t="str">
        <f>HYPERLINK("https://us2.cloudbeds.com/connect/8493803454333002#/reservations/598224785660?display=E170WGPQ&amp;reservation_id=598224785660", "E170WGPQ")</f>
        <v>E170WGPQ</v>
      </c>
      <c r="D1798" t="s">
        <v>45</v>
      </c>
      <c r="E1798" t="s">
        <v>185</v>
      </c>
      <c r="F1798" t="s">
        <v>47</v>
      </c>
      <c r="G1798" t="s">
        <v>48</v>
      </c>
      <c r="H1798" t="s">
        <v>71</v>
      </c>
      <c r="I1798" t="s">
        <v>72</v>
      </c>
      <c r="J1798" t="s">
        <v>388</v>
      </c>
      <c r="K1798" t="s">
        <v>214</v>
      </c>
      <c r="L1798" t="s">
        <v>53</v>
      </c>
      <c r="N1798" t="s">
        <v>2980</v>
      </c>
      <c r="P1798" t="s">
        <v>55</v>
      </c>
      <c r="R1798" t="s">
        <v>56</v>
      </c>
      <c r="T1798" t="s">
        <v>2974</v>
      </c>
      <c r="U1798" t="s">
        <v>58</v>
      </c>
      <c r="V1798">
        <v>2</v>
      </c>
      <c r="W1798">
        <v>1</v>
      </c>
      <c r="X1798">
        <v>1</v>
      </c>
      <c r="Y1798">
        <v>0</v>
      </c>
      <c r="Z1798">
        <v>1</v>
      </c>
      <c r="AA1798">
        <v>0</v>
      </c>
      <c r="AB1798">
        <v>335.27</v>
      </c>
      <c r="AC1798">
        <v>295</v>
      </c>
      <c r="AD1798">
        <v>0</v>
      </c>
      <c r="AE1798">
        <v>40.26</v>
      </c>
      <c r="AF1798">
        <v>0</v>
      </c>
      <c r="AG1798">
        <v>0</v>
      </c>
      <c r="AH1798">
        <v>0</v>
      </c>
      <c r="AI1798">
        <v>0</v>
      </c>
      <c r="AJ1798">
        <v>335.26</v>
      </c>
      <c r="AK1798">
        <v>-0.01</v>
      </c>
      <c r="AL1798" t="s">
        <v>53</v>
      </c>
      <c r="AM1798" t="s">
        <v>53</v>
      </c>
      <c r="AN1798" t="s">
        <v>2981</v>
      </c>
      <c r="AO1798" t="s">
        <v>53</v>
      </c>
      <c r="AP1798" t="s">
        <v>53</v>
      </c>
    </row>
    <row r="1799" spans="2:42" x14ac:dyDescent="0.2">
      <c r="B1799" t="s">
        <v>44</v>
      </c>
      <c r="C1799" t="str">
        <f>HYPERLINK("https://us2.cloudbeds.com/connect/8493803454333002#/reservations/598204035202?display=E16GG363&amp;reservation_id=598204035202", "E16GG363")</f>
        <v>E16GG363</v>
      </c>
      <c r="D1799" t="s">
        <v>45</v>
      </c>
      <c r="E1799" t="s">
        <v>69</v>
      </c>
      <c r="F1799" t="s">
        <v>70</v>
      </c>
      <c r="G1799" t="s">
        <v>48</v>
      </c>
      <c r="H1799" t="s">
        <v>49</v>
      </c>
      <c r="I1799" t="s">
        <v>50</v>
      </c>
      <c r="J1799" t="s">
        <v>426</v>
      </c>
      <c r="K1799" t="s">
        <v>130</v>
      </c>
      <c r="L1799" t="s">
        <v>53</v>
      </c>
      <c r="N1799" t="s">
        <v>2982</v>
      </c>
      <c r="P1799" t="s">
        <v>55</v>
      </c>
      <c r="R1799" t="s">
        <v>56</v>
      </c>
      <c r="T1799" t="s">
        <v>2974</v>
      </c>
      <c r="U1799" t="s">
        <v>58</v>
      </c>
      <c r="V1799">
        <v>1</v>
      </c>
      <c r="W1799">
        <v>1</v>
      </c>
      <c r="X1799">
        <v>1</v>
      </c>
      <c r="Y1799">
        <v>0</v>
      </c>
      <c r="Z1799">
        <v>1</v>
      </c>
      <c r="AA1799">
        <v>0</v>
      </c>
      <c r="AB1799">
        <v>148.31</v>
      </c>
      <c r="AC1799">
        <v>130.5</v>
      </c>
      <c r="AD1799">
        <v>0</v>
      </c>
      <c r="AE1799">
        <v>17.809999999999999</v>
      </c>
      <c r="AF1799">
        <v>0</v>
      </c>
      <c r="AG1799">
        <v>0</v>
      </c>
      <c r="AH1799">
        <v>0</v>
      </c>
      <c r="AI1799">
        <v>26.7</v>
      </c>
      <c r="AJ1799">
        <v>148.31</v>
      </c>
      <c r="AK1799">
        <v>0</v>
      </c>
      <c r="AL1799" t="s">
        <v>53</v>
      </c>
      <c r="AM1799" t="s">
        <v>53</v>
      </c>
      <c r="AN1799" t="s">
        <v>84</v>
      </c>
      <c r="AO1799" t="s">
        <v>53</v>
      </c>
      <c r="AP1799" t="s">
        <v>53</v>
      </c>
    </row>
    <row r="1800" spans="2:42" x14ac:dyDescent="0.2">
      <c r="B1800" t="s">
        <v>44</v>
      </c>
      <c r="C1800" t="str">
        <f>HYPERLINK("https://us2.cloudbeds.com/connect/8493803454333002#/reservations/598288003291?display=E18Y9KSY&amp;reservation_id=598288003291", "E18Y9KSY")</f>
        <v>E18Y9KSY</v>
      </c>
      <c r="D1800" t="s">
        <v>45</v>
      </c>
      <c r="E1800" t="s">
        <v>487</v>
      </c>
      <c r="F1800" t="s">
        <v>61</v>
      </c>
      <c r="G1800" t="s">
        <v>48</v>
      </c>
      <c r="H1800" t="s">
        <v>49</v>
      </c>
      <c r="I1800" t="s">
        <v>79</v>
      </c>
      <c r="J1800" t="s">
        <v>489</v>
      </c>
      <c r="K1800" t="s">
        <v>93</v>
      </c>
      <c r="L1800" t="s">
        <v>53</v>
      </c>
      <c r="N1800" t="s">
        <v>2983</v>
      </c>
      <c r="P1800" t="s">
        <v>55</v>
      </c>
      <c r="R1800" t="s">
        <v>56</v>
      </c>
      <c r="T1800" t="s">
        <v>2974</v>
      </c>
      <c r="U1800" t="s">
        <v>58</v>
      </c>
      <c r="V1800">
        <v>2</v>
      </c>
      <c r="W1800">
        <v>1</v>
      </c>
      <c r="X1800">
        <v>1</v>
      </c>
      <c r="Y1800">
        <v>0</v>
      </c>
      <c r="Z1800">
        <v>1</v>
      </c>
      <c r="AA1800">
        <v>0</v>
      </c>
      <c r="AB1800">
        <v>338.56</v>
      </c>
      <c r="AC1800">
        <v>297.89999999999998</v>
      </c>
      <c r="AD1800">
        <v>0</v>
      </c>
      <c r="AE1800">
        <v>40.659999999999997</v>
      </c>
      <c r="AF1800">
        <v>0</v>
      </c>
      <c r="AG1800">
        <v>0</v>
      </c>
      <c r="AH1800">
        <v>0</v>
      </c>
      <c r="AI1800">
        <v>0</v>
      </c>
      <c r="AJ1800">
        <v>338.56</v>
      </c>
      <c r="AK1800">
        <v>0</v>
      </c>
      <c r="AL1800" t="s">
        <v>53</v>
      </c>
      <c r="AM1800" t="s">
        <v>53</v>
      </c>
      <c r="AN1800" t="s">
        <v>245</v>
      </c>
      <c r="AO1800" t="s">
        <v>53</v>
      </c>
      <c r="AP1800" t="s">
        <v>53</v>
      </c>
    </row>
    <row r="1801" spans="2:42" x14ac:dyDescent="0.2">
      <c r="B1801" t="s">
        <v>44</v>
      </c>
      <c r="C1801" t="str">
        <f>HYPERLINK("https://us2.cloudbeds.com/connect/8493803454333002#/reservations/598525710480?display=E1ENZ63Q&amp;reservation_id=598525710480", "E1ENZ63Q")</f>
        <v>E1ENZ63Q</v>
      </c>
      <c r="D1801" t="s">
        <v>45</v>
      </c>
      <c r="E1801" t="s">
        <v>487</v>
      </c>
      <c r="F1801" t="s">
        <v>61</v>
      </c>
      <c r="G1801" t="s">
        <v>48</v>
      </c>
      <c r="H1801" t="s">
        <v>49</v>
      </c>
      <c r="I1801" t="s">
        <v>50</v>
      </c>
      <c r="J1801" t="s">
        <v>387</v>
      </c>
      <c r="K1801" t="s">
        <v>388</v>
      </c>
      <c r="L1801" t="s">
        <v>53</v>
      </c>
      <c r="N1801" t="s">
        <v>2984</v>
      </c>
      <c r="P1801" t="s">
        <v>55</v>
      </c>
      <c r="R1801" t="s">
        <v>56</v>
      </c>
      <c r="T1801" t="s">
        <v>2974</v>
      </c>
      <c r="U1801" t="s">
        <v>58</v>
      </c>
      <c r="V1801">
        <v>1</v>
      </c>
      <c r="W1801">
        <v>1</v>
      </c>
      <c r="X1801">
        <v>1</v>
      </c>
      <c r="Y1801">
        <v>0</v>
      </c>
      <c r="Z1801">
        <v>1</v>
      </c>
      <c r="AA1801">
        <v>0</v>
      </c>
      <c r="AB1801">
        <v>172.86</v>
      </c>
      <c r="AC1801">
        <v>152.1</v>
      </c>
      <c r="AD1801">
        <v>0</v>
      </c>
      <c r="AE1801">
        <v>20.76</v>
      </c>
      <c r="AF1801">
        <v>0</v>
      </c>
      <c r="AG1801">
        <v>0</v>
      </c>
      <c r="AH1801">
        <v>0</v>
      </c>
      <c r="AI1801">
        <v>31.11</v>
      </c>
      <c r="AJ1801">
        <v>172.86</v>
      </c>
      <c r="AK1801">
        <v>0</v>
      </c>
      <c r="AL1801" t="s">
        <v>53</v>
      </c>
      <c r="AM1801" t="s">
        <v>53</v>
      </c>
      <c r="AN1801" t="s">
        <v>59</v>
      </c>
      <c r="AO1801" t="s">
        <v>53</v>
      </c>
      <c r="AP1801" t="s">
        <v>53</v>
      </c>
    </row>
    <row r="1802" spans="2:42" x14ac:dyDescent="0.2">
      <c r="B1802" t="s">
        <v>44</v>
      </c>
      <c r="C1802" t="str">
        <f>HYPERLINK("https://us2.cloudbeds.com/connect/8493803454333002#/reservations/598577803480?display=E1G1YZZX&amp;reservation_id=598577803480", "E1G1YZZX")</f>
        <v>E1G1YZZX</v>
      </c>
      <c r="D1802" t="s">
        <v>45</v>
      </c>
      <c r="E1802" t="s">
        <v>165</v>
      </c>
      <c r="F1802" t="s">
        <v>61</v>
      </c>
      <c r="G1802" t="s">
        <v>48</v>
      </c>
      <c r="H1802" t="s">
        <v>49</v>
      </c>
      <c r="I1802" t="s">
        <v>50</v>
      </c>
      <c r="J1802" t="s">
        <v>215</v>
      </c>
      <c r="K1802" t="s">
        <v>1633</v>
      </c>
      <c r="L1802" t="s">
        <v>53</v>
      </c>
      <c r="N1802" t="s">
        <v>2985</v>
      </c>
      <c r="P1802" t="s">
        <v>55</v>
      </c>
      <c r="R1802" t="s">
        <v>56</v>
      </c>
      <c r="T1802" t="s">
        <v>2974</v>
      </c>
      <c r="U1802" t="s">
        <v>58</v>
      </c>
      <c r="V1802">
        <v>3</v>
      </c>
      <c r="W1802">
        <v>1</v>
      </c>
      <c r="X1802">
        <v>1</v>
      </c>
      <c r="Y1802">
        <v>0</v>
      </c>
      <c r="Z1802">
        <v>1</v>
      </c>
      <c r="AA1802">
        <v>0</v>
      </c>
      <c r="AB1802">
        <v>510.4</v>
      </c>
      <c r="AC1802">
        <v>449.1</v>
      </c>
      <c r="AD1802">
        <v>0</v>
      </c>
      <c r="AE1802">
        <v>61.29</v>
      </c>
      <c r="AF1802">
        <v>0</v>
      </c>
      <c r="AG1802">
        <v>0</v>
      </c>
      <c r="AH1802">
        <v>0</v>
      </c>
      <c r="AI1802">
        <v>91.87</v>
      </c>
      <c r="AJ1802">
        <v>510.39</v>
      </c>
      <c r="AK1802">
        <v>-0.01</v>
      </c>
      <c r="AL1802" t="s">
        <v>53</v>
      </c>
      <c r="AM1802" t="s">
        <v>53</v>
      </c>
      <c r="AN1802" t="s">
        <v>252</v>
      </c>
      <c r="AO1802" t="s">
        <v>53</v>
      </c>
      <c r="AP1802" t="s">
        <v>53</v>
      </c>
    </row>
    <row r="1803" spans="2:42" x14ac:dyDescent="0.2">
      <c r="B1803" t="s">
        <v>44</v>
      </c>
      <c r="C1803" t="str">
        <f>HYPERLINK("https://us2.cloudbeds.com/connect/8493803454333002#/reservations/598206550179?display=E16XK2KH&amp;reservation_id=598206550179", "E16XK2KH")</f>
        <v>E16XK2KH</v>
      </c>
      <c r="D1803" t="s">
        <v>45</v>
      </c>
      <c r="E1803" t="s">
        <v>265</v>
      </c>
      <c r="F1803" t="s">
        <v>61</v>
      </c>
      <c r="G1803" t="s">
        <v>48</v>
      </c>
      <c r="H1803" t="s">
        <v>49</v>
      </c>
      <c r="I1803" t="s">
        <v>79</v>
      </c>
      <c r="J1803" t="s">
        <v>180</v>
      </c>
      <c r="K1803" t="s">
        <v>181</v>
      </c>
      <c r="L1803" t="s">
        <v>53</v>
      </c>
      <c r="N1803" t="s">
        <v>2986</v>
      </c>
      <c r="P1803" t="s">
        <v>55</v>
      </c>
      <c r="R1803" t="s">
        <v>56</v>
      </c>
      <c r="T1803" t="s">
        <v>2974</v>
      </c>
      <c r="U1803" t="s">
        <v>58</v>
      </c>
      <c r="V1803">
        <v>1</v>
      </c>
      <c r="W1803">
        <v>1</v>
      </c>
      <c r="X1803">
        <v>1</v>
      </c>
      <c r="Y1803">
        <v>0</v>
      </c>
      <c r="Z1803">
        <v>1</v>
      </c>
      <c r="AA1803">
        <v>0</v>
      </c>
      <c r="AB1803">
        <v>168.77</v>
      </c>
      <c r="AC1803">
        <v>148.5</v>
      </c>
      <c r="AD1803">
        <v>0</v>
      </c>
      <c r="AE1803">
        <v>20.28</v>
      </c>
      <c r="AF1803">
        <v>0</v>
      </c>
      <c r="AG1803">
        <v>0</v>
      </c>
      <c r="AH1803">
        <v>0</v>
      </c>
      <c r="AI1803">
        <v>0</v>
      </c>
      <c r="AJ1803">
        <v>168.78</v>
      </c>
      <c r="AK1803">
        <v>0.01</v>
      </c>
      <c r="AL1803" t="s">
        <v>53</v>
      </c>
      <c r="AM1803" t="s">
        <v>53</v>
      </c>
      <c r="AN1803" t="s">
        <v>245</v>
      </c>
      <c r="AO1803" t="s">
        <v>53</v>
      </c>
      <c r="AP1803" t="s">
        <v>53</v>
      </c>
    </row>
    <row r="1804" spans="2:42" x14ac:dyDescent="0.2">
      <c r="B1804" t="s">
        <v>44</v>
      </c>
      <c r="C1804" t="str">
        <f>HYPERLINK("https://us2.cloudbeds.com/connect/8493803454333002#/reservations/598600896641?display=E1GY4BJA&amp;reservation_id=598600896641", "E1GY4BJA")</f>
        <v>E1GY4BJA</v>
      </c>
      <c r="D1804" t="s">
        <v>45</v>
      </c>
      <c r="E1804" t="s">
        <v>406</v>
      </c>
      <c r="F1804" t="s">
        <v>61</v>
      </c>
      <c r="G1804" t="s">
        <v>48</v>
      </c>
      <c r="H1804" t="s">
        <v>49</v>
      </c>
      <c r="I1804" t="s">
        <v>266</v>
      </c>
      <c r="J1804" t="s">
        <v>1568</v>
      </c>
      <c r="K1804" t="s">
        <v>93</v>
      </c>
      <c r="L1804" t="s">
        <v>53</v>
      </c>
      <c r="N1804" t="s">
        <v>2987</v>
      </c>
      <c r="P1804" t="s">
        <v>55</v>
      </c>
      <c r="R1804" t="s">
        <v>56</v>
      </c>
      <c r="T1804" t="s">
        <v>2974</v>
      </c>
      <c r="U1804" t="s">
        <v>58</v>
      </c>
      <c r="V1804">
        <v>1</v>
      </c>
      <c r="W1804">
        <v>1</v>
      </c>
      <c r="X1804">
        <v>1</v>
      </c>
      <c r="Y1804">
        <v>0</v>
      </c>
      <c r="Z1804">
        <v>1</v>
      </c>
      <c r="AA1804">
        <v>0</v>
      </c>
      <c r="AB1804">
        <v>173.88</v>
      </c>
      <c r="AC1804">
        <v>153</v>
      </c>
      <c r="AD1804">
        <v>0</v>
      </c>
      <c r="AE1804">
        <v>20.89</v>
      </c>
      <c r="AF1804">
        <v>0</v>
      </c>
      <c r="AG1804">
        <v>0</v>
      </c>
      <c r="AH1804">
        <v>0</v>
      </c>
      <c r="AI1804">
        <v>0</v>
      </c>
      <c r="AJ1804">
        <v>173.89</v>
      </c>
      <c r="AK1804">
        <v>0.01</v>
      </c>
      <c r="AL1804" t="s">
        <v>53</v>
      </c>
      <c r="AM1804" t="s">
        <v>53</v>
      </c>
      <c r="AN1804" t="s">
        <v>112</v>
      </c>
      <c r="AO1804" t="s">
        <v>53</v>
      </c>
      <c r="AP1804" t="s">
        <v>53</v>
      </c>
    </row>
    <row r="1805" spans="2:42" x14ac:dyDescent="0.2">
      <c r="B1805" t="s">
        <v>44</v>
      </c>
      <c r="C1805" t="str">
        <f>HYPERLINK("https://us2.cloudbeds.com/connect/8493803454333002#/reservations/598454436003?display=E1CTKSY5&amp;reservation_id=598454436003", "E1CTKSY5")</f>
        <v>E1CTKSY5</v>
      </c>
      <c r="D1805" t="s">
        <v>45</v>
      </c>
      <c r="E1805" t="s">
        <v>110</v>
      </c>
      <c r="F1805" t="s">
        <v>47</v>
      </c>
      <c r="G1805" t="s">
        <v>48</v>
      </c>
      <c r="H1805" t="s">
        <v>49</v>
      </c>
      <c r="I1805" t="s">
        <v>79</v>
      </c>
      <c r="J1805" t="s">
        <v>215</v>
      </c>
      <c r="K1805" t="s">
        <v>446</v>
      </c>
      <c r="L1805" t="s">
        <v>53</v>
      </c>
      <c r="N1805" t="s">
        <v>2988</v>
      </c>
      <c r="P1805" t="s">
        <v>55</v>
      </c>
      <c r="R1805" t="s">
        <v>56</v>
      </c>
      <c r="T1805" t="s">
        <v>2974</v>
      </c>
      <c r="U1805" t="s">
        <v>58</v>
      </c>
      <c r="V1805">
        <v>1</v>
      </c>
      <c r="W1805">
        <v>1</v>
      </c>
      <c r="X1805">
        <v>1</v>
      </c>
      <c r="Y1805">
        <v>0</v>
      </c>
      <c r="Z1805">
        <v>1</v>
      </c>
      <c r="AA1805">
        <v>0</v>
      </c>
      <c r="AB1805">
        <v>155.97999999999999</v>
      </c>
      <c r="AC1805">
        <v>137.25</v>
      </c>
      <c r="AD1805">
        <v>0</v>
      </c>
      <c r="AE1805">
        <v>18.739999999999998</v>
      </c>
      <c r="AF1805">
        <v>0</v>
      </c>
      <c r="AG1805">
        <v>0</v>
      </c>
      <c r="AH1805">
        <v>0</v>
      </c>
      <c r="AI1805">
        <v>0</v>
      </c>
      <c r="AJ1805">
        <v>155.99</v>
      </c>
      <c r="AK1805">
        <v>0.01</v>
      </c>
      <c r="AL1805" t="s">
        <v>53</v>
      </c>
      <c r="AM1805" t="s">
        <v>53</v>
      </c>
      <c r="AN1805" t="s">
        <v>245</v>
      </c>
      <c r="AO1805" t="s">
        <v>53</v>
      </c>
      <c r="AP1805" t="s">
        <v>53</v>
      </c>
    </row>
    <row r="1806" spans="2:42" x14ac:dyDescent="0.2">
      <c r="B1806" t="s">
        <v>44</v>
      </c>
      <c r="C1806" t="str">
        <f>HYPERLINK("https://us2.cloudbeds.com/connect/8493803454333002#/reservations/598336213189?display=E19SV4ZY&amp;reservation_id=598336213189", "E19SV4ZY")</f>
        <v>E19SV4ZY</v>
      </c>
      <c r="D1806" t="s">
        <v>45</v>
      </c>
      <c r="E1806" t="s">
        <v>165</v>
      </c>
      <c r="F1806" t="s">
        <v>61</v>
      </c>
      <c r="G1806" t="s">
        <v>48</v>
      </c>
      <c r="H1806" t="s">
        <v>49</v>
      </c>
      <c r="I1806" t="s">
        <v>79</v>
      </c>
      <c r="J1806" t="s">
        <v>237</v>
      </c>
      <c r="K1806" t="s">
        <v>1480</v>
      </c>
      <c r="L1806" t="s">
        <v>53</v>
      </c>
      <c r="N1806" t="s">
        <v>2989</v>
      </c>
      <c r="P1806" t="s">
        <v>55</v>
      </c>
      <c r="R1806" t="s">
        <v>56</v>
      </c>
      <c r="T1806" t="s">
        <v>2974</v>
      </c>
      <c r="U1806" t="s">
        <v>58</v>
      </c>
      <c r="V1806">
        <v>2</v>
      </c>
      <c r="W1806">
        <v>1</v>
      </c>
      <c r="X1806">
        <v>1</v>
      </c>
      <c r="Y1806">
        <v>0</v>
      </c>
      <c r="Z1806">
        <v>1</v>
      </c>
      <c r="AA1806">
        <v>0</v>
      </c>
      <c r="AB1806">
        <v>328.33</v>
      </c>
      <c r="AC1806">
        <v>288.89999999999998</v>
      </c>
      <c r="AD1806">
        <v>0</v>
      </c>
      <c r="AE1806">
        <v>39.44</v>
      </c>
      <c r="AF1806">
        <v>0</v>
      </c>
      <c r="AG1806">
        <v>0</v>
      </c>
      <c r="AH1806">
        <v>0</v>
      </c>
      <c r="AI1806">
        <v>0</v>
      </c>
      <c r="AJ1806">
        <v>328.34</v>
      </c>
      <c r="AK1806">
        <v>0.01</v>
      </c>
      <c r="AL1806" t="s">
        <v>53</v>
      </c>
      <c r="AM1806" t="s">
        <v>53</v>
      </c>
      <c r="AN1806" t="s">
        <v>97</v>
      </c>
      <c r="AO1806" t="s">
        <v>53</v>
      </c>
      <c r="AP1806" t="s">
        <v>53</v>
      </c>
    </row>
    <row r="1807" spans="2:42" x14ac:dyDescent="0.2">
      <c r="B1807" t="s">
        <v>44</v>
      </c>
      <c r="C1807" t="str">
        <f>HYPERLINK("https://us2.cloudbeds.com/connect/8493803454333002#/reservations/598312747253?display=E19955JM&amp;reservation_id=598312747253", "E19955JM")</f>
        <v>E19955JM</v>
      </c>
      <c r="D1807" t="s">
        <v>45</v>
      </c>
      <c r="E1807" t="s">
        <v>113</v>
      </c>
      <c r="F1807" t="s">
        <v>61</v>
      </c>
      <c r="G1807" t="s">
        <v>48</v>
      </c>
      <c r="H1807" t="s">
        <v>49</v>
      </c>
      <c r="I1807" t="s">
        <v>79</v>
      </c>
      <c r="J1807" t="s">
        <v>237</v>
      </c>
      <c r="K1807" t="s">
        <v>1480</v>
      </c>
      <c r="L1807" t="s">
        <v>53</v>
      </c>
      <c r="N1807" t="s">
        <v>2990</v>
      </c>
      <c r="P1807" t="s">
        <v>55</v>
      </c>
      <c r="R1807" t="s">
        <v>56</v>
      </c>
      <c r="T1807" t="s">
        <v>2974</v>
      </c>
      <c r="U1807" t="s">
        <v>58</v>
      </c>
      <c r="V1807">
        <v>2</v>
      </c>
      <c r="W1807">
        <v>1</v>
      </c>
      <c r="X1807">
        <v>1</v>
      </c>
      <c r="Y1807">
        <v>0</v>
      </c>
      <c r="Z1807">
        <v>1</v>
      </c>
      <c r="AA1807">
        <v>0</v>
      </c>
      <c r="AB1807">
        <v>328.33</v>
      </c>
      <c r="AC1807">
        <v>288.89999999999998</v>
      </c>
      <c r="AD1807">
        <v>0</v>
      </c>
      <c r="AE1807">
        <v>39.44</v>
      </c>
      <c r="AF1807">
        <v>0</v>
      </c>
      <c r="AG1807">
        <v>0</v>
      </c>
      <c r="AH1807">
        <v>0</v>
      </c>
      <c r="AI1807">
        <v>0</v>
      </c>
      <c r="AJ1807">
        <v>328.34</v>
      </c>
      <c r="AK1807">
        <v>0.01</v>
      </c>
      <c r="AL1807" t="s">
        <v>53</v>
      </c>
      <c r="AM1807" t="s">
        <v>53</v>
      </c>
      <c r="AN1807" t="s">
        <v>252</v>
      </c>
      <c r="AO1807" t="s">
        <v>53</v>
      </c>
      <c r="AP1807" t="s">
        <v>53</v>
      </c>
    </row>
    <row r="1808" spans="2:42" x14ac:dyDescent="0.2">
      <c r="B1808" t="s">
        <v>44</v>
      </c>
      <c r="C1808" t="str">
        <f>HYPERLINK("https://us2.cloudbeds.com/connect/8493803454333002#/reservations/598573912194?display=E1FVCFFP&amp;reservation_id=598573912194", "E1FVCFFP")</f>
        <v>E1FVCFFP</v>
      </c>
      <c r="D1808" t="s">
        <v>45</v>
      </c>
      <c r="E1808" t="s">
        <v>78</v>
      </c>
      <c r="F1808" t="s">
        <v>61</v>
      </c>
      <c r="G1808" t="s">
        <v>48</v>
      </c>
      <c r="H1808" t="s">
        <v>49</v>
      </c>
      <c r="I1808" t="s">
        <v>50</v>
      </c>
      <c r="J1808" t="s">
        <v>1568</v>
      </c>
      <c r="K1808" t="s">
        <v>93</v>
      </c>
      <c r="L1808" t="s">
        <v>53</v>
      </c>
      <c r="N1808" t="s">
        <v>2991</v>
      </c>
      <c r="P1808" t="s">
        <v>55</v>
      </c>
      <c r="R1808" t="s">
        <v>56</v>
      </c>
      <c r="T1808" t="s">
        <v>2974</v>
      </c>
      <c r="U1808" t="s">
        <v>58</v>
      </c>
      <c r="V1808">
        <v>1</v>
      </c>
      <c r="W1808">
        <v>1</v>
      </c>
      <c r="X1808">
        <v>1</v>
      </c>
      <c r="Y1808">
        <v>0</v>
      </c>
      <c r="Z1808">
        <v>1</v>
      </c>
      <c r="AA1808">
        <v>0</v>
      </c>
      <c r="AB1808">
        <v>173.88</v>
      </c>
      <c r="AC1808">
        <v>153</v>
      </c>
      <c r="AD1808">
        <v>0</v>
      </c>
      <c r="AE1808">
        <v>20.89</v>
      </c>
      <c r="AF1808">
        <v>0</v>
      </c>
      <c r="AG1808">
        <v>0</v>
      </c>
      <c r="AH1808">
        <v>0</v>
      </c>
      <c r="AI1808">
        <v>31.3</v>
      </c>
      <c r="AJ1808">
        <v>173.89</v>
      </c>
      <c r="AK1808">
        <v>0.01</v>
      </c>
      <c r="AL1808" t="s">
        <v>53</v>
      </c>
      <c r="AM1808" t="s">
        <v>53</v>
      </c>
      <c r="AN1808" t="s">
        <v>112</v>
      </c>
      <c r="AO1808" t="s">
        <v>53</v>
      </c>
      <c r="AP1808" t="s">
        <v>53</v>
      </c>
    </row>
    <row r="1809" spans="2:42" x14ac:dyDescent="0.2">
      <c r="B1809" t="s">
        <v>44</v>
      </c>
      <c r="C1809" t="str">
        <f>HYPERLINK("https://us2.cloudbeds.com/connect/8493803454333002#/reservations/598521675967?display=E1EKAUAR&amp;reservation_id=598521675967", "E1EKAUAR")</f>
        <v>E1EKAUAR</v>
      </c>
      <c r="D1809" t="s">
        <v>45</v>
      </c>
      <c r="E1809" t="s">
        <v>110</v>
      </c>
      <c r="F1809" t="s">
        <v>47</v>
      </c>
      <c r="G1809" t="s">
        <v>48</v>
      </c>
      <c r="H1809" t="s">
        <v>49</v>
      </c>
      <c r="I1809" t="s">
        <v>79</v>
      </c>
      <c r="J1809" t="s">
        <v>388</v>
      </c>
      <c r="K1809" t="s">
        <v>215</v>
      </c>
      <c r="L1809" t="s">
        <v>53</v>
      </c>
      <c r="N1809" t="s">
        <v>2992</v>
      </c>
      <c r="P1809" t="s">
        <v>55</v>
      </c>
      <c r="R1809" t="s">
        <v>56</v>
      </c>
      <c r="T1809" t="s">
        <v>2974</v>
      </c>
      <c r="U1809" t="s">
        <v>58</v>
      </c>
      <c r="V1809">
        <v>3</v>
      </c>
      <c r="W1809">
        <v>1</v>
      </c>
      <c r="X1809">
        <v>1</v>
      </c>
      <c r="Y1809">
        <v>0</v>
      </c>
      <c r="Z1809">
        <v>1</v>
      </c>
      <c r="AA1809">
        <v>0</v>
      </c>
      <c r="AB1809">
        <v>467.95</v>
      </c>
      <c r="AC1809">
        <v>411.75</v>
      </c>
      <c r="AD1809">
        <v>0</v>
      </c>
      <c r="AE1809">
        <v>56.22</v>
      </c>
      <c r="AF1809">
        <v>0</v>
      </c>
      <c r="AG1809">
        <v>0</v>
      </c>
      <c r="AH1809">
        <v>0</v>
      </c>
      <c r="AI1809">
        <v>0</v>
      </c>
      <c r="AJ1809">
        <v>467.97</v>
      </c>
      <c r="AK1809">
        <v>0.02</v>
      </c>
      <c r="AL1809" t="s">
        <v>53</v>
      </c>
      <c r="AM1809" t="s">
        <v>53</v>
      </c>
      <c r="AN1809" t="s">
        <v>112</v>
      </c>
      <c r="AO1809" t="s">
        <v>53</v>
      </c>
      <c r="AP1809" t="s">
        <v>53</v>
      </c>
    </row>
    <row r="1810" spans="2:42" x14ac:dyDescent="0.2">
      <c r="B1810" t="s">
        <v>44</v>
      </c>
      <c r="C1810" t="str">
        <f>HYPERLINK("https://us2.cloudbeds.com/connect/8493803454333002#/reservations/598548201631?display=E1F9N14R&amp;reservation_id=598548201631", "E1F9N14R")</f>
        <v>E1F9N14R</v>
      </c>
      <c r="D1810" t="s">
        <v>45</v>
      </c>
      <c r="E1810" t="s">
        <v>223</v>
      </c>
      <c r="F1810" t="s">
        <v>47</v>
      </c>
      <c r="G1810" t="s">
        <v>48</v>
      </c>
      <c r="H1810" t="s">
        <v>71</v>
      </c>
      <c r="I1810" t="s">
        <v>72</v>
      </c>
      <c r="J1810" t="s">
        <v>341</v>
      </c>
      <c r="K1810" t="s">
        <v>129</v>
      </c>
      <c r="L1810" t="s">
        <v>53</v>
      </c>
      <c r="N1810" t="s">
        <v>2993</v>
      </c>
      <c r="P1810" t="s">
        <v>58</v>
      </c>
      <c r="R1810" t="s">
        <v>56</v>
      </c>
      <c r="T1810" t="s">
        <v>2974</v>
      </c>
      <c r="U1810" t="s">
        <v>58</v>
      </c>
      <c r="V1810">
        <v>1</v>
      </c>
      <c r="W1810">
        <v>1</v>
      </c>
      <c r="X1810">
        <v>1</v>
      </c>
      <c r="Y1810">
        <v>0</v>
      </c>
      <c r="Z1810">
        <v>1</v>
      </c>
      <c r="AA1810">
        <v>0</v>
      </c>
      <c r="AB1810">
        <v>168.2</v>
      </c>
      <c r="AC1810">
        <v>148</v>
      </c>
      <c r="AD1810">
        <v>0</v>
      </c>
      <c r="AE1810">
        <v>20.2</v>
      </c>
      <c r="AF1810">
        <v>0</v>
      </c>
      <c r="AG1810">
        <v>0</v>
      </c>
      <c r="AH1810">
        <v>0</v>
      </c>
      <c r="AI1810">
        <v>0</v>
      </c>
      <c r="AJ1810">
        <v>168.2</v>
      </c>
      <c r="AK1810">
        <v>0</v>
      </c>
      <c r="AL1810" t="s">
        <v>53</v>
      </c>
      <c r="AM1810" t="s">
        <v>53</v>
      </c>
      <c r="AN1810" t="s">
        <v>378</v>
      </c>
      <c r="AO1810" t="s">
        <v>53</v>
      </c>
      <c r="AP1810" t="s">
        <v>53</v>
      </c>
    </row>
    <row r="1811" spans="2:42" x14ac:dyDescent="0.2">
      <c r="B1811" t="s">
        <v>44</v>
      </c>
      <c r="C1811" t="str">
        <f>HYPERLINK("https://us2.cloudbeds.com/connect/8493803454333002#/reservations/598578188455?display=E1G1WF8F&amp;reservation_id=598578188455", "E1G1WF8F")</f>
        <v>E1G1WF8F</v>
      </c>
      <c r="D1811" t="s">
        <v>45</v>
      </c>
      <c r="E1811" t="s">
        <v>138</v>
      </c>
      <c r="F1811" t="s">
        <v>70</v>
      </c>
      <c r="G1811" t="s">
        <v>48</v>
      </c>
      <c r="H1811" t="s">
        <v>49</v>
      </c>
      <c r="I1811" t="s">
        <v>50</v>
      </c>
      <c r="J1811" t="s">
        <v>130</v>
      </c>
      <c r="K1811" t="s">
        <v>87</v>
      </c>
      <c r="L1811" t="s">
        <v>53</v>
      </c>
      <c r="N1811" t="s">
        <v>2994</v>
      </c>
      <c r="P1811" t="s">
        <v>55</v>
      </c>
      <c r="R1811" t="s">
        <v>56</v>
      </c>
      <c r="T1811" t="s">
        <v>2995</v>
      </c>
      <c r="U1811" t="s">
        <v>58</v>
      </c>
      <c r="V1811">
        <v>1</v>
      </c>
      <c r="W1811">
        <v>1</v>
      </c>
      <c r="X1811">
        <v>1</v>
      </c>
      <c r="Y1811">
        <v>0</v>
      </c>
      <c r="Z1811">
        <v>1</v>
      </c>
      <c r="AA1811">
        <v>0</v>
      </c>
      <c r="AB1811">
        <v>148.31</v>
      </c>
      <c r="AC1811">
        <v>130.5</v>
      </c>
      <c r="AD1811">
        <v>0</v>
      </c>
      <c r="AE1811">
        <v>17.809999999999999</v>
      </c>
      <c r="AF1811">
        <v>0</v>
      </c>
      <c r="AG1811">
        <v>0</v>
      </c>
      <c r="AH1811">
        <v>0</v>
      </c>
      <c r="AI1811">
        <v>26.7</v>
      </c>
      <c r="AJ1811">
        <v>148.31</v>
      </c>
      <c r="AK1811">
        <v>0</v>
      </c>
      <c r="AL1811" t="s">
        <v>53</v>
      </c>
      <c r="AM1811" t="s">
        <v>53</v>
      </c>
      <c r="AN1811" t="s">
        <v>225</v>
      </c>
      <c r="AO1811" t="s">
        <v>53</v>
      </c>
      <c r="AP1811" t="s">
        <v>53</v>
      </c>
    </row>
    <row r="1812" spans="2:42" x14ac:dyDescent="0.2">
      <c r="B1812" t="s">
        <v>44</v>
      </c>
      <c r="C1812" t="str">
        <f>HYPERLINK("https://us2.cloudbeds.com/connect/8493803454333002#/reservations/598370226308?display=E1AZKK37&amp;reservation_id=598370226308", "E1AZKK37")</f>
        <v>E1AZKK37</v>
      </c>
      <c r="D1812" t="s">
        <v>45</v>
      </c>
      <c r="E1812" t="s">
        <v>265</v>
      </c>
      <c r="F1812" t="s">
        <v>61</v>
      </c>
      <c r="G1812" t="s">
        <v>48</v>
      </c>
      <c r="H1812" t="s">
        <v>71</v>
      </c>
      <c r="I1812" t="s">
        <v>72</v>
      </c>
      <c r="J1812" t="s">
        <v>327</v>
      </c>
      <c r="K1812" t="s">
        <v>970</v>
      </c>
      <c r="L1812" t="s">
        <v>53</v>
      </c>
      <c r="N1812" t="s">
        <v>2996</v>
      </c>
      <c r="P1812" t="s">
        <v>55</v>
      </c>
      <c r="R1812" t="s">
        <v>56</v>
      </c>
      <c r="T1812" t="s">
        <v>2995</v>
      </c>
      <c r="U1812" t="s">
        <v>58</v>
      </c>
      <c r="V1812">
        <v>1</v>
      </c>
      <c r="W1812">
        <v>1</v>
      </c>
      <c r="X1812">
        <v>1</v>
      </c>
      <c r="Y1812">
        <v>0</v>
      </c>
      <c r="Z1812">
        <v>1</v>
      </c>
      <c r="AA1812">
        <v>0</v>
      </c>
      <c r="AB1812">
        <v>192.07</v>
      </c>
      <c r="AC1812">
        <v>169</v>
      </c>
      <c r="AD1812">
        <v>0</v>
      </c>
      <c r="AE1812">
        <v>23.07</v>
      </c>
      <c r="AF1812">
        <v>0</v>
      </c>
      <c r="AG1812">
        <v>0</v>
      </c>
      <c r="AH1812">
        <v>0</v>
      </c>
      <c r="AI1812">
        <v>0</v>
      </c>
      <c r="AJ1812">
        <v>192.07</v>
      </c>
      <c r="AK1812">
        <v>0</v>
      </c>
      <c r="AL1812" t="s">
        <v>53</v>
      </c>
      <c r="AM1812" t="s">
        <v>53</v>
      </c>
      <c r="AN1812" t="s">
        <v>2997</v>
      </c>
      <c r="AO1812" t="s">
        <v>53</v>
      </c>
      <c r="AP1812" t="s">
        <v>53</v>
      </c>
    </row>
    <row r="1813" spans="2:42" x14ac:dyDescent="0.2">
      <c r="B1813" t="s">
        <v>44</v>
      </c>
      <c r="C1813" t="str">
        <f>HYPERLINK("https://us2.cloudbeds.com/connect/8493803454333002#/reservations/598623015134?display=E1H6PRDM&amp;reservation_id=598623015134", "E1H6PRDM")</f>
        <v>E1H6PRDM</v>
      </c>
      <c r="D1813" t="s">
        <v>45</v>
      </c>
      <c r="E1813" t="s">
        <v>138</v>
      </c>
      <c r="F1813" t="s">
        <v>70</v>
      </c>
      <c r="G1813" t="s">
        <v>48</v>
      </c>
      <c r="H1813" t="s">
        <v>49</v>
      </c>
      <c r="I1813" t="s">
        <v>50</v>
      </c>
      <c r="J1813" t="s">
        <v>525</v>
      </c>
      <c r="K1813" t="s">
        <v>768</v>
      </c>
      <c r="L1813" t="s">
        <v>53</v>
      </c>
      <c r="N1813" t="s">
        <v>2998</v>
      </c>
      <c r="P1813" t="s">
        <v>55</v>
      </c>
      <c r="R1813" t="s">
        <v>56</v>
      </c>
      <c r="T1813" t="s">
        <v>2995</v>
      </c>
      <c r="U1813" t="s">
        <v>58</v>
      </c>
      <c r="V1813">
        <v>2</v>
      </c>
      <c r="W1813">
        <v>1</v>
      </c>
      <c r="X1813">
        <v>1</v>
      </c>
      <c r="Y1813">
        <v>0</v>
      </c>
      <c r="Z1813">
        <v>1</v>
      </c>
      <c r="AA1813">
        <v>0</v>
      </c>
      <c r="AB1813">
        <v>296.63</v>
      </c>
      <c r="AC1813">
        <v>261</v>
      </c>
      <c r="AD1813">
        <v>0</v>
      </c>
      <c r="AE1813">
        <v>35.619999999999997</v>
      </c>
      <c r="AF1813">
        <v>0</v>
      </c>
      <c r="AG1813">
        <v>0</v>
      </c>
      <c r="AH1813">
        <v>0</v>
      </c>
      <c r="AI1813">
        <v>53.39</v>
      </c>
      <c r="AJ1813">
        <v>296.62</v>
      </c>
      <c r="AK1813">
        <v>-0.01</v>
      </c>
      <c r="AL1813" t="s">
        <v>53</v>
      </c>
      <c r="AM1813" t="s">
        <v>53</v>
      </c>
      <c r="AN1813" t="s">
        <v>146</v>
      </c>
      <c r="AO1813" t="s">
        <v>53</v>
      </c>
      <c r="AP1813" t="s">
        <v>53</v>
      </c>
    </row>
    <row r="1814" spans="2:42" x14ac:dyDescent="0.2">
      <c r="B1814" t="s">
        <v>44</v>
      </c>
      <c r="C1814" t="str">
        <f>HYPERLINK("https://us2.cloudbeds.com/connect/8493803454333002#/reservations/598579654825?display=E1G378PU&amp;reservation_id=598579654825", "E1G378PU")</f>
        <v>E1G378PU</v>
      </c>
      <c r="D1814" t="s">
        <v>45</v>
      </c>
      <c r="E1814" t="s">
        <v>406</v>
      </c>
      <c r="F1814" t="s">
        <v>61</v>
      </c>
      <c r="G1814" t="s">
        <v>48</v>
      </c>
      <c r="H1814" t="s">
        <v>49</v>
      </c>
      <c r="I1814" t="s">
        <v>50</v>
      </c>
      <c r="J1814" t="s">
        <v>129</v>
      </c>
      <c r="K1814" t="s">
        <v>426</v>
      </c>
      <c r="L1814" t="s">
        <v>53</v>
      </c>
      <c r="N1814" t="s">
        <v>2999</v>
      </c>
      <c r="P1814" t="s">
        <v>55</v>
      </c>
      <c r="R1814" t="s">
        <v>56</v>
      </c>
      <c r="T1814" t="s">
        <v>2995</v>
      </c>
      <c r="U1814" t="s">
        <v>58</v>
      </c>
      <c r="V1814">
        <v>1</v>
      </c>
      <c r="W1814">
        <v>1</v>
      </c>
      <c r="X1814">
        <v>1</v>
      </c>
      <c r="Y1814">
        <v>0</v>
      </c>
      <c r="Z1814">
        <v>1</v>
      </c>
      <c r="AA1814">
        <v>0</v>
      </c>
      <c r="AB1814">
        <v>165.7</v>
      </c>
      <c r="AC1814">
        <v>145.80000000000001</v>
      </c>
      <c r="AD1814">
        <v>0</v>
      </c>
      <c r="AE1814">
        <v>19.899999999999999</v>
      </c>
      <c r="AF1814">
        <v>0</v>
      </c>
      <c r="AG1814">
        <v>0</v>
      </c>
      <c r="AH1814">
        <v>0</v>
      </c>
      <c r="AI1814">
        <v>29.83</v>
      </c>
      <c r="AJ1814">
        <v>165.7</v>
      </c>
      <c r="AK1814">
        <v>0</v>
      </c>
      <c r="AL1814" t="s">
        <v>53</v>
      </c>
      <c r="AM1814" t="s">
        <v>53</v>
      </c>
      <c r="AN1814" t="s">
        <v>137</v>
      </c>
      <c r="AO1814" t="s">
        <v>53</v>
      </c>
      <c r="AP1814" t="s">
        <v>53</v>
      </c>
    </row>
    <row r="1815" spans="2:42" x14ac:dyDescent="0.2">
      <c r="B1815" t="s">
        <v>44</v>
      </c>
      <c r="C1815" t="str">
        <f>HYPERLINK("https://us2.cloudbeds.com/connect/8493803454333002#/reservations/579386335448?display=DJKYTSE6&amp;reservation_id=579386335448", "DJKYTSE6")</f>
        <v>DJKYTSE6</v>
      </c>
      <c r="D1815" t="s">
        <v>45</v>
      </c>
      <c r="E1815" t="s">
        <v>381</v>
      </c>
      <c r="F1815" t="s">
        <v>47</v>
      </c>
      <c r="G1815" t="s">
        <v>48</v>
      </c>
      <c r="H1815" t="s">
        <v>49</v>
      </c>
      <c r="I1815" t="s">
        <v>62</v>
      </c>
      <c r="J1815" t="s">
        <v>3000</v>
      </c>
      <c r="K1815" t="s">
        <v>1336</v>
      </c>
      <c r="L1815" t="s">
        <v>53</v>
      </c>
      <c r="N1815" t="s">
        <v>3001</v>
      </c>
      <c r="P1815" t="s">
        <v>55</v>
      </c>
      <c r="R1815" t="s">
        <v>56</v>
      </c>
      <c r="T1815" t="s">
        <v>2995</v>
      </c>
      <c r="U1815" t="s">
        <v>58</v>
      </c>
      <c r="V1815">
        <v>3</v>
      </c>
      <c r="W1815">
        <v>1</v>
      </c>
      <c r="X1815">
        <v>1</v>
      </c>
      <c r="Y1815">
        <v>0</v>
      </c>
      <c r="Z1815">
        <v>1</v>
      </c>
      <c r="AA1815">
        <v>0</v>
      </c>
      <c r="AB1815">
        <v>392.13</v>
      </c>
      <c r="AC1815">
        <v>345</v>
      </c>
      <c r="AD1815">
        <v>0</v>
      </c>
      <c r="AE1815">
        <v>47.13</v>
      </c>
      <c r="AF1815">
        <v>0</v>
      </c>
      <c r="AG1815">
        <v>0</v>
      </c>
      <c r="AH1815">
        <v>0</v>
      </c>
      <c r="AI1815">
        <v>58.82</v>
      </c>
      <c r="AJ1815">
        <v>392.13</v>
      </c>
      <c r="AK1815">
        <v>0</v>
      </c>
      <c r="AL1815" t="s">
        <v>53</v>
      </c>
      <c r="AM1815" t="s">
        <v>53</v>
      </c>
      <c r="AN1815" t="s">
        <v>3002</v>
      </c>
      <c r="AO1815" t="s">
        <v>53</v>
      </c>
      <c r="AP1815" t="s">
        <v>53</v>
      </c>
    </row>
    <row r="1816" spans="2:42" x14ac:dyDescent="0.2">
      <c r="B1816" t="s">
        <v>44</v>
      </c>
      <c r="C1816" t="str">
        <f>HYPERLINK("https://us2.cloudbeds.com/connect/8493803454333002#/reservations/598467281055?display=E1D7F9U5&amp;reservation_id=598467281055", "E1D7F9U5")</f>
        <v>E1D7F9U5</v>
      </c>
      <c r="D1816" t="s">
        <v>45</v>
      </c>
      <c r="E1816" t="s">
        <v>190</v>
      </c>
      <c r="F1816" t="s">
        <v>61</v>
      </c>
      <c r="G1816" t="s">
        <v>48</v>
      </c>
      <c r="H1816" t="s">
        <v>49</v>
      </c>
      <c r="I1816" t="s">
        <v>50</v>
      </c>
      <c r="J1816" t="s">
        <v>237</v>
      </c>
      <c r="K1816" t="s">
        <v>1568</v>
      </c>
      <c r="L1816" t="s">
        <v>53</v>
      </c>
      <c r="N1816" t="s">
        <v>3003</v>
      </c>
      <c r="P1816" t="s">
        <v>55</v>
      </c>
      <c r="R1816" t="s">
        <v>56</v>
      </c>
      <c r="T1816" t="s">
        <v>2995</v>
      </c>
      <c r="U1816" t="s">
        <v>58</v>
      </c>
      <c r="V1816">
        <v>6</v>
      </c>
      <c r="W1816">
        <v>1</v>
      </c>
      <c r="X1816">
        <v>1</v>
      </c>
      <c r="Y1816">
        <v>0</v>
      </c>
      <c r="Z1816">
        <v>1</v>
      </c>
      <c r="AA1816">
        <v>0</v>
      </c>
      <c r="AB1816">
        <v>999.32</v>
      </c>
      <c r="AC1816">
        <v>879.3</v>
      </c>
      <c r="AD1816">
        <v>0</v>
      </c>
      <c r="AE1816">
        <v>120</v>
      </c>
      <c r="AF1816">
        <v>0</v>
      </c>
      <c r="AG1816">
        <v>0</v>
      </c>
      <c r="AH1816">
        <v>0</v>
      </c>
      <c r="AI1816">
        <v>179.87</v>
      </c>
      <c r="AJ1816">
        <v>999.3</v>
      </c>
      <c r="AK1816">
        <v>-0.02</v>
      </c>
      <c r="AL1816" t="s">
        <v>53</v>
      </c>
      <c r="AM1816" t="s">
        <v>53</v>
      </c>
      <c r="AN1816" t="s">
        <v>3004</v>
      </c>
      <c r="AO1816" t="s">
        <v>53</v>
      </c>
      <c r="AP1816" t="s">
        <v>53</v>
      </c>
    </row>
    <row r="1817" spans="2:42" x14ac:dyDescent="0.2">
      <c r="B1817" t="s">
        <v>44</v>
      </c>
      <c r="C1817" t="str">
        <f>HYPERLINK("https://us2.cloudbeds.com/connect/8493803454333002#/reservations/598389280977?display=E1B7MRGD&amp;reservation_id=598389280977", "E1B7MRGD")</f>
        <v>E1B7MRGD</v>
      </c>
      <c r="D1817" t="s">
        <v>45</v>
      </c>
      <c r="E1817" t="s">
        <v>98</v>
      </c>
      <c r="F1817" t="s">
        <v>86</v>
      </c>
      <c r="G1817" t="s">
        <v>48</v>
      </c>
      <c r="H1817" t="s">
        <v>71</v>
      </c>
      <c r="I1817" t="s">
        <v>72</v>
      </c>
      <c r="J1817" t="s">
        <v>388</v>
      </c>
      <c r="K1817" t="s">
        <v>647</v>
      </c>
      <c r="L1817" t="s">
        <v>53</v>
      </c>
      <c r="N1817" t="s">
        <v>3005</v>
      </c>
      <c r="P1817" t="s">
        <v>55</v>
      </c>
      <c r="R1817" t="s">
        <v>56</v>
      </c>
      <c r="T1817" t="s">
        <v>2995</v>
      </c>
      <c r="U1817" t="s">
        <v>58</v>
      </c>
      <c r="V1817">
        <v>1</v>
      </c>
      <c r="W1817">
        <v>1</v>
      </c>
      <c r="X1817">
        <v>1</v>
      </c>
      <c r="Y1817">
        <v>0</v>
      </c>
      <c r="Z1817">
        <v>1</v>
      </c>
      <c r="AA1817">
        <v>0</v>
      </c>
      <c r="AB1817">
        <v>191.5</v>
      </c>
      <c r="AC1817">
        <v>168.5</v>
      </c>
      <c r="AD1817">
        <v>0</v>
      </c>
      <c r="AE1817">
        <v>23.01</v>
      </c>
      <c r="AF1817">
        <v>0</v>
      </c>
      <c r="AG1817">
        <v>0</v>
      </c>
      <c r="AH1817">
        <v>0</v>
      </c>
      <c r="AI1817">
        <v>0</v>
      </c>
      <c r="AJ1817">
        <v>191.51</v>
      </c>
      <c r="AK1817">
        <v>0.01</v>
      </c>
      <c r="AL1817" t="s">
        <v>53</v>
      </c>
      <c r="AM1817" t="s">
        <v>53</v>
      </c>
      <c r="AN1817" t="s">
        <v>1735</v>
      </c>
      <c r="AO1817" t="s">
        <v>53</v>
      </c>
      <c r="AP1817" t="s">
        <v>53</v>
      </c>
    </row>
    <row r="1818" spans="2:42" x14ac:dyDescent="0.2">
      <c r="B1818" t="s">
        <v>44</v>
      </c>
      <c r="C1818" t="str">
        <f>HYPERLINK("https://us2.cloudbeds.com/connect/8493803454333002#/reservations/598599418005?display=E1GJT6Q5&amp;reservation_id=598599418005", "E1GJT6Q5")</f>
        <v>E1GJT6Q5</v>
      </c>
      <c r="D1818" t="s">
        <v>45</v>
      </c>
      <c r="E1818" t="s">
        <v>128</v>
      </c>
      <c r="F1818" t="s">
        <v>86</v>
      </c>
      <c r="G1818" t="s">
        <v>48</v>
      </c>
      <c r="H1818" t="s">
        <v>49</v>
      </c>
      <c r="I1818" t="s">
        <v>114</v>
      </c>
      <c r="J1818" t="s">
        <v>1750</v>
      </c>
      <c r="K1818" t="s">
        <v>1269</v>
      </c>
      <c r="L1818" t="s">
        <v>53</v>
      </c>
      <c r="N1818" t="s">
        <v>3006</v>
      </c>
      <c r="P1818" t="s">
        <v>55</v>
      </c>
      <c r="R1818" t="s">
        <v>56</v>
      </c>
      <c r="T1818" t="s">
        <v>2995</v>
      </c>
      <c r="U1818" t="s">
        <v>58</v>
      </c>
      <c r="V1818">
        <v>1</v>
      </c>
      <c r="W1818">
        <v>1</v>
      </c>
      <c r="X1818">
        <v>1</v>
      </c>
      <c r="Y1818">
        <v>0</v>
      </c>
      <c r="Z1818">
        <v>1</v>
      </c>
      <c r="AA1818">
        <v>0</v>
      </c>
      <c r="AB1818">
        <v>184.68</v>
      </c>
      <c r="AC1818">
        <v>162.5</v>
      </c>
      <c r="AD1818">
        <v>0</v>
      </c>
      <c r="AE1818">
        <v>22.18</v>
      </c>
      <c r="AF1818">
        <v>0</v>
      </c>
      <c r="AG1818">
        <v>0</v>
      </c>
      <c r="AH1818">
        <v>0</v>
      </c>
      <c r="AI1818">
        <v>0</v>
      </c>
      <c r="AJ1818">
        <v>184.68</v>
      </c>
      <c r="AK1818">
        <v>0</v>
      </c>
      <c r="AL1818" t="s">
        <v>53</v>
      </c>
      <c r="AM1818" t="s">
        <v>53</v>
      </c>
      <c r="AN1818" t="s">
        <v>3007</v>
      </c>
      <c r="AO1818" t="s">
        <v>53</v>
      </c>
      <c r="AP1818" t="s">
        <v>53</v>
      </c>
    </row>
    <row r="1819" spans="2:42" x14ac:dyDescent="0.2">
      <c r="B1819" t="s">
        <v>44</v>
      </c>
      <c r="C1819" t="str">
        <f>HYPERLINK("https://us2.cloudbeds.com/connect/8493803454333002#/reservations/598454710409?display=E1CTSGKF&amp;reservation_id=598454710409", "E1CTSGKF")</f>
        <v>E1CTSGKF</v>
      </c>
      <c r="D1819" t="s">
        <v>45</v>
      </c>
      <c r="E1819" t="s">
        <v>121</v>
      </c>
      <c r="F1819" t="s">
        <v>86</v>
      </c>
      <c r="G1819" t="s">
        <v>48</v>
      </c>
      <c r="H1819" t="s">
        <v>71</v>
      </c>
      <c r="I1819" t="s">
        <v>72</v>
      </c>
      <c r="J1819" t="s">
        <v>426</v>
      </c>
      <c r="K1819" t="s">
        <v>130</v>
      </c>
      <c r="L1819" t="s">
        <v>53</v>
      </c>
      <c r="N1819" t="s">
        <v>3008</v>
      </c>
      <c r="P1819" t="s">
        <v>55</v>
      </c>
      <c r="R1819" t="s">
        <v>56</v>
      </c>
      <c r="T1819" t="s">
        <v>3009</v>
      </c>
      <c r="U1819" t="s">
        <v>58</v>
      </c>
      <c r="V1819">
        <v>1</v>
      </c>
      <c r="W1819">
        <v>1</v>
      </c>
      <c r="X1819">
        <v>1</v>
      </c>
      <c r="Y1819">
        <v>0</v>
      </c>
      <c r="Z1819">
        <v>1</v>
      </c>
      <c r="AA1819">
        <v>0</v>
      </c>
      <c r="AB1819">
        <v>181.84</v>
      </c>
      <c r="AC1819">
        <v>160</v>
      </c>
      <c r="AD1819">
        <v>0</v>
      </c>
      <c r="AE1819">
        <v>21.84</v>
      </c>
      <c r="AF1819">
        <v>0</v>
      </c>
      <c r="AG1819">
        <v>0</v>
      </c>
      <c r="AH1819">
        <v>0</v>
      </c>
      <c r="AI1819">
        <v>0</v>
      </c>
      <c r="AJ1819">
        <v>181.84</v>
      </c>
      <c r="AK1819">
        <v>0</v>
      </c>
      <c r="AL1819" t="s">
        <v>53</v>
      </c>
      <c r="AM1819" t="s">
        <v>53</v>
      </c>
      <c r="AN1819" t="s">
        <v>378</v>
      </c>
      <c r="AO1819" t="s">
        <v>53</v>
      </c>
      <c r="AP1819" t="s">
        <v>53</v>
      </c>
    </row>
    <row r="1820" spans="2:42" x14ac:dyDescent="0.2">
      <c r="B1820" t="s">
        <v>44</v>
      </c>
      <c r="C1820" t="str">
        <f>HYPERLINK("https://us2.cloudbeds.com/connect/8493803454333002#/reservations/598457573519?display=E1CW95ZD&amp;reservation_id=598457573519", "E1CW95ZD")</f>
        <v>E1CW95ZD</v>
      </c>
      <c r="D1820" t="s">
        <v>45</v>
      </c>
      <c r="E1820" t="s">
        <v>185</v>
      </c>
      <c r="F1820" t="s">
        <v>47</v>
      </c>
      <c r="G1820" t="s">
        <v>48</v>
      </c>
      <c r="H1820" t="s">
        <v>49</v>
      </c>
      <c r="I1820" t="s">
        <v>50</v>
      </c>
      <c r="J1820" t="s">
        <v>93</v>
      </c>
      <c r="K1820" t="s">
        <v>152</v>
      </c>
      <c r="L1820" t="s">
        <v>53</v>
      </c>
      <c r="N1820" t="s">
        <v>3010</v>
      </c>
      <c r="P1820" t="s">
        <v>55</v>
      </c>
      <c r="R1820" t="s">
        <v>56</v>
      </c>
      <c r="T1820" t="s">
        <v>3009</v>
      </c>
      <c r="U1820" t="s">
        <v>58</v>
      </c>
      <c r="V1820">
        <v>3</v>
      </c>
      <c r="W1820">
        <v>1</v>
      </c>
      <c r="X1820">
        <v>1</v>
      </c>
      <c r="Y1820">
        <v>0</v>
      </c>
      <c r="Z1820">
        <v>1</v>
      </c>
      <c r="AA1820">
        <v>0</v>
      </c>
      <c r="AB1820">
        <v>476.14</v>
      </c>
      <c r="AC1820">
        <v>418.95</v>
      </c>
      <c r="AD1820">
        <v>0</v>
      </c>
      <c r="AE1820">
        <v>57.18</v>
      </c>
      <c r="AF1820">
        <v>0</v>
      </c>
      <c r="AG1820">
        <v>0</v>
      </c>
      <c r="AH1820">
        <v>0</v>
      </c>
      <c r="AI1820">
        <v>85.7</v>
      </c>
      <c r="AJ1820">
        <v>476.13</v>
      </c>
      <c r="AK1820">
        <v>-0.01</v>
      </c>
      <c r="AL1820" t="s">
        <v>53</v>
      </c>
      <c r="AM1820" t="s">
        <v>53</v>
      </c>
      <c r="AN1820" t="s">
        <v>332</v>
      </c>
      <c r="AO1820" t="s">
        <v>53</v>
      </c>
      <c r="AP1820" t="s">
        <v>53</v>
      </c>
    </row>
    <row r="1821" spans="2:42" x14ac:dyDescent="0.2">
      <c r="B1821" t="s">
        <v>44</v>
      </c>
      <c r="C1821" t="str">
        <f>HYPERLINK("https://us2.cloudbeds.com/connect/8493803454333002#/reservations/598492934376?display=E1DT34MH&amp;reservation_id=598492934376", "E1DT34MH")</f>
        <v>E1DT34MH</v>
      </c>
      <c r="D1821" t="s">
        <v>45</v>
      </c>
      <c r="E1821" t="s">
        <v>487</v>
      </c>
      <c r="F1821" t="s">
        <v>61</v>
      </c>
      <c r="G1821" t="s">
        <v>48</v>
      </c>
      <c r="H1821" t="s">
        <v>49</v>
      </c>
      <c r="I1821" t="s">
        <v>50</v>
      </c>
      <c r="J1821" t="s">
        <v>130</v>
      </c>
      <c r="K1821" t="s">
        <v>87</v>
      </c>
      <c r="L1821" t="s">
        <v>53</v>
      </c>
      <c r="N1821" t="s">
        <v>3011</v>
      </c>
      <c r="P1821" t="s">
        <v>55</v>
      </c>
      <c r="R1821" t="s">
        <v>56</v>
      </c>
      <c r="T1821" t="s">
        <v>3009</v>
      </c>
      <c r="U1821" t="s">
        <v>58</v>
      </c>
      <c r="V1821">
        <v>1</v>
      </c>
      <c r="W1821">
        <v>1</v>
      </c>
      <c r="X1821">
        <v>1</v>
      </c>
      <c r="Y1821">
        <v>0</v>
      </c>
      <c r="Z1821">
        <v>1</v>
      </c>
      <c r="AA1821">
        <v>0</v>
      </c>
      <c r="AB1821">
        <v>168.77</v>
      </c>
      <c r="AC1821">
        <v>148.5</v>
      </c>
      <c r="AD1821">
        <v>0</v>
      </c>
      <c r="AE1821">
        <v>20.28</v>
      </c>
      <c r="AF1821">
        <v>0</v>
      </c>
      <c r="AG1821">
        <v>0</v>
      </c>
      <c r="AH1821">
        <v>0</v>
      </c>
      <c r="AI1821">
        <v>30.38</v>
      </c>
      <c r="AJ1821">
        <v>168.78</v>
      </c>
      <c r="AK1821">
        <v>0.01</v>
      </c>
      <c r="AL1821" t="s">
        <v>53</v>
      </c>
      <c r="AM1821" t="s">
        <v>53</v>
      </c>
      <c r="AN1821" t="s">
        <v>252</v>
      </c>
      <c r="AO1821" t="s">
        <v>53</v>
      </c>
      <c r="AP1821" t="s">
        <v>53</v>
      </c>
    </row>
    <row r="1822" spans="2:42" x14ac:dyDescent="0.2">
      <c r="B1822" t="s">
        <v>44</v>
      </c>
      <c r="C1822" t="str">
        <f>HYPERLINK("https://us2.cloudbeds.com/connect/8493803454333002#/reservations/598525018360?display=E1EN4UXF&amp;reservation_id=598525018360", "E1EN4UXF")</f>
        <v>E1EN4UXF</v>
      </c>
      <c r="D1822" t="s">
        <v>45</v>
      </c>
      <c r="E1822" t="s">
        <v>223</v>
      </c>
      <c r="F1822" t="s">
        <v>47</v>
      </c>
      <c r="G1822" t="s">
        <v>48</v>
      </c>
      <c r="H1822" t="s">
        <v>49</v>
      </c>
      <c r="I1822" t="s">
        <v>50</v>
      </c>
      <c r="J1822" t="s">
        <v>236</v>
      </c>
      <c r="K1822" t="s">
        <v>237</v>
      </c>
      <c r="L1822" t="s">
        <v>53</v>
      </c>
      <c r="N1822" t="s">
        <v>3012</v>
      </c>
      <c r="P1822" t="s">
        <v>55</v>
      </c>
      <c r="R1822" t="s">
        <v>56</v>
      </c>
      <c r="T1822" t="s">
        <v>3009</v>
      </c>
      <c r="U1822" t="s">
        <v>58</v>
      </c>
      <c r="V1822">
        <v>1</v>
      </c>
      <c r="W1822">
        <v>1</v>
      </c>
      <c r="X1822">
        <v>1</v>
      </c>
      <c r="Y1822">
        <v>0</v>
      </c>
      <c r="Z1822">
        <v>1</v>
      </c>
      <c r="AA1822">
        <v>0</v>
      </c>
      <c r="AB1822">
        <v>169.34</v>
      </c>
      <c r="AC1822">
        <v>149</v>
      </c>
      <c r="AD1822">
        <v>0</v>
      </c>
      <c r="AE1822">
        <v>20.34</v>
      </c>
      <c r="AF1822">
        <v>0</v>
      </c>
      <c r="AG1822">
        <v>0</v>
      </c>
      <c r="AH1822">
        <v>0</v>
      </c>
      <c r="AI1822">
        <v>30.48</v>
      </c>
      <c r="AJ1822">
        <v>169.34</v>
      </c>
      <c r="AK1822">
        <v>0</v>
      </c>
      <c r="AL1822" t="s">
        <v>53</v>
      </c>
      <c r="AM1822" t="s">
        <v>53</v>
      </c>
      <c r="AN1822" t="s">
        <v>225</v>
      </c>
      <c r="AO1822" t="s">
        <v>53</v>
      </c>
      <c r="AP1822" t="s">
        <v>53</v>
      </c>
    </row>
    <row r="1823" spans="2:42" x14ac:dyDescent="0.2">
      <c r="B1823" t="s">
        <v>44</v>
      </c>
      <c r="C1823" t="str">
        <f>HYPERLINK("https://us2.cloudbeds.com/connect/8493803454333002#/reservations/598527750322?display=E1EPEV86&amp;reservation_id=598527750322", "E1EPEV86")</f>
        <v>E1EPEV86</v>
      </c>
      <c r="D1823" t="s">
        <v>45</v>
      </c>
      <c r="E1823" t="s">
        <v>46</v>
      </c>
      <c r="F1823" t="s">
        <v>47</v>
      </c>
      <c r="G1823" t="s">
        <v>48</v>
      </c>
      <c r="H1823" t="s">
        <v>49</v>
      </c>
      <c r="I1823" t="s">
        <v>50</v>
      </c>
      <c r="J1823" t="s">
        <v>475</v>
      </c>
      <c r="K1823" t="s">
        <v>478</v>
      </c>
      <c r="L1823" t="s">
        <v>53</v>
      </c>
      <c r="N1823" t="s">
        <v>3013</v>
      </c>
      <c r="P1823" t="s">
        <v>55</v>
      </c>
      <c r="R1823" t="s">
        <v>56</v>
      </c>
      <c r="T1823" t="s">
        <v>3009</v>
      </c>
      <c r="U1823" t="s">
        <v>58</v>
      </c>
      <c r="V1823">
        <v>3</v>
      </c>
      <c r="W1823">
        <v>1</v>
      </c>
      <c r="X1823">
        <v>1</v>
      </c>
      <c r="Y1823">
        <v>0</v>
      </c>
      <c r="Z1823">
        <v>1</v>
      </c>
      <c r="AA1823">
        <v>0</v>
      </c>
      <c r="AB1823">
        <v>469.49</v>
      </c>
      <c r="AC1823">
        <v>413.1</v>
      </c>
      <c r="AD1823">
        <v>0</v>
      </c>
      <c r="AE1823">
        <v>56.37</v>
      </c>
      <c r="AF1823">
        <v>0</v>
      </c>
      <c r="AG1823">
        <v>0</v>
      </c>
      <c r="AH1823">
        <v>0</v>
      </c>
      <c r="AI1823">
        <v>84.5</v>
      </c>
      <c r="AJ1823">
        <v>469.47</v>
      </c>
      <c r="AK1823">
        <v>-0.02</v>
      </c>
      <c r="AL1823" t="s">
        <v>53</v>
      </c>
      <c r="AM1823" t="s">
        <v>53</v>
      </c>
      <c r="AN1823" t="s">
        <v>413</v>
      </c>
      <c r="AO1823" t="s">
        <v>53</v>
      </c>
      <c r="AP1823" t="s">
        <v>53</v>
      </c>
    </row>
    <row r="1824" spans="2:42" x14ac:dyDescent="0.2">
      <c r="B1824" t="s">
        <v>44</v>
      </c>
      <c r="C1824" t="str">
        <f>HYPERLINK("https://us2.cloudbeds.com/connect/8493803454333002#/reservations/598533177565?display=E1EU0VV3&amp;reservation_id=598533177565", "E1EU0VV3")</f>
        <v>E1EU0VV3</v>
      </c>
      <c r="D1824" t="s">
        <v>45</v>
      </c>
      <c r="E1824" t="s">
        <v>165</v>
      </c>
      <c r="F1824" t="s">
        <v>61</v>
      </c>
      <c r="G1824" t="s">
        <v>48</v>
      </c>
      <c r="H1824" t="s">
        <v>49</v>
      </c>
      <c r="I1824" t="s">
        <v>79</v>
      </c>
      <c r="J1824" t="s">
        <v>488</v>
      </c>
      <c r="K1824" t="s">
        <v>1568</v>
      </c>
      <c r="L1824" t="s">
        <v>53</v>
      </c>
      <c r="N1824" t="s">
        <v>3014</v>
      </c>
      <c r="P1824" t="s">
        <v>55</v>
      </c>
      <c r="R1824" t="s">
        <v>56</v>
      </c>
      <c r="T1824" t="s">
        <v>3009</v>
      </c>
      <c r="U1824" t="s">
        <v>58</v>
      </c>
      <c r="V1824">
        <v>2</v>
      </c>
      <c r="W1824">
        <v>1</v>
      </c>
      <c r="X1824">
        <v>1</v>
      </c>
      <c r="Y1824">
        <v>0</v>
      </c>
      <c r="Z1824">
        <v>1</v>
      </c>
      <c r="AA1824">
        <v>0</v>
      </c>
      <c r="AB1824">
        <v>332.43</v>
      </c>
      <c r="AC1824">
        <v>292.5</v>
      </c>
      <c r="AD1824">
        <v>0</v>
      </c>
      <c r="AE1824">
        <v>39.94</v>
      </c>
      <c r="AF1824">
        <v>0</v>
      </c>
      <c r="AG1824">
        <v>0</v>
      </c>
      <c r="AH1824">
        <v>0</v>
      </c>
      <c r="AI1824">
        <v>0</v>
      </c>
      <c r="AJ1824">
        <v>332.44</v>
      </c>
      <c r="AK1824">
        <v>0.01</v>
      </c>
      <c r="AL1824" t="s">
        <v>53</v>
      </c>
      <c r="AM1824" t="s">
        <v>53</v>
      </c>
      <c r="AN1824" t="s">
        <v>59</v>
      </c>
      <c r="AO1824" t="s">
        <v>53</v>
      </c>
      <c r="AP1824" t="s">
        <v>53</v>
      </c>
    </row>
    <row r="1825" spans="2:42" x14ac:dyDescent="0.2">
      <c r="B1825" t="s">
        <v>44</v>
      </c>
      <c r="C1825" t="str">
        <f>HYPERLINK("https://us2.cloudbeds.com/connect/8493803454333002#/reservations/598538031315?display=E1F1410E&amp;reservation_id=598538031315", "E1F1410E")</f>
        <v>E1F1410E</v>
      </c>
      <c r="D1825" t="s">
        <v>45</v>
      </c>
      <c r="E1825" t="s">
        <v>185</v>
      </c>
      <c r="F1825" t="s">
        <v>47</v>
      </c>
      <c r="G1825" t="s">
        <v>48</v>
      </c>
      <c r="H1825" t="s">
        <v>71</v>
      </c>
      <c r="I1825" t="s">
        <v>72</v>
      </c>
      <c r="J1825" t="s">
        <v>236</v>
      </c>
      <c r="K1825" t="s">
        <v>525</v>
      </c>
      <c r="L1825" t="s">
        <v>53</v>
      </c>
      <c r="N1825" t="s">
        <v>3015</v>
      </c>
      <c r="P1825" t="s">
        <v>58</v>
      </c>
      <c r="R1825" t="s">
        <v>56</v>
      </c>
      <c r="T1825" t="s">
        <v>3009</v>
      </c>
      <c r="U1825" t="s">
        <v>58</v>
      </c>
      <c r="V1825">
        <v>2</v>
      </c>
      <c r="W1825">
        <v>1</v>
      </c>
      <c r="X1825">
        <v>1</v>
      </c>
      <c r="Y1825">
        <v>0</v>
      </c>
      <c r="Z1825">
        <v>1</v>
      </c>
      <c r="AA1825">
        <v>0</v>
      </c>
      <c r="AB1825">
        <v>315.95</v>
      </c>
      <c r="AC1825">
        <v>278</v>
      </c>
      <c r="AD1825">
        <v>0</v>
      </c>
      <c r="AE1825">
        <v>37.96</v>
      </c>
      <c r="AF1825">
        <v>0</v>
      </c>
      <c r="AG1825">
        <v>0</v>
      </c>
      <c r="AH1825">
        <v>0</v>
      </c>
      <c r="AI1825">
        <v>0</v>
      </c>
      <c r="AJ1825">
        <v>315.95999999999998</v>
      </c>
      <c r="AK1825">
        <v>0.01</v>
      </c>
      <c r="AL1825" t="s">
        <v>53</v>
      </c>
      <c r="AM1825" t="s">
        <v>53</v>
      </c>
      <c r="AN1825" t="s">
        <v>1005</v>
      </c>
      <c r="AO1825" t="s">
        <v>53</v>
      </c>
      <c r="AP1825" t="s">
        <v>53</v>
      </c>
    </row>
    <row r="1826" spans="2:42" x14ac:dyDescent="0.2">
      <c r="B1826" t="s">
        <v>44</v>
      </c>
      <c r="C1826" t="str">
        <f>HYPERLINK("https://us2.cloudbeds.com/connect/8493803454333002#/reservations/598551818450?display=E1FCZMCD&amp;reservation_id=598551818450", "E1FCZMCD")</f>
        <v>E1FCZMCD</v>
      </c>
      <c r="D1826" t="s">
        <v>45</v>
      </c>
      <c r="E1826" t="s">
        <v>179</v>
      </c>
      <c r="F1826" t="s">
        <v>47</v>
      </c>
      <c r="G1826" t="s">
        <v>48</v>
      </c>
      <c r="H1826" t="s">
        <v>71</v>
      </c>
      <c r="I1826" t="s">
        <v>72</v>
      </c>
      <c r="J1826" t="s">
        <v>236</v>
      </c>
      <c r="K1826" t="s">
        <v>525</v>
      </c>
      <c r="L1826" t="s">
        <v>53</v>
      </c>
      <c r="N1826" t="s">
        <v>3016</v>
      </c>
      <c r="P1826" t="s">
        <v>58</v>
      </c>
      <c r="R1826" t="s">
        <v>56</v>
      </c>
      <c r="T1826" t="s">
        <v>3009</v>
      </c>
      <c r="U1826" t="s">
        <v>58</v>
      </c>
      <c r="V1826">
        <v>2</v>
      </c>
      <c r="W1826">
        <v>1</v>
      </c>
      <c r="X1826">
        <v>1</v>
      </c>
      <c r="Y1826">
        <v>0</v>
      </c>
      <c r="Z1826">
        <v>1</v>
      </c>
      <c r="AA1826">
        <v>0</v>
      </c>
      <c r="AB1826">
        <v>315.95</v>
      </c>
      <c r="AC1826">
        <v>278</v>
      </c>
      <c r="AD1826">
        <v>0</v>
      </c>
      <c r="AE1826">
        <v>37.96</v>
      </c>
      <c r="AF1826">
        <v>0</v>
      </c>
      <c r="AG1826">
        <v>0</v>
      </c>
      <c r="AH1826">
        <v>0</v>
      </c>
      <c r="AI1826">
        <v>0</v>
      </c>
      <c r="AJ1826">
        <v>315.95999999999998</v>
      </c>
      <c r="AK1826">
        <v>0.01</v>
      </c>
      <c r="AL1826" t="s">
        <v>53</v>
      </c>
      <c r="AM1826" t="s">
        <v>53</v>
      </c>
      <c r="AN1826" t="s">
        <v>1005</v>
      </c>
      <c r="AO1826" t="s">
        <v>53</v>
      </c>
      <c r="AP1826" t="s">
        <v>53</v>
      </c>
    </row>
    <row r="1827" spans="2:42" x14ac:dyDescent="0.2">
      <c r="B1827" t="s">
        <v>44</v>
      </c>
      <c r="C1827" t="str">
        <f>HYPERLINK("https://us2.cloudbeds.com/connect/8493803454333002#/reservations/579311132803?display=DJXZG7R6&amp;reservation_id=579311132803", "DJXZG7R6")</f>
        <v>DJXZG7R6</v>
      </c>
      <c r="D1827" t="s">
        <v>45</v>
      </c>
      <c r="E1827" t="s">
        <v>92</v>
      </c>
      <c r="F1827" t="s">
        <v>86</v>
      </c>
      <c r="G1827" t="s">
        <v>48</v>
      </c>
      <c r="H1827" t="s">
        <v>49</v>
      </c>
      <c r="I1827" t="s">
        <v>62</v>
      </c>
      <c r="J1827" t="s">
        <v>1367</v>
      </c>
      <c r="K1827" t="s">
        <v>1985</v>
      </c>
      <c r="L1827" t="s">
        <v>53</v>
      </c>
      <c r="N1827" t="s">
        <v>3017</v>
      </c>
      <c r="P1827" t="s">
        <v>55</v>
      </c>
      <c r="R1827" t="s">
        <v>3018</v>
      </c>
      <c r="T1827" t="s">
        <v>3009</v>
      </c>
      <c r="U1827" t="s">
        <v>58</v>
      </c>
      <c r="V1827">
        <v>1</v>
      </c>
      <c r="W1827">
        <v>1</v>
      </c>
      <c r="X1827">
        <v>1</v>
      </c>
      <c r="Y1827">
        <v>0</v>
      </c>
      <c r="Z1827">
        <v>1</v>
      </c>
      <c r="AA1827">
        <v>0</v>
      </c>
      <c r="AB1827">
        <v>379.6</v>
      </c>
      <c r="AC1827">
        <v>167</v>
      </c>
      <c r="AD1827">
        <v>0</v>
      </c>
      <c r="AE1827">
        <v>22.8</v>
      </c>
      <c r="AF1827">
        <v>0</v>
      </c>
      <c r="AG1827">
        <v>0</v>
      </c>
      <c r="AH1827">
        <v>0</v>
      </c>
      <c r="AI1827">
        <v>28.47</v>
      </c>
      <c r="AJ1827">
        <v>189.8</v>
      </c>
      <c r="AK1827">
        <v>0</v>
      </c>
      <c r="AL1827" t="s">
        <v>53</v>
      </c>
      <c r="AM1827" t="s">
        <v>53</v>
      </c>
      <c r="AN1827" t="s">
        <v>316</v>
      </c>
      <c r="AO1827" t="s">
        <v>53</v>
      </c>
      <c r="AP1827" t="s">
        <v>53</v>
      </c>
    </row>
    <row r="1828" spans="2:42" x14ac:dyDescent="0.2">
      <c r="B1828" t="s">
        <v>44</v>
      </c>
      <c r="C1828" t="str">
        <f>HYPERLINK("https://us2.cloudbeds.com/connect/8493803454333002#/reservations/579219677346?display=DJGDCBMN&amp;reservation_id=579219677346", "DJGDCBMN")</f>
        <v>DJGDCBMN</v>
      </c>
      <c r="D1828" t="s">
        <v>45</v>
      </c>
      <c r="E1828" t="s">
        <v>98</v>
      </c>
      <c r="F1828" t="s">
        <v>86</v>
      </c>
      <c r="G1828" t="s">
        <v>48</v>
      </c>
      <c r="H1828" t="s">
        <v>49</v>
      </c>
      <c r="I1828" t="s">
        <v>79</v>
      </c>
      <c r="J1828" t="s">
        <v>2643</v>
      </c>
      <c r="K1828" t="s">
        <v>2790</v>
      </c>
      <c r="L1828" t="s">
        <v>53</v>
      </c>
      <c r="N1828" t="s">
        <v>3019</v>
      </c>
      <c r="P1828" t="s">
        <v>55</v>
      </c>
      <c r="R1828" t="s">
        <v>56</v>
      </c>
      <c r="T1828" t="s">
        <v>3009</v>
      </c>
      <c r="U1828" t="s">
        <v>58</v>
      </c>
      <c r="V1828">
        <v>2</v>
      </c>
      <c r="W1828">
        <v>1</v>
      </c>
      <c r="X1828">
        <v>1</v>
      </c>
      <c r="Y1828">
        <v>0</v>
      </c>
      <c r="Z1828">
        <v>1</v>
      </c>
      <c r="AA1828">
        <v>0</v>
      </c>
      <c r="AB1828">
        <v>355.94</v>
      </c>
      <c r="AC1828">
        <v>313.2</v>
      </c>
      <c r="AD1828">
        <v>0</v>
      </c>
      <c r="AE1828">
        <v>42.74</v>
      </c>
      <c r="AF1828">
        <v>0</v>
      </c>
      <c r="AG1828">
        <v>0</v>
      </c>
      <c r="AH1828">
        <v>0</v>
      </c>
      <c r="AI1828">
        <v>0</v>
      </c>
      <c r="AJ1828">
        <v>355.94</v>
      </c>
      <c r="AK1828">
        <v>0</v>
      </c>
      <c r="AL1828" t="s">
        <v>53</v>
      </c>
      <c r="AM1828" t="s">
        <v>53</v>
      </c>
      <c r="AN1828" t="s">
        <v>91</v>
      </c>
      <c r="AO1828" t="s">
        <v>53</v>
      </c>
      <c r="AP1828" t="s">
        <v>53</v>
      </c>
    </row>
    <row r="1829" spans="2:42" x14ac:dyDescent="0.2">
      <c r="B1829" t="s">
        <v>44</v>
      </c>
      <c r="C1829" t="str">
        <f>HYPERLINK("https://us2.cloudbeds.com/connect/8493803454333002#/reservations/579218919641?display=DJGCZ8TU&amp;reservation_id=579218919641", "DJGCZ8TU")</f>
        <v>DJGCZ8TU</v>
      </c>
      <c r="D1829" t="s">
        <v>45</v>
      </c>
      <c r="E1829" t="s">
        <v>305</v>
      </c>
      <c r="F1829" t="s">
        <v>61</v>
      </c>
      <c r="G1829" t="s">
        <v>48</v>
      </c>
      <c r="H1829" t="s">
        <v>71</v>
      </c>
      <c r="I1829" t="s">
        <v>72</v>
      </c>
      <c r="J1829" t="s">
        <v>2643</v>
      </c>
      <c r="K1829" t="s">
        <v>2790</v>
      </c>
      <c r="L1829" t="s">
        <v>53</v>
      </c>
      <c r="N1829" t="s">
        <v>3020</v>
      </c>
      <c r="P1829" t="s">
        <v>55</v>
      </c>
      <c r="R1829" t="s">
        <v>56</v>
      </c>
      <c r="T1829" t="s">
        <v>3009</v>
      </c>
      <c r="U1829" t="s">
        <v>58</v>
      </c>
      <c r="V1829">
        <v>2</v>
      </c>
      <c r="W1829">
        <v>1</v>
      </c>
      <c r="X1829">
        <v>1</v>
      </c>
      <c r="Y1829">
        <v>0</v>
      </c>
      <c r="Z1829">
        <v>1</v>
      </c>
      <c r="AA1829">
        <v>0</v>
      </c>
      <c r="AB1829">
        <v>354.58</v>
      </c>
      <c r="AC1829">
        <v>312</v>
      </c>
      <c r="AD1829">
        <v>0</v>
      </c>
      <c r="AE1829">
        <v>42.58</v>
      </c>
      <c r="AF1829">
        <v>0</v>
      </c>
      <c r="AG1829">
        <v>0</v>
      </c>
      <c r="AH1829">
        <v>0</v>
      </c>
      <c r="AI1829">
        <v>0</v>
      </c>
      <c r="AJ1829">
        <v>354.58</v>
      </c>
      <c r="AK1829">
        <v>0</v>
      </c>
      <c r="AL1829" t="s">
        <v>53</v>
      </c>
      <c r="AM1829" t="s">
        <v>53</v>
      </c>
      <c r="AN1829" t="s">
        <v>3021</v>
      </c>
      <c r="AO1829" t="s">
        <v>53</v>
      </c>
      <c r="AP1829" t="s">
        <v>53</v>
      </c>
    </row>
    <row r="1830" spans="2:42" x14ac:dyDescent="0.2">
      <c r="B1830" t="s">
        <v>44</v>
      </c>
      <c r="C1830" t="str">
        <f>HYPERLINK("https://us2.cloudbeds.com/connect/8493803454333002#/reservations/598604734662?display=E1GZC4UW&amp;reservation_id=598604734662", "E1GZC4UW")</f>
        <v>E1GZC4UW</v>
      </c>
      <c r="D1830" t="s">
        <v>45</v>
      </c>
      <c r="E1830" t="s">
        <v>373</v>
      </c>
      <c r="F1830" t="s">
        <v>47</v>
      </c>
      <c r="G1830" t="s">
        <v>48</v>
      </c>
      <c r="H1830" t="s">
        <v>49</v>
      </c>
      <c r="I1830" t="s">
        <v>62</v>
      </c>
      <c r="J1830" t="s">
        <v>93</v>
      </c>
      <c r="K1830" t="s">
        <v>1822</v>
      </c>
      <c r="L1830" t="s">
        <v>53</v>
      </c>
      <c r="N1830" t="s">
        <v>3022</v>
      </c>
      <c r="P1830" t="s">
        <v>55</v>
      </c>
      <c r="R1830" t="s">
        <v>56</v>
      </c>
      <c r="T1830" t="s">
        <v>3009</v>
      </c>
      <c r="U1830" t="s">
        <v>58</v>
      </c>
      <c r="V1830">
        <v>1</v>
      </c>
      <c r="W1830">
        <v>1</v>
      </c>
      <c r="X1830">
        <v>1</v>
      </c>
      <c r="Y1830">
        <v>0</v>
      </c>
      <c r="Z1830">
        <v>1</v>
      </c>
      <c r="AA1830">
        <v>0</v>
      </c>
      <c r="AB1830">
        <v>185.25</v>
      </c>
      <c r="AC1830">
        <v>163</v>
      </c>
      <c r="AD1830">
        <v>0</v>
      </c>
      <c r="AE1830">
        <v>22.26</v>
      </c>
      <c r="AF1830">
        <v>0</v>
      </c>
      <c r="AG1830">
        <v>0</v>
      </c>
      <c r="AH1830">
        <v>0</v>
      </c>
      <c r="AI1830">
        <v>27.79</v>
      </c>
      <c r="AJ1830">
        <v>185.26</v>
      </c>
      <c r="AK1830">
        <v>0.01</v>
      </c>
      <c r="AL1830" t="s">
        <v>53</v>
      </c>
      <c r="AM1830" t="s">
        <v>53</v>
      </c>
      <c r="AN1830" t="s">
        <v>245</v>
      </c>
      <c r="AO1830" t="s">
        <v>53</v>
      </c>
      <c r="AP1830" t="s">
        <v>53</v>
      </c>
    </row>
    <row r="1831" spans="2:42" x14ac:dyDescent="0.2">
      <c r="B1831" t="s">
        <v>44</v>
      </c>
      <c r="C1831" t="str">
        <f>HYPERLINK("https://us2.cloudbeds.com/connect/8493803454333002#/reservations/598605050076?display=E1GZKUXW&amp;reservation_id=598605050076", "E1GZKUXW")</f>
        <v>E1GZKUXW</v>
      </c>
      <c r="D1831" t="s">
        <v>45</v>
      </c>
      <c r="E1831" t="s">
        <v>185</v>
      </c>
      <c r="F1831" t="s">
        <v>47</v>
      </c>
      <c r="G1831" t="s">
        <v>48</v>
      </c>
      <c r="H1831" t="s">
        <v>49</v>
      </c>
      <c r="I1831" t="s">
        <v>79</v>
      </c>
      <c r="J1831" t="s">
        <v>289</v>
      </c>
      <c r="K1831" t="s">
        <v>568</v>
      </c>
      <c r="L1831" t="s">
        <v>53</v>
      </c>
      <c r="N1831" t="s">
        <v>3023</v>
      </c>
      <c r="P1831" t="s">
        <v>55</v>
      </c>
      <c r="R1831" t="s">
        <v>56</v>
      </c>
      <c r="T1831" t="s">
        <v>3009</v>
      </c>
      <c r="U1831" t="s">
        <v>58</v>
      </c>
      <c r="V1831">
        <v>1</v>
      </c>
      <c r="W1831">
        <v>1</v>
      </c>
      <c r="X1831">
        <v>1</v>
      </c>
      <c r="Y1831">
        <v>0</v>
      </c>
      <c r="Z1831">
        <v>1</v>
      </c>
      <c r="AA1831">
        <v>0</v>
      </c>
      <c r="AB1831">
        <v>156.5</v>
      </c>
      <c r="AC1831">
        <v>137.69999999999999</v>
      </c>
      <c r="AD1831">
        <v>0</v>
      </c>
      <c r="AE1831">
        <v>18.79</v>
      </c>
      <c r="AF1831">
        <v>0</v>
      </c>
      <c r="AG1831">
        <v>0</v>
      </c>
      <c r="AH1831">
        <v>0</v>
      </c>
      <c r="AI1831">
        <v>0</v>
      </c>
      <c r="AJ1831">
        <v>156.49</v>
      </c>
      <c r="AK1831">
        <v>-0.01</v>
      </c>
      <c r="AL1831" t="s">
        <v>53</v>
      </c>
      <c r="AM1831" t="s">
        <v>53</v>
      </c>
      <c r="AN1831" t="s">
        <v>127</v>
      </c>
      <c r="AO1831" t="s">
        <v>53</v>
      </c>
      <c r="AP1831" t="s">
        <v>53</v>
      </c>
    </row>
    <row r="1832" spans="2:42" x14ac:dyDescent="0.2">
      <c r="B1832" t="s">
        <v>44</v>
      </c>
      <c r="C1832" t="str">
        <f>HYPERLINK("https://us2.cloudbeds.com/connect/8493803454333002#/reservations/579172491401?display=DJF6JB2J&amp;reservation_id=579172491401", "DJF6JB2J")</f>
        <v>DJF6JB2J</v>
      </c>
      <c r="D1832" t="s">
        <v>45</v>
      </c>
      <c r="E1832" t="s">
        <v>155</v>
      </c>
      <c r="F1832" t="s">
        <v>86</v>
      </c>
      <c r="G1832" t="s">
        <v>48</v>
      </c>
      <c r="H1832" t="s">
        <v>71</v>
      </c>
      <c r="I1832" t="s">
        <v>72</v>
      </c>
      <c r="J1832" t="s">
        <v>1296</v>
      </c>
      <c r="K1832" t="s">
        <v>1660</v>
      </c>
      <c r="L1832" t="s">
        <v>53</v>
      </c>
      <c r="N1832" t="s">
        <v>3024</v>
      </c>
      <c r="P1832" t="s">
        <v>58</v>
      </c>
      <c r="R1832" t="s">
        <v>56</v>
      </c>
      <c r="T1832" t="s">
        <v>3009</v>
      </c>
      <c r="U1832" t="s">
        <v>58</v>
      </c>
      <c r="V1832">
        <v>1</v>
      </c>
      <c r="W1832">
        <v>1</v>
      </c>
      <c r="X1832">
        <v>1</v>
      </c>
      <c r="Y1832">
        <v>0</v>
      </c>
      <c r="Z1832">
        <v>1</v>
      </c>
      <c r="AA1832">
        <v>0</v>
      </c>
      <c r="AB1832">
        <v>184.12</v>
      </c>
      <c r="AC1832">
        <v>162</v>
      </c>
      <c r="AD1832">
        <v>0</v>
      </c>
      <c r="AE1832">
        <v>22.12</v>
      </c>
      <c r="AF1832">
        <v>0</v>
      </c>
      <c r="AG1832">
        <v>0</v>
      </c>
      <c r="AH1832">
        <v>0</v>
      </c>
      <c r="AI1832">
        <v>0</v>
      </c>
      <c r="AJ1832">
        <v>184.12</v>
      </c>
      <c r="AK1832">
        <v>0</v>
      </c>
      <c r="AL1832" t="s">
        <v>53</v>
      </c>
      <c r="AM1832" t="s">
        <v>53</v>
      </c>
      <c r="AN1832" t="s">
        <v>3025</v>
      </c>
      <c r="AO1832" t="s">
        <v>53</v>
      </c>
      <c r="AP1832" t="s">
        <v>53</v>
      </c>
    </row>
    <row r="1833" spans="2:42" x14ac:dyDescent="0.2">
      <c r="B1833" t="s">
        <v>44</v>
      </c>
      <c r="C1833" t="str">
        <f>HYPERLINK("https://us2.cloudbeds.com/connect/8493803454333002#/reservations/598455582858?display=E1CUJPPB&amp;reservation_id=598455582858", "E1CUJPPB")</f>
        <v>E1CUJPPB</v>
      </c>
      <c r="D1833" t="s">
        <v>45</v>
      </c>
      <c r="E1833" t="s">
        <v>128</v>
      </c>
      <c r="F1833" t="s">
        <v>86</v>
      </c>
      <c r="G1833" t="s">
        <v>48</v>
      </c>
      <c r="H1833" t="s">
        <v>49</v>
      </c>
      <c r="I1833" t="s">
        <v>79</v>
      </c>
      <c r="J1833" t="s">
        <v>1473</v>
      </c>
      <c r="K1833" t="s">
        <v>1750</v>
      </c>
      <c r="L1833" t="s">
        <v>53</v>
      </c>
      <c r="N1833" t="s">
        <v>3026</v>
      </c>
      <c r="P1833" t="s">
        <v>55</v>
      </c>
      <c r="R1833" t="s">
        <v>56</v>
      </c>
      <c r="T1833" t="s">
        <v>3009</v>
      </c>
      <c r="U1833" t="s">
        <v>58</v>
      </c>
      <c r="V1833">
        <v>1</v>
      </c>
      <c r="W1833">
        <v>1</v>
      </c>
      <c r="X1833">
        <v>1</v>
      </c>
      <c r="Y1833">
        <v>0</v>
      </c>
      <c r="Z1833">
        <v>1</v>
      </c>
      <c r="AA1833">
        <v>0</v>
      </c>
      <c r="AB1833">
        <v>176.44</v>
      </c>
      <c r="AC1833">
        <v>155.25</v>
      </c>
      <c r="AD1833">
        <v>0</v>
      </c>
      <c r="AE1833">
        <v>21.19</v>
      </c>
      <c r="AF1833">
        <v>0</v>
      </c>
      <c r="AG1833">
        <v>0</v>
      </c>
      <c r="AH1833">
        <v>0</v>
      </c>
      <c r="AI1833">
        <v>0</v>
      </c>
      <c r="AJ1833">
        <v>176.44</v>
      </c>
      <c r="AK1833">
        <v>0</v>
      </c>
      <c r="AL1833" t="s">
        <v>53</v>
      </c>
      <c r="AM1833" t="s">
        <v>53</v>
      </c>
      <c r="AN1833" t="s">
        <v>132</v>
      </c>
      <c r="AO1833" t="s">
        <v>53</v>
      </c>
      <c r="AP1833" t="s">
        <v>53</v>
      </c>
    </row>
    <row r="1834" spans="2:42" x14ac:dyDescent="0.2">
      <c r="B1834" t="s">
        <v>44</v>
      </c>
      <c r="C1834" t="str">
        <f>HYPERLINK("https://us2.cloudbeds.com/connect/8493803454333002#/reservations/579337429233?display=DJJDYW4N&amp;reservation_id=579337429233", "DJJDYW4N")</f>
        <v>DJJDYW4N</v>
      </c>
      <c r="D1834" t="s">
        <v>45</v>
      </c>
      <c r="E1834" t="s">
        <v>46</v>
      </c>
      <c r="F1834" t="s">
        <v>47</v>
      </c>
      <c r="G1834" t="s">
        <v>48</v>
      </c>
      <c r="H1834" t="s">
        <v>49</v>
      </c>
      <c r="I1834" t="s">
        <v>79</v>
      </c>
      <c r="J1834" t="s">
        <v>2412</v>
      </c>
      <c r="K1834" t="s">
        <v>2206</v>
      </c>
      <c r="L1834" t="s">
        <v>53</v>
      </c>
      <c r="N1834" t="s">
        <v>3027</v>
      </c>
      <c r="P1834" t="s">
        <v>55</v>
      </c>
      <c r="R1834" t="s">
        <v>56</v>
      </c>
      <c r="T1834" t="s">
        <v>3009</v>
      </c>
      <c r="U1834" t="s">
        <v>58</v>
      </c>
      <c r="V1834">
        <v>1</v>
      </c>
      <c r="W1834">
        <v>1</v>
      </c>
      <c r="X1834">
        <v>1</v>
      </c>
      <c r="Y1834">
        <v>0</v>
      </c>
      <c r="Z1834">
        <v>1</v>
      </c>
      <c r="AA1834">
        <v>0</v>
      </c>
      <c r="AB1834">
        <v>149.34</v>
      </c>
      <c r="AC1834">
        <v>131.4</v>
      </c>
      <c r="AD1834">
        <v>0</v>
      </c>
      <c r="AE1834">
        <v>17.940000000000001</v>
      </c>
      <c r="AF1834">
        <v>0</v>
      </c>
      <c r="AG1834">
        <v>0</v>
      </c>
      <c r="AH1834">
        <v>0</v>
      </c>
      <c r="AI1834">
        <v>0</v>
      </c>
      <c r="AJ1834">
        <v>149.34</v>
      </c>
      <c r="AK1834">
        <v>0</v>
      </c>
      <c r="AL1834" t="s">
        <v>53</v>
      </c>
      <c r="AM1834" t="s">
        <v>53</v>
      </c>
      <c r="AN1834" t="s">
        <v>159</v>
      </c>
      <c r="AO1834" t="s">
        <v>53</v>
      </c>
      <c r="AP1834" t="s">
        <v>53</v>
      </c>
    </row>
    <row r="1835" spans="2:42" x14ac:dyDescent="0.2">
      <c r="B1835" t="s">
        <v>44</v>
      </c>
      <c r="C1835" t="str">
        <f>HYPERLINK("https://us2.cloudbeds.com/connect/8493803454333002#/reservations/579210031339?display=DJG57UWA&amp;reservation_id=579210031339", "DJG57UWA")</f>
        <v>DJG57UWA</v>
      </c>
      <c r="D1835" t="s">
        <v>45</v>
      </c>
      <c r="E1835" t="s">
        <v>92</v>
      </c>
      <c r="F1835" t="s">
        <v>86</v>
      </c>
      <c r="G1835" t="s">
        <v>48</v>
      </c>
      <c r="H1835" t="s">
        <v>49</v>
      </c>
      <c r="I1835" t="s">
        <v>79</v>
      </c>
      <c r="J1835" t="s">
        <v>1140</v>
      </c>
      <c r="K1835" t="s">
        <v>1141</v>
      </c>
      <c r="L1835" t="s">
        <v>53</v>
      </c>
      <c r="N1835" t="s">
        <v>3028</v>
      </c>
      <c r="P1835" t="s">
        <v>55</v>
      </c>
      <c r="R1835" t="s">
        <v>56</v>
      </c>
      <c r="T1835" t="s">
        <v>3009</v>
      </c>
      <c r="U1835" t="s">
        <v>58</v>
      </c>
      <c r="V1835">
        <v>2</v>
      </c>
      <c r="W1835">
        <v>1</v>
      </c>
      <c r="X1835">
        <v>1</v>
      </c>
      <c r="Y1835">
        <v>0</v>
      </c>
      <c r="Z1835">
        <v>1</v>
      </c>
      <c r="AA1835">
        <v>0</v>
      </c>
      <c r="AB1835">
        <v>327.32</v>
      </c>
      <c r="AC1835">
        <v>288</v>
      </c>
      <c r="AD1835">
        <v>0</v>
      </c>
      <c r="AE1835">
        <v>39.32</v>
      </c>
      <c r="AF1835">
        <v>0</v>
      </c>
      <c r="AG1835">
        <v>0</v>
      </c>
      <c r="AH1835">
        <v>0</v>
      </c>
      <c r="AI1835">
        <v>0</v>
      </c>
      <c r="AJ1835">
        <v>327.32</v>
      </c>
      <c r="AK1835">
        <v>0</v>
      </c>
      <c r="AL1835" t="s">
        <v>53</v>
      </c>
      <c r="AM1835" t="s">
        <v>53</v>
      </c>
      <c r="AN1835" t="s">
        <v>146</v>
      </c>
      <c r="AO1835" t="s">
        <v>53</v>
      </c>
      <c r="AP1835" t="s">
        <v>53</v>
      </c>
    </row>
    <row r="1836" spans="2:42" x14ac:dyDescent="0.2">
      <c r="B1836" t="s">
        <v>44</v>
      </c>
      <c r="C1836" t="str">
        <f>HYPERLINK("https://us2.cloudbeds.com/connect/8493803454333002#/reservations/598498685063?display=E1E0V5CP&amp;reservation_id=598498685063", "E1E0V5CP")</f>
        <v>E1E0V5CP</v>
      </c>
      <c r="D1836" t="s">
        <v>45</v>
      </c>
      <c r="E1836" t="s">
        <v>98</v>
      </c>
      <c r="F1836" t="s">
        <v>86</v>
      </c>
      <c r="G1836" t="s">
        <v>48</v>
      </c>
      <c r="H1836" t="s">
        <v>49</v>
      </c>
      <c r="I1836" t="s">
        <v>50</v>
      </c>
      <c r="J1836" t="s">
        <v>322</v>
      </c>
      <c r="K1836" t="s">
        <v>351</v>
      </c>
      <c r="L1836" t="s">
        <v>53</v>
      </c>
      <c r="N1836" t="s">
        <v>3029</v>
      </c>
      <c r="P1836" t="s">
        <v>55</v>
      </c>
      <c r="R1836" t="s">
        <v>56</v>
      </c>
      <c r="T1836" t="s">
        <v>3030</v>
      </c>
      <c r="U1836" t="s">
        <v>58</v>
      </c>
      <c r="V1836">
        <v>1</v>
      </c>
      <c r="W1836">
        <v>1</v>
      </c>
      <c r="X1836">
        <v>1</v>
      </c>
      <c r="Y1836">
        <v>0</v>
      </c>
      <c r="Z1836">
        <v>1</v>
      </c>
      <c r="AA1836">
        <v>0</v>
      </c>
      <c r="AB1836">
        <v>176.44</v>
      </c>
      <c r="AC1836">
        <v>155.25</v>
      </c>
      <c r="AD1836">
        <v>0</v>
      </c>
      <c r="AE1836">
        <v>21.19</v>
      </c>
      <c r="AF1836">
        <v>0</v>
      </c>
      <c r="AG1836">
        <v>0</v>
      </c>
      <c r="AH1836">
        <v>0</v>
      </c>
      <c r="AI1836">
        <v>31.76</v>
      </c>
      <c r="AJ1836">
        <v>176.44</v>
      </c>
      <c r="AK1836">
        <v>0</v>
      </c>
      <c r="AL1836" t="s">
        <v>53</v>
      </c>
      <c r="AM1836" t="s">
        <v>53</v>
      </c>
      <c r="AN1836" t="s">
        <v>349</v>
      </c>
      <c r="AO1836" t="s">
        <v>53</v>
      </c>
      <c r="AP1836" t="s">
        <v>53</v>
      </c>
    </row>
    <row r="1837" spans="2:42" x14ac:dyDescent="0.2">
      <c r="B1837" t="s">
        <v>44</v>
      </c>
      <c r="C1837" t="str">
        <f>HYPERLINK("https://us2.cloudbeds.com/connect/8493803454333002#/reservations/579215495403?display=DJG9RWH5&amp;reservation_id=579215495403", "DJG9RWH5")</f>
        <v>DJG9RWH5</v>
      </c>
      <c r="D1837" t="s">
        <v>45</v>
      </c>
      <c r="E1837" t="s">
        <v>121</v>
      </c>
      <c r="F1837" t="s">
        <v>86</v>
      </c>
      <c r="G1837" t="s">
        <v>48</v>
      </c>
      <c r="H1837" t="s">
        <v>71</v>
      </c>
      <c r="I1837" t="s">
        <v>72</v>
      </c>
      <c r="J1837" t="s">
        <v>3031</v>
      </c>
      <c r="K1837" t="s">
        <v>1900</v>
      </c>
      <c r="L1837" t="s">
        <v>53</v>
      </c>
      <c r="N1837" t="s">
        <v>3032</v>
      </c>
      <c r="P1837" t="s">
        <v>55</v>
      </c>
      <c r="R1837" t="s">
        <v>56</v>
      </c>
      <c r="T1837" t="s">
        <v>3030</v>
      </c>
      <c r="U1837" t="s">
        <v>58</v>
      </c>
      <c r="V1837">
        <v>1</v>
      </c>
      <c r="W1837">
        <v>1</v>
      </c>
      <c r="X1837">
        <v>1</v>
      </c>
      <c r="Y1837">
        <v>0</v>
      </c>
      <c r="Z1837">
        <v>1</v>
      </c>
      <c r="AA1837">
        <v>0</v>
      </c>
      <c r="AB1837">
        <v>177.29</v>
      </c>
      <c r="AC1837">
        <v>156</v>
      </c>
      <c r="AD1837">
        <v>0</v>
      </c>
      <c r="AE1837">
        <v>21.29</v>
      </c>
      <c r="AF1837">
        <v>0</v>
      </c>
      <c r="AG1837">
        <v>0</v>
      </c>
      <c r="AH1837">
        <v>0</v>
      </c>
      <c r="AI1837">
        <v>0</v>
      </c>
      <c r="AJ1837">
        <v>177.29</v>
      </c>
      <c r="AK1837">
        <v>0</v>
      </c>
      <c r="AL1837" t="s">
        <v>53</v>
      </c>
      <c r="AM1837" t="s">
        <v>53</v>
      </c>
      <c r="AN1837" t="s">
        <v>3033</v>
      </c>
      <c r="AO1837" t="s">
        <v>53</v>
      </c>
      <c r="AP1837" t="s">
        <v>53</v>
      </c>
    </row>
    <row r="1838" spans="2:42" x14ac:dyDescent="0.2">
      <c r="B1838" t="s">
        <v>44</v>
      </c>
      <c r="C1838" t="str">
        <f>HYPERLINK("https://us2.cloudbeds.com/connect/8493803454333002#/reservations/579171152074?display=DJF5F26U&amp;reservation_id=579171152074", "DJF5F26U")</f>
        <v>DJF5F26U</v>
      </c>
      <c r="D1838" t="s">
        <v>45</v>
      </c>
      <c r="E1838" t="s">
        <v>265</v>
      </c>
      <c r="F1838" t="s">
        <v>61</v>
      </c>
      <c r="G1838" t="s">
        <v>48</v>
      </c>
      <c r="H1838" t="s">
        <v>49</v>
      </c>
      <c r="I1838" t="s">
        <v>62</v>
      </c>
      <c r="J1838" t="s">
        <v>2163</v>
      </c>
      <c r="K1838" t="s">
        <v>2790</v>
      </c>
      <c r="L1838" t="s">
        <v>53</v>
      </c>
      <c r="N1838" t="s">
        <v>3034</v>
      </c>
      <c r="P1838" t="s">
        <v>55</v>
      </c>
      <c r="R1838" t="s">
        <v>56</v>
      </c>
      <c r="T1838" t="s">
        <v>3030</v>
      </c>
      <c r="U1838" t="s">
        <v>58</v>
      </c>
      <c r="V1838">
        <v>3</v>
      </c>
      <c r="W1838">
        <v>1</v>
      </c>
      <c r="X1838">
        <v>1</v>
      </c>
      <c r="Y1838">
        <v>0</v>
      </c>
      <c r="Z1838">
        <v>1</v>
      </c>
      <c r="AA1838">
        <v>0</v>
      </c>
      <c r="AB1838">
        <v>537.55999999999995</v>
      </c>
      <c r="AC1838">
        <v>473</v>
      </c>
      <c r="AD1838">
        <v>0</v>
      </c>
      <c r="AE1838">
        <v>64.56</v>
      </c>
      <c r="AF1838">
        <v>0</v>
      </c>
      <c r="AG1838">
        <v>0</v>
      </c>
      <c r="AH1838">
        <v>0</v>
      </c>
      <c r="AI1838">
        <v>80.63</v>
      </c>
      <c r="AJ1838">
        <v>537.55999999999995</v>
      </c>
      <c r="AK1838">
        <v>0</v>
      </c>
      <c r="AL1838" t="s">
        <v>53</v>
      </c>
      <c r="AM1838" t="s">
        <v>53</v>
      </c>
      <c r="AN1838" t="s">
        <v>252</v>
      </c>
      <c r="AO1838" t="s">
        <v>53</v>
      </c>
      <c r="AP1838" t="s">
        <v>53</v>
      </c>
    </row>
    <row r="1839" spans="2:42" x14ac:dyDescent="0.2">
      <c r="B1839" t="s">
        <v>44</v>
      </c>
      <c r="C1839" t="str">
        <f>HYPERLINK("https://us2.cloudbeds.com/connect/8493803454333002#/reservations/579173703823?display=DJF7K2DY&amp;reservation_id=579173703823", "DJF7K2DY")</f>
        <v>DJF7K2DY</v>
      </c>
      <c r="D1839" t="s">
        <v>45</v>
      </c>
      <c r="E1839" t="s">
        <v>190</v>
      </c>
      <c r="F1839" t="s">
        <v>61</v>
      </c>
      <c r="G1839" t="s">
        <v>48</v>
      </c>
      <c r="H1839" t="s">
        <v>49</v>
      </c>
      <c r="I1839" t="s">
        <v>79</v>
      </c>
      <c r="J1839" t="s">
        <v>2384</v>
      </c>
      <c r="K1839" t="s">
        <v>2790</v>
      </c>
      <c r="L1839" t="s">
        <v>53</v>
      </c>
      <c r="N1839" t="s">
        <v>3035</v>
      </c>
      <c r="P1839" t="s">
        <v>55</v>
      </c>
      <c r="R1839" t="s">
        <v>56</v>
      </c>
      <c r="T1839" t="s">
        <v>3030</v>
      </c>
      <c r="U1839" t="s">
        <v>58</v>
      </c>
      <c r="V1839">
        <v>4</v>
      </c>
      <c r="W1839">
        <v>1</v>
      </c>
      <c r="X1839">
        <v>1</v>
      </c>
      <c r="Y1839">
        <v>0</v>
      </c>
      <c r="Z1839">
        <v>1</v>
      </c>
      <c r="AA1839">
        <v>0</v>
      </c>
      <c r="AB1839">
        <v>640.28</v>
      </c>
      <c r="AC1839">
        <v>563.4</v>
      </c>
      <c r="AD1839">
        <v>0</v>
      </c>
      <c r="AE1839">
        <v>76.88</v>
      </c>
      <c r="AF1839">
        <v>0</v>
      </c>
      <c r="AG1839">
        <v>0</v>
      </c>
      <c r="AH1839">
        <v>0</v>
      </c>
      <c r="AI1839">
        <v>0</v>
      </c>
      <c r="AJ1839">
        <v>640.28</v>
      </c>
      <c r="AK1839">
        <v>0</v>
      </c>
      <c r="AL1839" t="s">
        <v>53</v>
      </c>
      <c r="AM1839" t="s">
        <v>53</v>
      </c>
      <c r="AN1839" t="s">
        <v>68</v>
      </c>
      <c r="AO1839" t="s">
        <v>53</v>
      </c>
      <c r="AP1839" t="s">
        <v>53</v>
      </c>
    </row>
    <row r="1840" spans="2:42" x14ac:dyDescent="0.2">
      <c r="B1840" t="s">
        <v>44</v>
      </c>
      <c r="C1840" t="str">
        <f>HYPERLINK("https://us2.cloudbeds.com/connect/8493803454333002#/reservations/579244654800?display=DJH1ECR8&amp;reservation_id=579244654800", "DJH1ECR8")</f>
        <v>DJH1ECR8</v>
      </c>
      <c r="D1840" t="s">
        <v>45</v>
      </c>
      <c r="E1840" t="s">
        <v>185</v>
      </c>
      <c r="F1840" t="s">
        <v>47</v>
      </c>
      <c r="G1840" t="s">
        <v>48</v>
      </c>
      <c r="H1840" t="s">
        <v>49</v>
      </c>
      <c r="I1840" t="s">
        <v>50</v>
      </c>
      <c r="J1840" t="s">
        <v>1332</v>
      </c>
      <c r="K1840" t="s">
        <v>2412</v>
      </c>
      <c r="L1840" t="s">
        <v>53</v>
      </c>
      <c r="N1840" t="s">
        <v>3036</v>
      </c>
      <c r="P1840" t="s">
        <v>55</v>
      </c>
      <c r="R1840" t="s">
        <v>56</v>
      </c>
      <c r="T1840" t="s">
        <v>3030</v>
      </c>
      <c r="U1840" t="s">
        <v>58</v>
      </c>
      <c r="V1840">
        <v>3</v>
      </c>
      <c r="W1840">
        <v>1</v>
      </c>
      <c r="X1840">
        <v>1</v>
      </c>
      <c r="Y1840">
        <v>0</v>
      </c>
      <c r="Z1840">
        <v>1</v>
      </c>
      <c r="AA1840">
        <v>0</v>
      </c>
      <c r="AB1840">
        <v>458.25</v>
      </c>
      <c r="AC1840">
        <v>403.2</v>
      </c>
      <c r="AD1840">
        <v>0</v>
      </c>
      <c r="AE1840">
        <v>55.05</v>
      </c>
      <c r="AF1840">
        <v>0</v>
      </c>
      <c r="AG1840">
        <v>0</v>
      </c>
      <c r="AH1840">
        <v>0</v>
      </c>
      <c r="AI1840">
        <v>82.49</v>
      </c>
      <c r="AJ1840">
        <v>458.25</v>
      </c>
      <c r="AK1840">
        <v>0</v>
      </c>
      <c r="AL1840" t="s">
        <v>53</v>
      </c>
      <c r="AM1840" t="s">
        <v>53</v>
      </c>
      <c r="AN1840" t="s">
        <v>59</v>
      </c>
      <c r="AO1840" t="s">
        <v>53</v>
      </c>
      <c r="AP1840" t="s">
        <v>53</v>
      </c>
    </row>
    <row r="1841" spans="2:42" x14ac:dyDescent="0.2">
      <c r="B1841" t="s">
        <v>44</v>
      </c>
      <c r="C1841" t="str">
        <f>HYPERLINK("https://us2.cloudbeds.com/connect/8493803454333002#/reservations/579381031113?display=DJKHE8JQ&amp;reservation_id=579381031113", "DJKHE8JQ")</f>
        <v>DJKHE8JQ</v>
      </c>
      <c r="D1841" t="s">
        <v>45</v>
      </c>
      <c r="E1841" t="s">
        <v>138</v>
      </c>
      <c r="F1841" t="s">
        <v>70</v>
      </c>
      <c r="G1841" t="s">
        <v>48</v>
      </c>
      <c r="H1841" t="s">
        <v>71</v>
      </c>
      <c r="I1841" t="s">
        <v>72</v>
      </c>
      <c r="J1841" t="s">
        <v>2058</v>
      </c>
      <c r="K1841" t="s">
        <v>2494</v>
      </c>
      <c r="L1841" t="s">
        <v>53</v>
      </c>
      <c r="N1841" t="s">
        <v>3037</v>
      </c>
      <c r="P1841" t="s">
        <v>55</v>
      </c>
      <c r="R1841" t="s">
        <v>56</v>
      </c>
      <c r="T1841" t="s">
        <v>3030</v>
      </c>
      <c r="U1841" t="s">
        <v>58</v>
      </c>
      <c r="V1841">
        <v>1</v>
      </c>
      <c r="W1841">
        <v>1</v>
      </c>
      <c r="X1841">
        <v>1</v>
      </c>
      <c r="Y1841">
        <v>0</v>
      </c>
      <c r="Z1841">
        <v>1</v>
      </c>
      <c r="AA1841">
        <v>0</v>
      </c>
      <c r="AB1841">
        <v>149.44</v>
      </c>
      <c r="AC1841">
        <v>131.5</v>
      </c>
      <c r="AD1841">
        <v>0</v>
      </c>
      <c r="AE1841">
        <v>17.940000000000001</v>
      </c>
      <c r="AF1841">
        <v>0</v>
      </c>
      <c r="AG1841">
        <v>0</v>
      </c>
      <c r="AH1841">
        <v>0</v>
      </c>
      <c r="AI1841">
        <v>0</v>
      </c>
      <c r="AJ1841">
        <v>149.44</v>
      </c>
      <c r="AK1841">
        <v>0</v>
      </c>
      <c r="AL1841" t="s">
        <v>53</v>
      </c>
      <c r="AM1841" t="s">
        <v>53</v>
      </c>
      <c r="AN1841" t="s">
        <v>3038</v>
      </c>
      <c r="AO1841" t="s">
        <v>53</v>
      </c>
      <c r="AP1841" t="s">
        <v>53</v>
      </c>
    </row>
    <row r="1842" spans="2:42" x14ac:dyDescent="0.2">
      <c r="B1842" t="s">
        <v>44</v>
      </c>
      <c r="C1842" t="str">
        <f>HYPERLINK("https://us2.cloudbeds.com/connect/8493803454333002#/reservations/598410571906?display=E1BPY9D2&amp;reservation_id=598410571906", "E1BPY9D2")</f>
        <v>E1BPY9D2</v>
      </c>
      <c r="D1842" t="s">
        <v>45</v>
      </c>
      <c r="E1842" t="s">
        <v>223</v>
      </c>
      <c r="F1842" t="s">
        <v>47</v>
      </c>
      <c r="G1842" t="s">
        <v>48</v>
      </c>
      <c r="H1842" t="s">
        <v>49</v>
      </c>
      <c r="I1842" t="s">
        <v>62</v>
      </c>
      <c r="J1842" t="s">
        <v>180</v>
      </c>
      <c r="K1842" t="s">
        <v>181</v>
      </c>
      <c r="L1842" t="s">
        <v>53</v>
      </c>
      <c r="N1842" t="s">
        <v>3039</v>
      </c>
      <c r="P1842" t="s">
        <v>55</v>
      </c>
      <c r="R1842" t="s">
        <v>56</v>
      </c>
      <c r="T1842" t="s">
        <v>3030</v>
      </c>
      <c r="U1842" t="s">
        <v>58</v>
      </c>
      <c r="V1842">
        <v>1</v>
      </c>
      <c r="W1842">
        <v>1</v>
      </c>
      <c r="X1842">
        <v>1</v>
      </c>
      <c r="Y1842">
        <v>0</v>
      </c>
      <c r="Z1842">
        <v>1</v>
      </c>
      <c r="AA1842">
        <v>0</v>
      </c>
      <c r="AB1842">
        <v>180.7</v>
      </c>
      <c r="AC1842">
        <v>159</v>
      </c>
      <c r="AD1842">
        <v>0</v>
      </c>
      <c r="AE1842">
        <v>21.71</v>
      </c>
      <c r="AF1842">
        <v>0</v>
      </c>
      <c r="AG1842">
        <v>0</v>
      </c>
      <c r="AH1842">
        <v>0</v>
      </c>
      <c r="AI1842">
        <v>27.11</v>
      </c>
      <c r="AJ1842">
        <v>180.71</v>
      </c>
      <c r="AK1842">
        <v>0.01</v>
      </c>
      <c r="AL1842" t="s">
        <v>53</v>
      </c>
      <c r="AM1842" t="s">
        <v>53</v>
      </c>
      <c r="AN1842" t="s">
        <v>316</v>
      </c>
      <c r="AO1842" t="s">
        <v>53</v>
      </c>
      <c r="AP1842" t="s">
        <v>53</v>
      </c>
    </row>
    <row r="1843" spans="2:42" x14ac:dyDescent="0.2">
      <c r="B1843" t="s">
        <v>44</v>
      </c>
      <c r="C1843" t="str">
        <f>HYPERLINK("https://us2.cloudbeds.com/connect/8493803454333002#/reservations/598469808314?display=E1D9JKKP&amp;reservation_id=598469808314", "E1D9JKKP")</f>
        <v>E1D9JKKP</v>
      </c>
      <c r="D1843" t="s">
        <v>45</v>
      </c>
      <c r="E1843" t="s">
        <v>487</v>
      </c>
      <c r="F1843" t="s">
        <v>61</v>
      </c>
      <c r="G1843" t="s">
        <v>48</v>
      </c>
      <c r="H1843" t="s">
        <v>49</v>
      </c>
      <c r="I1843" t="s">
        <v>62</v>
      </c>
      <c r="J1843" t="s">
        <v>122</v>
      </c>
      <c r="K1843" t="s">
        <v>475</v>
      </c>
      <c r="L1843" t="s">
        <v>53</v>
      </c>
      <c r="N1843" t="s">
        <v>3040</v>
      </c>
      <c r="P1843" t="s">
        <v>55</v>
      </c>
      <c r="R1843" t="s">
        <v>56</v>
      </c>
      <c r="T1843" t="s">
        <v>3030</v>
      </c>
      <c r="U1843" t="s">
        <v>58</v>
      </c>
      <c r="V1843">
        <v>2</v>
      </c>
      <c r="W1843">
        <v>1</v>
      </c>
      <c r="X1843">
        <v>1</v>
      </c>
      <c r="Y1843">
        <v>0</v>
      </c>
      <c r="Z1843">
        <v>1</v>
      </c>
      <c r="AA1843">
        <v>380.72</v>
      </c>
      <c r="AB1843">
        <v>725.08</v>
      </c>
      <c r="AC1843">
        <v>637.99</v>
      </c>
      <c r="AD1843">
        <v>0</v>
      </c>
      <c r="AE1843">
        <v>87.08</v>
      </c>
      <c r="AF1843">
        <v>0</v>
      </c>
      <c r="AG1843">
        <v>0</v>
      </c>
      <c r="AH1843">
        <v>0</v>
      </c>
      <c r="AI1843">
        <v>130.51</v>
      </c>
      <c r="AJ1843">
        <v>725.07</v>
      </c>
      <c r="AK1843">
        <v>-0.01</v>
      </c>
      <c r="AL1843" t="s">
        <v>53</v>
      </c>
      <c r="AM1843" t="s">
        <v>53</v>
      </c>
      <c r="AN1843" t="s">
        <v>252</v>
      </c>
      <c r="AO1843" t="s">
        <v>53</v>
      </c>
      <c r="AP1843" t="s">
        <v>53</v>
      </c>
    </row>
    <row r="1844" spans="2:42" x14ac:dyDescent="0.2">
      <c r="B1844" t="s">
        <v>44</v>
      </c>
      <c r="C1844" t="str">
        <f>HYPERLINK("https://us2.cloudbeds.com/connect/8493803454333002#/reservations/598602305730?display=E1GMAXGW&amp;reservation_id=598602305730", "E1GMAXGW")</f>
        <v>E1GMAXGW</v>
      </c>
      <c r="D1844" t="s">
        <v>45</v>
      </c>
      <c r="E1844" t="s">
        <v>128</v>
      </c>
      <c r="F1844" t="s">
        <v>86</v>
      </c>
      <c r="G1844" t="s">
        <v>48</v>
      </c>
      <c r="H1844" t="s">
        <v>49</v>
      </c>
      <c r="I1844" t="s">
        <v>50</v>
      </c>
      <c r="J1844" t="s">
        <v>1480</v>
      </c>
      <c r="K1844" t="s">
        <v>768</v>
      </c>
      <c r="L1844" t="s">
        <v>53</v>
      </c>
      <c r="N1844" t="s">
        <v>3041</v>
      </c>
      <c r="P1844" t="s">
        <v>55</v>
      </c>
      <c r="R1844" t="s">
        <v>56</v>
      </c>
      <c r="T1844" t="s">
        <v>3042</v>
      </c>
      <c r="U1844" t="s">
        <v>58</v>
      </c>
      <c r="V1844">
        <v>1</v>
      </c>
      <c r="W1844">
        <v>1</v>
      </c>
      <c r="X1844">
        <v>1</v>
      </c>
      <c r="Y1844">
        <v>0</v>
      </c>
      <c r="Z1844">
        <v>1</v>
      </c>
      <c r="AA1844">
        <v>0</v>
      </c>
      <c r="AB1844">
        <v>179</v>
      </c>
      <c r="AC1844">
        <v>157.5</v>
      </c>
      <c r="AD1844">
        <v>0</v>
      </c>
      <c r="AE1844">
        <v>21.5</v>
      </c>
      <c r="AF1844">
        <v>0</v>
      </c>
      <c r="AG1844">
        <v>0</v>
      </c>
      <c r="AH1844">
        <v>0</v>
      </c>
      <c r="AI1844">
        <v>32.22</v>
      </c>
      <c r="AJ1844">
        <v>179</v>
      </c>
      <c r="AK1844">
        <v>0</v>
      </c>
      <c r="AL1844" t="s">
        <v>53</v>
      </c>
      <c r="AM1844" t="s">
        <v>53</v>
      </c>
      <c r="AN1844" t="s">
        <v>59</v>
      </c>
      <c r="AO1844" t="s">
        <v>53</v>
      </c>
      <c r="AP1844" t="s">
        <v>53</v>
      </c>
    </row>
    <row r="1845" spans="2:42" x14ac:dyDescent="0.2">
      <c r="B1845" t="s">
        <v>44</v>
      </c>
      <c r="C1845" t="str">
        <f>HYPERLINK("https://us2.cloudbeds.com/connect/8493803454333002#/reservations/579151683771?display=DJEM1AWB&amp;reservation_id=579151683771", "DJEM1AWB")</f>
        <v>DJEM1AWB</v>
      </c>
      <c r="D1845" t="s">
        <v>45</v>
      </c>
      <c r="E1845" t="s">
        <v>78</v>
      </c>
      <c r="F1845" t="s">
        <v>61</v>
      </c>
      <c r="G1845" t="s">
        <v>48</v>
      </c>
      <c r="H1845" t="s">
        <v>49</v>
      </c>
      <c r="I1845" t="s">
        <v>50</v>
      </c>
      <c r="J1845" t="s">
        <v>1296</v>
      </c>
      <c r="K1845" t="s">
        <v>3043</v>
      </c>
      <c r="L1845" t="s">
        <v>53</v>
      </c>
      <c r="N1845" t="s">
        <v>3044</v>
      </c>
      <c r="P1845" t="s">
        <v>55</v>
      </c>
      <c r="R1845" t="s">
        <v>56</v>
      </c>
      <c r="T1845" t="s">
        <v>3042</v>
      </c>
      <c r="U1845" t="s">
        <v>58</v>
      </c>
      <c r="V1845">
        <v>2</v>
      </c>
      <c r="W1845">
        <v>1</v>
      </c>
      <c r="X1845">
        <v>1</v>
      </c>
      <c r="Y1845">
        <v>0</v>
      </c>
      <c r="Z1845">
        <v>1</v>
      </c>
      <c r="AA1845">
        <v>0</v>
      </c>
      <c r="AB1845">
        <v>320.14</v>
      </c>
      <c r="AC1845">
        <v>281.7</v>
      </c>
      <c r="AD1845">
        <v>0</v>
      </c>
      <c r="AE1845">
        <v>38.44</v>
      </c>
      <c r="AF1845">
        <v>0</v>
      </c>
      <c r="AG1845">
        <v>0</v>
      </c>
      <c r="AH1845">
        <v>0</v>
      </c>
      <c r="AI1845">
        <v>57.63</v>
      </c>
      <c r="AJ1845">
        <v>320.14</v>
      </c>
      <c r="AK1845">
        <v>0</v>
      </c>
      <c r="AL1845" t="s">
        <v>53</v>
      </c>
      <c r="AM1845" t="s">
        <v>53</v>
      </c>
      <c r="AN1845" t="s">
        <v>159</v>
      </c>
      <c r="AO1845" t="s">
        <v>53</v>
      </c>
      <c r="AP1845" t="s">
        <v>53</v>
      </c>
    </row>
    <row r="1846" spans="2:42" x14ac:dyDescent="0.2">
      <c r="B1846" t="s">
        <v>44</v>
      </c>
      <c r="C1846" t="str">
        <f>HYPERLINK("https://us2.cloudbeds.com/connect/8493803454333002#/reservations/579246076050?display=DJH2KUUE&amp;reservation_id=579246076050", "DJH2KUUE")</f>
        <v>DJH2KUUE</v>
      </c>
      <c r="D1846" t="s">
        <v>45</v>
      </c>
      <c r="E1846" t="s">
        <v>185</v>
      </c>
      <c r="F1846" t="s">
        <v>47</v>
      </c>
      <c r="G1846" t="s">
        <v>48</v>
      </c>
      <c r="H1846" t="s">
        <v>49</v>
      </c>
      <c r="I1846" t="s">
        <v>62</v>
      </c>
      <c r="J1846" t="s">
        <v>1610</v>
      </c>
      <c r="K1846" t="s">
        <v>1501</v>
      </c>
      <c r="L1846" t="s">
        <v>53</v>
      </c>
      <c r="N1846" t="s">
        <v>3045</v>
      </c>
      <c r="P1846" t="s">
        <v>55</v>
      </c>
      <c r="R1846" t="s">
        <v>56</v>
      </c>
      <c r="T1846" t="s">
        <v>3042</v>
      </c>
      <c r="U1846" t="s">
        <v>58</v>
      </c>
      <c r="V1846">
        <v>1</v>
      </c>
      <c r="W1846">
        <v>1</v>
      </c>
      <c r="X1846">
        <v>1</v>
      </c>
      <c r="Y1846">
        <v>0</v>
      </c>
      <c r="Z1846">
        <v>1</v>
      </c>
      <c r="AA1846">
        <v>0</v>
      </c>
      <c r="AB1846">
        <v>171.62</v>
      </c>
      <c r="AC1846">
        <v>151</v>
      </c>
      <c r="AD1846">
        <v>0</v>
      </c>
      <c r="AE1846">
        <v>20.62</v>
      </c>
      <c r="AF1846">
        <v>0</v>
      </c>
      <c r="AG1846">
        <v>0</v>
      </c>
      <c r="AH1846">
        <v>0</v>
      </c>
      <c r="AI1846">
        <v>25.74</v>
      </c>
      <c r="AJ1846">
        <v>171.62</v>
      </c>
      <c r="AK1846">
        <v>0</v>
      </c>
      <c r="AL1846" t="s">
        <v>53</v>
      </c>
      <c r="AM1846" t="s">
        <v>53</v>
      </c>
      <c r="AN1846" t="s">
        <v>3046</v>
      </c>
      <c r="AO1846" t="s">
        <v>53</v>
      </c>
      <c r="AP1846" t="s">
        <v>53</v>
      </c>
    </row>
    <row r="1847" spans="2:42" x14ac:dyDescent="0.2">
      <c r="B1847" t="s">
        <v>44</v>
      </c>
      <c r="C1847" t="str">
        <f>HYPERLINK("https://us2.cloudbeds.com/connect/8493803454333002#/reservations/598440865988?display=E1CX68YJ&amp;reservation_id=598440865988", "E1CX68YJ")</f>
        <v>E1CX68YJ</v>
      </c>
      <c r="D1847" t="s">
        <v>45</v>
      </c>
      <c r="E1847" t="s">
        <v>381</v>
      </c>
      <c r="F1847" t="s">
        <v>47</v>
      </c>
      <c r="G1847" t="s">
        <v>48</v>
      </c>
      <c r="H1847" t="s">
        <v>49</v>
      </c>
      <c r="I1847" t="s">
        <v>50</v>
      </c>
      <c r="J1847" t="s">
        <v>489</v>
      </c>
      <c r="K1847" t="s">
        <v>1568</v>
      </c>
      <c r="L1847" t="s">
        <v>53</v>
      </c>
      <c r="N1847" t="s">
        <v>3047</v>
      </c>
      <c r="P1847" t="s">
        <v>55</v>
      </c>
      <c r="R1847" t="s">
        <v>56</v>
      </c>
      <c r="T1847" t="s">
        <v>3042</v>
      </c>
      <c r="U1847" t="s">
        <v>58</v>
      </c>
      <c r="V1847">
        <v>1</v>
      </c>
      <c r="W1847">
        <v>1</v>
      </c>
      <c r="X1847">
        <v>1</v>
      </c>
      <c r="Y1847">
        <v>0</v>
      </c>
      <c r="Z1847">
        <v>1</v>
      </c>
      <c r="AA1847">
        <v>0</v>
      </c>
      <c r="AB1847">
        <v>153.43</v>
      </c>
      <c r="AC1847">
        <v>135</v>
      </c>
      <c r="AD1847">
        <v>0</v>
      </c>
      <c r="AE1847">
        <v>18.440000000000001</v>
      </c>
      <c r="AF1847">
        <v>0</v>
      </c>
      <c r="AG1847">
        <v>0</v>
      </c>
      <c r="AH1847">
        <v>0</v>
      </c>
      <c r="AI1847">
        <v>27.62</v>
      </c>
      <c r="AJ1847">
        <v>153.44</v>
      </c>
      <c r="AK1847">
        <v>0.01</v>
      </c>
      <c r="AL1847" t="s">
        <v>53</v>
      </c>
      <c r="AM1847" t="s">
        <v>53</v>
      </c>
      <c r="AN1847" t="s">
        <v>68</v>
      </c>
      <c r="AO1847" t="s">
        <v>53</v>
      </c>
      <c r="AP1847" t="s">
        <v>53</v>
      </c>
    </row>
    <row r="1848" spans="2:42" x14ac:dyDescent="0.2">
      <c r="B1848" t="s">
        <v>44</v>
      </c>
      <c r="C1848" t="str">
        <f>HYPERLINK("https://us2.cloudbeds.com/connect/8493803454333002#/reservations/598434668673?display=E1CCVQR5&amp;reservation_id=598434668673", "E1CCVQR5")</f>
        <v>E1CCVQR5</v>
      </c>
      <c r="D1848" t="s">
        <v>45</v>
      </c>
      <c r="E1848" t="s">
        <v>85</v>
      </c>
      <c r="F1848" t="s">
        <v>86</v>
      </c>
      <c r="G1848" t="s">
        <v>48</v>
      </c>
      <c r="H1848" t="s">
        <v>71</v>
      </c>
      <c r="I1848" t="s">
        <v>72</v>
      </c>
      <c r="J1848" t="s">
        <v>322</v>
      </c>
      <c r="K1848" t="s">
        <v>99</v>
      </c>
      <c r="L1848" t="s">
        <v>53</v>
      </c>
      <c r="N1848" t="s">
        <v>3048</v>
      </c>
      <c r="P1848" t="s">
        <v>55</v>
      </c>
      <c r="R1848" t="s">
        <v>56</v>
      </c>
      <c r="T1848" t="s">
        <v>3042</v>
      </c>
      <c r="U1848" t="s">
        <v>58</v>
      </c>
      <c r="V1848">
        <v>2</v>
      </c>
      <c r="W1848">
        <v>1</v>
      </c>
      <c r="X1848">
        <v>1</v>
      </c>
      <c r="Y1848">
        <v>0</v>
      </c>
      <c r="Z1848">
        <v>1</v>
      </c>
      <c r="AA1848">
        <v>0</v>
      </c>
      <c r="AB1848">
        <v>418.8</v>
      </c>
      <c r="AC1848">
        <v>368.5</v>
      </c>
      <c r="AD1848">
        <v>0</v>
      </c>
      <c r="AE1848">
        <v>50.3</v>
      </c>
      <c r="AF1848">
        <v>0</v>
      </c>
      <c r="AG1848">
        <v>0</v>
      </c>
      <c r="AH1848">
        <v>0</v>
      </c>
      <c r="AI1848">
        <v>0</v>
      </c>
      <c r="AJ1848">
        <v>418.8</v>
      </c>
      <c r="AK1848">
        <v>0</v>
      </c>
      <c r="AL1848" t="s">
        <v>53</v>
      </c>
      <c r="AM1848" t="s">
        <v>53</v>
      </c>
      <c r="AN1848" t="s">
        <v>3049</v>
      </c>
      <c r="AO1848" t="s">
        <v>53</v>
      </c>
      <c r="AP1848" t="s">
        <v>53</v>
      </c>
    </row>
    <row r="1849" spans="2:42" x14ac:dyDescent="0.2">
      <c r="B1849" t="s">
        <v>44</v>
      </c>
      <c r="C1849" t="str">
        <f>HYPERLINK("https://us2.cloudbeds.com/connect/8493803454333002#/reservations/598212645114?display=E16NZMEH&amp;reservation_id=598212645114", "E16NZMEH")</f>
        <v>E16NZMEH</v>
      </c>
      <c r="D1849" t="s">
        <v>45</v>
      </c>
      <c r="E1849" t="s">
        <v>105</v>
      </c>
      <c r="F1849" t="s">
        <v>47</v>
      </c>
      <c r="G1849" t="s">
        <v>48</v>
      </c>
      <c r="H1849" t="s">
        <v>49</v>
      </c>
      <c r="I1849" t="s">
        <v>50</v>
      </c>
      <c r="J1849" t="s">
        <v>970</v>
      </c>
      <c r="K1849" t="s">
        <v>288</v>
      </c>
      <c r="L1849" t="s">
        <v>53</v>
      </c>
      <c r="N1849" t="s">
        <v>3050</v>
      </c>
      <c r="P1849" t="s">
        <v>55</v>
      </c>
      <c r="R1849" t="s">
        <v>56</v>
      </c>
      <c r="T1849" t="s">
        <v>3042</v>
      </c>
      <c r="U1849" t="s">
        <v>58</v>
      </c>
      <c r="V1849">
        <v>1</v>
      </c>
      <c r="W1849">
        <v>1</v>
      </c>
      <c r="X1849">
        <v>1</v>
      </c>
      <c r="Y1849">
        <v>0</v>
      </c>
      <c r="Z1849">
        <v>1</v>
      </c>
      <c r="AA1849">
        <v>0</v>
      </c>
      <c r="AB1849">
        <v>156.5</v>
      </c>
      <c r="AC1849">
        <v>137.69999999999999</v>
      </c>
      <c r="AD1849">
        <v>0</v>
      </c>
      <c r="AE1849">
        <v>18.79</v>
      </c>
      <c r="AF1849">
        <v>0</v>
      </c>
      <c r="AG1849">
        <v>0</v>
      </c>
      <c r="AH1849">
        <v>0</v>
      </c>
      <c r="AI1849">
        <v>28.17</v>
      </c>
      <c r="AJ1849">
        <v>156.49</v>
      </c>
      <c r="AK1849">
        <v>-0.01</v>
      </c>
      <c r="AL1849" t="s">
        <v>53</v>
      </c>
      <c r="AM1849" t="s">
        <v>53</v>
      </c>
      <c r="AN1849" t="s">
        <v>178</v>
      </c>
      <c r="AO1849" t="s">
        <v>53</v>
      </c>
      <c r="AP1849" t="s">
        <v>53</v>
      </c>
    </row>
    <row r="1850" spans="2:42" x14ac:dyDescent="0.2">
      <c r="B1850" t="s">
        <v>44</v>
      </c>
      <c r="C1850" t="str">
        <f>HYPERLINK("https://us2.cloudbeds.com/connect/8493803454333002#/reservations/598558507170?display=E1FXCQET&amp;reservation_id=598558507170", "E1FXCQET")</f>
        <v>E1FXCQET</v>
      </c>
      <c r="D1850" t="s">
        <v>45</v>
      </c>
      <c r="E1850" t="s">
        <v>190</v>
      </c>
      <c r="F1850" t="s">
        <v>61</v>
      </c>
      <c r="G1850" t="s">
        <v>48</v>
      </c>
      <c r="H1850" t="s">
        <v>49</v>
      </c>
      <c r="I1850" t="s">
        <v>50</v>
      </c>
      <c r="J1850" t="s">
        <v>356</v>
      </c>
      <c r="K1850" t="s">
        <v>236</v>
      </c>
      <c r="L1850" t="s">
        <v>53</v>
      </c>
      <c r="N1850" t="s">
        <v>3051</v>
      </c>
      <c r="P1850" t="s">
        <v>55</v>
      </c>
      <c r="R1850" t="s">
        <v>56</v>
      </c>
      <c r="T1850" t="s">
        <v>3042</v>
      </c>
      <c r="U1850" t="s">
        <v>58</v>
      </c>
      <c r="V1850">
        <v>2</v>
      </c>
      <c r="W1850">
        <v>1</v>
      </c>
      <c r="X1850">
        <v>1</v>
      </c>
      <c r="Y1850">
        <v>0</v>
      </c>
      <c r="Z1850">
        <v>1</v>
      </c>
      <c r="AA1850">
        <v>0</v>
      </c>
      <c r="AB1850">
        <v>331.4</v>
      </c>
      <c r="AC1850">
        <v>291.60000000000002</v>
      </c>
      <c r="AD1850">
        <v>0</v>
      </c>
      <c r="AE1850">
        <v>39.799999999999997</v>
      </c>
      <c r="AF1850">
        <v>0</v>
      </c>
      <c r="AG1850">
        <v>0</v>
      </c>
      <c r="AH1850">
        <v>0</v>
      </c>
      <c r="AI1850">
        <v>59.65</v>
      </c>
      <c r="AJ1850">
        <v>331.4</v>
      </c>
      <c r="AK1850">
        <v>0</v>
      </c>
      <c r="AL1850" t="s">
        <v>53</v>
      </c>
      <c r="AM1850" t="s">
        <v>53</v>
      </c>
      <c r="AN1850" t="s">
        <v>142</v>
      </c>
      <c r="AO1850" t="s">
        <v>53</v>
      </c>
      <c r="AP1850" t="s">
        <v>53</v>
      </c>
    </row>
    <row r="1851" spans="2:42" x14ac:dyDescent="0.2">
      <c r="B1851" t="s">
        <v>44</v>
      </c>
      <c r="C1851" t="str">
        <f>HYPERLINK("https://us2.cloudbeds.com/connect/8493803454333002#/reservations/579264893148?display=DJHXGX5H&amp;reservation_id=579264893148", "DJHXGX5H")</f>
        <v>DJHXGX5H</v>
      </c>
      <c r="D1851" t="s">
        <v>45</v>
      </c>
      <c r="E1851" t="s">
        <v>78</v>
      </c>
      <c r="F1851" t="s">
        <v>61</v>
      </c>
      <c r="G1851" t="s">
        <v>48</v>
      </c>
      <c r="H1851" t="s">
        <v>49</v>
      </c>
      <c r="I1851" t="s">
        <v>79</v>
      </c>
      <c r="J1851" t="s">
        <v>1450</v>
      </c>
      <c r="K1851" t="s">
        <v>1451</v>
      </c>
      <c r="L1851" t="s">
        <v>53</v>
      </c>
      <c r="N1851" t="s">
        <v>3052</v>
      </c>
      <c r="P1851" t="s">
        <v>55</v>
      </c>
      <c r="R1851" t="s">
        <v>56</v>
      </c>
      <c r="T1851" t="s">
        <v>3042</v>
      </c>
      <c r="U1851" t="s">
        <v>58</v>
      </c>
      <c r="V1851">
        <v>1</v>
      </c>
      <c r="W1851">
        <v>1</v>
      </c>
      <c r="X1851">
        <v>1</v>
      </c>
      <c r="Y1851">
        <v>0</v>
      </c>
      <c r="Z1851">
        <v>1</v>
      </c>
      <c r="AA1851">
        <v>0</v>
      </c>
      <c r="AB1851">
        <v>0</v>
      </c>
      <c r="AC1851">
        <v>0</v>
      </c>
      <c r="AD1851">
        <v>0</v>
      </c>
      <c r="AE1851">
        <v>0</v>
      </c>
      <c r="AF1851">
        <v>0</v>
      </c>
      <c r="AG1851">
        <v>0</v>
      </c>
      <c r="AH1851">
        <v>0</v>
      </c>
      <c r="AI1851">
        <v>0</v>
      </c>
      <c r="AJ1851">
        <v>0</v>
      </c>
      <c r="AK1851">
        <v>0</v>
      </c>
      <c r="AL1851" t="s">
        <v>53</v>
      </c>
      <c r="AM1851" t="s">
        <v>53</v>
      </c>
      <c r="AN1851" t="s">
        <v>3053</v>
      </c>
      <c r="AO1851" t="s">
        <v>53</v>
      </c>
      <c r="AP1851" t="s">
        <v>53</v>
      </c>
    </row>
    <row r="1852" spans="2:42" x14ac:dyDescent="0.2">
      <c r="B1852" t="s">
        <v>44</v>
      </c>
      <c r="C1852" t="str">
        <f>HYPERLINK("https://us2.cloudbeds.com/connect/8493803454333002#/reservations/597937258703?display=E0WMHYBP&amp;reservation_id=597937258703", "E0WMHYBP")</f>
        <v>E0WMHYBP</v>
      </c>
      <c r="D1852" t="s">
        <v>45</v>
      </c>
      <c r="E1852" t="s">
        <v>265</v>
      </c>
      <c r="F1852" t="s">
        <v>61</v>
      </c>
      <c r="G1852" t="s">
        <v>48</v>
      </c>
      <c r="H1852" t="s">
        <v>49</v>
      </c>
      <c r="I1852" t="s">
        <v>50</v>
      </c>
      <c r="J1852" t="s">
        <v>122</v>
      </c>
      <c r="K1852" t="s">
        <v>123</v>
      </c>
      <c r="L1852" t="s">
        <v>53</v>
      </c>
      <c r="N1852" t="s">
        <v>3054</v>
      </c>
      <c r="P1852" t="s">
        <v>55</v>
      </c>
      <c r="R1852" t="s">
        <v>56</v>
      </c>
      <c r="T1852" t="s">
        <v>3042</v>
      </c>
      <c r="U1852" t="s">
        <v>58</v>
      </c>
      <c r="V1852">
        <v>1</v>
      </c>
      <c r="W1852">
        <v>1</v>
      </c>
      <c r="X1852">
        <v>1</v>
      </c>
      <c r="Y1852">
        <v>0</v>
      </c>
      <c r="Z1852">
        <v>1</v>
      </c>
      <c r="AA1852">
        <v>0</v>
      </c>
      <c r="AB1852">
        <v>173.88</v>
      </c>
      <c r="AC1852">
        <v>153</v>
      </c>
      <c r="AD1852">
        <v>0</v>
      </c>
      <c r="AE1852">
        <v>20.89</v>
      </c>
      <c r="AF1852">
        <v>0</v>
      </c>
      <c r="AG1852">
        <v>0</v>
      </c>
      <c r="AH1852">
        <v>0</v>
      </c>
      <c r="AI1852">
        <v>31.3</v>
      </c>
      <c r="AJ1852">
        <v>173.89</v>
      </c>
      <c r="AK1852">
        <v>0.01</v>
      </c>
      <c r="AL1852" t="s">
        <v>53</v>
      </c>
      <c r="AM1852" t="s">
        <v>53</v>
      </c>
      <c r="AN1852" t="s">
        <v>146</v>
      </c>
      <c r="AO1852" t="s">
        <v>53</v>
      </c>
      <c r="AP1852" t="s">
        <v>53</v>
      </c>
    </row>
    <row r="1853" spans="2:42" x14ac:dyDescent="0.2">
      <c r="B1853" t="s">
        <v>44</v>
      </c>
      <c r="C1853" t="str">
        <f>HYPERLINK("https://us2.cloudbeds.com/connect/8493803454333002#/reservations/598422323427?display=E1C2X9GP&amp;reservation_id=598422323427", "E1C2X9GP")</f>
        <v>E1C2X9GP</v>
      </c>
      <c r="D1853" t="s">
        <v>45</v>
      </c>
      <c r="E1853" t="s">
        <v>121</v>
      </c>
      <c r="F1853" t="s">
        <v>86</v>
      </c>
      <c r="G1853" t="s">
        <v>48</v>
      </c>
      <c r="H1853" t="s">
        <v>71</v>
      </c>
      <c r="I1853" t="s">
        <v>72</v>
      </c>
      <c r="J1853" t="s">
        <v>87</v>
      </c>
      <c r="K1853" t="s">
        <v>88</v>
      </c>
      <c r="L1853" t="s">
        <v>53</v>
      </c>
      <c r="N1853" t="s">
        <v>3055</v>
      </c>
      <c r="P1853" t="s">
        <v>58</v>
      </c>
      <c r="R1853" t="s">
        <v>56</v>
      </c>
      <c r="T1853" t="s">
        <v>3042</v>
      </c>
      <c r="U1853" t="s">
        <v>58</v>
      </c>
      <c r="V1853">
        <v>1</v>
      </c>
      <c r="W1853">
        <v>1</v>
      </c>
      <c r="X1853">
        <v>1</v>
      </c>
      <c r="Y1853">
        <v>0</v>
      </c>
      <c r="Z1853">
        <v>1</v>
      </c>
      <c r="AA1853">
        <v>0</v>
      </c>
      <c r="AB1853">
        <v>169.34</v>
      </c>
      <c r="AC1853">
        <v>149</v>
      </c>
      <c r="AD1853">
        <v>0</v>
      </c>
      <c r="AE1853">
        <v>20.34</v>
      </c>
      <c r="AF1853">
        <v>0</v>
      </c>
      <c r="AG1853">
        <v>0</v>
      </c>
      <c r="AH1853">
        <v>0</v>
      </c>
      <c r="AI1853">
        <v>0</v>
      </c>
      <c r="AJ1853">
        <v>169.34</v>
      </c>
      <c r="AK1853">
        <v>0</v>
      </c>
      <c r="AL1853" t="s">
        <v>53</v>
      </c>
      <c r="AM1853" t="s">
        <v>53</v>
      </c>
      <c r="AN1853" t="s">
        <v>378</v>
      </c>
      <c r="AO1853" t="s">
        <v>53</v>
      </c>
      <c r="AP1853" t="s">
        <v>53</v>
      </c>
    </row>
    <row r="1854" spans="2:42" x14ac:dyDescent="0.2">
      <c r="B1854" t="s">
        <v>44</v>
      </c>
      <c r="C1854" t="str">
        <f>HYPERLINK("https://us2.cloudbeds.com/connect/8493803454333002#/reservations/598610305236?display=E1GT2588&amp;reservation_id=598610305236", "E1GT2588")</f>
        <v>E1GT2588</v>
      </c>
      <c r="D1854" t="s">
        <v>45</v>
      </c>
      <c r="E1854" t="s">
        <v>373</v>
      </c>
      <c r="F1854" t="s">
        <v>47</v>
      </c>
      <c r="G1854" t="s">
        <v>48</v>
      </c>
      <c r="H1854" t="s">
        <v>49</v>
      </c>
      <c r="I1854" t="s">
        <v>79</v>
      </c>
      <c r="J1854" t="s">
        <v>237</v>
      </c>
      <c r="K1854" t="s">
        <v>525</v>
      </c>
      <c r="L1854" t="s">
        <v>53</v>
      </c>
      <c r="N1854" t="s">
        <v>3056</v>
      </c>
      <c r="P1854" t="s">
        <v>55</v>
      </c>
      <c r="R1854" t="s">
        <v>56</v>
      </c>
      <c r="T1854" t="s">
        <v>3042</v>
      </c>
      <c r="U1854" t="s">
        <v>58</v>
      </c>
      <c r="V1854">
        <v>1</v>
      </c>
      <c r="W1854">
        <v>1</v>
      </c>
      <c r="X1854">
        <v>1</v>
      </c>
      <c r="Y1854">
        <v>0</v>
      </c>
      <c r="Z1854">
        <v>1</v>
      </c>
      <c r="AA1854">
        <v>0</v>
      </c>
      <c r="AB1854">
        <v>152.4</v>
      </c>
      <c r="AC1854">
        <v>134.1</v>
      </c>
      <c r="AD1854">
        <v>0</v>
      </c>
      <c r="AE1854">
        <v>18.3</v>
      </c>
      <c r="AF1854">
        <v>0</v>
      </c>
      <c r="AG1854">
        <v>0</v>
      </c>
      <c r="AH1854">
        <v>0</v>
      </c>
      <c r="AI1854">
        <v>0</v>
      </c>
      <c r="AJ1854">
        <v>152.4</v>
      </c>
      <c r="AK1854">
        <v>0</v>
      </c>
      <c r="AL1854" t="s">
        <v>53</v>
      </c>
      <c r="AM1854" t="s">
        <v>53</v>
      </c>
      <c r="AN1854" t="s">
        <v>137</v>
      </c>
      <c r="AO1854" t="s">
        <v>53</v>
      </c>
      <c r="AP1854" t="s">
        <v>53</v>
      </c>
    </row>
    <row r="1855" spans="2:42" x14ac:dyDescent="0.2">
      <c r="B1855" t="s">
        <v>44</v>
      </c>
      <c r="C1855" t="str">
        <f>HYPERLINK("https://us2.cloudbeds.com/connect/8493803454333002#/reservations/598574170359?display=E1FVJYHW&amp;reservation_id=598574170359", "E1FVJYHW")</f>
        <v>E1FVJYHW</v>
      </c>
      <c r="D1855" t="s">
        <v>45</v>
      </c>
      <c r="E1855" t="s">
        <v>179</v>
      </c>
      <c r="F1855" t="s">
        <v>47</v>
      </c>
      <c r="G1855" t="s">
        <v>48</v>
      </c>
      <c r="H1855" t="s">
        <v>49</v>
      </c>
      <c r="I1855" t="s">
        <v>50</v>
      </c>
      <c r="J1855" t="s">
        <v>478</v>
      </c>
      <c r="K1855" t="s">
        <v>236</v>
      </c>
      <c r="L1855" t="s">
        <v>53</v>
      </c>
      <c r="N1855" t="s">
        <v>3057</v>
      </c>
      <c r="P1855" t="s">
        <v>55</v>
      </c>
      <c r="R1855" t="s">
        <v>56</v>
      </c>
      <c r="T1855" t="s">
        <v>3042</v>
      </c>
      <c r="U1855" t="s">
        <v>58</v>
      </c>
      <c r="V1855">
        <v>1</v>
      </c>
      <c r="W1855">
        <v>1</v>
      </c>
      <c r="X1855">
        <v>1</v>
      </c>
      <c r="Y1855">
        <v>0</v>
      </c>
      <c r="Z1855">
        <v>1</v>
      </c>
      <c r="AA1855">
        <v>0</v>
      </c>
      <c r="AB1855">
        <v>156.5</v>
      </c>
      <c r="AC1855">
        <v>137.69999999999999</v>
      </c>
      <c r="AD1855">
        <v>0</v>
      </c>
      <c r="AE1855">
        <v>18.79</v>
      </c>
      <c r="AF1855">
        <v>0</v>
      </c>
      <c r="AG1855">
        <v>0</v>
      </c>
      <c r="AH1855">
        <v>0</v>
      </c>
      <c r="AI1855">
        <v>28.17</v>
      </c>
      <c r="AJ1855">
        <v>156.49</v>
      </c>
      <c r="AK1855">
        <v>-0.01</v>
      </c>
      <c r="AL1855" t="s">
        <v>53</v>
      </c>
      <c r="AM1855" t="s">
        <v>53</v>
      </c>
      <c r="AN1855" t="s">
        <v>349</v>
      </c>
      <c r="AO1855" t="s">
        <v>53</v>
      </c>
      <c r="AP1855" t="s">
        <v>53</v>
      </c>
    </row>
    <row r="1856" spans="2:42" x14ac:dyDescent="0.2">
      <c r="B1856" t="s">
        <v>44</v>
      </c>
      <c r="C1856" t="str">
        <f>HYPERLINK("https://us2.cloudbeds.com/connect/8493803454333002#/reservations/598415577342?display=E1BTSXZW&amp;reservation_id=598415577342", "E1BTSXZW")</f>
        <v>E1BTSXZW</v>
      </c>
      <c r="D1856" t="s">
        <v>45</v>
      </c>
      <c r="E1856" t="s">
        <v>381</v>
      </c>
      <c r="F1856" t="s">
        <v>47</v>
      </c>
      <c r="G1856" t="s">
        <v>48</v>
      </c>
      <c r="H1856" t="s">
        <v>49</v>
      </c>
      <c r="I1856" t="s">
        <v>50</v>
      </c>
      <c r="J1856" t="s">
        <v>762</v>
      </c>
      <c r="K1856" t="s">
        <v>356</v>
      </c>
      <c r="L1856" t="s">
        <v>53</v>
      </c>
      <c r="N1856" t="s">
        <v>3058</v>
      </c>
      <c r="P1856" t="s">
        <v>55</v>
      </c>
      <c r="R1856" t="s">
        <v>56</v>
      </c>
      <c r="T1856" t="s">
        <v>3059</v>
      </c>
      <c r="U1856" t="s">
        <v>58</v>
      </c>
      <c r="V1856">
        <v>1</v>
      </c>
      <c r="W1856">
        <v>1</v>
      </c>
      <c r="X1856">
        <v>1</v>
      </c>
      <c r="Y1856">
        <v>0</v>
      </c>
      <c r="Z1856">
        <v>1</v>
      </c>
      <c r="AA1856">
        <v>0</v>
      </c>
      <c r="AB1856">
        <v>156.5</v>
      </c>
      <c r="AC1856">
        <v>137.69999999999999</v>
      </c>
      <c r="AD1856">
        <v>0</v>
      </c>
      <c r="AE1856">
        <v>18.79</v>
      </c>
      <c r="AF1856">
        <v>0</v>
      </c>
      <c r="AG1856">
        <v>0</v>
      </c>
      <c r="AH1856">
        <v>0</v>
      </c>
      <c r="AI1856">
        <v>28.17</v>
      </c>
      <c r="AJ1856">
        <v>156.49</v>
      </c>
      <c r="AK1856">
        <v>-0.01</v>
      </c>
      <c r="AL1856" t="s">
        <v>53</v>
      </c>
      <c r="AM1856" t="s">
        <v>53</v>
      </c>
      <c r="AN1856" t="s">
        <v>245</v>
      </c>
      <c r="AO1856" t="s">
        <v>53</v>
      </c>
      <c r="AP1856" t="s">
        <v>53</v>
      </c>
    </row>
    <row r="1857" spans="2:42" x14ac:dyDescent="0.2">
      <c r="B1857" t="s">
        <v>44</v>
      </c>
      <c r="C1857" t="str">
        <f>HYPERLINK("https://us2.cloudbeds.com/connect/8493803454333002#/reservations/598226428096?display=E172C39F&amp;reservation_id=598226428096", "E172C39F")</f>
        <v>E172C39F</v>
      </c>
      <c r="D1857" t="s">
        <v>45</v>
      </c>
      <c r="E1857" t="s">
        <v>179</v>
      </c>
      <c r="F1857" t="s">
        <v>47</v>
      </c>
      <c r="G1857" t="s">
        <v>48</v>
      </c>
      <c r="H1857" t="s">
        <v>49</v>
      </c>
      <c r="I1857" t="s">
        <v>79</v>
      </c>
      <c r="J1857" t="s">
        <v>762</v>
      </c>
      <c r="K1857" t="s">
        <v>356</v>
      </c>
      <c r="L1857" t="s">
        <v>53</v>
      </c>
      <c r="N1857" t="s">
        <v>3060</v>
      </c>
      <c r="P1857" t="s">
        <v>55</v>
      </c>
      <c r="R1857" t="s">
        <v>56</v>
      </c>
      <c r="T1857" t="s">
        <v>3059</v>
      </c>
      <c r="U1857" t="s">
        <v>58</v>
      </c>
      <c r="V1857">
        <v>1</v>
      </c>
      <c r="W1857">
        <v>1</v>
      </c>
      <c r="X1857">
        <v>1</v>
      </c>
      <c r="Y1857">
        <v>0</v>
      </c>
      <c r="Z1857">
        <v>1</v>
      </c>
      <c r="AA1857">
        <v>0</v>
      </c>
      <c r="AB1857">
        <v>156.5</v>
      </c>
      <c r="AC1857">
        <v>137.69999999999999</v>
      </c>
      <c r="AD1857">
        <v>0</v>
      </c>
      <c r="AE1857">
        <v>18.79</v>
      </c>
      <c r="AF1857">
        <v>0</v>
      </c>
      <c r="AG1857">
        <v>0</v>
      </c>
      <c r="AH1857">
        <v>0</v>
      </c>
      <c r="AI1857">
        <v>0</v>
      </c>
      <c r="AJ1857">
        <v>156.49</v>
      </c>
      <c r="AK1857">
        <v>-0.01</v>
      </c>
      <c r="AL1857" t="s">
        <v>53</v>
      </c>
      <c r="AM1857" t="s">
        <v>53</v>
      </c>
      <c r="AN1857" t="s">
        <v>332</v>
      </c>
      <c r="AO1857" t="s">
        <v>53</v>
      </c>
      <c r="AP1857" t="s">
        <v>53</v>
      </c>
    </row>
    <row r="1858" spans="2:42" x14ac:dyDescent="0.2">
      <c r="B1858" t="s">
        <v>44</v>
      </c>
      <c r="C1858" t="str">
        <f>HYPERLINK("https://us2.cloudbeds.com/connect/8493803454333002#/reservations/598387335323?display=E1B61MS7&amp;reservation_id=598387335323", "E1B61MS7")</f>
        <v>E1B61MS7</v>
      </c>
      <c r="D1858" t="s">
        <v>45</v>
      </c>
      <c r="E1858" t="s">
        <v>179</v>
      </c>
      <c r="F1858" t="s">
        <v>47</v>
      </c>
      <c r="G1858" t="s">
        <v>48</v>
      </c>
      <c r="H1858" t="s">
        <v>49</v>
      </c>
      <c r="I1858" t="s">
        <v>114</v>
      </c>
      <c r="J1858" t="s">
        <v>970</v>
      </c>
      <c r="K1858" t="s">
        <v>289</v>
      </c>
      <c r="L1858" t="s">
        <v>53</v>
      </c>
      <c r="N1858" t="s">
        <v>3061</v>
      </c>
      <c r="P1858" t="s">
        <v>55</v>
      </c>
      <c r="R1858" t="s">
        <v>56</v>
      </c>
      <c r="T1858" t="s">
        <v>3059</v>
      </c>
      <c r="U1858" t="s">
        <v>58</v>
      </c>
      <c r="V1858">
        <v>2</v>
      </c>
      <c r="W1858">
        <v>1</v>
      </c>
      <c r="X1858">
        <v>1</v>
      </c>
      <c r="Y1858">
        <v>0</v>
      </c>
      <c r="Z1858">
        <v>1</v>
      </c>
      <c r="AA1858">
        <v>0</v>
      </c>
      <c r="AB1858">
        <v>325.04000000000002</v>
      </c>
      <c r="AC1858">
        <v>286</v>
      </c>
      <c r="AD1858">
        <v>0</v>
      </c>
      <c r="AE1858">
        <v>39.06</v>
      </c>
      <c r="AF1858">
        <v>0</v>
      </c>
      <c r="AG1858">
        <v>0</v>
      </c>
      <c r="AH1858">
        <v>0</v>
      </c>
      <c r="AI1858">
        <v>0</v>
      </c>
      <c r="AJ1858">
        <v>325.06</v>
      </c>
      <c r="AK1858">
        <v>0.02</v>
      </c>
      <c r="AL1858" t="s">
        <v>53</v>
      </c>
      <c r="AM1858" t="s">
        <v>53</v>
      </c>
      <c r="AN1858" t="s">
        <v>3062</v>
      </c>
      <c r="AO1858" t="s">
        <v>53</v>
      </c>
      <c r="AP1858" t="s">
        <v>53</v>
      </c>
    </row>
    <row r="1859" spans="2:42" x14ac:dyDescent="0.2">
      <c r="B1859" t="s">
        <v>44</v>
      </c>
      <c r="C1859" t="str">
        <f>HYPERLINK("https://us2.cloudbeds.com/connect/8493803454333002#/reservations/598493896864?display=E1DTTUGR&amp;reservation_id=598493896864", "E1DTTUGR")</f>
        <v>E1DTTUGR</v>
      </c>
      <c r="D1859" t="s">
        <v>45</v>
      </c>
      <c r="E1859" t="s">
        <v>105</v>
      </c>
      <c r="F1859" t="s">
        <v>47</v>
      </c>
      <c r="G1859" t="s">
        <v>48</v>
      </c>
      <c r="H1859" t="s">
        <v>49</v>
      </c>
      <c r="I1859" t="s">
        <v>79</v>
      </c>
      <c r="J1859" t="s">
        <v>288</v>
      </c>
      <c r="K1859" t="s">
        <v>289</v>
      </c>
      <c r="L1859" t="s">
        <v>53</v>
      </c>
      <c r="N1859" t="s">
        <v>3063</v>
      </c>
      <c r="P1859" t="s">
        <v>55</v>
      </c>
      <c r="R1859" t="s">
        <v>56</v>
      </c>
      <c r="T1859" t="s">
        <v>3059</v>
      </c>
      <c r="U1859" t="s">
        <v>58</v>
      </c>
      <c r="V1859">
        <v>1</v>
      </c>
      <c r="W1859">
        <v>1</v>
      </c>
      <c r="X1859">
        <v>1</v>
      </c>
      <c r="Y1859">
        <v>0</v>
      </c>
      <c r="Z1859">
        <v>1</v>
      </c>
      <c r="AA1859">
        <v>0</v>
      </c>
      <c r="AB1859">
        <v>156.5</v>
      </c>
      <c r="AC1859">
        <v>137.69999999999999</v>
      </c>
      <c r="AD1859">
        <v>0</v>
      </c>
      <c r="AE1859">
        <v>18.79</v>
      </c>
      <c r="AF1859">
        <v>0</v>
      </c>
      <c r="AG1859">
        <v>0</v>
      </c>
      <c r="AH1859">
        <v>0</v>
      </c>
      <c r="AI1859">
        <v>0</v>
      </c>
      <c r="AJ1859">
        <v>156.49</v>
      </c>
      <c r="AK1859">
        <v>-0.01</v>
      </c>
      <c r="AL1859" t="s">
        <v>53</v>
      </c>
      <c r="AM1859" t="s">
        <v>53</v>
      </c>
      <c r="AN1859" t="s">
        <v>127</v>
      </c>
      <c r="AO1859" t="s">
        <v>53</v>
      </c>
      <c r="AP1859" t="s">
        <v>53</v>
      </c>
    </row>
    <row r="1860" spans="2:42" x14ac:dyDescent="0.2">
      <c r="B1860" t="s">
        <v>44</v>
      </c>
      <c r="C1860" t="str">
        <f>HYPERLINK("https://us2.cloudbeds.com/connect/8493803454333002#/reservations/598543192238?display=E1F5FY50&amp;reservation_id=598543192238", "E1F5FY50")</f>
        <v>E1F5FY50</v>
      </c>
      <c r="D1860" t="s">
        <v>45</v>
      </c>
      <c r="E1860" t="s">
        <v>213</v>
      </c>
      <c r="F1860" t="s">
        <v>86</v>
      </c>
      <c r="G1860" t="s">
        <v>48</v>
      </c>
      <c r="H1860" t="s">
        <v>49</v>
      </c>
      <c r="I1860" t="s">
        <v>79</v>
      </c>
      <c r="J1860" t="s">
        <v>93</v>
      </c>
      <c r="K1860" t="s">
        <v>94</v>
      </c>
      <c r="L1860" t="s">
        <v>53</v>
      </c>
      <c r="N1860" t="s">
        <v>3064</v>
      </c>
      <c r="P1860" t="s">
        <v>55</v>
      </c>
      <c r="R1860" t="s">
        <v>56</v>
      </c>
      <c r="T1860" t="s">
        <v>3059</v>
      </c>
      <c r="U1860" t="s">
        <v>58</v>
      </c>
      <c r="V1860">
        <v>2</v>
      </c>
      <c r="W1860">
        <v>1</v>
      </c>
      <c r="X1860">
        <v>1</v>
      </c>
      <c r="Y1860">
        <v>0</v>
      </c>
      <c r="Z1860">
        <v>1</v>
      </c>
      <c r="AA1860">
        <v>0</v>
      </c>
      <c r="AB1860">
        <v>364.13</v>
      </c>
      <c r="AC1860">
        <v>320.39999999999998</v>
      </c>
      <c r="AD1860">
        <v>0</v>
      </c>
      <c r="AE1860">
        <v>43.74</v>
      </c>
      <c r="AF1860">
        <v>0</v>
      </c>
      <c r="AG1860">
        <v>0</v>
      </c>
      <c r="AH1860">
        <v>0</v>
      </c>
      <c r="AI1860">
        <v>0</v>
      </c>
      <c r="AJ1860">
        <v>364.14</v>
      </c>
      <c r="AK1860">
        <v>0.01</v>
      </c>
      <c r="AL1860" t="s">
        <v>53</v>
      </c>
      <c r="AM1860" t="s">
        <v>53</v>
      </c>
      <c r="AN1860" t="s">
        <v>280</v>
      </c>
      <c r="AO1860" t="s">
        <v>53</v>
      </c>
      <c r="AP1860" t="s">
        <v>53</v>
      </c>
    </row>
    <row r="1861" spans="2:42" x14ac:dyDescent="0.2">
      <c r="B1861" t="s">
        <v>44</v>
      </c>
      <c r="C1861" t="str">
        <f>HYPERLINK("https://us2.cloudbeds.com/connect/8493803454333002#/reservations/598389452992?display=E1B7RGZR&amp;reservation_id=598389452992", "E1B7RGZR")</f>
        <v>E1B7RGZR</v>
      </c>
      <c r="D1861" t="s">
        <v>45</v>
      </c>
      <c r="E1861" t="s">
        <v>113</v>
      </c>
      <c r="F1861" t="s">
        <v>61</v>
      </c>
      <c r="G1861" t="s">
        <v>48</v>
      </c>
      <c r="H1861" t="s">
        <v>49</v>
      </c>
      <c r="I1861" t="s">
        <v>79</v>
      </c>
      <c r="J1861" t="s">
        <v>762</v>
      </c>
      <c r="K1861" t="s">
        <v>356</v>
      </c>
      <c r="L1861" t="s">
        <v>53</v>
      </c>
      <c r="N1861" t="s">
        <v>3065</v>
      </c>
      <c r="P1861" t="s">
        <v>55</v>
      </c>
      <c r="R1861" t="s">
        <v>56</v>
      </c>
      <c r="T1861" t="s">
        <v>3059</v>
      </c>
      <c r="U1861" t="s">
        <v>58</v>
      </c>
      <c r="V1861">
        <v>1</v>
      </c>
      <c r="W1861">
        <v>1</v>
      </c>
      <c r="X1861">
        <v>1</v>
      </c>
      <c r="Y1861">
        <v>0</v>
      </c>
      <c r="Z1861">
        <v>1</v>
      </c>
      <c r="AA1861">
        <v>0</v>
      </c>
      <c r="AB1861">
        <v>165.7</v>
      </c>
      <c r="AC1861">
        <v>145.80000000000001</v>
      </c>
      <c r="AD1861">
        <v>0</v>
      </c>
      <c r="AE1861">
        <v>19.899999999999999</v>
      </c>
      <c r="AF1861">
        <v>0</v>
      </c>
      <c r="AG1861">
        <v>0</v>
      </c>
      <c r="AH1861">
        <v>0</v>
      </c>
      <c r="AI1861">
        <v>0</v>
      </c>
      <c r="AJ1861">
        <v>165.7</v>
      </c>
      <c r="AK1861">
        <v>0</v>
      </c>
      <c r="AL1861" t="s">
        <v>53</v>
      </c>
      <c r="AM1861" t="s">
        <v>53</v>
      </c>
      <c r="AN1861" t="s">
        <v>127</v>
      </c>
      <c r="AO1861" t="s">
        <v>53</v>
      </c>
      <c r="AP1861" t="s">
        <v>53</v>
      </c>
    </row>
    <row r="1862" spans="2:42" x14ac:dyDescent="0.2">
      <c r="B1862" t="s">
        <v>44</v>
      </c>
      <c r="C1862" t="str">
        <f>HYPERLINK("https://us2.cloudbeds.com/connect/8493803454333002#/reservations/598083498180?display=E13DRW72&amp;reservation_id=598083498180", "E13DRW72")</f>
        <v>E13DRW72</v>
      </c>
      <c r="D1862" t="s">
        <v>45</v>
      </c>
      <c r="E1862" t="s">
        <v>305</v>
      </c>
      <c r="F1862" t="s">
        <v>61</v>
      </c>
      <c r="G1862" t="s">
        <v>48</v>
      </c>
      <c r="H1862" t="s">
        <v>49</v>
      </c>
      <c r="I1862" t="s">
        <v>79</v>
      </c>
      <c r="J1862" t="s">
        <v>762</v>
      </c>
      <c r="K1862" t="s">
        <v>356</v>
      </c>
      <c r="L1862" t="s">
        <v>53</v>
      </c>
      <c r="N1862" t="s">
        <v>3066</v>
      </c>
      <c r="P1862" t="s">
        <v>55</v>
      </c>
      <c r="R1862" t="s">
        <v>56</v>
      </c>
      <c r="T1862" t="s">
        <v>3059</v>
      </c>
      <c r="U1862" t="s">
        <v>58</v>
      </c>
      <c r="V1862">
        <v>1</v>
      </c>
      <c r="W1862">
        <v>1</v>
      </c>
      <c r="X1862">
        <v>1</v>
      </c>
      <c r="Y1862">
        <v>0</v>
      </c>
      <c r="Z1862">
        <v>1</v>
      </c>
      <c r="AA1862">
        <v>0</v>
      </c>
      <c r="AB1862">
        <v>165.7</v>
      </c>
      <c r="AC1862">
        <v>145.80000000000001</v>
      </c>
      <c r="AD1862">
        <v>0</v>
      </c>
      <c r="AE1862">
        <v>19.899999999999999</v>
      </c>
      <c r="AF1862">
        <v>0</v>
      </c>
      <c r="AG1862">
        <v>0</v>
      </c>
      <c r="AH1862">
        <v>0</v>
      </c>
      <c r="AI1862">
        <v>0</v>
      </c>
      <c r="AJ1862">
        <v>165.7</v>
      </c>
      <c r="AK1862">
        <v>0</v>
      </c>
      <c r="AL1862" t="s">
        <v>53</v>
      </c>
      <c r="AM1862" t="s">
        <v>53</v>
      </c>
      <c r="AN1862" t="s">
        <v>84</v>
      </c>
      <c r="AO1862" t="s">
        <v>53</v>
      </c>
      <c r="AP1862" t="s">
        <v>53</v>
      </c>
    </row>
    <row r="1863" spans="2:42" x14ac:dyDescent="0.2">
      <c r="B1863" t="s">
        <v>44</v>
      </c>
      <c r="C1863" t="str">
        <f>HYPERLINK("https://us2.cloudbeds.com/connect/8493803454333002#/reservations/579194048665?display=DJFZP6X0&amp;reservation_id=579194048665", "DJFZP6X0")</f>
        <v>DJFZP6X0</v>
      </c>
      <c r="D1863" t="s">
        <v>45</v>
      </c>
      <c r="E1863" t="s">
        <v>223</v>
      </c>
      <c r="F1863" t="s">
        <v>47</v>
      </c>
      <c r="G1863" t="s">
        <v>48</v>
      </c>
      <c r="H1863" t="s">
        <v>49</v>
      </c>
      <c r="I1863" t="s">
        <v>62</v>
      </c>
      <c r="J1863" t="s">
        <v>1296</v>
      </c>
      <c r="K1863" t="s">
        <v>1660</v>
      </c>
      <c r="L1863" t="s">
        <v>53</v>
      </c>
      <c r="N1863" t="s">
        <v>3067</v>
      </c>
      <c r="P1863" t="s">
        <v>55</v>
      </c>
      <c r="R1863" t="s">
        <v>118</v>
      </c>
      <c r="T1863" t="s">
        <v>3059</v>
      </c>
      <c r="U1863" t="s">
        <v>58</v>
      </c>
      <c r="V1863">
        <v>1</v>
      </c>
      <c r="W1863">
        <v>1</v>
      </c>
      <c r="X1863">
        <v>1</v>
      </c>
      <c r="Y1863">
        <v>0</v>
      </c>
      <c r="Z1863">
        <v>1</v>
      </c>
      <c r="AA1863">
        <v>0</v>
      </c>
      <c r="AB1863">
        <v>170.48</v>
      </c>
      <c r="AC1863">
        <v>150</v>
      </c>
      <c r="AD1863">
        <v>0</v>
      </c>
      <c r="AE1863">
        <v>20.48</v>
      </c>
      <c r="AF1863">
        <v>0</v>
      </c>
      <c r="AG1863">
        <v>0</v>
      </c>
      <c r="AH1863">
        <v>0</v>
      </c>
      <c r="AI1863">
        <v>25.57</v>
      </c>
      <c r="AJ1863">
        <v>170.48</v>
      </c>
      <c r="AK1863">
        <v>0</v>
      </c>
      <c r="AL1863" t="s">
        <v>53</v>
      </c>
      <c r="AM1863" t="s">
        <v>53</v>
      </c>
      <c r="AN1863" t="s">
        <v>198</v>
      </c>
      <c r="AO1863" t="s">
        <v>53</v>
      </c>
      <c r="AP1863" t="s">
        <v>53</v>
      </c>
    </row>
    <row r="1864" spans="2:42" x14ac:dyDescent="0.2">
      <c r="B1864" t="s">
        <v>44</v>
      </c>
      <c r="C1864" t="str">
        <f>HYPERLINK("https://us2.cloudbeds.com/connect/8493803454333002#/reservations/598540927202?display=E1F3XK7J&amp;reservation_id=598540927202", "E1F3XK7J")</f>
        <v>E1F3XK7J</v>
      </c>
      <c r="D1864" t="s">
        <v>45</v>
      </c>
      <c r="E1864" t="s">
        <v>98</v>
      </c>
      <c r="F1864" t="s">
        <v>86</v>
      </c>
      <c r="G1864" t="s">
        <v>48</v>
      </c>
      <c r="H1864" t="s">
        <v>49</v>
      </c>
      <c r="I1864" t="s">
        <v>62</v>
      </c>
      <c r="J1864" t="s">
        <v>356</v>
      </c>
      <c r="K1864" t="s">
        <v>478</v>
      </c>
      <c r="L1864" t="s">
        <v>53</v>
      </c>
      <c r="N1864" t="s">
        <v>3068</v>
      </c>
      <c r="P1864" t="s">
        <v>55</v>
      </c>
      <c r="R1864" t="s">
        <v>56</v>
      </c>
      <c r="T1864" t="s">
        <v>3059</v>
      </c>
      <c r="U1864" t="s">
        <v>58</v>
      </c>
      <c r="V1864">
        <v>1</v>
      </c>
      <c r="W1864">
        <v>1</v>
      </c>
      <c r="X1864">
        <v>1</v>
      </c>
      <c r="Y1864">
        <v>0</v>
      </c>
      <c r="Z1864">
        <v>1</v>
      </c>
      <c r="AA1864">
        <v>0</v>
      </c>
      <c r="AB1864">
        <v>184.11</v>
      </c>
      <c r="AC1864">
        <v>162</v>
      </c>
      <c r="AD1864">
        <v>0</v>
      </c>
      <c r="AE1864">
        <v>22.12</v>
      </c>
      <c r="AF1864">
        <v>0</v>
      </c>
      <c r="AG1864">
        <v>0</v>
      </c>
      <c r="AH1864">
        <v>0</v>
      </c>
      <c r="AI1864">
        <v>27.62</v>
      </c>
      <c r="AJ1864">
        <v>184.12</v>
      </c>
      <c r="AK1864">
        <v>0.01</v>
      </c>
      <c r="AL1864" t="s">
        <v>53</v>
      </c>
      <c r="AM1864" t="s">
        <v>53</v>
      </c>
      <c r="AN1864" t="s">
        <v>316</v>
      </c>
      <c r="AO1864" t="s">
        <v>53</v>
      </c>
      <c r="AP1864" t="s">
        <v>53</v>
      </c>
    </row>
    <row r="1865" spans="2:42" x14ac:dyDescent="0.2">
      <c r="B1865" t="s">
        <v>44</v>
      </c>
      <c r="C1865" t="str">
        <f>HYPERLINK("https://us2.cloudbeds.com/connect/8493803454333002#/reservations/598216016090?display=E16QJFUA&amp;reservation_id=598216016090", "E16QJFUA")</f>
        <v>E16QJFUA</v>
      </c>
      <c r="D1865" t="s">
        <v>45</v>
      </c>
      <c r="E1865" t="s">
        <v>373</v>
      </c>
      <c r="F1865" t="s">
        <v>47</v>
      </c>
      <c r="G1865" t="s">
        <v>48</v>
      </c>
      <c r="H1865" t="s">
        <v>71</v>
      </c>
      <c r="I1865" t="s">
        <v>72</v>
      </c>
      <c r="J1865" t="s">
        <v>762</v>
      </c>
      <c r="K1865" t="s">
        <v>356</v>
      </c>
      <c r="L1865" t="s">
        <v>53</v>
      </c>
      <c r="N1865" t="s">
        <v>3069</v>
      </c>
      <c r="P1865" t="s">
        <v>55</v>
      </c>
      <c r="R1865" t="s">
        <v>56</v>
      </c>
      <c r="T1865" t="s">
        <v>3059</v>
      </c>
      <c r="U1865" t="s">
        <v>58</v>
      </c>
      <c r="V1865">
        <v>1</v>
      </c>
      <c r="W1865">
        <v>1</v>
      </c>
      <c r="X1865">
        <v>1</v>
      </c>
      <c r="Y1865">
        <v>0</v>
      </c>
      <c r="Z1865">
        <v>1</v>
      </c>
      <c r="AA1865">
        <v>0</v>
      </c>
      <c r="AB1865">
        <v>159.11000000000001</v>
      </c>
      <c r="AC1865">
        <v>140</v>
      </c>
      <c r="AD1865">
        <v>0</v>
      </c>
      <c r="AE1865">
        <v>19.11</v>
      </c>
      <c r="AF1865">
        <v>0</v>
      </c>
      <c r="AG1865">
        <v>0</v>
      </c>
      <c r="AH1865">
        <v>0</v>
      </c>
      <c r="AI1865">
        <v>0</v>
      </c>
      <c r="AJ1865">
        <v>159.11000000000001</v>
      </c>
      <c r="AK1865">
        <v>0</v>
      </c>
      <c r="AL1865" t="s">
        <v>53</v>
      </c>
      <c r="AM1865" t="s">
        <v>53</v>
      </c>
      <c r="AN1865" t="s">
        <v>378</v>
      </c>
      <c r="AO1865" t="s">
        <v>53</v>
      </c>
      <c r="AP1865" t="s">
        <v>53</v>
      </c>
    </row>
    <row r="1866" spans="2:42" x14ac:dyDescent="0.2">
      <c r="B1866" t="s">
        <v>44</v>
      </c>
      <c r="C1866" t="str">
        <f>HYPERLINK("https://us2.cloudbeds.com/connect/8493803454333002#/reservations/598577807496?display=E1G1YSE7&amp;reservation_id=598577807496", "E1G1YSE7")</f>
        <v>E1G1YSE7</v>
      </c>
      <c r="D1866" t="s">
        <v>45</v>
      </c>
      <c r="E1866" t="s">
        <v>265</v>
      </c>
      <c r="F1866" t="s">
        <v>61</v>
      </c>
      <c r="G1866" t="s">
        <v>48</v>
      </c>
      <c r="H1866" t="s">
        <v>49</v>
      </c>
      <c r="I1866" t="s">
        <v>79</v>
      </c>
      <c r="J1866" t="s">
        <v>489</v>
      </c>
      <c r="K1866" t="s">
        <v>1568</v>
      </c>
      <c r="L1866" t="s">
        <v>53</v>
      </c>
      <c r="N1866" t="s">
        <v>3070</v>
      </c>
      <c r="P1866" t="s">
        <v>55</v>
      </c>
      <c r="R1866" t="s">
        <v>56</v>
      </c>
      <c r="T1866" t="s">
        <v>3059</v>
      </c>
      <c r="U1866" t="s">
        <v>58</v>
      </c>
      <c r="V1866">
        <v>1</v>
      </c>
      <c r="W1866">
        <v>1</v>
      </c>
      <c r="X1866">
        <v>1</v>
      </c>
      <c r="Y1866">
        <v>0</v>
      </c>
      <c r="Z1866">
        <v>1</v>
      </c>
      <c r="AA1866">
        <v>0</v>
      </c>
      <c r="AB1866">
        <v>164.68</v>
      </c>
      <c r="AC1866">
        <v>144.9</v>
      </c>
      <c r="AD1866">
        <v>0</v>
      </c>
      <c r="AE1866">
        <v>19.78</v>
      </c>
      <c r="AF1866">
        <v>0</v>
      </c>
      <c r="AG1866">
        <v>0</v>
      </c>
      <c r="AH1866">
        <v>0</v>
      </c>
      <c r="AI1866">
        <v>0</v>
      </c>
      <c r="AJ1866">
        <v>164.68</v>
      </c>
      <c r="AK1866">
        <v>0</v>
      </c>
      <c r="AL1866" t="s">
        <v>53</v>
      </c>
      <c r="AM1866" t="s">
        <v>53</v>
      </c>
      <c r="AN1866" t="s">
        <v>245</v>
      </c>
      <c r="AO1866" t="s">
        <v>53</v>
      </c>
      <c r="AP1866" t="s">
        <v>53</v>
      </c>
    </row>
    <row r="1867" spans="2:42" x14ac:dyDescent="0.2">
      <c r="B1867" t="s">
        <v>44</v>
      </c>
      <c r="C1867" t="str">
        <f>HYPERLINK("https://us2.cloudbeds.com/connect/8493803454333002#/reservations/598399525002?display=E1BGATAE&amp;reservation_id=598399525002", "E1BGATAE")</f>
        <v>E1BGATAE</v>
      </c>
      <c r="D1867" t="s">
        <v>45</v>
      </c>
      <c r="E1867" t="s">
        <v>265</v>
      </c>
      <c r="F1867" t="s">
        <v>61</v>
      </c>
      <c r="G1867" t="s">
        <v>48</v>
      </c>
      <c r="H1867" t="s">
        <v>49</v>
      </c>
      <c r="I1867" t="s">
        <v>79</v>
      </c>
      <c r="J1867" t="s">
        <v>88</v>
      </c>
      <c r="K1867" t="s">
        <v>327</v>
      </c>
      <c r="L1867" t="s">
        <v>53</v>
      </c>
      <c r="N1867" t="s">
        <v>3071</v>
      </c>
      <c r="P1867" t="s">
        <v>55</v>
      </c>
      <c r="R1867" t="s">
        <v>56</v>
      </c>
      <c r="T1867" t="s">
        <v>3059</v>
      </c>
      <c r="U1867" t="s">
        <v>58</v>
      </c>
      <c r="V1867">
        <v>1</v>
      </c>
      <c r="W1867">
        <v>1</v>
      </c>
      <c r="X1867">
        <v>1</v>
      </c>
      <c r="Y1867">
        <v>0</v>
      </c>
      <c r="Z1867">
        <v>1</v>
      </c>
      <c r="AA1867">
        <v>0</v>
      </c>
      <c r="AB1867">
        <v>176.95</v>
      </c>
      <c r="AC1867">
        <v>155.69999999999999</v>
      </c>
      <c r="AD1867">
        <v>0</v>
      </c>
      <c r="AE1867">
        <v>21.25</v>
      </c>
      <c r="AF1867">
        <v>0</v>
      </c>
      <c r="AG1867">
        <v>0</v>
      </c>
      <c r="AH1867">
        <v>0</v>
      </c>
      <c r="AI1867">
        <v>0</v>
      </c>
      <c r="AJ1867">
        <v>176.95</v>
      </c>
      <c r="AK1867">
        <v>0</v>
      </c>
      <c r="AL1867" t="s">
        <v>53</v>
      </c>
      <c r="AM1867" t="s">
        <v>53</v>
      </c>
      <c r="AN1867" t="s">
        <v>146</v>
      </c>
      <c r="AO1867" t="s">
        <v>53</v>
      </c>
      <c r="AP1867" t="s">
        <v>53</v>
      </c>
    </row>
    <row r="1868" spans="2:42" x14ac:dyDescent="0.2">
      <c r="B1868" t="s">
        <v>44</v>
      </c>
      <c r="C1868" t="str">
        <f>HYPERLINK("https://us2.cloudbeds.com/connect/8493803454333002#/reservations/598477070503?display=E1DFNNA3&amp;reservation_id=598477070503", "E1DFNNA3")</f>
        <v>E1DFNNA3</v>
      </c>
      <c r="D1868" t="s">
        <v>45</v>
      </c>
      <c r="E1868" t="s">
        <v>92</v>
      </c>
      <c r="F1868" t="s">
        <v>86</v>
      </c>
      <c r="G1868" t="s">
        <v>48</v>
      </c>
      <c r="H1868" t="s">
        <v>49</v>
      </c>
      <c r="I1868" t="s">
        <v>79</v>
      </c>
      <c r="J1868" t="s">
        <v>762</v>
      </c>
      <c r="K1868" t="s">
        <v>356</v>
      </c>
      <c r="L1868" t="s">
        <v>53</v>
      </c>
      <c r="N1868" t="s">
        <v>3072</v>
      </c>
      <c r="P1868" t="s">
        <v>55</v>
      </c>
      <c r="R1868" t="s">
        <v>56</v>
      </c>
      <c r="T1868" t="s">
        <v>3059</v>
      </c>
      <c r="U1868" t="s">
        <v>58</v>
      </c>
      <c r="V1868">
        <v>1</v>
      </c>
      <c r="W1868">
        <v>1</v>
      </c>
      <c r="X1868">
        <v>1</v>
      </c>
      <c r="Y1868">
        <v>0</v>
      </c>
      <c r="Z1868">
        <v>1</v>
      </c>
      <c r="AA1868">
        <v>0</v>
      </c>
      <c r="AB1868">
        <v>172.86</v>
      </c>
      <c r="AC1868">
        <v>152.1</v>
      </c>
      <c r="AD1868">
        <v>0</v>
      </c>
      <c r="AE1868">
        <v>20.76</v>
      </c>
      <c r="AF1868">
        <v>0</v>
      </c>
      <c r="AG1868">
        <v>0</v>
      </c>
      <c r="AH1868">
        <v>0</v>
      </c>
      <c r="AI1868">
        <v>0</v>
      </c>
      <c r="AJ1868">
        <v>172.86</v>
      </c>
      <c r="AK1868">
        <v>0</v>
      </c>
      <c r="AL1868" t="s">
        <v>53</v>
      </c>
      <c r="AM1868" t="s">
        <v>53</v>
      </c>
      <c r="AN1868" t="s">
        <v>68</v>
      </c>
      <c r="AO1868" t="s">
        <v>53</v>
      </c>
      <c r="AP1868" t="s">
        <v>53</v>
      </c>
    </row>
    <row r="1869" spans="2:42" x14ac:dyDescent="0.2">
      <c r="B1869" t="s">
        <v>44</v>
      </c>
      <c r="C1869" t="str">
        <f>HYPERLINK("https://us2.cloudbeds.com/connect/8493803454333002#/reservations/598234890439?display=E179GMZ9&amp;reservation_id=598234890439", "E179GMZ9")</f>
        <v>E179GMZ9</v>
      </c>
      <c r="D1869" t="s">
        <v>45</v>
      </c>
      <c r="E1869" t="s">
        <v>155</v>
      </c>
      <c r="F1869" t="s">
        <v>86</v>
      </c>
      <c r="G1869" t="s">
        <v>48</v>
      </c>
      <c r="H1869" t="s">
        <v>71</v>
      </c>
      <c r="I1869" t="s">
        <v>72</v>
      </c>
      <c r="J1869" t="s">
        <v>289</v>
      </c>
      <c r="K1869" t="s">
        <v>568</v>
      </c>
      <c r="L1869" t="s">
        <v>53</v>
      </c>
      <c r="N1869" t="s">
        <v>3073</v>
      </c>
      <c r="P1869" t="s">
        <v>58</v>
      </c>
      <c r="R1869" t="s">
        <v>56</v>
      </c>
      <c r="T1869" t="s">
        <v>3059</v>
      </c>
      <c r="U1869" t="s">
        <v>58</v>
      </c>
      <c r="V1869">
        <v>1</v>
      </c>
      <c r="W1869">
        <v>1</v>
      </c>
      <c r="X1869">
        <v>1</v>
      </c>
      <c r="Y1869">
        <v>0</v>
      </c>
      <c r="Z1869">
        <v>1</v>
      </c>
      <c r="AA1869">
        <v>0</v>
      </c>
      <c r="AB1869">
        <v>175.02</v>
      </c>
      <c r="AC1869">
        <v>154</v>
      </c>
      <c r="AD1869">
        <v>0</v>
      </c>
      <c r="AE1869">
        <v>21.03</v>
      </c>
      <c r="AF1869">
        <v>0</v>
      </c>
      <c r="AG1869">
        <v>0</v>
      </c>
      <c r="AH1869">
        <v>0</v>
      </c>
      <c r="AI1869">
        <v>0</v>
      </c>
      <c r="AJ1869">
        <v>175.03</v>
      </c>
      <c r="AK1869">
        <v>0.01</v>
      </c>
      <c r="AL1869" t="s">
        <v>53</v>
      </c>
      <c r="AM1869" t="s">
        <v>53</v>
      </c>
      <c r="AN1869" t="s">
        <v>378</v>
      </c>
      <c r="AO1869" t="s">
        <v>53</v>
      </c>
      <c r="AP1869" t="s">
        <v>53</v>
      </c>
    </row>
    <row r="1870" spans="2:42" x14ac:dyDescent="0.2">
      <c r="B1870" t="s">
        <v>44</v>
      </c>
      <c r="C1870" t="str">
        <f>HYPERLINK("https://us2.cloudbeds.com/connect/8493803454333002#/reservations/598191571133?display=E165W8P0&amp;reservation_id=598191571133", "E165W8P0")</f>
        <v>E165W8P0</v>
      </c>
      <c r="D1870" t="s">
        <v>45</v>
      </c>
      <c r="E1870" t="s">
        <v>105</v>
      </c>
      <c r="F1870" t="s">
        <v>47</v>
      </c>
      <c r="G1870" t="s">
        <v>48</v>
      </c>
      <c r="H1870" t="s">
        <v>49</v>
      </c>
      <c r="I1870" t="s">
        <v>114</v>
      </c>
      <c r="J1870" t="s">
        <v>762</v>
      </c>
      <c r="K1870" t="s">
        <v>356</v>
      </c>
      <c r="L1870" t="s">
        <v>53</v>
      </c>
      <c r="N1870" t="s">
        <v>3074</v>
      </c>
      <c r="P1870" t="s">
        <v>55</v>
      </c>
      <c r="R1870" t="s">
        <v>56</v>
      </c>
      <c r="T1870" t="s">
        <v>3059</v>
      </c>
      <c r="U1870" t="s">
        <v>58</v>
      </c>
      <c r="V1870">
        <v>1</v>
      </c>
      <c r="W1870">
        <v>1</v>
      </c>
      <c r="X1870">
        <v>1</v>
      </c>
      <c r="Y1870">
        <v>0</v>
      </c>
      <c r="Z1870">
        <v>1</v>
      </c>
      <c r="AA1870">
        <v>0</v>
      </c>
      <c r="AB1870">
        <v>169.34</v>
      </c>
      <c r="AC1870">
        <v>149</v>
      </c>
      <c r="AD1870">
        <v>0</v>
      </c>
      <c r="AE1870">
        <v>20.34</v>
      </c>
      <c r="AF1870">
        <v>0</v>
      </c>
      <c r="AG1870">
        <v>0</v>
      </c>
      <c r="AH1870">
        <v>0</v>
      </c>
      <c r="AI1870">
        <v>0</v>
      </c>
      <c r="AJ1870">
        <v>169.34</v>
      </c>
      <c r="AK1870">
        <v>0</v>
      </c>
      <c r="AL1870" t="s">
        <v>53</v>
      </c>
      <c r="AM1870" t="s">
        <v>53</v>
      </c>
      <c r="AN1870" t="s">
        <v>3075</v>
      </c>
      <c r="AO1870" t="s">
        <v>53</v>
      </c>
      <c r="AP1870" t="s">
        <v>53</v>
      </c>
    </row>
    <row r="1871" spans="2:42" x14ac:dyDescent="0.2">
      <c r="B1871" t="s">
        <v>44</v>
      </c>
      <c r="C1871" t="str">
        <f>HYPERLINK("https://us2.cloudbeds.com/connect/8493803454333002#/reservations/598529675474?display=E1ER2H24&amp;reservation_id=598529675474", "E1ER2H24")</f>
        <v>E1ER2H24</v>
      </c>
      <c r="D1871" t="s">
        <v>45</v>
      </c>
      <c r="E1871" t="s">
        <v>98</v>
      </c>
      <c r="F1871" t="s">
        <v>86</v>
      </c>
      <c r="G1871" t="s">
        <v>48</v>
      </c>
      <c r="H1871" t="s">
        <v>49</v>
      </c>
      <c r="I1871" t="s">
        <v>79</v>
      </c>
      <c r="J1871" t="s">
        <v>762</v>
      </c>
      <c r="K1871" t="s">
        <v>356</v>
      </c>
      <c r="L1871" t="s">
        <v>53</v>
      </c>
      <c r="N1871" t="s">
        <v>3076</v>
      </c>
      <c r="P1871" t="s">
        <v>55</v>
      </c>
      <c r="R1871" t="s">
        <v>56</v>
      </c>
      <c r="T1871" t="s">
        <v>3059</v>
      </c>
      <c r="U1871" t="s">
        <v>58</v>
      </c>
      <c r="V1871">
        <v>1</v>
      </c>
      <c r="W1871">
        <v>1</v>
      </c>
      <c r="X1871">
        <v>1</v>
      </c>
      <c r="Y1871">
        <v>0</v>
      </c>
      <c r="Z1871">
        <v>1</v>
      </c>
      <c r="AA1871">
        <v>0</v>
      </c>
      <c r="AB1871">
        <v>172.86</v>
      </c>
      <c r="AC1871">
        <v>152.1</v>
      </c>
      <c r="AD1871">
        <v>0</v>
      </c>
      <c r="AE1871">
        <v>20.76</v>
      </c>
      <c r="AF1871">
        <v>0</v>
      </c>
      <c r="AG1871">
        <v>0</v>
      </c>
      <c r="AH1871">
        <v>0</v>
      </c>
      <c r="AI1871">
        <v>0</v>
      </c>
      <c r="AJ1871">
        <v>172.86</v>
      </c>
      <c r="AK1871">
        <v>0</v>
      </c>
      <c r="AL1871" t="s">
        <v>53</v>
      </c>
      <c r="AM1871" t="s">
        <v>53</v>
      </c>
      <c r="AN1871" t="s">
        <v>84</v>
      </c>
      <c r="AO1871" t="s">
        <v>53</v>
      </c>
      <c r="AP1871" t="s">
        <v>53</v>
      </c>
    </row>
    <row r="1872" spans="2:42" x14ac:dyDescent="0.2">
      <c r="B1872" t="s">
        <v>44</v>
      </c>
      <c r="C1872" t="str">
        <f>HYPERLINK("https://us2.cloudbeds.com/connect/8493803454333002#/reservations/598503706834?display=E1E55TZY&amp;reservation_id=598503706834", "E1E55TZY")</f>
        <v>E1E55TZY</v>
      </c>
      <c r="D1872" t="s">
        <v>45</v>
      </c>
      <c r="E1872" t="s">
        <v>113</v>
      </c>
      <c r="F1872" t="s">
        <v>61</v>
      </c>
      <c r="G1872" t="s">
        <v>48</v>
      </c>
      <c r="H1872" t="s">
        <v>71</v>
      </c>
      <c r="I1872" t="s">
        <v>72</v>
      </c>
      <c r="J1872" t="s">
        <v>327</v>
      </c>
      <c r="K1872" t="s">
        <v>970</v>
      </c>
      <c r="L1872" t="s">
        <v>53</v>
      </c>
      <c r="N1872" t="s">
        <v>3077</v>
      </c>
      <c r="P1872" t="s">
        <v>55</v>
      </c>
      <c r="R1872" t="s">
        <v>56</v>
      </c>
      <c r="T1872" t="s">
        <v>3078</v>
      </c>
      <c r="U1872" t="s">
        <v>58</v>
      </c>
      <c r="V1872">
        <v>1</v>
      </c>
      <c r="W1872">
        <v>1</v>
      </c>
      <c r="X1872">
        <v>1</v>
      </c>
      <c r="Y1872">
        <v>0</v>
      </c>
      <c r="Z1872">
        <v>1</v>
      </c>
      <c r="AA1872">
        <v>0</v>
      </c>
      <c r="AB1872">
        <v>190.93</v>
      </c>
      <c r="AC1872">
        <v>168</v>
      </c>
      <c r="AD1872">
        <v>0</v>
      </c>
      <c r="AE1872">
        <v>22.93</v>
      </c>
      <c r="AF1872">
        <v>0</v>
      </c>
      <c r="AG1872">
        <v>0</v>
      </c>
      <c r="AH1872">
        <v>0</v>
      </c>
      <c r="AI1872">
        <v>0</v>
      </c>
      <c r="AJ1872">
        <v>190.93</v>
      </c>
      <c r="AK1872">
        <v>0</v>
      </c>
      <c r="AL1872" t="s">
        <v>53</v>
      </c>
      <c r="AM1872" t="s">
        <v>53</v>
      </c>
      <c r="AN1872" t="s">
        <v>378</v>
      </c>
      <c r="AO1872" t="s">
        <v>53</v>
      </c>
      <c r="AP1872" t="s">
        <v>53</v>
      </c>
    </row>
    <row r="1873" spans="2:42" x14ac:dyDescent="0.2">
      <c r="B1873" t="s">
        <v>44</v>
      </c>
      <c r="C1873" t="str">
        <f>HYPERLINK("https://us2.cloudbeds.com/connect/8493803454333002#/reservations/598553378949?display=E1FE23B8&amp;reservation_id=598553378949", "E1FE23B8")</f>
        <v>E1FE23B8</v>
      </c>
      <c r="D1873" t="s">
        <v>45</v>
      </c>
      <c r="E1873" t="s">
        <v>128</v>
      </c>
      <c r="F1873" t="s">
        <v>86</v>
      </c>
      <c r="G1873" t="s">
        <v>48</v>
      </c>
      <c r="H1873" t="s">
        <v>49</v>
      </c>
      <c r="I1873" t="s">
        <v>79</v>
      </c>
      <c r="J1873" t="s">
        <v>762</v>
      </c>
      <c r="K1873" t="s">
        <v>356</v>
      </c>
      <c r="L1873" t="s">
        <v>53</v>
      </c>
      <c r="N1873" t="s">
        <v>3079</v>
      </c>
      <c r="P1873" t="s">
        <v>55</v>
      </c>
      <c r="R1873" t="s">
        <v>56</v>
      </c>
      <c r="T1873" t="s">
        <v>3078</v>
      </c>
      <c r="U1873" t="s">
        <v>58</v>
      </c>
      <c r="V1873">
        <v>1</v>
      </c>
      <c r="W1873">
        <v>1</v>
      </c>
      <c r="X1873">
        <v>1</v>
      </c>
      <c r="Y1873">
        <v>0</v>
      </c>
      <c r="Z1873">
        <v>1</v>
      </c>
      <c r="AA1873">
        <v>0</v>
      </c>
      <c r="AB1873">
        <v>162.63</v>
      </c>
      <c r="AC1873">
        <v>143.1</v>
      </c>
      <c r="AD1873">
        <v>0</v>
      </c>
      <c r="AE1873">
        <v>19.53</v>
      </c>
      <c r="AF1873">
        <v>0</v>
      </c>
      <c r="AG1873">
        <v>0</v>
      </c>
      <c r="AH1873">
        <v>0</v>
      </c>
      <c r="AI1873">
        <v>0</v>
      </c>
      <c r="AJ1873">
        <v>162.63</v>
      </c>
      <c r="AK1873">
        <v>0</v>
      </c>
      <c r="AL1873" t="s">
        <v>53</v>
      </c>
      <c r="AM1873" t="s">
        <v>53</v>
      </c>
      <c r="AN1873" t="s">
        <v>252</v>
      </c>
      <c r="AO1873" t="s">
        <v>53</v>
      </c>
      <c r="AP1873" t="s">
        <v>53</v>
      </c>
    </row>
    <row r="1874" spans="2:42" x14ac:dyDescent="0.2">
      <c r="B1874" t="s">
        <v>44</v>
      </c>
      <c r="C1874" t="str">
        <f>HYPERLINK("https://us2.cloudbeds.com/connect/8493803454333002#/reservations/579188375705?display=DJFJWB73&amp;reservation_id=579188375705", "DJFJWB73")</f>
        <v>DJFJWB73</v>
      </c>
      <c r="D1874" t="s">
        <v>45</v>
      </c>
      <c r="E1874" t="s">
        <v>774</v>
      </c>
      <c r="F1874" t="s">
        <v>47</v>
      </c>
      <c r="G1874" t="s">
        <v>48</v>
      </c>
      <c r="H1874" t="s">
        <v>49</v>
      </c>
      <c r="I1874" t="s">
        <v>62</v>
      </c>
      <c r="J1874" t="s">
        <v>1863</v>
      </c>
      <c r="K1874" t="s">
        <v>3080</v>
      </c>
      <c r="L1874" t="s">
        <v>53</v>
      </c>
      <c r="N1874" t="s">
        <v>3081</v>
      </c>
      <c r="P1874" t="s">
        <v>55</v>
      </c>
      <c r="R1874" t="s">
        <v>118</v>
      </c>
      <c r="T1874" t="s">
        <v>3078</v>
      </c>
      <c r="U1874" t="s">
        <v>58</v>
      </c>
      <c r="V1874">
        <v>2</v>
      </c>
      <c r="W1874">
        <v>2</v>
      </c>
      <c r="X1874">
        <v>2</v>
      </c>
      <c r="Y1874">
        <v>0</v>
      </c>
      <c r="Z1874">
        <v>2</v>
      </c>
      <c r="AA1874">
        <v>0</v>
      </c>
      <c r="AB1874">
        <v>329.6</v>
      </c>
      <c r="AC1874">
        <v>290</v>
      </c>
      <c r="AD1874">
        <v>0</v>
      </c>
      <c r="AE1874">
        <v>39.6</v>
      </c>
      <c r="AF1874">
        <v>0</v>
      </c>
      <c r="AG1874">
        <v>0</v>
      </c>
      <c r="AH1874">
        <v>0</v>
      </c>
      <c r="AI1874">
        <v>49.44</v>
      </c>
      <c r="AJ1874">
        <v>329.6</v>
      </c>
      <c r="AK1874">
        <v>0</v>
      </c>
      <c r="AL1874" t="s">
        <v>53</v>
      </c>
      <c r="AM1874" t="s">
        <v>53</v>
      </c>
      <c r="AN1874" t="s">
        <v>225</v>
      </c>
      <c r="AO1874" t="s">
        <v>53</v>
      </c>
      <c r="AP1874" t="s">
        <v>53</v>
      </c>
    </row>
    <row r="1875" spans="2:42" x14ac:dyDescent="0.2">
      <c r="B1875" t="s">
        <v>44</v>
      </c>
      <c r="C1875" t="str">
        <f>HYPERLINK("https://us2.cloudbeds.com/connect/8493803454333002#/reservations/598447980761?display=E1CZ67VP&amp;reservation_id=598447980761", "E1CZ67VP")</f>
        <v>E1CZ67VP</v>
      </c>
      <c r="D1875" t="s">
        <v>45</v>
      </c>
      <c r="E1875" t="s">
        <v>381</v>
      </c>
      <c r="F1875" t="s">
        <v>47</v>
      </c>
      <c r="G1875" t="s">
        <v>48</v>
      </c>
      <c r="H1875" t="s">
        <v>49</v>
      </c>
      <c r="I1875" t="s">
        <v>79</v>
      </c>
      <c r="J1875" t="s">
        <v>1439</v>
      </c>
      <c r="K1875" t="s">
        <v>99</v>
      </c>
      <c r="L1875" t="s">
        <v>53</v>
      </c>
      <c r="N1875" t="s">
        <v>3082</v>
      </c>
      <c r="P1875" t="s">
        <v>55</v>
      </c>
      <c r="R1875" t="s">
        <v>56</v>
      </c>
      <c r="T1875" t="s">
        <v>3078</v>
      </c>
      <c r="U1875" t="s">
        <v>58</v>
      </c>
      <c r="V1875">
        <v>3</v>
      </c>
      <c r="W1875">
        <v>1</v>
      </c>
      <c r="X1875">
        <v>1</v>
      </c>
      <c r="Y1875">
        <v>0</v>
      </c>
      <c r="Z1875">
        <v>1</v>
      </c>
      <c r="AA1875">
        <v>0</v>
      </c>
      <c r="AB1875">
        <v>450.05</v>
      </c>
      <c r="AC1875">
        <v>396</v>
      </c>
      <c r="AD1875">
        <v>0</v>
      </c>
      <c r="AE1875">
        <v>54.06</v>
      </c>
      <c r="AF1875">
        <v>0</v>
      </c>
      <c r="AG1875">
        <v>0</v>
      </c>
      <c r="AH1875">
        <v>0</v>
      </c>
      <c r="AI1875">
        <v>0</v>
      </c>
      <c r="AJ1875">
        <v>450.06</v>
      </c>
      <c r="AK1875">
        <v>0.01</v>
      </c>
      <c r="AL1875" t="s">
        <v>53</v>
      </c>
      <c r="AM1875" t="s">
        <v>53</v>
      </c>
      <c r="AN1875" t="s">
        <v>252</v>
      </c>
      <c r="AO1875" t="s">
        <v>53</v>
      </c>
      <c r="AP1875" t="s">
        <v>53</v>
      </c>
    </row>
    <row r="1876" spans="2:42" x14ac:dyDescent="0.2">
      <c r="B1876" t="s">
        <v>44</v>
      </c>
      <c r="C1876" t="str">
        <f>HYPERLINK("https://us2.cloudbeds.com/connect/8493803454333002#/reservations/598589374714?display=E1GBDZA0&amp;reservation_id=598589374714", "E1GBDZA0")</f>
        <v>E1GBDZA0</v>
      </c>
      <c r="D1876" t="s">
        <v>45</v>
      </c>
      <c r="E1876" t="s">
        <v>223</v>
      </c>
      <c r="F1876" t="s">
        <v>47</v>
      </c>
      <c r="G1876" t="s">
        <v>48</v>
      </c>
      <c r="H1876" t="s">
        <v>71</v>
      </c>
      <c r="I1876" t="s">
        <v>72</v>
      </c>
      <c r="J1876" t="s">
        <v>475</v>
      </c>
      <c r="K1876" t="s">
        <v>762</v>
      </c>
      <c r="L1876" t="s">
        <v>53</v>
      </c>
      <c r="N1876" t="s">
        <v>3083</v>
      </c>
      <c r="P1876" t="s">
        <v>55</v>
      </c>
      <c r="R1876" t="s">
        <v>56</v>
      </c>
      <c r="T1876" t="s">
        <v>3078</v>
      </c>
      <c r="U1876" t="s">
        <v>58</v>
      </c>
      <c r="V1876">
        <v>1</v>
      </c>
      <c r="W1876">
        <v>1</v>
      </c>
      <c r="X1876">
        <v>1</v>
      </c>
      <c r="Y1876">
        <v>0</v>
      </c>
      <c r="Z1876">
        <v>1</v>
      </c>
      <c r="AA1876">
        <v>0</v>
      </c>
      <c r="AB1876">
        <v>169.34</v>
      </c>
      <c r="AC1876">
        <v>149</v>
      </c>
      <c r="AD1876">
        <v>0</v>
      </c>
      <c r="AE1876">
        <v>20.34</v>
      </c>
      <c r="AF1876">
        <v>0</v>
      </c>
      <c r="AG1876">
        <v>0</v>
      </c>
      <c r="AH1876">
        <v>0</v>
      </c>
      <c r="AI1876">
        <v>0</v>
      </c>
      <c r="AJ1876">
        <v>169.34</v>
      </c>
      <c r="AK1876">
        <v>0</v>
      </c>
      <c r="AL1876" t="s">
        <v>53</v>
      </c>
      <c r="AM1876" t="s">
        <v>53</v>
      </c>
      <c r="AN1876" t="s">
        <v>3084</v>
      </c>
      <c r="AO1876" t="s">
        <v>53</v>
      </c>
      <c r="AP1876" t="s">
        <v>53</v>
      </c>
    </row>
    <row r="1877" spans="2:42" x14ac:dyDescent="0.2">
      <c r="B1877" t="s">
        <v>44</v>
      </c>
      <c r="C1877" t="str">
        <f>HYPERLINK("https://us2.cloudbeds.com/connect/8493803454333002#/reservations/598564110466?display=E1FN3NQN&amp;reservation_id=598564110466", "E1FN3NQN")</f>
        <v>E1FN3NQN</v>
      </c>
      <c r="D1877" t="s">
        <v>45</v>
      </c>
      <c r="E1877" t="s">
        <v>165</v>
      </c>
      <c r="F1877" t="s">
        <v>61</v>
      </c>
      <c r="G1877" t="s">
        <v>48</v>
      </c>
      <c r="H1877" t="s">
        <v>49</v>
      </c>
      <c r="I1877" t="s">
        <v>62</v>
      </c>
      <c r="J1877" t="s">
        <v>568</v>
      </c>
      <c r="K1877" t="s">
        <v>180</v>
      </c>
      <c r="L1877" t="s">
        <v>53</v>
      </c>
      <c r="N1877" t="s">
        <v>3085</v>
      </c>
      <c r="P1877" t="s">
        <v>55</v>
      </c>
      <c r="R1877" t="s">
        <v>56</v>
      </c>
      <c r="T1877" t="s">
        <v>3078</v>
      </c>
      <c r="U1877" t="s">
        <v>58</v>
      </c>
      <c r="V1877">
        <v>1</v>
      </c>
      <c r="W1877">
        <v>1</v>
      </c>
      <c r="X1877">
        <v>1</v>
      </c>
      <c r="Y1877">
        <v>0</v>
      </c>
      <c r="Z1877">
        <v>1</v>
      </c>
      <c r="AA1877">
        <v>0</v>
      </c>
      <c r="AB1877">
        <v>184.11</v>
      </c>
      <c r="AC1877">
        <v>162</v>
      </c>
      <c r="AD1877">
        <v>0</v>
      </c>
      <c r="AE1877">
        <v>22.12</v>
      </c>
      <c r="AF1877">
        <v>0</v>
      </c>
      <c r="AG1877">
        <v>0</v>
      </c>
      <c r="AH1877">
        <v>0</v>
      </c>
      <c r="AI1877">
        <v>27.62</v>
      </c>
      <c r="AJ1877">
        <v>184.12</v>
      </c>
      <c r="AK1877">
        <v>0.01</v>
      </c>
      <c r="AL1877" t="s">
        <v>53</v>
      </c>
      <c r="AM1877" t="s">
        <v>53</v>
      </c>
      <c r="AN1877" t="s">
        <v>84</v>
      </c>
      <c r="AO1877" t="s">
        <v>53</v>
      </c>
      <c r="AP1877" t="s">
        <v>53</v>
      </c>
    </row>
    <row r="1878" spans="2:42" x14ac:dyDescent="0.2">
      <c r="B1878" t="s">
        <v>44</v>
      </c>
      <c r="C1878" t="str">
        <f>HYPERLINK("https://us2.cloudbeds.com/connect/8493803454333002#/reservations/598195691685?display=E169EUX8&amp;reservation_id=598195691685", "E169EUX8")</f>
        <v>E169EUX8</v>
      </c>
      <c r="D1878" t="s">
        <v>45</v>
      </c>
      <c r="E1878" t="s">
        <v>265</v>
      </c>
      <c r="F1878" t="s">
        <v>61</v>
      </c>
      <c r="G1878" t="s">
        <v>48</v>
      </c>
      <c r="H1878" t="s">
        <v>49</v>
      </c>
      <c r="I1878" t="s">
        <v>79</v>
      </c>
      <c r="J1878" t="s">
        <v>762</v>
      </c>
      <c r="K1878" t="s">
        <v>356</v>
      </c>
      <c r="L1878" t="s">
        <v>53</v>
      </c>
      <c r="N1878" t="s">
        <v>3086</v>
      </c>
      <c r="P1878" t="s">
        <v>55</v>
      </c>
      <c r="R1878" t="s">
        <v>56</v>
      </c>
      <c r="T1878" t="s">
        <v>3078</v>
      </c>
      <c r="U1878" t="s">
        <v>58</v>
      </c>
      <c r="V1878">
        <v>1</v>
      </c>
      <c r="W1878">
        <v>1</v>
      </c>
      <c r="X1878">
        <v>1</v>
      </c>
      <c r="Y1878">
        <v>0</v>
      </c>
      <c r="Z1878">
        <v>1</v>
      </c>
      <c r="AA1878">
        <v>0</v>
      </c>
      <c r="AB1878">
        <v>184.11</v>
      </c>
      <c r="AC1878">
        <v>162</v>
      </c>
      <c r="AD1878">
        <v>0</v>
      </c>
      <c r="AE1878">
        <v>22.12</v>
      </c>
      <c r="AF1878">
        <v>0</v>
      </c>
      <c r="AG1878">
        <v>0</v>
      </c>
      <c r="AH1878">
        <v>0</v>
      </c>
      <c r="AI1878">
        <v>0</v>
      </c>
      <c r="AJ1878">
        <v>184.12</v>
      </c>
      <c r="AK1878">
        <v>0.01</v>
      </c>
      <c r="AL1878" t="s">
        <v>53</v>
      </c>
      <c r="AM1878" t="s">
        <v>53</v>
      </c>
      <c r="AN1878" t="s">
        <v>316</v>
      </c>
      <c r="AO1878" t="s">
        <v>53</v>
      </c>
      <c r="AP1878" t="s">
        <v>53</v>
      </c>
    </row>
    <row r="1879" spans="2:42" x14ac:dyDescent="0.2">
      <c r="B1879" t="s">
        <v>44</v>
      </c>
      <c r="C1879" t="str">
        <f>HYPERLINK("https://us2.cloudbeds.com/connect/8493803454333002#/reservations/598629142672?display=E1HBVB5Y&amp;reservation_id=598629142672", "E1HBVB5Y")</f>
        <v>E1HBVB5Y</v>
      </c>
      <c r="D1879" t="s">
        <v>45</v>
      </c>
      <c r="E1879" t="s">
        <v>105</v>
      </c>
      <c r="F1879" t="s">
        <v>47</v>
      </c>
      <c r="G1879" t="s">
        <v>48</v>
      </c>
      <c r="H1879" t="s">
        <v>49</v>
      </c>
      <c r="I1879" t="s">
        <v>50</v>
      </c>
      <c r="J1879" t="s">
        <v>152</v>
      </c>
      <c r="K1879" t="s">
        <v>1750</v>
      </c>
      <c r="L1879" t="s">
        <v>53</v>
      </c>
      <c r="N1879" t="s">
        <v>3087</v>
      </c>
      <c r="P1879" t="s">
        <v>55</v>
      </c>
      <c r="R1879" t="s">
        <v>56</v>
      </c>
      <c r="T1879" t="s">
        <v>3078</v>
      </c>
      <c r="U1879" t="s">
        <v>58</v>
      </c>
      <c r="V1879">
        <v>2</v>
      </c>
      <c r="W1879">
        <v>1</v>
      </c>
      <c r="X1879">
        <v>1</v>
      </c>
      <c r="Y1879">
        <v>0</v>
      </c>
      <c r="Z1879">
        <v>1</v>
      </c>
      <c r="AA1879">
        <v>0</v>
      </c>
      <c r="AB1879">
        <v>311.97000000000003</v>
      </c>
      <c r="AC1879">
        <v>274.5</v>
      </c>
      <c r="AD1879">
        <v>0</v>
      </c>
      <c r="AE1879">
        <v>37.479999999999997</v>
      </c>
      <c r="AF1879">
        <v>0</v>
      </c>
      <c r="AG1879">
        <v>0</v>
      </c>
      <c r="AH1879">
        <v>0</v>
      </c>
      <c r="AI1879">
        <v>56.16</v>
      </c>
      <c r="AJ1879">
        <v>311.98</v>
      </c>
      <c r="AK1879">
        <v>0.01</v>
      </c>
      <c r="AL1879" t="s">
        <v>53</v>
      </c>
      <c r="AM1879" t="s">
        <v>53</v>
      </c>
      <c r="AN1879" t="s">
        <v>146</v>
      </c>
      <c r="AO1879" t="s">
        <v>53</v>
      </c>
      <c r="AP1879" t="s">
        <v>53</v>
      </c>
    </row>
    <row r="1880" spans="2:42" x14ac:dyDescent="0.2">
      <c r="B1880" t="s">
        <v>44</v>
      </c>
      <c r="C1880" t="str">
        <f>HYPERLINK("https://us2.cloudbeds.com/connect/8493803454333002#/reservations/598252769488?display=E17ZJ6JY&amp;reservation_id=598252769488", "E17ZJ6JY")</f>
        <v>E17ZJ6JY</v>
      </c>
      <c r="D1880" t="s">
        <v>45</v>
      </c>
      <c r="E1880" t="s">
        <v>190</v>
      </c>
      <c r="F1880" t="s">
        <v>61</v>
      </c>
      <c r="G1880" t="s">
        <v>48</v>
      </c>
      <c r="H1880" t="s">
        <v>49</v>
      </c>
      <c r="I1880" t="s">
        <v>50</v>
      </c>
      <c r="J1880" t="s">
        <v>327</v>
      </c>
      <c r="K1880" t="s">
        <v>970</v>
      </c>
      <c r="L1880" t="s">
        <v>53</v>
      </c>
      <c r="N1880" t="s">
        <v>3088</v>
      </c>
      <c r="P1880" t="s">
        <v>55</v>
      </c>
      <c r="R1880" t="s">
        <v>56</v>
      </c>
      <c r="T1880" t="s">
        <v>3078</v>
      </c>
      <c r="U1880" t="s">
        <v>58</v>
      </c>
      <c r="V1880">
        <v>1</v>
      </c>
      <c r="W1880">
        <v>1</v>
      </c>
      <c r="X1880">
        <v>1</v>
      </c>
      <c r="Y1880">
        <v>0</v>
      </c>
      <c r="Z1880">
        <v>1</v>
      </c>
      <c r="AA1880">
        <v>0</v>
      </c>
      <c r="AB1880">
        <v>176.95</v>
      </c>
      <c r="AC1880">
        <v>155.69999999999999</v>
      </c>
      <c r="AD1880">
        <v>0</v>
      </c>
      <c r="AE1880">
        <v>21.25</v>
      </c>
      <c r="AF1880">
        <v>0</v>
      </c>
      <c r="AG1880">
        <v>0</v>
      </c>
      <c r="AH1880">
        <v>0</v>
      </c>
      <c r="AI1880">
        <v>31.85</v>
      </c>
      <c r="AJ1880">
        <v>176.95</v>
      </c>
      <c r="AK1880">
        <v>0</v>
      </c>
      <c r="AL1880" t="s">
        <v>53</v>
      </c>
      <c r="AM1880" t="s">
        <v>53</v>
      </c>
      <c r="AN1880" t="s">
        <v>3089</v>
      </c>
      <c r="AO1880" t="s">
        <v>53</v>
      </c>
      <c r="AP1880" t="s">
        <v>53</v>
      </c>
    </row>
    <row r="1881" spans="2:42" x14ac:dyDescent="0.2">
      <c r="B1881" t="s">
        <v>44</v>
      </c>
      <c r="C1881" t="str">
        <f>HYPERLINK("https://us2.cloudbeds.com/connect/8493803454333002#/reservations/598576939168?display=E1G0UN29&amp;reservation_id=598576939168", "E1G0UN29")</f>
        <v>E1G0UN29</v>
      </c>
      <c r="D1881" t="s">
        <v>45</v>
      </c>
      <c r="E1881" t="s">
        <v>138</v>
      </c>
      <c r="F1881" t="s">
        <v>70</v>
      </c>
      <c r="G1881" t="s">
        <v>48</v>
      </c>
      <c r="H1881" t="s">
        <v>49</v>
      </c>
      <c r="I1881" t="s">
        <v>79</v>
      </c>
      <c r="J1881" t="s">
        <v>236</v>
      </c>
      <c r="K1881" t="s">
        <v>525</v>
      </c>
      <c r="L1881" t="s">
        <v>53</v>
      </c>
      <c r="N1881" t="s">
        <v>3090</v>
      </c>
      <c r="P1881" t="s">
        <v>55</v>
      </c>
      <c r="R1881" t="s">
        <v>56</v>
      </c>
      <c r="T1881" t="s">
        <v>3078</v>
      </c>
      <c r="U1881" t="s">
        <v>58</v>
      </c>
      <c r="V1881">
        <v>2</v>
      </c>
      <c r="W1881">
        <v>1</v>
      </c>
      <c r="X1881">
        <v>1</v>
      </c>
      <c r="Y1881">
        <v>0</v>
      </c>
      <c r="Z1881">
        <v>1</v>
      </c>
      <c r="AA1881">
        <v>0</v>
      </c>
      <c r="AB1881">
        <v>288.44</v>
      </c>
      <c r="AC1881">
        <v>253.8</v>
      </c>
      <c r="AD1881">
        <v>0</v>
      </c>
      <c r="AE1881">
        <v>34.64</v>
      </c>
      <c r="AF1881">
        <v>0</v>
      </c>
      <c r="AG1881">
        <v>0</v>
      </c>
      <c r="AH1881">
        <v>0</v>
      </c>
      <c r="AI1881">
        <v>0</v>
      </c>
      <c r="AJ1881">
        <v>288.44</v>
      </c>
      <c r="AK1881">
        <v>0</v>
      </c>
      <c r="AL1881" t="s">
        <v>53</v>
      </c>
      <c r="AM1881" t="s">
        <v>53</v>
      </c>
      <c r="AN1881" t="s">
        <v>127</v>
      </c>
      <c r="AO1881" t="s">
        <v>53</v>
      </c>
      <c r="AP1881" t="s">
        <v>53</v>
      </c>
    </row>
    <row r="1882" spans="2:42" x14ac:dyDescent="0.2">
      <c r="B1882" t="s">
        <v>44</v>
      </c>
      <c r="C1882" t="str">
        <f>HYPERLINK("https://us2.cloudbeds.com/connect/8493803454333002#/reservations/598370971858?display=E1AP8BNK&amp;reservation_id=598370971858", "E1AP8BNK")</f>
        <v>E1AP8BNK</v>
      </c>
      <c r="D1882" t="s">
        <v>45</v>
      </c>
      <c r="E1882" t="s">
        <v>305</v>
      </c>
      <c r="F1882" t="s">
        <v>61</v>
      </c>
      <c r="G1882" t="s">
        <v>48</v>
      </c>
      <c r="H1882" t="s">
        <v>71</v>
      </c>
      <c r="I1882" t="s">
        <v>72</v>
      </c>
      <c r="J1882" t="s">
        <v>237</v>
      </c>
      <c r="K1882" t="s">
        <v>525</v>
      </c>
      <c r="L1882" t="s">
        <v>53</v>
      </c>
      <c r="N1882" t="s">
        <v>3091</v>
      </c>
      <c r="P1882" t="s">
        <v>55</v>
      </c>
      <c r="R1882" t="s">
        <v>56</v>
      </c>
      <c r="T1882" t="s">
        <v>3078</v>
      </c>
      <c r="U1882" t="s">
        <v>58</v>
      </c>
      <c r="V1882">
        <v>1</v>
      </c>
      <c r="W1882">
        <v>1</v>
      </c>
      <c r="X1882">
        <v>1</v>
      </c>
      <c r="Y1882">
        <v>0</v>
      </c>
      <c r="Z1882">
        <v>1</v>
      </c>
      <c r="AA1882">
        <v>0</v>
      </c>
      <c r="AB1882">
        <v>169.34</v>
      </c>
      <c r="AC1882">
        <v>149</v>
      </c>
      <c r="AD1882">
        <v>0</v>
      </c>
      <c r="AE1882">
        <v>20.34</v>
      </c>
      <c r="AF1882">
        <v>0</v>
      </c>
      <c r="AG1882">
        <v>0</v>
      </c>
      <c r="AH1882">
        <v>0</v>
      </c>
      <c r="AI1882">
        <v>0</v>
      </c>
      <c r="AJ1882">
        <v>169.34</v>
      </c>
      <c r="AK1882">
        <v>0</v>
      </c>
      <c r="AL1882" t="s">
        <v>53</v>
      </c>
      <c r="AM1882" t="s">
        <v>53</v>
      </c>
      <c r="AN1882" t="s">
        <v>378</v>
      </c>
      <c r="AO1882" t="s">
        <v>53</v>
      </c>
      <c r="AP1882" t="s">
        <v>53</v>
      </c>
    </row>
    <row r="1883" spans="2:42" x14ac:dyDescent="0.2">
      <c r="B1883" t="s">
        <v>44</v>
      </c>
      <c r="C1883" t="str">
        <f>HYPERLINK("https://us2.cloudbeds.com/connect/8493803454333002#/reservations/579383394537?display=DJKJE0SN&amp;reservation_id=579383394537", "DJKJE0SN")</f>
        <v>DJKJE0SN</v>
      </c>
      <c r="D1883" t="s">
        <v>602</v>
      </c>
      <c r="E1883" t="s">
        <v>53</v>
      </c>
      <c r="F1883" t="s">
        <v>86</v>
      </c>
      <c r="G1883" t="s">
        <v>48</v>
      </c>
      <c r="H1883" t="s">
        <v>49</v>
      </c>
      <c r="I1883" t="s">
        <v>50</v>
      </c>
      <c r="J1883" t="s">
        <v>3000</v>
      </c>
      <c r="K1883" t="s">
        <v>1898</v>
      </c>
      <c r="L1883" t="s">
        <v>53</v>
      </c>
      <c r="N1883" t="s">
        <v>3092</v>
      </c>
      <c r="P1883" t="s">
        <v>55</v>
      </c>
      <c r="R1883" t="s">
        <v>56</v>
      </c>
      <c r="T1883" t="s">
        <v>3078</v>
      </c>
      <c r="U1883" t="s">
        <v>58</v>
      </c>
      <c r="V1883">
        <v>1</v>
      </c>
      <c r="W1883">
        <v>1</v>
      </c>
      <c r="X1883">
        <v>1</v>
      </c>
      <c r="Y1883">
        <v>0</v>
      </c>
      <c r="Z1883">
        <v>1</v>
      </c>
      <c r="AA1883">
        <v>0</v>
      </c>
      <c r="AB1883">
        <v>128.88</v>
      </c>
      <c r="AC1883">
        <v>113.4</v>
      </c>
      <c r="AD1883">
        <v>0</v>
      </c>
      <c r="AE1883">
        <v>15.48</v>
      </c>
      <c r="AF1883">
        <v>0</v>
      </c>
      <c r="AG1883">
        <v>0</v>
      </c>
      <c r="AH1883">
        <v>0</v>
      </c>
      <c r="AI1883">
        <v>23.2</v>
      </c>
      <c r="AJ1883">
        <v>128.88</v>
      </c>
      <c r="AK1883">
        <v>0</v>
      </c>
      <c r="AL1883">
        <v>113.4</v>
      </c>
      <c r="AM1883">
        <v>128.88</v>
      </c>
      <c r="AN1883" t="s">
        <v>3093</v>
      </c>
      <c r="AO1883" t="s">
        <v>53</v>
      </c>
      <c r="AP1883" t="s">
        <v>53</v>
      </c>
    </row>
    <row r="1884" spans="2:42" x14ac:dyDescent="0.2">
      <c r="B1884" t="s">
        <v>44</v>
      </c>
      <c r="C1884" t="str">
        <f>HYPERLINK("https://us2.cloudbeds.com/connect/8493803454333002#/reservations/579390541998?display=DJKPEU6E&amp;reservation_id=579390541998", "DJKPEU6E")</f>
        <v>DJKPEU6E</v>
      </c>
      <c r="D1884" t="s">
        <v>45</v>
      </c>
      <c r="E1884" t="s">
        <v>69</v>
      </c>
      <c r="F1884" t="s">
        <v>70</v>
      </c>
      <c r="G1884" t="s">
        <v>48</v>
      </c>
      <c r="H1884" t="s">
        <v>71</v>
      </c>
      <c r="I1884" t="s">
        <v>72</v>
      </c>
      <c r="J1884" t="s">
        <v>1458</v>
      </c>
      <c r="K1884" t="s">
        <v>1337</v>
      </c>
      <c r="L1884" t="s">
        <v>53</v>
      </c>
      <c r="N1884" t="s">
        <v>3094</v>
      </c>
      <c r="P1884" t="s">
        <v>55</v>
      </c>
      <c r="R1884" t="s">
        <v>56</v>
      </c>
      <c r="T1884" t="s">
        <v>3078</v>
      </c>
      <c r="U1884" t="s">
        <v>58</v>
      </c>
      <c r="V1884">
        <v>2</v>
      </c>
      <c r="W1884">
        <v>1</v>
      </c>
      <c r="X1884">
        <v>1</v>
      </c>
      <c r="Y1884">
        <v>0</v>
      </c>
      <c r="Z1884">
        <v>1</v>
      </c>
      <c r="AA1884">
        <v>0</v>
      </c>
      <c r="AB1884">
        <v>230.7</v>
      </c>
      <c r="AC1884">
        <v>203</v>
      </c>
      <c r="AD1884">
        <v>0</v>
      </c>
      <c r="AE1884">
        <v>27.7</v>
      </c>
      <c r="AF1884">
        <v>0</v>
      </c>
      <c r="AG1884">
        <v>0</v>
      </c>
      <c r="AH1884">
        <v>0</v>
      </c>
      <c r="AI1884">
        <v>0</v>
      </c>
      <c r="AJ1884">
        <v>230.7</v>
      </c>
      <c r="AK1884">
        <v>0</v>
      </c>
      <c r="AL1884" t="s">
        <v>53</v>
      </c>
      <c r="AM1884" t="s">
        <v>53</v>
      </c>
      <c r="AN1884" t="s">
        <v>3095</v>
      </c>
      <c r="AO1884" t="s">
        <v>53</v>
      </c>
      <c r="AP1884" t="s">
        <v>53</v>
      </c>
    </row>
    <row r="1885" spans="2:42" x14ac:dyDescent="0.2">
      <c r="B1885" t="s">
        <v>44</v>
      </c>
      <c r="C1885" t="str">
        <f>HYPERLINK("https://us2.cloudbeds.com/connect/8493803454333002#/reservations/579361431681?display=DJK0TSVK&amp;reservation_id=579361431681", "DJK0TSVK")</f>
        <v>DJK0TSVK</v>
      </c>
      <c r="D1885" t="s">
        <v>45</v>
      </c>
      <c r="E1885" t="s">
        <v>179</v>
      </c>
      <c r="F1885" t="s">
        <v>47</v>
      </c>
      <c r="G1885" t="s">
        <v>48</v>
      </c>
      <c r="H1885" t="s">
        <v>49</v>
      </c>
      <c r="I1885" t="s">
        <v>62</v>
      </c>
      <c r="J1885" t="s">
        <v>1898</v>
      </c>
      <c r="K1885" t="s">
        <v>1337</v>
      </c>
      <c r="L1885" t="s">
        <v>53</v>
      </c>
      <c r="N1885" t="s">
        <v>3096</v>
      </c>
      <c r="P1885" t="s">
        <v>55</v>
      </c>
      <c r="R1885" t="s">
        <v>56</v>
      </c>
      <c r="T1885" t="s">
        <v>3097</v>
      </c>
      <c r="U1885" t="s">
        <v>58</v>
      </c>
      <c r="V1885">
        <v>3</v>
      </c>
      <c r="W1885">
        <v>1</v>
      </c>
      <c r="X1885">
        <v>1</v>
      </c>
      <c r="Y1885">
        <v>0</v>
      </c>
      <c r="Z1885">
        <v>1</v>
      </c>
      <c r="AA1885">
        <v>0</v>
      </c>
      <c r="AB1885">
        <v>795.5</v>
      </c>
      <c r="AC1885">
        <v>350</v>
      </c>
      <c r="AD1885">
        <v>0</v>
      </c>
      <c r="AE1885">
        <v>47.75</v>
      </c>
      <c r="AF1885">
        <v>0</v>
      </c>
      <c r="AG1885">
        <v>0</v>
      </c>
      <c r="AH1885">
        <v>0</v>
      </c>
      <c r="AI1885">
        <v>59.66</v>
      </c>
      <c r="AJ1885">
        <v>397.75</v>
      </c>
      <c r="AK1885">
        <v>0</v>
      </c>
      <c r="AL1885" t="s">
        <v>53</v>
      </c>
      <c r="AM1885" t="s">
        <v>53</v>
      </c>
      <c r="AN1885" t="s">
        <v>252</v>
      </c>
      <c r="AO1885" t="s">
        <v>53</v>
      </c>
      <c r="AP1885" t="s">
        <v>53</v>
      </c>
    </row>
    <row r="1886" spans="2:42" x14ac:dyDescent="0.2">
      <c r="B1886" t="s">
        <v>44</v>
      </c>
      <c r="C1886" t="str">
        <f>HYPERLINK("https://us2.cloudbeds.com/connect/8493803454333002#/reservations/598602567809?display=E1GMHS5P&amp;reservation_id=598602567809", "E1GMHS5P")</f>
        <v>E1GMHS5P</v>
      </c>
      <c r="D1886" t="s">
        <v>45</v>
      </c>
      <c r="E1886" t="s">
        <v>121</v>
      </c>
      <c r="F1886" t="s">
        <v>86</v>
      </c>
      <c r="G1886" t="s">
        <v>48</v>
      </c>
      <c r="H1886" t="s">
        <v>49</v>
      </c>
      <c r="I1886" t="s">
        <v>50</v>
      </c>
      <c r="J1886" t="s">
        <v>1568</v>
      </c>
      <c r="K1886" t="s">
        <v>1822</v>
      </c>
      <c r="L1886" t="s">
        <v>53</v>
      </c>
      <c r="N1886" t="s">
        <v>3098</v>
      </c>
      <c r="P1886" t="s">
        <v>55</v>
      </c>
      <c r="R1886" t="s">
        <v>56</v>
      </c>
      <c r="T1886" t="s">
        <v>3097</v>
      </c>
      <c r="U1886" t="s">
        <v>58</v>
      </c>
      <c r="V1886">
        <v>2</v>
      </c>
      <c r="W1886">
        <v>1</v>
      </c>
      <c r="X1886">
        <v>1</v>
      </c>
      <c r="Y1886">
        <v>0</v>
      </c>
      <c r="Z1886">
        <v>1</v>
      </c>
      <c r="AA1886">
        <v>0</v>
      </c>
      <c r="AB1886">
        <v>374.36</v>
      </c>
      <c r="AC1886">
        <v>329.4</v>
      </c>
      <c r="AD1886">
        <v>0</v>
      </c>
      <c r="AE1886">
        <v>44.96</v>
      </c>
      <c r="AF1886">
        <v>0</v>
      </c>
      <c r="AG1886">
        <v>0</v>
      </c>
      <c r="AH1886">
        <v>0</v>
      </c>
      <c r="AI1886">
        <v>67.38</v>
      </c>
      <c r="AJ1886">
        <v>374.36</v>
      </c>
      <c r="AK1886">
        <v>0</v>
      </c>
      <c r="AL1886" t="s">
        <v>53</v>
      </c>
      <c r="AM1886" t="s">
        <v>53</v>
      </c>
      <c r="AN1886" t="s">
        <v>137</v>
      </c>
      <c r="AO1886" t="s">
        <v>53</v>
      </c>
      <c r="AP1886" t="s">
        <v>53</v>
      </c>
    </row>
    <row r="1887" spans="2:42" x14ac:dyDescent="0.2">
      <c r="B1887" t="s">
        <v>44</v>
      </c>
      <c r="C1887" t="str">
        <f>HYPERLINK("https://us2.cloudbeds.com/connect/8493803454333002#/reservations/598407864501?display=E1BNBV8G&amp;reservation_id=598407864501", "E1BNBV8G")</f>
        <v>E1BNBV8G</v>
      </c>
      <c r="D1887" t="s">
        <v>45</v>
      </c>
      <c r="E1887" t="s">
        <v>155</v>
      </c>
      <c r="F1887" t="s">
        <v>86</v>
      </c>
      <c r="G1887" t="s">
        <v>48</v>
      </c>
      <c r="H1887" t="s">
        <v>71</v>
      </c>
      <c r="I1887" t="s">
        <v>72</v>
      </c>
      <c r="J1887" t="s">
        <v>288</v>
      </c>
      <c r="K1887" t="s">
        <v>289</v>
      </c>
      <c r="L1887" t="s">
        <v>53</v>
      </c>
      <c r="N1887" t="s">
        <v>3099</v>
      </c>
      <c r="P1887" t="s">
        <v>55</v>
      </c>
      <c r="R1887" t="s">
        <v>56</v>
      </c>
      <c r="T1887" t="s">
        <v>3097</v>
      </c>
      <c r="U1887" t="s">
        <v>58</v>
      </c>
      <c r="V1887">
        <v>1</v>
      </c>
      <c r="W1887">
        <v>1</v>
      </c>
      <c r="X1887">
        <v>1</v>
      </c>
      <c r="Y1887">
        <v>0</v>
      </c>
      <c r="Z1887">
        <v>1</v>
      </c>
      <c r="AA1887">
        <v>0</v>
      </c>
      <c r="AB1887">
        <v>187.52</v>
      </c>
      <c r="AC1887">
        <v>165</v>
      </c>
      <c r="AD1887">
        <v>0</v>
      </c>
      <c r="AE1887">
        <v>22.53</v>
      </c>
      <c r="AF1887">
        <v>0</v>
      </c>
      <c r="AG1887">
        <v>0</v>
      </c>
      <c r="AH1887">
        <v>0</v>
      </c>
      <c r="AI1887">
        <v>0</v>
      </c>
      <c r="AJ1887">
        <v>187.53</v>
      </c>
      <c r="AK1887">
        <v>0.01</v>
      </c>
      <c r="AL1887" t="s">
        <v>53</v>
      </c>
      <c r="AM1887" t="s">
        <v>53</v>
      </c>
      <c r="AN1887" t="s">
        <v>3100</v>
      </c>
      <c r="AO1887" t="s">
        <v>53</v>
      </c>
      <c r="AP1887" t="s">
        <v>53</v>
      </c>
    </row>
    <row r="1888" spans="2:42" x14ac:dyDescent="0.2">
      <c r="B1888" t="s">
        <v>44</v>
      </c>
      <c r="C1888" t="str">
        <f>HYPERLINK("https://us2.cloudbeds.com/connect/8493803454333002#/reservations/598598443211?display=E1GJ22YV&amp;reservation_id=598598443211", "E1GJ22YV")</f>
        <v>E1GJ22YV</v>
      </c>
      <c r="D1888" t="s">
        <v>45</v>
      </c>
      <c r="E1888" t="s">
        <v>78</v>
      </c>
      <c r="F1888" t="s">
        <v>61</v>
      </c>
      <c r="G1888" t="s">
        <v>48</v>
      </c>
      <c r="H1888" t="s">
        <v>49</v>
      </c>
      <c r="I1888" t="s">
        <v>50</v>
      </c>
      <c r="J1888" t="s">
        <v>762</v>
      </c>
      <c r="K1888" t="s">
        <v>356</v>
      </c>
      <c r="L1888" t="s">
        <v>53</v>
      </c>
      <c r="N1888" t="s">
        <v>3101</v>
      </c>
      <c r="P1888" t="s">
        <v>55</v>
      </c>
      <c r="R1888" t="s">
        <v>56</v>
      </c>
      <c r="T1888" t="s">
        <v>3097</v>
      </c>
      <c r="U1888" t="s">
        <v>58</v>
      </c>
      <c r="V1888">
        <v>1</v>
      </c>
      <c r="W1888">
        <v>1</v>
      </c>
      <c r="X1888">
        <v>1</v>
      </c>
      <c r="Y1888">
        <v>0</v>
      </c>
      <c r="Z1888">
        <v>1</v>
      </c>
      <c r="AA1888">
        <v>0</v>
      </c>
      <c r="AB1888">
        <v>165.7</v>
      </c>
      <c r="AC1888">
        <v>145.80000000000001</v>
      </c>
      <c r="AD1888">
        <v>0</v>
      </c>
      <c r="AE1888">
        <v>19.899999999999999</v>
      </c>
      <c r="AF1888">
        <v>0</v>
      </c>
      <c r="AG1888">
        <v>0</v>
      </c>
      <c r="AH1888">
        <v>0</v>
      </c>
      <c r="AI1888">
        <v>29.83</v>
      </c>
      <c r="AJ1888">
        <v>165.7</v>
      </c>
      <c r="AK1888">
        <v>0</v>
      </c>
      <c r="AL1888" t="s">
        <v>53</v>
      </c>
      <c r="AM1888" t="s">
        <v>53</v>
      </c>
      <c r="AN1888" t="s">
        <v>3102</v>
      </c>
      <c r="AO1888" t="s">
        <v>53</v>
      </c>
      <c r="AP1888" t="s">
        <v>53</v>
      </c>
    </row>
    <row r="1889" spans="2:42" x14ac:dyDescent="0.2">
      <c r="B1889" t="s">
        <v>44</v>
      </c>
      <c r="C1889" t="str">
        <f>HYPERLINK("https://us2.cloudbeds.com/connect/8493803454333002#/reservations/598565970143?display=E1FZMFGJ&amp;reservation_id=598565970143", "E1FZMFGJ")</f>
        <v>E1FZMFGJ</v>
      </c>
      <c r="D1889" t="s">
        <v>45</v>
      </c>
      <c r="E1889" t="s">
        <v>46</v>
      </c>
      <c r="F1889" t="s">
        <v>47</v>
      </c>
      <c r="G1889" t="s">
        <v>48</v>
      </c>
      <c r="H1889" t="s">
        <v>49</v>
      </c>
      <c r="I1889" t="s">
        <v>50</v>
      </c>
      <c r="J1889" t="s">
        <v>525</v>
      </c>
      <c r="K1889" t="s">
        <v>768</v>
      </c>
      <c r="L1889" t="s">
        <v>53</v>
      </c>
      <c r="N1889" t="s">
        <v>3103</v>
      </c>
      <c r="P1889" t="s">
        <v>55</v>
      </c>
      <c r="R1889" t="s">
        <v>946</v>
      </c>
      <c r="T1889" t="s">
        <v>3097</v>
      </c>
      <c r="U1889" t="s">
        <v>58</v>
      </c>
      <c r="V1889">
        <v>2</v>
      </c>
      <c r="W1889">
        <v>1</v>
      </c>
      <c r="X1889">
        <v>1</v>
      </c>
      <c r="Y1889">
        <v>0</v>
      </c>
      <c r="Z1889">
        <v>1</v>
      </c>
      <c r="AA1889">
        <v>0</v>
      </c>
      <c r="AB1889">
        <v>310.95</v>
      </c>
      <c r="AC1889">
        <v>273.60000000000002</v>
      </c>
      <c r="AD1889">
        <v>0</v>
      </c>
      <c r="AE1889">
        <v>37.36</v>
      </c>
      <c r="AF1889">
        <v>0</v>
      </c>
      <c r="AG1889">
        <v>0</v>
      </c>
      <c r="AH1889">
        <v>0</v>
      </c>
      <c r="AI1889">
        <v>55.97</v>
      </c>
      <c r="AJ1889">
        <v>310.95999999999998</v>
      </c>
      <c r="AK1889">
        <v>0.01</v>
      </c>
      <c r="AL1889" t="s">
        <v>53</v>
      </c>
      <c r="AM1889" t="s">
        <v>53</v>
      </c>
      <c r="AN1889" t="s">
        <v>245</v>
      </c>
      <c r="AO1889" t="s">
        <v>53</v>
      </c>
      <c r="AP1889" t="s">
        <v>53</v>
      </c>
    </row>
    <row r="1890" spans="2:42" x14ac:dyDescent="0.2">
      <c r="B1890" t="s">
        <v>44</v>
      </c>
      <c r="C1890" t="str">
        <f>HYPERLINK("https://us2.cloudbeds.com/connect/8493803454333002#/reservations/579308343439?display=DJXM4KE0&amp;reservation_id=579308343439", "DJXM4KE0")</f>
        <v>DJXM4KE0</v>
      </c>
      <c r="D1890" t="s">
        <v>45</v>
      </c>
      <c r="E1890" t="s">
        <v>305</v>
      </c>
      <c r="F1890" t="s">
        <v>61</v>
      </c>
      <c r="G1890" t="s">
        <v>48</v>
      </c>
      <c r="H1890" t="s">
        <v>49</v>
      </c>
      <c r="I1890" t="s">
        <v>79</v>
      </c>
      <c r="J1890" t="s">
        <v>3104</v>
      </c>
      <c r="K1890" t="s">
        <v>1501</v>
      </c>
      <c r="L1890" t="s">
        <v>53</v>
      </c>
      <c r="N1890" t="s">
        <v>3105</v>
      </c>
      <c r="P1890" t="s">
        <v>55</v>
      </c>
      <c r="R1890" t="s">
        <v>56</v>
      </c>
      <c r="T1890" t="s">
        <v>3097</v>
      </c>
      <c r="U1890" t="s">
        <v>58</v>
      </c>
      <c r="V1890">
        <v>2</v>
      </c>
      <c r="W1890">
        <v>1</v>
      </c>
      <c r="X1890">
        <v>1</v>
      </c>
      <c r="Y1890">
        <v>0</v>
      </c>
      <c r="Z1890">
        <v>1</v>
      </c>
      <c r="AA1890">
        <v>0</v>
      </c>
      <c r="AB1890">
        <v>318.12</v>
      </c>
      <c r="AC1890">
        <v>279.89999999999998</v>
      </c>
      <c r="AD1890">
        <v>0</v>
      </c>
      <c r="AE1890">
        <v>38.22</v>
      </c>
      <c r="AF1890">
        <v>0</v>
      </c>
      <c r="AG1890">
        <v>0</v>
      </c>
      <c r="AH1890">
        <v>0</v>
      </c>
      <c r="AI1890">
        <v>0</v>
      </c>
      <c r="AJ1890">
        <v>318.12</v>
      </c>
      <c r="AK1890">
        <v>0</v>
      </c>
      <c r="AL1890" t="s">
        <v>53</v>
      </c>
      <c r="AM1890" t="s">
        <v>53</v>
      </c>
      <c r="AN1890" t="s">
        <v>225</v>
      </c>
      <c r="AO1890" t="s">
        <v>53</v>
      </c>
      <c r="AP1890" t="s">
        <v>53</v>
      </c>
    </row>
    <row r="1891" spans="2:42" x14ac:dyDescent="0.2">
      <c r="B1891" t="s">
        <v>44</v>
      </c>
      <c r="C1891" t="str">
        <f>HYPERLINK("https://us2.cloudbeds.com/connect/8493803454333002#/reservations/579315466389?display=DJXS4R7V&amp;reservation_id=579315466389", "DJXS4R7V")</f>
        <v>DJXS4R7V</v>
      </c>
      <c r="D1891" t="s">
        <v>45</v>
      </c>
      <c r="E1891" t="s">
        <v>113</v>
      </c>
      <c r="F1891" t="s">
        <v>61</v>
      </c>
      <c r="G1891" t="s">
        <v>48</v>
      </c>
      <c r="H1891" t="s">
        <v>49</v>
      </c>
      <c r="I1891" t="s">
        <v>62</v>
      </c>
      <c r="J1891" t="s">
        <v>1862</v>
      </c>
      <c r="K1891" t="s">
        <v>1863</v>
      </c>
      <c r="L1891" t="s">
        <v>53</v>
      </c>
      <c r="N1891" t="s">
        <v>3106</v>
      </c>
      <c r="P1891" t="s">
        <v>55</v>
      </c>
      <c r="R1891" t="s">
        <v>56</v>
      </c>
      <c r="T1891" t="s">
        <v>3097</v>
      </c>
      <c r="U1891" t="s">
        <v>58</v>
      </c>
      <c r="V1891">
        <v>2</v>
      </c>
      <c r="W1891">
        <v>1</v>
      </c>
      <c r="X1891">
        <v>1</v>
      </c>
      <c r="Y1891">
        <v>0</v>
      </c>
      <c r="Z1891">
        <v>1</v>
      </c>
      <c r="AA1891">
        <v>0</v>
      </c>
      <c r="AB1891">
        <v>355.74</v>
      </c>
      <c r="AC1891">
        <v>313</v>
      </c>
      <c r="AD1891">
        <v>0</v>
      </c>
      <c r="AE1891">
        <v>42.74</v>
      </c>
      <c r="AF1891">
        <v>0</v>
      </c>
      <c r="AG1891">
        <v>0</v>
      </c>
      <c r="AH1891">
        <v>0</v>
      </c>
      <c r="AI1891">
        <v>53.36</v>
      </c>
      <c r="AJ1891">
        <v>355.74</v>
      </c>
      <c r="AK1891">
        <v>0</v>
      </c>
      <c r="AL1891" t="s">
        <v>53</v>
      </c>
      <c r="AM1891" t="s">
        <v>53</v>
      </c>
      <c r="AN1891" t="s">
        <v>3107</v>
      </c>
      <c r="AO1891" t="s">
        <v>53</v>
      </c>
      <c r="AP1891" t="s">
        <v>53</v>
      </c>
    </row>
    <row r="1892" spans="2:42" x14ac:dyDescent="0.2">
      <c r="B1892" t="s">
        <v>44</v>
      </c>
      <c r="C1892" t="str">
        <f>HYPERLINK("https://us2.cloudbeds.com/connect/8493803454333002#/reservations/598465233083?display=E1D5ZAAD&amp;reservation_id=598465233083", "E1D5ZAAD")</f>
        <v>E1D5ZAAD</v>
      </c>
      <c r="D1892" t="s">
        <v>45</v>
      </c>
      <c r="E1892" t="s">
        <v>487</v>
      </c>
      <c r="F1892" t="s">
        <v>61</v>
      </c>
      <c r="G1892" t="s">
        <v>48</v>
      </c>
      <c r="H1892" t="s">
        <v>49</v>
      </c>
      <c r="I1892" t="s">
        <v>79</v>
      </c>
      <c r="J1892" t="s">
        <v>180</v>
      </c>
      <c r="K1892" t="s">
        <v>181</v>
      </c>
      <c r="L1892" t="s">
        <v>53</v>
      </c>
      <c r="N1892" t="s">
        <v>3108</v>
      </c>
      <c r="P1892" t="s">
        <v>55</v>
      </c>
      <c r="R1892" t="s">
        <v>56</v>
      </c>
      <c r="T1892" t="s">
        <v>3097</v>
      </c>
      <c r="U1892" t="s">
        <v>58</v>
      </c>
      <c r="V1892">
        <v>1</v>
      </c>
      <c r="W1892">
        <v>1</v>
      </c>
      <c r="X1892">
        <v>1</v>
      </c>
      <c r="Y1892">
        <v>0</v>
      </c>
      <c r="Z1892">
        <v>1</v>
      </c>
      <c r="AA1892">
        <v>0</v>
      </c>
      <c r="AB1892">
        <v>187.52</v>
      </c>
      <c r="AC1892">
        <v>165</v>
      </c>
      <c r="AD1892">
        <v>0</v>
      </c>
      <c r="AE1892">
        <v>22.53</v>
      </c>
      <c r="AF1892">
        <v>0</v>
      </c>
      <c r="AG1892">
        <v>0</v>
      </c>
      <c r="AH1892">
        <v>0</v>
      </c>
      <c r="AI1892">
        <v>0</v>
      </c>
      <c r="AJ1892">
        <v>187.53</v>
      </c>
      <c r="AK1892">
        <v>0.01</v>
      </c>
      <c r="AL1892" t="s">
        <v>53</v>
      </c>
      <c r="AM1892" t="s">
        <v>53</v>
      </c>
      <c r="AN1892" t="s">
        <v>280</v>
      </c>
      <c r="AO1892" t="s">
        <v>53</v>
      </c>
      <c r="AP1892" t="s">
        <v>53</v>
      </c>
    </row>
    <row r="1893" spans="2:42" x14ac:dyDescent="0.2">
      <c r="B1893" t="s">
        <v>44</v>
      </c>
      <c r="C1893" t="str">
        <f>HYPERLINK("https://us2.cloudbeds.com/connect/8493803454333002#/reservations/579278635147?display=DJHU2V2N&amp;reservation_id=579278635147", "DJHU2V2N")</f>
        <v>DJHU2V2N</v>
      </c>
      <c r="D1893" t="s">
        <v>45</v>
      </c>
      <c r="E1893" t="s">
        <v>69</v>
      </c>
      <c r="F1893" t="s">
        <v>70</v>
      </c>
      <c r="G1893" t="s">
        <v>48</v>
      </c>
      <c r="H1893" t="s">
        <v>49</v>
      </c>
      <c r="I1893" t="s">
        <v>79</v>
      </c>
      <c r="J1893" t="s">
        <v>1337</v>
      </c>
      <c r="K1893" t="s">
        <v>2062</v>
      </c>
      <c r="L1893" t="s">
        <v>53</v>
      </c>
      <c r="N1893" t="s">
        <v>3109</v>
      </c>
      <c r="P1893" t="s">
        <v>55</v>
      </c>
      <c r="R1893" t="s">
        <v>56</v>
      </c>
      <c r="T1893" t="s">
        <v>3097</v>
      </c>
      <c r="U1893" t="s">
        <v>58</v>
      </c>
      <c r="V1893">
        <v>1</v>
      </c>
      <c r="W1893">
        <v>1</v>
      </c>
      <c r="X1893">
        <v>1</v>
      </c>
      <c r="Y1893">
        <v>0</v>
      </c>
      <c r="Z1893">
        <v>1</v>
      </c>
      <c r="AA1893">
        <v>0</v>
      </c>
      <c r="AB1893">
        <v>110.46</v>
      </c>
      <c r="AC1893">
        <v>97.2</v>
      </c>
      <c r="AD1893">
        <v>0</v>
      </c>
      <c r="AE1893">
        <v>13.26</v>
      </c>
      <c r="AF1893">
        <v>0</v>
      </c>
      <c r="AG1893">
        <v>0</v>
      </c>
      <c r="AH1893">
        <v>0</v>
      </c>
      <c r="AI1893">
        <v>0</v>
      </c>
      <c r="AJ1893">
        <v>110.46</v>
      </c>
      <c r="AK1893">
        <v>0</v>
      </c>
      <c r="AL1893" t="s">
        <v>53</v>
      </c>
      <c r="AM1893" t="s">
        <v>53</v>
      </c>
      <c r="AN1893" t="s">
        <v>349</v>
      </c>
      <c r="AO1893" t="s">
        <v>53</v>
      </c>
      <c r="AP1893" t="s">
        <v>53</v>
      </c>
    </row>
    <row r="1894" spans="2:42" x14ac:dyDescent="0.2">
      <c r="B1894" t="s">
        <v>44</v>
      </c>
      <c r="C1894" t="str">
        <f>HYPERLINK("https://us2.cloudbeds.com/connect/8493803454333002#/reservations/598567436448?display=E1FPU8W2&amp;reservation_id=598567436448", "E1FPU8W2")</f>
        <v>E1FPU8W2</v>
      </c>
      <c r="D1894" t="s">
        <v>45</v>
      </c>
      <c r="E1894" t="s">
        <v>78</v>
      </c>
      <c r="F1894" t="s">
        <v>61</v>
      </c>
      <c r="G1894" t="s">
        <v>48</v>
      </c>
      <c r="H1894" t="s">
        <v>49</v>
      </c>
      <c r="I1894" t="s">
        <v>50</v>
      </c>
      <c r="J1894" t="s">
        <v>215</v>
      </c>
      <c r="K1894" t="s">
        <v>446</v>
      </c>
      <c r="L1894" t="s">
        <v>53</v>
      </c>
      <c r="N1894" t="s">
        <v>3110</v>
      </c>
      <c r="P1894" t="s">
        <v>55</v>
      </c>
      <c r="R1894" t="s">
        <v>56</v>
      </c>
      <c r="T1894" t="s">
        <v>3097</v>
      </c>
      <c r="U1894" t="s">
        <v>58</v>
      </c>
      <c r="V1894">
        <v>1</v>
      </c>
      <c r="W1894">
        <v>1</v>
      </c>
      <c r="X1894">
        <v>1</v>
      </c>
      <c r="Y1894">
        <v>0</v>
      </c>
      <c r="Z1894">
        <v>1</v>
      </c>
      <c r="AA1894">
        <v>0</v>
      </c>
      <c r="AB1894">
        <v>168.77</v>
      </c>
      <c r="AC1894">
        <v>148.5</v>
      </c>
      <c r="AD1894">
        <v>0</v>
      </c>
      <c r="AE1894">
        <v>20.28</v>
      </c>
      <c r="AF1894">
        <v>0</v>
      </c>
      <c r="AG1894">
        <v>0</v>
      </c>
      <c r="AH1894">
        <v>0</v>
      </c>
      <c r="AI1894">
        <v>30.38</v>
      </c>
      <c r="AJ1894">
        <v>168.78</v>
      </c>
      <c r="AK1894">
        <v>0.01</v>
      </c>
      <c r="AL1894" t="s">
        <v>53</v>
      </c>
      <c r="AM1894" t="s">
        <v>53</v>
      </c>
      <c r="AN1894" t="s">
        <v>59</v>
      </c>
      <c r="AO1894" t="s">
        <v>53</v>
      </c>
      <c r="AP1894" t="s">
        <v>53</v>
      </c>
    </row>
    <row r="1895" spans="2:42" x14ac:dyDescent="0.2">
      <c r="B1895" t="s">
        <v>44</v>
      </c>
      <c r="C1895" t="str">
        <f>HYPERLINK("https://us2.cloudbeds.com/connect/8493803454333002#/reservations/598625800342?display=E1H94AWU&amp;reservation_id=598625800342", "E1H94AWU")</f>
        <v>E1H94AWU</v>
      </c>
      <c r="D1895" t="s">
        <v>45</v>
      </c>
      <c r="E1895" t="s">
        <v>213</v>
      </c>
      <c r="F1895" t="s">
        <v>86</v>
      </c>
      <c r="G1895" t="s">
        <v>48</v>
      </c>
      <c r="H1895" t="s">
        <v>49</v>
      </c>
      <c r="I1895" t="s">
        <v>62</v>
      </c>
      <c r="J1895" t="s">
        <v>970</v>
      </c>
      <c r="K1895" t="s">
        <v>288</v>
      </c>
      <c r="L1895" t="s">
        <v>53</v>
      </c>
      <c r="N1895" t="s">
        <v>3111</v>
      </c>
      <c r="P1895" t="s">
        <v>55</v>
      </c>
      <c r="R1895" t="s">
        <v>56</v>
      </c>
      <c r="T1895" t="s">
        <v>3097</v>
      </c>
      <c r="U1895" t="s">
        <v>58</v>
      </c>
      <c r="V1895">
        <v>1</v>
      </c>
      <c r="W1895">
        <v>1</v>
      </c>
      <c r="X1895">
        <v>1</v>
      </c>
      <c r="Y1895">
        <v>0</v>
      </c>
      <c r="Z1895">
        <v>1</v>
      </c>
      <c r="AA1895">
        <v>0</v>
      </c>
      <c r="AB1895">
        <v>192.07</v>
      </c>
      <c r="AC1895">
        <v>169</v>
      </c>
      <c r="AD1895">
        <v>0</v>
      </c>
      <c r="AE1895">
        <v>23.07</v>
      </c>
      <c r="AF1895">
        <v>0</v>
      </c>
      <c r="AG1895">
        <v>0</v>
      </c>
      <c r="AH1895">
        <v>0</v>
      </c>
      <c r="AI1895">
        <v>28.81</v>
      </c>
      <c r="AJ1895">
        <v>192.07</v>
      </c>
      <c r="AK1895">
        <v>0</v>
      </c>
      <c r="AL1895" t="s">
        <v>53</v>
      </c>
      <c r="AM1895" t="s">
        <v>53</v>
      </c>
      <c r="AN1895" t="s">
        <v>349</v>
      </c>
      <c r="AO1895" t="s">
        <v>53</v>
      </c>
      <c r="AP1895" t="s">
        <v>53</v>
      </c>
    </row>
    <row r="1896" spans="2:42" x14ac:dyDescent="0.2">
      <c r="B1896" t="s">
        <v>44</v>
      </c>
      <c r="C1896" t="str">
        <f>HYPERLINK("https://us2.cloudbeds.com/connect/8493803454333002#/reservations/598578159793?display=E1G1VYUT&amp;reservation_id=598578159793", "E1G1VYUT")</f>
        <v>E1G1VYUT</v>
      </c>
      <c r="D1896" t="s">
        <v>45</v>
      </c>
      <c r="E1896" t="s">
        <v>406</v>
      </c>
      <c r="F1896" t="s">
        <v>61</v>
      </c>
      <c r="G1896" t="s">
        <v>48</v>
      </c>
      <c r="H1896" t="s">
        <v>49</v>
      </c>
      <c r="I1896" t="s">
        <v>79</v>
      </c>
      <c r="J1896" t="s">
        <v>214</v>
      </c>
      <c r="K1896" t="s">
        <v>446</v>
      </c>
      <c r="L1896" t="s">
        <v>53</v>
      </c>
      <c r="N1896" t="s">
        <v>3112</v>
      </c>
      <c r="P1896" t="s">
        <v>55</v>
      </c>
      <c r="R1896" t="s">
        <v>56</v>
      </c>
      <c r="T1896" t="s">
        <v>3097</v>
      </c>
      <c r="U1896" t="s">
        <v>58</v>
      </c>
      <c r="V1896">
        <v>2</v>
      </c>
      <c r="W1896">
        <v>1</v>
      </c>
      <c r="X1896">
        <v>1</v>
      </c>
      <c r="Y1896">
        <v>0</v>
      </c>
      <c r="Z1896">
        <v>1</v>
      </c>
      <c r="AA1896">
        <v>0</v>
      </c>
      <c r="AB1896">
        <v>337.54</v>
      </c>
      <c r="AC1896">
        <v>297</v>
      </c>
      <c r="AD1896">
        <v>0</v>
      </c>
      <c r="AE1896">
        <v>40.56</v>
      </c>
      <c r="AF1896">
        <v>0</v>
      </c>
      <c r="AG1896">
        <v>0</v>
      </c>
      <c r="AH1896">
        <v>0</v>
      </c>
      <c r="AI1896">
        <v>0</v>
      </c>
      <c r="AJ1896">
        <v>337.56</v>
      </c>
      <c r="AK1896">
        <v>0.02</v>
      </c>
      <c r="AL1896" t="s">
        <v>53</v>
      </c>
      <c r="AM1896" t="s">
        <v>53</v>
      </c>
      <c r="AN1896" t="s">
        <v>3113</v>
      </c>
      <c r="AO1896" t="s">
        <v>53</v>
      </c>
      <c r="AP1896" t="s">
        <v>53</v>
      </c>
    </row>
    <row r="1897" spans="2:42" x14ac:dyDescent="0.2">
      <c r="B1897" t="s">
        <v>44</v>
      </c>
      <c r="C1897" t="str">
        <f>HYPERLINK("https://us2.cloudbeds.com/connect/8493803454333002#/reservations/598440755404?display=E1CX363X&amp;reservation_id=598440755404", "E1CX363X")</f>
        <v>E1CX363X</v>
      </c>
      <c r="D1897" t="s">
        <v>45</v>
      </c>
      <c r="E1897" t="s">
        <v>381</v>
      </c>
      <c r="F1897" t="s">
        <v>47</v>
      </c>
      <c r="G1897" t="s">
        <v>48</v>
      </c>
      <c r="H1897" t="s">
        <v>49</v>
      </c>
      <c r="I1897" t="s">
        <v>79</v>
      </c>
      <c r="J1897" t="s">
        <v>1792</v>
      </c>
      <c r="K1897" t="s">
        <v>988</v>
      </c>
      <c r="L1897" t="s">
        <v>53</v>
      </c>
      <c r="N1897" t="s">
        <v>3114</v>
      </c>
      <c r="P1897" t="s">
        <v>55</v>
      </c>
      <c r="R1897" t="s">
        <v>56</v>
      </c>
      <c r="T1897" t="s">
        <v>3115</v>
      </c>
      <c r="U1897" t="s">
        <v>58</v>
      </c>
      <c r="V1897">
        <v>4</v>
      </c>
      <c r="W1897">
        <v>1</v>
      </c>
      <c r="X1897">
        <v>1</v>
      </c>
      <c r="Y1897">
        <v>0</v>
      </c>
      <c r="Z1897">
        <v>1</v>
      </c>
      <c r="AA1897">
        <v>0</v>
      </c>
      <c r="AB1897">
        <v>701.22</v>
      </c>
      <c r="AC1897">
        <v>617</v>
      </c>
      <c r="AD1897">
        <v>0</v>
      </c>
      <c r="AE1897">
        <v>84.24</v>
      </c>
      <c r="AF1897">
        <v>0</v>
      </c>
      <c r="AG1897">
        <v>0</v>
      </c>
      <c r="AH1897">
        <v>0</v>
      </c>
      <c r="AI1897">
        <v>0</v>
      </c>
      <c r="AJ1897">
        <v>701.24</v>
      </c>
      <c r="AK1897">
        <v>0.02</v>
      </c>
      <c r="AL1897" t="s">
        <v>53</v>
      </c>
      <c r="AM1897" t="s">
        <v>53</v>
      </c>
      <c r="AN1897" t="s">
        <v>84</v>
      </c>
      <c r="AO1897" t="s">
        <v>53</v>
      </c>
      <c r="AP1897" t="s">
        <v>53</v>
      </c>
    </row>
    <row r="1898" spans="2:42" x14ac:dyDescent="0.2">
      <c r="B1898" t="s">
        <v>44</v>
      </c>
      <c r="C1898" t="str">
        <f>HYPERLINK("https://us2.cloudbeds.com/connect/8493803454333002#/reservations/598551822550?display=E1FCZQ4J&amp;reservation_id=598551822550", "E1FCZQ4J")</f>
        <v>E1FCZQ4J</v>
      </c>
      <c r="D1898" t="s">
        <v>45</v>
      </c>
      <c r="E1898" t="s">
        <v>138</v>
      </c>
      <c r="F1898" t="s">
        <v>70</v>
      </c>
      <c r="G1898" t="s">
        <v>48</v>
      </c>
      <c r="H1898" t="s">
        <v>49</v>
      </c>
      <c r="I1898" t="s">
        <v>79</v>
      </c>
      <c r="J1898" t="s">
        <v>289</v>
      </c>
      <c r="K1898" t="s">
        <v>568</v>
      </c>
      <c r="L1898" t="s">
        <v>53</v>
      </c>
      <c r="N1898" t="s">
        <v>3116</v>
      </c>
      <c r="P1898" t="s">
        <v>55</v>
      </c>
      <c r="R1898" t="s">
        <v>56</v>
      </c>
      <c r="T1898" t="s">
        <v>3115</v>
      </c>
      <c r="U1898" t="s">
        <v>58</v>
      </c>
      <c r="V1898">
        <v>1</v>
      </c>
      <c r="W1898">
        <v>1</v>
      </c>
      <c r="X1898">
        <v>1</v>
      </c>
      <c r="Y1898">
        <v>0</v>
      </c>
      <c r="Z1898">
        <v>1</v>
      </c>
      <c r="AA1898">
        <v>0</v>
      </c>
      <c r="AB1898">
        <v>164.79</v>
      </c>
      <c r="AC1898">
        <v>145</v>
      </c>
      <c r="AD1898">
        <v>0</v>
      </c>
      <c r="AE1898">
        <v>19.8</v>
      </c>
      <c r="AF1898">
        <v>0</v>
      </c>
      <c r="AG1898">
        <v>0</v>
      </c>
      <c r="AH1898">
        <v>0</v>
      </c>
      <c r="AI1898">
        <v>0</v>
      </c>
      <c r="AJ1898">
        <v>164.8</v>
      </c>
      <c r="AK1898">
        <v>0.01</v>
      </c>
      <c r="AL1898" t="s">
        <v>53</v>
      </c>
      <c r="AM1898" t="s">
        <v>53</v>
      </c>
      <c r="AN1898" t="s">
        <v>142</v>
      </c>
      <c r="AO1898" t="s">
        <v>53</v>
      </c>
      <c r="AP1898" t="s">
        <v>53</v>
      </c>
    </row>
    <row r="1899" spans="2:42" x14ac:dyDescent="0.2">
      <c r="B1899" t="s">
        <v>44</v>
      </c>
      <c r="C1899" t="str">
        <f>HYPERLINK("https://us2.cloudbeds.com/connect/8493803454333002#/reservations/598033584256?display=E124ZUSZ&amp;reservation_id=598033584256", "E124ZUSZ")</f>
        <v>E124ZUSZ</v>
      </c>
      <c r="D1899" t="s">
        <v>45</v>
      </c>
      <c r="E1899" t="s">
        <v>105</v>
      </c>
      <c r="F1899" t="s">
        <v>47</v>
      </c>
      <c r="G1899" t="s">
        <v>48</v>
      </c>
      <c r="H1899" t="s">
        <v>49</v>
      </c>
      <c r="I1899" t="s">
        <v>50</v>
      </c>
      <c r="J1899" t="s">
        <v>289</v>
      </c>
      <c r="K1899" t="s">
        <v>568</v>
      </c>
      <c r="L1899" t="s">
        <v>53</v>
      </c>
      <c r="N1899" t="s">
        <v>3117</v>
      </c>
      <c r="P1899" t="s">
        <v>55</v>
      </c>
      <c r="R1899" t="s">
        <v>56</v>
      </c>
      <c r="T1899" t="s">
        <v>3115</v>
      </c>
      <c r="U1899" t="s">
        <v>58</v>
      </c>
      <c r="V1899">
        <v>1</v>
      </c>
      <c r="W1899">
        <v>1</v>
      </c>
      <c r="X1899">
        <v>1</v>
      </c>
      <c r="Y1899">
        <v>0</v>
      </c>
      <c r="Z1899">
        <v>1</v>
      </c>
      <c r="AA1899">
        <v>0</v>
      </c>
      <c r="AB1899">
        <v>156.5</v>
      </c>
      <c r="AC1899">
        <v>137.69999999999999</v>
      </c>
      <c r="AD1899">
        <v>0</v>
      </c>
      <c r="AE1899">
        <v>18.79</v>
      </c>
      <c r="AF1899">
        <v>0</v>
      </c>
      <c r="AG1899">
        <v>0</v>
      </c>
      <c r="AH1899">
        <v>0</v>
      </c>
      <c r="AI1899">
        <v>28.17</v>
      </c>
      <c r="AJ1899">
        <v>156.49</v>
      </c>
      <c r="AK1899">
        <v>-0.01</v>
      </c>
      <c r="AL1899" t="s">
        <v>53</v>
      </c>
      <c r="AM1899" t="s">
        <v>53</v>
      </c>
      <c r="AN1899" t="s">
        <v>132</v>
      </c>
      <c r="AO1899" t="s">
        <v>53</v>
      </c>
      <c r="AP1899" t="s">
        <v>53</v>
      </c>
    </row>
    <row r="1900" spans="2:42" x14ac:dyDescent="0.2">
      <c r="B1900" t="s">
        <v>44</v>
      </c>
      <c r="C1900" t="str">
        <f>HYPERLINK("https://us2.cloudbeds.com/connect/8493803454333002#/reservations/598544126132?display=E1F68KNS&amp;reservation_id=598544126132", "E1F68KNS")</f>
        <v>E1F68KNS</v>
      </c>
      <c r="D1900" t="s">
        <v>45</v>
      </c>
      <c r="E1900" t="s">
        <v>223</v>
      </c>
      <c r="F1900" t="s">
        <v>47</v>
      </c>
      <c r="G1900" t="s">
        <v>48</v>
      </c>
      <c r="H1900" t="s">
        <v>49</v>
      </c>
      <c r="I1900" t="s">
        <v>50</v>
      </c>
      <c r="J1900" t="s">
        <v>356</v>
      </c>
      <c r="K1900" t="s">
        <v>478</v>
      </c>
      <c r="L1900" t="s">
        <v>53</v>
      </c>
      <c r="N1900" t="s">
        <v>3118</v>
      </c>
      <c r="P1900" t="s">
        <v>55</v>
      </c>
      <c r="R1900" t="s">
        <v>56</v>
      </c>
      <c r="T1900" t="s">
        <v>3115</v>
      </c>
      <c r="U1900" t="s">
        <v>58</v>
      </c>
      <c r="V1900">
        <v>1</v>
      </c>
      <c r="W1900">
        <v>1</v>
      </c>
      <c r="X1900">
        <v>1</v>
      </c>
      <c r="Y1900">
        <v>0</v>
      </c>
      <c r="Z1900">
        <v>1</v>
      </c>
      <c r="AA1900">
        <v>0</v>
      </c>
      <c r="AB1900">
        <v>156.5</v>
      </c>
      <c r="AC1900">
        <v>137.69999999999999</v>
      </c>
      <c r="AD1900">
        <v>0</v>
      </c>
      <c r="AE1900">
        <v>18.79</v>
      </c>
      <c r="AF1900">
        <v>0</v>
      </c>
      <c r="AG1900">
        <v>0</v>
      </c>
      <c r="AH1900">
        <v>0</v>
      </c>
      <c r="AI1900">
        <v>28.17</v>
      </c>
      <c r="AJ1900">
        <v>156.49</v>
      </c>
      <c r="AK1900">
        <v>-0.01</v>
      </c>
      <c r="AL1900" t="s">
        <v>53</v>
      </c>
      <c r="AM1900" t="s">
        <v>53</v>
      </c>
      <c r="AN1900" t="s">
        <v>198</v>
      </c>
      <c r="AO1900" t="s">
        <v>53</v>
      </c>
      <c r="AP1900" t="s">
        <v>53</v>
      </c>
    </row>
    <row r="1901" spans="2:42" x14ac:dyDescent="0.2">
      <c r="B1901" t="s">
        <v>44</v>
      </c>
      <c r="C1901" t="str">
        <f>HYPERLINK("https://us2.cloudbeds.com/connect/8493803454333002#/reservations/598615163051?display=E1H05B1N&amp;reservation_id=598615163051", "E1H05B1N")</f>
        <v>E1H05B1N</v>
      </c>
      <c r="D1901" t="s">
        <v>45</v>
      </c>
      <c r="E1901" t="s">
        <v>213</v>
      </c>
      <c r="F1901" t="s">
        <v>86</v>
      </c>
      <c r="G1901" t="s">
        <v>48</v>
      </c>
      <c r="H1901" t="s">
        <v>49</v>
      </c>
      <c r="I1901" t="s">
        <v>79</v>
      </c>
      <c r="J1901" t="s">
        <v>288</v>
      </c>
      <c r="K1901" t="s">
        <v>289</v>
      </c>
      <c r="L1901" t="s">
        <v>53</v>
      </c>
      <c r="N1901" t="s">
        <v>3119</v>
      </c>
      <c r="P1901" t="s">
        <v>55</v>
      </c>
      <c r="R1901" t="s">
        <v>56</v>
      </c>
      <c r="T1901" t="s">
        <v>3115</v>
      </c>
      <c r="U1901" t="s">
        <v>58</v>
      </c>
      <c r="V1901">
        <v>1</v>
      </c>
      <c r="W1901">
        <v>1</v>
      </c>
      <c r="X1901">
        <v>1</v>
      </c>
      <c r="Y1901">
        <v>0</v>
      </c>
      <c r="Z1901">
        <v>1</v>
      </c>
      <c r="AA1901">
        <v>0</v>
      </c>
      <c r="AB1901">
        <v>172.86</v>
      </c>
      <c r="AC1901">
        <v>152.1</v>
      </c>
      <c r="AD1901">
        <v>0</v>
      </c>
      <c r="AE1901">
        <v>20.76</v>
      </c>
      <c r="AF1901">
        <v>0</v>
      </c>
      <c r="AG1901">
        <v>0</v>
      </c>
      <c r="AH1901">
        <v>0</v>
      </c>
      <c r="AI1901">
        <v>0</v>
      </c>
      <c r="AJ1901">
        <v>172.86</v>
      </c>
      <c r="AK1901">
        <v>0</v>
      </c>
      <c r="AL1901" t="s">
        <v>53</v>
      </c>
      <c r="AM1901" t="s">
        <v>53</v>
      </c>
      <c r="AN1901" t="s">
        <v>127</v>
      </c>
      <c r="AO1901" t="s">
        <v>53</v>
      </c>
      <c r="AP1901" t="s">
        <v>53</v>
      </c>
    </row>
    <row r="1902" spans="2:42" x14ac:dyDescent="0.2">
      <c r="B1902" t="s">
        <v>44</v>
      </c>
      <c r="C1902" t="str">
        <f>HYPERLINK("https://us2.cloudbeds.com/connect/8493803454333002#/reservations/598419611872?display=E1C08RXF&amp;reservation_id=598419611872", "E1C08RXF")</f>
        <v>E1C08RXF</v>
      </c>
      <c r="D1902" t="s">
        <v>45</v>
      </c>
      <c r="E1902" t="s">
        <v>121</v>
      </c>
      <c r="F1902" t="s">
        <v>86</v>
      </c>
      <c r="G1902" t="s">
        <v>48</v>
      </c>
      <c r="H1902" t="s">
        <v>49</v>
      </c>
      <c r="I1902" t="s">
        <v>79</v>
      </c>
      <c r="J1902" t="s">
        <v>1750</v>
      </c>
      <c r="K1902" t="s">
        <v>1269</v>
      </c>
      <c r="L1902" t="s">
        <v>53</v>
      </c>
      <c r="N1902" t="s">
        <v>3120</v>
      </c>
      <c r="P1902" t="s">
        <v>55</v>
      </c>
      <c r="R1902" t="s">
        <v>56</v>
      </c>
      <c r="T1902" t="s">
        <v>3115</v>
      </c>
      <c r="U1902" t="s">
        <v>58</v>
      </c>
      <c r="V1902">
        <v>1</v>
      </c>
      <c r="W1902">
        <v>1</v>
      </c>
      <c r="X1902">
        <v>1</v>
      </c>
      <c r="Y1902">
        <v>0</v>
      </c>
      <c r="Z1902">
        <v>1</v>
      </c>
      <c r="AA1902">
        <v>0</v>
      </c>
      <c r="AB1902">
        <v>183.6</v>
      </c>
      <c r="AC1902">
        <v>161.55000000000001</v>
      </c>
      <c r="AD1902">
        <v>0</v>
      </c>
      <c r="AE1902">
        <v>22.04</v>
      </c>
      <c r="AF1902">
        <v>0</v>
      </c>
      <c r="AG1902">
        <v>0</v>
      </c>
      <c r="AH1902">
        <v>0</v>
      </c>
      <c r="AI1902">
        <v>0</v>
      </c>
      <c r="AJ1902">
        <v>183.59</v>
      </c>
      <c r="AK1902">
        <v>-0.01</v>
      </c>
      <c r="AL1902" t="s">
        <v>53</v>
      </c>
      <c r="AM1902" t="s">
        <v>53</v>
      </c>
      <c r="AN1902" t="s">
        <v>413</v>
      </c>
      <c r="AO1902" t="s">
        <v>53</v>
      </c>
      <c r="AP1902" t="s">
        <v>53</v>
      </c>
    </row>
    <row r="1903" spans="2:42" x14ac:dyDescent="0.2">
      <c r="B1903" t="s">
        <v>44</v>
      </c>
      <c r="C1903" t="str">
        <f>HYPERLINK("https://us2.cloudbeds.com/connect/8493803454333002#/reservations/598547448049?display=E1F92250&amp;reservation_id=598547448049", "E1F92250")</f>
        <v>E1F92250</v>
      </c>
      <c r="D1903" t="s">
        <v>45</v>
      </c>
      <c r="E1903" t="s">
        <v>92</v>
      </c>
      <c r="F1903" t="s">
        <v>86</v>
      </c>
      <c r="G1903" t="s">
        <v>48</v>
      </c>
      <c r="H1903" t="s">
        <v>71</v>
      </c>
      <c r="I1903" t="s">
        <v>72</v>
      </c>
      <c r="J1903" t="s">
        <v>288</v>
      </c>
      <c r="K1903" t="s">
        <v>568</v>
      </c>
      <c r="L1903" t="s">
        <v>53</v>
      </c>
      <c r="N1903" t="s">
        <v>3121</v>
      </c>
      <c r="P1903" t="s">
        <v>55</v>
      </c>
      <c r="R1903" t="s">
        <v>56</v>
      </c>
      <c r="T1903" t="s">
        <v>3115</v>
      </c>
      <c r="U1903" t="s">
        <v>58</v>
      </c>
      <c r="V1903">
        <v>2</v>
      </c>
      <c r="W1903">
        <v>1</v>
      </c>
      <c r="X1903">
        <v>1</v>
      </c>
      <c r="Y1903">
        <v>0</v>
      </c>
      <c r="Z1903">
        <v>1</v>
      </c>
      <c r="AA1903">
        <v>0</v>
      </c>
      <c r="AB1903">
        <v>363.68</v>
      </c>
      <c r="AC1903">
        <v>320</v>
      </c>
      <c r="AD1903">
        <v>0</v>
      </c>
      <c r="AE1903">
        <v>43.68</v>
      </c>
      <c r="AF1903">
        <v>0</v>
      </c>
      <c r="AG1903">
        <v>0</v>
      </c>
      <c r="AH1903">
        <v>0</v>
      </c>
      <c r="AI1903">
        <v>0</v>
      </c>
      <c r="AJ1903">
        <v>363.68</v>
      </c>
      <c r="AK1903">
        <v>0</v>
      </c>
      <c r="AL1903" t="s">
        <v>53</v>
      </c>
      <c r="AM1903" t="s">
        <v>53</v>
      </c>
      <c r="AN1903" t="s">
        <v>378</v>
      </c>
      <c r="AO1903" t="s">
        <v>53</v>
      </c>
      <c r="AP1903" t="s">
        <v>53</v>
      </c>
    </row>
    <row r="1904" spans="2:42" x14ac:dyDescent="0.2">
      <c r="B1904" t="s">
        <v>44</v>
      </c>
      <c r="C1904" t="str">
        <f>HYPERLINK("https://us2.cloudbeds.com/connect/8493803454333002#/reservations/598472896704?display=E1D7DUPS&amp;reservation_id=598472896704", "E1D7DUPS")</f>
        <v>E1D7DUPS</v>
      </c>
      <c r="D1904" t="s">
        <v>45</v>
      </c>
      <c r="E1904" t="s">
        <v>46</v>
      </c>
      <c r="F1904" t="s">
        <v>47</v>
      </c>
      <c r="G1904" t="s">
        <v>48</v>
      </c>
      <c r="H1904" t="s">
        <v>49</v>
      </c>
      <c r="I1904" t="s">
        <v>79</v>
      </c>
      <c r="J1904" t="s">
        <v>1750</v>
      </c>
      <c r="K1904" t="s">
        <v>1269</v>
      </c>
      <c r="L1904" t="s">
        <v>53</v>
      </c>
      <c r="N1904" t="s">
        <v>3122</v>
      </c>
      <c r="P1904" t="s">
        <v>55</v>
      </c>
      <c r="R1904" t="s">
        <v>56</v>
      </c>
      <c r="T1904" t="s">
        <v>3115</v>
      </c>
      <c r="U1904" t="s">
        <v>58</v>
      </c>
      <c r="V1904">
        <v>1</v>
      </c>
      <c r="W1904">
        <v>1</v>
      </c>
      <c r="X1904">
        <v>1</v>
      </c>
      <c r="Y1904">
        <v>0</v>
      </c>
      <c r="Z1904">
        <v>1</v>
      </c>
      <c r="AA1904">
        <v>0</v>
      </c>
      <c r="AB1904">
        <v>155.97999999999999</v>
      </c>
      <c r="AC1904">
        <v>137.25</v>
      </c>
      <c r="AD1904">
        <v>0</v>
      </c>
      <c r="AE1904">
        <v>18.739999999999998</v>
      </c>
      <c r="AF1904">
        <v>0</v>
      </c>
      <c r="AG1904">
        <v>0</v>
      </c>
      <c r="AH1904">
        <v>0</v>
      </c>
      <c r="AI1904">
        <v>0</v>
      </c>
      <c r="AJ1904">
        <v>155.99</v>
      </c>
      <c r="AK1904">
        <v>0.01</v>
      </c>
      <c r="AL1904" t="s">
        <v>53</v>
      </c>
      <c r="AM1904" t="s">
        <v>53</v>
      </c>
      <c r="AN1904" t="s">
        <v>3123</v>
      </c>
      <c r="AO1904" t="s">
        <v>53</v>
      </c>
      <c r="AP1904" t="s">
        <v>53</v>
      </c>
    </row>
    <row r="1905" spans="2:42" x14ac:dyDescent="0.2">
      <c r="B1905" t="s">
        <v>44</v>
      </c>
      <c r="C1905" t="str">
        <f>HYPERLINK("https://us2.cloudbeds.com/connect/8493803454333002#/reservations/579319677143?display=DJXVMWSJ&amp;reservation_id=579319677143", "DJXVMWSJ")</f>
        <v>DJXVMWSJ</v>
      </c>
      <c r="D1905" t="s">
        <v>45</v>
      </c>
      <c r="E1905" t="s">
        <v>105</v>
      </c>
      <c r="F1905" t="s">
        <v>47</v>
      </c>
      <c r="G1905" t="s">
        <v>48</v>
      </c>
      <c r="H1905" t="s">
        <v>71</v>
      </c>
      <c r="I1905" t="s">
        <v>72</v>
      </c>
      <c r="J1905" t="s">
        <v>3124</v>
      </c>
      <c r="K1905" t="s">
        <v>3125</v>
      </c>
      <c r="L1905" t="s">
        <v>53</v>
      </c>
      <c r="N1905" t="s">
        <v>3126</v>
      </c>
      <c r="P1905" t="s">
        <v>58</v>
      </c>
      <c r="R1905" t="s">
        <v>56</v>
      </c>
      <c r="T1905" t="s">
        <v>3115</v>
      </c>
      <c r="U1905" t="s">
        <v>58</v>
      </c>
      <c r="V1905">
        <v>2</v>
      </c>
      <c r="W1905">
        <v>1</v>
      </c>
      <c r="X1905">
        <v>1</v>
      </c>
      <c r="Y1905">
        <v>0</v>
      </c>
      <c r="Z1905">
        <v>1</v>
      </c>
      <c r="AA1905">
        <v>0</v>
      </c>
      <c r="AB1905">
        <v>156.84</v>
      </c>
      <c r="AC1905">
        <v>138</v>
      </c>
      <c r="AD1905">
        <v>0</v>
      </c>
      <c r="AE1905">
        <v>18.84</v>
      </c>
      <c r="AF1905">
        <v>0</v>
      </c>
      <c r="AG1905">
        <v>0</v>
      </c>
      <c r="AH1905">
        <v>0</v>
      </c>
      <c r="AI1905">
        <v>0</v>
      </c>
      <c r="AJ1905">
        <v>156.84</v>
      </c>
      <c r="AK1905">
        <v>0</v>
      </c>
      <c r="AL1905" t="s">
        <v>53</v>
      </c>
      <c r="AM1905" t="s">
        <v>53</v>
      </c>
      <c r="AN1905" t="s">
        <v>378</v>
      </c>
      <c r="AO1905" t="s">
        <v>53</v>
      </c>
      <c r="AP1905" t="s">
        <v>53</v>
      </c>
    </row>
    <row r="1906" spans="2:42" x14ac:dyDescent="0.2">
      <c r="B1906" t="s">
        <v>44</v>
      </c>
      <c r="C1906" t="str">
        <f>HYPERLINK("https://us2.cloudbeds.com/connect/8493803454333002#/reservations/598492885149?display=E1DT1PFQ&amp;reservation_id=598492885149", "E1DT1PFQ")</f>
        <v>E1DT1PFQ</v>
      </c>
      <c r="D1906" t="s">
        <v>45</v>
      </c>
      <c r="E1906" t="s">
        <v>305</v>
      </c>
      <c r="F1906" t="s">
        <v>61</v>
      </c>
      <c r="G1906" t="s">
        <v>48</v>
      </c>
      <c r="H1906" t="s">
        <v>49</v>
      </c>
      <c r="I1906" t="s">
        <v>50</v>
      </c>
      <c r="J1906" t="s">
        <v>323</v>
      </c>
      <c r="K1906" t="s">
        <v>504</v>
      </c>
      <c r="L1906" t="s">
        <v>53</v>
      </c>
      <c r="N1906" t="s">
        <v>3127</v>
      </c>
      <c r="P1906" t="s">
        <v>55</v>
      </c>
      <c r="R1906" t="s">
        <v>56</v>
      </c>
      <c r="T1906" t="s">
        <v>3115</v>
      </c>
      <c r="U1906" t="s">
        <v>58</v>
      </c>
      <c r="V1906">
        <v>2</v>
      </c>
      <c r="W1906">
        <v>1</v>
      </c>
      <c r="X1906">
        <v>1</v>
      </c>
      <c r="Y1906">
        <v>0</v>
      </c>
      <c r="Z1906">
        <v>1</v>
      </c>
      <c r="AA1906">
        <v>0</v>
      </c>
      <c r="AB1906">
        <v>337.54</v>
      </c>
      <c r="AC1906">
        <v>297</v>
      </c>
      <c r="AD1906">
        <v>0</v>
      </c>
      <c r="AE1906">
        <v>40.56</v>
      </c>
      <c r="AF1906">
        <v>0</v>
      </c>
      <c r="AG1906">
        <v>0</v>
      </c>
      <c r="AH1906">
        <v>0</v>
      </c>
      <c r="AI1906">
        <v>60.76</v>
      </c>
      <c r="AJ1906">
        <v>337.56</v>
      </c>
      <c r="AK1906">
        <v>0.02</v>
      </c>
      <c r="AL1906" t="s">
        <v>53</v>
      </c>
      <c r="AM1906" t="s">
        <v>53</v>
      </c>
      <c r="AN1906" t="s">
        <v>127</v>
      </c>
      <c r="AO1906" t="s">
        <v>53</v>
      </c>
      <c r="AP1906" t="s">
        <v>53</v>
      </c>
    </row>
    <row r="1907" spans="2:42" x14ac:dyDescent="0.2">
      <c r="B1907" t="s">
        <v>44</v>
      </c>
      <c r="C1907" t="str">
        <f>HYPERLINK("https://us2.cloudbeds.com/connect/8493803454333002#/reservations/598412890262?display=E1BKD54F&amp;reservation_id=598412890262", "E1BKD54F")</f>
        <v>E1BKD54F</v>
      </c>
      <c r="D1907" t="s">
        <v>45</v>
      </c>
      <c r="E1907" t="s">
        <v>85</v>
      </c>
      <c r="F1907" t="s">
        <v>86</v>
      </c>
      <c r="G1907" t="s">
        <v>48</v>
      </c>
      <c r="H1907" t="s">
        <v>49</v>
      </c>
      <c r="I1907" t="s">
        <v>62</v>
      </c>
      <c r="J1907" t="s">
        <v>93</v>
      </c>
      <c r="K1907" t="s">
        <v>152</v>
      </c>
      <c r="L1907" t="s">
        <v>53</v>
      </c>
      <c r="N1907" t="s">
        <v>3128</v>
      </c>
      <c r="P1907" t="s">
        <v>55</v>
      </c>
      <c r="R1907" t="s">
        <v>56</v>
      </c>
      <c r="T1907" t="s">
        <v>3115</v>
      </c>
      <c r="U1907" t="s">
        <v>58</v>
      </c>
      <c r="V1907">
        <v>3</v>
      </c>
      <c r="W1907">
        <v>1</v>
      </c>
      <c r="X1907">
        <v>1</v>
      </c>
      <c r="Y1907">
        <v>0</v>
      </c>
      <c r="Z1907">
        <v>1</v>
      </c>
      <c r="AA1907">
        <v>0</v>
      </c>
      <c r="AB1907">
        <v>600.64</v>
      </c>
      <c r="AC1907">
        <v>528.5</v>
      </c>
      <c r="AD1907">
        <v>0</v>
      </c>
      <c r="AE1907">
        <v>72.150000000000006</v>
      </c>
      <c r="AF1907">
        <v>0</v>
      </c>
      <c r="AG1907">
        <v>0</v>
      </c>
      <c r="AH1907">
        <v>0</v>
      </c>
      <c r="AI1907">
        <v>90.1</v>
      </c>
      <c r="AJ1907">
        <v>600.65</v>
      </c>
      <c r="AK1907">
        <v>0.01</v>
      </c>
      <c r="AL1907" t="s">
        <v>53</v>
      </c>
      <c r="AM1907" t="s">
        <v>53</v>
      </c>
      <c r="AN1907" t="s">
        <v>545</v>
      </c>
      <c r="AO1907" t="s">
        <v>53</v>
      </c>
      <c r="AP1907" t="s">
        <v>53</v>
      </c>
    </row>
    <row r="1908" spans="2:42" x14ac:dyDescent="0.2">
      <c r="B1908" t="s">
        <v>44</v>
      </c>
      <c r="C1908" t="str">
        <f>HYPERLINK("https://us2.cloudbeds.com/connect/8493803454333002#/reservations/598346555567?display=E1A4YUT1&amp;reservation_id=598346555567", "E1A4YUT1")</f>
        <v>E1A4YUT1</v>
      </c>
      <c r="D1908" t="s">
        <v>45</v>
      </c>
      <c r="E1908" t="s">
        <v>190</v>
      </c>
      <c r="F1908" t="s">
        <v>61</v>
      </c>
      <c r="G1908" t="s">
        <v>48</v>
      </c>
      <c r="H1908" t="s">
        <v>49</v>
      </c>
      <c r="I1908" t="s">
        <v>50</v>
      </c>
      <c r="J1908" t="s">
        <v>236</v>
      </c>
      <c r="K1908" t="s">
        <v>237</v>
      </c>
      <c r="L1908" t="s">
        <v>53</v>
      </c>
      <c r="N1908" t="s">
        <v>3129</v>
      </c>
      <c r="P1908" t="s">
        <v>55</v>
      </c>
      <c r="R1908" t="s">
        <v>56</v>
      </c>
      <c r="T1908" t="s">
        <v>3115</v>
      </c>
      <c r="U1908" t="s">
        <v>58</v>
      </c>
      <c r="V1908">
        <v>1</v>
      </c>
      <c r="W1908">
        <v>1</v>
      </c>
      <c r="X1908">
        <v>1</v>
      </c>
      <c r="Y1908">
        <v>0</v>
      </c>
      <c r="Z1908">
        <v>1</v>
      </c>
      <c r="AA1908">
        <v>0</v>
      </c>
      <c r="AB1908">
        <v>162.63</v>
      </c>
      <c r="AC1908">
        <v>143.1</v>
      </c>
      <c r="AD1908">
        <v>0</v>
      </c>
      <c r="AE1908">
        <v>19.53</v>
      </c>
      <c r="AF1908">
        <v>0</v>
      </c>
      <c r="AG1908">
        <v>0</v>
      </c>
      <c r="AH1908">
        <v>0</v>
      </c>
      <c r="AI1908">
        <v>29.27</v>
      </c>
      <c r="AJ1908">
        <v>162.63</v>
      </c>
      <c r="AK1908">
        <v>0</v>
      </c>
      <c r="AL1908" t="s">
        <v>53</v>
      </c>
      <c r="AM1908" t="s">
        <v>53</v>
      </c>
      <c r="AN1908" t="s">
        <v>132</v>
      </c>
      <c r="AO1908" t="s">
        <v>53</v>
      </c>
      <c r="AP1908" t="s">
        <v>53</v>
      </c>
    </row>
    <row r="1909" spans="2:42" x14ac:dyDescent="0.2">
      <c r="B1909" t="s">
        <v>44</v>
      </c>
      <c r="C1909" t="str">
        <f>HYPERLINK("https://us2.cloudbeds.com/connect/8493803454333002#/reservations/598253736178?display=E17PD399&amp;reservation_id=598253736178", "E17PD399")</f>
        <v>E17PD399</v>
      </c>
      <c r="D1909" t="s">
        <v>45</v>
      </c>
      <c r="E1909" t="s">
        <v>487</v>
      </c>
      <c r="F1909" t="s">
        <v>61</v>
      </c>
      <c r="G1909" t="s">
        <v>48</v>
      </c>
      <c r="H1909" t="s">
        <v>49</v>
      </c>
      <c r="I1909" t="s">
        <v>50</v>
      </c>
      <c r="J1909" t="s">
        <v>288</v>
      </c>
      <c r="K1909" t="s">
        <v>289</v>
      </c>
      <c r="L1909" t="s">
        <v>53</v>
      </c>
      <c r="N1909" t="s">
        <v>3130</v>
      </c>
      <c r="P1909" t="s">
        <v>55</v>
      </c>
      <c r="R1909" t="s">
        <v>56</v>
      </c>
      <c r="T1909" t="s">
        <v>3115</v>
      </c>
      <c r="U1909" t="s">
        <v>58</v>
      </c>
      <c r="V1909">
        <v>1</v>
      </c>
      <c r="W1909">
        <v>1</v>
      </c>
      <c r="X1909">
        <v>1</v>
      </c>
      <c r="Y1909">
        <v>0</v>
      </c>
      <c r="Z1909">
        <v>1</v>
      </c>
      <c r="AA1909">
        <v>0</v>
      </c>
      <c r="AB1909">
        <v>165.7</v>
      </c>
      <c r="AC1909">
        <v>145.80000000000001</v>
      </c>
      <c r="AD1909">
        <v>0</v>
      </c>
      <c r="AE1909">
        <v>19.899999999999999</v>
      </c>
      <c r="AF1909">
        <v>0</v>
      </c>
      <c r="AG1909">
        <v>0</v>
      </c>
      <c r="AH1909">
        <v>0</v>
      </c>
      <c r="AI1909">
        <v>29.83</v>
      </c>
      <c r="AJ1909">
        <v>165.7</v>
      </c>
      <c r="AK1909">
        <v>0</v>
      </c>
      <c r="AL1909" t="s">
        <v>53</v>
      </c>
      <c r="AM1909" t="s">
        <v>53</v>
      </c>
      <c r="AN1909" t="s">
        <v>112</v>
      </c>
      <c r="AO1909" t="s">
        <v>53</v>
      </c>
      <c r="AP1909" t="s">
        <v>53</v>
      </c>
    </row>
    <row r="1910" spans="2:42" x14ac:dyDescent="0.2">
      <c r="B1910" t="s">
        <v>44</v>
      </c>
      <c r="C1910" t="str">
        <f>HYPERLINK("https://us2.cloudbeds.com/connect/8493803454333002#/reservations/579381731473?display=DJKX0ZNR&amp;reservation_id=579381731473", "DJKX0ZNR")</f>
        <v>DJKX0ZNR</v>
      </c>
      <c r="D1910" t="s">
        <v>45</v>
      </c>
      <c r="E1910" t="s">
        <v>98</v>
      </c>
      <c r="F1910" t="s">
        <v>86</v>
      </c>
      <c r="G1910" t="s">
        <v>48</v>
      </c>
      <c r="H1910" t="s">
        <v>71</v>
      </c>
      <c r="I1910" t="s">
        <v>72</v>
      </c>
      <c r="J1910" t="s">
        <v>1258</v>
      </c>
      <c r="K1910" t="s">
        <v>1259</v>
      </c>
      <c r="L1910" t="s">
        <v>53</v>
      </c>
      <c r="N1910" t="s">
        <v>3131</v>
      </c>
      <c r="P1910" t="s">
        <v>55</v>
      </c>
      <c r="R1910" t="s">
        <v>56</v>
      </c>
      <c r="T1910" t="s">
        <v>3115</v>
      </c>
      <c r="U1910" t="s">
        <v>58</v>
      </c>
      <c r="V1910">
        <v>2</v>
      </c>
      <c r="W1910">
        <v>1</v>
      </c>
      <c r="X1910">
        <v>1</v>
      </c>
      <c r="Y1910">
        <v>0</v>
      </c>
      <c r="Z1910">
        <v>1</v>
      </c>
      <c r="AA1910">
        <v>0</v>
      </c>
      <c r="AB1910">
        <v>293.22000000000003</v>
      </c>
      <c r="AC1910">
        <v>258</v>
      </c>
      <c r="AD1910">
        <v>0</v>
      </c>
      <c r="AE1910">
        <v>35.22</v>
      </c>
      <c r="AF1910">
        <v>0</v>
      </c>
      <c r="AG1910">
        <v>0</v>
      </c>
      <c r="AH1910">
        <v>0</v>
      </c>
      <c r="AI1910">
        <v>0</v>
      </c>
      <c r="AJ1910">
        <v>293.22000000000003</v>
      </c>
      <c r="AK1910">
        <v>0</v>
      </c>
      <c r="AL1910" t="s">
        <v>53</v>
      </c>
      <c r="AM1910" t="s">
        <v>53</v>
      </c>
      <c r="AN1910" t="s">
        <v>3132</v>
      </c>
      <c r="AO1910" t="s">
        <v>53</v>
      </c>
      <c r="AP1910" t="s">
        <v>53</v>
      </c>
    </row>
    <row r="1911" spans="2:42" x14ac:dyDescent="0.2">
      <c r="B1911" t="s">
        <v>44</v>
      </c>
      <c r="C1911" t="str">
        <f>HYPERLINK("https://us2.cloudbeds.com/connect/8493803454333002#/reservations/579315249360?display=DJXRVPVA&amp;reservation_id=579315249360", "DJXRVPVA")</f>
        <v>DJXRVPVA</v>
      </c>
      <c r="D1911" t="s">
        <v>45</v>
      </c>
      <c r="E1911" t="s">
        <v>138</v>
      </c>
      <c r="F1911" t="s">
        <v>70</v>
      </c>
      <c r="G1911" t="s">
        <v>48</v>
      </c>
      <c r="H1911" t="s">
        <v>49</v>
      </c>
      <c r="I1911" t="s">
        <v>62</v>
      </c>
      <c r="J1911" t="s">
        <v>3133</v>
      </c>
      <c r="K1911" t="s">
        <v>2283</v>
      </c>
      <c r="L1911" t="s">
        <v>53</v>
      </c>
      <c r="N1911" t="s">
        <v>3134</v>
      </c>
      <c r="P1911" t="s">
        <v>55</v>
      </c>
      <c r="R1911" t="s">
        <v>125</v>
      </c>
      <c r="T1911" t="s">
        <v>3115</v>
      </c>
      <c r="U1911" t="s">
        <v>58</v>
      </c>
      <c r="V1911">
        <v>1</v>
      </c>
      <c r="W1911">
        <v>1</v>
      </c>
      <c r="X1911">
        <v>1</v>
      </c>
      <c r="Y1911">
        <v>0</v>
      </c>
      <c r="Z1911">
        <v>1</v>
      </c>
      <c r="AA1911">
        <v>0</v>
      </c>
      <c r="AB1911">
        <v>76.150000000000006</v>
      </c>
      <c r="AC1911">
        <v>67</v>
      </c>
      <c r="AD1911">
        <v>0</v>
      </c>
      <c r="AE1911">
        <v>9.15</v>
      </c>
      <c r="AF1911">
        <v>0</v>
      </c>
      <c r="AG1911">
        <v>0</v>
      </c>
      <c r="AH1911">
        <v>0</v>
      </c>
      <c r="AI1911">
        <v>11.42</v>
      </c>
      <c r="AJ1911">
        <v>76.150000000000006</v>
      </c>
      <c r="AK1911">
        <v>0</v>
      </c>
      <c r="AL1911" t="s">
        <v>53</v>
      </c>
      <c r="AM1911" t="s">
        <v>53</v>
      </c>
      <c r="AN1911" t="s">
        <v>245</v>
      </c>
      <c r="AO1911" t="s">
        <v>53</v>
      </c>
      <c r="AP1911" t="s">
        <v>53</v>
      </c>
    </row>
    <row r="1912" spans="2:42" x14ac:dyDescent="0.2">
      <c r="B1912" t="s">
        <v>44</v>
      </c>
      <c r="C1912" t="str">
        <f>HYPERLINK("https://us2.cloudbeds.com/connect/8493803454333002#/reservations/579312730321?display=DJXPRMPR&amp;reservation_id=579312730321", "DJXPRMPR")</f>
        <v>DJXPRMPR</v>
      </c>
      <c r="D1912" t="s">
        <v>45</v>
      </c>
      <c r="E1912" t="s">
        <v>373</v>
      </c>
      <c r="F1912" t="s">
        <v>47</v>
      </c>
      <c r="G1912" t="s">
        <v>48</v>
      </c>
      <c r="H1912" t="s">
        <v>71</v>
      </c>
      <c r="I1912" t="s">
        <v>72</v>
      </c>
      <c r="J1912" t="s">
        <v>1406</v>
      </c>
      <c r="K1912" t="s">
        <v>1556</v>
      </c>
      <c r="L1912" t="s">
        <v>53</v>
      </c>
      <c r="N1912" t="s">
        <v>3135</v>
      </c>
      <c r="P1912" t="s">
        <v>58</v>
      </c>
      <c r="R1912" t="s">
        <v>56</v>
      </c>
      <c r="T1912" t="s">
        <v>3136</v>
      </c>
      <c r="U1912" t="s">
        <v>58</v>
      </c>
      <c r="V1912">
        <v>1</v>
      </c>
      <c r="W1912">
        <v>1</v>
      </c>
      <c r="X1912">
        <v>1</v>
      </c>
      <c r="Y1912">
        <v>0</v>
      </c>
      <c r="Z1912">
        <v>1</v>
      </c>
      <c r="AA1912">
        <v>0</v>
      </c>
      <c r="AB1912">
        <v>161.38999999999999</v>
      </c>
      <c r="AC1912">
        <v>142</v>
      </c>
      <c r="AD1912">
        <v>0</v>
      </c>
      <c r="AE1912">
        <v>19.39</v>
      </c>
      <c r="AF1912">
        <v>0</v>
      </c>
      <c r="AG1912">
        <v>0</v>
      </c>
      <c r="AH1912">
        <v>0</v>
      </c>
      <c r="AI1912">
        <v>0</v>
      </c>
      <c r="AJ1912">
        <v>161.38999999999999</v>
      </c>
      <c r="AK1912">
        <v>0</v>
      </c>
      <c r="AL1912" t="s">
        <v>53</v>
      </c>
      <c r="AM1912" t="s">
        <v>53</v>
      </c>
      <c r="AN1912" t="s">
        <v>3137</v>
      </c>
      <c r="AO1912" t="s">
        <v>53</v>
      </c>
      <c r="AP1912" t="s">
        <v>53</v>
      </c>
    </row>
    <row r="1913" spans="2:42" x14ac:dyDescent="0.2">
      <c r="B1913" t="s">
        <v>44</v>
      </c>
      <c r="C1913" t="str">
        <f>HYPERLINK("https://us2.cloudbeds.com/connect/8493803454333002#/reservations/579398062224?display=DJKVQ5R2&amp;reservation_id=579398062224", "DJKVQ5R2")</f>
        <v>DJKVQ5R2</v>
      </c>
      <c r="D1913" t="s">
        <v>45</v>
      </c>
      <c r="E1913" t="s">
        <v>110</v>
      </c>
      <c r="F1913" t="s">
        <v>47</v>
      </c>
      <c r="G1913" t="s">
        <v>48</v>
      </c>
      <c r="H1913" t="s">
        <v>71</v>
      </c>
      <c r="I1913" t="s">
        <v>72</v>
      </c>
      <c r="J1913" t="s">
        <v>1903</v>
      </c>
      <c r="K1913" t="s">
        <v>2545</v>
      </c>
      <c r="L1913" t="s">
        <v>53</v>
      </c>
      <c r="N1913" t="s">
        <v>3138</v>
      </c>
      <c r="P1913" t="s">
        <v>58</v>
      </c>
      <c r="R1913" t="s">
        <v>56</v>
      </c>
      <c r="T1913" t="s">
        <v>3136</v>
      </c>
      <c r="U1913" t="s">
        <v>58</v>
      </c>
      <c r="V1913">
        <v>3</v>
      </c>
      <c r="W1913">
        <v>1</v>
      </c>
      <c r="X1913">
        <v>1</v>
      </c>
      <c r="Y1913">
        <v>0</v>
      </c>
      <c r="Z1913">
        <v>1</v>
      </c>
      <c r="AA1913">
        <v>0</v>
      </c>
      <c r="AB1913">
        <v>492.13</v>
      </c>
      <c r="AC1913">
        <v>433</v>
      </c>
      <c r="AD1913">
        <v>0</v>
      </c>
      <c r="AE1913">
        <v>59.13</v>
      </c>
      <c r="AF1913">
        <v>0</v>
      </c>
      <c r="AG1913">
        <v>0</v>
      </c>
      <c r="AH1913">
        <v>0</v>
      </c>
      <c r="AI1913">
        <v>0</v>
      </c>
      <c r="AJ1913">
        <v>492.13</v>
      </c>
      <c r="AK1913">
        <v>0</v>
      </c>
      <c r="AL1913" t="s">
        <v>53</v>
      </c>
      <c r="AM1913" t="s">
        <v>53</v>
      </c>
      <c r="AN1913" t="s">
        <v>3139</v>
      </c>
      <c r="AO1913" t="s">
        <v>53</v>
      </c>
      <c r="AP1913" t="s">
        <v>53</v>
      </c>
    </row>
    <row r="1914" spans="2:42" x14ac:dyDescent="0.2">
      <c r="B1914" t="s">
        <v>44</v>
      </c>
      <c r="C1914" t="str">
        <f>HYPERLINK("https://us2.cloudbeds.com/connect/8493803454333002#/reservations/598381547762?display=E1B15Y9J&amp;reservation_id=598381547762", "E1B15Y9J")</f>
        <v>E1B15Y9J</v>
      </c>
      <c r="D1914" t="s">
        <v>45</v>
      </c>
      <c r="E1914" t="s">
        <v>53</v>
      </c>
      <c r="F1914" t="s">
        <v>86</v>
      </c>
      <c r="G1914" t="s">
        <v>48</v>
      </c>
      <c r="H1914" t="s">
        <v>49</v>
      </c>
      <c r="I1914" t="s">
        <v>50</v>
      </c>
      <c r="J1914" t="s">
        <v>568</v>
      </c>
      <c r="K1914" t="s">
        <v>122</v>
      </c>
      <c r="L1914" t="s">
        <v>53</v>
      </c>
      <c r="N1914" t="s">
        <v>3140</v>
      </c>
      <c r="P1914" t="s">
        <v>55</v>
      </c>
      <c r="R1914" t="s">
        <v>56</v>
      </c>
      <c r="T1914" t="s">
        <v>3136</v>
      </c>
      <c r="U1914" t="s">
        <v>58</v>
      </c>
      <c r="V1914">
        <v>3</v>
      </c>
      <c r="W1914">
        <v>1</v>
      </c>
      <c r="X1914">
        <v>1</v>
      </c>
      <c r="Y1914">
        <v>0</v>
      </c>
      <c r="Z1914">
        <v>1</v>
      </c>
      <c r="AA1914">
        <v>0</v>
      </c>
      <c r="AB1914">
        <v>548.59</v>
      </c>
      <c r="AC1914">
        <v>482.7</v>
      </c>
      <c r="AD1914">
        <v>0</v>
      </c>
      <c r="AE1914">
        <v>65.91</v>
      </c>
      <c r="AF1914">
        <v>0</v>
      </c>
      <c r="AG1914">
        <v>0</v>
      </c>
      <c r="AH1914">
        <v>0</v>
      </c>
      <c r="AI1914">
        <v>98.75</v>
      </c>
      <c r="AJ1914">
        <v>548.61</v>
      </c>
      <c r="AK1914">
        <v>0.02</v>
      </c>
      <c r="AL1914" t="s">
        <v>53</v>
      </c>
      <c r="AM1914" t="s">
        <v>53</v>
      </c>
      <c r="AN1914" t="s">
        <v>3141</v>
      </c>
      <c r="AO1914" t="s">
        <v>53</v>
      </c>
      <c r="AP1914" t="s">
        <v>53</v>
      </c>
    </row>
    <row r="1915" spans="2:42" x14ac:dyDescent="0.2">
      <c r="B1915" t="s">
        <v>44</v>
      </c>
      <c r="C1915" t="str">
        <f>HYPERLINK("https://us2.cloudbeds.com/connect/8493803454333002#/reservations/598500532443?display=E1E2GXPV&amp;reservation_id=598500532443", "E1E2GXPV")</f>
        <v>E1E2GXPV</v>
      </c>
      <c r="D1915" t="s">
        <v>45</v>
      </c>
      <c r="E1915" t="s">
        <v>85</v>
      </c>
      <c r="F1915" t="s">
        <v>86</v>
      </c>
      <c r="G1915" t="s">
        <v>48</v>
      </c>
      <c r="H1915" t="s">
        <v>71</v>
      </c>
      <c r="I1915" t="s">
        <v>72</v>
      </c>
      <c r="J1915" t="s">
        <v>647</v>
      </c>
      <c r="K1915" t="s">
        <v>215</v>
      </c>
      <c r="L1915" t="s">
        <v>53</v>
      </c>
      <c r="N1915" t="s">
        <v>3142</v>
      </c>
      <c r="P1915" t="s">
        <v>55</v>
      </c>
      <c r="R1915" t="s">
        <v>56</v>
      </c>
      <c r="T1915" t="s">
        <v>3136</v>
      </c>
      <c r="U1915" t="s">
        <v>58</v>
      </c>
      <c r="V1915">
        <v>2</v>
      </c>
      <c r="W1915">
        <v>1</v>
      </c>
      <c r="X1915">
        <v>1</v>
      </c>
      <c r="Y1915">
        <v>0</v>
      </c>
      <c r="Z1915">
        <v>1</v>
      </c>
      <c r="AA1915">
        <v>0</v>
      </c>
      <c r="AB1915">
        <v>383</v>
      </c>
      <c r="AC1915">
        <v>337</v>
      </c>
      <c r="AD1915">
        <v>0</v>
      </c>
      <c r="AE1915">
        <v>46.02</v>
      </c>
      <c r="AF1915">
        <v>0</v>
      </c>
      <c r="AG1915">
        <v>0</v>
      </c>
      <c r="AH1915">
        <v>0</v>
      </c>
      <c r="AI1915">
        <v>0</v>
      </c>
      <c r="AJ1915">
        <v>383.02</v>
      </c>
      <c r="AK1915">
        <v>0.02</v>
      </c>
      <c r="AL1915" t="s">
        <v>53</v>
      </c>
      <c r="AM1915" t="s">
        <v>53</v>
      </c>
      <c r="AN1915" t="s">
        <v>3143</v>
      </c>
      <c r="AO1915" t="s">
        <v>53</v>
      </c>
      <c r="AP1915" t="s">
        <v>53</v>
      </c>
    </row>
    <row r="1916" spans="2:42" x14ac:dyDescent="0.2">
      <c r="B1916" t="s">
        <v>44</v>
      </c>
      <c r="C1916" t="str">
        <f>HYPERLINK("https://us2.cloudbeds.com/connect/8493803454333002#/reservations/579184324842?display=DJFGXKDD&amp;reservation_id=579184324842", "DJFGXKDD")</f>
        <v>DJFGXKDD</v>
      </c>
      <c r="D1916" t="s">
        <v>45</v>
      </c>
      <c r="E1916" t="s">
        <v>128</v>
      </c>
      <c r="F1916" t="s">
        <v>86</v>
      </c>
      <c r="G1916" t="s">
        <v>48</v>
      </c>
      <c r="H1916" t="s">
        <v>71</v>
      </c>
      <c r="I1916" t="s">
        <v>72</v>
      </c>
      <c r="J1916" t="s">
        <v>1985</v>
      </c>
      <c r="K1916" t="s">
        <v>2022</v>
      </c>
      <c r="L1916" t="s">
        <v>53</v>
      </c>
      <c r="N1916" t="s">
        <v>3144</v>
      </c>
      <c r="P1916" t="s">
        <v>55</v>
      </c>
      <c r="R1916" t="s">
        <v>56</v>
      </c>
      <c r="T1916" t="s">
        <v>3136</v>
      </c>
      <c r="U1916" t="s">
        <v>58</v>
      </c>
      <c r="V1916">
        <v>1</v>
      </c>
      <c r="W1916">
        <v>1</v>
      </c>
      <c r="X1916">
        <v>1</v>
      </c>
      <c r="Y1916">
        <v>0</v>
      </c>
      <c r="Z1916">
        <v>1</v>
      </c>
      <c r="AA1916">
        <v>0</v>
      </c>
      <c r="AB1916">
        <v>201.16</v>
      </c>
      <c r="AC1916">
        <v>177</v>
      </c>
      <c r="AD1916">
        <v>0</v>
      </c>
      <c r="AE1916">
        <v>24.16</v>
      </c>
      <c r="AF1916">
        <v>0</v>
      </c>
      <c r="AG1916">
        <v>0</v>
      </c>
      <c r="AH1916">
        <v>0</v>
      </c>
      <c r="AI1916">
        <v>0</v>
      </c>
      <c r="AJ1916">
        <v>201.16</v>
      </c>
      <c r="AK1916">
        <v>0</v>
      </c>
      <c r="AL1916" t="s">
        <v>53</v>
      </c>
      <c r="AM1916" t="s">
        <v>53</v>
      </c>
      <c r="AN1916" t="s">
        <v>3145</v>
      </c>
      <c r="AO1916" t="s">
        <v>53</v>
      </c>
      <c r="AP1916" t="s">
        <v>53</v>
      </c>
    </row>
    <row r="1917" spans="2:42" x14ac:dyDescent="0.2">
      <c r="B1917" t="s">
        <v>44</v>
      </c>
      <c r="C1917" t="str">
        <f>HYPERLINK("https://us2.cloudbeds.com/connect/8493803454333002#/reservations/598625796259?display=E1H94785&amp;reservation_id=598625796259", "E1H94785")</f>
        <v>E1H94785</v>
      </c>
      <c r="D1917" t="s">
        <v>45</v>
      </c>
      <c r="E1917" t="s">
        <v>113</v>
      </c>
      <c r="F1917" t="s">
        <v>61</v>
      </c>
      <c r="G1917" t="s">
        <v>48</v>
      </c>
      <c r="H1917" t="s">
        <v>49</v>
      </c>
      <c r="I1917" t="s">
        <v>50</v>
      </c>
      <c r="J1917" t="s">
        <v>1822</v>
      </c>
      <c r="K1917" t="s">
        <v>94</v>
      </c>
      <c r="L1917" t="s">
        <v>53</v>
      </c>
      <c r="N1917" t="s">
        <v>3146</v>
      </c>
      <c r="P1917" t="s">
        <v>55</v>
      </c>
      <c r="R1917" t="s">
        <v>56</v>
      </c>
      <c r="T1917" t="s">
        <v>3136</v>
      </c>
      <c r="U1917" t="s">
        <v>58</v>
      </c>
      <c r="V1917">
        <v>1</v>
      </c>
      <c r="W1917">
        <v>1</v>
      </c>
      <c r="X1917">
        <v>1</v>
      </c>
      <c r="Y1917">
        <v>0</v>
      </c>
      <c r="Z1917">
        <v>1</v>
      </c>
      <c r="AA1917">
        <v>0</v>
      </c>
      <c r="AB1917">
        <v>164.68</v>
      </c>
      <c r="AC1917">
        <v>144.9</v>
      </c>
      <c r="AD1917">
        <v>0</v>
      </c>
      <c r="AE1917">
        <v>19.78</v>
      </c>
      <c r="AF1917">
        <v>0</v>
      </c>
      <c r="AG1917">
        <v>0</v>
      </c>
      <c r="AH1917">
        <v>0</v>
      </c>
      <c r="AI1917">
        <v>29.64</v>
      </c>
      <c r="AJ1917">
        <v>164.68</v>
      </c>
      <c r="AK1917">
        <v>0</v>
      </c>
      <c r="AL1917" t="s">
        <v>53</v>
      </c>
      <c r="AM1917" t="s">
        <v>53</v>
      </c>
      <c r="AN1917" t="s">
        <v>91</v>
      </c>
      <c r="AO1917" t="s">
        <v>53</v>
      </c>
      <c r="AP1917" t="s">
        <v>53</v>
      </c>
    </row>
    <row r="1918" spans="2:42" x14ac:dyDescent="0.2">
      <c r="B1918" t="s">
        <v>44</v>
      </c>
      <c r="C1918" t="str">
        <f>HYPERLINK("https://us2.cloudbeds.com/connect/8493803454333002#/reservations/598163230890?display=E15F2YYP&amp;reservation_id=598163230890", "E15F2YYP")</f>
        <v>E15F2YYP</v>
      </c>
      <c r="D1918" t="s">
        <v>45</v>
      </c>
      <c r="E1918" t="s">
        <v>213</v>
      </c>
      <c r="F1918" t="s">
        <v>86</v>
      </c>
      <c r="G1918" t="s">
        <v>48</v>
      </c>
      <c r="H1918" t="s">
        <v>49</v>
      </c>
      <c r="I1918" t="s">
        <v>114</v>
      </c>
      <c r="J1918" t="s">
        <v>2102</v>
      </c>
      <c r="K1918" t="s">
        <v>988</v>
      </c>
      <c r="L1918" t="s">
        <v>53</v>
      </c>
      <c r="N1918" t="s">
        <v>3147</v>
      </c>
      <c r="P1918" t="s">
        <v>58</v>
      </c>
      <c r="R1918" t="s">
        <v>56</v>
      </c>
      <c r="T1918" t="s">
        <v>3136</v>
      </c>
      <c r="U1918" t="s">
        <v>58</v>
      </c>
      <c r="V1918">
        <v>1</v>
      </c>
      <c r="W1918">
        <v>1</v>
      </c>
      <c r="X1918">
        <v>1</v>
      </c>
      <c r="Y1918">
        <v>0</v>
      </c>
      <c r="Z1918">
        <v>1</v>
      </c>
      <c r="AA1918">
        <v>0</v>
      </c>
      <c r="AB1918">
        <v>191.5</v>
      </c>
      <c r="AC1918">
        <v>168.5</v>
      </c>
      <c r="AD1918">
        <v>0</v>
      </c>
      <c r="AE1918">
        <v>23.01</v>
      </c>
      <c r="AF1918">
        <v>0</v>
      </c>
      <c r="AG1918">
        <v>0</v>
      </c>
      <c r="AH1918">
        <v>0</v>
      </c>
      <c r="AI1918">
        <v>0</v>
      </c>
      <c r="AJ1918">
        <v>191.51</v>
      </c>
      <c r="AK1918">
        <v>0.01</v>
      </c>
      <c r="AL1918" t="s">
        <v>53</v>
      </c>
      <c r="AM1918" t="s">
        <v>53</v>
      </c>
      <c r="AN1918" t="s">
        <v>3148</v>
      </c>
      <c r="AO1918" t="s">
        <v>53</v>
      </c>
      <c r="AP1918" t="s">
        <v>53</v>
      </c>
    </row>
    <row r="1919" spans="2:42" x14ac:dyDescent="0.2">
      <c r="B1919" t="s">
        <v>44</v>
      </c>
      <c r="C1919" t="str">
        <f>HYPERLINK("https://us2.cloudbeds.com/connect/8493803454333002#/reservations/579264889057?display=DJHXGEDX&amp;reservation_id=579264889057", "DJHXGEDX")</f>
        <v>DJHXGEDX</v>
      </c>
      <c r="D1919" t="s">
        <v>45</v>
      </c>
      <c r="E1919" t="s">
        <v>110</v>
      </c>
      <c r="F1919" t="s">
        <v>47</v>
      </c>
      <c r="G1919" t="s">
        <v>48</v>
      </c>
      <c r="H1919" t="s">
        <v>49</v>
      </c>
      <c r="I1919" t="s">
        <v>62</v>
      </c>
      <c r="J1919" t="s">
        <v>3104</v>
      </c>
      <c r="K1919" t="s">
        <v>1501</v>
      </c>
      <c r="L1919" t="s">
        <v>53</v>
      </c>
      <c r="N1919" t="s">
        <v>3149</v>
      </c>
      <c r="P1919" t="s">
        <v>55</v>
      </c>
      <c r="R1919" t="s">
        <v>56</v>
      </c>
      <c r="T1919" t="s">
        <v>3136</v>
      </c>
      <c r="U1919" t="s">
        <v>58</v>
      </c>
      <c r="V1919">
        <v>2</v>
      </c>
      <c r="W1919">
        <v>1</v>
      </c>
      <c r="X1919">
        <v>1</v>
      </c>
      <c r="Y1919">
        <v>0</v>
      </c>
      <c r="Z1919">
        <v>1</v>
      </c>
      <c r="AA1919">
        <v>0</v>
      </c>
      <c r="AB1919">
        <v>337.56</v>
      </c>
      <c r="AC1919">
        <v>297</v>
      </c>
      <c r="AD1919">
        <v>0</v>
      </c>
      <c r="AE1919">
        <v>40.56</v>
      </c>
      <c r="AF1919">
        <v>0</v>
      </c>
      <c r="AG1919">
        <v>0</v>
      </c>
      <c r="AH1919">
        <v>0</v>
      </c>
      <c r="AI1919">
        <v>50.63</v>
      </c>
      <c r="AJ1919">
        <v>337.56</v>
      </c>
      <c r="AK1919">
        <v>0</v>
      </c>
      <c r="AL1919" t="s">
        <v>53</v>
      </c>
      <c r="AM1919" t="s">
        <v>53</v>
      </c>
      <c r="AN1919" t="s">
        <v>316</v>
      </c>
      <c r="AO1919" t="s">
        <v>53</v>
      </c>
      <c r="AP1919" t="s">
        <v>53</v>
      </c>
    </row>
    <row r="1920" spans="2:42" x14ac:dyDescent="0.2">
      <c r="B1920" t="s">
        <v>44</v>
      </c>
      <c r="C1920" t="str">
        <f>HYPERLINK("https://us2.cloudbeds.com/connect/8493803454333002#/reservations/598150934708?display=E154NGD7&amp;reservation_id=598150934708", "E154NGD7")</f>
        <v>E154NGD7</v>
      </c>
      <c r="D1920" t="s">
        <v>45</v>
      </c>
      <c r="E1920" t="s">
        <v>113</v>
      </c>
      <c r="F1920" t="s">
        <v>61</v>
      </c>
      <c r="G1920" t="s">
        <v>48</v>
      </c>
      <c r="H1920" t="s">
        <v>49</v>
      </c>
      <c r="I1920" t="s">
        <v>114</v>
      </c>
      <c r="J1920" t="s">
        <v>2102</v>
      </c>
      <c r="K1920" t="s">
        <v>988</v>
      </c>
      <c r="L1920" t="s">
        <v>53</v>
      </c>
      <c r="N1920" t="s">
        <v>3150</v>
      </c>
      <c r="P1920" t="s">
        <v>58</v>
      </c>
      <c r="R1920" t="s">
        <v>56</v>
      </c>
      <c r="T1920" t="s">
        <v>3136</v>
      </c>
      <c r="U1920" t="s">
        <v>58</v>
      </c>
      <c r="V1920">
        <v>1</v>
      </c>
      <c r="W1920">
        <v>1</v>
      </c>
      <c r="X1920">
        <v>1</v>
      </c>
      <c r="Y1920">
        <v>0</v>
      </c>
      <c r="Z1920">
        <v>1</v>
      </c>
      <c r="AA1920">
        <v>0</v>
      </c>
      <c r="AB1920">
        <v>182.98</v>
      </c>
      <c r="AC1920">
        <v>161</v>
      </c>
      <c r="AD1920">
        <v>0</v>
      </c>
      <c r="AE1920">
        <v>21.98</v>
      </c>
      <c r="AF1920">
        <v>0</v>
      </c>
      <c r="AG1920">
        <v>0</v>
      </c>
      <c r="AH1920">
        <v>0</v>
      </c>
      <c r="AI1920">
        <v>0</v>
      </c>
      <c r="AJ1920">
        <v>182.98</v>
      </c>
      <c r="AK1920">
        <v>0</v>
      </c>
      <c r="AL1920" t="s">
        <v>53</v>
      </c>
      <c r="AM1920" t="s">
        <v>53</v>
      </c>
      <c r="AN1920" t="s">
        <v>3151</v>
      </c>
      <c r="AO1920" t="s">
        <v>53</v>
      </c>
      <c r="AP1920" t="s">
        <v>53</v>
      </c>
    </row>
    <row r="1921" spans="2:42" x14ac:dyDescent="0.2">
      <c r="B1921" t="s">
        <v>44</v>
      </c>
      <c r="C1921" t="str">
        <f>HYPERLINK("https://us2.cloudbeds.com/connect/8493803454333002#/reservations/598364299406?display=E1AJKMJ4&amp;reservation_id=598364299406", "E1AJKMJ4")</f>
        <v>E1AJKMJ4</v>
      </c>
      <c r="D1921" t="s">
        <v>45</v>
      </c>
      <c r="E1921" t="s">
        <v>128</v>
      </c>
      <c r="F1921" t="s">
        <v>86</v>
      </c>
      <c r="G1921" t="s">
        <v>48</v>
      </c>
      <c r="H1921" t="s">
        <v>49</v>
      </c>
      <c r="I1921" t="s">
        <v>50</v>
      </c>
      <c r="J1921" t="s">
        <v>289</v>
      </c>
      <c r="K1921" t="s">
        <v>568</v>
      </c>
      <c r="L1921" t="s">
        <v>53</v>
      </c>
      <c r="N1921" t="s">
        <v>3152</v>
      </c>
      <c r="P1921" t="s">
        <v>55</v>
      </c>
      <c r="R1921" t="s">
        <v>56</v>
      </c>
      <c r="T1921" t="s">
        <v>3136</v>
      </c>
      <c r="U1921" t="s">
        <v>58</v>
      </c>
      <c r="V1921">
        <v>1</v>
      </c>
      <c r="W1921">
        <v>1</v>
      </c>
      <c r="X1921">
        <v>1</v>
      </c>
      <c r="Y1921">
        <v>0</v>
      </c>
      <c r="Z1921">
        <v>1</v>
      </c>
      <c r="AA1921">
        <v>0</v>
      </c>
      <c r="AB1921">
        <v>172.86</v>
      </c>
      <c r="AC1921">
        <v>152.1</v>
      </c>
      <c r="AD1921">
        <v>0</v>
      </c>
      <c r="AE1921">
        <v>20.76</v>
      </c>
      <c r="AF1921">
        <v>0</v>
      </c>
      <c r="AG1921">
        <v>0</v>
      </c>
      <c r="AH1921">
        <v>0</v>
      </c>
      <c r="AI1921">
        <v>31.11</v>
      </c>
      <c r="AJ1921">
        <v>172.86</v>
      </c>
      <c r="AK1921">
        <v>0</v>
      </c>
      <c r="AL1921" t="s">
        <v>53</v>
      </c>
      <c r="AM1921" t="s">
        <v>53</v>
      </c>
      <c r="AN1921" t="s">
        <v>112</v>
      </c>
      <c r="AO1921" t="s">
        <v>53</v>
      </c>
      <c r="AP1921" t="s">
        <v>53</v>
      </c>
    </row>
    <row r="1922" spans="2:42" x14ac:dyDescent="0.2">
      <c r="B1922" t="s">
        <v>44</v>
      </c>
      <c r="C1922" t="str">
        <f>HYPERLINK("https://us2.cloudbeds.com/connect/8493803454333002#/reservations/579345862850?display=DJJKPYGS&amp;reservation_id=579345862850", "DJJKPYGS")</f>
        <v>DJJKPYGS</v>
      </c>
      <c r="D1922" t="s">
        <v>45</v>
      </c>
      <c r="E1922" t="s">
        <v>138</v>
      </c>
      <c r="F1922" t="s">
        <v>70</v>
      </c>
      <c r="G1922" t="s">
        <v>48</v>
      </c>
      <c r="H1922" t="s">
        <v>49</v>
      </c>
      <c r="I1922" t="s">
        <v>62</v>
      </c>
      <c r="J1922" t="s">
        <v>1436</v>
      </c>
      <c r="K1922" t="s">
        <v>1332</v>
      </c>
      <c r="L1922" t="s">
        <v>53</v>
      </c>
      <c r="N1922" t="s">
        <v>3153</v>
      </c>
      <c r="P1922" t="s">
        <v>55</v>
      </c>
      <c r="R1922" t="s">
        <v>56</v>
      </c>
      <c r="T1922" t="s">
        <v>3136</v>
      </c>
      <c r="U1922" t="s">
        <v>58</v>
      </c>
      <c r="V1922">
        <v>1</v>
      </c>
      <c r="W1922">
        <v>1</v>
      </c>
      <c r="X1922">
        <v>1</v>
      </c>
      <c r="Y1922">
        <v>0</v>
      </c>
      <c r="Z1922">
        <v>1</v>
      </c>
      <c r="AA1922">
        <v>0</v>
      </c>
      <c r="AB1922">
        <v>151.16</v>
      </c>
      <c r="AC1922">
        <v>133</v>
      </c>
      <c r="AD1922">
        <v>0</v>
      </c>
      <c r="AE1922">
        <v>18.16</v>
      </c>
      <c r="AF1922">
        <v>0</v>
      </c>
      <c r="AG1922">
        <v>0</v>
      </c>
      <c r="AH1922">
        <v>0</v>
      </c>
      <c r="AI1922">
        <v>22.67</v>
      </c>
      <c r="AJ1922">
        <v>151.16</v>
      </c>
      <c r="AK1922">
        <v>0</v>
      </c>
      <c r="AL1922" t="s">
        <v>53</v>
      </c>
      <c r="AM1922" t="s">
        <v>53</v>
      </c>
      <c r="AN1922" t="s">
        <v>280</v>
      </c>
      <c r="AO1922" t="s">
        <v>53</v>
      </c>
      <c r="AP1922" t="s">
        <v>53</v>
      </c>
    </row>
    <row r="1923" spans="2:42" x14ac:dyDescent="0.2">
      <c r="B1923" t="s">
        <v>44</v>
      </c>
      <c r="C1923" t="str">
        <f>HYPERLINK("https://us2.cloudbeds.com/connect/8493803454333002#/reservations/598456979615?display=E1CVPYCA&amp;reservation_id=598456979615", "E1CVPYCA")</f>
        <v>E1CVPYCA</v>
      </c>
      <c r="D1923" t="s">
        <v>45</v>
      </c>
      <c r="E1923" t="s">
        <v>305</v>
      </c>
      <c r="F1923" t="s">
        <v>61</v>
      </c>
      <c r="G1923" t="s">
        <v>48</v>
      </c>
      <c r="H1923" t="s">
        <v>49</v>
      </c>
      <c r="I1923" t="s">
        <v>62</v>
      </c>
      <c r="J1923" t="s">
        <v>488</v>
      </c>
      <c r="K1923" t="s">
        <v>1822</v>
      </c>
      <c r="L1923" t="s">
        <v>53</v>
      </c>
      <c r="N1923" t="s">
        <v>3154</v>
      </c>
      <c r="P1923" t="s">
        <v>55</v>
      </c>
      <c r="R1923" t="s">
        <v>56</v>
      </c>
      <c r="T1923" t="s">
        <v>3136</v>
      </c>
      <c r="U1923" t="s">
        <v>58</v>
      </c>
      <c r="V1923">
        <v>4</v>
      </c>
      <c r="W1923">
        <v>1</v>
      </c>
      <c r="X1923">
        <v>1</v>
      </c>
      <c r="Y1923">
        <v>0</v>
      </c>
      <c r="Z1923">
        <v>1</v>
      </c>
      <c r="AA1923">
        <v>0</v>
      </c>
      <c r="AB1923">
        <v>755.77</v>
      </c>
      <c r="AC1923">
        <v>665</v>
      </c>
      <c r="AD1923">
        <v>0</v>
      </c>
      <c r="AE1923">
        <v>90.8</v>
      </c>
      <c r="AF1923">
        <v>0</v>
      </c>
      <c r="AG1923">
        <v>0</v>
      </c>
      <c r="AH1923">
        <v>0</v>
      </c>
      <c r="AI1923">
        <v>113.37</v>
      </c>
      <c r="AJ1923">
        <v>755.8</v>
      </c>
      <c r="AK1923">
        <v>0.03</v>
      </c>
      <c r="AL1923" t="s">
        <v>53</v>
      </c>
      <c r="AM1923" t="s">
        <v>53</v>
      </c>
      <c r="AN1923" t="s">
        <v>142</v>
      </c>
      <c r="AO1923" t="s">
        <v>53</v>
      </c>
      <c r="AP1923" t="s">
        <v>53</v>
      </c>
    </row>
    <row r="1924" spans="2:42" x14ac:dyDescent="0.2">
      <c r="B1924" t="s">
        <v>44</v>
      </c>
      <c r="C1924" t="str">
        <f>HYPERLINK("https://us2.cloudbeds.com/connect/8493803454333002#/reservations/579311128728?display=DJXZG42N&amp;reservation_id=579311128728", "DJXZG42N")</f>
        <v>DJXZG42N</v>
      </c>
      <c r="D1924" t="s">
        <v>45</v>
      </c>
      <c r="E1924" t="s">
        <v>46</v>
      </c>
      <c r="F1924" t="s">
        <v>47</v>
      </c>
      <c r="G1924" t="s">
        <v>48</v>
      </c>
      <c r="H1924" t="s">
        <v>71</v>
      </c>
      <c r="I1924" t="s">
        <v>72</v>
      </c>
      <c r="J1924" t="s">
        <v>1406</v>
      </c>
      <c r="K1924" t="s">
        <v>1556</v>
      </c>
      <c r="L1924" t="s">
        <v>53</v>
      </c>
      <c r="N1924" t="s">
        <v>3155</v>
      </c>
      <c r="P1924" t="s">
        <v>58</v>
      </c>
      <c r="R1924" t="s">
        <v>56</v>
      </c>
      <c r="T1924" t="s">
        <v>3136</v>
      </c>
      <c r="U1924" t="s">
        <v>58</v>
      </c>
      <c r="V1924">
        <v>1</v>
      </c>
      <c r="W1924">
        <v>1</v>
      </c>
      <c r="X1924">
        <v>1</v>
      </c>
      <c r="Y1924">
        <v>0</v>
      </c>
      <c r="Z1924">
        <v>1</v>
      </c>
      <c r="AA1924">
        <v>0</v>
      </c>
      <c r="AB1924">
        <v>161.38999999999999</v>
      </c>
      <c r="AC1924">
        <v>142</v>
      </c>
      <c r="AD1924">
        <v>0</v>
      </c>
      <c r="AE1924">
        <v>19.39</v>
      </c>
      <c r="AF1924">
        <v>0</v>
      </c>
      <c r="AG1924">
        <v>0</v>
      </c>
      <c r="AH1924">
        <v>0</v>
      </c>
      <c r="AI1924">
        <v>0</v>
      </c>
      <c r="AJ1924">
        <v>161.38999999999999</v>
      </c>
      <c r="AK1924">
        <v>0</v>
      </c>
      <c r="AL1924" t="s">
        <v>53</v>
      </c>
      <c r="AM1924" t="s">
        <v>53</v>
      </c>
      <c r="AN1924" t="s">
        <v>3156</v>
      </c>
      <c r="AO1924" t="s">
        <v>53</v>
      </c>
      <c r="AP1924" t="s">
        <v>53</v>
      </c>
    </row>
    <row r="1925" spans="2:42" x14ac:dyDescent="0.2">
      <c r="B1925" t="s">
        <v>44</v>
      </c>
      <c r="C1925" t="str">
        <f>HYPERLINK("https://us2.cloudbeds.com/connect/8493803454333002#/reservations/598508875941?display=E1E9HZD8&amp;reservation_id=598508875941", "E1E9HZD8")</f>
        <v>E1E9HZD8</v>
      </c>
      <c r="D1925" t="s">
        <v>45</v>
      </c>
      <c r="E1925" t="s">
        <v>265</v>
      </c>
      <c r="F1925" t="s">
        <v>61</v>
      </c>
      <c r="G1925" t="s">
        <v>48</v>
      </c>
      <c r="H1925" t="s">
        <v>49</v>
      </c>
      <c r="I1925" t="s">
        <v>50</v>
      </c>
      <c r="J1925" t="s">
        <v>647</v>
      </c>
      <c r="K1925" t="s">
        <v>215</v>
      </c>
      <c r="L1925" t="s">
        <v>53</v>
      </c>
      <c r="N1925" t="s">
        <v>3157</v>
      </c>
      <c r="P1925" t="s">
        <v>55</v>
      </c>
      <c r="R1925" t="s">
        <v>56</v>
      </c>
      <c r="T1925" t="s">
        <v>3136</v>
      </c>
      <c r="U1925" t="s">
        <v>58</v>
      </c>
      <c r="V1925">
        <v>2</v>
      </c>
      <c r="W1925">
        <v>1</v>
      </c>
      <c r="X1925">
        <v>1</v>
      </c>
      <c r="Y1925">
        <v>0</v>
      </c>
      <c r="Z1925">
        <v>1</v>
      </c>
      <c r="AA1925">
        <v>0</v>
      </c>
      <c r="AB1925">
        <v>337.54</v>
      </c>
      <c r="AC1925">
        <v>297</v>
      </c>
      <c r="AD1925">
        <v>0</v>
      </c>
      <c r="AE1925">
        <v>40.56</v>
      </c>
      <c r="AF1925">
        <v>0</v>
      </c>
      <c r="AG1925">
        <v>0</v>
      </c>
      <c r="AH1925">
        <v>0</v>
      </c>
      <c r="AI1925">
        <v>60.76</v>
      </c>
      <c r="AJ1925">
        <v>337.56</v>
      </c>
      <c r="AK1925">
        <v>0.02</v>
      </c>
      <c r="AL1925" t="s">
        <v>53</v>
      </c>
      <c r="AM1925" t="s">
        <v>53</v>
      </c>
      <c r="AN1925" t="s">
        <v>349</v>
      </c>
      <c r="AO1925" t="s">
        <v>53</v>
      </c>
      <c r="AP1925" t="s">
        <v>53</v>
      </c>
    </row>
    <row r="1926" spans="2:42" x14ac:dyDescent="0.2">
      <c r="B1926" t="s">
        <v>44</v>
      </c>
      <c r="C1926" t="str">
        <f>HYPERLINK("https://us2.cloudbeds.com/connect/8493803454333002#/reservations/598226424023?display=E172C387&amp;reservation_id=598226424023", "E172C387")</f>
        <v>E172C387</v>
      </c>
      <c r="D1926" t="s">
        <v>45</v>
      </c>
      <c r="E1926" t="s">
        <v>185</v>
      </c>
      <c r="F1926" t="s">
        <v>47</v>
      </c>
      <c r="G1926" t="s">
        <v>48</v>
      </c>
      <c r="H1926" t="s">
        <v>49</v>
      </c>
      <c r="I1926" t="s">
        <v>62</v>
      </c>
      <c r="J1926" t="s">
        <v>568</v>
      </c>
      <c r="K1926" t="s">
        <v>180</v>
      </c>
      <c r="L1926" t="s">
        <v>53</v>
      </c>
      <c r="N1926" t="s">
        <v>3158</v>
      </c>
      <c r="P1926" t="s">
        <v>55</v>
      </c>
      <c r="R1926" t="s">
        <v>513</v>
      </c>
      <c r="T1926" t="s">
        <v>3159</v>
      </c>
      <c r="U1926" t="s">
        <v>58</v>
      </c>
      <c r="V1926">
        <v>1</v>
      </c>
      <c r="W1926">
        <v>1</v>
      </c>
      <c r="X1926">
        <v>1</v>
      </c>
      <c r="Y1926">
        <v>0</v>
      </c>
      <c r="Z1926">
        <v>1</v>
      </c>
      <c r="AA1926">
        <v>0</v>
      </c>
      <c r="AB1926">
        <v>173.88</v>
      </c>
      <c r="AC1926">
        <v>153</v>
      </c>
      <c r="AD1926">
        <v>0</v>
      </c>
      <c r="AE1926">
        <v>20.89</v>
      </c>
      <c r="AF1926">
        <v>0</v>
      </c>
      <c r="AG1926">
        <v>0</v>
      </c>
      <c r="AH1926">
        <v>0</v>
      </c>
      <c r="AI1926">
        <v>26.08</v>
      </c>
      <c r="AJ1926">
        <v>173.89</v>
      </c>
      <c r="AK1926">
        <v>0.01</v>
      </c>
      <c r="AL1926" t="s">
        <v>53</v>
      </c>
      <c r="AM1926" t="s">
        <v>53</v>
      </c>
      <c r="AN1926" t="s">
        <v>142</v>
      </c>
      <c r="AO1926" t="s">
        <v>53</v>
      </c>
      <c r="AP1926" t="s">
        <v>53</v>
      </c>
    </row>
    <row r="1927" spans="2:42" x14ac:dyDescent="0.2">
      <c r="B1927" t="s">
        <v>44</v>
      </c>
      <c r="C1927" t="str">
        <f>HYPERLINK("https://us2.cloudbeds.com/connect/8493803454333002#/reservations/598482862227?display=E1DKJSMR&amp;reservation_id=598482862227", "E1DKJSMR")</f>
        <v>E1DKJSMR</v>
      </c>
      <c r="D1927" t="s">
        <v>45</v>
      </c>
      <c r="E1927" t="s">
        <v>138</v>
      </c>
      <c r="F1927" t="s">
        <v>70</v>
      </c>
      <c r="G1927" t="s">
        <v>48</v>
      </c>
      <c r="H1927" t="s">
        <v>49</v>
      </c>
      <c r="I1927" t="s">
        <v>50</v>
      </c>
      <c r="J1927" t="s">
        <v>568</v>
      </c>
      <c r="K1927" t="s">
        <v>180</v>
      </c>
      <c r="L1927" t="s">
        <v>53</v>
      </c>
      <c r="N1927" t="s">
        <v>3160</v>
      </c>
      <c r="P1927" t="s">
        <v>55</v>
      </c>
      <c r="R1927" t="s">
        <v>56</v>
      </c>
      <c r="T1927" t="s">
        <v>3159</v>
      </c>
      <c r="U1927" t="s">
        <v>58</v>
      </c>
      <c r="V1927">
        <v>1</v>
      </c>
      <c r="W1927">
        <v>1</v>
      </c>
      <c r="X1927">
        <v>1</v>
      </c>
      <c r="Y1927">
        <v>0</v>
      </c>
      <c r="Z1927">
        <v>1</v>
      </c>
      <c r="AA1927">
        <v>0</v>
      </c>
      <c r="AB1927">
        <v>148.31</v>
      </c>
      <c r="AC1927">
        <v>130.5</v>
      </c>
      <c r="AD1927">
        <v>0</v>
      </c>
      <c r="AE1927">
        <v>17.809999999999999</v>
      </c>
      <c r="AF1927">
        <v>0</v>
      </c>
      <c r="AG1927">
        <v>0</v>
      </c>
      <c r="AH1927">
        <v>0</v>
      </c>
      <c r="AI1927">
        <v>26.7</v>
      </c>
      <c r="AJ1927">
        <v>148.31</v>
      </c>
      <c r="AK1927">
        <v>0</v>
      </c>
      <c r="AL1927" t="s">
        <v>53</v>
      </c>
      <c r="AM1927" t="s">
        <v>53</v>
      </c>
      <c r="AN1927" t="s">
        <v>142</v>
      </c>
      <c r="AO1927" t="s">
        <v>53</v>
      </c>
      <c r="AP1927" t="s">
        <v>53</v>
      </c>
    </row>
    <row r="1928" spans="2:42" x14ac:dyDescent="0.2">
      <c r="B1928" t="s">
        <v>44</v>
      </c>
      <c r="C1928" t="str">
        <f>HYPERLINK("https://us2.cloudbeds.com/connect/8493803454333002#/reservations/598377250968?display=E1AUX2YN&amp;reservation_id=598377250968", "E1AUX2YN")</f>
        <v>E1AUX2YN</v>
      </c>
      <c r="D1928" t="s">
        <v>45</v>
      </c>
      <c r="E1928" t="s">
        <v>46</v>
      </c>
      <c r="F1928" t="s">
        <v>47</v>
      </c>
      <c r="G1928" t="s">
        <v>48</v>
      </c>
      <c r="H1928" t="s">
        <v>49</v>
      </c>
      <c r="I1928" t="s">
        <v>79</v>
      </c>
      <c r="J1928" t="s">
        <v>568</v>
      </c>
      <c r="K1928" t="s">
        <v>180</v>
      </c>
      <c r="L1928" t="s">
        <v>53</v>
      </c>
      <c r="N1928" t="s">
        <v>3161</v>
      </c>
      <c r="P1928" t="s">
        <v>55</v>
      </c>
      <c r="R1928" t="s">
        <v>56</v>
      </c>
      <c r="T1928" t="s">
        <v>3159</v>
      </c>
      <c r="U1928" t="s">
        <v>58</v>
      </c>
      <c r="V1928">
        <v>1</v>
      </c>
      <c r="W1928">
        <v>1</v>
      </c>
      <c r="X1928">
        <v>1</v>
      </c>
      <c r="Y1928">
        <v>0</v>
      </c>
      <c r="Z1928">
        <v>1</v>
      </c>
      <c r="AA1928">
        <v>0</v>
      </c>
      <c r="AB1928">
        <v>156.5</v>
      </c>
      <c r="AC1928">
        <v>137.69999999999999</v>
      </c>
      <c r="AD1928">
        <v>0</v>
      </c>
      <c r="AE1928">
        <v>18.79</v>
      </c>
      <c r="AF1928">
        <v>0</v>
      </c>
      <c r="AG1928">
        <v>0</v>
      </c>
      <c r="AH1928">
        <v>0</v>
      </c>
      <c r="AI1928">
        <v>0</v>
      </c>
      <c r="AJ1928">
        <v>156.49</v>
      </c>
      <c r="AK1928">
        <v>-0.01</v>
      </c>
      <c r="AL1928" t="s">
        <v>53</v>
      </c>
      <c r="AM1928" t="s">
        <v>53</v>
      </c>
      <c r="AN1928" t="s">
        <v>316</v>
      </c>
      <c r="AO1928" t="s">
        <v>53</v>
      </c>
      <c r="AP1928" t="s">
        <v>53</v>
      </c>
    </row>
    <row r="1929" spans="2:42" x14ac:dyDescent="0.2">
      <c r="B1929" t="s">
        <v>44</v>
      </c>
      <c r="C1929" t="str">
        <f>HYPERLINK("https://us2.cloudbeds.com/connect/8493803454333002#/reservations/598378913984?display=E1AVV81V&amp;reservation_id=598378913984", "E1AVV81V")</f>
        <v>E1AVV81V</v>
      </c>
      <c r="D1929" t="s">
        <v>45</v>
      </c>
      <c r="E1929" t="s">
        <v>185</v>
      </c>
      <c r="F1929" t="s">
        <v>47</v>
      </c>
      <c r="G1929" t="s">
        <v>48</v>
      </c>
      <c r="H1929" t="s">
        <v>49</v>
      </c>
      <c r="I1929" t="s">
        <v>79</v>
      </c>
      <c r="J1929" t="s">
        <v>180</v>
      </c>
      <c r="K1929" t="s">
        <v>122</v>
      </c>
      <c r="L1929" t="s">
        <v>53</v>
      </c>
      <c r="N1929" t="s">
        <v>3162</v>
      </c>
      <c r="P1929" t="s">
        <v>55</v>
      </c>
      <c r="R1929" t="s">
        <v>3163</v>
      </c>
      <c r="T1929" t="s">
        <v>3159</v>
      </c>
      <c r="U1929" t="s">
        <v>58</v>
      </c>
      <c r="V1929">
        <v>2</v>
      </c>
      <c r="W1929">
        <v>1</v>
      </c>
      <c r="X1929">
        <v>1</v>
      </c>
      <c r="Y1929">
        <v>0</v>
      </c>
      <c r="Z1929">
        <v>1</v>
      </c>
      <c r="AA1929">
        <v>0</v>
      </c>
      <c r="AB1929">
        <v>329.36</v>
      </c>
      <c r="AC1929">
        <v>289.8</v>
      </c>
      <c r="AD1929">
        <v>0</v>
      </c>
      <c r="AE1929">
        <v>39.56</v>
      </c>
      <c r="AF1929">
        <v>0</v>
      </c>
      <c r="AG1929">
        <v>0</v>
      </c>
      <c r="AH1929">
        <v>0</v>
      </c>
      <c r="AI1929">
        <v>0</v>
      </c>
      <c r="AJ1929">
        <v>329.36</v>
      </c>
      <c r="AK1929">
        <v>0</v>
      </c>
      <c r="AL1929" t="s">
        <v>53</v>
      </c>
      <c r="AM1929" t="s">
        <v>53</v>
      </c>
      <c r="AN1929" t="s">
        <v>104</v>
      </c>
      <c r="AO1929" t="s">
        <v>53</v>
      </c>
      <c r="AP1929" t="s">
        <v>53</v>
      </c>
    </row>
    <row r="1930" spans="2:42" x14ac:dyDescent="0.2">
      <c r="B1930" t="s">
        <v>44</v>
      </c>
      <c r="C1930" t="str">
        <f>HYPERLINK("https://us2.cloudbeds.com/connect/8493803454333002#/reservations/598520971447?display=E1EJZACZ&amp;reservation_id=598520971447", "E1EJZACZ")</f>
        <v>E1EJZACZ</v>
      </c>
      <c r="D1930" t="s">
        <v>45</v>
      </c>
      <c r="E1930" t="s">
        <v>138</v>
      </c>
      <c r="F1930" t="s">
        <v>70</v>
      </c>
      <c r="G1930" t="s">
        <v>48</v>
      </c>
      <c r="H1930" t="s">
        <v>49</v>
      </c>
      <c r="I1930" t="s">
        <v>50</v>
      </c>
      <c r="J1930" t="s">
        <v>1750</v>
      </c>
      <c r="K1930" t="s">
        <v>1269</v>
      </c>
      <c r="L1930" t="s">
        <v>53</v>
      </c>
      <c r="N1930" t="s">
        <v>3164</v>
      </c>
      <c r="P1930" t="s">
        <v>55</v>
      </c>
      <c r="R1930" t="s">
        <v>56</v>
      </c>
      <c r="T1930" t="s">
        <v>3159</v>
      </c>
      <c r="U1930" t="s">
        <v>58</v>
      </c>
      <c r="V1930">
        <v>1</v>
      </c>
      <c r="W1930">
        <v>1</v>
      </c>
      <c r="X1930">
        <v>1</v>
      </c>
      <c r="Y1930">
        <v>0</v>
      </c>
      <c r="Z1930">
        <v>1</v>
      </c>
      <c r="AA1930">
        <v>0</v>
      </c>
      <c r="AB1930">
        <v>149.34</v>
      </c>
      <c r="AC1930">
        <v>131.4</v>
      </c>
      <c r="AD1930">
        <v>0</v>
      </c>
      <c r="AE1930">
        <v>17.940000000000001</v>
      </c>
      <c r="AF1930">
        <v>0</v>
      </c>
      <c r="AG1930">
        <v>0</v>
      </c>
      <c r="AH1930">
        <v>0</v>
      </c>
      <c r="AI1930">
        <v>26.88</v>
      </c>
      <c r="AJ1930">
        <v>149.34</v>
      </c>
      <c r="AK1930">
        <v>0</v>
      </c>
      <c r="AL1930" t="s">
        <v>53</v>
      </c>
      <c r="AM1930" t="s">
        <v>53</v>
      </c>
      <c r="AN1930" t="s">
        <v>198</v>
      </c>
      <c r="AO1930" t="s">
        <v>53</v>
      </c>
      <c r="AP1930" t="s">
        <v>53</v>
      </c>
    </row>
    <row r="1931" spans="2:42" x14ac:dyDescent="0.2">
      <c r="B1931" t="s">
        <v>44</v>
      </c>
      <c r="C1931" t="str">
        <f>HYPERLINK("https://us2.cloudbeds.com/connect/8493803454333002#/reservations/598559662225?display=E1FJBV3X&amp;reservation_id=598559662225", "E1FJBV3X")</f>
        <v>E1FJBV3X</v>
      </c>
      <c r="D1931" t="s">
        <v>45</v>
      </c>
      <c r="E1931" t="s">
        <v>381</v>
      </c>
      <c r="F1931" t="s">
        <v>47</v>
      </c>
      <c r="G1931" t="s">
        <v>48</v>
      </c>
      <c r="H1931" t="s">
        <v>71</v>
      </c>
      <c r="I1931" t="s">
        <v>72</v>
      </c>
      <c r="J1931" t="s">
        <v>568</v>
      </c>
      <c r="K1931" t="s">
        <v>180</v>
      </c>
      <c r="L1931" t="s">
        <v>53</v>
      </c>
      <c r="N1931" t="s">
        <v>3165</v>
      </c>
      <c r="P1931" t="s">
        <v>55</v>
      </c>
      <c r="R1931" t="s">
        <v>56</v>
      </c>
      <c r="T1931" t="s">
        <v>3159</v>
      </c>
      <c r="U1931" t="s">
        <v>58</v>
      </c>
      <c r="V1931">
        <v>1</v>
      </c>
      <c r="W1931">
        <v>1</v>
      </c>
      <c r="X1931">
        <v>1</v>
      </c>
      <c r="Y1931">
        <v>0</v>
      </c>
      <c r="Z1931">
        <v>1</v>
      </c>
      <c r="AA1931">
        <v>0</v>
      </c>
      <c r="AB1931">
        <v>159.11000000000001</v>
      </c>
      <c r="AC1931">
        <v>140</v>
      </c>
      <c r="AD1931">
        <v>0</v>
      </c>
      <c r="AE1931">
        <v>19.11</v>
      </c>
      <c r="AF1931">
        <v>0</v>
      </c>
      <c r="AG1931">
        <v>0</v>
      </c>
      <c r="AH1931">
        <v>0</v>
      </c>
      <c r="AI1931">
        <v>0</v>
      </c>
      <c r="AJ1931">
        <v>159.11000000000001</v>
      </c>
      <c r="AK1931">
        <v>0</v>
      </c>
      <c r="AL1931" t="s">
        <v>53</v>
      </c>
      <c r="AM1931" t="s">
        <v>53</v>
      </c>
      <c r="AN1931" t="s">
        <v>378</v>
      </c>
      <c r="AO1931" t="s">
        <v>53</v>
      </c>
      <c r="AP1931" t="s">
        <v>53</v>
      </c>
    </row>
    <row r="1932" spans="2:42" x14ac:dyDescent="0.2">
      <c r="B1932" t="s">
        <v>44</v>
      </c>
      <c r="C1932" t="str">
        <f>HYPERLINK("https://us2.cloudbeds.com/connect/8493803454333002#/reservations/579259875479?display=DJHE8UXV&amp;reservation_id=579259875479", "DJHE8UXV")</f>
        <v>DJHE8UXV</v>
      </c>
      <c r="D1932" t="s">
        <v>45</v>
      </c>
      <c r="E1932" t="s">
        <v>85</v>
      </c>
      <c r="F1932" t="s">
        <v>86</v>
      </c>
      <c r="G1932" t="s">
        <v>48</v>
      </c>
      <c r="H1932" t="s">
        <v>71</v>
      </c>
      <c r="I1932" t="s">
        <v>72</v>
      </c>
      <c r="J1932" t="s">
        <v>1985</v>
      </c>
      <c r="K1932" t="s">
        <v>2022</v>
      </c>
      <c r="L1932" t="s">
        <v>53</v>
      </c>
      <c r="N1932" t="s">
        <v>3166</v>
      </c>
      <c r="P1932" t="s">
        <v>55</v>
      </c>
      <c r="R1932" t="s">
        <v>56</v>
      </c>
      <c r="T1932" t="s">
        <v>3159</v>
      </c>
      <c r="U1932" t="s">
        <v>58</v>
      </c>
      <c r="V1932">
        <v>1</v>
      </c>
      <c r="W1932">
        <v>1</v>
      </c>
      <c r="X1932">
        <v>1</v>
      </c>
      <c r="Y1932">
        <v>0</v>
      </c>
      <c r="Z1932">
        <v>1</v>
      </c>
      <c r="AA1932">
        <v>0</v>
      </c>
      <c r="AB1932">
        <v>184.12</v>
      </c>
      <c r="AC1932">
        <v>162</v>
      </c>
      <c r="AD1932">
        <v>0</v>
      </c>
      <c r="AE1932">
        <v>22.12</v>
      </c>
      <c r="AF1932">
        <v>0</v>
      </c>
      <c r="AG1932">
        <v>0</v>
      </c>
      <c r="AH1932">
        <v>0</v>
      </c>
      <c r="AI1932">
        <v>0</v>
      </c>
      <c r="AJ1932">
        <v>184.12</v>
      </c>
      <c r="AK1932">
        <v>0</v>
      </c>
      <c r="AL1932" t="s">
        <v>53</v>
      </c>
      <c r="AM1932" t="s">
        <v>53</v>
      </c>
      <c r="AN1932" t="s">
        <v>378</v>
      </c>
      <c r="AO1932" t="s">
        <v>53</v>
      </c>
      <c r="AP1932" t="s">
        <v>53</v>
      </c>
    </row>
    <row r="1933" spans="2:42" x14ac:dyDescent="0.2">
      <c r="B1933" t="s">
        <v>44</v>
      </c>
      <c r="C1933" t="str">
        <f>HYPERLINK("https://us2.cloudbeds.com/connect/8493803454333002#/reservations/598557528278?display=E1FHXXXG&amp;reservation_id=598557528278", "E1FHXXXG")</f>
        <v>E1FHXXXG</v>
      </c>
      <c r="D1933" t="s">
        <v>45</v>
      </c>
      <c r="E1933" t="s">
        <v>179</v>
      </c>
      <c r="F1933" t="s">
        <v>47</v>
      </c>
      <c r="G1933" t="s">
        <v>48</v>
      </c>
      <c r="H1933" t="s">
        <v>49</v>
      </c>
      <c r="I1933" t="s">
        <v>50</v>
      </c>
      <c r="J1933" t="s">
        <v>1822</v>
      </c>
      <c r="K1933" t="s">
        <v>94</v>
      </c>
      <c r="L1933" t="s">
        <v>53</v>
      </c>
      <c r="N1933" t="s">
        <v>3167</v>
      </c>
      <c r="P1933" t="s">
        <v>55</v>
      </c>
      <c r="R1933" t="s">
        <v>56</v>
      </c>
      <c r="T1933" t="s">
        <v>3159</v>
      </c>
      <c r="U1933" t="s">
        <v>58</v>
      </c>
      <c r="V1933">
        <v>1</v>
      </c>
      <c r="W1933">
        <v>1</v>
      </c>
      <c r="X1933">
        <v>1</v>
      </c>
      <c r="Y1933">
        <v>0</v>
      </c>
      <c r="Z1933">
        <v>1</v>
      </c>
      <c r="AA1933">
        <v>0</v>
      </c>
      <c r="AB1933">
        <v>153.43</v>
      </c>
      <c r="AC1933">
        <v>135</v>
      </c>
      <c r="AD1933">
        <v>0</v>
      </c>
      <c r="AE1933">
        <v>18.440000000000001</v>
      </c>
      <c r="AF1933">
        <v>0</v>
      </c>
      <c r="AG1933">
        <v>0</v>
      </c>
      <c r="AH1933">
        <v>0</v>
      </c>
      <c r="AI1933">
        <v>27.62</v>
      </c>
      <c r="AJ1933">
        <v>153.44</v>
      </c>
      <c r="AK1933">
        <v>0.01</v>
      </c>
      <c r="AL1933" t="s">
        <v>53</v>
      </c>
      <c r="AM1933" t="s">
        <v>53</v>
      </c>
      <c r="AN1933" t="s">
        <v>59</v>
      </c>
      <c r="AO1933" t="s">
        <v>53</v>
      </c>
      <c r="AP1933" t="s">
        <v>53</v>
      </c>
    </row>
    <row r="1934" spans="2:42" x14ac:dyDescent="0.2">
      <c r="B1934" t="s">
        <v>44</v>
      </c>
      <c r="C1934" t="str">
        <f>HYPERLINK("https://us2.cloudbeds.com/connect/8493803454333002#/reservations/598600720622?display=E1GKWEVC&amp;reservation_id=598600720622", "E1GKWEVC")</f>
        <v>E1GKWEVC</v>
      </c>
      <c r="D1934" t="s">
        <v>45</v>
      </c>
      <c r="E1934" t="s">
        <v>406</v>
      </c>
      <c r="F1934" t="s">
        <v>61</v>
      </c>
      <c r="G1934" t="s">
        <v>48</v>
      </c>
      <c r="H1934" t="s">
        <v>49</v>
      </c>
      <c r="I1934" t="s">
        <v>62</v>
      </c>
      <c r="J1934" t="s">
        <v>768</v>
      </c>
      <c r="K1934" t="s">
        <v>489</v>
      </c>
      <c r="L1934" t="s">
        <v>53</v>
      </c>
      <c r="N1934" t="s">
        <v>3168</v>
      </c>
      <c r="P1934" t="s">
        <v>55</v>
      </c>
      <c r="R1934" t="s">
        <v>56</v>
      </c>
      <c r="T1934" t="s">
        <v>3159</v>
      </c>
      <c r="U1934" t="s">
        <v>58</v>
      </c>
      <c r="V1934">
        <v>2</v>
      </c>
      <c r="W1934">
        <v>1</v>
      </c>
      <c r="X1934">
        <v>1</v>
      </c>
      <c r="Y1934">
        <v>0</v>
      </c>
      <c r="Z1934">
        <v>1</v>
      </c>
      <c r="AA1934">
        <v>0</v>
      </c>
      <c r="AB1934">
        <v>372.77</v>
      </c>
      <c r="AC1934">
        <v>328</v>
      </c>
      <c r="AD1934">
        <v>0</v>
      </c>
      <c r="AE1934">
        <v>44.78</v>
      </c>
      <c r="AF1934">
        <v>0</v>
      </c>
      <c r="AG1934">
        <v>0</v>
      </c>
      <c r="AH1934">
        <v>0</v>
      </c>
      <c r="AI1934">
        <v>55.92</v>
      </c>
      <c r="AJ1934">
        <v>372.78</v>
      </c>
      <c r="AK1934">
        <v>0.01</v>
      </c>
      <c r="AL1934" t="s">
        <v>53</v>
      </c>
      <c r="AM1934" t="s">
        <v>53</v>
      </c>
      <c r="AN1934" t="s">
        <v>198</v>
      </c>
      <c r="AO1934" t="s">
        <v>53</v>
      </c>
      <c r="AP1934" t="s">
        <v>53</v>
      </c>
    </row>
    <row r="1935" spans="2:42" x14ac:dyDescent="0.2">
      <c r="B1935" t="s">
        <v>44</v>
      </c>
      <c r="C1935" t="str">
        <f>HYPERLINK("https://us2.cloudbeds.com/connect/8493803454333002#/reservations/598119727244?display=E14BD3DE&amp;reservation_id=598119727244", "E14BD3DE")</f>
        <v>E14BD3DE</v>
      </c>
      <c r="D1935" t="s">
        <v>45</v>
      </c>
      <c r="E1935" t="s">
        <v>85</v>
      </c>
      <c r="F1935" t="s">
        <v>86</v>
      </c>
      <c r="G1935" t="s">
        <v>48</v>
      </c>
      <c r="H1935" t="s">
        <v>49</v>
      </c>
      <c r="I1935" t="s">
        <v>79</v>
      </c>
      <c r="J1935" t="s">
        <v>122</v>
      </c>
      <c r="K1935" t="s">
        <v>123</v>
      </c>
      <c r="L1935" t="s">
        <v>53</v>
      </c>
      <c r="N1935" t="s">
        <v>3169</v>
      </c>
      <c r="P1935" t="s">
        <v>55</v>
      </c>
      <c r="R1935" t="s">
        <v>56</v>
      </c>
      <c r="T1935" t="s">
        <v>3159</v>
      </c>
      <c r="U1935" t="s">
        <v>58</v>
      </c>
      <c r="V1935">
        <v>1</v>
      </c>
      <c r="W1935">
        <v>1</v>
      </c>
      <c r="X1935">
        <v>1</v>
      </c>
      <c r="Y1935">
        <v>0</v>
      </c>
      <c r="Z1935">
        <v>1</v>
      </c>
      <c r="AA1935">
        <v>0</v>
      </c>
      <c r="AB1935">
        <v>184.11</v>
      </c>
      <c r="AC1935">
        <v>162</v>
      </c>
      <c r="AD1935">
        <v>0</v>
      </c>
      <c r="AE1935">
        <v>22.12</v>
      </c>
      <c r="AF1935">
        <v>0</v>
      </c>
      <c r="AG1935">
        <v>0</v>
      </c>
      <c r="AH1935">
        <v>0</v>
      </c>
      <c r="AI1935">
        <v>0</v>
      </c>
      <c r="AJ1935">
        <v>184.12</v>
      </c>
      <c r="AK1935">
        <v>0.01</v>
      </c>
      <c r="AL1935" t="s">
        <v>53</v>
      </c>
      <c r="AM1935" t="s">
        <v>53</v>
      </c>
      <c r="AN1935" t="s">
        <v>413</v>
      </c>
      <c r="AO1935" t="s">
        <v>53</v>
      </c>
      <c r="AP1935" t="s">
        <v>53</v>
      </c>
    </row>
    <row r="1936" spans="2:42" x14ac:dyDescent="0.2">
      <c r="B1936" t="s">
        <v>44</v>
      </c>
      <c r="C1936" t="str">
        <f>HYPERLINK("https://us2.cloudbeds.com/connect/8493803454333002#/reservations/598449680546?display=E1CPKHRD&amp;reservation_id=598449680546", "E1CPKHRD")</f>
        <v>E1CPKHRD</v>
      </c>
      <c r="D1936" t="s">
        <v>45</v>
      </c>
      <c r="E1936" t="s">
        <v>406</v>
      </c>
      <c r="F1936" t="s">
        <v>61</v>
      </c>
      <c r="G1936" t="s">
        <v>48</v>
      </c>
      <c r="H1936" t="s">
        <v>49</v>
      </c>
      <c r="I1936" t="s">
        <v>62</v>
      </c>
      <c r="J1936" t="s">
        <v>568</v>
      </c>
      <c r="K1936" t="s">
        <v>180</v>
      </c>
      <c r="L1936" t="s">
        <v>53</v>
      </c>
      <c r="N1936" t="s">
        <v>3170</v>
      </c>
      <c r="P1936" t="s">
        <v>55</v>
      </c>
      <c r="R1936" t="s">
        <v>56</v>
      </c>
      <c r="T1936" t="s">
        <v>3159</v>
      </c>
      <c r="U1936" t="s">
        <v>58</v>
      </c>
      <c r="V1936">
        <v>1</v>
      </c>
      <c r="W1936">
        <v>1</v>
      </c>
      <c r="X1936">
        <v>1</v>
      </c>
      <c r="Y1936">
        <v>0</v>
      </c>
      <c r="Z1936">
        <v>1</v>
      </c>
      <c r="AA1936">
        <v>0</v>
      </c>
      <c r="AB1936">
        <v>184.11</v>
      </c>
      <c r="AC1936">
        <v>162</v>
      </c>
      <c r="AD1936">
        <v>0</v>
      </c>
      <c r="AE1936">
        <v>22.12</v>
      </c>
      <c r="AF1936">
        <v>0</v>
      </c>
      <c r="AG1936">
        <v>0</v>
      </c>
      <c r="AH1936">
        <v>0</v>
      </c>
      <c r="AI1936">
        <v>27.62</v>
      </c>
      <c r="AJ1936">
        <v>184.12</v>
      </c>
      <c r="AK1936">
        <v>0.01</v>
      </c>
      <c r="AL1936" t="s">
        <v>53</v>
      </c>
      <c r="AM1936" t="s">
        <v>53</v>
      </c>
      <c r="AN1936" t="s">
        <v>84</v>
      </c>
      <c r="AO1936" t="s">
        <v>53</v>
      </c>
      <c r="AP1936" t="s">
        <v>53</v>
      </c>
    </row>
    <row r="1937" spans="2:42" x14ac:dyDescent="0.2">
      <c r="B1937" t="s">
        <v>44</v>
      </c>
      <c r="C1937" t="str">
        <f>HYPERLINK("https://us2.cloudbeds.com/connect/8493803454333002#/reservations/579276914930?display=DJHSY2EU&amp;reservation_id=579276914930", "DJHSY2EU")</f>
        <v>DJHSY2EU</v>
      </c>
      <c r="D1937" t="s">
        <v>45</v>
      </c>
      <c r="E1937" t="s">
        <v>46</v>
      </c>
      <c r="F1937" t="s">
        <v>47</v>
      </c>
      <c r="G1937" t="s">
        <v>48</v>
      </c>
      <c r="H1937" t="s">
        <v>49</v>
      </c>
      <c r="I1937" t="s">
        <v>79</v>
      </c>
      <c r="J1937" t="s">
        <v>2315</v>
      </c>
      <c r="K1937" t="s">
        <v>1380</v>
      </c>
      <c r="L1937" t="s">
        <v>53</v>
      </c>
      <c r="N1937" t="s">
        <v>3171</v>
      </c>
      <c r="P1937" t="s">
        <v>55</v>
      </c>
      <c r="R1937" t="s">
        <v>56</v>
      </c>
      <c r="T1937" t="s">
        <v>3159</v>
      </c>
      <c r="U1937" t="s">
        <v>58</v>
      </c>
      <c r="V1937">
        <v>8</v>
      </c>
      <c r="W1937">
        <v>1</v>
      </c>
      <c r="X1937">
        <v>1</v>
      </c>
      <c r="Y1937">
        <v>0</v>
      </c>
      <c r="Z1937">
        <v>1</v>
      </c>
      <c r="AA1937">
        <v>0</v>
      </c>
      <c r="AB1937">
        <v>1014.72</v>
      </c>
      <c r="AC1937">
        <v>892.8</v>
      </c>
      <c r="AD1937">
        <v>0</v>
      </c>
      <c r="AE1937">
        <v>121.92</v>
      </c>
      <c r="AF1937">
        <v>0</v>
      </c>
      <c r="AG1937">
        <v>0</v>
      </c>
      <c r="AH1937">
        <v>0</v>
      </c>
      <c r="AI1937">
        <v>0</v>
      </c>
      <c r="AJ1937">
        <v>1014.72</v>
      </c>
      <c r="AK1937">
        <v>0</v>
      </c>
      <c r="AL1937" t="s">
        <v>53</v>
      </c>
      <c r="AM1937" t="s">
        <v>53</v>
      </c>
      <c r="AN1937" t="s">
        <v>245</v>
      </c>
      <c r="AO1937" t="s">
        <v>53</v>
      </c>
      <c r="AP1937" t="s">
        <v>53</v>
      </c>
    </row>
    <row r="1938" spans="2:42" x14ac:dyDescent="0.2">
      <c r="B1938" t="s">
        <v>44</v>
      </c>
      <c r="C1938" t="str">
        <f>HYPERLINK("https://us2.cloudbeds.com/connect/8493803454333002#/reservations/598548943050?display=E1FAAYW1&amp;reservation_id=598548943050", "E1FAAYW1")</f>
        <v>E1FAAYW1</v>
      </c>
      <c r="D1938" t="s">
        <v>45</v>
      </c>
      <c r="E1938" t="s">
        <v>185</v>
      </c>
      <c r="F1938" t="s">
        <v>47</v>
      </c>
      <c r="G1938" t="s">
        <v>48</v>
      </c>
      <c r="H1938" t="s">
        <v>49</v>
      </c>
      <c r="I1938" t="s">
        <v>79</v>
      </c>
      <c r="J1938" t="s">
        <v>1269</v>
      </c>
      <c r="K1938" t="s">
        <v>387</v>
      </c>
      <c r="L1938" t="s">
        <v>53</v>
      </c>
      <c r="N1938" t="s">
        <v>3172</v>
      </c>
      <c r="P1938" t="s">
        <v>55</v>
      </c>
      <c r="R1938" t="s">
        <v>56</v>
      </c>
      <c r="T1938" t="s">
        <v>3173</v>
      </c>
      <c r="U1938" t="s">
        <v>58</v>
      </c>
      <c r="V1938">
        <v>1</v>
      </c>
      <c r="W1938">
        <v>1</v>
      </c>
      <c r="X1938">
        <v>1</v>
      </c>
      <c r="Y1938">
        <v>0</v>
      </c>
      <c r="Z1938">
        <v>1</v>
      </c>
      <c r="AA1938">
        <v>0</v>
      </c>
      <c r="AB1938">
        <v>159.56</v>
      </c>
      <c r="AC1938">
        <v>140.4</v>
      </c>
      <c r="AD1938">
        <v>0</v>
      </c>
      <c r="AE1938">
        <v>19.16</v>
      </c>
      <c r="AF1938">
        <v>0</v>
      </c>
      <c r="AG1938">
        <v>0</v>
      </c>
      <c r="AH1938">
        <v>0</v>
      </c>
      <c r="AI1938">
        <v>0</v>
      </c>
      <c r="AJ1938">
        <v>159.56</v>
      </c>
      <c r="AK1938">
        <v>0</v>
      </c>
      <c r="AL1938" t="s">
        <v>53</v>
      </c>
      <c r="AM1938" t="s">
        <v>53</v>
      </c>
      <c r="AN1938" t="s">
        <v>127</v>
      </c>
      <c r="AO1938" t="s">
        <v>53</v>
      </c>
      <c r="AP1938" t="s">
        <v>53</v>
      </c>
    </row>
    <row r="1939" spans="2:42" x14ac:dyDescent="0.2">
      <c r="B1939" t="s">
        <v>44</v>
      </c>
      <c r="C1939" t="str">
        <f>HYPERLINK("https://us2.cloudbeds.com/connect/8493803454333002#/reservations/598582313107?display=E1G5F7QU&amp;reservation_id=598582313107", "E1G5F7QU")</f>
        <v>E1G5F7QU</v>
      </c>
      <c r="D1939" t="s">
        <v>45</v>
      </c>
      <c r="E1939" t="s">
        <v>128</v>
      </c>
      <c r="F1939" t="s">
        <v>86</v>
      </c>
      <c r="G1939" t="s">
        <v>48</v>
      </c>
      <c r="H1939" t="s">
        <v>71</v>
      </c>
      <c r="I1939" t="s">
        <v>72</v>
      </c>
      <c r="J1939" t="s">
        <v>388</v>
      </c>
      <c r="K1939" t="s">
        <v>214</v>
      </c>
      <c r="L1939" t="s">
        <v>53</v>
      </c>
      <c r="N1939" t="s">
        <v>3174</v>
      </c>
      <c r="P1939" t="s">
        <v>55</v>
      </c>
      <c r="R1939" t="s">
        <v>56</v>
      </c>
      <c r="T1939" t="s">
        <v>3173</v>
      </c>
      <c r="U1939" t="s">
        <v>58</v>
      </c>
      <c r="V1939">
        <v>2</v>
      </c>
      <c r="W1939">
        <v>1</v>
      </c>
      <c r="X1939">
        <v>1</v>
      </c>
      <c r="Y1939">
        <v>0</v>
      </c>
      <c r="Z1939">
        <v>1</v>
      </c>
      <c r="AA1939">
        <v>0</v>
      </c>
      <c r="AB1939">
        <v>383</v>
      </c>
      <c r="AC1939">
        <v>337</v>
      </c>
      <c r="AD1939">
        <v>0</v>
      </c>
      <c r="AE1939">
        <v>46.02</v>
      </c>
      <c r="AF1939">
        <v>0</v>
      </c>
      <c r="AG1939">
        <v>0</v>
      </c>
      <c r="AH1939">
        <v>0</v>
      </c>
      <c r="AI1939">
        <v>0</v>
      </c>
      <c r="AJ1939">
        <v>383.02</v>
      </c>
      <c r="AK1939">
        <v>0.02</v>
      </c>
      <c r="AL1939" t="s">
        <v>53</v>
      </c>
      <c r="AM1939" t="s">
        <v>53</v>
      </c>
      <c r="AN1939" t="s">
        <v>3175</v>
      </c>
      <c r="AO1939" t="s">
        <v>53</v>
      </c>
      <c r="AP1939" t="s">
        <v>53</v>
      </c>
    </row>
    <row r="1940" spans="2:42" x14ac:dyDescent="0.2">
      <c r="B1940" t="s">
        <v>44</v>
      </c>
      <c r="C1940" t="str">
        <f>HYPERLINK("https://us2.cloudbeds.com/connect/8493803454333002#/reservations/598427119832?display=E1C6JZUD&amp;reservation_id=598427119832", "E1C6JZUD")</f>
        <v>E1C6JZUD</v>
      </c>
      <c r="D1940" t="s">
        <v>45</v>
      </c>
      <c r="E1940" t="s">
        <v>105</v>
      </c>
      <c r="F1940" t="s">
        <v>47</v>
      </c>
      <c r="G1940" t="s">
        <v>48</v>
      </c>
      <c r="H1940" t="s">
        <v>49</v>
      </c>
      <c r="I1940" t="s">
        <v>79</v>
      </c>
      <c r="J1940" t="s">
        <v>181</v>
      </c>
      <c r="K1940" t="s">
        <v>123</v>
      </c>
      <c r="L1940" t="s">
        <v>53</v>
      </c>
      <c r="N1940" t="s">
        <v>3176</v>
      </c>
      <c r="P1940" t="s">
        <v>55</v>
      </c>
      <c r="R1940" t="s">
        <v>56</v>
      </c>
      <c r="T1940" t="s">
        <v>3173</v>
      </c>
      <c r="U1940" t="s">
        <v>58</v>
      </c>
      <c r="V1940">
        <v>2</v>
      </c>
      <c r="W1940">
        <v>1</v>
      </c>
      <c r="X1940">
        <v>1</v>
      </c>
      <c r="Y1940">
        <v>0</v>
      </c>
      <c r="Z1940">
        <v>1</v>
      </c>
      <c r="AA1940">
        <v>0</v>
      </c>
      <c r="AB1940">
        <v>333.45</v>
      </c>
      <c r="AC1940">
        <v>293.39999999999998</v>
      </c>
      <c r="AD1940">
        <v>0</v>
      </c>
      <c r="AE1940">
        <v>40.020000000000003</v>
      </c>
      <c r="AF1940">
        <v>0</v>
      </c>
      <c r="AG1940">
        <v>0</v>
      </c>
      <c r="AH1940">
        <v>0</v>
      </c>
      <c r="AI1940">
        <v>0</v>
      </c>
      <c r="AJ1940">
        <v>333.42</v>
      </c>
      <c r="AK1940">
        <v>-0.03</v>
      </c>
      <c r="AL1940" t="s">
        <v>53</v>
      </c>
      <c r="AM1940" t="s">
        <v>53</v>
      </c>
      <c r="AN1940" t="s">
        <v>91</v>
      </c>
      <c r="AO1940" t="s">
        <v>53</v>
      </c>
      <c r="AP1940" t="s">
        <v>53</v>
      </c>
    </row>
    <row r="1941" spans="2:42" x14ac:dyDescent="0.2">
      <c r="B1941" t="s">
        <v>44</v>
      </c>
      <c r="C1941" t="str">
        <f>HYPERLINK("https://us2.cloudbeds.com/connect/8493803454333002#/reservations/598218805395?display=E16SV38N&amp;reservation_id=598218805395", "E16SV38N")</f>
        <v>E16SV38N</v>
      </c>
      <c r="D1941" t="s">
        <v>45</v>
      </c>
      <c r="E1941" t="s">
        <v>105</v>
      </c>
      <c r="F1941" t="s">
        <v>47</v>
      </c>
      <c r="G1941" t="s">
        <v>48</v>
      </c>
      <c r="H1941" t="s">
        <v>49</v>
      </c>
      <c r="I1941" t="s">
        <v>50</v>
      </c>
      <c r="J1941" t="s">
        <v>180</v>
      </c>
      <c r="K1941" t="s">
        <v>181</v>
      </c>
      <c r="L1941" t="s">
        <v>53</v>
      </c>
      <c r="N1941" t="s">
        <v>3177</v>
      </c>
      <c r="P1941" t="s">
        <v>55</v>
      </c>
      <c r="R1941" t="s">
        <v>56</v>
      </c>
      <c r="T1941" t="s">
        <v>3173</v>
      </c>
      <c r="U1941" t="s">
        <v>58</v>
      </c>
      <c r="V1941">
        <v>1</v>
      </c>
      <c r="W1941">
        <v>1</v>
      </c>
      <c r="X1941">
        <v>1</v>
      </c>
      <c r="Y1941">
        <v>0</v>
      </c>
      <c r="Z1941">
        <v>1</v>
      </c>
      <c r="AA1941">
        <v>0</v>
      </c>
      <c r="AB1941">
        <v>162.63</v>
      </c>
      <c r="AC1941">
        <v>143.1</v>
      </c>
      <c r="AD1941">
        <v>0</v>
      </c>
      <c r="AE1941">
        <v>19.53</v>
      </c>
      <c r="AF1941">
        <v>0</v>
      </c>
      <c r="AG1941">
        <v>0</v>
      </c>
      <c r="AH1941">
        <v>0</v>
      </c>
      <c r="AI1941">
        <v>29.27</v>
      </c>
      <c r="AJ1941">
        <v>162.63</v>
      </c>
      <c r="AK1941">
        <v>0</v>
      </c>
      <c r="AL1941" t="s">
        <v>53</v>
      </c>
      <c r="AM1941" t="s">
        <v>53</v>
      </c>
      <c r="AN1941" t="s">
        <v>97</v>
      </c>
      <c r="AO1941" t="s">
        <v>53</v>
      </c>
      <c r="AP1941" t="s">
        <v>53</v>
      </c>
    </row>
    <row r="1942" spans="2:42" x14ac:dyDescent="0.2">
      <c r="B1942" t="s">
        <v>44</v>
      </c>
      <c r="C1942" t="str">
        <f>HYPERLINK("https://us2.cloudbeds.com/connect/8493803454333002#/reservations/598446026959?display=E1CMHSRY&amp;reservation_id=598446026959", "E1CMHSRY")</f>
        <v>E1CMHSRY</v>
      </c>
      <c r="D1942" t="s">
        <v>45</v>
      </c>
      <c r="E1942" t="s">
        <v>305</v>
      </c>
      <c r="F1942" t="s">
        <v>61</v>
      </c>
      <c r="G1942" t="s">
        <v>48</v>
      </c>
      <c r="H1942" t="s">
        <v>49</v>
      </c>
      <c r="I1942" t="s">
        <v>79</v>
      </c>
      <c r="J1942" t="s">
        <v>99</v>
      </c>
      <c r="K1942" t="s">
        <v>323</v>
      </c>
      <c r="L1942" t="s">
        <v>53</v>
      </c>
      <c r="N1942" t="s">
        <v>3178</v>
      </c>
      <c r="P1942" t="s">
        <v>55</v>
      </c>
      <c r="R1942" t="s">
        <v>56</v>
      </c>
      <c r="T1942" t="s">
        <v>3173</v>
      </c>
      <c r="U1942" t="s">
        <v>58</v>
      </c>
      <c r="V1942">
        <v>1</v>
      </c>
      <c r="W1942">
        <v>1</v>
      </c>
      <c r="X1942">
        <v>1</v>
      </c>
      <c r="Y1942">
        <v>0</v>
      </c>
      <c r="Z1942">
        <v>1</v>
      </c>
      <c r="AA1942">
        <v>0</v>
      </c>
      <c r="AB1942">
        <v>172.86</v>
      </c>
      <c r="AC1942">
        <v>152.1</v>
      </c>
      <c r="AD1942">
        <v>0</v>
      </c>
      <c r="AE1942">
        <v>20.76</v>
      </c>
      <c r="AF1942">
        <v>0</v>
      </c>
      <c r="AG1942">
        <v>0</v>
      </c>
      <c r="AH1942">
        <v>0</v>
      </c>
      <c r="AI1942">
        <v>0</v>
      </c>
      <c r="AJ1942">
        <v>172.86</v>
      </c>
      <c r="AK1942">
        <v>0</v>
      </c>
      <c r="AL1942" t="s">
        <v>53</v>
      </c>
      <c r="AM1942" t="s">
        <v>53</v>
      </c>
      <c r="AN1942" t="s">
        <v>545</v>
      </c>
      <c r="AO1942" t="s">
        <v>53</v>
      </c>
      <c r="AP1942" t="s">
        <v>53</v>
      </c>
    </row>
    <row r="1943" spans="2:42" x14ac:dyDescent="0.2">
      <c r="B1943" t="s">
        <v>44</v>
      </c>
      <c r="C1943" t="str">
        <f>HYPERLINK("https://us2.cloudbeds.com/connect/8493803454333002#/reservations/598516461723?display=E1EFUR7E&amp;reservation_id=598516461723", "E1EFUR7E")</f>
        <v>E1EFUR7E</v>
      </c>
      <c r="D1943" t="s">
        <v>45</v>
      </c>
      <c r="E1943" t="s">
        <v>69</v>
      </c>
      <c r="F1943" t="s">
        <v>70</v>
      </c>
      <c r="G1943" t="s">
        <v>48</v>
      </c>
      <c r="H1943" t="s">
        <v>71</v>
      </c>
      <c r="I1943" t="s">
        <v>72</v>
      </c>
      <c r="J1943" t="s">
        <v>988</v>
      </c>
      <c r="K1943" t="s">
        <v>1439</v>
      </c>
      <c r="L1943" t="s">
        <v>53</v>
      </c>
      <c r="N1943" t="s">
        <v>3179</v>
      </c>
      <c r="P1943" t="s">
        <v>55</v>
      </c>
      <c r="R1943" t="s">
        <v>56</v>
      </c>
      <c r="T1943" t="s">
        <v>3173</v>
      </c>
      <c r="U1943" t="s">
        <v>58</v>
      </c>
      <c r="V1943">
        <v>1</v>
      </c>
      <c r="W1943">
        <v>1</v>
      </c>
      <c r="X1943">
        <v>1</v>
      </c>
      <c r="Y1943">
        <v>0</v>
      </c>
      <c r="Z1943">
        <v>1</v>
      </c>
      <c r="AA1943">
        <v>0</v>
      </c>
      <c r="AB1943">
        <v>161.38</v>
      </c>
      <c r="AC1943">
        <v>142</v>
      </c>
      <c r="AD1943">
        <v>0</v>
      </c>
      <c r="AE1943">
        <v>19.39</v>
      </c>
      <c r="AF1943">
        <v>0</v>
      </c>
      <c r="AG1943">
        <v>0</v>
      </c>
      <c r="AH1943">
        <v>0</v>
      </c>
      <c r="AI1943">
        <v>0</v>
      </c>
      <c r="AJ1943">
        <v>161.38999999999999</v>
      </c>
      <c r="AK1943">
        <v>0.01</v>
      </c>
      <c r="AL1943" t="s">
        <v>53</v>
      </c>
      <c r="AM1943" t="s">
        <v>53</v>
      </c>
      <c r="AN1943" t="s">
        <v>3180</v>
      </c>
      <c r="AO1943" t="s">
        <v>53</v>
      </c>
      <c r="AP1943" t="s">
        <v>53</v>
      </c>
    </row>
    <row r="1944" spans="2:42" x14ac:dyDescent="0.2">
      <c r="B1944" t="s">
        <v>44</v>
      </c>
      <c r="C1944" t="str">
        <f>HYPERLINK("https://us2.cloudbeds.com/connect/8493803454333002#/reservations/598516510864?display=E1EFW6BX&amp;reservation_id=598516510864", "E1EFW6BX")</f>
        <v>E1EFW6BX</v>
      </c>
      <c r="D1944" t="s">
        <v>45</v>
      </c>
      <c r="E1944" t="s">
        <v>265</v>
      </c>
      <c r="F1944" t="s">
        <v>61</v>
      </c>
      <c r="G1944" t="s">
        <v>48</v>
      </c>
      <c r="H1944" t="s">
        <v>49</v>
      </c>
      <c r="I1944" t="s">
        <v>62</v>
      </c>
      <c r="J1944" t="s">
        <v>1792</v>
      </c>
      <c r="K1944" t="s">
        <v>447</v>
      </c>
      <c r="L1944" t="s">
        <v>53</v>
      </c>
      <c r="N1944" t="s">
        <v>3181</v>
      </c>
      <c r="P1944" t="s">
        <v>55</v>
      </c>
      <c r="R1944" t="s">
        <v>56</v>
      </c>
      <c r="T1944" t="s">
        <v>3173</v>
      </c>
      <c r="U1944" t="s">
        <v>58</v>
      </c>
      <c r="V1944">
        <v>2</v>
      </c>
      <c r="W1944">
        <v>1</v>
      </c>
      <c r="X1944">
        <v>1</v>
      </c>
      <c r="Y1944">
        <v>0</v>
      </c>
      <c r="Z1944">
        <v>1</v>
      </c>
      <c r="AA1944">
        <v>0</v>
      </c>
      <c r="AB1944">
        <v>384.14</v>
      </c>
      <c r="AC1944">
        <v>338</v>
      </c>
      <c r="AD1944">
        <v>0</v>
      </c>
      <c r="AE1944">
        <v>46.14</v>
      </c>
      <c r="AF1944">
        <v>0</v>
      </c>
      <c r="AG1944">
        <v>0</v>
      </c>
      <c r="AH1944">
        <v>0</v>
      </c>
      <c r="AI1944">
        <v>57.62</v>
      </c>
      <c r="AJ1944">
        <v>384.14</v>
      </c>
      <c r="AK1944">
        <v>0</v>
      </c>
      <c r="AL1944" t="s">
        <v>53</v>
      </c>
      <c r="AM1944" t="s">
        <v>53</v>
      </c>
      <c r="AN1944" t="s">
        <v>104</v>
      </c>
      <c r="AO1944" t="s">
        <v>53</v>
      </c>
      <c r="AP1944" t="s">
        <v>53</v>
      </c>
    </row>
    <row r="1945" spans="2:42" x14ac:dyDescent="0.2">
      <c r="B1945" t="s">
        <v>44</v>
      </c>
      <c r="C1945" t="str">
        <f>HYPERLINK("https://us2.cloudbeds.com/connect/8493803454333002#/reservations/598585762034?display=E1G8C6SS&amp;reservation_id=598585762034", "E1G8C6SS")</f>
        <v>E1G8C6SS</v>
      </c>
      <c r="D1945" t="s">
        <v>45</v>
      </c>
      <c r="E1945" t="s">
        <v>138</v>
      </c>
      <c r="F1945" t="s">
        <v>70</v>
      </c>
      <c r="G1945" t="s">
        <v>48</v>
      </c>
      <c r="H1945" t="s">
        <v>49</v>
      </c>
      <c r="I1945" t="s">
        <v>50</v>
      </c>
      <c r="J1945" t="s">
        <v>180</v>
      </c>
      <c r="K1945" t="s">
        <v>181</v>
      </c>
      <c r="L1945" t="s">
        <v>53</v>
      </c>
      <c r="N1945" t="s">
        <v>3182</v>
      </c>
      <c r="P1945" t="s">
        <v>55</v>
      </c>
      <c r="R1945" t="s">
        <v>56</v>
      </c>
      <c r="T1945" t="s">
        <v>3173</v>
      </c>
      <c r="U1945" t="s">
        <v>58</v>
      </c>
      <c r="V1945">
        <v>1</v>
      </c>
      <c r="W1945">
        <v>1</v>
      </c>
      <c r="X1945">
        <v>1</v>
      </c>
      <c r="Y1945">
        <v>0</v>
      </c>
      <c r="Z1945">
        <v>1</v>
      </c>
      <c r="AA1945">
        <v>0</v>
      </c>
      <c r="AB1945">
        <v>148.31</v>
      </c>
      <c r="AC1945">
        <v>130.5</v>
      </c>
      <c r="AD1945">
        <v>0</v>
      </c>
      <c r="AE1945">
        <v>17.809999999999999</v>
      </c>
      <c r="AF1945">
        <v>0</v>
      </c>
      <c r="AG1945">
        <v>0</v>
      </c>
      <c r="AH1945">
        <v>0</v>
      </c>
      <c r="AI1945">
        <v>26.7</v>
      </c>
      <c r="AJ1945">
        <v>148.31</v>
      </c>
      <c r="AK1945">
        <v>0</v>
      </c>
      <c r="AL1945" t="s">
        <v>53</v>
      </c>
      <c r="AM1945" t="s">
        <v>53</v>
      </c>
      <c r="AN1945" t="s">
        <v>349</v>
      </c>
      <c r="AO1945" t="s">
        <v>53</v>
      </c>
      <c r="AP1945" t="s">
        <v>53</v>
      </c>
    </row>
    <row r="1946" spans="2:42" x14ac:dyDescent="0.2">
      <c r="B1946" t="s">
        <v>44</v>
      </c>
      <c r="C1946" t="str">
        <f>HYPERLINK("https://us2.cloudbeds.com/connect/8493803454333002#/reservations/579172487312?display=DJF6J7AM&amp;reservation_id=579172487312", "DJF6J7AM")</f>
        <v>DJF6J7AM</v>
      </c>
      <c r="D1946" t="s">
        <v>45</v>
      </c>
      <c r="E1946" t="s">
        <v>128</v>
      </c>
      <c r="F1946" t="s">
        <v>86</v>
      </c>
      <c r="G1946" t="s">
        <v>48</v>
      </c>
      <c r="H1946" t="s">
        <v>71</v>
      </c>
      <c r="I1946" t="s">
        <v>72</v>
      </c>
      <c r="J1946" t="s">
        <v>2639</v>
      </c>
      <c r="K1946" t="s">
        <v>1295</v>
      </c>
      <c r="L1946" t="s">
        <v>53</v>
      </c>
      <c r="N1946" t="s">
        <v>3183</v>
      </c>
      <c r="P1946" t="s">
        <v>55</v>
      </c>
      <c r="R1946" t="s">
        <v>56</v>
      </c>
      <c r="T1946" t="s">
        <v>3173</v>
      </c>
      <c r="U1946" t="s">
        <v>58</v>
      </c>
      <c r="V1946">
        <v>1</v>
      </c>
      <c r="W1946">
        <v>1</v>
      </c>
      <c r="X1946">
        <v>1</v>
      </c>
      <c r="Y1946">
        <v>0</v>
      </c>
      <c r="Z1946">
        <v>1</v>
      </c>
      <c r="AA1946">
        <v>0</v>
      </c>
      <c r="AB1946">
        <v>176.17</v>
      </c>
      <c r="AC1946">
        <v>155</v>
      </c>
      <c r="AD1946">
        <v>0</v>
      </c>
      <c r="AE1946">
        <v>21.17</v>
      </c>
      <c r="AF1946">
        <v>0</v>
      </c>
      <c r="AG1946">
        <v>0</v>
      </c>
      <c r="AH1946">
        <v>0</v>
      </c>
      <c r="AI1946">
        <v>0</v>
      </c>
      <c r="AJ1946">
        <v>176.17</v>
      </c>
      <c r="AK1946">
        <v>0</v>
      </c>
      <c r="AL1946" t="s">
        <v>53</v>
      </c>
      <c r="AM1946" t="s">
        <v>53</v>
      </c>
      <c r="AN1946" t="s">
        <v>378</v>
      </c>
      <c r="AO1946" t="s">
        <v>53</v>
      </c>
      <c r="AP1946" t="s">
        <v>53</v>
      </c>
    </row>
    <row r="1947" spans="2:42" x14ac:dyDescent="0.2">
      <c r="B1947" t="s">
        <v>44</v>
      </c>
      <c r="C1947" t="str">
        <f>HYPERLINK("https://us2.cloudbeds.com/connect/8493803454333002#/reservations/579291107519?display=DJX7K04D&amp;reservation_id=579291107519", "DJX7K04D")</f>
        <v>DJX7K04D</v>
      </c>
      <c r="D1947" t="s">
        <v>45</v>
      </c>
      <c r="E1947" t="s">
        <v>128</v>
      </c>
      <c r="F1947" t="s">
        <v>86</v>
      </c>
      <c r="G1947" t="s">
        <v>48</v>
      </c>
      <c r="H1947" t="s">
        <v>49</v>
      </c>
      <c r="I1947" t="s">
        <v>79</v>
      </c>
      <c r="J1947" t="s">
        <v>1450</v>
      </c>
      <c r="K1947" t="s">
        <v>1515</v>
      </c>
      <c r="L1947" t="s">
        <v>53</v>
      </c>
      <c r="N1947" t="s">
        <v>3184</v>
      </c>
      <c r="P1947" t="s">
        <v>55</v>
      </c>
      <c r="R1947" t="s">
        <v>56</v>
      </c>
      <c r="T1947" t="s">
        <v>3173</v>
      </c>
      <c r="U1947" t="s">
        <v>58</v>
      </c>
      <c r="V1947">
        <v>2</v>
      </c>
      <c r="W1947">
        <v>1</v>
      </c>
      <c r="X1947">
        <v>1</v>
      </c>
      <c r="Y1947">
        <v>0</v>
      </c>
      <c r="Z1947">
        <v>1</v>
      </c>
      <c r="AA1947">
        <v>0</v>
      </c>
      <c r="AB1947">
        <v>348.8</v>
      </c>
      <c r="AC1947">
        <v>306.89999999999998</v>
      </c>
      <c r="AD1947">
        <v>0</v>
      </c>
      <c r="AE1947">
        <v>41.9</v>
      </c>
      <c r="AF1947">
        <v>0</v>
      </c>
      <c r="AG1947">
        <v>0</v>
      </c>
      <c r="AH1947">
        <v>0</v>
      </c>
      <c r="AI1947">
        <v>0</v>
      </c>
      <c r="AJ1947">
        <v>348.8</v>
      </c>
      <c r="AK1947">
        <v>0</v>
      </c>
      <c r="AL1947" t="s">
        <v>53</v>
      </c>
      <c r="AM1947" t="s">
        <v>53</v>
      </c>
      <c r="AN1947" t="s">
        <v>413</v>
      </c>
      <c r="AO1947" t="s">
        <v>53</v>
      </c>
      <c r="AP1947" t="s">
        <v>53</v>
      </c>
    </row>
    <row r="1948" spans="2:42" x14ac:dyDescent="0.2">
      <c r="B1948" t="s">
        <v>44</v>
      </c>
      <c r="C1948" t="str">
        <f>HYPERLINK("https://us2.cloudbeds.com/connect/8493803454333002#/reservations/579292459214?display=DJX8ZKBS&amp;reservation_id=579292459214", "DJX8ZKBS")</f>
        <v>DJX8ZKBS</v>
      </c>
      <c r="D1948" t="s">
        <v>45</v>
      </c>
      <c r="E1948" t="s">
        <v>213</v>
      </c>
      <c r="F1948" t="s">
        <v>86</v>
      </c>
      <c r="G1948" t="s">
        <v>48</v>
      </c>
      <c r="H1948" t="s">
        <v>49</v>
      </c>
      <c r="I1948" t="s">
        <v>79</v>
      </c>
      <c r="J1948" t="s">
        <v>2643</v>
      </c>
      <c r="K1948" t="s">
        <v>2790</v>
      </c>
      <c r="L1948" t="s">
        <v>53</v>
      </c>
      <c r="N1948" t="s">
        <v>3185</v>
      </c>
      <c r="P1948" t="s">
        <v>55</v>
      </c>
      <c r="R1948" t="s">
        <v>56</v>
      </c>
      <c r="T1948" t="s">
        <v>3173</v>
      </c>
      <c r="U1948" t="s">
        <v>58</v>
      </c>
      <c r="V1948">
        <v>2</v>
      </c>
      <c r="W1948">
        <v>1</v>
      </c>
      <c r="X1948">
        <v>1</v>
      </c>
      <c r="Y1948">
        <v>0</v>
      </c>
      <c r="Z1948">
        <v>1</v>
      </c>
      <c r="AA1948">
        <v>0</v>
      </c>
      <c r="AB1948">
        <v>341.64</v>
      </c>
      <c r="AC1948">
        <v>300.60000000000002</v>
      </c>
      <c r="AD1948">
        <v>0</v>
      </c>
      <c r="AE1948">
        <v>41.04</v>
      </c>
      <c r="AF1948">
        <v>0</v>
      </c>
      <c r="AG1948">
        <v>0</v>
      </c>
      <c r="AH1948">
        <v>0</v>
      </c>
      <c r="AI1948">
        <v>0</v>
      </c>
      <c r="AJ1948">
        <v>341.64</v>
      </c>
      <c r="AK1948">
        <v>0</v>
      </c>
      <c r="AL1948" t="s">
        <v>53</v>
      </c>
      <c r="AM1948" t="s">
        <v>53</v>
      </c>
      <c r="AN1948" t="s">
        <v>127</v>
      </c>
      <c r="AO1948" t="s">
        <v>53</v>
      </c>
      <c r="AP1948" t="s">
        <v>53</v>
      </c>
    </row>
    <row r="1949" spans="2:42" x14ac:dyDescent="0.2">
      <c r="B1949" t="s">
        <v>44</v>
      </c>
      <c r="C1949" t="str">
        <f>HYPERLINK("https://us2.cloudbeds.com/connect/8493803454333002#/reservations/598554009760?display=E1FEJYJZ&amp;reservation_id=598554009760", "E1FEJYJZ")</f>
        <v>E1FEJYJZ</v>
      </c>
      <c r="D1949" t="s">
        <v>45</v>
      </c>
      <c r="E1949" t="s">
        <v>78</v>
      </c>
      <c r="F1949" t="s">
        <v>61</v>
      </c>
      <c r="G1949" t="s">
        <v>48</v>
      </c>
      <c r="H1949" t="s">
        <v>71</v>
      </c>
      <c r="I1949" t="s">
        <v>72</v>
      </c>
      <c r="J1949" t="s">
        <v>1822</v>
      </c>
      <c r="K1949" t="s">
        <v>1473</v>
      </c>
      <c r="L1949" t="s">
        <v>53</v>
      </c>
      <c r="N1949" t="s">
        <v>3186</v>
      </c>
      <c r="P1949" t="s">
        <v>55</v>
      </c>
      <c r="R1949" t="s">
        <v>56</v>
      </c>
      <c r="T1949" t="s">
        <v>3173</v>
      </c>
      <c r="U1949" t="s">
        <v>58</v>
      </c>
      <c r="V1949">
        <v>3</v>
      </c>
      <c r="W1949">
        <v>1</v>
      </c>
      <c r="X1949">
        <v>1</v>
      </c>
      <c r="Y1949">
        <v>0</v>
      </c>
      <c r="Z1949">
        <v>1</v>
      </c>
      <c r="AA1949">
        <v>0</v>
      </c>
      <c r="AB1949">
        <v>540.97</v>
      </c>
      <c r="AC1949">
        <v>476</v>
      </c>
      <c r="AD1949">
        <v>0</v>
      </c>
      <c r="AE1949">
        <v>64.95</v>
      </c>
      <c r="AF1949">
        <v>0</v>
      </c>
      <c r="AG1949">
        <v>0</v>
      </c>
      <c r="AH1949">
        <v>0</v>
      </c>
      <c r="AI1949">
        <v>0</v>
      </c>
      <c r="AJ1949">
        <v>540.95000000000005</v>
      </c>
      <c r="AK1949">
        <v>-0.02</v>
      </c>
      <c r="AL1949" t="s">
        <v>53</v>
      </c>
      <c r="AM1949" t="s">
        <v>53</v>
      </c>
      <c r="AN1949" t="s">
        <v>3187</v>
      </c>
      <c r="AO1949" t="s">
        <v>53</v>
      </c>
      <c r="AP1949" t="s">
        <v>53</v>
      </c>
    </row>
    <row r="1950" spans="2:42" x14ac:dyDescent="0.2">
      <c r="B1950" t="s">
        <v>44</v>
      </c>
      <c r="C1950" t="str">
        <f>HYPERLINK("https://us2.cloudbeds.com/connect/8493803454333002#/reservations/579228565675?display=DJGKSMK0&amp;reservation_id=579228565675", "DJGKSMK0")</f>
        <v>DJGKSMK0</v>
      </c>
      <c r="D1950" t="s">
        <v>45</v>
      </c>
      <c r="E1950" t="s">
        <v>128</v>
      </c>
      <c r="F1950" t="s">
        <v>86</v>
      </c>
      <c r="G1950" t="s">
        <v>48</v>
      </c>
      <c r="H1950" t="s">
        <v>71</v>
      </c>
      <c r="I1950" t="s">
        <v>72</v>
      </c>
      <c r="J1950" t="s">
        <v>3043</v>
      </c>
      <c r="K1950" t="s">
        <v>2469</v>
      </c>
      <c r="L1950" t="s">
        <v>53</v>
      </c>
      <c r="N1950" t="s">
        <v>3188</v>
      </c>
      <c r="P1950" t="s">
        <v>55</v>
      </c>
      <c r="R1950" t="s">
        <v>56</v>
      </c>
      <c r="T1950" t="s">
        <v>3173</v>
      </c>
      <c r="U1950" t="s">
        <v>58</v>
      </c>
      <c r="V1950">
        <v>1</v>
      </c>
      <c r="W1950">
        <v>1</v>
      </c>
      <c r="X1950">
        <v>1</v>
      </c>
      <c r="Y1950">
        <v>0</v>
      </c>
      <c r="Z1950">
        <v>1</v>
      </c>
      <c r="AA1950">
        <v>0</v>
      </c>
      <c r="AB1950">
        <v>177.29</v>
      </c>
      <c r="AC1950">
        <v>156</v>
      </c>
      <c r="AD1950">
        <v>0</v>
      </c>
      <c r="AE1950">
        <v>21.29</v>
      </c>
      <c r="AF1950">
        <v>0</v>
      </c>
      <c r="AG1950">
        <v>0</v>
      </c>
      <c r="AH1950">
        <v>0</v>
      </c>
      <c r="AI1950">
        <v>0</v>
      </c>
      <c r="AJ1950">
        <v>177.29</v>
      </c>
      <c r="AK1950">
        <v>0</v>
      </c>
      <c r="AL1950" t="s">
        <v>53</v>
      </c>
      <c r="AM1950" t="s">
        <v>53</v>
      </c>
      <c r="AN1950" t="s">
        <v>3189</v>
      </c>
      <c r="AO1950" t="s">
        <v>53</v>
      </c>
      <c r="AP1950" t="s">
        <v>53</v>
      </c>
    </row>
    <row r="1951" spans="2:42" x14ac:dyDescent="0.2">
      <c r="B1951" t="s">
        <v>44</v>
      </c>
      <c r="C1951" t="str">
        <f>HYPERLINK("https://us2.cloudbeds.com/connect/8493803454333002#/reservations/598550556921?display=E1FBMXV8&amp;reservation_id=598550556921", "E1FBMXV8")</f>
        <v>E1FBMXV8</v>
      </c>
      <c r="D1951" t="s">
        <v>45</v>
      </c>
      <c r="E1951" t="s">
        <v>265</v>
      </c>
      <c r="F1951" t="s">
        <v>61</v>
      </c>
      <c r="G1951" t="s">
        <v>48</v>
      </c>
      <c r="H1951" t="s">
        <v>49</v>
      </c>
      <c r="I1951" t="s">
        <v>79</v>
      </c>
      <c r="J1951" t="s">
        <v>99</v>
      </c>
      <c r="K1951" t="s">
        <v>323</v>
      </c>
      <c r="L1951" t="s">
        <v>53</v>
      </c>
      <c r="N1951" t="s">
        <v>3190</v>
      </c>
      <c r="P1951" t="s">
        <v>55</v>
      </c>
      <c r="R1951" t="s">
        <v>56</v>
      </c>
      <c r="T1951" t="s">
        <v>3173</v>
      </c>
      <c r="U1951" t="s">
        <v>58</v>
      </c>
      <c r="V1951">
        <v>1</v>
      </c>
      <c r="W1951">
        <v>1</v>
      </c>
      <c r="X1951">
        <v>1</v>
      </c>
      <c r="Y1951">
        <v>0</v>
      </c>
      <c r="Z1951">
        <v>1</v>
      </c>
      <c r="AA1951">
        <v>0</v>
      </c>
      <c r="AB1951">
        <v>172.86</v>
      </c>
      <c r="AC1951">
        <v>152.1</v>
      </c>
      <c r="AD1951">
        <v>0</v>
      </c>
      <c r="AE1951">
        <v>20.76</v>
      </c>
      <c r="AF1951">
        <v>0</v>
      </c>
      <c r="AG1951">
        <v>0</v>
      </c>
      <c r="AH1951">
        <v>0</v>
      </c>
      <c r="AI1951">
        <v>0</v>
      </c>
      <c r="AJ1951">
        <v>172.86</v>
      </c>
      <c r="AK1951">
        <v>0</v>
      </c>
      <c r="AL1951" t="s">
        <v>53</v>
      </c>
      <c r="AM1951" t="s">
        <v>53</v>
      </c>
      <c r="AN1951" t="s">
        <v>413</v>
      </c>
      <c r="AO1951" t="s">
        <v>53</v>
      </c>
      <c r="AP1951" t="s">
        <v>53</v>
      </c>
    </row>
    <row r="1952" spans="2:42" x14ac:dyDescent="0.2">
      <c r="B1952" t="s">
        <v>44</v>
      </c>
      <c r="C1952" t="str">
        <f>HYPERLINK("https://us2.cloudbeds.com/connect/8493803454333002#/reservations/598396301531?display=E1BDK69G&amp;reservation_id=598396301531", "E1BDK69G")</f>
        <v>E1BDK69G</v>
      </c>
      <c r="D1952" t="s">
        <v>45</v>
      </c>
      <c r="E1952" t="s">
        <v>213</v>
      </c>
      <c r="F1952" t="s">
        <v>86</v>
      </c>
      <c r="G1952" t="s">
        <v>48</v>
      </c>
      <c r="H1952" t="s">
        <v>49</v>
      </c>
      <c r="I1952" t="s">
        <v>50</v>
      </c>
      <c r="J1952" t="s">
        <v>180</v>
      </c>
      <c r="K1952" t="s">
        <v>181</v>
      </c>
      <c r="L1952" t="s">
        <v>53</v>
      </c>
      <c r="N1952" t="s">
        <v>3191</v>
      </c>
      <c r="P1952" t="s">
        <v>55</v>
      </c>
      <c r="R1952" t="s">
        <v>56</v>
      </c>
      <c r="T1952" t="s">
        <v>3173</v>
      </c>
      <c r="U1952" t="s">
        <v>58</v>
      </c>
      <c r="V1952">
        <v>1</v>
      </c>
      <c r="W1952">
        <v>1</v>
      </c>
      <c r="X1952">
        <v>1</v>
      </c>
      <c r="Y1952">
        <v>0</v>
      </c>
      <c r="Z1952">
        <v>1</v>
      </c>
      <c r="AA1952">
        <v>0</v>
      </c>
      <c r="AB1952">
        <v>186.16</v>
      </c>
      <c r="AC1952">
        <v>163.80000000000001</v>
      </c>
      <c r="AD1952">
        <v>0</v>
      </c>
      <c r="AE1952">
        <v>22.36</v>
      </c>
      <c r="AF1952">
        <v>0</v>
      </c>
      <c r="AG1952">
        <v>0</v>
      </c>
      <c r="AH1952">
        <v>0</v>
      </c>
      <c r="AI1952">
        <v>33.51</v>
      </c>
      <c r="AJ1952">
        <v>186.16</v>
      </c>
      <c r="AK1952">
        <v>0</v>
      </c>
      <c r="AL1952" t="s">
        <v>53</v>
      </c>
      <c r="AM1952" t="s">
        <v>53</v>
      </c>
      <c r="AN1952" t="s">
        <v>159</v>
      </c>
      <c r="AO1952" t="s">
        <v>53</v>
      </c>
      <c r="AP1952" t="s">
        <v>53</v>
      </c>
    </row>
    <row r="1953" spans="2:42" x14ac:dyDescent="0.2">
      <c r="B1953" t="s">
        <v>44</v>
      </c>
      <c r="C1953" t="str">
        <f>HYPERLINK("https://us2.cloudbeds.com/connect/8493803454333002#/reservations/598393196727?display=E1BAWQ7H&amp;reservation_id=598393196727", "E1BAWQ7H")</f>
        <v>E1BAWQ7H</v>
      </c>
      <c r="D1953" t="s">
        <v>45</v>
      </c>
      <c r="E1953" t="s">
        <v>110</v>
      </c>
      <c r="F1953" t="s">
        <v>47</v>
      </c>
      <c r="G1953" t="s">
        <v>48</v>
      </c>
      <c r="H1953" t="s">
        <v>49</v>
      </c>
      <c r="I1953" t="s">
        <v>266</v>
      </c>
      <c r="J1953" t="s">
        <v>180</v>
      </c>
      <c r="K1953" t="s">
        <v>181</v>
      </c>
      <c r="L1953" t="s">
        <v>53</v>
      </c>
      <c r="N1953" t="s">
        <v>3192</v>
      </c>
      <c r="P1953" t="s">
        <v>55</v>
      </c>
      <c r="R1953" t="s">
        <v>56</v>
      </c>
      <c r="T1953" t="s">
        <v>3173</v>
      </c>
      <c r="U1953" t="s">
        <v>58</v>
      </c>
      <c r="V1953">
        <v>1</v>
      </c>
      <c r="W1953">
        <v>1</v>
      </c>
      <c r="X1953">
        <v>1</v>
      </c>
      <c r="Y1953">
        <v>0</v>
      </c>
      <c r="Z1953">
        <v>1</v>
      </c>
      <c r="AA1953">
        <v>0</v>
      </c>
      <c r="AB1953">
        <v>162.63</v>
      </c>
      <c r="AC1953">
        <v>143.1</v>
      </c>
      <c r="AD1953">
        <v>0</v>
      </c>
      <c r="AE1953">
        <v>19.53</v>
      </c>
      <c r="AF1953">
        <v>0</v>
      </c>
      <c r="AG1953">
        <v>0</v>
      </c>
      <c r="AH1953">
        <v>0</v>
      </c>
      <c r="AI1953">
        <v>0</v>
      </c>
      <c r="AJ1953">
        <v>162.63</v>
      </c>
      <c r="AK1953">
        <v>0</v>
      </c>
      <c r="AL1953" t="s">
        <v>53</v>
      </c>
      <c r="AM1953" t="s">
        <v>53</v>
      </c>
      <c r="AN1953" t="s">
        <v>104</v>
      </c>
      <c r="AO1953" t="s">
        <v>53</v>
      </c>
      <c r="AP1953" t="s">
        <v>53</v>
      </c>
    </row>
    <row r="1954" spans="2:42" x14ac:dyDescent="0.2">
      <c r="B1954" t="s">
        <v>44</v>
      </c>
      <c r="C1954" t="str">
        <f>HYPERLINK("https://us2.cloudbeds.com/connect/8493803454333002#/reservations/579340521695?display=DJJG90SY&amp;reservation_id=579340521695", "DJJG90SY")</f>
        <v>DJJG90SY</v>
      </c>
      <c r="D1954" t="s">
        <v>45</v>
      </c>
      <c r="E1954" t="s">
        <v>128</v>
      </c>
      <c r="F1954" t="s">
        <v>86</v>
      </c>
      <c r="G1954" t="s">
        <v>48</v>
      </c>
      <c r="H1954" t="s">
        <v>49</v>
      </c>
      <c r="I1954" t="s">
        <v>50</v>
      </c>
      <c r="J1954" t="s">
        <v>2162</v>
      </c>
      <c r="K1954" t="s">
        <v>2384</v>
      </c>
      <c r="L1954" t="s">
        <v>53</v>
      </c>
      <c r="N1954" t="s">
        <v>3193</v>
      </c>
      <c r="P1954" t="s">
        <v>55</v>
      </c>
      <c r="R1954" t="s">
        <v>56</v>
      </c>
      <c r="T1954" t="s">
        <v>3173</v>
      </c>
      <c r="U1954" t="s">
        <v>58</v>
      </c>
      <c r="V1954">
        <v>1</v>
      </c>
      <c r="W1954">
        <v>1</v>
      </c>
      <c r="X1954">
        <v>1</v>
      </c>
      <c r="Y1954">
        <v>0</v>
      </c>
      <c r="Z1954">
        <v>1</v>
      </c>
      <c r="AA1954">
        <v>0</v>
      </c>
      <c r="AB1954">
        <v>163.66</v>
      </c>
      <c r="AC1954">
        <v>144</v>
      </c>
      <c r="AD1954">
        <v>0</v>
      </c>
      <c r="AE1954">
        <v>19.66</v>
      </c>
      <c r="AF1954">
        <v>0</v>
      </c>
      <c r="AG1954">
        <v>0</v>
      </c>
      <c r="AH1954">
        <v>0</v>
      </c>
      <c r="AI1954">
        <v>29.46</v>
      </c>
      <c r="AJ1954">
        <v>163.66</v>
      </c>
      <c r="AK1954">
        <v>0</v>
      </c>
      <c r="AL1954" t="s">
        <v>53</v>
      </c>
      <c r="AM1954" t="s">
        <v>53</v>
      </c>
      <c r="AN1954" t="s">
        <v>97</v>
      </c>
      <c r="AO1954" t="s">
        <v>53</v>
      </c>
      <c r="AP1954" t="s">
        <v>53</v>
      </c>
    </row>
    <row r="1955" spans="2:42" x14ac:dyDescent="0.2">
      <c r="B1955" t="s">
        <v>44</v>
      </c>
      <c r="C1955" t="str">
        <f>HYPERLINK("https://us2.cloudbeds.com/connect/8493803454333002#/reservations/579397558475?display=DJKVC57V&amp;reservation_id=579397558475", "DJKVC57V")</f>
        <v>DJKVC57V</v>
      </c>
      <c r="D1955" t="s">
        <v>45</v>
      </c>
      <c r="E1955" t="s">
        <v>128</v>
      </c>
      <c r="F1955" t="s">
        <v>86</v>
      </c>
      <c r="G1955" t="s">
        <v>48</v>
      </c>
      <c r="H1955" t="s">
        <v>49</v>
      </c>
      <c r="I1955" t="s">
        <v>50</v>
      </c>
      <c r="J1955" t="s">
        <v>2062</v>
      </c>
      <c r="K1955" t="s">
        <v>1381</v>
      </c>
      <c r="L1955" t="s">
        <v>53</v>
      </c>
      <c r="N1955" t="s">
        <v>3194</v>
      </c>
      <c r="P1955" t="s">
        <v>55</v>
      </c>
      <c r="R1955" t="s">
        <v>56</v>
      </c>
      <c r="T1955" t="s">
        <v>3173</v>
      </c>
      <c r="U1955" t="s">
        <v>58</v>
      </c>
      <c r="V1955">
        <v>3</v>
      </c>
      <c r="W1955">
        <v>1</v>
      </c>
      <c r="X1955">
        <v>1</v>
      </c>
      <c r="Y1955">
        <v>0</v>
      </c>
      <c r="Z1955">
        <v>1</v>
      </c>
      <c r="AA1955">
        <v>0</v>
      </c>
      <c r="AB1955">
        <v>386.64</v>
      </c>
      <c r="AC1955">
        <v>340.2</v>
      </c>
      <c r="AD1955">
        <v>0</v>
      </c>
      <c r="AE1955">
        <v>46.44</v>
      </c>
      <c r="AF1955">
        <v>0</v>
      </c>
      <c r="AG1955">
        <v>0</v>
      </c>
      <c r="AH1955">
        <v>0</v>
      </c>
      <c r="AI1955">
        <v>69.599999999999994</v>
      </c>
      <c r="AJ1955">
        <v>386.64</v>
      </c>
      <c r="AK1955">
        <v>0</v>
      </c>
      <c r="AL1955" t="s">
        <v>53</v>
      </c>
      <c r="AM1955" t="s">
        <v>53</v>
      </c>
      <c r="AN1955" t="s">
        <v>198</v>
      </c>
      <c r="AO1955" t="s">
        <v>53</v>
      </c>
      <c r="AP1955" t="s">
        <v>53</v>
      </c>
    </row>
    <row r="1956" spans="2:42" x14ac:dyDescent="0.2">
      <c r="B1956" t="s">
        <v>44</v>
      </c>
      <c r="C1956" t="str">
        <f>HYPERLINK("https://us2.cloudbeds.com/connect/8493803454333002#/reservations/579407122614?display=DJY6E9ZB&amp;reservation_id=579407122614", "DJY6E9ZB")</f>
        <v>DJY6E9ZB</v>
      </c>
      <c r="D1956" t="s">
        <v>45</v>
      </c>
      <c r="E1956" t="s">
        <v>110</v>
      </c>
      <c r="F1956" t="s">
        <v>47</v>
      </c>
      <c r="G1956" t="s">
        <v>48</v>
      </c>
      <c r="H1956" t="s">
        <v>49</v>
      </c>
      <c r="I1956" t="s">
        <v>50</v>
      </c>
      <c r="J1956" t="s">
        <v>1898</v>
      </c>
      <c r="K1956" t="s">
        <v>1458</v>
      </c>
      <c r="L1956" t="s">
        <v>53</v>
      </c>
      <c r="N1956" t="s">
        <v>3195</v>
      </c>
      <c r="P1956" t="s">
        <v>55</v>
      </c>
      <c r="R1956" t="s">
        <v>56</v>
      </c>
      <c r="T1956" t="s">
        <v>3173</v>
      </c>
      <c r="U1956" t="s">
        <v>58</v>
      </c>
      <c r="V1956">
        <v>1</v>
      </c>
      <c r="W1956">
        <v>1</v>
      </c>
      <c r="X1956">
        <v>1</v>
      </c>
      <c r="Y1956">
        <v>0</v>
      </c>
      <c r="Z1956">
        <v>1</v>
      </c>
      <c r="AA1956">
        <v>0</v>
      </c>
      <c r="AB1956">
        <v>117.62</v>
      </c>
      <c r="AC1956">
        <v>103.5</v>
      </c>
      <c r="AD1956">
        <v>0</v>
      </c>
      <c r="AE1956">
        <v>14.12</v>
      </c>
      <c r="AF1956">
        <v>0</v>
      </c>
      <c r="AG1956">
        <v>0</v>
      </c>
      <c r="AH1956">
        <v>0</v>
      </c>
      <c r="AI1956">
        <v>21.17</v>
      </c>
      <c r="AJ1956">
        <v>117.62</v>
      </c>
      <c r="AK1956">
        <v>0</v>
      </c>
      <c r="AL1956" t="s">
        <v>53</v>
      </c>
      <c r="AM1956" t="s">
        <v>53</v>
      </c>
      <c r="AN1956" t="s">
        <v>59</v>
      </c>
      <c r="AO1956" t="s">
        <v>53</v>
      </c>
      <c r="AP1956" t="s">
        <v>53</v>
      </c>
    </row>
    <row r="1957" spans="2:42" x14ac:dyDescent="0.2">
      <c r="B1957" t="s">
        <v>44</v>
      </c>
      <c r="C1957" t="str">
        <f>HYPERLINK("https://us2.cloudbeds.com/connect/8493803454333002#/reservations/579307938007?display=DJXYQB46&amp;reservation_id=579307938007", "DJXYQB46")</f>
        <v>DJXYQB46</v>
      </c>
      <c r="D1957" t="s">
        <v>45</v>
      </c>
      <c r="E1957" t="s">
        <v>165</v>
      </c>
      <c r="F1957" t="s">
        <v>61</v>
      </c>
      <c r="G1957" t="s">
        <v>48</v>
      </c>
      <c r="H1957" t="s">
        <v>71</v>
      </c>
      <c r="I1957" t="s">
        <v>72</v>
      </c>
      <c r="J1957" t="s">
        <v>2315</v>
      </c>
      <c r="K1957" t="s">
        <v>3196</v>
      </c>
      <c r="L1957" t="s">
        <v>53</v>
      </c>
      <c r="N1957" t="s">
        <v>3197</v>
      </c>
      <c r="P1957" t="s">
        <v>58</v>
      </c>
      <c r="R1957" t="s">
        <v>56</v>
      </c>
      <c r="T1957" t="s">
        <v>3198</v>
      </c>
      <c r="U1957" t="s">
        <v>58</v>
      </c>
      <c r="V1957">
        <v>1</v>
      </c>
      <c r="W1957">
        <v>1</v>
      </c>
      <c r="X1957">
        <v>1</v>
      </c>
      <c r="Y1957">
        <v>0</v>
      </c>
      <c r="Z1957">
        <v>1</v>
      </c>
      <c r="AA1957">
        <v>0</v>
      </c>
      <c r="AB1957">
        <v>169.34</v>
      </c>
      <c r="AC1957">
        <v>149</v>
      </c>
      <c r="AD1957">
        <v>0</v>
      </c>
      <c r="AE1957">
        <v>20.34</v>
      </c>
      <c r="AF1957">
        <v>0</v>
      </c>
      <c r="AG1957">
        <v>0</v>
      </c>
      <c r="AH1957">
        <v>0</v>
      </c>
      <c r="AI1957">
        <v>0</v>
      </c>
      <c r="AJ1957">
        <v>169.34</v>
      </c>
      <c r="AK1957">
        <v>0</v>
      </c>
      <c r="AL1957" t="s">
        <v>53</v>
      </c>
      <c r="AM1957" t="s">
        <v>53</v>
      </c>
      <c r="AN1957" t="s">
        <v>3199</v>
      </c>
      <c r="AO1957" t="s">
        <v>53</v>
      </c>
      <c r="AP1957" t="s">
        <v>53</v>
      </c>
    </row>
    <row r="1958" spans="2:42" x14ac:dyDescent="0.2">
      <c r="B1958" t="s">
        <v>44</v>
      </c>
      <c r="C1958" t="str">
        <f>HYPERLINK("https://us2.cloudbeds.com/connect/8493803454333002#/reservations/598087782580?display=E13HF6FC&amp;reservation_id=598087782580", "E13HF6FC")</f>
        <v>E13HF6FC</v>
      </c>
      <c r="D1958" t="s">
        <v>45</v>
      </c>
      <c r="E1958" t="s">
        <v>128</v>
      </c>
      <c r="F1958" t="s">
        <v>86</v>
      </c>
      <c r="G1958" t="s">
        <v>48</v>
      </c>
      <c r="H1958" t="s">
        <v>49</v>
      </c>
      <c r="I1958" t="s">
        <v>50</v>
      </c>
      <c r="J1958" t="s">
        <v>237</v>
      </c>
      <c r="K1958" t="s">
        <v>525</v>
      </c>
      <c r="L1958" t="s">
        <v>53</v>
      </c>
      <c r="N1958" t="s">
        <v>3200</v>
      </c>
      <c r="P1958" t="s">
        <v>55</v>
      </c>
      <c r="R1958" t="s">
        <v>56</v>
      </c>
      <c r="T1958" t="s">
        <v>3198</v>
      </c>
      <c r="U1958" t="s">
        <v>58</v>
      </c>
      <c r="V1958">
        <v>1</v>
      </c>
      <c r="W1958">
        <v>1</v>
      </c>
      <c r="X1958">
        <v>1</v>
      </c>
      <c r="Y1958">
        <v>0</v>
      </c>
      <c r="Z1958">
        <v>1</v>
      </c>
      <c r="AA1958">
        <v>0</v>
      </c>
      <c r="AB1958">
        <v>186.39</v>
      </c>
      <c r="AC1958">
        <v>164</v>
      </c>
      <c r="AD1958">
        <v>0</v>
      </c>
      <c r="AE1958">
        <v>22.39</v>
      </c>
      <c r="AF1958">
        <v>0</v>
      </c>
      <c r="AG1958">
        <v>0</v>
      </c>
      <c r="AH1958">
        <v>0</v>
      </c>
      <c r="AI1958">
        <v>33.549999999999997</v>
      </c>
      <c r="AJ1958">
        <v>186.39</v>
      </c>
      <c r="AK1958">
        <v>0</v>
      </c>
      <c r="AL1958" t="s">
        <v>53</v>
      </c>
      <c r="AM1958" t="s">
        <v>53</v>
      </c>
      <c r="AN1958" t="s">
        <v>316</v>
      </c>
      <c r="AO1958" t="s">
        <v>53</v>
      </c>
      <c r="AP1958" t="s">
        <v>53</v>
      </c>
    </row>
    <row r="1959" spans="2:42" x14ac:dyDescent="0.2">
      <c r="B1959" t="s">
        <v>44</v>
      </c>
      <c r="C1959" t="str">
        <f>HYPERLINK("https://us2.cloudbeds.com/connect/8493803454333002#/reservations/579307942089?display=DJXYQEST&amp;reservation_id=579307942089", "DJXYQEST")</f>
        <v>DJXYQEST</v>
      </c>
      <c r="D1959" t="s">
        <v>45</v>
      </c>
      <c r="E1959" t="s">
        <v>110</v>
      </c>
      <c r="F1959" t="s">
        <v>47</v>
      </c>
      <c r="G1959" t="s">
        <v>48</v>
      </c>
      <c r="H1959" t="s">
        <v>71</v>
      </c>
      <c r="I1959" t="s">
        <v>72</v>
      </c>
      <c r="J1959" t="s">
        <v>2315</v>
      </c>
      <c r="K1959" t="s">
        <v>3196</v>
      </c>
      <c r="L1959" t="s">
        <v>53</v>
      </c>
      <c r="N1959" t="s">
        <v>3201</v>
      </c>
      <c r="P1959" t="s">
        <v>58</v>
      </c>
      <c r="R1959" t="s">
        <v>56</v>
      </c>
      <c r="T1959" t="s">
        <v>3198</v>
      </c>
      <c r="U1959" t="s">
        <v>58</v>
      </c>
      <c r="V1959">
        <v>1</v>
      </c>
      <c r="W1959">
        <v>1</v>
      </c>
      <c r="X1959">
        <v>1</v>
      </c>
      <c r="Y1959">
        <v>0</v>
      </c>
      <c r="Z1959">
        <v>1</v>
      </c>
      <c r="AA1959">
        <v>0</v>
      </c>
      <c r="AB1959">
        <v>161.38999999999999</v>
      </c>
      <c r="AC1959">
        <v>142</v>
      </c>
      <c r="AD1959">
        <v>0</v>
      </c>
      <c r="AE1959">
        <v>19.39</v>
      </c>
      <c r="AF1959">
        <v>0</v>
      </c>
      <c r="AG1959">
        <v>0</v>
      </c>
      <c r="AH1959">
        <v>0</v>
      </c>
      <c r="AI1959">
        <v>0</v>
      </c>
      <c r="AJ1959">
        <v>161.38999999999999</v>
      </c>
      <c r="AK1959">
        <v>0</v>
      </c>
      <c r="AL1959" t="s">
        <v>53</v>
      </c>
      <c r="AM1959" t="s">
        <v>53</v>
      </c>
      <c r="AN1959" t="s">
        <v>3202</v>
      </c>
      <c r="AO1959" t="s">
        <v>53</v>
      </c>
      <c r="AP1959" t="s">
        <v>53</v>
      </c>
    </row>
    <row r="1960" spans="2:42" x14ac:dyDescent="0.2">
      <c r="B1960" t="s">
        <v>44</v>
      </c>
      <c r="C1960" t="str">
        <f>HYPERLINK("https://us2.cloudbeds.com/connect/8493803454333002#/reservations/598556725494?display=E1FGT7CN&amp;reservation_id=598556725494", "E1FGT7CN")</f>
        <v>E1FGT7CN</v>
      </c>
      <c r="D1960" t="s">
        <v>45</v>
      </c>
      <c r="E1960" t="s">
        <v>105</v>
      </c>
      <c r="F1960" t="s">
        <v>47</v>
      </c>
      <c r="G1960" t="s">
        <v>48</v>
      </c>
      <c r="H1960" t="s">
        <v>49</v>
      </c>
      <c r="I1960" t="s">
        <v>79</v>
      </c>
      <c r="J1960" t="s">
        <v>478</v>
      </c>
      <c r="K1960" t="s">
        <v>236</v>
      </c>
      <c r="L1960" t="s">
        <v>53</v>
      </c>
      <c r="N1960" t="s">
        <v>3203</v>
      </c>
      <c r="P1960" t="s">
        <v>55</v>
      </c>
      <c r="R1960" t="s">
        <v>56</v>
      </c>
      <c r="T1960" t="s">
        <v>3198</v>
      </c>
      <c r="U1960" t="s">
        <v>58</v>
      </c>
      <c r="V1960">
        <v>1</v>
      </c>
      <c r="W1960">
        <v>1</v>
      </c>
      <c r="X1960">
        <v>1</v>
      </c>
      <c r="Y1960">
        <v>0</v>
      </c>
      <c r="Z1960">
        <v>1</v>
      </c>
      <c r="AA1960">
        <v>0</v>
      </c>
      <c r="AB1960">
        <v>146.27000000000001</v>
      </c>
      <c r="AC1960">
        <v>128.69999999999999</v>
      </c>
      <c r="AD1960">
        <v>0</v>
      </c>
      <c r="AE1960">
        <v>17.559999999999999</v>
      </c>
      <c r="AF1960">
        <v>0</v>
      </c>
      <c r="AG1960">
        <v>0</v>
      </c>
      <c r="AH1960">
        <v>0</v>
      </c>
      <c r="AI1960">
        <v>0</v>
      </c>
      <c r="AJ1960">
        <v>146.26</v>
      </c>
      <c r="AK1960">
        <v>-0.01</v>
      </c>
      <c r="AL1960" t="s">
        <v>53</v>
      </c>
      <c r="AM1960" t="s">
        <v>53</v>
      </c>
      <c r="AN1960" t="s">
        <v>142</v>
      </c>
      <c r="AO1960" t="s">
        <v>53</v>
      </c>
      <c r="AP1960" t="s">
        <v>53</v>
      </c>
    </row>
    <row r="1961" spans="2:42" x14ac:dyDescent="0.2">
      <c r="B1961" t="s">
        <v>44</v>
      </c>
      <c r="C1961" t="str">
        <f>HYPERLINK("https://us2.cloudbeds.com/connect/8493803454333002#/reservations/579277623468?display=DJHT7Q2Q&amp;reservation_id=579277623468", "DJHT7Q2Q")</f>
        <v>DJHT7Q2Q</v>
      </c>
      <c r="D1961" t="s">
        <v>45</v>
      </c>
      <c r="E1961" t="s">
        <v>113</v>
      </c>
      <c r="F1961" t="s">
        <v>61</v>
      </c>
      <c r="G1961" t="s">
        <v>48</v>
      </c>
      <c r="H1961" t="s">
        <v>49</v>
      </c>
      <c r="I1961" t="s">
        <v>50</v>
      </c>
      <c r="J1961" t="s">
        <v>1140</v>
      </c>
      <c r="K1961" t="s">
        <v>2039</v>
      </c>
      <c r="L1961" t="s">
        <v>53</v>
      </c>
      <c r="N1961" t="s">
        <v>3204</v>
      </c>
      <c r="P1961" t="s">
        <v>55</v>
      </c>
      <c r="R1961" t="s">
        <v>56</v>
      </c>
      <c r="T1961" t="s">
        <v>3198</v>
      </c>
      <c r="U1961" t="s">
        <v>58</v>
      </c>
      <c r="V1961">
        <v>1</v>
      </c>
      <c r="W1961">
        <v>1</v>
      </c>
      <c r="X1961">
        <v>1</v>
      </c>
      <c r="Y1961">
        <v>0</v>
      </c>
      <c r="Z1961">
        <v>1</v>
      </c>
      <c r="AA1961">
        <v>0</v>
      </c>
      <c r="AB1961">
        <v>156.49</v>
      </c>
      <c r="AC1961">
        <v>137.69999999999999</v>
      </c>
      <c r="AD1961">
        <v>0</v>
      </c>
      <c r="AE1961">
        <v>18.79</v>
      </c>
      <c r="AF1961">
        <v>0</v>
      </c>
      <c r="AG1961">
        <v>0</v>
      </c>
      <c r="AH1961">
        <v>0</v>
      </c>
      <c r="AI1961">
        <v>28.17</v>
      </c>
      <c r="AJ1961">
        <v>156.49</v>
      </c>
      <c r="AK1961">
        <v>0</v>
      </c>
      <c r="AL1961" t="s">
        <v>53</v>
      </c>
      <c r="AM1961" t="s">
        <v>53</v>
      </c>
      <c r="AN1961" t="s">
        <v>349</v>
      </c>
      <c r="AO1961" t="s">
        <v>53</v>
      </c>
      <c r="AP1961" t="s">
        <v>53</v>
      </c>
    </row>
    <row r="1962" spans="2:42" x14ac:dyDescent="0.2">
      <c r="B1962" t="s">
        <v>44</v>
      </c>
      <c r="C1962" t="str">
        <f>HYPERLINK("https://us2.cloudbeds.com/connect/8493803454333002#/reservations/579272761553?display=DJHP4GH0&amp;reservation_id=579272761553", "DJHP4GH0")</f>
        <v>DJHP4GH0</v>
      </c>
      <c r="D1962" t="s">
        <v>45</v>
      </c>
      <c r="E1962" t="s">
        <v>165</v>
      </c>
      <c r="F1962" t="s">
        <v>61</v>
      </c>
      <c r="G1962" t="s">
        <v>48</v>
      </c>
      <c r="H1962" t="s">
        <v>49</v>
      </c>
      <c r="I1962" t="s">
        <v>50</v>
      </c>
      <c r="J1962" t="s">
        <v>3031</v>
      </c>
      <c r="K1962" t="s">
        <v>1296</v>
      </c>
      <c r="L1962" t="s">
        <v>53</v>
      </c>
      <c r="N1962" t="s">
        <v>3205</v>
      </c>
      <c r="P1962" t="s">
        <v>55</v>
      </c>
      <c r="R1962" t="s">
        <v>56</v>
      </c>
      <c r="T1962" t="s">
        <v>3198</v>
      </c>
      <c r="U1962" t="s">
        <v>58</v>
      </c>
      <c r="V1962">
        <v>2</v>
      </c>
      <c r="W1962">
        <v>1</v>
      </c>
      <c r="X1962">
        <v>1</v>
      </c>
      <c r="Y1962">
        <v>0</v>
      </c>
      <c r="Z1962">
        <v>1</v>
      </c>
      <c r="AA1962">
        <v>0</v>
      </c>
      <c r="AB1962">
        <v>320.14</v>
      </c>
      <c r="AC1962">
        <v>281.7</v>
      </c>
      <c r="AD1962">
        <v>0</v>
      </c>
      <c r="AE1962">
        <v>38.44</v>
      </c>
      <c r="AF1962">
        <v>0</v>
      </c>
      <c r="AG1962">
        <v>0</v>
      </c>
      <c r="AH1962">
        <v>0</v>
      </c>
      <c r="AI1962">
        <v>57.63</v>
      </c>
      <c r="AJ1962">
        <v>320.14</v>
      </c>
      <c r="AK1962">
        <v>0</v>
      </c>
      <c r="AL1962" t="s">
        <v>53</v>
      </c>
      <c r="AM1962" t="s">
        <v>53</v>
      </c>
      <c r="AN1962" t="s">
        <v>91</v>
      </c>
      <c r="AO1962" t="s">
        <v>53</v>
      </c>
      <c r="AP1962" t="s">
        <v>53</v>
      </c>
    </row>
    <row r="1963" spans="2:42" x14ac:dyDescent="0.2">
      <c r="B1963" t="s">
        <v>44</v>
      </c>
      <c r="C1963" t="str">
        <f>HYPERLINK("https://us2.cloudbeds.com/connect/8493803454333002#/reservations/598190870743?display=E165CPK3&amp;reservation_id=598190870743", "E165CPK3")</f>
        <v>E165CPK3</v>
      </c>
      <c r="D1963" t="s">
        <v>45</v>
      </c>
      <c r="E1963" t="s">
        <v>265</v>
      </c>
      <c r="F1963" t="s">
        <v>61</v>
      </c>
      <c r="G1963" t="s">
        <v>48</v>
      </c>
      <c r="H1963" t="s">
        <v>71</v>
      </c>
      <c r="I1963" t="s">
        <v>72</v>
      </c>
      <c r="J1963" t="s">
        <v>181</v>
      </c>
      <c r="K1963" t="s">
        <v>122</v>
      </c>
      <c r="L1963" t="s">
        <v>53</v>
      </c>
      <c r="N1963" t="s">
        <v>3206</v>
      </c>
      <c r="P1963" t="s">
        <v>55</v>
      </c>
      <c r="R1963" t="s">
        <v>56</v>
      </c>
      <c r="T1963" t="s">
        <v>3198</v>
      </c>
      <c r="U1963" t="s">
        <v>58</v>
      </c>
      <c r="V1963">
        <v>1</v>
      </c>
      <c r="W1963">
        <v>1</v>
      </c>
      <c r="X1963">
        <v>1</v>
      </c>
      <c r="Y1963">
        <v>0</v>
      </c>
      <c r="Z1963">
        <v>1</v>
      </c>
      <c r="AA1963">
        <v>0</v>
      </c>
      <c r="AB1963">
        <v>187.52</v>
      </c>
      <c r="AC1963">
        <v>165</v>
      </c>
      <c r="AD1963">
        <v>0</v>
      </c>
      <c r="AE1963">
        <v>22.53</v>
      </c>
      <c r="AF1963">
        <v>0</v>
      </c>
      <c r="AG1963">
        <v>0</v>
      </c>
      <c r="AH1963">
        <v>0</v>
      </c>
      <c r="AI1963">
        <v>0</v>
      </c>
      <c r="AJ1963">
        <v>187.53</v>
      </c>
      <c r="AK1963">
        <v>0.01</v>
      </c>
      <c r="AL1963" t="s">
        <v>53</v>
      </c>
      <c r="AM1963" t="s">
        <v>53</v>
      </c>
      <c r="AN1963" t="s">
        <v>3207</v>
      </c>
      <c r="AO1963" t="s">
        <v>53</v>
      </c>
      <c r="AP1963" t="s">
        <v>53</v>
      </c>
    </row>
    <row r="1964" spans="2:42" x14ac:dyDescent="0.2">
      <c r="B1964" t="s">
        <v>44</v>
      </c>
      <c r="C1964" t="str">
        <f>HYPERLINK("https://us2.cloudbeds.com/connect/8493803454333002#/reservations/598574903481?display=E1FW71ZQ&amp;reservation_id=598574903481", "E1FW71ZQ")</f>
        <v>E1FW71ZQ</v>
      </c>
      <c r="D1964" t="s">
        <v>45</v>
      </c>
      <c r="E1964" t="s">
        <v>373</v>
      </c>
      <c r="F1964" t="s">
        <v>47</v>
      </c>
      <c r="G1964" t="s">
        <v>48</v>
      </c>
      <c r="H1964" t="s">
        <v>49</v>
      </c>
      <c r="I1964" t="s">
        <v>79</v>
      </c>
      <c r="J1964" t="s">
        <v>478</v>
      </c>
      <c r="K1964" t="s">
        <v>236</v>
      </c>
      <c r="L1964" t="s">
        <v>53</v>
      </c>
      <c r="N1964" t="s">
        <v>3208</v>
      </c>
      <c r="P1964" t="s">
        <v>55</v>
      </c>
      <c r="R1964" t="s">
        <v>56</v>
      </c>
      <c r="T1964" t="s">
        <v>3198</v>
      </c>
      <c r="U1964" t="s">
        <v>58</v>
      </c>
      <c r="V1964">
        <v>1</v>
      </c>
      <c r="W1964">
        <v>1</v>
      </c>
      <c r="X1964">
        <v>1</v>
      </c>
      <c r="Y1964">
        <v>0</v>
      </c>
      <c r="Z1964">
        <v>1</v>
      </c>
      <c r="AA1964">
        <v>0</v>
      </c>
      <c r="AB1964">
        <v>156.5</v>
      </c>
      <c r="AC1964">
        <v>137.69999999999999</v>
      </c>
      <c r="AD1964">
        <v>0</v>
      </c>
      <c r="AE1964">
        <v>18.79</v>
      </c>
      <c r="AF1964">
        <v>0</v>
      </c>
      <c r="AG1964">
        <v>0</v>
      </c>
      <c r="AH1964">
        <v>0</v>
      </c>
      <c r="AI1964">
        <v>0</v>
      </c>
      <c r="AJ1964">
        <v>156.49</v>
      </c>
      <c r="AK1964">
        <v>-0.01</v>
      </c>
      <c r="AL1964" t="s">
        <v>53</v>
      </c>
      <c r="AM1964" t="s">
        <v>53</v>
      </c>
      <c r="AN1964" t="s">
        <v>3209</v>
      </c>
      <c r="AO1964" t="s">
        <v>53</v>
      </c>
      <c r="AP1964" t="s">
        <v>53</v>
      </c>
    </row>
    <row r="1965" spans="2:42" x14ac:dyDescent="0.2">
      <c r="B1965" t="s">
        <v>44</v>
      </c>
      <c r="C1965" t="str">
        <f>HYPERLINK("https://us2.cloudbeds.com/connect/8493803454333002#/reservations/598548197548?display=E1F9MUD3&amp;reservation_id=598548197548", "E1F9MUD3")</f>
        <v>E1F9MUD3</v>
      </c>
      <c r="D1965" t="s">
        <v>45</v>
      </c>
      <c r="E1965" t="s">
        <v>78</v>
      </c>
      <c r="F1965" t="s">
        <v>61</v>
      </c>
      <c r="G1965" t="s">
        <v>48</v>
      </c>
      <c r="H1965" t="s">
        <v>49</v>
      </c>
      <c r="I1965" t="s">
        <v>79</v>
      </c>
      <c r="J1965" t="s">
        <v>181</v>
      </c>
      <c r="K1965" t="s">
        <v>122</v>
      </c>
      <c r="L1965" t="s">
        <v>53</v>
      </c>
      <c r="N1965" t="s">
        <v>3210</v>
      </c>
      <c r="P1965" t="s">
        <v>55</v>
      </c>
      <c r="R1965" t="s">
        <v>56</v>
      </c>
      <c r="T1965" t="s">
        <v>3198</v>
      </c>
      <c r="U1965" t="s">
        <v>58</v>
      </c>
      <c r="V1965">
        <v>1</v>
      </c>
      <c r="W1965">
        <v>1</v>
      </c>
      <c r="X1965">
        <v>1</v>
      </c>
      <c r="Y1965">
        <v>0</v>
      </c>
      <c r="Z1965">
        <v>1</v>
      </c>
      <c r="AA1965">
        <v>0</v>
      </c>
      <c r="AB1965">
        <v>173.88</v>
      </c>
      <c r="AC1965">
        <v>153</v>
      </c>
      <c r="AD1965">
        <v>0</v>
      </c>
      <c r="AE1965">
        <v>20.89</v>
      </c>
      <c r="AF1965">
        <v>0</v>
      </c>
      <c r="AG1965">
        <v>0</v>
      </c>
      <c r="AH1965">
        <v>0</v>
      </c>
      <c r="AI1965">
        <v>0</v>
      </c>
      <c r="AJ1965">
        <v>173.89</v>
      </c>
      <c r="AK1965">
        <v>0.01</v>
      </c>
      <c r="AL1965" t="s">
        <v>53</v>
      </c>
      <c r="AM1965" t="s">
        <v>53</v>
      </c>
      <c r="AN1965" t="s">
        <v>280</v>
      </c>
      <c r="AO1965" t="s">
        <v>53</v>
      </c>
      <c r="AP1965" t="s">
        <v>53</v>
      </c>
    </row>
    <row r="1966" spans="2:42" x14ac:dyDescent="0.2">
      <c r="B1966" t="s">
        <v>44</v>
      </c>
      <c r="C1966" t="str">
        <f>HYPERLINK("https://us2.cloudbeds.com/connect/8493803454333002#/reservations/598397665489?display=E1BEP4PX&amp;reservation_id=598397665489", "E1BEP4PX")</f>
        <v>E1BEP4PX</v>
      </c>
      <c r="D1966" t="s">
        <v>45</v>
      </c>
      <c r="E1966" t="s">
        <v>381</v>
      </c>
      <c r="F1966" t="s">
        <v>47</v>
      </c>
      <c r="G1966" t="s">
        <v>48</v>
      </c>
      <c r="H1966" t="s">
        <v>49</v>
      </c>
      <c r="I1966" t="s">
        <v>62</v>
      </c>
      <c r="J1966" t="s">
        <v>356</v>
      </c>
      <c r="K1966" t="s">
        <v>478</v>
      </c>
      <c r="L1966" t="s">
        <v>53</v>
      </c>
      <c r="N1966" t="s">
        <v>3211</v>
      </c>
      <c r="P1966" t="s">
        <v>55</v>
      </c>
      <c r="R1966" t="s">
        <v>1445</v>
      </c>
      <c r="T1966" t="s">
        <v>3198</v>
      </c>
      <c r="U1966" t="s">
        <v>58</v>
      </c>
      <c r="V1966">
        <v>1</v>
      </c>
      <c r="W1966">
        <v>1</v>
      </c>
      <c r="X1966">
        <v>1</v>
      </c>
      <c r="Y1966">
        <v>0</v>
      </c>
      <c r="Z1966">
        <v>1</v>
      </c>
      <c r="AA1966">
        <v>0</v>
      </c>
      <c r="AB1966">
        <v>162.52000000000001</v>
      </c>
      <c r="AC1966">
        <v>143</v>
      </c>
      <c r="AD1966">
        <v>0</v>
      </c>
      <c r="AE1966">
        <v>19.53</v>
      </c>
      <c r="AF1966">
        <v>0</v>
      </c>
      <c r="AG1966">
        <v>0</v>
      </c>
      <c r="AH1966">
        <v>0</v>
      </c>
      <c r="AI1966">
        <v>24.38</v>
      </c>
      <c r="AJ1966">
        <v>162.53</v>
      </c>
      <c r="AK1966">
        <v>0.01</v>
      </c>
      <c r="AL1966" t="s">
        <v>53</v>
      </c>
      <c r="AM1966" t="s">
        <v>53</v>
      </c>
      <c r="AN1966" t="s">
        <v>146</v>
      </c>
      <c r="AO1966" t="s">
        <v>53</v>
      </c>
      <c r="AP1966" t="s">
        <v>53</v>
      </c>
    </row>
    <row r="1967" spans="2:42" x14ac:dyDescent="0.2">
      <c r="B1967" t="s">
        <v>44</v>
      </c>
      <c r="C1967" t="str">
        <f>HYPERLINK("https://us2.cloudbeds.com/connect/8493803454333002#/reservations/598457458843?display=E1CW5WEC&amp;reservation_id=598457458843", "E1CW5WEC")</f>
        <v>E1CW5WEC</v>
      </c>
      <c r="D1967" t="s">
        <v>45</v>
      </c>
      <c r="E1967" t="s">
        <v>98</v>
      </c>
      <c r="F1967" t="s">
        <v>86</v>
      </c>
      <c r="G1967" t="s">
        <v>48</v>
      </c>
      <c r="H1967" t="s">
        <v>71</v>
      </c>
      <c r="I1967" t="s">
        <v>72</v>
      </c>
      <c r="J1967" t="s">
        <v>237</v>
      </c>
      <c r="K1967" t="s">
        <v>1480</v>
      </c>
      <c r="L1967" t="s">
        <v>53</v>
      </c>
      <c r="N1967" t="s">
        <v>3212</v>
      </c>
      <c r="P1967" t="s">
        <v>55</v>
      </c>
      <c r="R1967" t="s">
        <v>56</v>
      </c>
      <c r="T1967" t="s">
        <v>3198</v>
      </c>
      <c r="U1967" t="s">
        <v>58</v>
      </c>
      <c r="V1967">
        <v>2</v>
      </c>
      <c r="W1967">
        <v>1</v>
      </c>
      <c r="X1967">
        <v>1</v>
      </c>
      <c r="Y1967">
        <v>0</v>
      </c>
      <c r="Z1967">
        <v>1</v>
      </c>
      <c r="AA1967">
        <v>0</v>
      </c>
      <c r="AB1967">
        <v>369.36</v>
      </c>
      <c r="AC1967">
        <v>325</v>
      </c>
      <c r="AD1967">
        <v>0</v>
      </c>
      <c r="AE1967">
        <v>44.36</v>
      </c>
      <c r="AF1967">
        <v>0</v>
      </c>
      <c r="AG1967">
        <v>0</v>
      </c>
      <c r="AH1967">
        <v>0</v>
      </c>
      <c r="AI1967">
        <v>0</v>
      </c>
      <c r="AJ1967">
        <v>369.36</v>
      </c>
      <c r="AK1967">
        <v>0</v>
      </c>
      <c r="AL1967" t="s">
        <v>53</v>
      </c>
      <c r="AM1967" t="s">
        <v>53</v>
      </c>
      <c r="AN1967" t="s">
        <v>3213</v>
      </c>
      <c r="AO1967" t="s">
        <v>53</v>
      </c>
      <c r="AP1967" t="s">
        <v>53</v>
      </c>
    </row>
    <row r="1968" spans="2:42" x14ac:dyDescent="0.2">
      <c r="B1968" t="s">
        <v>44</v>
      </c>
      <c r="C1968" t="str">
        <f>HYPERLINK("https://us2.cloudbeds.com/connect/8493803454333002#/reservations/598580912342?display=E1G498HG&amp;reservation_id=598580912342", "E1G498HG")</f>
        <v>E1G498HG</v>
      </c>
      <c r="D1968" t="s">
        <v>45</v>
      </c>
      <c r="E1968" t="s">
        <v>165</v>
      </c>
      <c r="F1968" t="s">
        <v>61</v>
      </c>
      <c r="G1968" t="s">
        <v>48</v>
      </c>
      <c r="H1968" t="s">
        <v>49</v>
      </c>
      <c r="I1968" t="s">
        <v>79</v>
      </c>
      <c r="J1968" t="s">
        <v>236</v>
      </c>
      <c r="K1968" t="s">
        <v>237</v>
      </c>
      <c r="L1968" t="s">
        <v>53</v>
      </c>
      <c r="N1968" t="s">
        <v>3214</v>
      </c>
      <c r="P1968" t="s">
        <v>55</v>
      </c>
      <c r="R1968" t="s">
        <v>56</v>
      </c>
      <c r="T1968" t="s">
        <v>3198</v>
      </c>
      <c r="U1968" t="s">
        <v>58</v>
      </c>
      <c r="V1968">
        <v>1</v>
      </c>
      <c r="W1968">
        <v>1</v>
      </c>
      <c r="X1968">
        <v>1</v>
      </c>
      <c r="Y1968">
        <v>0</v>
      </c>
      <c r="Z1968">
        <v>1</v>
      </c>
      <c r="AA1968">
        <v>0</v>
      </c>
      <c r="AB1968">
        <v>162.63</v>
      </c>
      <c r="AC1968">
        <v>143.1</v>
      </c>
      <c r="AD1968">
        <v>0</v>
      </c>
      <c r="AE1968">
        <v>19.53</v>
      </c>
      <c r="AF1968">
        <v>0</v>
      </c>
      <c r="AG1968">
        <v>0</v>
      </c>
      <c r="AH1968">
        <v>0</v>
      </c>
      <c r="AI1968">
        <v>0</v>
      </c>
      <c r="AJ1968">
        <v>162.63</v>
      </c>
      <c r="AK1968">
        <v>0</v>
      </c>
      <c r="AL1968" t="s">
        <v>53</v>
      </c>
      <c r="AM1968" t="s">
        <v>53</v>
      </c>
      <c r="AN1968" t="s">
        <v>413</v>
      </c>
      <c r="AO1968" t="s">
        <v>53</v>
      </c>
      <c r="AP1968" t="s">
        <v>53</v>
      </c>
    </row>
    <row r="1969" spans="2:42" x14ac:dyDescent="0.2">
      <c r="B1969" t="s">
        <v>44</v>
      </c>
      <c r="C1969" t="str">
        <f>HYPERLINK("https://us2.cloudbeds.com/connect/8493803454333002#/reservations/579231559854?display=DJGND02M&amp;reservation_id=579231559854", "DJGND02M")</f>
        <v>DJGND02M</v>
      </c>
      <c r="D1969" t="s">
        <v>45</v>
      </c>
      <c r="E1969" t="s">
        <v>69</v>
      </c>
      <c r="F1969" t="s">
        <v>70</v>
      </c>
      <c r="G1969" t="s">
        <v>48</v>
      </c>
      <c r="H1969" t="s">
        <v>71</v>
      </c>
      <c r="I1969" t="s">
        <v>72</v>
      </c>
      <c r="J1969" t="s">
        <v>1367</v>
      </c>
      <c r="K1969" t="s">
        <v>1985</v>
      </c>
      <c r="L1969" t="s">
        <v>53</v>
      </c>
      <c r="N1969" t="s">
        <v>3215</v>
      </c>
      <c r="P1969" t="s">
        <v>55</v>
      </c>
      <c r="R1969" t="s">
        <v>56</v>
      </c>
      <c r="T1969" t="s">
        <v>3198</v>
      </c>
      <c r="U1969" t="s">
        <v>58</v>
      </c>
      <c r="V1969">
        <v>1</v>
      </c>
      <c r="W1969">
        <v>1</v>
      </c>
      <c r="X1969">
        <v>1</v>
      </c>
      <c r="Y1969">
        <v>0</v>
      </c>
      <c r="Z1969">
        <v>1</v>
      </c>
      <c r="AA1969">
        <v>0</v>
      </c>
      <c r="AB1969">
        <v>146.61000000000001</v>
      </c>
      <c r="AC1969">
        <v>129</v>
      </c>
      <c r="AD1969">
        <v>0</v>
      </c>
      <c r="AE1969">
        <v>17.61</v>
      </c>
      <c r="AF1969">
        <v>0</v>
      </c>
      <c r="AG1969">
        <v>0</v>
      </c>
      <c r="AH1969">
        <v>0</v>
      </c>
      <c r="AI1969">
        <v>0</v>
      </c>
      <c r="AJ1969">
        <v>146.61000000000001</v>
      </c>
      <c r="AK1969">
        <v>0</v>
      </c>
      <c r="AL1969" t="s">
        <v>53</v>
      </c>
      <c r="AM1969" t="s">
        <v>53</v>
      </c>
      <c r="AN1969" t="s">
        <v>378</v>
      </c>
      <c r="AO1969" t="s">
        <v>53</v>
      </c>
      <c r="AP1969" t="s">
        <v>53</v>
      </c>
    </row>
    <row r="1970" spans="2:42" x14ac:dyDescent="0.2">
      <c r="B1970" t="s">
        <v>44</v>
      </c>
      <c r="C1970" t="str">
        <f>HYPERLINK("https://us2.cloudbeds.com/connect/8493803454333002#/reservations/598524158119?display=E1EMDWKX&amp;reservation_id=598524158119", "E1EMDWKX")</f>
        <v>E1EMDWKX</v>
      </c>
      <c r="D1970" t="s">
        <v>45</v>
      </c>
      <c r="E1970" t="s">
        <v>46</v>
      </c>
      <c r="F1970" t="s">
        <v>47</v>
      </c>
      <c r="G1970" t="s">
        <v>48</v>
      </c>
      <c r="H1970" t="s">
        <v>49</v>
      </c>
      <c r="I1970" t="s">
        <v>50</v>
      </c>
      <c r="J1970" t="s">
        <v>1473</v>
      </c>
      <c r="K1970" t="s">
        <v>1750</v>
      </c>
      <c r="L1970" t="s">
        <v>53</v>
      </c>
      <c r="N1970" t="s">
        <v>3216</v>
      </c>
      <c r="P1970" t="s">
        <v>55</v>
      </c>
      <c r="R1970" t="s">
        <v>56</v>
      </c>
      <c r="T1970" t="s">
        <v>3198</v>
      </c>
      <c r="U1970" t="s">
        <v>58</v>
      </c>
      <c r="V1970">
        <v>1</v>
      </c>
      <c r="W1970">
        <v>1</v>
      </c>
      <c r="X1970">
        <v>1</v>
      </c>
      <c r="Y1970">
        <v>0</v>
      </c>
      <c r="Z1970">
        <v>1</v>
      </c>
      <c r="AA1970">
        <v>0</v>
      </c>
      <c r="AB1970">
        <v>155.97999999999999</v>
      </c>
      <c r="AC1970">
        <v>137.25</v>
      </c>
      <c r="AD1970">
        <v>0</v>
      </c>
      <c r="AE1970">
        <v>18.739999999999998</v>
      </c>
      <c r="AF1970">
        <v>0</v>
      </c>
      <c r="AG1970">
        <v>0</v>
      </c>
      <c r="AH1970">
        <v>0</v>
      </c>
      <c r="AI1970">
        <v>28.08</v>
      </c>
      <c r="AJ1970">
        <v>155.99</v>
      </c>
      <c r="AK1970">
        <v>0.01</v>
      </c>
      <c r="AL1970" t="s">
        <v>53</v>
      </c>
      <c r="AM1970" t="s">
        <v>53</v>
      </c>
      <c r="AN1970" t="s">
        <v>132</v>
      </c>
      <c r="AO1970" t="s">
        <v>53</v>
      </c>
      <c r="AP1970" t="s">
        <v>53</v>
      </c>
    </row>
    <row r="1971" spans="2:42" x14ac:dyDescent="0.2">
      <c r="B1971" t="s">
        <v>44</v>
      </c>
      <c r="C1971" t="str">
        <f>HYPERLINK("https://us2.cloudbeds.com/connect/8493803454333002#/reservations/579207917700?display=DJG3F43P&amp;reservation_id=579207917700", "DJG3F43P")</f>
        <v>DJG3F43P</v>
      </c>
      <c r="D1971" t="s">
        <v>45</v>
      </c>
      <c r="E1971" t="s">
        <v>381</v>
      </c>
      <c r="F1971" t="s">
        <v>47</v>
      </c>
      <c r="G1971" t="s">
        <v>48</v>
      </c>
      <c r="H1971" t="s">
        <v>71</v>
      </c>
      <c r="I1971" t="s">
        <v>72</v>
      </c>
      <c r="J1971" t="s">
        <v>2639</v>
      </c>
      <c r="K1971" t="s">
        <v>1295</v>
      </c>
      <c r="L1971" t="s">
        <v>53</v>
      </c>
      <c r="N1971" t="s">
        <v>3217</v>
      </c>
      <c r="P1971" t="s">
        <v>55</v>
      </c>
      <c r="R1971" t="s">
        <v>56</v>
      </c>
      <c r="T1971" t="s">
        <v>3218</v>
      </c>
      <c r="U1971" t="s">
        <v>58</v>
      </c>
      <c r="V1971">
        <v>1</v>
      </c>
      <c r="W1971">
        <v>1</v>
      </c>
      <c r="X1971">
        <v>1</v>
      </c>
      <c r="Y1971">
        <v>0</v>
      </c>
      <c r="Z1971">
        <v>1</v>
      </c>
      <c r="AA1971">
        <v>0</v>
      </c>
      <c r="AB1971">
        <v>159.11000000000001</v>
      </c>
      <c r="AC1971">
        <v>140</v>
      </c>
      <c r="AD1971">
        <v>0</v>
      </c>
      <c r="AE1971">
        <v>19.11</v>
      </c>
      <c r="AF1971">
        <v>0</v>
      </c>
      <c r="AG1971">
        <v>0</v>
      </c>
      <c r="AH1971">
        <v>0</v>
      </c>
      <c r="AI1971">
        <v>0</v>
      </c>
      <c r="AJ1971">
        <v>159.11000000000001</v>
      </c>
      <c r="AK1971">
        <v>0</v>
      </c>
      <c r="AL1971" t="s">
        <v>53</v>
      </c>
      <c r="AM1971" t="s">
        <v>53</v>
      </c>
      <c r="AN1971" t="s">
        <v>378</v>
      </c>
      <c r="AO1971" t="s">
        <v>53</v>
      </c>
      <c r="AP1971" t="s">
        <v>53</v>
      </c>
    </row>
    <row r="1972" spans="2:42" x14ac:dyDescent="0.2">
      <c r="B1972" t="s">
        <v>44</v>
      </c>
      <c r="C1972" t="str">
        <f>HYPERLINK("https://us2.cloudbeds.com/connect/8493803454333002#/reservations/579195580635?display=DJFQ1RAB&amp;reservation_id=579195580635", "DJFQ1RAB")</f>
        <v>DJFQ1RAB</v>
      </c>
      <c r="D1972" t="s">
        <v>45</v>
      </c>
      <c r="E1972" t="s">
        <v>179</v>
      </c>
      <c r="F1972" t="s">
        <v>47</v>
      </c>
      <c r="G1972" t="s">
        <v>48</v>
      </c>
      <c r="H1972" t="s">
        <v>49</v>
      </c>
      <c r="I1972" t="s">
        <v>79</v>
      </c>
      <c r="J1972" t="s">
        <v>1140</v>
      </c>
      <c r="K1972" t="s">
        <v>2039</v>
      </c>
      <c r="L1972" t="s">
        <v>53</v>
      </c>
      <c r="N1972" t="s">
        <v>3219</v>
      </c>
      <c r="P1972" t="s">
        <v>55</v>
      </c>
      <c r="R1972" t="s">
        <v>56</v>
      </c>
      <c r="T1972" t="s">
        <v>3218</v>
      </c>
      <c r="U1972" t="s">
        <v>58</v>
      </c>
      <c r="V1972">
        <v>1</v>
      </c>
      <c r="W1972">
        <v>1</v>
      </c>
      <c r="X1972">
        <v>1</v>
      </c>
      <c r="Y1972">
        <v>0</v>
      </c>
      <c r="Z1972">
        <v>1</v>
      </c>
      <c r="AA1972">
        <v>0</v>
      </c>
      <c r="AB1972">
        <v>148.31</v>
      </c>
      <c r="AC1972">
        <v>130.5</v>
      </c>
      <c r="AD1972">
        <v>0</v>
      </c>
      <c r="AE1972">
        <v>17.809999999999999</v>
      </c>
      <c r="AF1972">
        <v>0</v>
      </c>
      <c r="AG1972">
        <v>0</v>
      </c>
      <c r="AH1972">
        <v>0</v>
      </c>
      <c r="AI1972">
        <v>0</v>
      </c>
      <c r="AJ1972">
        <v>148.31</v>
      </c>
      <c r="AK1972">
        <v>0</v>
      </c>
      <c r="AL1972" t="s">
        <v>53</v>
      </c>
      <c r="AM1972" t="s">
        <v>53</v>
      </c>
      <c r="AN1972" t="s">
        <v>97</v>
      </c>
      <c r="AO1972" t="s">
        <v>53</v>
      </c>
      <c r="AP1972" t="s">
        <v>53</v>
      </c>
    </row>
    <row r="1973" spans="2:42" x14ac:dyDescent="0.2">
      <c r="B1973" t="s">
        <v>44</v>
      </c>
      <c r="C1973" t="str">
        <f>HYPERLINK("https://us2.cloudbeds.com/connect/8493803454333002#/reservations/598413193458?display=E1BRS7N2&amp;reservation_id=598413193458", "E1BRS7N2")</f>
        <v>E1BRS7N2</v>
      </c>
      <c r="D1973" t="s">
        <v>45</v>
      </c>
      <c r="E1973" t="s">
        <v>305</v>
      </c>
      <c r="F1973" t="s">
        <v>61</v>
      </c>
      <c r="G1973" t="s">
        <v>48</v>
      </c>
      <c r="H1973" t="s">
        <v>71</v>
      </c>
      <c r="I1973" t="s">
        <v>72</v>
      </c>
      <c r="J1973" t="s">
        <v>1480</v>
      </c>
      <c r="K1973" t="s">
        <v>488</v>
      </c>
      <c r="L1973" t="s">
        <v>53</v>
      </c>
      <c r="N1973" t="s">
        <v>3220</v>
      </c>
      <c r="P1973" t="s">
        <v>55</v>
      </c>
      <c r="R1973" t="s">
        <v>56</v>
      </c>
      <c r="T1973" t="s">
        <v>3218</v>
      </c>
      <c r="U1973" t="s">
        <v>58</v>
      </c>
      <c r="V1973">
        <v>2</v>
      </c>
      <c r="W1973">
        <v>1</v>
      </c>
      <c r="X1973">
        <v>1</v>
      </c>
      <c r="Y1973">
        <v>0</v>
      </c>
      <c r="Z1973">
        <v>1</v>
      </c>
      <c r="AA1973">
        <v>0</v>
      </c>
      <c r="AB1973">
        <v>361.41</v>
      </c>
      <c r="AC1973">
        <v>318</v>
      </c>
      <c r="AD1973">
        <v>0</v>
      </c>
      <c r="AE1973">
        <v>43.42</v>
      </c>
      <c r="AF1973">
        <v>0</v>
      </c>
      <c r="AG1973">
        <v>0</v>
      </c>
      <c r="AH1973">
        <v>0</v>
      </c>
      <c r="AI1973">
        <v>0</v>
      </c>
      <c r="AJ1973">
        <v>361.42</v>
      </c>
      <c r="AK1973">
        <v>0.01</v>
      </c>
      <c r="AL1973" t="s">
        <v>53</v>
      </c>
      <c r="AM1973" t="s">
        <v>53</v>
      </c>
      <c r="AN1973" t="s">
        <v>3221</v>
      </c>
      <c r="AO1973" t="s">
        <v>53</v>
      </c>
      <c r="AP1973" t="s">
        <v>53</v>
      </c>
    </row>
    <row r="1974" spans="2:42" x14ac:dyDescent="0.2">
      <c r="B1974" t="s">
        <v>44</v>
      </c>
      <c r="C1974" t="str">
        <f>HYPERLINK("https://us2.cloudbeds.com/connect/8493803454333002#/reservations/598385533087?display=E1B4HHU0&amp;reservation_id=598385533087", "E1B4HHU0")</f>
        <v>E1B4HHU0</v>
      </c>
      <c r="D1974" t="s">
        <v>45</v>
      </c>
      <c r="E1974" t="s">
        <v>46</v>
      </c>
      <c r="F1974" t="s">
        <v>47</v>
      </c>
      <c r="G1974" t="s">
        <v>48</v>
      </c>
      <c r="H1974" t="s">
        <v>49</v>
      </c>
      <c r="I1974" t="s">
        <v>79</v>
      </c>
      <c r="J1974" t="s">
        <v>122</v>
      </c>
      <c r="K1974" t="s">
        <v>123</v>
      </c>
      <c r="L1974" t="s">
        <v>53</v>
      </c>
      <c r="N1974" t="s">
        <v>3222</v>
      </c>
      <c r="P1974" t="s">
        <v>58</v>
      </c>
      <c r="R1974" t="s">
        <v>56</v>
      </c>
      <c r="T1974" t="s">
        <v>3218</v>
      </c>
      <c r="U1974" t="s">
        <v>58</v>
      </c>
      <c r="V1974">
        <v>1</v>
      </c>
      <c r="W1974">
        <v>1</v>
      </c>
      <c r="X1974">
        <v>1</v>
      </c>
      <c r="Y1974">
        <v>0</v>
      </c>
      <c r="Z1974">
        <v>1</v>
      </c>
      <c r="AA1974">
        <v>0</v>
      </c>
      <c r="AB1974">
        <v>166.72</v>
      </c>
      <c r="AC1974">
        <v>146.69999999999999</v>
      </c>
      <c r="AD1974">
        <v>0</v>
      </c>
      <c r="AE1974">
        <v>20.010000000000002</v>
      </c>
      <c r="AF1974">
        <v>0</v>
      </c>
      <c r="AG1974">
        <v>0</v>
      </c>
      <c r="AH1974">
        <v>0</v>
      </c>
      <c r="AI1974">
        <v>0</v>
      </c>
      <c r="AJ1974">
        <v>166.71</v>
      </c>
      <c r="AK1974">
        <v>-0.01</v>
      </c>
      <c r="AL1974" t="s">
        <v>53</v>
      </c>
      <c r="AM1974" t="s">
        <v>53</v>
      </c>
      <c r="AN1974" t="s">
        <v>68</v>
      </c>
      <c r="AO1974" t="s">
        <v>53</v>
      </c>
      <c r="AP1974" t="s">
        <v>53</v>
      </c>
    </row>
    <row r="1975" spans="2:42" x14ac:dyDescent="0.2">
      <c r="B1975" t="s">
        <v>44</v>
      </c>
      <c r="C1975" t="str">
        <f>HYPERLINK("https://us2.cloudbeds.com/connect/8493803454333002#/reservations/598552010957?display=E1FCU14U&amp;reservation_id=598552010957", "E1FCU14U")</f>
        <v>E1FCU14U</v>
      </c>
      <c r="D1975" t="s">
        <v>45</v>
      </c>
      <c r="E1975" t="s">
        <v>105</v>
      </c>
      <c r="F1975" t="s">
        <v>47</v>
      </c>
      <c r="G1975" t="s">
        <v>48</v>
      </c>
      <c r="H1975" t="s">
        <v>49</v>
      </c>
      <c r="I1975" t="s">
        <v>79</v>
      </c>
      <c r="J1975" t="s">
        <v>123</v>
      </c>
      <c r="K1975" t="s">
        <v>762</v>
      </c>
      <c r="L1975" t="s">
        <v>53</v>
      </c>
      <c r="N1975" t="s">
        <v>3223</v>
      </c>
      <c r="P1975" t="s">
        <v>55</v>
      </c>
      <c r="R1975" t="s">
        <v>56</v>
      </c>
      <c r="T1975" t="s">
        <v>3218</v>
      </c>
      <c r="U1975" t="s">
        <v>58</v>
      </c>
      <c r="V1975">
        <v>2</v>
      </c>
      <c r="W1975">
        <v>1</v>
      </c>
      <c r="X1975">
        <v>1</v>
      </c>
      <c r="Y1975">
        <v>0</v>
      </c>
      <c r="Z1975">
        <v>1</v>
      </c>
      <c r="AA1975">
        <v>0</v>
      </c>
      <c r="AB1975">
        <v>308.89999999999998</v>
      </c>
      <c r="AC1975">
        <v>271.8</v>
      </c>
      <c r="AD1975">
        <v>0</v>
      </c>
      <c r="AE1975">
        <v>37.1</v>
      </c>
      <c r="AF1975">
        <v>0</v>
      </c>
      <c r="AG1975">
        <v>0</v>
      </c>
      <c r="AH1975">
        <v>0</v>
      </c>
      <c r="AI1975">
        <v>0</v>
      </c>
      <c r="AJ1975">
        <v>308.89999999999998</v>
      </c>
      <c r="AK1975">
        <v>0</v>
      </c>
      <c r="AL1975" t="s">
        <v>53</v>
      </c>
      <c r="AM1975" t="s">
        <v>53</v>
      </c>
      <c r="AN1975" t="s">
        <v>178</v>
      </c>
      <c r="AO1975" t="s">
        <v>53</v>
      </c>
      <c r="AP1975" t="s">
        <v>53</v>
      </c>
    </row>
    <row r="1976" spans="2:42" x14ac:dyDescent="0.2">
      <c r="B1976" t="s">
        <v>44</v>
      </c>
      <c r="C1976" t="str">
        <f>HYPERLINK("https://us2.cloudbeds.com/connect/8493803454333002#/reservations/598000038115?display=E119FJ16&amp;reservation_id=598000038115", "E119FJ16")</f>
        <v>E119FJ16</v>
      </c>
      <c r="D1976" t="s">
        <v>45</v>
      </c>
      <c r="E1976" t="s">
        <v>69</v>
      </c>
      <c r="F1976" t="s">
        <v>70</v>
      </c>
      <c r="G1976" t="s">
        <v>48</v>
      </c>
      <c r="H1976" t="s">
        <v>49</v>
      </c>
      <c r="I1976" t="s">
        <v>79</v>
      </c>
      <c r="J1976" t="s">
        <v>122</v>
      </c>
      <c r="K1976" t="s">
        <v>123</v>
      </c>
      <c r="L1976" t="s">
        <v>53</v>
      </c>
      <c r="N1976" t="s">
        <v>3224</v>
      </c>
      <c r="P1976" t="s">
        <v>55</v>
      </c>
      <c r="R1976" t="s">
        <v>56</v>
      </c>
      <c r="T1976" t="s">
        <v>3218</v>
      </c>
      <c r="U1976" t="s">
        <v>58</v>
      </c>
      <c r="V1976">
        <v>1</v>
      </c>
      <c r="W1976">
        <v>1</v>
      </c>
      <c r="X1976">
        <v>1</v>
      </c>
      <c r="Y1976">
        <v>0</v>
      </c>
      <c r="Z1976">
        <v>1</v>
      </c>
      <c r="AA1976">
        <v>0</v>
      </c>
      <c r="AB1976">
        <v>150.36000000000001</v>
      </c>
      <c r="AC1976">
        <v>132.30000000000001</v>
      </c>
      <c r="AD1976">
        <v>0</v>
      </c>
      <c r="AE1976">
        <v>18.07</v>
      </c>
      <c r="AF1976">
        <v>0</v>
      </c>
      <c r="AG1976">
        <v>0</v>
      </c>
      <c r="AH1976">
        <v>0</v>
      </c>
      <c r="AI1976">
        <v>0</v>
      </c>
      <c r="AJ1976">
        <v>150.37</v>
      </c>
      <c r="AK1976">
        <v>0.01</v>
      </c>
      <c r="AL1976" t="s">
        <v>53</v>
      </c>
      <c r="AM1976" t="s">
        <v>53</v>
      </c>
      <c r="AN1976" t="s">
        <v>225</v>
      </c>
      <c r="AO1976" t="s">
        <v>53</v>
      </c>
      <c r="AP1976" t="s">
        <v>53</v>
      </c>
    </row>
    <row r="1977" spans="2:42" x14ac:dyDescent="0.2">
      <c r="B1977" t="s">
        <v>44</v>
      </c>
      <c r="C1977" t="str">
        <f>HYPERLINK("https://us2.cloudbeds.com/connect/8493803454333002#/reservations/579147858173?display=DJEXQT13&amp;reservation_id=579147858173", "DJEXQT13")</f>
        <v>DJEXQT13</v>
      </c>
      <c r="D1977" t="s">
        <v>45</v>
      </c>
      <c r="E1977" t="s">
        <v>128</v>
      </c>
      <c r="F1977" t="s">
        <v>86</v>
      </c>
      <c r="G1977" t="s">
        <v>48</v>
      </c>
      <c r="H1977" t="s">
        <v>49</v>
      </c>
      <c r="I1977" t="s">
        <v>79</v>
      </c>
      <c r="J1977" t="s">
        <v>1140</v>
      </c>
      <c r="K1977" t="s">
        <v>2039</v>
      </c>
      <c r="L1977" t="s">
        <v>53</v>
      </c>
      <c r="N1977" t="s">
        <v>3225</v>
      </c>
      <c r="P1977" t="s">
        <v>55</v>
      </c>
      <c r="R1977" t="s">
        <v>56</v>
      </c>
      <c r="T1977" t="s">
        <v>3218</v>
      </c>
      <c r="U1977" t="s">
        <v>58</v>
      </c>
      <c r="V1977">
        <v>1</v>
      </c>
      <c r="W1977">
        <v>1</v>
      </c>
      <c r="X1977">
        <v>1</v>
      </c>
      <c r="Y1977">
        <v>0</v>
      </c>
      <c r="Z1977">
        <v>1</v>
      </c>
      <c r="AA1977">
        <v>0</v>
      </c>
      <c r="AB1977">
        <v>177.97</v>
      </c>
      <c r="AC1977">
        <v>156.6</v>
      </c>
      <c r="AD1977">
        <v>0</v>
      </c>
      <c r="AE1977">
        <v>21.37</v>
      </c>
      <c r="AF1977">
        <v>0</v>
      </c>
      <c r="AG1977">
        <v>0</v>
      </c>
      <c r="AH1977">
        <v>0</v>
      </c>
      <c r="AI1977">
        <v>0</v>
      </c>
      <c r="AJ1977">
        <v>177.97</v>
      </c>
      <c r="AK1977">
        <v>0</v>
      </c>
      <c r="AL1977" t="s">
        <v>53</v>
      </c>
      <c r="AM1977" t="s">
        <v>53</v>
      </c>
      <c r="AN1977" t="s">
        <v>132</v>
      </c>
      <c r="AO1977" t="s">
        <v>53</v>
      </c>
      <c r="AP1977" t="s">
        <v>53</v>
      </c>
    </row>
    <row r="1978" spans="2:42" x14ac:dyDescent="0.2">
      <c r="B1978" t="s">
        <v>44</v>
      </c>
      <c r="C1978" t="str">
        <f>HYPERLINK("https://us2.cloudbeds.com/connect/8493803454333002#/reservations/579188379794?display=DJFJWEW1&amp;reservation_id=579188379794", "DJFJWEW1")</f>
        <v>DJFJWEW1</v>
      </c>
      <c r="D1978" t="s">
        <v>45</v>
      </c>
      <c r="E1978" t="s">
        <v>138</v>
      </c>
      <c r="F1978" t="s">
        <v>70</v>
      </c>
      <c r="G1978" t="s">
        <v>48</v>
      </c>
      <c r="H1978" t="s">
        <v>49</v>
      </c>
      <c r="I1978" t="s">
        <v>114</v>
      </c>
      <c r="J1978" t="s">
        <v>1296</v>
      </c>
      <c r="K1978" t="s">
        <v>1660</v>
      </c>
      <c r="L1978" t="s">
        <v>53</v>
      </c>
      <c r="N1978" t="s">
        <v>3226</v>
      </c>
      <c r="P1978" t="s">
        <v>55</v>
      </c>
      <c r="R1978" t="s">
        <v>56</v>
      </c>
      <c r="T1978" t="s">
        <v>3218</v>
      </c>
      <c r="U1978" t="s">
        <v>58</v>
      </c>
      <c r="V1978">
        <v>1</v>
      </c>
      <c r="W1978">
        <v>1</v>
      </c>
      <c r="X1978">
        <v>1</v>
      </c>
      <c r="Y1978">
        <v>0</v>
      </c>
      <c r="Z1978">
        <v>1</v>
      </c>
      <c r="AA1978">
        <v>0</v>
      </c>
      <c r="AB1978">
        <v>147.75</v>
      </c>
      <c r="AC1978">
        <v>130</v>
      </c>
      <c r="AD1978">
        <v>0</v>
      </c>
      <c r="AE1978">
        <v>17.75</v>
      </c>
      <c r="AF1978">
        <v>0</v>
      </c>
      <c r="AG1978">
        <v>0</v>
      </c>
      <c r="AH1978">
        <v>0</v>
      </c>
      <c r="AI1978">
        <v>0</v>
      </c>
      <c r="AJ1978">
        <v>147.75</v>
      </c>
      <c r="AK1978">
        <v>0</v>
      </c>
      <c r="AL1978" t="s">
        <v>53</v>
      </c>
      <c r="AM1978" t="s">
        <v>53</v>
      </c>
      <c r="AN1978" t="s">
        <v>3227</v>
      </c>
      <c r="AO1978" t="s">
        <v>53</v>
      </c>
      <c r="AP1978" t="s">
        <v>53</v>
      </c>
    </row>
    <row r="1979" spans="2:42" x14ac:dyDescent="0.2">
      <c r="B1979" t="s">
        <v>44</v>
      </c>
      <c r="C1979" t="str">
        <f>HYPERLINK("https://us2.cloudbeds.com/connect/8493803454333002#/reservations/579406086285?display=DJY5XF3E&amp;reservation_id=579406086285", "DJY5XF3E")</f>
        <v>DJY5XF3E</v>
      </c>
      <c r="D1979" t="s">
        <v>45</v>
      </c>
      <c r="E1979" t="s">
        <v>305</v>
      </c>
      <c r="F1979" t="s">
        <v>61</v>
      </c>
      <c r="G1979" t="s">
        <v>48</v>
      </c>
      <c r="H1979" t="s">
        <v>71</v>
      </c>
      <c r="I1979" t="s">
        <v>72</v>
      </c>
      <c r="J1979" t="s">
        <v>1898</v>
      </c>
      <c r="K1979" t="s">
        <v>1458</v>
      </c>
      <c r="L1979" t="s">
        <v>53</v>
      </c>
      <c r="N1979" t="s">
        <v>3228</v>
      </c>
      <c r="P1979" t="s">
        <v>55</v>
      </c>
      <c r="R1979" t="s">
        <v>56</v>
      </c>
      <c r="T1979" t="s">
        <v>3218</v>
      </c>
      <c r="U1979" t="s">
        <v>58</v>
      </c>
      <c r="V1979">
        <v>1</v>
      </c>
      <c r="W1979">
        <v>1</v>
      </c>
      <c r="X1979">
        <v>1</v>
      </c>
      <c r="Y1979">
        <v>0</v>
      </c>
      <c r="Z1979">
        <v>1</v>
      </c>
      <c r="AA1979">
        <v>0</v>
      </c>
      <c r="AB1979">
        <v>128.97999999999999</v>
      </c>
      <c r="AC1979">
        <v>113.49</v>
      </c>
      <c r="AD1979">
        <v>0</v>
      </c>
      <c r="AE1979">
        <v>15.49</v>
      </c>
      <c r="AF1979">
        <v>0</v>
      </c>
      <c r="AG1979">
        <v>0</v>
      </c>
      <c r="AH1979">
        <v>0</v>
      </c>
      <c r="AI1979">
        <v>0</v>
      </c>
      <c r="AJ1979">
        <v>128.97999999999999</v>
      </c>
      <c r="AK1979">
        <v>0</v>
      </c>
      <c r="AL1979" t="s">
        <v>53</v>
      </c>
      <c r="AM1979" t="s">
        <v>53</v>
      </c>
      <c r="AN1979" t="s">
        <v>3229</v>
      </c>
      <c r="AO1979" t="s">
        <v>53</v>
      </c>
      <c r="AP1979" t="s">
        <v>53</v>
      </c>
    </row>
    <row r="1980" spans="2:42" x14ac:dyDescent="0.2">
      <c r="B1980" t="s">
        <v>44</v>
      </c>
      <c r="C1980" t="str">
        <f>HYPERLINK("https://us2.cloudbeds.com/connect/8493803454333002#/reservations/579396206827?display=DJKU7X1U&amp;reservation_id=579396206827", "DJKU7X1U")</f>
        <v>DJKU7X1U</v>
      </c>
      <c r="D1980" t="s">
        <v>45</v>
      </c>
      <c r="E1980" t="s">
        <v>265</v>
      </c>
      <c r="F1980" t="s">
        <v>61</v>
      </c>
      <c r="G1980" t="s">
        <v>48</v>
      </c>
      <c r="H1980" t="s">
        <v>71</v>
      </c>
      <c r="I1980" t="s">
        <v>72</v>
      </c>
      <c r="J1980" t="s">
        <v>1898</v>
      </c>
      <c r="K1980" t="s">
        <v>1458</v>
      </c>
      <c r="L1980" t="s">
        <v>53</v>
      </c>
      <c r="N1980" t="s">
        <v>3230</v>
      </c>
      <c r="P1980" t="s">
        <v>55</v>
      </c>
      <c r="R1980" t="s">
        <v>56</v>
      </c>
      <c r="T1980" t="s">
        <v>3218</v>
      </c>
      <c r="U1980" t="s">
        <v>58</v>
      </c>
      <c r="V1980">
        <v>1</v>
      </c>
      <c r="W1980">
        <v>1</v>
      </c>
      <c r="X1980">
        <v>1</v>
      </c>
      <c r="Y1980">
        <v>0</v>
      </c>
      <c r="Z1980">
        <v>1</v>
      </c>
      <c r="AA1980">
        <v>0</v>
      </c>
      <c r="AB1980">
        <v>128.97999999999999</v>
      </c>
      <c r="AC1980">
        <v>113.49</v>
      </c>
      <c r="AD1980">
        <v>0</v>
      </c>
      <c r="AE1980">
        <v>15.49</v>
      </c>
      <c r="AF1980">
        <v>0</v>
      </c>
      <c r="AG1980">
        <v>0</v>
      </c>
      <c r="AH1980">
        <v>0</v>
      </c>
      <c r="AI1980">
        <v>0</v>
      </c>
      <c r="AJ1980">
        <v>128.97999999999999</v>
      </c>
      <c r="AK1980">
        <v>0</v>
      </c>
      <c r="AL1980" t="s">
        <v>53</v>
      </c>
      <c r="AM1980" t="s">
        <v>53</v>
      </c>
      <c r="AN1980" t="s">
        <v>3231</v>
      </c>
      <c r="AO1980" t="s">
        <v>53</v>
      </c>
      <c r="AP1980" t="s">
        <v>53</v>
      </c>
    </row>
    <row r="1981" spans="2:42" x14ac:dyDescent="0.2">
      <c r="B1981" t="s">
        <v>44</v>
      </c>
      <c r="C1981" t="str">
        <f>HYPERLINK("https://us2.cloudbeds.com/connect/8493803454333002#/reservations/579270328516?display=DJHN2QAK&amp;reservation_id=579270328516", "DJHN2QAK")</f>
        <v>DJHN2QAK</v>
      </c>
      <c r="D1981" t="s">
        <v>45</v>
      </c>
      <c r="E1981" t="s">
        <v>223</v>
      </c>
      <c r="F1981" t="s">
        <v>47</v>
      </c>
      <c r="G1981" t="s">
        <v>48</v>
      </c>
      <c r="H1981" t="s">
        <v>49</v>
      </c>
      <c r="I1981" t="s">
        <v>62</v>
      </c>
      <c r="J1981" t="s">
        <v>3232</v>
      </c>
      <c r="K1981" t="s">
        <v>3233</v>
      </c>
      <c r="L1981" t="s">
        <v>53</v>
      </c>
      <c r="N1981" t="s">
        <v>3234</v>
      </c>
      <c r="P1981" t="s">
        <v>55</v>
      </c>
      <c r="R1981" t="s">
        <v>56</v>
      </c>
      <c r="T1981" t="s">
        <v>3218</v>
      </c>
      <c r="U1981" t="s">
        <v>58</v>
      </c>
      <c r="V1981">
        <v>2</v>
      </c>
      <c r="W1981">
        <v>1</v>
      </c>
      <c r="X1981">
        <v>1</v>
      </c>
      <c r="Y1981">
        <v>0</v>
      </c>
      <c r="Z1981">
        <v>1</v>
      </c>
      <c r="AA1981">
        <v>0</v>
      </c>
      <c r="AB1981">
        <v>261.42</v>
      </c>
      <c r="AC1981">
        <v>230</v>
      </c>
      <c r="AD1981">
        <v>0</v>
      </c>
      <c r="AE1981">
        <v>31.42</v>
      </c>
      <c r="AF1981">
        <v>0</v>
      </c>
      <c r="AG1981">
        <v>0</v>
      </c>
      <c r="AH1981">
        <v>0</v>
      </c>
      <c r="AI1981">
        <v>39.21</v>
      </c>
      <c r="AJ1981">
        <v>261.42</v>
      </c>
      <c r="AK1981">
        <v>0</v>
      </c>
      <c r="AL1981" t="s">
        <v>53</v>
      </c>
      <c r="AM1981" t="s">
        <v>53</v>
      </c>
      <c r="AN1981" t="s">
        <v>142</v>
      </c>
      <c r="AO1981" t="s">
        <v>53</v>
      </c>
      <c r="AP1981" t="s">
        <v>53</v>
      </c>
    </row>
    <row r="1982" spans="2:42" x14ac:dyDescent="0.2">
      <c r="B1982" t="s">
        <v>44</v>
      </c>
      <c r="C1982" t="str">
        <f>HYPERLINK("https://us2.cloudbeds.com/connect/8493803454333002#/reservations/598594638033?display=E1GFS6FH&amp;reservation_id=598594638033", "E1GFS6FH")</f>
        <v>E1GFS6FH</v>
      </c>
      <c r="D1982" t="s">
        <v>45</v>
      </c>
      <c r="E1982" t="s">
        <v>381</v>
      </c>
      <c r="F1982" t="s">
        <v>47</v>
      </c>
      <c r="G1982" t="s">
        <v>48</v>
      </c>
      <c r="H1982" t="s">
        <v>49</v>
      </c>
      <c r="I1982" t="s">
        <v>50</v>
      </c>
      <c r="J1982" t="s">
        <v>1822</v>
      </c>
      <c r="K1982" t="s">
        <v>94</v>
      </c>
      <c r="L1982" t="s">
        <v>53</v>
      </c>
      <c r="N1982" t="s">
        <v>3235</v>
      </c>
      <c r="P1982" t="s">
        <v>55</v>
      </c>
      <c r="R1982" t="s">
        <v>56</v>
      </c>
      <c r="T1982" t="s">
        <v>3236</v>
      </c>
      <c r="U1982" t="s">
        <v>58</v>
      </c>
      <c r="V1982">
        <v>1</v>
      </c>
      <c r="W1982">
        <v>1</v>
      </c>
      <c r="X1982">
        <v>1</v>
      </c>
      <c r="Y1982">
        <v>0</v>
      </c>
      <c r="Z1982">
        <v>1</v>
      </c>
      <c r="AA1982">
        <v>0</v>
      </c>
      <c r="AB1982">
        <v>153.43</v>
      </c>
      <c r="AC1982">
        <v>135</v>
      </c>
      <c r="AD1982">
        <v>0</v>
      </c>
      <c r="AE1982">
        <v>18.440000000000001</v>
      </c>
      <c r="AF1982">
        <v>0</v>
      </c>
      <c r="AG1982">
        <v>0</v>
      </c>
      <c r="AH1982">
        <v>0</v>
      </c>
      <c r="AI1982">
        <v>27.62</v>
      </c>
      <c r="AJ1982">
        <v>153.44</v>
      </c>
      <c r="AK1982">
        <v>0.01</v>
      </c>
      <c r="AL1982" t="s">
        <v>53</v>
      </c>
      <c r="AM1982" t="s">
        <v>53</v>
      </c>
      <c r="AN1982" t="s">
        <v>127</v>
      </c>
      <c r="AO1982" t="s">
        <v>53</v>
      </c>
      <c r="AP1982" t="s">
        <v>53</v>
      </c>
    </row>
    <row r="1983" spans="2:42" x14ac:dyDescent="0.2">
      <c r="B1983" t="s">
        <v>44</v>
      </c>
      <c r="C1983" t="str">
        <f>HYPERLINK("https://us2.cloudbeds.com/connect/8493803454333002#/reservations/598462607612?display=E1D3H8DM&amp;reservation_id=598462607612", "E1D3H8DM")</f>
        <v>E1D3H8DM</v>
      </c>
      <c r="D1983" t="s">
        <v>45</v>
      </c>
      <c r="E1983" t="s">
        <v>69</v>
      </c>
      <c r="F1983" t="s">
        <v>70</v>
      </c>
      <c r="G1983" t="s">
        <v>48</v>
      </c>
      <c r="H1983" t="s">
        <v>49</v>
      </c>
      <c r="I1983" t="s">
        <v>79</v>
      </c>
      <c r="J1983" t="s">
        <v>1792</v>
      </c>
      <c r="K1983" t="s">
        <v>1633</v>
      </c>
      <c r="L1983" t="s">
        <v>53</v>
      </c>
      <c r="N1983" t="s">
        <v>3237</v>
      </c>
      <c r="P1983" t="s">
        <v>55</v>
      </c>
      <c r="R1983" t="s">
        <v>56</v>
      </c>
      <c r="T1983" t="s">
        <v>3236</v>
      </c>
      <c r="U1983" t="s">
        <v>58</v>
      </c>
      <c r="V1983">
        <v>1</v>
      </c>
      <c r="W1983">
        <v>1</v>
      </c>
      <c r="X1983">
        <v>1</v>
      </c>
      <c r="Y1983">
        <v>0</v>
      </c>
      <c r="Z1983">
        <v>1</v>
      </c>
      <c r="AA1983">
        <v>0</v>
      </c>
      <c r="AB1983">
        <v>150.36000000000001</v>
      </c>
      <c r="AC1983">
        <v>132.30000000000001</v>
      </c>
      <c r="AD1983">
        <v>0</v>
      </c>
      <c r="AE1983">
        <v>18.07</v>
      </c>
      <c r="AF1983">
        <v>0</v>
      </c>
      <c r="AG1983">
        <v>0</v>
      </c>
      <c r="AH1983">
        <v>0</v>
      </c>
      <c r="AI1983">
        <v>0</v>
      </c>
      <c r="AJ1983">
        <v>150.37</v>
      </c>
      <c r="AK1983">
        <v>0.01</v>
      </c>
      <c r="AL1983" t="s">
        <v>53</v>
      </c>
      <c r="AM1983" t="s">
        <v>53</v>
      </c>
      <c r="AN1983" t="s">
        <v>104</v>
      </c>
      <c r="AO1983" t="s">
        <v>53</v>
      </c>
      <c r="AP1983" t="s">
        <v>53</v>
      </c>
    </row>
    <row r="1984" spans="2:42" x14ac:dyDescent="0.2">
      <c r="B1984" t="s">
        <v>44</v>
      </c>
      <c r="C1984" t="str">
        <f>HYPERLINK("https://us2.cloudbeds.com/connect/8493803454333002#/reservations/597967229170?display=E10EQKEN&amp;reservation_id=597967229170", "E10EQKEN")</f>
        <v>E10EQKEN</v>
      </c>
      <c r="D1984" t="s">
        <v>45</v>
      </c>
      <c r="E1984" t="s">
        <v>213</v>
      </c>
      <c r="F1984" t="s">
        <v>86</v>
      </c>
      <c r="G1984" t="s">
        <v>48</v>
      </c>
      <c r="H1984" t="s">
        <v>49</v>
      </c>
      <c r="I1984" t="s">
        <v>62</v>
      </c>
      <c r="J1984" t="s">
        <v>237</v>
      </c>
      <c r="K1984" t="s">
        <v>525</v>
      </c>
      <c r="L1984" t="s">
        <v>53</v>
      </c>
      <c r="N1984" t="s">
        <v>3238</v>
      </c>
      <c r="P1984" t="s">
        <v>55</v>
      </c>
      <c r="R1984" t="s">
        <v>56</v>
      </c>
      <c r="T1984" t="s">
        <v>3236</v>
      </c>
      <c r="U1984" t="s">
        <v>58</v>
      </c>
      <c r="V1984">
        <v>1</v>
      </c>
      <c r="W1984">
        <v>1</v>
      </c>
      <c r="X1984">
        <v>1</v>
      </c>
      <c r="Y1984">
        <v>0</v>
      </c>
      <c r="Z1984">
        <v>1</v>
      </c>
      <c r="AA1984">
        <v>0</v>
      </c>
      <c r="AB1984">
        <v>186.39</v>
      </c>
      <c r="AC1984">
        <v>164</v>
      </c>
      <c r="AD1984">
        <v>0</v>
      </c>
      <c r="AE1984">
        <v>22.39</v>
      </c>
      <c r="AF1984">
        <v>0</v>
      </c>
      <c r="AG1984">
        <v>0</v>
      </c>
      <c r="AH1984">
        <v>0</v>
      </c>
      <c r="AI1984">
        <v>27.96</v>
      </c>
      <c r="AJ1984">
        <v>186.39</v>
      </c>
      <c r="AK1984">
        <v>0</v>
      </c>
      <c r="AL1984" t="s">
        <v>53</v>
      </c>
      <c r="AM1984" t="s">
        <v>53</v>
      </c>
      <c r="AN1984" t="s">
        <v>91</v>
      </c>
      <c r="AO1984" t="s">
        <v>53</v>
      </c>
      <c r="AP1984" t="s">
        <v>53</v>
      </c>
    </row>
    <row r="1985" spans="2:42" x14ac:dyDescent="0.2">
      <c r="B1985" t="s">
        <v>44</v>
      </c>
      <c r="C1985" t="str">
        <f>HYPERLINK("https://us2.cloudbeds.com/connect/8493803454333002#/reservations/598298476693?display=E18U42AF&amp;reservation_id=598298476693", "E18U42AF")</f>
        <v>E18U42AF</v>
      </c>
      <c r="D1985" t="s">
        <v>45</v>
      </c>
      <c r="E1985" t="s">
        <v>121</v>
      </c>
      <c r="F1985" t="s">
        <v>86</v>
      </c>
      <c r="G1985" t="s">
        <v>48</v>
      </c>
      <c r="H1985" t="s">
        <v>71</v>
      </c>
      <c r="I1985" t="s">
        <v>72</v>
      </c>
      <c r="J1985" t="s">
        <v>475</v>
      </c>
      <c r="K1985" t="s">
        <v>356</v>
      </c>
      <c r="L1985" t="s">
        <v>53</v>
      </c>
      <c r="N1985" t="s">
        <v>3239</v>
      </c>
      <c r="P1985" t="s">
        <v>55</v>
      </c>
      <c r="R1985" t="s">
        <v>56</v>
      </c>
      <c r="T1985" t="s">
        <v>3236</v>
      </c>
      <c r="U1985" t="s">
        <v>58</v>
      </c>
      <c r="V1985">
        <v>2</v>
      </c>
      <c r="W1985">
        <v>1</v>
      </c>
      <c r="X1985">
        <v>1</v>
      </c>
      <c r="Y1985">
        <v>0</v>
      </c>
      <c r="Z1985">
        <v>1</v>
      </c>
      <c r="AA1985">
        <v>0</v>
      </c>
      <c r="AB1985">
        <v>322.77</v>
      </c>
      <c r="AC1985">
        <v>284</v>
      </c>
      <c r="AD1985">
        <v>0</v>
      </c>
      <c r="AE1985">
        <v>38.78</v>
      </c>
      <c r="AF1985">
        <v>0</v>
      </c>
      <c r="AG1985">
        <v>0</v>
      </c>
      <c r="AH1985">
        <v>0</v>
      </c>
      <c r="AI1985">
        <v>0</v>
      </c>
      <c r="AJ1985">
        <v>322.77999999999997</v>
      </c>
      <c r="AK1985">
        <v>0.01</v>
      </c>
      <c r="AL1985" t="s">
        <v>53</v>
      </c>
      <c r="AM1985" t="s">
        <v>53</v>
      </c>
      <c r="AN1985" t="s">
        <v>683</v>
      </c>
      <c r="AO1985" t="s">
        <v>53</v>
      </c>
      <c r="AP1985" t="s">
        <v>53</v>
      </c>
    </row>
    <row r="1986" spans="2:42" x14ac:dyDescent="0.2">
      <c r="B1986" t="s">
        <v>44</v>
      </c>
      <c r="C1986" t="str">
        <f>HYPERLINK("https://us2.cloudbeds.com/connect/8493803454333002#/reservations/598389219537?display=E1B7Y42K&amp;reservation_id=598389219537", "E1B7Y42K")</f>
        <v>E1B7Y42K</v>
      </c>
      <c r="D1986" t="s">
        <v>45</v>
      </c>
      <c r="E1986" t="s">
        <v>46</v>
      </c>
      <c r="F1986" t="s">
        <v>47</v>
      </c>
      <c r="G1986" t="s">
        <v>48</v>
      </c>
      <c r="H1986" t="s">
        <v>71</v>
      </c>
      <c r="I1986" t="s">
        <v>72</v>
      </c>
      <c r="J1986" t="s">
        <v>123</v>
      </c>
      <c r="K1986" t="s">
        <v>475</v>
      </c>
      <c r="L1986" t="s">
        <v>53</v>
      </c>
      <c r="N1986" t="s">
        <v>3240</v>
      </c>
      <c r="P1986" t="s">
        <v>58</v>
      </c>
      <c r="R1986" t="s">
        <v>56</v>
      </c>
      <c r="T1986" t="s">
        <v>3236</v>
      </c>
      <c r="U1986" t="s">
        <v>58</v>
      </c>
      <c r="V1986">
        <v>1</v>
      </c>
      <c r="W1986">
        <v>1</v>
      </c>
      <c r="X1986">
        <v>1</v>
      </c>
      <c r="Y1986">
        <v>0</v>
      </c>
      <c r="Z1986">
        <v>1</v>
      </c>
      <c r="AA1986">
        <v>0</v>
      </c>
      <c r="AB1986">
        <v>175.02</v>
      </c>
      <c r="AC1986">
        <v>154</v>
      </c>
      <c r="AD1986">
        <v>0</v>
      </c>
      <c r="AE1986">
        <v>21.03</v>
      </c>
      <c r="AF1986">
        <v>0</v>
      </c>
      <c r="AG1986">
        <v>0</v>
      </c>
      <c r="AH1986">
        <v>0</v>
      </c>
      <c r="AI1986">
        <v>0</v>
      </c>
      <c r="AJ1986">
        <v>175.03</v>
      </c>
      <c r="AK1986">
        <v>0.01</v>
      </c>
      <c r="AL1986" t="s">
        <v>53</v>
      </c>
      <c r="AM1986" t="s">
        <v>53</v>
      </c>
      <c r="AN1986" t="s">
        <v>378</v>
      </c>
      <c r="AO1986" t="s">
        <v>53</v>
      </c>
      <c r="AP1986" t="s">
        <v>53</v>
      </c>
    </row>
    <row r="1987" spans="2:42" x14ac:dyDescent="0.2">
      <c r="B1987" t="s">
        <v>44</v>
      </c>
      <c r="C1987" t="str">
        <f>HYPERLINK("https://us2.cloudbeds.com/connect/8493803454333002#/reservations/579355332802?display=DJJSP5H3&amp;reservation_id=579355332802", "DJJSP5H3")</f>
        <v>DJJSP5H3</v>
      </c>
      <c r="D1987" t="s">
        <v>45</v>
      </c>
      <c r="E1987" t="s">
        <v>265</v>
      </c>
      <c r="F1987" t="s">
        <v>61</v>
      </c>
      <c r="G1987" t="s">
        <v>48</v>
      </c>
      <c r="H1987" t="s">
        <v>49</v>
      </c>
      <c r="I1987" t="s">
        <v>62</v>
      </c>
      <c r="J1987" t="s">
        <v>3000</v>
      </c>
      <c r="K1987" t="s">
        <v>1898</v>
      </c>
      <c r="L1987" t="s">
        <v>53</v>
      </c>
      <c r="N1987" t="s">
        <v>3241</v>
      </c>
      <c r="P1987" t="s">
        <v>55</v>
      </c>
      <c r="R1987" t="s">
        <v>56</v>
      </c>
      <c r="T1987" t="s">
        <v>3236</v>
      </c>
      <c r="U1987" t="s">
        <v>58</v>
      </c>
      <c r="V1987">
        <v>1</v>
      </c>
      <c r="W1987">
        <v>1</v>
      </c>
      <c r="X1987">
        <v>1</v>
      </c>
      <c r="Y1987">
        <v>0</v>
      </c>
      <c r="Z1987">
        <v>1</v>
      </c>
      <c r="AA1987">
        <v>0</v>
      </c>
      <c r="AB1987">
        <v>138.66</v>
      </c>
      <c r="AC1987">
        <v>122</v>
      </c>
      <c r="AD1987">
        <v>0</v>
      </c>
      <c r="AE1987">
        <v>16.66</v>
      </c>
      <c r="AF1987">
        <v>0</v>
      </c>
      <c r="AG1987">
        <v>0</v>
      </c>
      <c r="AH1987">
        <v>0</v>
      </c>
      <c r="AI1987">
        <v>20.8</v>
      </c>
      <c r="AJ1987">
        <v>138.66</v>
      </c>
      <c r="AK1987">
        <v>0</v>
      </c>
      <c r="AL1987" t="s">
        <v>53</v>
      </c>
      <c r="AM1987" t="s">
        <v>53</v>
      </c>
      <c r="AN1987" t="s">
        <v>132</v>
      </c>
      <c r="AO1987" t="s">
        <v>53</v>
      </c>
      <c r="AP1987" t="s">
        <v>53</v>
      </c>
    </row>
    <row r="1988" spans="2:42" x14ac:dyDescent="0.2">
      <c r="B1988" t="s">
        <v>44</v>
      </c>
      <c r="C1988" t="str">
        <f>HYPERLINK("https://us2.cloudbeds.com/connect/8493803454333002#/reservations/598617968779?display=E1H2HDFR&amp;reservation_id=598617968779", "E1H2HDFR")</f>
        <v>E1H2HDFR</v>
      </c>
      <c r="D1988" t="s">
        <v>45</v>
      </c>
      <c r="E1988" t="s">
        <v>265</v>
      </c>
      <c r="F1988" t="s">
        <v>61</v>
      </c>
      <c r="G1988" t="s">
        <v>48</v>
      </c>
      <c r="H1988" t="s">
        <v>49</v>
      </c>
      <c r="I1988" t="s">
        <v>79</v>
      </c>
      <c r="J1988" t="s">
        <v>1269</v>
      </c>
      <c r="K1988" t="s">
        <v>387</v>
      </c>
      <c r="L1988" t="s">
        <v>53</v>
      </c>
      <c r="N1988" t="s">
        <v>3242</v>
      </c>
      <c r="P1988" t="s">
        <v>55</v>
      </c>
      <c r="R1988" t="s">
        <v>56</v>
      </c>
      <c r="T1988" t="s">
        <v>3236</v>
      </c>
      <c r="U1988" t="s">
        <v>58</v>
      </c>
      <c r="V1988">
        <v>1</v>
      </c>
      <c r="W1988">
        <v>1</v>
      </c>
      <c r="X1988">
        <v>1</v>
      </c>
      <c r="Y1988">
        <v>0</v>
      </c>
      <c r="Z1988">
        <v>1</v>
      </c>
      <c r="AA1988">
        <v>0</v>
      </c>
      <c r="AB1988">
        <v>172.86</v>
      </c>
      <c r="AC1988">
        <v>152.1</v>
      </c>
      <c r="AD1988">
        <v>0</v>
      </c>
      <c r="AE1988">
        <v>20.76</v>
      </c>
      <c r="AF1988">
        <v>0</v>
      </c>
      <c r="AG1988">
        <v>0</v>
      </c>
      <c r="AH1988">
        <v>0</v>
      </c>
      <c r="AI1988">
        <v>0</v>
      </c>
      <c r="AJ1988">
        <v>172.86</v>
      </c>
      <c r="AK1988">
        <v>0</v>
      </c>
      <c r="AL1988" t="s">
        <v>53</v>
      </c>
      <c r="AM1988" t="s">
        <v>53</v>
      </c>
      <c r="AN1988" t="s">
        <v>252</v>
      </c>
      <c r="AO1988" t="s">
        <v>53</v>
      </c>
      <c r="AP1988" t="s">
        <v>53</v>
      </c>
    </row>
    <row r="1989" spans="2:42" x14ac:dyDescent="0.2">
      <c r="B1989" t="s">
        <v>44</v>
      </c>
      <c r="C1989" t="str">
        <f>HYPERLINK("https://us2.cloudbeds.com/connect/8493803454333002#/reservations/598575673576?display=E1FWSFU0&amp;reservation_id=598575673576", "E1FWSFU0")</f>
        <v>E1FWSFU0</v>
      </c>
      <c r="D1989" t="s">
        <v>45</v>
      </c>
      <c r="E1989" t="s">
        <v>487</v>
      </c>
      <c r="F1989" t="s">
        <v>61</v>
      </c>
      <c r="G1989" t="s">
        <v>48</v>
      </c>
      <c r="H1989" t="s">
        <v>49</v>
      </c>
      <c r="I1989" t="s">
        <v>50</v>
      </c>
      <c r="J1989" t="s">
        <v>215</v>
      </c>
      <c r="K1989" t="s">
        <v>1792</v>
      </c>
      <c r="L1989" t="s">
        <v>53</v>
      </c>
      <c r="N1989" t="s">
        <v>3243</v>
      </c>
      <c r="P1989" t="s">
        <v>55</v>
      </c>
      <c r="R1989" t="s">
        <v>56</v>
      </c>
      <c r="T1989" t="s">
        <v>3236</v>
      </c>
      <c r="U1989" t="s">
        <v>58</v>
      </c>
      <c r="V1989">
        <v>2</v>
      </c>
      <c r="W1989">
        <v>1</v>
      </c>
      <c r="X1989">
        <v>1</v>
      </c>
      <c r="Y1989">
        <v>0</v>
      </c>
      <c r="Z1989">
        <v>1</v>
      </c>
      <c r="AA1989">
        <v>0</v>
      </c>
      <c r="AB1989">
        <v>337.54</v>
      </c>
      <c r="AC1989">
        <v>297</v>
      </c>
      <c r="AD1989">
        <v>0</v>
      </c>
      <c r="AE1989">
        <v>40.56</v>
      </c>
      <c r="AF1989">
        <v>0</v>
      </c>
      <c r="AG1989">
        <v>0</v>
      </c>
      <c r="AH1989">
        <v>0</v>
      </c>
      <c r="AI1989">
        <v>60.76</v>
      </c>
      <c r="AJ1989">
        <v>337.56</v>
      </c>
      <c r="AK1989">
        <v>0.02</v>
      </c>
      <c r="AL1989" t="s">
        <v>53</v>
      </c>
      <c r="AM1989" t="s">
        <v>53</v>
      </c>
      <c r="AN1989" t="s">
        <v>198</v>
      </c>
      <c r="AO1989" t="s">
        <v>53</v>
      </c>
      <c r="AP1989" t="s">
        <v>53</v>
      </c>
    </row>
    <row r="1990" spans="2:42" x14ac:dyDescent="0.2">
      <c r="B1990" t="s">
        <v>44</v>
      </c>
      <c r="C1990" t="str">
        <f>HYPERLINK("https://us2.cloudbeds.com/connect/8493803454333002#/reservations/598536601824?display=E1EWU8BH&amp;reservation_id=598536601824", "E1EWU8BH")</f>
        <v>E1EWU8BH</v>
      </c>
      <c r="D1990" t="s">
        <v>45</v>
      </c>
      <c r="E1990" t="s">
        <v>78</v>
      </c>
      <c r="F1990" t="s">
        <v>61</v>
      </c>
      <c r="G1990" t="s">
        <v>48</v>
      </c>
      <c r="H1990" t="s">
        <v>49</v>
      </c>
      <c r="I1990" t="s">
        <v>79</v>
      </c>
      <c r="J1990" t="s">
        <v>1473</v>
      </c>
      <c r="K1990" t="s">
        <v>1269</v>
      </c>
      <c r="L1990" t="s">
        <v>53</v>
      </c>
      <c r="N1990" t="s">
        <v>3244</v>
      </c>
      <c r="P1990" t="s">
        <v>55</v>
      </c>
      <c r="R1990" t="s">
        <v>56</v>
      </c>
      <c r="T1990" t="s">
        <v>3236</v>
      </c>
      <c r="U1990" t="s">
        <v>58</v>
      </c>
      <c r="V1990">
        <v>2</v>
      </c>
      <c r="W1990">
        <v>1</v>
      </c>
      <c r="X1990">
        <v>1</v>
      </c>
      <c r="Y1990">
        <v>0</v>
      </c>
      <c r="Z1990">
        <v>1</v>
      </c>
      <c r="AA1990">
        <v>0</v>
      </c>
      <c r="AB1990">
        <v>337.54</v>
      </c>
      <c r="AC1990">
        <v>297</v>
      </c>
      <c r="AD1990">
        <v>0</v>
      </c>
      <c r="AE1990">
        <v>40.56</v>
      </c>
      <c r="AF1990">
        <v>0</v>
      </c>
      <c r="AG1990">
        <v>0</v>
      </c>
      <c r="AH1990">
        <v>0</v>
      </c>
      <c r="AI1990">
        <v>0</v>
      </c>
      <c r="AJ1990">
        <v>337.56</v>
      </c>
      <c r="AK1990">
        <v>0.02</v>
      </c>
      <c r="AL1990" t="s">
        <v>53</v>
      </c>
      <c r="AM1990" t="s">
        <v>53</v>
      </c>
      <c r="AN1990" t="s">
        <v>545</v>
      </c>
      <c r="AO1990" t="s">
        <v>53</v>
      </c>
      <c r="AP1990" t="s">
        <v>53</v>
      </c>
    </row>
    <row r="1991" spans="2:42" x14ac:dyDescent="0.2">
      <c r="B1991" t="s">
        <v>44</v>
      </c>
      <c r="C1991" t="str">
        <f>HYPERLINK("https://us2.cloudbeds.com/connect/8493803454333002#/reservations/598483050703?display=E1DKP3P9&amp;reservation_id=598483050703", "E1DKP3P9")</f>
        <v>E1DKP3P9</v>
      </c>
      <c r="D1991" t="s">
        <v>45</v>
      </c>
      <c r="E1991" t="s">
        <v>110</v>
      </c>
      <c r="F1991" t="s">
        <v>47</v>
      </c>
      <c r="G1991" t="s">
        <v>48</v>
      </c>
      <c r="H1991" t="s">
        <v>49</v>
      </c>
      <c r="I1991" t="s">
        <v>50</v>
      </c>
      <c r="J1991" t="s">
        <v>1822</v>
      </c>
      <c r="K1991" t="s">
        <v>94</v>
      </c>
      <c r="L1991" t="s">
        <v>53</v>
      </c>
      <c r="N1991" t="s">
        <v>3245</v>
      </c>
      <c r="P1991" t="s">
        <v>55</v>
      </c>
      <c r="R1991" t="s">
        <v>56</v>
      </c>
      <c r="T1991" t="s">
        <v>3236</v>
      </c>
      <c r="U1991" t="s">
        <v>58</v>
      </c>
      <c r="V1991">
        <v>1</v>
      </c>
      <c r="W1991">
        <v>1</v>
      </c>
      <c r="X1991">
        <v>1</v>
      </c>
      <c r="Y1991">
        <v>0</v>
      </c>
      <c r="Z1991">
        <v>1</v>
      </c>
      <c r="AA1991">
        <v>0</v>
      </c>
      <c r="AB1991">
        <v>153.43</v>
      </c>
      <c r="AC1991">
        <v>135</v>
      </c>
      <c r="AD1991">
        <v>0</v>
      </c>
      <c r="AE1991">
        <v>18.440000000000001</v>
      </c>
      <c r="AF1991">
        <v>0</v>
      </c>
      <c r="AG1991">
        <v>0</v>
      </c>
      <c r="AH1991">
        <v>0</v>
      </c>
      <c r="AI1991">
        <v>27.62</v>
      </c>
      <c r="AJ1991">
        <v>153.44</v>
      </c>
      <c r="AK1991">
        <v>0.01</v>
      </c>
      <c r="AL1991" t="s">
        <v>53</v>
      </c>
      <c r="AM1991" t="s">
        <v>53</v>
      </c>
      <c r="AN1991" t="s">
        <v>137</v>
      </c>
      <c r="AO1991" t="s">
        <v>53</v>
      </c>
      <c r="AP1991" t="s">
        <v>53</v>
      </c>
    </row>
    <row r="1992" spans="2:42" x14ac:dyDescent="0.2">
      <c r="B1992" t="s">
        <v>44</v>
      </c>
      <c r="C1992" t="str">
        <f>HYPERLINK("https://us2.cloudbeds.com/connect/8493803454333002#/reservations/598218801286?display=E16SUWG6&amp;reservation_id=598218801286", "E16SUWG6")</f>
        <v>E16SUWG6</v>
      </c>
      <c r="D1992" t="s">
        <v>45</v>
      </c>
      <c r="E1992" t="s">
        <v>110</v>
      </c>
      <c r="F1992" t="s">
        <v>47</v>
      </c>
      <c r="G1992" t="s">
        <v>48</v>
      </c>
      <c r="H1992" t="s">
        <v>71</v>
      </c>
      <c r="I1992" t="s">
        <v>72</v>
      </c>
      <c r="J1992" t="s">
        <v>123</v>
      </c>
      <c r="K1992" t="s">
        <v>475</v>
      </c>
      <c r="L1992" t="s">
        <v>53</v>
      </c>
      <c r="N1992" t="s">
        <v>3246</v>
      </c>
      <c r="P1992" t="s">
        <v>55</v>
      </c>
      <c r="R1992" t="s">
        <v>56</v>
      </c>
      <c r="T1992" t="s">
        <v>3236</v>
      </c>
      <c r="U1992" t="s">
        <v>58</v>
      </c>
      <c r="V1992">
        <v>1</v>
      </c>
      <c r="W1992">
        <v>1</v>
      </c>
      <c r="X1992">
        <v>1</v>
      </c>
      <c r="Y1992">
        <v>0</v>
      </c>
      <c r="Z1992">
        <v>1</v>
      </c>
      <c r="AA1992">
        <v>0</v>
      </c>
      <c r="AB1992">
        <v>169.77</v>
      </c>
      <c r="AC1992">
        <v>149.38</v>
      </c>
      <c r="AD1992">
        <v>0</v>
      </c>
      <c r="AE1992">
        <v>20.39</v>
      </c>
      <c r="AF1992">
        <v>0</v>
      </c>
      <c r="AG1992">
        <v>0</v>
      </c>
      <c r="AH1992">
        <v>0</v>
      </c>
      <c r="AI1992">
        <v>0</v>
      </c>
      <c r="AJ1992">
        <v>169.77</v>
      </c>
      <c r="AK1992">
        <v>0</v>
      </c>
      <c r="AL1992" t="s">
        <v>53</v>
      </c>
      <c r="AM1992" t="s">
        <v>53</v>
      </c>
      <c r="AN1992" t="s">
        <v>3247</v>
      </c>
      <c r="AO1992" t="s">
        <v>53</v>
      </c>
      <c r="AP1992" t="s">
        <v>53</v>
      </c>
    </row>
    <row r="1993" spans="2:42" x14ac:dyDescent="0.2">
      <c r="B1993" t="s">
        <v>44</v>
      </c>
      <c r="C1993" t="str">
        <f>HYPERLINK("https://us2.cloudbeds.com/connect/8493803454333002#/reservations/598350434498?display=E1A7USQD&amp;reservation_id=598350434498", "E1A7USQD")</f>
        <v>E1A7USQD</v>
      </c>
      <c r="D1993" t="s">
        <v>45</v>
      </c>
      <c r="E1993" t="s">
        <v>128</v>
      </c>
      <c r="F1993" t="s">
        <v>86</v>
      </c>
      <c r="G1993" t="s">
        <v>48</v>
      </c>
      <c r="H1993" t="s">
        <v>71</v>
      </c>
      <c r="I1993" t="s">
        <v>72</v>
      </c>
      <c r="J1993" t="s">
        <v>123</v>
      </c>
      <c r="K1993" t="s">
        <v>762</v>
      </c>
      <c r="L1993" t="s">
        <v>53</v>
      </c>
      <c r="N1993" t="s">
        <v>3248</v>
      </c>
      <c r="P1993" t="s">
        <v>55</v>
      </c>
      <c r="R1993" t="s">
        <v>56</v>
      </c>
      <c r="T1993" t="s">
        <v>3236</v>
      </c>
      <c r="U1993" t="s">
        <v>58</v>
      </c>
      <c r="V1993">
        <v>2</v>
      </c>
      <c r="W1993">
        <v>1</v>
      </c>
      <c r="X1993">
        <v>1</v>
      </c>
      <c r="Y1993">
        <v>0</v>
      </c>
      <c r="Z1993">
        <v>1</v>
      </c>
      <c r="AA1993">
        <v>0</v>
      </c>
      <c r="AB1993">
        <v>368.23</v>
      </c>
      <c r="AC1993">
        <v>324</v>
      </c>
      <c r="AD1993">
        <v>0</v>
      </c>
      <c r="AE1993">
        <v>44.24</v>
      </c>
      <c r="AF1993">
        <v>0</v>
      </c>
      <c r="AG1993">
        <v>0</v>
      </c>
      <c r="AH1993">
        <v>0</v>
      </c>
      <c r="AI1993">
        <v>0</v>
      </c>
      <c r="AJ1993">
        <v>368.24</v>
      </c>
      <c r="AK1993">
        <v>0.01</v>
      </c>
      <c r="AL1993" t="s">
        <v>53</v>
      </c>
      <c r="AM1993" t="s">
        <v>53</v>
      </c>
      <c r="AN1993" t="s">
        <v>378</v>
      </c>
      <c r="AO1993" t="s">
        <v>53</v>
      </c>
      <c r="AP1993" t="s">
        <v>53</v>
      </c>
    </row>
    <row r="1994" spans="2:42" x14ac:dyDescent="0.2">
      <c r="B1994" t="s">
        <v>44</v>
      </c>
      <c r="C1994" t="str">
        <f>HYPERLINK("https://us2.cloudbeds.com/connect/8493803454333002#/reservations/579217670368?display=DJGBMGZ4&amp;reservation_id=579217670368", "DJGBMGZ4")</f>
        <v>DJGBMGZ4</v>
      </c>
      <c r="D1994" t="s">
        <v>45</v>
      </c>
      <c r="E1994" t="s">
        <v>165</v>
      </c>
      <c r="F1994" t="s">
        <v>61</v>
      </c>
      <c r="G1994" t="s">
        <v>48</v>
      </c>
      <c r="H1994" t="s">
        <v>71</v>
      </c>
      <c r="I1994" t="s">
        <v>72</v>
      </c>
      <c r="J1994" t="s">
        <v>2639</v>
      </c>
      <c r="K1994" t="s">
        <v>3031</v>
      </c>
      <c r="L1994" t="s">
        <v>53</v>
      </c>
      <c r="N1994" t="s">
        <v>3249</v>
      </c>
      <c r="P1994" t="s">
        <v>55</v>
      </c>
      <c r="R1994" t="s">
        <v>56</v>
      </c>
      <c r="T1994" t="s">
        <v>3236</v>
      </c>
      <c r="U1994" t="s">
        <v>58</v>
      </c>
      <c r="V1994">
        <v>2</v>
      </c>
      <c r="W1994">
        <v>1</v>
      </c>
      <c r="X1994">
        <v>1</v>
      </c>
      <c r="Y1994">
        <v>0</v>
      </c>
      <c r="Z1994">
        <v>1</v>
      </c>
      <c r="AA1994">
        <v>0</v>
      </c>
      <c r="AB1994">
        <v>336.4</v>
      </c>
      <c r="AC1994">
        <v>296</v>
      </c>
      <c r="AD1994">
        <v>0</v>
      </c>
      <c r="AE1994">
        <v>40.4</v>
      </c>
      <c r="AF1994">
        <v>0</v>
      </c>
      <c r="AG1994">
        <v>0</v>
      </c>
      <c r="AH1994">
        <v>0</v>
      </c>
      <c r="AI1994">
        <v>0</v>
      </c>
      <c r="AJ1994">
        <v>336.4</v>
      </c>
      <c r="AK1994">
        <v>0</v>
      </c>
      <c r="AL1994" t="s">
        <v>53</v>
      </c>
      <c r="AM1994" t="s">
        <v>53</v>
      </c>
      <c r="AN1994" t="s">
        <v>378</v>
      </c>
      <c r="AO1994" t="s">
        <v>53</v>
      </c>
      <c r="AP1994" t="s">
        <v>53</v>
      </c>
    </row>
    <row r="1995" spans="2:42" x14ac:dyDescent="0.2">
      <c r="B1995" t="s">
        <v>44</v>
      </c>
      <c r="C1995" t="str">
        <f>HYPERLINK("https://us2.cloudbeds.com/connect/8493803454333002#/reservations/598567006412?display=E1FPXA2M&amp;reservation_id=598567006412", "E1FPXA2M")</f>
        <v>E1FPXA2M</v>
      </c>
      <c r="D1995" t="s">
        <v>45</v>
      </c>
      <c r="E1995" t="s">
        <v>305</v>
      </c>
      <c r="F1995" t="s">
        <v>61</v>
      </c>
      <c r="G1995" t="s">
        <v>48</v>
      </c>
      <c r="H1995" t="s">
        <v>49</v>
      </c>
      <c r="I1995" t="s">
        <v>62</v>
      </c>
      <c r="J1995" t="s">
        <v>478</v>
      </c>
      <c r="K1995" t="s">
        <v>236</v>
      </c>
      <c r="L1995" t="s">
        <v>53</v>
      </c>
      <c r="N1995" t="s">
        <v>3250</v>
      </c>
      <c r="P1995" t="s">
        <v>55</v>
      </c>
      <c r="R1995" t="s">
        <v>56</v>
      </c>
      <c r="T1995" t="s">
        <v>3251</v>
      </c>
      <c r="U1995" t="s">
        <v>58</v>
      </c>
      <c r="V1995">
        <v>1</v>
      </c>
      <c r="W1995">
        <v>1</v>
      </c>
      <c r="X1995">
        <v>1</v>
      </c>
      <c r="Y1995">
        <v>0</v>
      </c>
      <c r="Z1995">
        <v>1</v>
      </c>
      <c r="AA1995">
        <v>0</v>
      </c>
      <c r="AB1995">
        <v>172.75</v>
      </c>
      <c r="AC1995">
        <v>152</v>
      </c>
      <c r="AD1995">
        <v>0</v>
      </c>
      <c r="AE1995">
        <v>20.75</v>
      </c>
      <c r="AF1995">
        <v>0</v>
      </c>
      <c r="AG1995">
        <v>0</v>
      </c>
      <c r="AH1995">
        <v>0</v>
      </c>
      <c r="AI1995">
        <v>25.91</v>
      </c>
      <c r="AJ1995">
        <v>172.75</v>
      </c>
      <c r="AK1995">
        <v>0</v>
      </c>
      <c r="AL1995" t="s">
        <v>53</v>
      </c>
      <c r="AM1995" t="s">
        <v>53</v>
      </c>
      <c r="AN1995" t="s">
        <v>413</v>
      </c>
      <c r="AO1995" t="s">
        <v>53</v>
      </c>
      <c r="AP1995" t="s">
        <v>53</v>
      </c>
    </row>
    <row r="1996" spans="2:42" x14ac:dyDescent="0.2">
      <c r="B1996" t="s">
        <v>44</v>
      </c>
      <c r="C1996" t="str">
        <f>HYPERLINK("https://us2.cloudbeds.com/connect/8493803454333002#/reservations/598435934350?display=E1CE1120&amp;reservation_id=598435934350", "E1CE1120")</f>
        <v>E1CE1120</v>
      </c>
      <c r="D1996" t="s">
        <v>45</v>
      </c>
      <c r="E1996" t="s">
        <v>381</v>
      </c>
      <c r="F1996" t="s">
        <v>47</v>
      </c>
      <c r="G1996" t="s">
        <v>48</v>
      </c>
      <c r="H1996" t="s">
        <v>49</v>
      </c>
      <c r="I1996" t="s">
        <v>50</v>
      </c>
      <c r="J1996" t="s">
        <v>1269</v>
      </c>
      <c r="K1996" t="s">
        <v>387</v>
      </c>
      <c r="L1996" t="s">
        <v>53</v>
      </c>
      <c r="N1996" t="s">
        <v>3252</v>
      </c>
      <c r="P1996" t="s">
        <v>55</v>
      </c>
      <c r="R1996" t="s">
        <v>56</v>
      </c>
      <c r="T1996" t="s">
        <v>3251</v>
      </c>
      <c r="U1996" t="s">
        <v>58</v>
      </c>
      <c r="V1996">
        <v>1</v>
      </c>
      <c r="W1996">
        <v>1</v>
      </c>
      <c r="X1996">
        <v>1</v>
      </c>
      <c r="Y1996">
        <v>0</v>
      </c>
      <c r="Z1996">
        <v>1</v>
      </c>
      <c r="AA1996">
        <v>0</v>
      </c>
      <c r="AB1996">
        <v>159.56</v>
      </c>
      <c r="AC1996">
        <v>140.4</v>
      </c>
      <c r="AD1996">
        <v>0</v>
      </c>
      <c r="AE1996">
        <v>19.16</v>
      </c>
      <c r="AF1996">
        <v>0</v>
      </c>
      <c r="AG1996">
        <v>0</v>
      </c>
      <c r="AH1996">
        <v>0</v>
      </c>
      <c r="AI1996">
        <v>28.72</v>
      </c>
      <c r="AJ1996">
        <v>159.56</v>
      </c>
      <c r="AK1996">
        <v>0</v>
      </c>
      <c r="AL1996" t="s">
        <v>53</v>
      </c>
      <c r="AM1996" t="s">
        <v>53</v>
      </c>
      <c r="AN1996" t="s">
        <v>146</v>
      </c>
      <c r="AO1996" t="s">
        <v>53</v>
      </c>
      <c r="AP1996" t="s">
        <v>53</v>
      </c>
    </row>
    <row r="1997" spans="2:42" x14ac:dyDescent="0.2">
      <c r="B1997" t="s">
        <v>44</v>
      </c>
      <c r="C1997" t="str">
        <f>HYPERLINK("https://us2.cloudbeds.com/connect/8493803454333002#/reservations/598174335121?display=E15ZEYCK&amp;reservation_id=598174335121", "E15ZEYCK")</f>
        <v>E15ZEYCK</v>
      </c>
      <c r="D1997" t="s">
        <v>45</v>
      </c>
      <c r="E1997" t="s">
        <v>305</v>
      </c>
      <c r="F1997" t="s">
        <v>61</v>
      </c>
      <c r="G1997" t="s">
        <v>48</v>
      </c>
      <c r="H1997" t="s">
        <v>49</v>
      </c>
      <c r="I1997" t="s">
        <v>79</v>
      </c>
      <c r="J1997" t="s">
        <v>475</v>
      </c>
      <c r="K1997" t="s">
        <v>762</v>
      </c>
      <c r="L1997" t="s">
        <v>53</v>
      </c>
      <c r="N1997" t="s">
        <v>3253</v>
      </c>
      <c r="P1997" t="s">
        <v>55</v>
      </c>
      <c r="R1997" t="s">
        <v>56</v>
      </c>
      <c r="T1997" t="s">
        <v>3251</v>
      </c>
      <c r="U1997" t="s">
        <v>58</v>
      </c>
      <c r="V1997">
        <v>1</v>
      </c>
      <c r="W1997">
        <v>1</v>
      </c>
      <c r="X1997">
        <v>1</v>
      </c>
      <c r="Y1997">
        <v>0</v>
      </c>
      <c r="Z1997">
        <v>1</v>
      </c>
      <c r="AA1997">
        <v>0</v>
      </c>
      <c r="AB1997">
        <v>155.47</v>
      </c>
      <c r="AC1997">
        <v>136.80000000000001</v>
      </c>
      <c r="AD1997">
        <v>0</v>
      </c>
      <c r="AE1997">
        <v>18.68</v>
      </c>
      <c r="AF1997">
        <v>0</v>
      </c>
      <c r="AG1997">
        <v>0</v>
      </c>
      <c r="AH1997">
        <v>0</v>
      </c>
      <c r="AI1997">
        <v>0</v>
      </c>
      <c r="AJ1997">
        <v>155.47999999999999</v>
      </c>
      <c r="AK1997">
        <v>0.01</v>
      </c>
      <c r="AL1997" t="s">
        <v>53</v>
      </c>
      <c r="AM1997" t="s">
        <v>53</v>
      </c>
      <c r="AN1997" t="s">
        <v>332</v>
      </c>
      <c r="AO1997" t="s">
        <v>53</v>
      </c>
      <c r="AP1997" t="s">
        <v>53</v>
      </c>
    </row>
    <row r="1998" spans="2:42" x14ac:dyDescent="0.2">
      <c r="B1998" t="s">
        <v>44</v>
      </c>
      <c r="C1998" t="str">
        <f>HYPERLINK("https://us2.cloudbeds.com/connect/8493803454333002#/reservations/598493278405?display=E1DTCNJY&amp;reservation_id=598493278405", "E1DTCNJY")</f>
        <v>E1DTCNJY</v>
      </c>
      <c r="D1998" t="s">
        <v>45</v>
      </c>
      <c r="E1998" t="s">
        <v>155</v>
      </c>
      <c r="F1998" t="s">
        <v>86</v>
      </c>
      <c r="G1998" t="s">
        <v>48</v>
      </c>
      <c r="H1998" t="s">
        <v>49</v>
      </c>
      <c r="I1998" t="s">
        <v>79</v>
      </c>
      <c r="J1998" t="s">
        <v>475</v>
      </c>
      <c r="K1998" t="s">
        <v>762</v>
      </c>
      <c r="L1998" t="s">
        <v>53</v>
      </c>
      <c r="N1998" t="s">
        <v>3254</v>
      </c>
      <c r="P1998" t="s">
        <v>55</v>
      </c>
      <c r="R1998" t="s">
        <v>56</v>
      </c>
      <c r="T1998" t="s">
        <v>3251</v>
      </c>
      <c r="U1998" t="s">
        <v>58</v>
      </c>
      <c r="V1998">
        <v>1</v>
      </c>
      <c r="W1998">
        <v>1</v>
      </c>
      <c r="X1998">
        <v>1</v>
      </c>
      <c r="Y1998">
        <v>0</v>
      </c>
      <c r="Z1998">
        <v>1</v>
      </c>
      <c r="AA1998">
        <v>0</v>
      </c>
      <c r="AB1998">
        <v>162.63</v>
      </c>
      <c r="AC1998">
        <v>143.1</v>
      </c>
      <c r="AD1998">
        <v>0</v>
      </c>
      <c r="AE1998">
        <v>19.53</v>
      </c>
      <c r="AF1998">
        <v>0</v>
      </c>
      <c r="AG1998">
        <v>0</v>
      </c>
      <c r="AH1998">
        <v>0</v>
      </c>
      <c r="AI1998">
        <v>0</v>
      </c>
      <c r="AJ1998">
        <v>162.63</v>
      </c>
      <c r="AK1998">
        <v>0</v>
      </c>
      <c r="AL1998" t="s">
        <v>53</v>
      </c>
      <c r="AM1998" t="s">
        <v>53</v>
      </c>
      <c r="AN1998" t="s">
        <v>142</v>
      </c>
      <c r="AO1998" t="s">
        <v>53</v>
      </c>
      <c r="AP1998" t="s">
        <v>53</v>
      </c>
    </row>
    <row r="1999" spans="2:42" x14ac:dyDescent="0.2">
      <c r="B1999" t="s">
        <v>44</v>
      </c>
      <c r="C1999" t="str">
        <f>HYPERLINK("https://us2.cloudbeds.com/connect/8493803454333002#/reservations/598376714418?display=E1AU34VJ&amp;reservation_id=598376714418", "E1AU34VJ")</f>
        <v>E1AU34VJ</v>
      </c>
      <c r="D1999" t="s">
        <v>45</v>
      </c>
      <c r="E1999" t="s">
        <v>373</v>
      </c>
      <c r="F1999" t="s">
        <v>47</v>
      </c>
      <c r="G1999" t="s">
        <v>48</v>
      </c>
      <c r="H1999" t="s">
        <v>71</v>
      </c>
      <c r="I1999" t="s">
        <v>72</v>
      </c>
      <c r="J1999" t="s">
        <v>475</v>
      </c>
      <c r="K1999" t="s">
        <v>762</v>
      </c>
      <c r="L1999" t="s">
        <v>53</v>
      </c>
      <c r="N1999" t="s">
        <v>3255</v>
      </c>
      <c r="P1999" t="s">
        <v>55</v>
      </c>
      <c r="R1999" t="s">
        <v>56</v>
      </c>
      <c r="T1999" t="s">
        <v>3251</v>
      </c>
      <c r="U1999" t="s">
        <v>58</v>
      </c>
      <c r="V1999">
        <v>1</v>
      </c>
      <c r="W1999">
        <v>1</v>
      </c>
      <c r="X1999">
        <v>1</v>
      </c>
      <c r="Y1999">
        <v>0</v>
      </c>
      <c r="Z1999">
        <v>1</v>
      </c>
      <c r="AA1999">
        <v>0</v>
      </c>
      <c r="AB1999">
        <v>157.97</v>
      </c>
      <c r="AC1999">
        <v>139</v>
      </c>
      <c r="AD1999">
        <v>0</v>
      </c>
      <c r="AE1999">
        <v>18.98</v>
      </c>
      <c r="AF1999">
        <v>0</v>
      </c>
      <c r="AG1999">
        <v>0</v>
      </c>
      <c r="AH1999">
        <v>0</v>
      </c>
      <c r="AI1999">
        <v>0</v>
      </c>
      <c r="AJ1999">
        <v>157.97999999999999</v>
      </c>
      <c r="AK1999">
        <v>0.01</v>
      </c>
      <c r="AL1999" t="s">
        <v>53</v>
      </c>
      <c r="AM1999" t="s">
        <v>53</v>
      </c>
      <c r="AN1999" t="s">
        <v>3256</v>
      </c>
      <c r="AO1999" t="s">
        <v>53</v>
      </c>
      <c r="AP1999" t="s">
        <v>53</v>
      </c>
    </row>
    <row r="2000" spans="2:42" x14ac:dyDescent="0.2">
      <c r="B2000" t="s">
        <v>44</v>
      </c>
      <c r="C2000" t="str">
        <f>HYPERLINK("https://us2.cloudbeds.com/connect/8493803454333002#/reservations/597956604078?display=E105RVN8&amp;reservation_id=597956604078", "E105RVN8")</f>
        <v>E105RVN8</v>
      </c>
      <c r="D2000" t="s">
        <v>45</v>
      </c>
      <c r="E2000" t="s">
        <v>487</v>
      </c>
      <c r="F2000" t="s">
        <v>61</v>
      </c>
      <c r="G2000" t="s">
        <v>48</v>
      </c>
      <c r="H2000" t="s">
        <v>71</v>
      </c>
      <c r="I2000" t="s">
        <v>72</v>
      </c>
      <c r="J2000" t="s">
        <v>762</v>
      </c>
      <c r="K2000" t="s">
        <v>478</v>
      </c>
      <c r="L2000" t="s">
        <v>53</v>
      </c>
      <c r="N2000" t="s">
        <v>3257</v>
      </c>
      <c r="P2000" t="s">
        <v>55</v>
      </c>
      <c r="R2000" t="s">
        <v>56</v>
      </c>
      <c r="T2000" t="s">
        <v>3251</v>
      </c>
      <c r="U2000" t="s">
        <v>58</v>
      </c>
      <c r="V2000">
        <v>2</v>
      </c>
      <c r="W2000">
        <v>1</v>
      </c>
      <c r="X2000">
        <v>1</v>
      </c>
      <c r="Y2000">
        <v>0</v>
      </c>
      <c r="Z2000">
        <v>1</v>
      </c>
      <c r="AA2000">
        <v>0</v>
      </c>
      <c r="AB2000">
        <v>331.86</v>
      </c>
      <c r="AC2000">
        <v>292</v>
      </c>
      <c r="AD2000">
        <v>0</v>
      </c>
      <c r="AE2000">
        <v>39.86</v>
      </c>
      <c r="AF2000">
        <v>0</v>
      </c>
      <c r="AG2000">
        <v>0</v>
      </c>
      <c r="AH2000">
        <v>0</v>
      </c>
      <c r="AI2000">
        <v>0</v>
      </c>
      <c r="AJ2000">
        <v>331.86</v>
      </c>
      <c r="AK2000">
        <v>0</v>
      </c>
      <c r="AL2000" t="s">
        <v>53</v>
      </c>
      <c r="AM2000" t="s">
        <v>53</v>
      </c>
      <c r="AN2000" t="s">
        <v>683</v>
      </c>
      <c r="AO2000" t="s">
        <v>53</v>
      </c>
      <c r="AP2000" t="s">
        <v>53</v>
      </c>
    </row>
    <row r="2001" spans="2:42" x14ac:dyDescent="0.2">
      <c r="B2001" t="s">
        <v>44</v>
      </c>
      <c r="C2001" t="str">
        <f>HYPERLINK("https://us2.cloudbeds.com/connect/8493803454333002#/reservations/597930799252?display=E0WH2TQR&amp;reservation_id=597930799252", "E0WH2TQR")</f>
        <v>E0WH2TQR</v>
      </c>
      <c r="D2001" t="s">
        <v>45</v>
      </c>
      <c r="E2001" t="s">
        <v>179</v>
      </c>
      <c r="F2001" t="s">
        <v>47</v>
      </c>
      <c r="G2001" t="s">
        <v>48</v>
      </c>
      <c r="H2001" t="s">
        <v>49</v>
      </c>
      <c r="I2001" t="s">
        <v>50</v>
      </c>
      <c r="J2001" t="s">
        <v>356</v>
      </c>
      <c r="K2001" t="s">
        <v>478</v>
      </c>
      <c r="L2001" t="s">
        <v>53</v>
      </c>
      <c r="N2001" t="s">
        <v>3258</v>
      </c>
      <c r="P2001" t="s">
        <v>55</v>
      </c>
      <c r="R2001" t="s">
        <v>56</v>
      </c>
      <c r="T2001" t="s">
        <v>3251</v>
      </c>
      <c r="U2001" t="s">
        <v>58</v>
      </c>
      <c r="V2001">
        <v>1</v>
      </c>
      <c r="W2001">
        <v>1</v>
      </c>
      <c r="X2001">
        <v>1</v>
      </c>
      <c r="Y2001">
        <v>0</v>
      </c>
      <c r="Z2001">
        <v>1</v>
      </c>
      <c r="AA2001">
        <v>0</v>
      </c>
      <c r="AB2001">
        <v>146.27000000000001</v>
      </c>
      <c r="AC2001">
        <v>128.69999999999999</v>
      </c>
      <c r="AD2001">
        <v>0</v>
      </c>
      <c r="AE2001">
        <v>17.559999999999999</v>
      </c>
      <c r="AF2001">
        <v>0</v>
      </c>
      <c r="AG2001">
        <v>0</v>
      </c>
      <c r="AH2001">
        <v>0</v>
      </c>
      <c r="AI2001">
        <v>26.33</v>
      </c>
      <c r="AJ2001">
        <v>146.26</v>
      </c>
      <c r="AK2001">
        <v>-0.01</v>
      </c>
      <c r="AL2001" t="s">
        <v>53</v>
      </c>
      <c r="AM2001" t="s">
        <v>53</v>
      </c>
      <c r="AN2001" t="s">
        <v>3259</v>
      </c>
      <c r="AO2001" t="s">
        <v>53</v>
      </c>
      <c r="AP2001" t="s">
        <v>53</v>
      </c>
    </row>
    <row r="2002" spans="2:42" x14ac:dyDescent="0.2">
      <c r="B2002" t="s">
        <v>44</v>
      </c>
      <c r="C2002" t="str">
        <f>HYPERLINK("https://us2.cloudbeds.com/connect/8493803454333002#/reservations/598389420231?display=E1B7QNC8&amp;reservation_id=598389420231", "E1B7QNC8")</f>
        <v>E1B7QNC8</v>
      </c>
      <c r="D2002" t="s">
        <v>45</v>
      </c>
      <c r="E2002" t="s">
        <v>213</v>
      </c>
      <c r="F2002" t="s">
        <v>86</v>
      </c>
      <c r="G2002" t="s">
        <v>48</v>
      </c>
      <c r="H2002" t="s">
        <v>71</v>
      </c>
      <c r="I2002" t="s">
        <v>72</v>
      </c>
      <c r="J2002" t="s">
        <v>475</v>
      </c>
      <c r="K2002" t="s">
        <v>762</v>
      </c>
      <c r="L2002" t="s">
        <v>53</v>
      </c>
      <c r="N2002" t="s">
        <v>3260</v>
      </c>
      <c r="P2002" t="s">
        <v>55</v>
      </c>
      <c r="R2002" t="s">
        <v>56</v>
      </c>
      <c r="T2002" t="s">
        <v>3251</v>
      </c>
      <c r="U2002" t="s">
        <v>58</v>
      </c>
      <c r="V2002">
        <v>1</v>
      </c>
      <c r="W2002">
        <v>1</v>
      </c>
      <c r="X2002">
        <v>1</v>
      </c>
      <c r="Y2002">
        <v>0</v>
      </c>
      <c r="Z2002">
        <v>1</v>
      </c>
      <c r="AA2002">
        <v>0</v>
      </c>
      <c r="AB2002">
        <v>175.02</v>
      </c>
      <c r="AC2002">
        <v>154</v>
      </c>
      <c r="AD2002">
        <v>0</v>
      </c>
      <c r="AE2002">
        <v>21.03</v>
      </c>
      <c r="AF2002">
        <v>0</v>
      </c>
      <c r="AG2002">
        <v>0</v>
      </c>
      <c r="AH2002">
        <v>0</v>
      </c>
      <c r="AI2002">
        <v>0</v>
      </c>
      <c r="AJ2002">
        <v>175.03</v>
      </c>
      <c r="AK2002">
        <v>0.01</v>
      </c>
      <c r="AL2002" t="s">
        <v>53</v>
      </c>
      <c r="AM2002" t="s">
        <v>53</v>
      </c>
      <c r="AN2002" t="s">
        <v>378</v>
      </c>
      <c r="AO2002" t="s">
        <v>53</v>
      </c>
      <c r="AP2002" t="s">
        <v>53</v>
      </c>
    </row>
    <row r="2003" spans="2:42" x14ac:dyDescent="0.2">
      <c r="B2003" t="s">
        <v>44</v>
      </c>
      <c r="C2003" t="str">
        <f>HYPERLINK("https://us2.cloudbeds.com/connect/8493803454333002#/reservations/598271860918?display=E187MEZR&amp;reservation_id=598271860918", "E187MEZR")</f>
        <v>E187MEZR</v>
      </c>
      <c r="D2003" t="s">
        <v>45</v>
      </c>
      <c r="E2003" t="s">
        <v>92</v>
      </c>
      <c r="F2003" t="s">
        <v>86</v>
      </c>
      <c r="G2003" t="s">
        <v>48</v>
      </c>
      <c r="H2003" t="s">
        <v>49</v>
      </c>
      <c r="I2003" t="s">
        <v>50</v>
      </c>
      <c r="J2003" t="s">
        <v>475</v>
      </c>
      <c r="K2003" t="s">
        <v>762</v>
      </c>
      <c r="L2003" t="s">
        <v>53</v>
      </c>
      <c r="N2003" t="s">
        <v>3261</v>
      </c>
      <c r="P2003" t="s">
        <v>55</v>
      </c>
      <c r="R2003" t="s">
        <v>56</v>
      </c>
      <c r="T2003" t="s">
        <v>3251</v>
      </c>
      <c r="U2003" t="s">
        <v>58</v>
      </c>
      <c r="V2003">
        <v>1</v>
      </c>
      <c r="W2003">
        <v>1</v>
      </c>
      <c r="X2003">
        <v>1</v>
      </c>
      <c r="Y2003">
        <v>0</v>
      </c>
      <c r="Z2003">
        <v>1</v>
      </c>
      <c r="AA2003">
        <v>0</v>
      </c>
      <c r="AB2003">
        <v>162.63</v>
      </c>
      <c r="AC2003">
        <v>143.1</v>
      </c>
      <c r="AD2003">
        <v>0</v>
      </c>
      <c r="AE2003">
        <v>19.53</v>
      </c>
      <c r="AF2003">
        <v>0</v>
      </c>
      <c r="AG2003">
        <v>0</v>
      </c>
      <c r="AH2003">
        <v>0</v>
      </c>
      <c r="AI2003">
        <v>29.27</v>
      </c>
      <c r="AJ2003">
        <v>162.63</v>
      </c>
      <c r="AK2003">
        <v>0</v>
      </c>
      <c r="AL2003" t="s">
        <v>53</v>
      </c>
      <c r="AM2003" t="s">
        <v>53</v>
      </c>
      <c r="AN2003" t="s">
        <v>159</v>
      </c>
      <c r="AO2003" t="s">
        <v>53</v>
      </c>
      <c r="AP2003" t="s">
        <v>53</v>
      </c>
    </row>
    <row r="2004" spans="2:42" x14ac:dyDescent="0.2">
      <c r="B2004" t="s">
        <v>44</v>
      </c>
      <c r="C2004" t="str">
        <f>HYPERLINK("https://us2.cloudbeds.com/connect/8493803454333002#/reservations/598450004129?display=E1CPTHVV&amp;reservation_id=598450004129", "E1CPTHVV")</f>
        <v>E1CPTHVV</v>
      </c>
      <c r="D2004" t="s">
        <v>45</v>
      </c>
      <c r="E2004" t="s">
        <v>138</v>
      </c>
      <c r="F2004" t="s">
        <v>70</v>
      </c>
      <c r="G2004" t="s">
        <v>48</v>
      </c>
      <c r="H2004" t="s">
        <v>49</v>
      </c>
      <c r="I2004" t="s">
        <v>79</v>
      </c>
      <c r="J2004" t="s">
        <v>351</v>
      </c>
      <c r="K2004" t="s">
        <v>99</v>
      </c>
      <c r="L2004" t="s">
        <v>53</v>
      </c>
      <c r="N2004" t="s">
        <v>3262</v>
      </c>
      <c r="P2004" t="s">
        <v>55</v>
      </c>
      <c r="R2004" t="s">
        <v>56</v>
      </c>
      <c r="T2004" t="s">
        <v>3251</v>
      </c>
      <c r="U2004" t="s">
        <v>58</v>
      </c>
      <c r="V2004">
        <v>1</v>
      </c>
      <c r="W2004">
        <v>1</v>
      </c>
      <c r="X2004">
        <v>1</v>
      </c>
      <c r="Y2004">
        <v>0</v>
      </c>
      <c r="Z2004">
        <v>1</v>
      </c>
      <c r="AA2004">
        <v>0</v>
      </c>
      <c r="AB2004">
        <v>150.36000000000001</v>
      </c>
      <c r="AC2004">
        <v>132.30000000000001</v>
      </c>
      <c r="AD2004">
        <v>0</v>
      </c>
      <c r="AE2004">
        <v>18.07</v>
      </c>
      <c r="AF2004">
        <v>0</v>
      </c>
      <c r="AG2004">
        <v>0</v>
      </c>
      <c r="AH2004">
        <v>0</v>
      </c>
      <c r="AI2004">
        <v>0</v>
      </c>
      <c r="AJ2004">
        <v>150.37</v>
      </c>
      <c r="AK2004">
        <v>0.01</v>
      </c>
      <c r="AL2004" t="s">
        <v>53</v>
      </c>
      <c r="AM2004" t="s">
        <v>53</v>
      </c>
      <c r="AN2004" t="s">
        <v>112</v>
      </c>
      <c r="AO2004" t="s">
        <v>53</v>
      </c>
      <c r="AP2004" t="s">
        <v>53</v>
      </c>
    </row>
    <row r="2005" spans="2:42" x14ac:dyDescent="0.2">
      <c r="B2005" t="s">
        <v>44</v>
      </c>
      <c r="C2005" t="str">
        <f>HYPERLINK("https://us2.cloudbeds.com/connect/8493803454333002#/reservations/598462607570?display=E1D3H8CD&amp;reservation_id=598462607570", "E1D3H8CD")</f>
        <v>E1D3H8CD</v>
      </c>
      <c r="D2005" t="s">
        <v>45</v>
      </c>
      <c r="E2005" t="s">
        <v>46</v>
      </c>
      <c r="F2005" t="s">
        <v>47</v>
      </c>
      <c r="G2005" t="s">
        <v>48</v>
      </c>
      <c r="H2005" t="s">
        <v>49</v>
      </c>
      <c r="I2005" t="s">
        <v>79</v>
      </c>
      <c r="J2005" t="s">
        <v>1568</v>
      </c>
      <c r="K2005" t="s">
        <v>1822</v>
      </c>
      <c r="L2005" t="s">
        <v>53</v>
      </c>
      <c r="N2005" t="s">
        <v>3263</v>
      </c>
      <c r="P2005" t="s">
        <v>55</v>
      </c>
      <c r="R2005" t="s">
        <v>56</v>
      </c>
      <c r="T2005" t="s">
        <v>3251</v>
      </c>
      <c r="U2005" t="s">
        <v>58</v>
      </c>
      <c r="V2005">
        <v>2</v>
      </c>
      <c r="W2005">
        <v>1</v>
      </c>
      <c r="X2005">
        <v>1</v>
      </c>
      <c r="Y2005">
        <v>0</v>
      </c>
      <c r="Z2005">
        <v>1</v>
      </c>
      <c r="AA2005">
        <v>0</v>
      </c>
      <c r="AB2005">
        <v>333.45</v>
      </c>
      <c r="AC2005">
        <v>293.39999999999998</v>
      </c>
      <c r="AD2005">
        <v>0</v>
      </c>
      <c r="AE2005">
        <v>40.020000000000003</v>
      </c>
      <c r="AF2005">
        <v>0</v>
      </c>
      <c r="AG2005">
        <v>0</v>
      </c>
      <c r="AH2005">
        <v>0</v>
      </c>
      <c r="AI2005">
        <v>0</v>
      </c>
      <c r="AJ2005">
        <v>333.42</v>
      </c>
      <c r="AK2005">
        <v>-0.03</v>
      </c>
      <c r="AL2005" t="s">
        <v>53</v>
      </c>
      <c r="AM2005" t="s">
        <v>53</v>
      </c>
      <c r="AN2005" t="s">
        <v>159</v>
      </c>
      <c r="AO2005" t="s">
        <v>53</v>
      </c>
      <c r="AP2005" t="s">
        <v>53</v>
      </c>
    </row>
    <row r="2006" spans="2:42" x14ac:dyDescent="0.2">
      <c r="B2006" t="s">
        <v>44</v>
      </c>
      <c r="C2006" t="str">
        <f>HYPERLINK("https://us2.cloudbeds.com/connect/8493803454333002#/reservations/598595756216?display=E1GGQA8Q&amp;reservation_id=598595756216", "E1GGQA8Q")</f>
        <v>E1GGQA8Q</v>
      </c>
      <c r="D2006" t="s">
        <v>45</v>
      </c>
      <c r="E2006" t="s">
        <v>69</v>
      </c>
      <c r="F2006" t="s">
        <v>70</v>
      </c>
      <c r="G2006" t="s">
        <v>48</v>
      </c>
      <c r="H2006" t="s">
        <v>49</v>
      </c>
      <c r="I2006" t="s">
        <v>79</v>
      </c>
      <c r="J2006" t="s">
        <v>446</v>
      </c>
      <c r="K2006" t="s">
        <v>1792</v>
      </c>
      <c r="L2006" t="s">
        <v>53</v>
      </c>
      <c r="N2006" t="s">
        <v>3264</v>
      </c>
      <c r="P2006" t="s">
        <v>55</v>
      </c>
      <c r="R2006" t="s">
        <v>56</v>
      </c>
      <c r="T2006" t="s">
        <v>3251</v>
      </c>
      <c r="U2006" t="s">
        <v>58</v>
      </c>
      <c r="V2006">
        <v>1</v>
      </c>
      <c r="W2006">
        <v>1</v>
      </c>
      <c r="X2006">
        <v>1</v>
      </c>
      <c r="Y2006">
        <v>0</v>
      </c>
      <c r="Z2006">
        <v>1</v>
      </c>
      <c r="AA2006">
        <v>0</v>
      </c>
      <c r="AB2006">
        <v>155.97999999999999</v>
      </c>
      <c r="AC2006">
        <v>137.25</v>
      </c>
      <c r="AD2006">
        <v>0</v>
      </c>
      <c r="AE2006">
        <v>18.739999999999998</v>
      </c>
      <c r="AF2006">
        <v>0</v>
      </c>
      <c r="AG2006">
        <v>0</v>
      </c>
      <c r="AH2006">
        <v>0</v>
      </c>
      <c r="AI2006">
        <v>0</v>
      </c>
      <c r="AJ2006">
        <v>155.99</v>
      </c>
      <c r="AK2006">
        <v>0.01</v>
      </c>
      <c r="AL2006" t="s">
        <v>53</v>
      </c>
      <c r="AM2006" t="s">
        <v>53</v>
      </c>
      <c r="AN2006" t="s">
        <v>316</v>
      </c>
      <c r="AO2006" t="s">
        <v>53</v>
      </c>
      <c r="AP2006" t="s">
        <v>53</v>
      </c>
    </row>
    <row r="2007" spans="2:42" x14ac:dyDescent="0.2">
      <c r="B2007" t="s">
        <v>44</v>
      </c>
      <c r="C2007" t="str">
        <f>HYPERLINK("https://us2.cloudbeds.com/connect/8493803454333002#/reservations/598461427858?display=E1D2HE2X&amp;reservation_id=598461427858", "E1D2HE2X")</f>
        <v>E1D2HE2X</v>
      </c>
      <c r="D2007" t="s">
        <v>45</v>
      </c>
      <c r="E2007" t="s">
        <v>138</v>
      </c>
      <c r="F2007" t="s">
        <v>70</v>
      </c>
      <c r="G2007" t="s">
        <v>48</v>
      </c>
      <c r="H2007" t="s">
        <v>49</v>
      </c>
      <c r="I2007" t="s">
        <v>62</v>
      </c>
      <c r="J2007" t="s">
        <v>99</v>
      </c>
      <c r="K2007" t="s">
        <v>323</v>
      </c>
      <c r="L2007" t="s">
        <v>53</v>
      </c>
      <c r="N2007" t="s">
        <v>3265</v>
      </c>
      <c r="P2007" t="s">
        <v>55</v>
      </c>
      <c r="R2007" t="s">
        <v>56</v>
      </c>
      <c r="T2007" t="s">
        <v>3266</v>
      </c>
      <c r="U2007" t="s">
        <v>58</v>
      </c>
      <c r="V2007">
        <v>1</v>
      </c>
      <c r="W2007">
        <v>1</v>
      </c>
      <c r="X2007">
        <v>1</v>
      </c>
      <c r="Y2007">
        <v>0</v>
      </c>
      <c r="Z2007">
        <v>1</v>
      </c>
      <c r="AA2007">
        <v>0</v>
      </c>
      <c r="AB2007">
        <v>167.07</v>
      </c>
      <c r="AC2007">
        <v>147</v>
      </c>
      <c r="AD2007">
        <v>0</v>
      </c>
      <c r="AE2007">
        <v>20.07</v>
      </c>
      <c r="AF2007">
        <v>0</v>
      </c>
      <c r="AG2007">
        <v>0</v>
      </c>
      <c r="AH2007">
        <v>0</v>
      </c>
      <c r="AI2007">
        <v>25.06</v>
      </c>
      <c r="AJ2007">
        <v>167.07</v>
      </c>
      <c r="AK2007">
        <v>0</v>
      </c>
      <c r="AL2007" t="s">
        <v>53</v>
      </c>
      <c r="AM2007" t="s">
        <v>53</v>
      </c>
      <c r="AN2007" t="s">
        <v>280</v>
      </c>
      <c r="AO2007" t="s">
        <v>53</v>
      </c>
      <c r="AP2007" t="s">
        <v>53</v>
      </c>
    </row>
    <row r="2008" spans="2:42" x14ac:dyDescent="0.2">
      <c r="B2008" t="s">
        <v>44</v>
      </c>
      <c r="C2008" t="str">
        <f>HYPERLINK("https://us2.cloudbeds.com/connect/8493803454333002#/reservations/579316621525?display=DJXT3VW3&amp;reservation_id=579316621525", "DJXT3VW3")</f>
        <v>DJXT3VW3</v>
      </c>
      <c r="D2008" t="s">
        <v>45</v>
      </c>
      <c r="E2008" t="s">
        <v>121</v>
      </c>
      <c r="F2008" t="s">
        <v>86</v>
      </c>
      <c r="G2008" t="s">
        <v>48</v>
      </c>
      <c r="H2008" t="s">
        <v>49</v>
      </c>
      <c r="I2008" t="s">
        <v>62</v>
      </c>
      <c r="J2008" t="s">
        <v>1140</v>
      </c>
      <c r="K2008" t="s">
        <v>2039</v>
      </c>
      <c r="L2008" t="s">
        <v>53</v>
      </c>
      <c r="N2008" t="s">
        <v>3267</v>
      </c>
      <c r="P2008" t="s">
        <v>55</v>
      </c>
      <c r="R2008" t="s">
        <v>56</v>
      </c>
      <c r="T2008" t="s">
        <v>3266</v>
      </c>
      <c r="U2008" t="s">
        <v>58</v>
      </c>
      <c r="V2008">
        <v>1</v>
      </c>
      <c r="W2008">
        <v>1</v>
      </c>
      <c r="X2008">
        <v>1</v>
      </c>
      <c r="Y2008">
        <v>0</v>
      </c>
      <c r="Z2008">
        <v>1</v>
      </c>
      <c r="AA2008">
        <v>181.84</v>
      </c>
      <c r="AB2008">
        <v>363.68</v>
      </c>
      <c r="AC2008">
        <v>320</v>
      </c>
      <c r="AD2008">
        <v>0</v>
      </c>
      <c r="AE2008">
        <v>43.68</v>
      </c>
      <c r="AF2008">
        <v>0</v>
      </c>
      <c r="AG2008">
        <v>0</v>
      </c>
      <c r="AH2008">
        <v>0</v>
      </c>
      <c r="AI2008">
        <v>65.459999999999994</v>
      </c>
      <c r="AJ2008">
        <v>363.68</v>
      </c>
      <c r="AK2008">
        <v>0</v>
      </c>
      <c r="AL2008" t="s">
        <v>53</v>
      </c>
      <c r="AM2008" t="s">
        <v>53</v>
      </c>
      <c r="AN2008" t="s">
        <v>280</v>
      </c>
      <c r="AO2008" t="s">
        <v>53</v>
      </c>
      <c r="AP2008" t="s">
        <v>53</v>
      </c>
    </row>
    <row r="2009" spans="2:42" x14ac:dyDescent="0.2">
      <c r="B2009" t="s">
        <v>44</v>
      </c>
      <c r="C2009" t="str">
        <f>HYPERLINK("https://us2.cloudbeds.com/connect/8493803454333002#/reservations/598505283764?display=E1E6GPQB&amp;reservation_id=598505283764", "E1E6GPQB")</f>
        <v>E1E6GPQB</v>
      </c>
      <c r="D2009" t="s">
        <v>45</v>
      </c>
      <c r="E2009" t="s">
        <v>223</v>
      </c>
      <c r="F2009" t="s">
        <v>47</v>
      </c>
      <c r="G2009" t="s">
        <v>48</v>
      </c>
      <c r="H2009" t="s">
        <v>49</v>
      </c>
      <c r="I2009" t="s">
        <v>50</v>
      </c>
      <c r="J2009" t="s">
        <v>1633</v>
      </c>
      <c r="K2009" t="s">
        <v>2102</v>
      </c>
      <c r="L2009" t="s">
        <v>53</v>
      </c>
      <c r="N2009" t="s">
        <v>3268</v>
      </c>
      <c r="P2009" t="s">
        <v>55</v>
      </c>
      <c r="R2009" t="s">
        <v>56</v>
      </c>
      <c r="T2009" t="s">
        <v>3266</v>
      </c>
      <c r="U2009" t="s">
        <v>58</v>
      </c>
      <c r="V2009">
        <v>2</v>
      </c>
      <c r="W2009">
        <v>1</v>
      </c>
      <c r="X2009">
        <v>1</v>
      </c>
      <c r="Y2009">
        <v>0</v>
      </c>
      <c r="Z2009">
        <v>1</v>
      </c>
      <c r="AA2009">
        <v>0</v>
      </c>
      <c r="AB2009">
        <v>315.55</v>
      </c>
      <c r="AC2009">
        <v>277.64999999999998</v>
      </c>
      <c r="AD2009">
        <v>0</v>
      </c>
      <c r="AE2009">
        <v>37.92</v>
      </c>
      <c r="AF2009">
        <v>0</v>
      </c>
      <c r="AG2009">
        <v>0</v>
      </c>
      <c r="AH2009">
        <v>0</v>
      </c>
      <c r="AI2009">
        <v>56.8</v>
      </c>
      <c r="AJ2009">
        <v>315.57</v>
      </c>
      <c r="AK2009">
        <v>0.02</v>
      </c>
      <c r="AL2009" t="s">
        <v>53</v>
      </c>
      <c r="AM2009" t="s">
        <v>53</v>
      </c>
      <c r="AN2009" t="s">
        <v>59</v>
      </c>
      <c r="AO2009" t="s">
        <v>53</v>
      </c>
      <c r="AP2009" t="s">
        <v>53</v>
      </c>
    </row>
    <row r="2010" spans="2:42" x14ac:dyDescent="0.2">
      <c r="B2010" t="s">
        <v>44</v>
      </c>
      <c r="C2010" t="str">
        <f>HYPERLINK("https://us2.cloudbeds.com/connect/8493803454333002#/reservations/598586151144?display=E1G8N162&amp;reservation_id=598586151144", "E1G8N162")</f>
        <v>E1G8N162</v>
      </c>
      <c r="D2010" t="s">
        <v>45</v>
      </c>
      <c r="E2010" t="s">
        <v>121</v>
      </c>
      <c r="F2010" t="s">
        <v>86</v>
      </c>
      <c r="G2010" t="s">
        <v>48</v>
      </c>
      <c r="H2010" t="s">
        <v>49</v>
      </c>
      <c r="I2010" t="s">
        <v>50</v>
      </c>
      <c r="J2010" t="s">
        <v>1269</v>
      </c>
      <c r="K2010" t="s">
        <v>387</v>
      </c>
      <c r="L2010" t="s">
        <v>53</v>
      </c>
      <c r="N2010" t="s">
        <v>3269</v>
      </c>
      <c r="P2010" t="s">
        <v>55</v>
      </c>
      <c r="R2010" t="s">
        <v>56</v>
      </c>
      <c r="T2010" t="s">
        <v>3266</v>
      </c>
      <c r="U2010" t="s">
        <v>58</v>
      </c>
      <c r="V2010">
        <v>1</v>
      </c>
      <c r="W2010">
        <v>1</v>
      </c>
      <c r="X2010">
        <v>1</v>
      </c>
      <c r="Y2010">
        <v>0</v>
      </c>
      <c r="Z2010">
        <v>1</v>
      </c>
      <c r="AA2010">
        <v>0</v>
      </c>
      <c r="AB2010">
        <v>180.02</v>
      </c>
      <c r="AC2010">
        <v>158.4</v>
      </c>
      <c r="AD2010">
        <v>0</v>
      </c>
      <c r="AE2010">
        <v>21.62</v>
      </c>
      <c r="AF2010">
        <v>0</v>
      </c>
      <c r="AG2010">
        <v>0</v>
      </c>
      <c r="AH2010">
        <v>0</v>
      </c>
      <c r="AI2010">
        <v>32.4</v>
      </c>
      <c r="AJ2010">
        <v>180.02</v>
      </c>
      <c r="AK2010">
        <v>0</v>
      </c>
      <c r="AL2010" t="s">
        <v>53</v>
      </c>
      <c r="AM2010" t="s">
        <v>53</v>
      </c>
      <c r="AN2010" t="s">
        <v>252</v>
      </c>
      <c r="AO2010" t="s">
        <v>53</v>
      </c>
      <c r="AP2010" t="s">
        <v>53</v>
      </c>
    </row>
    <row r="2011" spans="2:42" x14ac:dyDescent="0.2">
      <c r="B2011" t="s">
        <v>44</v>
      </c>
      <c r="C2011" t="str">
        <f>HYPERLINK("https://us2.cloudbeds.com/connect/8493803454333002#/reservations/579212861660?display=DJG7KN0Z&amp;reservation_id=579212861660", "DJG7KN0Z")</f>
        <v>DJG7KN0Z</v>
      </c>
      <c r="D2011" t="s">
        <v>45</v>
      </c>
      <c r="E2011" t="s">
        <v>69</v>
      </c>
      <c r="F2011" t="s">
        <v>70</v>
      </c>
      <c r="G2011" t="s">
        <v>48</v>
      </c>
      <c r="H2011" t="s">
        <v>49</v>
      </c>
      <c r="I2011" t="s">
        <v>79</v>
      </c>
      <c r="J2011" t="s">
        <v>603</v>
      </c>
      <c r="K2011" t="s">
        <v>1367</v>
      </c>
      <c r="L2011" t="s">
        <v>53</v>
      </c>
      <c r="N2011" t="s">
        <v>3270</v>
      </c>
      <c r="P2011" t="s">
        <v>55</v>
      </c>
      <c r="R2011" t="s">
        <v>56</v>
      </c>
      <c r="T2011" t="s">
        <v>3266</v>
      </c>
      <c r="U2011" t="s">
        <v>58</v>
      </c>
      <c r="V2011">
        <v>1</v>
      </c>
      <c r="W2011">
        <v>1</v>
      </c>
      <c r="X2011">
        <v>1</v>
      </c>
      <c r="Y2011">
        <v>0</v>
      </c>
      <c r="Z2011">
        <v>1</v>
      </c>
      <c r="AA2011">
        <v>0</v>
      </c>
      <c r="AB2011">
        <v>137.06</v>
      </c>
      <c r="AC2011">
        <v>120.6</v>
      </c>
      <c r="AD2011">
        <v>0</v>
      </c>
      <c r="AE2011">
        <v>16.46</v>
      </c>
      <c r="AF2011">
        <v>0</v>
      </c>
      <c r="AG2011">
        <v>0</v>
      </c>
      <c r="AH2011">
        <v>0</v>
      </c>
      <c r="AI2011">
        <v>0</v>
      </c>
      <c r="AJ2011">
        <v>137.06</v>
      </c>
      <c r="AK2011">
        <v>0</v>
      </c>
      <c r="AL2011" t="s">
        <v>53</v>
      </c>
      <c r="AM2011" t="s">
        <v>53</v>
      </c>
      <c r="AN2011" t="s">
        <v>332</v>
      </c>
      <c r="AO2011" t="s">
        <v>53</v>
      </c>
      <c r="AP2011" t="s">
        <v>53</v>
      </c>
    </row>
    <row r="2012" spans="2:42" x14ac:dyDescent="0.2">
      <c r="B2012" t="s">
        <v>44</v>
      </c>
      <c r="C2012" t="str">
        <f>HYPERLINK("https://us2.cloudbeds.com/connect/8493803454333002#/reservations/598507991233?display=E1E8Q08X&amp;reservation_id=598507991233", "E1E8Q08X")</f>
        <v>E1E8Q08X</v>
      </c>
      <c r="D2012" t="s">
        <v>45</v>
      </c>
      <c r="E2012" t="s">
        <v>223</v>
      </c>
      <c r="F2012" t="s">
        <v>47</v>
      </c>
      <c r="G2012" t="s">
        <v>48</v>
      </c>
      <c r="H2012" t="s">
        <v>71</v>
      </c>
      <c r="I2012" t="s">
        <v>72</v>
      </c>
      <c r="J2012" t="s">
        <v>762</v>
      </c>
      <c r="K2012" t="s">
        <v>356</v>
      </c>
      <c r="L2012" t="s">
        <v>53</v>
      </c>
      <c r="N2012" t="s">
        <v>3271</v>
      </c>
      <c r="P2012" t="s">
        <v>55</v>
      </c>
      <c r="R2012" t="s">
        <v>56</v>
      </c>
      <c r="T2012" t="s">
        <v>3266</v>
      </c>
      <c r="U2012" t="s">
        <v>58</v>
      </c>
      <c r="V2012">
        <v>1</v>
      </c>
      <c r="W2012">
        <v>1</v>
      </c>
      <c r="X2012">
        <v>1</v>
      </c>
      <c r="Y2012">
        <v>0</v>
      </c>
      <c r="Z2012">
        <v>1</v>
      </c>
      <c r="AA2012">
        <v>0</v>
      </c>
      <c r="AB2012">
        <v>164.79</v>
      </c>
      <c r="AC2012">
        <v>145</v>
      </c>
      <c r="AD2012">
        <v>0</v>
      </c>
      <c r="AE2012">
        <v>19.8</v>
      </c>
      <c r="AF2012">
        <v>0</v>
      </c>
      <c r="AG2012">
        <v>0</v>
      </c>
      <c r="AH2012">
        <v>0</v>
      </c>
      <c r="AI2012">
        <v>0</v>
      </c>
      <c r="AJ2012">
        <v>164.8</v>
      </c>
      <c r="AK2012">
        <v>0.01</v>
      </c>
      <c r="AL2012" t="s">
        <v>53</v>
      </c>
      <c r="AM2012" t="s">
        <v>53</v>
      </c>
      <c r="AN2012" t="s">
        <v>683</v>
      </c>
      <c r="AO2012" t="s">
        <v>53</v>
      </c>
      <c r="AP2012" t="s">
        <v>53</v>
      </c>
    </row>
    <row r="2013" spans="2:42" x14ac:dyDescent="0.2">
      <c r="B2013" t="s">
        <v>44</v>
      </c>
      <c r="C2013" t="str">
        <f>HYPERLINK("https://us2.cloudbeds.com/connect/8493803454333002#/reservations/579381751952?display=DJKX1AHC&amp;reservation_id=579381751952", "DJKX1AHC")</f>
        <v>DJKX1AHC</v>
      </c>
      <c r="D2013" t="s">
        <v>45</v>
      </c>
      <c r="E2013" t="s">
        <v>138</v>
      </c>
      <c r="F2013" t="s">
        <v>70</v>
      </c>
      <c r="G2013" t="s">
        <v>48</v>
      </c>
      <c r="H2013" t="s">
        <v>49</v>
      </c>
      <c r="I2013" t="s">
        <v>79</v>
      </c>
      <c r="J2013" t="s">
        <v>2206</v>
      </c>
      <c r="K2013" t="s">
        <v>1902</v>
      </c>
      <c r="L2013" t="s">
        <v>53</v>
      </c>
      <c r="N2013" t="s">
        <v>3272</v>
      </c>
      <c r="P2013" t="s">
        <v>55</v>
      </c>
      <c r="R2013" t="s">
        <v>56</v>
      </c>
      <c r="T2013" t="s">
        <v>3266</v>
      </c>
      <c r="U2013" t="s">
        <v>58</v>
      </c>
      <c r="V2013">
        <v>1</v>
      </c>
      <c r="W2013">
        <v>1</v>
      </c>
      <c r="X2013">
        <v>1</v>
      </c>
      <c r="Y2013">
        <v>0</v>
      </c>
      <c r="Z2013">
        <v>1</v>
      </c>
      <c r="AA2013">
        <v>0</v>
      </c>
      <c r="AB2013">
        <v>136.03</v>
      </c>
      <c r="AC2013">
        <v>119.7</v>
      </c>
      <c r="AD2013">
        <v>0</v>
      </c>
      <c r="AE2013">
        <v>16.329999999999998</v>
      </c>
      <c r="AF2013">
        <v>0</v>
      </c>
      <c r="AG2013">
        <v>0</v>
      </c>
      <c r="AH2013">
        <v>0</v>
      </c>
      <c r="AI2013">
        <v>0</v>
      </c>
      <c r="AJ2013">
        <v>136.03</v>
      </c>
      <c r="AK2013">
        <v>0</v>
      </c>
      <c r="AL2013" t="s">
        <v>53</v>
      </c>
      <c r="AM2013" t="s">
        <v>53</v>
      </c>
      <c r="AN2013" t="s">
        <v>142</v>
      </c>
      <c r="AO2013" t="s">
        <v>53</v>
      </c>
      <c r="AP2013" t="s">
        <v>53</v>
      </c>
    </row>
    <row r="2014" spans="2:42" x14ac:dyDescent="0.2">
      <c r="B2014" t="s">
        <v>44</v>
      </c>
      <c r="C2014" t="str">
        <f>HYPERLINK("https://us2.cloudbeds.com/connect/8493803454333002#/reservations/598415794329?display=E1BU1K0A&amp;reservation_id=598415794329", "E1BU1K0A")</f>
        <v>E1BU1K0A</v>
      </c>
      <c r="D2014" t="s">
        <v>45</v>
      </c>
      <c r="E2014" t="s">
        <v>179</v>
      </c>
      <c r="F2014" t="s">
        <v>47</v>
      </c>
      <c r="G2014" t="s">
        <v>48</v>
      </c>
      <c r="H2014" t="s">
        <v>49</v>
      </c>
      <c r="I2014" t="s">
        <v>62</v>
      </c>
      <c r="J2014" t="s">
        <v>215</v>
      </c>
      <c r="K2014" t="s">
        <v>446</v>
      </c>
      <c r="L2014" t="s">
        <v>53</v>
      </c>
      <c r="N2014" t="s">
        <v>3273</v>
      </c>
      <c r="P2014" t="s">
        <v>55</v>
      </c>
      <c r="R2014" t="s">
        <v>56</v>
      </c>
      <c r="T2014" t="s">
        <v>3266</v>
      </c>
      <c r="U2014" t="s">
        <v>58</v>
      </c>
      <c r="V2014">
        <v>1</v>
      </c>
      <c r="W2014">
        <v>1</v>
      </c>
      <c r="X2014">
        <v>1</v>
      </c>
      <c r="Y2014">
        <v>0</v>
      </c>
      <c r="Z2014">
        <v>1</v>
      </c>
      <c r="AA2014">
        <v>0</v>
      </c>
      <c r="AB2014">
        <v>173.32</v>
      </c>
      <c r="AC2014">
        <v>152.5</v>
      </c>
      <c r="AD2014">
        <v>0</v>
      </c>
      <c r="AE2014">
        <v>20.82</v>
      </c>
      <c r="AF2014">
        <v>0</v>
      </c>
      <c r="AG2014">
        <v>0</v>
      </c>
      <c r="AH2014">
        <v>0</v>
      </c>
      <c r="AI2014">
        <v>26</v>
      </c>
      <c r="AJ2014">
        <v>173.32</v>
      </c>
      <c r="AK2014">
        <v>0</v>
      </c>
      <c r="AL2014" t="s">
        <v>53</v>
      </c>
      <c r="AM2014" t="s">
        <v>53</v>
      </c>
      <c r="AN2014" t="s">
        <v>225</v>
      </c>
      <c r="AO2014" t="s">
        <v>53</v>
      </c>
      <c r="AP2014" t="s">
        <v>53</v>
      </c>
    </row>
    <row r="2015" spans="2:42" x14ac:dyDescent="0.2">
      <c r="B2015" t="s">
        <v>44</v>
      </c>
      <c r="C2015" t="str">
        <f>HYPERLINK("https://us2.cloudbeds.com/connect/8493803454333002#/reservations/598252253437?display=E17Z4RNZ&amp;reservation_id=598252253437", "E17Z4RNZ")</f>
        <v>E17Z4RNZ</v>
      </c>
      <c r="D2015" t="s">
        <v>45</v>
      </c>
      <c r="E2015" t="s">
        <v>305</v>
      </c>
      <c r="F2015" t="s">
        <v>61</v>
      </c>
      <c r="G2015" t="s">
        <v>48</v>
      </c>
      <c r="H2015" t="s">
        <v>49</v>
      </c>
      <c r="I2015" t="s">
        <v>50</v>
      </c>
      <c r="J2015" t="s">
        <v>988</v>
      </c>
      <c r="K2015" t="s">
        <v>322</v>
      </c>
      <c r="L2015" t="s">
        <v>53</v>
      </c>
      <c r="N2015" t="s">
        <v>3274</v>
      </c>
      <c r="P2015" t="s">
        <v>55</v>
      </c>
      <c r="R2015" t="s">
        <v>56</v>
      </c>
      <c r="T2015" t="s">
        <v>3266</v>
      </c>
      <c r="U2015" t="s">
        <v>58</v>
      </c>
      <c r="V2015">
        <v>2</v>
      </c>
      <c r="W2015">
        <v>1</v>
      </c>
      <c r="X2015">
        <v>1</v>
      </c>
      <c r="Y2015">
        <v>0</v>
      </c>
      <c r="Z2015">
        <v>1</v>
      </c>
      <c r="AA2015">
        <v>0</v>
      </c>
      <c r="AB2015">
        <v>337.54</v>
      </c>
      <c r="AC2015">
        <v>297</v>
      </c>
      <c r="AD2015">
        <v>0</v>
      </c>
      <c r="AE2015">
        <v>40.56</v>
      </c>
      <c r="AF2015">
        <v>0</v>
      </c>
      <c r="AG2015">
        <v>0</v>
      </c>
      <c r="AH2015">
        <v>0</v>
      </c>
      <c r="AI2015">
        <v>60.76</v>
      </c>
      <c r="AJ2015">
        <v>337.56</v>
      </c>
      <c r="AK2015">
        <v>0.02</v>
      </c>
      <c r="AL2015" t="s">
        <v>53</v>
      </c>
      <c r="AM2015" t="s">
        <v>53</v>
      </c>
      <c r="AN2015" t="s">
        <v>146</v>
      </c>
      <c r="AO2015" t="s">
        <v>53</v>
      </c>
      <c r="AP2015" t="s">
        <v>53</v>
      </c>
    </row>
    <row r="2016" spans="2:42" x14ac:dyDescent="0.2">
      <c r="B2016" t="s">
        <v>44</v>
      </c>
      <c r="C2016" t="str">
        <f>HYPERLINK("https://us2.cloudbeds.com/connect/8493803454333002#/reservations/598559248516?display=E1FJ0E6T&amp;reservation_id=598559248516", "E1FJ0E6T")</f>
        <v>E1FJ0E6T</v>
      </c>
      <c r="D2016" t="s">
        <v>45</v>
      </c>
      <c r="E2016" t="s">
        <v>223</v>
      </c>
      <c r="F2016" t="s">
        <v>47</v>
      </c>
      <c r="G2016" t="s">
        <v>48</v>
      </c>
      <c r="H2016" t="s">
        <v>49</v>
      </c>
      <c r="I2016" t="s">
        <v>62</v>
      </c>
      <c r="J2016" t="s">
        <v>1480</v>
      </c>
      <c r="K2016" t="s">
        <v>768</v>
      </c>
      <c r="L2016" t="s">
        <v>53</v>
      </c>
      <c r="N2016" t="s">
        <v>3275</v>
      </c>
      <c r="P2016" t="s">
        <v>55</v>
      </c>
      <c r="R2016" t="s">
        <v>56</v>
      </c>
      <c r="T2016" t="s">
        <v>3266</v>
      </c>
      <c r="U2016" t="s">
        <v>58</v>
      </c>
      <c r="V2016">
        <v>1</v>
      </c>
      <c r="W2016">
        <v>1</v>
      </c>
      <c r="X2016">
        <v>1</v>
      </c>
      <c r="Y2016">
        <v>0</v>
      </c>
      <c r="Z2016">
        <v>1</v>
      </c>
      <c r="AA2016">
        <v>0</v>
      </c>
      <c r="AB2016">
        <v>171.61</v>
      </c>
      <c r="AC2016">
        <v>151</v>
      </c>
      <c r="AD2016">
        <v>0</v>
      </c>
      <c r="AE2016">
        <v>20.62</v>
      </c>
      <c r="AF2016">
        <v>0</v>
      </c>
      <c r="AG2016">
        <v>0</v>
      </c>
      <c r="AH2016">
        <v>0</v>
      </c>
      <c r="AI2016">
        <v>25.74</v>
      </c>
      <c r="AJ2016">
        <v>171.62</v>
      </c>
      <c r="AK2016">
        <v>0.01</v>
      </c>
      <c r="AL2016" t="s">
        <v>53</v>
      </c>
      <c r="AM2016" t="s">
        <v>53</v>
      </c>
      <c r="AN2016" t="s">
        <v>97</v>
      </c>
      <c r="AO2016" t="s">
        <v>53</v>
      </c>
      <c r="AP2016" t="s">
        <v>53</v>
      </c>
    </row>
    <row r="2017" spans="2:42" x14ac:dyDescent="0.2">
      <c r="B2017" t="s">
        <v>44</v>
      </c>
      <c r="C2017" t="str">
        <f>HYPERLINK("https://us2.cloudbeds.com/connect/8493803454333002#/reservations/598564319486?display=E1FN9HZM&amp;reservation_id=598564319486", "E1FN9HZM")</f>
        <v>E1FN9HZM</v>
      </c>
      <c r="D2017" t="s">
        <v>45</v>
      </c>
      <c r="E2017" t="s">
        <v>105</v>
      </c>
      <c r="F2017" t="s">
        <v>47</v>
      </c>
      <c r="G2017" t="s">
        <v>48</v>
      </c>
      <c r="H2017" t="s">
        <v>49</v>
      </c>
      <c r="I2017" t="s">
        <v>79</v>
      </c>
      <c r="J2017" t="s">
        <v>1480</v>
      </c>
      <c r="K2017" t="s">
        <v>488</v>
      </c>
      <c r="L2017" t="s">
        <v>53</v>
      </c>
      <c r="N2017" t="s">
        <v>3276</v>
      </c>
      <c r="P2017" t="s">
        <v>55</v>
      </c>
      <c r="R2017" t="s">
        <v>56</v>
      </c>
      <c r="T2017" t="s">
        <v>3266</v>
      </c>
      <c r="U2017" t="s">
        <v>58</v>
      </c>
      <c r="V2017">
        <v>2</v>
      </c>
      <c r="W2017">
        <v>1</v>
      </c>
      <c r="X2017">
        <v>1</v>
      </c>
      <c r="Y2017">
        <v>0</v>
      </c>
      <c r="Z2017">
        <v>1</v>
      </c>
      <c r="AA2017">
        <v>0</v>
      </c>
      <c r="AB2017">
        <v>308.89999999999998</v>
      </c>
      <c r="AC2017">
        <v>271.8</v>
      </c>
      <c r="AD2017">
        <v>0</v>
      </c>
      <c r="AE2017">
        <v>37.1</v>
      </c>
      <c r="AF2017">
        <v>0</v>
      </c>
      <c r="AG2017">
        <v>0</v>
      </c>
      <c r="AH2017">
        <v>0</v>
      </c>
      <c r="AI2017">
        <v>0</v>
      </c>
      <c r="AJ2017">
        <v>308.89999999999998</v>
      </c>
      <c r="AK2017">
        <v>0</v>
      </c>
      <c r="AL2017" t="s">
        <v>53</v>
      </c>
      <c r="AM2017" t="s">
        <v>53</v>
      </c>
      <c r="AN2017" t="s">
        <v>132</v>
      </c>
      <c r="AO2017" t="s">
        <v>53</v>
      </c>
      <c r="AP2017" t="s">
        <v>53</v>
      </c>
    </row>
    <row r="2018" spans="2:42" x14ac:dyDescent="0.2">
      <c r="B2018" t="s">
        <v>44</v>
      </c>
      <c r="C2018" t="str">
        <f>HYPERLINK("https://us2.cloudbeds.com/connect/8493803454333002#/reservations/598469197986?display=E1D92Y5W&amp;reservation_id=598469197986", "E1D92Y5W")</f>
        <v>E1D92Y5W</v>
      </c>
      <c r="D2018" t="s">
        <v>45</v>
      </c>
      <c r="E2018" t="s">
        <v>165</v>
      </c>
      <c r="F2018" t="s">
        <v>61</v>
      </c>
      <c r="G2018" t="s">
        <v>48</v>
      </c>
      <c r="H2018" t="s">
        <v>49</v>
      </c>
      <c r="I2018" t="s">
        <v>50</v>
      </c>
      <c r="J2018" t="s">
        <v>356</v>
      </c>
      <c r="K2018" t="s">
        <v>236</v>
      </c>
      <c r="L2018" t="s">
        <v>53</v>
      </c>
      <c r="N2018" t="s">
        <v>3277</v>
      </c>
      <c r="P2018" t="s">
        <v>55</v>
      </c>
      <c r="R2018" t="s">
        <v>56</v>
      </c>
      <c r="T2018" t="s">
        <v>3266</v>
      </c>
      <c r="U2018" t="s">
        <v>58</v>
      </c>
      <c r="V2018">
        <v>2</v>
      </c>
      <c r="W2018">
        <v>1</v>
      </c>
      <c r="X2018">
        <v>1</v>
      </c>
      <c r="Y2018">
        <v>0</v>
      </c>
      <c r="Z2018">
        <v>1</v>
      </c>
      <c r="AA2018">
        <v>0</v>
      </c>
      <c r="AB2018">
        <v>310.95</v>
      </c>
      <c r="AC2018">
        <v>273.60000000000002</v>
      </c>
      <c r="AD2018">
        <v>0</v>
      </c>
      <c r="AE2018">
        <v>37.36</v>
      </c>
      <c r="AF2018">
        <v>0</v>
      </c>
      <c r="AG2018">
        <v>0</v>
      </c>
      <c r="AH2018">
        <v>0</v>
      </c>
      <c r="AI2018">
        <v>55.97</v>
      </c>
      <c r="AJ2018">
        <v>310.95999999999998</v>
      </c>
      <c r="AK2018">
        <v>0.01</v>
      </c>
      <c r="AL2018" t="s">
        <v>53</v>
      </c>
      <c r="AM2018" t="s">
        <v>53</v>
      </c>
      <c r="AN2018" t="s">
        <v>3278</v>
      </c>
      <c r="AO2018" t="s">
        <v>53</v>
      </c>
      <c r="AP2018" t="s">
        <v>53</v>
      </c>
    </row>
    <row r="2019" spans="2:42" x14ac:dyDescent="0.2">
      <c r="B2019" t="s">
        <v>44</v>
      </c>
      <c r="C2019" t="str">
        <f>HYPERLINK("https://us2.cloudbeds.com/connect/8493803454333002#/reservations/598587543680?display=E1G37CHT&amp;reservation_id=598587543680", "E1G37CHT")</f>
        <v>E1G37CHT</v>
      </c>
      <c r="D2019" t="s">
        <v>45</v>
      </c>
      <c r="E2019" t="s">
        <v>105</v>
      </c>
      <c r="F2019" t="s">
        <v>47</v>
      </c>
      <c r="G2019" t="s">
        <v>48</v>
      </c>
      <c r="H2019" t="s">
        <v>49</v>
      </c>
      <c r="I2019" t="s">
        <v>79</v>
      </c>
      <c r="J2019" t="s">
        <v>356</v>
      </c>
      <c r="K2019" t="s">
        <v>478</v>
      </c>
      <c r="L2019" t="s">
        <v>53</v>
      </c>
      <c r="N2019" t="s">
        <v>3279</v>
      </c>
      <c r="P2019" t="s">
        <v>55</v>
      </c>
      <c r="R2019" t="s">
        <v>56</v>
      </c>
      <c r="T2019" t="s">
        <v>3280</v>
      </c>
      <c r="U2019" t="s">
        <v>58</v>
      </c>
      <c r="V2019">
        <v>1</v>
      </c>
      <c r="W2019">
        <v>1</v>
      </c>
      <c r="X2019">
        <v>1</v>
      </c>
      <c r="Y2019">
        <v>0</v>
      </c>
      <c r="Z2019">
        <v>1</v>
      </c>
      <c r="AA2019">
        <v>0</v>
      </c>
      <c r="AB2019">
        <v>146.27000000000001</v>
      </c>
      <c r="AC2019">
        <v>128.69999999999999</v>
      </c>
      <c r="AD2019">
        <v>0</v>
      </c>
      <c r="AE2019">
        <v>17.559999999999999</v>
      </c>
      <c r="AF2019">
        <v>0</v>
      </c>
      <c r="AG2019">
        <v>0</v>
      </c>
      <c r="AH2019">
        <v>0</v>
      </c>
      <c r="AI2019">
        <v>0</v>
      </c>
      <c r="AJ2019">
        <v>146.26</v>
      </c>
      <c r="AK2019">
        <v>-0.01</v>
      </c>
      <c r="AL2019" t="s">
        <v>53</v>
      </c>
      <c r="AM2019" t="s">
        <v>53</v>
      </c>
      <c r="AN2019" t="s">
        <v>349</v>
      </c>
      <c r="AO2019" t="s">
        <v>53</v>
      </c>
      <c r="AP2019" t="s">
        <v>53</v>
      </c>
    </row>
    <row r="2020" spans="2:42" x14ac:dyDescent="0.2">
      <c r="B2020" t="s">
        <v>44</v>
      </c>
      <c r="C2020" t="str">
        <f>HYPERLINK("https://us2.cloudbeds.com/connect/8493803454333002#/reservations/598197825757?display=E16B8A73&amp;reservation_id=598197825757", "E16B8A73")</f>
        <v>E16B8A73</v>
      </c>
      <c r="D2020" t="s">
        <v>45</v>
      </c>
      <c r="E2020" t="s">
        <v>85</v>
      </c>
      <c r="F2020" t="s">
        <v>86</v>
      </c>
      <c r="G2020" t="s">
        <v>48</v>
      </c>
      <c r="H2020" t="s">
        <v>49</v>
      </c>
      <c r="I2020" t="s">
        <v>50</v>
      </c>
      <c r="J2020" t="s">
        <v>356</v>
      </c>
      <c r="K2020" t="s">
        <v>478</v>
      </c>
      <c r="L2020" t="s">
        <v>53</v>
      </c>
      <c r="N2020" t="s">
        <v>3281</v>
      </c>
      <c r="P2020" t="s">
        <v>55</v>
      </c>
      <c r="R2020" t="s">
        <v>56</v>
      </c>
      <c r="T2020" t="s">
        <v>3280</v>
      </c>
      <c r="U2020" t="s">
        <v>58</v>
      </c>
      <c r="V2020">
        <v>1</v>
      </c>
      <c r="W2020">
        <v>1</v>
      </c>
      <c r="X2020">
        <v>1</v>
      </c>
      <c r="Y2020">
        <v>0</v>
      </c>
      <c r="Z2020">
        <v>1</v>
      </c>
      <c r="AA2020">
        <v>0</v>
      </c>
      <c r="AB2020">
        <v>162.63</v>
      </c>
      <c r="AC2020">
        <v>143.1</v>
      </c>
      <c r="AD2020">
        <v>0</v>
      </c>
      <c r="AE2020">
        <v>19.53</v>
      </c>
      <c r="AF2020">
        <v>0</v>
      </c>
      <c r="AG2020">
        <v>0</v>
      </c>
      <c r="AH2020">
        <v>0</v>
      </c>
      <c r="AI2020">
        <v>29.27</v>
      </c>
      <c r="AJ2020">
        <v>162.63</v>
      </c>
      <c r="AK2020">
        <v>0</v>
      </c>
      <c r="AL2020" t="s">
        <v>53</v>
      </c>
      <c r="AM2020" t="s">
        <v>53</v>
      </c>
      <c r="AN2020" t="s">
        <v>91</v>
      </c>
      <c r="AO2020" t="s">
        <v>53</v>
      </c>
      <c r="AP2020" t="s">
        <v>53</v>
      </c>
    </row>
    <row r="2021" spans="2:42" x14ac:dyDescent="0.2">
      <c r="B2021" t="s">
        <v>44</v>
      </c>
      <c r="C2021" t="str">
        <f>HYPERLINK("https://us2.cloudbeds.com/connect/8493803454333002#/reservations/598568976628?display=E1FR7496&amp;reservation_id=598568976628", "E1FR7496")</f>
        <v>E1FR7496</v>
      </c>
      <c r="D2021" t="s">
        <v>45</v>
      </c>
      <c r="E2021" t="s">
        <v>223</v>
      </c>
      <c r="F2021" t="s">
        <v>47</v>
      </c>
      <c r="G2021" t="s">
        <v>48</v>
      </c>
      <c r="H2021" t="s">
        <v>71</v>
      </c>
      <c r="I2021" t="s">
        <v>72</v>
      </c>
      <c r="J2021" t="s">
        <v>351</v>
      </c>
      <c r="K2021" t="s">
        <v>323</v>
      </c>
      <c r="L2021" t="s">
        <v>53</v>
      </c>
      <c r="N2021" t="s">
        <v>3282</v>
      </c>
      <c r="P2021" t="s">
        <v>55</v>
      </c>
      <c r="R2021" t="s">
        <v>56</v>
      </c>
      <c r="T2021" t="s">
        <v>3280</v>
      </c>
      <c r="U2021" t="s">
        <v>58</v>
      </c>
      <c r="V2021">
        <v>2</v>
      </c>
      <c r="W2021">
        <v>1</v>
      </c>
      <c r="X2021">
        <v>1</v>
      </c>
      <c r="Y2021">
        <v>0</v>
      </c>
      <c r="Z2021">
        <v>1</v>
      </c>
      <c r="AA2021">
        <v>0</v>
      </c>
      <c r="AB2021">
        <v>345.5</v>
      </c>
      <c r="AC2021">
        <v>304</v>
      </c>
      <c r="AD2021">
        <v>0</v>
      </c>
      <c r="AE2021">
        <v>41.5</v>
      </c>
      <c r="AF2021">
        <v>0</v>
      </c>
      <c r="AG2021">
        <v>0</v>
      </c>
      <c r="AH2021">
        <v>0</v>
      </c>
      <c r="AI2021">
        <v>0</v>
      </c>
      <c r="AJ2021">
        <v>345.5</v>
      </c>
      <c r="AK2021">
        <v>0</v>
      </c>
      <c r="AL2021" t="s">
        <v>53</v>
      </c>
      <c r="AM2021" t="s">
        <v>53</v>
      </c>
      <c r="AN2021" t="s">
        <v>3283</v>
      </c>
      <c r="AO2021" t="s">
        <v>53</v>
      </c>
      <c r="AP2021" t="s">
        <v>53</v>
      </c>
    </row>
    <row r="2022" spans="2:42" x14ac:dyDescent="0.2">
      <c r="B2022" t="s">
        <v>44</v>
      </c>
      <c r="C2022" t="str">
        <f>HYPERLINK("https://us2.cloudbeds.com/connect/8493803454333002#/reservations/598633033934?display=E1HF7KDM&amp;reservation_id=598633033934", "E1HF7KDM")</f>
        <v>E1HF7KDM</v>
      </c>
      <c r="D2022" t="s">
        <v>45</v>
      </c>
      <c r="E2022" t="s">
        <v>69</v>
      </c>
      <c r="F2022" t="s">
        <v>70</v>
      </c>
      <c r="G2022" t="s">
        <v>48</v>
      </c>
      <c r="H2022" t="s">
        <v>49</v>
      </c>
      <c r="I2022" t="s">
        <v>114</v>
      </c>
      <c r="J2022" t="s">
        <v>447</v>
      </c>
      <c r="K2022" t="s">
        <v>2102</v>
      </c>
      <c r="L2022" t="s">
        <v>53</v>
      </c>
      <c r="N2022" t="s">
        <v>3284</v>
      </c>
      <c r="P2022" t="s">
        <v>55</v>
      </c>
      <c r="R2022" t="s">
        <v>56</v>
      </c>
      <c r="T2022" t="s">
        <v>3280</v>
      </c>
      <c r="U2022" t="s">
        <v>58</v>
      </c>
      <c r="V2022">
        <v>1</v>
      </c>
      <c r="W2022">
        <v>1</v>
      </c>
      <c r="X2022">
        <v>1</v>
      </c>
      <c r="Y2022">
        <v>0</v>
      </c>
      <c r="Z2022">
        <v>1</v>
      </c>
      <c r="AA2022">
        <v>0</v>
      </c>
      <c r="AB2022">
        <v>161.38</v>
      </c>
      <c r="AC2022">
        <v>142</v>
      </c>
      <c r="AD2022">
        <v>0</v>
      </c>
      <c r="AE2022">
        <v>19.39</v>
      </c>
      <c r="AF2022">
        <v>0</v>
      </c>
      <c r="AG2022">
        <v>0</v>
      </c>
      <c r="AH2022">
        <v>0</v>
      </c>
      <c r="AI2022">
        <v>0</v>
      </c>
      <c r="AJ2022">
        <v>161.38999999999999</v>
      </c>
      <c r="AK2022">
        <v>0.01</v>
      </c>
      <c r="AL2022" t="s">
        <v>53</v>
      </c>
      <c r="AM2022" t="s">
        <v>53</v>
      </c>
      <c r="AN2022" t="s">
        <v>3285</v>
      </c>
      <c r="AO2022" t="s">
        <v>53</v>
      </c>
      <c r="AP2022" t="s">
        <v>53</v>
      </c>
    </row>
    <row r="2023" spans="2:42" x14ac:dyDescent="0.2">
      <c r="B2023" t="s">
        <v>44</v>
      </c>
      <c r="C2023" t="str">
        <f>HYPERLINK("https://us2.cloudbeds.com/connect/8493803454333002#/reservations/598319317142?display=E19EMWX7&amp;reservation_id=598319317142", "E19EMWX7")</f>
        <v>E19EMWX7</v>
      </c>
      <c r="D2023" t="s">
        <v>45</v>
      </c>
      <c r="E2023" t="s">
        <v>128</v>
      </c>
      <c r="F2023" t="s">
        <v>86</v>
      </c>
      <c r="G2023" t="s">
        <v>48</v>
      </c>
      <c r="H2023" t="s">
        <v>49</v>
      </c>
      <c r="I2023" t="s">
        <v>50</v>
      </c>
      <c r="J2023" t="s">
        <v>356</v>
      </c>
      <c r="K2023" t="s">
        <v>478</v>
      </c>
      <c r="L2023" t="s">
        <v>53</v>
      </c>
      <c r="N2023" t="s">
        <v>3286</v>
      </c>
      <c r="P2023" t="s">
        <v>55</v>
      </c>
      <c r="R2023" t="s">
        <v>56</v>
      </c>
      <c r="T2023" t="s">
        <v>3280</v>
      </c>
      <c r="U2023" t="s">
        <v>58</v>
      </c>
      <c r="V2023">
        <v>1</v>
      </c>
      <c r="W2023">
        <v>1</v>
      </c>
      <c r="X2023">
        <v>1</v>
      </c>
      <c r="Y2023">
        <v>0</v>
      </c>
      <c r="Z2023">
        <v>1</v>
      </c>
      <c r="AA2023">
        <v>0</v>
      </c>
      <c r="AB2023">
        <v>155.47</v>
      </c>
      <c r="AC2023">
        <v>136.80000000000001</v>
      </c>
      <c r="AD2023">
        <v>0</v>
      </c>
      <c r="AE2023">
        <v>18.68</v>
      </c>
      <c r="AF2023">
        <v>0</v>
      </c>
      <c r="AG2023">
        <v>0</v>
      </c>
      <c r="AH2023">
        <v>0</v>
      </c>
      <c r="AI2023">
        <v>27.99</v>
      </c>
      <c r="AJ2023">
        <v>155.47999999999999</v>
      </c>
      <c r="AK2023">
        <v>0.01</v>
      </c>
      <c r="AL2023" t="s">
        <v>53</v>
      </c>
      <c r="AM2023" t="s">
        <v>53</v>
      </c>
      <c r="AN2023" t="s">
        <v>127</v>
      </c>
      <c r="AO2023" t="s">
        <v>53</v>
      </c>
      <c r="AP2023" t="s">
        <v>53</v>
      </c>
    </row>
    <row r="2024" spans="2:42" x14ac:dyDescent="0.2">
      <c r="B2024" t="s">
        <v>44</v>
      </c>
      <c r="C2024" t="str">
        <f>HYPERLINK("https://us2.cloudbeds.com/connect/8493803454333002#/reservations/598083543248?display=E13DT7JP&amp;reservation_id=598083543248", "E13DT7JP")</f>
        <v>E13DT7JP</v>
      </c>
      <c r="D2024" t="s">
        <v>45</v>
      </c>
      <c r="E2024" t="s">
        <v>213</v>
      </c>
      <c r="F2024" t="s">
        <v>86</v>
      </c>
      <c r="G2024" t="s">
        <v>48</v>
      </c>
      <c r="H2024" t="s">
        <v>71</v>
      </c>
      <c r="I2024" t="s">
        <v>72</v>
      </c>
      <c r="J2024" t="s">
        <v>356</v>
      </c>
      <c r="K2024" t="s">
        <v>478</v>
      </c>
      <c r="L2024" t="s">
        <v>53</v>
      </c>
      <c r="N2024" t="s">
        <v>3287</v>
      </c>
      <c r="P2024" t="s">
        <v>55</v>
      </c>
      <c r="R2024" t="s">
        <v>56</v>
      </c>
      <c r="T2024" t="s">
        <v>3280</v>
      </c>
      <c r="U2024" t="s">
        <v>58</v>
      </c>
      <c r="V2024">
        <v>1</v>
      </c>
      <c r="W2024">
        <v>1</v>
      </c>
      <c r="X2024">
        <v>1</v>
      </c>
      <c r="Y2024">
        <v>0</v>
      </c>
      <c r="Z2024">
        <v>1</v>
      </c>
      <c r="AA2024">
        <v>0</v>
      </c>
      <c r="AB2024">
        <v>164.79</v>
      </c>
      <c r="AC2024">
        <v>145</v>
      </c>
      <c r="AD2024">
        <v>0</v>
      </c>
      <c r="AE2024">
        <v>19.8</v>
      </c>
      <c r="AF2024">
        <v>0</v>
      </c>
      <c r="AG2024">
        <v>0</v>
      </c>
      <c r="AH2024">
        <v>0</v>
      </c>
      <c r="AI2024">
        <v>0</v>
      </c>
      <c r="AJ2024">
        <v>164.8</v>
      </c>
      <c r="AK2024">
        <v>0.01</v>
      </c>
      <c r="AL2024" t="s">
        <v>53</v>
      </c>
      <c r="AM2024" t="s">
        <v>53</v>
      </c>
      <c r="AN2024" t="s">
        <v>378</v>
      </c>
      <c r="AO2024" t="s">
        <v>53</v>
      </c>
      <c r="AP2024" t="s">
        <v>53</v>
      </c>
    </row>
    <row r="2025" spans="2:42" x14ac:dyDescent="0.2">
      <c r="B2025" t="s">
        <v>44</v>
      </c>
      <c r="C2025" t="str">
        <f>HYPERLINK("https://us2.cloudbeds.com/connect/8493803454333002#/reservations/598610288798?display=E1GT1N54&amp;reservation_id=598610288798", "E1GT1N54")</f>
        <v>E1GT1N54</v>
      </c>
      <c r="D2025" t="s">
        <v>45</v>
      </c>
      <c r="E2025" t="s">
        <v>128</v>
      </c>
      <c r="F2025" t="s">
        <v>86</v>
      </c>
      <c r="G2025" t="s">
        <v>48</v>
      </c>
      <c r="H2025" t="s">
        <v>49</v>
      </c>
      <c r="I2025" t="s">
        <v>50</v>
      </c>
      <c r="J2025" t="s">
        <v>351</v>
      </c>
      <c r="K2025" t="s">
        <v>99</v>
      </c>
      <c r="L2025" t="s">
        <v>53</v>
      </c>
      <c r="N2025" t="s">
        <v>3288</v>
      </c>
      <c r="P2025" t="s">
        <v>55</v>
      </c>
      <c r="R2025" t="s">
        <v>56</v>
      </c>
      <c r="T2025" t="s">
        <v>3280</v>
      </c>
      <c r="U2025" t="s">
        <v>58</v>
      </c>
      <c r="V2025">
        <v>1</v>
      </c>
      <c r="W2025">
        <v>1</v>
      </c>
      <c r="X2025">
        <v>1</v>
      </c>
      <c r="Y2025">
        <v>0</v>
      </c>
      <c r="Z2025">
        <v>1</v>
      </c>
      <c r="AA2025">
        <v>0</v>
      </c>
      <c r="AB2025">
        <v>180.02</v>
      </c>
      <c r="AC2025">
        <v>158.4</v>
      </c>
      <c r="AD2025">
        <v>0</v>
      </c>
      <c r="AE2025">
        <v>21.62</v>
      </c>
      <c r="AF2025">
        <v>0</v>
      </c>
      <c r="AG2025">
        <v>0</v>
      </c>
      <c r="AH2025">
        <v>0</v>
      </c>
      <c r="AI2025">
        <v>32.4</v>
      </c>
      <c r="AJ2025">
        <v>180.02</v>
      </c>
      <c r="AK2025">
        <v>0</v>
      </c>
      <c r="AL2025" t="s">
        <v>53</v>
      </c>
      <c r="AM2025" t="s">
        <v>53</v>
      </c>
      <c r="AN2025" t="s">
        <v>127</v>
      </c>
      <c r="AO2025" t="s">
        <v>53</v>
      </c>
      <c r="AP2025" t="s">
        <v>53</v>
      </c>
    </row>
    <row r="2026" spans="2:42" x14ac:dyDescent="0.2">
      <c r="B2026" t="s">
        <v>44</v>
      </c>
      <c r="C2026" t="str">
        <f>HYPERLINK("https://us2.cloudbeds.com/connect/8493803454333002#/reservations/598626750656?display=E1H5W8WY&amp;reservation_id=598626750656", "E1H5W8WY")</f>
        <v>E1H5W8WY</v>
      </c>
      <c r="D2026" t="s">
        <v>45</v>
      </c>
      <c r="E2026" t="s">
        <v>165</v>
      </c>
      <c r="F2026" t="s">
        <v>61</v>
      </c>
      <c r="G2026" t="s">
        <v>48</v>
      </c>
      <c r="H2026" t="s">
        <v>49</v>
      </c>
      <c r="I2026" t="s">
        <v>79</v>
      </c>
      <c r="J2026" t="s">
        <v>1480</v>
      </c>
      <c r="K2026" t="s">
        <v>768</v>
      </c>
      <c r="L2026" t="s">
        <v>53</v>
      </c>
      <c r="N2026" t="s">
        <v>3289</v>
      </c>
      <c r="P2026" t="s">
        <v>55</v>
      </c>
      <c r="R2026" t="s">
        <v>56</v>
      </c>
      <c r="T2026" t="s">
        <v>3280</v>
      </c>
      <c r="U2026" t="s">
        <v>58</v>
      </c>
      <c r="V2026">
        <v>1</v>
      </c>
      <c r="W2026">
        <v>1</v>
      </c>
      <c r="X2026">
        <v>1</v>
      </c>
      <c r="Y2026">
        <v>0</v>
      </c>
      <c r="Z2026">
        <v>1</v>
      </c>
      <c r="AA2026">
        <v>0</v>
      </c>
      <c r="AB2026">
        <v>167.75</v>
      </c>
      <c r="AC2026">
        <v>147.6</v>
      </c>
      <c r="AD2026">
        <v>0</v>
      </c>
      <c r="AE2026">
        <v>20.149999999999999</v>
      </c>
      <c r="AF2026">
        <v>0</v>
      </c>
      <c r="AG2026">
        <v>0</v>
      </c>
      <c r="AH2026">
        <v>0</v>
      </c>
      <c r="AI2026">
        <v>0</v>
      </c>
      <c r="AJ2026">
        <v>167.75</v>
      </c>
      <c r="AK2026">
        <v>0</v>
      </c>
      <c r="AL2026" t="s">
        <v>53</v>
      </c>
      <c r="AM2026" t="s">
        <v>53</v>
      </c>
      <c r="AN2026" t="s">
        <v>112</v>
      </c>
      <c r="AO2026" t="s">
        <v>53</v>
      </c>
      <c r="AP2026" t="s">
        <v>53</v>
      </c>
    </row>
    <row r="2027" spans="2:42" x14ac:dyDescent="0.2">
      <c r="B2027" t="s">
        <v>44</v>
      </c>
      <c r="C2027" t="str">
        <f>HYPERLINK("https://us2.cloudbeds.com/connect/8493803454333002#/reservations/598593990823?display=E1GFA653&amp;reservation_id=598593990823", "E1GFA653")</f>
        <v>E1GFA653</v>
      </c>
      <c r="D2027" t="s">
        <v>45</v>
      </c>
      <c r="E2027" t="s">
        <v>46</v>
      </c>
      <c r="F2027" t="s">
        <v>47</v>
      </c>
      <c r="G2027" t="s">
        <v>48</v>
      </c>
      <c r="H2027" t="s">
        <v>49</v>
      </c>
      <c r="I2027" t="s">
        <v>62</v>
      </c>
      <c r="J2027" t="s">
        <v>1822</v>
      </c>
      <c r="K2027" t="s">
        <v>94</v>
      </c>
      <c r="L2027" t="s">
        <v>53</v>
      </c>
      <c r="N2027" t="s">
        <v>3290</v>
      </c>
      <c r="P2027" t="s">
        <v>55</v>
      </c>
      <c r="R2027" t="s">
        <v>56</v>
      </c>
      <c r="T2027" t="s">
        <v>3280</v>
      </c>
      <c r="U2027" t="s">
        <v>58</v>
      </c>
      <c r="V2027">
        <v>1</v>
      </c>
      <c r="W2027">
        <v>1</v>
      </c>
      <c r="X2027">
        <v>1</v>
      </c>
      <c r="Y2027">
        <v>0</v>
      </c>
      <c r="Z2027">
        <v>1</v>
      </c>
      <c r="AA2027">
        <v>0</v>
      </c>
      <c r="AB2027">
        <v>170.48</v>
      </c>
      <c r="AC2027">
        <v>150</v>
      </c>
      <c r="AD2027">
        <v>0</v>
      </c>
      <c r="AE2027">
        <v>20.48</v>
      </c>
      <c r="AF2027">
        <v>0</v>
      </c>
      <c r="AG2027">
        <v>0</v>
      </c>
      <c r="AH2027">
        <v>0</v>
      </c>
      <c r="AI2027">
        <v>25.57</v>
      </c>
      <c r="AJ2027">
        <v>170.48</v>
      </c>
      <c r="AK2027">
        <v>0</v>
      </c>
      <c r="AL2027" t="s">
        <v>53</v>
      </c>
      <c r="AM2027" t="s">
        <v>53</v>
      </c>
      <c r="AN2027" t="s">
        <v>545</v>
      </c>
      <c r="AO2027" t="s">
        <v>53</v>
      </c>
      <c r="AP2027" t="s">
        <v>53</v>
      </c>
    </row>
    <row r="2028" spans="2:42" x14ac:dyDescent="0.2">
      <c r="B2028" t="s">
        <v>44</v>
      </c>
      <c r="C2028" t="str">
        <f>HYPERLINK("https://us2.cloudbeds.com/connect/8493803454333002#/reservations/579390238919?display=DJKP6FT7&amp;reservation_id=579390238919", "DJKP6FT7")</f>
        <v>DJKP6FT7</v>
      </c>
      <c r="D2028" t="s">
        <v>45</v>
      </c>
      <c r="E2028" t="s">
        <v>305</v>
      </c>
      <c r="F2028" t="s">
        <v>61</v>
      </c>
      <c r="G2028" t="s">
        <v>48</v>
      </c>
      <c r="H2028" t="s">
        <v>49</v>
      </c>
      <c r="I2028" t="s">
        <v>79</v>
      </c>
      <c r="J2028" t="s">
        <v>1903</v>
      </c>
      <c r="K2028" t="s">
        <v>2494</v>
      </c>
      <c r="L2028" t="s">
        <v>53</v>
      </c>
      <c r="N2028" t="s">
        <v>3291</v>
      </c>
      <c r="P2028" t="s">
        <v>55</v>
      </c>
      <c r="R2028" t="s">
        <v>56</v>
      </c>
      <c r="T2028" t="s">
        <v>3280</v>
      </c>
      <c r="U2028" t="s">
        <v>58</v>
      </c>
      <c r="V2028">
        <v>2</v>
      </c>
      <c r="W2028">
        <v>1</v>
      </c>
      <c r="X2028">
        <v>1</v>
      </c>
      <c r="Y2028">
        <v>0</v>
      </c>
      <c r="Z2028">
        <v>1</v>
      </c>
      <c r="AA2028">
        <v>0</v>
      </c>
      <c r="AB2028">
        <v>318.12</v>
      </c>
      <c r="AC2028">
        <v>279.89999999999998</v>
      </c>
      <c r="AD2028">
        <v>0</v>
      </c>
      <c r="AE2028">
        <v>38.22</v>
      </c>
      <c r="AF2028">
        <v>0</v>
      </c>
      <c r="AG2028">
        <v>0</v>
      </c>
      <c r="AH2028">
        <v>0</v>
      </c>
      <c r="AI2028">
        <v>0</v>
      </c>
      <c r="AJ2028">
        <v>318.12</v>
      </c>
      <c r="AK2028">
        <v>0</v>
      </c>
      <c r="AL2028" t="s">
        <v>53</v>
      </c>
      <c r="AM2028" t="s">
        <v>53</v>
      </c>
      <c r="AN2028" t="s">
        <v>252</v>
      </c>
      <c r="AO2028" t="s">
        <v>53</v>
      </c>
      <c r="AP2028" t="s">
        <v>53</v>
      </c>
    </row>
    <row r="2029" spans="2:42" x14ac:dyDescent="0.2">
      <c r="B2029" t="s">
        <v>44</v>
      </c>
      <c r="C2029" t="str">
        <f>HYPERLINK("https://us2.cloudbeds.com/connect/8493803454333002#/reservations/598582366426?display=E1G5GNPY&amp;reservation_id=598582366426", "E1G5GNPY")</f>
        <v>E1G5GNPY</v>
      </c>
      <c r="D2029" t="s">
        <v>45</v>
      </c>
      <c r="E2029" t="s">
        <v>223</v>
      </c>
      <c r="F2029" t="s">
        <v>47</v>
      </c>
      <c r="G2029" t="s">
        <v>48</v>
      </c>
      <c r="H2029" t="s">
        <v>49</v>
      </c>
      <c r="I2029" t="s">
        <v>79</v>
      </c>
      <c r="J2029" t="s">
        <v>478</v>
      </c>
      <c r="K2029" t="s">
        <v>236</v>
      </c>
      <c r="L2029" t="s">
        <v>53</v>
      </c>
      <c r="N2029" t="s">
        <v>3292</v>
      </c>
      <c r="P2029" t="s">
        <v>55</v>
      </c>
      <c r="R2029" t="s">
        <v>56</v>
      </c>
      <c r="T2029" t="s">
        <v>3280</v>
      </c>
      <c r="U2029" t="s">
        <v>58</v>
      </c>
      <c r="V2029">
        <v>1</v>
      </c>
      <c r="W2029">
        <v>1</v>
      </c>
      <c r="X2029">
        <v>1</v>
      </c>
      <c r="Y2029">
        <v>0</v>
      </c>
      <c r="Z2029">
        <v>1</v>
      </c>
      <c r="AA2029">
        <v>0</v>
      </c>
      <c r="AB2029">
        <v>146.27000000000001</v>
      </c>
      <c r="AC2029">
        <v>128.69999999999999</v>
      </c>
      <c r="AD2029">
        <v>0</v>
      </c>
      <c r="AE2029">
        <v>17.559999999999999</v>
      </c>
      <c r="AF2029">
        <v>0</v>
      </c>
      <c r="AG2029">
        <v>0</v>
      </c>
      <c r="AH2029">
        <v>0</v>
      </c>
      <c r="AI2029">
        <v>0</v>
      </c>
      <c r="AJ2029">
        <v>146.26</v>
      </c>
      <c r="AK2029">
        <v>-0.01</v>
      </c>
      <c r="AL2029" t="s">
        <v>53</v>
      </c>
      <c r="AM2029" t="s">
        <v>53</v>
      </c>
      <c r="AN2029" t="s">
        <v>316</v>
      </c>
      <c r="AO2029" t="s">
        <v>53</v>
      </c>
      <c r="AP2029" t="s">
        <v>53</v>
      </c>
    </row>
    <row r="2030" spans="2:42" x14ac:dyDescent="0.2">
      <c r="B2030" t="s">
        <v>44</v>
      </c>
      <c r="C2030" t="str">
        <f>HYPERLINK("https://us2.cloudbeds.com/connect/8493803454333002#/reservations/579236917450?display=DJGRU2R3&amp;reservation_id=579236917450", "DJGRU2R3")</f>
        <v>DJGRU2R3</v>
      </c>
      <c r="D2030" t="s">
        <v>45</v>
      </c>
      <c r="E2030" t="s">
        <v>223</v>
      </c>
      <c r="F2030" t="s">
        <v>47</v>
      </c>
      <c r="G2030" t="s">
        <v>48</v>
      </c>
      <c r="H2030" t="s">
        <v>49</v>
      </c>
      <c r="I2030" t="s">
        <v>62</v>
      </c>
      <c r="J2030" t="s">
        <v>2163</v>
      </c>
      <c r="K2030" t="s">
        <v>2643</v>
      </c>
      <c r="L2030" t="s">
        <v>53</v>
      </c>
      <c r="N2030" t="s">
        <v>3293</v>
      </c>
      <c r="P2030" t="s">
        <v>55</v>
      </c>
      <c r="R2030" t="s">
        <v>56</v>
      </c>
      <c r="T2030" t="s">
        <v>3280</v>
      </c>
      <c r="U2030" t="s">
        <v>58</v>
      </c>
      <c r="V2030">
        <v>1</v>
      </c>
      <c r="W2030">
        <v>1</v>
      </c>
      <c r="X2030">
        <v>1</v>
      </c>
      <c r="Y2030">
        <v>0</v>
      </c>
      <c r="Z2030">
        <v>1</v>
      </c>
      <c r="AA2030">
        <v>0</v>
      </c>
      <c r="AB2030">
        <v>164.8</v>
      </c>
      <c r="AC2030">
        <v>145</v>
      </c>
      <c r="AD2030">
        <v>0</v>
      </c>
      <c r="AE2030">
        <v>19.8</v>
      </c>
      <c r="AF2030">
        <v>0</v>
      </c>
      <c r="AG2030">
        <v>0</v>
      </c>
      <c r="AH2030">
        <v>0</v>
      </c>
      <c r="AI2030">
        <v>24.72</v>
      </c>
      <c r="AJ2030">
        <v>164.8</v>
      </c>
      <c r="AK2030">
        <v>0</v>
      </c>
      <c r="AL2030" t="s">
        <v>53</v>
      </c>
      <c r="AM2030" t="s">
        <v>53</v>
      </c>
      <c r="AN2030" t="s">
        <v>104</v>
      </c>
      <c r="AO2030" t="s">
        <v>53</v>
      </c>
      <c r="AP2030" t="s">
        <v>53</v>
      </c>
    </row>
    <row r="2031" spans="2:42" x14ac:dyDescent="0.2">
      <c r="B2031" t="s">
        <v>44</v>
      </c>
      <c r="C2031" t="str">
        <f>HYPERLINK("https://us2.cloudbeds.com/connect/8493803454333002#/reservations/598057185497?display=E12ZYPW1&amp;reservation_id=598057185497", "E12ZYPW1")</f>
        <v>E12ZYPW1</v>
      </c>
      <c r="D2031" t="s">
        <v>45</v>
      </c>
      <c r="E2031" t="s">
        <v>406</v>
      </c>
      <c r="F2031" t="s">
        <v>61</v>
      </c>
      <c r="G2031" t="s">
        <v>48</v>
      </c>
      <c r="H2031" t="s">
        <v>71</v>
      </c>
      <c r="I2031" t="s">
        <v>72</v>
      </c>
      <c r="J2031" t="s">
        <v>356</v>
      </c>
      <c r="K2031" t="s">
        <v>478</v>
      </c>
      <c r="L2031" t="s">
        <v>53</v>
      </c>
      <c r="N2031" t="s">
        <v>3294</v>
      </c>
      <c r="P2031" t="s">
        <v>55</v>
      </c>
      <c r="R2031" t="s">
        <v>56</v>
      </c>
      <c r="T2031" t="s">
        <v>3280</v>
      </c>
      <c r="U2031" t="s">
        <v>58</v>
      </c>
      <c r="V2031">
        <v>1</v>
      </c>
      <c r="W2031">
        <v>1</v>
      </c>
      <c r="X2031">
        <v>1</v>
      </c>
      <c r="Y2031">
        <v>0</v>
      </c>
      <c r="Z2031">
        <v>1</v>
      </c>
      <c r="AA2031">
        <v>0</v>
      </c>
      <c r="AB2031">
        <v>167.07</v>
      </c>
      <c r="AC2031">
        <v>147</v>
      </c>
      <c r="AD2031">
        <v>0</v>
      </c>
      <c r="AE2031">
        <v>20.07</v>
      </c>
      <c r="AF2031">
        <v>0</v>
      </c>
      <c r="AG2031">
        <v>0</v>
      </c>
      <c r="AH2031">
        <v>0</v>
      </c>
      <c r="AI2031">
        <v>0</v>
      </c>
      <c r="AJ2031">
        <v>167.07</v>
      </c>
      <c r="AK2031">
        <v>0</v>
      </c>
      <c r="AL2031" t="s">
        <v>53</v>
      </c>
      <c r="AM2031" t="s">
        <v>53</v>
      </c>
      <c r="AN2031" t="s">
        <v>3295</v>
      </c>
      <c r="AO2031" t="s">
        <v>53</v>
      </c>
      <c r="AP2031" t="s">
        <v>53</v>
      </c>
    </row>
    <row r="2032" spans="2:42" x14ac:dyDescent="0.2">
      <c r="B2032" t="s">
        <v>44</v>
      </c>
      <c r="C2032" t="str">
        <f>HYPERLINK("https://us2.cloudbeds.com/connect/8493803454333002#/reservations/598549668061?display=E1FAUNWP&amp;reservation_id=598549668061", "E1FAUNWP")</f>
        <v>E1FAUNWP</v>
      </c>
      <c r="D2032" t="s">
        <v>45</v>
      </c>
      <c r="E2032" t="s">
        <v>487</v>
      </c>
      <c r="F2032" t="s">
        <v>61</v>
      </c>
      <c r="G2032" t="s">
        <v>48</v>
      </c>
      <c r="H2032" t="s">
        <v>49</v>
      </c>
      <c r="I2032" t="s">
        <v>50</v>
      </c>
      <c r="J2032" t="s">
        <v>1750</v>
      </c>
      <c r="K2032" t="s">
        <v>387</v>
      </c>
      <c r="L2032" t="s">
        <v>53</v>
      </c>
      <c r="N2032" t="s">
        <v>3296</v>
      </c>
      <c r="P2032" t="s">
        <v>55</v>
      </c>
      <c r="R2032" t="s">
        <v>56</v>
      </c>
      <c r="T2032" t="s">
        <v>3280</v>
      </c>
      <c r="U2032" t="s">
        <v>58</v>
      </c>
      <c r="V2032">
        <v>2</v>
      </c>
      <c r="W2032">
        <v>1</v>
      </c>
      <c r="X2032">
        <v>1</v>
      </c>
      <c r="Y2032">
        <v>0</v>
      </c>
      <c r="Z2032">
        <v>1</v>
      </c>
      <c r="AA2032">
        <v>0</v>
      </c>
      <c r="AB2032">
        <v>341.63</v>
      </c>
      <c r="AC2032">
        <v>300.60000000000002</v>
      </c>
      <c r="AD2032">
        <v>0</v>
      </c>
      <c r="AE2032">
        <v>41.04</v>
      </c>
      <c r="AF2032">
        <v>0</v>
      </c>
      <c r="AG2032">
        <v>0</v>
      </c>
      <c r="AH2032">
        <v>0</v>
      </c>
      <c r="AI2032">
        <v>61.5</v>
      </c>
      <c r="AJ2032">
        <v>341.64</v>
      </c>
      <c r="AK2032">
        <v>0.01</v>
      </c>
      <c r="AL2032" t="s">
        <v>53</v>
      </c>
      <c r="AM2032" t="s">
        <v>53</v>
      </c>
      <c r="AN2032" t="s">
        <v>142</v>
      </c>
      <c r="AO2032" t="s">
        <v>53</v>
      </c>
      <c r="AP2032" t="s">
        <v>53</v>
      </c>
    </row>
    <row r="2033" spans="2:42" x14ac:dyDescent="0.2">
      <c r="B2033" t="s">
        <v>44</v>
      </c>
      <c r="C2033" t="str">
        <f>HYPERLINK("https://us2.cloudbeds.com/connect/8493803454333002#/reservations/598169718968?display=E15KX6G7&amp;reservation_id=598169718968", "E15KX6G7")</f>
        <v>E15KX6G7</v>
      </c>
      <c r="D2033" t="s">
        <v>45</v>
      </c>
      <c r="E2033" t="s">
        <v>406</v>
      </c>
      <c r="F2033" t="s">
        <v>61</v>
      </c>
      <c r="G2033" t="s">
        <v>48</v>
      </c>
      <c r="H2033" t="s">
        <v>49</v>
      </c>
      <c r="I2033" t="s">
        <v>50</v>
      </c>
      <c r="J2033" t="s">
        <v>93</v>
      </c>
      <c r="K2033" t="s">
        <v>94</v>
      </c>
      <c r="L2033" t="s">
        <v>53</v>
      </c>
      <c r="N2033" t="s">
        <v>3297</v>
      </c>
      <c r="P2033" t="s">
        <v>55</v>
      </c>
      <c r="R2033" t="s">
        <v>56</v>
      </c>
      <c r="T2033" t="s">
        <v>3280</v>
      </c>
      <c r="U2033" t="s">
        <v>58</v>
      </c>
      <c r="V2033">
        <v>2</v>
      </c>
      <c r="W2033">
        <v>1</v>
      </c>
      <c r="X2033">
        <v>1</v>
      </c>
      <c r="Y2033">
        <v>0</v>
      </c>
      <c r="Z2033">
        <v>1</v>
      </c>
      <c r="AA2033">
        <v>0</v>
      </c>
      <c r="AB2033">
        <v>376.18</v>
      </c>
      <c r="AC2033">
        <v>331</v>
      </c>
      <c r="AD2033">
        <v>0</v>
      </c>
      <c r="AE2033">
        <v>45.18</v>
      </c>
      <c r="AF2033">
        <v>0</v>
      </c>
      <c r="AG2033">
        <v>0</v>
      </c>
      <c r="AH2033">
        <v>0</v>
      </c>
      <c r="AI2033">
        <v>67.709999999999994</v>
      </c>
      <c r="AJ2033">
        <v>376.18</v>
      </c>
      <c r="AK2033">
        <v>0</v>
      </c>
      <c r="AL2033" t="s">
        <v>53</v>
      </c>
      <c r="AM2033" t="s">
        <v>53</v>
      </c>
      <c r="AN2033" t="s">
        <v>159</v>
      </c>
      <c r="AO2033" t="s">
        <v>53</v>
      </c>
      <c r="AP2033" t="s">
        <v>53</v>
      </c>
    </row>
    <row r="2034" spans="2:42" x14ac:dyDescent="0.2">
      <c r="B2034" t="s">
        <v>44</v>
      </c>
      <c r="C2034" t="str">
        <f>HYPERLINK("https://us2.cloudbeds.com/connect/8493803454333002#/reservations/598614692040?display=E1GWP7HN&amp;reservation_id=598614692040", "E1GWP7HN")</f>
        <v>E1GWP7HN</v>
      </c>
      <c r="D2034" t="s">
        <v>45</v>
      </c>
      <c r="E2034" t="s">
        <v>138</v>
      </c>
      <c r="F2034" t="s">
        <v>70</v>
      </c>
      <c r="G2034" t="s">
        <v>48</v>
      </c>
      <c r="H2034" t="s">
        <v>49</v>
      </c>
      <c r="I2034" t="s">
        <v>62</v>
      </c>
      <c r="J2034" t="s">
        <v>1792</v>
      </c>
      <c r="K2034" t="s">
        <v>1633</v>
      </c>
      <c r="L2034" t="s">
        <v>53</v>
      </c>
      <c r="N2034" t="s">
        <v>3298</v>
      </c>
      <c r="P2034" t="s">
        <v>55</v>
      </c>
      <c r="R2034" t="s">
        <v>56</v>
      </c>
      <c r="T2034" t="s">
        <v>3280</v>
      </c>
      <c r="U2034" t="s">
        <v>58</v>
      </c>
      <c r="V2034">
        <v>1</v>
      </c>
      <c r="W2034">
        <v>1</v>
      </c>
      <c r="X2034">
        <v>1</v>
      </c>
      <c r="Y2034">
        <v>0</v>
      </c>
      <c r="Z2034">
        <v>1</v>
      </c>
      <c r="AA2034">
        <v>0</v>
      </c>
      <c r="AB2034">
        <v>167.07</v>
      </c>
      <c r="AC2034">
        <v>147</v>
      </c>
      <c r="AD2034">
        <v>0</v>
      </c>
      <c r="AE2034">
        <v>20.07</v>
      </c>
      <c r="AF2034">
        <v>0</v>
      </c>
      <c r="AG2034">
        <v>0</v>
      </c>
      <c r="AH2034">
        <v>0</v>
      </c>
      <c r="AI2034">
        <v>25.06</v>
      </c>
      <c r="AJ2034">
        <v>167.07</v>
      </c>
      <c r="AK2034">
        <v>0</v>
      </c>
      <c r="AL2034" t="s">
        <v>53</v>
      </c>
      <c r="AM2034" t="s">
        <v>53</v>
      </c>
      <c r="AN2034" t="s">
        <v>332</v>
      </c>
      <c r="AO2034" t="s">
        <v>53</v>
      </c>
      <c r="AP2034" t="s">
        <v>53</v>
      </c>
    </row>
    <row r="2035" spans="2:42" x14ac:dyDescent="0.2">
      <c r="B2035" t="s">
        <v>44</v>
      </c>
      <c r="C2035" t="str">
        <f>HYPERLINK("https://us2.cloudbeds.com/connect/8493803454333002#/reservations/598599995575?display=E1GKC959&amp;reservation_id=598599995575", "E1GKC959")</f>
        <v>E1GKC959</v>
      </c>
      <c r="D2035" t="s">
        <v>45</v>
      </c>
      <c r="E2035" t="s">
        <v>179</v>
      </c>
      <c r="F2035" t="s">
        <v>47</v>
      </c>
      <c r="G2035" t="s">
        <v>48</v>
      </c>
      <c r="H2035" t="s">
        <v>49</v>
      </c>
      <c r="I2035" t="s">
        <v>50</v>
      </c>
      <c r="J2035" t="s">
        <v>322</v>
      </c>
      <c r="K2035" t="s">
        <v>351</v>
      </c>
      <c r="L2035" t="s">
        <v>53</v>
      </c>
      <c r="N2035" t="s">
        <v>3299</v>
      </c>
      <c r="P2035" t="s">
        <v>55</v>
      </c>
      <c r="R2035" t="s">
        <v>56</v>
      </c>
      <c r="T2035" t="s">
        <v>3280</v>
      </c>
      <c r="U2035" t="s">
        <v>58</v>
      </c>
      <c r="V2035">
        <v>1</v>
      </c>
      <c r="W2035">
        <v>1</v>
      </c>
      <c r="X2035">
        <v>1</v>
      </c>
      <c r="Y2035">
        <v>0</v>
      </c>
      <c r="Z2035">
        <v>1</v>
      </c>
      <c r="AA2035">
        <v>0</v>
      </c>
      <c r="AB2035">
        <v>158.54</v>
      </c>
      <c r="AC2035">
        <v>139.5</v>
      </c>
      <c r="AD2035">
        <v>0</v>
      </c>
      <c r="AE2035">
        <v>19.04</v>
      </c>
      <c r="AF2035">
        <v>0</v>
      </c>
      <c r="AG2035">
        <v>0</v>
      </c>
      <c r="AH2035">
        <v>0</v>
      </c>
      <c r="AI2035">
        <v>28.54</v>
      </c>
      <c r="AJ2035">
        <v>158.54</v>
      </c>
      <c r="AK2035">
        <v>0</v>
      </c>
      <c r="AL2035" t="s">
        <v>53</v>
      </c>
      <c r="AM2035" t="s">
        <v>53</v>
      </c>
      <c r="AN2035" t="s">
        <v>332</v>
      </c>
      <c r="AO2035" t="s">
        <v>53</v>
      </c>
      <c r="AP2035" t="s">
        <v>53</v>
      </c>
    </row>
    <row r="2036" spans="2:42" x14ac:dyDescent="0.2">
      <c r="B2036" t="s">
        <v>44</v>
      </c>
      <c r="C2036" t="str">
        <f>HYPERLINK("https://us2.cloudbeds.com/connect/8493803454333002#/reservations/579332743319?display=DJJ9NJ6A&amp;reservation_id=579332743319", "DJJ9NJ6A")</f>
        <v>DJJ9NJ6A</v>
      </c>
      <c r="D2036" t="s">
        <v>45</v>
      </c>
      <c r="E2036" t="s">
        <v>406</v>
      </c>
      <c r="F2036" t="s">
        <v>61</v>
      </c>
      <c r="G2036" t="s">
        <v>48</v>
      </c>
      <c r="H2036" t="s">
        <v>49</v>
      </c>
      <c r="I2036" t="s">
        <v>79</v>
      </c>
      <c r="J2036" t="s">
        <v>1903</v>
      </c>
      <c r="K2036" t="s">
        <v>2494</v>
      </c>
      <c r="L2036" t="s">
        <v>53</v>
      </c>
      <c r="N2036" t="s">
        <v>3300</v>
      </c>
      <c r="P2036" t="s">
        <v>55</v>
      </c>
      <c r="R2036" t="s">
        <v>56</v>
      </c>
      <c r="T2036" t="s">
        <v>3280</v>
      </c>
      <c r="U2036" t="s">
        <v>58</v>
      </c>
      <c r="V2036">
        <v>2</v>
      </c>
      <c r="W2036">
        <v>1</v>
      </c>
      <c r="X2036">
        <v>1</v>
      </c>
      <c r="Y2036">
        <v>0</v>
      </c>
      <c r="Z2036">
        <v>1</v>
      </c>
      <c r="AA2036">
        <v>0</v>
      </c>
      <c r="AB2036">
        <v>318.12</v>
      </c>
      <c r="AC2036">
        <v>279.89999999999998</v>
      </c>
      <c r="AD2036">
        <v>0</v>
      </c>
      <c r="AE2036">
        <v>38.22</v>
      </c>
      <c r="AF2036">
        <v>0</v>
      </c>
      <c r="AG2036">
        <v>0</v>
      </c>
      <c r="AH2036">
        <v>0</v>
      </c>
      <c r="AI2036">
        <v>0</v>
      </c>
      <c r="AJ2036">
        <v>318.12</v>
      </c>
      <c r="AK2036">
        <v>0</v>
      </c>
      <c r="AL2036" t="s">
        <v>53</v>
      </c>
      <c r="AM2036" t="s">
        <v>53</v>
      </c>
      <c r="AN2036" t="s">
        <v>132</v>
      </c>
      <c r="AO2036" t="s">
        <v>53</v>
      </c>
      <c r="AP2036" t="s">
        <v>53</v>
      </c>
    </row>
    <row r="2037" spans="2:42" x14ac:dyDescent="0.2">
      <c r="B2037" t="s">
        <v>44</v>
      </c>
      <c r="C2037" t="str">
        <f>HYPERLINK("https://us2.cloudbeds.com/connect/8493803454333002#/reservations/598186938597?display=E1622BR5&amp;reservation_id=598186938597", "E1622BR5")</f>
        <v>E1622BR5</v>
      </c>
      <c r="D2037" t="s">
        <v>45</v>
      </c>
      <c r="E2037" t="s">
        <v>487</v>
      </c>
      <c r="F2037" t="s">
        <v>61</v>
      </c>
      <c r="G2037" t="s">
        <v>48</v>
      </c>
      <c r="H2037" t="s">
        <v>49</v>
      </c>
      <c r="I2037" t="s">
        <v>50</v>
      </c>
      <c r="J2037" t="s">
        <v>93</v>
      </c>
      <c r="K2037" t="s">
        <v>94</v>
      </c>
      <c r="L2037" t="s">
        <v>53</v>
      </c>
      <c r="N2037" t="s">
        <v>3301</v>
      </c>
      <c r="P2037" t="s">
        <v>55</v>
      </c>
      <c r="R2037" t="s">
        <v>56</v>
      </c>
      <c r="T2037" t="s">
        <v>3280</v>
      </c>
      <c r="U2037" t="s">
        <v>58</v>
      </c>
      <c r="V2037">
        <v>2</v>
      </c>
      <c r="W2037">
        <v>1</v>
      </c>
      <c r="X2037">
        <v>1</v>
      </c>
      <c r="Y2037">
        <v>0</v>
      </c>
      <c r="Z2037">
        <v>1</v>
      </c>
      <c r="AA2037">
        <v>0</v>
      </c>
      <c r="AB2037">
        <v>376.18</v>
      </c>
      <c r="AC2037">
        <v>331</v>
      </c>
      <c r="AD2037">
        <v>0</v>
      </c>
      <c r="AE2037">
        <v>45.18</v>
      </c>
      <c r="AF2037">
        <v>0</v>
      </c>
      <c r="AG2037">
        <v>0</v>
      </c>
      <c r="AH2037">
        <v>0</v>
      </c>
      <c r="AI2037">
        <v>67.709999999999994</v>
      </c>
      <c r="AJ2037">
        <v>376.18</v>
      </c>
      <c r="AK2037">
        <v>0</v>
      </c>
      <c r="AL2037" t="s">
        <v>53</v>
      </c>
      <c r="AM2037" t="s">
        <v>53</v>
      </c>
      <c r="AN2037" t="s">
        <v>146</v>
      </c>
      <c r="AO2037" t="s">
        <v>53</v>
      </c>
      <c r="AP2037" t="s">
        <v>53</v>
      </c>
    </row>
    <row r="2038" spans="2:42" x14ac:dyDescent="0.2">
      <c r="B2038" t="s">
        <v>44</v>
      </c>
      <c r="C2038" t="str">
        <f>HYPERLINK("https://us2.cloudbeds.com/connect/8493803454333002#/reservations/579250528417?display=DJH6CRDY&amp;reservation_id=579250528417", "DJH6CRDY")</f>
        <v>DJH6CRDY</v>
      </c>
      <c r="D2038" t="s">
        <v>45</v>
      </c>
      <c r="E2038" t="s">
        <v>128</v>
      </c>
      <c r="F2038" t="s">
        <v>86</v>
      </c>
      <c r="G2038" t="s">
        <v>48</v>
      </c>
      <c r="H2038" t="s">
        <v>49</v>
      </c>
      <c r="I2038" t="s">
        <v>50</v>
      </c>
      <c r="J2038" t="s">
        <v>1902</v>
      </c>
      <c r="K2038" t="s">
        <v>1903</v>
      </c>
      <c r="L2038" t="s">
        <v>53</v>
      </c>
      <c r="N2038" t="s">
        <v>3302</v>
      </c>
      <c r="P2038" t="s">
        <v>55</v>
      </c>
      <c r="R2038" t="s">
        <v>56</v>
      </c>
      <c r="T2038" t="s">
        <v>3280</v>
      </c>
      <c r="U2038" t="s">
        <v>58</v>
      </c>
      <c r="V2038">
        <v>1</v>
      </c>
      <c r="W2038">
        <v>1</v>
      </c>
      <c r="X2038">
        <v>1</v>
      </c>
      <c r="Y2038">
        <v>0</v>
      </c>
      <c r="Z2038">
        <v>1</v>
      </c>
      <c r="AA2038">
        <v>0</v>
      </c>
      <c r="AB2038">
        <v>174.91</v>
      </c>
      <c r="AC2038">
        <v>153.9</v>
      </c>
      <c r="AD2038">
        <v>0</v>
      </c>
      <c r="AE2038">
        <v>21.01</v>
      </c>
      <c r="AF2038">
        <v>0</v>
      </c>
      <c r="AG2038">
        <v>0</v>
      </c>
      <c r="AH2038">
        <v>0</v>
      </c>
      <c r="AI2038">
        <v>31.48</v>
      </c>
      <c r="AJ2038">
        <v>174.91</v>
      </c>
      <c r="AK2038">
        <v>0</v>
      </c>
      <c r="AL2038" t="s">
        <v>53</v>
      </c>
      <c r="AM2038" t="s">
        <v>53</v>
      </c>
      <c r="AN2038" t="s">
        <v>332</v>
      </c>
      <c r="AO2038" t="s">
        <v>53</v>
      </c>
      <c r="AP2038" t="s">
        <v>53</v>
      </c>
    </row>
    <row r="2039" spans="2:42" x14ac:dyDescent="0.2">
      <c r="B2039" t="s">
        <v>44</v>
      </c>
      <c r="C2039" t="str">
        <f>HYPERLINK("https://us2.cloudbeds.com/connect/8493803454333002#/reservations/598247571691?display=E17K6XJY&amp;reservation_id=598247571691", "E17K6XJY")</f>
        <v>E17K6XJY</v>
      </c>
      <c r="D2039" t="s">
        <v>45</v>
      </c>
      <c r="E2039" t="s">
        <v>121</v>
      </c>
      <c r="F2039" t="s">
        <v>86</v>
      </c>
      <c r="G2039" t="s">
        <v>48</v>
      </c>
      <c r="H2039" t="s">
        <v>49</v>
      </c>
      <c r="I2039" t="s">
        <v>50</v>
      </c>
      <c r="J2039" t="s">
        <v>236</v>
      </c>
      <c r="K2039" t="s">
        <v>525</v>
      </c>
      <c r="L2039" t="s">
        <v>53</v>
      </c>
      <c r="N2039" t="s">
        <v>3303</v>
      </c>
      <c r="P2039" t="s">
        <v>55</v>
      </c>
      <c r="R2039" t="s">
        <v>56</v>
      </c>
      <c r="T2039" t="s">
        <v>3304</v>
      </c>
      <c r="U2039" t="s">
        <v>58</v>
      </c>
      <c r="V2039">
        <v>2</v>
      </c>
      <c r="W2039">
        <v>1</v>
      </c>
      <c r="X2039">
        <v>1</v>
      </c>
      <c r="Y2039">
        <v>0</v>
      </c>
      <c r="Z2039">
        <v>1</v>
      </c>
      <c r="AA2039">
        <v>0</v>
      </c>
      <c r="AB2039">
        <v>335.49</v>
      </c>
      <c r="AC2039">
        <v>295.2</v>
      </c>
      <c r="AD2039">
        <v>0</v>
      </c>
      <c r="AE2039">
        <v>40.299999999999997</v>
      </c>
      <c r="AF2039">
        <v>0</v>
      </c>
      <c r="AG2039">
        <v>0</v>
      </c>
      <c r="AH2039">
        <v>0</v>
      </c>
      <c r="AI2039">
        <v>60.39</v>
      </c>
      <c r="AJ2039">
        <v>335.5</v>
      </c>
      <c r="AK2039">
        <v>0.01</v>
      </c>
      <c r="AL2039" t="s">
        <v>53</v>
      </c>
      <c r="AM2039" t="s">
        <v>53</v>
      </c>
      <c r="AN2039" t="s">
        <v>245</v>
      </c>
      <c r="AO2039" t="s">
        <v>53</v>
      </c>
      <c r="AP2039" t="s">
        <v>53</v>
      </c>
    </row>
    <row r="2040" spans="2:42" x14ac:dyDescent="0.2">
      <c r="B2040" t="s">
        <v>44</v>
      </c>
      <c r="C2040" t="str">
        <f>HYPERLINK("https://us2.cloudbeds.com/connect/8493803454333002#/reservations/579189592276?display=DJFY06BU&amp;reservation_id=579189592276", "DJFY06BU")</f>
        <v>DJFY06BU</v>
      </c>
      <c r="D2040" t="s">
        <v>45</v>
      </c>
      <c r="E2040" t="s">
        <v>406</v>
      </c>
      <c r="F2040" t="s">
        <v>61</v>
      </c>
      <c r="G2040" t="s">
        <v>48</v>
      </c>
      <c r="H2040" t="s">
        <v>49</v>
      </c>
      <c r="I2040" t="s">
        <v>79</v>
      </c>
      <c r="J2040" t="s">
        <v>2384</v>
      </c>
      <c r="K2040" t="s">
        <v>2643</v>
      </c>
      <c r="L2040" t="s">
        <v>53</v>
      </c>
      <c r="N2040" t="s">
        <v>3305</v>
      </c>
      <c r="P2040" t="s">
        <v>55</v>
      </c>
      <c r="R2040" t="s">
        <v>56</v>
      </c>
      <c r="T2040" t="s">
        <v>3304</v>
      </c>
      <c r="U2040" t="s">
        <v>58</v>
      </c>
      <c r="V2040">
        <v>2</v>
      </c>
      <c r="W2040">
        <v>1</v>
      </c>
      <c r="X2040">
        <v>1</v>
      </c>
      <c r="Y2040">
        <v>0</v>
      </c>
      <c r="Z2040">
        <v>1</v>
      </c>
      <c r="AA2040">
        <v>0</v>
      </c>
      <c r="AB2040">
        <v>312.98</v>
      </c>
      <c r="AC2040">
        <v>275.39999999999998</v>
      </c>
      <c r="AD2040">
        <v>0</v>
      </c>
      <c r="AE2040">
        <v>37.58</v>
      </c>
      <c r="AF2040">
        <v>0</v>
      </c>
      <c r="AG2040">
        <v>0</v>
      </c>
      <c r="AH2040">
        <v>0</v>
      </c>
      <c r="AI2040">
        <v>0</v>
      </c>
      <c r="AJ2040">
        <v>312.98</v>
      </c>
      <c r="AK2040">
        <v>0</v>
      </c>
      <c r="AL2040" t="s">
        <v>53</v>
      </c>
      <c r="AM2040" t="s">
        <v>53</v>
      </c>
      <c r="AN2040" t="s">
        <v>91</v>
      </c>
      <c r="AO2040" t="s">
        <v>53</v>
      </c>
      <c r="AP2040" t="s">
        <v>53</v>
      </c>
    </row>
    <row r="2041" spans="2:42" x14ac:dyDescent="0.2">
      <c r="B2041" t="s">
        <v>44</v>
      </c>
      <c r="C2041" t="str">
        <f>HYPERLINK("https://us2.cloudbeds.com/connect/8493803454333002#/reservations/579208769767?display=DJG45RX0&amp;reservation_id=579208769767", "DJG45RX0")</f>
        <v>DJG45RX0</v>
      </c>
      <c r="D2041" t="s">
        <v>45</v>
      </c>
      <c r="E2041" t="s">
        <v>190</v>
      </c>
      <c r="F2041" t="s">
        <v>61</v>
      </c>
      <c r="G2041" t="s">
        <v>48</v>
      </c>
      <c r="H2041" t="s">
        <v>71</v>
      </c>
      <c r="I2041" t="s">
        <v>72</v>
      </c>
      <c r="J2041" t="s">
        <v>2022</v>
      </c>
      <c r="K2041" t="s">
        <v>2023</v>
      </c>
      <c r="L2041" t="s">
        <v>53</v>
      </c>
      <c r="N2041" t="s">
        <v>3306</v>
      </c>
      <c r="P2041" t="s">
        <v>58</v>
      </c>
      <c r="R2041" t="s">
        <v>56</v>
      </c>
      <c r="T2041" t="s">
        <v>3304</v>
      </c>
      <c r="U2041" t="s">
        <v>58</v>
      </c>
      <c r="V2041">
        <v>1</v>
      </c>
      <c r="W2041">
        <v>1</v>
      </c>
      <c r="X2041">
        <v>1</v>
      </c>
      <c r="Y2041">
        <v>0</v>
      </c>
      <c r="Z2041">
        <v>1</v>
      </c>
      <c r="AA2041">
        <v>0</v>
      </c>
      <c r="AB2041">
        <v>169.34</v>
      </c>
      <c r="AC2041">
        <v>149</v>
      </c>
      <c r="AD2041">
        <v>0</v>
      </c>
      <c r="AE2041">
        <v>20.34</v>
      </c>
      <c r="AF2041">
        <v>0</v>
      </c>
      <c r="AG2041">
        <v>0</v>
      </c>
      <c r="AH2041">
        <v>0</v>
      </c>
      <c r="AI2041">
        <v>0</v>
      </c>
      <c r="AJ2041">
        <v>169.34</v>
      </c>
      <c r="AK2041">
        <v>0</v>
      </c>
      <c r="AL2041" t="s">
        <v>53</v>
      </c>
      <c r="AM2041" t="s">
        <v>53</v>
      </c>
      <c r="AN2041" t="s">
        <v>3307</v>
      </c>
      <c r="AO2041" t="s">
        <v>53</v>
      </c>
      <c r="AP2041" t="s">
        <v>53</v>
      </c>
    </row>
    <row r="2042" spans="2:42" x14ac:dyDescent="0.2">
      <c r="B2042" t="s">
        <v>44</v>
      </c>
      <c r="C2042" t="str">
        <f>HYPERLINK("https://us2.cloudbeds.com/connect/8493803454333002#/reservations/598628659365?display=E1HBHTBW&amp;reservation_id=598628659365", "E1HBHTBW")</f>
        <v>E1HBHTBW</v>
      </c>
      <c r="D2042" t="s">
        <v>45</v>
      </c>
      <c r="E2042" t="s">
        <v>128</v>
      </c>
      <c r="F2042" t="s">
        <v>86</v>
      </c>
      <c r="G2042" t="s">
        <v>48</v>
      </c>
      <c r="H2042" t="s">
        <v>71</v>
      </c>
      <c r="I2042" t="s">
        <v>72</v>
      </c>
      <c r="J2042" t="s">
        <v>2102</v>
      </c>
      <c r="K2042" t="s">
        <v>988</v>
      </c>
      <c r="L2042" t="s">
        <v>53</v>
      </c>
      <c r="N2042" t="s">
        <v>3308</v>
      </c>
      <c r="P2042" t="s">
        <v>55</v>
      </c>
      <c r="R2042" t="s">
        <v>56</v>
      </c>
      <c r="T2042" t="s">
        <v>3304</v>
      </c>
      <c r="U2042" t="s">
        <v>58</v>
      </c>
      <c r="V2042">
        <v>1</v>
      </c>
      <c r="W2042">
        <v>1</v>
      </c>
      <c r="X2042">
        <v>1</v>
      </c>
      <c r="Y2042">
        <v>0</v>
      </c>
      <c r="Z2042">
        <v>1</v>
      </c>
      <c r="AA2042">
        <v>0</v>
      </c>
      <c r="AB2042">
        <v>199.46</v>
      </c>
      <c r="AC2042">
        <v>175.5</v>
      </c>
      <c r="AD2042">
        <v>0</v>
      </c>
      <c r="AE2042">
        <v>23.95</v>
      </c>
      <c r="AF2042">
        <v>0</v>
      </c>
      <c r="AG2042">
        <v>0</v>
      </c>
      <c r="AH2042">
        <v>0</v>
      </c>
      <c r="AI2042">
        <v>0</v>
      </c>
      <c r="AJ2042">
        <v>199.45</v>
      </c>
      <c r="AK2042">
        <v>-0.01</v>
      </c>
      <c r="AL2042" t="s">
        <v>53</v>
      </c>
      <c r="AM2042" t="s">
        <v>53</v>
      </c>
      <c r="AN2042" t="s">
        <v>3309</v>
      </c>
      <c r="AO2042" t="s">
        <v>53</v>
      </c>
      <c r="AP2042" t="s">
        <v>53</v>
      </c>
    </row>
    <row r="2043" spans="2:42" x14ac:dyDescent="0.2">
      <c r="B2043" t="s">
        <v>44</v>
      </c>
      <c r="C2043" t="str">
        <f>HYPERLINK("https://us2.cloudbeds.com/connect/8493803454333002#/reservations/598460833933?display=E1D20TMR&amp;reservation_id=598460833933", "E1D20TMR")</f>
        <v>E1D20TMR</v>
      </c>
      <c r="D2043" t="s">
        <v>45</v>
      </c>
      <c r="E2043" t="s">
        <v>121</v>
      </c>
      <c r="F2043" t="s">
        <v>86</v>
      </c>
      <c r="G2043" t="s">
        <v>48</v>
      </c>
      <c r="H2043" t="s">
        <v>71</v>
      </c>
      <c r="I2043" t="s">
        <v>72</v>
      </c>
      <c r="J2043" t="s">
        <v>478</v>
      </c>
      <c r="K2043" t="s">
        <v>236</v>
      </c>
      <c r="L2043" t="s">
        <v>53</v>
      </c>
      <c r="N2043" t="s">
        <v>3310</v>
      </c>
      <c r="P2043" t="s">
        <v>55</v>
      </c>
      <c r="R2043" t="s">
        <v>56</v>
      </c>
      <c r="T2043" t="s">
        <v>3304</v>
      </c>
      <c r="U2043" t="s">
        <v>58</v>
      </c>
      <c r="V2043">
        <v>1</v>
      </c>
      <c r="W2043">
        <v>1</v>
      </c>
      <c r="X2043">
        <v>1</v>
      </c>
      <c r="Y2043">
        <v>0</v>
      </c>
      <c r="Z2043">
        <v>1</v>
      </c>
      <c r="AA2043">
        <v>0</v>
      </c>
      <c r="AB2043">
        <v>170.48</v>
      </c>
      <c r="AC2043">
        <v>150</v>
      </c>
      <c r="AD2043">
        <v>0</v>
      </c>
      <c r="AE2043">
        <v>20.48</v>
      </c>
      <c r="AF2043">
        <v>0</v>
      </c>
      <c r="AG2043">
        <v>0</v>
      </c>
      <c r="AH2043">
        <v>0</v>
      </c>
      <c r="AI2043">
        <v>0</v>
      </c>
      <c r="AJ2043">
        <v>170.48</v>
      </c>
      <c r="AK2043">
        <v>0</v>
      </c>
      <c r="AL2043" t="s">
        <v>53</v>
      </c>
      <c r="AM2043" t="s">
        <v>53</v>
      </c>
      <c r="AN2043" t="s">
        <v>378</v>
      </c>
      <c r="AO2043" t="s">
        <v>53</v>
      </c>
      <c r="AP2043" t="s">
        <v>53</v>
      </c>
    </row>
    <row r="2044" spans="2:42" x14ac:dyDescent="0.2">
      <c r="B2044" t="s">
        <v>44</v>
      </c>
      <c r="C2044" t="str">
        <f>HYPERLINK("https://us2.cloudbeds.com/connect/8493803454333002#/reservations/598608085146?display=E1GR6CJQ&amp;reservation_id=598608085146", "E1GR6CJQ")</f>
        <v>E1GR6CJQ</v>
      </c>
      <c r="D2044" t="s">
        <v>45</v>
      </c>
      <c r="E2044" t="s">
        <v>98</v>
      </c>
      <c r="F2044" t="s">
        <v>86</v>
      </c>
      <c r="G2044" t="s">
        <v>48</v>
      </c>
      <c r="H2044" t="s">
        <v>71</v>
      </c>
      <c r="I2044" t="s">
        <v>72</v>
      </c>
      <c r="J2044" t="s">
        <v>768</v>
      </c>
      <c r="K2044" t="s">
        <v>488</v>
      </c>
      <c r="L2044" t="s">
        <v>53</v>
      </c>
      <c r="N2044" t="s">
        <v>3311</v>
      </c>
      <c r="P2044" t="s">
        <v>55</v>
      </c>
      <c r="R2044" t="s">
        <v>56</v>
      </c>
      <c r="T2044" t="s">
        <v>3304</v>
      </c>
      <c r="U2044" t="s">
        <v>58</v>
      </c>
      <c r="V2044">
        <v>1</v>
      </c>
      <c r="W2044">
        <v>1</v>
      </c>
      <c r="X2044">
        <v>1</v>
      </c>
      <c r="Y2044">
        <v>0</v>
      </c>
      <c r="Z2044">
        <v>1</v>
      </c>
      <c r="AA2044">
        <v>0</v>
      </c>
      <c r="AB2044">
        <v>179.69</v>
      </c>
      <c r="AC2044">
        <v>158.11000000000001</v>
      </c>
      <c r="AD2044">
        <v>0</v>
      </c>
      <c r="AE2044">
        <v>21.58</v>
      </c>
      <c r="AF2044">
        <v>0</v>
      </c>
      <c r="AG2044">
        <v>0</v>
      </c>
      <c r="AH2044">
        <v>0</v>
      </c>
      <c r="AI2044">
        <v>0</v>
      </c>
      <c r="AJ2044">
        <v>179.69</v>
      </c>
      <c r="AK2044">
        <v>0</v>
      </c>
      <c r="AL2044" t="s">
        <v>53</v>
      </c>
      <c r="AM2044" t="s">
        <v>53</v>
      </c>
      <c r="AN2044" t="s">
        <v>3312</v>
      </c>
      <c r="AO2044" t="s">
        <v>53</v>
      </c>
      <c r="AP2044" t="s">
        <v>53</v>
      </c>
    </row>
    <row r="2045" spans="2:42" x14ac:dyDescent="0.2">
      <c r="B2045" t="s">
        <v>44</v>
      </c>
      <c r="C2045" t="str">
        <f>HYPERLINK("https://us2.cloudbeds.com/connect/8493803454333002#/reservations/598605185230?display=E1GZZMMX&amp;reservation_id=598605185230", "E1GZZMMX")</f>
        <v>E1GZZMMX</v>
      </c>
      <c r="D2045" t="s">
        <v>45</v>
      </c>
      <c r="E2045" t="s">
        <v>223</v>
      </c>
      <c r="F2045" t="s">
        <v>47</v>
      </c>
      <c r="G2045" t="s">
        <v>48</v>
      </c>
      <c r="H2045" t="s">
        <v>49</v>
      </c>
      <c r="I2045" t="s">
        <v>62</v>
      </c>
      <c r="J2045" t="s">
        <v>237</v>
      </c>
      <c r="K2045" t="s">
        <v>525</v>
      </c>
      <c r="L2045" t="s">
        <v>53</v>
      </c>
      <c r="N2045" t="s">
        <v>3313</v>
      </c>
      <c r="P2045" t="s">
        <v>55</v>
      </c>
      <c r="R2045" t="s">
        <v>56</v>
      </c>
      <c r="T2045" t="s">
        <v>3304</v>
      </c>
      <c r="U2045" t="s">
        <v>58</v>
      </c>
      <c r="V2045">
        <v>1</v>
      </c>
      <c r="W2045">
        <v>1</v>
      </c>
      <c r="X2045">
        <v>1</v>
      </c>
      <c r="Y2045">
        <v>0</v>
      </c>
      <c r="Z2045">
        <v>1</v>
      </c>
      <c r="AA2045">
        <v>0</v>
      </c>
      <c r="AB2045">
        <v>169.34</v>
      </c>
      <c r="AC2045">
        <v>149</v>
      </c>
      <c r="AD2045">
        <v>0</v>
      </c>
      <c r="AE2045">
        <v>20.34</v>
      </c>
      <c r="AF2045">
        <v>0</v>
      </c>
      <c r="AG2045">
        <v>0</v>
      </c>
      <c r="AH2045">
        <v>0</v>
      </c>
      <c r="AI2045">
        <v>25.4</v>
      </c>
      <c r="AJ2045">
        <v>169.34</v>
      </c>
      <c r="AK2045">
        <v>0</v>
      </c>
      <c r="AL2045" t="s">
        <v>53</v>
      </c>
      <c r="AM2045" t="s">
        <v>53</v>
      </c>
      <c r="AN2045" t="s">
        <v>349</v>
      </c>
      <c r="AO2045" t="s">
        <v>53</v>
      </c>
      <c r="AP2045" t="s">
        <v>53</v>
      </c>
    </row>
    <row r="2046" spans="2:42" x14ac:dyDescent="0.2">
      <c r="B2046" t="s">
        <v>44</v>
      </c>
      <c r="C2046" t="str">
        <f>HYPERLINK("https://us2.cloudbeds.com/connect/8493803454333002#/reservations/579208773857?display=DJG45V9V&amp;reservation_id=579208773857", "DJG45V9V")</f>
        <v>DJG45V9V</v>
      </c>
      <c r="D2046" t="s">
        <v>45</v>
      </c>
      <c r="E2046" t="s">
        <v>92</v>
      </c>
      <c r="F2046" t="s">
        <v>86</v>
      </c>
      <c r="G2046" t="s">
        <v>48</v>
      </c>
      <c r="H2046" t="s">
        <v>71</v>
      </c>
      <c r="I2046" t="s">
        <v>72</v>
      </c>
      <c r="J2046" t="s">
        <v>2022</v>
      </c>
      <c r="K2046" t="s">
        <v>2023</v>
      </c>
      <c r="L2046" t="s">
        <v>53</v>
      </c>
      <c r="N2046" t="s">
        <v>3314</v>
      </c>
      <c r="P2046" t="s">
        <v>58</v>
      </c>
      <c r="R2046" t="s">
        <v>56</v>
      </c>
      <c r="T2046" t="s">
        <v>3304</v>
      </c>
      <c r="U2046" t="s">
        <v>58</v>
      </c>
      <c r="V2046">
        <v>1</v>
      </c>
      <c r="W2046">
        <v>1</v>
      </c>
      <c r="X2046">
        <v>1</v>
      </c>
      <c r="Y2046">
        <v>0</v>
      </c>
      <c r="Z2046">
        <v>1</v>
      </c>
      <c r="AA2046">
        <v>0</v>
      </c>
      <c r="AB2046">
        <v>177.29</v>
      </c>
      <c r="AC2046">
        <v>156</v>
      </c>
      <c r="AD2046">
        <v>0</v>
      </c>
      <c r="AE2046">
        <v>21.29</v>
      </c>
      <c r="AF2046">
        <v>0</v>
      </c>
      <c r="AG2046">
        <v>0</v>
      </c>
      <c r="AH2046">
        <v>0</v>
      </c>
      <c r="AI2046">
        <v>0</v>
      </c>
      <c r="AJ2046">
        <v>177.29</v>
      </c>
      <c r="AK2046">
        <v>0</v>
      </c>
      <c r="AL2046" t="s">
        <v>53</v>
      </c>
      <c r="AM2046" t="s">
        <v>53</v>
      </c>
      <c r="AN2046" t="s">
        <v>3315</v>
      </c>
      <c r="AO2046" t="s">
        <v>53</v>
      </c>
      <c r="AP2046" t="s">
        <v>53</v>
      </c>
    </row>
    <row r="2047" spans="2:42" x14ac:dyDescent="0.2">
      <c r="B2047" t="s">
        <v>44</v>
      </c>
      <c r="C2047" t="str">
        <f>HYPERLINK("https://us2.cloudbeds.com/connect/8493803454333002#/reservations/598272037108?display=E187RBHU&amp;reservation_id=598272037108", "E187RBHU")</f>
        <v>E187RBHU</v>
      </c>
      <c r="D2047" t="s">
        <v>45</v>
      </c>
      <c r="E2047" t="s">
        <v>487</v>
      </c>
      <c r="F2047" t="s">
        <v>61</v>
      </c>
      <c r="G2047" t="s">
        <v>48</v>
      </c>
      <c r="H2047" t="s">
        <v>49</v>
      </c>
      <c r="I2047" t="s">
        <v>79</v>
      </c>
      <c r="J2047" t="s">
        <v>1792</v>
      </c>
      <c r="K2047" t="s">
        <v>1633</v>
      </c>
      <c r="L2047" t="s">
        <v>53</v>
      </c>
      <c r="N2047" t="s">
        <v>3316</v>
      </c>
      <c r="P2047" t="s">
        <v>55</v>
      </c>
      <c r="R2047" t="s">
        <v>56</v>
      </c>
      <c r="T2047" t="s">
        <v>3317</v>
      </c>
      <c r="U2047" t="s">
        <v>58</v>
      </c>
      <c r="V2047">
        <v>1</v>
      </c>
      <c r="W2047">
        <v>1</v>
      </c>
      <c r="X2047">
        <v>1</v>
      </c>
      <c r="Y2047">
        <v>0</v>
      </c>
      <c r="Z2047">
        <v>1</v>
      </c>
      <c r="AA2047">
        <v>0</v>
      </c>
      <c r="AB2047">
        <v>172.86</v>
      </c>
      <c r="AC2047">
        <v>152.1</v>
      </c>
      <c r="AD2047">
        <v>0</v>
      </c>
      <c r="AE2047">
        <v>20.76</v>
      </c>
      <c r="AF2047">
        <v>0</v>
      </c>
      <c r="AG2047">
        <v>0</v>
      </c>
      <c r="AH2047">
        <v>0</v>
      </c>
      <c r="AI2047">
        <v>0</v>
      </c>
      <c r="AJ2047">
        <v>172.86</v>
      </c>
      <c r="AK2047">
        <v>0</v>
      </c>
      <c r="AL2047" t="s">
        <v>53</v>
      </c>
      <c r="AM2047" t="s">
        <v>53</v>
      </c>
      <c r="AN2047" t="s">
        <v>178</v>
      </c>
      <c r="AO2047" t="s">
        <v>53</v>
      </c>
      <c r="AP2047" t="s">
        <v>53</v>
      </c>
    </row>
    <row r="2048" spans="2:42" x14ac:dyDescent="0.2">
      <c r="B2048" t="s">
        <v>44</v>
      </c>
      <c r="C2048" t="str">
        <f>HYPERLINK("https://us2.cloudbeds.com/connect/8493803454333002#/reservations/579346882740?display=DJJYY11K&amp;reservation_id=579346882740", "DJJYY11K")</f>
        <v>DJJYY11K</v>
      </c>
      <c r="D2048" t="s">
        <v>45</v>
      </c>
      <c r="E2048" t="s">
        <v>213</v>
      </c>
      <c r="F2048" t="s">
        <v>86</v>
      </c>
      <c r="G2048" t="s">
        <v>48</v>
      </c>
      <c r="H2048" t="s">
        <v>49</v>
      </c>
      <c r="I2048" t="s">
        <v>62</v>
      </c>
      <c r="J2048" t="s">
        <v>99</v>
      </c>
      <c r="K2048" t="s">
        <v>1367</v>
      </c>
      <c r="L2048" t="s">
        <v>53</v>
      </c>
      <c r="N2048" t="s">
        <v>3318</v>
      </c>
      <c r="P2048" t="s">
        <v>55</v>
      </c>
      <c r="R2048" t="s">
        <v>56</v>
      </c>
      <c r="T2048" t="s">
        <v>3317</v>
      </c>
      <c r="U2048" t="s">
        <v>58</v>
      </c>
      <c r="V2048">
        <v>6</v>
      </c>
      <c r="W2048">
        <v>1</v>
      </c>
      <c r="X2048">
        <v>1</v>
      </c>
      <c r="Y2048">
        <v>0</v>
      </c>
      <c r="Z2048">
        <v>1</v>
      </c>
      <c r="AA2048">
        <v>0</v>
      </c>
      <c r="AB2048">
        <v>0</v>
      </c>
      <c r="AC2048">
        <v>-134.04</v>
      </c>
      <c r="AD2048">
        <v>0</v>
      </c>
      <c r="AE2048">
        <v>134.04</v>
      </c>
      <c r="AF2048">
        <v>0</v>
      </c>
      <c r="AG2048">
        <v>0</v>
      </c>
      <c r="AH2048">
        <v>0</v>
      </c>
      <c r="AI2048">
        <v>0</v>
      </c>
      <c r="AJ2048">
        <v>0</v>
      </c>
      <c r="AK2048">
        <v>0</v>
      </c>
      <c r="AL2048" t="s">
        <v>53</v>
      </c>
      <c r="AM2048" t="s">
        <v>53</v>
      </c>
      <c r="AN2048" t="s">
        <v>605</v>
      </c>
      <c r="AO2048" t="s">
        <v>53</v>
      </c>
      <c r="AP2048" t="s">
        <v>53</v>
      </c>
    </row>
    <row r="2049" spans="2:42" x14ac:dyDescent="0.2">
      <c r="B2049" t="s">
        <v>44</v>
      </c>
      <c r="C2049" t="str">
        <f>HYPERLINK("https://us2.cloudbeds.com/connect/8493803454333002#/reservations/598501773451?display=E1E3X3C9&amp;reservation_id=598501773451", "E1E3X3C9")</f>
        <v>E1E3X3C9</v>
      </c>
      <c r="D2049" t="s">
        <v>45</v>
      </c>
      <c r="E2049" t="s">
        <v>223</v>
      </c>
      <c r="F2049" t="s">
        <v>47</v>
      </c>
      <c r="G2049" t="s">
        <v>48</v>
      </c>
      <c r="H2049" t="s">
        <v>49</v>
      </c>
      <c r="I2049" t="s">
        <v>50</v>
      </c>
      <c r="J2049" t="s">
        <v>446</v>
      </c>
      <c r="K2049" t="s">
        <v>1633</v>
      </c>
      <c r="L2049" t="s">
        <v>53</v>
      </c>
      <c r="N2049" t="s">
        <v>3319</v>
      </c>
      <c r="P2049" t="s">
        <v>55</v>
      </c>
      <c r="R2049" t="s">
        <v>56</v>
      </c>
      <c r="T2049" t="s">
        <v>3317</v>
      </c>
      <c r="U2049" t="s">
        <v>58</v>
      </c>
      <c r="V2049">
        <v>2</v>
      </c>
      <c r="W2049">
        <v>1</v>
      </c>
      <c r="X2049">
        <v>1</v>
      </c>
      <c r="Y2049">
        <v>0</v>
      </c>
      <c r="Z2049">
        <v>1</v>
      </c>
      <c r="AA2049">
        <v>0</v>
      </c>
      <c r="AB2049">
        <v>315.55</v>
      </c>
      <c r="AC2049">
        <v>277.64999999999998</v>
      </c>
      <c r="AD2049">
        <v>0</v>
      </c>
      <c r="AE2049">
        <v>37.92</v>
      </c>
      <c r="AF2049">
        <v>0</v>
      </c>
      <c r="AG2049">
        <v>0</v>
      </c>
      <c r="AH2049">
        <v>0</v>
      </c>
      <c r="AI2049">
        <v>56.8</v>
      </c>
      <c r="AJ2049">
        <v>315.57</v>
      </c>
      <c r="AK2049">
        <v>0.02</v>
      </c>
      <c r="AL2049" t="s">
        <v>53</v>
      </c>
      <c r="AM2049" t="s">
        <v>53</v>
      </c>
      <c r="AN2049" t="s">
        <v>97</v>
      </c>
      <c r="AO2049" t="s">
        <v>53</v>
      </c>
      <c r="AP2049" t="s">
        <v>53</v>
      </c>
    </row>
    <row r="2050" spans="2:42" x14ac:dyDescent="0.2">
      <c r="B2050" t="s">
        <v>44</v>
      </c>
      <c r="C2050" t="str">
        <f>HYPERLINK("https://us2.cloudbeds.com/connect/8493803454333002#/reservations/598366384328?display=E1AYCN3J&amp;reservation_id=598366384328", "E1AYCN3J")</f>
        <v>E1AYCN3J</v>
      </c>
      <c r="D2050" t="s">
        <v>45</v>
      </c>
      <c r="E2050" t="s">
        <v>98</v>
      </c>
      <c r="F2050" t="s">
        <v>86</v>
      </c>
      <c r="G2050" t="s">
        <v>48</v>
      </c>
      <c r="H2050" t="s">
        <v>49</v>
      </c>
      <c r="I2050" t="s">
        <v>79</v>
      </c>
      <c r="J2050" t="s">
        <v>93</v>
      </c>
      <c r="K2050" t="s">
        <v>1822</v>
      </c>
      <c r="L2050" t="s">
        <v>53</v>
      </c>
      <c r="N2050" t="s">
        <v>3320</v>
      </c>
      <c r="P2050" t="s">
        <v>55</v>
      </c>
      <c r="R2050" t="s">
        <v>56</v>
      </c>
      <c r="T2050" t="s">
        <v>3317</v>
      </c>
      <c r="U2050" t="s">
        <v>58</v>
      </c>
      <c r="V2050">
        <v>1</v>
      </c>
      <c r="W2050">
        <v>1</v>
      </c>
      <c r="X2050">
        <v>1</v>
      </c>
      <c r="Y2050">
        <v>0</v>
      </c>
      <c r="Z2050">
        <v>1</v>
      </c>
      <c r="AA2050">
        <v>0</v>
      </c>
      <c r="AB2050">
        <v>187.18</v>
      </c>
      <c r="AC2050">
        <v>164.7</v>
      </c>
      <c r="AD2050">
        <v>0</v>
      </c>
      <c r="AE2050">
        <v>22.48</v>
      </c>
      <c r="AF2050">
        <v>0</v>
      </c>
      <c r="AG2050">
        <v>0</v>
      </c>
      <c r="AH2050">
        <v>0</v>
      </c>
      <c r="AI2050">
        <v>0</v>
      </c>
      <c r="AJ2050">
        <v>187.18</v>
      </c>
      <c r="AK2050">
        <v>0</v>
      </c>
      <c r="AL2050" t="s">
        <v>53</v>
      </c>
      <c r="AM2050" t="s">
        <v>53</v>
      </c>
      <c r="AN2050" t="s">
        <v>68</v>
      </c>
      <c r="AO2050" t="s">
        <v>53</v>
      </c>
      <c r="AP2050" t="s">
        <v>53</v>
      </c>
    </row>
    <row r="2051" spans="2:42" x14ac:dyDescent="0.2">
      <c r="B2051" t="s">
        <v>44</v>
      </c>
      <c r="C2051" t="str">
        <f>HYPERLINK("https://us2.cloudbeds.com/connect/8493803454333002#/reservations/598464557280?display=E1D55GZH&amp;reservation_id=598464557280", "E1D55GZH")</f>
        <v>E1D55GZH</v>
      </c>
      <c r="D2051" t="s">
        <v>45</v>
      </c>
      <c r="E2051" t="s">
        <v>373</v>
      </c>
      <c r="F2051" t="s">
        <v>47</v>
      </c>
      <c r="G2051" t="s">
        <v>48</v>
      </c>
      <c r="H2051" t="s">
        <v>71</v>
      </c>
      <c r="I2051" t="s">
        <v>72</v>
      </c>
      <c r="J2051" t="s">
        <v>236</v>
      </c>
      <c r="K2051" t="s">
        <v>237</v>
      </c>
      <c r="L2051" t="s">
        <v>53</v>
      </c>
      <c r="N2051" t="s">
        <v>3321</v>
      </c>
      <c r="P2051" t="s">
        <v>55</v>
      </c>
      <c r="R2051" t="s">
        <v>56</v>
      </c>
      <c r="T2051" t="s">
        <v>3317</v>
      </c>
      <c r="U2051" t="s">
        <v>58</v>
      </c>
      <c r="V2051">
        <v>1</v>
      </c>
      <c r="W2051">
        <v>1</v>
      </c>
      <c r="X2051">
        <v>1</v>
      </c>
      <c r="Y2051">
        <v>0</v>
      </c>
      <c r="Z2051">
        <v>1</v>
      </c>
      <c r="AA2051">
        <v>0</v>
      </c>
      <c r="AB2051">
        <v>158.75</v>
      </c>
      <c r="AC2051">
        <v>139.68</v>
      </c>
      <c r="AD2051">
        <v>0</v>
      </c>
      <c r="AE2051">
        <v>19.059999999999999</v>
      </c>
      <c r="AF2051">
        <v>0</v>
      </c>
      <c r="AG2051">
        <v>0</v>
      </c>
      <c r="AH2051">
        <v>0</v>
      </c>
      <c r="AI2051">
        <v>0</v>
      </c>
      <c r="AJ2051">
        <v>158.74</v>
      </c>
      <c r="AK2051">
        <v>-0.01</v>
      </c>
      <c r="AL2051" t="s">
        <v>53</v>
      </c>
      <c r="AM2051" t="s">
        <v>53</v>
      </c>
      <c r="AN2051" t="s">
        <v>3322</v>
      </c>
      <c r="AO2051" t="s">
        <v>53</v>
      </c>
      <c r="AP2051" t="s">
        <v>53</v>
      </c>
    </row>
    <row r="2052" spans="2:42" x14ac:dyDescent="0.2">
      <c r="B2052" t="s">
        <v>44</v>
      </c>
      <c r="C2052" t="str">
        <f>HYPERLINK("https://us2.cloudbeds.com/connect/8493803454333002#/reservations/598560559240?display=E1FK3TQR&amp;reservation_id=598560559240", "E1FK3TQR")</f>
        <v>E1FK3TQR</v>
      </c>
      <c r="D2052" t="s">
        <v>45</v>
      </c>
      <c r="E2052" t="s">
        <v>305</v>
      </c>
      <c r="F2052" t="s">
        <v>61</v>
      </c>
      <c r="G2052" t="s">
        <v>48</v>
      </c>
      <c r="H2052" t="s">
        <v>49</v>
      </c>
      <c r="I2052" t="s">
        <v>50</v>
      </c>
      <c r="J2052" t="s">
        <v>236</v>
      </c>
      <c r="K2052" t="s">
        <v>237</v>
      </c>
      <c r="L2052" t="s">
        <v>53</v>
      </c>
      <c r="N2052" t="s">
        <v>3323</v>
      </c>
      <c r="P2052" t="s">
        <v>55</v>
      </c>
      <c r="R2052" t="s">
        <v>56</v>
      </c>
      <c r="T2052" t="s">
        <v>3317</v>
      </c>
      <c r="U2052" t="s">
        <v>58</v>
      </c>
      <c r="V2052">
        <v>1</v>
      </c>
      <c r="W2052">
        <v>1</v>
      </c>
      <c r="X2052">
        <v>1</v>
      </c>
      <c r="Y2052">
        <v>0</v>
      </c>
      <c r="Z2052">
        <v>1</v>
      </c>
      <c r="AA2052">
        <v>0</v>
      </c>
      <c r="AB2052">
        <v>162.63</v>
      </c>
      <c r="AC2052">
        <v>143.1</v>
      </c>
      <c r="AD2052">
        <v>0</v>
      </c>
      <c r="AE2052">
        <v>19.53</v>
      </c>
      <c r="AF2052">
        <v>0</v>
      </c>
      <c r="AG2052">
        <v>0</v>
      </c>
      <c r="AH2052">
        <v>0</v>
      </c>
      <c r="AI2052">
        <v>29.27</v>
      </c>
      <c r="AJ2052">
        <v>162.63</v>
      </c>
      <c r="AK2052">
        <v>0</v>
      </c>
      <c r="AL2052" t="s">
        <v>53</v>
      </c>
      <c r="AM2052" t="s">
        <v>53</v>
      </c>
      <c r="AN2052" t="s">
        <v>349</v>
      </c>
      <c r="AO2052" t="s">
        <v>53</v>
      </c>
      <c r="AP2052" t="s">
        <v>53</v>
      </c>
    </row>
    <row r="2053" spans="2:42" x14ac:dyDescent="0.2">
      <c r="B2053" t="s">
        <v>44</v>
      </c>
      <c r="C2053" t="str">
        <f>HYPERLINK("https://us2.cloudbeds.com/connect/8493803454333002#/reservations/579280322765?display=DJHVGTPY&amp;reservation_id=579280322765", "DJHVGTPY")</f>
        <v>DJHVGTPY</v>
      </c>
      <c r="D2053" t="s">
        <v>45</v>
      </c>
      <c r="E2053" t="s">
        <v>373</v>
      </c>
      <c r="F2053" t="s">
        <v>47</v>
      </c>
      <c r="G2053" t="s">
        <v>48</v>
      </c>
      <c r="H2053" t="s">
        <v>49</v>
      </c>
      <c r="I2053" t="s">
        <v>50</v>
      </c>
      <c r="J2053" t="s">
        <v>3000</v>
      </c>
      <c r="K2053" t="s">
        <v>1458</v>
      </c>
      <c r="L2053" t="s">
        <v>53</v>
      </c>
      <c r="N2053" t="s">
        <v>3324</v>
      </c>
      <c r="P2053" t="s">
        <v>55</v>
      </c>
      <c r="R2053" t="s">
        <v>56</v>
      </c>
      <c r="T2053" t="s">
        <v>3317</v>
      </c>
      <c r="U2053" t="s">
        <v>58</v>
      </c>
      <c r="V2053">
        <v>2</v>
      </c>
      <c r="W2053">
        <v>1</v>
      </c>
      <c r="X2053">
        <v>1</v>
      </c>
      <c r="Y2053">
        <v>0</v>
      </c>
      <c r="Z2053">
        <v>1</v>
      </c>
      <c r="AA2053">
        <v>0</v>
      </c>
      <c r="AB2053">
        <v>237.74</v>
      </c>
      <c r="AC2053">
        <v>209.5</v>
      </c>
      <c r="AD2053">
        <v>0</v>
      </c>
      <c r="AE2053">
        <v>28.24</v>
      </c>
      <c r="AF2053">
        <v>0</v>
      </c>
      <c r="AG2053">
        <v>0</v>
      </c>
      <c r="AH2053">
        <v>0</v>
      </c>
      <c r="AI2053">
        <v>42.79</v>
      </c>
      <c r="AJ2053">
        <v>237.74</v>
      </c>
      <c r="AK2053">
        <v>0</v>
      </c>
      <c r="AL2053" t="s">
        <v>53</v>
      </c>
      <c r="AM2053" t="s">
        <v>53</v>
      </c>
      <c r="AN2053" t="s">
        <v>545</v>
      </c>
      <c r="AO2053" t="s">
        <v>53</v>
      </c>
      <c r="AP2053" t="s">
        <v>53</v>
      </c>
    </row>
    <row r="2054" spans="2:42" x14ac:dyDescent="0.2">
      <c r="B2054" t="s">
        <v>44</v>
      </c>
      <c r="C2054" t="str">
        <f>HYPERLINK("https://us2.cloudbeds.com/connect/8493803454333002#/reservations/598423818420?display=E1C3QTAJ&amp;reservation_id=598423818420", "E1C3QTAJ")</f>
        <v>E1C3QTAJ</v>
      </c>
      <c r="D2054" t="s">
        <v>45</v>
      </c>
      <c r="E2054" t="s">
        <v>165</v>
      </c>
      <c r="F2054" t="s">
        <v>61</v>
      </c>
      <c r="G2054" t="s">
        <v>48</v>
      </c>
      <c r="H2054" t="s">
        <v>49</v>
      </c>
      <c r="I2054" t="s">
        <v>50</v>
      </c>
      <c r="J2054" t="s">
        <v>647</v>
      </c>
      <c r="K2054" t="s">
        <v>215</v>
      </c>
      <c r="L2054" t="s">
        <v>53</v>
      </c>
      <c r="N2054" t="s">
        <v>3325</v>
      </c>
      <c r="P2054" t="s">
        <v>55</v>
      </c>
      <c r="R2054" t="s">
        <v>56</v>
      </c>
      <c r="T2054" t="s">
        <v>3317</v>
      </c>
      <c r="U2054" t="s">
        <v>58</v>
      </c>
      <c r="V2054">
        <v>2</v>
      </c>
      <c r="W2054">
        <v>1</v>
      </c>
      <c r="X2054">
        <v>1</v>
      </c>
      <c r="Y2054">
        <v>0</v>
      </c>
      <c r="Z2054">
        <v>1</v>
      </c>
      <c r="AA2054">
        <v>0</v>
      </c>
      <c r="AB2054">
        <v>337.54</v>
      </c>
      <c r="AC2054">
        <v>297</v>
      </c>
      <c r="AD2054">
        <v>0</v>
      </c>
      <c r="AE2054">
        <v>40.56</v>
      </c>
      <c r="AF2054">
        <v>0</v>
      </c>
      <c r="AG2054">
        <v>0</v>
      </c>
      <c r="AH2054">
        <v>0</v>
      </c>
      <c r="AI2054">
        <v>60.76</v>
      </c>
      <c r="AJ2054">
        <v>337.56</v>
      </c>
      <c r="AK2054">
        <v>0.02</v>
      </c>
      <c r="AL2054" t="s">
        <v>53</v>
      </c>
      <c r="AM2054" t="s">
        <v>53</v>
      </c>
      <c r="AN2054" t="s">
        <v>316</v>
      </c>
      <c r="AO2054" t="s">
        <v>53</v>
      </c>
      <c r="AP2054" t="s">
        <v>53</v>
      </c>
    </row>
    <row r="2055" spans="2:42" x14ac:dyDescent="0.2">
      <c r="B2055" t="s">
        <v>44</v>
      </c>
      <c r="C2055" t="str">
        <f>HYPERLINK("https://us2.cloudbeds.com/connect/8493803454333002#/reservations/598532456669?display=E1ETDTVP&amp;reservation_id=598532456669", "E1ETDTVP")</f>
        <v>E1ETDTVP</v>
      </c>
      <c r="D2055" t="s">
        <v>45</v>
      </c>
      <c r="E2055" t="s">
        <v>373</v>
      </c>
      <c r="F2055" t="s">
        <v>47</v>
      </c>
      <c r="G2055" t="s">
        <v>48</v>
      </c>
      <c r="H2055" t="s">
        <v>49</v>
      </c>
      <c r="I2055" t="s">
        <v>50</v>
      </c>
      <c r="J2055" t="s">
        <v>447</v>
      </c>
      <c r="K2055" t="s">
        <v>1439</v>
      </c>
      <c r="L2055" t="s">
        <v>53</v>
      </c>
      <c r="N2055" t="s">
        <v>3326</v>
      </c>
      <c r="P2055" t="s">
        <v>55</v>
      </c>
      <c r="R2055" t="s">
        <v>56</v>
      </c>
      <c r="T2055" t="s">
        <v>3317</v>
      </c>
      <c r="U2055" t="s">
        <v>58</v>
      </c>
      <c r="V2055">
        <v>3</v>
      </c>
      <c r="W2055">
        <v>1</v>
      </c>
      <c r="X2055">
        <v>1</v>
      </c>
      <c r="Y2055">
        <v>0</v>
      </c>
      <c r="Z2055">
        <v>1</v>
      </c>
      <c r="AA2055">
        <v>0</v>
      </c>
      <c r="AB2055">
        <v>471.65</v>
      </c>
      <c r="AC2055">
        <v>415</v>
      </c>
      <c r="AD2055">
        <v>0</v>
      </c>
      <c r="AE2055">
        <v>56.64</v>
      </c>
      <c r="AF2055">
        <v>0</v>
      </c>
      <c r="AG2055">
        <v>0</v>
      </c>
      <c r="AH2055">
        <v>0</v>
      </c>
      <c r="AI2055">
        <v>84.9</v>
      </c>
      <c r="AJ2055">
        <v>471.64</v>
      </c>
      <c r="AK2055">
        <v>-0.01</v>
      </c>
      <c r="AL2055" t="s">
        <v>53</v>
      </c>
      <c r="AM2055" t="s">
        <v>53</v>
      </c>
      <c r="AN2055" t="s">
        <v>97</v>
      </c>
      <c r="AO2055" t="s">
        <v>53</v>
      </c>
      <c r="AP2055" t="s">
        <v>53</v>
      </c>
    </row>
    <row r="2056" spans="2:42" x14ac:dyDescent="0.2">
      <c r="B2056" t="s">
        <v>44</v>
      </c>
      <c r="C2056" t="str">
        <f>HYPERLINK("https://us2.cloudbeds.com/connect/8493803454333002#/reservations/598264524939?display=E181GAAD&amp;reservation_id=598264524939", "E181GAAD")</f>
        <v>E181GAAD</v>
      </c>
      <c r="D2056" t="s">
        <v>45</v>
      </c>
      <c r="E2056" t="s">
        <v>92</v>
      </c>
      <c r="F2056" t="s">
        <v>86</v>
      </c>
      <c r="G2056" t="s">
        <v>48</v>
      </c>
      <c r="H2056" t="s">
        <v>49</v>
      </c>
      <c r="I2056" t="s">
        <v>79</v>
      </c>
      <c r="J2056" t="s">
        <v>446</v>
      </c>
      <c r="K2056" t="s">
        <v>1792</v>
      </c>
      <c r="L2056" t="s">
        <v>53</v>
      </c>
      <c r="N2056" t="s">
        <v>3327</v>
      </c>
      <c r="P2056" t="s">
        <v>55</v>
      </c>
      <c r="R2056" t="s">
        <v>56</v>
      </c>
      <c r="T2056" t="s">
        <v>3328</v>
      </c>
      <c r="U2056" t="s">
        <v>58</v>
      </c>
      <c r="V2056">
        <v>1</v>
      </c>
      <c r="W2056">
        <v>1</v>
      </c>
      <c r="X2056">
        <v>1</v>
      </c>
      <c r="Y2056">
        <v>0</v>
      </c>
      <c r="Z2056">
        <v>1</v>
      </c>
      <c r="AA2056">
        <v>0</v>
      </c>
      <c r="AB2056">
        <v>176.44</v>
      </c>
      <c r="AC2056">
        <v>155.25</v>
      </c>
      <c r="AD2056">
        <v>0</v>
      </c>
      <c r="AE2056">
        <v>21.19</v>
      </c>
      <c r="AF2056">
        <v>0</v>
      </c>
      <c r="AG2056">
        <v>0</v>
      </c>
      <c r="AH2056">
        <v>0</v>
      </c>
      <c r="AI2056">
        <v>0</v>
      </c>
      <c r="AJ2056">
        <v>176.44</v>
      </c>
      <c r="AK2056">
        <v>0</v>
      </c>
      <c r="AL2056" t="s">
        <v>53</v>
      </c>
      <c r="AM2056" t="s">
        <v>53</v>
      </c>
      <c r="AN2056" t="s">
        <v>3329</v>
      </c>
      <c r="AO2056" t="s">
        <v>53</v>
      </c>
      <c r="AP2056" t="s">
        <v>53</v>
      </c>
    </row>
    <row r="2057" spans="2:42" x14ac:dyDescent="0.2">
      <c r="B2057" t="s">
        <v>44</v>
      </c>
      <c r="C2057" t="str">
        <f>HYPERLINK("https://us2.cloudbeds.com/connect/8493803454333002#/reservations/579207917701?display=DJG3F43Q&amp;reservation_id=579207917701", "DJG3F43Q")</f>
        <v>DJG3F43Q</v>
      </c>
      <c r="D2057" t="s">
        <v>45</v>
      </c>
      <c r="E2057" t="s">
        <v>85</v>
      </c>
      <c r="F2057" t="s">
        <v>86</v>
      </c>
      <c r="G2057" t="s">
        <v>48</v>
      </c>
      <c r="H2057" t="s">
        <v>49</v>
      </c>
      <c r="I2057" t="s">
        <v>50</v>
      </c>
      <c r="J2057" t="s">
        <v>1660</v>
      </c>
      <c r="K2057" t="s">
        <v>3043</v>
      </c>
      <c r="L2057" t="s">
        <v>53</v>
      </c>
      <c r="N2057" t="s">
        <v>3330</v>
      </c>
      <c r="P2057" t="s">
        <v>55</v>
      </c>
      <c r="R2057" t="s">
        <v>56</v>
      </c>
      <c r="T2057" t="s">
        <v>3328</v>
      </c>
      <c r="U2057" t="s">
        <v>58</v>
      </c>
      <c r="V2057">
        <v>1</v>
      </c>
      <c r="W2057">
        <v>1</v>
      </c>
      <c r="X2057">
        <v>1</v>
      </c>
      <c r="Y2057">
        <v>0</v>
      </c>
      <c r="Z2057">
        <v>1</v>
      </c>
      <c r="AA2057">
        <v>0</v>
      </c>
      <c r="AB2057">
        <v>170.82</v>
      </c>
      <c r="AC2057">
        <v>30.3</v>
      </c>
      <c r="AD2057">
        <v>0</v>
      </c>
      <c r="AE2057">
        <v>20.52</v>
      </c>
      <c r="AF2057">
        <v>0</v>
      </c>
      <c r="AG2057">
        <v>0</v>
      </c>
      <c r="AH2057">
        <v>0</v>
      </c>
      <c r="AI2057">
        <v>9.15</v>
      </c>
      <c r="AJ2057">
        <v>50.82</v>
      </c>
      <c r="AK2057">
        <v>0</v>
      </c>
      <c r="AL2057" t="s">
        <v>53</v>
      </c>
      <c r="AM2057" t="s">
        <v>53</v>
      </c>
      <c r="AN2057" t="s">
        <v>3331</v>
      </c>
      <c r="AO2057" t="s">
        <v>53</v>
      </c>
      <c r="AP2057" t="s">
        <v>53</v>
      </c>
    </row>
    <row r="2058" spans="2:42" x14ac:dyDescent="0.2">
      <c r="B2058" t="s">
        <v>44</v>
      </c>
      <c r="C2058" t="str">
        <f>HYPERLINK("https://us2.cloudbeds.com/connect/8493803454333002#/reservations/598441398498?display=E1CXY2Y8&amp;reservation_id=598441398498", "E1CXY2Y8")</f>
        <v>E1CXY2Y8</v>
      </c>
      <c r="D2058" t="s">
        <v>45</v>
      </c>
      <c r="E2058" t="s">
        <v>406</v>
      </c>
      <c r="F2058" t="s">
        <v>61</v>
      </c>
      <c r="G2058" t="s">
        <v>48</v>
      </c>
      <c r="H2058" t="s">
        <v>49</v>
      </c>
      <c r="I2058" t="s">
        <v>79</v>
      </c>
      <c r="J2058" t="s">
        <v>525</v>
      </c>
      <c r="K2058" t="s">
        <v>768</v>
      </c>
      <c r="L2058" t="s">
        <v>53</v>
      </c>
      <c r="N2058" t="s">
        <v>3332</v>
      </c>
      <c r="P2058" t="s">
        <v>55</v>
      </c>
      <c r="R2058" t="s">
        <v>56</v>
      </c>
      <c r="T2058" t="s">
        <v>3328</v>
      </c>
      <c r="U2058" t="s">
        <v>58</v>
      </c>
      <c r="V2058">
        <v>2</v>
      </c>
      <c r="W2058">
        <v>1</v>
      </c>
      <c r="X2058">
        <v>1</v>
      </c>
      <c r="Y2058">
        <v>0</v>
      </c>
      <c r="Z2058">
        <v>1</v>
      </c>
      <c r="AA2058">
        <v>0</v>
      </c>
      <c r="AB2058">
        <v>333.45</v>
      </c>
      <c r="AC2058">
        <v>293.39999999999998</v>
      </c>
      <c r="AD2058">
        <v>0</v>
      </c>
      <c r="AE2058">
        <v>40.020000000000003</v>
      </c>
      <c r="AF2058">
        <v>0</v>
      </c>
      <c r="AG2058">
        <v>0</v>
      </c>
      <c r="AH2058">
        <v>0</v>
      </c>
      <c r="AI2058">
        <v>0</v>
      </c>
      <c r="AJ2058">
        <v>333.42</v>
      </c>
      <c r="AK2058">
        <v>-0.03</v>
      </c>
      <c r="AL2058" t="s">
        <v>53</v>
      </c>
      <c r="AM2058" t="s">
        <v>53</v>
      </c>
      <c r="AN2058" t="s">
        <v>225</v>
      </c>
      <c r="AO2058" t="s">
        <v>53</v>
      </c>
      <c r="AP2058" t="s">
        <v>53</v>
      </c>
    </row>
    <row r="2059" spans="2:42" x14ac:dyDescent="0.2">
      <c r="B2059" t="s">
        <v>44</v>
      </c>
      <c r="C2059" t="str">
        <f>HYPERLINK("https://us2.cloudbeds.com/connect/8493803454333002#/reservations/598202269835?display=E16EWW34&amp;reservation_id=598202269835", "E16EWW34")</f>
        <v>E16EWW34</v>
      </c>
      <c r="D2059" t="s">
        <v>45</v>
      </c>
      <c r="E2059" t="s">
        <v>113</v>
      </c>
      <c r="F2059" t="s">
        <v>61</v>
      </c>
      <c r="G2059" t="s">
        <v>48</v>
      </c>
      <c r="H2059" t="s">
        <v>71</v>
      </c>
      <c r="I2059" t="s">
        <v>72</v>
      </c>
      <c r="J2059" t="s">
        <v>351</v>
      </c>
      <c r="K2059" t="s">
        <v>323</v>
      </c>
      <c r="L2059" t="s">
        <v>53</v>
      </c>
      <c r="N2059" t="s">
        <v>3333</v>
      </c>
      <c r="P2059" t="s">
        <v>58</v>
      </c>
      <c r="R2059" t="s">
        <v>56</v>
      </c>
      <c r="T2059" t="s">
        <v>3328</v>
      </c>
      <c r="U2059" t="s">
        <v>58</v>
      </c>
      <c r="V2059">
        <v>2</v>
      </c>
      <c r="W2059">
        <v>1</v>
      </c>
      <c r="X2059">
        <v>1</v>
      </c>
      <c r="Y2059">
        <v>0</v>
      </c>
      <c r="Z2059">
        <v>1</v>
      </c>
      <c r="AA2059">
        <v>0</v>
      </c>
      <c r="AB2059">
        <v>372.77</v>
      </c>
      <c r="AC2059">
        <v>328</v>
      </c>
      <c r="AD2059">
        <v>0</v>
      </c>
      <c r="AE2059">
        <v>44.78</v>
      </c>
      <c r="AF2059">
        <v>0</v>
      </c>
      <c r="AG2059">
        <v>0</v>
      </c>
      <c r="AH2059">
        <v>0</v>
      </c>
      <c r="AI2059">
        <v>0</v>
      </c>
      <c r="AJ2059">
        <v>372.78</v>
      </c>
      <c r="AK2059">
        <v>0.01</v>
      </c>
      <c r="AL2059" t="s">
        <v>53</v>
      </c>
      <c r="AM2059" t="s">
        <v>53</v>
      </c>
      <c r="AN2059" t="s">
        <v>378</v>
      </c>
      <c r="AO2059" t="s">
        <v>53</v>
      </c>
      <c r="AP2059" t="s">
        <v>53</v>
      </c>
    </row>
    <row r="2060" spans="2:42" x14ac:dyDescent="0.2">
      <c r="B2060" t="s">
        <v>44</v>
      </c>
      <c r="C2060" t="str">
        <f>HYPERLINK("https://us2.cloudbeds.com/connect/8493803454333002#/reservations/598196719781?display=E16AAHKM&amp;reservation_id=598196719781", "E16AAHKM")</f>
        <v>E16AAHKM</v>
      </c>
      <c r="D2060" t="s">
        <v>45</v>
      </c>
      <c r="E2060" t="s">
        <v>165</v>
      </c>
      <c r="F2060" t="s">
        <v>61</v>
      </c>
      <c r="G2060" t="s">
        <v>48</v>
      </c>
      <c r="H2060" t="s">
        <v>71</v>
      </c>
      <c r="I2060" t="s">
        <v>72</v>
      </c>
      <c r="J2060" t="s">
        <v>351</v>
      </c>
      <c r="K2060" t="s">
        <v>323</v>
      </c>
      <c r="L2060" t="s">
        <v>53</v>
      </c>
      <c r="N2060" t="s">
        <v>3334</v>
      </c>
      <c r="P2060" t="s">
        <v>58</v>
      </c>
      <c r="R2060" t="s">
        <v>56</v>
      </c>
      <c r="T2060" t="s">
        <v>3328</v>
      </c>
      <c r="U2060" t="s">
        <v>58</v>
      </c>
      <c r="V2060">
        <v>2</v>
      </c>
      <c r="W2060">
        <v>1</v>
      </c>
      <c r="X2060">
        <v>1</v>
      </c>
      <c r="Y2060">
        <v>0</v>
      </c>
      <c r="Z2060">
        <v>1</v>
      </c>
      <c r="AA2060">
        <v>0</v>
      </c>
      <c r="AB2060">
        <v>372.77</v>
      </c>
      <c r="AC2060">
        <v>328</v>
      </c>
      <c r="AD2060">
        <v>0</v>
      </c>
      <c r="AE2060">
        <v>44.78</v>
      </c>
      <c r="AF2060">
        <v>0</v>
      </c>
      <c r="AG2060">
        <v>0</v>
      </c>
      <c r="AH2060">
        <v>0</v>
      </c>
      <c r="AI2060">
        <v>0</v>
      </c>
      <c r="AJ2060">
        <v>372.78</v>
      </c>
      <c r="AK2060">
        <v>0.01</v>
      </c>
      <c r="AL2060" t="s">
        <v>53</v>
      </c>
      <c r="AM2060" t="s">
        <v>53</v>
      </c>
      <c r="AN2060" t="s">
        <v>378</v>
      </c>
      <c r="AO2060" t="s">
        <v>53</v>
      </c>
      <c r="AP2060" t="s">
        <v>53</v>
      </c>
    </row>
    <row r="2061" spans="2:42" x14ac:dyDescent="0.2">
      <c r="B2061" t="s">
        <v>44</v>
      </c>
      <c r="C2061" t="str">
        <f>HYPERLINK("https://us2.cloudbeds.com/connect/8493803454333002#/reservations/598479835274?display=E1DX1Y40&amp;reservation_id=598479835274", "E1DX1Y40")</f>
        <v>E1DX1Y40</v>
      </c>
      <c r="D2061" t="s">
        <v>45</v>
      </c>
      <c r="E2061" t="s">
        <v>110</v>
      </c>
      <c r="F2061" t="s">
        <v>47</v>
      </c>
      <c r="G2061" t="s">
        <v>48</v>
      </c>
      <c r="H2061" t="s">
        <v>49</v>
      </c>
      <c r="I2061" t="s">
        <v>50</v>
      </c>
      <c r="J2061" t="s">
        <v>446</v>
      </c>
      <c r="K2061" t="s">
        <v>447</v>
      </c>
      <c r="L2061" t="s">
        <v>53</v>
      </c>
      <c r="N2061" t="s">
        <v>3335</v>
      </c>
      <c r="P2061" t="s">
        <v>55</v>
      </c>
      <c r="R2061" t="s">
        <v>56</v>
      </c>
      <c r="T2061" t="s">
        <v>3328</v>
      </c>
      <c r="U2061" t="s">
        <v>58</v>
      </c>
      <c r="V2061">
        <v>3</v>
      </c>
      <c r="W2061">
        <v>1</v>
      </c>
      <c r="X2061">
        <v>1</v>
      </c>
      <c r="Y2061">
        <v>0</v>
      </c>
      <c r="Z2061">
        <v>1</v>
      </c>
      <c r="AA2061">
        <v>0</v>
      </c>
      <c r="AB2061">
        <v>475.11</v>
      </c>
      <c r="AC2061">
        <v>418.05</v>
      </c>
      <c r="AD2061">
        <v>0</v>
      </c>
      <c r="AE2061">
        <v>57.09</v>
      </c>
      <c r="AF2061">
        <v>0</v>
      </c>
      <c r="AG2061">
        <v>0</v>
      </c>
      <c r="AH2061">
        <v>0</v>
      </c>
      <c r="AI2061">
        <v>85.53</v>
      </c>
      <c r="AJ2061">
        <v>475.14</v>
      </c>
      <c r="AK2061">
        <v>0.03</v>
      </c>
      <c r="AL2061" t="s">
        <v>53</v>
      </c>
      <c r="AM2061" t="s">
        <v>53</v>
      </c>
      <c r="AN2061" t="s">
        <v>137</v>
      </c>
      <c r="AO2061" t="s">
        <v>53</v>
      </c>
      <c r="AP2061" t="s">
        <v>53</v>
      </c>
    </row>
    <row r="2062" spans="2:42" x14ac:dyDescent="0.2">
      <c r="B2062" t="s">
        <v>44</v>
      </c>
      <c r="C2062" t="str">
        <f>HYPERLINK("https://us2.cloudbeds.com/connect/8493803454333002#/reservations/598529863892?display=E1ER7P2P&amp;reservation_id=598529863892", "E1ER7P2P")</f>
        <v>E1ER7P2P</v>
      </c>
      <c r="D2062" t="s">
        <v>45</v>
      </c>
      <c r="E2062" t="s">
        <v>155</v>
      </c>
      <c r="F2062" t="s">
        <v>86</v>
      </c>
      <c r="G2062" t="s">
        <v>48</v>
      </c>
      <c r="H2062" t="s">
        <v>49</v>
      </c>
      <c r="I2062" t="s">
        <v>62</v>
      </c>
      <c r="J2062" t="s">
        <v>647</v>
      </c>
      <c r="K2062" t="s">
        <v>214</v>
      </c>
      <c r="L2062" t="s">
        <v>53</v>
      </c>
      <c r="N2062" t="s">
        <v>3336</v>
      </c>
      <c r="P2062" t="s">
        <v>55</v>
      </c>
      <c r="R2062" t="s">
        <v>56</v>
      </c>
      <c r="T2062" t="s">
        <v>3328</v>
      </c>
      <c r="U2062" t="s">
        <v>58</v>
      </c>
      <c r="V2062">
        <v>1</v>
      </c>
      <c r="W2062">
        <v>1</v>
      </c>
      <c r="X2062">
        <v>1</v>
      </c>
      <c r="Y2062">
        <v>0</v>
      </c>
      <c r="Z2062">
        <v>1</v>
      </c>
      <c r="AA2062">
        <v>0</v>
      </c>
      <c r="AB2062">
        <v>196.05</v>
      </c>
      <c r="AC2062">
        <v>172.5</v>
      </c>
      <c r="AD2062">
        <v>0</v>
      </c>
      <c r="AE2062">
        <v>23.55</v>
      </c>
      <c r="AF2062">
        <v>0</v>
      </c>
      <c r="AG2062">
        <v>0</v>
      </c>
      <c r="AH2062">
        <v>0</v>
      </c>
      <c r="AI2062">
        <v>29.41</v>
      </c>
      <c r="AJ2062">
        <v>196.05</v>
      </c>
      <c r="AK2062">
        <v>0</v>
      </c>
      <c r="AL2062" t="s">
        <v>53</v>
      </c>
      <c r="AM2062" t="s">
        <v>53</v>
      </c>
      <c r="AN2062" t="s">
        <v>252</v>
      </c>
      <c r="AO2062" t="s">
        <v>53</v>
      </c>
      <c r="AP2062" t="s">
        <v>53</v>
      </c>
    </row>
    <row r="2063" spans="2:42" x14ac:dyDescent="0.2">
      <c r="B2063" t="s">
        <v>44</v>
      </c>
      <c r="C2063" t="str">
        <f>HYPERLINK("https://us2.cloudbeds.com/connect/8493803454333002#/reservations/598340415667?display=E19WG2PF&amp;reservation_id=598340415667", "E19WG2PF")</f>
        <v>E19WG2PF</v>
      </c>
      <c r="D2063" t="s">
        <v>45</v>
      </c>
      <c r="E2063" t="s">
        <v>165</v>
      </c>
      <c r="F2063" t="s">
        <v>61</v>
      </c>
      <c r="G2063" t="s">
        <v>48</v>
      </c>
      <c r="H2063" t="s">
        <v>49</v>
      </c>
      <c r="I2063" t="s">
        <v>62</v>
      </c>
      <c r="J2063" t="s">
        <v>768</v>
      </c>
      <c r="K2063" t="s">
        <v>488</v>
      </c>
      <c r="L2063" t="s">
        <v>53</v>
      </c>
      <c r="N2063" t="s">
        <v>3337</v>
      </c>
      <c r="P2063" t="s">
        <v>55</v>
      </c>
      <c r="R2063" t="s">
        <v>56</v>
      </c>
      <c r="T2063" t="s">
        <v>3328</v>
      </c>
      <c r="U2063" t="s">
        <v>58</v>
      </c>
      <c r="V2063">
        <v>1</v>
      </c>
      <c r="W2063">
        <v>1</v>
      </c>
      <c r="X2063">
        <v>1</v>
      </c>
      <c r="Y2063">
        <v>0</v>
      </c>
      <c r="Z2063">
        <v>1</v>
      </c>
      <c r="AA2063">
        <v>0</v>
      </c>
      <c r="AB2063">
        <v>186.39</v>
      </c>
      <c r="AC2063">
        <v>164</v>
      </c>
      <c r="AD2063">
        <v>0</v>
      </c>
      <c r="AE2063">
        <v>22.39</v>
      </c>
      <c r="AF2063">
        <v>0</v>
      </c>
      <c r="AG2063">
        <v>0</v>
      </c>
      <c r="AH2063">
        <v>0</v>
      </c>
      <c r="AI2063">
        <v>27.96</v>
      </c>
      <c r="AJ2063">
        <v>186.39</v>
      </c>
      <c r="AK2063">
        <v>0</v>
      </c>
      <c r="AL2063" t="s">
        <v>53</v>
      </c>
      <c r="AM2063" t="s">
        <v>53</v>
      </c>
      <c r="AN2063" t="s">
        <v>413</v>
      </c>
      <c r="AO2063" t="s">
        <v>53</v>
      </c>
      <c r="AP2063" t="s">
        <v>53</v>
      </c>
    </row>
    <row r="2064" spans="2:42" x14ac:dyDescent="0.2">
      <c r="B2064" t="s">
        <v>44</v>
      </c>
      <c r="C2064" t="str">
        <f>HYPERLINK("https://us2.cloudbeds.com/connect/8493803454333002#/reservations/579273928860?display=DJHQ3WDW&amp;reservation_id=579273928860", "DJHQ3WDW")</f>
        <v>DJHQ3WDW</v>
      </c>
      <c r="D2064" t="s">
        <v>45</v>
      </c>
      <c r="E2064" t="s">
        <v>69</v>
      </c>
      <c r="F2064" t="s">
        <v>70</v>
      </c>
      <c r="G2064" t="s">
        <v>48</v>
      </c>
      <c r="H2064" t="s">
        <v>49</v>
      </c>
      <c r="I2064" t="s">
        <v>62</v>
      </c>
      <c r="J2064" t="s">
        <v>2541</v>
      </c>
      <c r="K2064" t="s">
        <v>1502</v>
      </c>
      <c r="L2064" t="s">
        <v>53</v>
      </c>
      <c r="N2064" t="s">
        <v>3338</v>
      </c>
      <c r="P2064" t="s">
        <v>55</v>
      </c>
      <c r="R2064" t="s">
        <v>3018</v>
      </c>
      <c r="T2064" t="s">
        <v>3328</v>
      </c>
      <c r="U2064" t="s">
        <v>58</v>
      </c>
      <c r="V2064">
        <v>1</v>
      </c>
      <c r="W2064">
        <v>1</v>
      </c>
      <c r="X2064">
        <v>1</v>
      </c>
      <c r="Y2064">
        <v>0</v>
      </c>
      <c r="Z2064">
        <v>1</v>
      </c>
      <c r="AA2064">
        <v>0</v>
      </c>
      <c r="AB2064">
        <v>151.16</v>
      </c>
      <c r="AC2064">
        <v>133</v>
      </c>
      <c r="AD2064">
        <v>0</v>
      </c>
      <c r="AE2064">
        <v>18.16</v>
      </c>
      <c r="AF2064">
        <v>0</v>
      </c>
      <c r="AG2064">
        <v>0</v>
      </c>
      <c r="AH2064">
        <v>0</v>
      </c>
      <c r="AI2064">
        <v>22.67</v>
      </c>
      <c r="AJ2064">
        <v>151.16</v>
      </c>
      <c r="AK2064">
        <v>0</v>
      </c>
      <c r="AL2064" t="s">
        <v>53</v>
      </c>
      <c r="AM2064" t="s">
        <v>53</v>
      </c>
      <c r="AN2064" t="s">
        <v>198</v>
      </c>
      <c r="AO2064" t="s">
        <v>53</v>
      </c>
      <c r="AP2064" t="s">
        <v>53</v>
      </c>
    </row>
    <row r="2065" spans="2:42" x14ac:dyDescent="0.2">
      <c r="B2065" t="s">
        <v>44</v>
      </c>
      <c r="C2065" t="str">
        <f>HYPERLINK("https://us2.cloudbeds.com/connect/8493803454333002#/reservations/579384131717?display=DJKK1HQF&amp;reservation_id=579384131717", "DJKK1HQF")</f>
        <v>DJKK1HQF</v>
      </c>
      <c r="D2065" t="s">
        <v>45</v>
      </c>
      <c r="E2065" t="s">
        <v>78</v>
      </c>
      <c r="F2065" t="s">
        <v>61</v>
      </c>
      <c r="G2065" t="s">
        <v>48</v>
      </c>
      <c r="H2065" t="s">
        <v>49</v>
      </c>
      <c r="I2065" t="s">
        <v>50</v>
      </c>
      <c r="J2065" t="s">
        <v>3339</v>
      </c>
      <c r="K2065" t="s">
        <v>3232</v>
      </c>
      <c r="L2065" t="s">
        <v>53</v>
      </c>
      <c r="N2065" t="s">
        <v>3340</v>
      </c>
      <c r="P2065" t="s">
        <v>55</v>
      </c>
      <c r="R2065" t="s">
        <v>56</v>
      </c>
      <c r="T2065" t="s">
        <v>3328</v>
      </c>
      <c r="U2065" t="s">
        <v>58</v>
      </c>
      <c r="V2065">
        <v>1</v>
      </c>
      <c r="W2065">
        <v>1</v>
      </c>
      <c r="X2065">
        <v>1</v>
      </c>
      <c r="Y2065">
        <v>0</v>
      </c>
      <c r="Z2065">
        <v>1</v>
      </c>
      <c r="AA2065">
        <v>0</v>
      </c>
      <c r="AB2065">
        <v>138.66</v>
      </c>
      <c r="AC2065">
        <v>122</v>
      </c>
      <c r="AD2065">
        <v>0</v>
      </c>
      <c r="AE2065">
        <v>16.66</v>
      </c>
      <c r="AF2065">
        <v>0</v>
      </c>
      <c r="AG2065">
        <v>0</v>
      </c>
      <c r="AH2065">
        <v>0</v>
      </c>
      <c r="AI2065">
        <v>24.96</v>
      </c>
      <c r="AJ2065">
        <v>138.66</v>
      </c>
      <c r="AK2065">
        <v>0</v>
      </c>
      <c r="AL2065" t="s">
        <v>53</v>
      </c>
      <c r="AM2065" t="s">
        <v>53</v>
      </c>
      <c r="AN2065" t="s">
        <v>84</v>
      </c>
      <c r="AO2065" t="s">
        <v>53</v>
      </c>
      <c r="AP2065" t="s">
        <v>53</v>
      </c>
    </row>
    <row r="2066" spans="2:42" x14ac:dyDescent="0.2">
      <c r="B2066" t="s">
        <v>44</v>
      </c>
      <c r="C2066" t="str">
        <f>HYPERLINK("https://us2.cloudbeds.com/connect/8493803454333002#/reservations/598616105196?display=E1H0VX6J&amp;reservation_id=598616105196", "E1H0VX6J")</f>
        <v>E1H0VX6J</v>
      </c>
      <c r="D2066" t="s">
        <v>45</v>
      </c>
      <c r="E2066" t="s">
        <v>213</v>
      </c>
      <c r="F2066" t="s">
        <v>86</v>
      </c>
      <c r="G2066" t="s">
        <v>48</v>
      </c>
      <c r="H2066" t="s">
        <v>49</v>
      </c>
      <c r="I2066" t="s">
        <v>50</v>
      </c>
      <c r="J2066" t="s">
        <v>768</v>
      </c>
      <c r="K2066" t="s">
        <v>488</v>
      </c>
      <c r="L2066" t="s">
        <v>53</v>
      </c>
      <c r="N2066" t="s">
        <v>3341</v>
      </c>
      <c r="P2066" t="s">
        <v>55</v>
      </c>
      <c r="R2066" t="s">
        <v>56</v>
      </c>
      <c r="T2066" t="s">
        <v>3342</v>
      </c>
      <c r="U2066" t="s">
        <v>58</v>
      </c>
      <c r="V2066">
        <v>1</v>
      </c>
      <c r="W2066">
        <v>1</v>
      </c>
      <c r="X2066">
        <v>1</v>
      </c>
      <c r="Y2066">
        <v>0</v>
      </c>
      <c r="Z2066">
        <v>1</v>
      </c>
      <c r="AA2066">
        <v>0</v>
      </c>
      <c r="AB2066">
        <v>171.84</v>
      </c>
      <c r="AC2066">
        <v>151.19999999999999</v>
      </c>
      <c r="AD2066">
        <v>0</v>
      </c>
      <c r="AE2066">
        <v>20.63</v>
      </c>
      <c r="AF2066">
        <v>0</v>
      </c>
      <c r="AG2066">
        <v>0</v>
      </c>
      <c r="AH2066">
        <v>0</v>
      </c>
      <c r="AI2066">
        <v>30.93</v>
      </c>
      <c r="AJ2066">
        <v>171.83</v>
      </c>
      <c r="AK2066">
        <v>-0.01</v>
      </c>
      <c r="AL2066" t="s">
        <v>53</v>
      </c>
      <c r="AM2066" t="s">
        <v>53</v>
      </c>
      <c r="AN2066" t="s">
        <v>3343</v>
      </c>
      <c r="AO2066" t="s">
        <v>53</v>
      </c>
      <c r="AP2066" t="s">
        <v>53</v>
      </c>
    </row>
    <row r="2067" spans="2:42" x14ac:dyDescent="0.2">
      <c r="B2067" t="s">
        <v>44</v>
      </c>
      <c r="C2067" t="str">
        <f>HYPERLINK("https://us2.cloudbeds.com/connect/8493803454333002#/reservations/598608830625?display=E1GRR452&amp;reservation_id=598608830625", "E1GRR452")</f>
        <v>E1GRR452</v>
      </c>
      <c r="D2067" t="s">
        <v>45</v>
      </c>
      <c r="E2067" t="s">
        <v>85</v>
      </c>
      <c r="F2067" t="s">
        <v>86</v>
      </c>
      <c r="G2067" t="s">
        <v>48</v>
      </c>
      <c r="H2067" t="s">
        <v>49</v>
      </c>
      <c r="I2067" t="s">
        <v>50</v>
      </c>
      <c r="J2067" t="s">
        <v>768</v>
      </c>
      <c r="K2067" t="s">
        <v>488</v>
      </c>
      <c r="L2067" t="s">
        <v>53</v>
      </c>
      <c r="N2067" t="s">
        <v>3344</v>
      </c>
      <c r="P2067" t="s">
        <v>55</v>
      </c>
      <c r="R2067" t="s">
        <v>56</v>
      </c>
      <c r="T2067" t="s">
        <v>3342</v>
      </c>
      <c r="U2067" t="s">
        <v>58</v>
      </c>
      <c r="V2067">
        <v>1</v>
      </c>
      <c r="W2067">
        <v>1</v>
      </c>
      <c r="X2067">
        <v>1</v>
      </c>
      <c r="Y2067">
        <v>0</v>
      </c>
      <c r="Z2067">
        <v>1</v>
      </c>
      <c r="AA2067">
        <v>0</v>
      </c>
      <c r="AB2067">
        <v>186.16</v>
      </c>
      <c r="AC2067">
        <v>163.80000000000001</v>
      </c>
      <c r="AD2067">
        <v>0</v>
      </c>
      <c r="AE2067">
        <v>22.36</v>
      </c>
      <c r="AF2067">
        <v>0</v>
      </c>
      <c r="AG2067">
        <v>0</v>
      </c>
      <c r="AH2067">
        <v>0</v>
      </c>
      <c r="AI2067">
        <v>33.51</v>
      </c>
      <c r="AJ2067">
        <v>186.16</v>
      </c>
      <c r="AK2067">
        <v>0</v>
      </c>
      <c r="AL2067" t="s">
        <v>53</v>
      </c>
      <c r="AM2067" t="s">
        <v>53</v>
      </c>
      <c r="AN2067" t="s">
        <v>3345</v>
      </c>
      <c r="AO2067" t="s">
        <v>53</v>
      </c>
      <c r="AP2067" t="s">
        <v>53</v>
      </c>
    </row>
    <row r="2068" spans="2:42" x14ac:dyDescent="0.2">
      <c r="B2068" t="s">
        <v>44</v>
      </c>
      <c r="C2068" t="str">
        <f>HYPERLINK("https://us2.cloudbeds.com/connect/8493803454333002#/reservations/598578376901?display=E1G24N9V&amp;reservation_id=598578376901", "E1G24N9V")</f>
        <v>E1G24N9V</v>
      </c>
      <c r="D2068" t="s">
        <v>45</v>
      </c>
      <c r="E2068" t="s">
        <v>406</v>
      </c>
      <c r="F2068" t="s">
        <v>61</v>
      </c>
      <c r="G2068" t="s">
        <v>48</v>
      </c>
      <c r="H2068" t="s">
        <v>49</v>
      </c>
      <c r="I2068" t="s">
        <v>50</v>
      </c>
      <c r="J2068" t="s">
        <v>351</v>
      </c>
      <c r="K2068" t="s">
        <v>323</v>
      </c>
      <c r="L2068" t="s">
        <v>53</v>
      </c>
      <c r="N2068" t="s">
        <v>3346</v>
      </c>
      <c r="P2068" t="s">
        <v>55</v>
      </c>
      <c r="R2068" t="s">
        <v>56</v>
      </c>
      <c r="T2068" t="s">
        <v>3342</v>
      </c>
      <c r="U2068" t="s">
        <v>58</v>
      </c>
      <c r="V2068">
        <v>2</v>
      </c>
      <c r="W2068">
        <v>1</v>
      </c>
      <c r="X2068">
        <v>1</v>
      </c>
      <c r="Y2068">
        <v>0</v>
      </c>
      <c r="Z2068">
        <v>1</v>
      </c>
      <c r="AA2068">
        <v>0</v>
      </c>
      <c r="AB2068">
        <v>345.72</v>
      </c>
      <c r="AC2068">
        <v>304.2</v>
      </c>
      <c r="AD2068">
        <v>0</v>
      </c>
      <c r="AE2068">
        <v>41.52</v>
      </c>
      <c r="AF2068">
        <v>0</v>
      </c>
      <c r="AG2068">
        <v>0</v>
      </c>
      <c r="AH2068">
        <v>0</v>
      </c>
      <c r="AI2068">
        <v>62.23</v>
      </c>
      <c r="AJ2068">
        <v>345.72</v>
      </c>
      <c r="AK2068">
        <v>0</v>
      </c>
      <c r="AL2068" t="s">
        <v>53</v>
      </c>
      <c r="AM2068" t="s">
        <v>53</v>
      </c>
      <c r="AN2068" t="s">
        <v>2080</v>
      </c>
      <c r="AO2068" t="s">
        <v>53</v>
      </c>
      <c r="AP2068" t="s">
        <v>53</v>
      </c>
    </row>
    <row r="2069" spans="2:42" x14ac:dyDescent="0.2">
      <c r="B2069" t="s">
        <v>44</v>
      </c>
      <c r="C2069" t="str">
        <f>HYPERLINK("https://us2.cloudbeds.com/connect/8493803454333002#/reservations/598620299426?display=E1H4G8YG&amp;reservation_id=598620299426", "E1H4G8YG")</f>
        <v>E1H4G8YG</v>
      </c>
      <c r="D2069" t="s">
        <v>45</v>
      </c>
      <c r="E2069" t="s">
        <v>179</v>
      </c>
      <c r="F2069" t="s">
        <v>47</v>
      </c>
      <c r="G2069" t="s">
        <v>48</v>
      </c>
      <c r="H2069" t="s">
        <v>49</v>
      </c>
      <c r="I2069" t="s">
        <v>62</v>
      </c>
      <c r="J2069" t="s">
        <v>152</v>
      </c>
      <c r="K2069" t="s">
        <v>1473</v>
      </c>
      <c r="L2069" t="s">
        <v>53</v>
      </c>
      <c r="N2069" t="s">
        <v>3347</v>
      </c>
      <c r="P2069" t="s">
        <v>55</v>
      </c>
      <c r="R2069" t="s">
        <v>56</v>
      </c>
      <c r="T2069" t="s">
        <v>3342</v>
      </c>
      <c r="U2069" t="s">
        <v>58</v>
      </c>
      <c r="V2069">
        <v>1</v>
      </c>
      <c r="W2069">
        <v>1</v>
      </c>
      <c r="X2069">
        <v>1</v>
      </c>
      <c r="Y2069">
        <v>0</v>
      </c>
      <c r="Z2069">
        <v>1</v>
      </c>
      <c r="AA2069">
        <v>0</v>
      </c>
      <c r="AB2069">
        <v>173.32</v>
      </c>
      <c r="AC2069">
        <v>152.5</v>
      </c>
      <c r="AD2069">
        <v>0</v>
      </c>
      <c r="AE2069">
        <v>20.82</v>
      </c>
      <c r="AF2069">
        <v>0</v>
      </c>
      <c r="AG2069">
        <v>0</v>
      </c>
      <c r="AH2069">
        <v>0</v>
      </c>
      <c r="AI2069">
        <v>26</v>
      </c>
      <c r="AJ2069">
        <v>173.32</v>
      </c>
      <c r="AK2069">
        <v>0</v>
      </c>
      <c r="AL2069" t="s">
        <v>53</v>
      </c>
      <c r="AM2069" t="s">
        <v>53</v>
      </c>
      <c r="AN2069" t="s">
        <v>3348</v>
      </c>
      <c r="AO2069" t="s">
        <v>53</v>
      </c>
      <c r="AP2069" t="s">
        <v>53</v>
      </c>
    </row>
    <row r="2070" spans="2:42" x14ac:dyDescent="0.2">
      <c r="B2070" t="s">
        <v>44</v>
      </c>
      <c r="C2070" t="str">
        <f>HYPERLINK("https://us2.cloudbeds.com/connect/8493803454333002#/reservations/598440861889?display=E1CX64TC&amp;reservation_id=598440861889", "E1CX64TC")</f>
        <v>E1CX64TC</v>
      </c>
      <c r="D2070" t="s">
        <v>45</v>
      </c>
      <c r="E2070" t="s">
        <v>121</v>
      </c>
      <c r="F2070" t="s">
        <v>86</v>
      </c>
      <c r="G2070" t="s">
        <v>48</v>
      </c>
      <c r="H2070" t="s">
        <v>49</v>
      </c>
      <c r="I2070" t="s">
        <v>114</v>
      </c>
      <c r="J2070" t="s">
        <v>768</v>
      </c>
      <c r="K2070" t="s">
        <v>488</v>
      </c>
      <c r="L2070" t="s">
        <v>53</v>
      </c>
      <c r="N2070" t="s">
        <v>3349</v>
      </c>
      <c r="P2070" t="s">
        <v>58</v>
      </c>
      <c r="R2070" t="s">
        <v>56</v>
      </c>
      <c r="T2070" t="s">
        <v>3342</v>
      </c>
      <c r="U2070" t="s">
        <v>58</v>
      </c>
      <c r="V2070">
        <v>1</v>
      </c>
      <c r="W2070">
        <v>1</v>
      </c>
      <c r="X2070">
        <v>1</v>
      </c>
      <c r="Y2070">
        <v>0</v>
      </c>
      <c r="Z2070">
        <v>1</v>
      </c>
      <c r="AA2070">
        <v>0</v>
      </c>
      <c r="AB2070">
        <v>186.39</v>
      </c>
      <c r="AC2070">
        <v>164</v>
      </c>
      <c r="AD2070">
        <v>0</v>
      </c>
      <c r="AE2070">
        <v>22.39</v>
      </c>
      <c r="AF2070">
        <v>0</v>
      </c>
      <c r="AG2070">
        <v>0</v>
      </c>
      <c r="AH2070">
        <v>0</v>
      </c>
      <c r="AI2070">
        <v>0</v>
      </c>
      <c r="AJ2070">
        <v>186.39</v>
      </c>
      <c r="AK2070">
        <v>0</v>
      </c>
      <c r="AL2070" t="s">
        <v>53</v>
      </c>
      <c r="AM2070" t="s">
        <v>53</v>
      </c>
      <c r="AN2070" t="s">
        <v>3350</v>
      </c>
      <c r="AO2070" t="s">
        <v>53</v>
      </c>
      <c r="AP2070" t="s">
        <v>53</v>
      </c>
    </row>
    <row r="2071" spans="2:42" x14ac:dyDescent="0.2">
      <c r="B2071" t="s">
        <v>44</v>
      </c>
      <c r="C2071" t="str">
        <f>HYPERLINK("https://us2.cloudbeds.com/connect/8493803454333002#/reservations/598565966065?display=E1FZMBP0&amp;reservation_id=598565966065", "E1FZMBP0")</f>
        <v>E1FZMBP0</v>
      </c>
      <c r="D2071" t="s">
        <v>45</v>
      </c>
      <c r="E2071" t="s">
        <v>265</v>
      </c>
      <c r="F2071" t="s">
        <v>61</v>
      </c>
      <c r="G2071" t="s">
        <v>48</v>
      </c>
      <c r="H2071" t="s">
        <v>49</v>
      </c>
      <c r="I2071" t="s">
        <v>50</v>
      </c>
      <c r="J2071" t="s">
        <v>93</v>
      </c>
      <c r="K2071" t="s">
        <v>1822</v>
      </c>
      <c r="L2071" t="s">
        <v>53</v>
      </c>
      <c r="N2071" t="s">
        <v>3351</v>
      </c>
      <c r="P2071" t="s">
        <v>55</v>
      </c>
      <c r="R2071" t="s">
        <v>56</v>
      </c>
      <c r="T2071" t="s">
        <v>3342</v>
      </c>
      <c r="U2071" t="s">
        <v>58</v>
      </c>
      <c r="V2071">
        <v>1</v>
      </c>
      <c r="W2071">
        <v>1</v>
      </c>
      <c r="X2071">
        <v>1</v>
      </c>
      <c r="Y2071">
        <v>0</v>
      </c>
      <c r="Z2071">
        <v>1</v>
      </c>
      <c r="AA2071">
        <v>0</v>
      </c>
      <c r="AB2071">
        <v>173.88</v>
      </c>
      <c r="AC2071">
        <v>153</v>
      </c>
      <c r="AD2071">
        <v>0</v>
      </c>
      <c r="AE2071">
        <v>20.89</v>
      </c>
      <c r="AF2071">
        <v>0</v>
      </c>
      <c r="AG2071">
        <v>0</v>
      </c>
      <c r="AH2071">
        <v>0</v>
      </c>
      <c r="AI2071">
        <v>31.3</v>
      </c>
      <c r="AJ2071">
        <v>173.89</v>
      </c>
      <c r="AK2071">
        <v>0.01</v>
      </c>
      <c r="AL2071" t="s">
        <v>53</v>
      </c>
      <c r="AM2071" t="s">
        <v>53</v>
      </c>
      <c r="AN2071" t="s">
        <v>97</v>
      </c>
      <c r="AO2071" t="s">
        <v>53</v>
      </c>
      <c r="AP2071" t="s">
        <v>53</v>
      </c>
    </row>
    <row r="2072" spans="2:42" x14ac:dyDescent="0.2">
      <c r="B2072" t="s">
        <v>44</v>
      </c>
      <c r="C2072" t="str">
        <f>HYPERLINK("https://us2.cloudbeds.com/connect/8493803454333002#/reservations/598547640489?display=E1F97DSG&amp;reservation_id=598547640489", "E1F97DSG")</f>
        <v>E1F97DSG</v>
      </c>
      <c r="D2072" t="s">
        <v>45</v>
      </c>
      <c r="E2072" t="s">
        <v>190</v>
      </c>
      <c r="F2072" t="s">
        <v>61</v>
      </c>
      <c r="G2072" t="s">
        <v>48</v>
      </c>
      <c r="H2072" t="s">
        <v>49</v>
      </c>
      <c r="I2072" t="s">
        <v>62</v>
      </c>
      <c r="J2072" t="s">
        <v>99</v>
      </c>
      <c r="K2072" t="s">
        <v>323</v>
      </c>
      <c r="L2072" t="s">
        <v>53</v>
      </c>
      <c r="N2072" t="s">
        <v>3352</v>
      </c>
      <c r="P2072" t="s">
        <v>55</v>
      </c>
      <c r="R2072" t="s">
        <v>56</v>
      </c>
      <c r="T2072" t="s">
        <v>3342</v>
      </c>
      <c r="U2072" t="s">
        <v>58</v>
      </c>
      <c r="V2072">
        <v>1</v>
      </c>
      <c r="W2072">
        <v>1</v>
      </c>
      <c r="X2072">
        <v>1</v>
      </c>
      <c r="Y2072">
        <v>0</v>
      </c>
      <c r="Z2072">
        <v>1</v>
      </c>
      <c r="AA2072">
        <v>0</v>
      </c>
      <c r="AB2072">
        <v>192.07</v>
      </c>
      <c r="AC2072">
        <v>169</v>
      </c>
      <c r="AD2072">
        <v>0</v>
      </c>
      <c r="AE2072">
        <v>23.07</v>
      </c>
      <c r="AF2072">
        <v>0</v>
      </c>
      <c r="AG2072">
        <v>0</v>
      </c>
      <c r="AH2072">
        <v>0</v>
      </c>
      <c r="AI2072">
        <v>28.81</v>
      </c>
      <c r="AJ2072">
        <v>192.07</v>
      </c>
      <c r="AK2072">
        <v>0</v>
      </c>
      <c r="AL2072" t="s">
        <v>53</v>
      </c>
      <c r="AM2072" t="s">
        <v>53</v>
      </c>
      <c r="AN2072" t="s">
        <v>132</v>
      </c>
      <c r="AO2072" t="s">
        <v>53</v>
      </c>
      <c r="AP2072" t="s">
        <v>53</v>
      </c>
    </row>
    <row r="2073" spans="2:42" x14ac:dyDescent="0.2">
      <c r="B2073" t="s">
        <v>44</v>
      </c>
      <c r="C2073" t="str">
        <f>HYPERLINK("https://us2.cloudbeds.com/connect/8493803454333002#/reservations/579222552705?display=DJGFQC1Q&amp;reservation_id=579222552705", "DJGFQC1Q")</f>
        <v>DJGFQC1Q</v>
      </c>
      <c r="D2073" t="s">
        <v>45</v>
      </c>
      <c r="E2073" t="s">
        <v>487</v>
      </c>
      <c r="F2073" t="s">
        <v>61</v>
      </c>
      <c r="G2073" t="s">
        <v>48</v>
      </c>
      <c r="H2073" t="s">
        <v>49</v>
      </c>
      <c r="I2073" t="s">
        <v>62</v>
      </c>
      <c r="J2073" t="s">
        <v>1902</v>
      </c>
      <c r="K2073" t="s">
        <v>1903</v>
      </c>
      <c r="L2073" t="s">
        <v>53</v>
      </c>
      <c r="N2073" t="s">
        <v>3353</v>
      </c>
      <c r="P2073" t="s">
        <v>55</v>
      </c>
      <c r="R2073" t="s">
        <v>56</v>
      </c>
      <c r="T2073" t="s">
        <v>3342</v>
      </c>
      <c r="U2073" t="s">
        <v>58</v>
      </c>
      <c r="V2073">
        <v>1</v>
      </c>
      <c r="W2073">
        <v>1</v>
      </c>
      <c r="X2073">
        <v>1</v>
      </c>
      <c r="Y2073">
        <v>0</v>
      </c>
      <c r="Z2073">
        <v>1</v>
      </c>
      <c r="AA2073">
        <v>0</v>
      </c>
      <c r="AB2073">
        <v>173.89</v>
      </c>
      <c r="AC2073">
        <v>153</v>
      </c>
      <c r="AD2073">
        <v>0</v>
      </c>
      <c r="AE2073">
        <v>20.89</v>
      </c>
      <c r="AF2073">
        <v>0</v>
      </c>
      <c r="AG2073">
        <v>0</v>
      </c>
      <c r="AH2073">
        <v>0</v>
      </c>
      <c r="AI2073">
        <v>26.08</v>
      </c>
      <c r="AJ2073">
        <v>173.89</v>
      </c>
      <c r="AK2073">
        <v>0</v>
      </c>
      <c r="AL2073" t="s">
        <v>53</v>
      </c>
      <c r="AM2073" t="s">
        <v>53</v>
      </c>
      <c r="AN2073" t="s">
        <v>178</v>
      </c>
      <c r="AO2073" t="s">
        <v>53</v>
      </c>
      <c r="AP2073" t="s">
        <v>53</v>
      </c>
    </row>
    <row r="2074" spans="2:42" x14ac:dyDescent="0.2">
      <c r="B2074" t="s">
        <v>44</v>
      </c>
      <c r="C2074" t="str">
        <f>HYPERLINK("https://us2.cloudbeds.com/connect/8493803454333002#/reservations/579318853846?display=DJXV02S6&amp;reservation_id=579318853846", "DJXV02S6")</f>
        <v>DJXV02S6</v>
      </c>
      <c r="D2074" t="s">
        <v>45</v>
      </c>
      <c r="E2074" t="s">
        <v>121</v>
      </c>
      <c r="F2074" t="s">
        <v>86</v>
      </c>
      <c r="G2074" t="s">
        <v>48</v>
      </c>
      <c r="H2074" t="s">
        <v>71</v>
      </c>
      <c r="I2074" t="s">
        <v>72</v>
      </c>
      <c r="J2074" t="s">
        <v>3043</v>
      </c>
      <c r="K2074" t="s">
        <v>2469</v>
      </c>
      <c r="L2074" t="s">
        <v>53</v>
      </c>
      <c r="N2074" t="s">
        <v>3354</v>
      </c>
      <c r="P2074" t="s">
        <v>55</v>
      </c>
      <c r="R2074" t="s">
        <v>56</v>
      </c>
      <c r="T2074" t="s">
        <v>3342</v>
      </c>
      <c r="U2074" t="s">
        <v>58</v>
      </c>
      <c r="V2074">
        <v>1</v>
      </c>
      <c r="W2074">
        <v>1</v>
      </c>
      <c r="X2074">
        <v>1</v>
      </c>
      <c r="Y2074">
        <v>0</v>
      </c>
      <c r="Z2074">
        <v>1</v>
      </c>
      <c r="AA2074">
        <v>0</v>
      </c>
      <c r="AB2074">
        <v>176.17</v>
      </c>
      <c r="AC2074">
        <v>155</v>
      </c>
      <c r="AD2074">
        <v>0</v>
      </c>
      <c r="AE2074">
        <v>21.17</v>
      </c>
      <c r="AF2074">
        <v>0</v>
      </c>
      <c r="AG2074">
        <v>0</v>
      </c>
      <c r="AH2074">
        <v>0</v>
      </c>
      <c r="AI2074">
        <v>0</v>
      </c>
      <c r="AJ2074">
        <v>176.17</v>
      </c>
      <c r="AK2074">
        <v>0</v>
      </c>
      <c r="AL2074" t="s">
        <v>53</v>
      </c>
      <c r="AM2074" t="s">
        <v>53</v>
      </c>
      <c r="AN2074" t="s">
        <v>378</v>
      </c>
      <c r="AO2074" t="s">
        <v>53</v>
      </c>
      <c r="AP2074" t="s">
        <v>53</v>
      </c>
    </row>
    <row r="2075" spans="2:42" x14ac:dyDescent="0.2">
      <c r="B2075" t="s">
        <v>44</v>
      </c>
      <c r="C2075" t="str">
        <f>HYPERLINK("https://us2.cloudbeds.com/connect/8493803454333002#/reservations/579232108752?display=DJGNS93W&amp;reservation_id=579232108752", "DJGNS93W")</f>
        <v>DJGNS93W</v>
      </c>
      <c r="D2075" t="s">
        <v>45</v>
      </c>
      <c r="E2075" t="s">
        <v>487</v>
      </c>
      <c r="F2075" t="s">
        <v>61</v>
      </c>
      <c r="G2075" t="s">
        <v>48</v>
      </c>
      <c r="H2075" t="s">
        <v>49</v>
      </c>
      <c r="I2075" t="s">
        <v>62</v>
      </c>
      <c r="J2075" t="s">
        <v>2494</v>
      </c>
      <c r="K2075" t="s">
        <v>2545</v>
      </c>
      <c r="L2075" t="s">
        <v>53</v>
      </c>
      <c r="N2075" t="s">
        <v>3355</v>
      </c>
      <c r="P2075" t="s">
        <v>55</v>
      </c>
      <c r="R2075" t="s">
        <v>56</v>
      </c>
      <c r="T2075" t="s">
        <v>3342</v>
      </c>
      <c r="U2075" t="s">
        <v>58</v>
      </c>
      <c r="V2075">
        <v>1</v>
      </c>
      <c r="W2075">
        <v>1</v>
      </c>
      <c r="X2075">
        <v>1</v>
      </c>
      <c r="Y2075">
        <v>0</v>
      </c>
      <c r="Z2075">
        <v>1</v>
      </c>
      <c r="AA2075">
        <v>0</v>
      </c>
      <c r="AB2075">
        <v>179.57</v>
      </c>
      <c r="AC2075">
        <v>158</v>
      </c>
      <c r="AD2075">
        <v>0</v>
      </c>
      <c r="AE2075">
        <v>21.57</v>
      </c>
      <c r="AF2075">
        <v>0</v>
      </c>
      <c r="AG2075">
        <v>0</v>
      </c>
      <c r="AH2075">
        <v>0</v>
      </c>
      <c r="AI2075">
        <v>26.94</v>
      </c>
      <c r="AJ2075">
        <v>179.57</v>
      </c>
      <c r="AK2075">
        <v>0</v>
      </c>
      <c r="AL2075" t="s">
        <v>53</v>
      </c>
      <c r="AM2075" t="s">
        <v>53</v>
      </c>
      <c r="AN2075" t="s">
        <v>332</v>
      </c>
      <c r="AO2075" t="s">
        <v>53</v>
      </c>
      <c r="AP2075" t="s">
        <v>53</v>
      </c>
    </row>
    <row r="2076" spans="2:42" x14ac:dyDescent="0.2">
      <c r="B2076" t="s">
        <v>44</v>
      </c>
      <c r="C2076" t="str">
        <f>HYPERLINK("https://us2.cloudbeds.com/connect/8493803454333002#/reservations/598565478638?display=E1FZ8Q5G&amp;reservation_id=598565478638", "E1FZ8Q5G")</f>
        <v>E1FZ8Q5G</v>
      </c>
      <c r="D2076" t="s">
        <v>45</v>
      </c>
      <c r="E2076" t="s">
        <v>185</v>
      </c>
      <c r="F2076" t="s">
        <v>47</v>
      </c>
      <c r="G2076" t="s">
        <v>48</v>
      </c>
      <c r="H2076" t="s">
        <v>71</v>
      </c>
      <c r="I2076" t="s">
        <v>72</v>
      </c>
      <c r="J2076" t="s">
        <v>1792</v>
      </c>
      <c r="K2076" t="s">
        <v>1633</v>
      </c>
      <c r="L2076" t="s">
        <v>53</v>
      </c>
      <c r="N2076" t="s">
        <v>3356</v>
      </c>
      <c r="P2076" t="s">
        <v>55</v>
      </c>
      <c r="R2076" t="s">
        <v>56</v>
      </c>
      <c r="T2076" t="s">
        <v>3342</v>
      </c>
      <c r="U2076" t="s">
        <v>58</v>
      </c>
      <c r="V2076">
        <v>1</v>
      </c>
      <c r="W2076">
        <v>1</v>
      </c>
      <c r="X2076">
        <v>1</v>
      </c>
      <c r="Y2076">
        <v>0</v>
      </c>
      <c r="Z2076">
        <v>1</v>
      </c>
      <c r="AA2076">
        <v>0</v>
      </c>
      <c r="AB2076">
        <v>172.75</v>
      </c>
      <c r="AC2076">
        <v>152</v>
      </c>
      <c r="AD2076">
        <v>0</v>
      </c>
      <c r="AE2076">
        <v>20.75</v>
      </c>
      <c r="AF2076">
        <v>0</v>
      </c>
      <c r="AG2076">
        <v>0</v>
      </c>
      <c r="AH2076">
        <v>0</v>
      </c>
      <c r="AI2076">
        <v>0</v>
      </c>
      <c r="AJ2076">
        <v>172.75</v>
      </c>
      <c r="AK2076">
        <v>0</v>
      </c>
      <c r="AL2076" t="s">
        <v>53</v>
      </c>
      <c r="AM2076" t="s">
        <v>53</v>
      </c>
      <c r="AN2076" t="s">
        <v>3357</v>
      </c>
      <c r="AO2076" t="s">
        <v>53</v>
      </c>
      <c r="AP2076" t="s">
        <v>53</v>
      </c>
    </row>
    <row r="2077" spans="2:42" x14ac:dyDescent="0.2">
      <c r="B2077" t="s">
        <v>44</v>
      </c>
      <c r="C2077" t="str">
        <f>HYPERLINK("https://us2.cloudbeds.com/connect/8493803454333002#/reservations/598273335426?display=E188UFZS&amp;reservation_id=598273335426", "E188UFZS")</f>
        <v>E188UFZS</v>
      </c>
      <c r="D2077" t="s">
        <v>45</v>
      </c>
      <c r="E2077" t="s">
        <v>110</v>
      </c>
      <c r="F2077" t="s">
        <v>47</v>
      </c>
      <c r="G2077" t="s">
        <v>48</v>
      </c>
      <c r="H2077" t="s">
        <v>49</v>
      </c>
      <c r="I2077" t="s">
        <v>62</v>
      </c>
      <c r="J2077" t="s">
        <v>93</v>
      </c>
      <c r="K2077" t="s">
        <v>1822</v>
      </c>
      <c r="L2077" t="s">
        <v>53</v>
      </c>
      <c r="N2077" t="s">
        <v>3358</v>
      </c>
      <c r="P2077" t="s">
        <v>55</v>
      </c>
      <c r="R2077" t="s">
        <v>56</v>
      </c>
      <c r="T2077" t="s">
        <v>3342</v>
      </c>
      <c r="U2077" t="s">
        <v>58</v>
      </c>
      <c r="V2077">
        <v>1</v>
      </c>
      <c r="W2077">
        <v>1</v>
      </c>
      <c r="X2077">
        <v>1</v>
      </c>
      <c r="Y2077">
        <v>0</v>
      </c>
      <c r="Z2077">
        <v>1</v>
      </c>
      <c r="AA2077">
        <v>0</v>
      </c>
      <c r="AB2077">
        <v>185.25</v>
      </c>
      <c r="AC2077">
        <v>163</v>
      </c>
      <c r="AD2077">
        <v>0</v>
      </c>
      <c r="AE2077">
        <v>22.26</v>
      </c>
      <c r="AF2077">
        <v>0</v>
      </c>
      <c r="AG2077">
        <v>0</v>
      </c>
      <c r="AH2077">
        <v>0</v>
      </c>
      <c r="AI2077">
        <v>27.79</v>
      </c>
      <c r="AJ2077">
        <v>185.26</v>
      </c>
      <c r="AK2077">
        <v>0.01</v>
      </c>
      <c r="AL2077" t="s">
        <v>53</v>
      </c>
      <c r="AM2077" t="s">
        <v>53</v>
      </c>
      <c r="AN2077" t="s">
        <v>127</v>
      </c>
      <c r="AO2077" t="s">
        <v>53</v>
      </c>
      <c r="AP2077" t="s">
        <v>53</v>
      </c>
    </row>
    <row r="2078" spans="2:42" x14ac:dyDescent="0.2">
      <c r="B2078" t="s">
        <v>44</v>
      </c>
      <c r="C2078" t="str">
        <f>HYPERLINK("https://us2.cloudbeds.com/connect/8493803454333002#/reservations/598572900580?display=E1FUHAHQ&amp;reservation_id=598572900580", "E1FUHAHQ")</f>
        <v>E1FUHAHQ</v>
      </c>
      <c r="D2078" t="s">
        <v>45</v>
      </c>
      <c r="E2078" t="s">
        <v>138</v>
      </c>
      <c r="F2078" t="s">
        <v>70</v>
      </c>
      <c r="G2078" t="s">
        <v>48</v>
      </c>
      <c r="H2078" t="s">
        <v>71</v>
      </c>
      <c r="I2078" t="s">
        <v>72</v>
      </c>
      <c r="J2078" t="s">
        <v>768</v>
      </c>
      <c r="K2078" t="s">
        <v>488</v>
      </c>
      <c r="L2078" t="s">
        <v>53</v>
      </c>
      <c r="N2078" t="s">
        <v>3359</v>
      </c>
      <c r="P2078" t="s">
        <v>55</v>
      </c>
      <c r="R2078" t="s">
        <v>56</v>
      </c>
      <c r="T2078" t="s">
        <v>3342</v>
      </c>
      <c r="U2078" t="s">
        <v>58</v>
      </c>
      <c r="V2078">
        <v>1</v>
      </c>
      <c r="W2078">
        <v>1</v>
      </c>
      <c r="X2078">
        <v>1</v>
      </c>
      <c r="Y2078">
        <v>0</v>
      </c>
      <c r="Z2078">
        <v>1</v>
      </c>
      <c r="AA2078">
        <v>0</v>
      </c>
      <c r="AB2078">
        <v>154.34</v>
      </c>
      <c r="AC2078">
        <v>135.80000000000001</v>
      </c>
      <c r="AD2078">
        <v>0</v>
      </c>
      <c r="AE2078">
        <v>18.54</v>
      </c>
      <c r="AF2078">
        <v>0</v>
      </c>
      <c r="AG2078">
        <v>0</v>
      </c>
      <c r="AH2078">
        <v>0</v>
      </c>
      <c r="AI2078">
        <v>0</v>
      </c>
      <c r="AJ2078">
        <v>154.34</v>
      </c>
      <c r="AK2078">
        <v>0</v>
      </c>
      <c r="AL2078" t="s">
        <v>53</v>
      </c>
      <c r="AM2078" t="s">
        <v>53</v>
      </c>
      <c r="AN2078" t="s">
        <v>3360</v>
      </c>
      <c r="AO2078" t="s">
        <v>53</v>
      </c>
      <c r="AP2078" t="s">
        <v>53</v>
      </c>
    </row>
    <row r="2079" spans="2:42" x14ac:dyDescent="0.2">
      <c r="B2079" t="s">
        <v>44</v>
      </c>
      <c r="C2079" t="str">
        <f>HYPERLINK("https://us2.cloudbeds.com/connect/8493803454333002#/reservations/598488727774?display=E1DPX2SZ&amp;reservation_id=598488727774", "E1DPX2SZ")</f>
        <v>E1DPX2SZ</v>
      </c>
      <c r="D2079" t="s">
        <v>45</v>
      </c>
      <c r="E2079" t="s">
        <v>223</v>
      </c>
      <c r="F2079" t="s">
        <v>47</v>
      </c>
      <c r="G2079" t="s">
        <v>48</v>
      </c>
      <c r="H2079" t="s">
        <v>49</v>
      </c>
      <c r="I2079" t="s">
        <v>79</v>
      </c>
      <c r="J2079" t="s">
        <v>323</v>
      </c>
      <c r="K2079" t="s">
        <v>505</v>
      </c>
      <c r="L2079" t="s">
        <v>53</v>
      </c>
      <c r="N2079" t="s">
        <v>3361</v>
      </c>
      <c r="P2079" t="s">
        <v>55</v>
      </c>
      <c r="R2079" t="s">
        <v>56</v>
      </c>
      <c r="T2079" t="s">
        <v>3342</v>
      </c>
      <c r="U2079" t="s">
        <v>58</v>
      </c>
      <c r="V2079">
        <v>3</v>
      </c>
      <c r="W2079">
        <v>1</v>
      </c>
      <c r="X2079">
        <v>1</v>
      </c>
      <c r="Y2079">
        <v>0</v>
      </c>
      <c r="Z2079">
        <v>1</v>
      </c>
      <c r="AA2079">
        <v>0</v>
      </c>
      <c r="AB2079">
        <v>467.95</v>
      </c>
      <c r="AC2079">
        <v>411.75</v>
      </c>
      <c r="AD2079">
        <v>0</v>
      </c>
      <c r="AE2079">
        <v>56.22</v>
      </c>
      <c r="AF2079">
        <v>0</v>
      </c>
      <c r="AG2079">
        <v>0</v>
      </c>
      <c r="AH2079">
        <v>0</v>
      </c>
      <c r="AI2079">
        <v>0</v>
      </c>
      <c r="AJ2079">
        <v>467.97</v>
      </c>
      <c r="AK2079">
        <v>0.02</v>
      </c>
      <c r="AL2079" t="s">
        <v>53</v>
      </c>
      <c r="AM2079" t="s">
        <v>53</v>
      </c>
      <c r="AN2079" t="s">
        <v>159</v>
      </c>
      <c r="AO2079" t="s">
        <v>53</v>
      </c>
      <c r="AP2079" t="s">
        <v>53</v>
      </c>
    </row>
    <row r="2080" spans="2:42" x14ac:dyDescent="0.2">
      <c r="B2080" t="s">
        <v>44</v>
      </c>
      <c r="C2080" t="str">
        <f>HYPERLINK("https://us2.cloudbeds.com/connect/8493803454333002#/reservations/598420586631?display=E1C12VYJ&amp;reservation_id=598420586631", "E1C12VYJ")</f>
        <v>E1C12VYJ</v>
      </c>
      <c r="D2080" t="s">
        <v>45</v>
      </c>
      <c r="E2080" t="s">
        <v>105</v>
      </c>
      <c r="F2080" t="s">
        <v>47</v>
      </c>
      <c r="G2080" t="s">
        <v>48</v>
      </c>
      <c r="H2080" t="s">
        <v>49</v>
      </c>
      <c r="I2080" t="s">
        <v>62</v>
      </c>
      <c r="J2080" t="s">
        <v>351</v>
      </c>
      <c r="K2080" t="s">
        <v>99</v>
      </c>
      <c r="L2080" t="s">
        <v>53</v>
      </c>
      <c r="N2080" t="s">
        <v>3362</v>
      </c>
      <c r="P2080" t="s">
        <v>55</v>
      </c>
      <c r="R2080" t="s">
        <v>56</v>
      </c>
      <c r="T2080" t="s">
        <v>3363</v>
      </c>
      <c r="U2080" t="s">
        <v>58</v>
      </c>
      <c r="V2080">
        <v>1</v>
      </c>
      <c r="W2080">
        <v>1</v>
      </c>
      <c r="X2080">
        <v>1</v>
      </c>
      <c r="Y2080">
        <v>0</v>
      </c>
      <c r="Z2080">
        <v>1</v>
      </c>
      <c r="AA2080">
        <v>0</v>
      </c>
      <c r="AB2080">
        <v>177.29</v>
      </c>
      <c r="AC2080">
        <v>156</v>
      </c>
      <c r="AD2080">
        <v>0</v>
      </c>
      <c r="AE2080">
        <v>21.29</v>
      </c>
      <c r="AF2080">
        <v>0</v>
      </c>
      <c r="AG2080">
        <v>0</v>
      </c>
      <c r="AH2080">
        <v>0</v>
      </c>
      <c r="AI2080">
        <v>26.59</v>
      </c>
      <c r="AJ2080">
        <v>177.29</v>
      </c>
      <c r="AK2080">
        <v>0</v>
      </c>
      <c r="AL2080" t="s">
        <v>53</v>
      </c>
      <c r="AM2080" t="s">
        <v>53</v>
      </c>
      <c r="AN2080" t="s">
        <v>91</v>
      </c>
      <c r="AO2080" t="s">
        <v>53</v>
      </c>
      <c r="AP2080" t="s">
        <v>53</v>
      </c>
    </row>
    <row r="2081" spans="2:42" x14ac:dyDescent="0.2">
      <c r="B2081" t="s">
        <v>44</v>
      </c>
      <c r="C2081" t="str">
        <f>HYPERLINK("https://us2.cloudbeds.com/connect/8493803454333002#/reservations/598510268551?display=E1EANG6X&amp;reservation_id=598510268551", "E1EANG6X")</f>
        <v>E1EANG6X</v>
      </c>
      <c r="D2081" t="s">
        <v>45</v>
      </c>
      <c r="E2081" t="s">
        <v>190</v>
      </c>
      <c r="F2081" t="s">
        <v>61</v>
      </c>
      <c r="G2081" t="s">
        <v>48</v>
      </c>
      <c r="H2081" t="s">
        <v>49</v>
      </c>
      <c r="I2081" t="s">
        <v>50</v>
      </c>
      <c r="J2081" t="s">
        <v>1750</v>
      </c>
      <c r="K2081" t="s">
        <v>214</v>
      </c>
      <c r="L2081" t="s">
        <v>53</v>
      </c>
      <c r="N2081" t="s">
        <v>3364</v>
      </c>
      <c r="P2081" t="s">
        <v>55</v>
      </c>
      <c r="R2081" t="s">
        <v>56</v>
      </c>
      <c r="T2081" t="s">
        <v>3363</v>
      </c>
      <c r="U2081" t="s">
        <v>58</v>
      </c>
      <c r="V2081">
        <v>5</v>
      </c>
      <c r="W2081">
        <v>1</v>
      </c>
      <c r="X2081">
        <v>1</v>
      </c>
      <c r="Y2081">
        <v>0</v>
      </c>
      <c r="Z2081">
        <v>1</v>
      </c>
      <c r="AA2081">
        <v>0</v>
      </c>
      <c r="AB2081">
        <v>843.85</v>
      </c>
      <c r="AC2081">
        <v>742.5</v>
      </c>
      <c r="AD2081">
        <v>0</v>
      </c>
      <c r="AE2081">
        <v>101.4</v>
      </c>
      <c r="AF2081">
        <v>0</v>
      </c>
      <c r="AG2081">
        <v>0</v>
      </c>
      <c r="AH2081">
        <v>0</v>
      </c>
      <c r="AI2081">
        <v>151.9</v>
      </c>
      <c r="AJ2081">
        <v>843.9</v>
      </c>
      <c r="AK2081">
        <v>0.05</v>
      </c>
      <c r="AL2081" t="s">
        <v>53</v>
      </c>
      <c r="AM2081" t="s">
        <v>53</v>
      </c>
      <c r="AN2081" t="s">
        <v>146</v>
      </c>
      <c r="AO2081" t="s">
        <v>53</v>
      </c>
      <c r="AP2081" t="s">
        <v>53</v>
      </c>
    </row>
    <row r="2082" spans="2:42" x14ac:dyDescent="0.2">
      <c r="B2082" t="s">
        <v>44</v>
      </c>
      <c r="C2082" t="str">
        <f>HYPERLINK("https://us2.cloudbeds.com/connect/8493803454333002#/reservations/598621622483?display=E1H5K2J4&amp;reservation_id=598621622483", "E1H5K2J4")</f>
        <v>E1H5K2J4</v>
      </c>
      <c r="D2082" t="s">
        <v>45</v>
      </c>
      <c r="E2082" t="s">
        <v>113</v>
      </c>
      <c r="F2082" t="s">
        <v>61</v>
      </c>
      <c r="G2082" t="s">
        <v>48</v>
      </c>
      <c r="H2082" t="s">
        <v>71</v>
      </c>
      <c r="I2082" t="s">
        <v>72</v>
      </c>
      <c r="J2082" t="s">
        <v>152</v>
      </c>
      <c r="K2082" t="s">
        <v>1473</v>
      </c>
      <c r="L2082" t="s">
        <v>53</v>
      </c>
      <c r="N2082" t="s">
        <v>3365</v>
      </c>
      <c r="P2082" t="s">
        <v>55</v>
      </c>
      <c r="R2082" t="s">
        <v>56</v>
      </c>
      <c r="T2082" t="s">
        <v>3363</v>
      </c>
      <c r="U2082" t="s">
        <v>58</v>
      </c>
      <c r="V2082">
        <v>1</v>
      </c>
      <c r="W2082">
        <v>1</v>
      </c>
      <c r="X2082">
        <v>1</v>
      </c>
      <c r="Y2082">
        <v>0</v>
      </c>
      <c r="Z2082">
        <v>1</v>
      </c>
      <c r="AA2082">
        <v>0</v>
      </c>
      <c r="AB2082">
        <v>165.93</v>
      </c>
      <c r="AC2082">
        <v>146</v>
      </c>
      <c r="AD2082">
        <v>0</v>
      </c>
      <c r="AE2082">
        <v>19.93</v>
      </c>
      <c r="AF2082">
        <v>0</v>
      </c>
      <c r="AG2082">
        <v>0</v>
      </c>
      <c r="AH2082">
        <v>0</v>
      </c>
      <c r="AI2082">
        <v>0</v>
      </c>
      <c r="AJ2082">
        <v>165.93</v>
      </c>
      <c r="AK2082">
        <v>0</v>
      </c>
      <c r="AL2082" t="s">
        <v>53</v>
      </c>
      <c r="AM2082" t="s">
        <v>53</v>
      </c>
      <c r="AN2082" t="s">
        <v>3366</v>
      </c>
      <c r="AO2082" t="s">
        <v>53</v>
      </c>
      <c r="AP2082" t="s">
        <v>53</v>
      </c>
    </row>
    <row r="2083" spans="2:42" x14ac:dyDescent="0.2">
      <c r="B2083" t="s">
        <v>44</v>
      </c>
      <c r="C2083" t="str">
        <f>HYPERLINK("https://us2.cloudbeds.com/connect/8493803454333002#/reservations/598457569413?display=E1CW91VW&amp;reservation_id=598457569413", "E1CW91VW")</f>
        <v>E1CW91VW</v>
      </c>
      <c r="D2083" t="s">
        <v>45</v>
      </c>
      <c r="E2083" t="s">
        <v>69</v>
      </c>
      <c r="F2083" t="s">
        <v>70</v>
      </c>
      <c r="G2083" t="s">
        <v>48</v>
      </c>
      <c r="H2083" t="s">
        <v>49</v>
      </c>
      <c r="I2083" t="s">
        <v>62</v>
      </c>
      <c r="J2083" t="s">
        <v>1568</v>
      </c>
      <c r="K2083" t="s">
        <v>93</v>
      </c>
      <c r="L2083" t="s">
        <v>53</v>
      </c>
      <c r="N2083" t="s">
        <v>3367</v>
      </c>
      <c r="P2083" t="s">
        <v>55</v>
      </c>
      <c r="R2083" t="s">
        <v>56</v>
      </c>
      <c r="T2083" t="s">
        <v>3363</v>
      </c>
      <c r="U2083" t="s">
        <v>58</v>
      </c>
      <c r="V2083">
        <v>1</v>
      </c>
      <c r="W2083">
        <v>1</v>
      </c>
      <c r="X2083">
        <v>1</v>
      </c>
      <c r="Y2083">
        <v>0</v>
      </c>
      <c r="Z2083">
        <v>1</v>
      </c>
      <c r="AA2083">
        <v>0</v>
      </c>
      <c r="AB2083">
        <v>159.11000000000001</v>
      </c>
      <c r="AC2083">
        <v>140</v>
      </c>
      <c r="AD2083">
        <v>0</v>
      </c>
      <c r="AE2083">
        <v>19.11</v>
      </c>
      <c r="AF2083">
        <v>0</v>
      </c>
      <c r="AG2083">
        <v>0</v>
      </c>
      <c r="AH2083">
        <v>0</v>
      </c>
      <c r="AI2083">
        <v>23.87</v>
      </c>
      <c r="AJ2083">
        <v>159.11000000000001</v>
      </c>
      <c r="AK2083">
        <v>0</v>
      </c>
      <c r="AL2083" t="s">
        <v>53</v>
      </c>
      <c r="AM2083" t="s">
        <v>53</v>
      </c>
      <c r="AN2083" t="s">
        <v>178</v>
      </c>
      <c r="AO2083" t="s">
        <v>53</v>
      </c>
      <c r="AP2083" t="s">
        <v>53</v>
      </c>
    </row>
    <row r="2084" spans="2:42" x14ac:dyDescent="0.2">
      <c r="B2084" t="s">
        <v>44</v>
      </c>
      <c r="C2084" t="str">
        <f>HYPERLINK("https://us2.cloudbeds.com/connect/8493803454333002#/reservations/579226493171?display=DJGJ40FR&amp;reservation_id=579226493171", "DJGJ40FR")</f>
        <v>DJGJ40FR</v>
      </c>
      <c r="D2084" t="s">
        <v>45</v>
      </c>
      <c r="E2084" t="s">
        <v>223</v>
      </c>
      <c r="F2084" t="s">
        <v>47</v>
      </c>
      <c r="G2084" t="s">
        <v>48</v>
      </c>
      <c r="H2084" t="s">
        <v>71</v>
      </c>
      <c r="I2084" t="s">
        <v>72</v>
      </c>
      <c r="J2084" t="s">
        <v>2643</v>
      </c>
      <c r="K2084" t="s">
        <v>2790</v>
      </c>
      <c r="L2084" t="s">
        <v>53</v>
      </c>
      <c r="N2084" t="s">
        <v>3368</v>
      </c>
      <c r="P2084" t="s">
        <v>55</v>
      </c>
      <c r="R2084" t="s">
        <v>56</v>
      </c>
      <c r="T2084" t="s">
        <v>3363</v>
      </c>
      <c r="U2084" t="s">
        <v>58</v>
      </c>
      <c r="V2084">
        <v>2</v>
      </c>
      <c r="W2084">
        <v>1</v>
      </c>
      <c r="X2084">
        <v>1</v>
      </c>
      <c r="Y2084">
        <v>0</v>
      </c>
      <c r="Z2084">
        <v>1</v>
      </c>
      <c r="AA2084">
        <v>0</v>
      </c>
      <c r="AB2084">
        <v>331.86</v>
      </c>
      <c r="AC2084">
        <v>292</v>
      </c>
      <c r="AD2084">
        <v>0</v>
      </c>
      <c r="AE2084">
        <v>39.86</v>
      </c>
      <c r="AF2084">
        <v>0</v>
      </c>
      <c r="AG2084">
        <v>0</v>
      </c>
      <c r="AH2084">
        <v>0</v>
      </c>
      <c r="AI2084">
        <v>0</v>
      </c>
      <c r="AJ2084">
        <v>331.86</v>
      </c>
      <c r="AK2084">
        <v>0</v>
      </c>
      <c r="AL2084" t="s">
        <v>53</v>
      </c>
      <c r="AM2084" t="s">
        <v>53</v>
      </c>
      <c r="AN2084" t="s">
        <v>3369</v>
      </c>
      <c r="AO2084" t="s">
        <v>53</v>
      </c>
      <c r="AP2084" t="s">
        <v>53</v>
      </c>
    </row>
    <row r="2085" spans="2:42" x14ac:dyDescent="0.2">
      <c r="B2085" t="s">
        <v>44</v>
      </c>
      <c r="C2085" t="str">
        <f>HYPERLINK("https://us2.cloudbeds.com/connect/8493803454333002#/reservations/598203130045?display=E16FNU03&amp;reservation_id=598203130045", "E16FNU03")</f>
        <v>E16FNU03</v>
      </c>
      <c r="D2085" t="s">
        <v>45</v>
      </c>
      <c r="E2085" t="s">
        <v>373</v>
      </c>
      <c r="F2085" t="s">
        <v>47</v>
      </c>
      <c r="G2085" t="s">
        <v>48</v>
      </c>
      <c r="H2085" t="s">
        <v>49</v>
      </c>
      <c r="I2085" t="s">
        <v>62</v>
      </c>
      <c r="J2085" t="s">
        <v>99</v>
      </c>
      <c r="K2085" t="s">
        <v>323</v>
      </c>
      <c r="L2085" t="s">
        <v>53</v>
      </c>
      <c r="N2085" t="s">
        <v>3370</v>
      </c>
      <c r="P2085" t="s">
        <v>55</v>
      </c>
      <c r="R2085" t="s">
        <v>56</v>
      </c>
      <c r="T2085" t="s">
        <v>3363</v>
      </c>
      <c r="U2085" t="s">
        <v>58</v>
      </c>
      <c r="V2085">
        <v>1</v>
      </c>
      <c r="W2085">
        <v>1</v>
      </c>
      <c r="X2085">
        <v>1</v>
      </c>
      <c r="Y2085">
        <v>0</v>
      </c>
      <c r="Z2085">
        <v>1</v>
      </c>
      <c r="AA2085">
        <v>0</v>
      </c>
      <c r="AB2085">
        <v>177.29</v>
      </c>
      <c r="AC2085">
        <v>156</v>
      </c>
      <c r="AD2085">
        <v>0</v>
      </c>
      <c r="AE2085">
        <v>21.29</v>
      </c>
      <c r="AF2085">
        <v>0</v>
      </c>
      <c r="AG2085">
        <v>0</v>
      </c>
      <c r="AH2085">
        <v>0</v>
      </c>
      <c r="AI2085">
        <v>26.59</v>
      </c>
      <c r="AJ2085">
        <v>177.29</v>
      </c>
      <c r="AK2085">
        <v>0</v>
      </c>
      <c r="AL2085" t="s">
        <v>53</v>
      </c>
      <c r="AM2085" t="s">
        <v>53</v>
      </c>
      <c r="AN2085" t="s">
        <v>97</v>
      </c>
      <c r="AO2085" t="s">
        <v>53</v>
      </c>
      <c r="AP2085" t="s">
        <v>53</v>
      </c>
    </row>
    <row r="2086" spans="2:42" x14ac:dyDescent="0.2">
      <c r="B2086" t="s">
        <v>44</v>
      </c>
      <c r="C2086" t="str">
        <f>HYPERLINK("https://us2.cloudbeds.com/connect/8493803454333002#/reservations/598603587745?display=E1GND7ZU&amp;reservation_id=598603587745", "E1GND7ZU")</f>
        <v>E1GND7ZU</v>
      </c>
      <c r="D2086" t="s">
        <v>45</v>
      </c>
      <c r="E2086" t="s">
        <v>69</v>
      </c>
      <c r="F2086" t="s">
        <v>70</v>
      </c>
      <c r="G2086" t="s">
        <v>48</v>
      </c>
      <c r="H2086" t="s">
        <v>49</v>
      </c>
      <c r="I2086" t="s">
        <v>62</v>
      </c>
      <c r="J2086" t="s">
        <v>2102</v>
      </c>
      <c r="K2086" t="s">
        <v>988</v>
      </c>
      <c r="L2086" t="s">
        <v>53</v>
      </c>
      <c r="N2086" t="s">
        <v>3371</v>
      </c>
      <c r="P2086" t="s">
        <v>55</v>
      </c>
      <c r="R2086" t="s">
        <v>56</v>
      </c>
      <c r="T2086" t="s">
        <v>3363</v>
      </c>
      <c r="U2086" t="s">
        <v>58</v>
      </c>
      <c r="V2086">
        <v>1</v>
      </c>
      <c r="W2086">
        <v>1</v>
      </c>
      <c r="X2086">
        <v>1</v>
      </c>
      <c r="Y2086">
        <v>0</v>
      </c>
      <c r="Z2086">
        <v>1</v>
      </c>
      <c r="AA2086">
        <v>0</v>
      </c>
      <c r="AB2086">
        <v>165.93</v>
      </c>
      <c r="AC2086">
        <v>146</v>
      </c>
      <c r="AD2086">
        <v>0</v>
      </c>
      <c r="AE2086">
        <v>19.93</v>
      </c>
      <c r="AF2086">
        <v>0</v>
      </c>
      <c r="AG2086">
        <v>0</v>
      </c>
      <c r="AH2086">
        <v>0</v>
      </c>
      <c r="AI2086">
        <v>24.89</v>
      </c>
      <c r="AJ2086">
        <v>165.93</v>
      </c>
      <c r="AK2086">
        <v>0</v>
      </c>
      <c r="AL2086" t="s">
        <v>53</v>
      </c>
      <c r="AM2086" t="s">
        <v>53</v>
      </c>
      <c r="AN2086" t="s">
        <v>245</v>
      </c>
      <c r="AO2086" t="s">
        <v>53</v>
      </c>
      <c r="AP2086" t="s">
        <v>53</v>
      </c>
    </row>
    <row r="2087" spans="2:42" x14ac:dyDescent="0.2">
      <c r="B2087" t="s">
        <v>44</v>
      </c>
      <c r="C2087" t="str">
        <f>HYPERLINK("https://us2.cloudbeds.com/connect/8493803454333002#/reservations/598501413058?display=E1E382E9&amp;reservation_id=598501413058", "E1E382E9")</f>
        <v>E1E382E9</v>
      </c>
      <c r="D2087" t="s">
        <v>45</v>
      </c>
      <c r="E2087" t="s">
        <v>190</v>
      </c>
      <c r="F2087" t="s">
        <v>61</v>
      </c>
      <c r="G2087" t="s">
        <v>48</v>
      </c>
      <c r="H2087" t="s">
        <v>49</v>
      </c>
      <c r="I2087" t="s">
        <v>50</v>
      </c>
      <c r="J2087" t="s">
        <v>94</v>
      </c>
      <c r="K2087" t="s">
        <v>1750</v>
      </c>
      <c r="L2087" t="s">
        <v>53</v>
      </c>
      <c r="N2087" t="s">
        <v>3372</v>
      </c>
      <c r="P2087" t="s">
        <v>55</v>
      </c>
      <c r="R2087" t="s">
        <v>56</v>
      </c>
      <c r="T2087" t="s">
        <v>3363</v>
      </c>
      <c r="U2087" t="s">
        <v>58</v>
      </c>
      <c r="V2087">
        <v>3</v>
      </c>
      <c r="W2087">
        <v>1</v>
      </c>
      <c r="X2087">
        <v>1</v>
      </c>
      <c r="Y2087">
        <v>0</v>
      </c>
      <c r="Z2087">
        <v>1</v>
      </c>
      <c r="AA2087">
        <v>0</v>
      </c>
      <c r="AB2087">
        <v>490.97</v>
      </c>
      <c r="AC2087">
        <v>432</v>
      </c>
      <c r="AD2087">
        <v>0</v>
      </c>
      <c r="AE2087">
        <v>58.98</v>
      </c>
      <c r="AF2087">
        <v>0</v>
      </c>
      <c r="AG2087">
        <v>0</v>
      </c>
      <c r="AH2087">
        <v>0</v>
      </c>
      <c r="AI2087">
        <v>88.38</v>
      </c>
      <c r="AJ2087">
        <v>490.98</v>
      </c>
      <c r="AK2087">
        <v>0.01</v>
      </c>
      <c r="AL2087" t="s">
        <v>53</v>
      </c>
      <c r="AM2087" t="s">
        <v>53</v>
      </c>
      <c r="AN2087" t="s">
        <v>68</v>
      </c>
      <c r="AO2087" t="s">
        <v>53</v>
      </c>
      <c r="AP2087" t="s">
        <v>53</v>
      </c>
    </row>
    <row r="2088" spans="2:42" x14ac:dyDescent="0.2">
      <c r="B2088" t="s">
        <v>44</v>
      </c>
      <c r="C2088" t="str">
        <f>HYPERLINK("https://us2.cloudbeds.com/connect/8493803454333002#/reservations/598174499013?display=E15ZJ6T2&amp;reservation_id=598174499013", "E15ZJ6T2")</f>
        <v>E15ZJ6T2</v>
      </c>
      <c r="D2088" t="s">
        <v>45</v>
      </c>
      <c r="E2088" t="s">
        <v>265</v>
      </c>
      <c r="F2088" t="s">
        <v>61</v>
      </c>
      <c r="G2088" t="s">
        <v>48</v>
      </c>
      <c r="H2088" t="s">
        <v>49</v>
      </c>
      <c r="I2088" t="s">
        <v>50</v>
      </c>
      <c r="J2088" t="s">
        <v>1822</v>
      </c>
      <c r="K2088" t="s">
        <v>1750</v>
      </c>
      <c r="L2088" t="s">
        <v>53</v>
      </c>
      <c r="N2088" t="s">
        <v>3373</v>
      </c>
      <c r="P2088" t="s">
        <v>55</v>
      </c>
      <c r="R2088" t="s">
        <v>56</v>
      </c>
      <c r="T2088" t="s">
        <v>3363</v>
      </c>
      <c r="U2088" t="s">
        <v>58</v>
      </c>
      <c r="V2088">
        <v>4</v>
      </c>
      <c r="W2088">
        <v>1</v>
      </c>
      <c r="X2088">
        <v>1</v>
      </c>
      <c r="Y2088">
        <v>0</v>
      </c>
      <c r="Z2088">
        <v>1</v>
      </c>
      <c r="AA2088">
        <v>0</v>
      </c>
      <c r="AB2088">
        <v>655.65</v>
      </c>
      <c r="AC2088">
        <v>576.9</v>
      </c>
      <c r="AD2088">
        <v>0</v>
      </c>
      <c r="AE2088">
        <v>78.72</v>
      </c>
      <c r="AF2088">
        <v>0</v>
      </c>
      <c r="AG2088">
        <v>0</v>
      </c>
      <c r="AH2088">
        <v>0</v>
      </c>
      <c r="AI2088">
        <v>118.01</v>
      </c>
      <c r="AJ2088">
        <v>655.62</v>
      </c>
      <c r="AK2088">
        <v>-0.03</v>
      </c>
      <c r="AL2088" t="s">
        <v>53</v>
      </c>
      <c r="AM2088" t="s">
        <v>53</v>
      </c>
      <c r="AN2088" t="s">
        <v>84</v>
      </c>
      <c r="AO2088" t="s">
        <v>53</v>
      </c>
      <c r="AP2088" t="s">
        <v>53</v>
      </c>
    </row>
    <row r="2089" spans="2:42" x14ac:dyDescent="0.2">
      <c r="B2089" t="s">
        <v>44</v>
      </c>
      <c r="C2089" t="str">
        <f>HYPERLINK("https://us2.cloudbeds.com/connect/8493803454333002#/reservations/598563926168?display=E1FMVJXV&amp;reservation_id=598563926168", "E1FMVJXV")</f>
        <v>E1FMVJXV</v>
      </c>
      <c r="D2089" t="s">
        <v>45</v>
      </c>
      <c r="E2089" t="s">
        <v>305</v>
      </c>
      <c r="F2089" t="s">
        <v>61</v>
      </c>
      <c r="G2089" t="s">
        <v>48</v>
      </c>
      <c r="H2089" t="s">
        <v>49</v>
      </c>
      <c r="I2089" t="s">
        <v>62</v>
      </c>
      <c r="J2089" t="s">
        <v>1822</v>
      </c>
      <c r="K2089" t="s">
        <v>94</v>
      </c>
      <c r="L2089" t="s">
        <v>53</v>
      </c>
      <c r="N2089" t="s">
        <v>3374</v>
      </c>
      <c r="P2089" t="s">
        <v>55</v>
      </c>
      <c r="R2089" t="s">
        <v>56</v>
      </c>
      <c r="T2089" t="s">
        <v>3363</v>
      </c>
      <c r="U2089" t="s">
        <v>58</v>
      </c>
      <c r="V2089">
        <v>1</v>
      </c>
      <c r="W2089">
        <v>1</v>
      </c>
      <c r="X2089">
        <v>1</v>
      </c>
      <c r="Y2089">
        <v>0</v>
      </c>
      <c r="Z2089">
        <v>1</v>
      </c>
      <c r="AA2089">
        <v>0</v>
      </c>
      <c r="AB2089">
        <v>182.98</v>
      </c>
      <c r="AC2089">
        <v>161</v>
      </c>
      <c r="AD2089">
        <v>0</v>
      </c>
      <c r="AE2089">
        <v>21.98</v>
      </c>
      <c r="AF2089">
        <v>0</v>
      </c>
      <c r="AG2089">
        <v>0</v>
      </c>
      <c r="AH2089">
        <v>0</v>
      </c>
      <c r="AI2089">
        <v>27.45</v>
      </c>
      <c r="AJ2089">
        <v>182.98</v>
      </c>
      <c r="AK2089">
        <v>0</v>
      </c>
      <c r="AL2089" t="s">
        <v>53</v>
      </c>
      <c r="AM2089" t="s">
        <v>53</v>
      </c>
      <c r="AN2089" t="s">
        <v>137</v>
      </c>
      <c r="AO2089" t="s">
        <v>53</v>
      </c>
      <c r="AP2089" t="s">
        <v>53</v>
      </c>
    </row>
    <row r="2090" spans="2:42" x14ac:dyDescent="0.2">
      <c r="B2090" t="s">
        <v>44</v>
      </c>
      <c r="C2090" t="str">
        <f>HYPERLINK("https://us2.cloudbeds.com/connect/8493803454333002#/reservations/598506827954?display=E1E7QZQ1&amp;reservation_id=598506827954", "E1E7QZQ1")</f>
        <v>E1E7QZQ1</v>
      </c>
      <c r="D2090" t="s">
        <v>45</v>
      </c>
      <c r="E2090" t="s">
        <v>113</v>
      </c>
      <c r="F2090" t="s">
        <v>61</v>
      </c>
      <c r="G2090" t="s">
        <v>48</v>
      </c>
      <c r="H2090" t="s">
        <v>49</v>
      </c>
      <c r="I2090" t="s">
        <v>50</v>
      </c>
      <c r="J2090" t="s">
        <v>647</v>
      </c>
      <c r="K2090" t="s">
        <v>214</v>
      </c>
      <c r="L2090" t="s">
        <v>53</v>
      </c>
      <c r="N2090" t="s">
        <v>3375</v>
      </c>
      <c r="P2090" t="s">
        <v>55</v>
      </c>
      <c r="R2090" t="s">
        <v>56</v>
      </c>
      <c r="T2090" t="s">
        <v>3363</v>
      </c>
      <c r="U2090" t="s">
        <v>58</v>
      </c>
      <c r="V2090">
        <v>1</v>
      </c>
      <c r="W2090">
        <v>1</v>
      </c>
      <c r="X2090">
        <v>1</v>
      </c>
      <c r="Y2090">
        <v>0</v>
      </c>
      <c r="Z2090">
        <v>1</v>
      </c>
      <c r="AA2090">
        <v>0</v>
      </c>
      <c r="AB2090">
        <v>168.77</v>
      </c>
      <c r="AC2090">
        <v>148.5</v>
      </c>
      <c r="AD2090">
        <v>0</v>
      </c>
      <c r="AE2090">
        <v>20.28</v>
      </c>
      <c r="AF2090">
        <v>0</v>
      </c>
      <c r="AG2090">
        <v>0</v>
      </c>
      <c r="AH2090">
        <v>0</v>
      </c>
      <c r="AI2090">
        <v>30.38</v>
      </c>
      <c r="AJ2090">
        <v>168.78</v>
      </c>
      <c r="AK2090">
        <v>0.01</v>
      </c>
      <c r="AL2090" t="s">
        <v>53</v>
      </c>
      <c r="AM2090" t="s">
        <v>53</v>
      </c>
      <c r="AN2090" t="s">
        <v>280</v>
      </c>
      <c r="AO2090" t="s">
        <v>53</v>
      </c>
      <c r="AP2090" t="s">
        <v>53</v>
      </c>
    </row>
    <row r="2091" spans="2:42" x14ac:dyDescent="0.2">
      <c r="B2091" t="s">
        <v>44</v>
      </c>
      <c r="C2091" t="str">
        <f>HYPERLINK("https://us2.cloudbeds.com/connect/8493803454333002#/reservations/598599286918?display=E1GJPXDR&amp;reservation_id=598599286918", "E1GJPXDR")</f>
        <v>E1GJPXDR</v>
      </c>
      <c r="D2091" t="s">
        <v>45</v>
      </c>
      <c r="E2091" t="s">
        <v>46</v>
      </c>
      <c r="F2091" t="s">
        <v>47</v>
      </c>
      <c r="G2091" t="s">
        <v>48</v>
      </c>
      <c r="H2091" t="s">
        <v>49</v>
      </c>
      <c r="I2091" t="s">
        <v>62</v>
      </c>
      <c r="J2091" t="s">
        <v>1633</v>
      </c>
      <c r="K2091" t="s">
        <v>447</v>
      </c>
      <c r="L2091" t="s">
        <v>53</v>
      </c>
      <c r="N2091" t="s">
        <v>3376</v>
      </c>
      <c r="P2091" t="s">
        <v>55</v>
      </c>
      <c r="R2091" t="s">
        <v>56</v>
      </c>
      <c r="T2091" t="s">
        <v>3363</v>
      </c>
      <c r="U2091" t="s">
        <v>58</v>
      </c>
      <c r="V2091">
        <v>1</v>
      </c>
      <c r="W2091">
        <v>1</v>
      </c>
      <c r="X2091">
        <v>1</v>
      </c>
      <c r="Y2091">
        <v>0</v>
      </c>
      <c r="Z2091">
        <v>1</v>
      </c>
      <c r="AA2091">
        <v>0</v>
      </c>
      <c r="AB2091">
        <v>177.29</v>
      </c>
      <c r="AC2091">
        <v>156</v>
      </c>
      <c r="AD2091">
        <v>0</v>
      </c>
      <c r="AE2091">
        <v>21.29</v>
      </c>
      <c r="AF2091">
        <v>0</v>
      </c>
      <c r="AG2091">
        <v>0</v>
      </c>
      <c r="AH2091">
        <v>0</v>
      </c>
      <c r="AI2091">
        <v>26.59</v>
      </c>
      <c r="AJ2091">
        <v>177.29</v>
      </c>
      <c r="AK2091">
        <v>0</v>
      </c>
      <c r="AL2091" t="s">
        <v>53</v>
      </c>
      <c r="AM2091" t="s">
        <v>53</v>
      </c>
      <c r="AN2091" t="s">
        <v>132</v>
      </c>
      <c r="AO2091" t="s">
        <v>53</v>
      </c>
      <c r="AP2091" t="s">
        <v>53</v>
      </c>
    </row>
    <row r="2092" spans="2:42" x14ac:dyDescent="0.2">
      <c r="B2092" t="s">
        <v>44</v>
      </c>
      <c r="C2092" t="str">
        <f>HYPERLINK("https://us2.cloudbeds.com/connect/8493803454333002#/reservations/579318194320?display=DJXUEZ7H&amp;reservation_id=579318194320", "DJXUEZ7H")</f>
        <v>DJXUEZ7H</v>
      </c>
      <c r="D2092" t="s">
        <v>45</v>
      </c>
      <c r="E2092" t="s">
        <v>85</v>
      </c>
      <c r="F2092" t="s">
        <v>86</v>
      </c>
      <c r="G2092" t="s">
        <v>48</v>
      </c>
      <c r="H2092" t="s">
        <v>71</v>
      </c>
      <c r="I2092" t="s">
        <v>72</v>
      </c>
      <c r="J2092" t="s">
        <v>2639</v>
      </c>
      <c r="K2092" t="s">
        <v>3031</v>
      </c>
      <c r="L2092" t="s">
        <v>53</v>
      </c>
      <c r="N2092" t="s">
        <v>3377</v>
      </c>
      <c r="P2092" t="s">
        <v>55</v>
      </c>
      <c r="R2092" t="s">
        <v>56</v>
      </c>
      <c r="T2092" t="s">
        <v>3363</v>
      </c>
      <c r="U2092" t="s">
        <v>58</v>
      </c>
      <c r="V2092">
        <v>2</v>
      </c>
      <c r="W2092">
        <v>1</v>
      </c>
      <c r="X2092">
        <v>1</v>
      </c>
      <c r="Y2092">
        <v>0</v>
      </c>
      <c r="Z2092">
        <v>1</v>
      </c>
      <c r="AA2092">
        <v>0</v>
      </c>
      <c r="AB2092">
        <v>354.58</v>
      </c>
      <c r="AC2092">
        <v>312</v>
      </c>
      <c r="AD2092">
        <v>0</v>
      </c>
      <c r="AE2092">
        <v>42.58</v>
      </c>
      <c r="AF2092">
        <v>0</v>
      </c>
      <c r="AG2092">
        <v>0</v>
      </c>
      <c r="AH2092">
        <v>0</v>
      </c>
      <c r="AI2092">
        <v>0</v>
      </c>
      <c r="AJ2092">
        <v>354.58</v>
      </c>
      <c r="AK2092">
        <v>0</v>
      </c>
      <c r="AL2092" t="s">
        <v>53</v>
      </c>
      <c r="AM2092" t="s">
        <v>53</v>
      </c>
      <c r="AN2092" t="s">
        <v>3378</v>
      </c>
      <c r="AO2092" t="s">
        <v>53</v>
      </c>
      <c r="AP2092" t="s">
        <v>53</v>
      </c>
    </row>
    <row r="2093" spans="2:42" x14ac:dyDescent="0.2">
      <c r="B2093" t="s">
        <v>44</v>
      </c>
      <c r="C2093" t="str">
        <f>HYPERLINK("https://us2.cloudbeds.com/connect/8493803454333002#/reservations/579386171598?display=DJKYP9W2&amp;reservation_id=579386171598", "DJKYP9W2")</f>
        <v>DJKYP9W2</v>
      </c>
      <c r="D2093" t="s">
        <v>45</v>
      </c>
      <c r="E2093" t="s">
        <v>406</v>
      </c>
      <c r="F2093" t="s">
        <v>61</v>
      </c>
      <c r="G2093" t="s">
        <v>48</v>
      </c>
      <c r="H2093" t="s">
        <v>71</v>
      </c>
      <c r="I2093" t="s">
        <v>72</v>
      </c>
      <c r="J2093" t="s">
        <v>2315</v>
      </c>
      <c r="K2093" t="s">
        <v>1898</v>
      </c>
      <c r="L2093" t="s">
        <v>53</v>
      </c>
      <c r="N2093" t="s">
        <v>3379</v>
      </c>
      <c r="P2093" t="s">
        <v>55</v>
      </c>
      <c r="R2093" t="s">
        <v>56</v>
      </c>
      <c r="T2093" t="s">
        <v>3363</v>
      </c>
      <c r="U2093" t="s">
        <v>58</v>
      </c>
      <c r="V2093">
        <v>3</v>
      </c>
      <c r="W2093">
        <v>1</v>
      </c>
      <c r="X2093">
        <v>1</v>
      </c>
      <c r="Y2093">
        <v>0</v>
      </c>
      <c r="Z2093">
        <v>1</v>
      </c>
      <c r="AA2093">
        <v>0</v>
      </c>
      <c r="AB2093">
        <v>472.76</v>
      </c>
      <c r="AC2093">
        <v>416</v>
      </c>
      <c r="AD2093">
        <v>0</v>
      </c>
      <c r="AE2093">
        <v>56.76</v>
      </c>
      <c r="AF2093">
        <v>0</v>
      </c>
      <c r="AG2093">
        <v>0</v>
      </c>
      <c r="AH2093">
        <v>0</v>
      </c>
      <c r="AI2093">
        <v>0</v>
      </c>
      <c r="AJ2093">
        <v>472.76</v>
      </c>
      <c r="AK2093">
        <v>0</v>
      </c>
      <c r="AL2093" t="s">
        <v>53</v>
      </c>
      <c r="AM2093" t="s">
        <v>53</v>
      </c>
      <c r="AN2093" t="s">
        <v>3380</v>
      </c>
      <c r="AO2093" t="s">
        <v>53</v>
      </c>
      <c r="AP2093" t="s">
        <v>53</v>
      </c>
    </row>
    <row r="2094" spans="2:42" x14ac:dyDescent="0.2">
      <c r="B2094" t="s">
        <v>44</v>
      </c>
      <c r="C2094" t="str">
        <f>HYPERLINK("https://us2.cloudbeds.com/connect/8493803454333002#/reservations/579213750424?display=DJG8CE50&amp;reservation_id=579213750424", "DJG8CE50")</f>
        <v>DJG8CE50</v>
      </c>
      <c r="D2094" t="s">
        <v>45</v>
      </c>
      <c r="E2094" t="s">
        <v>381</v>
      </c>
      <c r="F2094" t="s">
        <v>47</v>
      </c>
      <c r="G2094" t="s">
        <v>48</v>
      </c>
      <c r="H2094" t="s">
        <v>49</v>
      </c>
      <c r="I2094" t="s">
        <v>79</v>
      </c>
      <c r="J2094" t="s">
        <v>1450</v>
      </c>
      <c r="K2094" t="s">
        <v>1451</v>
      </c>
      <c r="L2094" t="s">
        <v>53</v>
      </c>
      <c r="N2094" t="s">
        <v>3381</v>
      </c>
      <c r="P2094" t="s">
        <v>55</v>
      </c>
      <c r="R2094" t="s">
        <v>56</v>
      </c>
      <c r="T2094" t="s">
        <v>3363</v>
      </c>
      <c r="U2094" t="s">
        <v>58</v>
      </c>
      <c r="V2094">
        <v>1</v>
      </c>
      <c r="W2094">
        <v>1</v>
      </c>
      <c r="X2094">
        <v>1</v>
      </c>
      <c r="Y2094">
        <v>0</v>
      </c>
      <c r="Z2094">
        <v>1</v>
      </c>
      <c r="AA2094">
        <v>0</v>
      </c>
      <c r="AB2094">
        <v>163.66</v>
      </c>
      <c r="AC2094">
        <v>144</v>
      </c>
      <c r="AD2094">
        <v>0</v>
      </c>
      <c r="AE2094">
        <v>19.66</v>
      </c>
      <c r="AF2094">
        <v>0</v>
      </c>
      <c r="AG2094">
        <v>0</v>
      </c>
      <c r="AH2094">
        <v>0</v>
      </c>
      <c r="AI2094">
        <v>0</v>
      </c>
      <c r="AJ2094">
        <v>163.66</v>
      </c>
      <c r="AK2094">
        <v>0</v>
      </c>
      <c r="AL2094" t="s">
        <v>53</v>
      </c>
      <c r="AM2094" t="s">
        <v>53</v>
      </c>
      <c r="AN2094" t="s">
        <v>198</v>
      </c>
      <c r="AO2094" t="s">
        <v>53</v>
      </c>
      <c r="AP2094" t="s">
        <v>53</v>
      </c>
    </row>
    <row r="2095" spans="2:42" x14ac:dyDescent="0.2">
      <c r="B2095" t="s">
        <v>44</v>
      </c>
      <c r="C2095" t="str">
        <f>HYPERLINK("https://us2.cloudbeds.com/connect/8493803454333002#/reservations/579374850247?display=DJKC78SR&amp;reservation_id=579374850247", "DJKC78SR")</f>
        <v>DJKC78SR</v>
      </c>
      <c r="D2095" t="s">
        <v>45</v>
      </c>
      <c r="E2095" t="s">
        <v>69</v>
      </c>
      <c r="F2095" t="s">
        <v>70</v>
      </c>
      <c r="G2095" t="s">
        <v>48</v>
      </c>
      <c r="H2095" t="s">
        <v>49</v>
      </c>
      <c r="I2095" t="s">
        <v>62</v>
      </c>
      <c r="J2095" t="s">
        <v>2062</v>
      </c>
      <c r="K2095" t="s">
        <v>1380</v>
      </c>
      <c r="L2095" t="s">
        <v>53</v>
      </c>
      <c r="N2095" t="s">
        <v>3382</v>
      </c>
      <c r="P2095" t="s">
        <v>55</v>
      </c>
      <c r="R2095" t="s">
        <v>56</v>
      </c>
      <c r="T2095" t="s">
        <v>3383</v>
      </c>
      <c r="U2095" t="s">
        <v>58</v>
      </c>
      <c r="V2095">
        <v>1</v>
      </c>
      <c r="W2095">
        <v>1</v>
      </c>
      <c r="X2095">
        <v>1</v>
      </c>
      <c r="Y2095">
        <v>0</v>
      </c>
      <c r="Z2095">
        <v>1</v>
      </c>
      <c r="AA2095">
        <v>0</v>
      </c>
      <c r="AB2095">
        <v>117.07</v>
      </c>
      <c r="AC2095">
        <v>103</v>
      </c>
      <c r="AD2095">
        <v>0</v>
      </c>
      <c r="AE2095">
        <v>14.07</v>
      </c>
      <c r="AF2095">
        <v>0</v>
      </c>
      <c r="AG2095">
        <v>0</v>
      </c>
      <c r="AH2095">
        <v>0</v>
      </c>
      <c r="AI2095">
        <v>17.559999999999999</v>
      </c>
      <c r="AJ2095">
        <v>117.07</v>
      </c>
      <c r="AK2095">
        <v>0</v>
      </c>
      <c r="AL2095" t="s">
        <v>53</v>
      </c>
      <c r="AM2095" t="s">
        <v>53</v>
      </c>
      <c r="AN2095" t="s">
        <v>112</v>
      </c>
      <c r="AO2095" t="s">
        <v>53</v>
      </c>
      <c r="AP2095" t="s">
        <v>53</v>
      </c>
    </row>
    <row r="2096" spans="2:42" x14ac:dyDescent="0.2">
      <c r="B2096" t="s">
        <v>44</v>
      </c>
      <c r="C2096" t="str">
        <f>HYPERLINK("https://us2.cloudbeds.com/connect/8493803454333002#/reservations/598464385259?display=E1D50NPH&amp;reservation_id=598464385259", "E1D50NPH")</f>
        <v>E1D50NPH</v>
      </c>
      <c r="D2096" t="s">
        <v>45</v>
      </c>
      <c r="E2096" t="s">
        <v>110</v>
      </c>
      <c r="F2096" t="s">
        <v>47</v>
      </c>
      <c r="G2096" t="s">
        <v>48</v>
      </c>
      <c r="H2096" t="s">
        <v>49</v>
      </c>
      <c r="I2096" t="s">
        <v>50</v>
      </c>
      <c r="J2096" t="s">
        <v>1568</v>
      </c>
      <c r="K2096" t="s">
        <v>93</v>
      </c>
      <c r="L2096" t="s">
        <v>53</v>
      </c>
      <c r="N2096" t="s">
        <v>3384</v>
      </c>
      <c r="P2096" t="s">
        <v>55</v>
      </c>
      <c r="R2096" t="s">
        <v>56</v>
      </c>
      <c r="T2096" t="s">
        <v>3383</v>
      </c>
      <c r="U2096" t="s">
        <v>58</v>
      </c>
      <c r="V2096">
        <v>1</v>
      </c>
      <c r="W2096">
        <v>1</v>
      </c>
      <c r="X2096">
        <v>1</v>
      </c>
      <c r="Y2096">
        <v>0</v>
      </c>
      <c r="Z2096">
        <v>1</v>
      </c>
      <c r="AA2096">
        <v>0</v>
      </c>
      <c r="AB2096">
        <v>166.72</v>
      </c>
      <c r="AC2096">
        <v>146.69999999999999</v>
      </c>
      <c r="AD2096">
        <v>0</v>
      </c>
      <c r="AE2096">
        <v>20.010000000000002</v>
      </c>
      <c r="AF2096">
        <v>0</v>
      </c>
      <c r="AG2096">
        <v>0</v>
      </c>
      <c r="AH2096">
        <v>0</v>
      </c>
      <c r="AI2096">
        <v>30.01</v>
      </c>
      <c r="AJ2096">
        <v>166.71</v>
      </c>
      <c r="AK2096">
        <v>-0.01</v>
      </c>
      <c r="AL2096" t="s">
        <v>53</v>
      </c>
      <c r="AM2096" t="s">
        <v>53</v>
      </c>
      <c r="AN2096" t="s">
        <v>159</v>
      </c>
      <c r="AO2096" t="s">
        <v>53</v>
      </c>
      <c r="AP2096" t="s">
        <v>53</v>
      </c>
    </row>
    <row r="2097" spans="2:42" x14ac:dyDescent="0.2">
      <c r="B2097" t="s">
        <v>44</v>
      </c>
      <c r="C2097" t="str">
        <f>HYPERLINK("https://us2.cloudbeds.com/connect/8493803454333002#/reservations/598446907530?display=E1CN9CEJ&amp;reservation_id=598446907530", "E1CN9CEJ")</f>
        <v>E1CN9CEJ</v>
      </c>
      <c r="D2097" t="s">
        <v>45</v>
      </c>
      <c r="E2097" t="s">
        <v>46</v>
      </c>
      <c r="F2097" t="s">
        <v>47</v>
      </c>
      <c r="G2097" t="s">
        <v>48</v>
      </c>
      <c r="H2097" t="s">
        <v>49</v>
      </c>
      <c r="I2097" t="s">
        <v>50</v>
      </c>
      <c r="J2097" t="s">
        <v>768</v>
      </c>
      <c r="K2097" t="s">
        <v>488</v>
      </c>
      <c r="L2097" t="s">
        <v>53</v>
      </c>
      <c r="N2097" t="s">
        <v>3385</v>
      </c>
      <c r="P2097" t="s">
        <v>55</v>
      </c>
      <c r="R2097" t="s">
        <v>56</v>
      </c>
      <c r="T2097" t="s">
        <v>3383</v>
      </c>
      <c r="U2097" t="s">
        <v>58</v>
      </c>
      <c r="V2097">
        <v>1</v>
      </c>
      <c r="W2097">
        <v>1</v>
      </c>
      <c r="X2097">
        <v>1</v>
      </c>
      <c r="Y2097">
        <v>0</v>
      </c>
      <c r="Z2097">
        <v>1</v>
      </c>
      <c r="AA2097">
        <v>0</v>
      </c>
      <c r="AB2097">
        <v>154.44999999999999</v>
      </c>
      <c r="AC2097">
        <v>135.9</v>
      </c>
      <c r="AD2097">
        <v>0</v>
      </c>
      <c r="AE2097">
        <v>18.55</v>
      </c>
      <c r="AF2097">
        <v>0</v>
      </c>
      <c r="AG2097">
        <v>0</v>
      </c>
      <c r="AH2097">
        <v>0</v>
      </c>
      <c r="AI2097">
        <v>27.8</v>
      </c>
      <c r="AJ2097">
        <v>154.44999999999999</v>
      </c>
      <c r="AK2097">
        <v>0</v>
      </c>
      <c r="AL2097" t="s">
        <v>53</v>
      </c>
      <c r="AM2097" t="s">
        <v>53</v>
      </c>
      <c r="AN2097" t="s">
        <v>137</v>
      </c>
      <c r="AO2097" t="s">
        <v>53</v>
      </c>
      <c r="AP2097" t="s">
        <v>53</v>
      </c>
    </row>
    <row r="2098" spans="2:42" x14ac:dyDescent="0.2">
      <c r="B2098" t="s">
        <v>44</v>
      </c>
      <c r="C2098" t="str">
        <f>HYPERLINK("https://us2.cloudbeds.com/connect/8493803454333002#/reservations/598495948930?display=E1DVY0SY&amp;reservation_id=598495948930", "E1DVY0SY")</f>
        <v>E1DVY0SY</v>
      </c>
      <c r="D2098" t="s">
        <v>45</v>
      </c>
      <c r="E2098" t="s">
        <v>179</v>
      </c>
      <c r="F2098" t="s">
        <v>47</v>
      </c>
      <c r="G2098" t="s">
        <v>48</v>
      </c>
      <c r="H2098" t="s">
        <v>49</v>
      </c>
      <c r="I2098" t="s">
        <v>50</v>
      </c>
      <c r="J2098" t="s">
        <v>489</v>
      </c>
      <c r="K2098" t="s">
        <v>1822</v>
      </c>
      <c r="L2098" t="s">
        <v>53</v>
      </c>
      <c r="N2098" t="s">
        <v>3386</v>
      </c>
      <c r="P2098" t="s">
        <v>55</v>
      </c>
      <c r="R2098" t="s">
        <v>56</v>
      </c>
      <c r="T2098" t="s">
        <v>3383</v>
      </c>
      <c r="U2098" t="s">
        <v>58</v>
      </c>
      <c r="V2098">
        <v>3</v>
      </c>
      <c r="W2098">
        <v>1</v>
      </c>
      <c r="X2098">
        <v>1</v>
      </c>
      <c r="Y2098">
        <v>0</v>
      </c>
      <c r="Z2098">
        <v>1</v>
      </c>
      <c r="AA2098">
        <v>0</v>
      </c>
      <c r="AB2098">
        <v>486.88</v>
      </c>
      <c r="AC2098">
        <v>428.4</v>
      </c>
      <c r="AD2098">
        <v>0</v>
      </c>
      <c r="AE2098">
        <v>58.5</v>
      </c>
      <c r="AF2098">
        <v>0</v>
      </c>
      <c r="AG2098">
        <v>0</v>
      </c>
      <c r="AH2098">
        <v>0</v>
      </c>
      <c r="AI2098">
        <v>87.64</v>
      </c>
      <c r="AJ2098">
        <v>486.9</v>
      </c>
      <c r="AK2098">
        <v>0.02</v>
      </c>
      <c r="AL2098" t="s">
        <v>53</v>
      </c>
      <c r="AM2098" t="s">
        <v>53</v>
      </c>
      <c r="AN2098" t="s">
        <v>132</v>
      </c>
      <c r="AO2098" t="s">
        <v>53</v>
      </c>
      <c r="AP2098" t="s">
        <v>53</v>
      </c>
    </row>
    <row r="2099" spans="2:42" x14ac:dyDescent="0.2">
      <c r="B2099" t="s">
        <v>44</v>
      </c>
      <c r="C2099" t="str">
        <f>HYPERLINK("https://us2.cloudbeds.com/connect/8493803454333002#/reservations/598602301649?display=E1GMAEP9&amp;reservation_id=598602301649", "E1GMAEP9")</f>
        <v>E1GMAEP9</v>
      </c>
      <c r="D2099" t="s">
        <v>45</v>
      </c>
      <c r="E2099" t="s">
        <v>223</v>
      </c>
      <c r="F2099" t="s">
        <v>47</v>
      </c>
      <c r="G2099" t="s">
        <v>48</v>
      </c>
      <c r="H2099" t="s">
        <v>71</v>
      </c>
      <c r="I2099" t="s">
        <v>72</v>
      </c>
      <c r="J2099" t="s">
        <v>488</v>
      </c>
      <c r="K2099" t="s">
        <v>489</v>
      </c>
      <c r="L2099" t="s">
        <v>53</v>
      </c>
      <c r="N2099" t="s">
        <v>3387</v>
      </c>
      <c r="P2099" t="s">
        <v>55</v>
      </c>
      <c r="R2099" t="s">
        <v>56</v>
      </c>
      <c r="T2099" t="s">
        <v>3383</v>
      </c>
      <c r="U2099" t="s">
        <v>58</v>
      </c>
      <c r="V2099">
        <v>1</v>
      </c>
      <c r="W2099">
        <v>1</v>
      </c>
      <c r="X2099">
        <v>1</v>
      </c>
      <c r="Y2099">
        <v>0</v>
      </c>
      <c r="Z2099">
        <v>1</v>
      </c>
      <c r="AA2099">
        <v>0</v>
      </c>
      <c r="AB2099">
        <v>165.93</v>
      </c>
      <c r="AC2099">
        <v>146</v>
      </c>
      <c r="AD2099">
        <v>0</v>
      </c>
      <c r="AE2099">
        <v>19.93</v>
      </c>
      <c r="AF2099">
        <v>0</v>
      </c>
      <c r="AG2099">
        <v>0</v>
      </c>
      <c r="AH2099">
        <v>0</v>
      </c>
      <c r="AI2099">
        <v>0</v>
      </c>
      <c r="AJ2099">
        <v>165.93</v>
      </c>
      <c r="AK2099">
        <v>0</v>
      </c>
      <c r="AL2099" t="s">
        <v>53</v>
      </c>
      <c r="AM2099" t="s">
        <v>53</v>
      </c>
      <c r="AN2099" t="s">
        <v>3388</v>
      </c>
      <c r="AO2099" t="s">
        <v>53</v>
      </c>
      <c r="AP2099" t="s">
        <v>53</v>
      </c>
    </row>
    <row r="2100" spans="2:42" x14ac:dyDescent="0.2">
      <c r="B2100" t="s">
        <v>44</v>
      </c>
      <c r="C2100" t="str">
        <f>HYPERLINK("https://us2.cloudbeds.com/connect/8493803454333002#/reservations/598201983173?display=E16EZWSD&amp;reservation_id=598201983173", "E16EZWSD")</f>
        <v>E16EZWSD</v>
      </c>
      <c r="D2100" t="s">
        <v>45</v>
      </c>
      <c r="E2100" t="s">
        <v>179</v>
      </c>
      <c r="F2100" t="s">
        <v>47</v>
      </c>
      <c r="G2100" t="s">
        <v>48</v>
      </c>
      <c r="H2100" t="s">
        <v>49</v>
      </c>
      <c r="I2100" t="s">
        <v>50</v>
      </c>
      <c r="J2100" t="s">
        <v>768</v>
      </c>
      <c r="K2100" t="s">
        <v>488</v>
      </c>
      <c r="L2100" t="s">
        <v>53</v>
      </c>
      <c r="N2100" t="s">
        <v>3389</v>
      </c>
      <c r="P2100" t="s">
        <v>55</v>
      </c>
      <c r="R2100" t="s">
        <v>56</v>
      </c>
      <c r="T2100" t="s">
        <v>3383</v>
      </c>
      <c r="U2100" t="s">
        <v>58</v>
      </c>
      <c r="V2100">
        <v>1</v>
      </c>
      <c r="W2100">
        <v>1</v>
      </c>
      <c r="X2100">
        <v>1</v>
      </c>
      <c r="Y2100">
        <v>0</v>
      </c>
      <c r="Z2100">
        <v>1</v>
      </c>
      <c r="AA2100">
        <v>0</v>
      </c>
      <c r="AB2100">
        <v>154.44999999999999</v>
      </c>
      <c r="AC2100">
        <v>135.9</v>
      </c>
      <c r="AD2100">
        <v>0</v>
      </c>
      <c r="AE2100">
        <v>18.55</v>
      </c>
      <c r="AF2100">
        <v>0</v>
      </c>
      <c r="AG2100">
        <v>0</v>
      </c>
      <c r="AH2100">
        <v>0</v>
      </c>
      <c r="AI2100">
        <v>27.8</v>
      </c>
      <c r="AJ2100">
        <v>154.44999999999999</v>
      </c>
      <c r="AK2100">
        <v>0</v>
      </c>
      <c r="AL2100" t="s">
        <v>53</v>
      </c>
      <c r="AM2100" t="s">
        <v>53</v>
      </c>
      <c r="AN2100" t="s">
        <v>245</v>
      </c>
      <c r="AO2100" t="s">
        <v>53</v>
      </c>
      <c r="AP2100" t="s">
        <v>53</v>
      </c>
    </row>
    <row r="2101" spans="2:42" x14ac:dyDescent="0.2">
      <c r="B2101" t="s">
        <v>44</v>
      </c>
      <c r="C2101" t="str">
        <f>HYPERLINK("https://us2.cloudbeds.com/connect/8493803454333002#/reservations/598635622592?display=E1HBX042&amp;reservation_id=598635622592", "E1HBX042")</f>
        <v>E1HBX042</v>
      </c>
      <c r="D2101" t="s">
        <v>45</v>
      </c>
      <c r="E2101" t="s">
        <v>138</v>
      </c>
      <c r="F2101" t="s">
        <v>70</v>
      </c>
      <c r="G2101" t="s">
        <v>48</v>
      </c>
      <c r="H2101" t="s">
        <v>49</v>
      </c>
      <c r="I2101" t="s">
        <v>62</v>
      </c>
      <c r="J2101" t="s">
        <v>1568</v>
      </c>
      <c r="K2101" t="s">
        <v>93</v>
      </c>
      <c r="L2101" t="s">
        <v>53</v>
      </c>
      <c r="N2101" t="s">
        <v>3390</v>
      </c>
      <c r="P2101" t="s">
        <v>55</v>
      </c>
      <c r="R2101" t="s">
        <v>56</v>
      </c>
      <c r="T2101" t="s">
        <v>3383</v>
      </c>
      <c r="U2101" t="s">
        <v>58</v>
      </c>
      <c r="V2101">
        <v>1</v>
      </c>
      <c r="W2101">
        <v>1</v>
      </c>
      <c r="X2101">
        <v>1</v>
      </c>
      <c r="Y2101">
        <v>0</v>
      </c>
      <c r="Z2101">
        <v>1</v>
      </c>
      <c r="AA2101">
        <v>0</v>
      </c>
      <c r="AB2101">
        <v>159.11000000000001</v>
      </c>
      <c r="AC2101">
        <v>140</v>
      </c>
      <c r="AD2101">
        <v>0</v>
      </c>
      <c r="AE2101">
        <v>19.11</v>
      </c>
      <c r="AF2101">
        <v>0</v>
      </c>
      <c r="AG2101">
        <v>0</v>
      </c>
      <c r="AH2101">
        <v>0</v>
      </c>
      <c r="AI2101">
        <v>23.87</v>
      </c>
      <c r="AJ2101">
        <v>159.11000000000001</v>
      </c>
      <c r="AK2101">
        <v>0</v>
      </c>
      <c r="AL2101" t="s">
        <v>53</v>
      </c>
      <c r="AM2101" t="s">
        <v>53</v>
      </c>
      <c r="AN2101" t="s">
        <v>104</v>
      </c>
      <c r="AO2101" t="s">
        <v>53</v>
      </c>
      <c r="AP2101" t="s">
        <v>53</v>
      </c>
    </row>
    <row r="2102" spans="2:42" x14ac:dyDescent="0.2">
      <c r="B2102" t="s">
        <v>44</v>
      </c>
      <c r="C2102" t="str">
        <f>HYPERLINK("https://us2.cloudbeds.com/connect/8493803454333002#/reservations/598448197777?display=E1CZC980&amp;reservation_id=598448197777", "E1CZC980")</f>
        <v>E1CZC980</v>
      </c>
      <c r="D2102" t="s">
        <v>45</v>
      </c>
      <c r="E2102" t="s">
        <v>373</v>
      </c>
      <c r="F2102" t="s">
        <v>47</v>
      </c>
      <c r="G2102" t="s">
        <v>48</v>
      </c>
      <c r="H2102" t="s">
        <v>71</v>
      </c>
      <c r="I2102" t="s">
        <v>72</v>
      </c>
      <c r="J2102" t="s">
        <v>1439</v>
      </c>
      <c r="K2102" t="s">
        <v>99</v>
      </c>
      <c r="L2102" t="s">
        <v>53</v>
      </c>
      <c r="N2102" t="s">
        <v>3391</v>
      </c>
      <c r="P2102" t="s">
        <v>55</v>
      </c>
      <c r="R2102" t="s">
        <v>56</v>
      </c>
      <c r="T2102" t="s">
        <v>3383</v>
      </c>
      <c r="U2102" t="s">
        <v>58</v>
      </c>
      <c r="V2102">
        <v>3</v>
      </c>
      <c r="W2102">
        <v>1</v>
      </c>
      <c r="X2102">
        <v>1</v>
      </c>
      <c r="Y2102">
        <v>0</v>
      </c>
      <c r="Z2102">
        <v>1</v>
      </c>
      <c r="AA2102">
        <v>0</v>
      </c>
      <c r="AB2102">
        <v>510.29</v>
      </c>
      <c r="AC2102">
        <v>449</v>
      </c>
      <c r="AD2102">
        <v>0</v>
      </c>
      <c r="AE2102">
        <v>61.29</v>
      </c>
      <c r="AF2102">
        <v>0</v>
      </c>
      <c r="AG2102">
        <v>0</v>
      </c>
      <c r="AH2102">
        <v>0</v>
      </c>
      <c r="AI2102">
        <v>0</v>
      </c>
      <c r="AJ2102">
        <v>510.29</v>
      </c>
      <c r="AK2102">
        <v>0</v>
      </c>
      <c r="AL2102" t="s">
        <v>53</v>
      </c>
      <c r="AM2102" t="s">
        <v>53</v>
      </c>
      <c r="AN2102" t="s">
        <v>3392</v>
      </c>
      <c r="AO2102" t="s">
        <v>53</v>
      </c>
      <c r="AP2102" t="s">
        <v>53</v>
      </c>
    </row>
    <row r="2103" spans="2:42" x14ac:dyDescent="0.2">
      <c r="B2103" t="s">
        <v>44</v>
      </c>
      <c r="C2103" t="str">
        <f>HYPERLINK("https://us2.cloudbeds.com/connect/8493803454333002#/reservations/579400417434?display=DJY0PNX2&amp;reservation_id=579400417434", "DJY0PNX2")</f>
        <v>DJY0PNX2</v>
      </c>
      <c r="D2103" t="s">
        <v>45</v>
      </c>
      <c r="E2103" t="s">
        <v>110</v>
      </c>
      <c r="F2103" t="s">
        <v>47</v>
      </c>
      <c r="G2103" t="s">
        <v>48</v>
      </c>
      <c r="H2103" t="s">
        <v>71</v>
      </c>
      <c r="I2103" t="s">
        <v>72</v>
      </c>
      <c r="J2103" t="s">
        <v>3196</v>
      </c>
      <c r="K2103" t="s">
        <v>3000</v>
      </c>
      <c r="L2103" t="s">
        <v>53</v>
      </c>
      <c r="N2103" t="s">
        <v>3393</v>
      </c>
      <c r="P2103" t="s">
        <v>58</v>
      </c>
      <c r="R2103" t="s">
        <v>56</v>
      </c>
      <c r="T2103" t="s">
        <v>3383</v>
      </c>
      <c r="U2103" t="s">
        <v>58</v>
      </c>
      <c r="V2103">
        <v>1</v>
      </c>
      <c r="W2103">
        <v>1</v>
      </c>
      <c r="X2103">
        <v>1</v>
      </c>
      <c r="Y2103">
        <v>0</v>
      </c>
      <c r="Z2103">
        <v>1</v>
      </c>
      <c r="AA2103">
        <v>0</v>
      </c>
      <c r="AB2103">
        <v>160.25</v>
      </c>
      <c r="AC2103">
        <v>141</v>
      </c>
      <c r="AD2103">
        <v>0</v>
      </c>
      <c r="AE2103">
        <v>19.25</v>
      </c>
      <c r="AF2103">
        <v>0</v>
      </c>
      <c r="AG2103">
        <v>0</v>
      </c>
      <c r="AH2103">
        <v>0</v>
      </c>
      <c r="AI2103">
        <v>0</v>
      </c>
      <c r="AJ2103">
        <v>160.25</v>
      </c>
      <c r="AK2103">
        <v>0</v>
      </c>
      <c r="AL2103" t="s">
        <v>53</v>
      </c>
      <c r="AM2103" t="s">
        <v>53</v>
      </c>
      <c r="AN2103" t="s">
        <v>378</v>
      </c>
      <c r="AO2103" t="s">
        <v>53</v>
      </c>
      <c r="AP2103" t="s">
        <v>53</v>
      </c>
    </row>
    <row r="2104" spans="2:42" x14ac:dyDescent="0.2">
      <c r="B2104" t="s">
        <v>44</v>
      </c>
      <c r="C2104" t="str">
        <f>HYPERLINK("https://us2.cloudbeds.com/connect/8493803454333002#/reservations/579163181265?display=DJEVZ8R7&amp;reservation_id=579163181265", "DJEVZ8R7")</f>
        <v>DJEVZ8R7</v>
      </c>
      <c r="D2104" t="s">
        <v>602</v>
      </c>
      <c r="E2104" t="s">
        <v>53</v>
      </c>
      <c r="F2104" t="s">
        <v>70</v>
      </c>
      <c r="G2104" t="s">
        <v>48</v>
      </c>
      <c r="H2104" t="s">
        <v>71</v>
      </c>
      <c r="I2104" t="s">
        <v>72</v>
      </c>
      <c r="J2104" t="s">
        <v>1515</v>
      </c>
      <c r="K2104" t="s">
        <v>2162</v>
      </c>
      <c r="L2104" t="s">
        <v>53</v>
      </c>
      <c r="N2104" t="s">
        <v>3394</v>
      </c>
      <c r="P2104" t="s">
        <v>55</v>
      </c>
      <c r="R2104" t="s">
        <v>56</v>
      </c>
      <c r="T2104" t="s">
        <v>3383</v>
      </c>
      <c r="U2104" t="s">
        <v>58</v>
      </c>
      <c r="V2104">
        <v>1</v>
      </c>
      <c r="W2104">
        <v>1</v>
      </c>
      <c r="X2104">
        <v>1</v>
      </c>
      <c r="Y2104">
        <v>0</v>
      </c>
      <c r="Z2104">
        <v>1</v>
      </c>
      <c r="AA2104">
        <v>0</v>
      </c>
      <c r="AB2104">
        <v>0</v>
      </c>
      <c r="AC2104">
        <v>0</v>
      </c>
      <c r="AD2104">
        <v>0</v>
      </c>
      <c r="AE2104">
        <v>0</v>
      </c>
      <c r="AF2104">
        <v>0</v>
      </c>
      <c r="AG2104">
        <v>0</v>
      </c>
      <c r="AH2104">
        <v>0</v>
      </c>
      <c r="AI2104">
        <v>0</v>
      </c>
      <c r="AJ2104">
        <v>0</v>
      </c>
      <c r="AK2104">
        <v>0</v>
      </c>
      <c r="AL2104">
        <v>129</v>
      </c>
      <c r="AM2104">
        <v>146.61000000000001</v>
      </c>
      <c r="AN2104" t="s">
        <v>3395</v>
      </c>
      <c r="AO2104" t="s">
        <v>53</v>
      </c>
      <c r="AP2104" t="s">
        <v>53</v>
      </c>
    </row>
    <row r="2105" spans="2:42" x14ac:dyDescent="0.2">
      <c r="B2105" t="s">
        <v>44</v>
      </c>
      <c r="C2105" t="str">
        <f>HYPERLINK("https://us2.cloudbeds.com/connect/8493803454333002#/reservations/598488850607?display=E1DPYGYV&amp;reservation_id=598488850607", "E1DPYGYV")</f>
        <v>E1DPYGYV</v>
      </c>
      <c r="D2105" t="s">
        <v>45</v>
      </c>
      <c r="E2105" t="s">
        <v>305</v>
      </c>
      <c r="F2105" t="s">
        <v>61</v>
      </c>
      <c r="G2105" t="s">
        <v>48</v>
      </c>
      <c r="H2105" t="s">
        <v>49</v>
      </c>
      <c r="I2105" t="s">
        <v>62</v>
      </c>
      <c r="J2105" t="s">
        <v>647</v>
      </c>
      <c r="K2105" t="s">
        <v>1633</v>
      </c>
      <c r="L2105" t="s">
        <v>53</v>
      </c>
      <c r="N2105" t="s">
        <v>3396</v>
      </c>
      <c r="P2105" t="s">
        <v>55</v>
      </c>
      <c r="R2105" t="s">
        <v>56</v>
      </c>
      <c r="T2105" t="s">
        <v>3383</v>
      </c>
      <c r="U2105" t="s">
        <v>58</v>
      </c>
      <c r="V2105">
        <v>5</v>
      </c>
      <c r="W2105">
        <v>1</v>
      </c>
      <c r="X2105">
        <v>1</v>
      </c>
      <c r="Y2105">
        <v>0</v>
      </c>
      <c r="Z2105">
        <v>1</v>
      </c>
      <c r="AA2105">
        <v>0</v>
      </c>
      <c r="AB2105">
        <v>942.16</v>
      </c>
      <c r="AC2105">
        <v>829</v>
      </c>
      <c r="AD2105">
        <v>0</v>
      </c>
      <c r="AE2105">
        <v>113.15</v>
      </c>
      <c r="AF2105">
        <v>0</v>
      </c>
      <c r="AG2105">
        <v>0</v>
      </c>
      <c r="AH2105">
        <v>0</v>
      </c>
      <c r="AI2105">
        <v>141.32</v>
      </c>
      <c r="AJ2105">
        <v>942.15</v>
      </c>
      <c r="AK2105">
        <v>-0.01</v>
      </c>
      <c r="AL2105" t="s">
        <v>53</v>
      </c>
      <c r="AM2105" t="s">
        <v>53</v>
      </c>
      <c r="AN2105" t="s">
        <v>104</v>
      </c>
      <c r="AO2105" t="s">
        <v>53</v>
      </c>
      <c r="AP2105" t="s">
        <v>53</v>
      </c>
    </row>
    <row r="2106" spans="2:42" x14ac:dyDescent="0.2">
      <c r="B2106" t="s">
        <v>44</v>
      </c>
      <c r="C2106" t="str">
        <f>HYPERLINK("https://us2.cloudbeds.com/connect/8493803454333002#/reservations/598514962638?display=E1EEM3YK&amp;reservation_id=598514962638", "E1EEM3YK")</f>
        <v>E1EEM3YK</v>
      </c>
      <c r="D2106" t="s">
        <v>45</v>
      </c>
      <c r="E2106" t="s">
        <v>381</v>
      </c>
      <c r="F2106" t="s">
        <v>47</v>
      </c>
      <c r="G2106" t="s">
        <v>48</v>
      </c>
      <c r="H2106" t="s">
        <v>49</v>
      </c>
      <c r="I2106" t="s">
        <v>50</v>
      </c>
      <c r="J2106" t="s">
        <v>1568</v>
      </c>
      <c r="K2106" t="s">
        <v>93</v>
      </c>
      <c r="L2106" t="s">
        <v>53</v>
      </c>
      <c r="N2106" t="s">
        <v>3397</v>
      </c>
      <c r="P2106" t="s">
        <v>55</v>
      </c>
      <c r="R2106" t="s">
        <v>56</v>
      </c>
      <c r="T2106" t="s">
        <v>3383</v>
      </c>
      <c r="U2106" t="s">
        <v>58</v>
      </c>
      <c r="V2106">
        <v>1</v>
      </c>
      <c r="W2106">
        <v>1</v>
      </c>
      <c r="X2106">
        <v>1</v>
      </c>
      <c r="Y2106">
        <v>0</v>
      </c>
      <c r="Z2106">
        <v>1</v>
      </c>
      <c r="AA2106">
        <v>0</v>
      </c>
      <c r="AB2106">
        <v>166.72</v>
      </c>
      <c r="AC2106">
        <v>146.69999999999999</v>
      </c>
      <c r="AD2106">
        <v>0</v>
      </c>
      <c r="AE2106">
        <v>20.010000000000002</v>
      </c>
      <c r="AF2106">
        <v>0</v>
      </c>
      <c r="AG2106">
        <v>0</v>
      </c>
      <c r="AH2106">
        <v>0</v>
      </c>
      <c r="AI2106">
        <v>30.01</v>
      </c>
      <c r="AJ2106">
        <v>166.71</v>
      </c>
      <c r="AK2106">
        <v>-0.01</v>
      </c>
      <c r="AL2106" t="s">
        <v>53</v>
      </c>
      <c r="AM2106" t="s">
        <v>53</v>
      </c>
      <c r="AN2106" t="s">
        <v>413</v>
      </c>
      <c r="AO2106" t="s">
        <v>53</v>
      </c>
      <c r="AP2106" t="s">
        <v>53</v>
      </c>
    </row>
    <row r="2107" spans="2:42" x14ac:dyDescent="0.2">
      <c r="B2107" t="s">
        <v>44</v>
      </c>
      <c r="C2107" t="str">
        <f>HYPERLINK("https://us2.cloudbeds.com/connect/8493803454333002#/reservations/579395113122?display=DJKTA3ZB&amp;reservation_id=579395113122", "DJKTA3ZB")</f>
        <v>DJKTA3ZB</v>
      </c>
      <c r="D2107" t="s">
        <v>45</v>
      </c>
      <c r="E2107" t="s">
        <v>110</v>
      </c>
      <c r="F2107" t="s">
        <v>47</v>
      </c>
      <c r="G2107" t="s">
        <v>48</v>
      </c>
      <c r="H2107" t="s">
        <v>49</v>
      </c>
      <c r="I2107" t="s">
        <v>79</v>
      </c>
      <c r="J2107" t="s">
        <v>1332</v>
      </c>
      <c r="K2107" t="s">
        <v>1333</v>
      </c>
      <c r="L2107" t="s">
        <v>53</v>
      </c>
      <c r="N2107" t="s">
        <v>3398</v>
      </c>
      <c r="P2107" t="s">
        <v>55</v>
      </c>
      <c r="R2107" t="s">
        <v>56</v>
      </c>
      <c r="T2107" t="s">
        <v>3383</v>
      </c>
      <c r="U2107" t="s">
        <v>58</v>
      </c>
      <c r="V2107">
        <v>1</v>
      </c>
      <c r="W2107">
        <v>1</v>
      </c>
      <c r="X2107">
        <v>1</v>
      </c>
      <c r="Y2107">
        <v>0</v>
      </c>
      <c r="Z2107">
        <v>1</v>
      </c>
      <c r="AA2107">
        <v>0</v>
      </c>
      <c r="AB2107">
        <v>154.44999999999999</v>
      </c>
      <c r="AC2107">
        <v>135.9</v>
      </c>
      <c r="AD2107">
        <v>0</v>
      </c>
      <c r="AE2107">
        <v>18.55</v>
      </c>
      <c r="AF2107">
        <v>0</v>
      </c>
      <c r="AG2107">
        <v>0</v>
      </c>
      <c r="AH2107">
        <v>0</v>
      </c>
      <c r="AI2107">
        <v>0</v>
      </c>
      <c r="AJ2107">
        <v>154.44999999999999</v>
      </c>
      <c r="AK2107">
        <v>0</v>
      </c>
      <c r="AL2107" t="s">
        <v>53</v>
      </c>
      <c r="AM2107" t="s">
        <v>53</v>
      </c>
      <c r="AN2107" t="s">
        <v>132</v>
      </c>
      <c r="AO2107" t="s">
        <v>53</v>
      </c>
      <c r="AP2107" t="s">
        <v>53</v>
      </c>
    </row>
    <row r="2108" spans="2:42" x14ac:dyDescent="0.2">
      <c r="B2108" t="s">
        <v>44</v>
      </c>
      <c r="C2108" t="str">
        <f>HYPERLINK("https://us2.cloudbeds.com/connect/8493803454333002#/reservations/579384905883?display=DJKKN2N2&amp;reservation_id=579384905883", "DJKKN2N2")</f>
        <v>DJKKN2N2</v>
      </c>
      <c r="D2108" t="s">
        <v>45</v>
      </c>
      <c r="E2108" t="s">
        <v>110</v>
      </c>
      <c r="F2108" t="s">
        <v>47</v>
      </c>
      <c r="G2108" t="s">
        <v>48</v>
      </c>
      <c r="H2108" t="s">
        <v>71</v>
      </c>
      <c r="I2108" t="s">
        <v>72</v>
      </c>
      <c r="J2108" t="s">
        <v>2634</v>
      </c>
      <c r="K2108" t="s">
        <v>2315</v>
      </c>
      <c r="L2108" t="s">
        <v>53</v>
      </c>
      <c r="N2108" t="s">
        <v>3399</v>
      </c>
      <c r="P2108" t="s">
        <v>58</v>
      </c>
      <c r="R2108" t="s">
        <v>56</v>
      </c>
      <c r="T2108" t="s">
        <v>3383</v>
      </c>
      <c r="U2108" t="s">
        <v>58</v>
      </c>
      <c r="V2108">
        <v>1</v>
      </c>
      <c r="W2108">
        <v>1</v>
      </c>
      <c r="X2108">
        <v>1</v>
      </c>
      <c r="Y2108">
        <v>0</v>
      </c>
      <c r="Z2108">
        <v>1</v>
      </c>
      <c r="AA2108">
        <v>0</v>
      </c>
      <c r="AB2108">
        <v>165.93</v>
      </c>
      <c r="AC2108">
        <v>146</v>
      </c>
      <c r="AD2108">
        <v>0</v>
      </c>
      <c r="AE2108">
        <v>19.93</v>
      </c>
      <c r="AF2108">
        <v>0</v>
      </c>
      <c r="AG2108">
        <v>0</v>
      </c>
      <c r="AH2108">
        <v>0</v>
      </c>
      <c r="AI2108">
        <v>0</v>
      </c>
      <c r="AJ2108">
        <v>165.93</v>
      </c>
      <c r="AK2108">
        <v>0</v>
      </c>
      <c r="AL2108" t="s">
        <v>53</v>
      </c>
      <c r="AM2108" t="s">
        <v>53</v>
      </c>
      <c r="AN2108" t="s">
        <v>378</v>
      </c>
      <c r="AO2108" t="s">
        <v>53</v>
      </c>
      <c r="AP2108" t="s">
        <v>53</v>
      </c>
    </row>
    <row r="2109" spans="2:42" x14ac:dyDescent="0.2">
      <c r="B2109" t="s">
        <v>44</v>
      </c>
      <c r="C2109" t="str">
        <f>HYPERLINK("https://us2.cloudbeds.com/connect/8493803454333002#/reservations/579350855904?display=DJJZWJGH&amp;reservation_id=579350855904", "DJJZWJGH")</f>
        <v>DJJZWJGH</v>
      </c>
      <c r="D2109" t="s">
        <v>45</v>
      </c>
      <c r="E2109" t="s">
        <v>165</v>
      </c>
      <c r="F2109" t="s">
        <v>61</v>
      </c>
      <c r="G2109" t="s">
        <v>48</v>
      </c>
      <c r="H2109" t="s">
        <v>49</v>
      </c>
      <c r="I2109" t="s">
        <v>79</v>
      </c>
      <c r="J2109" t="s">
        <v>1337</v>
      </c>
      <c r="K2109" t="s">
        <v>1380</v>
      </c>
      <c r="L2109" t="s">
        <v>53</v>
      </c>
      <c r="N2109" t="s">
        <v>3400</v>
      </c>
      <c r="P2109" t="s">
        <v>55</v>
      </c>
      <c r="R2109" t="s">
        <v>56</v>
      </c>
      <c r="T2109" t="s">
        <v>3401</v>
      </c>
      <c r="U2109" t="s">
        <v>58</v>
      </c>
      <c r="V2109">
        <v>2</v>
      </c>
      <c r="W2109">
        <v>1</v>
      </c>
      <c r="X2109">
        <v>1</v>
      </c>
      <c r="Y2109">
        <v>0</v>
      </c>
      <c r="Z2109">
        <v>1</v>
      </c>
      <c r="AA2109">
        <v>0</v>
      </c>
      <c r="AB2109">
        <v>255.72</v>
      </c>
      <c r="AC2109">
        <v>225</v>
      </c>
      <c r="AD2109">
        <v>0</v>
      </c>
      <c r="AE2109">
        <v>30.72</v>
      </c>
      <c r="AF2109">
        <v>0</v>
      </c>
      <c r="AG2109">
        <v>0</v>
      </c>
      <c r="AH2109">
        <v>0</v>
      </c>
      <c r="AI2109">
        <v>0</v>
      </c>
      <c r="AJ2109">
        <v>255.72</v>
      </c>
      <c r="AK2109">
        <v>0</v>
      </c>
      <c r="AL2109" t="s">
        <v>53</v>
      </c>
      <c r="AM2109" t="s">
        <v>53</v>
      </c>
      <c r="AN2109" t="s">
        <v>349</v>
      </c>
      <c r="AO2109" t="s">
        <v>53</v>
      </c>
      <c r="AP2109" t="s">
        <v>53</v>
      </c>
    </row>
    <row r="2110" spans="2:42" x14ac:dyDescent="0.2">
      <c r="B2110" t="s">
        <v>44</v>
      </c>
      <c r="C2110" t="str">
        <f>HYPERLINK("https://us2.cloudbeds.com/connect/8493803454333002#/reservations/598598443254?display=E1GJ22N7&amp;reservation_id=598598443254", "E1GJ22N7")</f>
        <v>E1GJ22N7</v>
      </c>
      <c r="D2110" t="s">
        <v>45</v>
      </c>
      <c r="E2110" t="s">
        <v>113</v>
      </c>
      <c r="F2110" t="s">
        <v>61</v>
      </c>
      <c r="G2110" t="s">
        <v>48</v>
      </c>
      <c r="H2110" t="s">
        <v>49</v>
      </c>
      <c r="I2110" t="s">
        <v>79</v>
      </c>
      <c r="J2110" t="s">
        <v>1568</v>
      </c>
      <c r="K2110" t="s">
        <v>93</v>
      </c>
      <c r="L2110" t="s">
        <v>53</v>
      </c>
      <c r="N2110" t="s">
        <v>3402</v>
      </c>
      <c r="P2110" t="s">
        <v>55</v>
      </c>
      <c r="R2110" t="s">
        <v>56</v>
      </c>
      <c r="T2110" t="s">
        <v>3401</v>
      </c>
      <c r="U2110" t="s">
        <v>58</v>
      </c>
      <c r="V2110">
        <v>1</v>
      </c>
      <c r="W2110">
        <v>1</v>
      </c>
      <c r="X2110">
        <v>1</v>
      </c>
      <c r="Y2110">
        <v>0</v>
      </c>
      <c r="Z2110">
        <v>1</v>
      </c>
      <c r="AA2110">
        <v>0</v>
      </c>
      <c r="AB2110">
        <v>173.88</v>
      </c>
      <c r="AC2110">
        <v>153</v>
      </c>
      <c r="AD2110">
        <v>0</v>
      </c>
      <c r="AE2110">
        <v>20.89</v>
      </c>
      <c r="AF2110">
        <v>0</v>
      </c>
      <c r="AG2110">
        <v>0</v>
      </c>
      <c r="AH2110">
        <v>0</v>
      </c>
      <c r="AI2110">
        <v>0</v>
      </c>
      <c r="AJ2110">
        <v>173.89</v>
      </c>
      <c r="AK2110">
        <v>0.01</v>
      </c>
      <c r="AL2110" t="s">
        <v>53</v>
      </c>
      <c r="AM2110" t="s">
        <v>53</v>
      </c>
      <c r="AN2110" t="s">
        <v>545</v>
      </c>
      <c r="AO2110" t="s">
        <v>53</v>
      </c>
      <c r="AP2110" t="s">
        <v>53</v>
      </c>
    </row>
    <row r="2111" spans="2:42" x14ac:dyDescent="0.2">
      <c r="B2111" t="s">
        <v>44</v>
      </c>
      <c r="C2111" t="str">
        <f>HYPERLINK("https://us2.cloudbeds.com/connect/8493803454333002#/reservations/579393777796?display=DJKS5VHT&amp;reservation_id=579393777796", "DJKS5VHT")</f>
        <v>DJKS5VHT</v>
      </c>
      <c r="D2111" t="s">
        <v>45</v>
      </c>
      <c r="E2111" t="s">
        <v>78</v>
      </c>
      <c r="F2111" t="s">
        <v>61</v>
      </c>
      <c r="G2111" t="s">
        <v>48</v>
      </c>
      <c r="H2111" t="s">
        <v>71</v>
      </c>
      <c r="I2111" t="s">
        <v>72</v>
      </c>
      <c r="J2111" t="s">
        <v>3000</v>
      </c>
      <c r="K2111" t="s">
        <v>1898</v>
      </c>
      <c r="L2111" t="s">
        <v>53</v>
      </c>
      <c r="N2111" t="s">
        <v>3403</v>
      </c>
      <c r="P2111" t="s">
        <v>55</v>
      </c>
      <c r="R2111" t="s">
        <v>56</v>
      </c>
      <c r="T2111" t="s">
        <v>3401</v>
      </c>
      <c r="U2111" t="s">
        <v>58</v>
      </c>
      <c r="V2111">
        <v>1</v>
      </c>
      <c r="W2111">
        <v>1</v>
      </c>
      <c r="X2111">
        <v>1</v>
      </c>
      <c r="Y2111">
        <v>0</v>
      </c>
      <c r="Z2111">
        <v>1</v>
      </c>
      <c r="AA2111">
        <v>0</v>
      </c>
      <c r="AB2111">
        <v>125.02</v>
      </c>
      <c r="AC2111">
        <v>110</v>
      </c>
      <c r="AD2111">
        <v>0</v>
      </c>
      <c r="AE2111">
        <v>15.02</v>
      </c>
      <c r="AF2111">
        <v>0</v>
      </c>
      <c r="AG2111">
        <v>0</v>
      </c>
      <c r="AH2111">
        <v>0</v>
      </c>
      <c r="AI2111">
        <v>0</v>
      </c>
      <c r="AJ2111">
        <v>125.02</v>
      </c>
      <c r="AK2111">
        <v>0</v>
      </c>
      <c r="AL2111" t="s">
        <v>53</v>
      </c>
      <c r="AM2111" t="s">
        <v>53</v>
      </c>
      <c r="AN2111" t="s">
        <v>378</v>
      </c>
      <c r="AO2111" t="s">
        <v>53</v>
      </c>
      <c r="AP2111" t="s">
        <v>53</v>
      </c>
    </row>
    <row r="2112" spans="2:42" x14ac:dyDescent="0.2">
      <c r="B2112" t="s">
        <v>44</v>
      </c>
      <c r="C2112" t="str">
        <f>HYPERLINK("https://us2.cloudbeds.com/connect/8493803454333002#/reservations/579168583878?display=DJF39JTP&amp;reservation_id=579168583878", "DJF39JTP")</f>
        <v>DJF39JTP</v>
      </c>
      <c r="D2112" t="s">
        <v>45</v>
      </c>
      <c r="E2112" t="s">
        <v>128</v>
      </c>
      <c r="F2112" t="s">
        <v>86</v>
      </c>
      <c r="G2112" t="s">
        <v>48</v>
      </c>
      <c r="H2112" t="s">
        <v>71</v>
      </c>
      <c r="I2112" t="s">
        <v>72</v>
      </c>
      <c r="J2112" t="s">
        <v>1900</v>
      </c>
      <c r="K2112" t="s">
        <v>3043</v>
      </c>
      <c r="L2112" t="s">
        <v>53</v>
      </c>
      <c r="N2112" t="s">
        <v>3404</v>
      </c>
      <c r="P2112" t="s">
        <v>55</v>
      </c>
      <c r="R2112" t="s">
        <v>56</v>
      </c>
      <c r="T2112" t="s">
        <v>3401</v>
      </c>
      <c r="U2112" t="s">
        <v>58</v>
      </c>
      <c r="V2112">
        <v>3</v>
      </c>
      <c r="W2112">
        <v>1</v>
      </c>
      <c r="X2112">
        <v>1</v>
      </c>
      <c r="Y2112">
        <v>0</v>
      </c>
      <c r="Z2112">
        <v>1</v>
      </c>
      <c r="AA2112">
        <v>0</v>
      </c>
      <c r="AB2112">
        <v>1057.02</v>
      </c>
      <c r="AC2112">
        <v>465</v>
      </c>
      <c r="AD2112">
        <v>0</v>
      </c>
      <c r="AE2112">
        <v>63.51</v>
      </c>
      <c r="AF2112">
        <v>0</v>
      </c>
      <c r="AG2112">
        <v>0</v>
      </c>
      <c r="AH2112">
        <v>0</v>
      </c>
      <c r="AI2112">
        <v>0</v>
      </c>
      <c r="AJ2112">
        <v>528.51</v>
      </c>
      <c r="AK2112">
        <v>0</v>
      </c>
      <c r="AL2112" t="s">
        <v>53</v>
      </c>
      <c r="AM2112" t="s">
        <v>53</v>
      </c>
      <c r="AN2112" t="s">
        <v>3405</v>
      </c>
      <c r="AO2112" t="s">
        <v>53</v>
      </c>
      <c r="AP2112" t="s">
        <v>53</v>
      </c>
    </row>
    <row r="2113" spans="2:42" x14ac:dyDescent="0.2">
      <c r="B2113" t="s">
        <v>44</v>
      </c>
      <c r="C2113" t="str">
        <f>HYPERLINK("https://us2.cloudbeds.com/connect/8493803454333002#/reservations/579285790972?display=DJX3422T&amp;reservation_id=579285790972", "DJX3422T")</f>
        <v>DJX3422T</v>
      </c>
      <c r="D2113" t="s">
        <v>45</v>
      </c>
      <c r="E2113" t="s">
        <v>69</v>
      </c>
      <c r="F2113" t="s">
        <v>70</v>
      </c>
      <c r="G2113" t="s">
        <v>48</v>
      </c>
      <c r="H2113" t="s">
        <v>49</v>
      </c>
      <c r="I2113" t="s">
        <v>62</v>
      </c>
      <c r="J2113" t="s">
        <v>1259</v>
      </c>
      <c r="K2113" t="s">
        <v>3232</v>
      </c>
      <c r="L2113" t="s">
        <v>53</v>
      </c>
      <c r="N2113" t="s">
        <v>3406</v>
      </c>
      <c r="P2113" t="s">
        <v>55</v>
      </c>
      <c r="R2113" t="s">
        <v>56</v>
      </c>
      <c r="T2113" t="s">
        <v>3401</v>
      </c>
      <c r="U2113" t="s">
        <v>58</v>
      </c>
      <c r="V2113">
        <v>2</v>
      </c>
      <c r="W2113">
        <v>1</v>
      </c>
      <c r="X2113">
        <v>1</v>
      </c>
      <c r="Y2113">
        <v>0</v>
      </c>
      <c r="Z2113">
        <v>1</v>
      </c>
      <c r="AA2113">
        <v>0</v>
      </c>
      <c r="AB2113">
        <v>239.8</v>
      </c>
      <c r="AC2113">
        <v>211</v>
      </c>
      <c r="AD2113">
        <v>0</v>
      </c>
      <c r="AE2113">
        <v>28.8</v>
      </c>
      <c r="AF2113">
        <v>0</v>
      </c>
      <c r="AG2113">
        <v>0</v>
      </c>
      <c r="AH2113">
        <v>0</v>
      </c>
      <c r="AI2113">
        <v>35.97</v>
      </c>
      <c r="AJ2113">
        <v>239.8</v>
      </c>
      <c r="AK2113">
        <v>0</v>
      </c>
      <c r="AL2113" t="s">
        <v>53</v>
      </c>
      <c r="AM2113" t="s">
        <v>53</v>
      </c>
      <c r="AN2113" t="s">
        <v>332</v>
      </c>
      <c r="AO2113" t="s">
        <v>53</v>
      </c>
      <c r="AP2113" t="s">
        <v>53</v>
      </c>
    </row>
    <row r="2114" spans="2:42" x14ac:dyDescent="0.2">
      <c r="B2114" t="s">
        <v>44</v>
      </c>
      <c r="C2114" t="str">
        <f>HYPERLINK("https://us2.cloudbeds.com/connect/8493803454333002#/reservations/598209790189?display=E16YB7RY&amp;reservation_id=598209790189", "E16YB7RY")</f>
        <v>E16YB7RY</v>
      </c>
      <c r="D2114" t="s">
        <v>45</v>
      </c>
      <c r="E2114" t="s">
        <v>165</v>
      </c>
      <c r="F2114" t="s">
        <v>61</v>
      </c>
      <c r="G2114" t="s">
        <v>48</v>
      </c>
      <c r="H2114" t="s">
        <v>49</v>
      </c>
      <c r="I2114" t="s">
        <v>50</v>
      </c>
      <c r="J2114" t="s">
        <v>1473</v>
      </c>
      <c r="K2114" t="s">
        <v>1750</v>
      </c>
      <c r="L2114" t="s">
        <v>53</v>
      </c>
      <c r="N2114" t="s">
        <v>3407</v>
      </c>
      <c r="P2114" t="s">
        <v>55</v>
      </c>
      <c r="R2114" t="s">
        <v>56</v>
      </c>
      <c r="T2114" t="s">
        <v>3401</v>
      </c>
      <c r="U2114" t="s">
        <v>58</v>
      </c>
      <c r="V2114">
        <v>1</v>
      </c>
      <c r="W2114">
        <v>1</v>
      </c>
      <c r="X2114">
        <v>1</v>
      </c>
      <c r="Y2114">
        <v>0</v>
      </c>
      <c r="Z2114">
        <v>1</v>
      </c>
      <c r="AA2114">
        <v>0</v>
      </c>
      <c r="AB2114">
        <v>168.77</v>
      </c>
      <c r="AC2114">
        <v>148.5</v>
      </c>
      <c r="AD2114">
        <v>0</v>
      </c>
      <c r="AE2114">
        <v>20.28</v>
      </c>
      <c r="AF2114">
        <v>0</v>
      </c>
      <c r="AG2114">
        <v>0</v>
      </c>
      <c r="AH2114">
        <v>0</v>
      </c>
      <c r="AI2114">
        <v>30.38</v>
      </c>
      <c r="AJ2114">
        <v>168.78</v>
      </c>
      <c r="AK2114">
        <v>0.01</v>
      </c>
      <c r="AL2114" t="s">
        <v>53</v>
      </c>
      <c r="AM2114" t="s">
        <v>53</v>
      </c>
      <c r="AN2114" t="s">
        <v>104</v>
      </c>
      <c r="AO2114" t="s">
        <v>53</v>
      </c>
      <c r="AP2114" t="s">
        <v>53</v>
      </c>
    </row>
    <row r="2115" spans="2:42" x14ac:dyDescent="0.2">
      <c r="B2115" t="s">
        <v>44</v>
      </c>
      <c r="C2115" t="str">
        <f>HYPERLINK("https://us2.cloudbeds.com/connect/8493803454333002#/reservations/598425948411?display=E1C5K57P&amp;reservation_id=598425948411", "E1C5K57P")</f>
        <v>E1C5K57P</v>
      </c>
      <c r="D2115" t="s">
        <v>45</v>
      </c>
      <c r="E2115" t="s">
        <v>46</v>
      </c>
      <c r="F2115" t="s">
        <v>47</v>
      </c>
      <c r="G2115" t="s">
        <v>48</v>
      </c>
      <c r="H2115" t="s">
        <v>71</v>
      </c>
      <c r="I2115" t="s">
        <v>72</v>
      </c>
      <c r="J2115" t="s">
        <v>388</v>
      </c>
      <c r="K2115" t="s">
        <v>647</v>
      </c>
      <c r="L2115" t="s">
        <v>53</v>
      </c>
      <c r="N2115" t="s">
        <v>3408</v>
      </c>
      <c r="P2115" t="s">
        <v>55</v>
      </c>
      <c r="R2115" t="s">
        <v>56</v>
      </c>
      <c r="T2115" t="s">
        <v>3409</v>
      </c>
      <c r="U2115" t="s">
        <v>58</v>
      </c>
      <c r="V2115">
        <v>1</v>
      </c>
      <c r="W2115">
        <v>1</v>
      </c>
      <c r="X2115">
        <v>1</v>
      </c>
      <c r="Y2115">
        <v>0</v>
      </c>
      <c r="Z2115">
        <v>1</v>
      </c>
      <c r="AA2115">
        <v>0</v>
      </c>
      <c r="AB2115">
        <v>164.79</v>
      </c>
      <c r="AC2115">
        <v>145</v>
      </c>
      <c r="AD2115">
        <v>0</v>
      </c>
      <c r="AE2115">
        <v>19.8</v>
      </c>
      <c r="AF2115">
        <v>0</v>
      </c>
      <c r="AG2115">
        <v>0</v>
      </c>
      <c r="AH2115">
        <v>0</v>
      </c>
      <c r="AI2115">
        <v>0</v>
      </c>
      <c r="AJ2115">
        <v>164.8</v>
      </c>
      <c r="AK2115">
        <v>0.01</v>
      </c>
      <c r="AL2115" t="s">
        <v>53</v>
      </c>
      <c r="AM2115" t="s">
        <v>53</v>
      </c>
      <c r="AN2115" t="s">
        <v>378</v>
      </c>
      <c r="AO2115" t="s">
        <v>53</v>
      </c>
      <c r="AP2115" t="s">
        <v>53</v>
      </c>
    </row>
    <row r="2116" spans="2:42" x14ac:dyDescent="0.2">
      <c r="B2116" t="s">
        <v>44</v>
      </c>
      <c r="C2116" t="str">
        <f>HYPERLINK("https://us2.cloudbeds.com/connect/8493803454333002#/reservations/579269411025?display=DJHMA8QS&amp;reservation_id=579269411025", "DJHMA8QS")</f>
        <v>DJHMA8QS</v>
      </c>
      <c r="D2116" t="s">
        <v>45</v>
      </c>
      <c r="E2116" t="s">
        <v>305</v>
      </c>
      <c r="F2116" t="s">
        <v>61</v>
      </c>
      <c r="G2116" t="s">
        <v>48</v>
      </c>
      <c r="H2116" t="s">
        <v>49</v>
      </c>
      <c r="I2116" t="s">
        <v>50</v>
      </c>
      <c r="J2116" t="s">
        <v>3080</v>
      </c>
      <c r="K2116" t="s">
        <v>1745</v>
      </c>
      <c r="L2116" t="s">
        <v>53</v>
      </c>
      <c r="N2116" t="s">
        <v>3410</v>
      </c>
      <c r="P2116" t="s">
        <v>55</v>
      </c>
      <c r="R2116" t="s">
        <v>56</v>
      </c>
      <c r="T2116" t="s">
        <v>3409</v>
      </c>
      <c r="U2116" t="s">
        <v>58</v>
      </c>
      <c r="V2116">
        <v>1</v>
      </c>
      <c r="W2116">
        <v>1</v>
      </c>
      <c r="X2116">
        <v>1</v>
      </c>
      <c r="Y2116">
        <v>0</v>
      </c>
      <c r="Z2116">
        <v>1</v>
      </c>
      <c r="AA2116">
        <v>0</v>
      </c>
      <c r="AB2116">
        <v>156.49</v>
      </c>
      <c r="AC2116">
        <v>137.69999999999999</v>
      </c>
      <c r="AD2116">
        <v>0</v>
      </c>
      <c r="AE2116">
        <v>18.79</v>
      </c>
      <c r="AF2116">
        <v>0</v>
      </c>
      <c r="AG2116">
        <v>0</v>
      </c>
      <c r="AH2116">
        <v>0</v>
      </c>
      <c r="AI2116">
        <v>28.17</v>
      </c>
      <c r="AJ2116">
        <v>156.49</v>
      </c>
      <c r="AK2116">
        <v>0</v>
      </c>
      <c r="AL2116" t="s">
        <v>53</v>
      </c>
      <c r="AM2116" t="s">
        <v>53</v>
      </c>
      <c r="AN2116" t="s">
        <v>68</v>
      </c>
      <c r="AO2116" t="s">
        <v>53</v>
      </c>
      <c r="AP2116" t="s">
        <v>53</v>
      </c>
    </row>
    <row r="2117" spans="2:42" x14ac:dyDescent="0.2">
      <c r="B2117" t="s">
        <v>44</v>
      </c>
      <c r="C2117" t="str">
        <f>HYPERLINK("https://us2.cloudbeds.com/connect/8493803454333002#/reservations/598471733390?display=E1DB76CD&amp;reservation_id=598471733390", "E1DB76CD")</f>
        <v>E1DB76CD</v>
      </c>
      <c r="D2117" t="s">
        <v>45</v>
      </c>
      <c r="E2117" t="s">
        <v>78</v>
      </c>
      <c r="F2117" t="s">
        <v>61</v>
      </c>
      <c r="G2117" t="s">
        <v>48</v>
      </c>
      <c r="H2117" t="s">
        <v>71</v>
      </c>
      <c r="I2117" t="s">
        <v>72</v>
      </c>
      <c r="J2117" t="s">
        <v>1792</v>
      </c>
      <c r="K2117" t="s">
        <v>447</v>
      </c>
      <c r="L2117" t="s">
        <v>53</v>
      </c>
      <c r="N2117" t="s">
        <v>3411</v>
      </c>
      <c r="P2117" t="s">
        <v>55</v>
      </c>
      <c r="R2117" t="s">
        <v>56</v>
      </c>
      <c r="T2117" t="s">
        <v>3409</v>
      </c>
      <c r="U2117" t="s">
        <v>58</v>
      </c>
      <c r="V2117">
        <v>2</v>
      </c>
      <c r="W2117">
        <v>1</v>
      </c>
      <c r="X2117">
        <v>1</v>
      </c>
      <c r="Y2117">
        <v>0</v>
      </c>
      <c r="Z2117">
        <v>1</v>
      </c>
      <c r="AA2117">
        <v>0</v>
      </c>
      <c r="AB2117">
        <v>375.05</v>
      </c>
      <c r="AC2117">
        <v>330</v>
      </c>
      <c r="AD2117">
        <v>0</v>
      </c>
      <c r="AE2117">
        <v>45.06</v>
      </c>
      <c r="AF2117">
        <v>0</v>
      </c>
      <c r="AG2117">
        <v>0</v>
      </c>
      <c r="AH2117">
        <v>0</v>
      </c>
      <c r="AI2117">
        <v>0</v>
      </c>
      <c r="AJ2117">
        <v>375.06</v>
      </c>
      <c r="AK2117">
        <v>0.01</v>
      </c>
      <c r="AL2117" t="s">
        <v>53</v>
      </c>
      <c r="AM2117" t="s">
        <v>53</v>
      </c>
      <c r="AN2117" t="s">
        <v>3412</v>
      </c>
      <c r="AO2117" t="s">
        <v>53</v>
      </c>
      <c r="AP2117" t="s">
        <v>53</v>
      </c>
    </row>
    <row r="2118" spans="2:42" x14ac:dyDescent="0.2">
      <c r="B2118" t="s">
        <v>44</v>
      </c>
      <c r="C2118" t="str">
        <f>HYPERLINK("https://us2.cloudbeds.com/connect/8493803454333002#/reservations/579319681233?display=DJXVN3KF&amp;reservation_id=579319681233", "DJXVN3KF")</f>
        <v>DJXVN3KF</v>
      </c>
      <c r="D2118" t="s">
        <v>602</v>
      </c>
      <c r="E2118" t="s">
        <v>53</v>
      </c>
      <c r="F2118" t="s">
        <v>70</v>
      </c>
      <c r="G2118" t="s">
        <v>48</v>
      </c>
      <c r="H2118" t="s">
        <v>71</v>
      </c>
      <c r="I2118" t="s">
        <v>72</v>
      </c>
      <c r="J2118" t="s">
        <v>3413</v>
      </c>
      <c r="K2118" t="s">
        <v>3414</v>
      </c>
      <c r="L2118" t="s">
        <v>53</v>
      </c>
      <c r="N2118" t="s">
        <v>3415</v>
      </c>
      <c r="P2118" t="s">
        <v>55</v>
      </c>
      <c r="R2118" t="s">
        <v>56</v>
      </c>
      <c r="T2118" t="s">
        <v>3409</v>
      </c>
      <c r="U2118" t="s">
        <v>58</v>
      </c>
      <c r="V2118">
        <v>3</v>
      </c>
      <c r="W2118">
        <v>1</v>
      </c>
      <c r="X2118">
        <v>1</v>
      </c>
      <c r="Y2118">
        <v>0</v>
      </c>
      <c r="Z2118">
        <v>1</v>
      </c>
      <c r="AA2118">
        <v>0</v>
      </c>
      <c r="AB2118">
        <v>0</v>
      </c>
      <c r="AC2118">
        <v>0</v>
      </c>
      <c r="AD2118">
        <v>0</v>
      </c>
      <c r="AE2118">
        <v>0</v>
      </c>
      <c r="AF2118">
        <v>0</v>
      </c>
      <c r="AG2118">
        <v>0</v>
      </c>
      <c r="AH2118">
        <v>0</v>
      </c>
      <c r="AI2118">
        <v>0</v>
      </c>
      <c r="AJ2118">
        <v>0</v>
      </c>
      <c r="AK2118">
        <v>0</v>
      </c>
      <c r="AL2118">
        <v>202</v>
      </c>
      <c r="AM2118">
        <v>0</v>
      </c>
      <c r="AN2118" t="s">
        <v>3416</v>
      </c>
      <c r="AO2118" t="s">
        <v>53</v>
      </c>
      <c r="AP2118" t="s">
        <v>53</v>
      </c>
    </row>
    <row r="2119" spans="2:42" x14ac:dyDescent="0.2">
      <c r="B2119" t="s">
        <v>44</v>
      </c>
      <c r="C2119" t="str">
        <f>HYPERLINK("https://us2.cloudbeds.com/connect/8493803454333002#/reservations/579371544706?display=DJK9E9FU&amp;reservation_id=579371544706", "DJK9E9FU")</f>
        <v>DJK9E9FU</v>
      </c>
      <c r="D2119" t="s">
        <v>45</v>
      </c>
      <c r="E2119" t="s">
        <v>3417</v>
      </c>
      <c r="F2119" t="s">
        <v>61</v>
      </c>
      <c r="G2119" t="s">
        <v>48</v>
      </c>
      <c r="H2119" t="s">
        <v>49</v>
      </c>
      <c r="I2119" t="s">
        <v>62</v>
      </c>
      <c r="J2119" t="s">
        <v>2013</v>
      </c>
      <c r="K2119" t="s">
        <v>1161</v>
      </c>
      <c r="L2119" t="s">
        <v>53</v>
      </c>
      <c r="N2119" t="s">
        <v>3418</v>
      </c>
      <c r="P2119" t="s">
        <v>58</v>
      </c>
      <c r="R2119" t="s">
        <v>56</v>
      </c>
      <c r="T2119" t="s">
        <v>3409</v>
      </c>
      <c r="U2119" t="s">
        <v>58</v>
      </c>
      <c r="V2119">
        <v>2</v>
      </c>
      <c r="W2119">
        <v>2</v>
      </c>
      <c r="X2119">
        <v>2</v>
      </c>
      <c r="Y2119">
        <v>0</v>
      </c>
      <c r="Z2119">
        <v>2</v>
      </c>
      <c r="AA2119">
        <v>0</v>
      </c>
      <c r="AB2119">
        <v>290.94</v>
      </c>
      <c r="AC2119">
        <v>256</v>
      </c>
      <c r="AD2119">
        <v>0</v>
      </c>
      <c r="AE2119">
        <v>34.94</v>
      </c>
      <c r="AF2119">
        <v>0</v>
      </c>
      <c r="AG2119">
        <v>0</v>
      </c>
      <c r="AH2119">
        <v>0</v>
      </c>
      <c r="AI2119">
        <v>43.64</v>
      </c>
      <c r="AJ2119">
        <v>290.94</v>
      </c>
      <c r="AK2119">
        <v>0</v>
      </c>
      <c r="AL2119" t="s">
        <v>53</v>
      </c>
      <c r="AM2119" t="s">
        <v>53</v>
      </c>
      <c r="AN2119" t="s">
        <v>3419</v>
      </c>
      <c r="AO2119" t="s">
        <v>53</v>
      </c>
      <c r="AP2119" t="s">
        <v>53</v>
      </c>
    </row>
    <row r="2120" spans="2:42" x14ac:dyDescent="0.2">
      <c r="B2120" t="s">
        <v>44</v>
      </c>
      <c r="C2120" t="str">
        <f>HYPERLINK("https://us2.cloudbeds.com/connect/8493803454333002#/reservations/598496342270?display=E1DVVW20&amp;reservation_id=598496342270", "E1DVVW20")</f>
        <v>E1DVVW20</v>
      </c>
      <c r="D2120" t="s">
        <v>45</v>
      </c>
      <c r="E2120" t="s">
        <v>406</v>
      </c>
      <c r="F2120" t="s">
        <v>61</v>
      </c>
      <c r="G2120" t="s">
        <v>48</v>
      </c>
      <c r="H2120" t="s">
        <v>49</v>
      </c>
      <c r="I2120" t="s">
        <v>50</v>
      </c>
      <c r="J2120" t="s">
        <v>1792</v>
      </c>
      <c r="K2120" t="s">
        <v>447</v>
      </c>
      <c r="L2120" t="s">
        <v>53</v>
      </c>
      <c r="N2120" t="s">
        <v>3420</v>
      </c>
      <c r="P2120" t="s">
        <v>55</v>
      </c>
      <c r="R2120" t="s">
        <v>56</v>
      </c>
      <c r="T2120" t="s">
        <v>3421</v>
      </c>
      <c r="U2120" t="s">
        <v>58</v>
      </c>
      <c r="V2120">
        <v>2</v>
      </c>
      <c r="W2120">
        <v>1</v>
      </c>
      <c r="X2120">
        <v>1</v>
      </c>
      <c r="Y2120">
        <v>0</v>
      </c>
      <c r="Z2120">
        <v>1</v>
      </c>
      <c r="AA2120">
        <v>0</v>
      </c>
      <c r="AB2120">
        <v>345.72</v>
      </c>
      <c r="AC2120">
        <v>304.2</v>
      </c>
      <c r="AD2120">
        <v>0</v>
      </c>
      <c r="AE2120">
        <v>41.52</v>
      </c>
      <c r="AF2120">
        <v>0</v>
      </c>
      <c r="AG2120">
        <v>0</v>
      </c>
      <c r="AH2120">
        <v>0</v>
      </c>
      <c r="AI2120">
        <v>62.23</v>
      </c>
      <c r="AJ2120">
        <v>345.72</v>
      </c>
      <c r="AK2120">
        <v>0</v>
      </c>
      <c r="AL2120" t="s">
        <v>53</v>
      </c>
      <c r="AM2120" t="s">
        <v>53</v>
      </c>
      <c r="AN2120" t="s">
        <v>127</v>
      </c>
      <c r="AO2120" t="s">
        <v>53</v>
      </c>
      <c r="AP2120" t="s">
        <v>53</v>
      </c>
    </row>
    <row r="2121" spans="2:42" x14ac:dyDescent="0.2">
      <c r="B2121" t="s">
        <v>44</v>
      </c>
      <c r="C2121" t="str">
        <f>HYPERLINK("https://us2.cloudbeds.com/connect/8493803454333002#/reservations/579324018854?display=DJJ2BQZJ&amp;reservation_id=579324018854", "DJJ2BQZJ")</f>
        <v>DJJ2BQZJ</v>
      </c>
      <c r="D2121" t="s">
        <v>45</v>
      </c>
      <c r="E2121" t="s">
        <v>305</v>
      </c>
      <c r="F2121" t="s">
        <v>61</v>
      </c>
      <c r="G2121" t="s">
        <v>48</v>
      </c>
      <c r="H2121" t="s">
        <v>49</v>
      </c>
      <c r="I2121" t="s">
        <v>50</v>
      </c>
      <c r="J2121" t="s">
        <v>505</v>
      </c>
      <c r="K2121" t="s">
        <v>1985</v>
      </c>
      <c r="L2121" t="s">
        <v>53</v>
      </c>
      <c r="N2121" t="s">
        <v>3422</v>
      </c>
      <c r="P2121" t="s">
        <v>55</v>
      </c>
      <c r="R2121" t="s">
        <v>56</v>
      </c>
      <c r="T2121" t="s">
        <v>3421</v>
      </c>
      <c r="U2121" t="s">
        <v>58</v>
      </c>
      <c r="V2121">
        <v>3</v>
      </c>
      <c r="W2121">
        <v>1</v>
      </c>
      <c r="X2121">
        <v>1</v>
      </c>
      <c r="Y2121">
        <v>0</v>
      </c>
      <c r="Z2121">
        <v>1</v>
      </c>
      <c r="AA2121">
        <v>0</v>
      </c>
      <c r="AB2121">
        <v>0</v>
      </c>
      <c r="AC2121">
        <v>-58.74</v>
      </c>
      <c r="AD2121">
        <v>0</v>
      </c>
      <c r="AE2121">
        <v>58.74</v>
      </c>
      <c r="AF2121">
        <v>0</v>
      </c>
      <c r="AG2121">
        <v>0</v>
      </c>
      <c r="AH2121">
        <v>0</v>
      </c>
      <c r="AI2121">
        <v>0</v>
      </c>
      <c r="AJ2121">
        <v>0</v>
      </c>
      <c r="AK2121">
        <v>0</v>
      </c>
      <c r="AL2121" t="s">
        <v>53</v>
      </c>
      <c r="AM2121" t="s">
        <v>53</v>
      </c>
      <c r="AN2121" t="s">
        <v>605</v>
      </c>
      <c r="AO2121" t="s">
        <v>53</v>
      </c>
      <c r="AP2121" t="s">
        <v>53</v>
      </c>
    </row>
    <row r="2122" spans="2:42" x14ac:dyDescent="0.2">
      <c r="B2122" t="s">
        <v>44</v>
      </c>
      <c r="C2122" t="str">
        <f>HYPERLINK("https://us2.cloudbeds.com/connect/8493803454333002#/reservations/598236811445?display=E17B44ZJ&amp;reservation_id=598236811445", "E17B44ZJ")</f>
        <v>E17B44ZJ</v>
      </c>
      <c r="D2122" t="s">
        <v>45</v>
      </c>
      <c r="E2122" t="s">
        <v>381</v>
      </c>
      <c r="F2122" t="s">
        <v>47</v>
      </c>
      <c r="G2122" t="s">
        <v>48</v>
      </c>
      <c r="H2122" t="s">
        <v>49</v>
      </c>
      <c r="I2122" t="s">
        <v>50</v>
      </c>
      <c r="J2122" t="s">
        <v>152</v>
      </c>
      <c r="K2122" t="s">
        <v>1473</v>
      </c>
      <c r="L2122" t="s">
        <v>53</v>
      </c>
      <c r="N2122" t="s">
        <v>3423</v>
      </c>
      <c r="P2122" t="s">
        <v>55</v>
      </c>
      <c r="R2122" t="s">
        <v>56</v>
      </c>
      <c r="T2122" t="s">
        <v>3421</v>
      </c>
      <c r="U2122" t="s">
        <v>58</v>
      </c>
      <c r="V2122">
        <v>1</v>
      </c>
      <c r="W2122">
        <v>1</v>
      </c>
      <c r="X2122">
        <v>1</v>
      </c>
      <c r="Y2122">
        <v>0</v>
      </c>
      <c r="Z2122">
        <v>1</v>
      </c>
      <c r="AA2122">
        <v>0</v>
      </c>
      <c r="AB2122">
        <v>140.63999999999999</v>
      </c>
      <c r="AC2122">
        <v>123.75</v>
      </c>
      <c r="AD2122">
        <v>0</v>
      </c>
      <c r="AE2122">
        <v>16.899999999999999</v>
      </c>
      <c r="AF2122">
        <v>0</v>
      </c>
      <c r="AG2122">
        <v>0</v>
      </c>
      <c r="AH2122">
        <v>0</v>
      </c>
      <c r="AI2122">
        <v>25.32</v>
      </c>
      <c r="AJ2122">
        <v>140.65</v>
      </c>
      <c r="AK2122">
        <v>0.01</v>
      </c>
      <c r="AL2122" t="s">
        <v>53</v>
      </c>
      <c r="AM2122" t="s">
        <v>53</v>
      </c>
      <c r="AN2122" t="s">
        <v>3424</v>
      </c>
      <c r="AO2122" t="s">
        <v>53</v>
      </c>
      <c r="AP2122" t="s">
        <v>53</v>
      </c>
    </row>
    <row r="2123" spans="2:42" x14ac:dyDescent="0.2">
      <c r="B2123" t="s">
        <v>44</v>
      </c>
      <c r="C2123" t="str">
        <f>HYPERLINK("https://us2.cloudbeds.com/connect/8493803454333002#/reservations/579231559813?display=DJGND01E&amp;reservation_id=579231559813", "DJGND01E")</f>
        <v>DJGND01E</v>
      </c>
      <c r="D2123" t="s">
        <v>45</v>
      </c>
      <c r="E2123" t="s">
        <v>78</v>
      </c>
      <c r="F2123" t="s">
        <v>61</v>
      </c>
      <c r="G2123" t="s">
        <v>48</v>
      </c>
      <c r="H2123" t="s">
        <v>49</v>
      </c>
      <c r="I2123" t="s">
        <v>79</v>
      </c>
      <c r="J2123" t="s">
        <v>1862</v>
      </c>
      <c r="K2123" t="s">
        <v>1863</v>
      </c>
      <c r="L2123" t="s">
        <v>53</v>
      </c>
      <c r="N2123" t="s">
        <v>3425</v>
      </c>
      <c r="P2123" t="s">
        <v>55</v>
      </c>
      <c r="R2123" t="s">
        <v>56</v>
      </c>
      <c r="T2123" t="s">
        <v>3421</v>
      </c>
      <c r="U2123" t="s">
        <v>58</v>
      </c>
      <c r="V2123">
        <v>2</v>
      </c>
      <c r="W2123">
        <v>1</v>
      </c>
      <c r="X2123">
        <v>1</v>
      </c>
      <c r="Y2123">
        <v>0</v>
      </c>
      <c r="Z2123">
        <v>1</v>
      </c>
      <c r="AA2123">
        <v>0</v>
      </c>
      <c r="AB2123">
        <v>320.14</v>
      </c>
      <c r="AC2123">
        <v>281.7</v>
      </c>
      <c r="AD2123">
        <v>0</v>
      </c>
      <c r="AE2123">
        <v>38.44</v>
      </c>
      <c r="AF2123">
        <v>0</v>
      </c>
      <c r="AG2123">
        <v>0</v>
      </c>
      <c r="AH2123">
        <v>0</v>
      </c>
      <c r="AI2123">
        <v>0</v>
      </c>
      <c r="AJ2123">
        <v>320.14</v>
      </c>
      <c r="AK2123">
        <v>0</v>
      </c>
      <c r="AL2123" t="s">
        <v>53</v>
      </c>
      <c r="AM2123" t="s">
        <v>53</v>
      </c>
      <c r="AN2123" t="s">
        <v>413</v>
      </c>
      <c r="AO2123" t="s">
        <v>53</v>
      </c>
      <c r="AP2123" t="s">
        <v>53</v>
      </c>
    </row>
    <row r="2124" spans="2:42" x14ac:dyDescent="0.2">
      <c r="B2124" t="s">
        <v>44</v>
      </c>
      <c r="C2124" t="str">
        <f>HYPERLINK("https://us2.cloudbeds.com/connect/8493803454333002#/reservations/598498734268?display=E1E0WHXR&amp;reservation_id=598498734268", "E1E0WHXR")</f>
        <v>E1E0WHXR</v>
      </c>
      <c r="D2124" t="s">
        <v>45</v>
      </c>
      <c r="E2124" t="s">
        <v>381</v>
      </c>
      <c r="F2124" t="s">
        <v>47</v>
      </c>
      <c r="G2124" t="s">
        <v>48</v>
      </c>
      <c r="H2124" t="s">
        <v>49</v>
      </c>
      <c r="I2124" t="s">
        <v>50</v>
      </c>
      <c r="J2124" t="s">
        <v>94</v>
      </c>
      <c r="K2124" t="s">
        <v>152</v>
      </c>
      <c r="L2124" t="s">
        <v>53</v>
      </c>
      <c r="N2124" t="s">
        <v>3426</v>
      </c>
      <c r="P2124" t="s">
        <v>55</v>
      </c>
      <c r="R2124" t="s">
        <v>56</v>
      </c>
      <c r="T2124" t="s">
        <v>3421</v>
      </c>
      <c r="U2124" t="s">
        <v>58</v>
      </c>
      <c r="V2124">
        <v>1</v>
      </c>
      <c r="W2124">
        <v>1</v>
      </c>
      <c r="X2124">
        <v>1</v>
      </c>
      <c r="Y2124">
        <v>0</v>
      </c>
      <c r="Z2124">
        <v>1</v>
      </c>
      <c r="AA2124">
        <v>0</v>
      </c>
      <c r="AB2124">
        <v>155.97999999999999</v>
      </c>
      <c r="AC2124">
        <v>137.25</v>
      </c>
      <c r="AD2124">
        <v>0</v>
      </c>
      <c r="AE2124">
        <v>18.739999999999998</v>
      </c>
      <c r="AF2124">
        <v>0</v>
      </c>
      <c r="AG2124">
        <v>0</v>
      </c>
      <c r="AH2124">
        <v>0</v>
      </c>
      <c r="AI2124">
        <v>28.08</v>
      </c>
      <c r="AJ2124">
        <v>155.99</v>
      </c>
      <c r="AK2124">
        <v>0.01</v>
      </c>
      <c r="AL2124" t="s">
        <v>53</v>
      </c>
      <c r="AM2124" t="s">
        <v>53</v>
      </c>
      <c r="AN2124" t="s">
        <v>3427</v>
      </c>
      <c r="AO2124" t="s">
        <v>53</v>
      </c>
      <c r="AP2124" t="s">
        <v>53</v>
      </c>
    </row>
    <row r="2125" spans="2:42" x14ac:dyDescent="0.2">
      <c r="B2125" t="s">
        <v>44</v>
      </c>
      <c r="C2125" t="str">
        <f>HYPERLINK("https://us2.cloudbeds.com/connect/8493803454333002#/reservations/598630256828?display=E1HCTB8V&amp;reservation_id=598630256828", "E1HCTB8V")</f>
        <v>E1HCTB8V</v>
      </c>
      <c r="D2125" t="s">
        <v>45</v>
      </c>
      <c r="E2125" t="s">
        <v>185</v>
      </c>
      <c r="F2125" t="s">
        <v>47</v>
      </c>
      <c r="G2125" t="s">
        <v>48</v>
      </c>
      <c r="H2125" t="s">
        <v>49</v>
      </c>
      <c r="I2125" t="s">
        <v>50</v>
      </c>
      <c r="J2125" t="s">
        <v>1568</v>
      </c>
      <c r="K2125" t="s">
        <v>93</v>
      </c>
      <c r="L2125" t="s">
        <v>53</v>
      </c>
      <c r="N2125" t="s">
        <v>3428</v>
      </c>
      <c r="P2125" t="s">
        <v>55</v>
      </c>
      <c r="R2125" t="s">
        <v>56</v>
      </c>
      <c r="T2125" t="s">
        <v>3421</v>
      </c>
      <c r="U2125" t="s">
        <v>58</v>
      </c>
      <c r="V2125">
        <v>1</v>
      </c>
      <c r="W2125">
        <v>1</v>
      </c>
      <c r="X2125">
        <v>1</v>
      </c>
      <c r="Y2125">
        <v>0</v>
      </c>
      <c r="Z2125">
        <v>1</v>
      </c>
      <c r="AA2125">
        <v>0</v>
      </c>
      <c r="AB2125">
        <v>166.72</v>
      </c>
      <c r="AC2125">
        <v>146.69999999999999</v>
      </c>
      <c r="AD2125">
        <v>0</v>
      </c>
      <c r="AE2125">
        <v>20.010000000000002</v>
      </c>
      <c r="AF2125">
        <v>0</v>
      </c>
      <c r="AG2125">
        <v>0</v>
      </c>
      <c r="AH2125">
        <v>0</v>
      </c>
      <c r="AI2125">
        <v>30.01</v>
      </c>
      <c r="AJ2125">
        <v>166.71</v>
      </c>
      <c r="AK2125">
        <v>-0.01</v>
      </c>
      <c r="AL2125" t="s">
        <v>53</v>
      </c>
      <c r="AM2125" t="s">
        <v>53</v>
      </c>
      <c r="AN2125" t="s">
        <v>198</v>
      </c>
      <c r="AO2125" t="s">
        <v>53</v>
      </c>
      <c r="AP2125" t="s">
        <v>53</v>
      </c>
    </row>
    <row r="2126" spans="2:42" x14ac:dyDescent="0.2">
      <c r="B2126" t="s">
        <v>44</v>
      </c>
      <c r="C2126" t="str">
        <f>HYPERLINK("https://us2.cloudbeds.com/connect/8493803454333002#/reservations/598400233662?display=E1BGUK1W&amp;reservation_id=598400233662", "E1BGUK1W")</f>
        <v>E1BGUK1W</v>
      </c>
      <c r="D2126" t="s">
        <v>45</v>
      </c>
      <c r="E2126" t="s">
        <v>185</v>
      </c>
      <c r="F2126" t="s">
        <v>47</v>
      </c>
      <c r="G2126" t="s">
        <v>48</v>
      </c>
      <c r="H2126" t="s">
        <v>49</v>
      </c>
      <c r="I2126" t="s">
        <v>50</v>
      </c>
      <c r="J2126" t="s">
        <v>152</v>
      </c>
      <c r="K2126" t="s">
        <v>1473</v>
      </c>
      <c r="L2126" t="s">
        <v>53</v>
      </c>
      <c r="N2126" t="s">
        <v>3429</v>
      </c>
      <c r="P2126" t="s">
        <v>55</v>
      </c>
      <c r="R2126" t="s">
        <v>56</v>
      </c>
      <c r="T2126" t="s">
        <v>3421</v>
      </c>
      <c r="U2126" t="s">
        <v>58</v>
      </c>
      <c r="V2126">
        <v>1</v>
      </c>
      <c r="W2126">
        <v>1</v>
      </c>
      <c r="X2126">
        <v>1</v>
      </c>
      <c r="Y2126">
        <v>0</v>
      </c>
      <c r="Z2126">
        <v>1</v>
      </c>
      <c r="AA2126">
        <v>0</v>
      </c>
      <c r="AB2126">
        <v>140.63999999999999</v>
      </c>
      <c r="AC2126">
        <v>123.75</v>
      </c>
      <c r="AD2126">
        <v>0</v>
      </c>
      <c r="AE2126">
        <v>16.899999999999999</v>
      </c>
      <c r="AF2126">
        <v>0</v>
      </c>
      <c r="AG2126">
        <v>0</v>
      </c>
      <c r="AH2126">
        <v>0</v>
      </c>
      <c r="AI2126">
        <v>25.32</v>
      </c>
      <c r="AJ2126">
        <v>140.65</v>
      </c>
      <c r="AK2126">
        <v>0.01</v>
      </c>
      <c r="AL2126" t="s">
        <v>53</v>
      </c>
      <c r="AM2126" t="s">
        <v>53</v>
      </c>
      <c r="AN2126" t="s">
        <v>545</v>
      </c>
      <c r="AO2126" t="s">
        <v>53</v>
      </c>
      <c r="AP2126" t="s">
        <v>53</v>
      </c>
    </row>
    <row r="2127" spans="2:42" x14ac:dyDescent="0.2">
      <c r="B2127" t="s">
        <v>44</v>
      </c>
      <c r="C2127" t="str">
        <f>HYPERLINK("https://us2.cloudbeds.com/connect/8493803454333002#/reservations/579263365270?display=DJHH7156&amp;reservation_id=579263365270", "DJHH7156")</f>
        <v>DJHH7156</v>
      </c>
      <c r="D2127" t="s">
        <v>45</v>
      </c>
      <c r="E2127" t="s">
        <v>78</v>
      </c>
      <c r="F2127" t="s">
        <v>61</v>
      </c>
      <c r="G2127" t="s">
        <v>48</v>
      </c>
      <c r="H2127" t="s">
        <v>49</v>
      </c>
      <c r="I2127" t="s">
        <v>79</v>
      </c>
      <c r="J2127" t="s">
        <v>1141</v>
      </c>
      <c r="K2127" t="s">
        <v>1450</v>
      </c>
      <c r="L2127" t="s">
        <v>53</v>
      </c>
      <c r="N2127" t="s">
        <v>3430</v>
      </c>
      <c r="P2127" t="s">
        <v>55</v>
      </c>
      <c r="R2127" t="s">
        <v>56</v>
      </c>
      <c r="T2127" t="s">
        <v>3421</v>
      </c>
      <c r="U2127" t="s">
        <v>58</v>
      </c>
      <c r="V2127">
        <v>1</v>
      </c>
      <c r="W2127">
        <v>1</v>
      </c>
      <c r="X2127">
        <v>1</v>
      </c>
      <c r="Y2127">
        <v>0</v>
      </c>
      <c r="Z2127">
        <v>1</v>
      </c>
      <c r="AA2127">
        <v>0</v>
      </c>
      <c r="AB2127">
        <v>306.88</v>
      </c>
      <c r="AC2127">
        <v>270</v>
      </c>
      <c r="AD2127">
        <v>0</v>
      </c>
      <c r="AE2127">
        <v>36.880000000000003</v>
      </c>
      <c r="AF2127">
        <v>0</v>
      </c>
      <c r="AG2127">
        <v>135</v>
      </c>
      <c r="AH2127">
        <v>0</v>
      </c>
      <c r="AI2127">
        <v>0</v>
      </c>
      <c r="AJ2127">
        <v>306.88</v>
      </c>
      <c r="AK2127">
        <v>0</v>
      </c>
      <c r="AL2127" t="s">
        <v>53</v>
      </c>
      <c r="AM2127" t="s">
        <v>53</v>
      </c>
      <c r="AN2127" t="s">
        <v>3431</v>
      </c>
      <c r="AO2127" t="s">
        <v>53</v>
      </c>
      <c r="AP2127" t="s">
        <v>53</v>
      </c>
    </row>
    <row r="2128" spans="2:42" x14ac:dyDescent="0.2">
      <c r="B2128" t="s">
        <v>44</v>
      </c>
      <c r="C2128" t="str">
        <f>HYPERLINK("https://us2.cloudbeds.com/connect/8493803454333002#/reservations/579271188706?display=DJHNQZ70&amp;reservation_id=579271188706", "DJHNQZ70")</f>
        <v>DJHNQZ70</v>
      </c>
      <c r="D2128" t="s">
        <v>45</v>
      </c>
      <c r="E2128" t="s">
        <v>373</v>
      </c>
      <c r="F2128" t="s">
        <v>47</v>
      </c>
      <c r="G2128" t="s">
        <v>48</v>
      </c>
      <c r="H2128" t="s">
        <v>49</v>
      </c>
      <c r="I2128" t="s">
        <v>79</v>
      </c>
      <c r="J2128" t="s">
        <v>1902</v>
      </c>
      <c r="K2128" t="s">
        <v>1903</v>
      </c>
      <c r="L2128" t="s">
        <v>53</v>
      </c>
      <c r="N2128" t="s">
        <v>3432</v>
      </c>
      <c r="P2128" t="s">
        <v>55</v>
      </c>
      <c r="R2128" t="s">
        <v>56</v>
      </c>
      <c r="T2128" t="s">
        <v>3421</v>
      </c>
      <c r="U2128" t="s">
        <v>58</v>
      </c>
      <c r="V2128">
        <v>1</v>
      </c>
      <c r="W2128">
        <v>1</v>
      </c>
      <c r="X2128">
        <v>1</v>
      </c>
      <c r="Y2128">
        <v>0</v>
      </c>
      <c r="Z2128">
        <v>1</v>
      </c>
      <c r="AA2128">
        <v>0</v>
      </c>
      <c r="AB2128">
        <v>149.34</v>
      </c>
      <c r="AC2128">
        <v>131.4</v>
      </c>
      <c r="AD2128">
        <v>0</v>
      </c>
      <c r="AE2128">
        <v>17.940000000000001</v>
      </c>
      <c r="AF2128">
        <v>0</v>
      </c>
      <c r="AG2128">
        <v>0</v>
      </c>
      <c r="AH2128">
        <v>0</v>
      </c>
      <c r="AI2128">
        <v>0</v>
      </c>
      <c r="AJ2128">
        <v>149.34</v>
      </c>
      <c r="AK2128">
        <v>0</v>
      </c>
      <c r="AL2128" t="s">
        <v>53</v>
      </c>
      <c r="AM2128" t="s">
        <v>53</v>
      </c>
      <c r="AN2128" t="s">
        <v>68</v>
      </c>
      <c r="AO2128" t="s">
        <v>53</v>
      </c>
      <c r="AP2128" t="s">
        <v>53</v>
      </c>
    </row>
    <row r="2129" spans="2:42" x14ac:dyDescent="0.2">
      <c r="B2129" t="s">
        <v>44</v>
      </c>
      <c r="C2129" t="str">
        <f>HYPERLINK("https://us2.cloudbeds.com/connect/8493803454333002#/reservations/579401126105?display=DJY1CE9V&amp;reservation_id=579401126105", "DJY1CE9V")</f>
        <v>DJY1CE9V</v>
      </c>
      <c r="D2129" t="s">
        <v>45</v>
      </c>
      <c r="E2129" t="s">
        <v>213</v>
      </c>
      <c r="F2129" t="s">
        <v>86</v>
      </c>
      <c r="G2129" t="s">
        <v>48</v>
      </c>
      <c r="H2129" t="s">
        <v>49</v>
      </c>
      <c r="I2129" t="s">
        <v>50</v>
      </c>
      <c r="J2129" t="s">
        <v>3000</v>
      </c>
      <c r="K2129" t="s">
        <v>1458</v>
      </c>
      <c r="L2129" t="s">
        <v>53</v>
      </c>
      <c r="N2129" t="s">
        <v>3433</v>
      </c>
      <c r="P2129" t="s">
        <v>55</v>
      </c>
      <c r="R2129" t="s">
        <v>56</v>
      </c>
      <c r="T2129" t="s">
        <v>3421</v>
      </c>
      <c r="U2129" t="s">
        <v>58</v>
      </c>
      <c r="V2129">
        <v>2</v>
      </c>
      <c r="W2129">
        <v>1</v>
      </c>
      <c r="X2129">
        <v>1</v>
      </c>
      <c r="Y2129">
        <v>0</v>
      </c>
      <c r="Z2129">
        <v>1</v>
      </c>
      <c r="AA2129">
        <v>0</v>
      </c>
      <c r="AB2129">
        <v>257.76</v>
      </c>
      <c r="AC2129">
        <v>226.8</v>
      </c>
      <c r="AD2129">
        <v>0</v>
      </c>
      <c r="AE2129">
        <v>30.96</v>
      </c>
      <c r="AF2129">
        <v>0</v>
      </c>
      <c r="AG2129">
        <v>0</v>
      </c>
      <c r="AH2129">
        <v>0</v>
      </c>
      <c r="AI2129">
        <v>46.4</v>
      </c>
      <c r="AJ2129">
        <v>257.76</v>
      </c>
      <c r="AK2129">
        <v>0</v>
      </c>
      <c r="AL2129" t="s">
        <v>53</v>
      </c>
      <c r="AM2129" t="s">
        <v>53</v>
      </c>
      <c r="AN2129" t="s">
        <v>146</v>
      </c>
      <c r="AO2129" t="s">
        <v>53</v>
      </c>
      <c r="AP2129" t="s">
        <v>53</v>
      </c>
    </row>
    <row r="2130" spans="2:42" x14ac:dyDescent="0.2">
      <c r="B2130" t="s">
        <v>44</v>
      </c>
      <c r="C2130" t="str">
        <f>HYPERLINK("https://us2.cloudbeds.com/connect/8493803454333002#/reservations/579273396358?display=DJHPM5EH&amp;reservation_id=579273396358", "DJHPM5EH")</f>
        <v>DJHPM5EH</v>
      </c>
      <c r="D2130" t="s">
        <v>45</v>
      </c>
      <c r="E2130" t="s">
        <v>381</v>
      </c>
      <c r="F2130" t="s">
        <v>47</v>
      </c>
      <c r="G2130" t="s">
        <v>48</v>
      </c>
      <c r="H2130" t="s">
        <v>49</v>
      </c>
      <c r="I2130" t="s">
        <v>266</v>
      </c>
      <c r="J2130" t="s">
        <v>1337</v>
      </c>
      <c r="K2130" t="s">
        <v>2062</v>
      </c>
      <c r="L2130" t="s">
        <v>53</v>
      </c>
      <c r="N2130" t="s">
        <v>3434</v>
      </c>
      <c r="P2130" t="s">
        <v>55</v>
      </c>
      <c r="R2130" t="s">
        <v>56</v>
      </c>
      <c r="T2130" t="s">
        <v>3421</v>
      </c>
      <c r="U2130" t="s">
        <v>58</v>
      </c>
      <c r="V2130">
        <v>1</v>
      </c>
      <c r="W2130">
        <v>1</v>
      </c>
      <c r="X2130">
        <v>1</v>
      </c>
      <c r="Y2130">
        <v>0</v>
      </c>
      <c r="Z2130">
        <v>1</v>
      </c>
      <c r="AA2130">
        <v>0</v>
      </c>
      <c r="AB2130">
        <v>122.74</v>
      </c>
      <c r="AC2130">
        <v>108</v>
      </c>
      <c r="AD2130">
        <v>0</v>
      </c>
      <c r="AE2130">
        <v>14.74</v>
      </c>
      <c r="AF2130">
        <v>0</v>
      </c>
      <c r="AG2130">
        <v>0</v>
      </c>
      <c r="AH2130">
        <v>0</v>
      </c>
      <c r="AI2130">
        <v>0</v>
      </c>
      <c r="AJ2130">
        <v>122.74</v>
      </c>
      <c r="AK2130">
        <v>0</v>
      </c>
      <c r="AL2130" t="s">
        <v>53</v>
      </c>
      <c r="AM2130" t="s">
        <v>53</v>
      </c>
      <c r="AN2130" t="s">
        <v>245</v>
      </c>
      <c r="AO2130" t="s">
        <v>53</v>
      </c>
      <c r="AP2130" t="s">
        <v>53</v>
      </c>
    </row>
    <row r="2131" spans="2:42" x14ac:dyDescent="0.2">
      <c r="B2131" t="s">
        <v>44</v>
      </c>
      <c r="C2131" t="str">
        <f>HYPERLINK("https://us2.cloudbeds.com/connect/8493803454333002#/reservations/598183764126?display=E15WD0Q2&amp;reservation_id=598183764126", "E15WD0Q2")</f>
        <v>E15WD0Q2</v>
      </c>
      <c r="D2131" t="s">
        <v>45</v>
      </c>
      <c r="E2131" t="s">
        <v>381</v>
      </c>
      <c r="F2131" t="s">
        <v>47</v>
      </c>
      <c r="G2131" t="s">
        <v>48</v>
      </c>
      <c r="H2131" t="s">
        <v>49</v>
      </c>
      <c r="I2131" t="s">
        <v>79</v>
      </c>
      <c r="J2131" t="s">
        <v>93</v>
      </c>
      <c r="K2131" t="s">
        <v>1822</v>
      </c>
      <c r="L2131" t="s">
        <v>53</v>
      </c>
      <c r="N2131" t="s">
        <v>3435</v>
      </c>
      <c r="P2131" t="s">
        <v>55</v>
      </c>
      <c r="R2131" t="s">
        <v>56</v>
      </c>
      <c r="T2131" t="s">
        <v>3421</v>
      </c>
      <c r="U2131" t="s">
        <v>58</v>
      </c>
      <c r="V2131">
        <v>1</v>
      </c>
      <c r="W2131">
        <v>1</v>
      </c>
      <c r="X2131">
        <v>1</v>
      </c>
      <c r="Y2131">
        <v>0</v>
      </c>
      <c r="Z2131">
        <v>1</v>
      </c>
      <c r="AA2131">
        <v>0</v>
      </c>
      <c r="AB2131">
        <v>166.72</v>
      </c>
      <c r="AC2131">
        <v>146.69999999999999</v>
      </c>
      <c r="AD2131">
        <v>0</v>
      </c>
      <c r="AE2131">
        <v>20.010000000000002</v>
      </c>
      <c r="AF2131">
        <v>0</v>
      </c>
      <c r="AG2131">
        <v>0</v>
      </c>
      <c r="AH2131">
        <v>0</v>
      </c>
      <c r="AI2131">
        <v>0</v>
      </c>
      <c r="AJ2131">
        <v>166.71</v>
      </c>
      <c r="AK2131">
        <v>-0.01</v>
      </c>
      <c r="AL2131" t="s">
        <v>53</v>
      </c>
      <c r="AM2131" t="s">
        <v>53</v>
      </c>
      <c r="AN2131" t="s">
        <v>245</v>
      </c>
      <c r="AO2131" t="s">
        <v>53</v>
      </c>
      <c r="AP2131" t="s">
        <v>53</v>
      </c>
    </row>
    <row r="2132" spans="2:42" x14ac:dyDescent="0.2">
      <c r="B2132" t="s">
        <v>44</v>
      </c>
      <c r="C2132" t="str">
        <f>HYPERLINK("https://us2.cloudbeds.com/connect/8493803454333002#/reservations/598597370087?display=E1GX5780&amp;reservation_id=598597370087", "E1GX5780")</f>
        <v>E1GX5780</v>
      </c>
      <c r="D2132" t="s">
        <v>45</v>
      </c>
      <c r="E2132" t="s">
        <v>487</v>
      </c>
      <c r="F2132" t="s">
        <v>61</v>
      </c>
      <c r="G2132" t="s">
        <v>48</v>
      </c>
      <c r="H2132" t="s">
        <v>49</v>
      </c>
      <c r="I2132" t="s">
        <v>50</v>
      </c>
      <c r="J2132" t="s">
        <v>152</v>
      </c>
      <c r="K2132" t="s">
        <v>1750</v>
      </c>
      <c r="L2132" t="s">
        <v>53</v>
      </c>
      <c r="N2132" t="s">
        <v>3436</v>
      </c>
      <c r="P2132" t="s">
        <v>55</v>
      </c>
      <c r="R2132" t="s">
        <v>56</v>
      </c>
      <c r="T2132" t="s">
        <v>3421</v>
      </c>
      <c r="U2132" t="s">
        <v>58</v>
      </c>
      <c r="V2132">
        <v>2</v>
      </c>
      <c r="W2132">
        <v>1</v>
      </c>
      <c r="X2132">
        <v>1</v>
      </c>
      <c r="Y2132">
        <v>0</v>
      </c>
      <c r="Z2132">
        <v>1</v>
      </c>
      <c r="AA2132">
        <v>0</v>
      </c>
      <c r="AB2132">
        <v>322.2</v>
      </c>
      <c r="AC2132">
        <v>283.5</v>
      </c>
      <c r="AD2132">
        <v>0</v>
      </c>
      <c r="AE2132">
        <v>38.700000000000003</v>
      </c>
      <c r="AF2132">
        <v>0</v>
      </c>
      <c r="AG2132">
        <v>0</v>
      </c>
      <c r="AH2132">
        <v>0</v>
      </c>
      <c r="AI2132">
        <v>58</v>
      </c>
      <c r="AJ2132">
        <v>322.2</v>
      </c>
      <c r="AK2132">
        <v>0</v>
      </c>
      <c r="AL2132" t="s">
        <v>53</v>
      </c>
      <c r="AM2132" t="s">
        <v>53</v>
      </c>
      <c r="AN2132" t="s">
        <v>252</v>
      </c>
      <c r="AO2132" t="s">
        <v>53</v>
      </c>
      <c r="AP2132" t="s">
        <v>53</v>
      </c>
    </row>
    <row r="2133" spans="2:42" x14ac:dyDescent="0.2">
      <c r="B2133" t="s">
        <v>44</v>
      </c>
      <c r="C2133" t="str">
        <f>HYPERLINK("https://us2.cloudbeds.com/connect/8493803454333002#/reservations/598571282669?display=E1FT59S7&amp;reservation_id=598571282669", "E1FT59S7")</f>
        <v>E1FT59S7</v>
      </c>
      <c r="D2133" t="s">
        <v>45</v>
      </c>
      <c r="E2133" t="s">
        <v>113</v>
      </c>
      <c r="F2133" t="s">
        <v>61</v>
      </c>
      <c r="G2133" t="s">
        <v>48</v>
      </c>
      <c r="H2133" t="s">
        <v>71</v>
      </c>
      <c r="I2133" t="s">
        <v>72</v>
      </c>
      <c r="J2133" t="s">
        <v>93</v>
      </c>
      <c r="K2133" t="s">
        <v>1822</v>
      </c>
      <c r="L2133" t="s">
        <v>53</v>
      </c>
      <c r="N2133" t="s">
        <v>3437</v>
      </c>
      <c r="P2133" t="s">
        <v>55</v>
      </c>
      <c r="R2133" t="s">
        <v>56</v>
      </c>
      <c r="T2133" t="s">
        <v>3438</v>
      </c>
      <c r="U2133" t="s">
        <v>58</v>
      </c>
      <c r="V2133">
        <v>1</v>
      </c>
      <c r="W2133">
        <v>1</v>
      </c>
      <c r="X2133">
        <v>1</v>
      </c>
      <c r="Y2133">
        <v>0</v>
      </c>
      <c r="Z2133">
        <v>1</v>
      </c>
      <c r="AA2133">
        <v>0</v>
      </c>
      <c r="AB2133">
        <v>187.52</v>
      </c>
      <c r="AC2133">
        <v>165</v>
      </c>
      <c r="AD2133">
        <v>0</v>
      </c>
      <c r="AE2133">
        <v>22.53</v>
      </c>
      <c r="AF2133">
        <v>0</v>
      </c>
      <c r="AG2133">
        <v>0</v>
      </c>
      <c r="AH2133">
        <v>0</v>
      </c>
      <c r="AI2133">
        <v>0</v>
      </c>
      <c r="AJ2133">
        <v>187.53</v>
      </c>
      <c r="AK2133">
        <v>0.01</v>
      </c>
      <c r="AL2133" t="s">
        <v>53</v>
      </c>
      <c r="AM2133" t="s">
        <v>53</v>
      </c>
      <c r="AN2133" t="s">
        <v>3439</v>
      </c>
      <c r="AO2133" t="s">
        <v>53</v>
      </c>
      <c r="AP2133" t="s">
        <v>53</v>
      </c>
    </row>
    <row r="2134" spans="2:42" x14ac:dyDescent="0.2">
      <c r="B2134" t="s">
        <v>44</v>
      </c>
      <c r="C2134" t="str">
        <f>HYPERLINK("https://us2.cloudbeds.com/connect/8493803454333002#/reservations/598606110920?display=E1GPHENP&amp;reservation_id=598606110920", "E1GPHENP")</f>
        <v>E1GPHENP</v>
      </c>
      <c r="D2134" t="s">
        <v>45</v>
      </c>
      <c r="E2134" t="s">
        <v>92</v>
      </c>
      <c r="F2134" t="s">
        <v>86</v>
      </c>
      <c r="G2134" t="s">
        <v>48</v>
      </c>
      <c r="H2134" t="s">
        <v>49</v>
      </c>
      <c r="I2134" t="s">
        <v>62</v>
      </c>
      <c r="J2134" t="s">
        <v>152</v>
      </c>
      <c r="K2134" t="s">
        <v>1473</v>
      </c>
      <c r="L2134" t="s">
        <v>53</v>
      </c>
      <c r="N2134" t="s">
        <v>3440</v>
      </c>
      <c r="P2134" t="s">
        <v>55</v>
      </c>
      <c r="R2134" t="s">
        <v>56</v>
      </c>
      <c r="T2134" t="s">
        <v>3438</v>
      </c>
      <c r="U2134" t="s">
        <v>58</v>
      </c>
      <c r="V2134">
        <v>1</v>
      </c>
      <c r="W2134">
        <v>1</v>
      </c>
      <c r="X2134">
        <v>1</v>
      </c>
      <c r="Y2134">
        <v>0</v>
      </c>
      <c r="Z2134">
        <v>1</v>
      </c>
      <c r="AA2134">
        <v>0</v>
      </c>
      <c r="AB2134">
        <v>179</v>
      </c>
      <c r="AC2134">
        <v>157.5</v>
      </c>
      <c r="AD2134">
        <v>0</v>
      </c>
      <c r="AE2134">
        <v>21.5</v>
      </c>
      <c r="AF2134">
        <v>0</v>
      </c>
      <c r="AG2134">
        <v>0</v>
      </c>
      <c r="AH2134">
        <v>0</v>
      </c>
      <c r="AI2134">
        <v>26.85</v>
      </c>
      <c r="AJ2134">
        <v>179</v>
      </c>
      <c r="AK2134">
        <v>0</v>
      </c>
      <c r="AL2134" t="s">
        <v>53</v>
      </c>
      <c r="AM2134" t="s">
        <v>53</v>
      </c>
      <c r="AN2134" t="s">
        <v>112</v>
      </c>
      <c r="AO2134" t="s">
        <v>53</v>
      </c>
      <c r="AP2134" t="s">
        <v>53</v>
      </c>
    </row>
    <row r="2135" spans="2:42" x14ac:dyDescent="0.2">
      <c r="B2135" t="s">
        <v>44</v>
      </c>
      <c r="C2135" t="str">
        <f>HYPERLINK("https://us2.cloudbeds.com/connect/8493803454333002#/reservations/579272757474?display=DJHP4CPD&amp;reservation_id=579272757474", "DJHP4CPD")</f>
        <v>DJHP4CPD</v>
      </c>
      <c r="D2135" t="s">
        <v>45</v>
      </c>
      <c r="E2135" t="s">
        <v>78</v>
      </c>
      <c r="F2135" t="s">
        <v>61</v>
      </c>
      <c r="G2135" t="s">
        <v>48</v>
      </c>
      <c r="H2135" t="s">
        <v>49</v>
      </c>
      <c r="I2135" t="s">
        <v>50</v>
      </c>
      <c r="J2135" t="s">
        <v>3104</v>
      </c>
      <c r="K2135" t="s">
        <v>1610</v>
      </c>
      <c r="L2135" t="s">
        <v>53</v>
      </c>
      <c r="N2135" t="s">
        <v>3441</v>
      </c>
      <c r="P2135" t="s">
        <v>55</v>
      </c>
      <c r="R2135" t="s">
        <v>56</v>
      </c>
      <c r="T2135" t="s">
        <v>3438</v>
      </c>
      <c r="U2135" t="s">
        <v>58</v>
      </c>
      <c r="V2135">
        <v>1</v>
      </c>
      <c r="W2135">
        <v>1</v>
      </c>
      <c r="X2135">
        <v>1</v>
      </c>
      <c r="Y2135">
        <v>0</v>
      </c>
      <c r="Z2135">
        <v>1</v>
      </c>
      <c r="AA2135">
        <v>0</v>
      </c>
      <c r="AB2135">
        <v>156.49</v>
      </c>
      <c r="AC2135">
        <v>137.69999999999999</v>
      </c>
      <c r="AD2135">
        <v>0</v>
      </c>
      <c r="AE2135">
        <v>18.79</v>
      </c>
      <c r="AF2135">
        <v>0</v>
      </c>
      <c r="AG2135">
        <v>0</v>
      </c>
      <c r="AH2135">
        <v>0</v>
      </c>
      <c r="AI2135">
        <v>28.17</v>
      </c>
      <c r="AJ2135">
        <v>156.49</v>
      </c>
      <c r="AK2135">
        <v>0</v>
      </c>
      <c r="AL2135" t="s">
        <v>53</v>
      </c>
      <c r="AM2135" t="s">
        <v>53</v>
      </c>
      <c r="AN2135" t="s">
        <v>142</v>
      </c>
      <c r="AO2135" t="s">
        <v>53</v>
      </c>
      <c r="AP2135" t="s">
        <v>53</v>
      </c>
    </row>
    <row r="2136" spans="2:42" x14ac:dyDescent="0.2">
      <c r="B2136" t="s">
        <v>44</v>
      </c>
      <c r="C2136" t="str">
        <f>HYPERLINK("https://us2.cloudbeds.com/connect/8493803454333002#/reservations/598219509888?display=E16ZW4JV&amp;reservation_id=598219509888", "E16ZW4JV")</f>
        <v>E16ZW4JV</v>
      </c>
      <c r="D2136" t="s">
        <v>45</v>
      </c>
      <c r="E2136" t="s">
        <v>69</v>
      </c>
      <c r="F2136" t="s">
        <v>70</v>
      </c>
      <c r="G2136" t="s">
        <v>48</v>
      </c>
      <c r="H2136" t="s">
        <v>49</v>
      </c>
      <c r="I2136" t="s">
        <v>79</v>
      </c>
      <c r="J2136" t="s">
        <v>647</v>
      </c>
      <c r="K2136" t="s">
        <v>214</v>
      </c>
      <c r="L2136" t="s">
        <v>53</v>
      </c>
      <c r="N2136" t="s">
        <v>3442</v>
      </c>
      <c r="P2136" t="s">
        <v>55</v>
      </c>
      <c r="R2136" t="s">
        <v>56</v>
      </c>
      <c r="T2136" t="s">
        <v>3438</v>
      </c>
      <c r="U2136" t="s">
        <v>58</v>
      </c>
      <c r="V2136">
        <v>1</v>
      </c>
      <c r="W2136">
        <v>1</v>
      </c>
      <c r="X2136">
        <v>1</v>
      </c>
      <c r="Y2136">
        <v>0</v>
      </c>
      <c r="Z2136">
        <v>1</v>
      </c>
      <c r="AA2136">
        <v>0</v>
      </c>
      <c r="AB2136">
        <v>149.34</v>
      </c>
      <c r="AC2136">
        <v>131.4</v>
      </c>
      <c r="AD2136">
        <v>0</v>
      </c>
      <c r="AE2136">
        <v>17.940000000000001</v>
      </c>
      <c r="AF2136">
        <v>0</v>
      </c>
      <c r="AG2136">
        <v>0</v>
      </c>
      <c r="AH2136">
        <v>0</v>
      </c>
      <c r="AI2136">
        <v>0</v>
      </c>
      <c r="AJ2136">
        <v>149.34</v>
      </c>
      <c r="AK2136">
        <v>0</v>
      </c>
      <c r="AL2136" t="s">
        <v>53</v>
      </c>
      <c r="AM2136" t="s">
        <v>53</v>
      </c>
      <c r="AN2136" t="s">
        <v>159</v>
      </c>
      <c r="AO2136" t="s">
        <v>53</v>
      </c>
      <c r="AP2136" t="s">
        <v>53</v>
      </c>
    </row>
    <row r="2137" spans="2:42" x14ac:dyDescent="0.2">
      <c r="B2137" t="s">
        <v>44</v>
      </c>
      <c r="C2137" t="str">
        <f>HYPERLINK("https://us2.cloudbeds.com/connect/8493803454333002#/reservations/598188671120?display=E163HXZS&amp;reservation_id=598188671120", "E163HXZS")</f>
        <v>E163HXZS</v>
      </c>
      <c r="D2137" t="s">
        <v>45</v>
      </c>
      <c r="E2137" t="s">
        <v>155</v>
      </c>
      <c r="F2137" t="s">
        <v>86</v>
      </c>
      <c r="G2137" t="s">
        <v>48</v>
      </c>
      <c r="H2137" t="s">
        <v>49</v>
      </c>
      <c r="I2137" t="s">
        <v>62</v>
      </c>
      <c r="J2137" t="s">
        <v>1269</v>
      </c>
      <c r="K2137" t="s">
        <v>387</v>
      </c>
      <c r="L2137" t="s">
        <v>53</v>
      </c>
      <c r="N2137" t="s">
        <v>3443</v>
      </c>
      <c r="P2137" t="s">
        <v>55</v>
      </c>
      <c r="R2137" t="s">
        <v>56</v>
      </c>
      <c r="T2137" t="s">
        <v>3438</v>
      </c>
      <c r="U2137" t="s">
        <v>58</v>
      </c>
      <c r="V2137">
        <v>1</v>
      </c>
      <c r="W2137">
        <v>1</v>
      </c>
      <c r="X2137">
        <v>1</v>
      </c>
      <c r="Y2137">
        <v>0</v>
      </c>
      <c r="Z2137">
        <v>1</v>
      </c>
      <c r="AA2137">
        <v>0</v>
      </c>
      <c r="AB2137">
        <v>200.02</v>
      </c>
      <c r="AC2137">
        <v>176</v>
      </c>
      <c r="AD2137">
        <v>0</v>
      </c>
      <c r="AE2137">
        <v>24.02</v>
      </c>
      <c r="AF2137">
        <v>0</v>
      </c>
      <c r="AG2137">
        <v>0</v>
      </c>
      <c r="AH2137">
        <v>0</v>
      </c>
      <c r="AI2137">
        <v>30</v>
      </c>
      <c r="AJ2137">
        <v>200.02</v>
      </c>
      <c r="AK2137">
        <v>0</v>
      </c>
      <c r="AL2137" t="s">
        <v>53</v>
      </c>
      <c r="AM2137" t="s">
        <v>53</v>
      </c>
      <c r="AN2137" t="s">
        <v>68</v>
      </c>
      <c r="AO2137" t="s">
        <v>53</v>
      </c>
      <c r="AP2137" t="s">
        <v>53</v>
      </c>
    </row>
    <row r="2138" spans="2:42" x14ac:dyDescent="0.2">
      <c r="B2138" t="s">
        <v>44</v>
      </c>
      <c r="C2138" t="str">
        <f>HYPERLINK("https://us2.cloudbeds.com/connect/8493803454333002#/reservations/579384066202?display=DJKJWNY5&amp;reservation_id=579384066202", "DJKJWNY5")</f>
        <v>DJKJWNY5</v>
      </c>
      <c r="D2138" t="s">
        <v>45</v>
      </c>
      <c r="E2138" t="s">
        <v>406</v>
      </c>
      <c r="F2138" t="s">
        <v>61</v>
      </c>
      <c r="G2138" t="s">
        <v>48</v>
      </c>
      <c r="H2138" t="s">
        <v>71</v>
      </c>
      <c r="I2138" t="s">
        <v>72</v>
      </c>
      <c r="J2138" t="s">
        <v>1610</v>
      </c>
      <c r="K2138" t="s">
        <v>1501</v>
      </c>
      <c r="L2138" t="s">
        <v>53</v>
      </c>
      <c r="N2138" t="s">
        <v>3444</v>
      </c>
      <c r="P2138" t="s">
        <v>55</v>
      </c>
      <c r="R2138" t="s">
        <v>56</v>
      </c>
      <c r="T2138" t="s">
        <v>3438</v>
      </c>
      <c r="U2138" t="s">
        <v>58</v>
      </c>
      <c r="V2138">
        <v>1</v>
      </c>
      <c r="W2138">
        <v>1</v>
      </c>
      <c r="X2138">
        <v>1</v>
      </c>
      <c r="Y2138">
        <v>0</v>
      </c>
      <c r="Z2138">
        <v>1</v>
      </c>
      <c r="AA2138">
        <v>0</v>
      </c>
      <c r="AB2138">
        <v>175.03</v>
      </c>
      <c r="AC2138">
        <v>154</v>
      </c>
      <c r="AD2138">
        <v>0</v>
      </c>
      <c r="AE2138">
        <v>21.03</v>
      </c>
      <c r="AF2138">
        <v>0</v>
      </c>
      <c r="AG2138">
        <v>0</v>
      </c>
      <c r="AH2138">
        <v>0</v>
      </c>
      <c r="AI2138">
        <v>0</v>
      </c>
      <c r="AJ2138">
        <v>175.03</v>
      </c>
      <c r="AK2138">
        <v>0</v>
      </c>
      <c r="AL2138" t="s">
        <v>53</v>
      </c>
      <c r="AM2138" t="s">
        <v>53</v>
      </c>
      <c r="AN2138" t="s">
        <v>3445</v>
      </c>
      <c r="AO2138" t="s">
        <v>53</v>
      </c>
      <c r="AP2138" t="s">
        <v>53</v>
      </c>
    </row>
    <row r="2139" spans="2:42" x14ac:dyDescent="0.2">
      <c r="B2139" t="s">
        <v>44</v>
      </c>
      <c r="C2139" t="str">
        <f>HYPERLINK("https://us2.cloudbeds.com/connect/8493803454333002#/reservations/579278635188?display=DJHU2V3V&amp;reservation_id=579278635188", "DJHU2V3V")</f>
        <v>DJHU2V3V</v>
      </c>
      <c r="D2139" t="s">
        <v>45</v>
      </c>
      <c r="E2139" t="s">
        <v>113</v>
      </c>
      <c r="F2139" t="s">
        <v>61</v>
      </c>
      <c r="G2139" t="s">
        <v>48</v>
      </c>
      <c r="H2139" t="s">
        <v>49</v>
      </c>
      <c r="I2139" t="s">
        <v>62</v>
      </c>
      <c r="J2139" t="s">
        <v>1381</v>
      </c>
      <c r="K2139" t="s">
        <v>1161</v>
      </c>
      <c r="L2139" t="s">
        <v>53</v>
      </c>
      <c r="N2139" t="s">
        <v>3446</v>
      </c>
      <c r="P2139" t="s">
        <v>55</v>
      </c>
      <c r="R2139" t="s">
        <v>56</v>
      </c>
      <c r="T2139" t="s">
        <v>3438</v>
      </c>
      <c r="U2139" t="s">
        <v>58</v>
      </c>
      <c r="V2139">
        <v>3</v>
      </c>
      <c r="W2139">
        <v>1</v>
      </c>
      <c r="X2139">
        <v>1</v>
      </c>
      <c r="Y2139">
        <v>0</v>
      </c>
      <c r="Z2139">
        <v>1</v>
      </c>
      <c r="AA2139">
        <v>0</v>
      </c>
      <c r="AB2139">
        <v>422.79</v>
      </c>
      <c r="AC2139">
        <v>372</v>
      </c>
      <c r="AD2139">
        <v>0</v>
      </c>
      <c r="AE2139">
        <v>50.79</v>
      </c>
      <c r="AF2139">
        <v>0</v>
      </c>
      <c r="AG2139">
        <v>0</v>
      </c>
      <c r="AH2139">
        <v>0</v>
      </c>
      <c r="AI2139">
        <v>63.42</v>
      </c>
      <c r="AJ2139">
        <v>422.79</v>
      </c>
      <c r="AK2139">
        <v>0</v>
      </c>
      <c r="AL2139" t="s">
        <v>53</v>
      </c>
      <c r="AM2139" t="s">
        <v>53</v>
      </c>
      <c r="AN2139" t="s">
        <v>280</v>
      </c>
      <c r="AO2139" t="s">
        <v>53</v>
      </c>
      <c r="AP2139" t="s">
        <v>53</v>
      </c>
    </row>
    <row r="2140" spans="2:42" x14ac:dyDescent="0.2">
      <c r="B2140" t="s">
        <v>44</v>
      </c>
      <c r="C2140" t="str">
        <f>HYPERLINK("https://us2.cloudbeds.com/connect/8493803454333002#/reservations/598487130276?display=E1DZ6KUN&amp;reservation_id=598487130276", "E1DZ6KUN")</f>
        <v>E1DZ6KUN</v>
      </c>
      <c r="D2140" t="s">
        <v>45</v>
      </c>
      <c r="E2140" t="s">
        <v>105</v>
      </c>
      <c r="F2140" t="s">
        <v>47</v>
      </c>
      <c r="G2140" t="s">
        <v>48</v>
      </c>
      <c r="H2140" t="s">
        <v>49</v>
      </c>
      <c r="I2140" t="s">
        <v>50</v>
      </c>
      <c r="J2140" t="s">
        <v>1750</v>
      </c>
      <c r="K2140" t="s">
        <v>1269</v>
      </c>
      <c r="L2140" t="s">
        <v>53</v>
      </c>
      <c r="N2140" t="s">
        <v>3447</v>
      </c>
      <c r="P2140" t="s">
        <v>55</v>
      </c>
      <c r="R2140" t="s">
        <v>56</v>
      </c>
      <c r="T2140" t="s">
        <v>3438</v>
      </c>
      <c r="U2140" t="s">
        <v>58</v>
      </c>
      <c r="V2140">
        <v>1</v>
      </c>
      <c r="W2140">
        <v>1</v>
      </c>
      <c r="X2140">
        <v>1</v>
      </c>
      <c r="Y2140">
        <v>0</v>
      </c>
      <c r="Z2140">
        <v>1</v>
      </c>
      <c r="AA2140">
        <v>0</v>
      </c>
      <c r="AB2140">
        <v>155.97999999999999</v>
      </c>
      <c r="AC2140">
        <v>137.25</v>
      </c>
      <c r="AD2140">
        <v>0</v>
      </c>
      <c r="AE2140">
        <v>18.739999999999998</v>
      </c>
      <c r="AF2140">
        <v>0</v>
      </c>
      <c r="AG2140">
        <v>0</v>
      </c>
      <c r="AH2140">
        <v>0</v>
      </c>
      <c r="AI2140">
        <v>28.08</v>
      </c>
      <c r="AJ2140">
        <v>155.99</v>
      </c>
      <c r="AK2140">
        <v>0.01</v>
      </c>
      <c r="AL2140" t="s">
        <v>53</v>
      </c>
      <c r="AM2140" t="s">
        <v>53</v>
      </c>
      <c r="AN2140" t="s">
        <v>132</v>
      </c>
      <c r="AO2140" t="s">
        <v>53</v>
      </c>
      <c r="AP2140" t="s">
        <v>53</v>
      </c>
    </row>
    <row r="2141" spans="2:42" x14ac:dyDescent="0.2">
      <c r="B2141" t="s">
        <v>44</v>
      </c>
      <c r="C2141" t="str">
        <f>HYPERLINK("https://us2.cloudbeds.com/connect/8493803454333002#/reservations/579367858430?display=DJK6ANFJ&amp;reservation_id=579367858430", "DJK6ANFJ")</f>
        <v>DJK6ANFJ</v>
      </c>
      <c r="D2141" t="s">
        <v>45</v>
      </c>
      <c r="E2141" t="s">
        <v>381</v>
      </c>
      <c r="F2141" t="s">
        <v>47</v>
      </c>
      <c r="G2141" t="s">
        <v>48</v>
      </c>
      <c r="H2141" t="s">
        <v>49</v>
      </c>
      <c r="I2141" t="s">
        <v>79</v>
      </c>
      <c r="J2141" t="s">
        <v>1336</v>
      </c>
      <c r="K2141" t="s">
        <v>1337</v>
      </c>
      <c r="L2141" t="s">
        <v>53</v>
      </c>
      <c r="N2141" t="s">
        <v>3448</v>
      </c>
      <c r="P2141" t="s">
        <v>55</v>
      </c>
      <c r="R2141" t="s">
        <v>56</v>
      </c>
      <c r="T2141" t="s">
        <v>3438</v>
      </c>
      <c r="U2141" t="s">
        <v>58</v>
      </c>
      <c r="V2141">
        <v>1</v>
      </c>
      <c r="W2141">
        <v>1</v>
      </c>
      <c r="X2141">
        <v>1</v>
      </c>
      <c r="Y2141">
        <v>0</v>
      </c>
      <c r="Z2141">
        <v>1</v>
      </c>
      <c r="AA2141">
        <v>0</v>
      </c>
      <c r="AB2141">
        <v>122.74</v>
      </c>
      <c r="AC2141">
        <v>108</v>
      </c>
      <c r="AD2141">
        <v>0</v>
      </c>
      <c r="AE2141">
        <v>14.74</v>
      </c>
      <c r="AF2141">
        <v>0</v>
      </c>
      <c r="AG2141">
        <v>0</v>
      </c>
      <c r="AH2141">
        <v>0</v>
      </c>
      <c r="AI2141">
        <v>0</v>
      </c>
      <c r="AJ2141">
        <v>122.74</v>
      </c>
      <c r="AK2141">
        <v>0</v>
      </c>
      <c r="AL2141" t="s">
        <v>53</v>
      </c>
      <c r="AM2141" t="s">
        <v>53</v>
      </c>
      <c r="AN2141" t="s">
        <v>97</v>
      </c>
      <c r="AO2141" t="s">
        <v>53</v>
      </c>
      <c r="AP2141" t="s">
        <v>53</v>
      </c>
    </row>
    <row r="2142" spans="2:42" x14ac:dyDescent="0.2">
      <c r="B2142" t="s">
        <v>44</v>
      </c>
      <c r="C2142" t="str">
        <f>HYPERLINK("https://us2.cloudbeds.com/connect/8493803454333002#/reservations/598619660421?display=E1H3VFSN&amp;reservation_id=598619660421", "E1H3VFSN")</f>
        <v>E1H3VFSN</v>
      </c>
      <c r="D2142" t="s">
        <v>45</v>
      </c>
      <c r="E2142" t="s">
        <v>406</v>
      </c>
      <c r="F2142" t="s">
        <v>61</v>
      </c>
      <c r="G2142" t="s">
        <v>48</v>
      </c>
      <c r="H2142" t="s">
        <v>49</v>
      </c>
      <c r="I2142" t="s">
        <v>50</v>
      </c>
      <c r="J2142" t="s">
        <v>152</v>
      </c>
      <c r="K2142" t="s">
        <v>1473</v>
      </c>
      <c r="L2142" t="s">
        <v>53</v>
      </c>
      <c r="N2142" t="s">
        <v>3449</v>
      </c>
      <c r="P2142" t="s">
        <v>55</v>
      </c>
      <c r="R2142" t="s">
        <v>56</v>
      </c>
      <c r="T2142" t="s">
        <v>3450</v>
      </c>
      <c r="U2142" t="s">
        <v>58</v>
      </c>
      <c r="V2142">
        <v>1</v>
      </c>
      <c r="W2142">
        <v>1</v>
      </c>
      <c r="X2142">
        <v>1</v>
      </c>
      <c r="Y2142">
        <v>0</v>
      </c>
      <c r="Z2142">
        <v>1</v>
      </c>
      <c r="AA2142">
        <v>0</v>
      </c>
      <c r="AB2142">
        <v>153.43</v>
      </c>
      <c r="AC2142">
        <v>135</v>
      </c>
      <c r="AD2142">
        <v>0</v>
      </c>
      <c r="AE2142">
        <v>18.440000000000001</v>
      </c>
      <c r="AF2142">
        <v>0</v>
      </c>
      <c r="AG2142">
        <v>0</v>
      </c>
      <c r="AH2142">
        <v>0</v>
      </c>
      <c r="AI2142">
        <v>27.62</v>
      </c>
      <c r="AJ2142">
        <v>153.44</v>
      </c>
      <c r="AK2142">
        <v>0.01</v>
      </c>
      <c r="AL2142" t="s">
        <v>53</v>
      </c>
      <c r="AM2142" t="s">
        <v>53</v>
      </c>
      <c r="AN2142" t="s">
        <v>91</v>
      </c>
      <c r="AO2142" t="s">
        <v>53</v>
      </c>
      <c r="AP2142" t="s">
        <v>53</v>
      </c>
    </row>
    <row r="2143" spans="2:42" x14ac:dyDescent="0.2">
      <c r="B2143" t="s">
        <v>44</v>
      </c>
      <c r="C2143" t="str">
        <f>HYPERLINK("https://us2.cloudbeds.com/connect/8493803454333002#/reservations/579400134834?display=DJY0HS1D&amp;reservation_id=579400134834", "DJY0HS1D")</f>
        <v>DJY0HS1D</v>
      </c>
      <c r="D2143" t="s">
        <v>45</v>
      </c>
      <c r="E2143" t="s">
        <v>213</v>
      </c>
      <c r="F2143" t="s">
        <v>86</v>
      </c>
      <c r="G2143" t="s">
        <v>48</v>
      </c>
      <c r="H2143" t="s">
        <v>49</v>
      </c>
      <c r="I2143" t="s">
        <v>50</v>
      </c>
      <c r="J2143" t="s">
        <v>1336</v>
      </c>
      <c r="K2143" t="s">
        <v>1337</v>
      </c>
      <c r="L2143" t="s">
        <v>53</v>
      </c>
      <c r="N2143" t="s">
        <v>3451</v>
      </c>
      <c r="P2143" t="s">
        <v>55</v>
      </c>
      <c r="R2143" t="s">
        <v>56</v>
      </c>
      <c r="T2143" t="s">
        <v>3450</v>
      </c>
      <c r="U2143" t="s">
        <v>58</v>
      </c>
      <c r="V2143">
        <v>1</v>
      </c>
      <c r="W2143">
        <v>1</v>
      </c>
      <c r="X2143">
        <v>1</v>
      </c>
      <c r="Y2143">
        <v>0</v>
      </c>
      <c r="Z2143">
        <v>1</v>
      </c>
      <c r="AA2143">
        <v>0</v>
      </c>
      <c r="AB2143">
        <v>143.19999999999999</v>
      </c>
      <c r="AC2143">
        <v>126</v>
      </c>
      <c r="AD2143">
        <v>0</v>
      </c>
      <c r="AE2143">
        <v>17.2</v>
      </c>
      <c r="AF2143">
        <v>0</v>
      </c>
      <c r="AG2143">
        <v>0</v>
      </c>
      <c r="AH2143">
        <v>0</v>
      </c>
      <c r="AI2143">
        <v>25.78</v>
      </c>
      <c r="AJ2143">
        <v>143.19999999999999</v>
      </c>
      <c r="AK2143">
        <v>0</v>
      </c>
      <c r="AL2143" t="s">
        <v>53</v>
      </c>
      <c r="AM2143" t="s">
        <v>53</v>
      </c>
      <c r="AN2143" t="s">
        <v>132</v>
      </c>
      <c r="AO2143" t="s">
        <v>53</v>
      </c>
      <c r="AP2143" t="s">
        <v>53</v>
      </c>
    </row>
    <row r="2144" spans="2:42" x14ac:dyDescent="0.2">
      <c r="B2144" t="s">
        <v>44</v>
      </c>
      <c r="C2144" t="str">
        <f>HYPERLINK("https://us2.cloudbeds.com/connect/8493803454333002#/reservations/598546911446?display=E1F8K4DA&amp;reservation_id=598546911446", "E1F8K4DA")</f>
        <v>E1F8K4DA</v>
      </c>
      <c r="D2144" t="s">
        <v>45</v>
      </c>
      <c r="E2144" t="s">
        <v>223</v>
      </c>
      <c r="F2144" t="s">
        <v>47</v>
      </c>
      <c r="G2144" t="s">
        <v>48</v>
      </c>
      <c r="H2144" t="s">
        <v>71</v>
      </c>
      <c r="I2144" t="s">
        <v>72</v>
      </c>
      <c r="J2144" t="s">
        <v>1822</v>
      </c>
      <c r="K2144" t="s">
        <v>94</v>
      </c>
      <c r="L2144" t="s">
        <v>53</v>
      </c>
      <c r="N2144" t="s">
        <v>3452</v>
      </c>
      <c r="P2144" t="s">
        <v>55</v>
      </c>
      <c r="R2144" t="s">
        <v>56</v>
      </c>
      <c r="T2144" t="s">
        <v>3450</v>
      </c>
      <c r="U2144" t="s">
        <v>58</v>
      </c>
      <c r="V2144">
        <v>1</v>
      </c>
      <c r="W2144">
        <v>1</v>
      </c>
      <c r="X2144">
        <v>1</v>
      </c>
      <c r="Y2144">
        <v>0</v>
      </c>
      <c r="Z2144">
        <v>1</v>
      </c>
      <c r="AA2144">
        <v>0</v>
      </c>
      <c r="AB2144">
        <v>164.79</v>
      </c>
      <c r="AC2144">
        <v>145</v>
      </c>
      <c r="AD2144">
        <v>0</v>
      </c>
      <c r="AE2144">
        <v>19.8</v>
      </c>
      <c r="AF2144">
        <v>0</v>
      </c>
      <c r="AG2144">
        <v>0</v>
      </c>
      <c r="AH2144">
        <v>0</v>
      </c>
      <c r="AI2144">
        <v>0</v>
      </c>
      <c r="AJ2144">
        <v>164.8</v>
      </c>
      <c r="AK2144">
        <v>0.01</v>
      </c>
      <c r="AL2144" t="s">
        <v>53</v>
      </c>
      <c r="AM2144" t="s">
        <v>53</v>
      </c>
      <c r="AN2144" t="s">
        <v>378</v>
      </c>
      <c r="AO2144" t="s">
        <v>53</v>
      </c>
      <c r="AP2144" t="s">
        <v>53</v>
      </c>
    </row>
    <row r="2145" spans="2:42" x14ac:dyDescent="0.2">
      <c r="B2145" t="s">
        <v>44</v>
      </c>
      <c r="C2145" t="str">
        <f>HYPERLINK("https://us2.cloudbeds.com/connect/8493803454333002#/reservations/598528499915?display=E1EQ2QJ4&amp;reservation_id=598528499915", "E1EQ2QJ4")</f>
        <v>E1EQ2QJ4</v>
      </c>
      <c r="D2145" t="s">
        <v>45</v>
      </c>
      <c r="E2145" t="s">
        <v>265</v>
      </c>
      <c r="F2145" t="s">
        <v>61</v>
      </c>
      <c r="G2145" t="s">
        <v>48</v>
      </c>
      <c r="H2145" t="s">
        <v>49</v>
      </c>
      <c r="I2145" t="s">
        <v>79</v>
      </c>
      <c r="J2145" t="s">
        <v>1750</v>
      </c>
      <c r="K2145" t="s">
        <v>1269</v>
      </c>
      <c r="L2145" t="s">
        <v>53</v>
      </c>
      <c r="N2145" t="s">
        <v>3453</v>
      </c>
      <c r="P2145" t="s">
        <v>55</v>
      </c>
      <c r="R2145" t="s">
        <v>56</v>
      </c>
      <c r="T2145" t="s">
        <v>3450</v>
      </c>
      <c r="U2145" t="s">
        <v>58</v>
      </c>
      <c r="V2145">
        <v>1</v>
      </c>
      <c r="W2145">
        <v>1</v>
      </c>
      <c r="X2145">
        <v>1</v>
      </c>
      <c r="Y2145">
        <v>0</v>
      </c>
      <c r="Z2145">
        <v>1</v>
      </c>
      <c r="AA2145">
        <v>0</v>
      </c>
      <c r="AB2145">
        <v>168.77</v>
      </c>
      <c r="AC2145">
        <v>148.5</v>
      </c>
      <c r="AD2145">
        <v>0</v>
      </c>
      <c r="AE2145">
        <v>20.28</v>
      </c>
      <c r="AF2145">
        <v>0</v>
      </c>
      <c r="AG2145">
        <v>0</v>
      </c>
      <c r="AH2145">
        <v>0</v>
      </c>
      <c r="AI2145">
        <v>0</v>
      </c>
      <c r="AJ2145">
        <v>168.78</v>
      </c>
      <c r="AK2145">
        <v>0.01</v>
      </c>
      <c r="AL2145" t="s">
        <v>53</v>
      </c>
      <c r="AM2145" t="s">
        <v>53</v>
      </c>
      <c r="AN2145" t="s">
        <v>84</v>
      </c>
      <c r="AO2145" t="s">
        <v>53</v>
      </c>
      <c r="AP2145" t="s">
        <v>53</v>
      </c>
    </row>
    <row r="2146" spans="2:42" x14ac:dyDescent="0.2">
      <c r="B2146" t="s">
        <v>44</v>
      </c>
      <c r="C2146" t="str">
        <f>HYPERLINK("https://us2.cloudbeds.com/connect/8493803454333002#/reservations/598496129182?display=E1DVQ1CQ&amp;reservation_id=598496129182", "E1DVQ1CQ")</f>
        <v>E1DVQ1CQ</v>
      </c>
      <c r="D2146" t="s">
        <v>45</v>
      </c>
      <c r="E2146" t="s">
        <v>46</v>
      </c>
      <c r="F2146" t="s">
        <v>47</v>
      </c>
      <c r="G2146" t="s">
        <v>48</v>
      </c>
      <c r="H2146" t="s">
        <v>49</v>
      </c>
      <c r="I2146" t="s">
        <v>79</v>
      </c>
      <c r="J2146" t="s">
        <v>447</v>
      </c>
      <c r="K2146" t="s">
        <v>2102</v>
      </c>
      <c r="L2146" t="s">
        <v>53</v>
      </c>
      <c r="N2146" t="s">
        <v>3454</v>
      </c>
      <c r="P2146" t="s">
        <v>55</v>
      </c>
      <c r="R2146" t="s">
        <v>56</v>
      </c>
      <c r="T2146" t="s">
        <v>3450</v>
      </c>
      <c r="U2146" t="s">
        <v>58</v>
      </c>
      <c r="V2146">
        <v>1</v>
      </c>
      <c r="W2146">
        <v>1</v>
      </c>
      <c r="X2146">
        <v>1</v>
      </c>
      <c r="Y2146">
        <v>0</v>
      </c>
      <c r="Z2146">
        <v>1</v>
      </c>
      <c r="AA2146">
        <v>0</v>
      </c>
      <c r="AB2146">
        <v>155.97999999999999</v>
      </c>
      <c r="AC2146">
        <v>137.25</v>
      </c>
      <c r="AD2146">
        <v>0</v>
      </c>
      <c r="AE2146">
        <v>18.739999999999998</v>
      </c>
      <c r="AF2146">
        <v>0</v>
      </c>
      <c r="AG2146">
        <v>0</v>
      </c>
      <c r="AH2146">
        <v>0</v>
      </c>
      <c r="AI2146">
        <v>0</v>
      </c>
      <c r="AJ2146">
        <v>155.99</v>
      </c>
      <c r="AK2146">
        <v>0.01</v>
      </c>
      <c r="AL2146" t="s">
        <v>53</v>
      </c>
      <c r="AM2146" t="s">
        <v>53</v>
      </c>
      <c r="AN2146" t="s">
        <v>142</v>
      </c>
      <c r="AO2146" t="s">
        <v>53</v>
      </c>
      <c r="AP2146" t="s">
        <v>53</v>
      </c>
    </row>
    <row r="2147" spans="2:42" x14ac:dyDescent="0.2">
      <c r="B2147" t="s">
        <v>44</v>
      </c>
      <c r="C2147" t="str">
        <f>HYPERLINK("https://us2.cloudbeds.com/connect/8493803454333002#/reservations/598611853482?display=E1GUC7VQ&amp;reservation_id=598611853482", "E1GUC7VQ")</f>
        <v>E1GUC7VQ</v>
      </c>
      <c r="D2147" t="s">
        <v>45</v>
      </c>
      <c r="E2147" t="s">
        <v>305</v>
      </c>
      <c r="F2147" t="s">
        <v>61</v>
      </c>
      <c r="G2147" t="s">
        <v>48</v>
      </c>
      <c r="H2147" t="s">
        <v>49</v>
      </c>
      <c r="I2147" t="s">
        <v>50</v>
      </c>
      <c r="J2147" t="s">
        <v>152</v>
      </c>
      <c r="K2147" t="s">
        <v>1473</v>
      </c>
      <c r="L2147" t="s">
        <v>53</v>
      </c>
      <c r="N2147" t="s">
        <v>3455</v>
      </c>
      <c r="P2147" t="s">
        <v>55</v>
      </c>
      <c r="R2147" t="s">
        <v>56</v>
      </c>
      <c r="T2147" t="s">
        <v>3450</v>
      </c>
      <c r="U2147" t="s">
        <v>58</v>
      </c>
      <c r="V2147">
        <v>1</v>
      </c>
      <c r="W2147">
        <v>1</v>
      </c>
      <c r="X2147">
        <v>1</v>
      </c>
      <c r="Y2147">
        <v>0</v>
      </c>
      <c r="Z2147">
        <v>1</v>
      </c>
      <c r="AA2147">
        <v>0</v>
      </c>
      <c r="AB2147">
        <v>153.43</v>
      </c>
      <c r="AC2147">
        <v>135</v>
      </c>
      <c r="AD2147">
        <v>0</v>
      </c>
      <c r="AE2147">
        <v>18.440000000000001</v>
      </c>
      <c r="AF2147">
        <v>0</v>
      </c>
      <c r="AG2147">
        <v>0</v>
      </c>
      <c r="AH2147">
        <v>0</v>
      </c>
      <c r="AI2147">
        <v>27.62</v>
      </c>
      <c r="AJ2147">
        <v>153.44</v>
      </c>
      <c r="AK2147">
        <v>0.01</v>
      </c>
      <c r="AL2147" t="s">
        <v>53</v>
      </c>
      <c r="AM2147" t="s">
        <v>53</v>
      </c>
      <c r="AN2147" t="s">
        <v>332</v>
      </c>
      <c r="AO2147" t="s">
        <v>53</v>
      </c>
      <c r="AP2147" t="s">
        <v>53</v>
      </c>
    </row>
    <row r="2148" spans="2:42" x14ac:dyDescent="0.2">
      <c r="B2148" t="s">
        <v>44</v>
      </c>
      <c r="C2148" t="str">
        <f>HYPERLINK("https://us2.cloudbeds.com/connect/8493803454333002#/reservations/598589235373?display=E1GB9SBX&amp;reservation_id=598589235373", "E1GB9SBX")</f>
        <v>E1GB9SBX</v>
      </c>
      <c r="D2148" t="s">
        <v>45</v>
      </c>
      <c r="E2148" t="s">
        <v>373</v>
      </c>
      <c r="F2148" t="s">
        <v>47</v>
      </c>
      <c r="G2148" t="s">
        <v>48</v>
      </c>
      <c r="H2148" t="s">
        <v>49</v>
      </c>
      <c r="I2148" t="s">
        <v>50</v>
      </c>
      <c r="J2148" t="s">
        <v>215</v>
      </c>
      <c r="K2148" t="s">
        <v>446</v>
      </c>
      <c r="L2148" t="s">
        <v>53</v>
      </c>
      <c r="N2148" t="s">
        <v>3456</v>
      </c>
      <c r="P2148" t="s">
        <v>55</v>
      </c>
      <c r="R2148" t="s">
        <v>56</v>
      </c>
      <c r="T2148" t="s">
        <v>3450</v>
      </c>
      <c r="U2148" t="s">
        <v>58</v>
      </c>
      <c r="V2148">
        <v>1</v>
      </c>
      <c r="W2148">
        <v>1</v>
      </c>
      <c r="X2148">
        <v>1</v>
      </c>
      <c r="Y2148">
        <v>0</v>
      </c>
      <c r="Z2148">
        <v>1</v>
      </c>
      <c r="AA2148">
        <v>0</v>
      </c>
      <c r="AB2148">
        <v>155.97999999999999</v>
      </c>
      <c r="AC2148">
        <v>137.25</v>
      </c>
      <c r="AD2148">
        <v>0</v>
      </c>
      <c r="AE2148">
        <v>18.739999999999998</v>
      </c>
      <c r="AF2148">
        <v>0</v>
      </c>
      <c r="AG2148">
        <v>0</v>
      </c>
      <c r="AH2148">
        <v>0</v>
      </c>
      <c r="AI2148">
        <v>28.08</v>
      </c>
      <c r="AJ2148">
        <v>155.99</v>
      </c>
      <c r="AK2148">
        <v>0.01</v>
      </c>
      <c r="AL2148" t="s">
        <v>53</v>
      </c>
      <c r="AM2148" t="s">
        <v>53</v>
      </c>
      <c r="AN2148" t="s">
        <v>316</v>
      </c>
      <c r="AO2148" t="s">
        <v>53</v>
      </c>
      <c r="AP2148" t="s">
        <v>53</v>
      </c>
    </row>
    <row r="2149" spans="2:42" x14ac:dyDescent="0.2">
      <c r="B2149" t="s">
        <v>44</v>
      </c>
      <c r="C2149" t="str">
        <f>HYPERLINK("https://us2.cloudbeds.com/connect/8493803454333002#/reservations/598353858760?display=E1AAR56U&amp;reservation_id=598353858760", "E1AAR56U")</f>
        <v>E1AAR56U</v>
      </c>
      <c r="D2149" t="s">
        <v>45</v>
      </c>
      <c r="E2149" t="s">
        <v>165</v>
      </c>
      <c r="F2149" t="s">
        <v>61</v>
      </c>
      <c r="G2149" t="s">
        <v>48</v>
      </c>
      <c r="H2149" t="s">
        <v>49</v>
      </c>
      <c r="I2149" t="s">
        <v>50</v>
      </c>
      <c r="J2149" t="s">
        <v>1822</v>
      </c>
      <c r="K2149" t="s">
        <v>94</v>
      </c>
      <c r="L2149" t="s">
        <v>53</v>
      </c>
      <c r="N2149" t="s">
        <v>3457</v>
      </c>
      <c r="P2149" t="s">
        <v>55</v>
      </c>
      <c r="R2149" t="s">
        <v>56</v>
      </c>
      <c r="T2149" t="s">
        <v>3450</v>
      </c>
      <c r="U2149" t="s">
        <v>58</v>
      </c>
      <c r="V2149">
        <v>1</v>
      </c>
      <c r="W2149">
        <v>1</v>
      </c>
      <c r="X2149">
        <v>1</v>
      </c>
      <c r="Y2149">
        <v>0</v>
      </c>
      <c r="Z2149">
        <v>1</v>
      </c>
      <c r="AA2149">
        <v>0</v>
      </c>
      <c r="AB2149">
        <v>153.43</v>
      </c>
      <c r="AC2149">
        <v>135</v>
      </c>
      <c r="AD2149">
        <v>0</v>
      </c>
      <c r="AE2149">
        <v>18.440000000000001</v>
      </c>
      <c r="AF2149">
        <v>0</v>
      </c>
      <c r="AG2149">
        <v>0</v>
      </c>
      <c r="AH2149">
        <v>0</v>
      </c>
      <c r="AI2149">
        <v>27.62</v>
      </c>
      <c r="AJ2149">
        <v>153.44</v>
      </c>
      <c r="AK2149">
        <v>0.01</v>
      </c>
      <c r="AL2149" t="s">
        <v>53</v>
      </c>
      <c r="AM2149" t="s">
        <v>53</v>
      </c>
      <c r="AN2149" t="s">
        <v>3458</v>
      </c>
      <c r="AO2149" t="s">
        <v>53</v>
      </c>
      <c r="AP2149" t="s">
        <v>53</v>
      </c>
    </row>
    <row r="2150" spans="2:42" x14ac:dyDescent="0.2">
      <c r="B2150" t="s">
        <v>44</v>
      </c>
      <c r="C2150" t="str">
        <f>HYPERLINK("https://us2.cloudbeds.com/connect/8493803454333002#/reservations/598561779905?display=E1FY4SNM&amp;reservation_id=598561779905", "E1FY4SNM")</f>
        <v>E1FY4SNM</v>
      </c>
      <c r="D2150" t="s">
        <v>45</v>
      </c>
      <c r="E2150" t="s">
        <v>110</v>
      </c>
      <c r="F2150" t="s">
        <v>47</v>
      </c>
      <c r="G2150" t="s">
        <v>48</v>
      </c>
      <c r="H2150" t="s">
        <v>49</v>
      </c>
      <c r="I2150" t="s">
        <v>79</v>
      </c>
      <c r="J2150" t="s">
        <v>447</v>
      </c>
      <c r="K2150" t="s">
        <v>2102</v>
      </c>
      <c r="L2150" t="s">
        <v>53</v>
      </c>
      <c r="N2150" t="s">
        <v>3459</v>
      </c>
      <c r="P2150" t="s">
        <v>55</v>
      </c>
      <c r="R2150" t="s">
        <v>56</v>
      </c>
      <c r="T2150" t="s">
        <v>3450</v>
      </c>
      <c r="U2150" t="s">
        <v>58</v>
      </c>
      <c r="V2150">
        <v>1</v>
      </c>
      <c r="W2150">
        <v>1</v>
      </c>
      <c r="X2150">
        <v>1</v>
      </c>
      <c r="Y2150">
        <v>0</v>
      </c>
      <c r="Z2150">
        <v>1</v>
      </c>
      <c r="AA2150">
        <v>0</v>
      </c>
      <c r="AB2150">
        <v>155.97999999999999</v>
      </c>
      <c r="AC2150">
        <v>137.25</v>
      </c>
      <c r="AD2150">
        <v>0</v>
      </c>
      <c r="AE2150">
        <v>18.739999999999998</v>
      </c>
      <c r="AF2150">
        <v>0</v>
      </c>
      <c r="AG2150">
        <v>0</v>
      </c>
      <c r="AH2150">
        <v>0</v>
      </c>
      <c r="AI2150">
        <v>0</v>
      </c>
      <c r="AJ2150">
        <v>155.99</v>
      </c>
      <c r="AK2150">
        <v>0.01</v>
      </c>
      <c r="AL2150" t="s">
        <v>53</v>
      </c>
      <c r="AM2150" t="s">
        <v>53</v>
      </c>
      <c r="AN2150" t="s">
        <v>137</v>
      </c>
      <c r="AO2150" t="s">
        <v>53</v>
      </c>
      <c r="AP2150" t="s">
        <v>53</v>
      </c>
    </row>
    <row r="2151" spans="2:42" x14ac:dyDescent="0.2">
      <c r="B2151" t="s">
        <v>44</v>
      </c>
      <c r="C2151" t="str">
        <f>HYPERLINK("https://us2.cloudbeds.com/connect/8493803454333002#/reservations/598348927148?display=E1A6YUY4&amp;reservation_id=598348927148", "E1A6YUY4")</f>
        <v>E1A6YUY4</v>
      </c>
      <c r="D2151" t="s">
        <v>45</v>
      </c>
      <c r="E2151" t="s">
        <v>98</v>
      </c>
      <c r="F2151" t="s">
        <v>86</v>
      </c>
      <c r="G2151" t="s">
        <v>48</v>
      </c>
      <c r="H2151" t="s">
        <v>49</v>
      </c>
      <c r="I2151" t="s">
        <v>114</v>
      </c>
      <c r="J2151" t="s">
        <v>1822</v>
      </c>
      <c r="K2151" t="s">
        <v>94</v>
      </c>
      <c r="L2151" t="s">
        <v>53</v>
      </c>
      <c r="N2151" t="s">
        <v>3460</v>
      </c>
      <c r="P2151" t="s">
        <v>55</v>
      </c>
      <c r="R2151" t="s">
        <v>56</v>
      </c>
      <c r="T2151" t="s">
        <v>3450</v>
      </c>
      <c r="U2151" t="s">
        <v>58</v>
      </c>
      <c r="V2151">
        <v>1</v>
      </c>
      <c r="W2151">
        <v>1</v>
      </c>
      <c r="X2151">
        <v>1</v>
      </c>
      <c r="Y2151">
        <v>0</v>
      </c>
      <c r="Z2151">
        <v>1</v>
      </c>
      <c r="AA2151">
        <v>0</v>
      </c>
      <c r="AB2151">
        <v>190.93</v>
      </c>
      <c r="AC2151">
        <v>168</v>
      </c>
      <c r="AD2151">
        <v>0</v>
      </c>
      <c r="AE2151">
        <v>22.93</v>
      </c>
      <c r="AF2151">
        <v>0</v>
      </c>
      <c r="AG2151">
        <v>0</v>
      </c>
      <c r="AH2151">
        <v>0</v>
      </c>
      <c r="AI2151">
        <v>0</v>
      </c>
      <c r="AJ2151">
        <v>190.93</v>
      </c>
      <c r="AK2151">
        <v>0</v>
      </c>
      <c r="AL2151" t="s">
        <v>53</v>
      </c>
      <c r="AM2151" t="s">
        <v>53</v>
      </c>
      <c r="AN2151" t="s">
        <v>3461</v>
      </c>
      <c r="AO2151" t="s">
        <v>53</v>
      </c>
      <c r="AP2151" t="s">
        <v>53</v>
      </c>
    </row>
    <row r="2152" spans="2:42" x14ac:dyDescent="0.2">
      <c r="B2152" t="s">
        <v>44</v>
      </c>
      <c r="C2152" t="str">
        <f>HYPERLINK("https://us2.cloudbeds.com/connect/8493803454333002#/reservations/598429012213?display=E1C86DY4&amp;reservation_id=598429012213", "E1C86DY4")</f>
        <v>E1C86DY4</v>
      </c>
      <c r="D2152" t="s">
        <v>45</v>
      </c>
      <c r="E2152" t="s">
        <v>121</v>
      </c>
      <c r="F2152" t="s">
        <v>86</v>
      </c>
      <c r="G2152" t="s">
        <v>48</v>
      </c>
      <c r="H2152" t="s">
        <v>49</v>
      </c>
      <c r="I2152" t="s">
        <v>79</v>
      </c>
      <c r="J2152" t="s">
        <v>1822</v>
      </c>
      <c r="K2152" t="s">
        <v>94</v>
      </c>
      <c r="L2152" t="s">
        <v>53</v>
      </c>
      <c r="N2152" t="s">
        <v>3462</v>
      </c>
      <c r="P2152" t="s">
        <v>55</v>
      </c>
      <c r="R2152" t="s">
        <v>56</v>
      </c>
      <c r="T2152" t="s">
        <v>3450</v>
      </c>
      <c r="U2152" t="s">
        <v>58</v>
      </c>
      <c r="V2152">
        <v>1</v>
      </c>
      <c r="W2152">
        <v>1</v>
      </c>
      <c r="X2152">
        <v>1</v>
      </c>
      <c r="Y2152">
        <v>0</v>
      </c>
      <c r="Z2152">
        <v>1</v>
      </c>
      <c r="AA2152">
        <v>0</v>
      </c>
      <c r="AB2152">
        <v>176.95</v>
      </c>
      <c r="AC2152">
        <v>155.69999999999999</v>
      </c>
      <c r="AD2152">
        <v>0</v>
      </c>
      <c r="AE2152">
        <v>21.25</v>
      </c>
      <c r="AF2152">
        <v>0</v>
      </c>
      <c r="AG2152">
        <v>0</v>
      </c>
      <c r="AH2152">
        <v>0</v>
      </c>
      <c r="AI2152">
        <v>0</v>
      </c>
      <c r="AJ2152">
        <v>176.95</v>
      </c>
      <c r="AK2152">
        <v>0</v>
      </c>
      <c r="AL2152" t="s">
        <v>53</v>
      </c>
      <c r="AM2152" t="s">
        <v>53</v>
      </c>
      <c r="AN2152" t="s">
        <v>127</v>
      </c>
      <c r="AO2152" t="s">
        <v>53</v>
      </c>
      <c r="AP2152" t="s">
        <v>53</v>
      </c>
    </row>
    <row r="2153" spans="2:42" x14ac:dyDescent="0.2">
      <c r="B2153" t="s">
        <v>44</v>
      </c>
      <c r="C2153" t="str">
        <f>HYPERLINK("https://us2.cloudbeds.com/connect/8493803454333002#/reservations/598476525791?display=E1DF8X3M&amp;reservation_id=598476525791", "E1DF8X3M")</f>
        <v>E1DF8X3M</v>
      </c>
      <c r="D2153" t="s">
        <v>45</v>
      </c>
      <c r="E2153" t="s">
        <v>46</v>
      </c>
      <c r="F2153" t="s">
        <v>47</v>
      </c>
      <c r="G2153" t="s">
        <v>48</v>
      </c>
      <c r="H2153" t="s">
        <v>49</v>
      </c>
      <c r="I2153" t="s">
        <v>62</v>
      </c>
      <c r="J2153" t="s">
        <v>215</v>
      </c>
      <c r="K2153" t="s">
        <v>446</v>
      </c>
      <c r="L2153" t="s">
        <v>53</v>
      </c>
      <c r="N2153" t="s">
        <v>3463</v>
      </c>
      <c r="P2153" t="s">
        <v>55</v>
      </c>
      <c r="R2153" t="s">
        <v>56</v>
      </c>
      <c r="T2153" t="s">
        <v>3450</v>
      </c>
      <c r="U2153" t="s">
        <v>58</v>
      </c>
      <c r="V2153">
        <v>1</v>
      </c>
      <c r="W2153">
        <v>1</v>
      </c>
      <c r="X2153">
        <v>1</v>
      </c>
      <c r="Y2153">
        <v>0</v>
      </c>
      <c r="Z2153">
        <v>1</v>
      </c>
      <c r="AA2153">
        <v>0</v>
      </c>
      <c r="AB2153">
        <v>173.32</v>
      </c>
      <c r="AC2153">
        <v>152.5</v>
      </c>
      <c r="AD2153">
        <v>0</v>
      </c>
      <c r="AE2153">
        <v>20.82</v>
      </c>
      <c r="AF2153">
        <v>0</v>
      </c>
      <c r="AG2153">
        <v>0</v>
      </c>
      <c r="AH2153">
        <v>0</v>
      </c>
      <c r="AI2153">
        <v>26</v>
      </c>
      <c r="AJ2153">
        <v>173.32</v>
      </c>
      <c r="AK2153">
        <v>0</v>
      </c>
      <c r="AL2153" t="s">
        <v>53</v>
      </c>
      <c r="AM2153" t="s">
        <v>53</v>
      </c>
      <c r="AN2153" t="s">
        <v>349</v>
      </c>
      <c r="AO2153" t="s">
        <v>53</v>
      </c>
      <c r="AP2153" t="s">
        <v>53</v>
      </c>
    </row>
    <row r="2154" spans="2:42" x14ac:dyDescent="0.2">
      <c r="B2154" t="s">
        <v>44</v>
      </c>
      <c r="C2154" t="str">
        <f>HYPERLINK("https://us2.cloudbeds.com/connect/8493803454333002#/reservations/579287867635?display=DJX4SS13&amp;reservation_id=579287867635", "DJX4SS13")</f>
        <v>DJX4SS13</v>
      </c>
      <c r="D2154" t="s">
        <v>45</v>
      </c>
      <c r="E2154" t="s">
        <v>406</v>
      </c>
      <c r="F2154" t="s">
        <v>61</v>
      </c>
      <c r="G2154" t="s">
        <v>48</v>
      </c>
      <c r="H2154" t="s">
        <v>49</v>
      </c>
      <c r="I2154" t="s">
        <v>50</v>
      </c>
      <c r="J2154" t="s">
        <v>2023</v>
      </c>
      <c r="K2154" t="s">
        <v>2639</v>
      </c>
      <c r="L2154" t="s">
        <v>53</v>
      </c>
      <c r="N2154" t="s">
        <v>3464</v>
      </c>
      <c r="P2154" t="s">
        <v>55</v>
      </c>
      <c r="R2154" t="s">
        <v>56</v>
      </c>
      <c r="T2154" t="s">
        <v>3450</v>
      </c>
      <c r="U2154" t="s">
        <v>58</v>
      </c>
      <c r="V2154">
        <v>1</v>
      </c>
      <c r="W2154">
        <v>1</v>
      </c>
      <c r="X2154">
        <v>1</v>
      </c>
      <c r="Y2154">
        <v>0</v>
      </c>
      <c r="Z2154">
        <v>1</v>
      </c>
      <c r="AA2154">
        <v>0</v>
      </c>
      <c r="AB2154">
        <v>156.49</v>
      </c>
      <c r="AC2154">
        <v>137.69999999999999</v>
      </c>
      <c r="AD2154">
        <v>0</v>
      </c>
      <c r="AE2154">
        <v>18.79</v>
      </c>
      <c r="AF2154">
        <v>0</v>
      </c>
      <c r="AG2154">
        <v>0</v>
      </c>
      <c r="AH2154">
        <v>0</v>
      </c>
      <c r="AI2154">
        <v>28.17</v>
      </c>
      <c r="AJ2154">
        <v>156.49</v>
      </c>
      <c r="AK2154">
        <v>0</v>
      </c>
      <c r="AL2154" t="s">
        <v>53</v>
      </c>
      <c r="AM2154" t="s">
        <v>53</v>
      </c>
      <c r="AN2154" t="s">
        <v>280</v>
      </c>
      <c r="AO2154" t="s">
        <v>53</v>
      </c>
      <c r="AP2154" t="s">
        <v>53</v>
      </c>
    </row>
    <row r="2155" spans="2:42" x14ac:dyDescent="0.2">
      <c r="B2155" t="s">
        <v>44</v>
      </c>
      <c r="C2155" t="str">
        <f>HYPERLINK("https://us2.cloudbeds.com/connect/8493803454333002#/reservations/598579765501?display=E1G3ABDN&amp;reservation_id=598579765501", "E1G3ABDN")</f>
        <v>E1G3ABDN</v>
      </c>
      <c r="D2155" t="s">
        <v>45</v>
      </c>
      <c r="E2155" t="s">
        <v>179</v>
      </c>
      <c r="F2155" t="s">
        <v>47</v>
      </c>
      <c r="G2155" t="s">
        <v>48</v>
      </c>
      <c r="H2155" t="s">
        <v>49</v>
      </c>
      <c r="I2155" t="s">
        <v>79</v>
      </c>
      <c r="J2155" t="s">
        <v>988</v>
      </c>
      <c r="K2155" t="s">
        <v>1439</v>
      </c>
      <c r="L2155" t="s">
        <v>53</v>
      </c>
      <c r="N2155" t="s">
        <v>3465</v>
      </c>
      <c r="P2155" t="s">
        <v>55</v>
      </c>
      <c r="R2155" t="s">
        <v>56</v>
      </c>
      <c r="T2155" t="s">
        <v>3450</v>
      </c>
      <c r="U2155" t="s">
        <v>58</v>
      </c>
      <c r="V2155">
        <v>1</v>
      </c>
      <c r="W2155">
        <v>1</v>
      </c>
      <c r="X2155">
        <v>1</v>
      </c>
      <c r="Y2155">
        <v>0</v>
      </c>
      <c r="Z2155">
        <v>1</v>
      </c>
      <c r="AA2155">
        <v>0</v>
      </c>
      <c r="AB2155">
        <v>155.97999999999999</v>
      </c>
      <c r="AC2155">
        <v>137.25</v>
      </c>
      <c r="AD2155">
        <v>0</v>
      </c>
      <c r="AE2155">
        <v>18.739999999999998</v>
      </c>
      <c r="AF2155">
        <v>0</v>
      </c>
      <c r="AG2155">
        <v>0</v>
      </c>
      <c r="AH2155">
        <v>0</v>
      </c>
      <c r="AI2155">
        <v>0</v>
      </c>
      <c r="AJ2155">
        <v>155.99</v>
      </c>
      <c r="AK2155">
        <v>0.01</v>
      </c>
      <c r="AL2155" t="s">
        <v>53</v>
      </c>
      <c r="AM2155" t="s">
        <v>53</v>
      </c>
      <c r="AN2155" t="s">
        <v>84</v>
      </c>
      <c r="AO2155" t="s">
        <v>53</v>
      </c>
      <c r="AP2155" t="s">
        <v>53</v>
      </c>
    </row>
    <row r="2156" spans="2:42" x14ac:dyDescent="0.2">
      <c r="B2156" t="s">
        <v>44</v>
      </c>
      <c r="C2156" t="str">
        <f>HYPERLINK("https://us2.cloudbeds.com/connect/8493803454333002#/reservations/598533173440?display=E1EPF1WS&amp;reservation_id=598533173440", "E1EPF1WS")</f>
        <v>E1EPF1WS</v>
      </c>
      <c r="D2156" t="s">
        <v>45</v>
      </c>
      <c r="E2156" t="s">
        <v>213</v>
      </c>
      <c r="F2156" t="s">
        <v>86</v>
      </c>
      <c r="G2156" t="s">
        <v>48</v>
      </c>
      <c r="H2156" t="s">
        <v>49</v>
      </c>
      <c r="I2156" t="s">
        <v>79</v>
      </c>
      <c r="J2156" t="s">
        <v>1269</v>
      </c>
      <c r="K2156" t="s">
        <v>387</v>
      </c>
      <c r="L2156" t="s">
        <v>53</v>
      </c>
      <c r="N2156" t="s">
        <v>3466</v>
      </c>
      <c r="P2156" t="s">
        <v>55</v>
      </c>
      <c r="R2156" t="s">
        <v>56</v>
      </c>
      <c r="T2156" t="s">
        <v>3450</v>
      </c>
      <c r="U2156" t="s">
        <v>58</v>
      </c>
      <c r="V2156">
        <v>1</v>
      </c>
      <c r="W2156">
        <v>1</v>
      </c>
      <c r="X2156">
        <v>1</v>
      </c>
      <c r="Y2156">
        <v>0</v>
      </c>
      <c r="Z2156">
        <v>1</v>
      </c>
      <c r="AA2156">
        <v>0</v>
      </c>
      <c r="AB2156">
        <v>180.02</v>
      </c>
      <c r="AC2156">
        <v>158.4</v>
      </c>
      <c r="AD2156">
        <v>0</v>
      </c>
      <c r="AE2156">
        <v>21.62</v>
      </c>
      <c r="AF2156">
        <v>0</v>
      </c>
      <c r="AG2156">
        <v>0</v>
      </c>
      <c r="AH2156">
        <v>0</v>
      </c>
      <c r="AI2156">
        <v>0</v>
      </c>
      <c r="AJ2156">
        <v>180.02</v>
      </c>
      <c r="AK2156">
        <v>0</v>
      </c>
      <c r="AL2156" t="s">
        <v>53</v>
      </c>
      <c r="AM2156" t="s">
        <v>53</v>
      </c>
      <c r="AN2156" t="s">
        <v>252</v>
      </c>
      <c r="AO2156" t="s">
        <v>53</v>
      </c>
      <c r="AP2156" t="s">
        <v>53</v>
      </c>
    </row>
    <row r="2157" spans="2:42" x14ac:dyDescent="0.2">
      <c r="B2157" t="s">
        <v>44</v>
      </c>
      <c r="C2157" t="str">
        <f>HYPERLINK("https://us2.cloudbeds.com/connect/8493803454333002#/reservations/579345866978?display=DJJKPP9V&amp;reservation_id=579345866978", "DJJKPP9V")</f>
        <v>DJJKPP9V</v>
      </c>
      <c r="D2157" t="s">
        <v>45</v>
      </c>
      <c r="E2157" t="s">
        <v>110</v>
      </c>
      <c r="F2157" t="s">
        <v>47</v>
      </c>
      <c r="G2157" t="s">
        <v>48</v>
      </c>
      <c r="H2157" t="s">
        <v>49</v>
      </c>
      <c r="I2157" t="s">
        <v>50</v>
      </c>
      <c r="J2157" t="s">
        <v>2206</v>
      </c>
      <c r="K2157" t="s">
        <v>1903</v>
      </c>
      <c r="L2157" t="s">
        <v>53</v>
      </c>
      <c r="N2157" t="s">
        <v>3467</v>
      </c>
      <c r="P2157" t="s">
        <v>55</v>
      </c>
      <c r="R2157" t="s">
        <v>56</v>
      </c>
      <c r="T2157" t="s">
        <v>3450</v>
      </c>
      <c r="U2157" t="s">
        <v>58</v>
      </c>
      <c r="V2157">
        <v>2</v>
      </c>
      <c r="W2157">
        <v>1</v>
      </c>
      <c r="X2157">
        <v>1</v>
      </c>
      <c r="Y2157">
        <v>0</v>
      </c>
      <c r="Z2157">
        <v>1</v>
      </c>
      <c r="AA2157">
        <v>0</v>
      </c>
      <c r="AB2157">
        <v>298.68</v>
      </c>
      <c r="AC2157">
        <v>262.8</v>
      </c>
      <c r="AD2157">
        <v>0</v>
      </c>
      <c r="AE2157">
        <v>35.880000000000003</v>
      </c>
      <c r="AF2157">
        <v>0</v>
      </c>
      <c r="AG2157">
        <v>0</v>
      </c>
      <c r="AH2157">
        <v>0</v>
      </c>
      <c r="AI2157">
        <v>53.76</v>
      </c>
      <c r="AJ2157">
        <v>298.68</v>
      </c>
      <c r="AK2157">
        <v>0</v>
      </c>
      <c r="AL2157" t="s">
        <v>53</v>
      </c>
      <c r="AM2157" t="s">
        <v>53</v>
      </c>
      <c r="AN2157" t="s">
        <v>104</v>
      </c>
      <c r="AO2157" t="s">
        <v>53</v>
      </c>
      <c r="AP2157" t="s">
        <v>53</v>
      </c>
    </row>
    <row r="2158" spans="2:42" x14ac:dyDescent="0.2">
      <c r="B2158" t="s">
        <v>44</v>
      </c>
      <c r="C2158" t="str">
        <f>HYPERLINK("https://us2.cloudbeds.com/connect/8493803454333002#/reservations/579390312648?display=DJKP8HJE&amp;reservation_id=579390312648", "DJKP8HJE")</f>
        <v>DJKP8HJE</v>
      </c>
      <c r="D2158" t="s">
        <v>45</v>
      </c>
      <c r="E2158" t="s">
        <v>113</v>
      </c>
      <c r="F2158" t="s">
        <v>61</v>
      </c>
      <c r="G2158" t="s">
        <v>48</v>
      </c>
      <c r="H2158" t="s">
        <v>49</v>
      </c>
      <c r="I2158" t="s">
        <v>50</v>
      </c>
      <c r="J2158" t="s">
        <v>1337</v>
      </c>
      <c r="K2158" t="s">
        <v>2062</v>
      </c>
      <c r="L2158" t="s">
        <v>53</v>
      </c>
      <c r="N2158" t="s">
        <v>3468</v>
      </c>
      <c r="P2158" t="s">
        <v>55</v>
      </c>
      <c r="R2158" t="s">
        <v>56</v>
      </c>
      <c r="T2158" t="s">
        <v>3469</v>
      </c>
      <c r="U2158" t="s">
        <v>58</v>
      </c>
      <c r="V2158">
        <v>1</v>
      </c>
      <c r="W2158">
        <v>1</v>
      </c>
      <c r="X2158">
        <v>1</v>
      </c>
      <c r="Y2158">
        <v>0</v>
      </c>
      <c r="Z2158">
        <v>1</v>
      </c>
      <c r="AA2158">
        <v>0</v>
      </c>
      <c r="AB2158">
        <v>145.47</v>
      </c>
      <c r="AC2158">
        <v>128</v>
      </c>
      <c r="AD2158">
        <v>0</v>
      </c>
      <c r="AE2158">
        <v>17.47</v>
      </c>
      <c r="AF2158">
        <v>0</v>
      </c>
      <c r="AG2158">
        <v>0</v>
      </c>
      <c r="AH2158">
        <v>0</v>
      </c>
      <c r="AI2158">
        <v>26.18</v>
      </c>
      <c r="AJ2158">
        <v>145.47</v>
      </c>
      <c r="AK2158">
        <v>0</v>
      </c>
      <c r="AL2158" t="s">
        <v>53</v>
      </c>
      <c r="AM2158" t="s">
        <v>53</v>
      </c>
      <c r="AN2158" t="s">
        <v>112</v>
      </c>
      <c r="AO2158" t="s">
        <v>53</v>
      </c>
      <c r="AP2158" t="s">
        <v>53</v>
      </c>
    </row>
    <row r="2159" spans="2:42" x14ac:dyDescent="0.2">
      <c r="B2159" t="s">
        <v>44</v>
      </c>
      <c r="C2159" t="str">
        <f>HYPERLINK("https://us2.cloudbeds.com/connect/8493803454333002#/reservations/579344040130?display=DJJJ7UZU&amp;reservation_id=579344040130", "DJJJ7UZU")</f>
        <v>DJJJ7UZU</v>
      </c>
      <c r="D2159" t="s">
        <v>45</v>
      </c>
      <c r="E2159" t="s">
        <v>98</v>
      </c>
      <c r="F2159" t="s">
        <v>86</v>
      </c>
      <c r="G2159" t="s">
        <v>48</v>
      </c>
      <c r="H2159" t="s">
        <v>49</v>
      </c>
      <c r="I2159" t="s">
        <v>50</v>
      </c>
      <c r="J2159" t="s">
        <v>1141</v>
      </c>
      <c r="K2159" t="s">
        <v>1451</v>
      </c>
      <c r="L2159" t="s">
        <v>53</v>
      </c>
      <c r="N2159" t="s">
        <v>3470</v>
      </c>
      <c r="P2159" t="s">
        <v>55</v>
      </c>
      <c r="R2159" t="s">
        <v>56</v>
      </c>
      <c r="T2159" t="s">
        <v>3469</v>
      </c>
      <c r="U2159" t="s">
        <v>58</v>
      </c>
      <c r="V2159">
        <v>2</v>
      </c>
      <c r="W2159">
        <v>1</v>
      </c>
      <c r="X2159">
        <v>1</v>
      </c>
      <c r="Y2159">
        <v>0</v>
      </c>
      <c r="Z2159">
        <v>1</v>
      </c>
      <c r="AA2159">
        <v>0</v>
      </c>
      <c r="AB2159">
        <v>0</v>
      </c>
      <c r="AC2159">
        <v>0</v>
      </c>
      <c r="AD2159">
        <v>0</v>
      </c>
      <c r="AE2159">
        <v>0</v>
      </c>
      <c r="AF2159">
        <v>0</v>
      </c>
      <c r="AG2159">
        <v>0</v>
      </c>
      <c r="AH2159">
        <v>0</v>
      </c>
      <c r="AI2159">
        <v>0</v>
      </c>
      <c r="AJ2159">
        <v>0</v>
      </c>
      <c r="AK2159">
        <v>0</v>
      </c>
      <c r="AL2159" t="s">
        <v>53</v>
      </c>
      <c r="AM2159" t="s">
        <v>53</v>
      </c>
      <c r="AN2159" t="s">
        <v>3471</v>
      </c>
      <c r="AO2159" t="s">
        <v>53</v>
      </c>
      <c r="AP2159" t="s">
        <v>53</v>
      </c>
    </row>
    <row r="2160" spans="2:42" x14ac:dyDescent="0.2">
      <c r="B2160" t="s">
        <v>44</v>
      </c>
      <c r="C2160" t="str">
        <f>HYPERLINK("https://us2.cloudbeds.com/connect/8493803454333002#/reservations/598602309825?display=E1GMAM92&amp;reservation_id=598602309825", "E1GMAM92")</f>
        <v>E1GMAM92</v>
      </c>
      <c r="D2160" t="s">
        <v>45</v>
      </c>
      <c r="E2160" t="s">
        <v>69</v>
      </c>
      <c r="F2160" t="s">
        <v>70</v>
      </c>
      <c r="G2160" t="s">
        <v>48</v>
      </c>
      <c r="H2160" t="s">
        <v>71</v>
      </c>
      <c r="I2160" t="s">
        <v>72</v>
      </c>
      <c r="J2160" t="s">
        <v>1750</v>
      </c>
      <c r="K2160" t="s">
        <v>1269</v>
      </c>
      <c r="L2160" t="s">
        <v>53</v>
      </c>
      <c r="N2160" t="s">
        <v>3472</v>
      </c>
      <c r="P2160" t="s">
        <v>58</v>
      </c>
      <c r="R2160" t="s">
        <v>56</v>
      </c>
      <c r="T2160" t="s">
        <v>3469</v>
      </c>
      <c r="U2160" t="s">
        <v>58</v>
      </c>
      <c r="V2160">
        <v>1</v>
      </c>
      <c r="W2160">
        <v>1</v>
      </c>
      <c r="X2160">
        <v>1</v>
      </c>
      <c r="Y2160">
        <v>0</v>
      </c>
      <c r="Z2160">
        <v>1</v>
      </c>
      <c r="AA2160">
        <v>0</v>
      </c>
      <c r="AB2160">
        <v>147.75</v>
      </c>
      <c r="AC2160">
        <v>130</v>
      </c>
      <c r="AD2160">
        <v>0</v>
      </c>
      <c r="AE2160">
        <v>17.75</v>
      </c>
      <c r="AF2160">
        <v>0</v>
      </c>
      <c r="AG2160">
        <v>0</v>
      </c>
      <c r="AH2160">
        <v>0</v>
      </c>
      <c r="AI2160">
        <v>0</v>
      </c>
      <c r="AJ2160">
        <v>147.75</v>
      </c>
      <c r="AK2160">
        <v>0</v>
      </c>
      <c r="AL2160" t="s">
        <v>53</v>
      </c>
      <c r="AM2160" t="s">
        <v>53</v>
      </c>
      <c r="AN2160" t="s">
        <v>3473</v>
      </c>
      <c r="AO2160" t="s">
        <v>53</v>
      </c>
      <c r="AP2160" t="s">
        <v>53</v>
      </c>
    </row>
    <row r="2161" spans="2:42" x14ac:dyDescent="0.2">
      <c r="B2161" t="s">
        <v>44</v>
      </c>
      <c r="C2161" t="str">
        <f>HYPERLINK("https://us2.cloudbeds.com/connect/8493803454333002#/reservations/598223831200?display=E1705VAQ&amp;reservation_id=598223831200", "E1705VAQ")</f>
        <v>E1705VAQ</v>
      </c>
      <c r="D2161" t="s">
        <v>45</v>
      </c>
      <c r="E2161" t="s">
        <v>46</v>
      </c>
      <c r="F2161" t="s">
        <v>47</v>
      </c>
      <c r="G2161" t="s">
        <v>48</v>
      </c>
      <c r="H2161" t="s">
        <v>49</v>
      </c>
      <c r="I2161" t="s">
        <v>50</v>
      </c>
      <c r="J2161" t="s">
        <v>351</v>
      </c>
      <c r="K2161" t="s">
        <v>99</v>
      </c>
      <c r="L2161" t="s">
        <v>53</v>
      </c>
      <c r="N2161" t="s">
        <v>3474</v>
      </c>
      <c r="P2161" t="s">
        <v>55</v>
      </c>
      <c r="R2161" t="s">
        <v>56</v>
      </c>
      <c r="T2161" t="s">
        <v>3469</v>
      </c>
      <c r="U2161" t="s">
        <v>58</v>
      </c>
      <c r="V2161">
        <v>1</v>
      </c>
      <c r="W2161">
        <v>1</v>
      </c>
      <c r="X2161">
        <v>1</v>
      </c>
      <c r="Y2161">
        <v>0</v>
      </c>
      <c r="Z2161">
        <v>1</v>
      </c>
      <c r="AA2161">
        <v>0</v>
      </c>
      <c r="AB2161">
        <v>159.56</v>
      </c>
      <c r="AC2161">
        <v>140.4</v>
      </c>
      <c r="AD2161">
        <v>0</v>
      </c>
      <c r="AE2161">
        <v>19.16</v>
      </c>
      <c r="AF2161">
        <v>0</v>
      </c>
      <c r="AG2161">
        <v>0</v>
      </c>
      <c r="AH2161">
        <v>0</v>
      </c>
      <c r="AI2161">
        <v>28.72</v>
      </c>
      <c r="AJ2161">
        <v>159.56</v>
      </c>
      <c r="AK2161">
        <v>0</v>
      </c>
      <c r="AL2161" t="s">
        <v>53</v>
      </c>
      <c r="AM2161" t="s">
        <v>53</v>
      </c>
      <c r="AN2161" t="s">
        <v>178</v>
      </c>
      <c r="AO2161" t="s">
        <v>53</v>
      </c>
      <c r="AP2161" t="s">
        <v>53</v>
      </c>
    </row>
    <row r="2162" spans="2:42" x14ac:dyDescent="0.2">
      <c r="B2162" t="s">
        <v>44</v>
      </c>
      <c r="C2162" t="str">
        <f>HYPERLINK("https://us2.cloudbeds.com/connect/8493803454333002#/reservations/579316699278?display=DJXT64C8&amp;reservation_id=579316699278", "DJXT64C8")</f>
        <v>DJXT64C8</v>
      </c>
      <c r="D2162" t="s">
        <v>45</v>
      </c>
      <c r="E2162" t="s">
        <v>179</v>
      </c>
      <c r="F2162" t="s">
        <v>47</v>
      </c>
      <c r="G2162" t="s">
        <v>48</v>
      </c>
      <c r="H2162" t="s">
        <v>49</v>
      </c>
      <c r="I2162" t="s">
        <v>50</v>
      </c>
      <c r="J2162" t="s">
        <v>2039</v>
      </c>
      <c r="K2162" t="s">
        <v>1141</v>
      </c>
      <c r="L2162" t="s">
        <v>53</v>
      </c>
      <c r="N2162" t="s">
        <v>3475</v>
      </c>
      <c r="P2162" t="s">
        <v>55</v>
      </c>
      <c r="R2162" t="s">
        <v>56</v>
      </c>
      <c r="T2162" t="s">
        <v>3469</v>
      </c>
      <c r="U2162" t="s">
        <v>58</v>
      </c>
      <c r="V2162">
        <v>1</v>
      </c>
      <c r="W2162">
        <v>1</v>
      </c>
      <c r="X2162">
        <v>1</v>
      </c>
      <c r="Y2162">
        <v>0</v>
      </c>
      <c r="Z2162">
        <v>1</v>
      </c>
      <c r="AA2162">
        <v>0</v>
      </c>
      <c r="AB2162">
        <v>148.31</v>
      </c>
      <c r="AC2162">
        <v>130.5</v>
      </c>
      <c r="AD2162">
        <v>0</v>
      </c>
      <c r="AE2162">
        <v>17.809999999999999</v>
      </c>
      <c r="AF2162">
        <v>0</v>
      </c>
      <c r="AG2162">
        <v>0</v>
      </c>
      <c r="AH2162">
        <v>0</v>
      </c>
      <c r="AI2162">
        <v>26.7</v>
      </c>
      <c r="AJ2162">
        <v>148.31</v>
      </c>
      <c r="AK2162">
        <v>0</v>
      </c>
      <c r="AL2162" t="s">
        <v>53</v>
      </c>
      <c r="AM2162" t="s">
        <v>53</v>
      </c>
      <c r="AN2162" t="s">
        <v>159</v>
      </c>
      <c r="AO2162" t="s">
        <v>53</v>
      </c>
      <c r="AP2162" t="s">
        <v>53</v>
      </c>
    </row>
    <row r="2163" spans="2:42" x14ac:dyDescent="0.2">
      <c r="B2163" t="s">
        <v>44</v>
      </c>
      <c r="C2163" t="str">
        <f>HYPERLINK("https://us2.cloudbeds.com/connect/8493803454333002#/reservations/598530941120?display=E1ES4KXR&amp;reservation_id=598530941120", "E1ES4KXR")</f>
        <v>E1ES4KXR</v>
      </c>
      <c r="D2163" t="s">
        <v>45</v>
      </c>
      <c r="E2163" t="s">
        <v>381</v>
      </c>
      <c r="F2163" t="s">
        <v>47</v>
      </c>
      <c r="G2163" t="s">
        <v>48</v>
      </c>
      <c r="H2163" t="s">
        <v>49</v>
      </c>
      <c r="I2163" t="s">
        <v>62</v>
      </c>
      <c r="J2163" t="s">
        <v>215</v>
      </c>
      <c r="K2163" t="s">
        <v>1792</v>
      </c>
      <c r="L2163" t="s">
        <v>53</v>
      </c>
      <c r="N2163" t="s">
        <v>3476</v>
      </c>
      <c r="P2163" t="s">
        <v>55</v>
      </c>
      <c r="R2163" t="s">
        <v>56</v>
      </c>
      <c r="T2163" t="s">
        <v>3469</v>
      </c>
      <c r="U2163" t="s">
        <v>58</v>
      </c>
      <c r="V2163">
        <v>2</v>
      </c>
      <c r="W2163">
        <v>1</v>
      </c>
      <c r="X2163">
        <v>1</v>
      </c>
      <c r="Y2163">
        <v>0</v>
      </c>
      <c r="Z2163">
        <v>1</v>
      </c>
      <c r="AA2163">
        <v>0</v>
      </c>
      <c r="AB2163">
        <v>346.63</v>
      </c>
      <c r="AC2163">
        <v>305</v>
      </c>
      <c r="AD2163">
        <v>0</v>
      </c>
      <c r="AE2163">
        <v>41.64</v>
      </c>
      <c r="AF2163">
        <v>0</v>
      </c>
      <c r="AG2163">
        <v>0</v>
      </c>
      <c r="AH2163">
        <v>0</v>
      </c>
      <c r="AI2163">
        <v>52</v>
      </c>
      <c r="AJ2163">
        <v>346.64</v>
      </c>
      <c r="AK2163">
        <v>0.01</v>
      </c>
      <c r="AL2163" t="s">
        <v>53</v>
      </c>
      <c r="AM2163" t="s">
        <v>53</v>
      </c>
      <c r="AN2163" t="s">
        <v>3477</v>
      </c>
      <c r="AO2163" t="s">
        <v>53</v>
      </c>
      <c r="AP2163" t="s">
        <v>53</v>
      </c>
    </row>
    <row r="2164" spans="2:42" x14ac:dyDescent="0.2">
      <c r="B2164" t="s">
        <v>44</v>
      </c>
      <c r="C2164" t="str">
        <f>HYPERLINK("https://us2.cloudbeds.com/connect/8493803454333002#/reservations/579342811321?display=DJJX6ZC8&amp;reservation_id=579342811321", "DJJX6ZC8")</f>
        <v>DJJX6ZC8</v>
      </c>
      <c r="D2164" t="s">
        <v>45</v>
      </c>
      <c r="E2164" t="s">
        <v>46</v>
      </c>
      <c r="F2164" t="s">
        <v>47</v>
      </c>
      <c r="G2164" t="s">
        <v>48</v>
      </c>
      <c r="H2164" t="s">
        <v>49</v>
      </c>
      <c r="I2164" t="s">
        <v>50</v>
      </c>
      <c r="J2164" t="s">
        <v>2494</v>
      </c>
      <c r="K2164" t="s">
        <v>1405</v>
      </c>
      <c r="L2164" t="s">
        <v>53</v>
      </c>
      <c r="N2164" t="s">
        <v>3478</v>
      </c>
      <c r="P2164" t="s">
        <v>55</v>
      </c>
      <c r="R2164" t="s">
        <v>56</v>
      </c>
      <c r="T2164" t="s">
        <v>3469</v>
      </c>
      <c r="U2164" t="s">
        <v>58</v>
      </c>
      <c r="V2164">
        <v>2</v>
      </c>
      <c r="W2164">
        <v>1</v>
      </c>
      <c r="X2164">
        <v>1</v>
      </c>
      <c r="Y2164">
        <v>0</v>
      </c>
      <c r="Z2164">
        <v>1</v>
      </c>
      <c r="AA2164">
        <v>0</v>
      </c>
      <c r="AB2164">
        <v>303.8</v>
      </c>
      <c r="AC2164">
        <v>267.3</v>
      </c>
      <c r="AD2164">
        <v>0</v>
      </c>
      <c r="AE2164">
        <v>36.5</v>
      </c>
      <c r="AF2164">
        <v>0</v>
      </c>
      <c r="AG2164">
        <v>0</v>
      </c>
      <c r="AH2164">
        <v>0</v>
      </c>
      <c r="AI2164">
        <v>54.68</v>
      </c>
      <c r="AJ2164">
        <v>303.8</v>
      </c>
      <c r="AK2164">
        <v>0</v>
      </c>
      <c r="AL2164" t="s">
        <v>53</v>
      </c>
      <c r="AM2164" t="s">
        <v>53</v>
      </c>
      <c r="AN2164" t="s">
        <v>316</v>
      </c>
      <c r="AO2164" t="s">
        <v>53</v>
      </c>
      <c r="AP2164" t="s">
        <v>53</v>
      </c>
    </row>
    <row r="2165" spans="2:42" x14ac:dyDescent="0.2">
      <c r="B2165" t="s">
        <v>44</v>
      </c>
      <c r="C2165" t="str">
        <f>HYPERLINK("https://us2.cloudbeds.com/connect/8493803454333002#/reservations/579320627352?display=DJXWGEDQ&amp;reservation_id=579320627352", "DJXWGEDQ")</f>
        <v>DJXWGEDQ</v>
      </c>
      <c r="D2165" t="s">
        <v>45</v>
      </c>
      <c r="E2165" t="s">
        <v>223</v>
      </c>
      <c r="F2165" t="s">
        <v>47</v>
      </c>
      <c r="G2165" t="s">
        <v>48</v>
      </c>
      <c r="H2165" t="s">
        <v>49</v>
      </c>
      <c r="I2165" t="s">
        <v>79</v>
      </c>
      <c r="J2165" t="s">
        <v>2494</v>
      </c>
      <c r="K2165" t="s">
        <v>2545</v>
      </c>
      <c r="L2165" t="s">
        <v>53</v>
      </c>
      <c r="N2165" t="s">
        <v>3479</v>
      </c>
      <c r="P2165" t="s">
        <v>55</v>
      </c>
      <c r="R2165" t="s">
        <v>56</v>
      </c>
      <c r="T2165" t="s">
        <v>3469</v>
      </c>
      <c r="U2165" t="s">
        <v>58</v>
      </c>
      <c r="V2165">
        <v>1</v>
      </c>
      <c r="W2165">
        <v>1</v>
      </c>
      <c r="X2165">
        <v>1</v>
      </c>
      <c r="Y2165">
        <v>0</v>
      </c>
      <c r="Z2165">
        <v>1</v>
      </c>
      <c r="AA2165">
        <v>0</v>
      </c>
      <c r="AB2165">
        <v>154.44999999999999</v>
      </c>
      <c r="AC2165">
        <v>135.9</v>
      </c>
      <c r="AD2165">
        <v>0</v>
      </c>
      <c r="AE2165">
        <v>18.55</v>
      </c>
      <c r="AF2165">
        <v>0</v>
      </c>
      <c r="AG2165">
        <v>0</v>
      </c>
      <c r="AH2165">
        <v>0</v>
      </c>
      <c r="AI2165">
        <v>0</v>
      </c>
      <c r="AJ2165">
        <v>154.44999999999999</v>
      </c>
      <c r="AK2165">
        <v>0</v>
      </c>
      <c r="AL2165" t="s">
        <v>53</v>
      </c>
      <c r="AM2165" t="s">
        <v>53</v>
      </c>
      <c r="AN2165" t="s">
        <v>252</v>
      </c>
      <c r="AO2165" t="s">
        <v>53</v>
      </c>
      <c r="AP2165" t="s">
        <v>53</v>
      </c>
    </row>
    <row r="2166" spans="2:42" x14ac:dyDescent="0.2">
      <c r="B2166" t="s">
        <v>44</v>
      </c>
      <c r="C2166" t="str">
        <f>HYPERLINK("https://us2.cloudbeds.com/connect/8493803454333002#/reservations/579235008707?display=DJGQ9W2D&amp;reservation_id=579235008707", "DJGQ9W2D")</f>
        <v>DJGQ9W2D</v>
      </c>
      <c r="D2166" t="s">
        <v>45</v>
      </c>
      <c r="E2166" t="s">
        <v>121</v>
      </c>
      <c r="F2166" t="s">
        <v>86</v>
      </c>
      <c r="G2166" t="s">
        <v>48</v>
      </c>
      <c r="H2166" t="s">
        <v>71</v>
      </c>
      <c r="I2166" t="s">
        <v>72</v>
      </c>
      <c r="J2166" t="s">
        <v>2314</v>
      </c>
      <c r="K2166" t="s">
        <v>1555</v>
      </c>
      <c r="L2166" t="s">
        <v>53</v>
      </c>
      <c r="N2166" t="s">
        <v>3480</v>
      </c>
      <c r="P2166" t="s">
        <v>55</v>
      </c>
      <c r="R2166" t="s">
        <v>56</v>
      </c>
      <c r="T2166" t="s">
        <v>3469</v>
      </c>
      <c r="U2166" t="s">
        <v>58</v>
      </c>
      <c r="V2166">
        <v>1</v>
      </c>
      <c r="W2166">
        <v>1</v>
      </c>
      <c r="X2166">
        <v>1</v>
      </c>
      <c r="Y2166">
        <v>0</v>
      </c>
      <c r="Z2166">
        <v>1</v>
      </c>
      <c r="AA2166">
        <v>0</v>
      </c>
      <c r="AB2166">
        <v>184.12</v>
      </c>
      <c r="AC2166">
        <v>162</v>
      </c>
      <c r="AD2166">
        <v>0</v>
      </c>
      <c r="AE2166">
        <v>22.12</v>
      </c>
      <c r="AF2166">
        <v>0</v>
      </c>
      <c r="AG2166">
        <v>0</v>
      </c>
      <c r="AH2166">
        <v>0</v>
      </c>
      <c r="AI2166">
        <v>0</v>
      </c>
      <c r="AJ2166">
        <v>184.12</v>
      </c>
      <c r="AK2166">
        <v>0</v>
      </c>
      <c r="AL2166" t="s">
        <v>53</v>
      </c>
      <c r="AM2166" t="s">
        <v>53</v>
      </c>
      <c r="AN2166" t="s">
        <v>3481</v>
      </c>
      <c r="AO2166" t="s">
        <v>53</v>
      </c>
      <c r="AP2166" t="s">
        <v>53</v>
      </c>
    </row>
    <row r="2167" spans="2:42" x14ac:dyDescent="0.2">
      <c r="B2167" t="s">
        <v>44</v>
      </c>
      <c r="C2167" t="str">
        <f>HYPERLINK("https://us2.cloudbeds.com/connect/8493803454333002#/reservations/579294617731?display=DJXAXMFF&amp;reservation_id=579294617731", "DJXAXMFF")</f>
        <v>DJXAXMFF</v>
      </c>
      <c r="D2167" t="s">
        <v>45</v>
      </c>
      <c r="E2167" t="s">
        <v>92</v>
      </c>
      <c r="F2167" t="s">
        <v>86</v>
      </c>
      <c r="G2167" t="s">
        <v>48</v>
      </c>
      <c r="H2167" t="s">
        <v>71</v>
      </c>
      <c r="I2167" t="s">
        <v>72</v>
      </c>
      <c r="J2167" t="s">
        <v>1985</v>
      </c>
      <c r="K2167" t="s">
        <v>2022</v>
      </c>
      <c r="L2167" t="s">
        <v>53</v>
      </c>
      <c r="N2167" t="s">
        <v>3482</v>
      </c>
      <c r="P2167" t="s">
        <v>55</v>
      </c>
      <c r="R2167" t="s">
        <v>56</v>
      </c>
      <c r="T2167" t="s">
        <v>3483</v>
      </c>
      <c r="U2167" t="s">
        <v>58</v>
      </c>
      <c r="V2167">
        <v>1</v>
      </c>
      <c r="W2167">
        <v>1</v>
      </c>
      <c r="X2167">
        <v>1</v>
      </c>
      <c r="Y2167">
        <v>0</v>
      </c>
      <c r="Z2167">
        <v>1</v>
      </c>
      <c r="AA2167">
        <v>0</v>
      </c>
      <c r="AB2167">
        <v>185.26</v>
      </c>
      <c r="AC2167">
        <v>163</v>
      </c>
      <c r="AD2167">
        <v>0</v>
      </c>
      <c r="AE2167">
        <v>22.26</v>
      </c>
      <c r="AF2167">
        <v>0</v>
      </c>
      <c r="AG2167">
        <v>0</v>
      </c>
      <c r="AH2167">
        <v>0</v>
      </c>
      <c r="AI2167">
        <v>0</v>
      </c>
      <c r="AJ2167">
        <v>185.26</v>
      </c>
      <c r="AK2167">
        <v>0</v>
      </c>
      <c r="AL2167" t="s">
        <v>53</v>
      </c>
      <c r="AM2167" t="s">
        <v>53</v>
      </c>
      <c r="AN2167" t="s">
        <v>3484</v>
      </c>
      <c r="AO2167" t="s">
        <v>53</v>
      </c>
      <c r="AP2167" t="s">
        <v>53</v>
      </c>
    </row>
    <row r="2168" spans="2:42" x14ac:dyDescent="0.2">
      <c r="B2168" t="s">
        <v>44</v>
      </c>
      <c r="C2168" t="str">
        <f>HYPERLINK("https://us2.cloudbeds.com/connect/8493803454333002#/reservations/598553608416?display=E1FE8G1Q&amp;reservation_id=598553608416", "E1FE8G1Q")</f>
        <v>E1FE8G1Q</v>
      </c>
      <c r="D2168" t="s">
        <v>45</v>
      </c>
      <c r="E2168" t="s">
        <v>110</v>
      </c>
      <c r="F2168" t="s">
        <v>47</v>
      </c>
      <c r="G2168" t="s">
        <v>48</v>
      </c>
      <c r="H2168" t="s">
        <v>49</v>
      </c>
      <c r="I2168" t="s">
        <v>79</v>
      </c>
      <c r="J2168" t="s">
        <v>1269</v>
      </c>
      <c r="K2168" t="s">
        <v>387</v>
      </c>
      <c r="L2168" t="s">
        <v>53</v>
      </c>
      <c r="N2168" t="s">
        <v>3485</v>
      </c>
      <c r="P2168" t="s">
        <v>55</v>
      </c>
      <c r="R2168" t="s">
        <v>56</v>
      </c>
      <c r="T2168" t="s">
        <v>3483</v>
      </c>
      <c r="U2168" t="s">
        <v>58</v>
      </c>
      <c r="V2168">
        <v>1</v>
      </c>
      <c r="W2168">
        <v>1</v>
      </c>
      <c r="X2168">
        <v>1</v>
      </c>
      <c r="Y2168">
        <v>0</v>
      </c>
      <c r="Z2168">
        <v>1</v>
      </c>
      <c r="AA2168">
        <v>0</v>
      </c>
      <c r="AB2168">
        <v>159.56</v>
      </c>
      <c r="AC2168">
        <v>140.4</v>
      </c>
      <c r="AD2168">
        <v>0</v>
      </c>
      <c r="AE2168">
        <v>19.16</v>
      </c>
      <c r="AF2168">
        <v>0</v>
      </c>
      <c r="AG2168">
        <v>0</v>
      </c>
      <c r="AH2168">
        <v>0</v>
      </c>
      <c r="AI2168">
        <v>0</v>
      </c>
      <c r="AJ2168">
        <v>159.56</v>
      </c>
      <c r="AK2168">
        <v>0</v>
      </c>
      <c r="AL2168" t="s">
        <v>53</v>
      </c>
      <c r="AM2168" t="s">
        <v>53</v>
      </c>
      <c r="AN2168" t="s">
        <v>97</v>
      </c>
      <c r="AO2168" t="s">
        <v>53</v>
      </c>
      <c r="AP2168" t="s">
        <v>53</v>
      </c>
    </row>
    <row r="2169" spans="2:42" x14ac:dyDescent="0.2">
      <c r="B2169" t="s">
        <v>44</v>
      </c>
      <c r="C2169" t="str">
        <f>HYPERLINK("https://us2.cloudbeds.com/connect/8493803454333002#/reservations/598509355138?display=E1E9V2EC&amp;reservation_id=598509355138", "E1E9V2EC")</f>
        <v>E1E9V2EC</v>
      </c>
      <c r="D2169" t="s">
        <v>45</v>
      </c>
      <c r="E2169" t="s">
        <v>213</v>
      </c>
      <c r="F2169" t="s">
        <v>86</v>
      </c>
      <c r="G2169" t="s">
        <v>48</v>
      </c>
      <c r="H2169" t="s">
        <v>71</v>
      </c>
      <c r="I2169" t="s">
        <v>72</v>
      </c>
      <c r="J2169" t="s">
        <v>1473</v>
      </c>
      <c r="K2169" t="s">
        <v>1750</v>
      </c>
      <c r="L2169" t="s">
        <v>53</v>
      </c>
      <c r="N2169" t="s">
        <v>3486</v>
      </c>
      <c r="P2169" t="s">
        <v>55</v>
      </c>
      <c r="R2169" t="s">
        <v>56</v>
      </c>
      <c r="T2169" t="s">
        <v>3483</v>
      </c>
      <c r="U2169" t="s">
        <v>58</v>
      </c>
      <c r="V2169">
        <v>1</v>
      </c>
      <c r="W2169">
        <v>1</v>
      </c>
      <c r="X2169">
        <v>1</v>
      </c>
      <c r="Y2169">
        <v>0</v>
      </c>
      <c r="Z2169">
        <v>1</v>
      </c>
      <c r="AA2169">
        <v>0</v>
      </c>
      <c r="AB2169">
        <v>184.66</v>
      </c>
      <c r="AC2169">
        <v>162.47999999999999</v>
      </c>
      <c r="AD2169">
        <v>0</v>
      </c>
      <c r="AE2169">
        <v>22.18</v>
      </c>
      <c r="AF2169">
        <v>0</v>
      </c>
      <c r="AG2169">
        <v>0</v>
      </c>
      <c r="AH2169">
        <v>0</v>
      </c>
      <c r="AI2169">
        <v>0</v>
      </c>
      <c r="AJ2169">
        <v>184.66</v>
      </c>
      <c r="AK2169">
        <v>0</v>
      </c>
      <c r="AL2169" t="s">
        <v>53</v>
      </c>
      <c r="AM2169" t="s">
        <v>53</v>
      </c>
      <c r="AN2169" t="s">
        <v>3487</v>
      </c>
      <c r="AO2169" t="s">
        <v>53</v>
      </c>
      <c r="AP2169" t="s">
        <v>53</v>
      </c>
    </row>
    <row r="2170" spans="2:42" x14ac:dyDescent="0.2">
      <c r="B2170" t="s">
        <v>44</v>
      </c>
      <c r="C2170" t="str">
        <f>HYPERLINK("https://us2.cloudbeds.com/connect/8493803454333002#/reservations/598524903597?display=E1EN1Z5Q&amp;reservation_id=598524903597", "E1EN1Z5Q")</f>
        <v>E1EN1Z5Q</v>
      </c>
      <c r="D2170" t="s">
        <v>45</v>
      </c>
      <c r="E2170" t="s">
        <v>155</v>
      </c>
      <c r="F2170" t="s">
        <v>86</v>
      </c>
      <c r="G2170" t="s">
        <v>48</v>
      </c>
      <c r="H2170" t="s">
        <v>71</v>
      </c>
      <c r="I2170" t="s">
        <v>72</v>
      </c>
      <c r="J2170" t="s">
        <v>152</v>
      </c>
      <c r="K2170" t="s">
        <v>1473</v>
      </c>
      <c r="L2170" t="s">
        <v>53</v>
      </c>
      <c r="N2170" t="s">
        <v>3488</v>
      </c>
      <c r="P2170" t="s">
        <v>55</v>
      </c>
      <c r="R2170" t="s">
        <v>56</v>
      </c>
      <c r="T2170" t="s">
        <v>3483</v>
      </c>
      <c r="U2170" t="s">
        <v>58</v>
      </c>
      <c r="V2170">
        <v>1</v>
      </c>
      <c r="W2170">
        <v>1</v>
      </c>
      <c r="X2170">
        <v>1</v>
      </c>
      <c r="Y2170">
        <v>0</v>
      </c>
      <c r="Z2170">
        <v>1</v>
      </c>
      <c r="AA2170">
        <v>0</v>
      </c>
      <c r="AB2170">
        <v>173.32</v>
      </c>
      <c r="AC2170">
        <v>152.5</v>
      </c>
      <c r="AD2170">
        <v>0</v>
      </c>
      <c r="AE2170">
        <v>20.82</v>
      </c>
      <c r="AF2170">
        <v>0</v>
      </c>
      <c r="AG2170">
        <v>0</v>
      </c>
      <c r="AH2170">
        <v>0</v>
      </c>
      <c r="AI2170">
        <v>0</v>
      </c>
      <c r="AJ2170">
        <v>173.32</v>
      </c>
      <c r="AK2170">
        <v>0</v>
      </c>
      <c r="AL2170" t="s">
        <v>53</v>
      </c>
      <c r="AM2170" t="s">
        <v>53</v>
      </c>
      <c r="AN2170" t="s">
        <v>378</v>
      </c>
      <c r="AO2170" t="s">
        <v>53</v>
      </c>
      <c r="AP2170" t="s">
        <v>53</v>
      </c>
    </row>
    <row r="2171" spans="2:42" x14ac:dyDescent="0.2">
      <c r="B2171" t="s">
        <v>44</v>
      </c>
      <c r="C2171" t="str">
        <f>HYPERLINK("https://us2.cloudbeds.com/connect/8493803454333002#/reservations/598486692037?display=E1DNREGZ&amp;reservation_id=598486692037", "E1DNREGZ")</f>
        <v>E1DNREGZ</v>
      </c>
      <c r="D2171" t="s">
        <v>45</v>
      </c>
      <c r="E2171" t="s">
        <v>373</v>
      </c>
      <c r="F2171" t="s">
        <v>47</v>
      </c>
      <c r="G2171" t="s">
        <v>48</v>
      </c>
      <c r="H2171" t="s">
        <v>49</v>
      </c>
      <c r="I2171" t="s">
        <v>50</v>
      </c>
      <c r="J2171" t="s">
        <v>1750</v>
      </c>
      <c r="K2171" t="s">
        <v>387</v>
      </c>
      <c r="L2171" t="s">
        <v>53</v>
      </c>
      <c r="N2171" t="s">
        <v>3489</v>
      </c>
      <c r="P2171" t="s">
        <v>55</v>
      </c>
      <c r="R2171" t="s">
        <v>56</v>
      </c>
      <c r="T2171" t="s">
        <v>3483</v>
      </c>
      <c r="U2171" t="s">
        <v>58</v>
      </c>
      <c r="V2171">
        <v>2</v>
      </c>
      <c r="W2171">
        <v>1</v>
      </c>
      <c r="X2171">
        <v>1</v>
      </c>
      <c r="Y2171">
        <v>0</v>
      </c>
      <c r="Z2171">
        <v>1</v>
      </c>
      <c r="AA2171">
        <v>0</v>
      </c>
      <c r="AB2171">
        <v>315.55</v>
      </c>
      <c r="AC2171">
        <v>277.64999999999998</v>
      </c>
      <c r="AD2171">
        <v>0</v>
      </c>
      <c r="AE2171">
        <v>37.92</v>
      </c>
      <c r="AF2171">
        <v>0</v>
      </c>
      <c r="AG2171">
        <v>0</v>
      </c>
      <c r="AH2171">
        <v>0</v>
      </c>
      <c r="AI2171">
        <v>56.8</v>
      </c>
      <c r="AJ2171">
        <v>315.57</v>
      </c>
      <c r="AK2171">
        <v>0.02</v>
      </c>
      <c r="AL2171" t="s">
        <v>53</v>
      </c>
      <c r="AM2171" t="s">
        <v>53</v>
      </c>
      <c r="AN2171" t="s">
        <v>127</v>
      </c>
      <c r="AO2171" t="s">
        <v>53</v>
      </c>
      <c r="AP2171" t="s">
        <v>53</v>
      </c>
    </row>
    <row r="2172" spans="2:42" x14ac:dyDescent="0.2">
      <c r="B2172" t="s">
        <v>44</v>
      </c>
      <c r="C2172" t="str">
        <f>HYPERLINK("https://us2.cloudbeds.com/connect/8493803454333002#/reservations/598460883105?display=E1D228RT&amp;reservation_id=598460883105", "E1D228RT")</f>
        <v>E1D228RT</v>
      </c>
      <c r="D2172" t="s">
        <v>45</v>
      </c>
      <c r="E2172" t="s">
        <v>69</v>
      </c>
      <c r="F2172" t="s">
        <v>70</v>
      </c>
      <c r="G2172" t="s">
        <v>48</v>
      </c>
      <c r="H2172" t="s">
        <v>49</v>
      </c>
      <c r="I2172" t="s">
        <v>79</v>
      </c>
      <c r="J2172" t="s">
        <v>152</v>
      </c>
      <c r="K2172" t="s">
        <v>1473</v>
      </c>
      <c r="L2172" t="s">
        <v>53</v>
      </c>
      <c r="N2172" t="s">
        <v>3490</v>
      </c>
      <c r="P2172" t="s">
        <v>55</v>
      </c>
      <c r="R2172" t="s">
        <v>56</v>
      </c>
      <c r="T2172" t="s">
        <v>3483</v>
      </c>
      <c r="U2172" t="s">
        <v>58</v>
      </c>
      <c r="V2172">
        <v>1</v>
      </c>
      <c r="W2172">
        <v>1</v>
      </c>
      <c r="X2172">
        <v>1</v>
      </c>
      <c r="Y2172">
        <v>0</v>
      </c>
      <c r="Z2172">
        <v>1</v>
      </c>
      <c r="AA2172">
        <v>0</v>
      </c>
      <c r="AB2172">
        <v>133.99</v>
      </c>
      <c r="AC2172">
        <v>117.9</v>
      </c>
      <c r="AD2172">
        <v>0</v>
      </c>
      <c r="AE2172">
        <v>16.100000000000001</v>
      </c>
      <c r="AF2172">
        <v>0</v>
      </c>
      <c r="AG2172">
        <v>0</v>
      </c>
      <c r="AH2172">
        <v>0</v>
      </c>
      <c r="AI2172">
        <v>0</v>
      </c>
      <c r="AJ2172">
        <v>134</v>
      </c>
      <c r="AK2172">
        <v>0.01</v>
      </c>
      <c r="AL2172" t="s">
        <v>53</v>
      </c>
      <c r="AM2172" t="s">
        <v>53</v>
      </c>
      <c r="AN2172" t="s">
        <v>68</v>
      </c>
      <c r="AO2172" t="s">
        <v>53</v>
      </c>
      <c r="AP2172" t="s">
        <v>53</v>
      </c>
    </row>
    <row r="2173" spans="2:42" x14ac:dyDescent="0.2">
      <c r="B2173" t="s">
        <v>44</v>
      </c>
      <c r="C2173" t="str">
        <f>HYPERLINK("https://us2.cloudbeds.com/connect/8493803454333002#/reservations/598493282497?display=E1DTCRBY&amp;reservation_id=598493282497", "E1DTCRBY")</f>
        <v>E1DTCRBY</v>
      </c>
      <c r="D2173" t="s">
        <v>45</v>
      </c>
      <c r="E2173" t="s">
        <v>78</v>
      </c>
      <c r="F2173" t="s">
        <v>61</v>
      </c>
      <c r="G2173" t="s">
        <v>48</v>
      </c>
      <c r="H2173" t="s">
        <v>49</v>
      </c>
      <c r="I2173" t="s">
        <v>266</v>
      </c>
      <c r="J2173" t="s">
        <v>388</v>
      </c>
      <c r="K2173" t="s">
        <v>214</v>
      </c>
      <c r="L2173" t="s">
        <v>53</v>
      </c>
      <c r="N2173" t="s">
        <v>3491</v>
      </c>
      <c r="P2173" t="s">
        <v>55</v>
      </c>
      <c r="R2173" t="s">
        <v>56</v>
      </c>
      <c r="T2173" t="s">
        <v>3483</v>
      </c>
      <c r="U2173" t="s">
        <v>58</v>
      </c>
      <c r="V2173">
        <v>2</v>
      </c>
      <c r="W2173">
        <v>1</v>
      </c>
      <c r="X2173">
        <v>1</v>
      </c>
      <c r="Y2173">
        <v>0</v>
      </c>
      <c r="Z2173">
        <v>1</v>
      </c>
      <c r="AA2173">
        <v>0</v>
      </c>
      <c r="AB2173">
        <v>337.54</v>
      </c>
      <c r="AC2173">
        <v>297</v>
      </c>
      <c r="AD2173">
        <v>0</v>
      </c>
      <c r="AE2173">
        <v>40.56</v>
      </c>
      <c r="AF2173">
        <v>0</v>
      </c>
      <c r="AG2173">
        <v>0</v>
      </c>
      <c r="AH2173">
        <v>0</v>
      </c>
      <c r="AI2173">
        <v>0</v>
      </c>
      <c r="AJ2173">
        <v>337.56</v>
      </c>
      <c r="AK2173">
        <v>0.02</v>
      </c>
      <c r="AL2173" t="s">
        <v>53</v>
      </c>
      <c r="AM2173" t="s">
        <v>53</v>
      </c>
      <c r="AN2173" t="s">
        <v>198</v>
      </c>
      <c r="AO2173" t="s">
        <v>53</v>
      </c>
      <c r="AP2173" t="s">
        <v>53</v>
      </c>
    </row>
    <row r="2174" spans="2:42" x14ac:dyDescent="0.2">
      <c r="B2174" t="s">
        <v>44</v>
      </c>
      <c r="C2174" t="str">
        <f>HYPERLINK("https://us2.cloudbeds.com/connect/8493803454333002#/reservations/598565482721?display=E1FZ8TU6&amp;reservation_id=598565482721", "E1FZ8TU6")</f>
        <v>E1FZ8TU6</v>
      </c>
      <c r="D2174" t="s">
        <v>45</v>
      </c>
      <c r="E2174" t="s">
        <v>165</v>
      </c>
      <c r="F2174" t="s">
        <v>61</v>
      </c>
      <c r="G2174" t="s">
        <v>48</v>
      </c>
      <c r="H2174" t="s">
        <v>49</v>
      </c>
      <c r="I2174" t="s">
        <v>50</v>
      </c>
      <c r="J2174" t="s">
        <v>152</v>
      </c>
      <c r="K2174" t="s">
        <v>1473</v>
      </c>
      <c r="L2174" t="s">
        <v>53</v>
      </c>
      <c r="N2174" t="s">
        <v>3492</v>
      </c>
      <c r="P2174" t="s">
        <v>55</v>
      </c>
      <c r="R2174" t="s">
        <v>56</v>
      </c>
      <c r="T2174" t="s">
        <v>3483</v>
      </c>
      <c r="U2174" t="s">
        <v>58</v>
      </c>
      <c r="V2174">
        <v>1</v>
      </c>
      <c r="W2174">
        <v>1</v>
      </c>
      <c r="X2174">
        <v>1</v>
      </c>
      <c r="Y2174">
        <v>0</v>
      </c>
      <c r="Z2174">
        <v>1</v>
      </c>
      <c r="AA2174">
        <v>0</v>
      </c>
      <c r="AB2174">
        <v>153.43</v>
      </c>
      <c r="AC2174">
        <v>135</v>
      </c>
      <c r="AD2174">
        <v>0</v>
      </c>
      <c r="AE2174">
        <v>18.440000000000001</v>
      </c>
      <c r="AF2174">
        <v>0</v>
      </c>
      <c r="AG2174">
        <v>0</v>
      </c>
      <c r="AH2174">
        <v>0</v>
      </c>
      <c r="AI2174">
        <v>27.62</v>
      </c>
      <c r="AJ2174">
        <v>153.44</v>
      </c>
      <c r="AK2174">
        <v>0.01</v>
      </c>
      <c r="AL2174" t="s">
        <v>53</v>
      </c>
      <c r="AM2174" t="s">
        <v>53</v>
      </c>
      <c r="AN2174" t="s">
        <v>198</v>
      </c>
      <c r="AO2174" t="s">
        <v>53</v>
      </c>
      <c r="AP2174" t="s">
        <v>53</v>
      </c>
    </row>
    <row r="2175" spans="2:42" x14ac:dyDescent="0.2">
      <c r="B2175" t="s">
        <v>44</v>
      </c>
      <c r="C2175" t="str">
        <f>HYPERLINK("https://us2.cloudbeds.com/connect/8493803454333002#/reservations/598446657731?display=E1CN2E1V&amp;reservation_id=598446657731", "E1CN2E1V")</f>
        <v>E1CN2E1V</v>
      </c>
      <c r="D2175" t="s">
        <v>45</v>
      </c>
      <c r="E2175" t="s">
        <v>305</v>
      </c>
      <c r="F2175" t="s">
        <v>61</v>
      </c>
      <c r="G2175" t="s">
        <v>48</v>
      </c>
      <c r="H2175" t="s">
        <v>49</v>
      </c>
      <c r="I2175" t="s">
        <v>50</v>
      </c>
      <c r="J2175" t="s">
        <v>1473</v>
      </c>
      <c r="K2175" t="s">
        <v>1750</v>
      </c>
      <c r="L2175" t="s">
        <v>53</v>
      </c>
      <c r="N2175" t="s">
        <v>3493</v>
      </c>
      <c r="P2175" t="s">
        <v>55</v>
      </c>
      <c r="R2175" t="s">
        <v>56</v>
      </c>
      <c r="T2175" t="s">
        <v>3483</v>
      </c>
      <c r="U2175" t="s">
        <v>58</v>
      </c>
      <c r="V2175">
        <v>1</v>
      </c>
      <c r="W2175">
        <v>1</v>
      </c>
      <c r="X2175">
        <v>1</v>
      </c>
      <c r="Y2175">
        <v>0</v>
      </c>
      <c r="Z2175">
        <v>1</v>
      </c>
      <c r="AA2175">
        <v>0</v>
      </c>
      <c r="AB2175">
        <v>187.52</v>
      </c>
      <c r="AC2175">
        <v>165</v>
      </c>
      <c r="AD2175">
        <v>0</v>
      </c>
      <c r="AE2175">
        <v>22.53</v>
      </c>
      <c r="AF2175">
        <v>0</v>
      </c>
      <c r="AG2175">
        <v>0</v>
      </c>
      <c r="AH2175">
        <v>0</v>
      </c>
      <c r="AI2175">
        <v>33.76</v>
      </c>
      <c r="AJ2175">
        <v>187.53</v>
      </c>
      <c r="AK2175">
        <v>0.01</v>
      </c>
      <c r="AL2175" t="s">
        <v>53</v>
      </c>
      <c r="AM2175" t="s">
        <v>53</v>
      </c>
      <c r="AN2175" t="s">
        <v>104</v>
      </c>
      <c r="AO2175" t="s">
        <v>53</v>
      </c>
      <c r="AP2175" t="s">
        <v>53</v>
      </c>
    </row>
    <row r="2176" spans="2:42" x14ac:dyDescent="0.2">
      <c r="B2176" t="s">
        <v>44</v>
      </c>
      <c r="C2176" t="str">
        <f>HYPERLINK("https://us2.cloudbeds.com/connect/8493803454333002#/reservations/598500974725?display=E1E2SSUF&amp;reservation_id=598500974725", "E1E2SSUF")</f>
        <v>E1E2SSUF</v>
      </c>
      <c r="D2176" t="s">
        <v>45</v>
      </c>
      <c r="E2176" t="s">
        <v>98</v>
      </c>
      <c r="F2176" t="s">
        <v>86</v>
      </c>
      <c r="G2176" t="s">
        <v>48</v>
      </c>
      <c r="H2176" t="s">
        <v>49</v>
      </c>
      <c r="I2176" t="s">
        <v>79</v>
      </c>
      <c r="J2176" t="s">
        <v>152</v>
      </c>
      <c r="K2176" t="s">
        <v>1473</v>
      </c>
      <c r="L2176" t="s">
        <v>53</v>
      </c>
      <c r="N2176" t="s">
        <v>3494</v>
      </c>
      <c r="P2176" t="s">
        <v>55</v>
      </c>
      <c r="R2176" t="s">
        <v>56</v>
      </c>
      <c r="T2176" t="s">
        <v>3483</v>
      </c>
      <c r="U2176" t="s">
        <v>58</v>
      </c>
      <c r="V2176">
        <v>1</v>
      </c>
      <c r="W2176">
        <v>1</v>
      </c>
      <c r="X2176">
        <v>1</v>
      </c>
      <c r="Y2176">
        <v>0</v>
      </c>
      <c r="Z2176">
        <v>1</v>
      </c>
      <c r="AA2176">
        <v>0</v>
      </c>
      <c r="AB2176">
        <v>161.38</v>
      </c>
      <c r="AC2176">
        <v>142</v>
      </c>
      <c r="AD2176">
        <v>0</v>
      </c>
      <c r="AE2176">
        <v>19.39</v>
      </c>
      <c r="AF2176">
        <v>0</v>
      </c>
      <c r="AG2176">
        <v>0</v>
      </c>
      <c r="AH2176">
        <v>0</v>
      </c>
      <c r="AI2176">
        <v>0</v>
      </c>
      <c r="AJ2176">
        <v>161.38999999999999</v>
      </c>
      <c r="AK2176">
        <v>0.01</v>
      </c>
      <c r="AL2176" t="s">
        <v>53</v>
      </c>
      <c r="AM2176" t="s">
        <v>53</v>
      </c>
      <c r="AN2176" t="s">
        <v>378</v>
      </c>
      <c r="AO2176" t="s">
        <v>53</v>
      </c>
      <c r="AP2176" t="s">
        <v>53</v>
      </c>
    </row>
    <row r="2177" spans="2:42" x14ac:dyDescent="0.2">
      <c r="B2177" t="s">
        <v>44</v>
      </c>
      <c r="C2177" t="str">
        <f>HYPERLINK("https://us2.cloudbeds.com/connect/8493803454333002#/reservations/579253072068?display=DJH8HK5W&amp;reservation_id=579253072068", "DJH8HK5W")</f>
        <v>DJH8HK5W</v>
      </c>
      <c r="D2177" t="s">
        <v>45</v>
      </c>
      <c r="E2177" t="s">
        <v>3495</v>
      </c>
      <c r="F2177" t="s">
        <v>1076</v>
      </c>
      <c r="G2177" t="s">
        <v>48</v>
      </c>
      <c r="H2177" t="s">
        <v>49</v>
      </c>
      <c r="I2177" t="s">
        <v>62</v>
      </c>
      <c r="J2177" t="s">
        <v>2412</v>
      </c>
      <c r="K2177" t="s">
        <v>2206</v>
      </c>
      <c r="L2177" t="s">
        <v>53</v>
      </c>
      <c r="N2177" t="s">
        <v>3496</v>
      </c>
      <c r="P2177" t="s">
        <v>55</v>
      </c>
      <c r="R2177" t="s">
        <v>56</v>
      </c>
      <c r="T2177" t="s">
        <v>3483</v>
      </c>
      <c r="U2177" t="s">
        <v>58</v>
      </c>
      <c r="V2177">
        <v>2</v>
      </c>
      <c r="W2177">
        <v>2</v>
      </c>
      <c r="X2177">
        <v>2</v>
      </c>
      <c r="Y2177">
        <v>0</v>
      </c>
      <c r="Z2177">
        <v>2</v>
      </c>
      <c r="AA2177">
        <v>0</v>
      </c>
      <c r="AB2177">
        <v>325.05</v>
      </c>
      <c r="AC2177">
        <v>286</v>
      </c>
      <c r="AD2177">
        <v>0</v>
      </c>
      <c r="AE2177">
        <v>39.049999999999997</v>
      </c>
      <c r="AF2177">
        <v>0</v>
      </c>
      <c r="AG2177">
        <v>0</v>
      </c>
      <c r="AH2177">
        <v>0</v>
      </c>
      <c r="AI2177">
        <v>48.76</v>
      </c>
      <c r="AJ2177">
        <v>325.05</v>
      </c>
      <c r="AK2177">
        <v>0</v>
      </c>
      <c r="AL2177" t="s">
        <v>53</v>
      </c>
      <c r="AM2177" t="s">
        <v>53</v>
      </c>
      <c r="AN2177" t="s">
        <v>198</v>
      </c>
      <c r="AO2177" t="s">
        <v>53</v>
      </c>
      <c r="AP2177" t="s">
        <v>53</v>
      </c>
    </row>
    <row r="2178" spans="2:42" x14ac:dyDescent="0.2">
      <c r="B2178" t="s">
        <v>44</v>
      </c>
      <c r="C2178" t="str">
        <f>HYPERLINK("https://us2.cloudbeds.com/connect/8493803454333002#/reservations/598509887690?display=E1EACPNV&amp;reservation_id=598509887690", "E1EACPNV")</f>
        <v>E1EACPNV</v>
      </c>
      <c r="D2178" t="s">
        <v>45</v>
      </c>
      <c r="E2178" t="s">
        <v>92</v>
      </c>
      <c r="F2178" t="s">
        <v>86</v>
      </c>
      <c r="G2178" t="s">
        <v>48</v>
      </c>
      <c r="H2178" t="s">
        <v>71</v>
      </c>
      <c r="I2178" t="s">
        <v>72</v>
      </c>
      <c r="J2178" t="s">
        <v>1269</v>
      </c>
      <c r="K2178" t="s">
        <v>387</v>
      </c>
      <c r="L2178" t="s">
        <v>53</v>
      </c>
      <c r="N2178" t="s">
        <v>3497</v>
      </c>
      <c r="P2178" t="s">
        <v>55</v>
      </c>
      <c r="R2178" t="s">
        <v>56</v>
      </c>
      <c r="T2178" t="s">
        <v>3483</v>
      </c>
      <c r="U2178" t="s">
        <v>58</v>
      </c>
      <c r="V2178">
        <v>1</v>
      </c>
      <c r="W2178">
        <v>1</v>
      </c>
      <c r="X2178">
        <v>1</v>
      </c>
      <c r="Y2178">
        <v>0</v>
      </c>
      <c r="Z2178">
        <v>1</v>
      </c>
      <c r="AA2178">
        <v>0</v>
      </c>
      <c r="AB2178">
        <v>188.66</v>
      </c>
      <c r="AC2178">
        <v>166</v>
      </c>
      <c r="AD2178">
        <v>0</v>
      </c>
      <c r="AE2178">
        <v>22.66</v>
      </c>
      <c r="AF2178">
        <v>0</v>
      </c>
      <c r="AG2178">
        <v>0</v>
      </c>
      <c r="AH2178">
        <v>0</v>
      </c>
      <c r="AI2178">
        <v>0</v>
      </c>
      <c r="AJ2178">
        <v>188.66</v>
      </c>
      <c r="AK2178">
        <v>0</v>
      </c>
      <c r="AL2178" t="s">
        <v>53</v>
      </c>
      <c r="AM2178" t="s">
        <v>53</v>
      </c>
      <c r="AN2178" t="s">
        <v>3498</v>
      </c>
      <c r="AO2178" t="s">
        <v>53</v>
      </c>
      <c r="AP2178" t="s">
        <v>53</v>
      </c>
    </row>
    <row r="2179" spans="2:42" x14ac:dyDescent="0.2">
      <c r="B2179" t="s">
        <v>44</v>
      </c>
      <c r="C2179" t="str">
        <f>HYPERLINK("https://us2.cloudbeds.com/connect/8493803454333002#/reservations/598423449846?display=E1C3GKSK&amp;reservation_id=598423449846", "E1C3GKSK")</f>
        <v>E1C3GKSK</v>
      </c>
      <c r="D2179" t="s">
        <v>45</v>
      </c>
      <c r="E2179" t="s">
        <v>92</v>
      </c>
      <c r="F2179" t="s">
        <v>86</v>
      </c>
      <c r="G2179" t="s">
        <v>48</v>
      </c>
      <c r="H2179" t="s">
        <v>71</v>
      </c>
      <c r="I2179" t="s">
        <v>72</v>
      </c>
      <c r="J2179" t="s">
        <v>1473</v>
      </c>
      <c r="K2179" t="s">
        <v>1750</v>
      </c>
      <c r="L2179" t="s">
        <v>53</v>
      </c>
      <c r="N2179" t="s">
        <v>3499</v>
      </c>
      <c r="P2179" t="s">
        <v>55</v>
      </c>
      <c r="R2179" t="s">
        <v>56</v>
      </c>
      <c r="T2179" t="s">
        <v>3483</v>
      </c>
      <c r="U2179" t="s">
        <v>58</v>
      </c>
      <c r="V2179">
        <v>1</v>
      </c>
      <c r="W2179">
        <v>1</v>
      </c>
      <c r="X2179">
        <v>1</v>
      </c>
      <c r="Y2179">
        <v>0</v>
      </c>
      <c r="Z2179">
        <v>1</v>
      </c>
      <c r="AA2179">
        <v>0</v>
      </c>
      <c r="AB2179">
        <v>190.36</v>
      </c>
      <c r="AC2179">
        <v>167.5</v>
      </c>
      <c r="AD2179">
        <v>0</v>
      </c>
      <c r="AE2179">
        <v>22.86</v>
      </c>
      <c r="AF2179">
        <v>0</v>
      </c>
      <c r="AG2179">
        <v>0</v>
      </c>
      <c r="AH2179">
        <v>0</v>
      </c>
      <c r="AI2179">
        <v>0</v>
      </c>
      <c r="AJ2179">
        <v>190.36</v>
      </c>
      <c r="AK2179">
        <v>0</v>
      </c>
      <c r="AL2179" t="s">
        <v>53</v>
      </c>
      <c r="AM2179" t="s">
        <v>53</v>
      </c>
      <c r="AN2179" t="s">
        <v>3500</v>
      </c>
      <c r="AO2179" t="s">
        <v>53</v>
      </c>
      <c r="AP2179" t="s">
        <v>53</v>
      </c>
    </row>
    <row r="2180" spans="2:42" x14ac:dyDescent="0.2">
      <c r="B2180" t="s">
        <v>44</v>
      </c>
      <c r="C2180" t="str">
        <f>HYPERLINK("https://us2.cloudbeds.com/connect/8493803454333002#/reservations/598428594375?display=E1C7RPVH&amp;reservation_id=598428594375", "E1C7RPVH")</f>
        <v>E1C7RPVH</v>
      </c>
      <c r="D2180" t="s">
        <v>45</v>
      </c>
      <c r="E2180" t="s">
        <v>85</v>
      </c>
      <c r="F2180" t="s">
        <v>86</v>
      </c>
      <c r="G2180" t="s">
        <v>48</v>
      </c>
      <c r="H2180" t="s">
        <v>71</v>
      </c>
      <c r="I2180" t="s">
        <v>72</v>
      </c>
      <c r="J2180" t="s">
        <v>152</v>
      </c>
      <c r="K2180" t="s">
        <v>1750</v>
      </c>
      <c r="L2180" t="s">
        <v>53</v>
      </c>
      <c r="N2180" t="s">
        <v>3501</v>
      </c>
      <c r="P2180" t="s">
        <v>55</v>
      </c>
      <c r="R2180" t="s">
        <v>56</v>
      </c>
      <c r="T2180" t="s">
        <v>3483</v>
      </c>
      <c r="U2180" t="s">
        <v>58</v>
      </c>
      <c r="V2180">
        <v>2</v>
      </c>
      <c r="W2180">
        <v>1</v>
      </c>
      <c r="X2180">
        <v>1</v>
      </c>
      <c r="Y2180">
        <v>0</v>
      </c>
      <c r="Z2180">
        <v>1</v>
      </c>
      <c r="AA2180">
        <v>0</v>
      </c>
      <c r="AB2180">
        <v>346.63</v>
      </c>
      <c r="AC2180">
        <v>305</v>
      </c>
      <c r="AD2180">
        <v>0</v>
      </c>
      <c r="AE2180">
        <v>41.64</v>
      </c>
      <c r="AF2180">
        <v>0</v>
      </c>
      <c r="AG2180">
        <v>0</v>
      </c>
      <c r="AH2180">
        <v>0</v>
      </c>
      <c r="AI2180">
        <v>0</v>
      </c>
      <c r="AJ2180">
        <v>346.64</v>
      </c>
      <c r="AK2180">
        <v>0.01</v>
      </c>
      <c r="AL2180" t="s">
        <v>53</v>
      </c>
      <c r="AM2180" t="s">
        <v>53</v>
      </c>
      <c r="AN2180" t="s">
        <v>378</v>
      </c>
      <c r="AO2180" t="s">
        <v>53</v>
      </c>
      <c r="AP2180" t="s">
        <v>53</v>
      </c>
    </row>
    <row r="2181" spans="2:42" x14ac:dyDescent="0.2">
      <c r="B2181" t="s">
        <v>44</v>
      </c>
      <c r="C2181" t="str">
        <f>HYPERLINK("https://us2.cloudbeds.com/connect/8493803454333002#/reservations/598452002966?display=E1CRJ5EP&amp;reservation_id=598452002966", "E1CRJ5EP")</f>
        <v>E1CRJ5EP</v>
      </c>
      <c r="D2181" t="s">
        <v>45</v>
      </c>
      <c r="E2181" t="s">
        <v>121</v>
      </c>
      <c r="F2181" t="s">
        <v>86</v>
      </c>
      <c r="G2181" t="s">
        <v>48</v>
      </c>
      <c r="H2181" t="s">
        <v>49</v>
      </c>
      <c r="I2181" t="s">
        <v>62</v>
      </c>
      <c r="J2181" t="s">
        <v>152</v>
      </c>
      <c r="K2181" t="s">
        <v>1473</v>
      </c>
      <c r="L2181" t="s">
        <v>53</v>
      </c>
      <c r="N2181" t="s">
        <v>3502</v>
      </c>
      <c r="P2181" t="s">
        <v>55</v>
      </c>
      <c r="R2181" t="s">
        <v>56</v>
      </c>
      <c r="T2181" t="s">
        <v>3483</v>
      </c>
      <c r="U2181" t="s">
        <v>58</v>
      </c>
      <c r="V2181">
        <v>1</v>
      </c>
      <c r="W2181">
        <v>1</v>
      </c>
      <c r="X2181">
        <v>1</v>
      </c>
      <c r="Y2181">
        <v>0</v>
      </c>
      <c r="Z2181">
        <v>1</v>
      </c>
      <c r="AA2181">
        <v>0</v>
      </c>
      <c r="AB2181">
        <v>179</v>
      </c>
      <c r="AC2181">
        <v>157.5</v>
      </c>
      <c r="AD2181">
        <v>0</v>
      </c>
      <c r="AE2181">
        <v>21.5</v>
      </c>
      <c r="AF2181">
        <v>0</v>
      </c>
      <c r="AG2181">
        <v>0</v>
      </c>
      <c r="AH2181">
        <v>0</v>
      </c>
      <c r="AI2181">
        <v>26.85</v>
      </c>
      <c r="AJ2181">
        <v>179</v>
      </c>
      <c r="AK2181">
        <v>0</v>
      </c>
      <c r="AL2181" t="s">
        <v>53</v>
      </c>
      <c r="AM2181" t="s">
        <v>53</v>
      </c>
      <c r="AN2181" t="s">
        <v>545</v>
      </c>
      <c r="AO2181" t="s">
        <v>53</v>
      </c>
      <c r="AP2181" t="s">
        <v>53</v>
      </c>
    </row>
    <row r="2182" spans="2:42" x14ac:dyDescent="0.2">
      <c r="B2182" t="s">
        <v>44</v>
      </c>
      <c r="C2182" t="str">
        <f>HYPERLINK("https://us2.cloudbeds.com/connect/8493803454333002#/reservations/579378000007?display=DJKESU73&amp;reservation_id=579378000007", "DJKESU73")</f>
        <v>DJKESU73</v>
      </c>
      <c r="D2182" t="s">
        <v>45</v>
      </c>
      <c r="E2182" t="s">
        <v>406</v>
      </c>
      <c r="F2182" t="s">
        <v>61</v>
      </c>
      <c r="G2182" t="s">
        <v>48</v>
      </c>
      <c r="H2182" t="s">
        <v>49</v>
      </c>
      <c r="I2182" t="s">
        <v>50</v>
      </c>
      <c r="J2182" t="s">
        <v>1502</v>
      </c>
      <c r="K2182" t="s">
        <v>1332</v>
      </c>
      <c r="L2182" t="s">
        <v>53</v>
      </c>
      <c r="N2182" t="s">
        <v>3503</v>
      </c>
      <c r="P2182" t="s">
        <v>55</v>
      </c>
      <c r="R2182" t="s">
        <v>56</v>
      </c>
      <c r="T2182" t="s">
        <v>3483</v>
      </c>
      <c r="U2182" t="s">
        <v>58</v>
      </c>
      <c r="V2182">
        <v>2</v>
      </c>
      <c r="W2182">
        <v>1</v>
      </c>
      <c r="X2182">
        <v>1</v>
      </c>
      <c r="Y2182">
        <v>0</v>
      </c>
      <c r="Z2182">
        <v>1</v>
      </c>
      <c r="AA2182">
        <v>0</v>
      </c>
      <c r="AB2182">
        <v>312.98</v>
      </c>
      <c r="AC2182">
        <v>275.39999999999998</v>
      </c>
      <c r="AD2182">
        <v>0</v>
      </c>
      <c r="AE2182">
        <v>37.58</v>
      </c>
      <c r="AF2182">
        <v>0</v>
      </c>
      <c r="AG2182">
        <v>0</v>
      </c>
      <c r="AH2182">
        <v>0</v>
      </c>
      <c r="AI2182">
        <v>56.34</v>
      </c>
      <c r="AJ2182">
        <v>312.98</v>
      </c>
      <c r="AK2182">
        <v>0</v>
      </c>
      <c r="AL2182" t="s">
        <v>53</v>
      </c>
      <c r="AM2182" t="s">
        <v>53</v>
      </c>
      <c r="AN2182" t="s">
        <v>127</v>
      </c>
      <c r="AO2182" t="s">
        <v>53</v>
      </c>
      <c r="AP2182" t="s">
        <v>53</v>
      </c>
    </row>
    <row r="2183" spans="2:42" x14ac:dyDescent="0.2">
      <c r="B2183" t="s">
        <v>44</v>
      </c>
      <c r="C2183" t="str">
        <f>HYPERLINK("https://us2.cloudbeds.com/connect/8493803454333002#/reservations/598623441098?display=E1H74MXM&amp;reservation_id=598623441098", "E1H74MXM")</f>
        <v>E1H74MXM</v>
      </c>
      <c r="D2183" t="s">
        <v>45</v>
      </c>
      <c r="E2183" t="s">
        <v>213</v>
      </c>
      <c r="F2183" t="s">
        <v>86</v>
      </c>
      <c r="G2183" t="s">
        <v>48</v>
      </c>
      <c r="H2183" t="s">
        <v>49</v>
      </c>
      <c r="I2183" t="s">
        <v>50</v>
      </c>
      <c r="J2183" t="s">
        <v>152</v>
      </c>
      <c r="K2183" t="s">
        <v>1473</v>
      </c>
      <c r="L2183" t="s">
        <v>53</v>
      </c>
      <c r="N2183" t="s">
        <v>3504</v>
      </c>
      <c r="P2183" t="s">
        <v>55</v>
      </c>
      <c r="R2183" t="s">
        <v>56</v>
      </c>
      <c r="T2183" t="s">
        <v>3483</v>
      </c>
      <c r="U2183" t="s">
        <v>58</v>
      </c>
      <c r="V2183">
        <v>1</v>
      </c>
      <c r="W2183">
        <v>1</v>
      </c>
      <c r="X2183">
        <v>1</v>
      </c>
      <c r="Y2183">
        <v>0</v>
      </c>
      <c r="Z2183">
        <v>1</v>
      </c>
      <c r="AA2183">
        <v>0</v>
      </c>
      <c r="AB2183">
        <v>168.26</v>
      </c>
      <c r="AC2183">
        <v>148.05000000000001</v>
      </c>
      <c r="AD2183">
        <v>0</v>
      </c>
      <c r="AE2183">
        <v>20.2</v>
      </c>
      <c r="AF2183">
        <v>0</v>
      </c>
      <c r="AG2183">
        <v>0</v>
      </c>
      <c r="AH2183">
        <v>0</v>
      </c>
      <c r="AI2183">
        <v>30.29</v>
      </c>
      <c r="AJ2183">
        <v>168.25</v>
      </c>
      <c r="AK2183">
        <v>-0.01</v>
      </c>
      <c r="AL2183" t="s">
        <v>53</v>
      </c>
      <c r="AM2183" t="s">
        <v>53</v>
      </c>
      <c r="AN2183" t="s">
        <v>198</v>
      </c>
      <c r="AO2183" t="s">
        <v>53</v>
      </c>
      <c r="AP2183" t="s">
        <v>53</v>
      </c>
    </row>
    <row r="2184" spans="2:42" x14ac:dyDescent="0.2">
      <c r="B2184" t="s">
        <v>44</v>
      </c>
      <c r="C2184" t="str">
        <f>HYPERLINK("https://us2.cloudbeds.com/connect/8493803454333002#/reservations/598413709447?display=E1BS9JH3&amp;reservation_id=598413709447", "E1BS9JH3")</f>
        <v>E1BS9JH3</v>
      </c>
      <c r="D2184" t="s">
        <v>45</v>
      </c>
      <c r="E2184" t="s">
        <v>121</v>
      </c>
      <c r="F2184" t="s">
        <v>86</v>
      </c>
      <c r="G2184" t="s">
        <v>48</v>
      </c>
      <c r="H2184" t="s">
        <v>71</v>
      </c>
      <c r="I2184" t="s">
        <v>72</v>
      </c>
      <c r="J2184" t="s">
        <v>1473</v>
      </c>
      <c r="K2184" t="s">
        <v>1750</v>
      </c>
      <c r="L2184" t="s">
        <v>53</v>
      </c>
      <c r="N2184" t="s">
        <v>3505</v>
      </c>
      <c r="P2184" t="s">
        <v>55</v>
      </c>
      <c r="R2184" t="s">
        <v>56</v>
      </c>
      <c r="T2184" t="s">
        <v>3506</v>
      </c>
      <c r="U2184" t="s">
        <v>58</v>
      </c>
      <c r="V2184">
        <v>1</v>
      </c>
      <c r="W2184">
        <v>1</v>
      </c>
      <c r="X2184">
        <v>1</v>
      </c>
      <c r="Y2184">
        <v>0</v>
      </c>
      <c r="Z2184">
        <v>1</v>
      </c>
      <c r="AA2184">
        <v>0</v>
      </c>
      <c r="AB2184">
        <v>198.89</v>
      </c>
      <c r="AC2184">
        <v>175</v>
      </c>
      <c r="AD2184">
        <v>0</v>
      </c>
      <c r="AE2184">
        <v>23.9</v>
      </c>
      <c r="AF2184">
        <v>0</v>
      </c>
      <c r="AG2184">
        <v>0</v>
      </c>
      <c r="AH2184">
        <v>0</v>
      </c>
      <c r="AI2184">
        <v>0</v>
      </c>
      <c r="AJ2184">
        <v>198.9</v>
      </c>
      <c r="AK2184">
        <v>0.01</v>
      </c>
      <c r="AL2184" t="s">
        <v>53</v>
      </c>
      <c r="AM2184" t="s">
        <v>53</v>
      </c>
      <c r="AN2184" t="s">
        <v>3507</v>
      </c>
      <c r="AO2184" t="s">
        <v>53</v>
      </c>
      <c r="AP2184" t="s">
        <v>53</v>
      </c>
    </row>
    <row r="2185" spans="2:42" x14ac:dyDescent="0.2">
      <c r="B2185" t="s">
        <v>44</v>
      </c>
      <c r="C2185" t="str">
        <f>HYPERLINK("https://us2.cloudbeds.com/connect/8493803454333002#/reservations/598621778165?display=E1H5ZDHP&amp;reservation_id=598621778165", "E1H5ZDHP")</f>
        <v>E1H5ZDHP</v>
      </c>
      <c r="D2185" t="s">
        <v>45</v>
      </c>
      <c r="E2185" t="s">
        <v>190</v>
      </c>
      <c r="F2185" t="s">
        <v>61</v>
      </c>
      <c r="G2185" t="s">
        <v>48</v>
      </c>
      <c r="H2185" t="s">
        <v>49</v>
      </c>
      <c r="I2185" t="s">
        <v>79</v>
      </c>
      <c r="J2185" t="s">
        <v>447</v>
      </c>
      <c r="K2185" t="s">
        <v>2102</v>
      </c>
      <c r="L2185" t="s">
        <v>53</v>
      </c>
      <c r="N2185" t="s">
        <v>3508</v>
      </c>
      <c r="P2185" t="s">
        <v>55</v>
      </c>
      <c r="R2185" t="s">
        <v>56</v>
      </c>
      <c r="T2185" t="s">
        <v>3506</v>
      </c>
      <c r="U2185" t="s">
        <v>58</v>
      </c>
      <c r="V2185">
        <v>1</v>
      </c>
      <c r="W2185">
        <v>1</v>
      </c>
      <c r="X2185">
        <v>1</v>
      </c>
      <c r="Y2185">
        <v>0</v>
      </c>
      <c r="Z2185">
        <v>1</v>
      </c>
      <c r="AA2185">
        <v>0</v>
      </c>
      <c r="AB2185">
        <v>173.88</v>
      </c>
      <c r="AC2185">
        <v>153</v>
      </c>
      <c r="AD2185">
        <v>0</v>
      </c>
      <c r="AE2185">
        <v>20.89</v>
      </c>
      <c r="AF2185">
        <v>0</v>
      </c>
      <c r="AG2185">
        <v>0</v>
      </c>
      <c r="AH2185">
        <v>0</v>
      </c>
      <c r="AI2185">
        <v>0</v>
      </c>
      <c r="AJ2185">
        <v>173.89</v>
      </c>
      <c r="AK2185">
        <v>0.01</v>
      </c>
      <c r="AL2185" t="s">
        <v>53</v>
      </c>
      <c r="AM2185" t="s">
        <v>53</v>
      </c>
      <c r="AN2185" t="s">
        <v>112</v>
      </c>
      <c r="AO2185" t="s">
        <v>53</v>
      </c>
      <c r="AP2185" t="s">
        <v>53</v>
      </c>
    </row>
    <row r="2186" spans="2:42" x14ac:dyDescent="0.2">
      <c r="B2186" t="s">
        <v>44</v>
      </c>
      <c r="C2186" t="str">
        <f>HYPERLINK("https://us2.cloudbeds.com/connect/8493803454333002#/reservations/598543954150?display=E1F63RQ9&amp;reservation_id=598543954150", "E1F63RQ9")</f>
        <v>E1F63RQ9</v>
      </c>
      <c r="D2186" t="s">
        <v>45</v>
      </c>
      <c r="E2186" t="s">
        <v>487</v>
      </c>
      <c r="F2186" t="s">
        <v>61</v>
      </c>
      <c r="G2186" t="s">
        <v>48</v>
      </c>
      <c r="H2186" t="s">
        <v>49</v>
      </c>
      <c r="I2186" t="s">
        <v>114</v>
      </c>
      <c r="J2186" t="s">
        <v>388</v>
      </c>
      <c r="K2186" t="s">
        <v>214</v>
      </c>
      <c r="L2186" t="s">
        <v>53</v>
      </c>
      <c r="N2186" t="s">
        <v>3509</v>
      </c>
      <c r="P2186" t="s">
        <v>55</v>
      </c>
      <c r="R2186" t="s">
        <v>56</v>
      </c>
      <c r="T2186" t="s">
        <v>3506</v>
      </c>
      <c r="U2186" t="s">
        <v>58</v>
      </c>
      <c r="V2186">
        <v>2</v>
      </c>
      <c r="W2186">
        <v>1</v>
      </c>
      <c r="X2186">
        <v>1</v>
      </c>
      <c r="Y2186">
        <v>0</v>
      </c>
      <c r="Z2186">
        <v>1</v>
      </c>
      <c r="AA2186">
        <v>0</v>
      </c>
      <c r="AB2186">
        <v>363.79</v>
      </c>
      <c r="AC2186">
        <v>320.10000000000002</v>
      </c>
      <c r="AD2186">
        <v>0</v>
      </c>
      <c r="AE2186">
        <v>43.68</v>
      </c>
      <c r="AF2186">
        <v>0</v>
      </c>
      <c r="AG2186">
        <v>0</v>
      </c>
      <c r="AH2186">
        <v>0</v>
      </c>
      <c r="AI2186">
        <v>0</v>
      </c>
      <c r="AJ2186">
        <v>363.78</v>
      </c>
      <c r="AK2186">
        <v>-0.01</v>
      </c>
      <c r="AL2186" t="s">
        <v>53</v>
      </c>
      <c r="AM2186" t="s">
        <v>53</v>
      </c>
      <c r="AN2186" t="s">
        <v>3510</v>
      </c>
      <c r="AO2186" t="s">
        <v>53</v>
      </c>
      <c r="AP2186" t="s">
        <v>53</v>
      </c>
    </row>
    <row r="2187" spans="2:42" x14ac:dyDescent="0.2">
      <c r="B2187" t="s">
        <v>44</v>
      </c>
      <c r="C2187" t="str">
        <f>HYPERLINK("https://us2.cloudbeds.com/connect/8493803454333002#/reservations/598609670384?display=E1GSHG9A&amp;reservation_id=598609670384", "E1GSHG9A")</f>
        <v>E1GSHG9A</v>
      </c>
      <c r="D2187" t="s">
        <v>45</v>
      </c>
      <c r="E2187" t="s">
        <v>78</v>
      </c>
      <c r="F2187" t="s">
        <v>61</v>
      </c>
      <c r="G2187" t="s">
        <v>48</v>
      </c>
      <c r="H2187" t="s">
        <v>71</v>
      </c>
      <c r="I2187" t="s">
        <v>72</v>
      </c>
      <c r="J2187" t="s">
        <v>351</v>
      </c>
      <c r="K2187" t="s">
        <v>99</v>
      </c>
      <c r="L2187" t="s">
        <v>53</v>
      </c>
      <c r="N2187" t="s">
        <v>3511</v>
      </c>
      <c r="P2187" t="s">
        <v>55</v>
      </c>
      <c r="R2187" t="s">
        <v>56</v>
      </c>
      <c r="T2187" t="s">
        <v>3506</v>
      </c>
      <c r="U2187" t="s">
        <v>58</v>
      </c>
      <c r="V2187">
        <v>1</v>
      </c>
      <c r="W2187">
        <v>1</v>
      </c>
      <c r="X2187">
        <v>1</v>
      </c>
      <c r="Y2187">
        <v>0</v>
      </c>
      <c r="Z2187">
        <v>1</v>
      </c>
      <c r="AA2187">
        <v>0</v>
      </c>
      <c r="AB2187">
        <v>192.07</v>
      </c>
      <c r="AC2187">
        <v>169</v>
      </c>
      <c r="AD2187">
        <v>0</v>
      </c>
      <c r="AE2187">
        <v>23.07</v>
      </c>
      <c r="AF2187">
        <v>0</v>
      </c>
      <c r="AG2187">
        <v>0</v>
      </c>
      <c r="AH2187">
        <v>0</v>
      </c>
      <c r="AI2187">
        <v>0</v>
      </c>
      <c r="AJ2187">
        <v>192.07</v>
      </c>
      <c r="AK2187">
        <v>0</v>
      </c>
      <c r="AL2187" t="s">
        <v>53</v>
      </c>
      <c r="AM2187" t="s">
        <v>53</v>
      </c>
      <c r="AN2187" t="s">
        <v>3512</v>
      </c>
      <c r="AO2187" t="s">
        <v>53</v>
      </c>
      <c r="AP2187" t="s">
        <v>53</v>
      </c>
    </row>
    <row r="2188" spans="2:42" x14ac:dyDescent="0.2">
      <c r="B2188" t="s">
        <v>44</v>
      </c>
      <c r="C2188" t="str">
        <f>HYPERLINK("https://us2.cloudbeds.com/connect/8493803454333002#/reservations/598559502500?display=E1FJ7GED&amp;reservation_id=598559502500", "E1FJ7GED")</f>
        <v>E1FJ7GED</v>
      </c>
      <c r="D2188" t="s">
        <v>45</v>
      </c>
      <c r="E2188" t="s">
        <v>110</v>
      </c>
      <c r="F2188" t="s">
        <v>47</v>
      </c>
      <c r="G2188" t="s">
        <v>48</v>
      </c>
      <c r="H2188" t="s">
        <v>49</v>
      </c>
      <c r="I2188" t="s">
        <v>79</v>
      </c>
      <c r="J2188" t="s">
        <v>1750</v>
      </c>
      <c r="K2188" t="s">
        <v>1269</v>
      </c>
      <c r="L2188" t="s">
        <v>53</v>
      </c>
      <c r="N2188" t="s">
        <v>3513</v>
      </c>
      <c r="P2188" t="s">
        <v>55</v>
      </c>
      <c r="R2188" t="s">
        <v>56</v>
      </c>
      <c r="T2188" t="s">
        <v>3506</v>
      </c>
      <c r="U2188" t="s">
        <v>58</v>
      </c>
      <c r="V2188">
        <v>1</v>
      </c>
      <c r="W2188">
        <v>1</v>
      </c>
      <c r="X2188">
        <v>1</v>
      </c>
      <c r="Y2188">
        <v>0</v>
      </c>
      <c r="Z2188">
        <v>1</v>
      </c>
      <c r="AA2188">
        <v>0</v>
      </c>
      <c r="AB2188">
        <v>158.54</v>
      </c>
      <c r="AC2188">
        <v>139.5</v>
      </c>
      <c r="AD2188">
        <v>0</v>
      </c>
      <c r="AE2188">
        <v>19.04</v>
      </c>
      <c r="AF2188">
        <v>0</v>
      </c>
      <c r="AG2188">
        <v>0</v>
      </c>
      <c r="AH2188">
        <v>0</v>
      </c>
      <c r="AI2188">
        <v>0</v>
      </c>
      <c r="AJ2188">
        <v>158.54</v>
      </c>
      <c r="AK2188">
        <v>0</v>
      </c>
      <c r="AL2188" t="s">
        <v>53</v>
      </c>
      <c r="AM2188" t="s">
        <v>53</v>
      </c>
      <c r="AN2188" t="s">
        <v>137</v>
      </c>
      <c r="AO2188" t="s">
        <v>53</v>
      </c>
      <c r="AP2188" t="s">
        <v>53</v>
      </c>
    </row>
    <row r="2189" spans="2:42" x14ac:dyDescent="0.2">
      <c r="B2189" t="s">
        <v>44</v>
      </c>
      <c r="C2189" t="str">
        <f>HYPERLINK("https://us2.cloudbeds.com/connect/8493803454333002#/reservations/579344040186?display=DJJJ7UQK&amp;reservation_id=579344040186", "DJJJ7UQK")</f>
        <v>DJJJ7UQK</v>
      </c>
      <c r="D2189" t="s">
        <v>45</v>
      </c>
      <c r="E2189" t="s">
        <v>110</v>
      </c>
      <c r="F2189" t="s">
        <v>47</v>
      </c>
      <c r="G2189" t="s">
        <v>48</v>
      </c>
      <c r="H2189" t="s">
        <v>49</v>
      </c>
      <c r="I2189" t="s">
        <v>62</v>
      </c>
      <c r="J2189" t="s">
        <v>1665</v>
      </c>
      <c r="K2189" t="s">
        <v>3514</v>
      </c>
      <c r="L2189" t="s">
        <v>53</v>
      </c>
      <c r="N2189" t="s">
        <v>3515</v>
      </c>
      <c r="P2189" t="s">
        <v>55</v>
      </c>
      <c r="R2189" t="s">
        <v>56</v>
      </c>
      <c r="T2189" t="s">
        <v>3506</v>
      </c>
      <c r="U2189" t="s">
        <v>58</v>
      </c>
      <c r="V2189">
        <v>2</v>
      </c>
      <c r="W2189">
        <v>1</v>
      </c>
      <c r="X2189">
        <v>1</v>
      </c>
      <c r="Y2189">
        <v>0</v>
      </c>
      <c r="Z2189">
        <v>1</v>
      </c>
      <c r="AA2189">
        <v>0</v>
      </c>
      <c r="AB2189">
        <v>331.86</v>
      </c>
      <c r="AC2189">
        <v>292</v>
      </c>
      <c r="AD2189">
        <v>0</v>
      </c>
      <c r="AE2189">
        <v>39.86</v>
      </c>
      <c r="AF2189">
        <v>0</v>
      </c>
      <c r="AG2189">
        <v>0</v>
      </c>
      <c r="AH2189">
        <v>0</v>
      </c>
      <c r="AI2189">
        <v>49.78</v>
      </c>
      <c r="AJ2189">
        <v>331.86</v>
      </c>
      <c r="AK2189">
        <v>0</v>
      </c>
      <c r="AL2189" t="s">
        <v>53</v>
      </c>
      <c r="AM2189" t="s">
        <v>53</v>
      </c>
      <c r="AN2189" t="s">
        <v>112</v>
      </c>
      <c r="AO2189" t="s">
        <v>53</v>
      </c>
      <c r="AP2189" t="s">
        <v>53</v>
      </c>
    </row>
    <row r="2190" spans="2:42" x14ac:dyDescent="0.2">
      <c r="B2190" t="s">
        <v>44</v>
      </c>
      <c r="C2190" t="str">
        <f>HYPERLINK("https://us2.cloudbeds.com/connect/8493803454333002#/reservations/598598897803?display=E1GJEZ3F&amp;reservation_id=598598897803", "E1GJEZ3F")</f>
        <v>E1GJEZ3F</v>
      </c>
      <c r="D2190" t="s">
        <v>45</v>
      </c>
      <c r="E2190" t="s">
        <v>46</v>
      </c>
      <c r="F2190" t="s">
        <v>47</v>
      </c>
      <c r="G2190" t="s">
        <v>48</v>
      </c>
      <c r="H2190" t="s">
        <v>49</v>
      </c>
      <c r="I2190" t="s">
        <v>50</v>
      </c>
      <c r="J2190" t="s">
        <v>1269</v>
      </c>
      <c r="K2190" t="s">
        <v>387</v>
      </c>
      <c r="L2190" t="s">
        <v>53</v>
      </c>
      <c r="N2190" t="s">
        <v>3516</v>
      </c>
      <c r="P2190" t="s">
        <v>55</v>
      </c>
      <c r="R2190" t="s">
        <v>56</v>
      </c>
      <c r="T2190" t="s">
        <v>3506</v>
      </c>
      <c r="U2190" t="s">
        <v>58</v>
      </c>
      <c r="V2190">
        <v>1</v>
      </c>
      <c r="W2190">
        <v>1</v>
      </c>
      <c r="X2190">
        <v>1</v>
      </c>
      <c r="Y2190">
        <v>0</v>
      </c>
      <c r="Z2190">
        <v>1</v>
      </c>
      <c r="AA2190">
        <v>0</v>
      </c>
      <c r="AB2190">
        <v>163.66</v>
      </c>
      <c r="AC2190">
        <v>144</v>
      </c>
      <c r="AD2190">
        <v>0</v>
      </c>
      <c r="AE2190">
        <v>19.66</v>
      </c>
      <c r="AF2190">
        <v>0</v>
      </c>
      <c r="AG2190">
        <v>0</v>
      </c>
      <c r="AH2190">
        <v>0</v>
      </c>
      <c r="AI2190">
        <v>29.46</v>
      </c>
      <c r="AJ2190">
        <v>163.66</v>
      </c>
      <c r="AK2190">
        <v>0</v>
      </c>
      <c r="AL2190" t="s">
        <v>53</v>
      </c>
      <c r="AM2190" t="s">
        <v>53</v>
      </c>
      <c r="AN2190" t="s">
        <v>316</v>
      </c>
      <c r="AO2190" t="s">
        <v>53</v>
      </c>
      <c r="AP2190" t="s">
        <v>53</v>
      </c>
    </row>
    <row r="2191" spans="2:42" x14ac:dyDescent="0.2">
      <c r="B2191" t="s">
        <v>44</v>
      </c>
      <c r="C2191" t="str">
        <f>HYPERLINK("https://us2.cloudbeds.com/connect/8493803454333002#/reservations/579192586458?display=DJFM76GM&amp;reservation_id=579192586458", "DJFM76GM")</f>
        <v>DJFM76GM</v>
      </c>
      <c r="D2191" t="s">
        <v>45</v>
      </c>
      <c r="E2191" t="s">
        <v>155</v>
      </c>
      <c r="F2191" t="s">
        <v>86</v>
      </c>
      <c r="G2191" t="s">
        <v>48</v>
      </c>
      <c r="H2191" t="s">
        <v>71</v>
      </c>
      <c r="I2191" t="s">
        <v>72</v>
      </c>
      <c r="J2191" t="s">
        <v>2039</v>
      </c>
      <c r="K2191" t="s">
        <v>1451</v>
      </c>
      <c r="L2191" t="s">
        <v>53</v>
      </c>
      <c r="N2191" t="s">
        <v>3517</v>
      </c>
      <c r="P2191" t="s">
        <v>58</v>
      </c>
      <c r="R2191" t="s">
        <v>56</v>
      </c>
      <c r="T2191" t="s">
        <v>3506</v>
      </c>
      <c r="U2191" t="s">
        <v>58</v>
      </c>
      <c r="V2191">
        <v>3</v>
      </c>
      <c r="W2191">
        <v>1</v>
      </c>
      <c r="X2191">
        <v>1</v>
      </c>
      <c r="Y2191">
        <v>0</v>
      </c>
      <c r="Z2191">
        <v>1</v>
      </c>
      <c r="AA2191">
        <v>0</v>
      </c>
      <c r="AB2191">
        <v>595.52</v>
      </c>
      <c r="AC2191">
        <v>524</v>
      </c>
      <c r="AD2191">
        <v>0</v>
      </c>
      <c r="AE2191">
        <v>71.52</v>
      </c>
      <c r="AF2191">
        <v>0</v>
      </c>
      <c r="AG2191">
        <v>0</v>
      </c>
      <c r="AH2191">
        <v>0</v>
      </c>
      <c r="AI2191">
        <v>0</v>
      </c>
      <c r="AJ2191">
        <v>595.52</v>
      </c>
      <c r="AK2191">
        <v>0</v>
      </c>
      <c r="AL2191" t="s">
        <v>53</v>
      </c>
      <c r="AM2191" t="s">
        <v>53</v>
      </c>
      <c r="AN2191" t="s">
        <v>3518</v>
      </c>
      <c r="AO2191" t="s">
        <v>53</v>
      </c>
      <c r="AP2191" t="s">
        <v>53</v>
      </c>
    </row>
    <row r="2192" spans="2:42" x14ac:dyDescent="0.2">
      <c r="B2192" t="s">
        <v>44</v>
      </c>
      <c r="C2192" t="str">
        <f>HYPERLINK("https://us2.cloudbeds.com/connect/8493803454333002#/reservations/598483509445?display=E1DY4T0X&amp;reservation_id=598483509445", "E1DY4T0X")</f>
        <v>E1DY4T0X</v>
      </c>
      <c r="D2192" t="s">
        <v>45</v>
      </c>
      <c r="E2192" t="s">
        <v>78</v>
      </c>
      <c r="F2192" t="s">
        <v>61</v>
      </c>
      <c r="G2192" t="s">
        <v>48</v>
      </c>
      <c r="H2192" t="s">
        <v>49</v>
      </c>
      <c r="I2192" t="s">
        <v>62</v>
      </c>
      <c r="J2192" t="s">
        <v>1269</v>
      </c>
      <c r="K2192" t="s">
        <v>387</v>
      </c>
      <c r="L2192" t="s">
        <v>53</v>
      </c>
      <c r="N2192" t="s">
        <v>3519</v>
      </c>
      <c r="P2192" t="s">
        <v>55</v>
      </c>
      <c r="R2192" t="s">
        <v>56</v>
      </c>
      <c r="T2192" t="s">
        <v>3506</v>
      </c>
      <c r="U2192" t="s">
        <v>58</v>
      </c>
      <c r="V2192">
        <v>1</v>
      </c>
      <c r="W2192">
        <v>1</v>
      </c>
      <c r="X2192">
        <v>1</v>
      </c>
      <c r="Y2192">
        <v>0</v>
      </c>
      <c r="Z2192">
        <v>1</v>
      </c>
      <c r="AA2192">
        <v>0</v>
      </c>
      <c r="AB2192">
        <v>197.75</v>
      </c>
      <c r="AC2192">
        <v>174</v>
      </c>
      <c r="AD2192">
        <v>0</v>
      </c>
      <c r="AE2192">
        <v>23.76</v>
      </c>
      <c r="AF2192">
        <v>0</v>
      </c>
      <c r="AG2192">
        <v>0</v>
      </c>
      <c r="AH2192">
        <v>0</v>
      </c>
      <c r="AI2192">
        <v>29.66</v>
      </c>
      <c r="AJ2192">
        <v>197.76</v>
      </c>
      <c r="AK2192">
        <v>0.01</v>
      </c>
      <c r="AL2192" t="s">
        <v>53</v>
      </c>
      <c r="AM2192" t="s">
        <v>53</v>
      </c>
      <c r="AN2192" t="s">
        <v>332</v>
      </c>
      <c r="AO2192" t="s">
        <v>53</v>
      </c>
      <c r="AP2192" t="s">
        <v>53</v>
      </c>
    </row>
    <row r="2193" spans="2:42" x14ac:dyDescent="0.2">
      <c r="B2193" t="s">
        <v>44</v>
      </c>
      <c r="C2193" t="str">
        <f>HYPERLINK("https://us2.cloudbeds.com/connect/8493803454333002#/reservations/579331436676?display=DJJ8K7B1&amp;reservation_id=579331436676", "DJJ8K7B1")</f>
        <v>DJJ8K7B1</v>
      </c>
      <c r="D2193" t="s">
        <v>45</v>
      </c>
      <c r="E2193" t="s">
        <v>185</v>
      </c>
      <c r="F2193" t="s">
        <v>47</v>
      </c>
      <c r="G2193" t="s">
        <v>48</v>
      </c>
      <c r="H2193" t="s">
        <v>49</v>
      </c>
      <c r="I2193" t="s">
        <v>79</v>
      </c>
      <c r="J2193" t="s">
        <v>1367</v>
      </c>
      <c r="K2193" t="s">
        <v>1985</v>
      </c>
      <c r="L2193" t="s">
        <v>53</v>
      </c>
      <c r="N2193" t="s">
        <v>3520</v>
      </c>
      <c r="P2193" t="s">
        <v>55</v>
      </c>
      <c r="R2193" t="s">
        <v>56</v>
      </c>
      <c r="T2193" t="s">
        <v>3506</v>
      </c>
      <c r="U2193" t="s">
        <v>58</v>
      </c>
      <c r="V2193">
        <v>1</v>
      </c>
      <c r="W2193">
        <v>1</v>
      </c>
      <c r="X2193">
        <v>1</v>
      </c>
      <c r="Y2193">
        <v>0</v>
      </c>
      <c r="Z2193">
        <v>1</v>
      </c>
      <c r="AA2193">
        <v>0</v>
      </c>
      <c r="AB2193">
        <v>153.44</v>
      </c>
      <c r="AC2193">
        <v>135</v>
      </c>
      <c r="AD2193">
        <v>0</v>
      </c>
      <c r="AE2193">
        <v>18.440000000000001</v>
      </c>
      <c r="AF2193">
        <v>0</v>
      </c>
      <c r="AG2193">
        <v>0</v>
      </c>
      <c r="AH2193">
        <v>0</v>
      </c>
      <c r="AI2193">
        <v>0</v>
      </c>
      <c r="AJ2193">
        <v>153.44</v>
      </c>
      <c r="AK2193">
        <v>0</v>
      </c>
      <c r="AL2193" t="s">
        <v>53</v>
      </c>
      <c r="AM2193" t="s">
        <v>53</v>
      </c>
      <c r="AN2193" t="s">
        <v>97</v>
      </c>
      <c r="AO2193" t="s">
        <v>53</v>
      </c>
      <c r="AP2193" t="s">
        <v>53</v>
      </c>
    </row>
    <row r="2194" spans="2:42" x14ac:dyDescent="0.2">
      <c r="B2194" t="s">
        <v>44</v>
      </c>
      <c r="C2194" t="str">
        <f>HYPERLINK("https://us2.cloudbeds.com/connect/8493803454333002#/reservations/579191025819?display=DJFM72ZJ&amp;reservation_id=579191025819", "DJFM72ZJ")</f>
        <v>DJFM72ZJ</v>
      </c>
      <c r="D2194" t="s">
        <v>45</v>
      </c>
      <c r="E2194" t="s">
        <v>190</v>
      </c>
      <c r="F2194" t="s">
        <v>61</v>
      </c>
      <c r="G2194" t="s">
        <v>48</v>
      </c>
      <c r="H2194" t="s">
        <v>71</v>
      </c>
      <c r="I2194" t="s">
        <v>72</v>
      </c>
      <c r="J2194" t="s">
        <v>2039</v>
      </c>
      <c r="K2194" t="s">
        <v>1451</v>
      </c>
      <c r="L2194" t="s">
        <v>53</v>
      </c>
      <c r="N2194" t="s">
        <v>3521</v>
      </c>
      <c r="P2194" t="s">
        <v>58</v>
      </c>
      <c r="R2194" t="s">
        <v>56</v>
      </c>
      <c r="T2194" t="s">
        <v>3506</v>
      </c>
      <c r="U2194" t="s">
        <v>58</v>
      </c>
      <c r="V2194">
        <v>3</v>
      </c>
      <c r="W2194">
        <v>1</v>
      </c>
      <c r="X2194">
        <v>1</v>
      </c>
      <c r="Y2194">
        <v>0</v>
      </c>
      <c r="Z2194">
        <v>1</v>
      </c>
      <c r="AA2194">
        <v>0</v>
      </c>
      <c r="AB2194">
        <v>547.78</v>
      </c>
      <c r="AC2194">
        <v>482</v>
      </c>
      <c r="AD2194">
        <v>0</v>
      </c>
      <c r="AE2194">
        <v>65.78</v>
      </c>
      <c r="AF2194">
        <v>0</v>
      </c>
      <c r="AG2194">
        <v>0</v>
      </c>
      <c r="AH2194">
        <v>0</v>
      </c>
      <c r="AI2194">
        <v>0</v>
      </c>
      <c r="AJ2194">
        <v>547.78</v>
      </c>
      <c r="AK2194">
        <v>0</v>
      </c>
      <c r="AL2194" t="s">
        <v>53</v>
      </c>
      <c r="AM2194" t="s">
        <v>53</v>
      </c>
      <c r="AN2194" t="s">
        <v>3522</v>
      </c>
      <c r="AO2194" t="s">
        <v>53</v>
      </c>
      <c r="AP2194" t="s">
        <v>53</v>
      </c>
    </row>
    <row r="2195" spans="2:42" x14ac:dyDescent="0.2">
      <c r="B2195" t="s">
        <v>44</v>
      </c>
      <c r="C2195" t="str">
        <f>HYPERLINK("https://us2.cloudbeds.com/connect/8493803454333002#/reservations/579387650270?display=DJKN0EQA&amp;reservation_id=579387650270", "DJKN0EQA")</f>
        <v>DJKN0EQA</v>
      </c>
      <c r="D2195" t="s">
        <v>45</v>
      </c>
      <c r="E2195" t="s">
        <v>85</v>
      </c>
      <c r="F2195" t="s">
        <v>86</v>
      </c>
      <c r="G2195" t="s">
        <v>48</v>
      </c>
      <c r="H2195" t="s">
        <v>49</v>
      </c>
      <c r="I2195" t="s">
        <v>62</v>
      </c>
      <c r="J2195" t="s">
        <v>1406</v>
      </c>
      <c r="K2195" t="s">
        <v>3196</v>
      </c>
      <c r="L2195" t="s">
        <v>53</v>
      </c>
      <c r="N2195" t="s">
        <v>3523</v>
      </c>
      <c r="P2195" t="s">
        <v>55</v>
      </c>
      <c r="R2195" t="s">
        <v>56</v>
      </c>
      <c r="T2195" t="s">
        <v>3524</v>
      </c>
      <c r="U2195" t="s">
        <v>58</v>
      </c>
      <c r="V2195">
        <v>4</v>
      </c>
      <c r="W2195">
        <v>1</v>
      </c>
      <c r="X2195">
        <v>1</v>
      </c>
      <c r="Y2195">
        <v>0</v>
      </c>
      <c r="Z2195">
        <v>1</v>
      </c>
      <c r="AA2195">
        <v>0</v>
      </c>
      <c r="AB2195">
        <v>768.28</v>
      </c>
      <c r="AC2195">
        <v>676</v>
      </c>
      <c r="AD2195">
        <v>0</v>
      </c>
      <c r="AE2195">
        <v>92.28</v>
      </c>
      <c r="AF2195">
        <v>0</v>
      </c>
      <c r="AG2195">
        <v>0</v>
      </c>
      <c r="AH2195">
        <v>0</v>
      </c>
      <c r="AI2195">
        <v>115.24</v>
      </c>
      <c r="AJ2195">
        <v>768.28</v>
      </c>
      <c r="AK2195">
        <v>0</v>
      </c>
      <c r="AL2195" t="s">
        <v>53</v>
      </c>
      <c r="AM2195" t="s">
        <v>53</v>
      </c>
      <c r="AN2195" t="s">
        <v>316</v>
      </c>
      <c r="AO2195" t="s">
        <v>53</v>
      </c>
      <c r="AP2195" t="s">
        <v>53</v>
      </c>
    </row>
    <row r="2196" spans="2:42" x14ac:dyDescent="0.2">
      <c r="B2196" t="s">
        <v>44</v>
      </c>
      <c r="C2196" t="str">
        <f>HYPERLINK("https://us2.cloudbeds.com/connect/8493803454333002#/reservations/598609797313?display=E1GSY0RY&amp;reservation_id=598609797313", "E1GSY0RY")</f>
        <v>E1GSY0RY</v>
      </c>
      <c r="D2196" t="s">
        <v>45</v>
      </c>
      <c r="E2196" t="s">
        <v>85</v>
      </c>
      <c r="F2196" t="s">
        <v>86</v>
      </c>
      <c r="G2196" t="s">
        <v>48</v>
      </c>
      <c r="H2196" t="s">
        <v>49</v>
      </c>
      <c r="I2196" t="s">
        <v>50</v>
      </c>
      <c r="J2196" t="s">
        <v>1633</v>
      </c>
      <c r="K2196" t="s">
        <v>447</v>
      </c>
      <c r="L2196" t="s">
        <v>53</v>
      </c>
      <c r="N2196" t="s">
        <v>3525</v>
      </c>
      <c r="P2196" t="s">
        <v>55</v>
      </c>
      <c r="R2196" t="s">
        <v>56</v>
      </c>
      <c r="T2196" t="s">
        <v>3524</v>
      </c>
      <c r="U2196" t="s">
        <v>58</v>
      </c>
      <c r="V2196">
        <v>1</v>
      </c>
      <c r="W2196">
        <v>1</v>
      </c>
      <c r="X2196">
        <v>1</v>
      </c>
      <c r="Y2196">
        <v>0</v>
      </c>
      <c r="Z2196">
        <v>1</v>
      </c>
      <c r="AA2196">
        <v>0</v>
      </c>
      <c r="AB2196">
        <v>187.18</v>
      </c>
      <c r="AC2196">
        <v>164.7</v>
      </c>
      <c r="AD2196">
        <v>0</v>
      </c>
      <c r="AE2196">
        <v>22.48</v>
      </c>
      <c r="AF2196">
        <v>0</v>
      </c>
      <c r="AG2196">
        <v>0</v>
      </c>
      <c r="AH2196">
        <v>0</v>
      </c>
      <c r="AI2196">
        <v>33.69</v>
      </c>
      <c r="AJ2196">
        <v>187.18</v>
      </c>
      <c r="AK2196">
        <v>0</v>
      </c>
      <c r="AL2196" t="s">
        <v>53</v>
      </c>
      <c r="AM2196" t="s">
        <v>53</v>
      </c>
      <c r="AN2196" t="s">
        <v>142</v>
      </c>
      <c r="AO2196" t="s">
        <v>53</v>
      </c>
      <c r="AP2196" t="s">
        <v>53</v>
      </c>
    </row>
    <row r="2197" spans="2:42" x14ac:dyDescent="0.2">
      <c r="B2197" t="s">
        <v>44</v>
      </c>
      <c r="C2197" t="str">
        <f>HYPERLINK("https://us2.cloudbeds.com/connect/8493803454333002#/reservations/598538535105?display=E1EU7J37&amp;reservation_id=598538535105", "E1EU7J37")</f>
        <v>E1EU7J37</v>
      </c>
      <c r="D2197" t="s">
        <v>45</v>
      </c>
      <c r="E2197" t="s">
        <v>155</v>
      </c>
      <c r="F2197" t="s">
        <v>86</v>
      </c>
      <c r="G2197" t="s">
        <v>48</v>
      </c>
      <c r="H2197" t="s">
        <v>71</v>
      </c>
      <c r="I2197" t="s">
        <v>72</v>
      </c>
      <c r="J2197" t="s">
        <v>1750</v>
      </c>
      <c r="K2197" t="s">
        <v>1269</v>
      </c>
      <c r="L2197" t="s">
        <v>53</v>
      </c>
      <c r="N2197" t="s">
        <v>3526</v>
      </c>
      <c r="P2197" t="s">
        <v>55</v>
      </c>
      <c r="R2197" t="s">
        <v>56</v>
      </c>
      <c r="T2197" t="s">
        <v>3524</v>
      </c>
      <c r="U2197" t="s">
        <v>58</v>
      </c>
      <c r="V2197">
        <v>1</v>
      </c>
      <c r="W2197">
        <v>1</v>
      </c>
      <c r="X2197">
        <v>1</v>
      </c>
      <c r="Y2197">
        <v>0</v>
      </c>
      <c r="Z2197">
        <v>1</v>
      </c>
      <c r="AA2197">
        <v>0</v>
      </c>
      <c r="AB2197">
        <v>193.21</v>
      </c>
      <c r="AC2197">
        <v>170</v>
      </c>
      <c r="AD2197">
        <v>0</v>
      </c>
      <c r="AE2197">
        <v>23.21</v>
      </c>
      <c r="AF2197">
        <v>0</v>
      </c>
      <c r="AG2197">
        <v>0</v>
      </c>
      <c r="AH2197">
        <v>0</v>
      </c>
      <c r="AI2197">
        <v>0</v>
      </c>
      <c r="AJ2197">
        <v>193.21</v>
      </c>
      <c r="AK2197">
        <v>0</v>
      </c>
      <c r="AL2197" t="s">
        <v>53</v>
      </c>
      <c r="AM2197" t="s">
        <v>53</v>
      </c>
      <c r="AN2197" t="s">
        <v>3527</v>
      </c>
      <c r="AO2197" t="s">
        <v>53</v>
      </c>
      <c r="AP2197" t="s">
        <v>53</v>
      </c>
    </row>
    <row r="2198" spans="2:42" x14ac:dyDescent="0.2">
      <c r="B2198" t="s">
        <v>44</v>
      </c>
      <c r="C2198" t="str">
        <f>HYPERLINK("https://us2.cloudbeds.com/connect/8493803454333002#/reservations/579382841540?display=DJKXVY27&amp;reservation_id=579382841540", "DJKXVY27")</f>
        <v>DJKXVY27</v>
      </c>
      <c r="D2198" t="s">
        <v>45</v>
      </c>
      <c r="E2198" t="s">
        <v>179</v>
      </c>
      <c r="F2198" t="s">
        <v>47</v>
      </c>
      <c r="G2198" t="s">
        <v>48</v>
      </c>
      <c r="H2198" t="s">
        <v>71</v>
      </c>
      <c r="I2198" t="s">
        <v>72</v>
      </c>
      <c r="J2198" t="s">
        <v>1436</v>
      </c>
      <c r="K2198" t="s">
        <v>1333</v>
      </c>
      <c r="L2198" t="s">
        <v>53</v>
      </c>
      <c r="N2198" t="s">
        <v>3528</v>
      </c>
      <c r="P2198" t="s">
        <v>55</v>
      </c>
      <c r="R2198" t="s">
        <v>56</v>
      </c>
      <c r="T2198" t="s">
        <v>3524</v>
      </c>
      <c r="U2198" t="s">
        <v>58</v>
      </c>
      <c r="V2198">
        <v>2</v>
      </c>
      <c r="W2198">
        <v>1</v>
      </c>
      <c r="X2198">
        <v>1</v>
      </c>
      <c r="Y2198">
        <v>0</v>
      </c>
      <c r="Z2198">
        <v>1</v>
      </c>
      <c r="AA2198">
        <v>0</v>
      </c>
      <c r="AB2198">
        <v>326.16000000000003</v>
      </c>
      <c r="AC2198">
        <v>287</v>
      </c>
      <c r="AD2198">
        <v>0</v>
      </c>
      <c r="AE2198">
        <v>39.159999999999997</v>
      </c>
      <c r="AF2198">
        <v>0</v>
      </c>
      <c r="AG2198">
        <v>0</v>
      </c>
      <c r="AH2198">
        <v>0</v>
      </c>
      <c r="AI2198">
        <v>0</v>
      </c>
      <c r="AJ2198">
        <v>326.16000000000003</v>
      </c>
      <c r="AK2198">
        <v>0</v>
      </c>
      <c r="AL2198" t="s">
        <v>53</v>
      </c>
      <c r="AM2198" t="s">
        <v>53</v>
      </c>
      <c r="AN2198" t="s">
        <v>3529</v>
      </c>
      <c r="AO2198" t="s">
        <v>53</v>
      </c>
      <c r="AP2198" t="s">
        <v>53</v>
      </c>
    </row>
    <row r="2199" spans="2:42" x14ac:dyDescent="0.2">
      <c r="B2199" t="s">
        <v>44</v>
      </c>
      <c r="C2199" t="str">
        <f>HYPERLINK("https://us2.cloudbeds.com/connect/8493803454333002#/reservations/598561403100?display=E1FKRCNB&amp;reservation_id=598561403100", "E1FKRCNB")</f>
        <v>E1FKRCNB</v>
      </c>
      <c r="D2199" t="s">
        <v>45</v>
      </c>
      <c r="E2199" t="s">
        <v>213</v>
      </c>
      <c r="F2199" t="s">
        <v>86</v>
      </c>
      <c r="G2199" t="s">
        <v>48</v>
      </c>
      <c r="H2199" t="s">
        <v>49</v>
      </c>
      <c r="I2199" t="s">
        <v>79</v>
      </c>
      <c r="J2199" t="s">
        <v>1750</v>
      </c>
      <c r="K2199" t="s">
        <v>1269</v>
      </c>
      <c r="L2199" t="s">
        <v>53</v>
      </c>
      <c r="N2199" t="s">
        <v>3530</v>
      </c>
      <c r="P2199" t="s">
        <v>55</v>
      </c>
      <c r="R2199" t="s">
        <v>56</v>
      </c>
      <c r="T2199" t="s">
        <v>3524</v>
      </c>
      <c r="U2199" t="s">
        <v>58</v>
      </c>
      <c r="V2199">
        <v>1</v>
      </c>
      <c r="W2199">
        <v>1</v>
      </c>
      <c r="X2199">
        <v>1</v>
      </c>
      <c r="Y2199">
        <v>0</v>
      </c>
      <c r="Z2199">
        <v>1</v>
      </c>
      <c r="AA2199">
        <v>0</v>
      </c>
      <c r="AB2199">
        <v>181.04</v>
      </c>
      <c r="AC2199">
        <v>159.30000000000001</v>
      </c>
      <c r="AD2199">
        <v>0</v>
      </c>
      <c r="AE2199">
        <v>21.75</v>
      </c>
      <c r="AF2199">
        <v>0</v>
      </c>
      <c r="AG2199">
        <v>0</v>
      </c>
      <c r="AH2199">
        <v>0</v>
      </c>
      <c r="AI2199">
        <v>0</v>
      </c>
      <c r="AJ2199">
        <v>181.05</v>
      </c>
      <c r="AK2199">
        <v>0.01</v>
      </c>
      <c r="AL2199" t="s">
        <v>53</v>
      </c>
      <c r="AM2199" t="s">
        <v>53</v>
      </c>
      <c r="AN2199" t="s">
        <v>132</v>
      </c>
      <c r="AO2199" t="s">
        <v>53</v>
      </c>
      <c r="AP2199" t="s">
        <v>53</v>
      </c>
    </row>
    <row r="2200" spans="2:42" x14ac:dyDescent="0.2">
      <c r="B2200" t="s">
        <v>44</v>
      </c>
      <c r="C2200" t="str">
        <f>HYPERLINK("https://us2.cloudbeds.com/connect/8493803454333002#/reservations/598437830867?display=E1CFKQJ7&amp;reservation_id=598437830867", "E1CFKQJ7")</f>
        <v>E1CFKQJ7</v>
      </c>
      <c r="D2200" t="s">
        <v>45</v>
      </c>
      <c r="E2200" t="s">
        <v>138</v>
      </c>
      <c r="F2200" t="s">
        <v>70</v>
      </c>
      <c r="G2200" t="s">
        <v>48</v>
      </c>
      <c r="H2200" t="s">
        <v>49</v>
      </c>
      <c r="I2200" t="s">
        <v>50</v>
      </c>
      <c r="J2200" t="s">
        <v>214</v>
      </c>
      <c r="K2200" t="s">
        <v>215</v>
      </c>
      <c r="L2200" t="s">
        <v>53</v>
      </c>
      <c r="N2200" t="s">
        <v>3531</v>
      </c>
      <c r="P2200" t="s">
        <v>55</v>
      </c>
      <c r="R2200" t="s">
        <v>56</v>
      </c>
      <c r="T2200" t="s">
        <v>3524</v>
      </c>
      <c r="U2200" t="s">
        <v>58</v>
      </c>
      <c r="V2200">
        <v>1</v>
      </c>
      <c r="W2200">
        <v>1</v>
      </c>
      <c r="X2200">
        <v>1</v>
      </c>
      <c r="Y2200">
        <v>0</v>
      </c>
      <c r="Z2200">
        <v>1</v>
      </c>
      <c r="AA2200">
        <v>0</v>
      </c>
      <c r="AB2200">
        <v>153.43</v>
      </c>
      <c r="AC2200">
        <v>135</v>
      </c>
      <c r="AD2200">
        <v>0</v>
      </c>
      <c r="AE2200">
        <v>18.440000000000001</v>
      </c>
      <c r="AF2200">
        <v>0</v>
      </c>
      <c r="AG2200">
        <v>0</v>
      </c>
      <c r="AH2200">
        <v>0</v>
      </c>
      <c r="AI2200">
        <v>27.62</v>
      </c>
      <c r="AJ2200">
        <v>153.44</v>
      </c>
      <c r="AK2200">
        <v>0.01</v>
      </c>
      <c r="AL2200" t="s">
        <v>53</v>
      </c>
      <c r="AM2200" t="s">
        <v>53</v>
      </c>
      <c r="AN2200" t="s">
        <v>225</v>
      </c>
      <c r="AO2200" t="s">
        <v>53</v>
      </c>
      <c r="AP2200" t="s">
        <v>53</v>
      </c>
    </row>
    <row r="2201" spans="2:42" x14ac:dyDescent="0.2">
      <c r="B2201" t="s">
        <v>44</v>
      </c>
      <c r="C2201" t="str">
        <f>HYPERLINK("https://us2.cloudbeds.com/connect/8493803454333002#/reservations/598636310759?display=E1HHWQED&amp;reservation_id=598636310759", "E1HHWQED")</f>
        <v>E1HHWQED</v>
      </c>
      <c r="D2201" t="s">
        <v>45</v>
      </c>
      <c r="E2201" t="s">
        <v>92</v>
      </c>
      <c r="F2201" t="s">
        <v>86</v>
      </c>
      <c r="G2201" t="s">
        <v>48</v>
      </c>
      <c r="H2201" t="s">
        <v>49</v>
      </c>
      <c r="I2201" t="s">
        <v>50</v>
      </c>
      <c r="J2201" t="s">
        <v>1633</v>
      </c>
      <c r="K2201" t="s">
        <v>447</v>
      </c>
      <c r="L2201" t="s">
        <v>53</v>
      </c>
      <c r="N2201" t="s">
        <v>3532</v>
      </c>
      <c r="P2201" t="s">
        <v>55</v>
      </c>
      <c r="R2201" t="s">
        <v>56</v>
      </c>
      <c r="T2201" t="s">
        <v>3524</v>
      </c>
      <c r="U2201" t="s">
        <v>58</v>
      </c>
      <c r="V2201">
        <v>1</v>
      </c>
      <c r="W2201">
        <v>1</v>
      </c>
      <c r="X2201">
        <v>1</v>
      </c>
      <c r="Y2201">
        <v>0</v>
      </c>
      <c r="Z2201">
        <v>1</v>
      </c>
      <c r="AA2201">
        <v>0</v>
      </c>
      <c r="AB2201">
        <v>187.18</v>
      </c>
      <c r="AC2201">
        <v>164.7</v>
      </c>
      <c r="AD2201">
        <v>0</v>
      </c>
      <c r="AE2201">
        <v>22.48</v>
      </c>
      <c r="AF2201">
        <v>0</v>
      </c>
      <c r="AG2201">
        <v>0</v>
      </c>
      <c r="AH2201">
        <v>0</v>
      </c>
      <c r="AI2201">
        <v>33.69</v>
      </c>
      <c r="AJ2201">
        <v>187.18</v>
      </c>
      <c r="AK2201">
        <v>0</v>
      </c>
      <c r="AL2201" t="s">
        <v>53</v>
      </c>
      <c r="AM2201" t="s">
        <v>53</v>
      </c>
      <c r="AN2201" t="s">
        <v>252</v>
      </c>
      <c r="AO2201" t="s">
        <v>53</v>
      </c>
      <c r="AP2201" t="s">
        <v>53</v>
      </c>
    </row>
    <row r="2202" spans="2:42" x14ac:dyDescent="0.2">
      <c r="B2202" t="s">
        <v>44</v>
      </c>
      <c r="C2202" t="str">
        <f>HYPERLINK("https://us2.cloudbeds.com/connect/8493803454333002#/reservations/579346780367?display=DJJYX61D&amp;reservation_id=579346780367", "DJJYX61D")</f>
        <v>DJJYX61D</v>
      </c>
      <c r="D2202" t="s">
        <v>45</v>
      </c>
      <c r="E2202" t="s">
        <v>487</v>
      </c>
      <c r="F2202" t="s">
        <v>61</v>
      </c>
      <c r="G2202" t="s">
        <v>48</v>
      </c>
      <c r="H2202" t="s">
        <v>49</v>
      </c>
      <c r="I2202" t="s">
        <v>79</v>
      </c>
      <c r="J2202" t="s">
        <v>1336</v>
      </c>
      <c r="K2202" t="s">
        <v>1380</v>
      </c>
      <c r="L2202" t="s">
        <v>53</v>
      </c>
      <c r="N2202" t="s">
        <v>3533</v>
      </c>
      <c r="P2202" t="s">
        <v>55</v>
      </c>
      <c r="R2202" t="s">
        <v>56</v>
      </c>
      <c r="T2202" t="s">
        <v>3524</v>
      </c>
      <c r="U2202" t="s">
        <v>58</v>
      </c>
      <c r="V2202">
        <v>3</v>
      </c>
      <c r="W2202">
        <v>1</v>
      </c>
      <c r="X2202">
        <v>1</v>
      </c>
      <c r="Y2202">
        <v>0</v>
      </c>
      <c r="Z2202">
        <v>1</v>
      </c>
      <c r="AA2202">
        <v>0</v>
      </c>
      <c r="AB2202">
        <v>386.64</v>
      </c>
      <c r="AC2202">
        <v>340.2</v>
      </c>
      <c r="AD2202">
        <v>0</v>
      </c>
      <c r="AE2202">
        <v>46.44</v>
      </c>
      <c r="AF2202">
        <v>0</v>
      </c>
      <c r="AG2202">
        <v>0</v>
      </c>
      <c r="AH2202">
        <v>0</v>
      </c>
      <c r="AI2202">
        <v>0</v>
      </c>
      <c r="AJ2202">
        <v>386.64</v>
      </c>
      <c r="AK2202">
        <v>0</v>
      </c>
      <c r="AL2202" t="s">
        <v>53</v>
      </c>
      <c r="AM2202" t="s">
        <v>53</v>
      </c>
      <c r="AN2202" t="s">
        <v>349</v>
      </c>
      <c r="AO2202" t="s">
        <v>53</v>
      </c>
      <c r="AP2202" t="s">
        <v>53</v>
      </c>
    </row>
    <row r="2203" spans="2:42" x14ac:dyDescent="0.2">
      <c r="B2203" t="s">
        <v>44</v>
      </c>
      <c r="C2203" t="str">
        <f>HYPERLINK("https://us2.cloudbeds.com/connect/8493803454333002#/reservations/598238388432?display=E17CF0S2&amp;reservation_id=598238388432", "E17CF0S2")</f>
        <v>E17CF0S2</v>
      </c>
      <c r="D2203" t="s">
        <v>45</v>
      </c>
      <c r="E2203" t="s">
        <v>265</v>
      </c>
      <c r="F2203" t="s">
        <v>61</v>
      </c>
      <c r="G2203" t="s">
        <v>48</v>
      </c>
      <c r="H2203" t="s">
        <v>49</v>
      </c>
      <c r="I2203" t="s">
        <v>50</v>
      </c>
      <c r="J2203" t="s">
        <v>1439</v>
      </c>
      <c r="K2203" t="s">
        <v>322</v>
      </c>
      <c r="L2203" t="s">
        <v>53</v>
      </c>
      <c r="N2203" t="s">
        <v>3534</v>
      </c>
      <c r="P2203" t="s">
        <v>55</v>
      </c>
      <c r="R2203" t="s">
        <v>56</v>
      </c>
      <c r="T2203" t="s">
        <v>3524</v>
      </c>
      <c r="U2203" t="s">
        <v>58</v>
      </c>
      <c r="V2203">
        <v>1</v>
      </c>
      <c r="W2203">
        <v>1</v>
      </c>
      <c r="X2203">
        <v>1</v>
      </c>
      <c r="Y2203">
        <v>0</v>
      </c>
      <c r="Z2203">
        <v>1</v>
      </c>
      <c r="AA2203">
        <v>0</v>
      </c>
      <c r="AB2203">
        <v>173.88</v>
      </c>
      <c r="AC2203">
        <v>153</v>
      </c>
      <c r="AD2203">
        <v>0</v>
      </c>
      <c r="AE2203">
        <v>20.89</v>
      </c>
      <c r="AF2203">
        <v>0</v>
      </c>
      <c r="AG2203">
        <v>0</v>
      </c>
      <c r="AH2203">
        <v>0</v>
      </c>
      <c r="AI2203">
        <v>31.3</v>
      </c>
      <c r="AJ2203">
        <v>173.89</v>
      </c>
      <c r="AK2203">
        <v>0.01</v>
      </c>
      <c r="AL2203" t="s">
        <v>53</v>
      </c>
      <c r="AM2203" t="s">
        <v>53</v>
      </c>
      <c r="AN2203" t="s">
        <v>84</v>
      </c>
      <c r="AO2203" t="s">
        <v>53</v>
      </c>
      <c r="AP2203" t="s">
        <v>53</v>
      </c>
    </row>
    <row r="2204" spans="2:42" x14ac:dyDescent="0.2">
      <c r="B2204" t="s">
        <v>44</v>
      </c>
      <c r="C2204" t="str">
        <f>HYPERLINK("https://us2.cloudbeds.com/connect/8493803454333002#/reservations/598220017836?display=E16TVRKB&amp;reservation_id=598220017836", "E16TVRKB")</f>
        <v>E16TVRKB</v>
      </c>
      <c r="D2204" t="s">
        <v>45</v>
      </c>
      <c r="E2204" t="s">
        <v>305</v>
      </c>
      <c r="F2204" t="s">
        <v>61</v>
      </c>
      <c r="G2204" t="s">
        <v>48</v>
      </c>
      <c r="H2204" t="s">
        <v>49</v>
      </c>
      <c r="I2204" t="s">
        <v>50</v>
      </c>
      <c r="J2204" t="s">
        <v>1750</v>
      </c>
      <c r="K2204" t="s">
        <v>387</v>
      </c>
      <c r="L2204" t="s">
        <v>53</v>
      </c>
      <c r="N2204" t="s">
        <v>3535</v>
      </c>
      <c r="P2204" t="s">
        <v>55</v>
      </c>
      <c r="R2204" t="s">
        <v>56</v>
      </c>
      <c r="T2204" t="s">
        <v>3524</v>
      </c>
      <c r="U2204" t="s">
        <v>58</v>
      </c>
      <c r="V2204">
        <v>2</v>
      </c>
      <c r="W2204">
        <v>1</v>
      </c>
      <c r="X2204">
        <v>1</v>
      </c>
      <c r="Y2204">
        <v>0</v>
      </c>
      <c r="Z2204">
        <v>1</v>
      </c>
      <c r="AA2204">
        <v>0</v>
      </c>
      <c r="AB2204">
        <v>351.86</v>
      </c>
      <c r="AC2204">
        <v>309.60000000000002</v>
      </c>
      <c r="AD2204">
        <v>0</v>
      </c>
      <c r="AE2204">
        <v>42.28</v>
      </c>
      <c r="AF2204">
        <v>0</v>
      </c>
      <c r="AG2204">
        <v>0</v>
      </c>
      <c r="AH2204">
        <v>0</v>
      </c>
      <c r="AI2204">
        <v>63.34</v>
      </c>
      <c r="AJ2204">
        <v>351.88</v>
      </c>
      <c r="AK2204">
        <v>0.02</v>
      </c>
      <c r="AL2204" t="s">
        <v>53</v>
      </c>
      <c r="AM2204" t="s">
        <v>53</v>
      </c>
      <c r="AN2204" t="s">
        <v>349</v>
      </c>
      <c r="AO2204" t="s">
        <v>53</v>
      </c>
      <c r="AP2204" t="s">
        <v>53</v>
      </c>
    </row>
    <row r="2205" spans="2:42" x14ac:dyDescent="0.2">
      <c r="B2205" t="s">
        <v>44</v>
      </c>
      <c r="C2205" t="str">
        <f>HYPERLINK("https://us2.cloudbeds.com/connect/8493803454333002#/reservations/598633033976?display=E1HF7KEU&amp;reservation_id=598633033976", "E1HF7KEU")</f>
        <v>E1HF7KEU</v>
      </c>
      <c r="D2205" t="s">
        <v>45</v>
      </c>
      <c r="E2205" t="s">
        <v>105</v>
      </c>
      <c r="F2205" t="s">
        <v>47</v>
      </c>
      <c r="G2205" t="s">
        <v>48</v>
      </c>
      <c r="H2205" t="s">
        <v>49</v>
      </c>
      <c r="I2205" t="s">
        <v>62</v>
      </c>
      <c r="J2205" t="s">
        <v>215</v>
      </c>
      <c r="K2205" t="s">
        <v>446</v>
      </c>
      <c r="L2205" t="s">
        <v>53</v>
      </c>
      <c r="N2205" t="s">
        <v>3536</v>
      </c>
      <c r="P2205" t="s">
        <v>55</v>
      </c>
      <c r="R2205" t="s">
        <v>56</v>
      </c>
      <c r="T2205" t="s">
        <v>3524</v>
      </c>
      <c r="U2205" t="s">
        <v>58</v>
      </c>
      <c r="V2205">
        <v>1</v>
      </c>
      <c r="W2205">
        <v>1</v>
      </c>
      <c r="X2205">
        <v>1</v>
      </c>
      <c r="Y2205">
        <v>0</v>
      </c>
      <c r="Z2205">
        <v>1</v>
      </c>
      <c r="AA2205">
        <v>0</v>
      </c>
      <c r="AB2205">
        <v>176.16</v>
      </c>
      <c r="AC2205">
        <v>155</v>
      </c>
      <c r="AD2205">
        <v>0</v>
      </c>
      <c r="AE2205">
        <v>21.17</v>
      </c>
      <c r="AF2205">
        <v>0</v>
      </c>
      <c r="AG2205">
        <v>0</v>
      </c>
      <c r="AH2205">
        <v>0</v>
      </c>
      <c r="AI2205">
        <v>26.43</v>
      </c>
      <c r="AJ2205">
        <v>176.17</v>
      </c>
      <c r="AK2205">
        <v>0.01</v>
      </c>
      <c r="AL2205" t="s">
        <v>53</v>
      </c>
      <c r="AM2205" t="s">
        <v>53</v>
      </c>
      <c r="AN2205" t="s">
        <v>3537</v>
      </c>
      <c r="AO2205" t="s">
        <v>53</v>
      </c>
      <c r="AP2205" t="s">
        <v>53</v>
      </c>
    </row>
    <row r="2206" spans="2:42" x14ac:dyDescent="0.2">
      <c r="B2206" t="s">
        <v>44</v>
      </c>
      <c r="C2206" t="str">
        <f>HYPERLINK("https://us2.cloudbeds.com/connect/8493803454333002#/reservations/598537089181?display=E1F0AQSU&amp;reservation_id=598537089181", "E1F0AQSU")</f>
        <v>E1F0AQSU</v>
      </c>
      <c r="D2206" t="s">
        <v>45</v>
      </c>
      <c r="E2206" t="s">
        <v>165</v>
      </c>
      <c r="F2206" t="s">
        <v>61</v>
      </c>
      <c r="G2206" t="s">
        <v>48</v>
      </c>
      <c r="H2206" t="s">
        <v>71</v>
      </c>
      <c r="I2206" t="s">
        <v>72</v>
      </c>
      <c r="J2206" t="s">
        <v>1750</v>
      </c>
      <c r="K2206" t="s">
        <v>1269</v>
      </c>
      <c r="L2206" t="s">
        <v>53</v>
      </c>
      <c r="N2206" t="s">
        <v>3538</v>
      </c>
      <c r="P2206" t="s">
        <v>58</v>
      </c>
      <c r="R2206" t="s">
        <v>56</v>
      </c>
      <c r="T2206" t="s">
        <v>3524</v>
      </c>
      <c r="U2206" t="s">
        <v>58</v>
      </c>
      <c r="V2206">
        <v>1</v>
      </c>
      <c r="W2206">
        <v>1</v>
      </c>
      <c r="X2206">
        <v>1</v>
      </c>
      <c r="Y2206">
        <v>0</v>
      </c>
      <c r="Z2206">
        <v>1</v>
      </c>
      <c r="AA2206">
        <v>0</v>
      </c>
      <c r="AB2206">
        <v>187.52</v>
      </c>
      <c r="AC2206">
        <v>165</v>
      </c>
      <c r="AD2206">
        <v>0</v>
      </c>
      <c r="AE2206">
        <v>22.53</v>
      </c>
      <c r="AF2206">
        <v>0</v>
      </c>
      <c r="AG2206">
        <v>0</v>
      </c>
      <c r="AH2206">
        <v>0</v>
      </c>
      <c r="AI2206">
        <v>0</v>
      </c>
      <c r="AJ2206">
        <v>187.53</v>
      </c>
      <c r="AK2206">
        <v>0.01</v>
      </c>
      <c r="AL2206" t="s">
        <v>53</v>
      </c>
      <c r="AM2206" t="s">
        <v>53</v>
      </c>
      <c r="AN2206" t="s">
        <v>378</v>
      </c>
      <c r="AO2206" t="s">
        <v>53</v>
      </c>
      <c r="AP2206" t="s">
        <v>53</v>
      </c>
    </row>
    <row r="2207" spans="2:42" x14ac:dyDescent="0.2">
      <c r="B2207" t="s">
        <v>44</v>
      </c>
      <c r="C2207" t="str">
        <f>HYPERLINK("https://us2.cloudbeds.com/connect/8493803454333002#/reservations/579387728024?display=DJKN2K6G&amp;reservation_id=579387728024", "DJKN2K6G")</f>
        <v>DJKN2K6G</v>
      </c>
      <c r="D2207" t="s">
        <v>45</v>
      </c>
      <c r="E2207" t="s">
        <v>105</v>
      </c>
      <c r="F2207" t="s">
        <v>47</v>
      </c>
      <c r="G2207" t="s">
        <v>48</v>
      </c>
      <c r="H2207" t="s">
        <v>71</v>
      </c>
      <c r="I2207" t="s">
        <v>72</v>
      </c>
      <c r="J2207" t="s">
        <v>2315</v>
      </c>
      <c r="K2207" t="s">
        <v>1898</v>
      </c>
      <c r="L2207" t="s">
        <v>53</v>
      </c>
      <c r="N2207" t="s">
        <v>3539</v>
      </c>
      <c r="P2207" t="s">
        <v>55</v>
      </c>
      <c r="R2207" t="s">
        <v>56</v>
      </c>
      <c r="T2207" t="s">
        <v>3524</v>
      </c>
      <c r="U2207" t="s">
        <v>58</v>
      </c>
      <c r="V2207">
        <v>3</v>
      </c>
      <c r="W2207">
        <v>1</v>
      </c>
      <c r="X2207">
        <v>1</v>
      </c>
      <c r="Y2207">
        <v>0</v>
      </c>
      <c r="Z2207">
        <v>1</v>
      </c>
      <c r="AA2207">
        <v>0</v>
      </c>
      <c r="AB2207">
        <v>445.49</v>
      </c>
      <c r="AC2207">
        <v>392</v>
      </c>
      <c r="AD2207">
        <v>0</v>
      </c>
      <c r="AE2207">
        <v>53.49</v>
      </c>
      <c r="AF2207">
        <v>0</v>
      </c>
      <c r="AG2207">
        <v>0</v>
      </c>
      <c r="AH2207">
        <v>0</v>
      </c>
      <c r="AI2207">
        <v>0</v>
      </c>
      <c r="AJ2207">
        <v>445.49</v>
      </c>
      <c r="AK2207">
        <v>0</v>
      </c>
      <c r="AL2207" t="s">
        <v>53</v>
      </c>
      <c r="AM2207" t="s">
        <v>53</v>
      </c>
      <c r="AN2207" t="s">
        <v>378</v>
      </c>
      <c r="AO2207" t="s">
        <v>53</v>
      </c>
      <c r="AP2207" t="s">
        <v>53</v>
      </c>
    </row>
    <row r="2208" spans="2:42" x14ac:dyDescent="0.2">
      <c r="B2208" t="s">
        <v>44</v>
      </c>
      <c r="C2208" t="str">
        <f>HYPERLINK("https://us2.cloudbeds.com/connect/8493803454333002#/reservations/598580994267?display=E1G4BHP2&amp;reservation_id=598580994267", "E1G4BHP2")</f>
        <v>E1G4BHP2</v>
      </c>
      <c r="D2208" t="s">
        <v>45</v>
      </c>
      <c r="E2208" t="s">
        <v>179</v>
      </c>
      <c r="F2208" t="s">
        <v>47</v>
      </c>
      <c r="G2208" t="s">
        <v>48</v>
      </c>
      <c r="H2208" t="s">
        <v>49</v>
      </c>
      <c r="I2208" t="s">
        <v>50</v>
      </c>
      <c r="J2208" t="s">
        <v>1269</v>
      </c>
      <c r="K2208" t="s">
        <v>387</v>
      </c>
      <c r="L2208" t="s">
        <v>53</v>
      </c>
      <c r="N2208" t="s">
        <v>3540</v>
      </c>
      <c r="P2208" t="s">
        <v>55</v>
      </c>
      <c r="R2208" t="s">
        <v>56</v>
      </c>
      <c r="T2208" t="s">
        <v>3524</v>
      </c>
      <c r="U2208" t="s">
        <v>58</v>
      </c>
      <c r="V2208">
        <v>1</v>
      </c>
      <c r="W2208">
        <v>1</v>
      </c>
      <c r="X2208">
        <v>1</v>
      </c>
      <c r="Y2208">
        <v>0</v>
      </c>
      <c r="Z2208">
        <v>1</v>
      </c>
      <c r="AA2208">
        <v>0</v>
      </c>
      <c r="AB2208">
        <v>163.66</v>
      </c>
      <c r="AC2208">
        <v>144</v>
      </c>
      <c r="AD2208">
        <v>0</v>
      </c>
      <c r="AE2208">
        <v>19.66</v>
      </c>
      <c r="AF2208">
        <v>0</v>
      </c>
      <c r="AG2208">
        <v>0</v>
      </c>
      <c r="AH2208">
        <v>0</v>
      </c>
      <c r="AI2208">
        <v>29.46</v>
      </c>
      <c r="AJ2208">
        <v>163.66</v>
      </c>
      <c r="AK2208">
        <v>0</v>
      </c>
      <c r="AL2208" t="s">
        <v>53</v>
      </c>
      <c r="AM2208" t="s">
        <v>53</v>
      </c>
      <c r="AN2208" t="s">
        <v>91</v>
      </c>
      <c r="AO2208" t="s">
        <v>53</v>
      </c>
      <c r="AP2208" t="s">
        <v>53</v>
      </c>
    </row>
    <row r="2209" spans="2:42" x14ac:dyDescent="0.2">
      <c r="B2209" t="s">
        <v>44</v>
      </c>
      <c r="C2209" t="str">
        <f>HYPERLINK("https://us2.cloudbeds.com/connect/8493803454333002#/reservations/598551773345?display=E1FCNDVJ&amp;reservation_id=598551773345", "E1FCNDVJ")</f>
        <v>E1FCNDVJ</v>
      </c>
      <c r="D2209" t="s">
        <v>45</v>
      </c>
      <c r="E2209" t="s">
        <v>223</v>
      </c>
      <c r="F2209" t="s">
        <v>47</v>
      </c>
      <c r="G2209" t="s">
        <v>48</v>
      </c>
      <c r="H2209" t="s">
        <v>49</v>
      </c>
      <c r="I2209" t="s">
        <v>62</v>
      </c>
      <c r="J2209" t="s">
        <v>1269</v>
      </c>
      <c r="K2209" t="s">
        <v>387</v>
      </c>
      <c r="L2209" t="s">
        <v>53</v>
      </c>
      <c r="N2209" t="s">
        <v>3541</v>
      </c>
      <c r="P2209" t="s">
        <v>55</v>
      </c>
      <c r="R2209" t="s">
        <v>56</v>
      </c>
      <c r="T2209" t="s">
        <v>3542</v>
      </c>
      <c r="U2209" t="s">
        <v>58</v>
      </c>
      <c r="V2209">
        <v>1</v>
      </c>
      <c r="W2209">
        <v>1</v>
      </c>
      <c r="X2209">
        <v>1</v>
      </c>
      <c r="Y2209">
        <v>0</v>
      </c>
      <c r="Z2209">
        <v>1</v>
      </c>
      <c r="AA2209">
        <v>0</v>
      </c>
      <c r="AB2209">
        <v>181.84</v>
      </c>
      <c r="AC2209">
        <v>160</v>
      </c>
      <c r="AD2209">
        <v>0</v>
      </c>
      <c r="AE2209">
        <v>21.84</v>
      </c>
      <c r="AF2209">
        <v>0</v>
      </c>
      <c r="AG2209">
        <v>0</v>
      </c>
      <c r="AH2209">
        <v>0</v>
      </c>
      <c r="AI2209">
        <v>27.28</v>
      </c>
      <c r="AJ2209">
        <v>181.84</v>
      </c>
      <c r="AK2209">
        <v>0</v>
      </c>
      <c r="AL2209" t="s">
        <v>53</v>
      </c>
      <c r="AM2209" t="s">
        <v>53</v>
      </c>
      <c r="AN2209" t="s">
        <v>146</v>
      </c>
      <c r="AO2209" t="s">
        <v>53</v>
      </c>
      <c r="AP2209" t="s">
        <v>53</v>
      </c>
    </row>
    <row r="2210" spans="2:42" x14ac:dyDescent="0.2">
      <c r="B2210" t="s">
        <v>44</v>
      </c>
      <c r="C2210" t="str">
        <f>HYPERLINK("https://us2.cloudbeds.com/connect/8493803454333002#/reservations/579378438295?display=DJKF83MX&amp;reservation_id=579378438295", "DJKF83MX")</f>
        <v>DJKF83MX</v>
      </c>
      <c r="D2210" t="s">
        <v>602</v>
      </c>
      <c r="E2210" t="s">
        <v>53</v>
      </c>
      <c r="F2210" t="s">
        <v>86</v>
      </c>
      <c r="G2210" t="s">
        <v>48</v>
      </c>
      <c r="H2210" t="s">
        <v>71</v>
      </c>
      <c r="I2210" t="s">
        <v>72</v>
      </c>
      <c r="J2210" t="s">
        <v>1380</v>
      </c>
      <c r="K2210" t="s">
        <v>2013</v>
      </c>
      <c r="L2210" t="s">
        <v>53</v>
      </c>
      <c r="N2210" t="s">
        <v>3543</v>
      </c>
      <c r="P2210" t="s">
        <v>55</v>
      </c>
      <c r="R2210" t="s">
        <v>56</v>
      </c>
      <c r="T2210" t="s">
        <v>3542</v>
      </c>
      <c r="U2210" t="s">
        <v>58</v>
      </c>
      <c r="V2210">
        <v>4</v>
      </c>
      <c r="W2210">
        <v>1</v>
      </c>
      <c r="X2210">
        <v>1</v>
      </c>
      <c r="Y2210">
        <v>0</v>
      </c>
      <c r="Z2210">
        <v>1</v>
      </c>
      <c r="AA2210">
        <v>0</v>
      </c>
      <c r="AB2210">
        <v>0</v>
      </c>
      <c r="AC2210">
        <v>0</v>
      </c>
      <c r="AD2210">
        <v>0</v>
      </c>
      <c r="AE2210">
        <v>0</v>
      </c>
      <c r="AF2210">
        <v>0</v>
      </c>
      <c r="AG2210">
        <v>0</v>
      </c>
      <c r="AH2210">
        <v>0</v>
      </c>
      <c r="AI2210">
        <v>0</v>
      </c>
      <c r="AJ2210">
        <v>0</v>
      </c>
      <c r="AK2210">
        <v>0</v>
      </c>
      <c r="AL2210">
        <v>484</v>
      </c>
      <c r="AM2210">
        <v>550.08000000000004</v>
      </c>
      <c r="AN2210" t="s">
        <v>3544</v>
      </c>
      <c r="AO2210" t="s">
        <v>53</v>
      </c>
      <c r="AP2210" t="s">
        <v>53</v>
      </c>
    </row>
    <row r="2211" spans="2:42" x14ac:dyDescent="0.2">
      <c r="B2211" t="s">
        <v>44</v>
      </c>
      <c r="C2211" t="str">
        <f>HYPERLINK("https://us2.cloudbeds.com/connect/8493803454333002#/reservations/598618218649?display=E1H2ZBUY&amp;reservation_id=598618218649", "E1H2ZBUY")</f>
        <v>E1H2ZBUY</v>
      </c>
      <c r="D2211" t="s">
        <v>45</v>
      </c>
      <c r="E2211" t="s">
        <v>165</v>
      </c>
      <c r="F2211" t="s">
        <v>61</v>
      </c>
      <c r="G2211" t="s">
        <v>48</v>
      </c>
      <c r="H2211" t="s">
        <v>49</v>
      </c>
      <c r="I2211" t="s">
        <v>79</v>
      </c>
      <c r="J2211" t="s">
        <v>1269</v>
      </c>
      <c r="K2211" t="s">
        <v>387</v>
      </c>
      <c r="L2211" t="s">
        <v>53</v>
      </c>
      <c r="N2211" t="s">
        <v>3545</v>
      </c>
      <c r="P2211" t="s">
        <v>55</v>
      </c>
      <c r="R2211" t="s">
        <v>56</v>
      </c>
      <c r="T2211" t="s">
        <v>3542</v>
      </c>
      <c r="U2211" t="s">
        <v>58</v>
      </c>
      <c r="V2211">
        <v>1</v>
      </c>
      <c r="W2211">
        <v>1</v>
      </c>
      <c r="X2211">
        <v>1</v>
      </c>
      <c r="Y2211">
        <v>0</v>
      </c>
      <c r="Z2211">
        <v>1</v>
      </c>
      <c r="AA2211">
        <v>0</v>
      </c>
      <c r="AB2211">
        <v>177.98</v>
      </c>
      <c r="AC2211">
        <v>156.6</v>
      </c>
      <c r="AD2211">
        <v>0</v>
      </c>
      <c r="AE2211">
        <v>21.37</v>
      </c>
      <c r="AF2211">
        <v>0</v>
      </c>
      <c r="AG2211">
        <v>0</v>
      </c>
      <c r="AH2211">
        <v>0</v>
      </c>
      <c r="AI2211">
        <v>0</v>
      </c>
      <c r="AJ2211">
        <v>177.97</v>
      </c>
      <c r="AK2211">
        <v>-0.01</v>
      </c>
      <c r="AL2211" t="s">
        <v>53</v>
      </c>
      <c r="AM2211" t="s">
        <v>53</v>
      </c>
      <c r="AN2211" t="s">
        <v>332</v>
      </c>
      <c r="AO2211" t="s">
        <v>53</v>
      </c>
      <c r="AP2211" t="s">
        <v>53</v>
      </c>
    </row>
    <row r="2212" spans="2:42" x14ac:dyDescent="0.2">
      <c r="B2212" t="s">
        <v>44</v>
      </c>
      <c r="C2212" t="str">
        <f>HYPERLINK("https://us2.cloudbeds.com/connect/8493803454333002#/reservations/598246498454?display=E17J9N2A&amp;reservation_id=598246498454", "E17J9N2A")</f>
        <v>E17J9N2A</v>
      </c>
      <c r="D2212" t="s">
        <v>45</v>
      </c>
      <c r="E2212" t="s">
        <v>190</v>
      </c>
      <c r="F2212" t="s">
        <v>61</v>
      </c>
      <c r="G2212" t="s">
        <v>48</v>
      </c>
      <c r="H2212" t="s">
        <v>49</v>
      </c>
      <c r="I2212" t="s">
        <v>50</v>
      </c>
      <c r="J2212" t="s">
        <v>1792</v>
      </c>
      <c r="K2212" t="s">
        <v>447</v>
      </c>
      <c r="L2212" t="s">
        <v>53</v>
      </c>
      <c r="N2212" t="s">
        <v>3546</v>
      </c>
      <c r="P2212" t="s">
        <v>55</v>
      </c>
      <c r="R2212" t="s">
        <v>56</v>
      </c>
      <c r="T2212" t="s">
        <v>3542</v>
      </c>
      <c r="U2212" t="s">
        <v>58</v>
      </c>
      <c r="V2212">
        <v>2</v>
      </c>
      <c r="W2212">
        <v>1</v>
      </c>
      <c r="X2212">
        <v>1</v>
      </c>
      <c r="Y2212">
        <v>0</v>
      </c>
      <c r="Z2212">
        <v>1</v>
      </c>
      <c r="AA2212">
        <v>0</v>
      </c>
      <c r="AB2212">
        <v>355.95</v>
      </c>
      <c r="AC2212">
        <v>313.2</v>
      </c>
      <c r="AD2212">
        <v>0</v>
      </c>
      <c r="AE2212">
        <v>42.74</v>
      </c>
      <c r="AF2212">
        <v>0</v>
      </c>
      <c r="AG2212">
        <v>0</v>
      </c>
      <c r="AH2212">
        <v>0</v>
      </c>
      <c r="AI2212">
        <v>64.069999999999993</v>
      </c>
      <c r="AJ2212">
        <v>355.94</v>
      </c>
      <c r="AK2212">
        <v>-0.01</v>
      </c>
      <c r="AL2212" t="s">
        <v>53</v>
      </c>
      <c r="AM2212" t="s">
        <v>53</v>
      </c>
      <c r="AN2212" t="s">
        <v>97</v>
      </c>
      <c r="AO2212" t="s">
        <v>53</v>
      </c>
      <c r="AP2212" t="s">
        <v>53</v>
      </c>
    </row>
    <row r="2213" spans="2:42" x14ac:dyDescent="0.2">
      <c r="B2213" t="s">
        <v>44</v>
      </c>
      <c r="C2213" t="str">
        <f>HYPERLINK("https://us2.cloudbeds.com/connect/8493803454333002#/reservations/579296161983?display=DJXBSYGW&amp;reservation_id=579296161983", "DJXBSYGW")</f>
        <v>DJXBSYGW</v>
      </c>
      <c r="D2213" t="s">
        <v>45</v>
      </c>
      <c r="E2213" t="s">
        <v>155</v>
      </c>
      <c r="F2213" t="s">
        <v>86</v>
      </c>
      <c r="G2213" t="s">
        <v>48</v>
      </c>
      <c r="H2213" t="s">
        <v>49</v>
      </c>
      <c r="I2213" t="s">
        <v>50</v>
      </c>
      <c r="J2213" t="s">
        <v>1660</v>
      </c>
      <c r="K2213" t="s">
        <v>2469</v>
      </c>
      <c r="L2213" t="s">
        <v>53</v>
      </c>
      <c r="N2213" t="s">
        <v>3547</v>
      </c>
      <c r="P2213" t="s">
        <v>55</v>
      </c>
      <c r="R2213" t="s">
        <v>56</v>
      </c>
      <c r="T2213" t="s">
        <v>3548</v>
      </c>
      <c r="U2213" t="s">
        <v>58</v>
      </c>
      <c r="V2213">
        <v>2</v>
      </c>
      <c r="W2213">
        <v>1</v>
      </c>
      <c r="X2213">
        <v>1</v>
      </c>
      <c r="Y2213">
        <v>0</v>
      </c>
      <c r="Z2213">
        <v>1</v>
      </c>
      <c r="AA2213">
        <v>0</v>
      </c>
      <c r="AB2213">
        <v>0</v>
      </c>
      <c r="AC2213">
        <v>0</v>
      </c>
      <c r="AD2213">
        <v>0</v>
      </c>
      <c r="AE2213">
        <v>0</v>
      </c>
      <c r="AF2213">
        <v>0</v>
      </c>
      <c r="AG2213">
        <v>0</v>
      </c>
      <c r="AH2213">
        <v>0</v>
      </c>
      <c r="AI2213">
        <v>0</v>
      </c>
      <c r="AJ2213">
        <v>0</v>
      </c>
      <c r="AK2213">
        <v>0</v>
      </c>
      <c r="AL2213" t="s">
        <v>53</v>
      </c>
      <c r="AM2213" t="s">
        <v>53</v>
      </c>
      <c r="AN2213" t="s">
        <v>3549</v>
      </c>
      <c r="AO2213" t="s">
        <v>53</v>
      </c>
      <c r="AP2213" t="s">
        <v>53</v>
      </c>
    </row>
    <row r="2214" spans="2:42" x14ac:dyDescent="0.2">
      <c r="B2214" t="s">
        <v>44</v>
      </c>
      <c r="C2214" t="str">
        <f>HYPERLINK("https://us2.cloudbeds.com/connect/8493803454333002#/reservations/598324293856?display=E19XTFHZ&amp;reservation_id=598324293856", "E19XTFHZ")</f>
        <v>E19XTFHZ</v>
      </c>
      <c r="D2214" t="s">
        <v>45</v>
      </c>
      <c r="E2214" t="s">
        <v>92</v>
      </c>
      <c r="F2214" t="s">
        <v>86</v>
      </c>
      <c r="G2214" t="s">
        <v>48</v>
      </c>
      <c r="H2214" t="s">
        <v>49</v>
      </c>
      <c r="I2214" t="s">
        <v>79</v>
      </c>
      <c r="J2214" t="s">
        <v>447</v>
      </c>
      <c r="K2214" t="s">
        <v>988</v>
      </c>
      <c r="L2214" t="s">
        <v>53</v>
      </c>
      <c r="N2214" t="s">
        <v>3550</v>
      </c>
      <c r="P2214" t="s">
        <v>55</v>
      </c>
      <c r="R2214" t="s">
        <v>56</v>
      </c>
      <c r="T2214" t="s">
        <v>3548</v>
      </c>
      <c r="U2214" t="s">
        <v>58</v>
      </c>
      <c r="V2214">
        <v>2</v>
      </c>
      <c r="W2214">
        <v>1</v>
      </c>
      <c r="X2214">
        <v>1</v>
      </c>
      <c r="Y2214">
        <v>0</v>
      </c>
      <c r="Z2214">
        <v>1</v>
      </c>
      <c r="AA2214">
        <v>0</v>
      </c>
      <c r="AB2214">
        <v>362.09</v>
      </c>
      <c r="AC2214">
        <v>318.60000000000002</v>
      </c>
      <c r="AD2214">
        <v>0</v>
      </c>
      <c r="AE2214">
        <v>43.5</v>
      </c>
      <c r="AF2214">
        <v>0</v>
      </c>
      <c r="AG2214">
        <v>0</v>
      </c>
      <c r="AH2214">
        <v>0</v>
      </c>
      <c r="AI2214">
        <v>0</v>
      </c>
      <c r="AJ2214">
        <v>362.1</v>
      </c>
      <c r="AK2214">
        <v>0.01</v>
      </c>
      <c r="AL2214" t="s">
        <v>53</v>
      </c>
      <c r="AM2214" t="s">
        <v>53</v>
      </c>
      <c r="AN2214" t="s">
        <v>545</v>
      </c>
      <c r="AO2214" t="s">
        <v>53</v>
      </c>
      <c r="AP2214" t="s">
        <v>53</v>
      </c>
    </row>
    <row r="2215" spans="2:42" x14ac:dyDescent="0.2">
      <c r="B2215" t="s">
        <v>44</v>
      </c>
      <c r="C2215" t="str">
        <f>HYPERLINK("https://us2.cloudbeds.com/connect/8493803454333002#/reservations/579232112835?display=DJGNSCSN&amp;reservation_id=579232112835", "DJGNSCSN")</f>
        <v>DJGNSCSN</v>
      </c>
      <c r="D2215" t="s">
        <v>45</v>
      </c>
      <c r="E2215" t="s">
        <v>110</v>
      </c>
      <c r="F2215" t="s">
        <v>47</v>
      </c>
      <c r="G2215" t="s">
        <v>48</v>
      </c>
      <c r="H2215" t="s">
        <v>71</v>
      </c>
      <c r="I2215" t="s">
        <v>72</v>
      </c>
      <c r="J2215" t="s">
        <v>1501</v>
      </c>
      <c r="K2215" t="s">
        <v>3551</v>
      </c>
      <c r="L2215" t="s">
        <v>53</v>
      </c>
      <c r="N2215" t="s">
        <v>3552</v>
      </c>
      <c r="P2215" t="s">
        <v>55</v>
      </c>
      <c r="R2215" t="s">
        <v>56</v>
      </c>
      <c r="T2215" t="s">
        <v>3548</v>
      </c>
      <c r="U2215" t="s">
        <v>58</v>
      </c>
      <c r="V2215">
        <v>2</v>
      </c>
      <c r="W2215">
        <v>1</v>
      </c>
      <c r="X2215">
        <v>1</v>
      </c>
      <c r="Y2215">
        <v>0</v>
      </c>
      <c r="Z2215">
        <v>1</v>
      </c>
      <c r="AA2215">
        <v>0</v>
      </c>
      <c r="AB2215">
        <v>326.16000000000003</v>
      </c>
      <c r="AC2215">
        <v>287</v>
      </c>
      <c r="AD2215">
        <v>0</v>
      </c>
      <c r="AE2215">
        <v>39.159999999999997</v>
      </c>
      <c r="AF2215">
        <v>0</v>
      </c>
      <c r="AG2215">
        <v>0</v>
      </c>
      <c r="AH2215">
        <v>0</v>
      </c>
      <c r="AI2215">
        <v>0</v>
      </c>
      <c r="AJ2215">
        <v>326.16000000000003</v>
      </c>
      <c r="AK2215">
        <v>0</v>
      </c>
      <c r="AL2215" t="s">
        <v>53</v>
      </c>
      <c r="AM2215" t="s">
        <v>53</v>
      </c>
      <c r="AN2215" t="s">
        <v>378</v>
      </c>
      <c r="AO2215" t="s">
        <v>53</v>
      </c>
      <c r="AP2215" t="s">
        <v>53</v>
      </c>
    </row>
    <row r="2216" spans="2:42" x14ac:dyDescent="0.2">
      <c r="B2216" t="s">
        <v>44</v>
      </c>
      <c r="C2216" t="str">
        <f>HYPERLINK("https://us2.cloudbeds.com/connect/8493803454333002#/reservations/579150631100?display=DJEY51B5&amp;reservation_id=579150631100", "DJEY51B5")</f>
        <v>DJEY51B5</v>
      </c>
      <c r="D2216" t="s">
        <v>45</v>
      </c>
      <c r="E2216" t="s">
        <v>305</v>
      </c>
      <c r="F2216" t="s">
        <v>61</v>
      </c>
      <c r="G2216" t="s">
        <v>48</v>
      </c>
      <c r="H2216" t="s">
        <v>49</v>
      </c>
      <c r="I2216" t="s">
        <v>50</v>
      </c>
      <c r="J2216" t="s">
        <v>2384</v>
      </c>
      <c r="K2216" t="s">
        <v>2643</v>
      </c>
      <c r="L2216" t="s">
        <v>53</v>
      </c>
      <c r="N2216" t="s">
        <v>3553</v>
      </c>
      <c r="P2216" t="s">
        <v>55</v>
      </c>
      <c r="R2216" t="s">
        <v>56</v>
      </c>
      <c r="T2216" t="s">
        <v>3548</v>
      </c>
      <c r="U2216" t="s">
        <v>58</v>
      </c>
      <c r="V2216">
        <v>2</v>
      </c>
      <c r="W2216">
        <v>1</v>
      </c>
      <c r="X2216">
        <v>1</v>
      </c>
      <c r="Y2216">
        <v>0</v>
      </c>
      <c r="Z2216">
        <v>1</v>
      </c>
      <c r="AA2216">
        <v>0</v>
      </c>
      <c r="AB2216">
        <v>312.98</v>
      </c>
      <c r="AC2216">
        <v>275.39999999999998</v>
      </c>
      <c r="AD2216">
        <v>0</v>
      </c>
      <c r="AE2216">
        <v>37.58</v>
      </c>
      <c r="AF2216">
        <v>0</v>
      </c>
      <c r="AG2216">
        <v>0</v>
      </c>
      <c r="AH2216">
        <v>0</v>
      </c>
      <c r="AI2216">
        <v>56.34</v>
      </c>
      <c r="AJ2216">
        <v>312.98</v>
      </c>
      <c r="AK2216">
        <v>0</v>
      </c>
      <c r="AL2216" t="s">
        <v>53</v>
      </c>
      <c r="AM2216" t="s">
        <v>53</v>
      </c>
      <c r="AN2216" t="s">
        <v>245</v>
      </c>
      <c r="AO2216" t="s">
        <v>53</v>
      </c>
      <c r="AP2216" t="s">
        <v>53</v>
      </c>
    </row>
    <row r="2217" spans="2:42" x14ac:dyDescent="0.2">
      <c r="B2217" t="s">
        <v>44</v>
      </c>
      <c r="C2217" t="str">
        <f>HYPERLINK("https://us2.cloudbeds.com/connect/8493803454333002#/reservations/598208200861?display=E16K00D5&amp;reservation_id=598208200861", "E16K00D5")</f>
        <v>E16K00D5</v>
      </c>
      <c r="D2217" t="s">
        <v>45</v>
      </c>
      <c r="E2217" t="s">
        <v>121</v>
      </c>
      <c r="F2217" t="s">
        <v>86</v>
      </c>
      <c r="G2217" t="s">
        <v>48</v>
      </c>
      <c r="H2217" t="s">
        <v>49</v>
      </c>
      <c r="I2217" t="s">
        <v>50</v>
      </c>
      <c r="J2217" t="s">
        <v>322</v>
      </c>
      <c r="K2217" t="s">
        <v>351</v>
      </c>
      <c r="L2217" t="s">
        <v>53</v>
      </c>
      <c r="N2217" t="s">
        <v>3554</v>
      </c>
      <c r="P2217" t="s">
        <v>55</v>
      </c>
      <c r="R2217" t="s">
        <v>56</v>
      </c>
      <c r="T2217" t="s">
        <v>3548</v>
      </c>
      <c r="U2217" t="s">
        <v>58</v>
      </c>
      <c r="V2217">
        <v>1</v>
      </c>
      <c r="W2217">
        <v>1</v>
      </c>
      <c r="X2217">
        <v>1</v>
      </c>
      <c r="Y2217">
        <v>0</v>
      </c>
      <c r="Z2217">
        <v>1</v>
      </c>
      <c r="AA2217">
        <v>0</v>
      </c>
      <c r="AB2217">
        <v>201.16</v>
      </c>
      <c r="AC2217">
        <v>177</v>
      </c>
      <c r="AD2217">
        <v>0</v>
      </c>
      <c r="AE2217">
        <v>24.16</v>
      </c>
      <c r="AF2217">
        <v>0</v>
      </c>
      <c r="AG2217">
        <v>0</v>
      </c>
      <c r="AH2217">
        <v>0</v>
      </c>
      <c r="AI2217">
        <v>36.21</v>
      </c>
      <c r="AJ2217">
        <v>201.16</v>
      </c>
      <c r="AK2217">
        <v>0</v>
      </c>
      <c r="AL2217" t="s">
        <v>53</v>
      </c>
      <c r="AM2217" t="s">
        <v>53</v>
      </c>
      <c r="AN2217" t="s">
        <v>225</v>
      </c>
      <c r="AO2217" t="s">
        <v>53</v>
      </c>
      <c r="AP2217" t="s">
        <v>53</v>
      </c>
    </row>
    <row r="2218" spans="2:42" x14ac:dyDescent="0.2">
      <c r="B2218" t="s">
        <v>44</v>
      </c>
      <c r="C2218" t="str">
        <f>HYPERLINK("https://us2.cloudbeds.com/connect/8493803454333002#/reservations/598446031054?display=E1CMHWJZ&amp;reservation_id=598446031054", "E1CMHWJZ")</f>
        <v>E1CMHWJZ</v>
      </c>
      <c r="D2218" t="s">
        <v>45</v>
      </c>
      <c r="E2218" t="s">
        <v>69</v>
      </c>
      <c r="F2218" t="s">
        <v>70</v>
      </c>
      <c r="G2218" t="s">
        <v>48</v>
      </c>
      <c r="H2218" t="s">
        <v>71</v>
      </c>
      <c r="I2218" t="s">
        <v>72</v>
      </c>
      <c r="J2218" t="s">
        <v>388</v>
      </c>
      <c r="K2218" t="s">
        <v>647</v>
      </c>
      <c r="L2218" t="s">
        <v>53</v>
      </c>
      <c r="N2218" t="s">
        <v>3555</v>
      </c>
      <c r="P2218" t="s">
        <v>55</v>
      </c>
      <c r="R2218" t="s">
        <v>56</v>
      </c>
      <c r="T2218" t="s">
        <v>3556</v>
      </c>
      <c r="U2218" t="s">
        <v>58</v>
      </c>
      <c r="V2218">
        <v>1</v>
      </c>
      <c r="W2218">
        <v>1</v>
      </c>
      <c r="X2218">
        <v>1</v>
      </c>
      <c r="Y2218">
        <v>0</v>
      </c>
      <c r="Z2218">
        <v>1</v>
      </c>
      <c r="AA2218">
        <v>0</v>
      </c>
      <c r="AB2218">
        <v>153.43</v>
      </c>
      <c r="AC2218">
        <v>135</v>
      </c>
      <c r="AD2218">
        <v>0</v>
      </c>
      <c r="AE2218">
        <v>18.440000000000001</v>
      </c>
      <c r="AF2218">
        <v>0</v>
      </c>
      <c r="AG2218">
        <v>0</v>
      </c>
      <c r="AH2218">
        <v>0</v>
      </c>
      <c r="AI2218">
        <v>0</v>
      </c>
      <c r="AJ2218">
        <v>153.44</v>
      </c>
      <c r="AK2218">
        <v>0.01</v>
      </c>
      <c r="AL2218" t="s">
        <v>53</v>
      </c>
      <c r="AM2218" t="s">
        <v>53</v>
      </c>
      <c r="AN2218" t="s">
        <v>104</v>
      </c>
      <c r="AO2218" t="s">
        <v>53</v>
      </c>
      <c r="AP2218" t="s">
        <v>53</v>
      </c>
    </row>
    <row r="2219" spans="2:42" x14ac:dyDescent="0.2">
      <c r="B2219" t="s">
        <v>44</v>
      </c>
      <c r="C2219" t="str">
        <f>HYPERLINK("https://us2.cloudbeds.com/connect/8493803454333002#/reservations/579147858174?display=DJEXQT14&amp;reservation_id=579147858174", "DJEXQT14")</f>
        <v>DJEXQT14</v>
      </c>
      <c r="D2219" t="s">
        <v>45</v>
      </c>
      <c r="E2219" t="s">
        <v>69</v>
      </c>
      <c r="F2219" t="s">
        <v>70</v>
      </c>
      <c r="G2219" t="s">
        <v>48</v>
      </c>
      <c r="H2219" t="s">
        <v>49</v>
      </c>
      <c r="I2219" t="s">
        <v>50</v>
      </c>
      <c r="J2219" t="s">
        <v>2384</v>
      </c>
      <c r="K2219" t="s">
        <v>2163</v>
      </c>
      <c r="L2219" t="s">
        <v>53</v>
      </c>
      <c r="N2219" t="s">
        <v>3557</v>
      </c>
      <c r="P2219" t="s">
        <v>55</v>
      </c>
      <c r="R2219" t="s">
        <v>56</v>
      </c>
      <c r="T2219" t="s">
        <v>3556</v>
      </c>
      <c r="U2219" t="s">
        <v>58</v>
      </c>
      <c r="V2219">
        <v>1</v>
      </c>
      <c r="W2219">
        <v>1</v>
      </c>
      <c r="X2219">
        <v>1</v>
      </c>
      <c r="Y2219">
        <v>0</v>
      </c>
      <c r="Z2219">
        <v>1</v>
      </c>
      <c r="AA2219">
        <v>0</v>
      </c>
      <c r="AB2219">
        <v>137.06</v>
      </c>
      <c r="AC2219">
        <v>120.6</v>
      </c>
      <c r="AD2219">
        <v>0</v>
      </c>
      <c r="AE2219">
        <v>16.46</v>
      </c>
      <c r="AF2219">
        <v>0</v>
      </c>
      <c r="AG2219">
        <v>0</v>
      </c>
      <c r="AH2219">
        <v>0</v>
      </c>
      <c r="AI2219">
        <v>24.67</v>
      </c>
      <c r="AJ2219">
        <v>137.06</v>
      </c>
      <c r="AK2219">
        <v>0</v>
      </c>
      <c r="AL2219" t="s">
        <v>53</v>
      </c>
      <c r="AM2219" t="s">
        <v>53</v>
      </c>
      <c r="AN2219" t="s">
        <v>225</v>
      </c>
      <c r="AO2219" t="s">
        <v>53</v>
      </c>
      <c r="AP2219" t="s">
        <v>53</v>
      </c>
    </row>
    <row r="2220" spans="2:42" x14ac:dyDescent="0.2">
      <c r="B2220" t="s">
        <v>44</v>
      </c>
      <c r="C2220" t="str">
        <f>HYPERLINK("https://us2.cloudbeds.com/connect/8493803454333002#/reservations/598405443756?display=E1BYAJBJ&amp;reservation_id=598405443756", "E1BYAJBJ")</f>
        <v>E1BYAJBJ</v>
      </c>
      <c r="D2220" t="s">
        <v>45</v>
      </c>
      <c r="E2220" t="s">
        <v>373</v>
      </c>
      <c r="F2220" t="s">
        <v>47</v>
      </c>
      <c r="G2220" t="s">
        <v>48</v>
      </c>
      <c r="H2220" t="s">
        <v>71</v>
      </c>
      <c r="I2220" t="s">
        <v>72</v>
      </c>
      <c r="J2220" t="s">
        <v>388</v>
      </c>
      <c r="K2220" t="s">
        <v>214</v>
      </c>
      <c r="L2220" t="s">
        <v>53</v>
      </c>
      <c r="N2220" t="s">
        <v>3558</v>
      </c>
      <c r="P2220" t="s">
        <v>55</v>
      </c>
      <c r="R2220" t="s">
        <v>56</v>
      </c>
      <c r="T2220" t="s">
        <v>3556</v>
      </c>
      <c r="U2220" t="s">
        <v>58</v>
      </c>
      <c r="V2220">
        <v>2</v>
      </c>
      <c r="W2220">
        <v>1</v>
      </c>
      <c r="X2220">
        <v>1</v>
      </c>
      <c r="Y2220">
        <v>0</v>
      </c>
      <c r="Z2220">
        <v>1</v>
      </c>
      <c r="AA2220">
        <v>0</v>
      </c>
      <c r="AB2220">
        <v>340.95</v>
      </c>
      <c r="AC2220">
        <v>300</v>
      </c>
      <c r="AD2220">
        <v>0</v>
      </c>
      <c r="AE2220">
        <v>40.96</v>
      </c>
      <c r="AF2220">
        <v>0</v>
      </c>
      <c r="AG2220">
        <v>0</v>
      </c>
      <c r="AH2220">
        <v>0</v>
      </c>
      <c r="AI2220">
        <v>0</v>
      </c>
      <c r="AJ2220">
        <v>340.96</v>
      </c>
      <c r="AK2220">
        <v>0.01</v>
      </c>
      <c r="AL2220" t="s">
        <v>53</v>
      </c>
      <c r="AM2220" t="s">
        <v>53</v>
      </c>
      <c r="AN2220" t="s">
        <v>378</v>
      </c>
      <c r="AO2220" t="s">
        <v>53</v>
      </c>
      <c r="AP2220" t="s">
        <v>53</v>
      </c>
    </row>
    <row r="2221" spans="2:42" x14ac:dyDescent="0.2">
      <c r="B2221" t="s">
        <v>44</v>
      </c>
      <c r="C2221" t="str">
        <f>HYPERLINK("https://us2.cloudbeds.com/connect/8493803454333002#/reservations/598428541075?display=E1C7QA0A&amp;reservation_id=598428541075", "E1C7QA0A")</f>
        <v>E1C7QA0A</v>
      </c>
      <c r="D2221" t="s">
        <v>45</v>
      </c>
      <c r="E2221" t="s">
        <v>138</v>
      </c>
      <c r="F2221" t="s">
        <v>70</v>
      </c>
      <c r="G2221" t="s">
        <v>48</v>
      </c>
      <c r="H2221" t="s">
        <v>49</v>
      </c>
      <c r="I2221" t="s">
        <v>79</v>
      </c>
      <c r="J2221" t="s">
        <v>388</v>
      </c>
      <c r="K2221" t="s">
        <v>647</v>
      </c>
      <c r="L2221" t="s">
        <v>53</v>
      </c>
      <c r="N2221" t="s">
        <v>3559</v>
      </c>
      <c r="P2221" t="s">
        <v>55</v>
      </c>
      <c r="R2221" t="s">
        <v>56</v>
      </c>
      <c r="T2221" t="s">
        <v>3556</v>
      </c>
      <c r="U2221" t="s">
        <v>58</v>
      </c>
      <c r="V2221">
        <v>1</v>
      </c>
      <c r="W2221">
        <v>1</v>
      </c>
      <c r="X2221">
        <v>1</v>
      </c>
      <c r="Y2221">
        <v>0</v>
      </c>
      <c r="Z2221">
        <v>1</v>
      </c>
      <c r="AA2221">
        <v>0</v>
      </c>
      <c r="AB2221">
        <v>153.43</v>
      </c>
      <c r="AC2221">
        <v>135</v>
      </c>
      <c r="AD2221">
        <v>0</v>
      </c>
      <c r="AE2221">
        <v>18.440000000000001</v>
      </c>
      <c r="AF2221">
        <v>0</v>
      </c>
      <c r="AG2221">
        <v>0</v>
      </c>
      <c r="AH2221">
        <v>0</v>
      </c>
      <c r="AI2221">
        <v>0</v>
      </c>
      <c r="AJ2221">
        <v>153.44</v>
      </c>
      <c r="AK2221">
        <v>0.01</v>
      </c>
      <c r="AL2221" t="s">
        <v>53</v>
      </c>
      <c r="AM2221" t="s">
        <v>53</v>
      </c>
      <c r="AN2221" t="s">
        <v>349</v>
      </c>
      <c r="AO2221" t="s">
        <v>53</v>
      </c>
      <c r="AP2221" t="s">
        <v>53</v>
      </c>
    </row>
    <row r="2222" spans="2:42" x14ac:dyDescent="0.2">
      <c r="B2222" t="s">
        <v>44</v>
      </c>
      <c r="C2222" t="str">
        <f>HYPERLINK("https://us2.cloudbeds.com/connect/8493803454333002#/reservations/579230503105?display=DJGKSQBU&amp;reservation_id=579230503105", "DJGKSQBU")</f>
        <v>DJGKSQBU</v>
      </c>
      <c r="D2222" t="s">
        <v>45</v>
      </c>
      <c r="E2222" t="s">
        <v>121</v>
      </c>
      <c r="F2222" t="s">
        <v>86</v>
      </c>
      <c r="G2222" t="s">
        <v>48</v>
      </c>
      <c r="H2222" t="s">
        <v>71</v>
      </c>
      <c r="I2222" t="s">
        <v>72</v>
      </c>
      <c r="J2222" t="s">
        <v>1900</v>
      </c>
      <c r="K2222" t="s">
        <v>1660</v>
      </c>
      <c r="L2222" t="s">
        <v>53</v>
      </c>
      <c r="N2222" t="s">
        <v>3560</v>
      </c>
      <c r="P2222" t="s">
        <v>58</v>
      </c>
      <c r="R2222" t="s">
        <v>56</v>
      </c>
      <c r="T2222" t="s">
        <v>3556</v>
      </c>
      <c r="U2222" t="s">
        <v>58</v>
      </c>
      <c r="V2222">
        <v>2</v>
      </c>
      <c r="W2222">
        <v>1</v>
      </c>
      <c r="X2222">
        <v>1</v>
      </c>
      <c r="Y2222">
        <v>0</v>
      </c>
      <c r="Z2222">
        <v>1</v>
      </c>
      <c r="AA2222">
        <v>0</v>
      </c>
      <c r="AB2222">
        <v>384.14</v>
      </c>
      <c r="AC2222">
        <v>338</v>
      </c>
      <c r="AD2222">
        <v>0</v>
      </c>
      <c r="AE2222">
        <v>46.14</v>
      </c>
      <c r="AF2222">
        <v>0</v>
      </c>
      <c r="AG2222">
        <v>0</v>
      </c>
      <c r="AH2222">
        <v>0</v>
      </c>
      <c r="AI2222">
        <v>0</v>
      </c>
      <c r="AJ2222">
        <v>384.14</v>
      </c>
      <c r="AK2222">
        <v>0</v>
      </c>
      <c r="AL2222" t="s">
        <v>53</v>
      </c>
      <c r="AM2222" t="s">
        <v>53</v>
      </c>
      <c r="AN2222" t="s">
        <v>3561</v>
      </c>
      <c r="AO2222" t="s">
        <v>53</v>
      </c>
      <c r="AP2222" t="s">
        <v>53</v>
      </c>
    </row>
    <row r="2223" spans="2:42" x14ac:dyDescent="0.2">
      <c r="B2223" t="s">
        <v>44</v>
      </c>
      <c r="C2223" t="str">
        <f>HYPERLINK("https://us2.cloudbeds.com/connect/8493803454333002#/reservations/579254759586?display=DJH9VXPT&amp;reservation_id=579254759586", "DJH9VXPT")</f>
        <v>DJH9VXPT</v>
      </c>
      <c r="D2223" t="s">
        <v>45</v>
      </c>
      <c r="E2223" t="s">
        <v>305</v>
      </c>
      <c r="F2223" t="s">
        <v>61</v>
      </c>
      <c r="G2223" t="s">
        <v>48</v>
      </c>
      <c r="H2223" t="s">
        <v>49</v>
      </c>
      <c r="I2223" t="s">
        <v>50</v>
      </c>
      <c r="J2223" t="s">
        <v>1501</v>
      </c>
      <c r="K2223" t="s">
        <v>1611</v>
      </c>
      <c r="L2223" t="s">
        <v>53</v>
      </c>
      <c r="N2223" t="s">
        <v>3562</v>
      </c>
      <c r="P2223" t="s">
        <v>55</v>
      </c>
      <c r="R2223" t="s">
        <v>56</v>
      </c>
      <c r="T2223" t="s">
        <v>3556</v>
      </c>
      <c r="U2223" t="s">
        <v>58</v>
      </c>
      <c r="V2223">
        <v>1</v>
      </c>
      <c r="W2223">
        <v>1</v>
      </c>
      <c r="X2223">
        <v>1</v>
      </c>
      <c r="Y2223">
        <v>0</v>
      </c>
      <c r="Z2223">
        <v>1</v>
      </c>
      <c r="AA2223">
        <v>0</v>
      </c>
      <c r="AB2223">
        <v>161.61000000000001</v>
      </c>
      <c r="AC2223">
        <v>142.19999999999999</v>
      </c>
      <c r="AD2223">
        <v>0</v>
      </c>
      <c r="AE2223">
        <v>19.41</v>
      </c>
      <c r="AF2223">
        <v>0</v>
      </c>
      <c r="AG2223">
        <v>0</v>
      </c>
      <c r="AH2223">
        <v>0</v>
      </c>
      <c r="AI2223">
        <v>29.09</v>
      </c>
      <c r="AJ2223">
        <v>161.61000000000001</v>
      </c>
      <c r="AK2223">
        <v>0</v>
      </c>
      <c r="AL2223" t="s">
        <v>53</v>
      </c>
      <c r="AM2223" t="s">
        <v>53</v>
      </c>
      <c r="AN2223" t="s">
        <v>59</v>
      </c>
      <c r="AO2223" t="s">
        <v>53</v>
      </c>
      <c r="AP2223" t="s">
        <v>53</v>
      </c>
    </row>
    <row r="2224" spans="2:42" x14ac:dyDescent="0.2">
      <c r="B2224" t="s">
        <v>44</v>
      </c>
      <c r="C2224" t="str">
        <f>HYPERLINK("https://us2.cloudbeds.com/connect/8493803454333002#/reservations/598198497433?display=E16BQWWS&amp;reservation_id=598198497433", "E16BQWWS")</f>
        <v>E16BQWWS</v>
      </c>
      <c r="D2224" t="s">
        <v>45</v>
      </c>
      <c r="E2224" t="s">
        <v>305</v>
      </c>
      <c r="F2224" t="s">
        <v>61</v>
      </c>
      <c r="G2224" t="s">
        <v>48</v>
      </c>
      <c r="H2224" t="s">
        <v>71</v>
      </c>
      <c r="I2224" t="s">
        <v>72</v>
      </c>
      <c r="J2224" t="s">
        <v>388</v>
      </c>
      <c r="K2224" t="s">
        <v>647</v>
      </c>
      <c r="L2224" t="s">
        <v>53</v>
      </c>
      <c r="N2224" t="s">
        <v>3563</v>
      </c>
      <c r="P2224" t="s">
        <v>58</v>
      </c>
      <c r="R2224" t="s">
        <v>56</v>
      </c>
      <c r="T2224" t="s">
        <v>3556</v>
      </c>
      <c r="U2224" t="s">
        <v>58</v>
      </c>
      <c r="V2224">
        <v>1</v>
      </c>
      <c r="W2224">
        <v>1</v>
      </c>
      <c r="X2224">
        <v>1</v>
      </c>
      <c r="Y2224">
        <v>0</v>
      </c>
      <c r="Z2224">
        <v>1</v>
      </c>
      <c r="AA2224">
        <v>0</v>
      </c>
      <c r="AB2224">
        <v>170.48</v>
      </c>
      <c r="AC2224">
        <v>150</v>
      </c>
      <c r="AD2224">
        <v>0</v>
      </c>
      <c r="AE2224">
        <v>20.48</v>
      </c>
      <c r="AF2224">
        <v>0</v>
      </c>
      <c r="AG2224">
        <v>0</v>
      </c>
      <c r="AH2224">
        <v>0</v>
      </c>
      <c r="AI2224">
        <v>0</v>
      </c>
      <c r="AJ2224">
        <v>170.48</v>
      </c>
      <c r="AK2224">
        <v>0</v>
      </c>
      <c r="AL2224" t="s">
        <v>53</v>
      </c>
      <c r="AM2224" t="s">
        <v>53</v>
      </c>
      <c r="AN2224" t="s">
        <v>378</v>
      </c>
      <c r="AO2224" t="s">
        <v>53</v>
      </c>
      <c r="AP2224" t="s">
        <v>53</v>
      </c>
    </row>
    <row r="2225" spans="2:42" x14ac:dyDescent="0.2">
      <c r="B2225" t="s">
        <v>44</v>
      </c>
      <c r="C2225" t="str">
        <f>HYPERLINK("https://us2.cloudbeds.com/connect/8493803454333002#/reservations/598521446644?display=E1EK4HZY&amp;reservation_id=598521446644", "E1EK4HZY")</f>
        <v>E1EK4HZY</v>
      </c>
      <c r="D2225" t="s">
        <v>45</v>
      </c>
      <c r="E2225" t="s">
        <v>98</v>
      </c>
      <c r="F2225" t="s">
        <v>86</v>
      </c>
      <c r="G2225" t="s">
        <v>48</v>
      </c>
      <c r="H2225" t="s">
        <v>49</v>
      </c>
      <c r="I2225" t="s">
        <v>50</v>
      </c>
      <c r="J2225" t="s">
        <v>215</v>
      </c>
      <c r="K2225" t="s">
        <v>1633</v>
      </c>
      <c r="L2225" t="s">
        <v>53</v>
      </c>
      <c r="N2225" t="s">
        <v>3564</v>
      </c>
      <c r="P2225" t="s">
        <v>58</v>
      </c>
      <c r="R2225" t="s">
        <v>56</v>
      </c>
      <c r="T2225" t="s">
        <v>3556</v>
      </c>
      <c r="U2225" t="s">
        <v>58</v>
      </c>
      <c r="V2225">
        <v>3</v>
      </c>
      <c r="W2225">
        <v>1</v>
      </c>
      <c r="X2225">
        <v>1</v>
      </c>
      <c r="Y2225">
        <v>0</v>
      </c>
      <c r="Z2225">
        <v>1</v>
      </c>
      <c r="AA2225">
        <v>0</v>
      </c>
      <c r="AB2225">
        <v>549.27</v>
      </c>
      <c r="AC2225">
        <v>483.3</v>
      </c>
      <c r="AD2225">
        <v>0</v>
      </c>
      <c r="AE2225">
        <v>65.97</v>
      </c>
      <c r="AF2225">
        <v>0</v>
      </c>
      <c r="AG2225">
        <v>0</v>
      </c>
      <c r="AH2225">
        <v>0</v>
      </c>
      <c r="AI2225">
        <v>98.87</v>
      </c>
      <c r="AJ2225">
        <v>549.27</v>
      </c>
      <c r="AK2225">
        <v>0</v>
      </c>
      <c r="AL2225" t="s">
        <v>53</v>
      </c>
      <c r="AM2225" t="s">
        <v>53</v>
      </c>
      <c r="AN2225" t="s">
        <v>127</v>
      </c>
      <c r="AO2225" t="s">
        <v>53</v>
      </c>
      <c r="AP2225" t="s">
        <v>53</v>
      </c>
    </row>
    <row r="2226" spans="2:42" x14ac:dyDescent="0.2">
      <c r="B2226" t="s">
        <v>44</v>
      </c>
      <c r="C2226" t="str">
        <f>HYPERLINK("https://us2.cloudbeds.com/connect/8493803454333002#/reservations/598183768221?display=E15WD4X5&amp;reservation_id=598183768221", "E15WD4X5")</f>
        <v>E15WD4X5</v>
      </c>
      <c r="D2226" t="s">
        <v>45</v>
      </c>
      <c r="E2226" t="s">
        <v>213</v>
      </c>
      <c r="F2226" t="s">
        <v>86</v>
      </c>
      <c r="G2226" t="s">
        <v>48</v>
      </c>
      <c r="H2226" t="s">
        <v>71</v>
      </c>
      <c r="I2226" t="s">
        <v>72</v>
      </c>
      <c r="J2226" t="s">
        <v>388</v>
      </c>
      <c r="K2226" t="s">
        <v>214</v>
      </c>
      <c r="L2226" t="s">
        <v>53</v>
      </c>
      <c r="N2226" t="s">
        <v>3565</v>
      </c>
      <c r="P2226" t="s">
        <v>58</v>
      </c>
      <c r="R2226" t="s">
        <v>56</v>
      </c>
      <c r="T2226" t="s">
        <v>3556</v>
      </c>
      <c r="U2226" t="s">
        <v>58</v>
      </c>
      <c r="V2226">
        <v>2</v>
      </c>
      <c r="W2226">
        <v>1</v>
      </c>
      <c r="X2226">
        <v>1</v>
      </c>
      <c r="Y2226">
        <v>0</v>
      </c>
      <c r="Z2226">
        <v>1</v>
      </c>
      <c r="AA2226">
        <v>0</v>
      </c>
      <c r="AB2226">
        <v>390.96</v>
      </c>
      <c r="AC2226">
        <v>344</v>
      </c>
      <c r="AD2226">
        <v>0</v>
      </c>
      <c r="AE2226">
        <v>46.96</v>
      </c>
      <c r="AF2226">
        <v>0</v>
      </c>
      <c r="AG2226">
        <v>0</v>
      </c>
      <c r="AH2226">
        <v>0</v>
      </c>
      <c r="AI2226">
        <v>0</v>
      </c>
      <c r="AJ2226">
        <v>390.96</v>
      </c>
      <c r="AK2226">
        <v>0</v>
      </c>
      <c r="AL2226" t="s">
        <v>53</v>
      </c>
      <c r="AM2226" t="s">
        <v>53</v>
      </c>
      <c r="AN2226" t="s">
        <v>378</v>
      </c>
      <c r="AO2226" t="s">
        <v>53</v>
      </c>
      <c r="AP2226" t="s">
        <v>53</v>
      </c>
    </row>
    <row r="2227" spans="2:42" x14ac:dyDescent="0.2">
      <c r="B2227" t="s">
        <v>44</v>
      </c>
      <c r="C2227" t="str">
        <f>HYPERLINK("https://us2.cloudbeds.com/connect/8493803454333002#/reservations/579298640082?display=DJXDVK2T&amp;reservation_id=579298640082", "DJXDVK2T")</f>
        <v>DJXDVK2T</v>
      </c>
      <c r="D2227" t="s">
        <v>45</v>
      </c>
      <c r="E2227" t="s">
        <v>128</v>
      </c>
      <c r="F2227" t="s">
        <v>86</v>
      </c>
      <c r="G2227" t="s">
        <v>48</v>
      </c>
      <c r="H2227" t="s">
        <v>71</v>
      </c>
      <c r="I2227" t="s">
        <v>72</v>
      </c>
      <c r="J2227" t="s">
        <v>1367</v>
      </c>
      <c r="K2227" t="s">
        <v>1985</v>
      </c>
      <c r="L2227" t="s">
        <v>53</v>
      </c>
      <c r="N2227" t="s">
        <v>3566</v>
      </c>
      <c r="P2227" t="s">
        <v>55</v>
      </c>
      <c r="R2227" t="s">
        <v>56</v>
      </c>
      <c r="T2227" t="s">
        <v>3556</v>
      </c>
      <c r="U2227" t="s">
        <v>58</v>
      </c>
      <c r="V2227">
        <v>1</v>
      </c>
      <c r="W2227">
        <v>1</v>
      </c>
      <c r="X2227">
        <v>1</v>
      </c>
      <c r="Y2227">
        <v>0</v>
      </c>
      <c r="Z2227">
        <v>1</v>
      </c>
      <c r="AA2227">
        <v>0</v>
      </c>
      <c r="AB2227">
        <v>185.26</v>
      </c>
      <c r="AC2227">
        <v>163</v>
      </c>
      <c r="AD2227">
        <v>0</v>
      </c>
      <c r="AE2227">
        <v>22.26</v>
      </c>
      <c r="AF2227">
        <v>0</v>
      </c>
      <c r="AG2227">
        <v>0</v>
      </c>
      <c r="AH2227">
        <v>0</v>
      </c>
      <c r="AI2227">
        <v>0</v>
      </c>
      <c r="AJ2227">
        <v>185.26</v>
      </c>
      <c r="AK2227">
        <v>0</v>
      </c>
      <c r="AL2227" t="s">
        <v>53</v>
      </c>
      <c r="AM2227" t="s">
        <v>53</v>
      </c>
      <c r="AN2227" t="s">
        <v>3567</v>
      </c>
      <c r="AO2227" t="s">
        <v>53</v>
      </c>
      <c r="AP2227" t="s">
        <v>53</v>
      </c>
    </row>
    <row r="2228" spans="2:42" x14ac:dyDescent="0.2">
      <c r="B2228" t="s">
        <v>44</v>
      </c>
      <c r="C2228" t="str">
        <f>HYPERLINK("https://us2.cloudbeds.com/connect/8493803454333002#/reservations/579396894851?display=DJKUQMS4&amp;reservation_id=579396894851", "DJKUQMS4")</f>
        <v>DJKUQMS4</v>
      </c>
      <c r="D2228" t="s">
        <v>45</v>
      </c>
      <c r="E2228" t="s">
        <v>128</v>
      </c>
      <c r="F2228" t="s">
        <v>86</v>
      </c>
      <c r="G2228" t="s">
        <v>48</v>
      </c>
      <c r="H2228" t="s">
        <v>71</v>
      </c>
      <c r="I2228" t="s">
        <v>72</v>
      </c>
      <c r="J2228" t="s">
        <v>1458</v>
      </c>
      <c r="K2228" t="s">
        <v>1336</v>
      </c>
      <c r="L2228" t="s">
        <v>53</v>
      </c>
      <c r="N2228" t="s">
        <v>3568</v>
      </c>
      <c r="P2228" t="s">
        <v>55</v>
      </c>
      <c r="R2228" t="s">
        <v>56</v>
      </c>
      <c r="T2228" t="s">
        <v>3556</v>
      </c>
      <c r="U2228" t="s">
        <v>58</v>
      </c>
      <c r="V2228">
        <v>1</v>
      </c>
      <c r="W2228">
        <v>1</v>
      </c>
      <c r="X2228">
        <v>1</v>
      </c>
      <c r="Y2228">
        <v>0</v>
      </c>
      <c r="Z2228">
        <v>1</v>
      </c>
      <c r="AA2228">
        <v>0</v>
      </c>
      <c r="AB2228">
        <v>137.52000000000001</v>
      </c>
      <c r="AC2228">
        <v>121</v>
      </c>
      <c r="AD2228">
        <v>0</v>
      </c>
      <c r="AE2228">
        <v>16.52</v>
      </c>
      <c r="AF2228">
        <v>0</v>
      </c>
      <c r="AG2228">
        <v>0</v>
      </c>
      <c r="AH2228">
        <v>0</v>
      </c>
      <c r="AI2228">
        <v>0</v>
      </c>
      <c r="AJ2228">
        <v>137.52000000000001</v>
      </c>
      <c r="AK2228">
        <v>0</v>
      </c>
      <c r="AL2228" t="s">
        <v>53</v>
      </c>
      <c r="AM2228" t="s">
        <v>53</v>
      </c>
      <c r="AN2228" t="s">
        <v>378</v>
      </c>
      <c r="AO2228" t="s">
        <v>53</v>
      </c>
      <c r="AP2228" t="s">
        <v>53</v>
      </c>
    </row>
    <row r="2229" spans="2:42" x14ac:dyDescent="0.2">
      <c r="B2229" t="s">
        <v>44</v>
      </c>
      <c r="C2229" t="str">
        <f>HYPERLINK("https://us2.cloudbeds.com/connect/8493803454333002#/reservations/579368046806?display=DJK6FVEV&amp;reservation_id=579368046806", "DJK6FVEV")</f>
        <v>DJK6FVEV</v>
      </c>
      <c r="D2229" t="s">
        <v>45</v>
      </c>
      <c r="E2229" t="s">
        <v>128</v>
      </c>
      <c r="F2229" t="s">
        <v>86</v>
      </c>
      <c r="G2229" t="s">
        <v>48</v>
      </c>
      <c r="H2229" t="s">
        <v>49</v>
      </c>
      <c r="I2229" t="s">
        <v>79</v>
      </c>
      <c r="J2229" t="s">
        <v>3000</v>
      </c>
      <c r="K2229" t="s">
        <v>1458</v>
      </c>
      <c r="L2229" t="s">
        <v>53</v>
      </c>
      <c r="N2229" t="s">
        <v>3569</v>
      </c>
      <c r="P2229" t="s">
        <v>55</v>
      </c>
      <c r="R2229" t="s">
        <v>56</v>
      </c>
      <c r="T2229" t="s">
        <v>3556</v>
      </c>
      <c r="U2229" t="s">
        <v>58</v>
      </c>
      <c r="V2229">
        <v>2</v>
      </c>
      <c r="W2229">
        <v>1</v>
      </c>
      <c r="X2229">
        <v>1</v>
      </c>
      <c r="Y2229">
        <v>0</v>
      </c>
      <c r="Z2229">
        <v>1</v>
      </c>
      <c r="AA2229">
        <v>0</v>
      </c>
      <c r="AB2229">
        <v>257.76</v>
      </c>
      <c r="AC2229">
        <v>226.8</v>
      </c>
      <c r="AD2229">
        <v>0</v>
      </c>
      <c r="AE2229">
        <v>30.96</v>
      </c>
      <c r="AF2229">
        <v>0</v>
      </c>
      <c r="AG2229">
        <v>0</v>
      </c>
      <c r="AH2229">
        <v>0</v>
      </c>
      <c r="AI2229">
        <v>0</v>
      </c>
      <c r="AJ2229">
        <v>257.76</v>
      </c>
      <c r="AK2229">
        <v>0</v>
      </c>
      <c r="AL2229" t="s">
        <v>53</v>
      </c>
      <c r="AM2229" t="s">
        <v>53</v>
      </c>
      <c r="AN2229" t="s">
        <v>112</v>
      </c>
      <c r="AO2229" t="s">
        <v>53</v>
      </c>
      <c r="AP2229" t="s">
        <v>53</v>
      </c>
    </row>
    <row r="2230" spans="2:42" x14ac:dyDescent="0.2">
      <c r="B2230" t="s">
        <v>44</v>
      </c>
      <c r="C2230" t="str">
        <f>HYPERLINK("https://us2.cloudbeds.com/connect/8493803454333002#/reservations/579381756035?display=DJKX1E94&amp;reservation_id=579381756035", "DJKX1E94")</f>
        <v>DJKX1E94</v>
      </c>
      <c r="D2230" t="s">
        <v>45</v>
      </c>
      <c r="E2230" t="s">
        <v>190</v>
      </c>
      <c r="F2230" t="s">
        <v>61</v>
      </c>
      <c r="G2230" t="s">
        <v>48</v>
      </c>
      <c r="H2230" t="s">
        <v>49</v>
      </c>
      <c r="I2230" t="s">
        <v>114</v>
      </c>
      <c r="J2230" t="s">
        <v>1501</v>
      </c>
      <c r="K2230" t="s">
        <v>1611</v>
      </c>
      <c r="L2230" t="s">
        <v>53</v>
      </c>
      <c r="N2230" t="s">
        <v>3570</v>
      </c>
      <c r="P2230" t="s">
        <v>55</v>
      </c>
      <c r="R2230" t="s">
        <v>56</v>
      </c>
      <c r="T2230" t="s">
        <v>3556</v>
      </c>
      <c r="U2230" t="s">
        <v>58</v>
      </c>
      <c r="V2230">
        <v>1</v>
      </c>
      <c r="W2230">
        <v>1</v>
      </c>
      <c r="X2230">
        <v>1</v>
      </c>
      <c r="Y2230">
        <v>0</v>
      </c>
      <c r="Z2230">
        <v>1</v>
      </c>
      <c r="AA2230">
        <v>0</v>
      </c>
      <c r="AB2230">
        <v>175.03</v>
      </c>
      <c r="AC2230">
        <v>154</v>
      </c>
      <c r="AD2230">
        <v>0</v>
      </c>
      <c r="AE2230">
        <v>21.03</v>
      </c>
      <c r="AF2230">
        <v>0</v>
      </c>
      <c r="AG2230">
        <v>0</v>
      </c>
      <c r="AH2230">
        <v>0</v>
      </c>
      <c r="AI2230">
        <v>0</v>
      </c>
      <c r="AJ2230">
        <v>175.03</v>
      </c>
      <c r="AK2230">
        <v>0</v>
      </c>
      <c r="AL2230" t="s">
        <v>53</v>
      </c>
      <c r="AM2230" t="s">
        <v>53</v>
      </c>
      <c r="AN2230" t="s">
        <v>3571</v>
      </c>
      <c r="AO2230" t="s">
        <v>53</v>
      </c>
      <c r="AP2230" t="s">
        <v>53</v>
      </c>
    </row>
    <row r="2231" spans="2:42" x14ac:dyDescent="0.2">
      <c r="B2231" t="s">
        <v>44</v>
      </c>
      <c r="C2231" t="str">
        <f>HYPERLINK("https://us2.cloudbeds.com/connect/8493803454333002#/reservations/598471454968?display=E1DAWENC&amp;reservation_id=598471454968", "E1DAWENC")</f>
        <v>E1DAWENC</v>
      </c>
      <c r="D2231" t="s">
        <v>45</v>
      </c>
      <c r="E2231" t="s">
        <v>223</v>
      </c>
      <c r="F2231" t="s">
        <v>47</v>
      </c>
      <c r="G2231" t="s">
        <v>48</v>
      </c>
      <c r="H2231" t="s">
        <v>71</v>
      </c>
      <c r="I2231" t="s">
        <v>72</v>
      </c>
      <c r="J2231" t="s">
        <v>388</v>
      </c>
      <c r="K2231" t="s">
        <v>647</v>
      </c>
      <c r="L2231" t="s">
        <v>53</v>
      </c>
      <c r="N2231" t="s">
        <v>3572</v>
      </c>
      <c r="P2231" t="s">
        <v>55</v>
      </c>
      <c r="R2231" t="s">
        <v>56</v>
      </c>
      <c r="T2231" t="s">
        <v>3556</v>
      </c>
      <c r="U2231" t="s">
        <v>58</v>
      </c>
      <c r="V2231">
        <v>1</v>
      </c>
      <c r="W2231">
        <v>1</v>
      </c>
      <c r="X2231">
        <v>1</v>
      </c>
      <c r="Y2231">
        <v>0</v>
      </c>
      <c r="Z2231">
        <v>1</v>
      </c>
      <c r="AA2231">
        <v>0</v>
      </c>
      <c r="AB2231">
        <v>170.48</v>
      </c>
      <c r="AC2231">
        <v>150</v>
      </c>
      <c r="AD2231">
        <v>0</v>
      </c>
      <c r="AE2231">
        <v>20.48</v>
      </c>
      <c r="AF2231">
        <v>0</v>
      </c>
      <c r="AG2231">
        <v>0</v>
      </c>
      <c r="AH2231">
        <v>0</v>
      </c>
      <c r="AI2231">
        <v>0</v>
      </c>
      <c r="AJ2231">
        <v>170.48</v>
      </c>
      <c r="AK2231">
        <v>0</v>
      </c>
      <c r="AL2231" t="s">
        <v>53</v>
      </c>
      <c r="AM2231" t="s">
        <v>53</v>
      </c>
      <c r="AN2231" t="s">
        <v>378</v>
      </c>
      <c r="AO2231" t="s">
        <v>53</v>
      </c>
      <c r="AP2231" t="s">
        <v>53</v>
      </c>
    </row>
    <row r="2232" spans="2:42" x14ac:dyDescent="0.2">
      <c r="B2232" t="s">
        <v>44</v>
      </c>
      <c r="C2232" t="str">
        <f>HYPERLINK("https://us2.cloudbeds.com/connect/8493803454333002#/reservations/598526103721?display=E1EZ2476&amp;reservation_id=598526103721", "E1EZ2476")</f>
        <v>E1EZ2476</v>
      </c>
      <c r="D2232" t="s">
        <v>45</v>
      </c>
      <c r="E2232" t="s">
        <v>92</v>
      </c>
      <c r="F2232" t="s">
        <v>86</v>
      </c>
      <c r="G2232" t="s">
        <v>48</v>
      </c>
      <c r="H2232" t="s">
        <v>71</v>
      </c>
      <c r="I2232" t="s">
        <v>72</v>
      </c>
      <c r="J2232" t="s">
        <v>388</v>
      </c>
      <c r="K2232" t="s">
        <v>647</v>
      </c>
      <c r="L2232" t="s">
        <v>53</v>
      </c>
      <c r="N2232" t="s">
        <v>3573</v>
      </c>
      <c r="P2232" t="s">
        <v>55</v>
      </c>
      <c r="R2232" t="s">
        <v>56</v>
      </c>
      <c r="T2232" t="s">
        <v>3556</v>
      </c>
      <c r="U2232" t="s">
        <v>58</v>
      </c>
      <c r="V2232">
        <v>1</v>
      </c>
      <c r="W2232">
        <v>1</v>
      </c>
      <c r="X2232">
        <v>1</v>
      </c>
      <c r="Y2232">
        <v>0</v>
      </c>
      <c r="Z2232">
        <v>1</v>
      </c>
      <c r="AA2232">
        <v>0</v>
      </c>
      <c r="AB2232">
        <v>195.48</v>
      </c>
      <c r="AC2232">
        <v>172</v>
      </c>
      <c r="AD2232">
        <v>0</v>
      </c>
      <c r="AE2232">
        <v>23.48</v>
      </c>
      <c r="AF2232">
        <v>0</v>
      </c>
      <c r="AG2232">
        <v>0</v>
      </c>
      <c r="AH2232">
        <v>0</v>
      </c>
      <c r="AI2232">
        <v>0</v>
      </c>
      <c r="AJ2232">
        <v>195.48</v>
      </c>
      <c r="AK2232">
        <v>0</v>
      </c>
      <c r="AL2232" t="s">
        <v>53</v>
      </c>
      <c r="AM2232" t="s">
        <v>53</v>
      </c>
      <c r="AN2232" t="s">
        <v>378</v>
      </c>
      <c r="AO2232" t="s">
        <v>53</v>
      </c>
      <c r="AP2232" t="s">
        <v>53</v>
      </c>
    </row>
    <row r="2233" spans="2:42" x14ac:dyDescent="0.2">
      <c r="B2233" t="s">
        <v>44</v>
      </c>
      <c r="C2233" t="str">
        <f>HYPERLINK("https://us2.cloudbeds.com/connect/8493803454333002#/reservations/579364032659?display=DJK338C3&amp;reservation_id=579364032659", "DJK338C3")</f>
        <v>DJK338C3</v>
      </c>
      <c r="D2233" t="s">
        <v>45</v>
      </c>
      <c r="E2233" t="s">
        <v>373</v>
      </c>
      <c r="F2233" t="s">
        <v>47</v>
      </c>
      <c r="G2233" t="s">
        <v>48</v>
      </c>
      <c r="H2233" t="s">
        <v>49</v>
      </c>
      <c r="I2233" t="s">
        <v>79</v>
      </c>
      <c r="J2233" t="s">
        <v>3574</v>
      </c>
      <c r="K2233" t="s">
        <v>3575</v>
      </c>
      <c r="L2233" t="s">
        <v>53</v>
      </c>
      <c r="N2233" t="s">
        <v>3576</v>
      </c>
      <c r="P2233" t="s">
        <v>55</v>
      </c>
      <c r="R2233" t="s">
        <v>56</v>
      </c>
      <c r="T2233" t="s">
        <v>3556</v>
      </c>
      <c r="U2233" t="s">
        <v>58</v>
      </c>
      <c r="V2233">
        <v>1</v>
      </c>
      <c r="W2233">
        <v>1</v>
      </c>
      <c r="X2233">
        <v>1</v>
      </c>
      <c r="Y2233">
        <v>0</v>
      </c>
      <c r="Z2233">
        <v>1</v>
      </c>
      <c r="AA2233">
        <v>0</v>
      </c>
      <c r="AB2233">
        <v>80.8</v>
      </c>
      <c r="AC2233">
        <v>71.099999999999994</v>
      </c>
      <c r="AD2233">
        <v>0</v>
      </c>
      <c r="AE2233">
        <v>9.6999999999999993</v>
      </c>
      <c r="AF2233">
        <v>0</v>
      </c>
      <c r="AG2233">
        <v>0</v>
      </c>
      <c r="AH2233">
        <v>0</v>
      </c>
      <c r="AI2233">
        <v>0</v>
      </c>
      <c r="AJ2233">
        <v>80.8</v>
      </c>
      <c r="AK2233">
        <v>0</v>
      </c>
      <c r="AL2233" t="s">
        <v>53</v>
      </c>
      <c r="AM2233" t="s">
        <v>53</v>
      </c>
      <c r="AN2233" t="s">
        <v>59</v>
      </c>
      <c r="AO2233" t="s">
        <v>53</v>
      </c>
      <c r="AP2233" t="s">
        <v>53</v>
      </c>
    </row>
    <row r="2234" spans="2:42" x14ac:dyDescent="0.2">
      <c r="B2234" t="s">
        <v>44</v>
      </c>
      <c r="C2234" t="str">
        <f>HYPERLINK("https://us2.cloudbeds.com/connect/8493803454333002#/reservations/579268378852?display=DJHYEHWU&amp;reservation_id=579268378852", "DJHYEHWU")</f>
        <v>DJHYEHWU</v>
      </c>
      <c r="D2234" t="s">
        <v>45</v>
      </c>
      <c r="E2234" t="s">
        <v>121</v>
      </c>
      <c r="F2234" t="s">
        <v>86</v>
      </c>
      <c r="G2234" t="s">
        <v>48</v>
      </c>
      <c r="H2234" t="s">
        <v>49</v>
      </c>
      <c r="I2234" t="s">
        <v>50</v>
      </c>
      <c r="J2234" t="s">
        <v>1610</v>
      </c>
      <c r="K2234" t="s">
        <v>1611</v>
      </c>
      <c r="L2234" t="s">
        <v>53</v>
      </c>
      <c r="N2234" t="s">
        <v>3577</v>
      </c>
      <c r="P2234" t="s">
        <v>55</v>
      </c>
      <c r="R2234" t="s">
        <v>56</v>
      </c>
      <c r="T2234" t="s">
        <v>3578</v>
      </c>
      <c r="U2234" t="s">
        <v>58</v>
      </c>
      <c r="V2234">
        <v>2</v>
      </c>
      <c r="W2234">
        <v>1</v>
      </c>
      <c r="X2234">
        <v>1</v>
      </c>
      <c r="Y2234">
        <v>0</v>
      </c>
      <c r="Z2234">
        <v>1</v>
      </c>
      <c r="AA2234">
        <v>0</v>
      </c>
      <c r="AB2234">
        <v>351.88</v>
      </c>
      <c r="AC2234">
        <v>309.60000000000002</v>
      </c>
      <c r="AD2234">
        <v>0</v>
      </c>
      <c r="AE2234">
        <v>42.28</v>
      </c>
      <c r="AF2234">
        <v>0</v>
      </c>
      <c r="AG2234">
        <v>0</v>
      </c>
      <c r="AH2234">
        <v>0</v>
      </c>
      <c r="AI2234">
        <v>63.34</v>
      </c>
      <c r="AJ2234">
        <v>351.88</v>
      </c>
      <c r="AK2234">
        <v>0</v>
      </c>
      <c r="AL2234" t="s">
        <v>53</v>
      </c>
      <c r="AM2234" t="s">
        <v>53</v>
      </c>
      <c r="AN2234" t="s">
        <v>91</v>
      </c>
      <c r="AO2234" t="s">
        <v>53</v>
      </c>
      <c r="AP2234" t="s">
        <v>53</v>
      </c>
    </row>
    <row r="2235" spans="2:42" x14ac:dyDescent="0.2">
      <c r="B2235" t="s">
        <v>44</v>
      </c>
      <c r="C2235" t="str">
        <f>HYPERLINK("https://us2.cloudbeds.com/connect/8493803454333002#/reservations/579237736655?display=DJGSJT2G&amp;reservation_id=579237736655", "DJGSJT2G")</f>
        <v>DJGSJT2G</v>
      </c>
      <c r="D2235" t="s">
        <v>45</v>
      </c>
      <c r="E2235" t="s">
        <v>213</v>
      </c>
      <c r="F2235" t="s">
        <v>86</v>
      </c>
      <c r="G2235" t="s">
        <v>48</v>
      </c>
      <c r="H2235" t="s">
        <v>49</v>
      </c>
      <c r="I2235" t="s">
        <v>50</v>
      </c>
      <c r="J2235" t="s">
        <v>1610</v>
      </c>
      <c r="K2235" t="s">
        <v>1611</v>
      </c>
      <c r="L2235" t="s">
        <v>53</v>
      </c>
      <c r="N2235" t="s">
        <v>3579</v>
      </c>
      <c r="P2235" t="s">
        <v>55</v>
      </c>
      <c r="R2235" t="s">
        <v>56</v>
      </c>
      <c r="T2235" t="s">
        <v>3578</v>
      </c>
      <c r="U2235" t="s">
        <v>58</v>
      </c>
      <c r="V2235">
        <v>2</v>
      </c>
      <c r="W2235">
        <v>1</v>
      </c>
      <c r="X2235">
        <v>1</v>
      </c>
      <c r="Y2235">
        <v>0</v>
      </c>
      <c r="Z2235">
        <v>1</v>
      </c>
      <c r="AA2235">
        <v>0</v>
      </c>
      <c r="AB2235">
        <v>351.88</v>
      </c>
      <c r="AC2235">
        <v>309.60000000000002</v>
      </c>
      <c r="AD2235">
        <v>0</v>
      </c>
      <c r="AE2235">
        <v>42.28</v>
      </c>
      <c r="AF2235">
        <v>0</v>
      </c>
      <c r="AG2235">
        <v>0</v>
      </c>
      <c r="AH2235">
        <v>0</v>
      </c>
      <c r="AI2235">
        <v>63.34</v>
      </c>
      <c r="AJ2235">
        <v>351.88</v>
      </c>
      <c r="AK2235">
        <v>0</v>
      </c>
      <c r="AL2235" t="s">
        <v>53</v>
      </c>
      <c r="AM2235" t="s">
        <v>53</v>
      </c>
      <c r="AN2235" t="s">
        <v>112</v>
      </c>
      <c r="AO2235" t="s">
        <v>53</v>
      </c>
      <c r="AP2235" t="s">
        <v>53</v>
      </c>
    </row>
    <row r="2236" spans="2:42" x14ac:dyDescent="0.2">
      <c r="B2236" t="s">
        <v>44</v>
      </c>
      <c r="C2236" t="str">
        <f>HYPERLINK("https://us2.cloudbeds.com/connect/8493803454333002#/reservations/579327938710?display=DJJ5YT83&amp;reservation_id=579327938710", "DJJ5YT83")</f>
        <v>DJJ5YT83</v>
      </c>
      <c r="D2236" t="s">
        <v>45</v>
      </c>
      <c r="E2236" t="s">
        <v>85</v>
      </c>
      <c r="F2236" t="s">
        <v>86</v>
      </c>
      <c r="G2236" t="s">
        <v>48</v>
      </c>
      <c r="H2236" t="s">
        <v>71</v>
      </c>
      <c r="I2236" t="s">
        <v>72</v>
      </c>
      <c r="J2236" t="s">
        <v>1610</v>
      </c>
      <c r="K2236" t="s">
        <v>1611</v>
      </c>
      <c r="L2236" t="s">
        <v>53</v>
      </c>
      <c r="N2236" t="s">
        <v>3580</v>
      </c>
      <c r="P2236" t="s">
        <v>55</v>
      </c>
      <c r="R2236" t="s">
        <v>56</v>
      </c>
      <c r="T2236" t="s">
        <v>3578</v>
      </c>
      <c r="U2236" t="s">
        <v>58</v>
      </c>
      <c r="V2236">
        <v>2</v>
      </c>
      <c r="W2236">
        <v>1</v>
      </c>
      <c r="X2236">
        <v>1</v>
      </c>
      <c r="Y2236">
        <v>0</v>
      </c>
      <c r="Z2236">
        <v>1</v>
      </c>
      <c r="AA2236">
        <v>0</v>
      </c>
      <c r="AB2236">
        <v>371.62</v>
      </c>
      <c r="AC2236">
        <v>327</v>
      </c>
      <c r="AD2236">
        <v>0</v>
      </c>
      <c r="AE2236">
        <v>44.62</v>
      </c>
      <c r="AF2236">
        <v>0</v>
      </c>
      <c r="AG2236">
        <v>0</v>
      </c>
      <c r="AH2236">
        <v>0</v>
      </c>
      <c r="AI2236">
        <v>0</v>
      </c>
      <c r="AJ2236">
        <v>371.62</v>
      </c>
      <c r="AK2236">
        <v>0</v>
      </c>
      <c r="AL2236" t="s">
        <v>53</v>
      </c>
      <c r="AM2236" t="s">
        <v>53</v>
      </c>
      <c r="AN2236" t="s">
        <v>378</v>
      </c>
      <c r="AO2236" t="s">
        <v>53</v>
      </c>
      <c r="AP2236" t="s">
        <v>53</v>
      </c>
    </row>
    <row r="2237" spans="2:42" x14ac:dyDescent="0.2">
      <c r="B2237" t="s">
        <v>44</v>
      </c>
      <c r="C2237" t="str">
        <f>HYPERLINK("https://us2.cloudbeds.com/connect/8493803454333002#/reservations/598355620037?display=E1ACA5HV&amp;reservation_id=598355620037", "E1ACA5HV")</f>
        <v>E1ACA5HV</v>
      </c>
      <c r="D2237" t="s">
        <v>45</v>
      </c>
      <c r="E2237" t="s">
        <v>487</v>
      </c>
      <c r="F2237" t="s">
        <v>61</v>
      </c>
      <c r="G2237" t="s">
        <v>48</v>
      </c>
      <c r="H2237" t="s">
        <v>49</v>
      </c>
      <c r="I2237" t="s">
        <v>62</v>
      </c>
      <c r="J2237" t="s">
        <v>1633</v>
      </c>
      <c r="K2237" t="s">
        <v>351</v>
      </c>
      <c r="L2237" t="s">
        <v>53</v>
      </c>
      <c r="N2237" t="s">
        <v>3581</v>
      </c>
      <c r="P2237" t="s">
        <v>55</v>
      </c>
      <c r="R2237" t="s">
        <v>56</v>
      </c>
      <c r="T2237" t="s">
        <v>3578</v>
      </c>
      <c r="U2237" t="s">
        <v>58</v>
      </c>
      <c r="V2237">
        <v>6</v>
      </c>
      <c r="W2237">
        <v>1</v>
      </c>
      <c r="X2237">
        <v>1</v>
      </c>
      <c r="Y2237">
        <v>0</v>
      </c>
      <c r="Z2237">
        <v>1</v>
      </c>
      <c r="AA2237">
        <v>0</v>
      </c>
      <c r="AB2237">
        <v>1163.78</v>
      </c>
      <c r="AC2237">
        <v>1024</v>
      </c>
      <c r="AD2237">
        <v>0</v>
      </c>
      <c r="AE2237">
        <v>139.74</v>
      </c>
      <c r="AF2237">
        <v>0</v>
      </c>
      <c r="AG2237">
        <v>0</v>
      </c>
      <c r="AH2237">
        <v>0</v>
      </c>
      <c r="AI2237">
        <v>174.56</v>
      </c>
      <c r="AJ2237">
        <v>1163.74</v>
      </c>
      <c r="AK2237">
        <v>-0.04</v>
      </c>
      <c r="AL2237" t="s">
        <v>53</v>
      </c>
      <c r="AM2237" t="s">
        <v>53</v>
      </c>
      <c r="AN2237" t="s">
        <v>3582</v>
      </c>
      <c r="AO2237" t="s">
        <v>53</v>
      </c>
      <c r="AP2237" t="s">
        <v>53</v>
      </c>
    </row>
    <row r="2238" spans="2:42" x14ac:dyDescent="0.2">
      <c r="B2238" t="s">
        <v>44</v>
      </c>
      <c r="C2238" t="str">
        <f>HYPERLINK("https://us2.cloudbeds.com/connect/8493803454333002#/reservations/579213926563?display=DJG8HATH&amp;reservation_id=579213926563", "DJG8HATH")</f>
        <v>DJG8HATH</v>
      </c>
      <c r="D2238" t="s">
        <v>45</v>
      </c>
      <c r="E2238" t="s">
        <v>190</v>
      </c>
      <c r="F2238" t="s">
        <v>61</v>
      </c>
      <c r="G2238" t="s">
        <v>48</v>
      </c>
      <c r="H2238" t="s">
        <v>49</v>
      </c>
      <c r="I2238" t="s">
        <v>266</v>
      </c>
      <c r="J2238" t="s">
        <v>2023</v>
      </c>
      <c r="K2238" t="s">
        <v>1295</v>
      </c>
      <c r="L2238" t="s">
        <v>53</v>
      </c>
      <c r="N2238" t="s">
        <v>3583</v>
      </c>
      <c r="P2238" t="s">
        <v>55</v>
      </c>
      <c r="R2238" t="s">
        <v>56</v>
      </c>
      <c r="T2238" t="s">
        <v>3578</v>
      </c>
      <c r="U2238" t="s">
        <v>58</v>
      </c>
      <c r="V2238">
        <v>2</v>
      </c>
      <c r="W2238">
        <v>1</v>
      </c>
      <c r="X2238">
        <v>1</v>
      </c>
      <c r="Y2238">
        <v>0</v>
      </c>
      <c r="Z2238">
        <v>1</v>
      </c>
      <c r="AA2238">
        <v>0</v>
      </c>
      <c r="AB2238">
        <v>312.98</v>
      </c>
      <c r="AC2238">
        <v>275.39999999999998</v>
      </c>
      <c r="AD2238">
        <v>0</v>
      </c>
      <c r="AE2238">
        <v>37.58</v>
      </c>
      <c r="AF2238">
        <v>0</v>
      </c>
      <c r="AG2238">
        <v>0</v>
      </c>
      <c r="AH2238">
        <v>0</v>
      </c>
      <c r="AI2238">
        <v>0</v>
      </c>
      <c r="AJ2238">
        <v>312.98</v>
      </c>
      <c r="AK2238">
        <v>0</v>
      </c>
      <c r="AL2238" t="s">
        <v>53</v>
      </c>
      <c r="AM2238" t="s">
        <v>53</v>
      </c>
      <c r="AN2238" t="s">
        <v>316</v>
      </c>
      <c r="AO2238" t="s">
        <v>53</v>
      </c>
      <c r="AP2238" t="s">
        <v>53</v>
      </c>
    </row>
    <row r="2239" spans="2:42" x14ac:dyDescent="0.2">
      <c r="B2239" t="s">
        <v>44</v>
      </c>
      <c r="C2239" t="str">
        <f>HYPERLINK("https://us2.cloudbeds.com/connect/8493803454333002#/reservations/598567620805?display=E1FQ2D8K&amp;reservation_id=598567620805", "E1FQ2D8K")</f>
        <v>E1FQ2D8K</v>
      </c>
      <c r="D2239" t="s">
        <v>45</v>
      </c>
      <c r="E2239" t="s">
        <v>92</v>
      </c>
      <c r="F2239" t="s">
        <v>86</v>
      </c>
      <c r="G2239" t="s">
        <v>48</v>
      </c>
      <c r="H2239" t="s">
        <v>49</v>
      </c>
      <c r="I2239" t="s">
        <v>79</v>
      </c>
      <c r="J2239" t="s">
        <v>215</v>
      </c>
      <c r="K2239" t="s">
        <v>446</v>
      </c>
      <c r="L2239" t="s">
        <v>53</v>
      </c>
      <c r="N2239" t="s">
        <v>3584</v>
      </c>
      <c r="P2239" t="s">
        <v>55</v>
      </c>
      <c r="R2239" t="s">
        <v>56</v>
      </c>
      <c r="T2239" t="s">
        <v>3578</v>
      </c>
      <c r="U2239" t="s">
        <v>58</v>
      </c>
      <c r="V2239">
        <v>1</v>
      </c>
      <c r="W2239">
        <v>1</v>
      </c>
      <c r="X2239">
        <v>1</v>
      </c>
      <c r="Y2239">
        <v>0</v>
      </c>
      <c r="Z2239">
        <v>1</v>
      </c>
      <c r="AA2239">
        <v>0</v>
      </c>
      <c r="AB2239">
        <v>181.04</v>
      </c>
      <c r="AC2239">
        <v>159.30000000000001</v>
      </c>
      <c r="AD2239">
        <v>0</v>
      </c>
      <c r="AE2239">
        <v>21.75</v>
      </c>
      <c r="AF2239">
        <v>0</v>
      </c>
      <c r="AG2239">
        <v>0</v>
      </c>
      <c r="AH2239">
        <v>0</v>
      </c>
      <c r="AI2239">
        <v>0</v>
      </c>
      <c r="AJ2239">
        <v>181.05</v>
      </c>
      <c r="AK2239">
        <v>0.01</v>
      </c>
      <c r="AL2239" t="s">
        <v>53</v>
      </c>
      <c r="AM2239" t="s">
        <v>53</v>
      </c>
      <c r="AN2239" t="s">
        <v>349</v>
      </c>
      <c r="AO2239" t="s">
        <v>53</v>
      </c>
      <c r="AP2239" t="s">
        <v>53</v>
      </c>
    </row>
    <row r="2240" spans="2:42" x14ac:dyDescent="0.2">
      <c r="B2240" t="s">
        <v>44</v>
      </c>
      <c r="C2240" t="str">
        <f>HYPERLINK("https://us2.cloudbeds.com/connect/8493803454333002#/reservations/598267805904?display=E1848K4K&amp;reservation_id=598267805904", "E1848K4K")</f>
        <v>E1848K4K</v>
      </c>
      <c r="D2240" t="s">
        <v>45</v>
      </c>
      <c r="E2240" t="s">
        <v>406</v>
      </c>
      <c r="F2240" t="s">
        <v>61</v>
      </c>
      <c r="G2240" t="s">
        <v>48</v>
      </c>
      <c r="H2240" t="s">
        <v>49</v>
      </c>
      <c r="I2240" t="s">
        <v>79</v>
      </c>
      <c r="J2240" t="s">
        <v>647</v>
      </c>
      <c r="K2240" t="s">
        <v>214</v>
      </c>
      <c r="L2240" t="s">
        <v>53</v>
      </c>
      <c r="N2240" t="s">
        <v>3585</v>
      </c>
      <c r="P2240" t="s">
        <v>55</v>
      </c>
      <c r="R2240" t="s">
        <v>56</v>
      </c>
      <c r="T2240" t="s">
        <v>3578</v>
      </c>
      <c r="U2240" t="s">
        <v>58</v>
      </c>
      <c r="V2240">
        <v>1</v>
      </c>
      <c r="W2240">
        <v>1</v>
      </c>
      <c r="X2240">
        <v>1</v>
      </c>
      <c r="Y2240">
        <v>0</v>
      </c>
      <c r="Z2240">
        <v>1</v>
      </c>
      <c r="AA2240">
        <v>0</v>
      </c>
      <c r="AB2240">
        <v>173.88</v>
      </c>
      <c r="AC2240">
        <v>153</v>
      </c>
      <c r="AD2240">
        <v>0</v>
      </c>
      <c r="AE2240">
        <v>20.89</v>
      </c>
      <c r="AF2240">
        <v>0</v>
      </c>
      <c r="AG2240">
        <v>0</v>
      </c>
      <c r="AH2240">
        <v>0</v>
      </c>
      <c r="AI2240">
        <v>0</v>
      </c>
      <c r="AJ2240">
        <v>173.89</v>
      </c>
      <c r="AK2240">
        <v>0.01</v>
      </c>
      <c r="AL2240" t="s">
        <v>53</v>
      </c>
      <c r="AM2240" t="s">
        <v>53</v>
      </c>
      <c r="AN2240" t="s">
        <v>127</v>
      </c>
      <c r="AO2240" t="s">
        <v>53</v>
      </c>
      <c r="AP2240" t="s">
        <v>53</v>
      </c>
    </row>
    <row r="2241" spans="2:42" x14ac:dyDescent="0.2">
      <c r="B2241" t="s">
        <v>44</v>
      </c>
      <c r="C2241" t="str">
        <f>HYPERLINK("https://us2.cloudbeds.com/connect/8493803454333002#/reservations/598631145693?display=E1HDY2G8&amp;reservation_id=598631145693", "E1HDY2G8")</f>
        <v>E1HDY2G8</v>
      </c>
      <c r="D2241" t="s">
        <v>45</v>
      </c>
      <c r="E2241" t="s">
        <v>381</v>
      </c>
      <c r="F2241" t="s">
        <v>47</v>
      </c>
      <c r="G2241" t="s">
        <v>48</v>
      </c>
      <c r="H2241" t="s">
        <v>49</v>
      </c>
      <c r="I2241" t="s">
        <v>114</v>
      </c>
      <c r="J2241" t="s">
        <v>214</v>
      </c>
      <c r="K2241" t="s">
        <v>215</v>
      </c>
      <c r="L2241" t="s">
        <v>53</v>
      </c>
      <c r="N2241" t="s">
        <v>3586</v>
      </c>
      <c r="P2241" t="s">
        <v>55</v>
      </c>
      <c r="R2241" t="s">
        <v>56</v>
      </c>
      <c r="T2241" t="s">
        <v>3578</v>
      </c>
      <c r="U2241" t="s">
        <v>58</v>
      </c>
      <c r="V2241">
        <v>1</v>
      </c>
      <c r="W2241">
        <v>1</v>
      </c>
      <c r="X2241">
        <v>1</v>
      </c>
      <c r="Y2241">
        <v>0</v>
      </c>
      <c r="Z2241">
        <v>1</v>
      </c>
      <c r="AA2241">
        <v>0</v>
      </c>
      <c r="AB2241">
        <v>171.61</v>
      </c>
      <c r="AC2241">
        <v>151</v>
      </c>
      <c r="AD2241">
        <v>0</v>
      </c>
      <c r="AE2241">
        <v>20.62</v>
      </c>
      <c r="AF2241">
        <v>0</v>
      </c>
      <c r="AG2241">
        <v>0</v>
      </c>
      <c r="AH2241">
        <v>0</v>
      </c>
      <c r="AI2241">
        <v>0</v>
      </c>
      <c r="AJ2241">
        <v>171.62</v>
      </c>
      <c r="AK2241">
        <v>0.01</v>
      </c>
      <c r="AL2241" t="s">
        <v>53</v>
      </c>
      <c r="AM2241" t="s">
        <v>53</v>
      </c>
      <c r="AN2241" t="s">
        <v>3587</v>
      </c>
      <c r="AO2241" t="s">
        <v>53</v>
      </c>
      <c r="AP2241" t="s">
        <v>53</v>
      </c>
    </row>
    <row r="2242" spans="2:42" x14ac:dyDescent="0.2">
      <c r="B2242" t="s">
        <v>44</v>
      </c>
      <c r="C2242" t="str">
        <f>HYPERLINK("https://us2.cloudbeds.com/connect/8493803454333002#/reservations/579241906376?display=DJGW3U0M&amp;reservation_id=579241906376", "DJGW3U0M")</f>
        <v>DJGW3U0M</v>
      </c>
      <c r="D2242" t="s">
        <v>45</v>
      </c>
      <c r="E2242" t="s">
        <v>92</v>
      </c>
      <c r="F2242" t="s">
        <v>86</v>
      </c>
      <c r="G2242" t="s">
        <v>48</v>
      </c>
      <c r="H2242" t="s">
        <v>49</v>
      </c>
      <c r="I2242" t="s">
        <v>50</v>
      </c>
      <c r="J2242" t="s">
        <v>1610</v>
      </c>
      <c r="K2242" t="s">
        <v>1611</v>
      </c>
      <c r="L2242" t="s">
        <v>53</v>
      </c>
      <c r="N2242" t="s">
        <v>3588</v>
      </c>
      <c r="P2242" t="s">
        <v>55</v>
      </c>
      <c r="R2242" t="s">
        <v>56</v>
      </c>
      <c r="T2242" t="s">
        <v>3578</v>
      </c>
      <c r="U2242" t="s">
        <v>58</v>
      </c>
      <c r="V2242">
        <v>2</v>
      </c>
      <c r="W2242">
        <v>1</v>
      </c>
      <c r="X2242">
        <v>1</v>
      </c>
      <c r="Y2242">
        <v>0</v>
      </c>
      <c r="Z2242">
        <v>1</v>
      </c>
      <c r="AA2242">
        <v>0</v>
      </c>
      <c r="AB2242">
        <v>351.88</v>
      </c>
      <c r="AC2242">
        <v>309.60000000000002</v>
      </c>
      <c r="AD2242">
        <v>0</v>
      </c>
      <c r="AE2242">
        <v>42.28</v>
      </c>
      <c r="AF2242">
        <v>0</v>
      </c>
      <c r="AG2242">
        <v>0</v>
      </c>
      <c r="AH2242">
        <v>0</v>
      </c>
      <c r="AI2242">
        <v>63.34</v>
      </c>
      <c r="AJ2242">
        <v>351.88</v>
      </c>
      <c r="AK2242">
        <v>0</v>
      </c>
      <c r="AL2242" t="s">
        <v>53</v>
      </c>
      <c r="AM2242" t="s">
        <v>53</v>
      </c>
      <c r="AN2242" t="s">
        <v>252</v>
      </c>
      <c r="AO2242" t="s">
        <v>53</v>
      </c>
      <c r="AP2242" t="s">
        <v>53</v>
      </c>
    </row>
    <row r="2243" spans="2:42" x14ac:dyDescent="0.2">
      <c r="B2243" t="s">
        <v>44</v>
      </c>
      <c r="C2243" t="str">
        <f>HYPERLINK("https://us2.cloudbeds.com/connect/8493803454333002#/reservations/598626754776?display=E1H9UTE5&amp;reservation_id=598626754776", "E1H9UTE5")</f>
        <v>E1H9UTE5</v>
      </c>
      <c r="D2243" t="s">
        <v>45</v>
      </c>
      <c r="E2243" t="s">
        <v>98</v>
      </c>
      <c r="F2243" t="s">
        <v>86</v>
      </c>
      <c r="G2243" t="s">
        <v>48</v>
      </c>
      <c r="H2243" t="s">
        <v>49</v>
      </c>
      <c r="I2243" t="s">
        <v>50</v>
      </c>
      <c r="J2243" t="s">
        <v>647</v>
      </c>
      <c r="K2243" t="s">
        <v>214</v>
      </c>
      <c r="L2243" t="s">
        <v>53</v>
      </c>
      <c r="N2243" t="s">
        <v>3589</v>
      </c>
      <c r="P2243" t="s">
        <v>55</v>
      </c>
      <c r="R2243" t="s">
        <v>56</v>
      </c>
      <c r="T2243" t="s">
        <v>3578</v>
      </c>
      <c r="U2243" t="s">
        <v>58</v>
      </c>
      <c r="V2243">
        <v>1</v>
      </c>
      <c r="W2243">
        <v>1</v>
      </c>
      <c r="X2243">
        <v>1</v>
      </c>
      <c r="Y2243">
        <v>0</v>
      </c>
      <c r="Z2243">
        <v>1</v>
      </c>
      <c r="AA2243">
        <v>0</v>
      </c>
      <c r="AB2243">
        <v>181.04</v>
      </c>
      <c r="AC2243">
        <v>159.30000000000001</v>
      </c>
      <c r="AD2243">
        <v>0</v>
      </c>
      <c r="AE2243">
        <v>21.75</v>
      </c>
      <c r="AF2243">
        <v>0</v>
      </c>
      <c r="AG2243">
        <v>0</v>
      </c>
      <c r="AH2243">
        <v>0</v>
      </c>
      <c r="AI2243">
        <v>32.590000000000003</v>
      </c>
      <c r="AJ2243">
        <v>181.05</v>
      </c>
      <c r="AK2243">
        <v>0.01</v>
      </c>
      <c r="AL2243" t="s">
        <v>53</v>
      </c>
      <c r="AM2243" t="s">
        <v>53</v>
      </c>
      <c r="AN2243" t="s">
        <v>245</v>
      </c>
      <c r="AO2243" t="s">
        <v>53</v>
      </c>
      <c r="AP2243" t="s">
        <v>53</v>
      </c>
    </row>
    <row r="2244" spans="2:42" x14ac:dyDescent="0.2">
      <c r="B2244" t="s">
        <v>44</v>
      </c>
      <c r="C2244" t="str">
        <f>HYPERLINK("https://us2.cloudbeds.com/connect/8493803454333002#/reservations/579149336830?display=DJEK20RU&amp;reservation_id=579149336830", "DJEK20RU")</f>
        <v>DJEK20RU</v>
      </c>
      <c r="D2244" t="s">
        <v>45</v>
      </c>
      <c r="E2244" t="s">
        <v>185</v>
      </c>
      <c r="F2244" t="s">
        <v>47</v>
      </c>
      <c r="G2244" t="s">
        <v>48</v>
      </c>
      <c r="H2244" t="s">
        <v>71</v>
      </c>
      <c r="I2244" t="s">
        <v>72</v>
      </c>
      <c r="J2244" t="s">
        <v>1985</v>
      </c>
      <c r="K2244" t="s">
        <v>2022</v>
      </c>
      <c r="L2244" t="s">
        <v>53</v>
      </c>
      <c r="N2244" t="s">
        <v>3590</v>
      </c>
      <c r="P2244" t="s">
        <v>55</v>
      </c>
      <c r="R2244" t="s">
        <v>56</v>
      </c>
      <c r="T2244" t="s">
        <v>3591</v>
      </c>
      <c r="U2244" t="s">
        <v>58</v>
      </c>
      <c r="V2244">
        <v>1</v>
      </c>
      <c r="W2244">
        <v>1</v>
      </c>
      <c r="X2244">
        <v>1</v>
      </c>
      <c r="Y2244">
        <v>0</v>
      </c>
      <c r="Z2244">
        <v>1</v>
      </c>
      <c r="AA2244">
        <v>0</v>
      </c>
      <c r="AB2244">
        <v>164.8</v>
      </c>
      <c r="AC2244">
        <v>145</v>
      </c>
      <c r="AD2244">
        <v>0</v>
      </c>
      <c r="AE2244">
        <v>19.8</v>
      </c>
      <c r="AF2244">
        <v>0</v>
      </c>
      <c r="AG2244">
        <v>0</v>
      </c>
      <c r="AH2244">
        <v>0</v>
      </c>
      <c r="AI2244">
        <v>0</v>
      </c>
      <c r="AJ2244">
        <v>164.8</v>
      </c>
      <c r="AK2244">
        <v>0</v>
      </c>
      <c r="AL2244" t="s">
        <v>53</v>
      </c>
      <c r="AM2244" t="s">
        <v>53</v>
      </c>
      <c r="AN2244" t="s">
        <v>378</v>
      </c>
      <c r="AO2244" t="s">
        <v>53</v>
      </c>
      <c r="AP2244" t="s">
        <v>53</v>
      </c>
    </row>
    <row r="2245" spans="2:42" x14ac:dyDescent="0.2">
      <c r="B2245" t="s">
        <v>44</v>
      </c>
      <c r="C2245" t="str">
        <f>HYPERLINK("https://us2.cloudbeds.com/connect/8493803454333002#/reservations/598434361574?display=E1CCN8R4&amp;reservation_id=598434361574", "E1CCN8R4")</f>
        <v>E1CCN8R4</v>
      </c>
      <c r="D2245" t="s">
        <v>45</v>
      </c>
      <c r="E2245" t="s">
        <v>128</v>
      </c>
      <c r="F2245" t="s">
        <v>86</v>
      </c>
      <c r="G2245" t="s">
        <v>48</v>
      </c>
      <c r="H2245" t="s">
        <v>49</v>
      </c>
      <c r="I2245" t="s">
        <v>79</v>
      </c>
      <c r="J2245" t="s">
        <v>215</v>
      </c>
      <c r="K2245" t="s">
        <v>446</v>
      </c>
      <c r="L2245" t="s">
        <v>53</v>
      </c>
      <c r="N2245" t="s">
        <v>3592</v>
      </c>
      <c r="P2245" t="s">
        <v>55</v>
      </c>
      <c r="R2245" t="s">
        <v>56</v>
      </c>
      <c r="T2245" t="s">
        <v>3591</v>
      </c>
      <c r="U2245" t="s">
        <v>58</v>
      </c>
      <c r="V2245">
        <v>1</v>
      </c>
      <c r="W2245">
        <v>1</v>
      </c>
      <c r="X2245">
        <v>1</v>
      </c>
      <c r="Y2245">
        <v>0</v>
      </c>
      <c r="Z2245">
        <v>1</v>
      </c>
      <c r="AA2245">
        <v>0</v>
      </c>
      <c r="AB2245">
        <v>181.04</v>
      </c>
      <c r="AC2245">
        <v>159.30000000000001</v>
      </c>
      <c r="AD2245">
        <v>0</v>
      </c>
      <c r="AE2245">
        <v>21.75</v>
      </c>
      <c r="AF2245">
        <v>0</v>
      </c>
      <c r="AG2245">
        <v>0</v>
      </c>
      <c r="AH2245">
        <v>0</v>
      </c>
      <c r="AI2245">
        <v>0</v>
      </c>
      <c r="AJ2245">
        <v>181.05</v>
      </c>
      <c r="AK2245">
        <v>0.01</v>
      </c>
      <c r="AL2245" t="s">
        <v>53</v>
      </c>
      <c r="AM2245" t="s">
        <v>53</v>
      </c>
      <c r="AN2245" t="s">
        <v>142</v>
      </c>
      <c r="AO2245" t="s">
        <v>53</v>
      </c>
      <c r="AP2245" t="s">
        <v>53</v>
      </c>
    </row>
    <row r="2246" spans="2:42" x14ac:dyDescent="0.2">
      <c r="B2246" t="s">
        <v>44</v>
      </c>
      <c r="C2246" t="str">
        <f>HYPERLINK("https://us2.cloudbeds.com/connect/8493803454333002#/reservations/598542880936?display=E1F56W9Y&amp;reservation_id=598542880936", "E1F56W9Y")</f>
        <v>E1F56W9Y</v>
      </c>
      <c r="D2246" t="s">
        <v>45</v>
      </c>
      <c r="E2246" t="s">
        <v>113</v>
      </c>
      <c r="F2246" t="s">
        <v>61</v>
      </c>
      <c r="G2246" t="s">
        <v>48</v>
      </c>
      <c r="H2246" t="s">
        <v>49</v>
      </c>
      <c r="I2246" t="s">
        <v>62</v>
      </c>
      <c r="J2246" t="s">
        <v>1633</v>
      </c>
      <c r="K2246" t="s">
        <v>447</v>
      </c>
      <c r="L2246" t="s">
        <v>53</v>
      </c>
      <c r="N2246" t="s">
        <v>3593</v>
      </c>
      <c r="P2246" t="s">
        <v>55</v>
      </c>
      <c r="R2246" t="s">
        <v>56</v>
      </c>
      <c r="T2246" t="s">
        <v>3591</v>
      </c>
      <c r="U2246" t="s">
        <v>58</v>
      </c>
      <c r="V2246">
        <v>1</v>
      </c>
      <c r="W2246">
        <v>1</v>
      </c>
      <c r="X2246">
        <v>1</v>
      </c>
      <c r="Y2246">
        <v>0</v>
      </c>
      <c r="Z2246">
        <v>1</v>
      </c>
      <c r="AA2246">
        <v>0</v>
      </c>
      <c r="AB2246">
        <v>197.75</v>
      </c>
      <c r="AC2246">
        <v>174</v>
      </c>
      <c r="AD2246">
        <v>0</v>
      </c>
      <c r="AE2246">
        <v>23.76</v>
      </c>
      <c r="AF2246">
        <v>0</v>
      </c>
      <c r="AG2246">
        <v>0</v>
      </c>
      <c r="AH2246">
        <v>0</v>
      </c>
      <c r="AI2246">
        <v>29.66</v>
      </c>
      <c r="AJ2246">
        <v>197.76</v>
      </c>
      <c r="AK2246">
        <v>0.01</v>
      </c>
      <c r="AL2246" t="s">
        <v>53</v>
      </c>
      <c r="AM2246" t="s">
        <v>53</v>
      </c>
      <c r="AN2246" t="s">
        <v>3594</v>
      </c>
      <c r="AO2246" t="s">
        <v>53</v>
      </c>
      <c r="AP2246" t="s">
        <v>53</v>
      </c>
    </row>
    <row r="2247" spans="2:42" x14ac:dyDescent="0.2">
      <c r="B2247" t="s">
        <v>44</v>
      </c>
      <c r="C2247" t="str">
        <f>HYPERLINK("https://us2.cloudbeds.com/connect/8493803454333002#/reservations/598487896220?display=E1DZRV94&amp;reservation_id=598487896220", "E1DZRV94")</f>
        <v>E1DZRV94</v>
      </c>
      <c r="D2247" t="s">
        <v>45</v>
      </c>
      <c r="E2247" t="s">
        <v>105</v>
      </c>
      <c r="F2247" t="s">
        <v>47</v>
      </c>
      <c r="G2247" t="s">
        <v>48</v>
      </c>
      <c r="H2247" t="s">
        <v>49</v>
      </c>
      <c r="I2247" t="s">
        <v>62</v>
      </c>
      <c r="J2247" t="s">
        <v>214</v>
      </c>
      <c r="K2247" t="s">
        <v>215</v>
      </c>
      <c r="L2247" t="s">
        <v>53</v>
      </c>
      <c r="N2247" t="s">
        <v>3595</v>
      </c>
      <c r="P2247" t="s">
        <v>55</v>
      </c>
      <c r="R2247" t="s">
        <v>56</v>
      </c>
      <c r="T2247" t="s">
        <v>3591</v>
      </c>
      <c r="U2247" t="s">
        <v>58</v>
      </c>
      <c r="V2247">
        <v>1</v>
      </c>
      <c r="W2247">
        <v>1</v>
      </c>
      <c r="X2247">
        <v>1</v>
      </c>
      <c r="Y2247">
        <v>0</v>
      </c>
      <c r="Z2247">
        <v>1</v>
      </c>
      <c r="AA2247">
        <v>0</v>
      </c>
      <c r="AB2247">
        <v>176.16</v>
      </c>
      <c r="AC2247">
        <v>155</v>
      </c>
      <c r="AD2247">
        <v>0</v>
      </c>
      <c r="AE2247">
        <v>21.17</v>
      </c>
      <c r="AF2247">
        <v>0</v>
      </c>
      <c r="AG2247">
        <v>0</v>
      </c>
      <c r="AH2247">
        <v>0</v>
      </c>
      <c r="AI2247">
        <v>26.43</v>
      </c>
      <c r="AJ2247">
        <v>176.17</v>
      </c>
      <c r="AK2247">
        <v>0.01</v>
      </c>
      <c r="AL2247" t="s">
        <v>53</v>
      </c>
      <c r="AM2247" t="s">
        <v>53</v>
      </c>
      <c r="AN2247" t="s">
        <v>225</v>
      </c>
      <c r="AO2247" t="s">
        <v>53</v>
      </c>
      <c r="AP2247" t="s">
        <v>53</v>
      </c>
    </row>
    <row r="2248" spans="2:42" x14ac:dyDescent="0.2">
      <c r="B2248" t="s">
        <v>44</v>
      </c>
      <c r="C2248" t="str">
        <f>HYPERLINK("https://us2.cloudbeds.com/connect/8493803454333002#/reservations/598579196038?display=E1G2RGG9&amp;reservation_id=598579196038", "E1G2RGG9")</f>
        <v>E1G2RGG9</v>
      </c>
      <c r="D2248" t="s">
        <v>45</v>
      </c>
      <c r="E2248" t="s">
        <v>185</v>
      </c>
      <c r="F2248" t="s">
        <v>47</v>
      </c>
      <c r="G2248" t="s">
        <v>48</v>
      </c>
      <c r="H2248" t="s">
        <v>71</v>
      </c>
      <c r="I2248" t="s">
        <v>72</v>
      </c>
      <c r="J2248" t="s">
        <v>2102</v>
      </c>
      <c r="K2248" t="s">
        <v>99</v>
      </c>
      <c r="L2248" t="s">
        <v>53</v>
      </c>
      <c r="N2248" t="s">
        <v>3596</v>
      </c>
      <c r="P2248" t="s">
        <v>55</v>
      </c>
      <c r="R2248" t="s">
        <v>56</v>
      </c>
      <c r="T2248" t="s">
        <v>3591</v>
      </c>
      <c r="U2248" t="s">
        <v>58</v>
      </c>
      <c r="V2248">
        <v>5</v>
      </c>
      <c r="W2248">
        <v>1</v>
      </c>
      <c r="X2248">
        <v>1</v>
      </c>
      <c r="Y2248">
        <v>0</v>
      </c>
      <c r="Z2248">
        <v>1</v>
      </c>
      <c r="AA2248">
        <v>0</v>
      </c>
      <c r="AB2248">
        <v>863.74</v>
      </c>
      <c r="AC2248">
        <v>760</v>
      </c>
      <c r="AD2248">
        <v>0</v>
      </c>
      <c r="AE2248">
        <v>103.75</v>
      </c>
      <c r="AF2248">
        <v>0</v>
      </c>
      <c r="AG2248">
        <v>0</v>
      </c>
      <c r="AH2248">
        <v>0</v>
      </c>
      <c r="AI2248">
        <v>0</v>
      </c>
      <c r="AJ2248">
        <v>863.75</v>
      </c>
      <c r="AK2248">
        <v>0.01</v>
      </c>
      <c r="AL2248" t="s">
        <v>53</v>
      </c>
      <c r="AM2248" t="s">
        <v>53</v>
      </c>
      <c r="AN2248" t="s">
        <v>3597</v>
      </c>
      <c r="AO2248" t="s">
        <v>53</v>
      </c>
      <c r="AP2248" t="s">
        <v>53</v>
      </c>
    </row>
    <row r="2249" spans="2:42" x14ac:dyDescent="0.2">
      <c r="B2249" t="s">
        <v>44</v>
      </c>
      <c r="C2249" t="str">
        <f>HYPERLINK("https://us2.cloudbeds.com/connect/8493803454333002#/reservations/598539985034?display=E1F2PD21&amp;reservation_id=598539985034", "E1F2PD21")</f>
        <v>E1F2PD21</v>
      </c>
      <c r="D2249" t="s">
        <v>45</v>
      </c>
      <c r="E2249" t="s">
        <v>85</v>
      </c>
      <c r="F2249" t="s">
        <v>86</v>
      </c>
      <c r="G2249" t="s">
        <v>48</v>
      </c>
      <c r="H2249" t="s">
        <v>71</v>
      </c>
      <c r="I2249" t="s">
        <v>72</v>
      </c>
      <c r="J2249" t="s">
        <v>504</v>
      </c>
      <c r="K2249" t="s">
        <v>505</v>
      </c>
      <c r="L2249" t="s">
        <v>53</v>
      </c>
      <c r="N2249" t="s">
        <v>3598</v>
      </c>
      <c r="P2249" t="s">
        <v>55</v>
      </c>
      <c r="R2249" t="s">
        <v>56</v>
      </c>
      <c r="T2249" t="s">
        <v>3591</v>
      </c>
      <c r="U2249" t="s">
        <v>58</v>
      </c>
      <c r="V2249">
        <v>1</v>
      </c>
      <c r="W2249">
        <v>1</v>
      </c>
      <c r="X2249">
        <v>1</v>
      </c>
      <c r="Y2249">
        <v>0</v>
      </c>
      <c r="Z2249">
        <v>1</v>
      </c>
      <c r="AA2249">
        <v>0</v>
      </c>
      <c r="AB2249">
        <v>195.48</v>
      </c>
      <c r="AC2249">
        <v>172</v>
      </c>
      <c r="AD2249">
        <v>0</v>
      </c>
      <c r="AE2249">
        <v>23.48</v>
      </c>
      <c r="AF2249">
        <v>0</v>
      </c>
      <c r="AG2249">
        <v>0</v>
      </c>
      <c r="AH2249">
        <v>0</v>
      </c>
      <c r="AI2249">
        <v>0</v>
      </c>
      <c r="AJ2249">
        <v>195.48</v>
      </c>
      <c r="AK2249">
        <v>0</v>
      </c>
      <c r="AL2249" t="s">
        <v>53</v>
      </c>
      <c r="AM2249" t="s">
        <v>53</v>
      </c>
      <c r="AN2249" t="s">
        <v>378</v>
      </c>
      <c r="AO2249" t="s">
        <v>53</v>
      </c>
      <c r="AP2249" t="s">
        <v>53</v>
      </c>
    </row>
    <row r="2250" spans="2:42" x14ac:dyDescent="0.2">
      <c r="B2250" t="s">
        <v>44</v>
      </c>
      <c r="C2250" t="str">
        <f>HYPERLINK("https://us2.cloudbeds.com/connect/8493803454333002#/reservations/598323179768?display=E19HVFGG&amp;reservation_id=598323179768", "E19HVFGG")</f>
        <v>E19HVFGG</v>
      </c>
      <c r="D2250" t="s">
        <v>45</v>
      </c>
      <c r="E2250" t="s">
        <v>78</v>
      </c>
      <c r="F2250" t="s">
        <v>61</v>
      </c>
      <c r="G2250" t="s">
        <v>48</v>
      </c>
      <c r="H2250" t="s">
        <v>49</v>
      </c>
      <c r="I2250" t="s">
        <v>62</v>
      </c>
      <c r="J2250" t="s">
        <v>214</v>
      </c>
      <c r="K2250" t="s">
        <v>215</v>
      </c>
      <c r="L2250" t="s">
        <v>53</v>
      </c>
      <c r="N2250" t="s">
        <v>3599</v>
      </c>
      <c r="P2250" t="s">
        <v>55</v>
      </c>
      <c r="R2250" t="s">
        <v>56</v>
      </c>
      <c r="T2250" t="s">
        <v>3591</v>
      </c>
      <c r="U2250" t="s">
        <v>58</v>
      </c>
      <c r="V2250">
        <v>1</v>
      </c>
      <c r="W2250">
        <v>1</v>
      </c>
      <c r="X2250">
        <v>1</v>
      </c>
      <c r="Y2250">
        <v>0</v>
      </c>
      <c r="Z2250">
        <v>1</v>
      </c>
      <c r="AA2250">
        <v>0</v>
      </c>
      <c r="AB2250">
        <v>193.21</v>
      </c>
      <c r="AC2250">
        <v>170</v>
      </c>
      <c r="AD2250">
        <v>0</v>
      </c>
      <c r="AE2250">
        <v>23.21</v>
      </c>
      <c r="AF2250">
        <v>0</v>
      </c>
      <c r="AG2250">
        <v>0</v>
      </c>
      <c r="AH2250">
        <v>0</v>
      </c>
      <c r="AI2250">
        <v>28.98</v>
      </c>
      <c r="AJ2250">
        <v>193.21</v>
      </c>
      <c r="AK2250">
        <v>0</v>
      </c>
      <c r="AL2250" t="s">
        <v>53</v>
      </c>
      <c r="AM2250" t="s">
        <v>53</v>
      </c>
      <c r="AN2250" t="s">
        <v>178</v>
      </c>
      <c r="AO2250" t="s">
        <v>53</v>
      </c>
      <c r="AP2250" t="s">
        <v>53</v>
      </c>
    </row>
    <row r="2251" spans="2:42" x14ac:dyDescent="0.2">
      <c r="B2251" t="s">
        <v>44</v>
      </c>
      <c r="C2251" t="str">
        <f>HYPERLINK("https://us2.cloudbeds.com/connect/8493803454333002#/reservations/579269886113?display=DJHMNG2G&amp;reservation_id=579269886113", "DJHMNG2G")</f>
        <v>DJHMNG2G</v>
      </c>
      <c r="D2251" t="s">
        <v>45</v>
      </c>
      <c r="E2251" t="s">
        <v>46</v>
      </c>
      <c r="F2251" t="s">
        <v>47</v>
      </c>
      <c r="G2251" t="s">
        <v>48</v>
      </c>
      <c r="H2251" t="s">
        <v>49</v>
      </c>
      <c r="I2251" t="s">
        <v>62</v>
      </c>
      <c r="J2251" t="s">
        <v>1515</v>
      </c>
      <c r="K2251" t="s">
        <v>2162</v>
      </c>
      <c r="L2251" t="s">
        <v>53</v>
      </c>
      <c r="N2251" t="s">
        <v>3600</v>
      </c>
      <c r="P2251" t="s">
        <v>55</v>
      </c>
      <c r="R2251" t="s">
        <v>201</v>
      </c>
      <c r="T2251" t="s">
        <v>3591</v>
      </c>
      <c r="U2251" t="s">
        <v>58</v>
      </c>
      <c r="V2251">
        <v>1</v>
      </c>
      <c r="W2251">
        <v>1</v>
      </c>
      <c r="X2251">
        <v>1</v>
      </c>
      <c r="Y2251">
        <v>0</v>
      </c>
      <c r="Z2251">
        <v>1</v>
      </c>
      <c r="AA2251">
        <v>0</v>
      </c>
      <c r="AB2251">
        <v>164.8</v>
      </c>
      <c r="AC2251">
        <v>145</v>
      </c>
      <c r="AD2251">
        <v>0</v>
      </c>
      <c r="AE2251">
        <v>19.8</v>
      </c>
      <c r="AF2251">
        <v>0</v>
      </c>
      <c r="AG2251">
        <v>0</v>
      </c>
      <c r="AH2251">
        <v>0</v>
      </c>
      <c r="AI2251">
        <v>24.72</v>
      </c>
      <c r="AJ2251">
        <v>164.8</v>
      </c>
      <c r="AK2251">
        <v>0</v>
      </c>
      <c r="AL2251" t="s">
        <v>53</v>
      </c>
      <c r="AM2251" t="s">
        <v>53</v>
      </c>
      <c r="AN2251" t="s">
        <v>178</v>
      </c>
      <c r="AO2251" t="s">
        <v>53</v>
      </c>
      <c r="AP2251" t="s">
        <v>53</v>
      </c>
    </row>
    <row r="2252" spans="2:42" x14ac:dyDescent="0.2">
      <c r="B2252" t="s">
        <v>44</v>
      </c>
      <c r="C2252" t="str">
        <f>HYPERLINK("https://us2.cloudbeds.com/connect/8493803454333002#/reservations/579235926195?display=DJGR2GJ2&amp;reservation_id=579235926195", "DJGR2GJ2")</f>
        <v>DJGR2GJ2</v>
      </c>
      <c r="D2252" t="s">
        <v>45</v>
      </c>
      <c r="E2252" t="s">
        <v>98</v>
      </c>
      <c r="F2252" t="s">
        <v>86</v>
      </c>
      <c r="G2252" t="s">
        <v>48</v>
      </c>
      <c r="H2252" t="s">
        <v>49</v>
      </c>
      <c r="I2252" t="s">
        <v>50</v>
      </c>
      <c r="J2252" t="s">
        <v>1140</v>
      </c>
      <c r="K2252" t="s">
        <v>1141</v>
      </c>
      <c r="L2252" t="s">
        <v>53</v>
      </c>
      <c r="N2252" t="s">
        <v>3601</v>
      </c>
      <c r="P2252" t="s">
        <v>55</v>
      </c>
      <c r="R2252" t="s">
        <v>56</v>
      </c>
      <c r="T2252" t="s">
        <v>3591</v>
      </c>
      <c r="U2252" t="s">
        <v>58</v>
      </c>
      <c r="V2252">
        <v>2</v>
      </c>
      <c r="W2252">
        <v>1</v>
      </c>
      <c r="X2252">
        <v>1</v>
      </c>
      <c r="Y2252">
        <v>0</v>
      </c>
      <c r="Z2252">
        <v>1</v>
      </c>
      <c r="AA2252">
        <v>0</v>
      </c>
      <c r="AB2252">
        <v>327.32</v>
      </c>
      <c r="AC2252">
        <v>288</v>
      </c>
      <c r="AD2252">
        <v>0</v>
      </c>
      <c r="AE2252">
        <v>39.32</v>
      </c>
      <c r="AF2252">
        <v>0</v>
      </c>
      <c r="AG2252">
        <v>0</v>
      </c>
      <c r="AH2252">
        <v>0</v>
      </c>
      <c r="AI2252">
        <v>58.92</v>
      </c>
      <c r="AJ2252">
        <v>327.32</v>
      </c>
      <c r="AK2252">
        <v>0</v>
      </c>
      <c r="AL2252" t="s">
        <v>53</v>
      </c>
      <c r="AM2252" t="s">
        <v>53</v>
      </c>
      <c r="AN2252" t="s">
        <v>84</v>
      </c>
      <c r="AO2252" t="s">
        <v>53</v>
      </c>
      <c r="AP2252" t="s">
        <v>53</v>
      </c>
    </row>
    <row r="2253" spans="2:42" x14ac:dyDescent="0.2">
      <c r="B2253" t="s">
        <v>44</v>
      </c>
      <c r="C2253" t="str">
        <f>HYPERLINK("https://us2.cloudbeds.com/connect/8493803454333002#/reservations/579354873984?display=DJJSC9GB&amp;reservation_id=579354873984", "DJJSC9GB")</f>
        <v>DJJSC9GB</v>
      </c>
      <c r="D2253" t="s">
        <v>45</v>
      </c>
      <c r="E2253" t="s">
        <v>128</v>
      </c>
      <c r="F2253" t="s">
        <v>86</v>
      </c>
      <c r="G2253" t="s">
        <v>48</v>
      </c>
      <c r="H2253" t="s">
        <v>71</v>
      </c>
      <c r="I2253" t="s">
        <v>72</v>
      </c>
      <c r="J2253" t="s">
        <v>1477</v>
      </c>
      <c r="K2253" t="s">
        <v>1478</v>
      </c>
      <c r="L2253" t="s">
        <v>53</v>
      </c>
      <c r="N2253" t="s">
        <v>3602</v>
      </c>
      <c r="P2253" t="s">
        <v>58</v>
      </c>
      <c r="R2253" t="s">
        <v>56</v>
      </c>
      <c r="T2253" t="s">
        <v>3591</v>
      </c>
      <c r="U2253" t="s">
        <v>58</v>
      </c>
      <c r="V2253">
        <v>3</v>
      </c>
      <c r="W2253">
        <v>1</v>
      </c>
      <c r="X2253">
        <v>1</v>
      </c>
      <c r="Y2253">
        <v>0</v>
      </c>
      <c r="Z2253">
        <v>1</v>
      </c>
      <c r="AA2253">
        <v>0</v>
      </c>
      <c r="AB2253">
        <v>551.21</v>
      </c>
      <c r="AC2253">
        <v>485</v>
      </c>
      <c r="AD2253">
        <v>0</v>
      </c>
      <c r="AE2253">
        <v>66.209999999999994</v>
      </c>
      <c r="AF2253">
        <v>0</v>
      </c>
      <c r="AG2253">
        <v>0</v>
      </c>
      <c r="AH2253">
        <v>0</v>
      </c>
      <c r="AI2253">
        <v>0</v>
      </c>
      <c r="AJ2253">
        <v>551.21</v>
      </c>
      <c r="AK2253">
        <v>0</v>
      </c>
      <c r="AL2253" t="s">
        <v>53</v>
      </c>
      <c r="AM2253" t="s">
        <v>53</v>
      </c>
      <c r="AN2253" t="s">
        <v>378</v>
      </c>
      <c r="AO2253" t="s">
        <v>53</v>
      </c>
      <c r="AP2253" t="s">
        <v>53</v>
      </c>
    </row>
    <row r="2254" spans="2:42" x14ac:dyDescent="0.2">
      <c r="B2254" t="s">
        <v>44</v>
      </c>
      <c r="C2254" t="str">
        <f>HYPERLINK("https://us2.cloudbeds.com/connect/8493803454333002#/reservations/598275330303?display=E18AJWJN&amp;reservation_id=598275330303", "E18AJWJN")</f>
        <v>E18AJWJN</v>
      </c>
      <c r="D2254" t="s">
        <v>45</v>
      </c>
      <c r="E2254" t="s">
        <v>487</v>
      </c>
      <c r="F2254" t="s">
        <v>61</v>
      </c>
      <c r="G2254" t="s">
        <v>48</v>
      </c>
      <c r="H2254" t="s">
        <v>49</v>
      </c>
      <c r="I2254" t="s">
        <v>79</v>
      </c>
      <c r="J2254" t="s">
        <v>214</v>
      </c>
      <c r="K2254" t="s">
        <v>215</v>
      </c>
      <c r="L2254" t="s">
        <v>53</v>
      </c>
      <c r="N2254" t="s">
        <v>3603</v>
      </c>
      <c r="P2254" t="s">
        <v>55</v>
      </c>
      <c r="R2254" t="s">
        <v>56</v>
      </c>
      <c r="T2254" t="s">
        <v>3591</v>
      </c>
      <c r="U2254" t="s">
        <v>58</v>
      </c>
      <c r="V2254">
        <v>1</v>
      </c>
      <c r="W2254">
        <v>1</v>
      </c>
      <c r="X2254">
        <v>1</v>
      </c>
      <c r="Y2254">
        <v>0</v>
      </c>
      <c r="Z2254">
        <v>1</v>
      </c>
      <c r="AA2254">
        <v>0</v>
      </c>
      <c r="AB2254">
        <v>173.88</v>
      </c>
      <c r="AC2254">
        <v>153</v>
      </c>
      <c r="AD2254">
        <v>0</v>
      </c>
      <c r="AE2254">
        <v>20.89</v>
      </c>
      <c r="AF2254">
        <v>0</v>
      </c>
      <c r="AG2254">
        <v>0</v>
      </c>
      <c r="AH2254">
        <v>0</v>
      </c>
      <c r="AI2254">
        <v>0</v>
      </c>
      <c r="AJ2254">
        <v>173.89</v>
      </c>
      <c r="AK2254">
        <v>0.01</v>
      </c>
      <c r="AL2254" t="s">
        <v>53</v>
      </c>
      <c r="AM2254" t="s">
        <v>53</v>
      </c>
      <c r="AN2254" t="s">
        <v>316</v>
      </c>
      <c r="AO2254" t="s">
        <v>53</v>
      </c>
      <c r="AP2254" t="s">
        <v>53</v>
      </c>
    </row>
    <row r="2255" spans="2:42" x14ac:dyDescent="0.2">
      <c r="B2255" t="s">
        <v>44</v>
      </c>
      <c r="C2255" t="str">
        <f>HYPERLINK("https://us2.cloudbeds.com/connect/8493803454333002#/reservations/598585766108?display=E1G8CAKA&amp;reservation_id=598585766108", "E1G8CAKA")</f>
        <v>E1G8CAKA</v>
      </c>
      <c r="D2255" t="s">
        <v>45</v>
      </c>
      <c r="E2255" t="s">
        <v>185</v>
      </c>
      <c r="F2255" t="s">
        <v>47</v>
      </c>
      <c r="G2255" t="s">
        <v>48</v>
      </c>
      <c r="H2255" t="s">
        <v>49</v>
      </c>
      <c r="I2255" t="s">
        <v>50</v>
      </c>
      <c r="J2255" t="s">
        <v>214</v>
      </c>
      <c r="K2255" t="s">
        <v>446</v>
      </c>
      <c r="L2255" t="s">
        <v>53</v>
      </c>
      <c r="N2255" t="s">
        <v>3604</v>
      </c>
      <c r="P2255" t="s">
        <v>55</v>
      </c>
      <c r="R2255" t="s">
        <v>56</v>
      </c>
      <c r="T2255" t="s">
        <v>3591</v>
      </c>
      <c r="U2255" t="s">
        <v>58</v>
      </c>
      <c r="V2255">
        <v>2</v>
      </c>
      <c r="W2255">
        <v>1</v>
      </c>
      <c r="X2255">
        <v>1</v>
      </c>
      <c r="Y2255">
        <v>0</v>
      </c>
      <c r="Z2255">
        <v>1</v>
      </c>
      <c r="AA2255">
        <v>0</v>
      </c>
      <c r="AB2255">
        <v>317.08</v>
      </c>
      <c r="AC2255">
        <v>279</v>
      </c>
      <c r="AD2255">
        <v>0</v>
      </c>
      <c r="AE2255">
        <v>38.08</v>
      </c>
      <c r="AF2255">
        <v>0</v>
      </c>
      <c r="AG2255">
        <v>0</v>
      </c>
      <c r="AH2255">
        <v>0</v>
      </c>
      <c r="AI2255">
        <v>57.07</v>
      </c>
      <c r="AJ2255">
        <v>317.08</v>
      </c>
      <c r="AK2255">
        <v>0</v>
      </c>
      <c r="AL2255" t="s">
        <v>53</v>
      </c>
      <c r="AM2255" t="s">
        <v>53</v>
      </c>
      <c r="AN2255" t="s">
        <v>3605</v>
      </c>
      <c r="AO2255" t="s">
        <v>53</v>
      </c>
      <c r="AP2255" t="s">
        <v>53</v>
      </c>
    </row>
    <row r="2256" spans="2:42" x14ac:dyDescent="0.2">
      <c r="B2256" t="s">
        <v>44</v>
      </c>
      <c r="C2256" t="str">
        <f>HYPERLINK("https://us2.cloudbeds.com/connect/8493803454333002#/reservations/598515994849?display=E1EFHRGJ&amp;reservation_id=598515994849", "E1EFHRGJ")</f>
        <v>E1EFHRGJ</v>
      </c>
      <c r="D2256" t="s">
        <v>45</v>
      </c>
      <c r="E2256" t="s">
        <v>223</v>
      </c>
      <c r="F2256" t="s">
        <v>47</v>
      </c>
      <c r="G2256" t="s">
        <v>48</v>
      </c>
      <c r="H2256" t="s">
        <v>49</v>
      </c>
      <c r="I2256" t="s">
        <v>50</v>
      </c>
      <c r="J2256" t="s">
        <v>215</v>
      </c>
      <c r="K2256" t="s">
        <v>446</v>
      </c>
      <c r="L2256" t="s">
        <v>53</v>
      </c>
      <c r="N2256" t="s">
        <v>3606</v>
      </c>
      <c r="P2256" t="s">
        <v>55</v>
      </c>
      <c r="R2256" t="s">
        <v>56</v>
      </c>
      <c r="T2256" t="s">
        <v>3591</v>
      </c>
      <c r="U2256" t="s">
        <v>58</v>
      </c>
      <c r="V2256">
        <v>1</v>
      </c>
      <c r="W2256">
        <v>1</v>
      </c>
      <c r="X2256">
        <v>1</v>
      </c>
      <c r="Y2256">
        <v>0</v>
      </c>
      <c r="Z2256">
        <v>1</v>
      </c>
      <c r="AA2256">
        <v>0</v>
      </c>
      <c r="AB2256">
        <v>158.54</v>
      </c>
      <c r="AC2256">
        <v>139.5</v>
      </c>
      <c r="AD2256">
        <v>0</v>
      </c>
      <c r="AE2256">
        <v>19.04</v>
      </c>
      <c r="AF2256">
        <v>0</v>
      </c>
      <c r="AG2256">
        <v>0</v>
      </c>
      <c r="AH2256">
        <v>0</v>
      </c>
      <c r="AI2256">
        <v>28.54</v>
      </c>
      <c r="AJ2256">
        <v>158.54</v>
      </c>
      <c r="AK2256">
        <v>0</v>
      </c>
      <c r="AL2256" t="s">
        <v>53</v>
      </c>
      <c r="AM2256" t="s">
        <v>53</v>
      </c>
      <c r="AN2256" t="s">
        <v>112</v>
      </c>
      <c r="AO2256" t="s">
        <v>53</v>
      </c>
      <c r="AP2256" t="s">
        <v>53</v>
      </c>
    </row>
    <row r="2257" spans="2:42" x14ac:dyDescent="0.2">
      <c r="B2257" t="s">
        <v>44</v>
      </c>
      <c r="C2257" t="str">
        <f>HYPERLINK("https://us2.cloudbeds.com/connect/8493803454333002#/reservations/598414827654?display=E1BT7NB5&amp;reservation_id=598414827654", "E1BT7NB5")</f>
        <v>E1BT7NB5</v>
      </c>
      <c r="D2257" t="s">
        <v>45</v>
      </c>
      <c r="E2257" t="s">
        <v>373</v>
      </c>
      <c r="F2257" t="s">
        <v>47</v>
      </c>
      <c r="G2257" t="s">
        <v>48</v>
      </c>
      <c r="H2257" t="s">
        <v>49</v>
      </c>
      <c r="I2257" t="s">
        <v>62</v>
      </c>
      <c r="J2257" t="s">
        <v>214</v>
      </c>
      <c r="K2257" t="s">
        <v>215</v>
      </c>
      <c r="L2257" t="s">
        <v>53</v>
      </c>
      <c r="N2257" t="s">
        <v>3607</v>
      </c>
      <c r="P2257" t="s">
        <v>55</v>
      </c>
      <c r="R2257" t="s">
        <v>56</v>
      </c>
      <c r="T2257" t="s">
        <v>3591</v>
      </c>
      <c r="U2257" t="s">
        <v>58</v>
      </c>
      <c r="V2257">
        <v>1</v>
      </c>
      <c r="W2257">
        <v>1</v>
      </c>
      <c r="X2257">
        <v>1</v>
      </c>
      <c r="Y2257">
        <v>0</v>
      </c>
      <c r="Z2257">
        <v>1</v>
      </c>
      <c r="AA2257">
        <v>0</v>
      </c>
      <c r="AB2257">
        <v>176.16</v>
      </c>
      <c r="AC2257">
        <v>155</v>
      </c>
      <c r="AD2257">
        <v>0</v>
      </c>
      <c r="AE2257">
        <v>21.17</v>
      </c>
      <c r="AF2257">
        <v>0</v>
      </c>
      <c r="AG2257">
        <v>0</v>
      </c>
      <c r="AH2257">
        <v>0</v>
      </c>
      <c r="AI2257">
        <v>26.43</v>
      </c>
      <c r="AJ2257">
        <v>176.17</v>
      </c>
      <c r="AK2257">
        <v>0.01</v>
      </c>
      <c r="AL2257" t="s">
        <v>53</v>
      </c>
      <c r="AM2257" t="s">
        <v>53</v>
      </c>
      <c r="AN2257" t="s">
        <v>3608</v>
      </c>
      <c r="AO2257" t="s">
        <v>53</v>
      </c>
      <c r="AP2257" t="s">
        <v>53</v>
      </c>
    </row>
    <row r="2258" spans="2:42" x14ac:dyDescent="0.2">
      <c r="B2258" t="s">
        <v>44</v>
      </c>
      <c r="C2258" t="str">
        <f>HYPERLINK("https://us2.cloudbeds.com/connect/8493803454333002#/reservations/598229565677?display=E1750H4S&amp;reservation_id=598229565677", "E1750H4S")</f>
        <v>E1750H4S</v>
      </c>
      <c r="D2258" t="s">
        <v>45</v>
      </c>
      <c r="E2258" t="s">
        <v>155</v>
      </c>
      <c r="F2258" t="s">
        <v>86</v>
      </c>
      <c r="G2258" t="s">
        <v>48</v>
      </c>
      <c r="H2258" t="s">
        <v>49</v>
      </c>
      <c r="I2258" t="s">
        <v>50</v>
      </c>
      <c r="J2258" t="s">
        <v>214</v>
      </c>
      <c r="K2258" t="s">
        <v>446</v>
      </c>
      <c r="L2258" t="s">
        <v>53</v>
      </c>
      <c r="N2258" t="s">
        <v>3609</v>
      </c>
      <c r="P2258" t="s">
        <v>55</v>
      </c>
      <c r="R2258" t="s">
        <v>56</v>
      </c>
      <c r="T2258" t="s">
        <v>3591</v>
      </c>
      <c r="U2258" t="s">
        <v>58</v>
      </c>
      <c r="V2258">
        <v>2</v>
      </c>
      <c r="W2258">
        <v>1</v>
      </c>
      <c r="X2258">
        <v>1</v>
      </c>
      <c r="Y2258">
        <v>0</v>
      </c>
      <c r="Z2258">
        <v>1</v>
      </c>
      <c r="AA2258">
        <v>0</v>
      </c>
      <c r="AB2258">
        <v>362.09</v>
      </c>
      <c r="AC2258">
        <v>318.60000000000002</v>
      </c>
      <c r="AD2258">
        <v>0</v>
      </c>
      <c r="AE2258">
        <v>43.5</v>
      </c>
      <c r="AF2258">
        <v>0</v>
      </c>
      <c r="AG2258">
        <v>0</v>
      </c>
      <c r="AH2258">
        <v>0</v>
      </c>
      <c r="AI2258">
        <v>65.180000000000007</v>
      </c>
      <c r="AJ2258">
        <v>362.1</v>
      </c>
      <c r="AK2258">
        <v>0.01</v>
      </c>
      <c r="AL2258" t="s">
        <v>53</v>
      </c>
      <c r="AM2258" t="s">
        <v>53</v>
      </c>
      <c r="AN2258" t="s">
        <v>3610</v>
      </c>
      <c r="AO2258" t="s">
        <v>53</v>
      </c>
      <c r="AP2258" t="s">
        <v>53</v>
      </c>
    </row>
    <row r="2259" spans="2:42" x14ac:dyDescent="0.2">
      <c r="B2259" t="s">
        <v>44</v>
      </c>
      <c r="C2259" t="str">
        <f>HYPERLINK("https://us2.cloudbeds.com/connect/8493803454333002#/reservations/579270156456?display=DJHMV0AN&amp;reservation_id=579270156456", "DJHMV0AN")</f>
        <v>DJHMV0AN</v>
      </c>
      <c r="D2259" t="s">
        <v>45</v>
      </c>
      <c r="E2259" t="s">
        <v>78</v>
      </c>
      <c r="F2259" t="s">
        <v>61</v>
      </c>
      <c r="G2259" t="s">
        <v>48</v>
      </c>
      <c r="H2259" t="s">
        <v>71</v>
      </c>
      <c r="I2259" t="s">
        <v>72</v>
      </c>
      <c r="J2259" t="s">
        <v>1902</v>
      </c>
      <c r="K2259" t="s">
        <v>1903</v>
      </c>
      <c r="L2259" t="s">
        <v>53</v>
      </c>
      <c r="N2259" t="s">
        <v>3611</v>
      </c>
      <c r="P2259" t="s">
        <v>55</v>
      </c>
      <c r="R2259" t="s">
        <v>56</v>
      </c>
      <c r="T2259" t="s">
        <v>3591</v>
      </c>
      <c r="U2259" t="s">
        <v>58</v>
      </c>
      <c r="V2259">
        <v>1</v>
      </c>
      <c r="W2259">
        <v>1</v>
      </c>
      <c r="X2259">
        <v>1</v>
      </c>
      <c r="Y2259">
        <v>0</v>
      </c>
      <c r="Z2259">
        <v>1</v>
      </c>
      <c r="AA2259">
        <v>0</v>
      </c>
      <c r="AB2259">
        <v>168.2</v>
      </c>
      <c r="AC2259">
        <v>148</v>
      </c>
      <c r="AD2259">
        <v>0</v>
      </c>
      <c r="AE2259">
        <v>20.2</v>
      </c>
      <c r="AF2259">
        <v>0</v>
      </c>
      <c r="AG2259">
        <v>0</v>
      </c>
      <c r="AH2259">
        <v>0</v>
      </c>
      <c r="AI2259">
        <v>0</v>
      </c>
      <c r="AJ2259">
        <v>168.2</v>
      </c>
      <c r="AK2259">
        <v>0</v>
      </c>
      <c r="AL2259" t="s">
        <v>53</v>
      </c>
      <c r="AM2259" t="s">
        <v>53</v>
      </c>
      <c r="AN2259" t="s">
        <v>378</v>
      </c>
      <c r="AO2259" t="s">
        <v>53</v>
      </c>
      <c r="AP2259" t="s">
        <v>53</v>
      </c>
    </row>
    <row r="2260" spans="2:42" x14ac:dyDescent="0.2">
      <c r="B2260" t="s">
        <v>44</v>
      </c>
      <c r="C2260" t="str">
        <f>HYPERLINK("https://us2.cloudbeds.com/connect/8493803454333002#/reservations/579358716044?display=DJJVKA8J&amp;reservation_id=579358716044", "DJJVKA8J")</f>
        <v>DJJVKA8J</v>
      </c>
      <c r="D2260" t="s">
        <v>45</v>
      </c>
      <c r="E2260" t="s">
        <v>138</v>
      </c>
      <c r="F2260" t="s">
        <v>70</v>
      </c>
      <c r="G2260" t="s">
        <v>48</v>
      </c>
      <c r="H2260" t="s">
        <v>49</v>
      </c>
      <c r="I2260" t="s">
        <v>114</v>
      </c>
      <c r="J2260" t="s">
        <v>3612</v>
      </c>
      <c r="K2260" t="s">
        <v>3613</v>
      </c>
      <c r="L2260" t="s">
        <v>53</v>
      </c>
      <c r="N2260" t="s">
        <v>3614</v>
      </c>
      <c r="P2260" t="s">
        <v>55</v>
      </c>
      <c r="R2260" t="s">
        <v>56</v>
      </c>
      <c r="T2260" t="s">
        <v>3615</v>
      </c>
      <c r="U2260" t="s">
        <v>58</v>
      </c>
      <c r="V2260">
        <v>1</v>
      </c>
      <c r="W2260">
        <v>1</v>
      </c>
      <c r="X2260">
        <v>1</v>
      </c>
      <c r="Y2260">
        <v>0</v>
      </c>
      <c r="Z2260">
        <v>1</v>
      </c>
      <c r="AA2260">
        <v>0</v>
      </c>
      <c r="AB2260">
        <v>68.19</v>
      </c>
      <c r="AC2260">
        <v>60</v>
      </c>
      <c r="AD2260">
        <v>0</v>
      </c>
      <c r="AE2260">
        <v>8.19</v>
      </c>
      <c r="AF2260">
        <v>0</v>
      </c>
      <c r="AG2260">
        <v>0</v>
      </c>
      <c r="AH2260">
        <v>0</v>
      </c>
      <c r="AI2260">
        <v>0</v>
      </c>
      <c r="AJ2260">
        <v>68.19</v>
      </c>
      <c r="AK2260">
        <v>0</v>
      </c>
      <c r="AL2260" t="s">
        <v>53</v>
      </c>
      <c r="AM2260" t="s">
        <v>53</v>
      </c>
      <c r="AN2260" t="s">
        <v>3616</v>
      </c>
      <c r="AO2260" t="s">
        <v>53</v>
      </c>
      <c r="AP2260" t="s">
        <v>53</v>
      </c>
    </row>
    <row r="2261" spans="2:42" x14ac:dyDescent="0.2">
      <c r="B2261" t="s">
        <v>44</v>
      </c>
      <c r="C2261" t="str">
        <f>HYPERLINK("https://us2.cloudbeds.com/connect/8493803454333002#/reservations/579361349776?display=DJK0RJZY&amp;reservation_id=579361349776", "DJK0RJZY")</f>
        <v>DJK0RJZY</v>
      </c>
      <c r="D2261" t="s">
        <v>602</v>
      </c>
      <c r="E2261" t="s">
        <v>53</v>
      </c>
      <c r="F2261" t="s">
        <v>70</v>
      </c>
      <c r="G2261" t="s">
        <v>48</v>
      </c>
      <c r="H2261" t="s">
        <v>49</v>
      </c>
      <c r="I2261" t="s">
        <v>50</v>
      </c>
      <c r="J2261" t="s">
        <v>3617</v>
      </c>
      <c r="K2261" t="s">
        <v>3618</v>
      </c>
      <c r="L2261" t="s">
        <v>53</v>
      </c>
      <c r="N2261" t="s">
        <v>3619</v>
      </c>
      <c r="P2261" t="s">
        <v>55</v>
      </c>
      <c r="R2261" t="s">
        <v>56</v>
      </c>
      <c r="T2261" t="s">
        <v>3615</v>
      </c>
      <c r="U2261" t="s">
        <v>58</v>
      </c>
      <c r="V2261">
        <v>1</v>
      </c>
      <c r="W2261">
        <v>1</v>
      </c>
      <c r="X2261">
        <v>1</v>
      </c>
      <c r="Y2261">
        <v>0</v>
      </c>
      <c r="Z2261">
        <v>1</v>
      </c>
      <c r="AA2261">
        <v>0</v>
      </c>
      <c r="AB2261">
        <v>0</v>
      </c>
      <c r="AC2261">
        <v>0</v>
      </c>
      <c r="AD2261">
        <v>0</v>
      </c>
      <c r="AE2261">
        <v>0</v>
      </c>
      <c r="AF2261">
        <v>0</v>
      </c>
      <c r="AG2261">
        <v>0</v>
      </c>
      <c r="AH2261">
        <v>0</v>
      </c>
      <c r="AI2261">
        <v>12.89</v>
      </c>
      <c r="AJ2261">
        <v>0</v>
      </c>
      <c r="AK2261">
        <v>0</v>
      </c>
      <c r="AL2261">
        <v>63</v>
      </c>
      <c r="AM2261">
        <v>71.61</v>
      </c>
      <c r="AN2261" t="s">
        <v>3620</v>
      </c>
      <c r="AO2261" t="s">
        <v>53</v>
      </c>
      <c r="AP2261" t="s">
        <v>53</v>
      </c>
    </row>
    <row r="2262" spans="2:42" x14ac:dyDescent="0.2">
      <c r="B2262" t="s">
        <v>44</v>
      </c>
      <c r="C2262" t="str">
        <f>HYPERLINK("https://us2.cloudbeds.com/connect/8493803454333002#/reservations/579354464388?display=DJJS102H&amp;reservation_id=579354464388", "DJJS102H")</f>
        <v>DJJS102H</v>
      </c>
      <c r="D2262" t="s">
        <v>45</v>
      </c>
      <c r="E2262" t="s">
        <v>223</v>
      </c>
      <c r="F2262" t="s">
        <v>47</v>
      </c>
      <c r="G2262" t="s">
        <v>48</v>
      </c>
      <c r="H2262" t="s">
        <v>49</v>
      </c>
      <c r="I2262" t="s">
        <v>79</v>
      </c>
      <c r="J2262" t="s">
        <v>1337</v>
      </c>
      <c r="K2262" t="s">
        <v>2062</v>
      </c>
      <c r="L2262" t="s">
        <v>53</v>
      </c>
      <c r="N2262" t="s">
        <v>3621</v>
      </c>
      <c r="P2262" t="s">
        <v>55</v>
      </c>
      <c r="R2262" t="s">
        <v>56</v>
      </c>
      <c r="T2262" t="s">
        <v>3615</v>
      </c>
      <c r="U2262" t="s">
        <v>58</v>
      </c>
      <c r="V2262">
        <v>1</v>
      </c>
      <c r="W2262">
        <v>1</v>
      </c>
      <c r="X2262">
        <v>1</v>
      </c>
      <c r="Y2262">
        <v>0</v>
      </c>
      <c r="Z2262">
        <v>1</v>
      </c>
      <c r="AA2262">
        <v>0</v>
      </c>
      <c r="AB2262">
        <v>122.74</v>
      </c>
      <c r="AC2262">
        <v>108</v>
      </c>
      <c r="AD2262">
        <v>0</v>
      </c>
      <c r="AE2262">
        <v>14.74</v>
      </c>
      <c r="AF2262">
        <v>0</v>
      </c>
      <c r="AG2262">
        <v>0</v>
      </c>
      <c r="AH2262">
        <v>0</v>
      </c>
      <c r="AI2262">
        <v>0</v>
      </c>
      <c r="AJ2262">
        <v>122.74</v>
      </c>
      <c r="AK2262">
        <v>0</v>
      </c>
      <c r="AL2262" t="s">
        <v>53</v>
      </c>
      <c r="AM2262" t="s">
        <v>53</v>
      </c>
      <c r="AN2262" t="s">
        <v>178</v>
      </c>
      <c r="AO2262" t="s">
        <v>53</v>
      </c>
      <c r="AP2262" t="s">
        <v>53</v>
      </c>
    </row>
    <row r="2263" spans="2:42" x14ac:dyDescent="0.2">
      <c r="B2263" t="s">
        <v>44</v>
      </c>
      <c r="C2263" t="str">
        <f>HYPERLINK("https://us2.cloudbeds.com/connect/8493803454333002#/reservations/598466363597?display=E1D6MPE6&amp;reservation_id=598466363597", "E1D6MPE6")</f>
        <v>E1D6MPE6</v>
      </c>
      <c r="D2263" t="s">
        <v>45</v>
      </c>
      <c r="E2263" t="s">
        <v>92</v>
      </c>
      <c r="F2263" t="s">
        <v>86</v>
      </c>
      <c r="G2263" t="s">
        <v>48</v>
      </c>
      <c r="H2263" t="s">
        <v>49</v>
      </c>
      <c r="I2263" t="s">
        <v>50</v>
      </c>
      <c r="J2263" t="s">
        <v>1792</v>
      </c>
      <c r="K2263" t="s">
        <v>1633</v>
      </c>
      <c r="L2263" t="s">
        <v>53</v>
      </c>
      <c r="N2263" t="s">
        <v>3622</v>
      </c>
      <c r="P2263" t="s">
        <v>55</v>
      </c>
      <c r="R2263" t="s">
        <v>56</v>
      </c>
      <c r="T2263" t="s">
        <v>3615</v>
      </c>
      <c r="U2263" t="s">
        <v>58</v>
      </c>
      <c r="V2263">
        <v>1</v>
      </c>
      <c r="W2263">
        <v>1</v>
      </c>
      <c r="X2263">
        <v>1</v>
      </c>
      <c r="Y2263">
        <v>0</v>
      </c>
      <c r="Z2263">
        <v>1</v>
      </c>
      <c r="AA2263">
        <v>0</v>
      </c>
      <c r="AB2263">
        <v>187.18</v>
      </c>
      <c r="AC2263">
        <v>164.7</v>
      </c>
      <c r="AD2263">
        <v>0</v>
      </c>
      <c r="AE2263">
        <v>22.48</v>
      </c>
      <c r="AF2263">
        <v>0</v>
      </c>
      <c r="AG2263">
        <v>0</v>
      </c>
      <c r="AH2263">
        <v>0</v>
      </c>
      <c r="AI2263">
        <v>33.69</v>
      </c>
      <c r="AJ2263">
        <v>187.18</v>
      </c>
      <c r="AK2263">
        <v>0</v>
      </c>
      <c r="AL2263" t="s">
        <v>53</v>
      </c>
      <c r="AM2263" t="s">
        <v>53</v>
      </c>
      <c r="AN2263" t="s">
        <v>104</v>
      </c>
      <c r="AO2263" t="s">
        <v>53</v>
      </c>
      <c r="AP2263" t="s">
        <v>53</v>
      </c>
    </row>
    <row r="2264" spans="2:42" x14ac:dyDescent="0.2">
      <c r="B2264" t="s">
        <v>44</v>
      </c>
      <c r="C2264" t="str">
        <f>HYPERLINK("https://us2.cloudbeds.com/connect/8493803454333002#/reservations/579389141207?display=DJKZ8UT6&amp;reservation_id=579389141207", "DJKZ8UT6")</f>
        <v>DJKZ8UT6</v>
      </c>
      <c r="D2264" t="s">
        <v>45</v>
      </c>
      <c r="E2264" t="s">
        <v>179</v>
      </c>
      <c r="F2264" t="s">
        <v>47</v>
      </c>
      <c r="G2264" t="s">
        <v>48</v>
      </c>
      <c r="H2264" t="s">
        <v>49</v>
      </c>
      <c r="I2264" t="s">
        <v>79</v>
      </c>
      <c r="J2264" t="s">
        <v>1337</v>
      </c>
      <c r="K2264" t="s">
        <v>2062</v>
      </c>
      <c r="L2264" t="s">
        <v>53</v>
      </c>
      <c r="N2264" t="s">
        <v>3623</v>
      </c>
      <c r="P2264" t="s">
        <v>55</v>
      </c>
      <c r="R2264" t="s">
        <v>56</v>
      </c>
      <c r="T2264" t="s">
        <v>3615</v>
      </c>
      <c r="U2264" t="s">
        <v>58</v>
      </c>
      <c r="V2264">
        <v>1</v>
      </c>
      <c r="W2264">
        <v>1</v>
      </c>
      <c r="X2264">
        <v>1</v>
      </c>
      <c r="Y2264">
        <v>0</v>
      </c>
      <c r="Z2264">
        <v>1</v>
      </c>
      <c r="AA2264">
        <v>0</v>
      </c>
      <c r="AB2264">
        <v>122.74</v>
      </c>
      <c r="AC2264">
        <v>108</v>
      </c>
      <c r="AD2264">
        <v>0</v>
      </c>
      <c r="AE2264">
        <v>14.74</v>
      </c>
      <c r="AF2264">
        <v>0</v>
      </c>
      <c r="AG2264">
        <v>0</v>
      </c>
      <c r="AH2264">
        <v>0</v>
      </c>
      <c r="AI2264">
        <v>0</v>
      </c>
      <c r="AJ2264">
        <v>122.74</v>
      </c>
      <c r="AK2264">
        <v>0</v>
      </c>
      <c r="AL2264" t="s">
        <v>53</v>
      </c>
      <c r="AM2264" t="s">
        <v>53</v>
      </c>
      <c r="AN2264" t="s">
        <v>198</v>
      </c>
      <c r="AO2264" t="s">
        <v>53</v>
      </c>
      <c r="AP2264" t="s">
        <v>53</v>
      </c>
    </row>
    <row r="2265" spans="2:42" x14ac:dyDescent="0.2">
      <c r="B2265" t="s">
        <v>44</v>
      </c>
      <c r="C2265" t="str">
        <f>HYPERLINK("https://us2.cloudbeds.com/connect/8493803454333002#/reservations/598599905509?display=E1GK9PF0&amp;reservation_id=598599905509", "E1GK9PF0")</f>
        <v>E1GK9PF0</v>
      </c>
      <c r="D2265" t="s">
        <v>45</v>
      </c>
      <c r="E2265" t="s">
        <v>185</v>
      </c>
      <c r="F2265" t="s">
        <v>47</v>
      </c>
      <c r="G2265" t="s">
        <v>48</v>
      </c>
      <c r="H2265" t="s">
        <v>71</v>
      </c>
      <c r="I2265" t="s">
        <v>72</v>
      </c>
      <c r="J2265" t="s">
        <v>447</v>
      </c>
      <c r="K2265" t="s">
        <v>2102</v>
      </c>
      <c r="L2265" t="s">
        <v>53</v>
      </c>
      <c r="N2265" t="s">
        <v>3624</v>
      </c>
      <c r="P2265" t="s">
        <v>55</v>
      </c>
      <c r="R2265" t="s">
        <v>56</v>
      </c>
      <c r="T2265" t="s">
        <v>3615</v>
      </c>
      <c r="U2265" t="s">
        <v>58</v>
      </c>
      <c r="V2265">
        <v>1</v>
      </c>
      <c r="W2265">
        <v>1</v>
      </c>
      <c r="X2265">
        <v>1</v>
      </c>
      <c r="Y2265">
        <v>0</v>
      </c>
      <c r="Z2265">
        <v>1</v>
      </c>
      <c r="AA2265">
        <v>0</v>
      </c>
      <c r="AB2265">
        <v>170.48</v>
      </c>
      <c r="AC2265">
        <v>150</v>
      </c>
      <c r="AD2265">
        <v>0</v>
      </c>
      <c r="AE2265">
        <v>20.48</v>
      </c>
      <c r="AF2265">
        <v>0</v>
      </c>
      <c r="AG2265">
        <v>0</v>
      </c>
      <c r="AH2265">
        <v>0</v>
      </c>
      <c r="AI2265">
        <v>0</v>
      </c>
      <c r="AJ2265">
        <v>170.48</v>
      </c>
      <c r="AK2265">
        <v>0</v>
      </c>
      <c r="AL2265" t="s">
        <v>53</v>
      </c>
      <c r="AM2265" t="s">
        <v>53</v>
      </c>
      <c r="AN2265" t="s">
        <v>3625</v>
      </c>
      <c r="AO2265" t="s">
        <v>53</v>
      </c>
      <c r="AP2265" t="s">
        <v>53</v>
      </c>
    </row>
    <row r="2266" spans="2:42" x14ac:dyDescent="0.2">
      <c r="B2266" t="s">
        <v>44</v>
      </c>
      <c r="C2266" t="str">
        <f>HYPERLINK("https://us2.cloudbeds.com/connect/8493803454333002#/reservations/579286106362?display=DJX3CRN5&amp;reservation_id=579286106362", "DJX3CRN5")</f>
        <v>DJX3CRN5</v>
      </c>
      <c r="D2266" t="s">
        <v>45</v>
      </c>
      <c r="E2266" t="s">
        <v>98</v>
      </c>
      <c r="F2266" t="s">
        <v>86</v>
      </c>
      <c r="G2266" t="s">
        <v>48</v>
      </c>
      <c r="H2266" t="s">
        <v>49</v>
      </c>
      <c r="I2266" t="s">
        <v>114</v>
      </c>
      <c r="J2266" t="s">
        <v>1367</v>
      </c>
      <c r="K2266" t="s">
        <v>2022</v>
      </c>
      <c r="L2266" t="s">
        <v>53</v>
      </c>
      <c r="N2266" t="s">
        <v>3626</v>
      </c>
      <c r="P2266" t="s">
        <v>55</v>
      </c>
      <c r="R2266" t="s">
        <v>56</v>
      </c>
      <c r="T2266" t="s">
        <v>3615</v>
      </c>
      <c r="U2266" t="s">
        <v>58</v>
      </c>
      <c r="V2266">
        <v>2</v>
      </c>
      <c r="W2266">
        <v>1</v>
      </c>
      <c r="X2266">
        <v>1</v>
      </c>
      <c r="Y2266">
        <v>0</v>
      </c>
      <c r="Z2266">
        <v>1</v>
      </c>
      <c r="AA2266">
        <v>0</v>
      </c>
      <c r="AB2266">
        <v>370.52</v>
      </c>
      <c r="AC2266">
        <v>326</v>
      </c>
      <c r="AD2266">
        <v>0</v>
      </c>
      <c r="AE2266">
        <v>44.52</v>
      </c>
      <c r="AF2266">
        <v>0</v>
      </c>
      <c r="AG2266">
        <v>0</v>
      </c>
      <c r="AH2266">
        <v>0</v>
      </c>
      <c r="AI2266">
        <v>0</v>
      </c>
      <c r="AJ2266">
        <v>370.52</v>
      </c>
      <c r="AK2266">
        <v>0</v>
      </c>
      <c r="AL2266" t="s">
        <v>53</v>
      </c>
      <c r="AM2266" t="s">
        <v>53</v>
      </c>
      <c r="AN2266" t="s">
        <v>3627</v>
      </c>
      <c r="AO2266" t="s">
        <v>53</v>
      </c>
      <c r="AP2266" t="s">
        <v>53</v>
      </c>
    </row>
    <row r="2267" spans="2:42" x14ac:dyDescent="0.2">
      <c r="B2267" t="s">
        <v>44</v>
      </c>
      <c r="C2267" t="str">
        <f>HYPERLINK("https://us2.cloudbeds.com/connect/8493803454333002#/reservations/579361427595?display=DJK0TP6Q&amp;reservation_id=579361427595", "DJK0TP6Q")</f>
        <v>DJK0TP6Q</v>
      </c>
      <c r="D2267" t="s">
        <v>45</v>
      </c>
      <c r="E2267" t="s">
        <v>305</v>
      </c>
      <c r="F2267" t="s">
        <v>61</v>
      </c>
      <c r="G2267" t="s">
        <v>48</v>
      </c>
      <c r="H2267" t="s">
        <v>49</v>
      </c>
      <c r="I2267" t="s">
        <v>50</v>
      </c>
      <c r="J2267" t="s">
        <v>3551</v>
      </c>
      <c r="K2267" t="s">
        <v>1436</v>
      </c>
      <c r="L2267" t="s">
        <v>53</v>
      </c>
      <c r="N2267" t="s">
        <v>3628</v>
      </c>
      <c r="P2267" t="s">
        <v>55</v>
      </c>
      <c r="R2267" t="s">
        <v>56</v>
      </c>
      <c r="T2267" t="s">
        <v>3615</v>
      </c>
      <c r="U2267" t="s">
        <v>58</v>
      </c>
      <c r="V2267">
        <v>3</v>
      </c>
      <c r="W2267">
        <v>1</v>
      </c>
      <c r="X2267">
        <v>1</v>
      </c>
      <c r="Y2267">
        <v>0</v>
      </c>
      <c r="Z2267">
        <v>1</v>
      </c>
      <c r="AA2267">
        <v>0</v>
      </c>
      <c r="AB2267">
        <v>521.66999999999996</v>
      </c>
      <c r="AC2267">
        <v>459</v>
      </c>
      <c r="AD2267">
        <v>0</v>
      </c>
      <c r="AE2267">
        <v>62.67</v>
      </c>
      <c r="AF2267">
        <v>0</v>
      </c>
      <c r="AG2267">
        <v>0</v>
      </c>
      <c r="AH2267">
        <v>0</v>
      </c>
      <c r="AI2267">
        <v>93.9</v>
      </c>
      <c r="AJ2267">
        <v>521.66999999999996</v>
      </c>
      <c r="AK2267">
        <v>0</v>
      </c>
      <c r="AL2267" t="s">
        <v>53</v>
      </c>
      <c r="AM2267" t="s">
        <v>53</v>
      </c>
      <c r="AN2267" t="s">
        <v>545</v>
      </c>
      <c r="AO2267" t="s">
        <v>53</v>
      </c>
      <c r="AP2267" t="s">
        <v>53</v>
      </c>
    </row>
    <row r="2268" spans="2:42" x14ac:dyDescent="0.2">
      <c r="B2268" t="s">
        <v>44</v>
      </c>
      <c r="C2268" t="str">
        <f>HYPERLINK("https://us2.cloudbeds.com/connect/8493803454333002#/reservations/598545436821?display=E1F7C39N&amp;reservation_id=598545436821", "E1F7C39N")</f>
        <v>E1F7C39N</v>
      </c>
      <c r="D2268" t="s">
        <v>45</v>
      </c>
      <c r="E2268" t="s">
        <v>46</v>
      </c>
      <c r="F2268" t="s">
        <v>47</v>
      </c>
      <c r="G2268" t="s">
        <v>48</v>
      </c>
      <c r="H2268" t="s">
        <v>71</v>
      </c>
      <c r="I2268" t="s">
        <v>72</v>
      </c>
      <c r="J2268" t="s">
        <v>322</v>
      </c>
      <c r="K2268" t="s">
        <v>351</v>
      </c>
      <c r="L2268" t="s">
        <v>53</v>
      </c>
      <c r="N2268" t="s">
        <v>3629</v>
      </c>
      <c r="P2268" t="s">
        <v>55</v>
      </c>
      <c r="R2268" t="s">
        <v>56</v>
      </c>
      <c r="T2268" t="s">
        <v>3615</v>
      </c>
      <c r="U2268" t="s">
        <v>58</v>
      </c>
      <c r="V2268">
        <v>1</v>
      </c>
      <c r="W2268">
        <v>1</v>
      </c>
      <c r="X2268">
        <v>1</v>
      </c>
      <c r="Y2268">
        <v>0</v>
      </c>
      <c r="Z2268">
        <v>1</v>
      </c>
      <c r="AA2268">
        <v>0</v>
      </c>
      <c r="AB2268">
        <v>154.56</v>
      </c>
      <c r="AC2268">
        <v>136</v>
      </c>
      <c r="AD2268">
        <v>0</v>
      </c>
      <c r="AE2268">
        <v>18.559999999999999</v>
      </c>
      <c r="AF2268">
        <v>0</v>
      </c>
      <c r="AG2268">
        <v>0</v>
      </c>
      <c r="AH2268">
        <v>0</v>
      </c>
      <c r="AI2268">
        <v>0</v>
      </c>
      <c r="AJ2268">
        <v>154.56</v>
      </c>
      <c r="AK2268">
        <v>0</v>
      </c>
      <c r="AL2268" t="s">
        <v>53</v>
      </c>
      <c r="AM2268" t="s">
        <v>53</v>
      </c>
      <c r="AN2268" t="s">
        <v>3630</v>
      </c>
      <c r="AO2268" t="s">
        <v>53</v>
      </c>
      <c r="AP2268" t="s">
        <v>53</v>
      </c>
    </row>
    <row r="2269" spans="2:42" x14ac:dyDescent="0.2">
      <c r="B2269" t="s">
        <v>44</v>
      </c>
      <c r="C2269" t="str">
        <f>HYPERLINK("https://us2.cloudbeds.com/connect/8493803454333002#/reservations/579266715806?display=DJHK18SJ&amp;reservation_id=579266715806", "DJHK18SJ")</f>
        <v>DJHK18SJ</v>
      </c>
      <c r="D2269" t="s">
        <v>45</v>
      </c>
      <c r="E2269" t="s">
        <v>406</v>
      </c>
      <c r="F2269" t="s">
        <v>61</v>
      </c>
      <c r="G2269" t="s">
        <v>48</v>
      </c>
      <c r="H2269" t="s">
        <v>49</v>
      </c>
      <c r="I2269" t="s">
        <v>79</v>
      </c>
      <c r="J2269" t="s">
        <v>2643</v>
      </c>
      <c r="K2269" t="s">
        <v>1862</v>
      </c>
      <c r="L2269" t="s">
        <v>53</v>
      </c>
      <c r="N2269" t="s">
        <v>3631</v>
      </c>
      <c r="P2269" t="s">
        <v>55</v>
      </c>
      <c r="R2269" t="s">
        <v>56</v>
      </c>
      <c r="T2269" t="s">
        <v>3615</v>
      </c>
      <c r="U2269" t="s">
        <v>58</v>
      </c>
      <c r="V2269">
        <v>1</v>
      </c>
      <c r="W2269">
        <v>1</v>
      </c>
      <c r="X2269">
        <v>1</v>
      </c>
      <c r="Y2269">
        <v>0</v>
      </c>
      <c r="Z2269">
        <v>1</v>
      </c>
      <c r="AA2269">
        <v>0</v>
      </c>
      <c r="AB2269">
        <v>163.66</v>
      </c>
      <c r="AC2269">
        <v>144</v>
      </c>
      <c r="AD2269">
        <v>0</v>
      </c>
      <c r="AE2269">
        <v>19.66</v>
      </c>
      <c r="AF2269">
        <v>0</v>
      </c>
      <c r="AG2269">
        <v>0</v>
      </c>
      <c r="AH2269">
        <v>0</v>
      </c>
      <c r="AI2269">
        <v>0</v>
      </c>
      <c r="AJ2269">
        <v>163.66</v>
      </c>
      <c r="AK2269">
        <v>0</v>
      </c>
      <c r="AL2269" t="s">
        <v>53</v>
      </c>
      <c r="AM2269" t="s">
        <v>53</v>
      </c>
      <c r="AN2269" t="s">
        <v>59</v>
      </c>
      <c r="AO2269" t="s">
        <v>53</v>
      </c>
      <c r="AP2269" t="s">
        <v>53</v>
      </c>
    </row>
    <row r="2270" spans="2:42" x14ac:dyDescent="0.2">
      <c r="B2270" t="s">
        <v>44</v>
      </c>
      <c r="C2270" t="str">
        <f>HYPERLINK("https://us2.cloudbeds.com/connect/8493803454333002#/reservations/598517985460?display=E1EH77E9&amp;reservation_id=598517985460", "E1EH77E9")</f>
        <v>E1EH77E9</v>
      </c>
      <c r="D2270" t="s">
        <v>45</v>
      </c>
      <c r="E2270" t="s">
        <v>46</v>
      </c>
      <c r="F2270" t="s">
        <v>47</v>
      </c>
      <c r="G2270" t="s">
        <v>48</v>
      </c>
      <c r="H2270" t="s">
        <v>49</v>
      </c>
      <c r="I2270" t="s">
        <v>50</v>
      </c>
      <c r="J2270" t="s">
        <v>2102</v>
      </c>
      <c r="K2270" t="s">
        <v>988</v>
      </c>
      <c r="L2270" t="s">
        <v>53</v>
      </c>
      <c r="N2270" t="s">
        <v>3632</v>
      </c>
      <c r="P2270" t="s">
        <v>55</v>
      </c>
      <c r="R2270" t="s">
        <v>56</v>
      </c>
      <c r="T2270" t="s">
        <v>3615</v>
      </c>
      <c r="U2270" t="s">
        <v>58</v>
      </c>
      <c r="V2270">
        <v>1</v>
      </c>
      <c r="W2270">
        <v>1</v>
      </c>
      <c r="X2270">
        <v>1</v>
      </c>
      <c r="Y2270">
        <v>0</v>
      </c>
      <c r="Z2270">
        <v>1</v>
      </c>
      <c r="AA2270">
        <v>0</v>
      </c>
      <c r="AB2270">
        <v>176.16</v>
      </c>
      <c r="AC2270">
        <v>155</v>
      </c>
      <c r="AD2270">
        <v>0</v>
      </c>
      <c r="AE2270">
        <v>21.17</v>
      </c>
      <c r="AF2270">
        <v>0</v>
      </c>
      <c r="AG2270">
        <v>0</v>
      </c>
      <c r="AH2270">
        <v>0</v>
      </c>
      <c r="AI2270">
        <v>31.71</v>
      </c>
      <c r="AJ2270">
        <v>176.17</v>
      </c>
      <c r="AK2270">
        <v>0.01</v>
      </c>
      <c r="AL2270" t="s">
        <v>53</v>
      </c>
      <c r="AM2270" t="s">
        <v>53</v>
      </c>
      <c r="AN2270" t="s">
        <v>545</v>
      </c>
      <c r="AO2270" t="s">
        <v>53</v>
      </c>
      <c r="AP2270" t="s">
        <v>53</v>
      </c>
    </row>
    <row r="2271" spans="2:42" x14ac:dyDescent="0.2">
      <c r="B2271" t="s">
        <v>44</v>
      </c>
      <c r="C2271" t="str">
        <f>HYPERLINK("https://us2.cloudbeds.com/connect/8493803454333002#/reservations/579319681235?display=DJXVN3KH&amp;reservation_id=579319681235", "DJXVN3KH")</f>
        <v>DJXVN3KH</v>
      </c>
      <c r="D2271" t="s">
        <v>45</v>
      </c>
      <c r="E2271" t="s">
        <v>128</v>
      </c>
      <c r="F2271" t="s">
        <v>86</v>
      </c>
      <c r="G2271" t="s">
        <v>48</v>
      </c>
      <c r="H2271" t="s">
        <v>49</v>
      </c>
      <c r="I2271" t="s">
        <v>50</v>
      </c>
      <c r="J2271" t="s">
        <v>2163</v>
      </c>
      <c r="K2271" t="s">
        <v>1862</v>
      </c>
      <c r="L2271" t="s">
        <v>53</v>
      </c>
      <c r="N2271" t="s">
        <v>3633</v>
      </c>
      <c r="P2271" t="s">
        <v>55</v>
      </c>
      <c r="R2271" t="s">
        <v>56</v>
      </c>
      <c r="T2271" t="s">
        <v>3615</v>
      </c>
      <c r="U2271" t="s">
        <v>58</v>
      </c>
      <c r="V2271">
        <v>2</v>
      </c>
      <c r="W2271">
        <v>1</v>
      </c>
      <c r="X2271">
        <v>1</v>
      </c>
      <c r="Y2271">
        <v>0</v>
      </c>
      <c r="Z2271">
        <v>1</v>
      </c>
      <c r="AA2271">
        <v>0</v>
      </c>
      <c r="AB2271">
        <v>334.48</v>
      </c>
      <c r="AC2271">
        <v>294.3</v>
      </c>
      <c r="AD2271">
        <v>0</v>
      </c>
      <c r="AE2271">
        <v>40.18</v>
      </c>
      <c r="AF2271">
        <v>0</v>
      </c>
      <c r="AG2271">
        <v>0</v>
      </c>
      <c r="AH2271">
        <v>0</v>
      </c>
      <c r="AI2271">
        <v>60.21</v>
      </c>
      <c r="AJ2271">
        <v>334.48</v>
      </c>
      <c r="AK2271">
        <v>0</v>
      </c>
      <c r="AL2271" t="s">
        <v>53</v>
      </c>
      <c r="AM2271" t="s">
        <v>53</v>
      </c>
      <c r="AN2271" t="s">
        <v>59</v>
      </c>
      <c r="AO2271" t="s">
        <v>53</v>
      </c>
      <c r="AP2271" t="s">
        <v>53</v>
      </c>
    </row>
    <row r="2272" spans="2:42" x14ac:dyDescent="0.2">
      <c r="B2272" t="s">
        <v>44</v>
      </c>
      <c r="C2272" t="str">
        <f>HYPERLINK("https://us2.cloudbeds.com/connect/8493803454333002#/reservations/579194044573?display=DJFZP2Q0&amp;reservation_id=579194044573", "DJFZP2Q0")</f>
        <v>DJFZP2Q0</v>
      </c>
      <c r="D2272" t="s">
        <v>45</v>
      </c>
      <c r="E2272" t="s">
        <v>105</v>
      </c>
      <c r="F2272" t="s">
        <v>47</v>
      </c>
      <c r="G2272" t="s">
        <v>48</v>
      </c>
      <c r="H2272" t="s">
        <v>49</v>
      </c>
      <c r="I2272" t="s">
        <v>79</v>
      </c>
      <c r="J2272" t="s">
        <v>3043</v>
      </c>
      <c r="K2272" t="s">
        <v>2469</v>
      </c>
      <c r="L2272" t="s">
        <v>53</v>
      </c>
      <c r="N2272" t="s">
        <v>3634</v>
      </c>
      <c r="P2272" t="s">
        <v>55</v>
      </c>
      <c r="R2272" t="s">
        <v>56</v>
      </c>
      <c r="T2272" t="s">
        <v>3615</v>
      </c>
      <c r="U2272" t="s">
        <v>58</v>
      </c>
      <c r="V2272">
        <v>1</v>
      </c>
      <c r="W2272">
        <v>1</v>
      </c>
      <c r="X2272">
        <v>1</v>
      </c>
      <c r="Y2272">
        <v>0</v>
      </c>
      <c r="Z2272">
        <v>1</v>
      </c>
      <c r="AA2272">
        <v>0</v>
      </c>
      <c r="AB2272">
        <v>148.31</v>
      </c>
      <c r="AC2272">
        <v>130.5</v>
      </c>
      <c r="AD2272">
        <v>0</v>
      </c>
      <c r="AE2272">
        <v>17.809999999999999</v>
      </c>
      <c r="AF2272">
        <v>0</v>
      </c>
      <c r="AG2272">
        <v>0</v>
      </c>
      <c r="AH2272">
        <v>0</v>
      </c>
      <c r="AI2272">
        <v>0</v>
      </c>
      <c r="AJ2272">
        <v>148.31</v>
      </c>
      <c r="AK2272">
        <v>0</v>
      </c>
      <c r="AL2272" t="s">
        <v>53</v>
      </c>
      <c r="AM2272" t="s">
        <v>53</v>
      </c>
      <c r="AN2272" t="s">
        <v>413</v>
      </c>
      <c r="AO2272" t="s">
        <v>53</v>
      </c>
      <c r="AP2272" t="s">
        <v>53</v>
      </c>
    </row>
    <row r="2273" spans="2:42" x14ac:dyDescent="0.2">
      <c r="B2273" t="s">
        <v>44</v>
      </c>
      <c r="C2273" t="str">
        <f>HYPERLINK("https://us2.cloudbeds.com/connect/8493803454333002#/reservations/579330961621?display=DJJ8703F&amp;reservation_id=579330961621", "DJJ8703F")</f>
        <v>DJJ8703F</v>
      </c>
      <c r="D2273" t="s">
        <v>45</v>
      </c>
      <c r="E2273" t="s">
        <v>487</v>
      </c>
      <c r="F2273" t="s">
        <v>61</v>
      </c>
      <c r="G2273" t="s">
        <v>48</v>
      </c>
      <c r="H2273" t="s">
        <v>49</v>
      </c>
      <c r="I2273" t="s">
        <v>50</v>
      </c>
      <c r="J2273" t="s">
        <v>3514</v>
      </c>
      <c r="K2273" t="s">
        <v>1858</v>
      </c>
      <c r="L2273" t="s">
        <v>53</v>
      </c>
      <c r="N2273" t="s">
        <v>3635</v>
      </c>
      <c r="P2273" t="s">
        <v>55</v>
      </c>
      <c r="R2273" t="s">
        <v>56</v>
      </c>
      <c r="T2273" t="s">
        <v>3615</v>
      </c>
      <c r="U2273" t="s">
        <v>58</v>
      </c>
      <c r="V2273">
        <v>1</v>
      </c>
      <c r="W2273">
        <v>1</v>
      </c>
      <c r="X2273">
        <v>1</v>
      </c>
      <c r="Y2273">
        <v>0</v>
      </c>
      <c r="Z2273">
        <v>1</v>
      </c>
      <c r="AA2273">
        <v>0</v>
      </c>
      <c r="AB2273">
        <v>156.49</v>
      </c>
      <c r="AC2273">
        <v>137.69999999999999</v>
      </c>
      <c r="AD2273">
        <v>0</v>
      </c>
      <c r="AE2273">
        <v>18.79</v>
      </c>
      <c r="AF2273">
        <v>0</v>
      </c>
      <c r="AG2273">
        <v>0</v>
      </c>
      <c r="AH2273">
        <v>0</v>
      </c>
      <c r="AI2273">
        <v>28.17</v>
      </c>
      <c r="AJ2273">
        <v>156.49</v>
      </c>
      <c r="AK2273">
        <v>0</v>
      </c>
      <c r="AL2273" t="s">
        <v>53</v>
      </c>
      <c r="AM2273" t="s">
        <v>53</v>
      </c>
      <c r="AN2273" t="s">
        <v>280</v>
      </c>
      <c r="AO2273" t="s">
        <v>53</v>
      </c>
      <c r="AP2273" t="s">
        <v>53</v>
      </c>
    </row>
    <row r="2274" spans="2:42" x14ac:dyDescent="0.2">
      <c r="B2274" t="s">
        <v>44</v>
      </c>
      <c r="C2274" t="str">
        <f>HYPERLINK("https://us2.cloudbeds.com/connect/8493803454333002#/reservations/598424256675?display=E1C462P1&amp;reservation_id=598424256675", "E1C462P1")</f>
        <v>E1C462P1</v>
      </c>
      <c r="D2274" t="s">
        <v>45</v>
      </c>
      <c r="E2274" t="s">
        <v>185</v>
      </c>
      <c r="F2274" t="s">
        <v>47</v>
      </c>
      <c r="G2274" t="s">
        <v>48</v>
      </c>
      <c r="H2274" t="s">
        <v>49</v>
      </c>
      <c r="I2274" t="s">
        <v>79</v>
      </c>
      <c r="J2274" t="s">
        <v>446</v>
      </c>
      <c r="K2274" t="s">
        <v>1792</v>
      </c>
      <c r="L2274" t="s">
        <v>53</v>
      </c>
      <c r="N2274" t="s">
        <v>3636</v>
      </c>
      <c r="P2274" t="s">
        <v>55</v>
      </c>
      <c r="R2274" t="s">
        <v>56</v>
      </c>
      <c r="T2274" t="s">
        <v>3615</v>
      </c>
      <c r="U2274" t="s">
        <v>58</v>
      </c>
      <c r="V2274">
        <v>1</v>
      </c>
      <c r="W2274">
        <v>1</v>
      </c>
      <c r="X2274">
        <v>1</v>
      </c>
      <c r="Y2274">
        <v>0</v>
      </c>
      <c r="Z2274">
        <v>1</v>
      </c>
      <c r="AA2274">
        <v>0</v>
      </c>
      <c r="AB2274">
        <v>176.16</v>
      </c>
      <c r="AC2274">
        <v>155</v>
      </c>
      <c r="AD2274">
        <v>0</v>
      </c>
      <c r="AE2274">
        <v>21.17</v>
      </c>
      <c r="AF2274">
        <v>0</v>
      </c>
      <c r="AG2274">
        <v>0</v>
      </c>
      <c r="AH2274">
        <v>0</v>
      </c>
      <c r="AI2274">
        <v>0</v>
      </c>
      <c r="AJ2274">
        <v>176.17</v>
      </c>
      <c r="AK2274">
        <v>0.01</v>
      </c>
      <c r="AL2274" t="s">
        <v>53</v>
      </c>
      <c r="AM2274" t="s">
        <v>53</v>
      </c>
      <c r="AN2274" t="s">
        <v>413</v>
      </c>
      <c r="AO2274" t="s">
        <v>53</v>
      </c>
      <c r="AP2274" t="s">
        <v>53</v>
      </c>
    </row>
    <row r="2275" spans="2:42" x14ac:dyDescent="0.2">
      <c r="B2275" t="s">
        <v>44</v>
      </c>
      <c r="C2275" t="str">
        <f>HYPERLINK("https://us2.cloudbeds.com/connect/8493803454333002#/reservations/598541119685?display=E1F3NVWD&amp;reservation_id=598541119685", "E1F3NVWD")</f>
        <v>E1F3NVWD</v>
      </c>
      <c r="D2275" t="s">
        <v>45</v>
      </c>
      <c r="E2275" t="s">
        <v>105</v>
      </c>
      <c r="F2275" t="s">
        <v>47</v>
      </c>
      <c r="G2275" t="s">
        <v>48</v>
      </c>
      <c r="H2275" t="s">
        <v>49</v>
      </c>
      <c r="I2275" t="s">
        <v>79</v>
      </c>
      <c r="J2275" t="s">
        <v>1792</v>
      </c>
      <c r="K2275" t="s">
        <v>447</v>
      </c>
      <c r="L2275" t="s">
        <v>53</v>
      </c>
      <c r="N2275" t="s">
        <v>3637</v>
      </c>
      <c r="P2275" t="s">
        <v>55</v>
      </c>
      <c r="R2275" t="s">
        <v>56</v>
      </c>
      <c r="T2275" t="s">
        <v>3615</v>
      </c>
      <c r="U2275" t="s">
        <v>58</v>
      </c>
      <c r="V2275">
        <v>2</v>
      </c>
      <c r="W2275">
        <v>1</v>
      </c>
      <c r="X2275">
        <v>1</v>
      </c>
      <c r="Y2275">
        <v>0</v>
      </c>
      <c r="Z2275">
        <v>1</v>
      </c>
      <c r="AA2275">
        <v>0</v>
      </c>
      <c r="AB2275">
        <v>327.31</v>
      </c>
      <c r="AC2275">
        <v>288</v>
      </c>
      <c r="AD2275">
        <v>0</v>
      </c>
      <c r="AE2275">
        <v>39.32</v>
      </c>
      <c r="AF2275">
        <v>0</v>
      </c>
      <c r="AG2275">
        <v>0</v>
      </c>
      <c r="AH2275">
        <v>0</v>
      </c>
      <c r="AI2275">
        <v>0</v>
      </c>
      <c r="AJ2275">
        <v>327.32</v>
      </c>
      <c r="AK2275">
        <v>0.01</v>
      </c>
      <c r="AL2275" t="s">
        <v>53</v>
      </c>
      <c r="AM2275" t="s">
        <v>53</v>
      </c>
      <c r="AN2275" t="s">
        <v>97</v>
      </c>
      <c r="AO2275" t="s">
        <v>53</v>
      </c>
      <c r="AP2275" t="s">
        <v>53</v>
      </c>
    </row>
    <row r="2276" spans="2:42" x14ac:dyDescent="0.2">
      <c r="B2276" t="s">
        <v>44</v>
      </c>
      <c r="C2276" t="str">
        <f>HYPERLINK("https://us2.cloudbeds.com/connect/8493803454333002#/reservations/579330957538?display=DJJ86TBZ&amp;reservation_id=579330957538", "DJJ86TBZ")</f>
        <v>DJJ86TBZ</v>
      </c>
      <c r="D2276" t="s">
        <v>45</v>
      </c>
      <c r="E2276" t="s">
        <v>78</v>
      </c>
      <c r="F2276" t="s">
        <v>61</v>
      </c>
      <c r="G2276" t="s">
        <v>48</v>
      </c>
      <c r="H2276" t="s">
        <v>49</v>
      </c>
      <c r="I2276" t="s">
        <v>50</v>
      </c>
      <c r="J2276" t="s">
        <v>1665</v>
      </c>
      <c r="K2276" t="s">
        <v>1478</v>
      </c>
      <c r="L2276" t="s">
        <v>53</v>
      </c>
      <c r="N2276" t="s">
        <v>3638</v>
      </c>
      <c r="P2276" t="s">
        <v>55</v>
      </c>
      <c r="R2276" t="s">
        <v>56</v>
      </c>
      <c r="T2276" t="s">
        <v>3615</v>
      </c>
      <c r="U2276" t="s">
        <v>58</v>
      </c>
      <c r="V2276">
        <v>1</v>
      </c>
      <c r="W2276">
        <v>1</v>
      </c>
      <c r="X2276">
        <v>1</v>
      </c>
      <c r="Y2276">
        <v>0</v>
      </c>
      <c r="Z2276">
        <v>1</v>
      </c>
      <c r="AA2276">
        <v>0</v>
      </c>
      <c r="AB2276">
        <v>156.49</v>
      </c>
      <c r="AC2276">
        <v>137.69999999999999</v>
      </c>
      <c r="AD2276">
        <v>0</v>
      </c>
      <c r="AE2276">
        <v>18.79</v>
      </c>
      <c r="AF2276">
        <v>0</v>
      </c>
      <c r="AG2276">
        <v>0</v>
      </c>
      <c r="AH2276">
        <v>0</v>
      </c>
      <c r="AI2276">
        <v>28.17</v>
      </c>
      <c r="AJ2276">
        <v>156.49</v>
      </c>
      <c r="AK2276">
        <v>0</v>
      </c>
      <c r="AL2276" t="s">
        <v>53</v>
      </c>
      <c r="AM2276" t="s">
        <v>53</v>
      </c>
      <c r="AN2276" t="s">
        <v>280</v>
      </c>
      <c r="AO2276" t="s">
        <v>53</v>
      </c>
      <c r="AP2276" t="s">
        <v>53</v>
      </c>
    </row>
    <row r="2277" spans="2:42" x14ac:dyDescent="0.2">
      <c r="B2277" t="s">
        <v>44</v>
      </c>
      <c r="C2277" t="str">
        <f>HYPERLINK("https://us2.cloudbeds.com/connect/8493803454333002#/reservations/579252265089?display=DJH7S552&amp;reservation_id=579252265089", "DJH7S552")</f>
        <v>DJH7S552</v>
      </c>
      <c r="D2277" t="s">
        <v>45</v>
      </c>
      <c r="E2277" t="s">
        <v>185</v>
      </c>
      <c r="F2277" t="s">
        <v>47</v>
      </c>
      <c r="G2277" t="s">
        <v>48</v>
      </c>
      <c r="H2277" t="s">
        <v>49</v>
      </c>
      <c r="I2277" t="s">
        <v>50</v>
      </c>
      <c r="J2277" t="s">
        <v>1451</v>
      </c>
      <c r="K2277" t="s">
        <v>2162</v>
      </c>
      <c r="L2277" t="s">
        <v>53</v>
      </c>
      <c r="N2277" t="s">
        <v>3639</v>
      </c>
      <c r="P2277" t="s">
        <v>55</v>
      </c>
      <c r="R2277" t="s">
        <v>56</v>
      </c>
      <c r="T2277" t="s">
        <v>3615</v>
      </c>
      <c r="U2277" t="s">
        <v>58</v>
      </c>
      <c r="V2277">
        <v>2</v>
      </c>
      <c r="W2277">
        <v>1</v>
      </c>
      <c r="X2277">
        <v>1</v>
      </c>
      <c r="Y2277">
        <v>0</v>
      </c>
      <c r="Z2277">
        <v>1</v>
      </c>
      <c r="AA2277">
        <v>0</v>
      </c>
      <c r="AB2277">
        <v>296.62</v>
      </c>
      <c r="AC2277">
        <v>261</v>
      </c>
      <c r="AD2277">
        <v>0</v>
      </c>
      <c r="AE2277">
        <v>35.619999999999997</v>
      </c>
      <c r="AF2277">
        <v>0</v>
      </c>
      <c r="AG2277">
        <v>0</v>
      </c>
      <c r="AH2277">
        <v>0</v>
      </c>
      <c r="AI2277">
        <v>53.39</v>
      </c>
      <c r="AJ2277">
        <v>296.62</v>
      </c>
      <c r="AK2277">
        <v>0</v>
      </c>
      <c r="AL2277" t="s">
        <v>53</v>
      </c>
      <c r="AM2277" t="s">
        <v>53</v>
      </c>
      <c r="AN2277" t="s">
        <v>252</v>
      </c>
      <c r="AO2277" t="s">
        <v>53</v>
      </c>
      <c r="AP2277" t="s">
        <v>53</v>
      </c>
    </row>
    <row r="2278" spans="2:42" x14ac:dyDescent="0.2">
      <c r="B2278" t="s">
        <v>44</v>
      </c>
      <c r="C2278" t="str">
        <f>HYPERLINK("https://us2.cloudbeds.com/connect/8493803454333002#/reservations/579366654094?display=DJK5A6XX&amp;reservation_id=579366654094", "DJK5A6XX")</f>
        <v>DJK5A6XX</v>
      </c>
      <c r="D2278" t="s">
        <v>45</v>
      </c>
      <c r="E2278" t="s">
        <v>98</v>
      </c>
      <c r="F2278" t="s">
        <v>86</v>
      </c>
      <c r="G2278" t="s">
        <v>48</v>
      </c>
      <c r="H2278" t="s">
        <v>49</v>
      </c>
      <c r="I2278" t="s">
        <v>50</v>
      </c>
      <c r="J2278" t="s">
        <v>1336</v>
      </c>
      <c r="K2278" t="s">
        <v>2062</v>
      </c>
      <c r="L2278" t="s">
        <v>53</v>
      </c>
      <c r="N2278" t="s">
        <v>3640</v>
      </c>
      <c r="P2278" t="s">
        <v>55</v>
      </c>
      <c r="R2278" t="s">
        <v>56</v>
      </c>
      <c r="T2278" t="s">
        <v>3641</v>
      </c>
      <c r="U2278" t="s">
        <v>58</v>
      </c>
      <c r="V2278">
        <v>2</v>
      </c>
      <c r="W2278">
        <v>1</v>
      </c>
      <c r="X2278">
        <v>1</v>
      </c>
      <c r="Y2278">
        <v>0</v>
      </c>
      <c r="Z2278">
        <v>1</v>
      </c>
      <c r="AA2278">
        <v>0</v>
      </c>
      <c r="AB2278">
        <v>286.39999999999998</v>
      </c>
      <c r="AC2278">
        <v>252</v>
      </c>
      <c r="AD2278">
        <v>0</v>
      </c>
      <c r="AE2278">
        <v>34.4</v>
      </c>
      <c r="AF2278">
        <v>0</v>
      </c>
      <c r="AG2278">
        <v>0</v>
      </c>
      <c r="AH2278">
        <v>0</v>
      </c>
      <c r="AI2278">
        <v>51.55</v>
      </c>
      <c r="AJ2278">
        <v>286.39999999999998</v>
      </c>
      <c r="AK2278">
        <v>0</v>
      </c>
      <c r="AL2278" t="s">
        <v>53</v>
      </c>
      <c r="AM2278" t="s">
        <v>53</v>
      </c>
      <c r="AN2278" t="s">
        <v>252</v>
      </c>
      <c r="AO2278" t="s">
        <v>53</v>
      </c>
      <c r="AP2278" t="s">
        <v>53</v>
      </c>
    </row>
    <row r="2279" spans="2:42" x14ac:dyDescent="0.2">
      <c r="B2279" t="s">
        <v>44</v>
      </c>
      <c r="C2279" t="str">
        <f>HYPERLINK("https://us2.cloudbeds.com/connect/8493803454333002#/reservations/579270328517?display=DJHN2QAY&amp;reservation_id=579270328517", "DJHN2QAY")</f>
        <v>DJHN2QAY</v>
      </c>
      <c r="D2279" t="s">
        <v>45</v>
      </c>
      <c r="E2279" t="s">
        <v>85</v>
      </c>
      <c r="F2279" t="s">
        <v>86</v>
      </c>
      <c r="G2279" t="s">
        <v>48</v>
      </c>
      <c r="H2279" t="s">
        <v>49</v>
      </c>
      <c r="I2279" t="s">
        <v>50</v>
      </c>
      <c r="J2279" t="s">
        <v>1336</v>
      </c>
      <c r="K2279" t="s">
        <v>2062</v>
      </c>
      <c r="L2279" t="s">
        <v>53</v>
      </c>
      <c r="N2279" t="s">
        <v>3642</v>
      </c>
      <c r="P2279" t="s">
        <v>55</v>
      </c>
      <c r="R2279" t="s">
        <v>56</v>
      </c>
      <c r="T2279" t="s">
        <v>3641</v>
      </c>
      <c r="U2279" t="s">
        <v>58</v>
      </c>
      <c r="V2279">
        <v>2</v>
      </c>
      <c r="W2279">
        <v>1</v>
      </c>
      <c r="X2279">
        <v>1</v>
      </c>
      <c r="Y2279">
        <v>0</v>
      </c>
      <c r="Z2279">
        <v>1</v>
      </c>
      <c r="AA2279">
        <v>0</v>
      </c>
      <c r="AB2279">
        <v>318.22000000000003</v>
      </c>
      <c r="AC2279">
        <v>280</v>
      </c>
      <c r="AD2279">
        <v>0</v>
      </c>
      <c r="AE2279">
        <v>38.22</v>
      </c>
      <c r="AF2279">
        <v>0</v>
      </c>
      <c r="AG2279">
        <v>0</v>
      </c>
      <c r="AH2279">
        <v>0</v>
      </c>
      <c r="AI2279">
        <v>57.28</v>
      </c>
      <c r="AJ2279">
        <v>318.22000000000003</v>
      </c>
      <c r="AK2279">
        <v>0</v>
      </c>
      <c r="AL2279" t="s">
        <v>53</v>
      </c>
      <c r="AM2279" t="s">
        <v>53</v>
      </c>
      <c r="AN2279" t="s">
        <v>413</v>
      </c>
      <c r="AO2279" t="s">
        <v>53</v>
      </c>
      <c r="AP2279" t="s">
        <v>53</v>
      </c>
    </row>
    <row r="2280" spans="2:42" x14ac:dyDescent="0.2">
      <c r="B2280" t="s">
        <v>44</v>
      </c>
      <c r="C2280" t="str">
        <f>HYPERLINK("https://us2.cloudbeds.com/connect/8493803454333002#/reservations/598465908890?display=E1D6A3TD&amp;reservation_id=598465908890", "E1D6A3TD")</f>
        <v>E1D6A3TD</v>
      </c>
      <c r="D2280" t="s">
        <v>45</v>
      </c>
      <c r="E2280" t="s">
        <v>78</v>
      </c>
      <c r="F2280" t="s">
        <v>61</v>
      </c>
      <c r="G2280" t="s">
        <v>48</v>
      </c>
      <c r="H2280" t="s">
        <v>49</v>
      </c>
      <c r="I2280" t="s">
        <v>50</v>
      </c>
      <c r="J2280" t="s">
        <v>446</v>
      </c>
      <c r="K2280" t="s">
        <v>1792</v>
      </c>
      <c r="L2280" t="s">
        <v>53</v>
      </c>
      <c r="N2280" t="s">
        <v>3643</v>
      </c>
      <c r="P2280" t="s">
        <v>55</v>
      </c>
      <c r="R2280" t="s">
        <v>56</v>
      </c>
      <c r="T2280" t="s">
        <v>3641</v>
      </c>
      <c r="U2280" t="s">
        <v>58</v>
      </c>
      <c r="V2280">
        <v>1</v>
      </c>
      <c r="W2280">
        <v>1</v>
      </c>
      <c r="X2280">
        <v>1</v>
      </c>
      <c r="Y2280">
        <v>0</v>
      </c>
      <c r="Z2280">
        <v>1</v>
      </c>
      <c r="AA2280">
        <v>0</v>
      </c>
      <c r="AB2280">
        <v>173.88</v>
      </c>
      <c r="AC2280">
        <v>153</v>
      </c>
      <c r="AD2280">
        <v>0</v>
      </c>
      <c r="AE2280">
        <v>20.89</v>
      </c>
      <c r="AF2280">
        <v>0</v>
      </c>
      <c r="AG2280">
        <v>0</v>
      </c>
      <c r="AH2280">
        <v>0</v>
      </c>
      <c r="AI2280">
        <v>31.3</v>
      </c>
      <c r="AJ2280">
        <v>173.89</v>
      </c>
      <c r="AK2280">
        <v>0.01</v>
      </c>
      <c r="AL2280" t="s">
        <v>53</v>
      </c>
      <c r="AM2280" t="s">
        <v>53</v>
      </c>
      <c r="AN2280" t="s">
        <v>198</v>
      </c>
      <c r="AO2280" t="s">
        <v>53</v>
      </c>
      <c r="AP2280" t="s">
        <v>53</v>
      </c>
    </row>
    <row r="2281" spans="2:42" x14ac:dyDescent="0.2">
      <c r="B2281" t="s">
        <v>44</v>
      </c>
      <c r="C2281" t="str">
        <f>HYPERLINK("https://us2.cloudbeds.com/connect/8493803454333002#/reservations/579290202292?display=DJX6RQT9&amp;reservation_id=579290202292", "DJX6RQT9")</f>
        <v>DJX6RQT9</v>
      </c>
      <c r="D2281" t="s">
        <v>45</v>
      </c>
      <c r="E2281" t="s">
        <v>155</v>
      </c>
      <c r="F2281" t="s">
        <v>86</v>
      </c>
      <c r="G2281" t="s">
        <v>48</v>
      </c>
      <c r="H2281" t="s">
        <v>49</v>
      </c>
      <c r="I2281" t="s">
        <v>50</v>
      </c>
      <c r="J2281" t="s">
        <v>603</v>
      </c>
      <c r="K2281" t="s">
        <v>2022</v>
      </c>
      <c r="L2281" t="s">
        <v>53</v>
      </c>
      <c r="N2281" t="s">
        <v>3644</v>
      </c>
      <c r="P2281" t="s">
        <v>55</v>
      </c>
      <c r="R2281" t="s">
        <v>56</v>
      </c>
      <c r="T2281" t="s">
        <v>3641</v>
      </c>
      <c r="U2281" t="s">
        <v>58</v>
      </c>
      <c r="V2281">
        <v>3</v>
      </c>
      <c r="W2281">
        <v>1</v>
      </c>
      <c r="X2281">
        <v>1</v>
      </c>
      <c r="Y2281">
        <v>0</v>
      </c>
      <c r="Z2281">
        <v>1</v>
      </c>
      <c r="AA2281">
        <v>0</v>
      </c>
      <c r="AB2281">
        <v>525.75</v>
      </c>
      <c r="AC2281">
        <v>462.6</v>
      </c>
      <c r="AD2281">
        <v>0</v>
      </c>
      <c r="AE2281">
        <v>63.15</v>
      </c>
      <c r="AF2281">
        <v>0</v>
      </c>
      <c r="AG2281">
        <v>0</v>
      </c>
      <c r="AH2281">
        <v>0</v>
      </c>
      <c r="AI2281">
        <v>94.64</v>
      </c>
      <c r="AJ2281">
        <v>525.75</v>
      </c>
      <c r="AK2281">
        <v>0</v>
      </c>
      <c r="AL2281" t="s">
        <v>53</v>
      </c>
      <c r="AM2281" t="s">
        <v>53</v>
      </c>
      <c r="AN2281" t="s">
        <v>178</v>
      </c>
      <c r="AO2281" t="s">
        <v>53</v>
      </c>
      <c r="AP2281" t="s">
        <v>53</v>
      </c>
    </row>
    <row r="2282" spans="2:42" x14ac:dyDescent="0.2">
      <c r="B2282" t="s">
        <v>44</v>
      </c>
      <c r="C2282" t="str">
        <f>HYPERLINK("https://us2.cloudbeds.com/connect/8493803454333002#/reservations/598452392067?display=E1CRTWZN&amp;reservation_id=598452392067", "E1CRTWZN")</f>
        <v>E1CRTWZN</v>
      </c>
      <c r="D2282" t="s">
        <v>45</v>
      </c>
      <c r="E2282" t="s">
        <v>165</v>
      </c>
      <c r="F2282" t="s">
        <v>61</v>
      </c>
      <c r="G2282" t="s">
        <v>48</v>
      </c>
      <c r="H2282" t="s">
        <v>49</v>
      </c>
      <c r="I2282" t="s">
        <v>79</v>
      </c>
      <c r="J2282" t="s">
        <v>447</v>
      </c>
      <c r="K2282" t="s">
        <v>1439</v>
      </c>
      <c r="L2282" t="s">
        <v>53</v>
      </c>
      <c r="N2282" t="s">
        <v>3645</v>
      </c>
      <c r="P2282" t="s">
        <v>55</v>
      </c>
      <c r="R2282" t="s">
        <v>56</v>
      </c>
      <c r="T2282" t="s">
        <v>3641</v>
      </c>
      <c r="U2282" t="s">
        <v>58</v>
      </c>
      <c r="V2282">
        <v>3</v>
      </c>
      <c r="W2282">
        <v>1</v>
      </c>
      <c r="X2282">
        <v>1</v>
      </c>
      <c r="Y2282">
        <v>0</v>
      </c>
      <c r="Z2282">
        <v>1</v>
      </c>
      <c r="AA2282">
        <v>0</v>
      </c>
      <c r="AB2282">
        <v>506.31</v>
      </c>
      <c r="AC2282">
        <v>445.5</v>
      </c>
      <c r="AD2282">
        <v>0</v>
      </c>
      <c r="AE2282">
        <v>60.84</v>
      </c>
      <c r="AF2282">
        <v>0</v>
      </c>
      <c r="AG2282">
        <v>0</v>
      </c>
      <c r="AH2282">
        <v>0</v>
      </c>
      <c r="AI2282">
        <v>0</v>
      </c>
      <c r="AJ2282">
        <v>506.34</v>
      </c>
      <c r="AK2282">
        <v>0.03</v>
      </c>
      <c r="AL2282" t="s">
        <v>53</v>
      </c>
      <c r="AM2282" t="s">
        <v>53</v>
      </c>
      <c r="AN2282" t="s">
        <v>545</v>
      </c>
      <c r="AO2282" t="s">
        <v>53</v>
      </c>
      <c r="AP2282" t="s">
        <v>53</v>
      </c>
    </row>
    <row r="2283" spans="2:42" x14ac:dyDescent="0.2">
      <c r="B2283" t="s">
        <v>44</v>
      </c>
      <c r="C2283" t="str">
        <f>HYPERLINK("https://us2.cloudbeds.com/connect/8493803454333002#/reservations/598507872453?display=E1E8MQUH&amp;reservation_id=598507872453", "E1E8MQUH")</f>
        <v>E1E8MQUH</v>
      </c>
      <c r="D2283" t="s">
        <v>45</v>
      </c>
      <c r="E2283" t="s">
        <v>105</v>
      </c>
      <c r="F2283" t="s">
        <v>47</v>
      </c>
      <c r="G2283" t="s">
        <v>48</v>
      </c>
      <c r="H2283" t="s">
        <v>71</v>
      </c>
      <c r="I2283" t="s">
        <v>72</v>
      </c>
      <c r="J2283" t="s">
        <v>447</v>
      </c>
      <c r="K2283" t="s">
        <v>2102</v>
      </c>
      <c r="L2283" t="s">
        <v>53</v>
      </c>
      <c r="N2283" t="s">
        <v>3646</v>
      </c>
      <c r="P2283" t="s">
        <v>55</v>
      </c>
      <c r="R2283" t="s">
        <v>56</v>
      </c>
      <c r="T2283" t="s">
        <v>3641</v>
      </c>
      <c r="U2283" t="s">
        <v>58</v>
      </c>
      <c r="V2283">
        <v>1</v>
      </c>
      <c r="W2283">
        <v>1</v>
      </c>
      <c r="X2283">
        <v>1</v>
      </c>
      <c r="Y2283">
        <v>0</v>
      </c>
      <c r="Z2283">
        <v>1</v>
      </c>
      <c r="AA2283">
        <v>0</v>
      </c>
      <c r="AB2283">
        <v>171.61</v>
      </c>
      <c r="AC2283">
        <v>151</v>
      </c>
      <c r="AD2283">
        <v>0</v>
      </c>
      <c r="AE2283">
        <v>20.62</v>
      </c>
      <c r="AF2283">
        <v>0</v>
      </c>
      <c r="AG2283">
        <v>0</v>
      </c>
      <c r="AH2283">
        <v>0</v>
      </c>
      <c r="AI2283">
        <v>0</v>
      </c>
      <c r="AJ2283">
        <v>171.62</v>
      </c>
      <c r="AK2283">
        <v>0.01</v>
      </c>
      <c r="AL2283" t="s">
        <v>53</v>
      </c>
      <c r="AM2283" t="s">
        <v>53</v>
      </c>
      <c r="AN2283" t="s">
        <v>3647</v>
      </c>
      <c r="AO2283" t="s">
        <v>53</v>
      </c>
      <c r="AP2283" t="s">
        <v>53</v>
      </c>
    </row>
    <row r="2284" spans="2:42" x14ac:dyDescent="0.2">
      <c r="B2284" t="s">
        <v>44</v>
      </c>
      <c r="C2284" t="str">
        <f>HYPERLINK("https://us2.cloudbeds.com/connect/8493803454333002#/reservations/598531858605?display=E1ESU8PK&amp;reservation_id=598531858605", "E1ESU8PK")</f>
        <v>E1ESU8PK</v>
      </c>
      <c r="D2284" t="s">
        <v>45</v>
      </c>
      <c r="E2284" t="s">
        <v>98</v>
      </c>
      <c r="F2284" t="s">
        <v>86</v>
      </c>
      <c r="G2284" t="s">
        <v>48</v>
      </c>
      <c r="H2284" t="s">
        <v>71</v>
      </c>
      <c r="I2284" t="s">
        <v>72</v>
      </c>
      <c r="J2284" t="s">
        <v>1633</v>
      </c>
      <c r="K2284" t="s">
        <v>2102</v>
      </c>
      <c r="L2284" t="s">
        <v>53</v>
      </c>
      <c r="N2284" t="s">
        <v>3648</v>
      </c>
      <c r="P2284" t="s">
        <v>58</v>
      </c>
      <c r="R2284" t="s">
        <v>56</v>
      </c>
      <c r="T2284" t="s">
        <v>3641</v>
      </c>
      <c r="U2284" t="s">
        <v>58</v>
      </c>
      <c r="V2284">
        <v>2</v>
      </c>
      <c r="W2284">
        <v>1</v>
      </c>
      <c r="X2284">
        <v>1</v>
      </c>
      <c r="Y2284">
        <v>0</v>
      </c>
      <c r="Z2284">
        <v>1</v>
      </c>
      <c r="AA2284">
        <v>0</v>
      </c>
      <c r="AB2284">
        <v>372.77</v>
      </c>
      <c r="AC2284">
        <v>328</v>
      </c>
      <c r="AD2284">
        <v>0</v>
      </c>
      <c r="AE2284">
        <v>44.78</v>
      </c>
      <c r="AF2284">
        <v>0</v>
      </c>
      <c r="AG2284">
        <v>0</v>
      </c>
      <c r="AH2284">
        <v>0</v>
      </c>
      <c r="AI2284">
        <v>0</v>
      </c>
      <c r="AJ2284">
        <v>372.78</v>
      </c>
      <c r="AK2284">
        <v>0.01</v>
      </c>
      <c r="AL2284" t="s">
        <v>53</v>
      </c>
      <c r="AM2284" t="s">
        <v>53</v>
      </c>
      <c r="AN2284" t="s">
        <v>378</v>
      </c>
      <c r="AO2284" t="s">
        <v>53</v>
      </c>
      <c r="AP2284" t="s">
        <v>53</v>
      </c>
    </row>
    <row r="2285" spans="2:42" x14ac:dyDescent="0.2">
      <c r="B2285" t="s">
        <v>44</v>
      </c>
      <c r="C2285" t="str">
        <f>HYPERLINK("https://us2.cloudbeds.com/connect/8493803454333002#/reservations/598482759830?display=E1DKH0YV&amp;reservation_id=598482759830", "E1DKH0YV")</f>
        <v>E1DKH0YV</v>
      </c>
      <c r="D2285" t="s">
        <v>45</v>
      </c>
      <c r="E2285" t="s">
        <v>46</v>
      </c>
      <c r="F2285" t="s">
        <v>47</v>
      </c>
      <c r="G2285" t="s">
        <v>48</v>
      </c>
      <c r="H2285" t="s">
        <v>71</v>
      </c>
      <c r="I2285" t="s">
        <v>72</v>
      </c>
      <c r="J2285" t="s">
        <v>446</v>
      </c>
      <c r="K2285" t="s">
        <v>1792</v>
      </c>
      <c r="L2285" t="s">
        <v>53</v>
      </c>
      <c r="N2285" t="s">
        <v>3649</v>
      </c>
      <c r="P2285" t="s">
        <v>55</v>
      </c>
      <c r="R2285" t="s">
        <v>56</v>
      </c>
      <c r="T2285" t="s">
        <v>3641</v>
      </c>
      <c r="U2285" t="s">
        <v>58</v>
      </c>
      <c r="V2285">
        <v>1</v>
      </c>
      <c r="W2285">
        <v>1</v>
      </c>
      <c r="X2285">
        <v>1</v>
      </c>
      <c r="Y2285">
        <v>0</v>
      </c>
      <c r="Z2285">
        <v>1</v>
      </c>
      <c r="AA2285">
        <v>0</v>
      </c>
      <c r="AB2285">
        <v>180.7</v>
      </c>
      <c r="AC2285">
        <v>159</v>
      </c>
      <c r="AD2285">
        <v>0</v>
      </c>
      <c r="AE2285">
        <v>21.71</v>
      </c>
      <c r="AF2285">
        <v>0</v>
      </c>
      <c r="AG2285">
        <v>0</v>
      </c>
      <c r="AH2285">
        <v>0</v>
      </c>
      <c r="AI2285">
        <v>0</v>
      </c>
      <c r="AJ2285">
        <v>180.71</v>
      </c>
      <c r="AK2285">
        <v>0.01</v>
      </c>
      <c r="AL2285" t="s">
        <v>53</v>
      </c>
      <c r="AM2285" t="s">
        <v>53</v>
      </c>
      <c r="AN2285" t="s">
        <v>378</v>
      </c>
      <c r="AO2285" t="s">
        <v>53</v>
      </c>
      <c r="AP2285" t="s">
        <v>53</v>
      </c>
    </row>
    <row r="2286" spans="2:42" x14ac:dyDescent="0.2">
      <c r="B2286" t="s">
        <v>44</v>
      </c>
      <c r="C2286" t="str">
        <f>HYPERLINK("https://us2.cloudbeds.com/connect/8493803454333002#/reservations/598242017481?display=E17FH0A8&amp;reservation_id=598242017481", "E17FH0A8")</f>
        <v>E17FH0A8</v>
      </c>
      <c r="D2286" t="s">
        <v>45</v>
      </c>
      <c r="E2286" t="s">
        <v>185</v>
      </c>
      <c r="F2286" t="s">
        <v>47</v>
      </c>
      <c r="G2286" t="s">
        <v>48</v>
      </c>
      <c r="H2286" t="s">
        <v>49</v>
      </c>
      <c r="I2286" t="s">
        <v>50</v>
      </c>
      <c r="J2286" t="s">
        <v>1633</v>
      </c>
      <c r="K2286" t="s">
        <v>447</v>
      </c>
      <c r="L2286" t="s">
        <v>53</v>
      </c>
      <c r="N2286" t="s">
        <v>3650</v>
      </c>
      <c r="P2286" t="s">
        <v>55</v>
      </c>
      <c r="R2286" t="s">
        <v>56</v>
      </c>
      <c r="T2286" t="s">
        <v>3641</v>
      </c>
      <c r="U2286" t="s">
        <v>58</v>
      </c>
      <c r="V2286">
        <v>1</v>
      </c>
      <c r="W2286">
        <v>1</v>
      </c>
      <c r="X2286">
        <v>1</v>
      </c>
      <c r="Y2286">
        <v>0</v>
      </c>
      <c r="Z2286">
        <v>1</v>
      </c>
      <c r="AA2286">
        <v>0</v>
      </c>
      <c r="AB2286">
        <v>163.66</v>
      </c>
      <c r="AC2286">
        <v>144</v>
      </c>
      <c r="AD2286">
        <v>0</v>
      </c>
      <c r="AE2286">
        <v>19.66</v>
      </c>
      <c r="AF2286">
        <v>0</v>
      </c>
      <c r="AG2286">
        <v>0</v>
      </c>
      <c r="AH2286">
        <v>0</v>
      </c>
      <c r="AI2286">
        <v>29.46</v>
      </c>
      <c r="AJ2286">
        <v>163.66</v>
      </c>
      <c r="AK2286">
        <v>0</v>
      </c>
      <c r="AL2286" t="s">
        <v>53</v>
      </c>
      <c r="AM2286" t="s">
        <v>53</v>
      </c>
      <c r="AN2286" t="s">
        <v>413</v>
      </c>
      <c r="AO2286" t="s">
        <v>53</v>
      </c>
      <c r="AP2286" t="s">
        <v>53</v>
      </c>
    </row>
    <row r="2287" spans="2:42" x14ac:dyDescent="0.2">
      <c r="B2287" t="s">
        <v>44</v>
      </c>
      <c r="C2287" t="str">
        <f>HYPERLINK("https://us2.cloudbeds.com/connect/8493803454333002#/reservations/579317313685?display=DJXTN7XK&amp;reservation_id=579317313685", "DJXTN7XK")</f>
        <v>DJXTN7XK</v>
      </c>
      <c r="D2287" t="s">
        <v>45</v>
      </c>
      <c r="E2287" t="s">
        <v>46</v>
      </c>
      <c r="F2287" t="s">
        <v>47</v>
      </c>
      <c r="G2287" t="s">
        <v>48</v>
      </c>
      <c r="H2287" t="s">
        <v>49</v>
      </c>
      <c r="I2287" t="s">
        <v>50</v>
      </c>
      <c r="J2287" t="s">
        <v>1367</v>
      </c>
      <c r="K2287" t="s">
        <v>1985</v>
      </c>
      <c r="L2287" t="s">
        <v>53</v>
      </c>
      <c r="N2287" t="s">
        <v>3651</v>
      </c>
      <c r="P2287" t="s">
        <v>55</v>
      </c>
      <c r="R2287" t="s">
        <v>56</v>
      </c>
      <c r="T2287" t="s">
        <v>3641</v>
      </c>
      <c r="U2287" t="s">
        <v>58</v>
      </c>
      <c r="V2287">
        <v>1</v>
      </c>
      <c r="W2287">
        <v>1</v>
      </c>
      <c r="X2287">
        <v>1</v>
      </c>
      <c r="Y2287">
        <v>0</v>
      </c>
      <c r="Z2287">
        <v>1</v>
      </c>
      <c r="AA2287">
        <v>0</v>
      </c>
      <c r="AB2287">
        <v>161.61000000000001</v>
      </c>
      <c r="AC2287">
        <v>142.19999999999999</v>
      </c>
      <c r="AD2287">
        <v>0</v>
      </c>
      <c r="AE2287">
        <v>19.41</v>
      </c>
      <c r="AF2287">
        <v>0</v>
      </c>
      <c r="AG2287">
        <v>0</v>
      </c>
      <c r="AH2287">
        <v>0</v>
      </c>
      <c r="AI2287">
        <v>29.09</v>
      </c>
      <c r="AJ2287">
        <v>161.61000000000001</v>
      </c>
      <c r="AK2287">
        <v>0</v>
      </c>
      <c r="AL2287" t="s">
        <v>53</v>
      </c>
      <c r="AM2287" t="s">
        <v>53</v>
      </c>
      <c r="AN2287" t="s">
        <v>127</v>
      </c>
      <c r="AO2287" t="s">
        <v>53</v>
      </c>
      <c r="AP2287" t="s">
        <v>53</v>
      </c>
    </row>
    <row r="2288" spans="2:42" x14ac:dyDescent="0.2">
      <c r="B2288" t="s">
        <v>44</v>
      </c>
      <c r="C2288" t="str">
        <f>HYPERLINK("https://us2.cloudbeds.com/connect/8493803454333002#/reservations/598604992705?display=E1GZJ768&amp;reservation_id=598604992705", "E1GZJ768")</f>
        <v>E1GZJ768</v>
      </c>
      <c r="D2288" t="s">
        <v>45</v>
      </c>
      <c r="E2288" t="s">
        <v>265</v>
      </c>
      <c r="F2288" t="s">
        <v>61</v>
      </c>
      <c r="G2288" t="s">
        <v>48</v>
      </c>
      <c r="H2288" t="s">
        <v>49</v>
      </c>
      <c r="I2288" t="s">
        <v>79</v>
      </c>
      <c r="J2288" t="s">
        <v>446</v>
      </c>
      <c r="K2288" t="s">
        <v>1792</v>
      </c>
      <c r="L2288" t="s">
        <v>53</v>
      </c>
      <c r="N2288" t="s">
        <v>3652</v>
      </c>
      <c r="P2288" t="s">
        <v>55</v>
      </c>
      <c r="R2288" t="s">
        <v>56</v>
      </c>
      <c r="T2288" t="s">
        <v>3641</v>
      </c>
      <c r="U2288" t="s">
        <v>58</v>
      </c>
      <c r="V2288">
        <v>1</v>
      </c>
      <c r="W2288">
        <v>1</v>
      </c>
      <c r="X2288">
        <v>1</v>
      </c>
      <c r="Y2288">
        <v>0</v>
      </c>
      <c r="Z2288">
        <v>1</v>
      </c>
      <c r="AA2288">
        <v>0</v>
      </c>
      <c r="AB2288">
        <v>179</v>
      </c>
      <c r="AC2288">
        <v>157.5</v>
      </c>
      <c r="AD2288">
        <v>0</v>
      </c>
      <c r="AE2288">
        <v>21.5</v>
      </c>
      <c r="AF2288">
        <v>0</v>
      </c>
      <c r="AG2288">
        <v>0</v>
      </c>
      <c r="AH2288">
        <v>0</v>
      </c>
      <c r="AI2288">
        <v>0</v>
      </c>
      <c r="AJ2288">
        <v>179</v>
      </c>
      <c r="AK2288">
        <v>0</v>
      </c>
      <c r="AL2288" t="s">
        <v>53</v>
      </c>
      <c r="AM2288" t="s">
        <v>53</v>
      </c>
      <c r="AN2288" t="s">
        <v>146</v>
      </c>
      <c r="AO2288" t="s">
        <v>53</v>
      </c>
      <c r="AP2288" t="s">
        <v>53</v>
      </c>
    </row>
    <row r="2289" spans="2:42" x14ac:dyDescent="0.2">
      <c r="B2289" t="s">
        <v>44</v>
      </c>
      <c r="C2289" t="str">
        <f>HYPERLINK("https://us2.cloudbeds.com/connect/8493803454333002#/reservations/598273339530?display=E188UJH8&amp;reservation_id=598273339530", "E188UJH8")</f>
        <v>E188UJH8</v>
      </c>
      <c r="D2289" t="s">
        <v>45</v>
      </c>
      <c r="E2289" t="s">
        <v>113</v>
      </c>
      <c r="F2289" t="s">
        <v>61</v>
      </c>
      <c r="G2289" t="s">
        <v>48</v>
      </c>
      <c r="H2289" t="s">
        <v>49</v>
      </c>
      <c r="I2289" t="s">
        <v>50</v>
      </c>
      <c r="J2289" t="s">
        <v>446</v>
      </c>
      <c r="K2289" t="s">
        <v>1792</v>
      </c>
      <c r="L2289" t="s">
        <v>53</v>
      </c>
      <c r="N2289" t="s">
        <v>3653</v>
      </c>
      <c r="P2289" t="s">
        <v>55</v>
      </c>
      <c r="R2289" t="s">
        <v>56</v>
      </c>
      <c r="T2289" t="s">
        <v>3641</v>
      </c>
      <c r="U2289" t="s">
        <v>58</v>
      </c>
      <c r="V2289">
        <v>1</v>
      </c>
      <c r="W2289">
        <v>1</v>
      </c>
      <c r="X2289">
        <v>1</v>
      </c>
      <c r="Y2289">
        <v>0</v>
      </c>
      <c r="Z2289">
        <v>1</v>
      </c>
      <c r="AA2289">
        <v>0</v>
      </c>
      <c r="AB2289">
        <v>173.88</v>
      </c>
      <c r="AC2289">
        <v>153</v>
      </c>
      <c r="AD2289">
        <v>0</v>
      </c>
      <c r="AE2289">
        <v>20.89</v>
      </c>
      <c r="AF2289">
        <v>0</v>
      </c>
      <c r="AG2289">
        <v>0</v>
      </c>
      <c r="AH2289">
        <v>0</v>
      </c>
      <c r="AI2289">
        <v>31.3</v>
      </c>
      <c r="AJ2289">
        <v>173.89</v>
      </c>
      <c r="AK2289">
        <v>0.01</v>
      </c>
      <c r="AL2289" t="s">
        <v>53</v>
      </c>
      <c r="AM2289" t="s">
        <v>53</v>
      </c>
      <c r="AN2289" t="s">
        <v>132</v>
      </c>
      <c r="AO2289" t="s">
        <v>53</v>
      </c>
      <c r="AP2289" t="s">
        <v>53</v>
      </c>
    </row>
    <row r="2290" spans="2:42" x14ac:dyDescent="0.2">
      <c r="B2290" t="s">
        <v>44</v>
      </c>
      <c r="C2290" t="str">
        <f>HYPERLINK("https://us2.cloudbeds.com/connect/8493803454333002#/reservations/598584717516?display=E1G7G4NQ&amp;reservation_id=598584717516", "E1G7G4NQ")</f>
        <v>E1G7G4NQ</v>
      </c>
      <c r="D2290" t="s">
        <v>45</v>
      </c>
      <c r="E2290" t="s">
        <v>165</v>
      </c>
      <c r="F2290" t="s">
        <v>61</v>
      </c>
      <c r="G2290" t="s">
        <v>48</v>
      </c>
      <c r="H2290" t="s">
        <v>49</v>
      </c>
      <c r="I2290" t="s">
        <v>79</v>
      </c>
      <c r="J2290" t="s">
        <v>1633</v>
      </c>
      <c r="K2290" t="s">
        <v>447</v>
      </c>
      <c r="L2290" t="s">
        <v>53</v>
      </c>
      <c r="N2290" t="s">
        <v>3654</v>
      </c>
      <c r="P2290" t="s">
        <v>55</v>
      </c>
      <c r="R2290" t="s">
        <v>56</v>
      </c>
      <c r="T2290" t="s">
        <v>3655</v>
      </c>
      <c r="U2290" t="s">
        <v>58</v>
      </c>
      <c r="V2290">
        <v>1</v>
      </c>
      <c r="W2290">
        <v>1</v>
      </c>
      <c r="X2290">
        <v>1</v>
      </c>
      <c r="Y2290">
        <v>0</v>
      </c>
      <c r="Z2290">
        <v>1</v>
      </c>
      <c r="AA2290">
        <v>0</v>
      </c>
      <c r="AB2290">
        <v>177.98</v>
      </c>
      <c r="AC2290">
        <v>156.6</v>
      </c>
      <c r="AD2290">
        <v>0</v>
      </c>
      <c r="AE2290">
        <v>21.37</v>
      </c>
      <c r="AF2290">
        <v>0</v>
      </c>
      <c r="AG2290">
        <v>0</v>
      </c>
      <c r="AH2290">
        <v>0</v>
      </c>
      <c r="AI2290">
        <v>0</v>
      </c>
      <c r="AJ2290">
        <v>177.97</v>
      </c>
      <c r="AK2290">
        <v>-0.01</v>
      </c>
      <c r="AL2290" t="s">
        <v>53</v>
      </c>
      <c r="AM2290" t="s">
        <v>53</v>
      </c>
      <c r="AN2290" t="s">
        <v>91</v>
      </c>
      <c r="AO2290" t="s">
        <v>53</v>
      </c>
      <c r="AP2290" t="s">
        <v>53</v>
      </c>
    </row>
    <row r="2291" spans="2:42" x14ac:dyDescent="0.2">
      <c r="B2291" t="s">
        <v>44</v>
      </c>
      <c r="C2291" t="str">
        <f>HYPERLINK("https://us2.cloudbeds.com/connect/8493803454333002#/reservations/579298644167?display=DJXDVNRM&amp;reservation_id=579298644167", "DJXDVNRM")</f>
        <v>DJXDVNRM</v>
      </c>
      <c r="D2291" t="s">
        <v>45</v>
      </c>
      <c r="E2291" t="s">
        <v>105</v>
      </c>
      <c r="F2291" t="s">
        <v>47</v>
      </c>
      <c r="G2291" t="s">
        <v>48</v>
      </c>
      <c r="H2291" t="s">
        <v>49</v>
      </c>
      <c r="I2291" t="s">
        <v>79</v>
      </c>
      <c r="J2291" t="s">
        <v>1477</v>
      </c>
      <c r="K2291" t="s">
        <v>1478</v>
      </c>
      <c r="L2291" t="s">
        <v>53</v>
      </c>
      <c r="N2291" t="s">
        <v>3656</v>
      </c>
      <c r="P2291" t="s">
        <v>55</v>
      </c>
      <c r="R2291" t="s">
        <v>56</v>
      </c>
      <c r="T2291" t="s">
        <v>3655</v>
      </c>
      <c r="U2291" t="s">
        <v>58</v>
      </c>
      <c r="V2291">
        <v>3</v>
      </c>
      <c r="W2291">
        <v>1</v>
      </c>
      <c r="X2291">
        <v>1</v>
      </c>
      <c r="Y2291">
        <v>0</v>
      </c>
      <c r="Z2291">
        <v>1</v>
      </c>
      <c r="AA2291">
        <v>0</v>
      </c>
      <c r="AB2291">
        <v>472.56</v>
      </c>
      <c r="AC2291">
        <v>415.8</v>
      </c>
      <c r="AD2291">
        <v>0</v>
      </c>
      <c r="AE2291">
        <v>56.76</v>
      </c>
      <c r="AF2291">
        <v>0</v>
      </c>
      <c r="AG2291">
        <v>0</v>
      </c>
      <c r="AH2291">
        <v>0</v>
      </c>
      <c r="AI2291">
        <v>0</v>
      </c>
      <c r="AJ2291">
        <v>472.56</v>
      </c>
      <c r="AK2291">
        <v>0</v>
      </c>
      <c r="AL2291" t="s">
        <v>53</v>
      </c>
      <c r="AM2291" t="s">
        <v>53</v>
      </c>
      <c r="AN2291" t="s">
        <v>252</v>
      </c>
      <c r="AO2291" t="s">
        <v>53</v>
      </c>
      <c r="AP2291" t="s">
        <v>53</v>
      </c>
    </row>
    <row r="2292" spans="2:42" x14ac:dyDescent="0.2">
      <c r="B2292" t="s">
        <v>44</v>
      </c>
      <c r="C2292" t="str">
        <f>HYPERLINK("https://us2.cloudbeds.com/connect/8493803454333002#/reservations/598591897756?display=E1GDHV4R&amp;reservation_id=598591897756", "E1GDHV4R")</f>
        <v>E1GDHV4R</v>
      </c>
      <c r="D2292" t="s">
        <v>45</v>
      </c>
      <c r="E2292" t="s">
        <v>113</v>
      </c>
      <c r="F2292" t="s">
        <v>61</v>
      </c>
      <c r="G2292" t="s">
        <v>48</v>
      </c>
      <c r="H2292" t="s">
        <v>49</v>
      </c>
      <c r="I2292" t="s">
        <v>79</v>
      </c>
      <c r="J2292" t="s">
        <v>1439</v>
      </c>
      <c r="K2292" t="s">
        <v>351</v>
      </c>
      <c r="L2292" t="s">
        <v>53</v>
      </c>
      <c r="N2292" t="s">
        <v>3657</v>
      </c>
      <c r="P2292" t="s">
        <v>55</v>
      </c>
      <c r="R2292" t="s">
        <v>56</v>
      </c>
      <c r="T2292" t="s">
        <v>3658</v>
      </c>
      <c r="U2292" t="s">
        <v>58</v>
      </c>
      <c r="V2292">
        <v>2</v>
      </c>
      <c r="W2292">
        <v>1</v>
      </c>
      <c r="X2292">
        <v>1</v>
      </c>
      <c r="Y2292">
        <v>0</v>
      </c>
      <c r="Z2292">
        <v>1</v>
      </c>
      <c r="AA2292">
        <v>0</v>
      </c>
      <c r="AB2292">
        <v>317.08</v>
      </c>
      <c r="AC2292">
        <v>279</v>
      </c>
      <c r="AD2292">
        <v>0</v>
      </c>
      <c r="AE2292">
        <v>38.08</v>
      </c>
      <c r="AF2292">
        <v>0</v>
      </c>
      <c r="AG2292">
        <v>0</v>
      </c>
      <c r="AH2292">
        <v>0</v>
      </c>
      <c r="AI2292">
        <v>0</v>
      </c>
      <c r="AJ2292">
        <v>317.08</v>
      </c>
      <c r="AK2292">
        <v>0</v>
      </c>
      <c r="AL2292" t="s">
        <v>53</v>
      </c>
      <c r="AM2292" t="s">
        <v>53</v>
      </c>
      <c r="AN2292" t="s">
        <v>91</v>
      </c>
      <c r="AO2292" t="s">
        <v>53</v>
      </c>
      <c r="AP2292" t="s">
        <v>53</v>
      </c>
    </row>
    <row r="2293" spans="2:42" x14ac:dyDescent="0.2">
      <c r="B2293" t="s">
        <v>44</v>
      </c>
      <c r="C2293" t="str">
        <f>HYPERLINK("https://us2.cloudbeds.com/connect/8493803454333002#/reservations/579191029910?display=DJFM76GJ&amp;reservation_id=579191029910", "DJFM76GJ")</f>
        <v>DJFM76GJ</v>
      </c>
      <c r="D2293" t="s">
        <v>45</v>
      </c>
      <c r="E2293" t="s">
        <v>305</v>
      </c>
      <c r="F2293" t="s">
        <v>61</v>
      </c>
      <c r="G2293" t="s">
        <v>48</v>
      </c>
      <c r="H2293" t="s">
        <v>71</v>
      </c>
      <c r="I2293" t="s">
        <v>72</v>
      </c>
      <c r="J2293" t="s">
        <v>1900</v>
      </c>
      <c r="K2293" t="s">
        <v>1296</v>
      </c>
      <c r="L2293" t="s">
        <v>53</v>
      </c>
      <c r="N2293" t="s">
        <v>3659</v>
      </c>
      <c r="P2293" t="s">
        <v>55</v>
      </c>
      <c r="R2293" t="s">
        <v>56</v>
      </c>
      <c r="T2293" t="s">
        <v>3658</v>
      </c>
      <c r="U2293" t="s">
        <v>58</v>
      </c>
      <c r="V2293">
        <v>1</v>
      </c>
      <c r="W2293">
        <v>1</v>
      </c>
      <c r="X2293">
        <v>1</v>
      </c>
      <c r="Y2293">
        <v>0</v>
      </c>
      <c r="Z2293">
        <v>1</v>
      </c>
      <c r="AA2293">
        <v>0</v>
      </c>
      <c r="AB2293">
        <v>182.98</v>
      </c>
      <c r="AC2293">
        <v>161</v>
      </c>
      <c r="AD2293">
        <v>0</v>
      </c>
      <c r="AE2293">
        <v>21.98</v>
      </c>
      <c r="AF2293">
        <v>0</v>
      </c>
      <c r="AG2293">
        <v>0</v>
      </c>
      <c r="AH2293">
        <v>0</v>
      </c>
      <c r="AI2293">
        <v>0</v>
      </c>
      <c r="AJ2293">
        <v>182.98</v>
      </c>
      <c r="AK2293">
        <v>0</v>
      </c>
      <c r="AL2293" t="s">
        <v>53</v>
      </c>
      <c r="AM2293" t="s">
        <v>53</v>
      </c>
      <c r="AN2293" t="s">
        <v>3660</v>
      </c>
      <c r="AO2293" t="s">
        <v>53</v>
      </c>
      <c r="AP2293" t="s">
        <v>53</v>
      </c>
    </row>
    <row r="2294" spans="2:42" x14ac:dyDescent="0.2">
      <c r="B2294" t="s">
        <v>44</v>
      </c>
      <c r="C2294" t="str">
        <f>HYPERLINK("https://us2.cloudbeds.com/connect/8493803454333002#/reservations/579238469776?display=DJGT7999&amp;reservation_id=579238469776", "DJGT7999")</f>
        <v>DJGT7999</v>
      </c>
      <c r="D2294" t="s">
        <v>45</v>
      </c>
      <c r="E2294" t="s">
        <v>223</v>
      </c>
      <c r="F2294" t="s">
        <v>47</v>
      </c>
      <c r="G2294" t="s">
        <v>48</v>
      </c>
      <c r="H2294" t="s">
        <v>71</v>
      </c>
      <c r="I2294" t="s">
        <v>72</v>
      </c>
      <c r="J2294" t="s">
        <v>603</v>
      </c>
      <c r="K2294" t="s">
        <v>1367</v>
      </c>
      <c r="L2294" t="s">
        <v>53</v>
      </c>
      <c r="N2294" t="s">
        <v>3661</v>
      </c>
      <c r="P2294" t="s">
        <v>58</v>
      </c>
      <c r="R2294" t="s">
        <v>56</v>
      </c>
      <c r="T2294" t="s">
        <v>3658</v>
      </c>
      <c r="U2294" t="s">
        <v>58</v>
      </c>
      <c r="V2294">
        <v>1</v>
      </c>
      <c r="W2294">
        <v>1</v>
      </c>
      <c r="X2294">
        <v>1</v>
      </c>
      <c r="Y2294">
        <v>0</v>
      </c>
      <c r="Z2294">
        <v>1</v>
      </c>
      <c r="AA2294">
        <v>0</v>
      </c>
      <c r="AB2294">
        <v>125.02</v>
      </c>
      <c r="AC2294">
        <v>110</v>
      </c>
      <c r="AD2294">
        <v>0</v>
      </c>
      <c r="AE2294">
        <v>15.02</v>
      </c>
      <c r="AF2294">
        <v>0</v>
      </c>
      <c r="AG2294">
        <v>0</v>
      </c>
      <c r="AH2294">
        <v>0</v>
      </c>
      <c r="AI2294">
        <v>0</v>
      </c>
      <c r="AJ2294">
        <v>125.02</v>
      </c>
      <c r="AK2294">
        <v>0</v>
      </c>
      <c r="AL2294" t="s">
        <v>53</v>
      </c>
      <c r="AM2294" t="s">
        <v>53</v>
      </c>
      <c r="AN2294" t="s">
        <v>3662</v>
      </c>
      <c r="AO2294" t="s">
        <v>53</v>
      </c>
      <c r="AP2294" t="s">
        <v>53</v>
      </c>
    </row>
    <row r="2295" spans="2:42" x14ac:dyDescent="0.2">
      <c r="B2295" t="s">
        <v>44</v>
      </c>
      <c r="C2295" t="str">
        <f>HYPERLINK("https://us2.cloudbeds.com/connect/8493803454333002#/reservations/579153535182?display=DJENJS2N&amp;reservation_id=579153535182", "DJENJS2N")</f>
        <v>DJENJS2N</v>
      </c>
      <c r="D2295" t="s">
        <v>45</v>
      </c>
      <c r="E2295" t="s">
        <v>92</v>
      </c>
      <c r="F2295" t="s">
        <v>86</v>
      </c>
      <c r="G2295" t="s">
        <v>48</v>
      </c>
      <c r="H2295" t="s">
        <v>49</v>
      </c>
      <c r="I2295" t="s">
        <v>50</v>
      </c>
      <c r="J2295" t="s">
        <v>1296</v>
      </c>
      <c r="K2295" t="s">
        <v>1660</v>
      </c>
      <c r="L2295" t="s">
        <v>53</v>
      </c>
      <c r="N2295" t="s">
        <v>3663</v>
      </c>
      <c r="P2295" t="s">
        <v>55</v>
      </c>
      <c r="R2295" t="s">
        <v>56</v>
      </c>
      <c r="T2295" t="s">
        <v>3658</v>
      </c>
      <c r="U2295" t="s">
        <v>58</v>
      </c>
      <c r="V2295">
        <v>1</v>
      </c>
      <c r="W2295">
        <v>1</v>
      </c>
      <c r="X2295">
        <v>1</v>
      </c>
      <c r="Y2295">
        <v>0</v>
      </c>
      <c r="Z2295">
        <v>1</v>
      </c>
      <c r="AA2295">
        <v>0</v>
      </c>
      <c r="AB2295">
        <v>176.95</v>
      </c>
      <c r="AC2295">
        <v>155.69999999999999</v>
      </c>
      <c r="AD2295">
        <v>0</v>
      </c>
      <c r="AE2295">
        <v>21.25</v>
      </c>
      <c r="AF2295">
        <v>0</v>
      </c>
      <c r="AG2295">
        <v>0</v>
      </c>
      <c r="AH2295">
        <v>0</v>
      </c>
      <c r="AI2295">
        <v>31.85</v>
      </c>
      <c r="AJ2295">
        <v>176.95</v>
      </c>
      <c r="AK2295">
        <v>0</v>
      </c>
      <c r="AL2295" t="s">
        <v>53</v>
      </c>
      <c r="AM2295" t="s">
        <v>53</v>
      </c>
      <c r="AN2295" t="s">
        <v>280</v>
      </c>
      <c r="AO2295" t="s">
        <v>53</v>
      </c>
      <c r="AP2295" t="s">
        <v>53</v>
      </c>
    </row>
    <row r="2296" spans="2:42" x14ac:dyDescent="0.2">
      <c r="B2296" t="s">
        <v>44</v>
      </c>
      <c r="C2296" t="str">
        <f>HYPERLINK("https://us2.cloudbeds.com/connect/8493803454333002#/reservations/579319898327?display=DJXVT4W4&amp;reservation_id=579319898327", "DJXVT4W4")</f>
        <v>DJXVT4W4</v>
      </c>
      <c r="D2296" t="s">
        <v>45</v>
      </c>
      <c r="E2296" t="s">
        <v>373</v>
      </c>
      <c r="F2296" t="s">
        <v>47</v>
      </c>
      <c r="G2296" t="s">
        <v>48</v>
      </c>
      <c r="H2296" t="s">
        <v>71</v>
      </c>
      <c r="I2296" t="s">
        <v>72</v>
      </c>
      <c r="J2296" t="s">
        <v>1660</v>
      </c>
      <c r="K2296" t="s">
        <v>3043</v>
      </c>
      <c r="L2296" t="s">
        <v>53</v>
      </c>
      <c r="N2296" t="s">
        <v>3664</v>
      </c>
      <c r="P2296" t="s">
        <v>55</v>
      </c>
      <c r="R2296" t="s">
        <v>56</v>
      </c>
      <c r="T2296" t="s">
        <v>3658</v>
      </c>
      <c r="U2296" t="s">
        <v>58</v>
      </c>
      <c r="V2296">
        <v>1</v>
      </c>
      <c r="W2296">
        <v>1</v>
      </c>
      <c r="X2296">
        <v>1</v>
      </c>
      <c r="Y2296">
        <v>0</v>
      </c>
      <c r="Z2296">
        <v>1</v>
      </c>
      <c r="AA2296">
        <v>0</v>
      </c>
      <c r="AB2296">
        <v>169.34</v>
      </c>
      <c r="AC2296">
        <v>149</v>
      </c>
      <c r="AD2296">
        <v>0</v>
      </c>
      <c r="AE2296">
        <v>20.34</v>
      </c>
      <c r="AF2296">
        <v>0</v>
      </c>
      <c r="AG2296">
        <v>0</v>
      </c>
      <c r="AH2296">
        <v>0</v>
      </c>
      <c r="AI2296">
        <v>0</v>
      </c>
      <c r="AJ2296">
        <v>169.34</v>
      </c>
      <c r="AK2296">
        <v>0</v>
      </c>
      <c r="AL2296" t="s">
        <v>53</v>
      </c>
      <c r="AM2296" t="s">
        <v>53</v>
      </c>
      <c r="AN2296" t="s">
        <v>3665</v>
      </c>
      <c r="AO2296" t="s">
        <v>53</v>
      </c>
      <c r="AP2296" t="s">
        <v>53</v>
      </c>
    </row>
    <row r="2297" spans="2:42" x14ac:dyDescent="0.2">
      <c r="B2297" t="s">
        <v>44</v>
      </c>
      <c r="C2297" t="str">
        <f>HYPERLINK("https://us2.cloudbeds.com/connect/8493803454333002#/reservations/579313787082?display=DJXQZ35T&amp;reservation_id=579313787082", "DJXQZ35T")</f>
        <v>DJXQZ35T</v>
      </c>
      <c r="D2297" t="s">
        <v>45</v>
      </c>
      <c r="E2297" t="s">
        <v>265</v>
      </c>
      <c r="F2297" t="s">
        <v>61</v>
      </c>
      <c r="G2297" t="s">
        <v>48</v>
      </c>
      <c r="H2297" t="s">
        <v>49</v>
      </c>
      <c r="I2297" t="s">
        <v>50</v>
      </c>
      <c r="J2297" t="s">
        <v>1295</v>
      </c>
      <c r="K2297" t="s">
        <v>3031</v>
      </c>
      <c r="L2297" t="s">
        <v>53</v>
      </c>
      <c r="N2297" t="s">
        <v>3666</v>
      </c>
      <c r="P2297" t="s">
        <v>55</v>
      </c>
      <c r="R2297" t="s">
        <v>56</v>
      </c>
      <c r="T2297" t="s">
        <v>3658</v>
      </c>
      <c r="U2297" t="s">
        <v>58</v>
      </c>
      <c r="V2297">
        <v>1</v>
      </c>
      <c r="W2297">
        <v>1</v>
      </c>
      <c r="X2297">
        <v>1</v>
      </c>
      <c r="Y2297">
        <v>0</v>
      </c>
      <c r="Z2297">
        <v>1</v>
      </c>
      <c r="AA2297">
        <v>0</v>
      </c>
      <c r="AB2297">
        <v>163.66</v>
      </c>
      <c r="AC2297">
        <v>144</v>
      </c>
      <c r="AD2297">
        <v>0</v>
      </c>
      <c r="AE2297">
        <v>19.66</v>
      </c>
      <c r="AF2297">
        <v>0</v>
      </c>
      <c r="AG2297">
        <v>0</v>
      </c>
      <c r="AH2297">
        <v>0</v>
      </c>
      <c r="AI2297">
        <v>29.46</v>
      </c>
      <c r="AJ2297">
        <v>163.66</v>
      </c>
      <c r="AK2297">
        <v>0</v>
      </c>
      <c r="AL2297" t="s">
        <v>53</v>
      </c>
      <c r="AM2297" t="s">
        <v>53</v>
      </c>
      <c r="AN2297" t="s">
        <v>178</v>
      </c>
      <c r="AO2297" t="s">
        <v>53</v>
      </c>
      <c r="AP2297" t="s">
        <v>53</v>
      </c>
    </row>
    <row r="2298" spans="2:42" x14ac:dyDescent="0.2">
      <c r="B2298" t="s">
        <v>44</v>
      </c>
      <c r="C2298" t="str">
        <f>HYPERLINK("https://us2.cloudbeds.com/connect/8493803454333002#/reservations/598608081051?display=E1GR68RN&amp;reservation_id=598608081051", "E1GR68RN")</f>
        <v>E1GR68RN</v>
      </c>
      <c r="D2298" t="s">
        <v>45</v>
      </c>
      <c r="E2298" t="s">
        <v>305</v>
      </c>
      <c r="F2298" t="s">
        <v>61</v>
      </c>
      <c r="G2298" t="s">
        <v>48</v>
      </c>
      <c r="H2298" t="s">
        <v>49</v>
      </c>
      <c r="I2298" t="s">
        <v>79</v>
      </c>
      <c r="J2298" t="s">
        <v>1633</v>
      </c>
      <c r="K2298" t="s">
        <v>447</v>
      </c>
      <c r="L2298" t="s">
        <v>53</v>
      </c>
      <c r="N2298" t="s">
        <v>3667</v>
      </c>
      <c r="P2298" t="s">
        <v>55</v>
      </c>
      <c r="R2298" t="s">
        <v>56</v>
      </c>
      <c r="T2298" t="s">
        <v>3658</v>
      </c>
      <c r="U2298" t="s">
        <v>58</v>
      </c>
      <c r="V2298">
        <v>1</v>
      </c>
      <c r="W2298">
        <v>1</v>
      </c>
      <c r="X2298">
        <v>1</v>
      </c>
      <c r="Y2298">
        <v>0</v>
      </c>
      <c r="Z2298">
        <v>1</v>
      </c>
      <c r="AA2298">
        <v>0</v>
      </c>
      <c r="AB2298">
        <v>177.98</v>
      </c>
      <c r="AC2298">
        <v>156.6</v>
      </c>
      <c r="AD2298">
        <v>0</v>
      </c>
      <c r="AE2298">
        <v>21.37</v>
      </c>
      <c r="AF2298">
        <v>0</v>
      </c>
      <c r="AG2298">
        <v>0</v>
      </c>
      <c r="AH2298">
        <v>0</v>
      </c>
      <c r="AI2298">
        <v>0</v>
      </c>
      <c r="AJ2298">
        <v>177.97</v>
      </c>
      <c r="AK2298">
        <v>-0.01</v>
      </c>
      <c r="AL2298" t="s">
        <v>53</v>
      </c>
      <c r="AM2298" t="s">
        <v>53</v>
      </c>
      <c r="AN2298" t="s">
        <v>127</v>
      </c>
      <c r="AO2298" t="s">
        <v>53</v>
      </c>
      <c r="AP2298" t="s">
        <v>53</v>
      </c>
    </row>
    <row r="2299" spans="2:42" x14ac:dyDescent="0.2">
      <c r="B2299" t="s">
        <v>44</v>
      </c>
      <c r="C2299" t="str">
        <f>HYPERLINK("https://us2.cloudbeds.com/connect/8493803454333002#/reservations/598374158487?display=E1ARV0U4&amp;reservation_id=598374158487", "E1ARV0U4")</f>
        <v>E1ARV0U4</v>
      </c>
      <c r="D2299" t="s">
        <v>45</v>
      </c>
      <c r="E2299" t="s">
        <v>190</v>
      </c>
      <c r="F2299" t="s">
        <v>61</v>
      </c>
      <c r="G2299" t="s">
        <v>48</v>
      </c>
      <c r="H2299" t="s">
        <v>49</v>
      </c>
      <c r="I2299" t="s">
        <v>50</v>
      </c>
      <c r="J2299" t="s">
        <v>2102</v>
      </c>
      <c r="K2299" t="s">
        <v>99</v>
      </c>
      <c r="L2299" t="s">
        <v>53</v>
      </c>
      <c r="N2299" t="s">
        <v>3668</v>
      </c>
      <c r="P2299" t="s">
        <v>55</v>
      </c>
      <c r="R2299" t="s">
        <v>56</v>
      </c>
      <c r="T2299" t="s">
        <v>3658</v>
      </c>
      <c r="U2299" t="s">
        <v>58</v>
      </c>
      <c r="V2299">
        <v>5</v>
      </c>
      <c r="W2299">
        <v>1</v>
      </c>
      <c r="X2299">
        <v>1</v>
      </c>
      <c r="Y2299">
        <v>0</v>
      </c>
      <c r="Z2299">
        <v>1</v>
      </c>
      <c r="AA2299">
        <v>0</v>
      </c>
      <c r="AB2299">
        <v>827.49</v>
      </c>
      <c r="AC2299">
        <v>728.1</v>
      </c>
      <c r="AD2299">
        <v>0</v>
      </c>
      <c r="AE2299">
        <v>99.4</v>
      </c>
      <c r="AF2299">
        <v>0</v>
      </c>
      <c r="AG2299">
        <v>0</v>
      </c>
      <c r="AH2299">
        <v>0</v>
      </c>
      <c r="AI2299">
        <v>148.94999999999999</v>
      </c>
      <c r="AJ2299">
        <v>827.5</v>
      </c>
      <c r="AK2299">
        <v>0.01</v>
      </c>
      <c r="AL2299" t="s">
        <v>53</v>
      </c>
      <c r="AM2299" t="s">
        <v>53</v>
      </c>
      <c r="AN2299" t="s">
        <v>97</v>
      </c>
      <c r="AO2299" t="s">
        <v>53</v>
      </c>
      <c r="AP2299" t="s">
        <v>53</v>
      </c>
    </row>
    <row r="2300" spans="2:42" x14ac:dyDescent="0.2">
      <c r="B2300" t="s">
        <v>44</v>
      </c>
      <c r="C2300" t="str">
        <f>HYPERLINK("https://us2.cloudbeds.com/connect/8493803454333002#/reservations/598589141196?display=E1GB77SN&amp;reservation_id=598589141196", "E1GB77SN")</f>
        <v>E1GB77SN</v>
      </c>
      <c r="D2300" t="s">
        <v>45</v>
      </c>
      <c r="E2300" t="s">
        <v>165</v>
      </c>
      <c r="F2300" t="s">
        <v>61</v>
      </c>
      <c r="G2300" t="s">
        <v>48</v>
      </c>
      <c r="H2300" t="s">
        <v>49</v>
      </c>
      <c r="I2300" t="s">
        <v>50</v>
      </c>
      <c r="J2300" t="s">
        <v>1439</v>
      </c>
      <c r="K2300" t="s">
        <v>351</v>
      </c>
      <c r="L2300" t="s">
        <v>53</v>
      </c>
      <c r="N2300" t="s">
        <v>3669</v>
      </c>
      <c r="P2300" t="s">
        <v>55</v>
      </c>
      <c r="R2300" t="s">
        <v>56</v>
      </c>
      <c r="T2300" t="s">
        <v>3658</v>
      </c>
      <c r="U2300" t="s">
        <v>58</v>
      </c>
      <c r="V2300">
        <v>2</v>
      </c>
      <c r="W2300">
        <v>1</v>
      </c>
      <c r="X2300">
        <v>1</v>
      </c>
      <c r="Y2300">
        <v>0</v>
      </c>
      <c r="Z2300">
        <v>1</v>
      </c>
      <c r="AA2300">
        <v>0</v>
      </c>
      <c r="AB2300">
        <v>317.08</v>
      </c>
      <c r="AC2300">
        <v>279</v>
      </c>
      <c r="AD2300">
        <v>0</v>
      </c>
      <c r="AE2300">
        <v>38.08</v>
      </c>
      <c r="AF2300">
        <v>0</v>
      </c>
      <c r="AG2300">
        <v>0</v>
      </c>
      <c r="AH2300">
        <v>0</v>
      </c>
      <c r="AI2300">
        <v>57.07</v>
      </c>
      <c r="AJ2300">
        <v>317.08</v>
      </c>
      <c r="AK2300">
        <v>0</v>
      </c>
      <c r="AL2300" t="s">
        <v>53</v>
      </c>
      <c r="AM2300" t="s">
        <v>53</v>
      </c>
      <c r="AN2300" t="s">
        <v>178</v>
      </c>
      <c r="AO2300" t="s">
        <v>53</v>
      </c>
      <c r="AP2300" t="s">
        <v>53</v>
      </c>
    </row>
    <row r="2301" spans="2:42" x14ac:dyDescent="0.2">
      <c r="B2301" t="s">
        <v>44</v>
      </c>
      <c r="C2301" t="str">
        <f>HYPERLINK("https://us2.cloudbeds.com/connect/8493803454333002#/reservations/579153539265?display=DJENJVRE&amp;reservation_id=579153539265", "DJENJVRE")</f>
        <v>DJENJVRE</v>
      </c>
      <c r="D2301" t="s">
        <v>45</v>
      </c>
      <c r="E2301" t="s">
        <v>128</v>
      </c>
      <c r="F2301" t="s">
        <v>86</v>
      </c>
      <c r="G2301" t="s">
        <v>48</v>
      </c>
      <c r="H2301" t="s">
        <v>49</v>
      </c>
      <c r="I2301" t="s">
        <v>50</v>
      </c>
      <c r="J2301" t="s">
        <v>1141</v>
      </c>
      <c r="K2301" t="s">
        <v>1450</v>
      </c>
      <c r="L2301" t="s">
        <v>53</v>
      </c>
      <c r="N2301" t="s">
        <v>3670</v>
      </c>
      <c r="P2301" t="s">
        <v>55</v>
      </c>
      <c r="R2301" t="s">
        <v>56</v>
      </c>
      <c r="T2301" t="s">
        <v>3658</v>
      </c>
      <c r="U2301" t="s">
        <v>58</v>
      </c>
      <c r="V2301">
        <v>1</v>
      </c>
      <c r="W2301">
        <v>1</v>
      </c>
      <c r="X2301">
        <v>1</v>
      </c>
      <c r="Y2301">
        <v>0</v>
      </c>
      <c r="Z2301">
        <v>1</v>
      </c>
      <c r="AA2301">
        <v>0</v>
      </c>
      <c r="AB2301">
        <v>176.95</v>
      </c>
      <c r="AC2301">
        <v>155.69999999999999</v>
      </c>
      <c r="AD2301">
        <v>0</v>
      </c>
      <c r="AE2301">
        <v>21.25</v>
      </c>
      <c r="AF2301">
        <v>0</v>
      </c>
      <c r="AG2301">
        <v>0</v>
      </c>
      <c r="AH2301">
        <v>0</v>
      </c>
      <c r="AI2301">
        <v>31.85</v>
      </c>
      <c r="AJ2301">
        <v>176.95</v>
      </c>
      <c r="AK2301">
        <v>0</v>
      </c>
      <c r="AL2301" t="s">
        <v>53</v>
      </c>
      <c r="AM2301" t="s">
        <v>53</v>
      </c>
      <c r="AN2301" t="s">
        <v>280</v>
      </c>
      <c r="AO2301" t="s">
        <v>53</v>
      </c>
      <c r="AP2301" t="s">
        <v>53</v>
      </c>
    </row>
    <row r="2302" spans="2:42" x14ac:dyDescent="0.2">
      <c r="B2302" t="s">
        <v>44</v>
      </c>
      <c r="C2302" t="str">
        <f>HYPERLINK("https://us2.cloudbeds.com/connect/8493803454333002#/reservations/579408076940?display=DJY77S2A&amp;reservation_id=579408076940", "DJY77S2A")</f>
        <v>DJY77S2A</v>
      </c>
      <c r="D2302" t="s">
        <v>45</v>
      </c>
      <c r="E2302" t="s">
        <v>185</v>
      </c>
      <c r="F2302" t="s">
        <v>47</v>
      </c>
      <c r="G2302" t="s">
        <v>48</v>
      </c>
      <c r="H2302" t="s">
        <v>49</v>
      </c>
      <c r="I2302" t="s">
        <v>79</v>
      </c>
      <c r="J2302" t="s">
        <v>1898</v>
      </c>
      <c r="K2302" t="s">
        <v>1458</v>
      </c>
      <c r="L2302" t="s">
        <v>53</v>
      </c>
      <c r="N2302" t="s">
        <v>3671</v>
      </c>
      <c r="P2302" t="s">
        <v>55</v>
      </c>
      <c r="R2302" t="s">
        <v>56</v>
      </c>
      <c r="T2302" t="s">
        <v>3658</v>
      </c>
      <c r="U2302" t="s">
        <v>58</v>
      </c>
      <c r="V2302">
        <v>1</v>
      </c>
      <c r="W2302">
        <v>1</v>
      </c>
      <c r="X2302">
        <v>1</v>
      </c>
      <c r="Y2302">
        <v>0</v>
      </c>
      <c r="Z2302">
        <v>1</v>
      </c>
      <c r="AA2302">
        <v>0</v>
      </c>
      <c r="AB2302">
        <v>117.62</v>
      </c>
      <c r="AC2302">
        <v>103.5</v>
      </c>
      <c r="AD2302">
        <v>0</v>
      </c>
      <c r="AE2302">
        <v>14.12</v>
      </c>
      <c r="AF2302">
        <v>0</v>
      </c>
      <c r="AG2302">
        <v>0</v>
      </c>
      <c r="AH2302">
        <v>0</v>
      </c>
      <c r="AI2302">
        <v>0</v>
      </c>
      <c r="AJ2302">
        <v>117.62</v>
      </c>
      <c r="AK2302">
        <v>0</v>
      </c>
      <c r="AL2302" t="s">
        <v>53</v>
      </c>
      <c r="AM2302" t="s">
        <v>53</v>
      </c>
      <c r="AN2302" t="s">
        <v>104</v>
      </c>
      <c r="AO2302" t="s">
        <v>53</v>
      </c>
      <c r="AP2302" t="s">
        <v>53</v>
      </c>
    </row>
    <row r="2303" spans="2:42" x14ac:dyDescent="0.2">
      <c r="B2303" t="s">
        <v>44</v>
      </c>
      <c r="C2303" t="str">
        <f>HYPERLINK("https://us2.cloudbeds.com/connect/8493803454333002#/reservations/579357167816?display=DJJUA7XJ&amp;reservation_id=579357167816", "DJJUA7XJ")</f>
        <v>DJJUA7XJ</v>
      </c>
      <c r="D2303" t="s">
        <v>45</v>
      </c>
      <c r="E2303" t="s">
        <v>105</v>
      </c>
      <c r="F2303" t="s">
        <v>47</v>
      </c>
      <c r="G2303" t="s">
        <v>48</v>
      </c>
      <c r="H2303" t="s">
        <v>49</v>
      </c>
      <c r="I2303" t="s">
        <v>79</v>
      </c>
      <c r="J2303" t="s">
        <v>1898</v>
      </c>
      <c r="K2303" t="s">
        <v>1458</v>
      </c>
      <c r="L2303" t="s">
        <v>53</v>
      </c>
      <c r="N2303" t="s">
        <v>3672</v>
      </c>
      <c r="P2303" t="s">
        <v>55</v>
      </c>
      <c r="R2303" t="s">
        <v>56</v>
      </c>
      <c r="T2303" t="s">
        <v>3658</v>
      </c>
      <c r="U2303" t="s">
        <v>58</v>
      </c>
      <c r="V2303">
        <v>1</v>
      </c>
      <c r="W2303">
        <v>1</v>
      </c>
      <c r="X2303">
        <v>1</v>
      </c>
      <c r="Y2303">
        <v>0</v>
      </c>
      <c r="Z2303">
        <v>1</v>
      </c>
      <c r="AA2303">
        <v>0</v>
      </c>
      <c r="AB2303">
        <v>117.62</v>
      </c>
      <c r="AC2303">
        <v>103.5</v>
      </c>
      <c r="AD2303">
        <v>0</v>
      </c>
      <c r="AE2303">
        <v>14.12</v>
      </c>
      <c r="AF2303">
        <v>0</v>
      </c>
      <c r="AG2303">
        <v>0</v>
      </c>
      <c r="AH2303">
        <v>0</v>
      </c>
      <c r="AI2303">
        <v>0</v>
      </c>
      <c r="AJ2303">
        <v>117.62</v>
      </c>
      <c r="AK2303">
        <v>0</v>
      </c>
      <c r="AL2303" t="s">
        <v>53</v>
      </c>
      <c r="AM2303" t="s">
        <v>53</v>
      </c>
      <c r="AN2303" t="s">
        <v>84</v>
      </c>
      <c r="AO2303" t="s">
        <v>53</v>
      </c>
      <c r="AP2303" t="s">
        <v>53</v>
      </c>
    </row>
    <row r="2304" spans="2:42" x14ac:dyDescent="0.2">
      <c r="B2304" t="s">
        <v>44</v>
      </c>
      <c r="C2304" t="str">
        <f>HYPERLINK("https://us2.cloudbeds.com/connect/8493803454333002#/reservations/579315253452?display=DJXRVTNB&amp;reservation_id=579315253452", "DJXRVTNB")</f>
        <v>DJXRVTNB</v>
      </c>
      <c r="D2304" t="s">
        <v>45</v>
      </c>
      <c r="E2304" t="s">
        <v>381</v>
      </c>
      <c r="F2304" t="s">
        <v>47</v>
      </c>
      <c r="G2304" t="s">
        <v>48</v>
      </c>
      <c r="H2304" t="s">
        <v>49</v>
      </c>
      <c r="I2304" t="s">
        <v>50</v>
      </c>
      <c r="J2304" t="s">
        <v>2022</v>
      </c>
      <c r="K2304" t="s">
        <v>2023</v>
      </c>
      <c r="L2304" t="s">
        <v>53</v>
      </c>
      <c r="N2304" t="s">
        <v>3673</v>
      </c>
      <c r="P2304" t="s">
        <v>55</v>
      </c>
      <c r="R2304" t="s">
        <v>56</v>
      </c>
      <c r="T2304" t="s">
        <v>3674</v>
      </c>
      <c r="U2304" t="s">
        <v>58</v>
      </c>
      <c r="V2304">
        <v>1</v>
      </c>
      <c r="W2304">
        <v>1</v>
      </c>
      <c r="X2304">
        <v>1</v>
      </c>
      <c r="Y2304">
        <v>0</v>
      </c>
      <c r="Z2304">
        <v>1</v>
      </c>
      <c r="AA2304">
        <v>0</v>
      </c>
      <c r="AB2304">
        <v>173.89</v>
      </c>
      <c r="AC2304">
        <v>153</v>
      </c>
      <c r="AD2304">
        <v>0</v>
      </c>
      <c r="AE2304">
        <v>20.89</v>
      </c>
      <c r="AF2304">
        <v>0</v>
      </c>
      <c r="AG2304">
        <v>0</v>
      </c>
      <c r="AH2304">
        <v>0</v>
      </c>
      <c r="AI2304">
        <v>31.3</v>
      </c>
      <c r="AJ2304">
        <v>173.89</v>
      </c>
      <c r="AK2304">
        <v>0</v>
      </c>
      <c r="AL2304" t="s">
        <v>53</v>
      </c>
      <c r="AM2304" t="s">
        <v>53</v>
      </c>
      <c r="AN2304" t="s">
        <v>252</v>
      </c>
      <c r="AO2304" t="s">
        <v>53</v>
      </c>
      <c r="AP2304" t="s">
        <v>53</v>
      </c>
    </row>
    <row r="2305" spans="2:42" x14ac:dyDescent="0.2">
      <c r="B2305" t="s">
        <v>44</v>
      </c>
      <c r="C2305" t="str">
        <f>HYPERLINK("https://us2.cloudbeds.com/connect/8493803454333002#/reservations/598540087434?display=E1F2S832&amp;reservation_id=598540087434", "E1F2S832")</f>
        <v>E1F2S832</v>
      </c>
      <c r="D2305" t="s">
        <v>45</v>
      </c>
      <c r="E2305" t="s">
        <v>223</v>
      </c>
      <c r="F2305" t="s">
        <v>47</v>
      </c>
      <c r="G2305" t="s">
        <v>48</v>
      </c>
      <c r="H2305" t="s">
        <v>49</v>
      </c>
      <c r="I2305" t="s">
        <v>50</v>
      </c>
      <c r="J2305" t="s">
        <v>988</v>
      </c>
      <c r="K2305" t="s">
        <v>1439</v>
      </c>
      <c r="L2305" t="s">
        <v>53</v>
      </c>
      <c r="N2305" t="s">
        <v>3675</v>
      </c>
      <c r="P2305" t="s">
        <v>55</v>
      </c>
      <c r="R2305" t="s">
        <v>56</v>
      </c>
      <c r="T2305" t="s">
        <v>3674</v>
      </c>
      <c r="U2305" t="s">
        <v>58</v>
      </c>
      <c r="V2305">
        <v>1</v>
      </c>
      <c r="W2305">
        <v>1</v>
      </c>
      <c r="X2305">
        <v>1</v>
      </c>
      <c r="Y2305">
        <v>0</v>
      </c>
      <c r="Z2305">
        <v>1</v>
      </c>
      <c r="AA2305">
        <v>0</v>
      </c>
      <c r="AB2305">
        <v>143.19999999999999</v>
      </c>
      <c r="AC2305">
        <v>126</v>
      </c>
      <c r="AD2305">
        <v>0</v>
      </c>
      <c r="AE2305">
        <v>17.2</v>
      </c>
      <c r="AF2305">
        <v>0</v>
      </c>
      <c r="AG2305">
        <v>0</v>
      </c>
      <c r="AH2305">
        <v>0</v>
      </c>
      <c r="AI2305">
        <v>25.78</v>
      </c>
      <c r="AJ2305">
        <v>143.19999999999999</v>
      </c>
      <c r="AK2305">
        <v>0</v>
      </c>
      <c r="AL2305" t="s">
        <v>53</v>
      </c>
      <c r="AM2305" t="s">
        <v>53</v>
      </c>
      <c r="AN2305" t="s">
        <v>245</v>
      </c>
      <c r="AO2305" t="s">
        <v>53</v>
      </c>
      <c r="AP2305" t="s">
        <v>53</v>
      </c>
    </row>
    <row r="2306" spans="2:42" x14ac:dyDescent="0.2">
      <c r="B2306" t="s">
        <v>44</v>
      </c>
      <c r="C2306" t="str">
        <f>HYPERLINK("https://us2.cloudbeds.com/connect/8493803454333002#/reservations/579258503374?display=DJHD3ZJW&amp;reservation_id=579258503374", "DJHD3ZJW")</f>
        <v>DJHD3ZJW</v>
      </c>
      <c r="D2306" t="s">
        <v>45</v>
      </c>
      <c r="E2306" t="s">
        <v>113</v>
      </c>
      <c r="F2306" t="s">
        <v>61</v>
      </c>
      <c r="G2306" t="s">
        <v>48</v>
      </c>
      <c r="H2306" t="s">
        <v>49</v>
      </c>
      <c r="I2306" t="s">
        <v>50</v>
      </c>
      <c r="J2306" t="s">
        <v>2494</v>
      </c>
      <c r="K2306" t="s">
        <v>2545</v>
      </c>
      <c r="L2306" t="s">
        <v>53</v>
      </c>
      <c r="N2306" t="s">
        <v>3676</v>
      </c>
      <c r="P2306" t="s">
        <v>55</v>
      </c>
      <c r="R2306" t="s">
        <v>56</v>
      </c>
      <c r="T2306" t="s">
        <v>3674</v>
      </c>
      <c r="U2306" t="s">
        <v>58</v>
      </c>
      <c r="V2306">
        <v>1</v>
      </c>
      <c r="W2306">
        <v>1</v>
      </c>
      <c r="X2306">
        <v>1</v>
      </c>
      <c r="Y2306">
        <v>0</v>
      </c>
      <c r="Z2306">
        <v>1</v>
      </c>
      <c r="AA2306">
        <v>0</v>
      </c>
      <c r="AB2306">
        <v>161.61000000000001</v>
      </c>
      <c r="AC2306">
        <v>142.19999999999999</v>
      </c>
      <c r="AD2306">
        <v>0</v>
      </c>
      <c r="AE2306">
        <v>19.41</v>
      </c>
      <c r="AF2306">
        <v>0</v>
      </c>
      <c r="AG2306">
        <v>0</v>
      </c>
      <c r="AH2306">
        <v>0</v>
      </c>
      <c r="AI2306">
        <v>29.09</v>
      </c>
      <c r="AJ2306">
        <v>161.61000000000001</v>
      </c>
      <c r="AK2306">
        <v>0</v>
      </c>
      <c r="AL2306" t="s">
        <v>53</v>
      </c>
      <c r="AM2306" t="s">
        <v>53</v>
      </c>
      <c r="AN2306" t="s">
        <v>280</v>
      </c>
      <c r="AO2306" t="s">
        <v>53</v>
      </c>
      <c r="AP2306" t="s">
        <v>53</v>
      </c>
    </row>
    <row r="2307" spans="2:42" x14ac:dyDescent="0.2">
      <c r="B2307" t="s">
        <v>44</v>
      </c>
      <c r="C2307" t="str">
        <f>HYPERLINK("https://us2.cloudbeds.com/connect/8493803454333002#/reservations/598328447178?display=E19MD1DW&amp;reservation_id=598328447178", "E19MD1DW")</f>
        <v>E19MD1DW</v>
      </c>
      <c r="D2307" t="s">
        <v>45</v>
      </c>
      <c r="E2307" t="s">
        <v>373</v>
      </c>
      <c r="F2307" t="s">
        <v>47</v>
      </c>
      <c r="G2307" t="s">
        <v>48</v>
      </c>
      <c r="H2307" t="s">
        <v>71</v>
      </c>
      <c r="I2307" t="s">
        <v>72</v>
      </c>
      <c r="J2307" t="s">
        <v>323</v>
      </c>
      <c r="K2307" t="s">
        <v>505</v>
      </c>
      <c r="L2307" t="s">
        <v>53</v>
      </c>
      <c r="N2307" t="s">
        <v>3677</v>
      </c>
      <c r="P2307" t="s">
        <v>55</v>
      </c>
      <c r="R2307" t="s">
        <v>329</v>
      </c>
      <c r="T2307" t="s">
        <v>3674</v>
      </c>
      <c r="U2307" t="s">
        <v>58</v>
      </c>
      <c r="V2307">
        <v>3</v>
      </c>
      <c r="W2307">
        <v>1</v>
      </c>
      <c r="X2307">
        <v>1</v>
      </c>
      <c r="Y2307">
        <v>0</v>
      </c>
      <c r="Z2307">
        <v>1</v>
      </c>
      <c r="AA2307">
        <v>0</v>
      </c>
      <c r="AB2307">
        <v>460.28</v>
      </c>
      <c r="AC2307">
        <v>405</v>
      </c>
      <c r="AD2307">
        <v>0</v>
      </c>
      <c r="AE2307">
        <v>55.32</v>
      </c>
      <c r="AF2307">
        <v>0</v>
      </c>
      <c r="AG2307">
        <v>0</v>
      </c>
      <c r="AH2307">
        <v>0</v>
      </c>
      <c r="AI2307">
        <v>0</v>
      </c>
      <c r="AJ2307">
        <v>460.32</v>
      </c>
      <c r="AK2307">
        <v>0.04</v>
      </c>
      <c r="AL2307" t="s">
        <v>53</v>
      </c>
      <c r="AM2307" t="s">
        <v>53</v>
      </c>
      <c r="AN2307" t="s">
        <v>3678</v>
      </c>
      <c r="AO2307" t="s">
        <v>53</v>
      </c>
      <c r="AP2307" t="s">
        <v>53</v>
      </c>
    </row>
    <row r="2308" spans="2:42" x14ac:dyDescent="0.2">
      <c r="B2308" t="s">
        <v>44</v>
      </c>
      <c r="C2308" t="str">
        <f>HYPERLINK("https://us2.cloudbeds.com/connect/8493803454333002#/reservations/579259871390?display=DJHE8QR1&amp;reservation_id=579259871390", "DJHE8QR1")</f>
        <v>DJHE8QR1</v>
      </c>
      <c r="D2308" t="s">
        <v>45</v>
      </c>
      <c r="E2308" t="s">
        <v>165</v>
      </c>
      <c r="F2308" t="s">
        <v>61</v>
      </c>
      <c r="G2308" t="s">
        <v>48</v>
      </c>
      <c r="H2308" t="s">
        <v>49</v>
      </c>
      <c r="I2308" t="s">
        <v>50</v>
      </c>
      <c r="J2308" t="s">
        <v>2494</v>
      </c>
      <c r="K2308" t="s">
        <v>2545</v>
      </c>
      <c r="L2308" t="s">
        <v>53</v>
      </c>
      <c r="N2308" t="s">
        <v>3679</v>
      </c>
      <c r="P2308" t="s">
        <v>55</v>
      </c>
      <c r="R2308" t="s">
        <v>56</v>
      </c>
      <c r="T2308" t="s">
        <v>3674</v>
      </c>
      <c r="U2308" t="s">
        <v>58</v>
      </c>
      <c r="V2308">
        <v>1</v>
      </c>
      <c r="W2308">
        <v>1</v>
      </c>
      <c r="X2308">
        <v>1</v>
      </c>
      <c r="Y2308">
        <v>0</v>
      </c>
      <c r="Z2308">
        <v>1</v>
      </c>
      <c r="AA2308">
        <v>0</v>
      </c>
      <c r="AB2308">
        <v>161.61000000000001</v>
      </c>
      <c r="AC2308">
        <v>142.19999999999999</v>
      </c>
      <c r="AD2308">
        <v>0</v>
      </c>
      <c r="AE2308">
        <v>19.41</v>
      </c>
      <c r="AF2308">
        <v>0</v>
      </c>
      <c r="AG2308">
        <v>0</v>
      </c>
      <c r="AH2308">
        <v>0</v>
      </c>
      <c r="AI2308">
        <v>29.09</v>
      </c>
      <c r="AJ2308">
        <v>161.61000000000001</v>
      </c>
      <c r="AK2308">
        <v>0</v>
      </c>
      <c r="AL2308" t="s">
        <v>53</v>
      </c>
      <c r="AM2308" t="s">
        <v>53</v>
      </c>
      <c r="AN2308" t="s">
        <v>3680</v>
      </c>
      <c r="AO2308" t="s">
        <v>53</v>
      </c>
      <c r="AP2308" t="s">
        <v>53</v>
      </c>
    </row>
    <row r="2309" spans="2:42" x14ac:dyDescent="0.2">
      <c r="B2309" t="s">
        <v>44</v>
      </c>
      <c r="C2309" t="str">
        <f>HYPERLINK("https://us2.cloudbeds.com/connect/8493803454333002#/reservations/598585479423?display=E1G84BBS&amp;reservation_id=598585479423", "E1G84BBS")</f>
        <v>E1G84BBS</v>
      </c>
      <c r="D2309" t="s">
        <v>45</v>
      </c>
      <c r="E2309" t="s">
        <v>113</v>
      </c>
      <c r="F2309" t="s">
        <v>61</v>
      </c>
      <c r="G2309" t="s">
        <v>48</v>
      </c>
      <c r="H2309" t="s">
        <v>49</v>
      </c>
      <c r="I2309" t="s">
        <v>266</v>
      </c>
      <c r="J2309" t="s">
        <v>988</v>
      </c>
      <c r="K2309" t="s">
        <v>1439</v>
      </c>
      <c r="L2309" t="s">
        <v>53</v>
      </c>
      <c r="N2309" t="s">
        <v>3681</v>
      </c>
      <c r="P2309" t="s">
        <v>55</v>
      </c>
      <c r="R2309" t="s">
        <v>56</v>
      </c>
      <c r="T2309" t="s">
        <v>3674</v>
      </c>
      <c r="U2309" t="s">
        <v>58</v>
      </c>
      <c r="V2309">
        <v>1</v>
      </c>
      <c r="W2309">
        <v>1</v>
      </c>
      <c r="X2309">
        <v>1</v>
      </c>
      <c r="Y2309">
        <v>0</v>
      </c>
      <c r="Z2309">
        <v>1</v>
      </c>
      <c r="AA2309">
        <v>0</v>
      </c>
      <c r="AB2309">
        <v>158.54</v>
      </c>
      <c r="AC2309">
        <v>139.5</v>
      </c>
      <c r="AD2309">
        <v>0</v>
      </c>
      <c r="AE2309">
        <v>19.04</v>
      </c>
      <c r="AF2309">
        <v>0</v>
      </c>
      <c r="AG2309">
        <v>0</v>
      </c>
      <c r="AH2309">
        <v>0</v>
      </c>
      <c r="AI2309">
        <v>0</v>
      </c>
      <c r="AJ2309">
        <v>158.54</v>
      </c>
      <c r="AK2309">
        <v>0</v>
      </c>
      <c r="AL2309" t="s">
        <v>53</v>
      </c>
      <c r="AM2309" t="s">
        <v>53</v>
      </c>
      <c r="AN2309" t="s">
        <v>68</v>
      </c>
      <c r="AO2309" t="s">
        <v>53</v>
      </c>
      <c r="AP2309" t="s">
        <v>53</v>
      </c>
    </row>
    <row r="2310" spans="2:42" x14ac:dyDescent="0.2">
      <c r="B2310" t="s">
        <v>44</v>
      </c>
      <c r="C2310" t="str">
        <f>HYPERLINK("https://us2.cloudbeds.com/connect/8493803454333002#/reservations/579262226656?display=DJHG8BJZ&amp;reservation_id=579262226656", "DJHG8BJZ")</f>
        <v>DJHG8BJZ</v>
      </c>
      <c r="D2310" t="s">
        <v>45</v>
      </c>
      <c r="E2310" t="s">
        <v>121</v>
      </c>
      <c r="F2310" t="s">
        <v>86</v>
      </c>
      <c r="G2310" t="s">
        <v>48</v>
      </c>
      <c r="H2310" t="s">
        <v>49</v>
      </c>
      <c r="I2310" t="s">
        <v>50</v>
      </c>
      <c r="J2310" t="s">
        <v>2494</v>
      </c>
      <c r="K2310" t="s">
        <v>2545</v>
      </c>
      <c r="L2310" t="s">
        <v>53</v>
      </c>
      <c r="N2310" t="s">
        <v>3682</v>
      </c>
      <c r="P2310" t="s">
        <v>55</v>
      </c>
      <c r="R2310" t="s">
        <v>56</v>
      </c>
      <c r="T2310" t="s">
        <v>3674</v>
      </c>
      <c r="U2310" t="s">
        <v>58</v>
      </c>
      <c r="V2310">
        <v>1</v>
      </c>
      <c r="W2310">
        <v>1</v>
      </c>
      <c r="X2310">
        <v>1</v>
      </c>
      <c r="Y2310">
        <v>0</v>
      </c>
      <c r="Z2310">
        <v>1</v>
      </c>
      <c r="AA2310">
        <v>0</v>
      </c>
      <c r="AB2310">
        <v>175.94</v>
      </c>
      <c r="AC2310">
        <v>154.80000000000001</v>
      </c>
      <c r="AD2310">
        <v>0</v>
      </c>
      <c r="AE2310">
        <v>21.14</v>
      </c>
      <c r="AF2310">
        <v>0</v>
      </c>
      <c r="AG2310">
        <v>0</v>
      </c>
      <c r="AH2310">
        <v>0</v>
      </c>
      <c r="AI2310">
        <v>31.67</v>
      </c>
      <c r="AJ2310">
        <v>175.94</v>
      </c>
      <c r="AK2310">
        <v>0</v>
      </c>
      <c r="AL2310" t="s">
        <v>53</v>
      </c>
      <c r="AM2310" t="s">
        <v>53</v>
      </c>
      <c r="AN2310" t="s">
        <v>3683</v>
      </c>
      <c r="AO2310" t="s">
        <v>53</v>
      </c>
      <c r="AP2310" t="s">
        <v>53</v>
      </c>
    </row>
    <row r="2311" spans="2:42" x14ac:dyDescent="0.2">
      <c r="B2311" t="s">
        <v>44</v>
      </c>
      <c r="C2311" t="str">
        <f>HYPERLINK("https://us2.cloudbeds.com/connect/8493803454333002#/reservations/598615167164?display=E1H05ERD&amp;reservation_id=598615167164", "E1H05ERD")</f>
        <v>E1H05ERD</v>
      </c>
      <c r="D2311" t="s">
        <v>45</v>
      </c>
      <c r="E2311" t="s">
        <v>78</v>
      </c>
      <c r="F2311" t="s">
        <v>61</v>
      </c>
      <c r="G2311" t="s">
        <v>48</v>
      </c>
      <c r="H2311" t="s">
        <v>71</v>
      </c>
      <c r="I2311" t="s">
        <v>72</v>
      </c>
      <c r="J2311" t="s">
        <v>447</v>
      </c>
      <c r="K2311" t="s">
        <v>2102</v>
      </c>
      <c r="L2311" t="s">
        <v>53</v>
      </c>
      <c r="N2311" t="s">
        <v>3684</v>
      </c>
      <c r="P2311" t="s">
        <v>55</v>
      </c>
      <c r="R2311" t="s">
        <v>56</v>
      </c>
      <c r="T2311" t="s">
        <v>3674</v>
      </c>
      <c r="U2311" t="s">
        <v>58</v>
      </c>
      <c r="V2311">
        <v>1</v>
      </c>
      <c r="W2311">
        <v>1</v>
      </c>
      <c r="X2311">
        <v>1</v>
      </c>
      <c r="Y2311">
        <v>0</v>
      </c>
      <c r="Z2311">
        <v>1</v>
      </c>
      <c r="AA2311">
        <v>0</v>
      </c>
      <c r="AB2311">
        <v>170.48</v>
      </c>
      <c r="AC2311">
        <v>150</v>
      </c>
      <c r="AD2311">
        <v>0</v>
      </c>
      <c r="AE2311">
        <v>20.48</v>
      </c>
      <c r="AF2311">
        <v>0</v>
      </c>
      <c r="AG2311">
        <v>0</v>
      </c>
      <c r="AH2311">
        <v>0</v>
      </c>
      <c r="AI2311">
        <v>0</v>
      </c>
      <c r="AJ2311">
        <v>170.48</v>
      </c>
      <c r="AK2311">
        <v>0</v>
      </c>
      <c r="AL2311" t="s">
        <v>53</v>
      </c>
      <c r="AM2311" t="s">
        <v>53</v>
      </c>
      <c r="AN2311" t="s">
        <v>378</v>
      </c>
      <c r="AO2311" t="s">
        <v>53</v>
      </c>
      <c r="AP2311" t="s">
        <v>53</v>
      </c>
    </row>
    <row r="2312" spans="2:42" x14ac:dyDescent="0.2">
      <c r="B2312" t="s">
        <v>44</v>
      </c>
      <c r="C2312" t="str">
        <f>HYPERLINK("https://us2.cloudbeds.com/connect/8493803454333002#/reservations/579389620371?display=DJKZM8TB&amp;reservation_id=579389620371", "DJKZM8TB")</f>
        <v>DJKZM8TB</v>
      </c>
      <c r="D2312" t="s">
        <v>45</v>
      </c>
      <c r="E2312" t="s">
        <v>98</v>
      </c>
      <c r="F2312" t="s">
        <v>86</v>
      </c>
      <c r="G2312" t="s">
        <v>48</v>
      </c>
      <c r="H2312" t="s">
        <v>49</v>
      </c>
      <c r="I2312" t="s">
        <v>114</v>
      </c>
      <c r="J2312" t="s">
        <v>1665</v>
      </c>
      <c r="K2312" t="s">
        <v>1478</v>
      </c>
      <c r="L2312" t="s">
        <v>53</v>
      </c>
      <c r="N2312" t="s">
        <v>3685</v>
      </c>
      <c r="P2312" t="s">
        <v>55</v>
      </c>
      <c r="R2312" t="s">
        <v>56</v>
      </c>
      <c r="T2312" t="s">
        <v>3686</v>
      </c>
      <c r="U2312" t="s">
        <v>58</v>
      </c>
      <c r="V2312">
        <v>1</v>
      </c>
      <c r="W2312">
        <v>1</v>
      </c>
      <c r="X2312">
        <v>1</v>
      </c>
      <c r="Y2312">
        <v>0</v>
      </c>
      <c r="Z2312">
        <v>1</v>
      </c>
      <c r="AA2312">
        <v>0</v>
      </c>
      <c r="AB2312">
        <v>184.12</v>
      </c>
      <c r="AC2312">
        <v>162</v>
      </c>
      <c r="AD2312">
        <v>0</v>
      </c>
      <c r="AE2312">
        <v>22.12</v>
      </c>
      <c r="AF2312">
        <v>0</v>
      </c>
      <c r="AG2312">
        <v>0</v>
      </c>
      <c r="AH2312">
        <v>0</v>
      </c>
      <c r="AI2312">
        <v>0</v>
      </c>
      <c r="AJ2312">
        <v>184.12</v>
      </c>
      <c r="AK2312">
        <v>0</v>
      </c>
      <c r="AL2312" t="s">
        <v>53</v>
      </c>
      <c r="AM2312" t="s">
        <v>53</v>
      </c>
      <c r="AN2312" t="s">
        <v>3687</v>
      </c>
      <c r="AO2312" t="s">
        <v>53</v>
      </c>
      <c r="AP2312" t="s">
        <v>53</v>
      </c>
    </row>
    <row r="2313" spans="2:42" x14ac:dyDescent="0.2">
      <c r="B2313" t="s">
        <v>44</v>
      </c>
      <c r="C2313" t="str">
        <f>HYPERLINK("https://us2.cloudbeds.com/connect/8493803454333002#/reservations/579268210852?display=DJHY9SZ0&amp;reservation_id=579268210852", "DJHY9SZ0")</f>
        <v>DJHY9SZ0</v>
      </c>
      <c r="D2313" t="s">
        <v>45</v>
      </c>
      <c r="E2313" t="s">
        <v>113</v>
      </c>
      <c r="F2313" t="s">
        <v>61</v>
      </c>
      <c r="G2313" t="s">
        <v>48</v>
      </c>
      <c r="H2313" t="s">
        <v>49</v>
      </c>
      <c r="I2313" t="s">
        <v>50</v>
      </c>
      <c r="J2313" t="s">
        <v>1745</v>
      </c>
      <c r="K2313" t="s">
        <v>1665</v>
      </c>
      <c r="L2313" t="s">
        <v>53</v>
      </c>
      <c r="N2313" t="s">
        <v>3688</v>
      </c>
      <c r="P2313" t="s">
        <v>55</v>
      </c>
      <c r="R2313" t="s">
        <v>56</v>
      </c>
      <c r="T2313" t="s">
        <v>3686</v>
      </c>
      <c r="U2313" t="s">
        <v>58</v>
      </c>
      <c r="V2313">
        <v>4</v>
      </c>
      <c r="W2313">
        <v>1</v>
      </c>
      <c r="X2313">
        <v>1</v>
      </c>
      <c r="Y2313">
        <v>0</v>
      </c>
      <c r="Z2313">
        <v>1</v>
      </c>
      <c r="AA2313">
        <v>0</v>
      </c>
      <c r="AB2313">
        <v>664.88</v>
      </c>
      <c r="AC2313">
        <v>585</v>
      </c>
      <c r="AD2313">
        <v>0</v>
      </c>
      <c r="AE2313">
        <v>79.88</v>
      </c>
      <c r="AF2313">
        <v>0</v>
      </c>
      <c r="AG2313">
        <v>0</v>
      </c>
      <c r="AH2313">
        <v>0</v>
      </c>
      <c r="AI2313">
        <v>119.68</v>
      </c>
      <c r="AJ2313">
        <v>664.88</v>
      </c>
      <c r="AK2313">
        <v>0</v>
      </c>
      <c r="AL2313" t="s">
        <v>53</v>
      </c>
      <c r="AM2313" t="s">
        <v>53</v>
      </c>
      <c r="AN2313" t="s">
        <v>245</v>
      </c>
      <c r="AO2313" t="s">
        <v>53</v>
      </c>
      <c r="AP2313" t="s">
        <v>53</v>
      </c>
    </row>
    <row r="2314" spans="2:42" x14ac:dyDescent="0.2">
      <c r="B2314" t="s">
        <v>44</v>
      </c>
      <c r="C2314" t="str">
        <f>HYPERLINK("https://us2.cloudbeds.com/connect/8493803454333002#/reservations/579273924777?display=DJHQ3SM8&amp;reservation_id=579273924777", "DJHQ3SM8")</f>
        <v>DJHQ3SM8</v>
      </c>
      <c r="D2314" t="s">
        <v>45</v>
      </c>
      <c r="E2314" t="s">
        <v>190</v>
      </c>
      <c r="F2314" t="s">
        <v>61</v>
      </c>
      <c r="G2314" t="s">
        <v>48</v>
      </c>
      <c r="H2314" t="s">
        <v>71</v>
      </c>
      <c r="I2314" t="s">
        <v>72</v>
      </c>
      <c r="J2314" t="s">
        <v>2058</v>
      </c>
      <c r="K2314" t="s">
        <v>2494</v>
      </c>
      <c r="L2314" t="s">
        <v>53</v>
      </c>
      <c r="N2314" t="s">
        <v>3689</v>
      </c>
      <c r="P2314" t="s">
        <v>55</v>
      </c>
      <c r="R2314" t="s">
        <v>56</v>
      </c>
      <c r="T2314" t="s">
        <v>3686</v>
      </c>
      <c r="U2314" t="s">
        <v>58</v>
      </c>
      <c r="V2314">
        <v>1</v>
      </c>
      <c r="W2314">
        <v>1</v>
      </c>
      <c r="X2314">
        <v>1</v>
      </c>
      <c r="Y2314">
        <v>0</v>
      </c>
      <c r="Z2314">
        <v>1</v>
      </c>
      <c r="AA2314">
        <v>0</v>
      </c>
      <c r="AB2314">
        <v>168.2</v>
      </c>
      <c r="AC2314">
        <v>148</v>
      </c>
      <c r="AD2314">
        <v>0</v>
      </c>
      <c r="AE2314">
        <v>20.2</v>
      </c>
      <c r="AF2314">
        <v>0</v>
      </c>
      <c r="AG2314">
        <v>0</v>
      </c>
      <c r="AH2314">
        <v>0</v>
      </c>
      <c r="AI2314">
        <v>0</v>
      </c>
      <c r="AJ2314">
        <v>168.2</v>
      </c>
      <c r="AK2314">
        <v>0</v>
      </c>
      <c r="AL2314" t="s">
        <v>53</v>
      </c>
      <c r="AM2314" t="s">
        <v>53</v>
      </c>
      <c r="AN2314" t="s">
        <v>3690</v>
      </c>
      <c r="AO2314" t="s">
        <v>53</v>
      </c>
      <c r="AP2314" t="s">
        <v>53</v>
      </c>
    </row>
    <row r="2315" spans="2:42" x14ac:dyDescent="0.2">
      <c r="B2315" t="s">
        <v>44</v>
      </c>
      <c r="C2315" t="str">
        <f>HYPERLINK("https://us2.cloudbeds.com/connect/8493803454333002#/reservations/598561399006?display=E1FKR8V9&amp;reservation_id=598561399006", "E1FKR8V9")</f>
        <v>E1FKR8V9</v>
      </c>
      <c r="D2315" t="s">
        <v>45</v>
      </c>
      <c r="E2315" t="s">
        <v>305</v>
      </c>
      <c r="F2315" t="s">
        <v>61</v>
      </c>
      <c r="G2315" t="s">
        <v>48</v>
      </c>
      <c r="H2315" t="s">
        <v>71</v>
      </c>
      <c r="I2315" t="s">
        <v>72</v>
      </c>
      <c r="J2315" t="s">
        <v>2102</v>
      </c>
      <c r="K2315" t="s">
        <v>988</v>
      </c>
      <c r="L2315" t="s">
        <v>53</v>
      </c>
      <c r="N2315" t="s">
        <v>3691</v>
      </c>
      <c r="P2315" t="s">
        <v>55</v>
      </c>
      <c r="R2315" t="s">
        <v>56</v>
      </c>
      <c r="T2315" t="s">
        <v>3686</v>
      </c>
      <c r="U2315" t="s">
        <v>58</v>
      </c>
      <c r="V2315">
        <v>1</v>
      </c>
      <c r="W2315">
        <v>1</v>
      </c>
      <c r="X2315">
        <v>1</v>
      </c>
      <c r="Y2315">
        <v>0</v>
      </c>
      <c r="Z2315">
        <v>1</v>
      </c>
      <c r="AA2315">
        <v>0</v>
      </c>
      <c r="AB2315">
        <v>170.48</v>
      </c>
      <c r="AC2315">
        <v>150</v>
      </c>
      <c r="AD2315">
        <v>0</v>
      </c>
      <c r="AE2315">
        <v>20.48</v>
      </c>
      <c r="AF2315">
        <v>0</v>
      </c>
      <c r="AG2315">
        <v>0</v>
      </c>
      <c r="AH2315">
        <v>0</v>
      </c>
      <c r="AI2315">
        <v>0</v>
      </c>
      <c r="AJ2315">
        <v>170.48</v>
      </c>
      <c r="AK2315">
        <v>0</v>
      </c>
      <c r="AL2315" t="s">
        <v>53</v>
      </c>
      <c r="AM2315" t="s">
        <v>53</v>
      </c>
      <c r="AN2315" t="s">
        <v>378</v>
      </c>
      <c r="AO2315" t="s">
        <v>53</v>
      </c>
      <c r="AP2315" t="s">
        <v>53</v>
      </c>
    </row>
    <row r="2316" spans="2:42" x14ac:dyDescent="0.2">
      <c r="B2316" t="s">
        <v>44</v>
      </c>
      <c r="C2316" t="str">
        <f>HYPERLINK("https://us2.cloudbeds.com/connect/8493803454333002#/reservations/598208737418?display=E16KEV3G&amp;reservation_id=598208737418", "E16KEV3G")</f>
        <v>E16KEV3G</v>
      </c>
      <c r="D2316" t="s">
        <v>45</v>
      </c>
      <c r="E2316" t="s">
        <v>406</v>
      </c>
      <c r="F2316" t="s">
        <v>61</v>
      </c>
      <c r="G2316" t="s">
        <v>48</v>
      </c>
      <c r="H2316" t="s">
        <v>49</v>
      </c>
      <c r="I2316" t="s">
        <v>50</v>
      </c>
      <c r="J2316" t="s">
        <v>2102</v>
      </c>
      <c r="K2316" t="s">
        <v>988</v>
      </c>
      <c r="L2316" t="s">
        <v>53</v>
      </c>
      <c r="N2316" t="s">
        <v>3692</v>
      </c>
      <c r="P2316" t="s">
        <v>55</v>
      </c>
      <c r="R2316" t="s">
        <v>56</v>
      </c>
      <c r="T2316" t="s">
        <v>3686</v>
      </c>
      <c r="U2316" t="s">
        <v>58</v>
      </c>
      <c r="V2316">
        <v>1</v>
      </c>
      <c r="W2316">
        <v>1</v>
      </c>
      <c r="X2316">
        <v>1</v>
      </c>
      <c r="Y2316">
        <v>0</v>
      </c>
      <c r="Z2316">
        <v>1</v>
      </c>
      <c r="AA2316">
        <v>0</v>
      </c>
      <c r="AB2316">
        <v>173.88</v>
      </c>
      <c r="AC2316">
        <v>153</v>
      </c>
      <c r="AD2316">
        <v>0</v>
      </c>
      <c r="AE2316">
        <v>20.89</v>
      </c>
      <c r="AF2316">
        <v>0</v>
      </c>
      <c r="AG2316">
        <v>0</v>
      </c>
      <c r="AH2316">
        <v>0</v>
      </c>
      <c r="AI2316">
        <v>31.3</v>
      </c>
      <c r="AJ2316">
        <v>173.89</v>
      </c>
      <c r="AK2316">
        <v>0.01</v>
      </c>
      <c r="AL2316" t="s">
        <v>53</v>
      </c>
      <c r="AM2316" t="s">
        <v>53</v>
      </c>
      <c r="AN2316" t="s">
        <v>159</v>
      </c>
      <c r="AO2316" t="s">
        <v>53</v>
      </c>
      <c r="AP2316" t="s">
        <v>53</v>
      </c>
    </row>
    <row r="2317" spans="2:42" x14ac:dyDescent="0.2">
      <c r="B2317" t="s">
        <v>44</v>
      </c>
      <c r="C2317" t="str">
        <f>HYPERLINK("https://us2.cloudbeds.com/connect/8493803454333002#/reservations/579324022935?display=DJJ2BUG8&amp;reservation_id=579324022935", "DJJ2BUG8")</f>
        <v>DJJ2BUG8</v>
      </c>
      <c r="D2317" t="s">
        <v>45</v>
      </c>
      <c r="E2317" t="s">
        <v>98</v>
      </c>
      <c r="F2317" t="s">
        <v>86</v>
      </c>
      <c r="G2317" t="s">
        <v>48</v>
      </c>
      <c r="H2317" t="s">
        <v>49</v>
      </c>
      <c r="I2317" t="s">
        <v>114</v>
      </c>
      <c r="J2317" t="s">
        <v>1767</v>
      </c>
      <c r="K2317" t="s">
        <v>1665</v>
      </c>
      <c r="L2317" t="s">
        <v>53</v>
      </c>
      <c r="N2317" t="s">
        <v>3693</v>
      </c>
      <c r="P2317" t="s">
        <v>55</v>
      </c>
      <c r="R2317" t="s">
        <v>56</v>
      </c>
      <c r="T2317" t="s">
        <v>3686</v>
      </c>
      <c r="U2317" t="s">
        <v>58</v>
      </c>
      <c r="V2317">
        <v>3</v>
      </c>
      <c r="W2317">
        <v>1</v>
      </c>
      <c r="X2317">
        <v>1</v>
      </c>
      <c r="Y2317">
        <v>0</v>
      </c>
      <c r="Z2317">
        <v>1</v>
      </c>
      <c r="AA2317">
        <v>0</v>
      </c>
      <c r="AB2317">
        <v>570.53</v>
      </c>
      <c r="AC2317">
        <v>502</v>
      </c>
      <c r="AD2317">
        <v>0</v>
      </c>
      <c r="AE2317">
        <v>68.53</v>
      </c>
      <c r="AF2317">
        <v>0</v>
      </c>
      <c r="AG2317">
        <v>0</v>
      </c>
      <c r="AH2317">
        <v>0</v>
      </c>
      <c r="AI2317">
        <v>0</v>
      </c>
      <c r="AJ2317">
        <v>570.53</v>
      </c>
      <c r="AK2317">
        <v>0</v>
      </c>
      <c r="AL2317" t="s">
        <v>53</v>
      </c>
      <c r="AM2317" t="s">
        <v>53</v>
      </c>
      <c r="AN2317" t="s">
        <v>3694</v>
      </c>
      <c r="AO2317" t="s">
        <v>53</v>
      </c>
      <c r="AP2317" t="s">
        <v>53</v>
      </c>
    </row>
    <row r="2318" spans="2:42" x14ac:dyDescent="0.2">
      <c r="B2318" t="s">
        <v>44</v>
      </c>
      <c r="C2318" t="str">
        <f>HYPERLINK("https://us2.cloudbeds.com/connect/8493803454333002#/reservations/598569242773?display=E1FREHM5&amp;reservation_id=598569242773", "E1FREHM5")</f>
        <v>E1FREHM5</v>
      </c>
      <c r="D2318" t="s">
        <v>45</v>
      </c>
      <c r="E2318" t="s">
        <v>46</v>
      </c>
      <c r="F2318" t="s">
        <v>47</v>
      </c>
      <c r="G2318" t="s">
        <v>48</v>
      </c>
      <c r="H2318" t="s">
        <v>49</v>
      </c>
      <c r="I2318" t="s">
        <v>50</v>
      </c>
      <c r="J2318" t="s">
        <v>1439</v>
      </c>
      <c r="K2318" t="s">
        <v>322</v>
      </c>
      <c r="L2318" t="s">
        <v>53</v>
      </c>
      <c r="N2318" t="s">
        <v>3695</v>
      </c>
      <c r="P2318" t="s">
        <v>55</v>
      </c>
      <c r="R2318" t="s">
        <v>56</v>
      </c>
      <c r="T2318" t="s">
        <v>3686</v>
      </c>
      <c r="U2318" t="s">
        <v>58</v>
      </c>
      <c r="V2318">
        <v>1</v>
      </c>
      <c r="W2318">
        <v>1</v>
      </c>
      <c r="X2318">
        <v>1</v>
      </c>
      <c r="Y2318">
        <v>0</v>
      </c>
      <c r="Z2318">
        <v>1</v>
      </c>
      <c r="AA2318">
        <v>0</v>
      </c>
      <c r="AB2318">
        <v>143.19999999999999</v>
      </c>
      <c r="AC2318">
        <v>126</v>
      </c>
      <c r="AD2318">
        <v>0</v>
      </c>
      <c r="AE2318">
        <v>17.2</v>
      </c>
      <c r="AF2318">
        <v>0</v>
      </c>
      <c r="AG2318">
        <v>0</v>
      </c>
      <c r="AH2318">
        <v>0</v>
      </c>
      <c r="AI2318">
        <v>25.78</v>
      </c>
      <c r="AJ2318">
        <v>143.19999999999999</v>
      </c>
      <c r="AK2318">
        <v>0</v>
      </c>
      <c r="AL2318" t="s">
        <v>53</v>
      </c>
      <c r="AM2318" t="s">
        <v>53</v>
      </c>
      <c r="AN2318" t="s">
        <v>137</v>
      </c>
      <c r="AO2318" t="s">
        <v>53</v>
      </c>
      <c r="AP2318" t="s">
        <v>53</v>
      </c>
    </row>
    <row r="2319" spans="2:42" x14ac:dyDescent="0.2">
      <c r="B2319" t="s">
        <v>44</v>
      </c>
      <c r="C2319" t="str">
        <f>HYPERLINK("https://us2.cloudbeds.com/connect/8493803454333002#/reservations/598166159513?display=E15HX4UU&amp;reservation_id=598166159513", "E15HX4UU")</f>
        <v>E15HX4UU</v>
      </c>
      <c r="D2319" t="s">
        <v>45</v>
      </c>
      <c r="E2319" t="s">
        <v>78</v>
      </c>
      <c r="F2319" t="s">
        <v>61</v>
      </c>
      <c r="G2319" t="s">
        <v>48</v>
      </c>
      <c r="H2319" t="s">
        <v>49</v>
      </c>
      <c r="I2319" t="s">
        <v>50</v>
      </c>
      <c r="J2319" t="s">
        <v>2102</v>
      </c>
      <c r="K2319" t="s">
        <v>322</v>
      </c>
      <c r="L2319" t="s">
        <v>53</v>
      </c>
      <c r="N2319" t="s">
        <v>3696</v>
      </c>
      <c r="P2319" t="s">
        <v>55</v>
      </c>
      <c r="R2319" t="s">
        <v>56</v>
      </c>
      <c r="T2319" t="s">
        <v>3686</v>
      </c>
      <c r="U2319" t="s">
        <v>58</v>
      </c>
      <c r="V2319">
        <v>3</v>
      </c>
      <c r="W2319">
        <v>1</v>
      </c>
      <c r="X2319">
        <v>1</v>
      </c>
      <c r="Y2319">
        <v>0</v>
      </c>
      <c r="Z2319">
        <v>1</v>
      </c>
      <c r="AA2319">
        <v>0</v>
      </c>
      <c r="AB2319">
        <v>490.97</v>
      </c>
      <c r="AC2319">
        <v>432</v>
      </c>
      <c r="AD2319">
        <v>0</v>
      </c>
      <c r="AE2319">
        <v>58.98</v>
      </c>
      <c r="AF2319">
        <v>0</v>
      </c>
      <c r="AG2319">
        <v>0</v>
      </c>
      <c r="AH2319">
        <v>0</v>
      </c>
      <c r="AI2319">
        <v>88.38</v>
      </c>
      <c r="AJ2319">
        <v>490.98</v>
      </c>
      <c r="AK2319">
        <v>0.01</v>
      </c>
      <c r="AL2319" t="s">
        <v>53</v>
      </c>
      <c r="AM2319" t="s">
        <v>53</v>
      </c>
      <c r="AN2319" t="s">
        <v>3697</v>
      </c>
      <c r="AO2319" t="s">
        <v>53</v>
      </c>
      <c r="AP2319" t="s">
        <v>53</v>
      </c>
    </row>
    <row r="2320" spans="2:42" x14ac:dyDescent="0.2">
      <c r="B2320" t="s">
        <v>44</v>
      </c>
      <c r="C2320" t="str">
        <f>HYPERLINK("https://us2.cloudbeds.com/connect/8493803454333002#/reservations/598418751649?display=E1BWHTY3&amp;reservation_id=598418751649", "E1BWHTY3")</f>
        <v>E1BWHTY3</v>
      </c>
      <c r="D2320" t="s">
        <v>45</v>
      </c>
      <c r="E2320" t="s">
        <v>265</v>
      </c>
      <c r="F2320" t="s">
        <v>61</v>
      </c>
      <c r="G2320" t="s">
        <v>48</v>
      </c>
      <c r="H2320" t="s">
        <v>71</v>
      </c>
      <c r="I2320" t="s">
        <v>72</v>
      </c>
      <c r="J2320" t="s">
        <v>2102</v>
      </c>
      <c r="K2320" t="s">
        <v>1439</v>
      </c>
      <c r="L2320" t="s">
        <v>53</v>
      </c>
      <c r="N2320" t="s">
        <v>3698</v>
      </c>
      <c r="P2320" t="s">
        <v>55</v>
      </c>
      <c r="R2320" t="s">
        <v>56</v>
      </c>
      <c r="T2320" t="s">
        <v>3686</v>
      </c>
      <c r="U2320" t="s">
        <v>58</v>
      </c>
      <c r="V2320">
        <v>2</v>
      </c>
      <c r="W2320">
        <v>1</v>
      </c>
      <c r="X2320">
        <v>1</v>
      </c>
      <c r="Y2320">
        <v>0</v>
      </c>
      <c r="Z2320">
        <v>1</v>
      </c>
      <c r="AA2320">
        <v>0</v>
      </c>
      <c r="AB2320">
        <v>309.99</v>
      </c>
      <c r="AC2320">
        <v>272.76</v>
      </c>
      <c r="AD2320">
        <v>0</v>
      </c>
      <c r="AE2320">
        <v>37.24</v>
      </c>
      <c r="AF2320">
        <v>0</v>
      </c>
      <c r="AG2320">
        <v>0</v>
      </c>
      <c r="AH2320">
        <v>0</v>
      </c>
      <c r="AI2320">
        <v>0</v>
      </c>
      <c r="AJ2320">
        <v>310</v>
      </c>
      <c r="AK2320">
        <v>0.01</v>
      </c>
      <c r="AL2320" t="s">
        <v>53</v>
      </c>
      <c r="AM2320" t="s">
        <v>53</v>
      </c>
      <c r="AN2320" t="s">
        <v>378</v>
      </c>
      <c r="AO2320" t="s">
        <v>53</v>
      </c>
      <c r="AP2320" t="s">
        <v>53</v>
      </c>
    </row>
    <row r="2321" spans="2:42" x14ac:dyDescent="0.2">
      <c r="B2321" t="s">
        <v>44</v>
      </c>
      <c r="C2321" t="str">
        <f>HYPERLINK("https://us2.cloudbeds.com/connect/8493803454333002#/reservations/598532927636?display=E1ETR0EG&amp;reservation_id=598532927636", "E1ETR0EG")</f>
        <v>E1ETR0EG</v>
      </c>
      <c r="D2321" t="s">
        <v>45</v>
      </c>
      <c r="E2321" t="s">
        <v>105</v>
      </c>
      <c r="F2321" t="s">
        <v>47</v>
      </c>
      <c r="G2321" t="s">
        <v>48</v>
      </c>
      <c r="H2321" t="s">
        <v>71</v>
      </c>
      <c r="I2321" t="s">
        <v>72</v>
      </c>
      <c r="J2321" t="s">
        <v>2102</v>
      </c>
      <c r="K2321" t="s">
        <v>322</v>
      </c>
      <c r="L2321" t="s">
        <v>53</v>
      </c>
      <c r="N2321" t="s">
        <v>3699</v>
      </c>
      <c r="P2321" t="s">
        <v>55</v>
      </c>
      <c r="R2321" t="s">
        <v>56</v>
      </c>
      <c r="T2321" t="s">
        <v>3686</v>
      </c>
      <c r="U2321" t="s">
        <v>58</v>
      </c>
      <c r="V2321">
        <v>3</v>
      </c>
      <c r="W2321">
        <v>1</v>
      </c>
      <c r="X2321">
        <v>1</v>
      </c>
      <c r="Y2321">
        <v>0</v>
      </c>
      <c r="Z2321">
        <v>1</v>
      </c>
      <c r="AA2321">
        <v>0</v>
      </c>
      <c r="AB2321">
        <v>460.28</v>
      </c>
      <c r="AC2321">
        <v>405</v>
      </c>
      <c r="AD2321">
        <v>0</v>
      </c>
      <c r="AE2321">
        <v>55.32</v>
      </c>
      <c r="AF2321">
        <v>0</v>
      </c>
      <c r="AG2321">
        <v>0</v>
      </c>
      <c r="AH2321">
        <v>0</v>
      </c>
      <c r="AI2321">
        <v>0</v>
      </c>
      <c r="AJ2321">
        <v>460.32</v>
      </c>
      <c r="AK2321">
        <v>0.04</v>
      </c>
      <c r="AL2321" t="s">
        <v>53</v>
      </c>
      <c r="AM2321" t="s">
        <v>53</v>
      </c>
      <c r="AN2321" t="s">
        <v>378</v>
      </c>
      <c r="AO2321" t="s">
        <v>53</v>
      </c>
      <c r="AP2321" t="s">
        <v>53</v>
      </c>
    </row>
    <row r="2322" spans="2:42" x14ac:dyDescent="0.2">
      <c r="B2322" t="s">
        <v>44</v>
      </c>
      <c r="C2322" t="str">
        <f>HYPERLINK("https://us2.cloudbeds.com/connect/8493803454333002#/reservations/598458138853?display=E1CWZTSZ&amp;reservation_id=598458138853", "E1CWZTSZ")</f>
        <v>E1CWZTSZ</v>
      </c>
      <c r="D2322" t="s">
        <v>45</v>
      </c>
      <c r="E2322" t="s">
        <v>381</v>
      </c>
      <c r="F2322" t="s">
        <v>47</v>
      </c>
      <c r="G2322" t="s">
        <v>48</v>
      </c>
      <c r="H2322" t="s">
        <v>49</v>
      </c>
      <c r="I2322" t="s">
        <v>79</v>
      </c>
      <c r="J2322" t="s">
        <v>99</v>
      </c>
      <c r="K2322" t="s">
        <v>504</v>
      </c>
      <c r="L2322" t="s">
        <v>53</v>
      </c>
      <c r="N2322" t="s">
        <v>3700</v>
      </c>
      <c r="P2322" t="s">
        <v>55</v>
      </c>
      <c r="R2322" t="s">
        <v>56</v>
      </c>
      <c r="T2322" t="s">
        <v>3686</v>
      </c>
      <c r="U2322" t="s">
        <v>58</v>
      </c>
      <c r="V2322">
        <v>3</v>
      </c>
      <c r="W2322">
        <v>1</v>
      </c>
      <c r="X2322">
        <v>1</v>
      </c>
      <c r="Y2322">
        <v>0</v>
      </c>
      <c r="Z2322">
        <v>1</v>
      </c>
      <c r="AA2322">
        <v>0</v>
      </c>
      <c r="AB2322">
        <v>450.05</v>
      </c>
      <c r="AC2322">
        <v>396</v>
      </c>
      <c r="AD2322">
        <v>0</v>
      </c>
      <c r="AE2322">
        <v>54.06</v>
      </c>
      <c r="AF2322">
        <v>0</v>
      </c>
      <c r="AG2322">
        <v>0</v>
      </c>
      <c r="AH2322">
        <v>0</v>
      </c>
      <c r="AI2322">
        <v>0</v>
      </c>
      <c r="AJ2322">
        <v>450.06</v>
      </c>
      <c r="AK2322">
        <v>0.01</v>
      </c>
      <c r="AL2322" t="s">
        <v>53</v>
      </c>
      <c r="AM2322" t="s">
        <v>53</v>
      </c>
      <c r="AN2322" t="s">
        <v>3701</v>
      </c>
      <c r="AO2322" t="s">
        <v>53</v>
      </c>
      <c r="AP2322" t="s">
        <v>53</v>
      </c>
    </row>
    <row r="2323" spans="2:42" x14ac:dyDescent="0.2">
      <c r="B2323" t="s">
        <v>44</v>
      </c>
      <c r="C2323" t="str">
        <f>HYPERLINK("https://us2.cloudbeds.com/connect/8493803454333002#/reservations/579351265481?display=DJJPAWJU&amp;reservation_id=579351265481", "DJJPAWJU")</f>
        <v>DJJPAWJU</v>
      </c>
      <c r="D2323" t="s">
        <v>45</v>
      </c>
      <c r="E2323" t="s">
        <v>165</v>
      </c>
      <c r="F2323" t="s">
        <v>61</v>
      </c>
      <c r="G2323" t="s">
        <v>48</v>
      </c>
      <c r="H2323" t="s">
        <v>49</v>
      </c>
      <c r="I2323" t="s">
        <v>79</v>
      </c>
      <c r="J2323" t="s">
        <v>1767</v>
      </c>
      <c r="K2323" t="s">
        <v>1478</v>
      </c>
      <c r="L2323" t="s">
        <v>53</v>
      </c>
      <c r="N2323" t="s">
        <v>3702</v>
      </c>
      <c r="P2323" t="s">
        <v>55</v>
      </c>
      <c r="R2323" t="s">
        <v>56</v>
      </c>
      <c r="T2323" t="s">
        <v>3686</v>
      </c>
      <c r="U2323" t="s">
        <v>58</v>
      </c>
      <c r="V2323">
        <v>4</v>
      </c>
      <c r="W2323">
        <v>1</v>
      </c>
      <c r="X2323">
        <v>1</v>
      </c>
      <c r="Y2323">
        <v>0</v>
      </c>
      <c r="Z2323">
        <v>1</v>
      </c>
      <c r="AA2323">
        <v>0</v>
      </c>
      <c r="AB2323">
        <v>786.49</v>
      </c>
      <c r="AC2323">
        <v>692</v>
      </c>
      <c r="AD2323">
        <v>0</v>
      </c>
      <c r="AE2323">
        <v>94.49</v>
      </c>
      <c r="AF2323">
        <v>0</v>
      </c>
      <c r="AG2323">
        <v>0</v>
      </c>
      <c r="AH2323">
        <v>0</v>
      </c>
      <c r="AI2323">
        <v>0</v>
      </c>
      <c r="AJ2323">
        <v>786.49</v>
      </c>
      <c r="AK2323">
        <v>0</v>
      </c>
      <c r="AL2323" t="s">
        <v>53</v>
      </c>
      <c r="AM2323" t="s">
        <v>53</v>
      </c>
      <c r="AN2323" t="s">
        <v>146</v>
      </c>
      <c r="AO2323" t="s">
        <v>53</v>
      </c>
      <c r="AP2323" t="s">
        <v>53</v>
      </c>
    </row>
    <row r="2324" spans="2:42" x14ac:dyDescent="0.2">
      <c r="B2324" t="s">
        <v>44</v>
      </c>
      <c r="C2324" t="str">
        <f>HYPERLINK("https://us2.cloudbeds.com/connect/8493803454333002#/reservations/579253067979?display=DJH8HGE2&amp;reservation_id=579253067979", "DJH8HGE2")</f>
        <v>DJH8HGE2</v>
      </c>
      <c r="D2324" t="s">
        <v>45</v>
      </c>
      <c r="E2324" t="s">
        <v>190</v>
      </c>
      <c r="F2324" t="s">
        <v>61</v>
      </c>
      <c r="G2324" t="s">
        <v>48</v>
      </c>
      <c r="H2324" t="s">
        <v>49</v>
      </c>
      <c r="I2324" t="s">
        <v>266</v>
      </c>
      <c r="J2324" t="s">
        <v>3551</v>
      </c>
      <c r="K2324" t="s">
        <v>2541</v>
      </c>
      <c r="L2324" t="s">
        <v>53</v>
      </c>
      <c r="N2324" t="s">
        <v>3703</v>
      </c>
      <c r="P2324" t="s">
        <v>55</v>
      </c>
      <c r="R2324" t="s">
        <v>56</v>
      </c>
      <c r="T2324" t="s">
        <v>3686</v>
      </c>
      <c r="U2324" t="s">
        <v>58</v>
      </c>
      <c r="V2324">
        <v>1</v>
      </c>
      <c r="W2324">
        <v>1</v>
      </c>
      <c r="X2324">
        <v>1</v>
      </c>
      <c r="Y2324">
        <v>0</v>
      </c>
      <c r="Z2324">
        <v>1</v>
      </c>
      <c r="AA2324">
        <v>0</v>
      </c>
      <c r="AB2324">
        <v>156.49</v>
      </c>
      <c r="AC2324">
        <v>137.69999999999999</v>
      </c>
      <c r="AD2324">
        <v>0</v>
      </c>
      <c r="AE2324">
        <v>18.79</v>
      </c>
      <c r="AF2324">
        <v>0</v>
      </c>
      <c r="AG2324">
        <v>0</v>
      </c>
      <c r="AH2324">
        <v>0</v>
      </c>
      <c r="AI2324">
        <v>0</v>
      </c>
      <c r="AJ2324">
        <v>156.49</v>
      </c>
      <c r="AK2324">
        <v>0</v>
      </c>
      <c r="AL2324" t="s">
        <v>53</v>
      </c>
      <c r="AM2324" t="s">
        <v>53</v>
      </c>
      <c r="AN2324" t="s">
        <v>225</v>
      </c>
      <c r="AO2324" t="s">
        <v>53</v>
      </c>
      <c r="AP2324" t="s">
        <v>53</v>
      </c>
    </row>
    <row r="2325" spans="2:42" x14ac:dyDescent="0.2">
      <c r="B2325" t="s">
        <v>44</v>
      </c>
      <c r="C2325" t="str">
        <f>HYPERLINK("https://us2.cloudbeds.com/connect/8493803454333002#/reservations/579362779333?display=DJK21CFX&amp;reservation_id=579362779333", "DJK21CFX")</f>
        <v>DJK21CFX</v>
      </c>
      <c r="D2325" t="s">
        <v>45</v>
      </c>
      <c r="E2325" t="s">
        <v>155</v>
      </c>
      <c r="F2325" t="s">
        <v>86</v>
      </c>
      <c r="G2325" t="s">
        <v>48</v>
      </c>
      <c r="H2325" t="s">
        <v>49</v>
      </c>
      <c r="I2325" t="s">
        <v>50</v>
      </c>
      <c r="J2325" t="s">
        <v>1745</v>
      </c>
      <c r="K2325" t="s">
        <v>1478</v>
      </c>
      <c r="L2325" t="s">
        <v>53</v>
      </c>
      <c r="N2325" t="s">
        <v>3704</v>
      </c>
      <c r="P2325" t="s">
        <v>55</v>
      </c>
      <c r="R2325" t="s">
        <v>56</v>
      </c>
      <c r="T2325" t="s">
        <v>3686</v>
      </c>
      <c r="U2325" t="s">
        <v>58</v>
      </c>
      <c r="V2325">
        <v>5</v>
      </c>
      <c r="W2325">
        <v>1</v>
      </c>
      <c r="X2325">
        <v>1</v>
      </c>
      <c r="Y2325">
        <v>0</v>
      </c>
      <c r="Z2325">
        <v>1</v>
      </c>
      <c r="AA2325">
        <v>0</v>
      </c>
      <c r="AB2325">
        <v>864.9</v>
      </c>
      <c r="AC2325">
        <v>761</v>
      </c>
      <c r="AD2325">
        <v>0</v>
      </c>
      <c r="AE2325">
        <v>103.9</v>
      </c>
      <c r="AF2325">
        <v>0</v>
      </c>
      <c r="AG2325">
        <v>0</v>
      </c>
      <c r="AH2325">
        <v>0</v>
      </c>
      <c r="AI2325">
        <v>155.68</v>
      </c>
      <c r="AJ2325">
        <v>864.9</v>
      </c>
      <c r="AK2325">
        <v>0</v>
      </c>
      <c r="AL2325" t="s">
        <v>53</v>
      </c>
      <c r="AM2325" t="s">
        <v>53</v>
      </c>
      <c r="AN2325" t="s">
        <v>84</v>
      </c>
      <c r="AO2325" t="s">
        <v>53</v>
      </c>
      <c r="AP2325" t="s">
        <v>53</v>
      </c>
    </row>
    <row r="2326" spans="2:42" x14ac:dyDescent="0.2">
      <c r="B2326" t="s">
        <v>44</v>
      </c>
      <c r="C2326" t="str">
        <f>HYPERLINK("https://us2.cloudbeds.com/connect/8493803454333002#/reservations/579219706033?display=DJGDD510&amp;reservation_id=579219706033", "DJGDD510")</f>
        <v>DJGDD510</v>
      </c>
      <c r="D2326" t="s">
        <v>45</v>
      </c>
      <c r="E2326" t="s">
        <v>190</v>
      </c>
      <c r="F2326" t="s">
        <v>61</v>
      </c>
      <c r="G2326" t="s">
        <v>48</v>
      </c>
      <c r="H2326" t="s">
        <v>49</v>
      </c>
      <c r="I2326" t="s">
        <v>50</v>
      </c>
      <c r="J2326" t="s">
        <v>603</v>
      </c>
      <c r="K2326" t="s">
        <v>1985</v>
      </c>
      <c r="L2326" t="s">
        <v>53</v>
      </c>
      <c r="N2326" t="s">
        <v>3705</v>
      </c>
      <c r="P2326" t="s">
        <v>55</v>
      </c>
      <c r="R2326" t="s">
        <v>56</v>
      </c>
      <c r="T2326" t="s">
        <v>3686</v>
      </c>
      <c r="U2326" t="s">
        <v>58</v>
      </c>
      <c r="V2326">
        <v>2</v>
      </c>
      <c r="W2326">
        <v>1</v>
      </c>
      <c r="X2326">
        <v>1</v>
      </c>
      <c r="Y2326">
        <v>0</v>
      </c>
      <c r="Z2326">
        <v>1</v>
      </c>
      <c r="AA2326">
        <v>0</v>
      </c>
      <c r="AB2326">
        <v>369.36</v>
      </c>
      <c r="AC2326">
        <v>325</v>
      </c>
      <c r="AD2326">
        <v>0</v>
      </c>
      <c r="AE2326">
        <v>44.36</v>
      </c>
      <c r="AF2326">
        <v>0</v>
      </c>
      <c r="AG2326">
        <v>0</v>
      </c>
      <c r="AH2326">
        <v>0</v>
      </c>
      <c r="AI2326">
        <v>66.48</v>
      </c>
      <c r="AJ2326">
        <v>369.36</v>
      </c>
      <c r="AK2326">
        <v>0</v>
      </c>
      <c r="AL2326" t="s">
        <v>53</v>
      </c>
      <c r="AM2326" t="s">
        <v>53</v>
      </c>
      <c r="AN2326" t="s">
        <v>132</v>
      </c>
      <c r="AO2326" t="s">
        <v>53</v>
      </c>
      <c r="AP2326" t="s">
        <v>53</v>
      </c>
    </row>
    <row r="2327" spans="2:42" x14ac:dyDescent="0.2">
      <c r="B2327" t="s">
        <v>44</v>
      </c>
      <c r="C2327" t="str">
        <f>HYPERLINK("https://us2.cloudbeds.com/connect/8493803454333002#/reservations/579258564754?display=DJHD5EVV&amp;reservation_id=579258564754", "DJHD5EVV")</f>
        <v>DJHD5EVV</v>
      </c>
      <c r="D2327" t="s">
        <v>45</v>
      </c>
      <c r="E2327" t="s">
        <v>69</v>
      </c>
      <c r="F2327" t="s">
        <v>70</v>
      </c>
      <c r="G2327" t="s">
        <v>48</v>
      </c>
      <c r="H2327" t="s">
        <v>71</v>
      </c>
      <c r="I2327" t="s">
        <v>72</v>
      </c>
      <c r="J2327" t="s">
        <v>1436</v>
      </c>
      <c r="K2327" t="s">
        <v>1333</v>
      </c>
      <c r="L2327" t="s">
        <v>53</v>
      </c>
      <c r="N2327" t="s">
        <v>3706</v>
      </c>
      <c r="P2327" t="s">
        <v>55</v>
      </c>
      <c r="R2327" t="s">
        <v>56</v>
      </c>
      <c r="T2327" t="s">
        <v>3686</v>
      </c>
      <c r="U2327" t="s">
        <v>58</v>
      </c>
      <c r="V2327">
        <v>2</v>
      </c>
      <c r="W2327">
        <v>1</v>
      </c>
      <c r="X2327">
        <v>1</v>
      </c>
      <c r="Y2327">
        <v>0</v>
      </c>
      <c r="Z2327">
        <v>1</v>
      </c>
      <c r="AA2327">
        <v>0</v>
      </c>
      <c r="AB2327">
        <v>298.88</v>
      </c>
      <c r="AC2327">
        <v>263</v>
      </c>
      <c r="AD2327">
        <v>0</v>
      </c>
      <c r="AE2327">
        <v>35.880000000000003</v>
      </c>
      <c r="AF2327">
        <v>0</v>
      </c>
      <c r="AG2327">
        <v>0</v>
      </c>
      <c r="AH2327">
        <v>0</v>
      </c>
      <c r="AI2327">
        <v>0</v>
      </c>
      <c r="AJ2327">
        <v>298.88</v>
      </c>
      <c r="AK2327">
        <v>0</v>
      </c>
      <c r="AL2327" t="s">
        <v>53</v>
      </c>
      <c r="AM2327" t="s">
        <v>53</v>
      </c>
      <c r="AN2327" t="s">
        <v>3707</v>
      </c>
      <c r="AO2327" t="s">
        <v>53</v>
      </c>
      <c r="AP2327" t="s">
        <v>53</v>
      </c>
    </row>
    <row r="2328" spans="2:42" x14ac:dyDescent="0.2">
      <c r="B2328" t="s">
        <v>44</v>
      </c>
      <c r="C2328" t="str">
        <f>HYPERLINK("https://us2.cloudbeds.com/connect/8493803454333002#/reservations/579357954303?display=DJJUW3PH&amp;reservation_id=579357954303", "DJJUW3PH")</f>
        <v>DJJUW3PH</v>
      </c>
      <c r="D2328" t="s">
        <v>45</v>
      </c>
      <c r="E2328" t="s">
        <v>138</v>
      </c>
      <c r="F2328" t="s">
        <v>70</v>
      </c>
      <c r="G2328" t="s">
        <v>48</v>
      </c>
      <c r="H2328" t="s">
        <v>71</v>
      </c>
      <c r="I2328" t="s">
        <v>72</v>
      </c>
      <c r="J2328" t="s">
        <v>3080</v>
      </c>
      <c r="K2328" t="s">
        <v>3514</v>
      </c>
      <c r="L2328" t="s">
        <v>53</v>
      </c>
      <c r="N2328" t="s">
        <v>3708</v>
      </c>
      <c r="P2328" t="s">
        <v>55</v>
      </c>
      <c r="R2328" t="s">
        <v>56</v>
      </c>
      <c r="T2328" t="s">
        <v>3686</v>
      </c>
      <c r="U2328" t="s">
        <v>58</v>
      </c>
      <c r="V2328">
        <v>7</v>
      </c>
      <c r="W2328">
        <v>1</v>
      </c>
      <c r="X2328">
        <v>1</v>
      </c>
      <c r="Y2328">
        <v>0</v>
      </c>
      <c r="Z2328">
        <v>1</v>
      </c>
      <c r="AA2328">
        <v>0</v>
      </c>
      <c r="AB2328">
        <v>795.55</v>
      </c>
      <c r="AC2328">
        <v>700</v>
      </c>
      <c r="AD2328">
        <v>0</v>
      </c>
      <c r="AE2328">
        <v>95.55</v>
      </c>
      <c r="AF2328">
        <v>0</v>
      </c>
      <c r="AG2328">
        <v>0</v>
      </c>
      <c r="AH2328">
        <v>0</v>
      </c>
      <c r="AI2328">
        <v>0</v>
      </c>
      <c r="AJ2328">
        <v>795.55</v>
      </c>
      <c r="AK2328">
        <v>0</v>
      </c>
      <c r="AL2328" t="s">
        <v>53</v>
      </c>
      <c r="AM2328" t="s">
        <v>53</v>
      </c>
      <c r="AN2328" t="s">
        <v>378</v>
      </c>
      <c r="AO2328" t="s">
        <v>53</v>
      </c>
      <c r="AP2328" t="s">
        <v>53</v>
      </c>
    </row>
    <row r="2329" spans="2:42" x14ac:dyDescent="0.2">
      <c r="B2329" t="s">
        <v>44</v>
      </c>
      <c r="C2329" t="str">
        <f>HYPERLINK("https://us2.cloudbeds.com/connect/8493803454333002#/reservations/579234111687?display=DJGPX0BW&amp;reservation_id=579234111687", "DJGPX0BW")</f>
        <v>DJGPX0BW</v>
      </c>
      <c r="D2329" t="s">
        <v>45</v>
      </c>
      <c r="E2329" t="s">
        <v>185</v>
      </c>
      <c r="F2329" t="s">
        <v>47</v>
      </c>
      <c r="G2329" t="s">
        <v>48</v>
      </c>
      <c r="H2329" t="s">
        <v>71</v>
      </c>
      <c r="I2329" t="s">
        <v>72</v>
      </c>
      <c r="J2329" t="s">
        <v>1436</v>
      </c>
      <c r="K2329" t="s">
        <v>1332</v>
      </c>
      <c r="L2329" t="s">
        <v>53</v>
      </c>
      <c r="N2329" t="s">
        <v>3709</v>
      </c>
      <c r="P2329" t="s">
        <v>55</v>
      </c>
      <c r="R2329" t="s">
        <v>56</v>
      </c>
      <c r="T2329" t="s">
        <v>3686</v>
      </c>
      <c r="U2329" t="s">
        <v>58</v>
      </c>
      <c r="V2329">
        <v>1</v>
      </c>
      <c r="W2329">
        <v>1</v>
      </c>
      <c r="X2329">
        <v>1</v>
      </c>
      <c r="Y2329">
        <v>0</v>
      </c>
      <c r="Z2329">
        <v>1</v>
      </c>
      <c r="AA2329">
        <v>0</v>
      </c>
      <c r="AB2329">
        <v>150.02000000000001</v>
      </c>
      <c r="AC2329">
        <v>132</v>
      </c>
      <c r="AD2329">
        <v>0</v>
      </c>
      <c r="AE2329">
        <v>18.02</v>
      </c>
      <c r="AF2329">
        <v>0</v>
      </c>
      <c r="AG2329">
        <v>0</v>
      </c>
      <c r="AH2329">
        <v>0</v>
      </c>
      <c r="AI2329">
        <v>0</v>
      </c>
      <c r="AJ2329">
        <v>150.02000000000001</v>
      </c>
      <c r="AK2329">
        <v>0</v>
      </c>
      <c r="AL2329" t="s">
        <v>53</v>
      </c>
      <c r="AM2329" t="s">
        <v>53</v>
      </c>
      <c r="AN2329" t="s">
        <v>378</v>
      </c>
      <c r="AO2329" t="s">
        <v>53</v>
      </c>
      <c r="AP2329" t="s">
        <v>53</v>
      </c>
    </row>
    <row r="2330" spans="2:42" x14ac:dyDescent="0.2">
      <c r="B2330" t="s">
        <v>44</v>
      </c>
      <c r="C2330" t="str">
        <f>HYPERLINK("https://us2.cloudbeds.com/connect/8493803454333002#/reservations/579315470476?display=DJXS4UWR&amp;reservation_id=579315470476", "DJXS4UWR")</f>
        <v>DJXS4UWR</v>
      </c>
      <c r="D2330" t="s">
        <v>45</v>
      </c>
      <c r="E2330" t="s">
        <v>98</v>
      </c>
      <c r="F2330" t="s">
        <v>86</v>
      </c>
      <c r="G2330" t="s">
        <v>48</v>
      </c>
      <c r="H2330" t="s">
        <v>71</v>
      </c>
      <c r="I2330" t="s">
        <v>72</v>
      </c>
      <c r="J2330" t="s">
        <v>1502</v>
      </c>
      <c r="K2330" t="s">
        <v>1436</v>
      </c>
      <c r="L2330" t="s">
        <v>53</v>
      </c>
      <c r="N2330" t="s">
        <v>3710</v>
      </c>
      <c r="P2330" t="s">
        <v>58</v>
      </c>
      <c r="R2330" t="s">
        <v>56</v>
      </c>
      <c r="T2330" t="s">
        <v>3711</v>
      </c>
      <c r="U2330" t="s">
        <v>58</v>
      </c>
      <c r="V2330">
        <v>1</v>
      </c>
      <c r="W2330">
        <v>1</v>
      </c>
      <c r="X2330">
        <v>1</v>
      </c>
      <c r="Y2330">
        <v>0</v>
      </c>
      <c r="Z2330">
        <v>1</v>
      </c>
      <c r="AA2330">
        <v>0</v>
      </c>
      <c r="AB2330">
        <v>184.12</v>
      </c>
      <c r="AC2330">
        <v>162</v>
      </c>
      <c r="AD2330">
        <v>0</v>
      </c>
      <c r="AE2330">
        <v>22.12</v>
      </c>
      <c r="AF2330">
        <v>0</v>
      </c>
      <c r="AG2330">
        <v>0</v>
      </c>
      <c r="AH2330">
        <v>0</v>
      </c>
      <c r="AI2330">
        <v>0</v>
      </c>
      <c r="AJ2330">
        <v>184.12</v>
      </c>
      <c r="AK2330">
        <v>0</v>
      </c>
      <c r="AL2330" t="s">
        <v>53</v>
      </c>
      <c r="AM2330" t="s">
        <v>53</v>
      </c>
      <c r="AN2330" t="s">
        <v>3712</v>
      </c>
      <c r="AO2330" t="s">
        <v>53</v>
      </c>
      <c r="AP2330" t="s">
        <v>53</v>
      </c>
    </row>
    <row r="2331" spans="2:42" x14ac:dyDescent="0.2">
      <c r="B2331" t="s">
        <v>44</v>
      </c>
      <c r="C2331" t="str">
        <f>HYPERLINK("https://us2.cloudbeds.com/connect/8493803454333002#/reservations/579388305552?display=DJKNXMHB&amp;reservation_id=579388305552", "DJKNXMHB")</f>
        <v>DJKNXMHB</v>
      </c>
      <c r="D2331" t="s">
        <v>45</v>
      </c>
      <c r="E2331" t="s">
        <v>121</v>
      </c>
      <c r="F2331" t="s">
        <v>86</v>
      </c>
      <c r="G2331" t="s">
        <v>48</v>
      </c>
      <c r="H2331" t="s">
        <v>49</v>
      </c>
      <c r="I2331" t="s">
        <v>79</v>
      </c>
      <c r="J2331" t="s">
        <v>1380</v>
      </c>
      <c r="K2331" t="s">
        <v>2960</v>
      </c>
      <c r="L2331" t="s">
        <v>53</v>
      </c>
      <c r="N2331" t="s">
        <v>3713</v>
      </c>
      <c r="P2331" t="s">
        <v>55</v>
      </c>
      <c r="R2331" t="s">
        <v>56</v>
      </c>
      <c r="T2331" t="s">
        <v>3711</v>
      </c>
      <c r="U2331" t="s">
        <v>58</v>
      </c>
      <c r="V2331">
        <v>1</v>
      </c>
      <c r="W2331">
        <v>1</v>
      </c>
      <c r="X2331">
        <v>1</v>
      </c>
      <c r="Y2331">
        <v>0</v>
      </c>
      <c r="Z2331">
        <v>1</v>
      </c>
      <c r="AA2331">
        <v>0</v>
      </c>
      <c r="AB2331">
        <v>128.88</v>
      </c>
      <c r="AC2331">
        <v>113.4</v>
      </c>
      <c r="AD2331">
        <v>0</v>
      </c>
      <c r="AE2331">
        <v>15.48</v>
      </c>
      <c r="AF2331">
        <v>0</v>
      </c>
      <c r="AG2331">
        <v>0</v>
      </c>
      <c r="AH2331">
        <v>0</v>
      </c>
      <c r="AI2331">
        <v>0</v>
      </c>
      <c r="AJ2331">
        <v>128.88</v>
      </c>
      <c r="AK2331">
        <v>0</v>
      </c>
      <c r="AL2331" t="s">
        <v>53</v>
      </c>
      <c r="AM2331" t="s">
        <v>53</v>
      </c>
      <c r="AN2331" t="s">
        <v>68</v>
      </c>
      <c r="AO2331" t="s">
        <v>53</v>
      </c>
      <c r="AP2331" t="s">
        <v>53</v>
      </c>
    </row>
    <row r="2332" spans="2:42" x14ac:dyDescent="0.2">
      <c r="B2332" t="s">
        <v>44</v>
      </c>
      <c r="C2332" t="str">
        <f>HYPERLINK("https://us2.cloudbeds.com/connect/8493803454333002#/reservations/598232780972?display=E177NWM0&amp;reservation_id=598232780972", "E177NWM0")</f>
        <v>E177NWM0</v>
      </c>
      <c r="D2332" t="s">
        <v>45</v>
      </c>
      <c r="E2332" t="s">
        <v>213</v>
      </c>
      <c r="F2332" t="s">
        <v>86</v>
      </c>
      <c r="G2332" t="s">
        <v>48</v>
      </c>
      <c r="H2332" t="s">
        <v>49</v>
      </c>
      <c r="I2332" t="s">
        <v>79</v>
      </c>
      <c r="J2332" t="s">
        <v>1439</v>
      </c>
      <c r="K2332" t="s">
        <v>322</v>
      </c>
      <c r="L2332" t="s">
        <v>53</v>
      </c>
      <c r="N2332" t="s">
        <v>3714</v>
      </c>
      <c r="P2332" t="s">
        <v>55</v>
      </c>
      <c r="R2332" t="s">
        <v>56</v>
      </c>
      <c r="T2332" t="s">
        <v>3711</v>
      </c>
      <c r="U2332" t="s">
        <v>58</v>
      </c>
      <c r="V2332">
        <v>1</v>
      </c>
      <c r="W2332">
        <v>1</v>
      </c>
      <c r="X2332">
        <v>1</v>
      </c>
      <c r="Y2332">
        <v>0</v>
      </c>
      <c r="Z2332">
        <v>1</v>
      </c>
      <c r="AA2332">
        <v>0</v>
      </c>
      <c r="AB2332">
        <v>165.7</v>
      </c>
      <c r="AC2332">
        <v>145.80000000000001</v>
      </c>
      <c r="AD2332">
        <v>0</v>
      </c>
      <c r="AE2332">
        <v>19.899999999999999</v>
      </c>
      <c r="AF2332">
        <v>0</v>
      </c>
      <c r="AG2332">
        <v>0</v>
      </c>
      <c r="AH2332">
        <v>0</v>
      </c>
      <c r="AI2332">
        <v>0</v>
      </c>
      <c r="AJ2332">
        <v>165.7</v>
      </c>
      <c r="AK2332">
        <v>0</v>
      </c>
      <c r="AL2332" t="s">
        <v>53</v>
      </c>
      <c r="AM2332" t="s">
        <v>53</v>
      </c>
      <c r="AN2332" t="s">
        <v>132</v>
      </c>
      <c r="AO2332" t="s">
        <v>53</v>
      </c>
      <c r="AP2332" t="s">
        <v>53</v>
      </c>
    </row>
    <row r="2333" spans="2:42" x14ac:dyDescent="0.2">
      <c r="B2333" t="s">
        <v>44</v>
      </c>
      <c r="C2333" t="str">
        <f>HYPERLINK("https://us2.cloudbeds.com/connect/8493803454333002#/reservations/598274830561?display=E18A62N0&amp;reservation_id=598274830561", "E18A62N0")</f>
        <v>E18A62N0</v>
      </c>
      <c r="D2333" t="s">
        <v>45</v>
      </c>
      <c r="E2333" t="s">
        <v>121</v>
      </c>
      <c r="F2333" t="s">
        <v>86</v>
      </c>
      <c r="G2333" t="s">
        <v>48</v>
      </c>
      <c r="H2333" t="s">
        <v>71</v>
      </c>
      <c r="I2333" t="s">
        <v>72</v>
      </c>
      <c r="J2333" t="s">
        <v>988</v>
      </c>
      <c r="K2333" t="s">
        <v>1439</v>
      </c>
      <c r="L2333" t="s">
        <v>53</v>
      </c>
      <c r="N2333" t="s">
        <v>3715</v>
      </c>
      <c r="P2333" t="s">
        <v>55</v>
      </c>
      <c r="R2333" t="s">
        <v>56</v>
      </c>
      <c r="T2333" t="s">
        <v>3711</v>
      </c>
      <c r="U2333" t="s">
        <v>58</v>
      </c>
      <c r="V2333">
        <v>1</v>
      </c>
      <c r="W2333">
        <v>1</v>
      </c>
      <c r="X2333">
        <v>1</v>
      </c>
      <c r="Y2333">
        <v>0</v>
      </c>
      <c r="Z2333">
        <v>1</v>
      </c>
      <c r="AA2333">
        <v>0</v>
      </c>
      <c r="AB2333">
        <v>178.43</v>
      </c>
      <c r="AC2333">
        <v>157</v>
      </c>
      <c r="AD2333">
        <v>0</v>
      </c>
      <c r="AE2333">
        <v>21.43</v>
      </c>
      <c r="AF2333">
        <v>0</v>
      </c>
      <c r="AG2333">
        <v>0</v>
      </c>
      <c r="AH2333">
        <v>0</v>
      </c>
      <c r="AI2333">
        <v>0</v>
      </c>
      <c r="AJ2333">
        <v>178.43</v>
      </c>
      <c r="AK2333">
        <v>0</v>
      </c>
      <c r="AL2333" t="s">
        <v>53</v>
      </c>
      <c r="AM2333" t="s">
        <v>53</v>
      </c>
      <c r="AN2333" t="s">
        <v>378</v>
      </c>
      <c r="AO2333" t="s">
        <v>53</v>
      </c>
      <c r="AP2333" t="s">
        <v>53</v>
      </c>
    </row>
    <row r="2334" spans="2:42" x14ac:dyDescent="0.2">
      <c r="B2334" t="s">
        <v>44</v>
      </c>
      <c r="C2334" t="str">
        <f>HYPERLINK("https://us2.cloudbeds.com/connect/8493803454333002#/reservations/598284767474?display=E18XXJGJ&amp;reservation_id=598284767474", "E18XXJGJ")</f>
        <v>E18XXJGJ</v>
      </c>
      <c r="D2334" t="s">
        <v>45</v>
      </c>
      <c r="E2334" t="s">
        <v>121</v>
      </c>
      <c r="F2334" t="s">
        <v>86</v>
      </c>
      <c r="G2334" t="s">
        <v>48</v>
      </c>
      <c r="H2334" t="s">
        <v>49</v>
      </c>
      <c r="I2334" t="s">
        <v>50</v>
      </c>
      <c r="J2334" t="s">
        <v>351</v>
      </c>
      <c r="K2334" t="s">
        <v>323</v>
      </c>
      <c r="L2334" t="s">
        <v>53</v>
      </c>
      <c r="N2334" t="s">
        <v>3716</v>
      </c>
      <c r="P2334" t="s">
        <v>55</v>
      </c>
      <c r="R2334" t="s">
        <v>56</v>
      </c>
      <c r="T2334" t="s">
        <v>3711</v>
      </c>
      <c r="U2334" t="s">
        <v>58</v>
      </c>
      <c r="V2334">
        <v>2</v>
      </c>
      <c r="W2334">
        <v>1</v>
      </c>
      <c r="X2334">
        <v>1</v>
      </c>
      <c r="Y2334">
        <v>0</v>
      </c>
      <c r="Z2334">
        <v>1</v>
      </c>
      <c r="AA2334">
        <v>0</v>
      </c>
      <c r="AB2334">
        <v>374.36</v>
      </c>
      <c r="AC2334">
        <v>329.4</v>
      </c>
      <c r="AD2334">
        <v>0</v>
      </c>
      <c r="AE2334">
        <v>44.96</v>
      </c>
      <c r="AF2334">
        <v>0</v>
      </c>
      <c r="AG2334">
        <v>0</v>
      </c>
      <c r="AH2334">
        <v>0</v>
      </c>
      <c r="AI2334">
        <v>67.38</v>
      </c>
      <c r="AJ2334">
        <v>374.36</v>
      </c>
      <c r="AK2334">
        <v>0</v>
      </c>
      <c r="AL2334" t="s">
        <v>53</v>
      </c>
      <c r="AM2334" t="s">
        <v>53</v>
      </c>
      <c r="AN2334" t="s">
        <v>159</v>
      </c>
      <c r="AO2334" t="s">
        <v>53</v>
      </c>
      <c r="AP2334" t="s">
        <v>53</v>
      </c>
    </row>
    <row r="2335" spans="2:42" x14ac:dyDescent="0.2">
      <c r="B2335" t="s">
        <v>44</v>
      </c>
      <c r="C2335" t="str">
        <f>HYPERLINK("https://us2.cloudbeds.com/connect/8493803454333002#/reservations/598345162893?display=E1A3G60Q&amp;reservation_id=598345162893", "E1A3G60Q")</f>
        <v>E1A3G60Q</v>
      </c>
      <c r="D2335" t="s">
        <v>45</v>
      </c>
      <c r="E2335" t="s">
        <v>46</v>
      </c>
      <c r="F2335" t="s">
        <v>47</v>
      </c>
      <c r="G2335" t="s">
        <v>48</v>
      </c>
      <c r="H2335" t="s">
        <v>49</v>
      </c>
      <c r="I2335" t="s">
        <v>79</v>
      </c>
      <c r="J2335" t="s">
        <v>988</v>
      </c>
      <c r="K2335" t="s">
        <v>1439</v>
      </c>
      <c r="L2335" t="s">
        <v>53</v>
      </c>
      <c r="N2335" t="s">
        <v>3717</v>
      </c>
      <c r="P2335" t="s">
        <v>55</v>
      </c>
      <c r="R2335" t="s">
        <v>56</v>
      </c>
      <c r="T2335" t="s">
        <v>3711</v>
      </c>
      <c r="U2335" t="s">
        <v>58</v>
      </c>
      <c r="V2335">
        <v>1</v>
      </c>
      <c r="W2335">
        <v>1</v>
      </c>
      <c r="X2335">
        <v>1</v>
      </c>
      <c r="Y2335">
        <v>0</v>
      </c>
      <c r="Z2335">
        <v>1</v>
      </c>
      <c r="AA2335">
        <v>0</v>
      </c>
      <c r="AB2335">
        <v>143.19999999999999</v>
      </c>
      <c r="AC2335">
        <v>126</v>
      </c>
      <c r="AD2335">
        <v>0</v>
      </c>
      <c r="AE2335">
        <v>17.2</v>
      </c>
      <c r="AF2335">
        <v>0</v>
      </c>
      <c r="AG2335">
        <v>0</v>
      </c>
      <c r="AH2335">
        <v>0</v>
      </c>
      <c r="AI2335">
        <v>0</v>
      </c>
      <c r="AJ2335">
        <v>143.19999999999999</v>
      </c>
      <c r="AK2335">
        <v>0</v>
      </c>
      <c r="AL2335" t="s">
        <v>53</v>
      </c>
      <c r="AM2335" t="s">
        <v>53</v>
      </c>
      <c r="AN2335" t="s">
        <v>137</v>
      </c>
      <c r="AO2335" t="s">
        <v>53</v>
      </c>
      <c r="AP2335" t="s">
        <v>53</v>
      </c>
    </row>
    <row r="2336" spans="2:42" x14ac:dyDescent="0.2">
      <c r="B2336" t="s">
        <v>44</v>
      </c>
      <c r="C2336" t="str">
        <f>HYPERLINK("https://us2.cloudbeds.com/connect/8493803454333002#/reservations/598487941290?display=E1DZT6YT&amp;reservation_id=598487941290", "E1DZT6YT")</f>
        <v>E1DZT6YT</v>
      </c>
      <c r="D2336" t="s">
        <v>45</v>
      </c>
      <c r="E2336" t="s">
        <v>110</v>
      </c>
      <c r="F2336" t="s">
        <v>47</v>
      </c>
      <c r="G2336" t="s">
        <v>48</v>
      </c>
      <c r="H2336" t="s">
        <v>49</v>
      </c>
      <c r="I2336" t="s">
        <v>79</v>
      </c>
      <c r="J2336" t="s">
        <v>988</v>
      </c>
      <c r="K2336" t="s">
        <v>1439</v>
      </c>
      <c r="L2336" t="s">
        <v>53</v>
      </c>
      <c r="N2336" t="s">
        <v>3718</v>
      </c>
      <c r="P2336" t="s">
        <v>55</v>
      </c>
      <c r="R2336" t="s">
        <v>56</v>
      </c>
      <c r="T2336" t="s">
        <v>3711</v>
      </c>
      <c r="U2336" t="s">
        <v>58</v>
      </c>
      <c r="V2336">
        <v>1</v>
      </c>
      <c r="W2336">
        <v>1</v>
      </c>
      <c r="X2336">
        <v>1</v>
      </c>
      <c r="Y2336">
        <v>0</v>
      </c>
      <c r="Z2336">
        <v>1</v>
      </c>
      <c r="AA2336">
        <v>0</v>
      </c>
      <c r="AB2336">
        <v>143.19999999999999</v>
      </c>
      <c r="AC2336">
        <v>126</v>
      </c>
      <c r="AD2336">
        <v>0</v>
      </c>
      <c r="AE2336">
        <v>17.2</v>
      </c>
      <c r="AF2336">
        <v>0</v>
      </c>
      <c r="AG2336">
        <v>0</v>
      </c>
      <c r="AH2336">
        <v>0</v>
      </c>
      <c r="AI2336">
        <v>0</v>
      </c>
      <c r="AJ2336">
        <v>143.19999999999999</v>
      </c>
      <c r="AK2336">
        <v>0</v>
      </c>
      <c r="AL2336" t="s">
        <v>53</v>
      </c>
      <c r="AM2336" t="s">
        <v>53</v>
      </c>
      <c r="AN2336" t="s">
        <v>349</v>
      </c>
      <c r="AO2336" t="s">
        <v>53</v>
      </c>
      <c r="AP2336" t="s">
        <v>53</v>
      </c>
    </row>
    <row r="2337" spans="2:42" x14ac:dyDescent="0.2">
      <c r="B2337" t="s">
        <v>44</v>
      </c>
      <c r="C2337" t="str">
        <f>HYPERLINK("https://us2.cloudbeds.com/connect/8493803454333002#/reservations/579399155888?display=DJKWNK3D&amp;reservation_id=579399155888", "DJKWNK3D")</f>
        <v>DJKWNK3D</v>
      </c>
      <c r="D2337" t="s">
        <v>45</v>
      </c>
      <c r="E2337" t="s">
        <v>265</v>
      </c>
      <c r="F2337" t="s">
        <v>61</v>
      </c>
      <c r="G2337" t="s">
        <v>48</v>
      </c>
      <c r="H2337" t="s">
        <v>49</v>
      </c>
      <c r="I2337" t="s">
        <v>79</v>
      </c>
      <c r="J2337" t="s">
        <v>1380</v>
      </c>
      <c r="K2337" t="s">
        <v>2960</v>
      </c>
      <c r="L2337" t="s">
        <v>53</v>
      </c>
      <c r="N2337" t="s">
        <v>3719</v>
      </c>
      <c r="P2337" t="s">
        <v>55</v>
      </c>
      <c r="R2337" t="s">
        <v>56</v>
      </c>
      <c r="T2337" t="s">
        <v>3711</v>
      </c>
      <c r="U2337" t="s">
        <v>58</v>
      </c>
      <c r="V2337">
        <v>1</v>
      </c>
      <c r="W2337">
        <v>1</v>
      </c>
      <c r="X2337">
        <v>1</v>
      </c>
      <c r="Y2337">
        <v>0</v>
      </c>
      <c r="Z2337">
        <v>1</v>
      </c>
      <c r="AA2337">
        <v>0</v>
      </c>
      <c r="AB2337">
        <v>124.78</v>
      </c>
      <c r="AC2337">
        <v>109.8</v>
      </c>
      <c r="AD2337">
        <v>0</v>
      </c>
      <c r="AE2337">
        <v>14.98</v>
      </c>
      <c r="AF2337">
        <v>0</v>
      </c>
      <c r="AG2337">
        <v>0</v>
      </c>
      <c r="AH2337">
        <v>0</v>
      </c>
      <c r="AI2337">
        <v>0</v>
      </c>
      <c r="AJ2337">
        <v>124.78</v>
      </c>
      <c r="AK2337">
        <v>0</v>
      </c>
      <c r="AL2337" t="s">
        <v>53</v>
      </c>
      <c r="AM2337" t="s">
        <v>53</v>
      </c>
      <c r="AN2337" t="s">
        <v>178</v>
      </c>
      <c r="AO2337" t="s">
        <v>53</v>
      </c>
      <c r="AP2337" t="s">
        <v>53</v>
      </c>
    </row>
    <row r="2338" spans="2:42" x14ac:dyDescent="0.2">
      <c r="B2338" t="s">
        <v>44</v>
      </c>
      <c r="C2338" t="str">
        <f>HYPERLINK("https://us2.cloudbeds.com/connect/8493803454333002#/reservations/598483738834?display=E1DYB8YZ&amp;reservation_id=598483738834", "E1DYB8YZ")</f>
        <v>E1DYB8YZ</v>
      </c>
      <c r="D2338" t="s">
        <v>45</v>
      </c>
      <c r="E2338" t="s">
        <v>381</v>
      </c>
      <c r="F2338" t="s">
        <v>47</v>
      </c>
      <c r="G2338" t="s">
        <v>48</v>
      </c>
      <c r="H2338" t="s">
        <v>49</v>
      </c>
      <c r="I2338" t="s">
        <v>114</v>
      </c>
      <c r="J2338" t="s">
        <v>988</v>
      </c>
      <c r="K2338" t="s">
        <v>1439</v>
      </c>
      <c r="L2338" t="s">
        <v>53</v>
      </c>
      <c r="N2338" t="s">
        <v>3720</v>
      </c>
      <c r="P2338" t="s">
        <v>55</v>
      </c>
      <c r="R2338" t="s">
        <v>56</v>
      </c>
      <c r="T2338" t="s">
        <v>3711</v>
      </c>
      <c r="U2338" t="s">
        <v>58</v>
      </c>
      <c r="V2338">
        <v>1</v>
      </c>
      <c r="W2338">
        <v>1</v>
      </c>
      <c r="X2338">
        <v>1</v>
      </c>
      <c r="Y2338">
        <v>0</v>
      </c>
      <c r="Z2338">
        <v>1</v>
      </c>
      <c r="AA2338">
        <v>0</v>
      </c>
      <c r="AB2338">
        <v>153.43</v>
      </c>
      <c r="AC2338">
        <v>135</v>
      </c>
      <c r="AD2338">
        <v>0</v>
      </c>
      <c r="AE2338">
        <v>18.440000000000001</v>
      </c>
      <c r="AF2338">
        <v>0</v>
      </c>
      <c r="AG2338">
        <v>0</v>
      </c>
      <c r="AH2338">
        <v>0</v>
      </c>
      <c r="AI2338">
        <v>0</v>
      </c>
      <c r="AJ2338">
        <v>153.44</v>
      </c>
      <c r="AK2338">
        <v>0.01</v>
      </c>
      <c r="AL2338" t="s">
        <v>53</v>
      </c>
      <c r="AM2338" t="s">
        <v>53</v>
      </c>
      <c r="AN2338" t="s">
        <v>3721</v>
      </c>
      <c r="AO2338" t="s">
        <v>53</v>
      </c>
      <c r="AP2338" t="s">
        <v>53</v>
      </c>
    </row>
    <row r="2339" spans="2:42" x14ac:dyDescent="0.2">
      <c r="B2339" t="s">
        <v>44</v>
      </c>
      <c r="C2339" t="str">
        <f>HYPERLINK("https://us2.cloudbeds.com/connect/8493803454333002#/reservations/579320623263?display=DJXWGAYT&amp;reservation_id=579320623263", "DJXWGAYT")</f>
        <v>DJXWGAYT</v>
      </c>
      <c r="D2339" t="s">
        <v>45</v>
      </c>
      <c r="E2339" t="s">
        <v>138</v>
      </c>
      <c r="F2339" t="s">
        <v>70</v>
      </c>
      <c r="G2339" t="s">
        <v>48</v>
      </c>
      <c r="H2339" t="s">
        <v>71</v>
      </c>
      <c r="I2339" t="s">
        <v>72</v>
      </c>
      <c r="J2339" t="s">
        <v>1332</v>
      </c>
      <c r="K2339" t="s">
        <v>1333</v>
      </c>
      <c r="L2339" t="s">
        <v>53</v>
      </c>
      <c r="N2339" t="s">
        <v>3722</v>
      </c>
      <c r="P2339" t="s">
        <v>55</v>
      </c>
      <c r="R2339" t="s">
        <v>871</v>
      </c>
      <c r="T2339" t="s">
        <v>3711</v>
      </c>
      <c r="U2339" t="s">
        <v>58</v>
      </c>
      <c r="V2339">
        <v>1</v>
      </c>
      <c r="W2339">
        <v>1</v>
      </c>
      <c r="X2339">
        <v>1</v>
      </c>
      <c r="Y2339">
        <v>0</v>
      </c>
      <c r="Z2339">
        <v>1</v>
      </c>
      <c r="AA2339">
        <v>0</v>
      </c>
      <c r="AB2339">
        <v>152.30000000000001</v>
      </c>
      <c r="AC2339">
        <v>134</v>
      </c>
      <c r="AD2339">
        <v>0</v>
      </c>
      <c r="AE2339">
        <v>18.3</v>
      </c>
      <c r="AF2339">
        <v>0</v>
      </c>
      <c r="AG2339">
        <v>0</v>
      </c>
      <c r="AH2339">
        <v>0</v>
      </c>
      <c r="AI2339">
        <v>0</v>
      </c>
      <c r="AJ2339">
        <v>152.30000000000001</v>
      </c>
      <c r="AK2339">
        <v>0</v>
      </c>
      <c r="AL2339" t="s">
        <v>53</v>
      </c>
      <c r="AM2339" t="s">
        <v>53</v>
      </c>
      <c r="AN2339" t="s">
        <v>3723</v>
      </c>
      <c r="AO2339" t="s">
        <v>53</v>
      </c>
      <c r="AP2339" t="s">
        <v>53</v>
      </c>
    </row>
    <row r="2340" spans="2:42" x14ac:dyDescent="0.2">
      <c r="B2340" t="s">
        <v>44</v>
      </c>
      <c r="C2340" t="str">
        <f>HYPERLINK("https://us2.cloudbeds.com/connect/8493803454333002#/reservations/598399975623?display=E1BGNE3J&amp;reservation_id=598399975623", "E1BGNE3J")</f>
        <v>E1BGNE3J</v>
      </c>
      <c r="D2340" t="s">
        <v>45</v>
      </c>
      <c r="E2340" t="s">
        <v>165</v>
      </c>
      <c r="F2340" t="s">
        <v>61</v>
      </c>
      <c r="G2340" t="s">
        <v>48</v>
      </c>
      <c r="H2340" t="s">
        <v>49</v>
      </c>
      <c r="I2340" t="s">
        <v>50</v>
      </c>
      <c r="J2340" t="s">
        <v>323</v>
      </c>
      <c r="K2340" t="s">
        <v>504</v>
      </c>
      <c r="L2340" t="s">
        <v>53</v>
      </c>
      <c r="N2340" t="s">
        <v>3724</v>
      </c>
      <c r="P2340" t="s">
        <v>55</v>
      </c>
      <c r="R2340" t="s">
        <v>56</v>
      </c>
      <c r="T2340" t="s">
        <v>3711</v>
      </c>
      <c r="U2340" t="s">
        <v>58</v>
      </c>
      <c r="V2340">
        <v>2</v>
      </c>
      <c r="W2340">
        <v>1</v>
      </c>
      <c r="X2340">
        <v>1</v>
      </c>
      <c r="Y2340">
        <v>0</v>
      </c>
      <c r="Z2340">
        <v>1</v>
      </c>
      <c r="AA2340">
        <v>0</v>
      </c>
      <c r="AB2340">
        <v>317.08</v>
      </c>
      <c r="AC2340">
        <v>279</v>
      </c>
      <c r="AD2340">
        <v>0</v>
      </c>
      <c r="AE2340">
        <v>38.08</v>
      </c>
      <c r="AF2340">
        <v>0</v>
      </c>
      <c r="AG2340">
        <v>0</v>
      </c>
      <c r="AH2340">
        <v>0</v>
      </c>
      <c r="AI2340">
        <v>57.07</v>
      </c>
      <c r="AJ2340">
        <v>317.08</v>
      </c>
      <c r="AK2340">
        <v>0</v>
      </c>
      <c r="AL2340" t="s">
        <v>53</v>
      </c>
      <c r="AM2340" t="s">
        <v>53</v>
      </c>
      <c r="AN2340" t="s">
        <v>59</v>
      </c>
      <c r="AO2340" t="s">
        <v>53</v>
      </c>
      <c r="AP2340" t="s">
        <v>53</v>
      </c>
    </row>
    <row r="2341" spans="2:42" x14ac:dyDescent="0.2">
      <c r="B2341" t="s">
        <v>44</v>
      </c>
      <c r="C2341" t="str">
        <f>HYPERLINK("https://us2.cloudbeds.com/connect/8493803454333002#/reservations/579318853783?display=DJXV02Q9&amp;reservation_id=579318853783", "DJXV02Q9")</f>
        <v>DJXV02Q9</v>
      </c>
      <c r="D2341" t="s">
        <v>45</v>
      </c>
      <c r="E2341" t="s">
        <v>138</v>
      </c>
      <c r="F2341" t="s">
        <v>70</v>
      </c>
      <c r="G2341" t="s">
        <v>48</v>
      </c>
      <c r="H2341" t="s">
        <v>49</v>
      </c>
      <c r="I2341" t="s">
        <v>114</v>
      </c>
      <c r="J2341" t="s">
        <v>1333</v>
      </c>
      <c r="K2341" t="s">
        <v>1933</v>
      </c>
      <c r="L2341" t="s">
        <v>53</v>
      </c>
      <c r="N2341" t="s">
        <v>3725</v>
      </c>
      <c r="P2341" t="s">
        <v>55</v>
      </c>
      <c r="R2341" t="s">
        <v>56</v>
      </c>
      <c r="T2341" t="s">
        <v>3711</v>
      </c>
      <c r="U2341" t="s">
        <v>58</v>
      </c>
      <c r="V2341">
        <v>1</v>
      </c>
      <c r="W2341">
        <v>1</v>
      </c>
      <c r="X2341">
        <v>1</v>
      </c>
      <c r="Y2341">
        <v>0</v>
      </c>
      <c r="Z2341">
        <v>1</v>
      </c>
      <c r="AA2341">
        <v>0</v>
      </c>
      <c r="AB2341">
        <v>152.30000000000001</v>
      </c>
      <c r="AC2341">
        <v>134</v>
      </c>
      <c r="AD2341">
        <v>0</v>
      </c>
      <c r="AE2341">
        <v>18.3</v>
      </c>
      <c r="AF2341">
        <v>0</v>
      </c>
      <c r="AG2341">
        <v>0</v>
      </c>
      <c r="AH2341">
        <v>0</v>
      </c>
      <c r="AI2341">
        <v>0</v>
      </c>
      <c r="AJ2341">
        <v>152.30000000000001</v>
      </c>
      <c r="AK2341">
        <v>0</v>
      </c>
      <c r="AL2341" t="s">
        <v>53</v>
      </c>
      <c r="AM2341" t="s">
        <v>53</v>
      </c>
      <c r="AN2341" t="s">
        <v>3726</v>
      </c>
      <c r="AO2341" t="s">
        <v>53</v>
      </c>
      <c r="AP2341" t="s">
        <v>53</v>
      </c>
    </row>
    <row r="2342" spans="2:42" x14ac:dyDescent="0.2">
      <c r="B2342" t="s">
        <v>44</v>
      </c>
      <c r="C2342" t="str">
        <f>HYPERLINK("https://us2.cloudbeds.com/connect/8493803454333002#/reservations/598399979740?display=E1BGNHTC&amp;reservation_id=598399979740", "E1BGNHTC")</f>
        <v>E1BGNHTC</v>
      </c>
      <c r="D2342" t="s">
        <v>45</v>
      </c>
      <c r="E2342" t="s">
        <v>406</v>
      </c>
      <c r="F2342" t="s">
        <v>61</v>
      </c>
      <c r="G2342" t="s">
        <v>48</v>
      </c>
      <c r="H2342" t="s">
        <v>49</v>
      </c>
      <c r="I2342" t="s">
        <v>50</v>
      </c>
      <c r="J2342" t="s">
        <v>988</v>
      </c>
      <c r="K2342" t="s">
        <v>1439</v>
      </c>
      <c r="L2342" t="s">
        <v>53</v>
      </c>
      <c r="N2342" t="s">
        <v>3727</v>
      </c>
      <c r="P2342" t="s">
        <v>55</v>
      </c>
      <c r="R2342" t="s">
        <v>56</v>
      </c>
      <c r="T2342" t="s">
        <v>3711</v>
      </c>
      <c r="U2342" t="s">
        <v>58</v>
      </c>
      <c r="V2342">
        <v>1</v>
      </c>
      <c r="W2342">
        <v>1</v>
      </c>
      <c r="X2342">
        <v>1</v>
      </c>
      <c r="Y2342">
        <v>0</v>
      </c>
      <c r="Z2342">
        <v>1</v>
      </c>
      <c r="AA2342">
        <v>0</v>
      </c>
      <c r="AB2342">
        <v>158.54</v>
      </c>
      <c r="AC2342">
        <v>139.5</v>
      </c>
      <c r="AD2342">
        <v>0</v>
      </c>
      <c r="AE2342">
        <v>19.04</v>
      </c>
      <c r="AF2342">
        <v>0</v>
      </c>
      <c r="AG2342">
        <v>0</v>
      </c>
      <c r="AH2342">
        <v>0</v>
      </c>
      <c r="AI2342">
        <v>28.54</v>
      </c>
      <c r="AJ2342">
        <v>158.54</v>
      </c>
      <c r="AK2342">
        <v>0</v>
      </c>
      <c r="AL2342" t="s">
        <v>53</v>
      </c>
      <c r="AM2342" t="s">
        <v>53</v>
      </c>
      <c r="AN2342" t="s">
        <v>332</v>
      </c>
      <c r="AO2342" t="s">
        <v>53</v>
      </c>
      <c r="AP2342" t="s">
        <v>53</v>
      </c>
    </row>
    <row r="2343" spans="2:42" x14ac:dyDescent="0.2">
      <c r="B2343" t="s">
        <v>44</v>
      </c>
      <c r="C2343" t="str">
        <f>HYPERLINK("https://us2.cloudbeds.com/connect/8493803454333002#/reservations/579316625616?display=DJXT42Z1&amp;reservation_id=579316625616", "DJXT42Z1")</f>
        <v>DJXT42Z1</v>
      </c>
      <c r="D2343" t="s">
        <v>45</v>
      </c>
      <c r="E2343" t="s">
        <v>155</v>
      </c>
      <c r="F2343" t="s">
        <v>86</v>
      </c>
      <c r="G2343" t="s">
        <v>48</v>
      </c>
      <c r="H2343" t="s">
        <v>71</v>
      </c>
      <c r="I2343" t="s">
        <v>72</v>
      </c>
      <c r="J2343" t="s">
        <v>1502</v>
      </c>
      <c r="K2343" t="s">
        <v>1436</v>
      </c>
      <c r="L2343" t="s">
        <v>53</v>
      </c>
      <c r="N2343" t="s">
        <v>3728</v>
      </c>
      <c r="P2343" t="s">
        <v>58</v>
      </c>
      <c r="R2343" t="s">
        <v>56</v>
      </c>
      <c r="T2343" t="s">
        <v>3711</v>
      </c>
      <c r="U2343" t="s">
        <v>58</v>
      </c>
      <c r="V2343">
        <v>1</v>
      </c>
      <c r="W2343">
        <v>1</v>
      </c>
      <c r="X2343">
        <v>1</v>
      </c>
      <c r="Y2343">
        <v>0</v>
      </c>
      <c r="Z2343">
        <v>1</v>
      </c>
      <c r="AA2343">
        <v>0</v>
      </c>
      <c r="AB2343">
        <v>184.12</v>
      </c>
      <c r="AC2343">
        <v>162</v>
      </c>
      <c r="AD2343">
        <v>0</v>
      </c>
      <c r="AE2343">
        <v>22.12</v>
      </c>
      <c r="AF2343">
        <v>0</v>
      </c>
      <c r="AG2343">
        <v>0</v>
      </c>
      <c r="AH2343">
        <v>0</v>
      </c>
      <c r="AI2343">
        <v>0</v>
      </c>
      <c r="AJ2343">
        <v>184.12</v>
      </c>
      <c r="AK2343">
        <v>0</v>
      </c>
      <c r="AL2343" t="s">
        <v>53</v>
      </c>
      <c r="AM2343" t="s">
        <v>53</v>
      </c>
      <c r="AN2343" t="s">
        <v>3729</v>
      </c>
      <c r="AO2343" t="s">
        <v>53</v>
      </c>
      <c r="AP2343" t="s">
        <v>53</v>
      </c>
    </row>
    <row r="2344" spans="2:42" x14ac:dyDescent="0.2">
      <c r="B2344" t="s">
        <v>44</v>
      </c>
      <c r="C2344" t="str">
        <f>HYPERLINK("https://us2.cloudbeds.com/connect/8493803454333002#/reservations/579314503818?display=DJXRB1B4&amp;reservation_id=579314503818", "DJXRB1B4")</f>
        <v>DJXRB1B4</v>
      </c>
      <c r="D2344" t="s">
        <v>45</v>
      </c>
      <c r="E2344" t="s">
        <v>128</v>
      </c>
      <c r="F2344" t="s">
        <v>86</v>
      </c>
      <c r="G2344" t="s">
        <v>48</v>
      </c>
      <c r="H2344" t="s">
        <v>71</v>
      </c>
      <c r="I2344" t="s">
        <v>72</v>
      </c>
      <c r="J2344" t="s">
        <v>1502</v>
      </c>
      <c r="K2344" t="s">
        <v>1436</v>
      </c>
      <c r="L2344" t="s">
        <v>53</v>
      </c>
      <c r="N2344" t="s">
        <v>3730</v>
      </c>
      <c r="P2344" t="s">
        <v>58</v>
      </c>
      <c r="R2344" t="s">
        <v>56</v>
      </c>
      <c r="T2344" t="s">
        <v>3711</v>
      </c>
      <c r="U2344" t="s">
        <v>58</v>
      </c>
      <c r="V2344">
        <v>1</v>
      </c>
      <c r="W2344">
        <v>1</v>
      </c>
      <c r="X2344">
        <v>1</v>
      </c>
      <c r="Y2344">
        <v>0</v>
      </c>
      <c r="Z2344">
        <v>1</v>
      </c>
      <c r="AA2344">
        <v>0</v>
      </c>
      <c r="AB2344">
        <v>184.12</v>
      </c>
      <c r="AC2344">
        <v>162</v>
      </c>
      <c r="AD2344">
        <v>0</v>
      </c>
      <c r="AE2344">
        <v>22.12</v>
      </c>
      <c r="AF2344">
        <v>0</v>
      </c>
      <c r="AG2344">
        <v>0</v>
      </c>
      <c r="AH2344">
        <v>0</v>
      </c>
      <c r="AI2344">
        <v>0</v>
      </c>
      <c r="AJ2344">
        <v>184.12</v>
      </c>
      <c r="AK2344">
        <v>0</v>
      </c>
      <c r="AL2344" t="s">
        <v>53</v>
      </c>
      <c r="AM2344" t="s">
        <v>53</v>
      </c>
      <c r="AN2344" t="s">
        <v>3712</v>
      </c>
      <c r="AO2344" t="s">
        <v>53</v>
      </c>
      <c r="AP2344" t="s">
        <v>53</v>
      </c>
    </row>
    <row r="2345" spans="2:42" x14ac:dyDescent="0.2">
      <c r="B2345" t="s">
        <v>44</v>
      </c>
      <c r="C2345" t="str">
        <f>HYPERLINK("https://us2.cloudbeds.com/connect/8493803454333002#/reservations/579312734410?display=DJXPRQHN&amp;reservation_id=579312734410", "DJXPRQHN")</f>
        <v>DJXPRQHN</v>
      </c>
      <c r="D2345" t="s">
        <v>45</v>
      </c>
      <c r="E2345" t="s">
        <v>85</v>
      </c>
      <c r="F2345" t="s">
        <v>86</v>
      </c>
      <c r="G2345" t="s">
        <v>48</v>
      </c>
      <c r="H2345" t="s">
        <v>71</v>
      </c>
      <c r="I2345" t="s">
        <v>72</v>
      </c>
      <c r="J2345" t="s">
        <v>1502</v>
      </c>
      <c r="K2345" t="s">
        <v>1436</v>
      </c>
      <c r="L2345" t="s">
        <v>53</v>
      </c>
      <c r="N2345" t="s">
        <v>3731</v>
      </c>
      <c r="P2345" t="s">
        <v>58</v>
      </c>
      <c r="R2345" t="s">
        <v>56</v>
      </c>
      <c r="T2345" t="s">
        <v>3711</v>
      </c>
      <c r="U2345" t="s">
        <v>58</v>
      </c>
      <c r="V2345">
        <v>1</v>
      </c>
      <c r="W2345">
        <v>1</v>
      </c>
      <c r="X2345">
        <v>1</v>
      </c>
      <c r="Y2345">
        <v>0</v>
      </c>
      <c r="Z2345">
        <v>1</v>
      </c>
      <c r="AA2345">
        <v>0</v>
      </c>
      <c r="AB2345">
        <v>184.12</v>
      </c>
      <c r="AC2345">
        <v>162</v>
      </c>
      <c r="AD2345">
        <v>0</v>
      </c>
      <c r="AE2345">
        <v>22.12</v>
      </c>
      <c r="AF2345">
        <v>0</v>
      </c>
      <c r="AG2345">
        <v>0</v>
      </c>
      <c r="AH2345">
        <v>0</v>
      </c>
      <c r="AI2345">
        <v>0</v>
      </c>
      <c r="AJ2345">
        <v>184.12</v>
      </c>
      <c r="AK2345">
        <v>0</v>
      </c>
      <c r="AL2345" t="s">
        <v>53</v>
      </c>
      <c r="AM2345" t="s">
        <v>53</v>
      </c>
      <c r="AN2345" t="s">
        <v>3732</v>
      </c>
      <c r="AO2345" t="s">
        <v>53</v>
      </c>
      <c r="AP2345" t="s">
        <v>53</v>
      </c>
    </row>
    <row r="2346" spans="2:42" x14ac:dyDescent="0.2">
      <c r="B2346" t="s">
        <v>44</v>
      </c>
      <c r="C2346" t="str">
        <f>HYPERLINK("https://us2.cloudbeds.com/connect/8493803454333002#/reservations/598472986781?display=E1DC92AV&amp;reservation_id=598472986781", "E1DC92AV")</f>
        <v>E1DC92AV</v>
      </c>
      <c r="D2346" t="s">
        <v>45</v>
      </c>
      <c r="E2346" t="s">
        <v>179</v>
      </c>
      <c r="F2346" t="s">
        <v>47</v>
      </c>
      <c r="G2346" t="s">
        <v>48</v>
      </c>
      <c r="H2346" t="s">
        <v>49</v>
      </c>
      <c r="I2346" t="s">
        <v>50</v>
      </c>
      <c r="J2346" t="s">
        <v>1439</v>
      </c>
      <c r="K2346" t="s">
        <v>322</v>
      </c>
      <c r="L2346" t="s">
        <v>53</v>
      </c>
      <c r="N2346" t="s">
        <v>3733</v>
      </c>
      <c r="P2346" t="s">
        <v>55</v>
      </c>
      <c r="R2346" t="s">
        <v>56</v>
      </c>
      <c r="T2346" t="s">
        <v>3711</v>
      </c>
      <c r="U2346" t="s">
        <v>58</v>
      </c>
      <c r="V2346">
        <v>1</v>
      </c>
      <c r="W2346">
        <v>1</v>
      </c>
      <c r="X2346">
        <v>1</v>
      </c>
      <c r="Y2346">
        <v>0</v>
      </c>
      <c r="Z2346">
        <v>1</v>
      </c>
      <c r="AA2346">
        <v>0</v>
      </c>
      <c r="AB2346">
        <v>143.19999999999999</v>
      </c>
      <c r="AC2346">
        <v>126</v>
      </c>
      <c r="AD2346">
        <v>0</v>
      </c>
      <c r="AE2346">
        <v>17.2</v>
      </c>
      <c r="AF2346">
        <v>0</v>
      </c>
      <c r="AG2346">
        <v>0</v>
      </c>
      <c r="AH2346">
        <v>0</v>
      </c>
      <c r="AI2346">
        <v>25.78</v>
      </c>
      <c r="AJ2346">
        <v>143.19999999999999</v>
      </c>
      <c r="AK2346">
        <v>0</v>
      </c>
      <c r="AL2346" t="s">
        <v>53</v>
      </c>
      <c r="AM2346" t="s">
        <v>53</v>
      </c>
      <c r="AN2346" t="s">
        <v>413</v>
      </c>
      <c r="AO2346" t="s">
        <v>53</v>
      </c>
      <c r="AP2346" t="s">
        <v>53</v>
      </c>
    </row>
    <row r="2347" spans="2:42" x14ac:dyDescent="0.2">
      <c r="B2347" t="s">
        <v>44</v>
      </c>
      <c r="C2347" t="str">
        <f>HYPERLINK("https://us2.cloudbeds.com/connect/8493803454333002#/reservations/598572126459?display=E1FTSPMK&amp;reservation_id=598572126459", "E1FTSPMK")</f>
        <v>E1FTSPMK</v>
      </c>
      <c r="D2347" t="s">
        <v>45</v>
      </c>
      <c r="E2347" t="s">
        <v>110</v>
      </c>
      <c r="F2347" t="s">
        <v>47</v>
      </c>
      <c r="G2347" t="s">
        <v>48</v>
      </c>
      <c r="H2347" t="s">
        <v>49</v>
      </c>
      <c r="I2347" t="s">
        <v>79</v>
      </c>
      <c r="J2347" t="s">
        <v>1439</v>
      </c>
      <c r="K2347" t="s">
        <v>99</v>
      </c>
      <c r="L2347" t="s">
        <v>53</v>
      </c>
      <c r="N2347" t="s">
        <v>3734</v>
      </c>
      <c r="P2347" t="s">
        <v>55</v>
      </c>
      <c r="R2347" t="s">
        <v>56</v>
      </c>
      <c r="T2347" t="s">
        <v>3711</v>
      </c>
      <c r="U2347" t="s">
        <v>58</v>
      </c>
      <c r="V2347">
        <v>3</v>
      </c>
      <c r="W2347">
        <v>1</v>
      </c>
      <c r="X2347">
        <v>1</v>
      </c>
      <c r="Y2347">
        <v>0</v>
      </c>
      <c r="Z2347">
        <v>1</v>
      </c>
      <c r="AA2347">
        <v>0</v>
      </c>
      <c r="AB2347">
        <v>450.05</v>
      </c>
      <c r="AC2347">
        <v>396</v>
      </c>
      <c r="AD2347">
        <v>0</v>
      </c>
      <c r="AE2347">
        <v>54.06</v>
      </c>
      <c r="AF2347">
        <v>0</v>
      </c>
      <c r="AG2347">
        <v>0</v>
      </c>
      <c r="AH2347">
        <v>0</v>
      </c>
      <c r="AI2347">
        <v>0</v>
      </c>
      <c r="AJ2347">
        <v>450.06</v>
      </c>
      <c r="AK2347">
        <v>0.01</v>
      </c>
      <c r="AL2347" t="s">
        <v>53</v>
      </c>
      <c r="AM2347" t="s">
        <v>53</v>
      </c>
      <c r="AN2347" t="s">
        <v>413</v>
      </c>
      <c r="AO2347" t="s">
        <v>53</v>
      </c>
      <c r="AP2347" t="s">
        <v>53</v>
      </c>
    </row>
    <row r="2348" spans="2:42" x14ac:dyDescent="0.2">
      <c r="B2348" t="s">
        <v>44</v>
      </c>
      <c r="C2348" t="str">
        <f>HYPERLINK("https://us2.cloudbeds.com/connect/8493803454333002#/reservations/598582005939?display=E1G56MZQ&amp;reservation_id=598582005939", "E1G56MZQ")</f>
        <v>E1G56MZQ</v>
      </c>
      <c r="D2348" t="s">
        <v>45</v>
      </c>
      <c r="E2348" t="s">
        <v>305</v>
      </c>
      <c r="F2348" t="s">
        <v>61</v>
      </c>
      <c r="G2348" t="s">
        <v>48</v>
      </c>
      <c r="H2348" t="s">
        <v>49</v>
      </c>
      <c r="I2348" t="s">
        <v>79</v>
      </c>
      <c r="J2348" t="s">
        <v>322</v>
      </c>
      <c r="K2348" t="s">
        <v>351</v>
      </c>
      <c r="L2348" t="s">
        <v>53</v>
      </c>
      <c r="N2348" t="s">
        <v>3735</v>
      </c>
      <c r="P2348" t="s">
        <v>55</v>
      </c>
      <c r="R2348" t="s">
        <v>56</v>
      </c>
      <c r="T2348" t="s">
        <v>3711</v>
      </c>
      <c r="U2348" t="s">
        <v>58</v>
      </c>
      <c r="V2348">
        <v>1</v>
      </c>
      <c r="W2348">
        <v>1</v>
      </c>
      <c r="X2348">
        <v>1</v>
      </c>
      <c r="Y2348">
        <v>0</v>
      </c>
      <c r="Z2348">
        <v>1</v>
      </c>
      <c r="AA2348">
        <v>0</v>
      </c>
      <c r="AB2348">
        <v>158.54</v>
      </c>
      <c r="AC2348">
        <v>139.5</v>
      </c>
      <c r="AD2348">
        <v>0</v>
      </c>
      <c r="AE2348">
        <v>19.04</v>
      </c>
      <c r="AF2348">
        <v>0</v>
      </c>
      <c r="AG2348">
        <v>0</v>
      </c>
      <c r="AH2348">
        <v>0</v>
      </c>
      <c r="AI2348">
        <v>0</v>
      </c>
      <c r="AJ2348">
        <v>158.54</v>
      </c>
      <c r="AK2348">
        <v>0</v>
      </c>
      <c r="AL2348" t="s">
        <v>53</v>
      </c>
      <c r="AM2348" t="s">
        <v>53</v>
      </c>
      <c r="AN2348" t="s">
        <v>132</v>
      </c>
      <c r="AO2348" t="s">
        <v>53</v>
      </c>
      <c r="AP2348" t="s">
        <v>53</v>
      </c>
    </row>
    <row r="2349" spans="2:42" x14ac:dyDescent="0.2">
      <c r="B2349" t="s">
        <v>44</v>
      </c>
      <c r="C2349" t="str">
        <f>HYPERLINK("https://us2.cloudbeds.com/connect/8493803454333002#/reservations/579189588191?display=DJFY02K3&amp;reservation_id=579189588191", "DJFY02K3")</f>
        <v>DJFY02K3</v>
      </c>
      <c r="D2349" t="s">
        <v>45</v>
      </c>
      <c r="E2349" t="s">
        <v>190</v>
      </c>
      <c r="F2349" t="s">
        <v>61</v>
      </c>
      <c r="G2349" t="s">
        <v>48</v>
      </c>
      <c r="H2349" t="s">
        <v>71</v>
      </c>
      <c r="I2349" t="s">
        <v>72</v>
      </c>
      <c r="J2349" t="s">
        <v>1296</v>
      </c>
      <c r="K2349" t="s">
        <v>2469</v>
      </c>
      <c r="L2349" t="s">
        <v>53</v>
      </c>
      <c r="N2349" t="s">
        <v>3736</v>
      </c>
      <c r="P2349" t="s">
        <v>55</v>
      </c>
      <c r="R2349" t="s">
        <v>56</v>
      </c>
      <c r="T2349" t="s">
        <v>3711</v>
      </c>
      <c r="U2349" t="s">
        <v>58</v>
      </c>
      <c r="V2349">
        <v>3</v>
      </c>
      <c r="W2349">
        <v>1</v>
      </c>
      <c r="X2349">
        <v>1</v>
      </c>
      <c r="Y2349">
        <v>0</v>
      </c>
      <c r="Z2349">
        <v>1</v>
      </c>
      <c r="AA2349">
        <v>0</v>
      </c>
      <c r="AB2349">
        <v>464.84</v>
      </c>
      <c r="AC2349">
        <v>409</v>
      </c>
      <c r="AD2349">
        <v>0</v>
      </c>
      <c r="AE2349">
        <v>55.84</v>
      </c>
      <c r="AF2349">
        <v>0</v>
      </c>
      <c r="AG2349">
        <v>0</v>
      </c>
      <c r="AH2349">
        <v>0</v>
      </c>
      <c r="AI2349">
        <v>0</v>
      </c>
      <c r="AJ2349">
        <v>464.84</v>
      </c>
      <c r="AK2349">
        <v>0</v>
      </c>
      <c r="AL2349" t="s">
        <v>53</v>
      </c>
      <c r="AM2349" t="s">
        <v>53</v>
      </c>
      <c r="AN2349" t="s">
        <v>378</v>
      </c>
      <c r="AO2349" t="s">
        <v>53</v>
      </c>
      <c r="AP2349" t="s">
        <v>53</v>
      </c>
    </row>
    <row r="2350" spans="2:42" x14ac:dyDescent="0.2">
      <c r="B2350" t="s">
        <v>44</v>
      </c>
      <c r="C2350" t="str">
        <f>HYPERLINK("https://us2.cloudbeds.com/connect/8493803454333002#/reservations/598452838620?display=E1CS9DQK&amp;reservation_id=598452838620", "E1CS9DQK")</f>
        <v>E1CS9DQK</v>
      </c>
      <c r="D2350" t="s">
        <v>45</v>
      </c>
      <c r="E2350" t="s">
        <v>223</v>
      </c>
      <c r="F2350" t="s">
        <v>47</v>
      </c>
      <c r="G2350" t="s">
        <v>48</v>
      </c>
      <c r="H2350" t="s">
        <v>49</v>
      </c>
      <c r="I2350" t="s">
        <v>114</v>
      </c>
      <c r="J2350" t="s">
        <v>1439</v>
      </c>
      <c r="K2350" t="s">
        <v>322</v>
      </c>
      <c r="L2350" t="s">
        <v>53</v>
      </c>
      <c r="N2350" t="s">
        <v>3737</v>
      </c>
      <c r="P2350" t="s">
        <v>55</v>
      </c>
      <c r="R2350" t="s">
        <v>56</v>
      </c>
      <c r="T2350" t="s">
        <v>3711</v>
      </c>
      <c r="U2350" t="s">
        <v>58</v>
      </c>
      <c r="V2350">
        <v>1</v>
      </c>
      <c r="W2350">
        <v>1</v>
      </c>
      <c r="X2350">
        <v>1</v>
      </c>
      <c r="Y2350">
        <v>0</v>
      </c>
      <c r="Z2350">
        <v>1</v>
      </c>
      <c r="AA2350">
        <v>0</v>
      </c>
      <c r="AB2350">
        <v>154.56</v>
      </c>
      <c r="AC2350">
        <v>136</v>
      </c>
      <c r="AD2350">
        <v>0</v>
      </c>
      <c r="AE2350">
        <v>18.559999999999999</v>
      </c>
      <c r="AF2350">
        <v>0</v>
      </c>
      <c r="AG2350">
        <v>0</v>
      </c>
      <c r="AH2350">
        <v>0</v>
      </c>
      <c r="AI2350">
        <v>0</v>
      </c>
      <c r="AJ2350">
        <v>154.56</v>
      </c>
      <c r="AK2350">
        <v>0</v>
      </c>
      <c r="AL2350" t="s">
        <v>53</v>
      </c>
      <c r="AM2350" t="s">
        <v>53</v>
      </c>
      <c r="AN2350" t="s">
        <v>3738</v>
      </c>
      <c r="AO2350" t="s">
        <v>53</v>
      </c>
      <c r="AP2350" t="s">
        <v>53</v>
      </c>
    </row>
    <row r="2351" spans="2:42" x14ac:dyDescent="0.2">
      <c r="B2351" t="s">
        <v>44</v>
      </c>
      <c r="C2351" t="str">
        <f>HYPERLINK("https://us2.cloudbeds.com/connect/8493803454333002#/reservations/579251167438?display=DJH6UK6U&amp;reservation_id=579251167438", "DJH6UK6U")</f>
        <v>DJH6UK6U</v>
      </c>
      <c r="D2351" t="s">
        <v>602</v>
      </c>
      <c r="E2351" t="s">
        <v>53</v>
      </c>
      <c r="F2351" t="s">
        <v>86</v>
      </c>
      <c r="G2351" t="s">
        <v>48</v>
      </c>
      <c r="H2351" t="s">
        <v>71</v>
      </c>
      <c r="I2351" t="s">
        <v>72</v>
      </c>
      <c r="J2351" t="s">
        <v>505</v>
      </c>
      <c r="K2351" t="s">
        <v>603</v>
      </c>
      <c r="L2351" t="s">
        <v>53</v>
      </c>
      <c r="N2351" t="s">
        <v>3739</v>
      </c>
      <c r="P2351" t="s">
        <v>55</v>
      </c>
      <c r="R2351" t="s">
        <v>56</v>
      </c>
      <c r="T2351" t="s">
        <v>3740</v>
      </c>
      <c r="U2351" t="s">
        <v>58</v>
      </c>
      <c r="V2351">
        <v>1</v>
      </c>
      <c r="W2351">
        <v>1</v>
      </c>
      <c r="X2351">
        <v>1</v>
      </c>
      <c r="Y2351">
        <v>0</v>
      </c>
      <c r="Z2351">
        <v>1</v>
      </c>
      <c r="AA2351">
        <v>0</v>
      </c>
      <c r="AB2351">
        <v>0</v>
      </c>
      <c r="AC2351">
        <v>0</v>
      </c>
      <c r="AD2351">
        <v>0</v>
      </c>
      <c r="AE2351">
        <v>0</v>
      </c>
      <c r="AF2351">
        <v>0</v>
      </c>
      <c r="AG2351">
        <v>0</v>
      </c>
      <c r="AH2351">
        <v>0</v>
      </c>
      <c r="AI2351">
        <v>0</v>
      </c>
      <c r="AJ2351">
        <v>0</v>
      </c>
      <c r="AK2351">
        <v>0</v>
      </c>
      <c r="AL2351">
        <v>158</v>
      </c>
      <c r="AM2351">
        <v>179.57</v>
      </c>
      <c r="AN2351" t="s">
        <v>3741</v>
      </c>
      <c r="AO2351" t="s">
        <v>53</v>
      </c>
      <c r="AP2351" t="s">
        <v>53</v>
      </c>
    </row>
    <row r="2352" spans="2:42" x14ac:dyDescent="0.2">
      <c r="B2352" t="s">
        <v>44</v>
      </c>
      <c r="C2352" t="str">
        <f>HYPERLINK("https://us2.cloudbeds.com/connect/8493803454333002#/reservations/598443327696?display=E1CK8P5Q&amp;reservation_id=598443327696", "E1CK8P5Q")</f>
        <v>E1CK8P5Q</v>
      </c>
      <c r="D2352" t="s">
        <v>45</v>
      </c>
      <c r="E2352" t="s">
        <v>121</v>
      </c>
      <c r="F2352" t="s">
        <v>86</v>
      </c>
      <c r="G2352" t="s">
        <v>48</v>
      </c>
      <c r="H2352" t="s">
        <v>49</v>
      </c>
      <c r="I2352" t="s">
        <v>79</v>
      </c>
      <c r="J2352" t="s">
        <v>1439</v>
      </c>
      <c r="K2352" t="s">
        <v>322</v>
      </c>
      <c r="L2352" t="s">
        <v>53</v>
      </c>
      <c r="N2352" t="s">
        <v>3742</v>
      </c>
      <c r="P2352" t="s">
        <v>55</v>
      </c>
      <c r="R2352" t="s">
        <v>56</v>
      </c>
      <c r="T2352" t="s">
        <v>3740</v>
      </c>
      <c r="U2352" t="s">
        <v>58</v>
      </c>
      <c r="V2352">
        <v>1</v>
      </c>
      <c r="W2352">
        <v>1</v>
      </c>
      <c r="X2352">
        <v>1</v>
      </c>
      <c r="Y2352">
        <v>0</v>
      </c>
      <c r="Z2352">
        <v>1</v>
      </c>
      <c r="AA2352">
        <v>0</v>
      </c>
      <c r="AB2352">
        <v>173.88</v>
      </c>
      <c r="AC2352">
        <v>153</v>
      </c>
      <c r="AD2352">
        <v>0</v>
      </c>
      <c r="AE2352">
        <v>20.89</v>
      </c>
      <c r="AF2352">
        <v>0</v>
      </c>
      <c r="AG2352">
        <v>0</v>
      </c>
      <c r="AH2352">
        <v>0</v>
      </c>
      <c r="AI2352">
        <v>0</v>
      </c>
      <c r="AJ2352">
        <v>173.89</v>
      </c>
      <c r="AK2352">
        <v>0.01</v>
      </c>
      <c r="AL2352" t="s">
        <v>53</v>
      </c>
      <c r="AM2352" t="s">
        <v>53</v>
      </c>
      <c r="AN2352" t="s">
        <v>178</v>
      </c>
      <c r="AO2352" t="s">
        <v>53</v>
      </c>
      <c r="AP2352" t="s">
        <v>53</v>
      </c>
    </row>
    <row r="2353" spans="2:42" x14ac:dyDescent="0.2">
      <c r="B2353" t="s">
        <v>44</v>
      </c>
      <c r="C2353" t="str">
        <f>HYPERLINK("https://us2.cloudbeds.com/connect/8493803454333002#/reservations/579293712637?display=DJX9QGBC&amp;reservation_id=579293712637", "DJX9QGBC")</f>
        <v>DJX9QGBC</v>
      </c>
      <c r="D2353" t="s">
        <v>45</v>
      </c>
      <c r="E2353" t="s">
        <v>305</v>
      </c>
      <c r="F2353" t="s">
        <v>61</v>
      </c>
      <c r="G2353" t="s">
        <v>48</v>
      </c>
      <c r="H2353" t="s">
        <v>49</v>
      </c>
      <c r="I2353" t="s">
        <v>50</v>
      </c>
      <c r="J2353" t="s">
        <v>1450</v>
      </c>
      <c r="K2353" t="s">
        <v>1515</v>
      </c>
      <c r="L2353" t="s">
        <v>53</v>
      </c>
      <c r="N2353" t="s">
        <v>3743</v>
      </c>
      <c r="P2353" t="s">
        <v>55</v>
      </c>
      <c r="R2353" t="s">
        <v>56</v>
      </c>
      <c r="T2353" t="s">
        <v>3740</v>
      </c>
      <c r="U2353" t="s">
        <v>58</v>
      </c>
      <c r="V2353">
        <v>2</v>
      </c>
      <c r="W2353">
        <v>1</v>
      </c>
      <c r="X2353">
        <v>1</v>
      </c>
      <c r="Y2353">
        <v>0</v>
      </c>
      <c r="Z2353">
        <v>1</v>
      </c>
      <c r="AA2353">
        <v>0</v>
      </c>
      <c r="AB2353">
        <v>332.44</v>
      </c>
      <c r="AC2353">
        <v>292.5</v>
      </c>
      <c r="AD2353">
        <v>0</v>
      </c>
      <c r="AE2353">
        <v>39.94</v>
      </c>
      <c r="AF2353">
        <v>0</v>
      </c>
      <c r="AG2353">
        <v>0</v>
      </c>
      <c r="AH2353">
        <v>0</v>
      </c>
      <c r="AI2353">
        <v>59.84</v>
      </c>
      <c r="AJ2353">
        <v>332.44</v>
      </c>
      <c r="AK2353">
        <v>0</v>
      </c>
      <c r="AL2353" t="s">
        <v>53</v>
      </c>
      <c r="AM2353" t="s">
        <v>53</v>
      </c>
      <c r="AN2353" t="s">
        <v>104</v>
      </c>
      <c r="AO2353" t="s">
        <v>53</v>
      </c>
      <c r="AP2353" t="s">
        <v>53</v>
      </c>
    </row>
    <row r="2354" spans="2:42" x14ac:dyDescent="0.2">
      <c r="B2354" t="s">
        <v>44</v>
      </c>
      <c r="C2354" t="str">
        <f>HYPERLINK("https://us2.cloudbeds.com/connect/8493803454333002#/reservations/579342811264?display=DJJH1ASZ&amp;reservation_id=579342811264", "DJJH1ASZ")</f>
        <v>DJJH1ASZ</v>
      </c>
      <c r="D2354" t="s">
        <v>45</v>
      </c>
      <c r="E2354" t="s">
        <v>69</v>
      </c>
      <c r="F2354" t="s">
        <v>70</v>
      </c>
      <c r="G2354" t="s">
        <v>48</v>
      </c>
      <c r="H2354" t="s">
        <v>49</v>
      </c>
      <c r="I2354" t="s">
        <v>50</v>
      </c>
      <c r="J2354" t="s">
        <v>2639</v>
      </c>
      <c r="K2354" t="s">
        <v>1295</v>
      </c>
      <c r="L2354" t="s">
        <v>53</v>
      </c>
      <c r="N2354" t="s">
        <v>3744</v>
      </c>
      <c r="P2354" t="s">
        <v>55</v>
      </c>
      <c r="R2354" t="s">
        <v>56</v>
      </c>
      <c r="T2354" t="s">
        <v>3740</v>
      </c>
      <c r="U2354" t="s">
        <v>58</v>
      </c>
      <c r="V2354">
        <v>1</v>
      </c>
      <c r="W2354">
        <v>1</v>
      </c>
      <c r="X2354">
        <v>1</v>
      </c>
      <c r="Y2354">
        <v>0</v>
      </c>
      <c r="Z2354">
        <v>1</v>
      </c>
      <c r="AA2354">
        <v>0</v>
      </c>
      <c r="AB2354">
        <v>481.77</v>
      </c>
      <c r="AC2354">
        <v>423.9</v>
      </c>
      <c r="AD2354">
        <v>0</v>
      </c>
      <c r="AE2354">
        <v>57.87</v>
      </c>
      <c r="AF2354">
        <v>0</v>
      </c>
      <c r="AG2354">
        <v>0</v>
      </c>
      <c r="AH2354">
        <v>0</v>
      </c>
      <c r="AI2354">
        <v>86.72</v>
      </c>
      <c r="AJ2354">
        <v>481.77</v>
      </c>
      <c r="AK2354">
        <v>0</v>
      </c>
      <c r="AL2354" t="s">
        <v>53</v>
      </c>
      <c r="AM2354" t="s">
        <v>53</v>
      </c>
      <c r="AN2354" t="s">
        <v>3745</v>
      </c>
      <c r="AO2354" t="s">
        <v>53</v>
      </c>
      <c r="AP2354" t="s">
        <v>53</v>
      </c>
    </row>
    <row r="2355" spans="2:42" x14ac:dyDescent="0.2">
      <c r="B2355" t="s">
        <v>44</v>
      </c>
      <c r="C2355" t="str">
        <f>HYPERLINK("https://us2.cloudbeds.com/connect/8493803454333002#/reservations/598425157773?display=E1C4V572&amp;reservation_id=598425157773", "E1C4V572")</f>
        <v>E1C4V572</v>
      </c>
      <c r="D2355" t="s">
        <v>45</v>
      </c>
      <c r="E2355" t="s">
        <v>98</v>
      </c>
      <c r="F2355" t="s">
        <v>86</v>
      </c>
      <c r="G2355" t="s">
        <v>48</v>
      </c>
      <c r="H2355" t="s">
        <v>49</v>
      </c>
      <c r="I2355" t="s">
        <v>50</v>
      </c>
      <c r="J2355" t="s">
        <v>1439</v>
      </c>
      <c r="K2355" t="s">
        <v>322</v>
      </c>
      <c r="L2355" t="s">
        <v>53</v>
      </c>
      <c r="N2355" t="s">
        <v>3746</v>
      </c>
      <c r="P2355" t="s">
        <v>55</v>
      </c>
      <c r="R2355" t="s">
        <v>56</v>
      </c>
      <c r="T2355" t="s">
        <v>3740</v>
      </c>
      <c r="U2355" t="s">
        <v>58</v>
      </c>
      <c r="V2355">
        <v>1</v>
      </c>
      <c r="W2355">
        <v>1</v>
      </c>
      <c r="X2355">
        <v>1</v>
      </c>
      <c r="Y2355">
        <v>0</v>
      </c>
      <c r="Z2355">
        <v>1</v>
      </c>
      <c r="AA2355">
        <v>0</v>
      </c>
      <c r="AB2355">
        <v>181.04</v>
      </c>
      <c r="AC2355">
        <v>159.30000000000001</v>
      </c>
      <c r="AD2355">
        <v>0</v>
      </c>
      <c r="AE2355">
        <v>21.75</v>
      </c>
      <c r="AF2355">
        <v>0</v>
      </c>
      <c r="AG2355">
        <v>0</v>
      </c>
      <c r="AH2355">
        <v>0</v>
      </c>
      <c r="AI2355">
        <v>32.590000000000003</v>
      </c>
      <c r="AJ2355">
        <v>181.05</v>
      </c>
      <c r="AK2355">
        <v>0.01</v>
      </c>
      <c r="AL2355" t="s">
        <v>53</v>
      </c>
      <c r="AM2355" t="s">
        <v>53</v>
      </c>
      <c r="AN2355" t="s">
        <v>104</v>
      </c>
      <c r="AO2355" t="s">
        <v>53</v>
      </c>
      <c r="AP2355" t="s">
        <v>53</v>
      </c>
    </row>
    <row r="2356" spans="2:42" x14ac:dyDescent="0.2">
      <c r="B2356" t="s">
        <v>44</v>
      </c>
      <c r="C2356" t="str">
        <f>HYPERLINK("https://us2.cloudbeds.com/connect/8493803454333002#/reservations/579272044685?display=DJHZHX7P&amp;reservation_id=579272044685", "DJHZHX7P")</f>
        <v>DJHZHX7P</v>
      </c>
      <c r="D2356" t="s">
        <v>45</v>
      </c>
      <c r="E2356" t="s">
        <v>78</v>
      </c>
      <c r="F2356" t="s">
        <v>61</v>
      </c>
      <c r="G2356" t="s">
        <v>48</v>
      </c>
      <c r="H2356" t="s">
        <v>49</v>
      </c>
      <c r="I2356" t="s">
        <v>50</v>
      </c>
      <c r="J2356" t="s">
        <v>2643</v>
      </c>
      <c r="K2356" t="s">
        <v>1862</v>
      </c>
      <c r="L2356" t="s">
        <v>53</v>
      </c>
      <c r="N2356" t="s">
        <v>3747</v>
      </c>
      <c r="P2356" t="s">
        <v>55</v>
      </c>
      <c r="R2356" t="s">
        <v>56</v>
      </c>
      <c r="T2356" t="s">
        <v>3740</v>
      </c>
      <c r="U2356" t="s">
        <v>58</v>
      </c>
      <c r="V2356">
        <v>1</v>
      </c>
      <c r="W2356">
        <v>1</v>
      </c>
      <c r="X2356">
        <v>1</v>
      </c>
      <c r="Y2356">
        <v>0</v>
      </c>
      <c r="Z2356">
        <v>1</v>
      </c>
      <c r="AA2356">
        <v>0</v>
      </c>
      <c r="AB2356">
        <v>168.78</v>
      </c>
      <c r="AC2356">
        <v>148.5</v>
      </c>
      <c r="AD2356">
        <v>0</v>
      </c>
      <c r="AE2356">
        <v>20.28</v>
      </c>
      <c r="AF2356">
        <v>0</v>
      </c>
      <c r="AG2356">
        <v>0</v>
      </c>
      <c r="AH2356">
        <v>0</v>
      </c>
      <c r="AI2356">
        <v>30.38</v>
      </c>
      <c r="AJ2356">
        <v>168.78</v>
      </c>
      <c r="AK2356">
        <v>0</v>
      </c>
      <c r="AL2356" t="s">
        <v>53</v>
      </c>
      <c r="AM2356" t="s">
        <v>53</v>
      </c>
      <c r="AN2356" t="s">
        <v>59</v>
      </c>
      <c r="AO2356" t="s">
        <v>53</v>
      </c>
      <c r="AP2356" t="s">
        <v>53</v>
      </c>
    </row>
    <row r="2357" spans="2:42" x14ac:dyDescent="0.2">
      <c r="B2357" t="s">
        <v>44</v>
      </c>
      <c r="C2357" t="str">
        <f>HYPERLINK("https://us2.cloudbeds.com/connect/8493803454333002#/reservations/598490378468?display=E1DQV0YP&amp;reservation_id=598490378468", "E1DQV0YP")</f>
        <v>E1DQV0YP</v>
      </c>
      <c r="D2357" t="s">
        <v>45</v>
      </c>
      <c r="E2357" t="s">
        <v>155</v>
      </c>
      <c r="F2357" t="s">
        <v>86</v>
      </c>
      <c r="G2357" t="s">
        <v>48</v>
      </c>
      <c r="H2357" t="s">
        <v>49</v>
      </c>
      <c r="I2357" t="s">
        <v>50</v>
      </c>
      <c r="J2357" t="s">
        <v>1439</v>
      </c>
      <c r="K2357" t="s">
        <v>322</v>
      </c>
      <c r="L2357" t="s">
        <v>53</v>
      </c>
      <c r="N2357" t="s">
        <v>3748</v>
      </c>
      <c r="P2357" t="s">
        <v>55</v>
      </c>
      <c r="R2357" t="s">
        <v>56</v>
      </c>
      <c r="T2357" t="s">
        <v>3740</v>
      </c>
      <c r="U2357" t="s">
        <v>58</v>
      </c>
      <c r="V2357">
        <v>1</v>
      </c>
      <c r="W2357">
        <v>1</v>
      </c>
      <c r="X2357">
        <v>1</v>
      </c>
      <c r="Y2357">
        <v>0</v>
      </c>
      <c r="Z2357">
        <v>1</v>
      </c>
      <c r="AA2357">
        <v>0</v>
      </c>
      <c r="AB2357">
        <v>173.88</v>
      </c>
      <c r="AC2357">
        <v>153</v>
      </c>
      <c r="AD2357">
        <v>0</v>
      </c>
      <c r="AE2357">
        <v>20.89</v>
      </c>
      <c r="AF2357">
        <v>0</v>
      </c>
      <c r="AG2357">
        <v>0</v>
      </c>
      <c r="AH2357">
        <v>0</v>
      </c>
      <c r="AI2357">
        <v>31.3</v>
      </c>
      <c r="AJ2357">
        <v>173.89</v>
      </c>
      <c r="AK2357">
        <v>0.01</v>
      </c>
      <c r="AL2357" t="s">
        <v>53</v>
      </c>
      <c r="AM2357" t="s">
        <v>53</v>
      </c>
      <c r="AN2357" t="s">
        <v>137</v>
      </c>
      <c r="AO2357" t="s">
        <v>53</v>
      </c>
      <c r="AP2357" t="s">
        <v>53</v>
      </c>
    </row>
    <row r="2358" spans="2:42" x14ac:dyDescent="0.2">
      <c r="B2358" t="s">
        <v>44</v>
      </c>
      <c r="C2358" t="str">
        <f>HYPERLINK("https://us2.cloudbeds.com/connect/8493803454333002#/reservations/598490931354?display=E1DRDDBT&amp;reservation_id=598490931354", "E1DRDDBT")</f>
        <v>E1DRDDBT</v>
      </c>
      <c r="D2358" t="s">
        <v>45</v>
      </c>
      <c r="E2358" t="s">
        <v>265</v>
      </c>
      <c r="F2358" t="s">
        <v>61</v>
      </c>
      <c r="G2358" t="s">
        <v>48</v>
      </c>
      <c r="H2358" t="s">
        <v>49</v>
      </c>
      <c r="I2358" t="s">
        <v>62</v>
      </c>
      <c r="J2358" t="s">
        <v>351</v>
      </c>
      <c r="K2358" t="s">
        <v>99</v>
      </c>
      <c r="L2358" t="s">
        <v>53</v>
      </c>
      <c r="N2358" t="s">
        <v>3749</v>
      </c>
      <c r="P2358" t="s">
        <v>55</v>
      </c>
      <c r="R2358" t="s">
        <v>329</v>
      </c>
      <c r="T2358" t="s">
        <v>3740</v>
      </c>
      <c r="U2358" t="s">
        <v>58</v>
      </c>
      <c r="V2358">
        <v>1</v>
      </c>
      <c r="W2358">
        <v>1</v>
      </c>
      <c r="X2358">
        <v>1</v>
      </c>
      <c r="Y2358">
        <v>0</v>
      </c>
      <c r="Z2358">
        <v>1</v>
      </c>
      <c r="AA2358">
        <v>0</v>
      </c>
      <c r="AB2358">
        <v>197.75</v>
      </c>
      <c r="AC2358">
        <v>174</v>
      </c>
      <c r="AD2358">
        <v>0</v>
      </c>
      <c r="AE2358">
        <v>23.76</v>
      </c>
      <c r="AF2358">
        <v>0</v>
      </c>
      <c r="AG2358">
        <v>0</v>
      </c>
      <c r="AH2358">
        <v>0</v>
      </c>
      <c r="AI2358">
        <v>29.66</v>
      </c>
      <c r="AJ2358">
        <v>197.76</v>
      </c>
      <c r="AK2358">
        <v>0.01</v>
      </c>
      <c r="AL2358" t="s">
        <v>53</v>
      </c>
      <c r="AM2358" t="s">
        <v>53</v>
      </c>
      <c r="AN2358" t="s">
        <v>112</v>
      </c>
      <c r="AO2358" t="s">
        <v>53</v>
      </c>
      <c r="AP2358" t="s">
        <v>53</v>
      </c>
    </row>
    <row r="2359" spans="2:42" x14ac:dyDescent="0.2">
      <c r="B2359" t="s">
        <v>44</v>
      </c>
      <c r="C2359" t="str">
        <f>HYPERLINK("https://us2.cloudbeds.com/connect/8493803454333002#/reservations/598577483940?display=E1G1CSAG&amp;reservation_id=598577483940", "E1G1CSAG")</f>
        <v>E1G1CSAG</v>
      </c>
      <c r="D2359" t="s">
        <v>45</v>
      </c>
      <c r="E2359" t="s">
        <v>138</v>
      </c>
      <c r="F2359" t="s">
        <v>70</v>
      </c>
      <c r="G2359" t="s">
        <v>48</v>
      </c>
      <c r="H2359" t="s">
        <v>71</v>
      </c>
      <c r="I2359" t="s">
        <v>72</v>
      </c>
      <c r="J2359" t="s">
        <v>1439</v>
      </c>
      <c r="K2359" t="s">
        <v>322</v>
      </c>
      <c r="L2359" t="s">
        <v>53</v>
      </c>
      <c r="N2359" t="s">
        <v>3750</v>
      </c>
      <c r="P2359" t="s">
        <v>55</v>
      </c>
      <c r="R2359" t="s">
        <v>56</v>
      </c>
      <c r="T2359" t="s">
        <v>3740</v>
      </c>
      <c r="U2359" t="s">
        <v>58</v>
      </c>
      <c r="V2359">
        <v>1</v>
      </c>
      <c r="W2359">
        <v>1</v>
      </c>
      <c r="X2359">
        <v>1</v>
      </c>
      <c r="Y2359">
        <v>0</v>
      </c>
      <c r="Z2359">
        <v>1</v>
      </c>
      <c r="AA2359">
        <v>0</v>
      </c>
      <c r="AB2359">
        <v>142.06</v>
      </c>
      <c r="AC2359">
        <v>125</v>
      </c>
      <c r="AD2359">
        <v>0</v>
      </c>
      <c r="AE2359">
        <v>17.07</v>
      </c>
      <c r="AF2359">
        <v>0</v>
      </c>
      <c r="AG2359">
        <v>0</v>
      </c>
      <c r="AH2359">
        <v>0</v>
      </c>
      <c r="AI2359">
        <v>0</v>
      </c>
      <c r="AJ2359">
        <v>142.07</v>
      </c>
      <c r="AK2359">
        <v>0.01</v>
      </c>
      <c r="AL2359" t="s">
        <v>53</v>
      </c>
      <c r="AM2359" t="s">
        <v>53</v>
      </c>
      <c r="AN2359" t="s">
        <v>3751</v>
      </c>
      <c r="AO2359" t="s">
        <v>53</v>
      </c>
      <c r="AP2359" t="s">
        <v>53</v>
      </c>
    </row>
    <row r="2360" spans="2:42" x14ac:dyDescent="0.2">
      <c r="B2360" t="s">
        <v>44</v>
      </c>
      <c r="C2360" t="str">
        <f>HYPERLINK("https://us2.cloudbeds.com/connect/8493803454333002#/reservations/598620295331?display=E1H4G4TD&amp;reservation_id=598620295331", "E1H4G4TD")</f>
        <v>E1H4G4TD</v>
      </c>
      <c r="D2360" t="s">
        <v>45</v>
      </c>
      <c r="E2360" t="s">
        <v>406</v>
      </c>
      <c r="F2360" t="s">
        <v>61</v>
      </c>
      <c r="G2360" t="s">
        <v>48</v>
      </c>
      <c r="H2360" t="s">
        <v>49</v>
      </c>
      <c r="I2360" t="s">
        <v>50</v>
      </c>
      <c r="J2360" t="s">
        <v>322</v>
      </c>
      <c r="K2360" t="s">
        <v>351</v>
      </c>
      <c r="L2360" t="s">
        <v>53</v>
      </c>
      <c r="N2360" t="s">
        <v>3752</v>
      </c>
      <c r="P2360" t="s">
        <v>55</v>
      </c>
      <c r="R2360" t="s">
        <v>56</v>
      </c>
      <c r="T2360" t="s">
        <v>3740</v>
      </c>
      <c r="U2360" t="s">
        <v>58</v>
      </c>
      <c r="V2360">
        <v>1</v>
      </c>
      <c r="W2360">
        <v>1</v>
      </c>
      <c r="X2360">
        <v>1</v>
      </c>
      <c r="Y2360">
        <v>0</v>
      </c>
      <c r="Z2360">
        <v>1</v>
      </c>
      <c r="AA2360">
        <v>0</v>
      </c>
      <c r="AB2360">
        <v>163.66</v>
      </c>
      <c r="AC2360">
        <v>144</v>
      </c>
      <c r="AD2360">
        <v>0</v>
      </c>
      <c r="AE2360">
        <v>19.66</v>
      </c>
      <c r="AF2360">
        <v>0</v>
      </c>
      <c r="AG2360">
        <v>0</v>
      </c>
      <c r="AH2360">
        <v>0</v>
      </c>
      <c r="AI2360">
        <v>29.46</v>
      </c>
      <c r="AJ2360">
        <v>163.66</v>
      </c>
      <c r="AK2360">
        <v>0</v>
      </c>
      <c r="AL2360" t="s">
        <v>53</v>
      </c>
      <c r="AM2360" t="s">
        <v>53</v>
      </c>
      <c r="AN2360" t="s">
        <v>112</v>
      </c>
      <c r="AO2360" t="s">
        <v>53</v>
      </c>
      <c r="AP2360" t="s">
        <v>53</v>
      </c>
    </row>
    <row r="2361" spans="2:42" x14ac:dyDescent="0.2">
      <c r="B2361" t="s">
        <v>44</v>
      </c>
      <c r="C2361" t="str">
        <f>HYPERLINK("https://us2.cloudbeds.com/connect/8493803454333002#/reservations/579364036748?display=DJK33C41&amp;reservation_id=579364036748", "DJK33C41")</f>
        <v>DJK33C41</v>
      </c>
      <c r="D2361" t="s">
        <v>45</v>
      </c>
      <c r="E2361" t="s">
        <v>69</v>
      </c>
      <c r="F2361" t="s">
        <v>70</v>
      </c>
      <c r="G2361" t="s">
        <v>48</v>
      </c>
      <c r="H2361" t="s">
        <v>49</v>
      </c>
      <c r="I2361" t="s">
        <v>79</v>
      </c>
      <c r="J2361" t="s">
        <v>1523</v>
      </c>
      <c r="K2361" t="s">
        <v>2013</v>
      </c>
      <c r="L2361" t="s">
        <v>53</v>
      </c>
      <c r="N2361" t="s">
        <v>3753</v>
      </c>
      <c r="P2361" t="s">
        <v>55</v>
      </c>
      <c r="R2361" t="s">
        <v>56</v>
      </c>
      <c r="T2361" t="s">
        <v>3740</v>
      </c>
      <c r="U2361" t="s">
        <v>58</v>
      </c>
      <c r="V2361">
        <v>1</v>
      </c>
      <c r="W2361">
        <v>1</v>
      </c>
      <c r="X2361">
        <v>1</v>
      </c>
      <c r="Y2361">
        <v>0</v>
      </c>
      <c r="Z2361">
        <v>1</v>
      </c>
      <c r="AA2361">
        <v>0</v>
      </c>
      <c r="AB2361">
        <v>105.35</v>
      </c>
      <c r="AC2361">
        <v>92.7</v>
      </c>
      <c r="AD2361">
        <v>0</v>
      </c>
      <c r="AE2361">
        <v>12.65</v>
      </c>
      <c r="AF2361">
        <v>0</v>
      </c>
      <c r="AG2361">
        <v>0</v>
      </c>
      <c r="AH2361">
        <v>0</v>
      </c>
      <c r="AI2361">
        <v>0</v>
      </c>
      <c r="AJ2361">
        <v>105.35</v>
      </c>
      <c r="AK2361">
        <v>0</v>
      </c>
      <c r="AL2361" t="s">
        <v>53</v>
      </c>
      <c r="AM2361" t="s">
        <v>53</v>
      </c>
      <c r="AN2361" t="s">
        <v>280</v>
      </c>
      <c r="AO2361" t="s">
        <v>53</v>
      </c>
      <c r="AP2361" t="s">
        <v>53</v>
      </c>
    </row>
    <row r="2362" spans="2:42" x14ac:dyDescent="0.2">
      <c r="B2362" t="s">
        <v>44</v>
      </c>
      <c r="C2362" t="str">
        <f>HYPERLINK("https://us2.cloudbeds.com/connect/8493803454333002#/reservations/579311444190?display=DJXZZTP5&amp;reservation_id=579311444190", "DJXZZTP5")</f>
        <v>DJXZZTP5</v>
      </c>
      <c r="D2362" t="s">
        <v>45</v>
      </c>
      <c r="E2362" t="s">
        <v>155</v>
      </c>
      <c r="F2362" t="s">
        <v>86</v>
      </c>
      <c r="G2362" t="s">
        <v>48</v>
      </c>
      <c r="H2362" t="s">
        <v>49</v>
      </c>
      <c r="I2362" t="s">
        <v>114</v>
      </c>
      <c r="J2362" t="s">
        <v>2643</v>
      </c>
      <c r="K2362" t="s">
        <v>2790</v>
      </c>
      <c r="L2362" t="s">
        <v>53</v>
      </c>
      <c r="N2362" t="s">
        <v>3754</v>
      </c>
      <c r="P2362" t="s">
        <v>55</v>
      </c>
      <c r="R2362" t="s">
        <v>56</v>
      </c>
      <c r="T2362" t="s">
        <v>3740</v>
      </c>
      <c r="U2362" t="s">
        <v>58</v>
      </c>
      <c r="V2362">
        <v>2</v>
      </c>
      <c r="W2362">
        <v>1</v>
      </c>
      <c r="X2362">
        <v>1</v>
      </c>
      <c r="Y2362">
        <v>0</v>
      </c>
      <c r="Z2362">
        <v>1</v>
      </c>
      <c r="AA2362">
        <v>0</v>
      </c>
      <c r="AB2362">
        <v>384.14</v>
      </c>
      <c r="AC2362">
        <v>338</v>
      </c>
      <c r="AD2362">
        <v>0</v>
      </c>
      <c r="AE2362">
        <v>46.14</v>
      </c>
      <c r="AF2362">
        <v>0</v>
      </c>
      <c r="AG2362">
        <v>0</v>
      </c>
      <c r="AH2362">
        <v>0</v>
      </c>
      <c r="AI2362">
        <v>0</v>
      </c>
      <c r="AJ2362">
        <v>384.14</v>
      </c>
      <c r="AK2362">
        <v>0</v>
      </c>
      <c r="AL2362" t="s">
        <v>53</v>
      </c>
      <c r="AM2362" t="s">
        <v>53</v>
      </c>
      <c r="AN2362" t="s">
        <v>3755</v>
      </c>
      <c r="AO2362" t="s">
        <v>53</v>
      </c>
      <c r="AP2362" t="s">
        <v>53</v>
      </c>
    </row>
    <row r="2363" spans="2:42" x14ac:dyDescent="0.2">
      <c r="B2363" t="s">
        <v>44</v>
      </c>
      <c r="C2363" t="str">
        <f>HYPERLINK("https://us2.cloudbeds.com/connect/8493803454333002#/reservations/579290157234?display=DJX6QXGT&amp;reservation_id=579290157234", "DJX6QXGT")</f>
        <v>DJX6QXGT</v>
      </c>
      <c r="D2363" t="s">
        <v>45</v>
      </c>
      <c r="E2363" t="s">
        <v>305</v>
      </c>
      <c r="F2363" t="s">
        <v>61</v>
      </c>
      <c r="G2363" t="s">
        <v>48</v>
      </c>
      <c r="H2363" t="s">
        <v>49</v>
      </c>
      <c r="I2363" t="s">
        <v>79</v>
      </c>
      <c r="J2363" t="s">
        <v>1611</v>
      </c>
      <c r="K2363" t="s">
        <v>3551</v>
      </c>
      <c r="L2363" t="s">
        <v>53</v>
      </c>
      <c r="N2363" t="s">
        <v>3756</v>
      </c>
      <c r="P2363" t="s">
        <v>55</v>
      </c>
      <c r="R2363" t="s">
        <v>56</v>
      </c>
      <c r="T2363" t="s">
        <v>3740</v>
      </c>
      <c r="U2363" t="s">
        <v>58</v>
      </c>
      <c r="V2363">
        <v>1</v>
      </c>
      <c r="W2363">
        <v>1</v>
      </c>
      <c r="X2363">
        <v>1</v>
      </c>
      <c r="Y2363">
        <v>0</v>
      </c>
      <c r="Z2363">
        <v>1</v>
      </c>
      <c r="AA2363">
        <v>0</v>
      </c>
      <c r="AB2363">
        <v>156.49</v>
      </c>
      <c r="AC2363">
        <v>137.69999999999999</v>
      </c>
      <c r="AD2363">
        <v>0</v>
      </c>
      <c r="AE2363">
        <v>18.79</v>
      </c>
      <c r="AF2363">
        <v>0</v>
      </c>
      <c r="AG2363">
        <v>0</v>
      </c>
      <c r="AH2363">
        <v>0</v>
      </c>
      <c r="AI2363">
        <v>0</v>
      </c>
      <c r="AJ2363">
        <v>156.49</v>
      </c>
      <c r="AK2363">
        <v>0</v>
      </c>
      <c r="AL2363" t="s">
        <v>53</v>
      </c>
      <c r="AM2363" t="s">
        <v>53</v>
      </c>
      <c r="AN2363" t="s">
        <v>91</v>
      </c>
      <c r="AO2363" t="s">
        <v>53</v>
      </c>
      <c r="AP2363" t="s">
        <v>53</v>
      </c>
    </row>
    <row r="2364" spans="2:42" x14ac:dyDescent="0.2">
      <c r="B2364" t="s">
        <v>44</v>
      </c>
      <c r="C2364" t="str">
        <f>HYPERLINK("https://us2.cloudbeds.com/connect/8493803454333002#/reservations/579314499731?display=DJXRAUJA&amp;reservation_id=579314499731", "DJXRAUJA")</f>
        <v>DJXRAUJA</v>
      </c>
      <c r="D2364" t="s">
        <v>45</v>
      </c>
      <c r="E2364" t="s">
        <v>92</v>
      </c>
      <c r="F2364" t="s">
        <v>86</v>
      </c>
      <c r="G2364" t="s">
        <v>48</v>
      </c>
      <c r="H2364" t="s">
        <v>49</v>
      </c>
      <c r="I2364" t="s">
        <v>62</v>
      </c>
      <c r="J2364" t="s">
        <v>2639</v>
      </c>
      <c r="K2364" t="s">
        <v>3031</v>
      </c>
      <c r="L2364" t="s">
        <v>53</v>
      </c>
      <c r="N2364" t="s">
        <v>3757</v>
      </c>
      <c r="P2364" t="s">
        <v>55</v>
      </c>
      <c r="R2364" t="s">
        <v>56</v>
      </c>
      <c r="T2364" t="s">
        <v>3740</v>
      </c>
      <c r="U2364" t="s">
        <v>58</v>
      </c>
      <c r="V2364">
        <v>2</v>
      </c>
      <c r="W2364">
        <v>1</v>
      </c>
      <c r="X2364">
        <v>1</v>
      </c>
      <c r="Y2364">
        <v>0</v>
      </c>
      <c r="Z2364">
        <v>1</v>
      </c>
      <c r="AA2364">
        <v>0</v>
      </c>
      <c r="AB2364">
        <v>381.86</v>
      </c>
      <c r="AC2364">
        <v>336</v>
      </c>
      <c r="AD2364">
        <v>0</v>
      </c>
      <c r="AE2364">
        <v>45.86</v>
      </c>
      <c r="AF2364">
        <v>0</v>
      </c>
      <c r="AG2364">
        <v>0</v>
      </c>
      <c r="AH2364">
        <v>0</v>
      </c>
      <c r="AI2364">
        <v>57.28</v>
      </c>
      <c r="AJ2364">
        <v>381.86</v>
      </c>
      <c r="AK2364">
        <v>0</v>
      </c>
      <c r="AL2364" t="s">
        <v>53</v>
      </c>
      <c r="AM2364" t="s">
        <v>53</v>
      </c>
      <c r="AN2364" t="s">
        <v>198</v>
      </c>
      <c r="AO2364" t="s">
        <v>53</v>
      </c>
      <c r="AP2364" t="s">
        <v>53</v>
      </c>
    </row>
    <row r="2365" spans="2:42" x14ac:dyDescent="0.2">
      <c r="B2365" t="s">
        <v>44</v>
      </c>
      <c r="C2365" t="str">
        <f>HYPERLINK("https://us2.cloudbeds.com/connect/8493803454333002#/reservations/579398627479?display=DJKW8TT0&amp;reservation_id=579398627479", "DJKW8TT0")</f>
        <v>DJKW8TT0</v>
      </c>
      <c r="D2365" t="s">
        <v>45</v>
      </c>
      <c r="E2365" t="s">
        <v>185</v>
      </c>
      <c r="F2365" t="s">
        <v>47</v>
      </c>
      <c r="G2365" t="s">
        <v>48</v>
      </c>
      <c r="H2365" t="s">
        <v>49</v>
      </c>
      <c r="I2365" t="s">
        <v>50</v>
      </c>
      <c r="J2365" t="s">
        <v>1336</v>
      </c>
      <c r="K2365" t="s">
        <v>2062</v>
      </c>
      <c r="L2365" t="s">
        <v>53</v>
      </c>
      <c r="N2365" t="s">
        <v>3758</v>
      </c>
      <c r="P2365" t="s">
        <v>55</v>
      </c>
      <c r="R2365" t="s">
        <v>56</v>
      </c>
      <c r="T2365" t="s">
        <v>3740</v>
      </c>
      <c r="U2365" t="s">
        <v>58</v>
      </c>
      <c r="V2365">
        <v>2</v>
      </c>
      <c r="W2365">
        <v>1</v>
      </c>
      <c r="X2365">
        <v>1</v>
      </c>
      <c r="Y2365">
        <v>0</v>
      </c>
      <c r="Z2365">
        <v>1</v>
      </c>
      <c r="AA2365">
        <v>0</v>
      </c>
      <c r="AB2365">
        <v>272.76</v>
      </c>
      <c r="AC2365">
        <v>240</v>
      </c>
      <c r="AD2365">
        <v>0</v>
      </c>
      <c r="AE2365">
        <v>32.76</v>
      </c>
      <c r="AF2365">
        <v>0</v>
      </c>
      <c r="AG2365">
        <v>0</v>
      </c>
      <c r="AH2365">
        <v>0</v>
      </c>
      <c r="AI2365">
        <v>49.1</v>
      </c>
      <c r="AJ2365">
        <v>272.76</v>
      </c>
      <c r="AK2365">
        <v>0</v>
      </c>
      <c r="AL2365" t="s">
        <v>53</v>
      </c>
      <c r="AM2365" t="s">
        <v>53</v>
      </c>
      <c r="AN2365" t="s">
        <v>349</v>
      </c>
      <c r="AO2365" t="s">
        <v>53</v>
      </c>
      <c r="AP2365" t="s">
        <v>53</v>
      </c>
    </row>
    <row r="2366" spans="2:42" x14ac:dyDescent="0.2">
      <c r="B2366" t="s">
        <v>44</v>
      </c>
      <c r="C2366" t="str">
        <f>HYPERLINK("https://us2.cloudbeds.com/connect/8493803454333002#/reservations/598618222727?display=E1H2ZFM7&amp;reservation_id=598618222727", "E1H2ZFM7")</f>
        <v>E1H2ZFM7</v>
      </c>
      <c r="D2366" t="s">
        <v>45</v>
      </c>
      <c r="E2366" t="s">
        <v>69</v>
      </c>
      <c r="F2366" t="s">
        <v>70</v>
      </c>
      <c r="G2366" t="s">
        <v>48</v>
      </c>
      <c r="H2366" t="s">
        <v>49</v>
      </c>
      <c r="I2366" t="s">
        <v>50</v>
      </c>
      <c r="J2366" t="s">
        <v>1439</v>
      </c>
      <c r="K2366" t="s">
        <v>322</v>
      </c>
      <c r="L2366" t="s">
        <v>53</v>
      </c>
      <c r="N2366" t="s">
        <v>3759</v>
      </c>
      <c r="P2366" t="s">
        <v>55</v>
      </c>
      <c r="R2366" t="s">
        <v>56</v>
      </c>
      <c r="T2366" t="s">
        <v>3740</v>
      </c>
      <c r="U2366" t="s">
        <v>58</v>
      </c>
      <c r="V2366">
        <v>1</v>
      </c>
      <c r="W2366">
        <v>1</v>
      </c>
      <c r="X2366">
        <v>1</v>
      </c>
      <c r="Y2366">
        <v>0</v>
      </c>
      <c r="Z2366">
        <v>1</v>
      </c>
      <c r="AA2366">
        <v>0</v>
      </c>
      <c r="AB2366">
        <v>140.13</v>
      </c>
      <c r="AC2366">
        <v>123.3</v>
      </c>
      <c r="AD2366">
        <v>0</v>
      </c>
      <c r="AE2366">
        <v>16.84</v>
      </c>
      <c r="AF2366">
        <v>0</v>
      </c>
      <c r="AG2366">
        <v>0</v>
      </c>
      <c r="AH2366">
        <v>0</v>
      </c>
      <c r="AI2366">
        <v>25.23</v>
      </c>
      <c r="AJ2366">
        <v>140.13999999999999</v>
      </c>
      <c r="AK2366">
        <v>0.01</v>
      </c>
      <c r="AL2366" t="s">
        <v>53</v>
      </c>
      <c r="AM2366" t="s">
        <v>53</v>
      </c>
      <c r="AN2366" t="s">
        <v>178</v>
      </c>
      <c r="AO2366" t="s">
        <v>53</v>
      </c>
      <c r="AP2366" t="s">
        <v>53</v>
      </c>
    </row>
    <row r="2367" spans="2:42" x14ac:dyDescent="0.2">
      <c r="B2367" t="s">
        <v>44</v>
      </c>
      <c r="C2367" t="str">
        <f>HYPERLINK("https://us2.cloudbeds.com/connect/8493803454333002#/reservations/579211071653?display=DJG63TA4&amp;reservation_id=579211071653", "DJG63TA4")</f>
        <v>DJG63TA4</v>
      </c>
      <c r="D2367" t="s">
        <v>45</v>
      </c>
      <c r="E2367" t="s">
        <v>305</v>
      </c>
      <c r="F2367" t="s">
        <v>61</v>
      </c>
      <c r="G2367" t="s">
        <v>48</v>
      </c>
      <c r="H2367" t="s">
        <v>49</v>
      </c>
      <c r="I2367" t="s">
        <v>50</v>
      </c>
      <c r="J2367" t="s">
        <v>1295</v>
      </c>
      <c r="K2367" t="s">
        <v>3031</v>
      </c>
      <c r="L2367" t="s">
        <v>53</v>
      </c>
      <c r="N2367" t="s">
        <v>3760</v>
      </c>
      <c r="P2367" t="s">
        <v>55</v>
      </c>
      <c r="R2367" t="s">
        <v>56</v>
      </c>
      <c r="T2367" t="s">
        <v>3740</v>
      </c>
      <c r="U2367" t="s">
        <v>58</v>
      </c>
      <c r="V2367">
        <v>1</v>
      </c>
      <c r="W2367">
        <v>1</v>
      </c>
      <c r="X2367">
        <v>1</v>
      </c>
      <c r="Y2367">
        <v>0</v>
      </c>
      <c r="Z2367">
        <v>1</v>
      </c>
      <c r="AA2367">
        <v>0</v>
      </c>
      <c r="AB2367">
        <v>163.66</v>
      </c>
      <c r="AC2367">
        <v>144</v>
      </c>
      <c r="AD2367">
        <v>0</v>
      </c>
      <c r="AE2367">
        <v>19.66</v>
      </c>
      <c r="AF2367">
        <v>0</v>
      </c>
      <c r="AG2367">
        <v>0</v>
      </c>
      <c r="AH2367">
        <v>0</v>
      </c>
      <c r="AI2367">
        <v>29.46</v>
      </c>
      <c r="AJ2367">
        <v>163.66</v>
      </c>
      <c r="AK2367">
        <v>0</v>
      </c>
      <c r="AL2367" t="s">
        <v>53</v>
      </c>
      <c r="AM2367" t="s">
        <v>53</v>
      </c>
      <c r="AN2367" t="s">
        <v>97</v>
      </c>
      <c r="AO2367" t="s">
        <v>53</v>
      </c>
      <c r="AP2367" t="s">
        <v>53</v>
      </c>
    </row>
    <row r="2368" spans="2:42" x14ac:dyDescent="0.2">
      <c r="B2368" t="s">
        <v>44</v>
      </c>
      <c r="C2368" t="str">
        <f>HYPERLINK("https://us2.cloudbeds.com/connect/8493803454333002#/reservations/579216978048?display=DJG9S392&amp;reservation_id=579216978048", "DJG9S392")</f>
        <v>DJG9S392</v>
      </c>
      <c r="D2368" t="s">
        <v>45</v>
      </c>
      <c r="E2368" t="s">
        <v>138</v>
      </c>
      <c r="F2368" t="s">
        <v>70</v>
      </c>
      <c r="G2368" t="s">
        <v>48</v>
      </c>
      <c r="H2368" t="s">
        <v>49</v>
      </c>
      <c r="I2368" t="s">
        <v>50</v>
      </c>
      <c r="J2368" t="s">
        <v>3031</v>
      </c>
      <c r="K2368" t="s">
        <v>1900</v>
      </c>
      <c r="L2368" t="s">
        <v>53</v>
      </c>
      <c r="N2368" t="s">
        <v>3761</v>
      </c>
      <c r="P2368" t="s">
        <v>55</v>
      </c>
      <c r="R2368" t="s">
        <v>56</v>
      </c>
      <c r="T2368" t="s">
        <v>3740</v>
      </c>
      <c r="U2368" t="s">
        <v>58</v>
      </c>
      <c r="V2368">
        <v>1</v>
      </c>
      <c r="W2368">
        <v>1</v>
      </c>
      <c r="X2368">
        <v>1</v>
      </c>
      <c r="Y2368">
        <v>0</v>
      </c>
      <c r="Z2368">
        <v>1</v>
      </c>
      <c r="AA2368">
        <v>0</v>
      </c>
      <c r="AB2368">
        <v>163.66</v>
      </c>
      <c r="AC2368">
        <v>144</v>
      </c>
      <c r="AD2368">
        <v>0</v>
      </c>
      <c r="AE2368">
        <v>19.66</v>
      </c>
      <c r="AF2368">
        <v>0</v>
      </c>
      <c r="AG2368">
        <v>0</v>
      </c>
      <c r="AH2368">
        <v>0</v>
      </c>
      <c r="AI2368">
        <v>29.46</v>
      </c>
      <c r="AJ2368">
        <v>163.66</v>
      </c>
      <c r="AK2368">
        <v>0</v>
      </c>
      <c r="AL2368" t="s">
        <v>53</v>
      </c>
      <c r="AM2368" t="s">
        <v>53</v>
      </c>
      <c r="AN2368" t="s">
        <v>178</v>
      </c>
      <c r="AO2368" t="s">
        <v>53</v>
      </c>
      <c r="AP2368" t="s">
        <v>53</v>
      </c>
    </row>
    <row r="2369" spans="2:42" x14ac:dyDescent="0.2">
      <c r="B2369" t="s">
        <v>44</v>
      </c>
      <c r="C2369" t="str">
        <f>HYPERLINK("https://us2.cloudbeds.com/connect/8493803454333002#/reservations/579391672456?display=DJKQD8HD&amp;reservation_id=579391672456", "DJKQD8HD")</f>
        <v>DJKQD8HD</v>
      </c>
      <c r="D2369" t="s">
        <v>45</v>
      </c>
      <c r="E2369" t="s">
        <v>69</v>
      </c>
      <c r="F2369" t="s">
        <v>70</v>
      </c>
      <c r="G2369" t="s">
        <v>48</v>
      </c>
      <c r="H2369" t="s">
        <v>49</v>
      </c>
      <c r="I2369" t="s">
        <v>62</v>
      </c>
      <c r="J2369" t="s">
        <v>1665</v>
      </c>
      <c r="K2369" t="s">
        <v>1478</v>
      </c>
      <c r="L2369" t="s">
        <v>53</v>
      </c>
      <c r="N2369" t="s">
        <v>3762</v>
      </c>
      <c r="P2369" t="s">
        <v>55</v>
      </c>
      <c r="R2369" t="s">
        <v>56</v>
      </c>
      <c r="T2369" t="s">
        <v>3740</v>
      </c>
      <c r="U2369" t="s">
        <v>58</v>
      </c>
      <c r="V2369">
        <v>1</v>
      </c>
      <c r="W2369">
        <v>1</v>
      </c>
      <c r="X2369">
        <v>1</v>
      </c>
      <c r="Y2369">
        <v>0</v>
      </c>
      <c r="Z2369">
        <v>1</v>
      </c>
      <c r="AA2369">
        <v>0</v>
      </c>
      <c r="AB2369">
        <v>151.16</v>
      </c>
      <c r="AC2369">
        <v>133</v>
      </c>
      <c r="AD2369">
        <v>0</v>
      </c>
      <c r="AE2369">
        <v>18.16</v>
      </c>
      <c r="AF2369">
        <v>0</v>
      </c>
      <c r="AG2369">
        <v>0</v>
      </c>
      <c r="AH2369">
        <v>0</v>
      </c>
      <c r="AI2369">
        <v>22.67</v>
      </c>
      <c r="AJ2369">
        <v>151.16</v>
      </c>
      <c r="AK2369">
        <v>0</v>
      </c>
      <c r="AL2369" t="s">
        <v>53</v>
      </c>
      <c r="AM2369" t="s">
        <v>53</v>
      </c>
      <c r="AN2369" t="s">
        <v>178</v>
      </c>
      <c r="AO2369" t="s">
        <v>53</v>
      </c>
      <c r="AP2369" t="s">
        <v>53</v>
      </c>
    </row>
    <row r="2370" spans="2:42" x14ac:dyDescent="0.2">
      <c r="B2370" t="s">
        <v>44</v>
      </c>
      <c r="C2370" t="str">
        <f>HYPERLINK("https://us2.cloudbeds.com/connect/8493803454333002#/reservations/579393659082?display=DJKS2YHH&amp;reservation_id=579393659082", "DJKS2YHH")</f>
        <v>DJKS2YHH</v>
      </c>
      <c r="D2370" t="s">
        <v>45</v>
      </c>
      <c r="E2370" t="s">
        <v>113</v>
      </c>
      <c r="F2370" t="s">
        <v>61</v>
      </c>
      <c r="G2370" t="s">
        <v>48</v>
      </c>
      <c r="H2370" t="s">
        <v>49</v>
      </c>
      <c r="I2370" t="s">
        <v>50</v>
      </c>
      <c r="J2370" t="s">
        <v>1665</v>
      </c>
      <c r="K2370" t="s">
        <v>1610</v>
      </c>
      <c r="L2370" t="s">
        <v>53</v>
      </c>
      <c r="N2370" t="s">
        <v>3763</v>
      </c>
      <c r="P2370" t="s">
        <v>55</v>
      </c>
      <c r="R2370" t="s">
        <v>56</v>
      </c>
      <c r="T2370" t="s">
        <v>3740</v>
      </c>
      <c r="U2370" t="s">
        <v>58</v>
      </c>
      <c r="V2370">
        <v>5</v>
      </c>
      <c r="W2370">
        <v>1</v>
      </c>
      <c r="X2370">
        <v>1</v>
      </c>
      <c r="Y2370">
        <v>0</v>
      </c>
      <c r="Z2370">
        <v>1</v>
      </c>
      <c r="AA2370">
        <v>0</v>
      </c>
      <c r="AB2370">
        <v>782.45</v>
      </c>
      <c r="AC2370">
        <v>688.5</v>
      </c>
      <c r="AD2370">
        <v>0</v>
      </c>
      <c r="AE2370">
        <v>93.95</v>
      </c>
      <c r="AF2370">
        <v>0</v>
      </c>
      <c r="AG2370">
        <v>0</v>
      </c>
      <c r="AH2370">
        <v>0</v>
      </c>
      <c r="AI2370">
        <v>140.84</v>
      </c>
      <c r="AJ2370">
        <v>782.45</v>
      </c>
      <c r="AK2370">
        <v>0</v>
      </c>
      <c r="AL2370" t="s">
        <v>53</v>
      </c>
      <c r="AM2370" t="s">
        <v>53</v>
      </c>
      <c r="AN2370" t="s">
        <v>225</v>
      </c>
      <c r="AO2370" t="s">
        <v>53</v>
      </c>
      <c r="AP2370" t="s">
        <v>53</v>
      </c>
    </row>
    <row r="2371" spans="2:42" x14ac:dyDescent="0.2">
      <c r="B2371" t="s">
        <v>44</v>
      </c>
      <c r="C2371" t="str">
        <f>HYPERLINK("https://us2.cloudbeds.com/connect/8493803454333002#/reservations/579296161932?display=DJXBSYFE&amp;reservation_id=579296161932", "DJXBSYFE")</f>
        <v>DJXBSYFE</v>
      </c>
      <c r="D2371" t="s">
        <v>45</v>
      </c>
      <c r="E2371" t="s">
        <v>406</v>
      </c>
      <c r="F2371" t="s">
        <v>61</v>
      </c>
      <c r="G2371" t="s">
        <v>48</v>
      </c>
      <c r="H2371" t="s">
        <v>49</v>
      </c>
      <c r="I2371" t="s">
        <v>50</v>
      </c>
      <c r="J2371" t="s">
        <v>1450</v>
      </c>
      <c r="K2371" t="s">
        <v>1515</v>
      </c>
      <c r="L2371" t="s">
        <v>53</v>
      </c>
      <c r="N2371" t="s">
        <v>3764</v>
      </c>
      <c r="P2371" t="s">
        <v>55</v>
      </c>
      <c r="R2371" t="s">
        <v>56</v>
      </c>
      <c r="T2371" t="s">
        <v>3740</v>
      </c>
      <c r="U2371" t="s">
        <v>58</v>
      </c>
      <c r="V2371">
        <v>2</v>
      </c>
      <c r="W2371">
        <v>1</v>
      </c>
      <c r="X2371">
        <v>1</v>
      </c>
      <c r="Y2371">
        <v>0</v>
      </c>
      <c r="Z2371">
        <v>1</v>
      </c>
      <c r="AA2371">
        <v>0</v>
      </c>
      <c r="AB2371">
        <v>332.44</v>
      </c>
      <c r="AC2371">
        <v>292.5</v>
      </c>
      <c r="AD2371">
        <v>0</v>
      </c>
      <c r="AE2371">
        <v>39.94</v>
      </c>
      <c r="AF2371">
        <v>0</v>
      </c>
      <c r="AG2371">
        <v>0</v>
      </c>
      <c r="AH2371">
        <v>0</v>
      </c>
      <c r="AI2371">
        <v>59.84</v>
      </c>
      <c r="AJ2371">
        <v>332.44</v>
      </c>
      <c r="AK2371">
        <v>0</v>
      </c>
      <c r="AL2371" t="s">
        <v>53</v>
      </c>
      <c r="AM2371" t="s">
        <v>53</v>
      </c>
      <c r="AN2371" t="s">
        <v>97</v>
      </c>
      <c r="AO2371" t="s">
        <v>53</v>
      </c>
      <c r="AP2371" t="s">
        <v>53</v>
      </c>
    </row>
    <row r="2372" spans="2:42" x14ac:dyDescent="0.2">
      <c r="B2372" t="s">
        <v>44</v>
      </c>
      <c r="C2372" t="str">
        <f>HYPERLINK("https://us2.cloudbeds.com/connect/8493803454333002#/reservations/579252261002?display=DJH6UNVT&amp;reservation_id=579252261002", "DJH6UNVT")</f>
        <v>DJH6UNVT</v>
      </c>
      <c r="D2372" t="s">
        <v>602</v>
      </c>
      <c r="E2372" t="s">
        <v>53</v>
      </c>
      <c r="F2372" t="s">
        <v>86</v>
      </c>
      <c r="G2372" t="s">
        <v>48</v>
      </c>
      <c r="H2372" t="s">
        <v>71</v>
      </c>
      <c r="I2372" t="s">
        <v>72</v>
      </c>
      <c r="J2372" t="s">
        <v>505</v>
      </c>
      <c r="K2372" t="s">
        <v>603</v>
      </c>
      <c r="L2372" t="s">
        <v>53</v>
      </c>
      <c r="N2372" t="s">
        <v>3765</v>
      </c>
      <c r="P2372" t="s">
        <v>55</v>
      </c>
      <c r="R2372" t="s">
        <v>56</v>
      </c>
      <c r="T2372" t="s">
        <v>3740</v>
      </c>
      <c r="U2372" t="s">
        <v>58</v>
      </c>
      <c r="V2372">
        <v>1</v>
      </c>
      <c r="W2372">
        <v>1</v>
      </c>
      <c r="X2372">
        <v>1</v>
      </c>
      <c r="Y2372">
        <v>0</v>
      </c>
      <c r="Z2372">
        <v>1</v>
      </c>
      <c r="AA2372">
        <v>0</v>
      </c>
      <c r="AB2372">
        <v>0</v>
      </c>
      <c r="AC2372">
        <v>0</v>
      </c>
      <c r="AD2372">
        <v>0</v>
      </c>
      <c r="AE2372">
        <v>0</v>
      </c>
      <c r="AF2372">
        <v>0</v>
      </c>
      <c r="AG2372">
        <v>0</v>
      </c>
      <c r="AH2372">
        <v>0</v>
      </c>
      <c r="AI2372">
        <v>0</v>
      </c>
      <c r="AJ2372">
        <v>0</v>
      </c>
      <c r="AK2372">
        <v>0</v>
      </c>
      <c r="AL2372">
        <v>157</v>
      </c>
      <c r="AM2372">
        <v>178.43</v>
      </c>
      <c r="AN2372" t="s">
        <v>3766</v>
      </c>
      <c r="AO2372" t="s">
        <v>53</v>
      </c>
      <c r="AP2372" t="s">
        <v>53</v>
      </c>
    </row>
    <row r="2373" spans="2:42" x14ac:dyDescent="0.2">
      <c r="B2373" t="s">
        <v>44</v>
      </c>
      <c r="C2373" t="str">
        <f>HYPERLINK("https://us2.cloudbeds.com/connect/8493803454333002#/reservations/579318190229?display=DJXUEKFX&amp;reservation_id=579318190229", "DJXUEKFX")</f>
        <v>DJXUEKFX</v>
      </c>
      <c r="D2373" t="s">
        <v>45</v>
      </c>
      <c r="E2373" t="s">
        <v>165</v>
      </c>
      <c r="F2373" t="s">
        <v>61</v>
      </c>
      <c r="G2373" t="s">
        <v>48</v>
      </c>
      <c r="H2373" t="s">
        <v>49</v>
      </c>
      <c r="I2373" t="s">
        <v>50</v>
      </c>
      <c r="J2373" t="s">
        <v>3767</v>
      </c>
      <c r="K2373" t="s">
        <v>3768</v>
      </c>
      <c r="L2373" t="s">
        <v>53</v>
      </c>
      <c r="N2373" t="s">
        <v>3769</v>
      </c>
      <c r="P2373" t="s">
        <v>55</v>
      </c>
      <c r="R2373" t="s">
        <v>56</v>
      </c>
      <c r="T2373" t="s">
        <v>3740</v>
      </c>
      <c r="U2373" t="s">
        <v>58</v>
      </c>
      <c r="V2373">
        <v>2</v>
      </c>
      <c r="W2373">
        <v>1</v>
      </c>
      <c r="X2373">
        <v>1</v>
      </c>
      <c r="Y2373">
        <v>0</v>
      </c>
      <c r="Z2373">
        <v>1</v>
      </c>
      <c r="AA2373">
        <v>0</v>
      </c>
      <c r="AB2373">
        <v>161.6</v>
      </c>
      <c r="AC2373">
        <v>142.19999999999999</v>
      </c>
      <c r="AD2373">
        <v>0</v>
      </c>
      <c r="AE2373">
        <v>19.399999999999999</v>
      </c>
      <c r="AF2373">
        <v>0</v>
      </c>
      <c r="AG2373">
        <v>0</v>
      </c>
      <c r="AH2373">
        <v>0</v>
      </c>
      <c r="AI2373">
        <v>29.09</v>
      </c>
      <c r="AJ2373">
        <v>161.6</v>
      </c>
      <c r="AK2373">
        <v>0</v>
      </c>
      <c r="AL2373" t="s">
        <v>53</v>
      </c>
      <c r="AM2373" t="s">
        <v>53</v>
      </c>
      <c r="AN2373" t="s">
        <v>3770</v>
      </c>
      <c r="AO2373" t="s">
        <v>53</v>
      </c>
      <c r="AP2373" t="s">
        <v>53</v>
      </c>
    </row>
    <row r="2374" spans="2:42" x14ac:dyDescent="0.2">
      <c r="B2374" t="s">
        <v>44</v>
      </c>
      <c r="C2374" t="str">
        <f>HYPERLINK("https://us2.cloudbeds.com/connect/8493803454333002#/reservations/579345387690?display=DJJKCE4V&amp;reservation_id=579345387690", "DJJKCE4V")</f>
        <v>DJJKCE4V</v>
      </c>
      <c r="D2374" t="s">
        <v>45</v>
      </c>
      <c r="E2374" t="s">
        <v>487</v>
      </c>
      <c r="F2374" t="s">
        <v>61</v>
      </c>
      <c r="G2374" t="s">
        <v>48</v>
      </c>
      <c r="H2374" t="s">
        <v>49</v>
      </c>
      <c r="I2374" t="s">
        <v>50</v>
      </c>
      <c r="J2374" t="s">
        <v>3104</v>
      </c>
      <c r="K2374" t="s">
        <v>1501</v>
      </c>
      <c r="L2374" t="s">
        <v>53</v>
      </c>
      <c r="N2374" t="s">
        <v>3771</v>
      </c>
      <c r="P2374" t="s">
        <v>55</v>
      </c>
      <c r="R2374" t="s">
        <v>56</v>
      </c>
      <c r="T2374" t="s">
        <v>3740</v>
      </c>
      <c r="U2374" t="s">
        <v>58</v>
      </c>
      <c r="V2374">
        <v>2</v>
      </c>
      <c r="W2374">
        <v>1</v>
      </c>
      <c r="X2374">
        <v>1</v>
      </c>
      <c r="Y2374">
        <v>0</v>
      </c>
      <c r="Z2374">
        <v>1</v>
      </c>
      <c r="AA2374">
        <v>0</v>
      </c>
      <c r="AB2374">
        <v>318.12</v>
      </c>
      <c r="AC2374">
        <v>279.89999999999998</v>
      </c>
      <c r="AD2374">
        <v>0</v>
      </c>
      <c r="AE2374">
        <v>38.22</v>
      </c>
      <c r="AF2374">
        <v>0</v>
      </c>
      <c r="AG2374">
        <v>0</v>
      </c>
      <c r="AH2374">
        <v>0</v>
      </c>
      <c r="AI2374">
        <v>57.26</v>
      </c>
      <c r="AJ2374">
        <v>318.12</v>
      </c>
      <c r="AK2374">
        <v>0</v>
      </c>
      <c r="AL2374" t="s">
        <v>53</v>
      </c>
      <c r="AM2374" t="s">
        <v>53</v>
      </c>
      <c r="AN2374" t="s">
        <v>68</v>
      </c>
      <c r="AO2374" t="s">
        <v>53</v>
      </c>
      <c r="AP2374" t="s">
        <v>53</v>
      </c>
    </row>
    <row r="2375" spans="2:42" x14ac:dyDescent="0.2">
      <c r="B2375" t="s">
        <v>44</v>
      </c>
      <c r="C2375" t="str">
        <f>HYPERLINK("https://us2.cloudbeds.com/connect/8493803454333002#/reservations/579381727399?display=DJKX0KWC&amp;reservation_id=579381727399", "DJKX0KWC")</f>
        <v>DJKX0KWC</v>
      </c>
      <c r="D2375" t="s">
        <v>45</v>
      </c>
      <c r="E2375" t="s">
        <v>381</v>
      </c>
      <c r="F2375" t="s">
        <v>47</v>
      </c>
      <c r="G2375" t="s">
        <v>48</v>
      </c>
      <c r="H2375" t="s">
        <v>49</v>
      </c>
      <c r="I2375" t="s">
        <v>62</v>
      </c>
      <c r="J2375" t="s">
        <v>2013</v>
      </c>
      <c r="K2375" t="s">
        <v>1161</v>
      </c>
      <c r="L2375" t="s">
        <v>53</v>
      </c>
      <c r="N2375" t="s">
        <v>3772</v>
      </c>
      <c r="P2375" t="s">
        <v>55</v>
      </c>
      <c r="R2375" t="s">
        <v>56</v>
      </c>
      <c r="T2375" t="s">
        <v>3740</v>
      </c>
      <c r="U2375" t="s">
        <v>58</v>
      </c>
      <c r="V2375">
        <v>1</v>
      </c>
      <c r="W2375">
        <v>1</v>
      </c>
      <c r="X2375">
        <v>1</v>
      </c>
      <c r="Y2375">
        <v>0</v>
      </c>
      <c r="Z2375">
        <v>1</v>
      </c>
      <c r="AA2375">
        <v>0</v>
      </c>
      <c r="AB2375">
        <v>136.38</v>
      </c>
      <c r="AC2375">
        <v>120</v>
      </c>
      <c r="AD2375">
        <v>0</v>
      </c>
      <c r="AE2375">
        <v>16.38</v>
      </c>
      <c r="AF2375">
        <v>0</v>
      </c>
      <c r="AG2375">
        <v>0</v>
      </c>
      <c r="AH2375">
        <v>0</v>
      </c>
      <c r="AI2375">
        <v>20.46</v>
      </c>
      <c r="AJ2375">
        <v>136.38</v>
      </c>
      <c r="AK2375">
        <v>0</v>
      </c>
      <c r="AL2375" t="s">
        <v>53</v>
      </c>
      <c r="AM2375" t="s">
        <v>53</v>
      </c>
      <c r="AN2375" t="s">
        <v>198</v>
      </c>
      <c r="AO2375" t="s">
        <v>53</v>
      </c>
      <c r="AP2375" t="s">
        <v>53</v>
      </c>
    </row>
    <row r="2376" spans="2:42" x14ac:dyDescent="0.2">
      <c r="B2376" t="s">
        <v>44</v>
      </c>
      <c r="C2376" t="str">
        <f>HYPERLINK("https://us2.cloudbeds.com/connect/8493803454333002#/reservations/579385958616?display=DJKYJCD2&amp;reservation_id=579385958616", "DJKYJCD2")</f>
        <v>DJKYJCD2</v>
      </c>
      <c r="D2376" t="s">
        <v>45</v>
      </c>
      <c r="E2376" t="s">
        <v>305</v>
      </c>
      <c r="F2376" t="s">
        <v>61</v>
      </c>
      <c r="G2376" t="s">
        <v>48</v>
      </c>
      <c r="H2376" t="s">
        <v>49</v>
      </c>
      <c r="I2376" t="s">
        <v>50</v>
      </c>
      <c r="J2376" t="s">
        <v>1406</v>
      </c>
      <c r="K2376" t="s">
        <v>1556</v>
      </c>
      <c r="L2376" t="s">
        <v>53</v>
      </c>
      <c r="N2376" t="s">
        <v>3773</v>
      </c>
      <c r="P2376" t="s">
        <v>55</v>
      </c>
      <c r="R2376" t="s">
        <v>56</v>
      </c>
      <c r="T2376" t="s">
        <v>3740</v>
      </c>
      <c r="U2376" t="s">
        <v>58</v>
      </c>
      <c r="V2376">
        <v>1</v>
      </c>
      <c r="W2376">
        <v>1</v>
      </c>
      <c r="X2376">
        <v>1</v>
      </c>
      <c r="Y2376">
        <v>0</v>
      </c>
      <c r="Z2376">
        <v>1</v>
      </c>
      <c r="AA2376">
        <v>0</v>
      </c>
      <c r="AB2376">
        <v>173.89</v>
      </c>
      <c r="AC2376">
        <v>153</v>
      </c>
      <c r="AD2376">
        <v>0</v>
      </c>
      <c r="AE2376">
        <v>20.89</v>
      </c>
      <c r="AF2376">
        <v>0</v>
      </c>
      <c r="AG2376">
        <v>0</v>
      </c>
      <c r="AH2376">
        <v>0</v>
      </c>
      <c r="AI2376">
        <v>31.3</v>
      </c>
      <c r="AJ2376">
        <v>173.89</v>
      </c>
      <c r="AK2376">
        <v>0</v>
      </c>
      <c r="AL2376" t="s">
        <v>53</v>
      </c>
      <c r="AM2376" t="s">
        <v>53</v>
      </c>
      <c r="AN2376" t="s">
        <v>252</v>
      </c>
      <c r="AO2376" t="s">
        <v>53</v>
      </c>
      <c r="AP2376" t="s">
        <v>53</v>
      </c>
    </row>
    <row r="2377" spans="2:42" x14ac:dyDescent="0.2">
      <c r="B2377" t="s">
        <v>44</v>
      </c>
      <c r="C2377" t="str">
        <f>HYPERLINK("https://us2.cloudbeds.com/connect/8493803454333002#/reservations/598480560291?display=E1DXYQT8&amp;reservation_id=598480560291", "E1DXYQT8")</f>
        <v>E1DXYQT8</v>
      </c>
      <c r="D2377" t="s">
        <v>45</v>
      </c>
      <c r="E2377" t="s">
        <v>305</v>
      </c>
      <c r="F2377" t="s">
        <v>61</v>
      </c>
      <c r="G2377" t="s">
        <v>48</v>
      </c>
      <c r="H2377" t="s">
        <v>49</v>
      </c>
      <c r="I2377" t="s">
        <v>50</v>
      </c>
      <c r="J2377" t="s">
        <v>351</v>
      </c>
      <c r="K2377" t="s">
        <v>99</v>
      </c>
      <c r="L2377" t="s">
        <v>53</v>
      </c>
      <c r="N2377" t="s">
        <v>3774</v>
      </c>
      <c r="P2377" t="s">
        <v>55</v>
      </c>
      <c r="R2377" t="s">
        <v>56</v>
      </c>
      <c r="T2377" t="s">
        <v>3740</v>
      </c>
      <c r="U2377" t="s">
        <v>58</v>
      </c>
      <c r="V2377">
        <v>1</v>
      </c>
      <c r="W2377">
        <v>1</v>
      </c>
      <c r="X2377">
        <v>1</v>
      </c>
      <c r="Y2377">
        <v>0</v>
      </c>
      <c r="Z2377">
        <v>1</v>
      </c>
      <c r="AA2377">
        <v>0</v>
      </c>
      <c r="AB2377">
        <v>177.98</v>
      </c>
      <c r="AC2377">
        <v>156.6</v>
      </c>
      <c r="AD2377">
        <v>0</v>
      </c>
      <c r="AE2377">
        <v>21.37</v>
      </c>
      <c r="AF2377">
        <v>0</v>
      </c>
      <c r="AG2377">
        <v>0</v>
      </c>
      <c r="AH2377">
        <v>0</v>
      </c>
      <c r="AI2377">
        <v>32.03</v>
      </c>
      <c r="AJ2377">
        <v>177.97</v>
      </c>
      <c r="AK2377">
        <v>-0.01</v>
      </c>
      <c r="AL2377" t="s">
        <v>53</v>
      </c>
      <c r="AM2377" t="s">
        <v>53</v>
      </c>
      <c r="AN2377" t="s">
        <v>413</v>
      </c>
      <c r="AO2377" t="s">
        <v>53</v>
      </c>
      <c r="AP2377" t="s">
        <v>53</v>
      </c>
    </row>
    <row r="2378" spans="2:42" x14ac:dyDescent="0.2">
      <c r="B2378" t="s">
        <v>44</v>
      </c>
      <c r="C2378" t="str">
        <f>HYPERLINK("https://us2.cloudbeds.com/connect/8493803454333002#/reservations/579346882689?display=DJJYY102&amp;reservation_id=579346882689", "DJJYY102")</f>
        <v>DJJYY102</v>
      </c>
      <c r="D2378" t="s">
        <v>45</v>
      </c>
      <c r="E2378" t="s">
        <v>69</v>
      </c>
      <c r="F2378" t="s">
        <v>70</v>
      </c>
      <c r="G2378" t="s">
        <v>48</v>
      </c>
      <c r="H2378" t="s">
        <v>49</v>
      </c>
      <c r="I2378" t="s">
        <v>50</v>
      </c>
      <c r="J2378" t="s">
        <v>1611</v>
      </c>
      <c r="K2378" t="s">
        <v>3551</v>
      </c>
      <c r="L2378" t="s">
        <v>53</v>
      </c>
      <c r="N2378" t="s">
        <v>3775</v>
      </c>
      <c r="P2378" t="s">
        <v>55</v>
      </c>
      <c r="R2378" t="s">
        <v>56</v>
      </c>
      <c r="T2378" t="s">
        <v>3740</v>
      </c>
      <c r="U2378" t="s">
        <v>58</v>
      </c>
      <c r="V2378">
        <v>1</v>
      </c>
      <c r="W2378">
        <v>1</v>
      </c>
      <c r="X2378">
        <v>1</v>
      </c>
      <c r="Y2378">
        <v>0</v>
      </c>
      <c r="Z2378">
        <v>1</v>
      </c>
      <c r="AA2378">
        <v>0</v>
      </c>
      <c r="AB2378">
        <v>136.03</v>
      </c>
      <c r="AC2378">
        <v>119.7</v>
      </c>
      <c r="AD2378">
        <v>0</v>
      </c>
      <c r="AE2378">
        <v>16.329999999999998</v>
      </c>
      <c r="AF2378">
        <v>0</v>
      </c>
      <c r="AG2378">
        <v>0</v>
      </c>
      <c r="AH2378">
        <v>0</v>
      </c>
      <c r="AI2378">
        <v>24.49</v>
      </c>
      <c r="AJ2378">
        <v>136.03</v>
      </c>
      <c r="AK2378">
        <v>0</v>
      </c>
      <c r="AL2378" t="s">
        <v>53</v>
      </c>
      <c r="AM2378" t="s">
        <v>53</v>
      </c>
      <c r="AN2378" t="s">
        <v>146</v>
      </c>
      <c r="AO2378" t="s">
        <v>53</v>
      </c>
      <c r="AP2378" t="s">
        <v>53</v>
      </c>
    </row>
    <row r="2379" spans="2:42" x14ac:dyDescent="0.2">
      <c r="B2379" t="s">
        <v>44</v>
      </c>
      <c r="C2379" t="str">
        <f>HYPERLINK("https://us2.cloudbeds.com/connect/8493803454333002#/reservations/598233555184?display=E178CHK0&amp;reservation_id=598233555184", "E178CHK0")</f>
        <v>E178CHK0</v>
      </c>
      <c r="D2379" t="s">
        <v>45</v>
      </c>
      <c r="E2379" t="s">
        <v>105</v>
      </c>
      <c r="F2379" t="s">
        <v>47</v>
      </c>
      <c r="G2379" t="s">
        <v>48</v>
      </c>
      <c r="H2379" t="s">
        <v>49</v>
      </c>
      <c r="I2379" t="s">
        <v>50</v>
      </c>
      <c r="J2379" t="s">
        <v>100</v>
      </c>
      <c r="K2379" t="s">
        <v>505</v>
      </c>
      <c r="L2379" t="s">
        <v>53</v>
      </c>
      <c r="N2379" t="s">
        <v>3776</v>
      </c>
      <c r="P2379" t="s">
        <v>55</v>
      </c>
      <c r="R2379" t="s">
        <v>56</v>
      </c>
      <c r="T2379" t="s">
        <v>3777</v>
      </c>
      <c r="U2379" t="s">
        <v>58</v>
      </c>
      <c r="V2379">
        <v>2</v>
      </c>
      <c r="W2379">
        <v>1</v>
      </c>
      <c r="X2379">
        <v>1</v>
      </c>
      <c r="Y2379">
        <v>0</v>
      </c>
      <c r="Z2379">
        <v>1</v>
      </c>
      <c r="AA2379">
        <v>0</v>
      </c>
      <c r="AB2379">
        <v>286.39999999999998</v>
      </c>
      <c r="AC2379">
        <v>252</v>
      </c>
      <c r="AD2379">
        <v>0</v>
      </c>
      <c r="AE2379">
        <v>34.4</v>
      </c>
      <c r="AF2379">
        <v>0</v>
      </c>
      <c r="AG2379">
        <v>0</v>
      </c>
      <c r="AH2379">
        <v>0</v>
      </c>
      <c r="AI2379">
        <v>51.55</v>
      </c>
      <c r="AJ2379">
        <v>286.39999999999998</v>
      </c>
      <c r="AK2379">
        <v>0</v>
      </c>
      <c r="AL2379" t="s">
        <v>53</v>
      </c>
      <c r="AM2379" t="s">
        <v>53</v>
      </c>
      <c r="AN2379" t="s">
        <v>225</v>
      </c>
      <c r="AO2379" t="s">
        <v>53</v>
      </c>
      <c r="AP2379" t="s">
        <v>53</v>
      </c>
    </row>
    <row r="2380" spans="2:42" x14ac:dyDescent="0.2">
      <c r="B2380" t="s">
        <v>44</v>
      </c>
      <c r="C2380" t="str">
        <f>HYPERLINK("https://us2.cloudbeds.com/connect/8493803454333002#/reservations/598610309346?display=E1GT290Q&amp;reservation_id=598610309346", "E1GT290Q")</f>
        <v>E1GT290Q</v>
      </c>
      <c r="D2380" t="s">
        <v>45</v>
      </c>
      <c r="E2380" t="s">
        <v>487</v>
      </c>
      <c r="F2380" t="s">
        <v>61</v>
      </c>
      <c r="G2380" t="s">
        <v>48</v>
      </c>
      <c r="H2380" t="s">
        <v>71</v>
      </c>
      <c r="I2380" t="s">
        <v>72</v>
      </c>
      <c r="J2380" t="s">
        <v>351</v>
      </c>
      <c r="K2380" t="s">
        <v>100</v>
      </c>
      <c r="L2380" t="s">
        <v>53</v>
      </c>
      <c r="N2380" t="s">
        <v>3778</v>
      </c>
      <c r="P2380" t="s">
        <v>55</v>
      </c>
      <c r="R2380" t="s">
        <v>56</v>
      </c>
      <c r="T2380" t="s">
        <v>3777</v>
      </c>
      <c r="U2380" t="s">
        <v>58</v>
      </c>
      <c r="V2380">
        <v>3</v>
      </c>
      <c r="W2380">
        <v>1</v>
      </c>
      <c r="X2380">
        <v>1</v>
      </c>
      <c r="Y2380">
        <v>0</v>
      </c>
      <c r="Z2380">
        <v>1</v>
      </c>
      <c r="AA2380">
        <v>0</v>
      </c>
      <c r="AB2380">
        <v>554.61</v>
      </c>
      <c r="AC2380">
        <v>488</v>
      </c>
      <c r="AD2380">
        <v>0</v>
      </c>
      <c r="AE2380">
        <v>66.599999999999994</v>
      </c>
      <c r="AF2380">
        <v>0</v>
      </c>
      <c r="AG2380">
        <v>0</v>
      </c>
      <c r="AH2380">
        <v>0</v>
      </c>
      <c r="AI2380">
        <v>0</v>
      </c>
      <c r="AJ2380">
        <v>554.6</v>
      </c>
      <c r="AK2380">
        <v>-0.01</v>
      </c>
      <c r="AL2380" t="s">
        <v>53</v>
      </c>
      <c r="AM2380" t="s">
        <v>53</v>
      </c>
      <c r="AN2380" t="s">
        <v>3779</v>
      </c>
      <c r="AO2380" t="s">
        <v>53</v>
      </c>
      <c r="AP2380" t="s">
        <v>53</v>
      </c>
    </row>
    <row r="2381" spans="2:42" x14ac:dyDescent="0.2">
      <c r="B2381" t="s">
        <v>44</v>
      </c>
      <c r="C2381" t="str">
        <f>HYPERLINK("https://us2.cloudbeds.com/connect/8493803454333002#/reservations/579218374895?display=DJGC93MG&amp;reservation_id=579218374895", "DJGC93MG")</f>
        <v>DJGC93MG</v>
      </c>
      <c r="D2381" t="s">
        <v>45</v>
      </c>
      <c r="E2381" t="s">
        <v>69</v>
      </c>
      <c r="F2381" t="s">
        <v>70</v>
      </c>
      <c r="G2381" t="s">
        <v>48</v>
      </c>
      <c r="H2381" t="s">
        <v>49</v>
      </c>
      <c r="I2381" t="s">
        <v>50</v>
      </c>
      <c r="J2381" t="s">
        <v>1985</v>
      </c>
      <c r="K2381" t="s">
        <v>2022</v>
      </c>
      <c r="L2381" t="s">
        <v>53</v>
      </c>
      <c r="N2381" t="s">
        <v>3780</v>
      </c>
      <c r="P2381" t="s">
        <v>55</v>
      </c>
      <c r="R2381" t="s">
        <v>56</v>
      </c>
      <c r="T2381" t="s">
        <v>3777</v>
      </c>
      <c r="U2381" t="s">
        <v>58</v>
      </c>
      <c r="V2381">
        <v>1</v>
      </c>
      <c r="W2381">
        <v>1</v>
      </c>
      <c r="X2381">
        <v>1</v>
      </c>
      <c r="Y2381">
        <v>0</v>
      </c>
      <c r="Z2381">
        <v>1</v>
      </c>
      <c r="AA2381">
        <v>0</v>
      </c>
      <c r="AB2381">
        <v>143.19999999999999</v>
      </c>
      <c r="AC2381">
        <v>126</v>
      </c>
      <c r="AD2381">
        <v>0</v>
      </c>
      <c r="AE2381">
        <v>17.2</v>
      </c>
      <c r="AF2381">
        <v>0</v>
      </c>
      <c r="AG2381">
        <v>0</v>
      </c>
      <c r="AH2381">
        <v>0</v>
      </c>
      <c r="AI2381">
        <v>25.78</v>
      </c>
      <c r="AJ2381">
        <v>143.19999999999999</v>
      </c>
      <c r="AK2381">
        <v>0</v>
      </c>
      <c r="AL2381" t="s">
        <v>53</v>
      </c>
      <c r="AM2381" t="s">
        <v>53</v>
      </c>
      <c r="AN2381" t="s">
        <v>316</v>
      </c>
      <c r="AO2381" t="s">
        <v>53</v>
      </c>
      <c r="AP2381" t="s">
        <v>53</v>
      </c>
    </row>
    <row r="2382" spans="2:42" x14ac:dyDescent="0.2">
      <c r="B2382" t="s">
        <v>44</v>
      </c>
      <c r="C2382" t="str">
        <f>HYPERLINK("https://us2.cloudbeds.com/connect/8493803454333002#/reservations/579221176520?display=DJGEY2B7&amp;reservation_id=579221176520", "DJGEY2B7")</f>
        <v>DJGEY2B7</v>
      </c>
      <c r="D2382" t="s">
        <v>45</v>
      </c>
      <c r="E2382" t="s">
        <v>78</v>
      </c>
      <c r="F2382" t="s">
        <v>61</v>
      </c>
      <c r="G2382" t="s">
        <v>48</v>
      </c>
      <c r="H2382" t="s">
        <v>49</v>
      </c>
      <c r="I2382" t="s">
        <v>50</v>
      </c>
      <c r="J2382" t="s">
        <v>1451</v>
      </c>
      <c r="K2382" t="s">
        <v>2384</v>
      </c>
      <c r="L2382" t="s">
        <v>53</v>
      </c>
      <c r="N2382" t="s">
        <v>3781</v>
      </c>
      <c r="P2382" t="s">
        <v>55</v>
      </c>
      <c r="R2382" t="s">
        <v>56</v>
      </c>
      <c r="T2382" t="s">
        <v>3777</v>
      </c>
      <c r="U2382" t="s">
        <v>58</v>
      </c>
      <c r="V2382">
        <v>3</v>
      </c>
      <c r="W2382">
        <v>1</v>
      </c>
      <c r="X2382">
        <v>1</v>
      </c>
      <c r="Y2382">
        <v>0</v>
      </c>
      <c r="Z2382">
        <v>1</v>
      </c>
      <c r="AA2382">
        <v>0</v>
      </c>
      <c r="AB2382">
        <v>490.98</v>
      </c>
      <c r="AC2382">
        <v>432</v>
      </c>
      <c r="AD2382">
        <v>0</v>
      </c>
      <c r="AE2382">
        <v>58.98</v>
      </c>
      <c r="AF2382">
        <v>0</v>
      </c>
      <c r="AG2382">
        <v>0</v>
      </c>
      <c r="AH2382">
        <v>0</v>
      </c>
      <c r="AI2382">
        <v>88.38</v>
      </c>
      <c r="AJ2382">
        <v>490.98</v>
      </c>
      <c r="AK2382">
        <v>0</v>
      </c>
      <c r="AL2382" t="s">
        <v>53</v>
      </c>
      <c r="AM2382" t="s">
        <v>53</v>
      </c>
      <c r="AN2382" t="s">
        <v>59</v>
      </c>
      <c r="AO2382" t="s">
        <v>53</v>
      </c>
      <c r="AP2382" t="s">
        <v>53</v>
      </c>
    </row>
    <row r="2383" spans="2:42" x14ac:dyDescent="0.2">
      <c r="B2383" t="s">
        <v>44</v>
      </c>
      <c r="C2383" t="str">
        <f>HYPERLINK("https://us2.cloudbeds.com/connect/8493803454333002#/reservations/598610166014?display=E1GSV9DD&amp;reservation_id=598610166014", "E1GSV9DD")</f>
        <v>E1GSV9DD</v>
      </c>
      <c r="D2383" t="s">
        <v>45</v>
      </c>
      <c r="E2383" t="s">
        <v>105</v>
      </c>
      <c r="F2383" t="s">
        <v>47</v>
      </c>
      <c r="G2383" t="s">
        <v>48</v>
      </c>
      <c r="H2383" t="s">
        <v>49</v>
      </c>
      <c r="I2383" t="s">
        <v>62</v>
      </c>
      <c r="J2383" t="s">
        <v>322</v>
      </c>
      <c r="K2383" t="s">
        <v>351</v>
      </c>
      <c r="L2383" t="s">
        <v>53</v>
      </c>
      <c r="N2383" t="s">
        <v>3782</v>
      </c>
      <c r="P2383" t="s">
        <v>55</v>
      </c>
      <c r="R2383" t="s">
        <v>56</v>
      </c>
      <c r="T2383" t="s">
        <v>3777</v>
      </c>
      <c r="U2383" t="s">
        <v>58</v>
      </c>
      <c r="V2383">
        <v>1</v>
      </c>
      <c r="W2383">
        <v>1</v>
      </c>
      <c r="X2383">
        <v>1</v>
      </c>
      <c r="Y2383">
        <v>0</v>
      </c>
      <c r="Z2383">
        <v>1</v>
      </c>
      <c r="AA2383">
        <v>0</v>
      </c>
      <c r="AB2383">
        <v>167.07</v>
      </c>
      <c r="AC2383">
        <v>147</v>
      </c>
      <c r="AD2383">
        <v>0</v>
      </c>
      <c r="AE2383">
        <v>20.07</v>
      </c>
      <c r="AF2383">
        <v>0</v>
      </c>
      <c r="AG2383">
        <v>0</v>
      </c>
      <c r="AH2383">
        <v>0</v>
      </c>
      <c r="AI2383">
        <v>25.06</v>
      </c>
      <c r="AJ2383">
        <v>167.07</v>
      </c>
      <c r="AK2383">
        <v>0</v>
      </c>
      <c r="AL2383" t="s">
        <v>53</v>
      </c>
      <c r="AM2383" t="s">
        <v>53</v>
      </c>
      <c r="AN2383" t="s">
        <v>332</v>
      </c>
      <c r="AO2383" t="s">
        <v>53</v>
      </c>
      <c r="AP2383" t="s">
        <v>53</v>
      </c>
    </row>
    <row r="2384" spans="2:42" x14ac:dyDescent="0.2">
      <c r="B2384" t="s">
        <v>44</v>
      </c>
      <c r="C2384" t="str">
        <f>HYPERLINK("https://us2.cloudbeds.com/connect/8493803454333002#/reservations/598584713421?display=E1G7G0VN&amp;reservation_id=598584713421", "E1G7G0VN")</f>
        <v>E1G7G0VN</v>
      </c>
      <c r="D2384" t="s">
        <v>45</v>
      </c>
      <c r="E2384" t="s">
        <v>155</v>
      </c>
      <c r="F2384" t="s">
        <v>86</v>
      </c>
      <c r="G2384" t="s">
        <v>48</v>
      </c>
      <c r="H2384" t="s">
        <v>49</v>
      </c>
      <c r="I2384" t="s">
        <v>266</v>
      </c>
      <c r="J2384" t="s">
        <v>504</v>
      </c>
      <c r="K2384" t="s">
        <v>505</v>
      </c>
      <c r="L2384" t="s">
        <v>53</v>
      </c>
      <c r="N2384" t="s">
        <v>3783</v>
      </c>
      <c r="P2384" t="s">
        <v>55</v>
      </c>
      <c r="R2384" t="s">
        <v>56</v>
      </c>
      <c r="T2384" t="s">
        <v>3777</v>
      </c>
      <c r="U2384" t="s">
        <v>58</v>
      </c>
      <c r="V2384">
        <v>1</v>
      </c>
      <c r="W2384">
        <v>1</v>
      </c>
      <c r="X2384">
        <v>1</v>
      </c>
      <c r="Y2384">
        <v>0</v>
      </c>
      <c r="Z2384">
        <v>1</v>
      </c>
      <c r="AA2384">
        <v>0</v>
      </c>
      <c r="AB2384">
        <v>172.86</v>
      </c>
      <c r="AC2384">
        <v>152.1</v>
      </c>
      <c r="AD2384">
        <v>0</v>
      </c>
      <c r="AE2384">
        <v>20.76</v>
      </c>
      <c r="AF2384">
        <v>0</v>
      </c>
      <c r="AG2384">
        <v>0</v>
      </c>
      <c r="AH2384">
        <v>0</v>
      </c>
      <c r="AI2384">
        <v>0</v>
      </c>
      <c r="AJ2384">
        <v>172.86</v>
      </c>
      <c r="AK2384">
        <v>0</v>
      </c>
      <c r="AL2384" t="s">
        <v>53</v>
      </c>
      <c r="AM2384" t="s">
        <v>53</v>
      </c>
      <c r="AN2384" t="s">
        <v>3784</v>
      </c>
      <c r="AO2384" t="s">
        <v>53</v>
      </c>
      <c r="AP2384" t="s">
        <v>53</v>
      </c>
    </row>
    <row r="2385" spans="2:42" x14ac:dyDescent="0.2">
      <c r="B2385" t="s">
        <v>44</v>
      </c>
      <c r="C2385" t="str">
        <f>HYPERLINK("https://us2.cloudbeds.com/connect/8493803454333002#/reservations/598468837613?display=E1D8PK8X&amp;reservation_id=598468837613", "E1D8PK8X")</f>
        <v>E1D8PK8X</v>
      </c>
      <c r="D2385" t="s">
        <v>45</v>
      </c>
      <c r="E2385" t="s">
        <v>53</v>
      </c>
      <c r="F2385" t="s">
        <v>86</v>
      </c>
      <c r="G2385" t="s">
        <v>48</v>
      </c>
      <c r="H2385" t="s">
        <v>71</v>
      </c>
      <c r="I2385" t="s">
        <v>72</v>
      </c>
      <c r="J2385" t="s">
        <v>99</v>
      </c>
      <c r="K2385" t="s">
        <v>323</v>
      </c>
      <c r="L2385" t="s">
        <v>53</v>
      </c>
      <c r="N2385" t="s">
        <v>3785</v>
      </c>
      <c r="P2385" t="s">
        <v>55</v>
      </c>
      <c r="R2385" t="s">
        <v>56</v>
      </c>
      <c r="T2385" t="s">
        <v>3777</v>
      </c>
      <c r="U2385" t="s">
        <v>58</v>
      </c>
      <c r="V2385">
        <v>1</v>
      </c>
      <c r="W2385">
        <v>1</v>
      </c>
      <c r="X2385">
        <v>1</v>
      </c>
      <c r="Y2385">
        <v>0</v>
      </c>
      <c r="Z2385">
        <v>1</v>
      </c>
      <c r="AA2385">
        <v>0</v>
      </c>
      <c r="AB2385">
        <v>202.3</v>
      </c>
      <c r="AC2385">
        <v>178</v>
      </c>
      <c r="AD2385">
        <v>0</v>
      </c>
      <c r="AE2385">
        <v>24.3</v>
      </c>
      <c r="AF2385">
        <v>0</v>
      </c>
      <c r="AG2385">
        <v>0</v>
      </c>
      <c r="AH2385">
        <v>0</v>
      </c>
      <c r="AI2385">
        <v>0</v>
      </c>
      <c r="AJ2385">
        <v>202.3</v>
      </c>
      <c r="AK2385">
        <v>0</v>
      </c>
      <c r="AL2385" t="s">
        <v>53</v>
      </c>
      <c r="AM2385" t="s">
        <v>53</v>
      </c>
      <c r="AN2385" t="s">
        <v>378</v>
      </c>
      <c r="AO2385" t="s">
        <v>53</v>
      </c>
      <c r="AP2385" t="s">
        <v>53</v>
      </c>
    </row>
    <row r="2386" spans="2:42" x14ac:dyDescent="0.2">
      <c r="B2386" t="s">
        <v>44</v>
      </c>
      <c r="C2386" t="str">
        <f>HYPERLINK("https://us2.cloudbeds.com/connect/8493803454333002#/reservations/598578192530?display=E1G1WXWU&amp;reservation_id=598578192530", "E1G1WXWU")</f>
        <v>E1G1WXWU</v>
      </c>
      <c r="D2386" t="s">
        <v>45</v>
      </c>
      <c r="E2386" t="s">
        <v>223</v>
      </c>
      <c r="F2386" t="s">
        <v>47</v>
      </c>
      <c r="G2386" t="s">
        <v>48</v>
      </c>
      <c r="H2386" t="s">
        <v>71</v>
      </c>
      <c r="I2386" t="s">
        <v>72</v>
      </c>
      <c r="J2386" t="s">
        <v>322</v>
      </c>
      <c r="K2386" t="s">
        <v>351</v>
      </c>
      <c r="L2386" t="s">
        <v>53</v>
      </c>
      <c r="N2386" t="s">
        <v>3786</v>
      </c>
      <c r="P2386" t="s">
        <v>58</v>
      </c>
      <c r="R2386" t="s">
        <v>56</v>
      </c>
      <c r="T2386" t="s">
        <v>3777</v>
      </c>
      <c r="U2386" t="s">
        <v>58</v>
      </c>
      <c r="V2386">
        <v>1</v>
      </c>
      <c r="W2386">
        <v>1</v>
      </c>
      <c r="X2386">
        <v>1</v>
      </c>
      <c r="Y2386">
        <v>0</v>
      </c>
      <c r="Z2386">
        <v>1</v>
      </c>
      <c r="AA2386">
        <v>0</v>
      </c>
      <c r="AB2386">
        <v>161.38</v>
      </c>
      <c r="AC2386">
        <v>142</v>
      </c>
      <c r="AD2386">
        <v>0</v>
      </c>
      <c r="AE2386">
        <v>19.39</v>
      </c>
      <c r="AF2386">
        <v>0</v>
      </c>
      <c r="AG2386">
        <v>0</v>
      </c>
      <c r="AH2386">
        <v>0</v>
      </c>
      <c r="AI2386">
        <v>0</v>
      </c>
      <c r="AJ2386">
        <v>161.38999999999999</v>
      </c>
      <c r="AK2386">
        <v>0.01</v>
      </c>
      <c r="AL2386" t="s">
        <v>53</v>
      </c>
      <c r="AM2386" t="s">
        <v>53</v>
      </c>
      <c r="AN2386" t="s">
        <v>3787</v>
      </c>
      <c r="AO2386" t="s">
        <v>53</v>
      </c>
      <c r="AP2386" t="s">
        <v>53</v>
      </c>
    </row>
    <row r="2387" spans="2:42" x14ac:dyDescent="0.2">
      <c r="B2387" t="s">
        <v>44</v>
      </c>
      <c r="C2387" t="str">
        <f>HYPERLINK("https://us2.cloudbeds.com/connect/8493803454333002#/reservations/579247198416?display=DJH3J5XG&amp;reservation_id=579247198416", "DJH3J5XG")</f>
        <v>DJH3J5XG</v>
      </c>
      <c r="D2387" t="s">
        <v>45</v>
      </c>
      <c r="E2387" t="s">
        <v>69</v>
      </c>
      <c r="F2387" t="s">
        <v>70</v>
      </c>
      <c r="G2387" t="s">
        <v>48</v>
      </c>
      <c r="H2387" t="s">
        <v>71</v>
      </c>
      <c r="I2387" t="s">
        <v>72</v>
      </c>
      <c r="J2387" t="s">
        <v>3514</v>
      </c>
      <c r="K2387" t="s">
        <v>1858</v>
      </c>
      <c r="L2387" t="s">
        <v>53</v>
      </c>
      <c r="N2387" t="s">
        <v>3788</v>
      </c>
      <c r="P2387" t="s">
        <v>58</v>
      </c>
      <c r="R2387" t="s">
        <v>56</v>
      </c>
      <c r="T2387" t="s">
        <v>3777</v>
      </c>
      <c r="U2387" t="s">
        <v>58</v>
      </c>
      <c r="V2387">
        <v>1</v>
      </c>
      <c r="W2387">
        <v>1</v>
      </c>
      <c r="X2387">
        <v>1</v>
      </c>
      <c r="Y2387">
        <v>0</v>
      </c>
      <c r="Z2387">
        <v>1</v>
      </c>
      <c r="AA2387">
        <v>0</v>
      </c>
      <c r="AB2387">
        <v>146.61000000000001</v>
      </c>
      <c r="AC2387">
        <v>129</v>
      </c>
      <c r="AD2387">
        <v>0</v>
      </c>
      <c r="AE2387">
        <v>17.61</v>
      </c>
      <c r="AF2387">
        <v>0</v>
      </c>
      <c r="AG2387">
        <v>0</v>
      </c>
      <c r="AH2387">
        <v>0</v>
      </c>
      <c r="AI2387">
        <v>0</v>
      </c>
      <c r="AJ2387">
        <v>146.61000000000001</v>
      </c>
      <c r="AK2387">
        <v>0</v>
      </c>
      <c r="AL2387" t="s">
        <v>53</v>
      </c>
      <c r="AM2387" t="s">
        <v>53</v>
      </c>
      <c r="AN2387" t="s">
        <v>3789</v>
      </c>
      <c r="AO2387" t="s">
        <v>53</v>
      </c>
      <c r="AP2387" t="s">
        <v>53</v>
      </c>
    </row>
    <row r="2388" spans="2:42" x14ac:dyDescent="0.2">
      <c r="B2388" t="s">
        <v>44</v>
      </c>
      <c r="C2388" t="str">
        <f>HYPERLINK("https://us2.cloudbeds.com/connect/8493803454333002#/reservations/579248226559?display=DJH4EPMC&amp;reservation_id=579248226559", "DJH4EPMC")</f>
        <v>DJH4EPMC</v>
      </c>
      <c r="D2388" t="s">
        <v>45</v>
      </c>
      <c r="E2388" t="s">
        <v>105</v>
      </c>
      <c r="F2388" t="s">
        <v>47</v>
      </c>
      <c r="G2388" t="s">
        <v>48</v>
      </c>
      <c r="H2388" t="s">
        <v>71</v>
      </c>
      <c r="I2388" t="s">
        <v>72</v>
      </c>
      <c r="J2388" t="s">
        <v>3514</v>
      </c>
      <c r="K2388" t="s">
        <v>1858</v>
      </c>
      <c r="L2388" t="s">
        <v>53</v>
      </c>
      <c r="N2388" t="s">
        <v>3790</v>
      </c>
      <c r="P2388" t="s">
        <v>58</v>
      </c>
      <c r="R2388" t="s">
        <v>56</v>
      </c>
      <c r="T2388" t="s">
        <v>3777</v>
      </c>
      <c r="U2388" t="s">
        <v>58</v>
      </c>
      <c r="V2388">
        <v>1</v>
      </c>
      <c r="W2388">
        <v>1</v>
      </c>
      <c r="X2388">
        <v>1</v>
      </c>
      <c r="Y2388">
        <v>0</v>
      </c>
      <c r="Z2388">
        <v>1</v>
      </c>
      <c r="AA2388">
        <v>0</v>
      </c>
      <c r="AB2388">
        <v>161.38999999999999</v>
      </c>
      <c r="AC2388">
        <v>142</v>
      </c>
      <c r="AD2388">
        <v>0</v>
      </c>
      <c r="AE2388">
        <v>19.39</v>
      </c>
      <c r="AF2388">
        <v>0</v>
      </c>
      <c r="AG2388">
        <v>0</v>
      </c>
      <c r="AH2388">
        <v>0</v>
      </c>
      <c r="AI2388">
        <v>0</v>
      </c>
      <c r="AJ2388">
        <v>161.38999999999999</v>
      </c>
      <c r="AK2388">
        <v>0</v>
      </c>
      <c r="AL2388" t="s">
        <v>53</v>
      </c>
      <c r="AM2388" t="s">
        <v>53</v>
      </c>
      <c r="AN2388" t="s">
        <v>3791</v>
      </c>
      <c r="AO2388" t="s">
        <v>53</v>
      </c>
      <c r="AP2388" t="s">
        <v>53</v>
      </c>
    </row>
    <row r="2389" spans="2:42" x14ac:dyDescent="0.2">
      <c r="B2389" t="s">
        <v>44</v>
      </c>
      <c r="C2389" t="str">
        <f>HYPERLINK("https://us2.cloudbeds.com/connect/8493803454333002#/reservations/579249975430?display=DJH5UEKE&amp;reservation_id=579249975430", "DJH5UEKE")</f>
        <v>DJH5UEKE</v>
      </c>
      <c r="D2389" t="s">
        <v>45</v>
      </c>
      <c r="E2389" t="s">
        <v>138</v>
      </c>
      <c r="F2389" t="s">
        <v>70</v>
      </c>
      <c r="G2389" t="s">
        <v>48</v>
      </c>
      <c r="H2389" t="s">
        <v>71</v>
      </c>
      <c r="I2389" t="s">
        <v>72</v>
      </c>
      <c r="J2389" t="s">
        <v>1501</v>
      </c>
      <c r="K2389" t="s">
        <v>1611</v>
      </c>
      <c r="L2389" t="s">
        <v>53</v>
      </c>
      <c r="N2389" t="s">
        <v>3792</v>
      </c>
      <c r="P2389" t="s">
        <v>58</v>
      </c>
      <c r="R2389" t="s">
        <v>56</v>
      </c>
      <c r="T2389" t="s">
        <v>3777</v>
      </c>
      <c r="U2389" t="s">
        <v>58</v>
      </c>
      <c r="V2389">
        <v>1</v>
      </c>
      <c r="W2389">
        <v>1</v>
      </c>
      <c r="X2389">
        <v>1</v>
      </c>
      <c r="Y2389">
        <v>0</v>
      </c>
      <c r="Z2389">
        <v>1</v>
      </c>
      <c r="AA2389">
        <v>0</v>
      </c>
      <c r="AB2389">
        <v>152.30000000000001</v>
      </c>
      <c r="AC2389">
        <v>134</v>
      </c>
      <c r="AD2389">
        <v>0</v>
      </c>
      <c r="AE2389">
        <v>18.3</v>
      </c>
      <c r="AF2389">
        <v>0</v>
      </c>
      <c r="AG2389">
        <v>0</v>
      </c>
      <c r="AH2389">
        <v>0</v>
      </c>
      <c r="AI2389">
        <v>0</v>
      </c>
      <c r="AJ2389">
        <v>152.30000000000001</v>
      </c>
      <c r="AK2389">
        <v>0</v>
      </c>
      <c r="AL2389" t="s">
        <v>53</v>
      </c>
      <c r="AM2389" t="s">
        <v>53</v>
      </c>
      <c r="AN2389" t="s">
        <v>3793</v>
      </c>
      <c r="AO2389" t="s">
        <v>53</v>
      </c>
      <c r="AP2389" t="s">
        <v>53</v>
      </c>
    </row>
    <row r="2390" spans="2:42" x14ac:dyDescent="0.2">
      <c r="B2390" t="s">
        <v>44</v>
      </c>
      <c r="C2390" t="str">
        <f>HYPERLINK("https://us2.cloudbeds.com/connect/8493803454333002#/reservations/579251171526?display=DJH6UNVQ&amp;reservation_id=579251171526", "DJH6UNVQ")</f>
        <v>DJH6UNVQ</v>
      </c>
      <c r="D2390" t="s">
        <v>45</v>
      </c>
      <c r="E2390" t="s">
        <v>185</v>
      </c>
      <c r="F2390" t="s">
        <v>47</v>
      </c>
      <c r="G2390" t="s">
        <v>48</v>
      </c>
      <c r="H2390" t="s">
        <v>71</v>
      </c>
      <c r="I2390" t="s">
        <v>72</v>
      </c>
      <c r="J2390" t="s">
        <v>1501</v>
      </c>
      <c r="K2390" t="s">
        <v>1611</v>
      </c>
      <c r="L2390" t="s">
        <v>53</v>
      </c>
      <c r="N2390" t="s">
        <v>3794</v>
      </c>
      <c r="P2390" t="s">
        <v>58</v>
      </c>
      <c r="R2390" t="s">
        <v>56</v>
      </c>
      <c r="T2390" t="s">
        <v>3777</v>
      </c>
      <c r="U2390" t="s">
        <v>58</v>
      </c>
      <c r="V2390">
        <v>1</v>
      </c>
      <c r="W2390">
        <v>1</v>
      </c>
      <c r="X2390">
        <v>1</v>
      </c>
      <c r="Y2390">
        <v>0</v>
      </c>
      <c r="Z2390">
        <v>1</v>
      </c>
      <c r="AA2390">
        <v>0</v>
      </c>
      <c r="AB2390">
        <v>167.07</v>
      </c>
      <c r="AC2390">
        <v>147</v>
      </c>
      <c r="AD2390">
        <v>0</v>
      </c>
      <c r="AE2390">
        <v>20.07</v>
      </c>
      <c r="AF2390">
        <v>0</v>
      </c>
      <c r="AG2390">
        <v>0</v>
      </c>
      <c r="AH2390">
        <v>0</v>
      </c>
      <c r="AI2390">
        <v>0</v>
      </c>
      <c r="AJ2390">
        <v>167.07</v>
      </c>
      <c r="AK2390">
        <v>0</v>
      </c>
      <c r="AL2390" t="s">
        <v>53</v>
      </c>
      <c r="AM2390" t="s">
        <v>53</v>
      </c>
      <c r="AN2390" t="s">
        <v>3795</v>
      </c>
      <c r="AO2390" t="s">
        <v>53</v>
      </c>
      <c r="AP2390" t="s">
        <v>53</v>
      </c>
    </row>
    <row r="2391" spans="2:42" x14ac:dyDescent="0.2">
      <c r="B2391" t="s">
        <v>44</v>
      </c>
      <c r="C2391" t="str">
        <f>HYPERLINK("https://us2.cloudbeds.com/connect/8493803454333002#/reservations/579291500746?display=DJX7UV7C&amp;reservation_id=579291500746", "DJX7UV7C")</f>
        <v>DJX7UV7C</v>
      </c>
      <c r="D2391" t="s">
        <v>45</v>
      </c>
      <c r="E2391" t="s">
        <v>406</v>
      </c>
      <c r="F2391" t="s">
        <v>61</v>
      </c>
      <c r="G2391" t="s">
        <v>48</v>
      </c>
      <c r="H2391" t="s">
        <v>49</v>
      </c>
      <c r="I2391" t="s">
        <v>79</v>
      </c>
      <c r="J2391" t="s">
        <v>1367</v>
      </c>
      <c r="K2391" t="s">
        <v>1985</v>
      </c>
      <c r="L2391" t="s">
        <v>53</v>
      </c>
      <c r="N2391" t="s">
        <v>3796</v>
      </c>
      <c r="P2391" t="s">
        <v>55</v>
      </c>
      <c r="R2391" t="s">
        <v>56</v>
      </c>
      <c r="T2391" t="s">
        <v>3777</v>
      </c>
      <c r="U2391" t="s">
        <v>58</v>
      </c>
      <c r="V2391">
        <v>1</v>
      </c>
      <c r="W2391">
        <v>1</v>
      </c>
      <c r="X2391">
        <v>1</v>
      </c>
      <c r="Y2391">
        <v>0</v>
      </c>
      <c r="Z2391">
        <v>1</v>
      </c>
      <c r="AA2391">
        <v>0</v>
      </c>
      <c r="AB2391">
        <v>187.53</v>
      </c>
      <c r="AC2391">
        <v>165</v>
      </c>
      <c r="AD2391">
        <v>0</v>
      </c>
      <c r="AE2391">
        <v>22.53</v>
      </c>
      <c r="AF2391">
        <v>0</v>
      </c>
      <c r="AG2391">
        <v>0</v>
      </c>
      <c r="AH2391">
        <v>0</v>
      </c>
      <c r="AI2391">
        <v>0</v>
      </c>
      <c r="AJ2391">
        <v>187.53</v>
      </c>
      <c r="AK2391">
        <v>0</v>
      </c>
      <c r="AL2391" t="s">
        <v>53</v>
      </c>
      <c r="AM2391" t="s">
        <v>53</v>
      </c>
      <c r="AN2391" t="s">
        <v>545</v>
      </c>
      <c r="AO2391" t="s">
        <v>53</v>
      </c>
      <c r="AP2391" t="s">
        <v>53</v>
      </c>
    </row>
    <row r="2392" spans="2:42" x14ac:dyDescent="0.2">
      <c r="B2392" t="s">
        <v>44</v>
      </c>
      <c r="C2392" t="str">
        <f>HYPERLINK("https://us2.cloudbeds.com/connect/8493803454333002#/reservations/598251724975?display=E17NN4EZ&amp;reservation_id=598251724975", "E17NN4EZ")</f>
        <v>E17NN4EZ</v>
      </c>
      <c r="D2392" t="s">
        <v>45</v>
      </c>
      <c r="E2392" t="s">
        <v>179</v>
      </c>
      <c r="F2392" t="s">
        <v>47</v>
      </c>
      <c r="G2392" t="s">
        <v>48</v>
      </c>
      <c r="H2392" t="s">
        <v>49</v>
      </c>
      <c r="I2392" t="s">
        <v>50</v>
      </c>
      <c r="J2392" t="s">
        <v>100</v>
      </c>
      <c r="K2392" t="s">
        <v>505</v>
      </c>
      <c r="L2392" t="s">
        <v>53</v>
      </c>
      <c r="N2392" t="s">
        <v>3797</v>
      </c>
      <c r="P2392" t="s">
        <v>55</v>
      </c>
      <c r="R2392" t="s">
        <v>56</v>
      </c>
      <c r="T2392" t="s">
        <v>3777</v>
      </c>
      <c r="U2392" t="s">
        <v>58</v>
      </c>
      <c r="V2392">
        <v>2</v>
      </c>
      <c r="W2392">
        <v>1</v>
      </c>
      <c r="X2392">
        <v>1</v>
      </c>
      <c r="Y2392">
        <v>0</v>
      </c>
      <c r="Z2392">
        <v>1</v>
      </c>
      <c r="AA2392">
        <v>0</v>
      </c>
      <c r="AB2392">
        <v>286.39999999999998</v>
      </c>
      <c r="AC2392">
        <v>252</v>
      </c>
      <c r="AD2392">
        <v>0</v>
      </c>
      <c r="AE2392">
        <v>34.4</v>
      </c>
      <c r="AF2392">
        <v>0</v>
      </c>
      <c r="AG2392">
        <v>0</v>
      </c>
      <c r="AH2392">
        <v>0</v>
      </c>
      <c r="AI2392">
        <v>51.55</v>
      </c>
      <c r="AJ2392">
        <v>286.39999999999998</v>
      </c>
      <c r="AK2392">
        <v>0</v>
      </c>
      <c r="AL2392" t="s">
        <v>53</v>
      </c>
      <c r="AM2392" t="s">
        <v>53</v>
      </c>
      <c r="AN2392" t="s">
        <v>137</v>
      </c>
      <c r="AO2392" t="s">
        <v>53</v>
      </c>
      <c r="AP2392" t="s">
        <v>53</v>
      </c>
    </row>
    <row r="2393" spans="2:42" x14ac:dyDescent="0.2">
      <c r="B2393" t="s">
        <v>44</v>
      </c>
      <c r="C2393" t="str">
        <f>HYPERLINK("https://us2.cloudbeds.com/connect/8493803454333002#/reservations/579345387650?display=DJJKCE4R&amp;reservation_id=579345387650", "DJJKCE4R")</f>
        <v>DJJKCE4R</v>
      </c>
      <c r="D2393" t="s">
        <v>45</v>
      </c>
      <c r="E2393" t="s">
        <v>113</v>
      </c>
      <c r="F2393" t="s">
        <v>61</v>
      </c>
      <c r="G2393" t="s">
        <v>48</v>
      </c>
      <c r="H2393" t="s">
        <v>49</v>
      </c>
      <c r="I2393" t="s">
        <v>79</v>
      </c>
      <c r="J2393" t="s">
        <v>2039</v>
      </c>
      <c r="K2393" t="s">
        <v>1141</v>
      </c>
      <c r="L2393" t="s">
        <v>53</v>
      </c>
      <c r="N2393" t="s">
        <v>3798</v>
      </c>
      <c r="P2393" t="s">
        <v>55</v>
      </c>
      <c r="R2393" t="s">
        <v>56</v>
      </c>
      <c r="T2393" t="s">
        <v>3777</v>
      </c>
      <c r="U2393" t="s">
        <v>58</v>
      </c>
      <c r="V2393">
        <v>1</v>
      </c>
      <c r="W2393">
        <v>1</v>
      </c>
      <c r="X2393">
        <v>1</v>
      </c>
      <c r="Y2393">
        <v>0</v>
      </c>
      <c r="Z2393">
        <v>1</v>
      </c>
      <c r="AA2393">
        <v>0</v>
      </c>
      <c r="AB2393">
        <v>163.66</v>
      </c>
      <c r="AC2393">
        <v>144</v>
      </c>
      <c r="AD2393">
        <v>0</v>
      </c>
      <c r="AE2393">
        <v>19.66</v>
      </c>
      <c r="AF2393">
        <v>0</v>
      </c>
      <c r="AG2393">
        <v>0</v>
      </c>
      <c r="AH2393">
        <v>0</v>
      </c>
      <c r="AI2393">
        <v>0</v>
      </c>
      <c r="AJ2393">
        <v>163.66</v>
      </c>
      <c r="AK2393">
        <v>0</v>
      </c>
      <c r="AL2393" t="s">
        <v>53</v>
      </c>
      <c r="AM2393" t="s">
        <v>53</v>
      </c>
      <c r="AN2393" t="s">
        <v>59</v>
      </c>
      <c r="AO2393" t="s">
        <v>53</v>
      </c>
      <c r="AP2393" t="s">
        <v>53</v>
      </c>
    </row>
    <row r="2394" spans="2:42" x14ac:dyDescent="0.2">
      <c r="B2394" t="s">
        <v>44</v>
      </c>
      <c r="C2394" t="str">
        <f>HYPERLINK("https://us2.cloudbeds.com/connect/8493803454333002#/reservations/598413111490?display=E1BRPVE5&amp;reservation_id=598413111490", "E1BRPVE5")</f>
        <v>E1BRPVE5</v>
      </c>
      <c r="D2394" t="s">
        <v>45</v>
      </c>
      <c r="E2394" t="s">
        <v>138</v>
      </c>
      <c r="F2394" t="s">
        <v>70</v>
      </c>
      <c r="G2394" t="s">
        <v>48</v>
      </c>
      <c r="H2394" t="s">
        <v>49</v>
      </c>
      <c r="I2394" t="s">
        <v>62</v>
      </c>
      <c r="J2394" t="s">
        <v>322</v>
      </c>
      <c r="K2394" t="s">
        <v>351</v>
      </c>
      <c r="L2394" t="s">
        <v>53</v>
      </c>
      <c r="N2394" t="s">
        <v>3799</v>
      </c>
      <c r="P2394" t="s">
        <v>55</v>
      </c>
      <c r="R2394" t="s">
        <v>56</v>
      </c>
      <c r="T2394" t="s">
        <v>3777</v>
      </c>
      <c r="U2394" t="s">
        <v>58</v>
      </c>
      <c r="V2394">
        <v>1</v>
      </c>
      <c r="W2394">
        <v>1</v>
      </c>
      <c r="X2394">
        <v>1</v>
      </c>
      <c r="Y2394">
        <v>0</v>
      </c>
      <c r="Z2394">
        <v>1</v>
      </c>
      <c r="AA2394">
        <v>0</v>
      </c>
      <c r="AB2394">
        <v>155.69999999999999</v>
      </c>
      <c r="AC2394">
        <v>137</v>
      </c>
      <c r="AD2394">
        <v>0</v>
      </c>
      <c r="AE2394">
        <v>18.7</v>
      </c>
      <c r="AF2394">
        <v>0</v>
      </c>
      <c r="AG2394">
        <v>0</v>
      </c>
      <c r="AH2394">
        <v>0</v>
      </c>
      <c r="AI2394">
        <v>23.36</v>
      </c>
      <c r="AJ2394">
        <v>155.69999999999999</v>
      </c>
      <c r="AK2394">
        <v>0</v>
      </c>
      <c r="AL2394" t="s">
        <v>53</v>
      </c>
      <c r="AM2394" t="s">
        <v>53</v>
      </c>
      <c r="AN2394" t="s">
        <v>545</v>
      </c>
      <c r="AO2394" t="s">
        <v>53</v>
      </c>
      <c r="AP2394" t="s">
        <v>53</v>
      </c>
    </row>
    <row r="2395" spans="2:42" x14ac:dyDescent="0.2">
      <c r="B2395" t="s">
        <v>44</v>
      </c>
      <c r="C2395" t="str">
        <f>HYPERLINK("https://us2.cloudbeds.com/connect/8493803454333002#/reservations/579184324832?display=DJFGXKDC&amp;reservation_id=579184324832", "DJFGXKDC")</f>
        <v>DJFGXKDC</v>
      </c>
      <c r="D2395" t="s">
        <v>45</v>
      </c>
      <c r="E2395" t="s">
        <v>223</v>
      </c>
      <c r="F2395" t="s">
        <v>47</v>
      </c>
      <c r="G2395" t="s">
        <v>48</v>
      </c>
      <c r="H2395" t="s">
        <v>71</v>
      </c>
      <c r="I2395" t="s">
        <v>72</v>
      </c>
      <c r="J2395" t="s">
        <v>1367</v>
      </c>
      <c r="K2395" t="s">
        <v>2022</v>
      </c>
      <c r="L2395" t="s">
        <v>53</v>
      </c>
      <c r="N2395" t="s">
        <v>3800</v>
      </c>
      <c r="P2395" t="s">
        <v>55</v>
      </c>
      <c r="R2395" t="s">
        <v>56</v>
      </c>
      <c r="T2395" t="s">
        <v>3777</v>
      </c>
      <c r="U2395" t="s">
        <v>58</v>
      </c>
      <c r="V2395">
        <v>2</v>
      </c>
      <c r="W2395">
        <v>1</v>
      </c>
      <c r="X2395">
        <v>1</v>
      </c>
      <c r="Y2395">
        <v>0</v>
      </c>
      <c r="Z2395">
        <v>1</v>
      </c>
      <c r="AA2395">
        <v>0</v>
      </c>
      <c r="AB2395">
        <v>337.32</v>
      </c>
      <c r="AC2395">
        <v>296.82</v>
      </c>
      <c r="AD2395">
        <v>0</v>
      </c>
      <c r="AE2395">
        <v>40.5</v>
      </c>
      <c r="AF2395">
        <v>0</v>
      </c>
      <c r="AG2395">
        <v>0</v>
      </c>
      <c r="AH2395">
        <v>0</v>
      </c>
      <c r="AI2395">
        <v>0</v>
      </c>
      <c r="AJ2395">
        <v>337.32</v>
      </c>
      <c r="AK2395">
        <v>0</v>
      </c>
      <c r="AL2395" t="s">
        <v>53</v>
      </c>
      <c r="AM2395" t="s">
        <v>53</v>
      </c>
      <c r="AN2395" t="s">
        <v>3801</v>
      </c>
      <c r="AO2395" t="s">
        <v>53</v>
      </c>
      <c r="AP2395" t="s">
        <v>53</v>
      </c>
    </row>
    <row r="2396" spans="2:42" x14ac:dyDescent="0.2">
      <c r="B2396" t="s">
        <v>44</v>
      </c>
      <c r="C2396" t="str">
        <f>HYPERLINK("https://us2.cloudbeds.com/connect/8493803454333002#/reservations/598458384613?display=E1CWVZX0&amp;reservation_id=598458384613", "E1CWVZX0")</f>
        <v>E1CWVZX0</v>
      </c>
      <c r="D2396" t="s">
        <v>45</v>
      </c>
      <c r="E2396" t="s">
        <v>98</v>
      </c>
      <c r="F2396" t="s">
        <v>86</v>
      </c>
      <c r="G2396" t="s">
        <v>48</v>
      </c>
      <c r="H2396" t="s">
        <v>49</v>
      </c>
      <c r="I2396" t="s">
        <v>79</v>
      </c>
      <c r="J2396" t="s">
        <v>351</v>
      </c>
      <c r="K2396" t="s">
        <v>99</v>
      </c>
      <c r="L2396" t="s">
        <v>53</v>
      </c>
      <c r="N2396" t="s">
        <v>3802</v>
      </c>
      <c r="P2396" t="s">
        <v>55</v>
      </c>
      <c r="R2396" t="s">
        <v>56</v>
      </c>
      <c r="T2396" t="s">
        <v>3777</v>
      </c>
      <c r="U2396" t="s">
        <v>58</v>
      </c>
      <c r="V2396">
        <v>1</v>
      </c>
      <c r="W2396">
        <v>1</v>
      </c>
      <c r="X2396">
        <v>1</v>
      </c>
      <c r="Y2396">
        <v>0</v>
      </c>
      <c r="Z2396">
        <v>1</v>
      </c>
      <c r="AA2396">
        <v>0</v>
      </c>
      <c r="AB2396">
        <v>187.18</v>
      </c>
      <c r="AC2396">
        <v>164.7</v>
      </c>
      <c r="AD2396">
        <v>0</v>
      </c>
      <c r="AE2396">
        <v>22.48</v>
      </c>
      <c r="AF2396">
        <v>0</v>
      </c>
      <c r="AG2396">
        <v>0</v>
      </c>
      <c r="AH2396">
        <v>0</v>
      </c>
      <c r="AI2396">
        <v>0</v>
      </c>
      <c r="AJ2396">
        <v>187.18</v>
      </c>
      <c r="AK2396">
        <v>0</v>
      </c>
      <c r="AL2396" t="s">
        <v>53</v>
      </c>
      <c r="AM2396" t="s">
        <v>53</v>
      </c>
      <c r="AN2396" t="s">
        <v>132</v>
      </c>
      <c r="AO2396" t="s">
        <v>53</v>
      </c>
      <c r="AP2396" t="s">
        <v>53</v>
      </c>
    </row>
    <row r="2397" spans="2:42" x14ac:dyDescent="0.2">
      <c r="B2397" t="s">
        <v>44</v>
      </c>
      <c r="C2397" t="str">
        <f>HYPERLINK("https://us2.cloudbeds.com/connect/8493803454333002#/reservations/579346780410?display=DJJYX62N&amp;reservation_id=579346780410", "DJJYX62N")</f>
        <v>DJJYX62N</v>
      </c>
      <c r="D2397" t="s">
        <v>602</v>
      </c>
      <c r="E2397" t="s">
        <v>53</v>
      </c>
      <c r="F2397" t="s">
        <v>70</v>
      </c>
      <c r="G2397" t="s">
        <v>48</v>
      </c>
      <c r="H2397" t="s">
        <v>49</v>
      </c>
      <c r="I2397" t="s">
        <v>50</v>
      </c>
      <c r="J2397" t="s">
        <v>1336</v>
      </c>
      <c r="K2397" t="s">
        <v>1337</v>
      </c>
      <c r="L2397" t="s">
        <v>53</v>
      </c>
      <c r="N2397" t="s">
        <v>3803</v>
      </c>
      <c r="P2397" t="s">
        <v>55</v>
      </c>
      <c r="R2397" t="s">
        <v>56</v>
      </c>
      <c r="T2397" t="s">
        <v>3777</v>
      </c>
      <c r="U2397" t="s">
        <v>58</v>
      </c>
      <c r="V2397">
        <v>1</v>
      </c>
      <c r="W2397">
        <v>1</v>
      </c>
      <c r="X2397">
        <v>1</v>
      </c>
      <c r="Y2397">
        <v>0</v>
      </c>
      <c r="Z2397">
        <v>1</v>
      </c>
      <c r="AA2397">
        <v>0</v>
      </c>
      <c r="AB2397">
        <v>0</v>
      </c>
      <c r="AC2397">
        <v>0</v>
      </c>
      <c r="AD2397">
        <v>0</v>
      </c>
      <c r="AE2397">
        <v>0</v>
      </c>
      <c r="AF2397">
        <v>0</v>
      </c>
      <c r="AG2397">
        <v>0</v>
      </c>
      <c r="AH2397">
        <v>0</v>
      </c>
      <c r="AI2397">
        <v>0</v>
      </c>
      <c r="AJ2397">
        <v>0</v>
      </c>
      <c r="AK2397">
        <v>0</v>
      </c>
      <c r="AL2397">
        <v>97.2</v>
      </c>
      <c r="AM2397">
        <v>0</v>
      </c>
      <c r="AN2397" t="s">
        <v>3804</v>
      </c>
      <c r="AO2397" t="s">
        <v>53</v>
      </c>
      <c r="AP2397" t="s">
        <v>53</v>
      </c>
    </row>
    <row r="2398" spans="2:42" x14ac:dyDescent="0.2">
      <c r="B2398" t="s">
        <v>44</v>
      </c>
      <c r="C2398" t="str">
        <f>HYPERLINK("https://us2.cloudbeds.com/connect/8493803454333002#/reservations/579348492471?display=DJJMWR7B&amp;reservation_id=579348492471", "DJJMWR7B")</f>
        <v>DJJMWR7B</v>
      </c>
      <c r="D2398" t="s">
        <v>45</v>
      </c>
      <c r="E2398" t="s">
        <v>78</v>
      </c>
      <c r="F2398" t="s">
        <v>61</v>
      </c>
      <c r="G2398" t="s">
        <v>48</v>
      </c>
      <c r="H2398" t="s">
        <v>49</v>
      </c>
      <c r="I2398" t="s">
        <v>50</v>
      </c>
      <c r="J2398" t="s">
        <v>1478</v>
      </c>
      <c r="K2398" t="s">
        <v>3514</v>
      </c>
      <c r="L2398" t="s">
        <v>53</v>
      </c>
      <c r="N2398" t="s">
        <v>3805</v>
      </c>
      <c r="P2398" t="s">
        <v>55</v>
      </c>
      <c r="R2398" t="s">
        <v>56</v>
      </c>
      <c r="T2398" t="s">
        <v>3777</v>
      </c>
      <c r="U2398" t="s">
        <v>58</v>
      </c>
      <c r="V2398">
        <v>1</v>
      </c>
      <c r="W2398">
        <v>1</v>
      </c>
      <c r="X2398">
        <v>1</v>
      </c>
      <c r="Y2398">
        <v>0</v>
      </c>
      <c r="Z2398">
        <v>1</v>
      </c>
      <c r="AA2398">
        <v>0</v>
      </c>
      <c r="AB2398">
        <v>156.49</v>
      </c>
      <c r="AC2398">
        <v>137.69999999999999</v>
      </c>
      <c r="AD2398">
        <v>0</v>
      </c>
      <c r="AE2398">
        <v>18.79</v>
      </c>
      <c r="AF2398">
        <v>0</v>
      </c>
      <c r="AG2398">
        <v>0</v>
      </c>
      <c r="AH2398">
        <v>0</v>
      </c>
      <c r="AI2398">
        <v>28.17</v>
      </c>
      <c r="AJ2398">
        <v>156.49</v>
      </c>
      <c r="AK2398">
        <v>0</v>
      </c>
      <c r="AL2398" t="s">
        <v>53</v>
      </c>
      <c r="AM2398" t="s">
        <v>53</v>
      </c>
      <c r="AN2398" t="s">
        <v>142</v>
      </c>
      <c r="AO2398" t="s">
        <v>53</v>
      </c>
      <c r="AP2398" t="s">
        <v>53</v>
      </c>
    </row>
    <row r="2399" spans="2:42" x14ac:dyDescent="0.2">
      <c r="B2399" t="s">
        <v>44</v>
      </c>
      <c r="C2399" t="str">
        <f>HYPERLINK("https://us2.cloudbeds.com/connect/8493803454333002#/reservations/579358990590?display=DJJVRVC5&amp;reservation_id=579358990590", "DJJVRVC5")</f>
        <v>DJJVRVC5</v>
      </c>
      <c r="D2399" t="s">
        <v>45</v>
      </c>
      <c r="E2399" t="s">
        <v>138</v>
      </c>
      <c r="F2399" t="s">
        <v>70</v>
      </c>
      <c r="G2399" t="s">
        <v>48</v>
      </c>
      <c r="H2399" t="s">
        <v>49</v>
      </c>
      <c r="I2399" t="s">
        <v>62</v>
      </c>
      <c r="J2399" t="s">
        <v>1523</v>
      </c>
      <c r="K2399" t="s">
        <v>2013</v>
      </c>
      <c r="L2399" t="s">
        <v>53</v>
      </c>
      <c r="N2399" t="s">
        <v>3806</v>
      </c>
      <c r="P2399" t="s">
        <v>55</v>
      </c>
      <c r="R2399" t="s">
        <v>56</v>
      </c>
      <c r="T2399" t="s">
        <v>3777</v>
      </c>
      <c r="U2399" t="s">
        <v>58</v>
      </c>
      <c r="V2399">
        <v>1</v>
      </c>
      <c r="W2399">
        <v>1</v>
      </c>
      <c r="X2399">
        <v>1</v>
      </c>
      <c r="Y2399">
        <v>0</v>
      </c>
      <c r="Z2399">
        <v>1</v>
      </c>
      <c r="AA2399">
        <v>0</v>
      </c>
      <c r="AB2399">
        <v>117.07</v>
      </c>
      <c r="AC2399">
        <v>103</v>
      </c>
      <c r="AD2399">
        <v>0</v>
      </c>
      <c r="AE2399">
        <v>14.07</v>
      </c>
      <c r="AF2399">
        <v>0</v>
      </c>
      <c r="AG2399">
        <v>0</v>
      </c>
      <c r="AH2399">
        <v>0</v>
      </c>
      <c r="AI2399">
        <v>17.559999999999999</v>
      </c>
      <c r="AJ2399">
        <v>117.07</v>
      </c>
      <c r="AK2399">
        <v>0</v>
      </c>
      <c r="AL2399" t="s">
        <v>53</v>
      </c>
      <c r="AM2399" t="s">
        <v>53</v>
      </c>
      <c r="AN2399" t="s">
        <v>545</v>
      </c>
      <c r="AO2399" t="s">
        <v>53</v>
      </c>
      <c r="AP2399" t="s">
        <v>53</v>
      </c>
    </row>
    <row r="2400" spans="2:42" x14ac:dyDescent="0.2">
      <c r="B2400" t="s">
        <v>44</v>
      </c>
      <c r="C2400" t="str">
        <f>HYPERLINK("https://us2.cloudbeds.com/connect/8493803454333002#/reservations/579393777797?display=DJKS5VHU&amp;reservation_id=579393777797", "DJKS5VHU")</f>
        <v>DJKS5VHU</v>
      </c>
      <c r="D2400" t="s">
        <v>602</v>
      </c>
      <c r="E2400" t="s">
        <v>53</v>
      </c>
      <c r="F2400" t="s">
        <v>70</v>
      </c>
      <c r="G2400" t="s">
        <v>48</v>
      </c>
      <c r="H2400" t="s">
        <v>49</v>
      </c>
      <c r="I2400" t="s">
        <v>50</v>
      </c>
      <c r="J2400" t="s">
        <v>2013</v>
      </c>
      <c r="K2400" t="s">
        <v>1161</v>
      </c>
      <c r="L2400" t="s">
        <v>53</v>
      </c>
      <c r="N2400" t="s">
        <v>3807</v>
      </c>
      <c r="P2400" t="s">
        <v>55</v>
      </c>
      <c r="R2400" t="s">
        <v>56</v>
      </c>
      <c r="T2400" t="s">
        <v>3808</v>
      </c>
      <c r="U2400" t="s">
        <v>58</v>
      </c>
      <c r="V2400">
        <v>1</v>
      </c>
      <c r="W2400">
        <v>1</v>
      </c>
      <c r="X2400">
        <v>1</v>
      </c>
      <c r="Y2400">
        <v>0</v>
      </c>
      <c r="Z2400">
        <v>1</v>
      </c>
      <c r="AA2400">
        <v>0</v>
      </c>
      <c r="AB2400">
        <v>0</v>
      </c>
      <c r="AC2400">
        <v>0</v>
      </c>
      <c r="AD2400">
        <v>0</v>
      </c>
      <c r="AE2400">
        <v>0</v>
      </c>
      <c r="AF2400">
        <v>0</v>
      </c>
      <c r="AG2400">
        <v>0</v>
      </c>
      <c r="AH2400">
        <v>0</v>
      </c>
      <c r="AI2400">
        <v>0</v>
      </c>
      <c r="AJ2400">
        <v>0</v>
      </c>
      <c r="AK2400">
        <v>0</v>
      </c>
      <c r="AL2400">
        <v>97.2</v>
      </c>
      <c r="AM2400">
        <v>0</v>
      </c>
      <c r="AN2400" t="s">
        <v>3809</v>
      </c>
      <c r="AO2400" t="s">
        <v>53</v>
      </c>
      <c r="AP2400" t="s">
        <v>53</v>
      </c>
    </row>
    <row r="2401" spans="2:42" x14ac:dyDescent="0.2">
      <c r="B2401" t="s">
        <v>44</v>
      </c>
      <c r="C2401" t="str">
        <f>HYPERLINK("https://us2.cloudbeds.com/connect/8493803454333002#/reservations/579213746340?display=DJG8CAD8&amp;reservation_id=579213746340", "DJG8CAD8")</f>
        <v>DJG8CAD8</v>
      </c>
      <c r="D2401" t="s">
        <v>45</v>
      </c>
      <c r="E2401" t="s">
        <v>265</v>
      </c>
      <c r="F2401" t="s">
        <v>61</v>
      </c>
      <c r="G2401" t="s">
        <v>48</v>
      </c>
      <c r="H2401" t="s">
        <v>71</v>
      </c>
      <c r="I2401" t="s">
        <v>72</v>
      </c>
      <c r="J2401" t="s">
        <v>1141</v>
      </c>
      <c r="K2401" t="s">
        <v>1450</v>
      </c>
      <c r="L2401" t="s">
        <v>53</v>
      </c>
      <c r="N2401" t="s">
        <v>3810</v>
      </c>
      <c r="P2401" t="s">
        <v>58</v>
      </c>
      <c r="R2401" t="s">
        <v>56</v>
      </c>
      <c r="T2401" t="s">
        <v>3808</v>
      </c>
      <c r="U2401" t="s">
        <v>58</v>
      </c>
      <c r="V2401">
        <v>1</v>
      </c>
      <c r="W2401">
        <v>1</v>
      </c>
      <c r="X2401">
        <v>1</v>
      </c>
      <c r="Y2401">
        <v>0</v>
      </c>
      <c r="Z2401">
        <v>1</v>
      </c>
      <c r="AA2401">
        <v>0</v>
      </c>
      <c r="AB2401">
        <v>181.84</v>
      </c>
      <c r="AC2401">
        <v>160</v>
      </c>
      <c r="AD2401">
        <v>0</v>
      </c>
      <c r="AE2401">
        <v>21.84</v>
      </c>
      <c r="AF2401">
        <v>0</v>
      </c>
      <c r="AG2401">
        <v>0</v>
      </c>
      <c r="AH2401">
        <v>0</v>
      </c>
      <c r="AI2401">
        <v>0</v>
      </c>
      <c r="AJ2401">
        <v>181.84</v>
      </c>
      <c r="AK2401">
        <v>0</v>
      </c>
      <c r="AL2401" t="s">
        <v>53</v>
      </c>
      <c r="AM2401" t="s">
        <v>53</v>
      </c>
      <c r="AN2401" t="s">
        <v>378</v>
      </c>
      <c r="AO2401" t="s">
        <v>53</v>
      </c>
      <c r="AP2401" t="s">
        <v>53</v>
      </c>
    </row>
    <row r="2402" spans="2:42" x14ac:dyDescent="0.2">
      <c r="B2402" t="s">
        <v>44</v>
      </c>
      <c r="C2402" t="str">
        <f>HYPERLINK("https://us2.cloudbeds.com/connect/8493803454333002#/reservations/579322699928?display=DJJ183K3&amp;reservation_id=579322699928", "DJJ183K3")</f>
        <v>DJJ183K3</v>
      </c>
      <c r="D2402" t="s">
        <v>45</v>
      </c>
      <c r="E2402" t="s">
        <v>190</v>
      </c>
      <c r="F2402" t="s">
        <v>61</v>
      </c>
      <c r="G2402" t="s">
        <v>48</v>
      </c>
      <c r="H2402" t="s">
        <v>49</v>
      </c>
      <c r="I2402" t="s">
        <v>79</v>
      </c>
      <c r="J2402" t="s">
        <v>1985</v>
      </c>
      <c r="K2402" t="s">
        <v>2022</v>
      </c>
      <c r="L2402" t="s">
        <v>53</v>
      </c>
      <c r="N2402" t="s">
        <v>3811</v>
      </c>
      <c r="P2402" t="s">
        <v>55</v>
      </c>
      <c r="R2402" t="s">
        <v>56</v>
      </c>
      <c r="T2402" t="s">
        <v>3808</v>
      </c>
      <c r="U2402" t="s">
        <v>58</v>
      </c>
      <c r="V2402">
        <v>1</v>
      </c>
      <c r="W2402">
        <v>1</v>
      </c>
      <c r="X2402">
        <v>1</v>
      </c>
      <c r="Y2402">
        <v>0</v>
      </c>
      <c r="Z2402">
        <v>1</v>
      </c>
      <c r="AA2402">
        <v>0</v>
      </c>
      <c r="AB2402">
        <v>168.78</v>
      </c>
      <c r="AC2402">
        <v>148.5</v>
      </c>
      <c r="AD2402">
        <v>0</v>
      </c>
      <c r="AE2402">
        <v>20.28</v>
      </c>
      <c r="AF2402">
        <v>0</v>
      </c>
      <c r="AG2402">
        <v>0</v>
      </c>
      <c r="AH2402">
        <v>0</v>
      </c>
      <c r="AI2402">
        <v>0</v>
      </c>
      <c r="AJ2402">
        <v>168.78</v>
      </c>
      <c r="AK2402">
        <v>0</v>
      </c>
      <c r="AL2402" t="s">
        <v>53</v>
      </c>
      <c r="AM2402" t="s">
        <v>53</v>
      </c>
      <c r="AN2402" t="s">
        <v>84</v>
      </c>
      <c r="AO2402" t="s">
        <v>53</v>
      </c>
      <c r="AP2402" t="s">
        <v>53</v>
      </c>
    </row>
    <row r="2403" spans="2:42" x14ac:dyDescent="0.2">
      <c r="B2403" t="s">
        <v>44</v>
      </c>
      <c r="C2403" t="str">
        <f>HYPERLINK("https://us2.cloudbeds.com/connect/8493803454333002#/reservations/579216666777?display=DJGARJ59&amp;reservation_id=579216666777", "DJGARJ59")</f>
        <v>DJGARJ59</v>
      </c>
      <c r="D2403" t="s">
        <v>45</v>
      </c>
      <c r="E2403" t="s">
        <v>113</v>
      </c>
      <c r="F2403" t="s">
        <v>61</v>
      </c>
      <c r="G2403" t="s">
        <v>48</v>
      </c>
      <c r="H2403" t="s">
        <v>49</v>
      </c>
      <c r="I2403" t="s">
        <v>114</v>
      </c>
      <c r="J2403" t="s">
        <v>1451</v>
      </c>
      <c r="K2403" t="s">
        <v>1515</v>
      </c>
      <c r="L2403" t="s">
        <v>53</v>
      </c>
      <c r="N2403" t="s">
        <v>3812</v>
      </c>
      <c r="P2403" t="s">
        <v>58</v>
      </c>
      <c r="R2403" t="s">
        <v>56</v>
      </c>
      <c r="T2403" t="s">
        <v>3808</v>
      </c>
      <c r="U2403" t="s">
        <v>58</v>
      </c>
      <c r="V2403">
        <v>1</v>
      </c>
      <c r="W2403">
        <v>1</v>
      </c>
      <c r="X2403">
        <v>1</v>
      </c>
      <c r="Y2403">
        <v>0</v>
      </c>
      <c r="Z2403">
        <v>1</v>
      </c>
      <c r="AA2403">
        <v>0</v>
      </c>
      <c r="AB2403">
        <v>177.29</v>
      </c>
      <c r="AC2403">
        <v>156</v>
      </c>
      <c r="AD2403">
        <v>0</v>
      </c>
      <c r="AE2403">
        <v>21.29</v>
      </c>
      <c r="AF2403">
        <v>0</v>
      </c>
      <c r="AG2403">
        <v>0</v>
      </c>
      <c r="AH2403">
        <v>0</v>
      </c>
      <c r="AI2403">
        <v>0</v>
      </c>
      <c r="AJ2403">
        <v>177.29</v>
      </c>
      <c r="AK2403">
        <v>0</v>
      </c>
      <c r="AL2403" t="s">
        <v>53</v>
      </c>
      <c r="AM2403" t="s">
        <v>53</v>
      </c>
      <c r="AN2403" t="s">
        <v>3813</v>
      </c>
      <c r="AO2403" t="s">
        <v>53</v>
      </c>
      <c r="AP2403" t="s">
        <v>53</v>
      </c>
    </row>
    <row r="2404" spans="2:42" x14ac:dyDescent="0.2">
      <c r="B2404" t="s">
        <v>44</v>
      </c>
      <c r="C2404" t="str">
        <f>HYPERLINK("https://us2.cloudbeds.com/connect/8493803454333002#/reservations/579352338606?display=DJJQ7S0T&amp;reservation_id=579352338606", "DJJQ7S0T")</f>
        <v>DJJQ7S0T</v>
      </c>
      <c r="D2404" t="s">
        <v>45</v>
      </c>
      <c r="E2404" t="s">
        <v>110</v>
      </c>
      <c r="F2404" t="s">
        <v>47</v>
      </c>
      <c r="G2404" t="s">
        <v>48</v>
      </c>
      <c r="H2404" t="s">
        <v>49</v>
      </c>
      <c r="I2404" t="s">
        <v>79</v>
      </c>
      <c r="J2404" t="s">
        <v>1458</v>
      </c>
      <c r="K2404" t="s">
        <v>1337</v>
      </c>
      <c r="L2404" t="s">
        <v>53</v>
      </c>
      <c r="N2404" t="s">
        <v>3814</v>
      </c>
      <c r="P2404" t="s">
        <v>55</v>
      </c>
      <c r="R2404" t="s">
        <v>56</v>
      </c>
      <c r="T2404" t="s">
        <v>3808</v>
      </c>
      <c r="U2404" t="s">
        <v>58</v>
      </c>
      <c r="V2404">
        <v>2</v>
      </c>
      <c r="W2404">
        <v>1</v>
      </c>
      <c r="X2404">
        <v>1</v>
      </c>
      <c r="Y2404">
        <v>0</v>
      </c>
      <c r="Z2404">
        <v>1</v>
      </c>
      <c r="AA2404">
        <v>0</v>
      </c>
      <c r="AB2404">
        <v>267.08</v>
      </c>
      <c r="AC2404">
        <v>235</v>
      </c>
      <c r="AD2404">
        <v>0</v>
      </c>
      <c r="AE2404">
        <v>32.08</v>
      </c>
      <c r="AF2404">
        <v>0</v>
      </c>
      <c r="AG2404">
        <v>0</v>
      </c>
      <c r="AH2404">
        <v>0</v>
      </c>
      <c r="AI2404">
        <v>0</v>
      </c>
      <c r="AJ2404">
        <v>267.08</v>
      </c>
      <c r="AK2404">
        <v>0</v>
      </c>
      <c r="AL2404" t="s">
        <v>53</v>
      </c>
      <c r="AM2404" t="s">
        <v>53</v>
      </c>
      <c r="AN2404" t="s">
        <v>3815</v>
      </c>
      <c r="AO2404" t="s">
        <v>53</v>
      </c>
      <c r="AP2404" t="s">
        <v>53</v>
      </c>
    </row>
    <row r="2405" spans="2:42" x14ac:dyDescent="0.2">
      <c r="B2405" t="s">
        <v>44</v>
      </c>
      <c r="C2405" t="str">
        <f>HYPERLINK("https://us2.cloudbeds.com/connect/8493803454333002#/reservations/598608834723?display=E1GRR7U8&amp;reservation_id=598608834723", "E1GRR7U8")</f>
        <v>E1GRR7U8</v>
      </c>
      <c r="D2405" t="s">
        <v>45</v>
      </c>
      <c r="E2405" t="s">
        <v>185</v>
      </c>
      <c r="F2405" t="s">
        <v>47</v>
      </c>
      <c r="G2405" t="s">
        <v>48</v>
      </c>
      <c r="H2405" t="s">
        <v>49</v>
      </c>
      <c r="I2405" t="s">
        <v>62</v>
      </c>
      <c r="J2405" t="s">
        <v>323</v>
      </c>
      <c r="K2405" t="s">
        <v>100</v>
      </c>
      <c r="L2405" t="s">
        <v>53</v>
      </c>
      <c r="N2405" t="s">
        <v>3816</v>
      </c>
      <c r="P2405" t="s">
        <v>55</v>
      </c>
      <c r="R2405" t="s">
        <v>56</v>
      </c>
      <c r="T2405" t="s">
        <v>3808</v>
      </c>
      <c r="U2405" t="s">
        <v>58</v>
      </c>
      <c r="V2405">
        <v>1</v>
      </c>
      <c r="W2405">
        <v>1</v>
      </c>
      <c r="X2405">
        <v>1</v>
      </c>
      <c r="Y2405">
        <v>0</v>
      </c>
      <c r="Z2405">
        <v>1</v>
      </c>
      <c r="AA2405">
        <v>0</v>
      </c>
      <c r="AB2405">
        <v>159.11000000000001</v>
      </c>
      <c r="AC2405">
        <v>140</v>
      </c>
      <c r="AD2405">
        <v>0</v>
      </c>
      <c r="AE2405">
        <v>19.11</v>
      </c>
      <c r="AF2405">
        <v>0</v>
      </c>
      <c r="AG2405">
        <v>0</v>
      </c>
      <c r="AH2405">
        <v>0</v>
      </c>
      <c r="AI2405">
        <v>23.87</v>
      </c>
      <c r="AJ2405">
        <v>159.11000000000001</v>
      </c>
      <c r="AK2405">
        <v>0</v>
      </c>
      <c r="AL2405" t="s">
        <v>53</v>
      </c>
      <c r="AM2405" t="s">
        <v>53</v>
      </c>
      <c r="AN2405" t="s">
        <v>137</v>
      </c>
      <c r="AO2405" t="s">
        <v>53</v>
      </c>
      <c r="AP2405" t="s">
        <v>53</v>
      </c>
    </row>
    <row r="2406" spans="2:42" x14ac:dyDescent="0.2">
      <c r="B2406" t="s">
        <v>44</v>
      </c>
      <c r="C2406" t="str">
        <f>HYPERLINK("https://us2.cloudbeds.com/connect/8493803454333002#/reservations/579222548618?display=DJGFQ89V&amp;reservation_id=579222548618", "DJGFQ89V")</f>
        <v>DJGFQ89V</v>
      </c>
      <c r="D2406" t="s">
        <v>45</v>
      </c>
      <c r="E2406" t="s">
        <v>213</v>
      </c>
      <c r="F2406" t="s">
        <v>86</v>
      </c>
      <c r="G2406" t="s">
        <v>48</v>
      </c>
      <c r="H2406" t="s">
        <v>49</v>
      </c>
      <c r="I2406" t="s">
        <v>50</v>
      </c>
      <c r="J2406" t="s">
        <v>1367</v>
      </c>
      <c r="K2406" t="s">
        <v>2022</v>
      </c>
      <c r="L2406" t="s">
        <v>53</v>
      </c>
      <c r="N2406" t="s">
        <v>3817</v>
      </c>
      <c r="P2406" t="s">
        <v>55</v>
      </c>
      <c r="R2406" t="s">
        <v>56</v>
      </c>
      <c r="T2406" t="s">
        <v>3808</v>
      </c>
      <c r="U2406" t="s">
        <v>58</v>
      </c>
      <c r="V2406">
        <v>2</v>
      </c>
      <c r="W2406">
        <v>1</v>
      </c>
      <c r="X2406">
        <v>1</v>
      </c>
      <c r="Y2406">
        <v>0</v>
      </c>
      <c r="Z2406">
        <v>1</v>
      </c>
      <c r="AA2406">
        <v>0</v>
      </c>
      <c r="AB2406">
        <v>353.9</v>
      </c>
      <c r="AC2406">
        <v>311.39999999999998</v>
      </c>
      <c r="AD2406">
        <v>0</v>
      </c>
      <c r="AE2406">
        <v>42.5</v>
      </c>
      <c r="AF2406">
        <v>0</v>
      </c>
      <c r="AG2406">
        <v>0</v>
      </c>
      <c r="AH2406">
        <v>0</v>
      </c>
      <c r="AI2406">
        <v>63.7</v>
      </c>
      <c r="AJ2406">
        <v>353.9</v>
      </c>
      <c r="AK2406">
        <v>0</v>
      </c>
      <c r="AL2406" t="s">
        <v>53</v>
      </c>
      <c r="AM2406" t="s">
        <v>53</v>
      </c>
      <c r="AN2406" t="s">
        <v>159</v>
      </c>
      <c r="AO2406" t="s">
        <v>53</v>
      </c>
      <c r="AP2406" t="s">
        <v>53</v>
      </c>
    </row>
    <row r="2407" spans="2:42" x14ac:dyDescent="0.2">
      <c r="B2407" t="s">
        <v>44</v>
      </c>
      <c r="C2407" t="str">
        <f>HYPERLINK("https://us2.cloudbeds.com/connect/8493803454333002#/reservations/598551769248?display=E1FCNA6E&amp;reservation_id=598551769248", "E1FCNA6E")</f>
        <v>E1FCNA6E</v>
      </c>
      <c r="D2407" t="s">
        <v>45</v>
      </c>
      <c r="E2407" t="s">
        <v>69</v>
      </c>
      <c r="F2407" t="s">
        <v>70</v>
      </c>
      <c r="G2407" t="s">
        <v>48</v>
      </c>
      <c r="H2407" t="s">
        <v>49</v>
      </c>
      <c r="I2407" t="s">
        <v>62</v>
      </c>
      <c r="J2407" t="s">
        <v>100</v>
      </c>
      <c r="K2407" t="s">
        <v>505</v>
      </c>
      <c r="L2407" t="s">
        <v>53</v>
      </c>
      <c r="N2407" t="s">
        <v>3818</v>
      </c>
      <c r="P2407" t="s">
        <v>55</v>
      </c>
      <c r="R2407" t="s">
        <v>329</v>
      </c>
      <c r="T2407" t="s">
        <v>3808</v>
      </c>
      <c r="U2407" t="s">
        <v>58</v>
      </c>
      <c r="V2407">
        <v>2</v>
      </c>
      <c r="W2407">
        <v>1</v>
      </c>
      <c r="X2407">
        <v>1</v>
      </c>
      <c r="Y2407">
        <v>0</v>
      </c>
      <c r="Z2407">
        <v>1</v>
      </c>
      <c r="AA2407">
        <v>0</v>
      </c>
      <c r="AB2407">
        <v>306.86</v>
      </c>
      <c r="AC2407">
        <v>270</v>
      </c>
      <c r="AD2407">
        <v>0</v>
      </c>
      <c r="AE2407">
        <v>36.880000000000003</v>
      </c>
      <c r="AF2407">
        <v>0</v>
      </c>
      <c r="AG2407">
        <v>0</v>
      </c>
      <c r="AH2407">
        <v>0</v>
      </c>
      <c r="AI2407">
        <v>46.03</v>
      </c>
      <c r="AJ2407">
        <v>306.88</v>
      </c>
      <c r="AK2407">
        <v>0.02</v>
      </c>
      <c r="AL2407" t="s">
        <v>53</v>
      </c>
      <c r="AM2407" t="s">
        <v>53</v>
      </c>
      <c r="AN2407" t="s">
        <v>252</v>
      </c>
      <c r="AO2407" t="s">
        <v>53</v>
      </c>
      <c r="AP2407" t="s">
        <v>53</v>
      </c>
    </row>
    <row r="2408" spans="2:42" x14ac:dyDescent="0.2">
      <c r="B2408" t="s">
        <v>44</v>
      </c>
      <c r="C2408" t="str">
        <f>HYPERLINK("https://us2.cloudbeds.com/connect/8493803454333002#/reservations/579175194828?display=DJF8SXXK&amp;reservation_id=579175194828", "DJF8SXXK")</f>
        <v>DJF8SXXK</v>
      </c>
      <c r="D2408" t="s">
        <v>45</v>
      </c>
      <c r="E2408" t="s">
        <v>113</v>
      </c>
      <c r="F2408" t="s">
        <v>61</v>
      </c>
      <c r="G2408" t="s">
        <v>48</v>
      </c>
      <c r="H2408" t="s">
        <v>49</v>
      </c>
      <c r="I2408" t="s">
        <v>79</v>
      </c>
      <c r="J2408" t="s">
        <v>1985</v>
      </c>
      <c r="K2408" t="s">
        <v>2639</v>
      </c>
      <c r="L2408" t="s">
        <v>53</v>
      </c>
      <c r="N2408" t="s">
        <v>3819</v>
      </c>
      <c r="P2408" t="s">
        <v>55</v>
      </c>
      <c r="R2408" t="s">
        <v>56</v>
      </c>
      <c r="T2408" t="s">
        <v>3808</v>
      </c>
      <c r="U2408" t="s">
        <v>58</v>
      </c>
      <c r="V2408">
        <v>3</v>
      </c>
      <c r="W2408">
        <v>1</v>
      </c>
      <c r="X2408">
        <v>1</v>
      </c>
      <c r="Y2408">
        <v>0</v>
      </c>
      <c r="Z2408">
        <v>1</v>
      </c>
      <c r="AA2408">
        <v>0</v>
      </c>
      <c r="AB2408">
        <v>496.08</v>
      </c>
      <c r="AC2408">
        <v>436.5</v>
      </c>
      <c r="AD2408">
        <v>0</v>
      </c>
      <c r="AE2408">
        <v>59.58</v>
      </c>
      <c r="AF2408">
        <v>0</v>
      </c>
      <c r="AG2408">
        <v>0</v>
      </c>
      <c r="AH2408">
        <v>0</v>
      </c>
      <c r="AI2408">
        <v>0</v>
      </c>
      <c r="AJ2408">
        <v>496.08</v>
      </c>
      <c r="AK2408">
        <v>0</v>
      </c>
      <c r="AL2408" t="s">
        <v>53</v>
      </c>
      <c r="AM2408" t="s">
        <v>53</v>
      </c>
      <c r="AN2408" t="s">
        <v>280</v>
      </c>
      <c r="AO2408" t="s">
        <v>53</v>
      </c>
      <c r="AP2408" t="s">
        <v>53</v>
      </c>
    </row>
    <row r="2409" spans="2:42" x14ac:dyDescent="0.2">
      <c r="B2409" t="s">
        <v>44</v>
      </c>
      <c r="C2409" t="str">
        <f>HYPERLINK("https://us2.cloudbeds.com/connect/8493803454333002#/reservations/579196989598?display=DJFR8146&amp;reservation_id=579196989598", "DJFR8146")</f>
        <v>DJFR8146</v>
      </c>
      <c r="D2409" t="s">
        <v>45</v>
      </c>
      <c r="E2409" t="s">
        <v>98</v>
      </c>
      <c r="F2409" t="s">
        <v>86</v>
      </c>
      <c r="G2409" t="s">
        <v>48</v>
      </c>
      <c r="H2409" t="s">
        <v>49</v>
      </c>
      <c r="I2409" t="s">
        <v>79</v>
      </c>
      <c r="J2409" t="s">
        <v>2023</v>
      </c>
      <c r="K2409" t="s">
        <v>2639</v>
      </c>
      <c r="L2409" t="s">
        <v>53</v>
      </c>
      <c r="N2409" t="s">
        <v>3820</v>
      </c>
      <c r="P2409" t="s">
        <v>55</v>
      </c>
      <c r="R2409" t="s">
        <v>56</v>
      </c>
      <c r="T2409" t="s">
        <v>3808</v>
      </c>
      <c r="U2409" t="s">
        <v>58</v>
      </c>
      <c r="V2409">
        <v>1</v>
      </c>
      <c r="W2409">
        <v>1</v>
      </c>
      <c r="X2409">
        <v>1</v>
      </c>
      <c r="Y2409">
        <v>0</v>
      </c>
      <c r="Z2409">
        <v>1</v>
      </c>
      <c r="AA2409">
        <v>0</v>
      </c>
      <c r="AB2409">
        <v>171.83</v>
      </c>
      <c r="AC2409">
        <v>151.19999999999999</v>
      </c>
      <c r="AD2409">
        <v>0</v>
      </c>
      <c r="AE2409">
        <v>20.63</v>
      </c>
      <c r="AF2409">
        <v>0</v>
      </c>
      <c r="AG2409">
        <v>0</v>
      </c>
      <c r="AH2409">
        <v>0</v>
      </c>
      <c r="AI2409">
        <v>0</v>
      </c>
      <c r="AJ2409">
        <v>171.83</v>
      </c>
      <c r="AK2409">
        <v>0</v>
      </c>
      <c r="AL2409" t="s">
        <v>53</v>
      </c>
      <c r="AM2409" t="s">
        <v>53</v>
      </c>
      <c r="AN2409" t="s">
        <v>198</v>
      </c>
      <c r="AO2409" t="s">
        <v>53</v>
      </c>
      <c r="AP2409" t="s">
        <v>53</v>
      </c>
    </row>
    <row r="2410" spans="2:42" x14ac:dyDescent="0.2">
      <c r="B2410" t="s">
        <v>44</v>
      </c>
      <c r="C2410" t="str">
        <f>HYPERLINK("https://us2.cloudbeds.com/connect/8493803454333002#/reservations/598631047365?display=E1HDXB6K&amp;reservation_id=598631047365", "E1HDXB6K")</f>
        <v>E1HDXB6K</v>
      </c>
      <c r="D2410" t="s">
        <v>45</v>
      </c>
      <c r="E2410" t="s">
        <v>185</v>
      </c>
      <c r="F2410" t="s">
        <v>47</v>
      </c>
      <c r="G2410" t="s">
        <v>48</v>
      </c>
      <c r="H2410" t="s">
        <v>49</v>
      </c>
      <c r="I2410" t="s">
        <v>79</v>
      </c>
      <c r="J2410" t="s">
        <v>100</v>
      </c>
      <c r="K2410" t="s">
        <v>505</v>
      </c>
      <c r="L2410" t="s">
        <v>53</v>
      </c>
      <c r="N2410" t="s">
        <v>3821</v>
      </c>
      <c r="P2410" t="s">
        <v>55</v>
      </c>
      <c r="R2410" t="s">
        <v>56</v>
      </c>
      <c r="T2410" t="s">
        <v>3808</v>
      </c>
      <c r="U2410" t="s">
        <v>58</v>
      </c>
      <c r="V2410">
        <v>2</v>
      </c>
      <c r="W2410">
        <v>1</v>
      </c>
      <c r="X2410">
        <v>1</v>
      </c>
      <c r="Y2410">
        <v>0</v>
      </c>
      <c r="Z2410">
        <v>1</v>
      </c>
      <c r="AA2410">
        <v>0</v>
      </c>
      <c r="AB2410">
        <v>286.39999999999998</v>
      </c>
      <c r="AC2410">
        <v>252</v>
      </c>
      <c r="AD2410">
        <v>0</v>
      </c>
      <c r="AE2410">
        <v>34.4</v>
      </c>
      <c r="AF2410">
        <v>0</v>
      </c>
      <c r="AG2410">
        <v>0</v>
      </c>
      <c r="AH2410">
        <v>0</v>
      </c>
      <c r="AI2410">
        <v>0</v>
      </c>
      <c r="AJ2410">
        <v>286.39999999999998</v>
      </c>
      <c r="AK2410">
        <v>0</v>
      </c>
      <c r="AL2410" t="s">
        <v>53</v>
      </c>
      <c r="AM2410" t="s">
        <v>53</v>
      </c>
      <c r="AN2410" t="s">
        <v>545</v>
      </c>
      <c r="AO2410" t="s">
        <v>53</v>
      </c>
      <c r="AP2410" t="s">
        <v>53</v>
      </c>
    </row>
    <row r="2411" spans="2:42" x14ac:dyDescent="0.2">
      <c r="B2411" t="s">
        <v>44</v>
      </c>
      <c r="C2411" t="str">
        <f>HYPERLINK("https://us2.cloudbeds.com/connect/8493803454333002#/reservations/598409859327?display=E1BP1F1Z&amp;reservation_id=598409859327", "E1BP1F1Z")</f>
        <v>E1BP1F1Z</v>
      </c>
      <c r="D2411" t="s">
        <v>45</v>
      </c>
      <c r="E2411" t="s">
        <v>113</v>
      </c>
      <c r="F2411" t="s">
        <v>61</v>
      </c>
      <c r="G2411" t="s">
        <v>48</v>
      </c>
      <c r="H2411" t="s">
        <v>49</v>
      </c>
      <c r="I2411" t="s">
        <v>62</v>
      </c>
      <c r="J2411" t="s">
        <v>100</v>
      </c>
      <c r="K2411" t="s">
        <v>504</v>
      </c>
      <c r="L2411" t="s">
        <v>53</v>
      </c>
      <c r="N2411" t="s">
        <v>3822</v>
      </c>
      <c r="P2411" t="s">
        <v>55</v>
      </c>
      <c r="R2411" t="s">
        <v>56</v>
      </c>
      <c r="T2411" t="s">
        <v>3808</v>
      </c>
      <c r="U2411" t="s">
        <v>58</v>
      </c>
      <c r="V2411">
        <v>1</v>
      </c>
      <c r="W2411">
        <v>1</v>
      </c>
      <c r="X2411">
        <v>1</v>
      </c>
      <c r="Y2411">
        <v>0</v>
      </c>
      <c r="Z2411">
        <v>1</v>
      </c>
      <c r="AA2411">
        <v>0</v>
      </c>
      <c r="AB2411">
        <v>176.16</v>
      </c>
      <c r="AC2411">
        <v>155</v>
      </c>
      <c r="AD2411">
        <v>0</v>
      </c>
      <c r="AE2411">
        <v>21.17</v>
      </c>
      <c r="AF2411">
        <v>0</v>
      </c>
      <c r="AG2411">
        <v>0</v>
      </c>
      <c r="AH2411">
        <v>0</v>
      </c>
      <c r="AI2411">
        <v>26.43</v>
      </c>
      <c r="AJ2411">
        <v>176.17</v>
      </c>
      <c r="AK2411">
        <v>0.01</v>
      </c>
      <c r="AL2411" t="s">
        <v>53</v>
      </c>
      <c r="AM2411" t="s">
        <v>53</v>
      </c>
      <c r="AN2411" t="s">
        <v>252</v>
      </c>
      <c r="AO2411" t="s">
        <v>53</v>
      </c>
      <c r="AP2411" t="s">
        <v>53</v>
      </c>
    </row>
    <row r="2412" spans="2:42" x14ac:dyDescent="0.2">
      <c r="B2412" t="s">
        <v>44</v>
      </c>
      <c r="C2412" t="str">
        <f>HYPERLINK("https://us2.cloudbeds.com/connect/8493803454333002#/reservations/579211079815?display=DJG643QF&amp;reservation_id=579211079815", "DJG643QF")</f>
        <v>DJG643QF</v>
      </c>
      <c r="D2412" t="s">
        <v>45</v>
      </c>
      <c r="E2412" t="s">
        <v>305</v>
      </c>
      <c r="F2412" t="s">
        <v>61</v>
      </c>
      <c r="G2412" t="s">
        <v>48</v>
      </c>
      <c r="H2412" t="s">
        <v>71</v>
      </c>
      <c r="I2412" t="s">
        <v>72</v>
      </c>
      <c r="J2412" t="s">
        <v>1141</v>
      </c>
      <c r="K2412" t="s">
        <v>1450</v>
      </c>
      <c r="L2412" t="s">
        <v>53</v>
      </c>
      <c r="N2412" t="s">
        <v>3823</v>
      </c>
      <c r="P2412" t="s">
        <v>58</v>
      </c>
      <c r="R2412" t="s">
        <v>56</v>
      </c>
      <c r="T2412" t="s">
        <v>3808</v>
      </c>
      <c r="U2412" t="s">
        <v>58</v>
      </c>
      <c r="V2412">
        <v>1</v>
      </c>
      <c r="W2412">
        <v>1</v>
      </c>
      <c r="X2412">
        <v>1</v>
      </c>
      <c r="Y2412">
        <v>0</v>
      </c>
      <c r="Z2412">
        <v>1</v>
      </c>
      <c r="AA2412">
        <v>0</v>
      </c>
      <c r="AB2412">
        <v>181.84</v>
      </c>
      <c r="AC2412">
        <v>160</v>
      </c>
      <c r="AD2412">
        <v>0</v>
      </c>
      <c r="AE2412">
        <v>21.84</v>
      </c>
      <c r="AF2412">
        <v>0</v>
      </c>
      <c r="AG2412">
        <v>0</v>
      </c>
      <c r="AH2412">
        <v>0</v>
      </c>
      <c r="AI2412">
        <v>0</v>
      </c>
      <c r="AJ2412">
        <v>181.84</v>
      </c>
      <c r="AK2412">
        <v>0</v>
      </c>
      <c r="AL2412" t="s">
        <v>53</v>
      </c>
      <c r="AM2412" t="s">
        <v>53</v>
      </c>
      <c r="AN2412" t="s">
        <v>378</v>
      </c>
      <c r="AO2412" t="s">
        <v>53</v>
      </c>
      <c r="AP2412" t="s">
        <v>53</v>
      </c>
    </row>
    <row r="2413" spans="2:42" x14ac:dyDescent="0.2">
      <c r="B2413" t="s">
        <v>44</v>
      </c>
      <c r="C2413" t="str">
        <f>HYPERLINK("https://us2.cloudbeds.com/connect/8493803454333002#/reservations/598551081093?display=E1FC4598&amp;reservation_id=598551081093", "E1FC4598")</f>
        <v>E1FC4598</v>
      </c>
      <c r="D2413" t="s">
        <v>45</v>
      </c>
      <c r="E2413" t="s">
        <v>155</v>
      </c>
      <c r="F2413" t="s">
        <v>86</v>
      </c>
      <c r="G2413" t="s">
        <v>48</v>
      </c>
      <c r="H2413" t="s">
        <v>49</v>
      </c>
      <c r="I2413" t="s">
        <v>50</v>
      </c>
      <c r="J2413" t="s">
        <v>323</v>
      </c>
      <c r="K2413" t="s">
        <v>100</v>
      </c>
      <c r="L2413" t="s">
        <v>53</v>
      </c>
      <c r="N2413" t="s">
        <v>3824</v>
      </c>
      <c r="P2413" t="s">
        <v>55</v>
      </c>
      <c r="R2413" t="s">
        <v>56</v>
      </c>
      <c r="T2413" t="s">
        <v>3808</v>
      </c>
      <c r="U2413" t="s">
        <v>58</v>
      </c>
      <c r="V2413">
        <v>1</v>
      </c>
      <c r="W2413">
        <v>1</v>
      </c>
      <c r="X2413">
        <v>1</v>
      </c>
      <c r="Y2413">
        <v>0</v>
      </c>
      <c r="Z2413">
        <v>1</v>
      </c>
      <c r="AA2413">
        <v>0</v>
      </c>
      <c r="AB2413">
        <v>172.86</v>
      </c>
      <c r="AC2413">
        <v>152.1</v>
      </c>
      <c r="AD2413">
        <v>0</v>
      </c>
      <c r="AE2413">
        <v>20.76</v>
      </c>
      <c r="AF2413">
        <v>0</v>
      </c>
      <c r="AG2413">
        <v>0</v>
      </c>
      <c r="AH2413">
        <v>0</v>
      </c>
      <c r="AI2413">
        <v>31.11</v>
      </c>
      <c r="AJ2413">
        <v>172.86</v>
      </c>
      <c r="AK2413">
        <v>0</v>
      </c>
      <c r="AL2413" t="s">
        <v>53</v>
      </c>
      <c r="AM2413" t="s">
        <v>53</v>
      </c>
      <c r="AN2413" t="s">
        <v>280</v>
      </c>
      <c r="AO2413" t="s">
        <v>53</v>
      </c>
      <c r="AP2413" t="s">
        <v>53</v>
      </c>
    </row>
    <row r="2414" spans="2:42" x14ac:dyDescent="0.2">
      <c r="B2414" t="s">
        <v>44</v>
      </c>
      <c r="C2414" t="str">
        <f>HYPERLINK("https://us2.cloudbeds.com/connect/8493803454333002#/reservations/598606389383?display=E1GPP6E1&amp;reservation_id=598606389383", "E1GPP6E1")</f>
        <v>E1GPP6E1</v>
      </c>
      <c r="D2414" t="s">
        <v>45</v>
      </c>
      <c r="E2414" t="s">
        <v>105</v>
      </c>
      <c r="F2414" t="s">
        <v>47</v>
      </c>
      <c r="G2414" t="s">
        <v>48</v>
      </c>
      <c r="H2414" t="s">
        <v>71</v>
      </c>
      <c r="I2414" t="s">
        <v>72</v>
      </c>
      <c r="J2414" t="s">
        <v>99</v>
      </c>
      <c r="K2414" t="s">
        <v>323</v>
      </c>
      <c r="L2414" t="s">
        <v>53</v>
      </c>
      <c r="N2414" t="s">
        <v>3825</v>
      </c>
      <c r="P2414" t="s">
        <v>55</v>
      </c>
      <c r="R2414" t="s">
        <v>56</v>
      </c>
      <c r="T2414" t="s">
        <v>3826</v>
      </c>
      <c r="U2414" t="s">
        <v>58</v>
      </c>
      <c r="V2414">
        <v>1</v>
      </c>
      <c r="W2414">
        <v>1</v>
      </c>
      <c r="X2414">
        <v>1</v>
      </c>
      <c r="Y2414">
        <v>0</v>
      </c>
      <c r="Z2414">
        <v>1</v>
      </c>
      <c r="AA2414">
        <v>0</v>
      </c>
      <c r="AB2414">
        <v>176.16</v>
      </c>
      <c r="AC2414">
        <v>155</v>
      </c>
      <c r="AD2414">
        <v>0</v>
      </c>
      <c r="AE2414">
        <v>21.17</v>
      </c>
      <c r="AF2414">
        <v>0</v>
      </c>
      <c r="AG2414">
        <v>0</v>
      </c>
      <c r="AH2414">
        <v>0</v>
      </c>
      <c r="AI2414">
        <v>0</v>
      </c>
      <c r="AJ2414">
        <v>176.17</v>
      </c>
      <c r="AK2414">
        <v>0.01</v>
      </c>
      <c r="AL2414" t="s">
        <v>53</v>
      </c>
      <c r="AM2414" t="s">
        <v>53</v>
      </c>
      <c r="AN2414" t="s">
        <v>378</v>
      </c>
      <c r="AO2414" t="s">
        <v>53</v>
      </c>
      <c r="AP2414" t="s">
        <v>53</v>
      </c>
    </row>
    <row r="2415" spans="2:42" x14ac:dyDescent="0.2">
      <c r="B2415" t="s">
        <v>44</v>
      </c>
      <c r="C2415" t="str">
        <f>HYPERLINK("https://us2.cloudbeds.com/connect/8493803454333002#/reservations/579338653941?display=DJJEN1P1&amp;reservation_id=579338653941", "DJJEN1P1")</f>
        <v>DJJEN1P1</v>
      </c>
      <c r="D2415" t="s">
        <v>45</v>
      </c>
      <c r="E2415" t="s">
        <v>113</v>
      </c>
      <c r="F2415" t="s">
        <v>61</v>
      </c>
      <c r="G2415" t="s">
        <v>48</v>
      </c>
      <c r="H2415" t="s">
        <v>49</v>
      </c>
      <c r="I2415" t="s">
        <v>62</v>
      </c>
      <c r="J2415" t="s">
        <v>2314</v>
      </c>
      <c r="K2415" t="s">
        <v>1406</v>
      </c>
      <c r="L2415" t="s">
        <v>53</v>
      </c>
      <c r="N2415" t="s">
        <v>3827</v>
      </c>
      <c r="P2415" t="s">
        <v>55</v>
      </c>
      <c r="R2415" t="s">
        <v>201</v>
      </c>
      <c r="T2415" t="s">
        <v>3826</v>
      </c>
      <c r="U2415" t="s">
        <v>58</v>
      </c>
      <c r="V2415">
        <v>2</v>
      </c>
      <c r="W2415">
        <v>1</v>
      </c>
      <c r="X2415">
        <v>1</v>
      </c>
      <c r="Y2415">
        <v>0</v>
      </c>
      <c r="Z2415">
        <v>1</v>
      </c>
      <c r="AA2415">
        <v>0</v>
      </c>
      <c r="AB2415">
        <v>347.78</v>
      </c>
      <c r="AC2415">
        <v>306</v>
      </c>
      <c r="AD2415">
        <v>0</v>
      </c>
      <c r="AE2415">
        <v>41.78</v>
      </c>
      <c r="AF2415">
        <v>0</v>
      </c>
      <c r="AG2415">
        <v>0</v>
      </c>
      <c r="AH2415">
        <v>0</v>
      </c>
      <c r="AI2415">
        <v>52.17</v>
      </c>
      <c r="AJ2415">
        <v>347.78</v>
      </c>
      <c r="AK2415">
        <v>0</v>
      </c>
      <c r="AL2415" t="s">
        <v>53</v>
      </c>
      <c r="AM2415" t="s">
        <v>53</v>
      </c>
      <c r="AN2415" t="s">
        <v>252</v>
      </c>
      <c r="AO2415" t="s">
        <v>53</v>
      </c>
      <c r="AP2415" t="s">
        <v>53</v>
      </c>
    </row>
    <row r="2416" spans="2:42" x14ac:dyDescent="0.2">
      <c r="B2416" t="s">
        <v>44</v>
      </c>
      <c r="C2416" t="str">
        <f>HYPERLINK("https://us2.cloudbeds.com/connect/8493803454333002#/reservations/579337277600?display=DJJDHZTZ&amp;reservation_id=579337277600", "DJJDHZTZ")</f>
        <v>DJJDHZTZ</v>
      </c>
      <c r="D2416" t="s">
        <v>45</v>
      </c>
      <c r="E2416" t="s">
        <v>113</v>
      </c>
      <c r="F2416" t="s">
        <v>61</v>
      </c>
      <c r="G2416" t="s">
        <v>48</v>
      </c>
      <c r="H2416" t="s">
        <v>49</v>
      </c>
      <c r="I2416" t="s">
        <v>50</v>
      </c>
      <c r="J2416" t="s">
        <v>1295</v>
      </c>
      <c r="K2416" t="s">
        <v>1900</v>
      </c>
      <c r="L2416" t="s">
        <v>53</v>
      </c>
      <c r="N2416" t="s">
        <v>3828</v>
      </c>
      <c r="P2416" t="s">
        <v>55</v>
      </c>
      <c r="R2416" t="s">
        <v>56</v>
      </c>
      <c r="T2416" t="s">
        <v>3826</v>
      </c>
      <c r="U2416" t="s">
        <v>58</v>
      </c>
      <c r="V2416">
        <v>2</v>
      </c>
      <c r="W2416">
        <v>1</v>
      </c>
      <c r="X2416">
        <v>1</v>
      </c>
      <c r="Y2416">
        <v>0</v>
      </c>
      <c r="Z2416">
        <v>1</v>
      </c>
      <c r="AA2416">
        <v>0</v>
      </c>
      <c r="AB2416">
        <v>327.32</v>
      </c>
      <c r="AC2416">
        <v>288</v>
      </c>
      <c r="AD2416">
        <v>0</v>
      </c>
      <c r="AE2416">
        <v>39.32</v>
      </c>
      <c r="AF2416">
        <v>0</v>
      </c>
      <c r="AG2416">
        <v>0</v>
      </c>
      <c r="AH2416">
        <v>0</v>
      </c>
      <c r="AI2416">
        <v>58.92</v>
      </c>
      <c r="AJ2416">
        <v>327.32</v>
      </c>
      <c r="AK2416">
        <v>0</v>
      </c>
      <c r="AL2416" t="s">
        <v>53</v>
      </c>
      <c r="AM2416" t="s">
        <v>53</v>
      </c>
      <c r="AN2416" t="s">
        <v>225</v>
      </c>
      <c r="AO2416" t="s">
        <v>53</v>
      </c>
      <c r="AP2416" t="s">
        <v>53</v>
      </c>
    </row>
    <row r="2417" spans="2:42" x14ac:dyDescent="0.2">
      <c r="B2417" t="s">
        <v>44</v>
      </c>
      <c r="C2417" t="str">
        <f>HYPERLINK("https://us2.cloudbeds.com/connect/8493803454333002#/reservations/598582317212?display=E1G5FBJA&amp;reservation_id=598582317212", "E1G5FBJA")</f>
        <v>E1G5FBJA</v>
      </c>
      <c r="D2417" t="s">
        <v>45</v>
      </c>
      <c r="E2417" t="s">
        <v>185</v>
      </c>
      <c r="F2417" t="s">
        <v>47</v>
      </c>
      <c r="G2417" t="s">
        <v>48</v>
      </c>
      <c r="H2417" t="s">
        <v>71</v>
      </c>
      <c r="I2417" t="s">
        <v>72</v>
      </c>
      <c r="J2417" t="s">
        <v>99</v>
      </c>
      <c r="K2417" t="s">
        <v>323</v>
      </c>
      <c r="L2417" t="s">
        <v>53</v>
      </c>
      <c r="N2417" t="s">
        <v>3829</v>
      </c>
      <c r="P2417" t="s">
        <v>55</v>
      </c>
      <c r="R2417" t="s">
        <v>56</v>
      </c>
      <c r="T2417" t="s">
        <v>3826</v>
      </c>
      <c r="U2417" t="s">
        <v>58</v>
      </c>
      <c r="V2417">
        <v>1</v>
      </c>
      <c r="W2417">
        <v>1</v>
      </c>
      <c r="X2417">
        <v>1</v>
      </c>
      <c r="Y2417">
        <v>0</v>
      </c>
      <c r="Z2417">
        <v>1</v>
      </c>
      <c r="AA2417">
        <v>0</v>
      </c>
      <c r="AB2417">
        <v>176.16</v>
      </c>
      <c r="AC2417">
        <v>155</v>
      </c>
      <c r="AD2417">
        <v>0</v>
      </c>
      <c r="AE2417">
        <v>21.17</v>
      </c>
      <c r="AF2417">
        <v>0</v>
      </c>
      <c r="AG2417">
        <v>0</v>
      </c>
      <c r="AH2417">
        <v>0</v>
      </c>
      <c r="AI2417">
        <v>0</v>
      </c>
      <c r="AJ2417">
        <v>176.17</v>
      </c>
      <c r="AK2417">
        <v>0.01</v>
      </c>
      <c r="AL2417" t="s">
        <v>53</v>
      </c>
      <c r="AM2417" t="s">
        <v>53</v>
      </c>
      <c r="AN2417" t="s">
        <v>378</v>
      </c>
      <c r="AO2417" t="s">
        <v>53</v>
      </c>
      <c r="AP2417" t="s">
        <v>53</v>
      </c>
    </row>
    <row r="2418" spans="2:42" x14ac:dyDescent="0.2">
      <c r="B2418" t="s">
        <v>44</v>
      </c>
      <c r="C2418" t="str">
        <f>HYPERLINK("https://us2.cloudbeds.com/connect/8493803454333002#/reservations/598600900736?display=E1GY4BY7&amp;reservation_id=598600900736", "E1GY4BY7")</f>
        <v>E1GY4BY7</v>
      </c>
      <c r="D2418" t="s">
        <v>45</v>
      </c>
      <c r="E2418" t="s">
        <v>128</v>
      </c>
      <c r="F2418" t="s">
        <v>86</v>
      </c>
      <c r="G2418" t="s">
        <v>48</v>
      </c>
      <c r="H2418" t="s">
        <v>49</v>
      </c>
      <c r="I2418" t="s">
        <v>62</v>
      </c>
      <c r="J2418" t="s">
        <v>100</v>
      </c>
      <c r="K2418" t="s">
        <v>504</v>
      </c>
      <c r="L2418" t="s">
        <v>53</v>
      </c>
      <c r="N2418" t="s">
        <v>3830</v>
      </c>
      <c r="P2418" t="s">
        <v>55</v>
      </c>
      <c r="R2418" t="s">
        <v>56</v>
      </c>
      <c r="T2418" t="s">
        <v>3826</v>
      </c>
      <c r="U2418" t="s">
        <v>58</v>
      </c>
      <c r="V2418">
        <v>1</v>
      </c>
      <c r="W2418">
        <v>1</v>
      </c>
      <c r="X2418">
        <v>1</v>
      </c>
      <c r="Y2418">
        <v>0</v>
      </c>
      <c r="Z2418">
        <v>1</v>
      </c>
      <c r="AA2418">
        <v>0</v>
      </c>
      <c r="AB2418">
        <v>184.11</v>
      </c>
      <c r="AC2418">
        <v>162</v>
      </c>
      <c r="AD2418">
        <v>0</v>
      </c>
      <c r="AE2418">
        <v>22.12</v>
      </c>
      <c r="AF2418">
        <v>0</v>
      </c>
      <c r="AG2418">
        <v>0</v>
      </c>
      <c r="AH2418">
        <v>0</v>
      </c>
      <c r="AI2418">
        <v>27.62</v>
      </c>
      <c r="AJ2418">
        <v>184.12</v>
      </c>
      <c r="AK2418">
        <v>0.01</v>
      </c>
      <c r="AL2418" t="s">
        <v>53</v>
      </c>
      <c r="AM2418" t="s">
        <v>53</v>
      </c>
      <c r="AN2418" t="s">
        <v>225</v>
      </c>
      <c r="AO2418" t="s">
        <v>53</v>
      </c>
      <c r="AP2418" t="s">
        <v>53</v>
      </c>
    </row>
    <row r="2419" spans="2:42" x14ac:dyDescent="0.2">
      <c r="B2419" t="s">
        <v>44</v>
      </c>
      <c r="C2419" t="str">
        <f>HYPERLINK("https://us2.cloudbeds.com/connect/8493803454333002#/reservations/598569058502?display=E1FR9DF6&amp;reservation_id=598569058502", "E1FR9DF6")</f>
        <v>E1FR9DF6</v>
      </c>
      <c r="D2419" t="s">
        <v>45</v>
      </c>
      <c r="E2419" t="s">
        <v>53</v>
      </c>
      <c r="F2419" t="s">
        <v>86</v>
      </c>
      <c r="G2419" t="s">
        <v>48</v>
      </c>
      <c r="H2419" t="s">
        <v>49</v>
      </c>
      <c r="I2419" t="s">
        <v>79</v>
      </c>
      <c r="J2419" t="s">
        <v>323</v>
      </c>
      <c r="K2419" t="s">
        <v>100</v>
      </c>
      <c r="L2419" t="s">
        <v>53</v>
      </c>
      <c r="N2419" t="s">
        <v>3831</v>
      </c>
      <c r="P2419" t="s">
        <v>55</v>
      </c>
      <c r="R2419" t="s">
        <v>56</v>
      </c>
      <c r="T2419" t="s">
        <v>3826</v>
      </c>
      <c r="U2419" t="s">
        <v>58</v>
      </c>
      <c r="V2419">
        <v>1</v>
      </c>
      <c r="W2419">
        <v>1</v>
      </c>
      <c r="X2419">
        <v>1</v>
      </c>
      <c r="Y2419">
        <v>0</v>
      </c>
      <c r="Z2419">
        <v>1</v>
      </c>
      <c r="AA2419">
        <v>0</v>
      </c>
      <c r="AB2419">
        <v>165.7</v>
      </c>
      <c r="AC2419">
        <v>145.80000000000001</v>
      </c>
      <c r="AD2419">
        <v>0</v>
      </c>
      <c r="AE2419">
        <v>19.899999999999999</v>
      </c>
      <c r="AF2419">
        <v>0</v>
      </c>
      <c r="AG2419">
        <v>0</v>
      </c>
      <c r="AH2419">
        <v>0</v>
      </c>
      <c r="AI2419">
        <v>0</v>
      </c>
      <c r="AJ2419">
        <v>165.7</v>
      </c>
      <c r="AK2419">
        <v>0</v>
      </c>
      <c r="AL2419" t="s">
        <v>53</v>
      </c>
      <c r="AM2419" t="s">
        <v>53</v>
      </c>
      <c r="AN2419" t="s">
        <v>3832</v>
      </c>
      <c r="AO2419" t="s">
        <v>53</v>
      </c>
      <c r="AP2419" t="s">
        <v>53</v>
      </c>
    </row>
    <row r="2420" spans="2:42" x14ac:dyDescent="0.2">
      <c r="B2420" t="s">
        <v>44</v>
      </c>
      <c r="C2420" t="str">
        <f>HYPERLINK("https://us2.cloudbeds.com/connect/8493803454333002#/reservations/598540382369?display=E1F33EUG&amp;reservation_id=598540382369", "E1F33EUG")</f>
        <v>E1F33EUG</v>
      </c>
      <c r="D2420" t="s">
        <v>45</v>
      </c>
      <c r="E2420" t="s">
        <v>110</v>
      </c>
      <c r="F2420" t="s">
        <v>47</v>
      </c>
      <c r="G2420" t="s">
        <v>48</v>
      </c>
      <c r="H2420" t="s">
        <v>49</v>
      </c>
      <c r="I2420" t="s">
        <v>50</v>
      </c>
      <c r="J2420" t="s">
        <v>99</v>
      </c>
      <c r="K2420" t="s">
        <v>323</v>
      </c>
      <c r="L2420" t="s">
        <v>53</v>
      </c>
      <c r="N2420" t="s">
        <v>3833</v>
      </c>
      <c r="P2420" t="s">
        <v>55</v>
      </c>
      <c r="R2420" t="s">
        <v>56</v>
      </c>
      <c r="T2420" t="s">
        <v>3826</v>
      </c>
      <c r="U2420" t="s">
        <v>58</v>
      </c>
      <c r="V2420">
        <v>1</v>
      </c>
      <c r="W2420">
        <v>1</v>
      </c>
      <c r="X2420">
        <v>1</v>
      </c>
      <c r="Y2420">
        <v>0</v>
      </c>
      <c r="Z2420">
        <v>1</v>
      </c>
      <c r="AA2420">
        <v>0</v>
      </c>
      <c r="AB2420">
        <v>163.66</v>
      </c>
      <c r="AC2420">
        <v>144</v>
      </c>
      <c r="AD2420">
        <v>0</v>
      </c>
      <c r="AE2420">
        <v>19.66</v>
      </c>
      <c r="AF2420">
        <v>0</v>
      </c>
      <c r="AG2420">
        <v>0</v>
      </c>
      <c r="AH2420">
        <v>0</v>
      </c>
      <c r="AI2420">
        <v>29.46</v>
      </c>
      <c r="AJ2420">
        <v>163.66</v>
      </c>
      <c r="AK2420">
        <v>0</v>
      </c>
      <c r="AL2420" t="s">
        <v>53</v>
      </c>
      <c r="AM2420" t="s">
        <v>53</v>
      </c>
      <c r="AN2420" t="s">
        <v>142</v>
      </c>
      <c r="AO2420" t="s">
        <v>53</v>
      </c>
      <c r="AP2420" t="s">
        <v>53</v>
      </c>
    </row>
    <row r="2421" spans="2:42" x14ac:dyDescent="0.2">
      <c r="B2421" t="s">
        <v>44</v>
      </c>
      <c r="C2421" t="str">
        <f>HYPERLINK("https://us2.cloudbeds.com/connect/8493803454333002#/reservations/579338658016?display=DJJEN5GH&amp;reservation_id=579338658016", "DJJEN5GH")</f>
        <v>DJJEN5GH</v>
      </c>
      <c r="D2421" t="s">
        <v>45</v>
      </c>
      <c r="E2421" t="s">
        <v>128</v>
      </c>
      <c r="F2421" t="s">
        <v>86</v>
      </c>
      <c r="G2421" t="s">
        <v>48</v>
      </c>
      <c r="H2421" t="s">
        <v>49</v>
      </c>
      <c r="I2421" t="s">
        <v>50</v>
      </c>
      <c r="J2421" t="s">
        <v>1295</v>
      </c>
      <c r="K2421" t="s">
        <v>1900</v>
      </c>
      <c r="L2421" t="s">
        <v>53</v>
      </c>
      <c r="N2421" t="s">
        <v>3834</v>
      </c>
      <c r="P2421" t="s">
        <v>55</v>
      </c>
      <c r="R2421" t="s">
        <v>56</v>
      </c>
      <c r="T2421" t="s">
        <v>3826</v>
      </c>
      <c r="U2421" t="s">
        <v>58</v>
      </c>
      <c r="V2421">
        <v>2</v>
      </c>
      <c r="W2421">
        <v>1</v>
      </c>
      <c r="X2421">
        <v>1</v>
      </c>
      <c r="Y2421">
        <v>0</v>
      </c>
      <c r="Z2421">
        <v>1</v>
      </c>
      <c r="AA2421">
        <v>0</v>
      </c>
      <c r="AB2421">
        <v>343.66</v>
      </c>
      <c r="AC2421">
        <v>302.39999999999998</v>
      </c>
      <c r="AD2421">
        <v>0</v>
      </c>
      <c r="AE2421">
        <v>41.26</v>
      </c>
      <c r="AF2421">
        <v>0</v>
      </c>
      <c r="AG2421">
        <v>0</v>
      </c>
      <c r="AH2421">
        <v>0</v>
      </c>
      <c r="AI2421">
        <v>61.86</v>
      </c>
      <c r="AJ2421">
        <v>343.66</v>
      </c>
      <c r="AK2421">
        <v>0</v>
      </c>
      <c r="AL2421" t="s">
        <v>53</v>
      </c>
      <c r="AM2421" t="s">
        <v>53</v>
      </c>
      <c r="AN2421" t="s">
        <v>332</v>
      </c>
      <c r="AO2421" t="s">
        <v>53</v>
      </c>
      <c r="AP2421" t="s">
        <v>53</v>
      </c>
    </row>
    <row r="2422" spans="2:42" x14ac:dyDescent="0.2">
      <c r="B2422" t="s">
        <v>44</v>
      </c>
      <c r="C2422" t="str">
        <f>HYPERLINK("https://us2.cloudbeds.com/connect/8493803454333002#/reservations/579294613648?display=DJXAXXNZ&amp;reservation_id=579294613648", "DJXAXXNZ")</f>
        <v>DJXAXXNZ</v>
      </c>
      <c r="D2422" t="s">
        <v>45</v>
      </c>
      <c r="E2422" t="s">
        <v>138</v>
      </c>
      <c r="F2422" t="s">
        <v>70</v>
      </c>
      <c r="G2422" t="s">
        <v>48</v>
      </c>
      <c r="H2422" t="s">
        <v>49</v>
      </c>
      <c r="I2422" t="s">
        <v>62</v>
      </c>
      <c r="J2422" t="s">
        <v>2639</v>
      </c>
      <c r="K2422" t="s">
        <v>1295</v>
      </c>
      <c r="L2422" t="s">
        <v>53</v>
      </c>
      <c r="N2422" t="s">
        <v>3835</v>
      </c>
      <c r="P2422" t="s">
        <v>55</v>
      </c>
      <c r="R2422" t="s">
        <v>56</v>
      </c>
      <c r="T2422" t="s">
        <v>3826</v>
      </c>
      <c r="U2422" t="s">
        <v>58</v>
      </c>
      <c r="V2422">
        <v>1</v>
      </c>
      <c r="W2422">
        <v>1</v>
      </c>
      <c r="X2422">
        <v>1</v>
      </c>
      <c r="Y2422">
        <v>0</v>
      </c>
      <c r="Z2422">
        <v>1</v>
      </c>
      <c r="AA2422">
        <v>0</v>
      </c>
      <c r="AB2422">
        <v>155.69999999999999</v>
      </c>
      <c r="AC2422">
        <v>137</v>
      </c>
      <c r="AD2422">
        <v>0</v>
      </c>
      <c r="AE2422">
        <v>18.7</v>
      </c>
      <c r="AF2422">
        <v>0</v>
      </c>
      <c r="AG2422">
        <v>0</v>
      </c>
      <c r="AH2422">
        <v>0</v>
      </c>
      <c r="AI2422">
        <v>23.36</v>
      </c>
      <c r="AJ2422">
        <v>155.69999999999999</v>
      </c>
      <c r="AK2422">
        <v>0</v>
      </c>
      <c r="AL2422" t="s">
        <v>53</v>
      </c>
      <c r="AM2422" t="s">
        <v>53</v>
      </c>
      <c r="AN2422" t="s">
        <v>84</v>
      </c>
      <c r="AO2422" t="s">
        <v>53</v>
      </c>
      <c r="AP2422" t="s">
        <v>53</v>
      </c>
    </row>
    <row r="2423" spans="2:42" x14ac:dyDescent="0.2">
      <c r="B2423" t="s">
        <v>44</v>
      </c>
      <c r="C2423" t="str">
        <f>HYPERLINK("https://us2.cloudbeds.com/connect/8493803454333002#/reservations/579218374851?display=DJGC93Y4&amp;reservation_id=579218374851", "DJGC93Y4")</f>
        <v>DJGC93Y4</v>
      </c>
      <c r="D2423" t="s">
        <v>45</v>
      </c>
      <c r="E2423" t="s">
        <v>165</v>
      </c>
      <c r="F2423" t="s">
        <v>61</v>
      </c>
      <c r="G2423" t="s">
        <v>48</v>
      </c>
      <c r="H2423" t="s">
        <v>49</v>
      </c>
      <c r="I2423" t="s">
        <v>62</v>
      </c>
      <c r="J2423" t="s">
        <v>1367</v>
      </c>
      <c r="K2423" t="s">
        <v>1985</v>
      </c>
      <c r="L2423" t="s">
        <v>53</v>
      </c>
      <c r="N2423" t="s">
        <v>3836</v>
      </c>
      <c r="P2423" t="s">
        <v>55</v>
      </c>
      <c r="R2423" t="s">
        <v>56</v>
      </c>
      <c r="T2423" t="s">
        <v>3826</v>
      </c>
      <c r="U2423" t="s">
        <v>58</v>
      </c>
      <c r="V2423">
        <v>1</v>
      </c>
      <c r="W2423">
        <v>1</v>
      </c>
      <c r="X2423">
        <v>1</v>
      </c>
      <c r="Y2423">
        <v>0</v>
      </c>
      <c r="Z2423">
        <v>1</v>
      </c>
      <c r="AA2423">
        <v>0</v>
      </c>
      <c r="AB2423">
        <v>187.53</v>
      </c>
      <c r="AC2423">
        <v>165</v>
      </c>
      <c r="AD2423">
        <v>0</v>
      </c>
      <c r="AE2423">
        <v>22.53</v>
      </c>
      <c r="AF2423">
        <v>0</v>
      </c>
      <c r="AG2423">
        <v>0</v>
      </c>
      <c r="AH2423">
        <v>0</v>
      </c>
      <c r="AI2423">
        <v>28.13</v>
      </c>
      <c r="AJ2423">
        <v>187.53</v>
      </c>
      <c r="AK2423">
        <v>0</v>
      </c>
      <c r="AL2423" t="s">
        <v>53</v>
      </c>
      <c r="AM2423" t="s">
        <v>53</v>
      </c>
      <c r="AN2423" t="s">
        <v>3837</v>
      </c>
      <c r="AO2423" t="s">
        <v>53</v>
      </c>
      <c r="AP2423" t="s">
        <v>53</v>
      </c>
    </row>
    <row r="2424" spans="2:42" x14ac:dyDescent="0.2">
      <c r="B2424" t="s">
        <v>44</v>
      </c>
      <c r="C2424" t="str">
        <f>HYPERLINK("https://us2.cloudbeds.com/connect/8493803454333002#/reservations/579383398611?display=DJKJE4K5&amp;reservation_id=579383398611", "DJKJE4K5")</f>
        <v>DJKJE4K5</v>
      </c>
      <c r="D2424" t="s">
        <v>45</v>
      </c>
      <c r="E2424" t="s">
        <v>213</v>
      </c>
      <c r="F2424" t="s">
        <v>86</v>
      </c>
      <c r="G2424" t="s">
        <v>48</v>
      </c>
      <c r="H2424" t="s">
        <v>49</v>
      </c>
      <c r="I2424" t="s">
        <v>50</v>
      </c>
      <c r="J2424" t="s">
        <v>1337</v>
      </c>
      <c r="K2424" t="s">
        <v>2062</v>
      </c>
      <c r="L2424" t="s">
        <v>53</v>
      </c>
      <c r="N2424" t="s">
        <v>3838</v>
      </c>
      <c r="P2424" t="s">
        <v>55</v>
      </c>
      <c r="R2424" t="s">
        <v>56</v>
      </c>
      <c r="T2424" t="s">
        <v>3826</v>
      </c>
      <c r="U2424" t="s">
        <v>58</v>
      </c>
      <c r="V2424">
        <v>1</v>
      </c>
      <c r="W2424">
        <v>1</v>
      </c>
      <c r="X2424">
        <v>1</v>
      </c>
      <c r="Y2424">
        <v>0</v>
      </c>
      <c r="Z2424">
        <v>1</v>
      </c>
      <c r="AA2424">
        <v>0</v>
      </c>
      <c r="AB2424">
        <v>143.19999999999999</v>
      </c>
      <c r="AC2424">
        <v>126</v>
      </c>
      <c r="AD2424">
        <v>0</v>
      </c>
      <c r="AE2424">
        <v>17.2</v>
      </c>
      <c r="AF2424">
        <v>0</v>
      </c>
      <c r="AG2424">
        <v>0</v>
      </c>
      <c r="AH2424">
        <v>0</v>
      </c>
      <c r="AI2424">
        <v>25.78</v>
      </c>
      <c r="AJ2424">
        <v>143.19999999999999</v>
      </c>
      <c r="AK2424">
        <v>0</v>
      </c>
      <c r="AL2424" t="s">
        <v>53</v>
      </c>
      <c r="AM2424" t="s">
        <v>53</v>
      </c>
      <c r="AN2424" t="s">
        <v>316</v>
      </c>
      <c r="AO2424" t="s">
        <v>53</v>
      </c>
      <c r="AP2424" t="s">
        <v>53</v>
      </c>
    </row>
    <row r="2425" spans="2:42" x14ac:dyDescent="0.2">
      <c r="B2425" t="s">
        <v>44</v>
      </c>
      <c r="C2425" t="str">
        <f>HYPERLINK("https://us2.cloudbeds.com/connect/8493803454333002#/reservations/579325628584?display=DJJ3NJU9&amp;reservation_id=579325628584", "DJJ3NJU9")</f>
        <v>DJJ3NJU9</v>
      </c>
      <c r="D2425" t="s">
        <v>45</v>
      </c>
      <c r="E2425" t="s">
        <v>165</v>
      </c>
      <c r="F2425" t="s">
        <v>61</v>
      </c>
      <c r="G2425" t="s">
        <v>48</v>
      </c>
      <c r="H2425" t="s">
        <v>49</v>
      </c>
      <c r="I2425" t="s">
        <v>62</v>
      </c>
      <c r="J2425" t="s">
        <v>1478</v>
      </c>
      <c r="K2425" t="s">
        <v>3104</v>
      </c>
      <c r="L2425" t="s">
        <v>53</v>
      </c>
      <c r="N2425" t="s">
        <v>3839</v>
      </c>
      <c r="P2425" t="s">
        <v>55</v>
      </c>
      <c r="R2425" t="s">
        <v>56</v>
      </c>
      <c r="T2425" t="s">
        <v>3826</v>
      </c>
      <c r="U2425" t="s">
        <v>58</v>
      </c>
      <c r="V2425">
        <v>3</v>
      </c>
      <c r="W2425">
        <v>1</v>
      </c>
      <c r="X2425">
        <v>1</v>
      </c>
      <c r="Y2425">
        <v>0</v>
      </c>
      <c r="Z2425">
        <v>1</v>
      </c>
      <c r="AA2425">
        <v>0</v>
      </c>
      <c r="AB2425">
        <v>521.66999999999996</v>
      </c>
      <c r="AC2425">
        <v>459</v>
      </c>
      <c r="AD2425">
        <v>0</v>
      </c>
      <c r="AE2425">
        <v>62.67</v>
      </c>
      <c r="AF2425">
        <v>0</v>
      </c>
      <c r="AG2425">
        <v>0</v>
      </c>
      <c r="AH2425">
        <v>0</v>
      </c>
      <c r="AI2425">
        <v>78.25</v>
      </c>
      <c r="AJ2425">
        <v>521.66999999999996</v>
      </c>
      <c r="AK2425">
        <v>0</v>
      </c>
      <c r="AL2425" t="s">
        <v>53</v>
      </c>
      <c r="AM2425" t="s">
        <v>53</v>
      </c>
      <c r="AN2425" t="s">
        <v>252</v>
      </c>
      <c r="AO2425" t="s">
        <v>53</v>
      </c>
      <c r="AP2425" t="s">
        <v>53</v>
      </c>
    </row>
    <row r="2426" spans="2:42" x14ac:dyDescent="0.2">
      <c r="B2426" t="s">
        <v>44</v>
      </c>
      <c r="C2426" t="str">
        <f>HYPERLINK("https://us2.cloudbeds.com/connect/8493803454333002#/reservations/579340042402?display=DJJFSMZY&amp;reservation_id=579340042402", "DJJFSMZY")</f>
        <v>DJJFSMZY</v>
      </c>
      <c r="D2426" t="s">
        <v>45</v>
      </c>
      <c r="E2426" t="s">
        <v>110</v>
      </c>
      <c r="F2426" t="s">
        <v>47</v>
      </c>
      <c r="G2426" t="s">
        <v>48</v>
      </c>
      <c r="H2426" t="s">
        <v>71</v>
      </c>
      <c r="I2426" t="s">
        <v>72</v>
      </c>
      <c r="J2426" t="s">
        <v>2790</v>
      </c>
      <c r="K2426" t="s">
        <v>1767</v>
      </c>
      <c r="L2426" t="s">
        <v>53</v>
      </c>
      <c r="N2426" t="s">
        <v>3840</v>
      </c>
      <c r="P2426" t="s">
        <v>55</v>
      </c>
      <c r="R2426" t="s">
        <v>56</v>
      </c>
      <c r="T2426" t="s">
        <v>3826</v>
      </c>
      <c r="U2426" t="s">
        <v>58</v>
      </c>
      <c r="V2426">
        <v>4</v>
      </c>
      <c r="W2426">
        <v>1</v>
      </c>
      <c r="X2426">
        <v>1</v>
      </c>
      <c r="Y2426">
        <v>0</v>
      </c>
      <c r="Z2426">
        <v>1</v>
      </c>
      <c r="AA2426">
        <v>0</v>
      </c>
      <c r="AB2426">
        <v>677.36</v>
      </c>
      <c r="AC2426">
        <v>596</v>
      </c>
      <c r="AD2426">
        <v>0</v>
      </c>
      <c r="AE2426">
        <v>81.36</v>
      </c>
      <c r="AF2426">
        <v>0</v>
      </c>
      <c r="AG2426">
        <v>0</v>
      </c>
      <c r="AH2426">
        <v>0</v>
      </c>
      <c r="AI2426">
        <v>0</v>
      </c>
      <c r="AJ2426">
        <v>677.36</v>
      </c>
      <c r="AK2426">
        <v>0</v>
      </c>
      <c r="AL2426" t="s">
        <v>53</v>
      </c>
      <c r="AM2426" t="s">
        <v>53</v>
      </c>
      <c r="AN2426" t="s">
        <v>3841</v>
      </c>
      <c r="AO2426" t="s">
        <v>53</v>
      </c>
      <c r="AP2426" t="s">
        <v>53</v>
      </c>
    </row>
    <row r="2427" spans="2:42" x14ac:dyDescent="0.2">
      <c r="B2427" t="s">
        <v>44</v>
      </c>
      <c r="C2427" t="str">
        <f>HYPERLINK("https://us2.cloudbeds.com/connect/8493803454333002#/reservations/579257086170?display=DJHBUA7E&amp;reservation_id=579257086170", "DJHBUA7E")</f>
        <v>DJHBUA7E</v>
      </c>
      <c r="D2427" t="s">
        <v>45</v>
      </c>
      <c r="E2427" t="s">
        <v>406</v>
      </c>
      <c r="F2427" t="s">
        <v>61</v>
      </c>
      <c r="G2427" t="s">
        <v>48</v>
      </c>
      <c r="H2427" t="s">
        <v>71</v>
      </c>
      <c r="I2427" t="s">
        <v>72</v>
      </c>
      <c r="J2427" t="s">
        <v>1501</v>
      </c>
      <c r="K2427" t="s">
        <v>2541</v>
      </c>
      <c r="L2427" t="s">
        <v>53</v>
      </c>
      <c r="N2427" t="s">
        <v>3842</v>
      </c>
      <c r="P2427" t="s">
        <v>55</v>
      </c>
      <c r="R2427" t="s">
        <v>56</v>
      </c>
      <c r="T2427" t="s">
        <v>3826</v>
      </c>
      <c r="U2427" t="s">
        <v>58</v>
      </c>
      <c r="V2427">
        <v>3</v>
      </c>
      <c r="W2427">
        <v>1</v>
      </c>
      <c r="X2427">
        <v>1</v>
      </c>
      <c r="Y2427">
        <v>0</v>
      </c>
      <c r="Z2427">
        <v>1</v>
      </c>
      <c r="AA2427">
        <v>0</v>
      </c>
      <c r="AB2427">
        <v>513.67999999999995</v>
      </c>
      <c r="AC2427">
        <v>452</v>
      </c>
      <c r="AD2427">
        <v>0</v>
      </c>
      <c r="AE2427">
        <v>61.68</v>
      </c>
      <c r="AF2427">
        <v>0</v>
      </c>
      <c r="AG2427">
        <v>0</v>
      </c>
      <c r="AH2427">
        <v>0</v>
      </c>
      <c r="AI2427">
        <v>0</v>
      </c>
      <c r="AJ2427">
        <v>513.67999999999995</v>
      </c>
      <c r="AK2427">
        <v>0</v>
      </c>
      <c r="AL2427" t="s">
        <v>53</v>
      </c>
      <c r="AM2427" t="s">
        <v>53</v>
      </c>
      <c r="AN2427" t="s">
        <v>3843</v>
      </c>
      <c r="AO2427" t="s">
        <v>53</v>
      </c>
      <c r="AP2427" t="s">
        <v>53</v>
      </c>
    </row>
    <row r="2428" spans="2:42" x14ac:dyDescent="0.2">
      <c r="B2428" t="s">
        <v>44</v>
      </c>
      <c r="C2428" t="str">
        <f>HYPERLINK("https://us2.cloudbeds.com/connect/8493803454333002#/reservations/579272040611?display=DJHZHEGA&amp;reservation_id=579272040611", "DJHZHEGA")</f>
        <v>DJHZHEGA</v>
      </c>
      <c r="D2428" t="s">
        <v>45</v>
      </c>
      <c r="E2428" t="s">
        <v>78</v>
      </c>
      <c r="F2428" t="s">
        <v>61</v>
      </c>
      <c r="G2428" t="s">
        <v>48</v>
      </c>
      <c r="H2428" t="s">
        <v>49</v>
      </c>
      <c r="I2428" t="s">
        <v>79</v>
      </c>
      <c r="J2428" t="s">
        <v>1501</v>
      </c>
      <c r="K2428" t="s">
        <v>1611</v>
      </c>
      <c r="L2428" t="s">
        <v>53</v>
      </c>
      <c r="N2428" t="s">
        <v>3844</v>
      </c>
      <c r="P2428" t="s">
        <v>55</v>
      </c>
      <c r="R2428" t="s">
        <v>56</v>
      </c>
      <c r="T2428" t="s">
        <v>3826</v>
      </c>
      <c r="U2428" t="s">
        <v>58</v>
      </c>
      <c r="V2428">
        <v>1</v>
      </c>
      <c r="W2428">
        <v>1</v>
      </c>
      <c r="X2428">
        <v>1</v>
      </c>
      <c r="Y2428">
        <v>0</v>
      </c>
      <c r="Z2428">
        <v>1</v>
      </c>
      <c r="AA2428">
        <v>0</v>
      </c>
      <c r="AB2428">
        <v>161.61000000000001</v>
      </c>
      <c r="AC2428">
        <v>142.19999999999999</v>
      </c>
      <c r="AD2428">
        <v>0</v>
      </c>
      <c r="AE2428">
        <v>19.41</v>
      </c>
      <c r="AF2428">
        <v>0</v>
      </c>
      <c r="AG2428">
        <v>0</v>
      </c>
      <c r="AH2428">
        <v>0</v>
      </c>
      <c r="AI2428">
        <v>0</v>
      </c>
      <c r="AJ2428">
        <v>161.61000000000001</v>
      </c>
      <c r="AK2428">
        <v>0</v>
      </c>
      <c r="AL2428" t="s">
        <v>53</v>
      </c>
      <c r="AM2428" t="s">
        <v>53</v>
      </c>
      <c r="AN2428" t="s">
        <v>112</v>
      </c>
      <c r="AO2428" t="s">
        <v>53</v>
      </c>
      <c r="AP2428" t="s">
        <v>53</v>
      </c>
    </row>
    <row r="2429" spans="2:42" x14ac:dyDescent="0.2">
      <c r="B2429" t="s">
        <v>44</v>
      </c>
      <c r="C2429" t="str">
        <f>HYPERLINK("https://us2.cloudbeds.com/connect/8493803454333002#/reservations/579276914888?display=DJHSY2DM&amp;reservation_id=579276914888", "DJHSY2DM")</f>
        <v>DJHSY2DM</v>
      </c>
      <c r="D2429" t="s">
        <v>45</v>
      </c>
      <c r="E2429" t="s">
        <v>190</v>
      </c>
      <c r="F2429" t="s">
        <v>61</v>
      </c>
      <c r="G2429" t="s">
        <v>48</v>
      </c>
      <c r="H2429" t="s">
        <v>49</v>
      </c>
      <c r="I2429" t="s">
        <v>50</v>
      </c>
      <c r="J2429" t="s">
        <v>2062</v>
      </c>
      <c r="K2429" t="s">
        <v>2960</v>
      </c>
      <c r="L2429" t="s">
        <v>53</v>
      </c>
      <c r="N2429" t="s">
        <v>3845</v>
      </c>
      <c r="P2429" t="s">
        <v>55</v>
      </c>
      <c r="R2429" t="s">
        <v>56</v>
      </c>
      <c r="T2429" t="s">
        <v>3826</v>
      </c>
      <c r="U2429" t="s">
        <v>58</v>
      </c>
      <c r="V2429">
        <v>2</v>
      </c>
      <c r="W2429">
        <v>1</v>
      </c>
      <c r="X2429">
        <v>1</v>
      </c>
      <c r="Y2429">
        <v>0</v>
      </c>
      <c r="Z2429">
        <v>1</v>
      </c>
      <c r="AA2429">
        <v>0</v>
      </c>
      <c r="AB2429">
        <v>249.56</v>
      </c>
      <c r="AC2429">
        <v>219.6</v>
      </c>
      <c r="AD2429">
        <v>0</v>
      </c>
      <c r="AE2429">
        <v>29.96</v>
      </c>
      <c r="AF2429">
        <v>0</v>
      </c>
      <c r="AG2429">
        <v>0</v>
      </c>
      <c r="AH2429">
        <v>0</v>
      </c>
      <c r="AI2429">
        <v>44.92</v>
      </c>
      <c r="AJ2429">
        <v>249.56</v>
      </c>
      <c r="AK2429">
        <v>0</v>
      </c>
      <c r="AL2429" t="s">
        <v>53</v>
      </c>
      <c r="AM2429" t="s">
        <v>53</v>
      </c>
      <c r="AN2429" t="s">
        <v>59</v>
      </c>
      <c r="AO2429" t="s">
        <v>53</v>
      </c>
      <c r="AP2429" t="s">
        <v>53</v>
      </c>
    </row>
    <row r="2430" spans="2:42" x14ac:dyDescent="0.2">
      <c r="B2430" t="s">
        <v>44</v>
      </c>
      <c r="C2430" t="str">
        <f>HYPERLINK("https://us2.cloudbeds.com/connect/8493803454333002#/reservations/579367858379?display=DJK6ANE1&amp;reservation_id=579367858379", "DJK6ANE1")</f>
        <v>DJK6ANE1</v>
      </c>
      <c r="D2430" t="s">
        <v>45</v>
      </c>
      <c r="E2430" t="s">
        <v>78</v>
      </c>
      <c r="F2430" t="s">
        <v>61</v>
      </c>
      <c r="G2430" t="s">
        <v>48</v>
      </c>
      <c r="H2430" t="s">
        <v>49</v>
      </c>
      <c r="I2430" t="s">
        <v>50</v>
      </c>
      <c r="J2430" t="s">
        <v>1458</v>
      </c>
      <c r="K2430" t="s">
        <v>2062</v>
      </c>
      <c r="L2430" t="s">
        <v>53</v>
      </c>
      <c r="N2430" t="s">
        <v>3846</v>
      </c>
      <c r="P2430" t="s">
        <v>55</v>
      </c>
      <c r="R2430" t="s">
        <v>56</v>
      </c>
      <c r="T2430" t="s">
        <v>3826</v>
      </c>
      <c r="U2430" t="s">
        <v>58</v>
      </c>
      <c r="V2430">
        <v>3</v>
      </c>
      <c r="W2430">
        <v>1</v>
      </c>
      <c r="X2430">
        <v>1</v>
      </c>
      <c r="Y2430">
        <v>0</v>
      </c>
      <c r="Z2430">
        <v>1</v>
      </c>
      <c r="AA2430">
        <v>0</v>
      </c>
      <c r="AB2430">
        <v>386.64</v>
      </c>
      <c r="AC2430">
        <v>340.2</v>
      </c>
      <c r="AD2430">
        <v>0</v>
      </c>
      <c r="AE2430">
        <v>46.44</v>
      </c>
      <c r="AF2430">
        <v>0</v>
      </c>
      <c r="AG2430">
        <v>0</v>
      </c>
      <c r="AH2430">
        <v>0</v>
      </c>
      <c r="AI2430">
        <v>69.599999999999994</v>
      </c>
      <c r="AJ2430">
        <v>386.64</v>
      </c>
      <c r="AK2430">
        <v>0</v>
      </c>
      <c r="AL2430" t="s">
        <v>53</v>
      </c>
      <c r="AM2430" t="s">
        <v>53</v>
      </c>
      <c r="AN2430" t="s">
        <v>198</v>
      </c>
      <c r="AO2430" t="s">
        <v>53</v>
      </c>
      <c r="AP2430" t="s">
        <v>53</v>
      </c>
    </row>
    <row r="2431" spans="2:42" x14ac:dyDescent="0.2">
      <c r="B2431" t="s">
        <v>44</v>
      </c>
      <c r="C2431" t="str">
        <f>HYPERLINK("https://us2.cloudbeds.com/connect/8493803454333002#/reservations/579395309775?display=DJKTFJAH&amp;reservation_id=579395309775", "DJKTFJAH")</f>
        <v>DJKTFJAH</v>
      </c>
      <c r="D2431" t="s">
        <v>45</v>
      </c>
      <c r="E2431" t="s">
        <v>105</v>
      </c>
      <c r="F2431" t="s">
        <v>47</v>
      </c>
      <c r="G2431" t="s">
        <v>48</v>
      </c>
      <c r="H2431" t="s">
        <v>71</v>
      </c>
      <c r="I2431" t="s">
        <v>72</v>
      </c>
      <c r="J2431" t="s">
        <v>1380</v>
      </c>
      <c r="K2431" t="s">
        <v>1381</v>
      </c>
      <c r="L2431" t="s">
        <v>53</v>
      </c>
      <c r="N2431" t="s">
        <v>3847</v>
      </c>
      <c r="P2431" t="s">
        <v>58</v>
      </c>
      <c r="R2431" t="s">
        <v>56</v>
      </c>
      <c r="T2431" t="s">
        <v>3848</v>
      </c>
      <c r="U2431" t="s">
        <v>58</v>
      </c>
      <c r="V2431">
        <v>2</v>
      </c>
      <c r="W2431">
        <v>1</v>
      </c>
      <c r="X2431">
        <v>1</v>
      </c>
      <c r="Y2431">
        <v>0</v>
      </c>
      <c r="Z2431">
        <v>1</v>
      </c>
      <c r="AA2431">
        <v>0</v>
      </c>
      <c r="AB2431">
        <v>252.32</v>
      </c>
      <c r="AC2431">
        <v>222</v>
      </c>
      <c r="AD2431">
        <v>0</v>
      </c>
      <c r="AE2431">
        <v>30.32</v>
      </c>
      <c r="AF2431">
        <v>0</v>
      </c>
      <c r="AG2431">
        <v>0</v>
      </c>
      <c r="AH2431">
        <v>0</v>
      </c>
      <c r="AI2431">
        <v>0</v>
      </c>
      <c r="AJ2431">
        <v>252.32</v>
      </c>
      <c r="AK2431">
        <v>0</v>
      </c>
      <c r="AL2431" t="s">
        <v>53</v>
      </c>
      <c r="AM2431" t="s">
        <v>53</v>
      </c>
      <c r="AN2431" t="s">
        <v>3849</v>
      </c>
      <c r="AO2431" t="s">
        <v>53</v>
      </c>
      <c r="AP2431" t="s">
        <v>53</v>
      </c>
    </row>
    <row r="2432" spans="2:42" x14ac:dyDescent="0.2">
      <c r="B2432" t="s">
        <v>44</v>
      </c>
      <c r="C2432" t="str">
        <f>HYPERLINK("https://us2.cloudbeds.com/connect/8493803454333002#/reservations/579288985741?display=DJX5QVP3&amp;reservation_id=579288985741", "DJX5QVP3")</f>
        <v>DJX5QVP3</v>
      </c>
      <c r="D2432" t="s">
        <v>45</v>
      </c>
      <c r="E2432" t="s">
        <v>213</v>
      </c>
      <c r="F2432" t="s">
        <v>86</v>
      </c>
      <c r="G2432" t="s">
        <v>48</v>
      </c>
      <c r="H2432" t="s">
        <v>49</v>
      </c>
      <c r="I2432" t="s">
        <v>114</v>
      </c>
      <c r="J2432" t="s">
        <v>2022</v>
      </c>
      <c r="K2432" t="s">
        <v>1295</v>
      </c>
      <c r="L2432" t="s">
        <v>53</v>
      </c>
      <c r="N2432" t="s">
        <v>3850</v>
      </c>
      <c r="P2432" t="s">
        <v>55</v>
      </c>
      <c r="R2432" t="s">
        <v>56</v>
      </c>
      <c r="T2432" t="s">
        <v>3848</v>
      </c>
      <c r="U2432" t="s">
        <v>58</v>
      </c>
      <c r="V2432">
        <v>3</v>
      </c>
      <c r="W2432">
        <v>1</v>
      </c>
      <c r="X2432">
        <v>1</v>
      </c>
      <c r="Y2432">
        <v>0</v>
      </c>
      <c r="Z2432">
        <v>1</v>
      </c>
      <c r="AA2432">
        <v>0</v>
      </c>
      <c r="AB2432">
        <v>559.16999999999996</v>
      </c>
      <c r="AC2432">
        <v>492</v>
      </c>
      <c r="AD2432">
        <v>0</v>
      </c>
      <c r="AE2432">
        <v>67.17</v>
      </c>
      <c r="AF2432">
        <v>0</v>
      </c>
      <c r="AG2432">
        <v>0</v>
      </c>
      <c r="AH2432">
        <v>0</v>
      </c>
      <c r="AI2432">
        <v>0</v>
      </c>
      <c r="AJ2432">
        <v>559.16999999999996</v>
      </c>
      <c r="AK2432">
        <v>0</v>
      </c>
      <c r="AL2432" t="s">
        <v>53</v>
      </c>
      <c r="AM2432" t="s">
        <v>53</v>
      </c>
      <c r="AN2432" t="s">
        <v>3851</v>
      </c>
      <c r="AO2432" t="s">
        <v>53</v>
      </c>
      <c r="AP2432" t="s">
        <v>53</v>
      </c>
    </row>
    <row r="2433" spans="2:42" x14ac:dyDescent="0.2">
      <c r="B2433" t="s">
        <v>44</v>
      </c>
      <c r="C2433" t="str">
        <f>HYPERLINK("https://us2.cloudbeds.com/connect/8493803454333002#/reservations/598537085066?display=E1F0AN36&amp;reservation_id=598537085066", "E1F0AN36")</f>
        <v>E1F0AN36</v>
      </c>
      <c r="D2433" t="s">
        <v>45</v>
      </c>
      <c r="E2433" t="s">
        <v>138</v>
      </c>
      <c r="F2433" t="s">
        <v>70</v>
      </c>
      <c r="G2433" t="s">
        <v>48</v>
      </c>
      <c r="H2433" t="s">
        <v>49</v>
      </c>
      <c r="I2433" t="s">
        <v>50</v>
      </c>
      <c r="J2433" t="s">
        <v>100</v>
      </c>
      <c r="K2433" t="s">
        <v>504</v>
      </c>
      <c r="L2433" t="s">
        <v>53</v>
      </c>
      <c r="N2433" t="s">
        <v>3852</v>
      </c>
      <c r="P2433" t="s">
        <v>55</v>
      </c>
      <c r="R2433" t="s">
        <v>56</v>
      </c>
      <c r="T2433" t="s">
        <v>3848</v>
      </c>
      <c r="U2433" t="s">
        <v>58</v>
      </c>
      <c r="V2433">
        <v>1</v>
      </c>
      <c r="W2433">
        <v>1</v>
      </c>
      <c r="X2433">
        <v>1</v>
      </c>
      <c r="Y2433">
        <v>0</v>
      </c>
      <c r="Z2433">
        <v>1</v>
      </c>
      <c r="AA2433">
        <v>0</v>
      </c>
      <c r="AB2433">
        <v>143.19999999999999</v>
      </c>
      <c r="AC2433">
        <v>126</v>
      </c>
      <c r="AD2433">
        <v>0</v>
      </c>
      <c r="AE2433">
        <v>17.2</v>
      </c>
      <c r="AF2433">
        <v>0</v>
      </c>
      <c r="AG2433">
        <v>0</v>
      </c>
      <c r="AH2433">
        <v>0</v>
      </c>
      <c r="AI2433">
        <v>25.78</v>
      </c>
      <c r="AJ2433">
        <v>143.19999999999999</v>
      </c>
      <c r="AK2433">
        <v>0</v>
      </c>
      <c r="AL2433" t="s">
        <v>53</v>
      </c>
      <c r="AM2433" t="s">
        <v>53</v>
      </c>
      <c r="AN2433" t="s">
        <v>59</v>
      </c>
      <c r="AO2433" t="s">
        <v>53</v>
      </c>
      <c r="AP2433" t="s">
        <v>53</v>
      </c>
    </row>
    <row r="2434" spans="2:42" x14ac:dyDescent="0.2">
      <c r="B2434" t="s">
        <v>44</v>
      </c>
      <c r="C2434" t="str">
        <f>HYPERLINK("https://us2.cloudbeds.com/connect/8493803454333002#/reservations/579396567268?display=DJKUHJ1C&amp;reservation_id=579396567268", "DJKUHJ1C")</f>
        <v>DJKUHJ1C</v>
      </c>
      <c r="D2434" t="s">
        <v>45</v>
      </c>
      <c r="E2434" t="s">
        <v>69</v>
      </c>
      <c r="F2434" t="s">
        <v>70</v>
      </c>
      <c r="G2434" t="s">
        <v>48</v>
      </c>
      <c r="H2434" t="s">
        <v>49</v>
      </c>
      <c r="I2434" t="s">
        <v>62</v>
      </c>
      <c r="J2434" t="s">
        <v>3104</v>
      </c>
      <c r="K2434" t="s">
        <v>1610</v>
      </c>
      <c r="L2434" t="s">
        <v>53</v>
      </c>
      <c r="N2434" t="s">
        <v>3853</v>
      </c>
      <c r="P2434" t="s">
        <v>55</v>
      </c>
      <c r="R2434" t="s">
        <v>1445</v>
      </c>
      <c r="T2434" t="s">
        <v>3848</v>
      </c>
      <c r="U2434" t="s">
        <v>58</v>
      </c>
      <c r="V2434">
        <v>1</v>
      </c>
      <c r="W2434">
        <v>1</v>
      </c>
      <c r="X2434">
        <v>1</v>
      </c>
      <c r="Y2434">
        <v>0</v>
      </c>
      <c r="Z2434">
        <v>1</v>
      </c>
      <c r="AA2434">
        <v>0</v>
      </c>
      <c r="AB2434">
        <v>151.16</v>
      </c>
      <c r="AC2434">
        <v>133</v>
      </c>
      <c r="AD2434">
        <v>0</v>
      </c>
      <c r="AE2434">
        <v>18.16</v>
      </c>
      <c r="AF2434">
        <v>0</v>
      </c>
      <c r="AG2434">
        <v>0</v>
      </c>
      <c r="AH2434">
        <v>0</v>
      </c>
      <c r="AI2434">
        <v>22.67</v>
      </c>
      <c r="AJ2434">
        <v>151.16</v>
      </c>
      <c r="AK2434">
        <v>0</v>
      </c>
      <c r="AL2434" t="s">
        <v>53</v>
      </c>
      <c r="AM2434" t="s">
        <v>53</v>
      </c>
      <c r="AN2434" t="s">
        <v>198</v>
      </c>
      <c r="AO2434" t="s">
        <v>53</v>
      </c>
      <c r="AP2434" t="s">
        <v>53</v>
      </c>
    </row>
    <row r="2435" spans="2:42" x14ac:dyDescent="0.2">
      <c r="B2435" t="s">
        <v>44</v>
      </c>
      <c r="C2435" t="str">
        <f>HYPERLINK("https://us2.cloudbeds.com/connect/8493803454333002#/reservations/579378008249?display=DJKET4ZN&amp;reservation_id=579378008249", "DJKET4ZN")</f>
        <v>DJKET4ZN</v>
      </c>
      <c r="D2435" t="s">
        <v>45</v>
      </c>
      <c r="E2435" t="s">
        <v>155</v>
      </c>
      <c r="F2435" t="s">
        <v>86</v>
      </c>
      <c r="G2435" t="s">
        <v>48</v>
      </c>
      <c r="H2435" t="s">
        <v>49</v>
      </c>
      <c r="I2435" t="s">
        <v>79</v>
      </c>
      <c r="J2435" t="s">
        <v>1898</v>
      </c>
      <c r="K2435" t="s">
        <v>1336</v>
      </c>
      <c r="L2435" t="s">
        <v>53</v>
      </c>
      <c r="N2435" t="s">
        <v>3854</v>
      </c>
      <c r="P2435" t="s">
        <v>55</v>
      </c>
      <c r="R2435" t="s">
        <v>56</v>
      </c>
      <c r="T2435" t="s">
        <v>3848</v>
      </c>
      <c r="U2435" t="s">
        <v>58</v>
      </c>
      <c r="V2435">
        <v>2</v>
      </c>
      <c r="W2435">
        <v>1</v>
      </c>
      <c r="X2435">
        <v>1</v>
      </c>
      <c r="Y2435">
        <v>0</v>
      </c>
      <c r="Z2435">
        <v>1</v>
      </c>
      <c r="AA2435">
        <v>0</v>
      </c>
      <c r="AB2435">
        <v>257.76</v>
      </c>
      <c r="AC2435">
        <v>226.8</v>
      </c>
      <c r="AD2435">
        <v>0</v>
      </c>
      <c r="AE2435">
        <v>30.96</v>
      </c>
      <c r="AF2435">
        <v>0</v>
      </c>
      <c r="AG2435">
        <v>0</v>
      </c>
      <c r="AH2435">
        <v>0</v>
      </c>
      <c r="AI2435">
        <v>0</v>
      </c>
      <c r="AJ2435">
        <v>257.76</v>
      </c>
      <c r="AK2435">
        <v>0</v>
      </c>
      <c r="AL2435" t="s">
        <v>53</v>
      </c>
      <c r="AM2435" t="s">
        <v>53</v>
      </c>
      <c r="AN2435" t="s">
        <v>545</v>
      </c>
      <c r="AO2435" t="s">
        <v>53</v>
      </c>
      <c r="AP2435" t="s">
        <v>53</v>
      </c>
    </row>
    <row r="2436" spans="2:42" x14ac:dyDescent="0.2">
      <c r="B2436" t="s">
        <v>44</v>
      </c>
      <c r="C2436" t="str">
        <f>HYPERLINK("https://us2.cloudbeds.com/connect/8493803454333002#/reservations/579262230740?display=DJHG8FBF&amp;reservation_id=579262230740", "DJHG8FBF")</f>
        <v>DJHG8FBF</v>
      </c>
      <c r="D2436" t="s">
        <v>45</v>
      </c>
      <c r="E2436" t="s">
        <v>128</v>
      </c>
      <c r="F2436" t="s">
        <v>86</v>
      </c>
      <c r="G2436" t="s">
        <v>48</v>
      </c>
      <c r="H2436" t="s">
        <v>49</v>
      </c>
      <c r="I2436" t="s">
        <v>62</v>
      </c>
      <c r="J2436" t="s">
        <v>1767</v>
      </c>
      <c r="K2436" t="s">
        <v>1477</v>
      </c>
      <c r="L2436" t="s">
        <v>53</v>
      </c>
      <c r="N2436" t="s">
        <v>3855</v>
      </c>
      <c r="P2436" t="s">
        <v>55</v>
      </c>
      <c r="R2436" t="s">
        <v>56</v>
      </c>
      <c r="T2436" t="s">
        <v>3848</v>
      </c>
      <c r="U2436" t="s">
        <v>58</v>
      </c>
      <c r="V2436">
        <v>1</v>
      </c>
      <c r="W2436">
        <v>1</v>
      </c>
      <c r="X2436">
        <v>1</v>
      </c>
      <c r="Y2436">
        <v>0</v>
      </c>
      <c r="Z2436">
        <v>1</v>
      </c>
      <c r="AA2436">
        <v>0</v>
      </c>
      <c r="AB2436">
        <v>190.93</v>
      </c>
      <c r="AC2436">
        <v>168</v>
      </c>
      <c r="AD2436">
        <v>0</v>
      </c>
      <c r="AE2436">
        <v>22.93</v>
      </c>
      <c r="AF2436">
        <v>0</v>
      </c>
      <c r="AG2436">
        <v>0</v>
      </c>
      <c r="AH2436">
        <v>0</v>
      </c>
      <c r="AI2436">
        <v>28.64</v>
      </c>
      <c r="AJ2436">
        <v>190.93</v>
      </c>
      <c r="AK2436">
        <v>0</v>
      </c>
      <c r="AL2436" t="s">
        <v>53</v>
      </c>
      <c r="AM2436" t="s">
        <v>53</v>
      </c>
      <c r="AN2436" t="s">
        <v>3856</v>
      </c>
      <c r="AO2436" t="s">
        <v>53</v>
      </c>
      <c r="AP2436" t="s">
        <v>53</v>
      </c>
    </row>
    <row r="2437" spans="2:42" x14ac:dyDescent="0.2">
      <c r="B2437" t="s">
        <v>44</v>
      </c>
      <c r="C2437" t="str">
        <f>HYPERLINK("https://us2.cloudbeds.com/connect/8493803454333002#/reservations/598560858302?display=E1FKC7D4&amp;reservation_id=598560858302", "E1FKC7D4")</f>
        <v>E1FKC7D4</v>
      </c>
      <c r="D2437" t="s">
        <v>45</v>
      </c>
      <c r="E2437" t="s">
        <v>46</v>
      </c>
      <c r="F2437" t="s">
        <v>47</v>
      </c>
      <c r="G2437" t="s">
        <v>48</v>
      </c>
      <c r="H2437" t="s">
        <v>49</v>
      </c>
      <c r="I2437" t="s">
        <v>266</v>
      </c>
      <c r="J2437" t="s">
        <v>323</v>
      </c>
      <c r="K2437" t="s">
        <v>100</v>
      </c>
      <c r="L2437" t="s">
        <v>53</v>
      </c>
      <c r="N2437" t="s">
        <v>3857</v>
      </c>
      <c r="P2437" t="s">
        <v>55</v>
      </c>
      <c r="R2437" t="s">
        <v>56</v>
      </c>
      <c r="T2437" t="s">
        <v>3848</v>
      </c>
      <c r="U2437" t="s">
        <v>58</v>
      </c>
      <c r="V2437">
        <v>1</v>
      </c>
      <c r="W2437">
        <v>1</v>
      </c>
      <c r="X2437">
        <v>1</v>
      </c>
      <c r="Y2437">
        <v>0</v>
      </c>
      <c r="Z2437">
        <v>1</v>
      </c>
      <c r="AA2437">
        <v>0</v>
      </c>
      <c r="AB2437">
        <v>143.19999999999999</v>
      </c>
      <c r="AC2437">
        <v>126</v>
      </c>
      <c r="AD2437">
        <v>0</v>
      </c>
      <c r="AE2437">
        <v>17.2</v>
      </c>
      <c r="AF2437">
        <v>0</v>
      </c>
      <c r="AG2437">
        <v>0</v>
      </c>
      <c r="AH2437">
        <v>0</v>
      </c>
      <c r="AI2437">
        <v>0</v>
      </c>
      <c r="AJ2437">
        <v>143.19999999999999</v>
      </c>
      <c r="AK2437">
        <v>0</v>
      </c>
      <c r="AL2437" t="s">
        <v>53</v>
      </c>
      <c r="AM2437" t="s">
        <v>53</v>
      </c>
      <c r="AN2437" t="s">
        <v>413</v>
      </c>
      <c r="AO2437" t="s">
        <v>53</v>
      </c>
      <c r="AP2437" t="s">
        <v>53</v>
      </c>
    </row>
    <row r="2438" spans="2:42" x14ac:dyDescent="0.2">
      <c r="B2438" t="s">
        <v>44</v>
      </c>
      <c r="C2438" t="str">
        <f>HYPERLINK("https://us2.cloudbeds.com/connect/8493803454333002#/reservations/598572494995?display=E1FU613C&amp;reservation_id=598572494995", "E1FU613C")</f>
        <v>E1FU613C</v>
      </c>
      <c r="D2438" t="s">
        <v>45</v>
      </c>
      <c r="E2438" t="s">
        <v>128</v>
      </c>
      <c r="F2438" t="s">
        <v>86</v>
      </c>
      <c r="G2438" t="s">
        <v>48</v>
      </c>
      <c r="H2438" t="s">
        <v>49</v>
      </c>
      <c r="I2438" t="s">
        <v>50</v>
      </c>
      <c r="J2438" t="s">
        <v>323</v>
      </c>
      <c r="K2438" t="s">
        <v>100</v>
      </c>
      <c r="L2438" t="s">
        <v>53</v>
      </c>
      <c r="N2438" t="s">
        <v>3858</v>
      </c>
      <c r="P2438" t="s">
        <v>55</v>
      </c>
      <c r="R2438" t="s">
        <v>56</v>
      </c>
      <c r="T2438" t="s">
        <v>3848</v>
      </c>
      <c r="U2438" t="s">
        <v>58</v>
      </c>
      <c r="V2438">
        <v>1</v>
      </c>
      <c r="W2438">
        <v>1</v>
      </c>
      <c r="X2438">
        <v>1</v>
      </c>
      <c r="Y2438">
        <v>0</v>
      </c>
      <c r="Z2438">
        <v>1</v>
      </c>
      <c r="AA2438">
        <v>0</v>
      </c>
      <c r="AB2438">
        <v>165.7</v>
      </c>
      <c r="AC2438">
        <v>145.80000000000001</v>
      </c>
      <c r="AD2438">
        <v>0</v>
      </c>
      <c r="AE2438">
        <v>19.899999999999999</v>
      </c>
      <c r="AF2438">
        <v>0</v>
      </c>
      <c r="AG2438">
        <v>0</v>
      </c>
      <c r="AH2438">
        <v>0</v>
      </c>
      <c r="AI2438">
        <v>29.83</v>
      </c>
      <c r="AJ2438">
        <v>165.7</v>
      </c>
      <c r="AK2438">
        <v>0</v>
      </c>
      <c r="AL2438" t="s">
        <v>53</v>
      </c>
      <c r="AM2438" t="s">
        <v>53</v>
      </c>
      <c r="AN2438" t="s">
        <v>159</v>
      </c>
      <c r="AO2438" t="s">
        <v>53</v>
      </c>
      <c r="AP2438" t="s">
        <v>53</v>
      </c>
    </row>
    <row r="2439" spans="2:42" x14ac:dyDescent="0.2">
      <c r="B2439" t="s">
        <v>44</v>
      </c>
      <c r="C2439" t="str">
        <f>HYPERLINK("https://us2.cloudbeds.com/connect/8493803454333002#/reservations/598418747540?display=E1BWHPSJ&amp;reservation_id=598418747540", "E1BWHPSJ")</f>
        <v>E1BWHPSJ</v>
      </c>
      <c r="D2439" t="s">
        <v>45</v>
      </c>
      <c r="E2439" t="s">
        <v>265</v>
      </c>
      <c r="F2439" t="s">
        <v>61</v>
      </c>
      <c r="G2439" t="s">
        <v>48</v>
      </c>
      <c r="H2439" t="s">
        <v>49</v>
      </c>
      <c r="I2439" t="s">
        <v>50</v>
      </c>
      <c r="J2439" t="s">
        <v>100</v>
      </c>
      <c r="K2439" t="s">
        <v>504</v>
      </c>
      <c r="L2439" t="s">
        <v>53</v>
      </c>
      <c r="N2439" t="s">
        <v>3859</v>
      </c>
      <c r="P2439" t="s">
        <v>55</v>
      </c>
      <c r="R2439" t="s">
        <v>56</v>
      </c>
      <c r="T2439" t="s">
        <v>3848</v>
      </c>
      <c r="U2439" t="s">
        <v>58</v>
      </c>
      <c r="V2439">
        <v>1</v>
      </c>
      <c r="W2439">
        <v>1</v>
      </c>
      <c r="X2439">
        <v>1</v>
      </c>
      <c r="Y2439">
        <v>0</v>
      </c>
      <c r="Z2439">
        <v>1</v>
      </c>
      <c r="AA2439">
        <v>0</v>
      </c>
      <c r="AB2439">
        <v>163.66</v>
      </c>
      <c r="AC2439">
        <v>144</v>
      </c>
      <c r="AD2439">
        <v>0</v>
      </c>
      <c r="AE2439">
        <v>19.66</v>
      </c>
      <c r="AF2439">
        <v>0</v>
      </c>
      <c r="AG2439">
        <v>0</v>
      </c>
      <c r="AH2439">
        <v>0</v>
      </c>
      <c r="AI2439">
        <v>29.46</v>
      </c>
      <c r="AJ2439">
        <v>163.66</v>
      </c>
      <c r="AK2439">
        <v>0</v>
      </c>
      <c r="AL2439" t="s">
        <v>53</v>
      </c>
      <c r="AM2439" t="s">
        <v>53</v>
      </c>
      <c r="AN2439" t="s">
        <v>146</v>
      </c>
      <c r="AO2439" t="s">
        <v>53</v>
      </c>
      <c r="AP2439" t="s">
        <v>53</v>
      </c>
    </row>
    <row r="2440" spans="2:42" x14ac:dyDescent="0.2">
      <c r="B2440" t="s">
        <v>44</v>
      </c>
      <c r="C2440" t="str">
        <f>HYPERLINK("https://us2.cloudbeds.com/connect/8493803454333002#/reservations/598269489407?display=E185MF1S&amp;reservation_id=598269489407", "E185MF1S")</f>
        <v>E185MF1S</v>
      </c>
      <c r="D2440" t="s">
        <v>45</v>
      </c>
      <c r="E2440" t="s">
        <v>138</v>
      </c>
      <c r="F2440" t="s">
        <v>70</v>
      </c>
      <c r="G2440" t="s">
        <v>48</v>
      </c>
      <c r="H2440" t="s">
        <v>71</v>
      </c>
      <c r="I2440" t="s">
        <v>72</v>
      </c>
      <c r="J2440" t="s">
        <v>323</v>
      </c>
      <c r="K2440" t="s">
        <v>100</v>
      </c>
      <c r="L2440" t="s">
        <v>53</v>
      </c>
      <c r="N2440" t="s">
        <v>3860</v>
      </c>
      <c r="P2440" t="s">
        <v>58</v>
      </c>
      <c r="R2440" t="s">
        <v>56</v>
      </c>
      <c r="T2440" t="s">
        <v>3848</v>
      </c>
      <c r="U2440" t="s">
        <v>58</v>
      </c>
      <c r="V2440">
        <v>1</v>
      </c>
      <c r="W2440">
        <v>1</v>
      </c>
      <c r="X2440">
        <v>1</v>
      </c>
      <c r="Y2440">
        <v>0</v>
      </c>
      <c r="Z2440">
        <v>1</v>
      </c>
      <c r="AA2440">
        <v>0</v>
      </c>
      <c r="AB2440">
        <v>159.11000000000001</v>
      </c>
      <c r="AC2440">
        <v>140</v>
      </c>
      <c r="AD2440">
        <v>0</v>
      </c>
      <c r="AE2440">
        <v>19.11</v>
      </c>
      <c r="AF2440">
        <v>0</v>
      </c>
      <c r="AG2440">
        <v>0</v>
      </c>
      <c r="AH2440">
        <v>0</v>
      </c>
      <c r="AI2440">
        <v>0</v>
      </c>
      <c r="AJ2440">
        <v>159.11000000000001</v>
      </c>
      <c r="AK2440">
        <v>0</v>
      </c>
      <c r="AL2440" t="s">
        <v>53</v>
      </c>
      <c r="AM2440" t="s">
        <v>53</v>
      </c>
      <c r="AN2440" t="s">
        <v>3861</v>
      </c>
      <c r="AO2440" t="s">
        <v>53</v>
      </c>
      <c r="AP2440" t="s">
        <v>53</v>
      </c>
    </row>
    <row r="2441" spans="2:42" x14ac:dyDescent="0.2">
      <c r="B2441" t="s">
        <v>44</v>
      </c>
      <c r="C2441" t="str">
        <f>HYPERLINK("https://us2.cloudbeds.com/connect/8493803454333002#/reservations/579397554383?display=DJKVC1FV&amp;reservation_id=579397554383", "DJKVC1FV")</f>
        <v>DJKVC1FV</v>
      </c>
      <c r="D2441" t="s">
        <v>45</v>
      </c>
      <c r="E2441" t="s">
        <v>185</v>
      </c>
      <c r="F2441" t="s">
        <v>47</v>
      </c>
      <c r="G2441" t="s">
        <v>48</v>
      </c>
      <c r="H2441" t="s">
        <v>71</v>
      </c>
      <c r="I2441" t="s">
        <v>72</v>
      </c>
      <c r="J2441" t="s">
        <v>1380</v>
      </c>
      <c r="K2441" t="s">
        <v>1381</v>
      </c>
      <c r="L2441" t="s">
        <v>53</v>
      </c>
      <c r="N2441" t="s">
        <v>3862</v>
      </c>
      <c r="P2441" t="s">
        <v>58</v>
      </c>
      <c r="R2441" t="s">
        <v>56</v>
      </c>
      <c r="T2441" t="s">
        <v>3848</v>
      </c>
      <c r="U2441" t="s">
        <v>58</v>
      </c>
      <c r="V2441">
        <v>2</v>
      </c>
      <c r="W2441">
        <v>1</v>
      </c>
      <c r="X2441">
        <v>1</v>
      </c>
      <c r="Y2441">
        <v>0</v>
      </c>
      <c r="Z2441">
        <v>1</v>
      </c>
      <c r="AA2441">
        <v>0</v>
      </c>
      <c r="AB2441">
        <v>252.32</v>
      </c>
      <c r="AC2441">
        <v>222</v>
      </c>
      <c r="AD2441">
        <v>0</v>
      </c>
      <c r="AE2441">
        <v>30.32</v>
      </c>
      <c r="AF2441">
        <v>0</v>
      </c>
      <c r="AG2441">
        <v>0</v>
      </c>
      <c r="AH2441">
        <v>0</v>
      </c>
      <c r="AI2441">
        <v>0</v>
      </c>
      <c r="AJ2441">
        <v>252.32</v>
      </c>
      <c r="AK2441">
        <v>0</v>
      </c>
      <c r="AL2441" t="s">
        <v>53</v>
      </c>
      <c r="AM2441" t="s">
        <v>53</v>
      </c>
      <c r="AN2441" t="s">
        <v>3863</v>
      </c>
      <c r="AO2441" t="s">
        <v>53</v>
      </c>
      <c r="AP2441" t="s">
        <v>53</v>
      </c>
    </row>
    <row r="2442" spans="2:42" x14ac:dyDescent="0.2">
      <c r="B2442" t="s">
        <v>44</v>
      </c>
      <c r="C2442" t="str">
        <f>HYPERLINK("https://us2.cloudbeds.com/connect/8493803454333002#/reservations/579247575186?display=DJH3TYHQ&amp;reservation_id=579247575186", "DJH3TYHQ")</f>
        <v>DJH3TYHQ</v>
      </c>
      <c r="D2442" t="s">
        <v>45</v>
      </c>
      <c r="E2442" t="s">
        <v>78</v>
      </c>
      <c r="F2442" t="s">
        <v>61</v>
      </c>
      <c r="G2442" t="s">
        <v>48</v>
      </c>
      <c r="H2442" t="s">
        <v>49</v>
      </c>
      <c r="I2442" t="s">
        <v>79</v>
      </c>
      <c r="J2442" t="s">
        <v>1477</v>
      </c>
      <c r="K2442" t="s">
        <v>1665</v>
      </c>
      <c r="L2442" t="s">
        <v>53</v>
      </c>
      <c r="N2442" t="s">
        <v>3864</v>
      </c>
      <c r="P2442" t="s">
        <v>55</v>
      </c>
      <c r="R2442" t="s">
        <v>56</v>
      </c>
      <c r="T2442" t="s">
        <v>3848</v>
      </c>
      <c r="U2442" t="s">
        <v>58</v>
      </c>
      <c r="V2442">
        <v>2</v>
      </c>
      <c r="W2442">
        <v>1</v>
      </c>
      <c r="X2442">
        <v>1</v>
      </c>
      <c r="Y2442">
        <v>0</v>
      </c>
      <c r="Z2442">
        <v>1</v>
      </c>
      <c r="AA2442">
        <v>0</v>
      </c>
      <c r="AB2442">
        <v>337.56</v>
      </c>
      <c r="AC2442">
        <v>297</v>
      </c>
      <c r="AD2442">
        <v>0</v>
      </c>
      <c r="AE2442">
        <v>40.56</v>
      </c>
      <c r="AF2442">
        <v>0</v>
      </c>
      <c r="AG2442">
        <v>0</v>
      </c>
      <c r="AH2442">
        <v>0</v>
      </c>
      <c r="AI2442">
        <v>0</v>
      </c>
      <c r="AJ2442">
        <v>337.56</v>
      </c>
      <c r="AK2442">
        <v>0</v>
      </c>
      <c r="AL2442" t="s">
        <v>53</v>
      </c>
      <c r="AM2442" t="s">
        <v>53</v>
      </c>
      <c r="AN2442" t="s">
        <v>146</v>
      </c>
      <c r="AO2442" t="s">
        <v>53</v>
      </c>
      <c r="AP2442" t="s">
        <v>53</v>
      </c>
    </row>
    <row r="2443" spans="2:42" x14ac:dyDescent="0.2">
      <c r="B2443" t="s">
        <v>44</v>
      </c>
      <c r="C2443" t="str">
        <f>HYPERLINK("https://us2.cloudbeds.com/connect/8493803454333002#/reservations/579232448686?display=DJGZ4Z90&amp;reservation_id=579232448686", "DJGZ4Z90")</f>
        <v>DJGZ4Z90</v>
      </c>
      <c r="D2443" t="s">
        <v>45</v>
      </c>
      <c r="E2443" t="s">
        <v>185</v>
      </c>
      <c r="F2443" t="s">
        <v>47</v>
      </c>
      <c r="G2443" t="s">
        <v>48</v>
      </c>
      <c r="H2443" t="s">
        <v>49</v>
      </c>
      <c r="I2443" t="s">
        <v>50</v>
      </c>
      <c r="J2443" t="s">
        <v>3031</v>
      </c>
      <c r="K2443" t="s">
        <v>1900</v>
      </c>
      <c r="L2443" t="s">
        <v>53</v>
      </c>
      <c r="N2443" t="s">
        <v>3865</v>
      </c>
      <c r="P2443" t="s">
        <v>55</v>
      </c>
      <c r="R2443" t="s">
        <v>56</v>
      </c>
      <c r="T2443" t="s">
        <v>3848</v>
      </c>
      <c r="U2443" t="s">
        <v>58</v>
      </c>
      <c r="V2443">
        <v>1</v>
      </c>
      <c r="W2443">
        <v>1</v>
      </c>
      <c r="X2443">
        <v>1</v>
      </c>
      <c r="Y2443">
        <v>0</v>
      </c>
      <c r="Z2443">
        <v>1</v>
      </c>
      <c r="AA2443">
        <v>0</v>
      </c>
      <c r="AB2443">
        <v>156.49</v>
      </c>
      <c r="AC2443">
        <v>137.69999999999999</v>
      </c>
      <c r="AD2443">
        <v>0</v>
      </c>
      <c r="AE2443">
        <v>18.79</v>
      </c>
      <c r="AF2443">
        <v>0</v>
      </c>
      <c r="AG2443">
        <v>0</v>
      </c>
      <c r="AH2443">
        <v>0</v>
      </c>
      <c r="AI2443">
        <v>28.17</v>
      </c>
      <c r="AJ2443">
        <v>156.49</v>
      </c>
      <c r="AK2443">
        <v>0</v>
      </c>
      <c r="AL2443" t="s">
        <v>53</v>
      </c>
      <c r="AM2443" t="s">
        <v>53</v>
      </c>
      <c r="AN2443" t="s">
        <v>59</v>
      </c>
      <c r="AO2443" t="s">
        <v>53</v>
      </c>
      <c r="AP2443" t="s">
        <v>53</v>
      </c>
    </row>
    <row r="2444" spans="2:42" x14ac:dyDescent="0.2">
      <c r="B2444" t="s">
        <v>44</v>
      </c>
      <c r="C2444" t="str">
        <f>HYPERLINK("https://us2.cloudbeds.com/connect/8493803454333002#/reservations/598481961159?display=E1DJRQ8Q&amp;reservation_id=598481961159", "E1DJRQ8Q")</f>
        <v>E1DJRQ8Q</v>
      </c>
      <c r="D2444" t="s">
        <v>45</v>
      </c>
      <c r="E2444" t="s">
        <v>110</v>
      </c>
      <c r="F2444" t="s">
        <v>47</v>
      </c>
      <c r="G2444" t="s">
        <v>48</v>
      </c>
      <c r="H2444" t="s">
        <v>49</v>
      </c>
      <c r="I2444" t="s">
        <v>50</v>
      </c>
      <c r="J2444" t="s">
        <v>100</v>
      </c>
      <c r="K2444" t="s">
        <v>504</v>
      </c>
      <c r="L2444" t="s">
        <v>53</v>
      </c>
      <c r="N2444" t="s">
        <v>3866</v>
      </c>
      <c r="P2444" t="s">
        <v>55</v>
      </c>
      <c r="R2444" t="s">
        <v>56</v>
      </c>
      <c r="T2444" t="s">
        <v>3848</v>
      </c>
      <c r="U2444" t="s">
        <v>58</v>
      </c>
      <c r="V2444">
        <v>1</v>
      </c>
      <c r="W2444">
        <v>1</v>
      </c>
      <c r="X2444">
        <v>1</v>
      </c>
      <c r="Y2444">
        <v>0</v>
      </c>
      <c r="Z2444">
        <v>1</v>
      </c>
      <c r="AA2444">
        <v>0</v>
      </c>
      <c r="AB2444">
        <v>143.19999999999999</v>
      </c>
      <c r="AC2444">
        <v>126</v>
      </c>
      <c r="AD2444">
        <v>0</v>
      </c>
      <c r="AE2444">
        <v>17.2</v>
      </c>
      <c r="AF2444">
        <v>0</v>
      </c>
      <c r="AG2444">
        <v>0</v>
      </c>
      <c r="AH2444">
        <v>0</v>
      </c>
      <c r="AI2444">
        <v>25.78</v>
      </c>
      <c r="AJ2444">
        <v>143.19999999999999</v>
      </c>
      <c r="AK2444">
        <v>0</v>
      </c>
      <c r="AL2444" t="s">
        <v>53</v>
      </c>
      <c r="AM2444" t="s">
        <v>53</v>
      </c>
      <c r="AN2444" t="s">
        <v>225</v>
      </c>
      <c r="AO2444" t="s">
        <v>53</v>
      </c>
      <c r="AP2444" t="s">
        <v>53</v>
      </c>
    </row>
    <row r="2445" spans="2:42" x14ac:dyDescent="0.2">
      <c r="B2445" t="s">
        <v>44</v>
      </c>
      <c r="C2445" t="str">
        <f>HYPERLINK("https://us2.cloudbeds.com/connect/8493803454333002#/reservations/579232448642?display=DJGZ4Z7Y&amp;reservation_id=579232448642", "DJGZ4Z7Y")</f>
        <v>DJGZ4Z7Y</v>
      </c>
      <c r="D2445" t="s">
        <v>45</v>
      </c>
      <c r="E2445" t="s">
        <v>265</v>
      </c>
      <c r="F2445" t="s">
        <v>61</v>
      </c>
      <c r="G2445" t="s">
        <v>48</v>
      </c>
      <c r="H2445" t="s">
        <v>49</v>
      </c>
      <c r="I2445" t="s">
        <v>50</v>
      </c>
      <c r="J2445" t="s">
        <v>3031</v>
      </c>
      <c r="K2445" t="s">
        <v>1900</v>
      </c>
      <c r="L2445" t="s">
        <v>53</v>
      </c>
      <c r="N2445" t="s">
        <v>3867</v>
      </c>
      <c r="P2445" t="s">
        <v>55</v>
      </c>
      <c r="R2445" t="s">
        <v>56</v>
      </c>
      <c r="T2445" t="s">
        <v>3848</v>
      </c>
      <c r="U2445" t="s">
        <v>58</v>
      </c>
      <c r="V2445">
        <v>1</v>
      </c>
      <c r="W2445">
        <v>1</v>
      </c>
      <c r="X2445">
        <v>1</v>
      </c>
      <c r="Y2445">
        <v>0</v>
      </c>
      <c r="Z2445">
        <v>1</v>
      </c>
      <c r="AA2445">
        <v>0</v>
      </c>
      <c r="AB2445">
        <v>163.66</v>
      </c>
      <c r="AC2445">
        <v>144</v>
      </c>
      <c r="AD2445">
        <v>0</v>
      </c>
      <c r="AE2445">
        <v>19.66</v>
      </c>
      <c r="AF2445">
        <v>0</v>
      </c>
      <c r="AG2445">
        <v>0</v>
      </c>
      <c r="AH2445">
        <v>0</v>
      </c>
      <c r="AI2445">
        <v>29.46</v>
      </c>
      <c r="AJ2445">
        <v>163.66</v>
      </c>
      <c r="AK2445">
        <v>0</v>
      </c>
      <c r="AL2445" t="s">
        <v>53</v>
      </c>
      <c r="AM2445" t="s">
        <v>53</v>
      </c>
      <c r="AN2445" t="s">
        <v>280</v>
      </c>
      <c r="AO2445" t="s">
        <v>53</v>
      </c>
      <c r="AP2445" t="s">
        <v>53</v>
      </c>
    </row>
    <row r="2446" spans="2:42" x14ac:dyDescent="0.2">
      <c r="B2446" t="s">
        <v>44</v>
      </c>
      <c r="C2446" t="str">
        <f>HYPERLINK("https://us2.cloudbeds.com/connect/8493803454333002#/reservations/598485340317?display=E1DMMR8H&amp;reservation_id=598485340317", "E1DMMR8H")</f>
        <v>E1DMMR8H</v>
      </c>
      <c r="D2446" t="s">
        <v>45</v>
      </c>
      <c r="E2446" t="s">
        <v>265</v>
      </c>
      <c r="F2446" t="s">
        <v>61</v>
      </c>
      <c r="G2446" t="s">
        <v>48</v>
      </c>
      <c r="H2446" t="s">
        <v>49</v>
      </c>
      <c r="I2446" t="s">
        <v>50</v>
      </c>
      <c r="J2446" t="s">
        <v>323</v>
      </c>
      <c r="K2446" t="s">
        <v>100</v>
      </c>
      <c r="L2446" t="s">
        <v>53</v>
      </c>
      <c r="N2446" t="s">
        <v>3868</v>
      </c>
      <c r="P2446" t="s">
        <v>55</v>
      </c>
      <c r="R2446" t="s">
        <v>56</v>
      </c>
      <c r="T2446" t="s">
        <v>3848</v>
      </c>
      <c r="U2446" t="s">
        <v>58</v>
      </c>
      <c r="V2446">
        <v>1</v>
      </c>
      <c r="W2446">
        <v>1</v>
      </c>
      <c r="X2446">
        <v>1</v>
      </c>
      <c r="Y2446">
        <v>0</v>
      </c>
      <c r="Z2446">
        <v>1</v>
      </c>
      <c r="AA2446">
        <v>0</v>
      </c>
      <c r="AB2446">
        <v>158.54</v>
      </c>
      <c r="AC2446">
        <v>139.5</v>
      </c>
      <c r="AD2446">
        <v>0</v>
      </c>
      <c r="AE2446">
        <v>19.04</v>
      </c>
      <c r="AF2446">
        <v>0</v>
      </c>
      <c r="AG2446">
        <v>0</v>
      </c>
      <c r="AH2446">
        <v>0</v>
      </c>
      <c r="AI2446">
        <v>28.54</v>
      </c>
      <c r="AJ2446">
        <v>158.54</v>
      </c>
      <c r="AK2446">
        <v>0</v>
      </c>
      <c r="AL2446" t="s">
        <v>53</v>
      </c>
      <c r="AM2446" t="s">
        <v>53</v>
      </c>
      <c r="AN2446" t="s">
        <v>3869</v>
      </c>
      <c r="AO2446" t="s">
        <v>53</v>
      </c>
      <c r="AP2446" t="s">
        <v>53</v>
      </c>
    </row>
    <row r="2447" spans="2:42" x14ac:dyDescent="0.2">
      <c r="B2447" t="s">
        <v>44</v>
      </c>
      <c r="C2447" t="str">
        <f>HYPERLINK("https://us2.cloudbeds.com/connect/8493803454333002#/reservations/598532059332?display=E1ET2S38&amp;reservation_id=598532059332", "E1ET2S38")</f>
        <v>E1ET2S38</v>
      </c>
      <c r="D2447" t="s">
        <v>45</v>
      </c>
      <c r="E2447" t="s">
        <v>179</v>
      </c>
      <c r="F2447" t="s">
        <v>47</v>
      </c>
      <c r="G2447" t="s">
        <v>48</v>
      </c>
      <c r="H2447" t="s">
        <v>49</v>
      </c>
      <c r="I2447" t="s">
        <v>62</v>
      </c>
      <c r="J2447" t="s">
        <v>323</v>
      </c>
      <c r="K2447" t="s">
        <v>100</v>
      </c>
      <c r="L2447" t="s">
        <v>53</v>
      </c>
      <c r="N2447" t="s">
        <v>3870</v>
      </c>
      <c r="P2447" t="s">
        <v>55</v>
      </c>
      <c r="R2447" t="s">
        <v>56</v>
      </c>
      <c r="T2447" t="s">
        <v>3848</v>
      </c>
      <c r="U2447" t="s">
        <v>58</v>
      </c>
      <c r="V2447">
        <v>1</v>
      </c>
      <c r="W2447">
        <v>1</v>
      </c>
      <c r="X2447">
        <v>1</v>
      </c>
      <c r="Y2447">
        <v>0</v>
      </c>
      <c r="Z2447">
        <v>1</v>
      </c>
      <c r="AA2447">
        <v>0</v>
      </c>
      <c r="AB2447">
        <v>159.11000000000001</v>
      </c>
      <c r="AC2447">
        <v>140</v>
      </c>
      <c r="AD2447">
        <v>0</v>
      </c>
      <c r="AE2447">
        <v>19.11</v>
      </c>
      <c r="AF2447">
        <v>0</v>
      </c>
      <c r="AG2447">
        <v>0</v>
      </c>
      <c r="AH2447">
        <v>0</v>
      </c>
      <c r="AI2447">
        <v>23.87</v>
      </c>
      <c r="AJ2447">
        <v>159.11000000000001</v>
      </c>
      <c r="AK2447">
        <v>0</v>
      </c>
      <c r="AL2447" t="s">
        <v>53</v>
      </c>
      <c r="AM2447" t="s">
        <v>53</v>
      </c>
      <c r="AN2447" t="s">
        <v>137</v>
      </c>
      <c r="AO2447" t="s">
        <v>53</v>
      </c>
      <c r="AP2447" t="s">
        <v>53</v>
      </c>
    </row>
    <row r="2448" spans="2:42" x14ac:dyDescent="0.2">
      <c r="B2448" t="s">
        <v>44</v>
      </c>
      <c r="C2448" t="str">
        <f>HYPERLINK("https://us2.cloudbeds.com/connect/8493803454333002#/reservations/598615789749?display=E1H0MPHK&amp;reservation_id=598615789749", "E1H0MPHK")</f>
        <v>E1H0MPHK</v>
      </c>
      <c r="D2448" t="s">
        <v>45</v>
      </c>
      <c r="E2448" t="s">
        <v>190</v>
      </c>
      <c r="F2448" t="s">
        <v>61</v>
      </c>
      <c r="G2448" t="s">
        <v>48</v>
      </c>
      <c r="H2448" t="s">
        <v>49</v>
      </c>
      <c r="I2448" t="s">
        <v>50</v>
      </c>
      <c r="J2448" t="s">
        <v>323</v>
      </c>
      <c r="K2448" t="s">
        <v>100</v>
      </c>
      <c r="L2448" t="s">
        <v>53</v>
      </c>
      <c r="N2448" t="s">
        <v>3871</v>
      </c>
      <c r="P2448" t="s">
        <v>55</v>
      </c>
      <c r="R2448" t="s">
        <v>56</v>
      </c>
      <c r="T2448" t="s">
        <v>3848</v>
      </c>
      <c r="U2448" t="s">
        <v>58</v>
      </c>
      <c r="V2448">
        <v>1</v>
      </c>
      <c r="W2448">
        <v>1</v>
      </c>
      <c r="X2448">
        <v>1</v>
      </c>
      <c r="Y2448">
        <v>0</v>
      </c>
      <c r="Z2448">
        <v>1</v>
      </c>
      <c r="AA2448">
        <v>0</v>
      </c>
      <c r="AB2448">
        <v>158.54</v>
      </c>
      <c r="AC2448">
        <v>139.5</v>
      </c>
      <c r="AD2448">
        <v>0</v>
      </c>
      <c r="AE2448">
        <v>19.04</v>
      </c>
      <c r="AF2448">
        <v>0</v>
      </c>
      <c r="AG2448">
        <v>0</v>
      </c>
      <c r="AH2448">
        <v>0</v>
      </c>
      <c r="AI2448">
        <v>28.54</v>
      </c>
      <c r="AJ2448">
        <v>158.54</v>
      </c>
      <c r="AK2448">
        <v>0</v>
      </c>
      <c r="AL2448" t="s">
        <v>53</v>
      </c>
      <c r="AM2448" t="s">
        <v>53</v>
      </c>
      <c r="AN2448" t="s">
        <v>198</v>
      </c>
      <c r="AO2448" t="s">
        <v>53</v>
      </c>
      <c r="AP2448" t="s">
        <v>53</v>
      </c>
    </row>
    <row r="2449" spans="2:42" x14ac:dyDescent="0.2">
      <c r="B2449" t="s">
        <v>44</v>
      </c>
      <c r="C2449" t="str">
        <f>HYPERLINK("https://us2.cloudbeds.com/connect/8493803454333002#/reservations/579221176562?display=DJGEY2CG&amp;reservation_id=579221176562", "DJGEY2CG")</f>
        <v>DJGEY2CG</v>
      </c>
      <c r="D2449" t="s">
        <v>45</v>
      </c>
      <c r="E2449" t="s">
        <v>78</v>
      </c>
      <c r="F2449" t="s">
        <v>61</v>
      </c>
      <c r="G2449" t="s">
        <v>48</v>
      </c>
      <c r="H2449" t="s">
        <v>71</v>
      </c>
      <c r="I2449" t="s">
        <v>72</v>
      </c>
      <c r="J2449" t="s">
        <v>3031</v>
      </c>
      <c r="K2449" t="s">
        <v>1296</v>
      </c>
      <c r="L2449" t="s">
        <v>53</v>
      </c>
      <c r="N2449" t="s">
        <v>3872</v>
      </c>
      <c r="P2449" t="s">
        <v>55</v>
      </c>
      <c r="R2449" t="s">
        <v>56</v>
      </c>
      <c r="T2449" t="s">
        <v>3848</v>
      </c>
      <c r="U2449" t="s">
        <v>58</v>
      </c>
      <c r="V2449">
        <v>2</v>
      </c>
      <c r="W2449">
        <v>1</v>
      </c>
      <c r="X2449">
        <v>1</v>
      </c>
      <c r="Y2449">
        <v>0</v>
      </c>
      <c r="Z2449">
        <v>1</v>
      </c>
      <c r="AA2449">
        <v>0</v>
      </c>
      <c r="AB2449">
        <v>347.27</v>
      </c>
      <c r="AC2449">
        <v>305.55</v>
      </c>
      <c r="AD2449">
        <v>0</v>
      </c>
      <c r="AE2449">
        <v>41.72</v>
      </c>
      <c r="AF2449">
        <v>0</v>
      </c>
      <c r="AG2449">
        <v>0</v>
      </c>
      <c r="AH2449">
        <v>0</v>
      </c>
      <c r="AI2449">
        <v>0</v>
      </c>
      <c r="AJ2449">
        <v>347.27</v>
      </c>
      <c r="AK2449">
        <v>0</v>
      </c>
      <c r="AL2449" t="s">
        <v>53</v>
      </c>
      <c r="AM2449" t="s">
        <v>53</v>
      </c>
      <c r="AN2449" t="s">
        <v>3873</v>
      </c>
      <c r="AO2449" t="s">
        <v>53</v>
      </c>
      <c r="AP2449" t="s">
        <v>53</v>
      </c>
    </row>
    <row r="2450" spans="2:42" x14ac:dyDescent="0.2">
      <c r="B2450" t="s">
        <v>44</v>
      </c>
      <c r="C2450" t="str">
        <f>HYPERLINK("https://us2.cloudbeds.com/connect/8493803454333002#/reservations/598164435144?display=E15G31ZW&amp;reservation_id=598164435144", "E15G31ZW")</f>
        <v>E15G31ZW</v>
      </c>
      <c r="D2450" t="s">
        <v>45</v>
      </c>
      <c r="E2450" t="s">
        <v>69</v>
      </c>
      <c r="F2450" t="s">
        <v>70</v>
      </c>
      <c r="G2450" t="s">
        <v>48</v>
      </c>
      <c r="H2450" t="s">
        <v>49</v>
      </c>
      <c r="I2450" t="s">
        <v>50</v>
      </c>
      <c r="J2450" t="s">
        <v>323</v>
      </c>
      <c r="K2450" t="s">
        <v>100</v>
      </c>
      <c r="L2450" t="s">
        <v>53</v>
      </c>
      <c r="N2450" t="s">
        <v>3874</v>
      </c>
      <c r="P2450" t="s">
        <v>55</v>
      </c>
      <c r="R2450" t="s">
        <v>56</v>
      </c>
      <c r="T2450" t="s">
        <v>3848</v>
      </c>
      <c r="U2450" t="s">
        <v>58</v>
      </c>
      <c r="V2450">
        <v>1</v>
      </c>
      <c r="W2450">
        <v>1</v>
      </c>
      <c r="X2450">
        <v>1</v>
      </c>
      <c r="Y2450">
        <v>0</v>
      </c>
      <c r="Z2450">
        <v>1</v>
      </c>
      <c r="AA2450">
        <v>0</v>
      </c>
      <c r="AB2450">
        <v>148.31</v>
      </c>
      <c r="AC2450">
        <v>130.5</v>
      </c>
      <c r="AD2450">
        <v>0</v>
      </c>
      <c r="AE2450">
        <v>17.809999999999999</v>
      </c>
      <c r="AF2450">
        <v>0</v>
      </c>
      <c r="AG2450">
        <v>0</v>
      </c>
      <c r="AH2450">
        <v>0</v>
      </c>
      <c r="AI2450">
        <v>26.7</v>
      </c>
      <c r="AJ2450">
        <v>148.31</v>
      </c>
      <c r="AK2450">
        <v>0</v>
      </c>
      <c r="AL2450" t="s">
        <v>53</v>
      </c>
      <c r="AM2450" t="s">
        <v>53</v>
      </c>
      <c r="AN2450" t="s">
        <v>97</v>
      </c>
      <c r="AO2450" t="s">
        <v>53</v>
      </c>
      <c r="AP2450" t="s">
        <v>53</v>
      </c>
    </row>
    <row r="2451" spans="2:42" x14ac:dyDescent="0.2">
      <c r="B2451" t="s">
        <v>44</v>
      </c>
      <c r="C2451" t="str">
        <f>HYPERLINK("https://us2.cloudbeds.com/connect/8493803454333002#/reservations/579164983434?display=DJF08DNE&amp;reservation_id=579164983434", "DJF08DNE")</f>
        <v>DJF08DNE</v>
      </c>
      <c r="D2451" t="s">
        <v>45</v>
      </c>
      <c r="E2451" t="s">
        <v>128</v>
      </c>
      <c r="F2451" t="s">
        <v>86</v>
      </c>
      <c r="G2451" t="s">
        <v>48</v>
      </c>
      <c r="H2451" t="s">
        <v>71</v>
      </c>
      <c r="I2451" t="s">
        <v>72</v>
      </c>
      <c r="J2451" t="s">
        <v>2039</v>
      </c>
      <c r="K2451" t="s">
        <v>1141</v>
      </c>
      <c r="L2451" t="s">
        <v>53</v>
      </c>
      <c r="N2451" t="s">
        <v>3875</v>
      </c>
      <c r="P2451" t="s">
        <v>55</v>
      </c>
      <c r="R2451" t="s">
        <v>56</v>
      </c>
      <c r="T2451" t="s">
        <v>3848</v>
      </c>
      <c r="U2451" t="s">
        <v>58</v>
      </c>
      <c r="V2451">
        <v>1</v>
      </c>
      <c r="W2451">
        <v>1</v>
      </c>
      <c r="X2451">
        <v>1</v>
      </c>
      <c r="Y2451">
        <v>0</v>
      </c>
      <c r="Z2451">
        <v>1</v>
      </c>
      <c r="AA2451">
        <v>0</v>
      </c>
      <c r="AB2451">
        <v>186.39</v>
      </c>
      <c r="AC2451">
        <v>164</v>
      </c>
      <c r="AD2451">
        <v>0</v>
      </c>
      <c r="AE2451">
        <v>22.39</v>
      </c>
      <c r="AF2451">
        <v>0</v>
      </c>
      <c r="AG2451">
        <v>0</v>
      </c>
      <c r="AH2451">
        <v>0</v>
      </c>
      <c r="AI2451">
        <v>0</v>
      </c>
      <c r="AJ2451">
        <v>186.39</v>
      </c>
      <c r="AK2451">
        <v>0</v>
      </c>
      <c r="AL2451" t="s">
        <v>53</v>
      </c>
      <c r="AM2451" t="s">
        <v>53</v>
      </c>
      <c r="AN2451" t="s">
        <v>3876</v>
      </c>
      <c r="AO2451" t="s">
        <v>53</v>
      </c>
      <c r="AP2451" t="s">
        <v>53</v>
      </c>
    </row>
    <row r="2452" spans="2:42" x14ac:dyDescent="0.2">
      <c r="B2452" t="s">
        <v>44</v>
      </c>
      <c r="C2452" t="str">
        <f>HYPERLINK("https://us2.cloudbeds.com/connect/8493803454333002#/reservations/579271192783?display=DJHNQRVX&amp;reservation_id=579271192783", "DJHNQRVX")</f>
        <v>DJHNQRVX</v>
      </c>
      <c r="D2452" t="s">
        <v>602</v>
      </c>
      <c r="E2452" t="s">
        <v>53</v>
      </c>
      <c r="F2452" t="s">
        <v>61</v>
      </c>
      <c r="G2452" t="s">
        <v>48</v>
      </c>
      <c r="H2452" t="s">
        <v>49</v>
      </c>
      <c r="I2452" t="s">
        <v>79</v>
      </c>
      <c r="J2452" t="s">
        <v>323</v>
      </c>
      <c r="K2452" t="s">
        <v>603</v>
      </c>
      <c r="L2452" t="s">
        <v>53</v>
      </c>
      <c r="N2452" t="s">
        <v>3877</v>
      </c>
      <c r="P2452" t="s">
        <v>55</v>
      </c>
      <c r="R2452" t="s">
        <v>56</v>
      </c>
      <c r="T2452" t="s">
        <v>3848</v>
      </c>
      <c r="U2452" t="s">
        <v>58</v>
      </c>
      <c r="V2452">
        <v>4</v>
      </c>
      <c r="W2452">
        <v>1</v>
      </c>
      <c r="X2452">
        <v>1</v>
      </c>
      <c r="Y2452">
        <v>0</v>
      </c>
      <c r="Z2452">
        <v>1</v>
      </c>
      <c r="AA2452">
        <v>0</v>
      </c>
      <c r="AB2452">
        <v>0</v>
      </c>
      <c r="AC2452">
        <v>0</v>
      </c>
      <c r="AD2452">
        <v>0</v>
      </c>
      <c r="AE2452">
        <v>0</v>
      </c>
      <c r="AF2452">
        <v>0</v>
      </c>
      <c r="AG2452">
        <v>0</v>
      </c>
      <c r="AH2452">
        <v>0</v>
      </c>
      <c r="AI2452">
        <v>0</v>
      </c>
      <c r="AJ2452">
        <v>0</v>
      </c>
      <c r="AK2452">
        <v>0</v>
      </c>
      <c r="AL2452">
        <v>558</v>
      </c>
      <c r="AM2452">
        <v>634.16</v>
      </c>
      <c r="AN2452" t="s">
        <v>605</v>
      </c>
      <c r="AO2452" t="s">
        <v>53</v>
      </c>
      <c r="AP2452" t="s">
        <v>53</v>
      </c>
    </row>
    <row r="2453" spans="2:42" x14ac:dyDescent="0.2">
      <c r="B2453" t="s">
        <v>44</v>
      </c>
      <c r="C2453" t="str">
        <f>HYPERLINK("https://us2.cloudbeds.com/connect/8493803454333002#/reservations/598591635635?display=E1GDAYEP&amp;reservation_id=598591635635", "E1GDAYEP")</f>
        <v>E1GDAYEP</v>
      </c>
      <c r="D2453" t="s">
        <v>45</v>
      </c>
      <c r="E2453" t="s">
        <v>110</v>
      </c>
      <c r="F2453" t="s">
        <v>47</v>
      </c>
      <c r="G2453" t="s">
        <v>48</v>
      </c>
      <c r="H2453" t="s">
        <v>71</v>
      </c>
      <c r="I2453" t="s">
        <v>72</v>
      </c>
      <c r="J2453" t="s">
        <v>323</v>
      </c>
      <c r="K2453" t="s">
        <v>100</v>
      </c>
      <c r="L2453" t="s">
        <v>53</v>
      </c>
      <c r="N2453" t="s">
        <v>3878</v>
      </c>
      <c r="P2453" t="s">
        <v>58</v>
      </c>
      <c r="R2453" t="s">
        <v>56</v>
      </c>
      <c r="T2453" t="s">
        <v>3848</v>
      </c>
      <c r="U2453" t="s">
        <v>58</v>
      </c>
      <c r="V2453">
        <v>1</v>
      </c>
      <c r="W2453">
        <v>1</v>
      </c>
      <c r="X2453">
        <v>1</v>
      </c>
      <c r="Y2453">
        <v>0</v>
      </c>
      <c r="Z2453">
        <v>1</v>
      </c>
      <c r="AA2453">
        <v>0</v>
      </c>
      <c r="AB2453">
        <v>153.43</v>
      </c>
      <c r="AC2453">
        <v>135</v>
      </c>
      <c r="AD2453">
        <v>0</v>
      </c>
      <c r="AE2453">
        <v>18.440000000000001</v>
      </c>
      <c r="AF2453">
        <v>0</v>
      </c>
      <c r="AG2453">
        <v>0</v>
      </c>
      <c r="AH2453">
        <v>0</v>
      </c>
      <c r="AI2453">
        <v>0</v>
      </c>
      <c r="AJ2453">
        <v>153.44</v>
      </c>
      <c r="AK2453">
        <v>0.01</v>
      </c>
      <c r="AL2453" t="s">
        <v>53</v>
      </c>
      <c r="AM2453" t="s">
        <v>53</v>
      </c>
      <c r="AN2453" t="s">
        <v>378</v>
      </c>
      <c r="AO2453" t="s">
        <v>53</v>
      </c>
      <c r="AP2453" t="s">
        <v>53</v>
      </c>
    </row>
    <row r="2454" spans="2:42" x14ac:dyDescent="0.2">
      <c r="B2454" t="s">
        <v>44</v>
      </c>
      <c r="C2454" t="str">
        <f>HYPERLINK("https://us2.cloudbeds.com/connect/8493803454333002#/reservations/579266711714?display=DJHK153J&amp;reservation_id=579266711714", "DJHK153J")</f>
        <v>DJHK153J</v>
      </c>
      <c r="D2454" t="s">
        <v>45</v>
      </c>
      <c r="E2454" t="s">
        <v>69</v>
      </c>
      <c r="F2454" t="s">
        <v>70</v>
      </c>
      <c r="G2454" t="s">
        <v>48</v>
      </c>
      <c r="H2454" t="s">
        <v>71</v>
      </c>
      <c r="I2454" t="s">
        <v>72</v>
      </c>
      <c r="J2454" t="s">
        <v>3551</v>
      </c>
      <c r="K2454" t="s">
        <v>2541</v>
      </c>
      <c r="L2454" t="s">
        <v>53</v>
      </c>
      <c r="N2454" t="s">
        <v>3879</v>
      </c>
      <c r="P2454" t="s">
        <v>55</v>
      </c>
      <c r="R2454" t="s">
        <v>56</v>
      </c>
      <c r="T2454" t="s">
        <v>3848</v>
      </c>
      <c r="U2454" t="s">
        <v>58</v>
      </c>
      <c r="V2454">
        <v>1</v>
      </c>
      <c r="W2454">
        <v>1</v>
      </c>
      <c r="X2454">
        <v>1</v>
      </c>
      <c r="Y2454">
        <v>0</v>
      </c>
      <c r="Z2454">
        <v>1</v>
      </c>
      <c r="AA2454">
        <v>0</v>
      </c>
      <c r="AB2454">
        <v>146.61000000000001</v>
      </c>
      <c r="AC2454">
        <v>129</v>
      </c>
      <c r="AD2454">
        <v>0</v>
      </c>
      <c r="AE2454">
        <v>17.61</v>
      </c>
      <c r="AF2454">
        <v>0</v>
      </c>
      <c r="AG2454">
        <v>0</v>
      </c>
      <c r="AH2454">
        <v>0</v>
      </c>
      <c r="AI2454">
        <v>0</v>
      </c>
      <c r="AJ2454">
        <v>146.61000000000001</v>
      </c>
      <c r="AK2454">
        <v>0</v>
      </c>
      <c r="AL2454" t="s">
        <v>53</v>
      </c>
      <c r="AM2454" t="s">
        <v>53</v>
      </c>
      <c r="AN2454" t="s">
        <v>3880</v>
      </c>
      <c r="AO2454" t="s">
        <v>53</v>
      </c>
      <c r="AP2454" t="s">
        <v>53</v>
      </c>
    </row>
    <row r="2455" spans="2:42" x14ac:dyDescent="0.2">
      <c r="B2455" t="s">
        <v>44</v>
      </c>
      <c r="C2455" t="str">
        <f>HYPERLINK("https://us2.cloudbeds.com/connect/8493803454333002#/reservations/579283239045?display=DJX0W1NQ&amp;reservation_id=579283239045", "DJX0W1NQ")</f>
        <v>DJX0W1NQ</v>
      </c>
      <c r="D2455" t="s">
        <v>45</v>
      </c>
      <c r="E2455" t="s">
        <v>46</v>
      </c>
      <c r="F2455" t="s">
        <v>47</v>
      </c>
      <c r="G2455" t="s">
        <v>48</v>
      </c>
      <c r="H2455" t="s">
        <v>49</v>
      </c>
      <c r="I2455" t="s">
        <v>62</v>
      </c>
      <c r="J2455" t="s">
        <v>1664</v>
      </c>
      <c r="K2455" t="s">
        <v>1478</v>
      </c>
      <c r="L2455" t="s">
        <v>53</v>
      </c>
      <c r="N2455" t="s">
        <v>3881</v>
      </c>
      <c r="P2455" t="s">
        <v>55</v>
      </c>
      <c r="R2455" t="s">
        <v>56</v>
      </c>
      <c r="T2455" t="s">
        <v>3848</v>
      </c>
      <c r="U2455" t="s">
        <v>58</v>
      </c>
      <c r="V2455">
        <v>2</v>
      </c>
      <c r="W2455">
        <v>1</v>
      </c>
      <c r="X2455">
        <v>1</v>
      </c>
      <c r="Y2455">
        <v>0</v>
      </c>
      <c r="Z2455">
        <v>1</v>
      </c>
      <c r="AA2455">
        <v>0</v>
      </c>
      <c r="AB2455">
        <v>345.5</v>
      </c>
      <c r="AC2455">
        <v>304</v>
      </c>
      <c r="AD2455">
        <v>0</v>
      </c>
      <c r="AE2455">
        <v>41.5</v>
      </c>
      <c r="AF2455">
        <v>0</v>
      </c>
      <c r="AG2455">
        <v>0</v>
      </c>
      <c r="AH2455">
        <v>0</v>
      </c>
      <c r="AI2455">
        <v>51.83</v>
      </c>
      <c r="AJ2455">
        <v>345.5</v>
      </c>
      <c r="AK2455">
        <v>0</v>
      </c>
      <c r="AL2455" t="s">
        <v>53</v>
      </c>
      <c r="AM2455" t="s">
        <v>53</v>
      </c>
      <c r="AN2455" t="s">
        <v>178</v>
      </c>
      <c r="AO2455" t="s">
        <v>53</v>
      </c>
      <c r="AP2455" t="s">
        <v>53</v>
      </c>
    </row>
    <row r="2456" spans="2:42" x14ac:dyDescent="0.2">
      <c r="B2456" t="s">
        <v>44</v>
      </c>
      <c r="C2456" t="str">
        <f>HYPERLINK("https://us2.cloudbeds.com/connect/8493803454333002#/reservations/579282149582?display=DJX01Z9P&amp;reservation_id=579282149582", "DJX01Z9P")</f>
        <v>DJX01Z9P</v>
      </c>
      <c r="D2456" t="s">
        <v>45</v>
      </c>
      <c r="E2456" t="s">
        <v>190</v>
      </c>
      <c r="F2456" t="s">
        <v>61</v>
      </c>
      <c r="G2456" t="s">
        <v>48</v>
      </c>
      <c r="H2456" t="s">
        <v>49</v>
      </c>
      <c r="I2456" t="s">
        <v>79</v>
      </c>
      <c r="J2456" t="s">
        <v>3882</v>
      </c>
      <c r="K2456" t="s">
        <v>1259</v>
      </c>
      <c r="L2456" t="s">
        <v>53</v>
      </c>
      <c r="N2456" t="s">
        <v>3883</v>
      </c>
      <c r="P2456" t="s">
        <v>55</v>
      </c>
      <c r="R2456" t="s">
        <v>56</v>
      </c>
      <c r="T2456" t="s">
        <v>3848</v>
      </c>
      <c r="U2456" t="s">
        <v>58</v>
      </c>
      <c r="V2456">
        <v>1</v>
      </c>
      <c r="W2456">
        <v>1</v>
      </c>
      <c r="X2456">
        <v>1</v>
      </c>
      <c r="Y2456">
        <v>0</v>
      </c>
      <c r="Z2456">
        <v>1</v>
      </c>
      <c r="AA2456">
        <v>0</v>
      </c>
      <c r="AB2456">
        <v>130.91999999999999</v>
      </c>
      <c r="AC2456">
        <v>115.2</v>
      </c>
      <c r="AD2456">
        <v>0</v>
      </c>
      <c r="AE2456">
        <v>15.72</v>
      </c>
      <c r="AF2456">
        <v>0</v>
      </c>
      <c r="AG2456">
        <v>0</v>
      </c>
      <c r="AH2456">
        <v>0</v>
      </c>
      <c r="AI2456">
        <v>0</v>
      </c>
      <c r="AJ2456">
        <v>130.91999999999999</v>
      </c>
      <c r="AK2456">
        <v>0</v>
      </c>
      <c r="AL2456" t="s">
        <v>53</v>
      </c>
      <c r="AM2456" t="s">
        <v>53</v>
      </c>
      <c r="AN2456" t="s">
        <v>68</v>
      </c>
      <c r="AO2456" t="s">
        <v>53</v>
      </c>
      <c r="AP2456" t="s">
        <v>53</v>
      </c>
    </row>
    <row r="2457" spans="2:42" x14ac:dyDescent="0.2">
      <c r="B2457" t="s">
        <v>44</v>
      </c>
      <c r="C2457" t="str">
        <f>HYPERLINK("https://us2.cloudbeds.com/connect/8493803454333002#/reservations/579291500798?display=DJX7UV8V&amp;reservation_id=579291500798", "DJX7UV8V")</f>
        <v>DJX7UV8V</v>
      </c>
      <c r="D2457" t="s">
        <v>602</v>
      </c>
      <c r="E2457" t="s">
        <v>53</v>
      </c>
      <c r="F2457" t="s">
        <v>61</v>
      </c>
      <c r="G2457" t="s">
        <v>48</v>
      </c>
      <c r="H2457" t="s">
        <v>49</v>
      </c>
      <c r="I2457" t="s">
        <v>50</v>
      </c>
      <c r="J2457" t="s">
        <v>505</v>
      </c>
      <c r="K2457" t="s">
        <v>603</v>
      </c>
      <c r="L2457" t="s">
        <v>53</v>
      </c>
      <c r="N2457" t="s">
        <v>3884</v>
      </c>
      <c r="P2457" t="s">
        <v>55</v>
      </c>
      <c r="R2457" t="s">
        <v>56</v>
      </c>
      <c r="T2457" t="s">
        <v>3885</v>
      </c>
      <c r="U2457" t="s">
        <v>58</v>
      </c>
      <c r="V2457">
        <v>1</v>
      </c>
      <c r="W2457">
        <v>1</v>
      </c>
      <c r="X2457">
        <v>1</v>
      </c>
      <c r="Y2457">
        <v>0</v>
      </c>
      <c r="Z2457">
        <v>1</v>
      </c>
      <c r="AA2457">
        <v>0</v>
      </c>
      <c r="AB2457">
        <v>0</v>
      </c>
      <c r="AC2457">
        <v>0</v>
      </c>
      <c r="AD2457">
        <v>0</v>
      </c>
      <c r="AE2457">
        <v>0</v>
      </c>
      <c r="AF2457">
        <v>0</v>
      </c>
      <c r="AG2457">
        <v>0</v>
      </c>
      <c r="AH2457">
        <v>0</v>
      </c>
      <c r="AI2457">
        <v>29.46</v>
      </c>
      <c r="AJ2457">
        <v>0</v>
      </c>
      <c r="AK2457">
        <v>0</v>
      </c>
      <c r="AL2457">
        <v>144</v>
      </c>
      <c r="AM2457">
        <v>163.66</v>
      </c>
      <c r="AN2457" t="s">
        <v>605</v>
      </c>
      <c r="AO2457" t="s">
        <v>53</v>
      </c>
      <c r="AP2457" t="s">
        <v>53</v>
      </c>
    </row>
    <row r="2458" spans="2:42" x14ac:dyDescent="0.2">
      <c r="B2458" t="s">
        <v>44</v>
      </c>
      <c r="C2458" t="str">
        <f>HYPERLINK("https://us2.cloudbeds.com/connect/8493803454333002#/reservations/579350851817?display=DJJZWFZM&amp;reservation_id=579350851817", "DJJZWFZM")</f>
        <v>DJJZWFZM</v>
      </c>
      <c r="D2458" t="s">
        <v>45</v>
      </c>
      <c r="E2458" t="s">
        <v>265</v>
      </c>
      <c r="F2458" t="s">
        <v>61</v>
      </c>
      <c r="G2458" t="s">
        <v>48</v>
      </c>
      <c r="H2458" t="s">
        <v>49</v>
      </c>
      <c r="I2458" t="s">
        <v>62</v>
      </c>
      <c r="J2458" t="s">
        <v>1458</v>
      </c>
      <c r="K2458" t="s">
        <v>1337</v>
      </c>
      <c r="L2458" t="s">
        <v>53</v>
      </c>
      <c r="N2458" t="s">
        <v>3886</v>
      </c>
      <c r="P2458" t="s">
        <v>55</v>
      </c>
      <c r="R2458" t="s">
        <v>56</v>
      </c>
      <c r="T2458" t="s">
        <v>3885</v>
      </c>
      <c r="U2458" t="s">
        <v>58</v>
      </c>
      <c r="V2458">
        <v>2</v>
      </c>
      <c r="W2458">
        <v>1</v>
      </c>
      <c r="X2458">
        <v>1</v>
      </c>
      <c r="Y2458">
        <v>0</v>
      </c>
      <c r="Z2458">
        <v>1</v>
      </c>
      <c r="AA2458">
        <v>0</v>
      </c>
      <c r="AB2458">
        <v>284.14</v>
      </c>
      <c r="AC2458">
        <v>250</v>
      </c>
      <c r="AD2458">
        <v>0</v>
      </c>
      <c r="AE2458">
        <v>34.14</v>
      </c>
      <c r="AF2458">
        <v>0</v>
      </c>
      <c r="AG2458">
        <v>0</v>
      </c>
      <c r="AH2458">
        <v>0</v>
      </c>
      <c r="AI2458">
        <v>42.62</v>
      </c>
      <c r="AJ2458">
        <v>284.14</v>
      </c>
      <c r="AK2458">
        <v>0</v>
      </c>
      <c r="AL2458" t="s">
        <v>53</v>
      </c>
      <c r="AM2458" t="s">
        <v>53</v>
      </c>
      <c r="AN2458" t="s">
        <v>3887</v>
      </c>
      <c r="AO2458" t="s">
        <v>53</v>
      </c>
      <c r="AP2458" t="s">
        <v>53</v>
      </c>
    </row>
    <row r="2459" spans="2:42" x14ac:dyDescent="0.2">
      <c r="B2459" t="s">
        <v>44</v>
      </c>
      <c r="C2459" t="str">
        <f>HYPERLINK("https://us2.cloudbeds.com/connect/8493803454333002#/reservations/598439600338?display=E1CH41EH&amp;reservation_id=598439600338", "E1CH41EH")</f>
        <v>E1CH41EH</v>
      </c>
      <c r="D2459" t="s">
        <v>45</v>
      </c>
      <c r="E2459" t="s">
        <v>190</v>
      </c>
      <c r="F2459" t="s">
        <v>61</v>
      </c>
      <c r="G2459" t="s">
        <v>48</v>
      </c>
      <c r="H2459" t="s">
        <v>71</v>
      </c>
      <c r="I2459" t="s">
        <v>72</v>
      </c>
      <c r="J2459" t="s">
        <v>100</v>
      </c>
      <c r="K2459" t="s">
        <v>504</v>
      </c>
      <c r="L2459" t="s">
        <v>53</v>
      </c>
      <c r="N2459" t="s">
        <v>3888</v>
      </c>
      <c r="P2459" t="s">
        <v>55</v>
      </c>
      <c r="R2459" t="s">
        <v>56</v>
      </c>
      <c r="T2459" t="s">
        <v>3885</v>
      </c>
      <c r="U2459" t="s">
        <v>58</v>
      </c>
      <c r="V2459">
        <v>1</v>
      </c>
      <c r="W2459">
        <v>1</v>
      </c>
      <c r="X2459">
        <v>1</v>
      </c>
      <c r="Y2459">
        <v>0</v>
      </c>
      <c r="Z2459">
        <v>1</v>
      </c>
      <c r="AA2459">
        <v>0</v>
      </c>
      <c r="AB2459">
        <v>177.29</v>
      </c>
      <c r="AC2459">
        <v>156</v>
      </c>
      <c r="AD2459">
        <v>0</v>
      </c>
      <c r="AE2459">
        <v>21.29</v>
      </c>
      <c r="AF2459">
        <v>0</v>
      </c>
      <c r="AG2459">
        <v>0</v>
      </c>
      <c r="AH2459">
        <v>0</v>
      </c>
      <c r="AI2459">
        <v>0</v>
      </c>
      <c r="AJ2459">
        <v>177.29</v>
      </c>
      <c r="AK2459">
        <v>0</v>
      </c>
      <c r="AL2459" t="s">
        <v>53</v>
      </c>
      <c r="AM2459" t="s">
        <v>53</v>
      </c>
      <c r="AN2459" t="s">
        <v>3889</v>
      </c>
      <c r="AO2459" t="s">
        <v>53</v>
      </c>
      <c r="AP2459" t="s">
        <v>53</v>
      </c>
    </row>
    <row r="2460" spans="2:42" x14ac:dyDescent="0.2">
      <c r="B2460" t="s">
        <v>44</v>
      </c>
      <c r="C2460" t="str">
        <f>HYPERLINK("https://us2.cloudbeds.com/connect/8493803454333002#/reservations/598584664278?display=E1G7EYRG&amp;reservation_id=598584664278", "E1G7EYRG")</f>
        <v>E1G7EYRG</v>
      </c>
      <c r="D2460" t="s">
        <v>45</v>
      </c>
      <c r="E2460" t="s">
        <v>128</v>
      </c>
      <c r="F2460" t="s">
        <v>86</v>
      </c>
      <c r="G2460" t="s">
        <v>48</v>
      </c>
      <c r="H2460" t="s">
        <v>49</v>
      </c>
      <c r="I2460" t="s">
        <v>50</v>
      </c>
      <c r="J2460" t="s">
        <v>504</v>
      </c>
      <c r="K2460" t="s">
        <v>505</v>
      </c>
      <c r="L2460" t="s">
        <v>53</v>
      </c>
      <c r="N2460" t="s">
        <v>3890</v>
      </c>
      <c r="P2460" t="s">
        <v>55</v>
      </c>
      <c r="R2460" t="s">
        <v>56</v>
      </c>
      <c r="T2460" t="s">
        <v>3885</v>
      </c>
      <c r="U2460" t="s">
        <v>58</v>
      </c>
      <c r="V2460">
        <v>1</v>
      </c>
      <c r="W2460">
        <v>1</v>
      </c>
      <c r="X2460">
        <v>1</v>
      </c>
      <c r="Y2460">
        <v>0</v>
      </c>
      <c r="Z2460">
        <v>1</v>
      </c>
      <c r="AA2460">
        <v>0</v>
      </c>
      <c r="AB2460">
        <v>173.88</v>
      </c>
      <c r="AC2460">
        <v>153</v>
      </c>
      <c r="AD2460">
        <v>0</v>
      </c>
      <c r="AE2460">
        <v>20.89</v>
      </c>
      <c r="AF2460">
        <v>0</v>
      </c>
      <c r="AG2460">
        <v>0</v>
      </c>
      <c r="AH2460">
        <v>0</v>
      </c>
      <c r="AI2460">
        <v>31.3</v>
      </c>
      <c r="AJ2460">
        <v>173.89</v>
      </c>
      <c r="AK2460">
        <v>0.01</v>
      </c>
      <c r="AL2460" t="s">
        <v>53</v>
      </c>
      <c r="AM2460" t="s">
        <v>53</v>
      </c>
      <c r="AN2460" t="s">
        <v>252</v>
      </c>
      <c r="AO2460" t="s">
        <v>53</v>
      </c>
      <c r="AP2460" t="s">
        <v>53</v>
      </c>
    </row>
    <row r="2461" spans="2:42" x14ac:dyDescent="0.2">
      <c r="B2461" t="s">
        <v>44</v>
      </c>
      <c r="C2461" t="str">
        <f>HYPERLINK("https://us2.cloudbeds.com/connect/8493803454333002#/reservations/579230503149?display=DJGMGJZB&amp;reservation_id=579230503149", "DJGMGJZB")</f>
        <v>DJGMGJZB</v>
      </c>
      <c r="D2461" t="s">
        <v>45</v>
      </c>
      <c r="E2461" t="s">
        <v>69</v>
      </c>
      <c r="F2461" t="s">
        <v>70</v>
      </c>
      <c r="G2461" t="s">
        <v>48</v>
      </c>
      <c r="H2461" t="s">
        <v>49</v>
      </c>
      <c r="I2461" t="s">
        <v>50</v>
      </c>
      <c r="J2461" t="s">
        <v>2023</v>
      </c>
      <c r="K2461" t="s">
        <v>2639</v>
      </c>
      <c r="L2461" t="s">
        <v>53</v>
      </c>
      <c r="N2461" t="s">
        <v>3891</v>
      </c>
      <c r="P2461" t="s">
        <v>55</v>
      </c>
      <c r="R2461" t="s">
        <v>56</v>
      </c>
      <c r="T2461" t="s">
        <v>3885</v>
      </c>
      <c r="U2461" t="s">
        <v>58</v>
      </c>
      <c r="V2461">
        <v>1</v>
      </c>
      <c r="W2461">
        <v>1</v>
      </c>
      <c r="X2461">
        <v>1</v>
      </c>
      <c r="Y2461">
        <v>0</v>
      </c>
      <c r="Z2461">
        <v>1</v>
      </c>
      <c r="AA2461">
        <v>0</v>
      </c>
      <c r="AB2461">
        <v>140.13999999999999</v>
      </c>
      <c r="AC2461">
        <v>123.3</v>
      </c>
      <c r="AD2461">
        <v>0</v>
      </c>
      <c r="AE2461">
        <v>16.84</v>
      </c>
      <c r="AF2461">
        <v>0</v>
      </c>
      <c r="AG2461">
        <v>0</v>
      </c>
      <c r="AH2461">
        <v>0</v>
      </c>
      <c r="AI2461">
        <v>25.23</v>
      </c>
      <c r="AJ2461">
        <v>140.13999999999999</v>
      </c>
      <c r="AK2461">
        <v>0</v>
      </c>
      <c r="AL2461" t="s">
        <v>53</v>
      </c>
      <c r="AM2461" t="s">
        <v>53</v>
      </c>
      <c r="AN2461" t="s">
        <v>198</v>
      </c>
      <c r="AO2461" t="s">
        <v>53</v>
      </c>
      <c r="AP2461" t="s">
        <v>53</v>
      </c>
    </row>
    <row r="2462" spans="2:42" x14ac:dyDescent="0.2">
      <c r="B2462" t="s">
        <v>44</v>
      </c>
      <c r="C2462" t="str">
        <f>HYPERLINK("https://us2.cloudbeds.com/connect/8493803454333002#/reservations/579254423749?display=DJH9M7CV&amp;reservation_id=579254423749", "DJH9M7CV")</f>
        <v>DJH9M7CV</v>
      </c>
      <c r="D2462" t="s">
        <v>45</v>
      </c>
      <c r="E2462" t="s">
        <v>381</v>
      </c>
      <c r="F2462" t="s">
        <v>47</v>
      </c>
      <c r="G2462" t="s">
        <v>48</v>
      </c>
      <c r="H2462" t="s">
        <v>49</v>
      </c>
      <c r="I2462" t="s">
        <v>50</v>
      </c>
      <c r="J2462" t="s">
        <v>1367</v>
      </c>
      <c r="K2462" t="s">
        <v>1985</v>
      </c>
      <c r="L2462" t="s">
        <v>53</v>
      </c>
      <c r="N2462" t="s">
        <v>3892</v>
      </c>
      <c r="P2462" t="s">
        <v>55</v>
      </c>
      <c r="R2462" t="s">
        <v>56</v>
      </c>
      <c r="T2462" t="s">
        <v>3885</v>
      </c>
      <c r="U2462" t="s">
        <v>58</v>
      </c>
      <c r="V2462">
        <v>1</v>
      </c>
      <c r="W2462">
        <v>1</v>
      </c>
      <c r="X2462">
        <v>1</v>
      </c>
      <c r="Y2462">
        <v>0</v>
      </c>
      <c r="Z2462">
        <v>1</v>
      </c>
      <c r="AA2462">
        <v>0</v>
      </c>
      <c r="AB2462">
        <v>161.61000000000001</v>
      </c>
      <c r="AC2462">
        <v>142.19999999999999</v>
      </c>
      <c r="AD2462">
        <v>0</v>
      </c>
      <c r="AE2462">
        <v>19.41</v>
      </c>
      <c r="AF2462">
        <v>0</v>
      </c>
      <c r="AG2462">
        <v>0</v>
      </c>
      <c r="AH2462">
        <v>0</v>
      </c>
      <c r="AI2462">
        <v>29.09</v>
      </c>
      <c r="AJ2462">
        <v>161.61000000000001</v>
      </c>
      <c r="AK2462">
        <v>0</v>
      </c>
      <c r="AL2462" t="s">
        <v>53</v>
      </c>
      <c r="AM2462" t="s">
        <v>53</v>
      </c>
      <c r="AN2462" t="s">
        <v>280</v>
      </c>
      <c r="AO2462" t="s">
        <v>53</v>
      </c>
      <c r="AP2462" t="s">
        <v>53</v>
      </c>
    </row>
    <row r="2463" spans="2:42" x14ac:dyDescent="0.2">
      <c r="B2463" t="s">
        <v>44</v>
      </c>
      <c r="C2463" t="str">
        <f>HYPERLINK("https://us2.cloudbeds.com/connect/8493803454333002#/reservations/579177754767?display=DJFB0Q9H&amp;reservation_id=579177754767", "DJFB0Q9H")</f>
        <v>DJFB0Q9H</v>
      </c>
      <c r="D2463" t="s">
        <v>45</v>
      </c>
      <c r="E2463" t="s">
        <v>128</v>
      </c>
      <c r="F2463" t="s">
        <v>86</v>
      </c>
      <c r="G2463" t="s">
        <v>48</v>
      </c>
      <c r="H2463" t="s">
        <v>49</v>
      </c>
      <c r="I2463" t="s">
        <v>50</v>
      </c>
      <c r="J2463" t="s">
        <v>603</v>
      </c>
      <c r="K2463" t="s">
        <v>1367</v>
      </c>
      <c r="L2463" t="s">
        <v>53</v>
      </c>
      <c r="N2463" t="s">
        <v>3893</v>
      </c>
      <c r="P2463" t="s">
        <v>55</v>
      </c>
      <c r="R2463" t="s">
        <v>56</v>
      </c>
      <c r="T2463" t="s">
        <v>3885</v>
      </c>
      <c r="U2463" t="s">
        <v>58</v>
      </c>
      <c r="V2463">
        <v>1</v>
      </c>
      <c r="W2463">
        <v>1</v>
      </c>
      <c r="X2463">
        <v>1</v>
      </c>
      <c r="Y2463">
        <v>0</v>
      </c>
      <c r="Z2463">
        <v>1</v>
      </c>
      <c r="AA2463">
        <v>0</v>
      </c>
      <c r="AB2463">
        <v>171.83</v>
      </c>
      <c r="AC2463">
        <v>151.19999999999999</v>
      </c>
      <c r="AD2463">
        <v>0</v>
      </c>
      <c r="AE2463">
        <v>20.63</v>
      </c>
      <c r="AF2463">
        <v>0</v>
      </c>
      <c r="AG2463">
        <v>0</v>
      </c>
      <c r="AH2463">
        <v>0</v>
      </c>
      <c r="AI2463">
        <v>30.93</v>
      </c>
      <c r="AJ2463">
        <v>171.83</v>
      </c>
      <c r="AK2463">
        <v>0</v>
      </c>
      <c r="AL2463" t="s">
        <v>53</v>
      </c>
      <c r="AM2463" t="s">
        <v>53</v>
      </c>
      <c r="AN2463" t="s">
        <v>91</v>
      </c>
      <c r="AO2463" t="s">
        <v>53</v>
      </c>
      <c r="AP2463" t="s">
        <v>53</v>
      </c>
    </row>
    <row r="2464" spans="2:42" x14ac:dyDescent="0.2">
      <c r="B2464" t="s">
        <v>44</v>
      </c>
      <c r="C2464" t="str">
        <f>HYPERLINK("https://us2.cloudbeds.com/connect/8493803454333002#/reservations/598498689169?display=E1E0V956&amp;reservation_id=598498689169", "E1E0V956")</f>
        <v>E1E0V956</v>
      </c>
      <c r="D2464" t="s">
        <v>45</v>
      </c>
      <c r="E2464" t="s">
        <v>98</v>
      </c>
      <c r="F2464" t="s">
        <v>86</v>
      </c>
      <c r="G2464" t="s">
        <v>48</v>
      </c>
      <c r="H2464" t="s">
        <v>71</v>
      </c>
      <c r="I2464" t="s">
        <v>72</v>
      </c>
      <c r="J2464" t="s">
        <v>100</v>
      </c>
      <c r="K2464" t="s">
        <v>504</v>
      </c>
      <c r="L2464" t="s">
        <v>53</v>
      </c>
      <c r="N2464" t="s">
        <v>3894</v>
      </c>
      <c r="P2464" t="s">
        <v>55</v>
      </c>
      <c r="R2464" t="s">
        <v>56</v>
      </c>
      <c r="T2464" t="s">
        <v>3885</v>
      </c>
      <c r="U2464" t="s">
        <v>58</v>
      </c>
      <c r="V2464">
        <v>1</v>
      </c>
      <c r="W2464">
        <v>1</v>
      </c>
      <c r="X2464">
        <v>1</v>
      </c>
      <c r="Y2464">
        <v>0</v>
      </c>
      <c r="Z2464">
        <v>1</v>
      </c>
      <c r="AA2464">
        <v>0</v>
      </c>
      <c r="AB2464">
        <v>170.48</v>
      </c>
      <c r="AC2464">
        <v>150</v>
      </c>
      <c r="AD2464">
        <v>0</v>
      </c>
      <c r="AE2464">
        <v>20.48</v>
      </c>
      <c r="AF2464">
        <v>0</v>
      </c>
      <c r="AG2464">
        <v>0</v>
      </c>
      <c r="AH2464">
        <v>0</v>
      </c>
      <c r="AI2464">
        <v>0</v>
      </c>
      <c r="AJ2464">
        <v>170.48</v>
      </c>
      <c r="AK2464">
        <v>0</v>
      </c>
      <c r="AL2464" t="s">
        <v>53</v>
      </c>
      <c r="AM2464" t="s">
        <v>53</v>
      </c>
      <c r="AN2464" t="s">
        <v>683</v>
      </c>
      <c r="AO2464" t="s">
        <v>53</v>
      </c>
      <c r="AP2464" t="s">
        <v>53</v>
      </c>
    </row>
    <row r="2465" spans="2:42" x14ac:dyDescent="0.2">
      <c r="B2465" t="s">
        <v>44</v>
      </c>
      <c r="C2465" t="str">
        <f>HYPERLINK("https://us2.cloudbeds.com/connect/8493803454333002#/reservations/598328709266?display=E19MKB31&amp;reservation_id=598328709266", "E19MKB31")</f>
        <v>E19MKB31</v>
      </c>
      <c r="D2465" t="s">
        <v>45</v>
      </c>
      <c r="E2465" t="s">
        <v>381</v>
      </c>
      <c r="F2465" t="s">
        <v>47</v>
      </c>
      <c r="G2465" t="s">
        <v>48</v>
      </c>
      <c r="H2465" t="s">
        <v>49</v>
      </c>
      <c r="I2465" t="s">
        <v>50</v>
      </c>
      <c r="J2465" t="s">
        <v>504</v>
      </c>
      <c r="K2465" t="s">
        <v>505</v>
      </c>
      <c r="L2465" t="s">
        <v>53</v>
      </c>
      <c r="N2465" t="s">
        <v>3895</v>
      </c>
      <c r="P2465" t="s">
        <v>55</v>
      </c>
      <c r="R2465" t="s">
        <v>56</v>
      </c>
      <c r="T2465" t="s">
        <v>3885</v>
      </c>
      <c r="U2465" t="s">
        <v>58</v>
      </c>
      <c r="V2465">
        <v>1</v>
      </c>
      <c r="W2465">
        <v>1</v>
      </c>
      <c r="X2465">
        <v>1</v>
      </c>
      <c r="Y2465">
        <v>0</v>
      </c>
      <c r="Z2465">
        <v>1</v>
      </c>
      <c r="AA2465">
        <v>0</v>
      </c>
      <c r="AB2465">
        <v>170.48</v>
      </c>
      <c r="AC2465">
        <v>150</v>
      </c>
      <c r="AD2465">
        <v>0</v>
      </c>
      <c r="AE2465">
        <v>20.48</v>
      </c>
      <c r="AF2465">
        <v>0</v>
      </c>
      <c r="AG2465">
        <v>0</v>
      </c>
      <c r="AH2465">
        <v>0</v>
      </c>
      <c r="AI2465">
        <v>30.69</v>
      </c>
      <c r="AJ2465">
        <v>170.48</v>
      </c>
      <c r="AK2465">
        <v>0</v>
      </c>
      <c r="AL2465" t="s">
        <v>53</v>
      </c>
      <c r="AM2465" t="s">
        <v>53</v>
      </c>
      <c r="AN2465" t="s">
        <v>198</v>
      </c>
      <c r="AO2465" t="s">
        <v>53</v>
      </c>
      <c r="AP2465" t="s">
        <v>53</v>
      </c>
    </row>
    <row r="2466" spans="2:42" x14ac:dyDescent="0.2">
      <c r="B2466" t="s">
        <v>44</v>
      </c>
      <c r="C2466" t="str">
        <f>HYPERLINK("https://us2.cloudbeds.com/connect/8493803454333002#/reservations/579293712586?display=DJX9QG9R&amp;reservation_id=579293712586", "DJX9QG9R")</f>
        <v>DJX9QG9R</v>
      </c>
      <c r="D2466" t="s">
        <v>45</v>
      </c>
      <c r="E2466" t="s">
        <v>110</v>
      </c>
      <c r="F2466" t="s">
        <v>47</v>
      </c>
      <c r="G2466" t="s">
        <v>48</v>
      </c>
      <c r="H2466" t="s">
        <v>49</v>
      </c>
      <c r="I2466" t="s">
        <v>50</v>
      </c>
      <c r="J2466" t="s">
        <v>1900</v>
      </c>
      <c r="K2466" t="s">
        <v>1296</v>
      </c>
      <c r="L2466" t="s">
        <v>53</v>
      </c>
      <c r="N2466" t="s">
        <v>3896</v>
      </c>
      <c r="P2466" t="s">
        <v>55</v>
      </c>
      <c r="R2466" t="s">
        <v>56</v>
      </c>
      <c r="T2466" t="s">
        <v>3885</v>
      </c>
      <c r="U2466" t="s">
        <v>58</v>
      </c>
      <c r="V2466">
        <v>1</v>
      </c>
      <c r="W2466">
        <v>1</v>
      </c>
      <c r="X2466">
        <v>1</v>
      </c>
      <c r="Y2466">
        <v>0</v>
      </c>
      <c r="Z2466">
        <v>1</v>
      </c>
      <c r="AA2466">
        <v>0</v>
      </c>
      <c r="AB2466">
        <v>179.57</v>
      </c>
      <c r="AC2466">
        <v>158</v>
      </c>
      <c r="AD2466">
        <v>0</v>
      </c>
      <c r="AE2466">
        <v>21.57</v>
      </c>
      <c r="AF2466">
        <v>0</v>
      </c>
      <c r="AG2466">
        <v>0</v>
      </c>
      <c r="AH2466">
        <v>0</v>
      </c>
      <c r="AI2466">
        <v>32.32</v>
      </c>
      <c r="AJ2466">
        <v>179.57</v>
      </c>
      <c r="AK2466">
        <v>0</v>
      </c>
      <c r="AL2466" t="s">
        <v>53</v>
      </c>
      <c r="AM2466" t="s">
        <v>53</v>
      </c>
      <c r="AN2466" t="s">
        <v>349</v>
      </c>
      <c r="AO2466" t="s">
        <v>53</v>
      </c>
      <c r="AP2466" t="s">
        <v>53</v>
      </c>
    </row>
    <row r="2467" spans="2:42" x14ac:dyDescent="0.2">
      <c r="B2467" t="s">
        <v>44</v>
      </c>
      <c r="C2467" t="str">
        <f>HYPERLINK("https://us2.cloudbeds.com/connect/8493803454333002#/reservations/598610292893?display=E1GT1QU7&amp;reservation_id=598610292893", "E1GT1QU7")</f>
        <v>E1GT1QU7</v>
      </c>
      <c r="D2467" t="s">
        <v>45</v>
      </c>
      <c r="E2467" t="s">
        <v>155</v>
      </c>
      <c r="F2467" t="s">
        <v>86</v>
      </c>
      <c r="G2467" t="s">
        <v>48</v>
      </c>
      <c r="H2467" t="s">
        <v>49</v>
      </c>
      <c r="I2467" t="s">
        <v>50</v>
      </c>
      <c r="J2467" t="s">
        <v>100</v>
      </c>
      <c r="K2467" t="s">
        <v>504</v>
      </c>
      <c r="L2467" t="s">
        <v>53</v>
      </c>
      <c r="N2467" t="s">
        <v>3897</v>
      </c>
      <c r="P2467" t="s">
        <v>55</v>
      </c>
      <c r="R2467" t="s">
        <v>56</v>
      </c>
      <c r="T2467" t="s">
        <v>3885</v>
      </c>
      <c r="U2467" t="s">
        <v>58</v>
      </c>
      <c r="V2467">
        <v>1</v>
      </c>
      <c r="W2467">
        <v>1</v>
      </c>
      <c r="X2467">
        <v>1</v>
      </c>
      <c r="Y2467">
        <v>0</v>
      </c>
      <c r="Z2467">
        <v>1</v>
      </c>
      <c r="AA2467">
        <v>0</v>
      </c>
      <c r="AB2467">
        <v>173.88</v>
      </c>
      <c r="AC2467">
        <v>153</v>
      </c>
      <c r="AD2467">
        <v>0</v>
      </c>
      <c r="AE2467">
        <v>20.89</v>
      </c>
      <c r="AF2467">
        <v>0</v>
      </c>
      <c r="AG2467">
        <v>0</v>
      </c>
      <c r="AH2467">
        <v>0</v>
      </c>
      <c r="AI2467">
        <v>31.3</v>
      </c>
      <c r="AJ2467">
        <v>173.89</v>
      </c>
      <c r="AK2467">
        <v>0.01</v>
      </c>
      <c r="AL2467" t="s">
        <v>53</v>
      </c>
      <c r="AM2467" t="s">
        <v>53</v>
      </c>
      <c r="AN2467" t="s">
        <v>104</v>
      </c>
      <c r="AO2467" t="s">
        <v>53</v>
      </c>
      <c r="AP2467" t="s">
        <v>53</v>
      </c>
    </row>
    <row r="2468" spans="2:42" x14ac:dyDescent="0.2">
      <c r="B2468" t="s">
        <v>44</v>
      </c>
      <c r="C2468" t="str">
        <f>HYPERLINK("https://us2.cloudbeds.com/connect/8493803454333002#/reservations/579351556231?display=DJJPJ2JH&amp;reservation_id=579351556231", "DJJPJ2JH")</f>
        <v>DJJPJ2JH</v>
      </c>
      <c r="D2468" t="s">
        <v>45</v>
      </c>
      <c r="E2468" t="s">
        <v>213</v>
      </c>
      <c r="F2468" t="s">
        <v>86</v>
      </c>
      <c r="G2468" t="s">
        <v>48</v>
      </c>
      <c r="H2468" t="s">
        <v>71</v>
      </c>
      <c r="I2468" t="s">
        <v>72</v>
      </c>
      <c r="J2468" t="s">
        <v>1140</v>
      </c>
      <c r="K2468" t="s">
        <v>1451</v>
      </c>
      <c r="L2468" t="s">
        <v>53</v>
      </c>
      <c r="N2468" t="s">
        <v>3898</v>
      </c>
      <c r="P2468" t="s">
        <v>58</v>
      </c>
      <c r="R2468" t="s">
        <v>56</v>
      </c>
      <c r="T2468" t="s">
        <v>3885</v>
      </c>
      <c r="U2468" t="s">
        <v>58</v>
      </c>
      <c r="V2468">
        <v>4</v>
      </c>
      <c r="W2468">
        <v>1</v>
      </c>
      <c r="X2468">
        <v>1</v>
      </c>
      <c r="Y2468">
        <v>0</v>
      </c>
      <c r="Z2468">
        <v>1</v>
      </c>
      <c r="AA2468">
        <v>0</v>
      </c>
      <c r="AB2468">
        <v>756.92</v>
      </c>
      <c r="AC2468">
        <v>666</v>
      </c>
      <c r="AD2468">
        <v>0</v>
      </c>
      <c r="AE2468">
        <v>90.92</v>
      </c>
      <c r="AF2468">
        <v>0</v>
      </c>
      <c r="AG2468">
        <v>0</v>
      </c>
      <c r="AH2468">
        <v>0</v>
      </c>
      <c r="AI2468">
        <v>0</v>
      </c>
      <c r="AJ2468">
        <v>756.92</v>
      </c>
      <c r="AK2468">
        <v>0</v>
      </c>
      <c r="AL2468" t="s">
        <v>53</v>
      </c>
      <c r="AM2468" t="s">
        <v>53</v>
      </c>
      <c r="AN2468" t="s">
        <v>3899</v>
      </c>
      <c r="AO2468" t="s">
        <v>53</v>
      </c>
      <c r="AP2468" t="s">
        <v>53</v>
      </c>
    </row>
    <row r="2469" spans="2:42" x14ac:dyDescent="0.2">
      <c r="B2469" t="s">
        <v>44</v>
      </c>
      <c r="C2469" t="str">
        <f>HYPERLINK("https://us2.cloudbeds.com/connect/8493803454333002#/reservations/579355328713?display=DJJSP1P6&amp;reservation_id=579355328713", "DJJSP1P6")</f>
        <v>DJJSP1P6</v>
      </c>
      <c r="D2469" t="s">
        <v>45</v>
      </c>
      <c r="E2469" t="s">
        <v>105</v>
      </c>
      <c r="F2469" t="s">
        <v>47</v>
      </c>
      <c r="G2469" t="s">
        <v>48</v>
      </c>
      <c r="H2469" t="s">
        <v>71</v>
      </c>
      <c r="I2469" t="s">
        <v>72</v>
      </c>
      <c r="J2469" t="s">
        <v>1336</v>
      </c>
      <c r="K2469" t="s">
        <v>1380</v>
      </c>
      <c r="L2469" t="s">
        <v>53</v>
      </c>
      <c r="N2469" t="s">
        <v>3900</v>
      </c>
      <c r="P2469" t="s">
        <v>55</v>
      </c>
      <c r="R2469" t="s">
        <v>56</v>
      </c>
      <c r="T2469" t="s">
        <v>3885</v>
      </c>
      <c r="U2469" t="s">
        <v>58</v>
      </c>
      <c r="V2469">
        <v>3</v>
      </c>
      <c r="W2469">
        <v>1</v>
      </c>
      <c r="X2469">
        <v>1</v>
      </c>
      <c r="Y2469">
        <v>0</v>
      </c>
      <c r="Z2469">
        <v>1</v>
      </c>
      <c r="AA2469">
        <v>0</v>
      </c>
      <c r="AB2469">
        <v>389.83</v>
      </c>
      <c r="AC2469">
        <v>343</v>
      </c>
      <c r="AD2469">
        <v>0</v>
      </c>
      <c r="AE2469">
        <v>46.83</v>
      </c>
      <c r="AF2469">
        <v>0</v>
      </c>
      <c r="AG2469">
        <v>0</v>
      </c>
      <c r="AH2469">
        <v>0</v>
      </c>
      <c r="AI2469">
        <v>0</v>
      </c>
      <c r="AJ2469">
        <v>389.83</v>
      </c>
      <c r="AK2469">
        <v>0</v>
      </c>
      <c r="AL2469" t="s">
        <v>53</v>
      </c>
      <c r="AM2469" t="s">
        <v>53</v>
      </c>
      <c r="AN2469" t="s">
        <v>3901</v>
      </c>
      <c r="AO2469" t="s">
        <v>53</v>
      </c>
      <c r="AP2469" t="s">
        <v>53</v>
      </c>
    </row>
    <row r="2470" spans="2:42" x14ac:dyDescent="0.2">
      <c r="B2470" t="s">
        <v>44</v>
      </c>
      <c r="C2470" t="str">
        <f>HYPERLINK("https://us2.cloudbeds.com/connect/8493803454333002#/reservations/579136876741?display=DJE9XA2D&amp;reservation_id=579136876741", "DJE9XA2D")</f>
        <v>DJE9XA2D</v>
      </c>
      <c r="D2470" t="s">
        <v>45</v>
      </c>
      <c r="E2470" t="s">
        <v>406</v>
      </c>
      <c r="F2470" t="s">
        <v>61</v>
      </c>
      <c r="G2470" t="s">
        <v>48</v>
      </c>
      <c r="H2470" t="s">
        <v>49</v>
      </c>
      <c r="I2470" t="s">
        <v>62</v>
      </c>
      <c r="J2470" t="s">
        <v>2639</v>
      </c>
      <c r="K2470" t="s">
        <v>3031</v>
      </c>
      <c r="L2470" t="s">
        <v>53</v>
      </c>
      <c r="N2470" t="s">
        <v>3902</v>
      </c>
      <c r="P2470" t="s">
        <v>55</v>
      </c>
      <c r="R2470" t="s">
        <v>56</v>
      </c>
      <c r="T2470" t="s">
        <v>3885</v>
      </c>
      <c r="U2470" t="s">
        <v>58</v>
      </c>
      <c r="V2470">
        <v>2</v>
      </c>
      <c r="W2470">
        <v>1</v>
      </c>
      <c r="X2470">
        <v>1</v>
      </c>
      <c r="Y2470">
        <v>0</v>
      </c>
      <c r="Z2470">
        <v>1</v>
      </c>
      <c r="AA2470">
        <v>0</v>
      </c>
      <c r="AB2470">
        <v>363.68</v>
      </c>
      <c r="AC2470">
        <v>320</v>
      </c>
      <c r="AD2470">
        <v>0</v>
      </c>
      <c r="AE2470">
        <v>43.68</v>
      </c>
      <c r="AF2470">
        <v>0</v>
      </c>
      <c r="AG2470">
        <v>0</v>
      </c>
      <c r="AH2470">
        <v>0</v>
      </c>
      <c r="AI2470">
        <v>54.55</v>
      </c>
      <c r="AJ2470">
        <v>363.68</v>
      </c>
      <c r="AK2470">
        <v>0</v>
      </c>
      <c r="AL2470" t="s">
        <v>53</v>
      </c>
      <c r="AM2470" t="s">
        <v>53</v>
      </c>
      <c r="AN2470" t="s">
        <v>178</v>
      </c>
      <c r="AO2470" t="s">
        <v>53</v>
      </c>
      <c r="AP2470" t="s">
        <v>53</v>
      </c>
    </row>
    <row r="2471" spans="2:42" x14ac:dyDescent="0.2">
      <c r="B2471" t="s">
        <v>44</v>
      </c>
      <c r="C2471" t="str">
        <f>HYPERLINK("https://us2.cloudbeds.com/connect/8493803454333002#/reservations/598535811296?display=E1EW88E4&amp;reservation_id=598535811296", "E1EW88E4")</f>
        <v>E1EW88E4</v>
      </c>
      <c r="D2471" t="s">
        <v>45</v>
      </c>
      <c r="E2471" t="s">
        <v>121</v>
      </c>
      <c r="F2471" t="s">
        <v>86</v>
      </c>
      <c r="G2471" t="s">
        <v>48</v>
      </c>
      <c r="H2471" t="s">
        <v>49</v>
      </c>
      <c r="I2471" t="s">
        <v>50</v>
      </c>
      <c r="J2471" t="s">
        <v>100</v>
      </c>
      <c r="K2471" t="s">
        <v>504</v>
      </c>
      <c r="L2471" t="s">
        <v>53</v>
      </c>
      <c r="N2471" t="s">
        <v>3903</v>
      </c>
      <c r="P2471" t="s">
        <v>55</v>
      </c>
      <c r="R2471" t="s">
        <v>56</v>
      </c>
      <c r="T2471" t="s">
        <v>3885</v>
      </c>
      <c r="U2471" t="s">
        <v>58</v>
      </c>
      <c r="V2471">
        <v>1</v>
      </c>
      <c r="W2471">
        <v>1</v>
      </c>
      <c r="X2471">
        <v>1</v>
      </c>
      <c r="Y2471">
        <v>0</v>
      </c>
      <c r="Z2471">
        <v>1</v>
      </c>
      <c r="AA2471">
        <v>0</v>
      </c>
      <c r="AB2471">
        <v>173.88</v>
      </c>
      <c r="AC2471">
        <v>153</v>
      </c>
      <c r="AD2471">
        <v>0</v>
      </c>
      <c r="AE2471">
        <v>20.89</v>
      </c>
      <c r="AF2471">
        <v>0</v>
      </c>
      <c r="AG2471">
        <v>0</v>
      </c>
      <c r="AH2471">
        <v>0</v>
      </c>
      <c r="AI2471">
        <v>31.3</v>
      </c>
      <c r="AJ2471">
        <v>173.89</v>
      </c>
      <c r="AK2471">
        <v>0.01</v>
      </c>
      <c r="AL2471" t="s">
        <v>53</v>
      </c>
      <c r="AM2471" t="s">
        <v>53</v>
      </c>
      <c r="AN2471" t="s">
        <v>97</v>
      </c>
      <c r="AO2471" t="s">
        <v>53</v>
      </c>
      <c r="AP2471" t="s">
        <v>53</v>
      </c>
    </row>
    <row r="2472" spans="2:42" x14ac:dyDescent="0.2">
      <c r="B2472" t="s">
        <v>44</v>
      </c>
      <c r="C2472" t="str">
        <f>HYPERLINK("https://us2.cloudbeds.com/connect/8493803454333002#/reservations/598533972207?display=E1EUN2Y3&amp;reservation_id=598533972207", "E1EUN2Y3")</f>
        <v>E1EUN2Y3</v>
      </c>
      <c r="D2472" t="s">
        <v>45</v>
      </c>
      <c r="E2472" t="s">
        <v>487</v>
      </c>
      <c r="F2472" t="s">
        <v>61</v>
      </c>
      <c r="G2472" t="s">
        <v>48</v>
      </c>
      <c r="H2472" t="s">
        <v>49</v>
      </c>
      <c r="I2472" t="s">
        <v>50</v>
      </c>
      <c r="J2472" t="s">
        <v>100</v>
      </c>
      <c r="K2472" t="s">
        <v>504</v>
      </c>
      <c r="L2472" t="s">
        <v>53</v>
      </c>
      <c r="N2472" t="s">
        <v>3904</v>
      </c>
      <c r="P2472" t="s">
        <v>55</v>
      </c>
      <c r="R2472" t="s">
        <v>56</v>
      </c>
      <c r="T2472" t="s">
        <v>3885</v>
      </c>
      <c r="U2472" t="s">
        <v>58</v>
      </c>
      <c r="V2472">
        <v>1</v>
      </c>
      <c r="W2472">
        <v>1</v>
      </c>
      <c r="X2472">
        <v>1</v>
      </c>
      <c r="Y2472">
        <v>0</v>
      </c>
      <c r="Z2472">
        <v>1</v>
      </c>
      <c r="AA2472">
        <v>0</v>
      </c>
      <c r="AB2472">
        <v>163.66</v>
      </c>
      <c r="AC2472">
        <v>144</v>
      </c>
      <c r="AD2472">
        <v>0</v>
      </c>
      <c r="AE2472">
        <v>19.66</v>
      </c>
      <c r="AF2472">
        <v>0</v>
      </c>
      <c r="AG2472">
        <v>0</v>
      </c>
      <c r="AH2472">
        <v>0</v>
      </c>
      <c r="AI2472">
        <v>29.46</v>
      </c>
      <c r="AJ2472">
        <v>163.66</v>
      </c>
      <c r="AK2472">
        <v>0</v>
      </c>
      <c r="AL2472" t="s">
        <v>53</v>
      </c>
      <c r="AM2472" t="s">
        <v>53</v>
      </c>
      <c r="AN2472" t="s">
        <v>127</v>
      </c>
      <c r="AO2472" t="s">
        <v>53</v>
      </c>
      <c r="AP2472" t="s">
        <v>53</v>
      </c>
    </row>
    <row r="2473" spans="2:42" x14ac:dyDescent="0.2">
      <c r="B2473" t="s">
        <v>44</v>
      </c>
      <c r="C2473" t="str">
        <f>HYPERLINK("https://us2.cloudbeds.com/connect/8493803454333002#/reservations/598631051470?display=E1HDXEW0&amp;reservation_id=598631051470", "E1HDXEW0")</f>
        <v>E1HDXEW0</v>
      </c>
      <c r="D2473" t="s">
        <v>45</v>
      </c>
      <c r="E2473" t="s">
        <v>92</v>
      </c>
      <c r="F2473" t="s">
        <v>86</v>
      </c>
      <c r="G2473" t="s">
        <v>48</v>
      </c>
      <c r="H2473" t="s">
        <v>49</v>
      </c>
      <c r="I2473" t="s">
        <v>62</v>
      </c>
      <c r="J2473" t="s">
        <v>100</v>
      </c>
      <c r="K2473" t="s">
        <v>504</v>
      </c>
      <c r="L2473" t="s">
        <v>53</v>
      </c>
      <c r="N2473" t="s">
        <v>3905</v>
      </c>
      <c r="P2473" t="s">
        <v>55</v>
      </c>
      <c r="R2473" t="s">
        <v>56</v>
      </c>
      <c r="T2473" t="s">
        <v>3885</v>
      </c>
      <c r="U2473" t="s">
        <v>58</v>
      </c>
      <c r="V2473">
        <v>1</v>
      </c>
      <c r="W2473">
        <v>1</v>
      </c>
      <c r="X2473">
        <v>1</v>
      </c>
      <c r="Y2473">
        <v>0</v>
      </c>
      <c r="Z2473">
        <v>1</v>
      </c>
      <c r="AA2473">
        <v>0</v>
      </c>
      <c r="AB2473">
        <v>193.21</v>
      </c>
      <c r="AC2473">
        <v>170</v>
      </c>
      <c r="AD2473">
        <v>0</v>
      </c>
      <c r="AE2473">
        <v>23.21</v>
      </c>
      <c r="AF2473">
        <v>0</v>
      </c>
      <c r="AG2473">
        <v>0</v>
      </c>
      <c r="AH2473">
        <v>0</v>
      </c>
      <c r="AI2473">
        <v>28.98</v>
      </c>
      <c r="AJ2473">
        <v>193.21</v>
      </c>
      <c r="AK2473">
        <v>0</v>
      </c>
      <c r="AL2473" t="s">
        <v>53</v>
      </c>
      <c r="AM2473" t="s">
        <v>53</v>
      </c>
      <c r="AN2473" t="s">
        <v>178</v>
      </c>
      <c r="AO2473" t="s">
        <v>53</v>
      </c>
      <c r="AP2473" t="s">
        <v>53</v>
      </c>
    </row>
    <row r="2474" spans="2:42" x14ac:dyDescent="0.2">
      <c r="B2474" t="s">
        <v>44</v>
      </c>
      <c r="C2474" t="str">
        <f>HYPERLINK("https://us2.cloudbeds.com/connect/8493803454333002#/reservations/579388309643?display=DJKNXQ9A&amp;reservation_id=579388309643", "DJKNXQ9A")</f>
        <v>DJKNXQ9A</v>
      </c>
      <c r="D2474" t="s">
        <v>45</v>
      </c>
      <c r="E2474" t="s">
        <v>85</v>
      </c>
      <c r="F2474" t="s">
        <v>86</v>
      </c>
      <c r="G2474" t="s">
        <v>48</v>
      </c>
      <c r="H2474" t="s">
        <v>71</v>
      </c>
      <c r="I2474" t="s">
        <v>72</v>
      </c>
      <c r="J2474" t="s">
        <v>1779</v>
      </c>
      <c r="K2474" t="s">
        <v>3906</v>
      </c>
      <c r="L2474" t="s">
        <v>53</v>
      </c>
      <c r="N2474" t="s">
        <v>3907</v>
      </c>
      <c r="P2474" t="s">
        <v>55</v>
      </c>
      <c r="R2474" t="s">
        <v>56</v>
      </c>
      <c r="T2474" t="s">
        <v>3908</v>
      </c>
      <c r="U2474" t="s">
        <v>58</v>
      </c>
      <c r="V2474">
        <v>1</v>
      </c>
      <c r="W2474">
        <v>1</v>
      </c>
      <c r="X2474">
        <v>1</v>
      </c>
      <c r="Y2474">
        <v>0</v>
      </c>
      <c r="Z2474">
        <v>1</v>
      </c>
      <c r="AA2474">
        <v>0</v>
      </c>
      <c r="AB2474">
        <v>137.52000000000001</v>
      </c>
      <c r="AC2474">
        <v>121</v>
      </c>
      <c r="AD2474">
        <v>0</v>
      </c>
      <c r="AE2474">
        <v>16.52</v>
      </c>
      <c r="AF2474">
        <v>0</v>
      </c>
      <c r="AG2474">
        <v>0</v>
      </c>
      <c r="AH2474">
        <v>0</v>
      </c>
      <c r="AI2474">
        <v>0</v>
      </c>
      <c r="AJ2474">
        <v>137.52000000000001</v>
      </c>
      <c r="AK2474">
        <v>0</v>
      </c>
      <c r="AL2474" t="s">
        <v>53</v>
      </c>
      <c r="AM2474" t="s">
        <v>53</v>
      </c>
      <c r="AN2474" t="s">
        <v>378</v>
      </c>
      <c r="AO2474" t="s">
        <v>53</v>
      </c>
      <c r="AP2474" t="s">
        <v>53</v>
      </c>
    </row>
    <row r="2475" spans="2:42" x14ac:dyDescent="0.2">
      <c r="B2475" t="s">
        <v>44</v>
      </c>
      <c r="C2475" t="str">
        <f>HYPERLINK("https://us2.cloudbeds.com/connect/8493803454333002#/reservations/579265761486?display=DJHJ7NHQ&amp;reservation_id=579265761486", "DJHJ7NHQ")</f>
        <v>DJHJ7NHQ</v>
      </c>
      <c r="D2475" t="s">
        <v>45</v>
      </c>
      <c r="E2475" t="s">
        <v>213</v>
      </c>
      <c r="F2475" t="s">
        <v>86</v>
      </c>
      <c r="G2475" t="s">
        <v>48</v>
      </c>
      <c r="H2475" t="s">
        <v>49</v>
      </c>
      <c r="I2475" t="s">
        <v>50</v>
      </c>
      <c r="J2475" t="s">
        <v>3043</v>
      </c>
      <c r="K2475" t="s">
        <v>2469</v>
      </c>
      <c r="L2475" t="s">
        <v>53</v>
      </c>
      <c r="N2475" t="s">
        <v>3909</v>
      </c>
      <c r="P2475" t="s">
        <v>55</v>
      </c>
      <c r="R2475" t="s">
        <v>56</v>
      </c>
      <c r="T2475" t="s">
        <v>3908</v>
      </c>
      <c r="U2475" t="s">
        <v>58</v>
      </c>
      <c r="V2475">
        <v>1</v>
      </c>
      <c r="W2475">
        <v>1</v>
      </c>
      <c r="X2475">
        <v>1</v>
      </c>
      <c r="Y2475">
        <v>0</v>
      </c>
      <c r="Z2475">
        <v>1</v>
      </c>
      <c r="AA2475">
        <v>0</v>
      </c>
      <c r="AB2475">
        <v>171.83</v>
      </c>
      <c r="AC2475">
        <v>151.19999999999999</v>
      </c>
      <c r="AD2475">
        <v>0</v>
      </c>
      <c r="AE2475">
        <v>20.63</v>
      </c>
      <c r="AF2475">
        <v>0</v>
      </c>
      <c r="AG2475">
        <v>0</v>
      </c>
      <c r="AH2475">
        <v>0</v>
      </c>
      <c r="AI2475">
        <v>30.93</v>
      </c>
      <c r="AJ2475">
        <v>171.83</v>
      </c>
      <c r="AK2475">
        <v>0</v>
      </c>
      <c r="AL2475" t="s">
        <v>53</v>
      </c>
      <c r="AM2475" t="s">
        <v>53</v>
      </c>
      <c r="AN2475" t="s">
        <v>178</v>
      </c>
      <c r="AO2475" t="s">
        <v>53</v>
      </c>
      <c r="AP2475" t="s">
        <v>53</v>
      </c>
    </row>
    <row r="2476" spans="2:42" x14ac:dyDescent="0.2">
      <c r="B2476" t="s">
        <v>44</v>
      </c>
      <c r="C2476" t="str">
        <f>HYPERLINK("https://us2.cloudbeds.com/connect/8493803454333002#/reservations/579289145590?display=DJX5VDHW&amp;reservation_id=579289145590", "DJX5VDHW")</f>
        <v>DJX5VDHW</v>
      </c>
      <c r="D2476" t="s">
        <v>45</v>
      </c>
      <c r="E2476" t="s">
        <v>373</v>
      </c>
      <c r="F2476" t="s">
        <v>47</v>
      </c>
      <c r="G2476" t="s">
        <v>48</v>
      </c>
      <c r="H2476" t="s">
        <v>49</v>
      </c>
      <c r="I2476" t="s">
        <v>50</v>
      </c>
      <c r="J2476" t="s">
        <v>1295</v>
      </c>
      <c r="K2476" t="s">
        <v>3031</v>
      </c>
      <c r="L2476" t="s">
        <v>53</v>
      </c>
      <c r="N2476" t="s">
        <v>3910</v>
      </c>
      <c r="P2476" t="s">
        <v>55</v>
      </c>
      <c r="R2476" t="s">
        <v>56</v>
      </c>
      <c r="T2476" t="s">
        <v>3908</v>
      </c>
      <c r="U2476" t="s">
        <v>58</v>
      </c>
      <c r="V2476">
        <v>1</v>
      </c>
      <c r="W2476">
        <v>1</v>
      </c>
      <c r="X2476">
        <v>1</v>
      </c>
      <c r="Y2476">
        <v>0</v>
      </c>
      <c r="Z2476">
        <v>1</v>
      </c>
      <c r="AA2476">
        <v>0</v>
      </c>
      <c r="AB2476">
        <v>156.49</v>
      </c>
      <c r="AC2476">
        <v>137.69999999999999</v>
      </c>
      <c r="AD2476">
        <v>0</v>
      </c>
      <c r="AE2476">
        <v>18.79</v>
      </c>
      <c r="AF2476">
        <v>0</v>
      </c>
      <c r="AG2476">
        <v>0</v>
      </c>
      <c r="AH2476">
        <v>0</v>
      </c>
      <c r="AI2476">
        <v>28.17</v>
      </c>
      <c r="AJ2476">
        <v>156.49</v>
      </c>
      <c r="AK2476">
        <v>0</v>
      </c>
      <c r="AL2476" t="s">
        <v>53</v>
      </c>
      <c r="AM2476" t="s">
        <v>53</v>
      </c>
      <c r="AN2476" t="s">
        <v>3911</v>
      </c>
      <c r="AO2476" t="s">
        <v>53</v>
      </c>
      <c r="AP2476" t="s">
        <v>53</v>
      </c>
    </row>
    <row r="2477" spans="2:42" x14ac:dyDescent="0.2">
      <c r="B2477" t="s">
        <v>44</v>
      </c>
      <c r="C2477" t="str">
        <f>HYPERLINK("https://us2.cloudbeds.com/connect/8493803454333002#/reservations/598467604701?display=E1D7ZA3K&amp;reservation_id=598467604701", "E1D7ZA3K")</f>
        <v>E1D7ZA3K</v>
      </c>
      <c r="D2477" t="s">
        <v>45</v>
      </c>
      <c r="E2477" t="s">
        <v>487</v>
      </c>
      <c r="F2477" t="s">
        <v>61</v>
      </c>
      <c r="G2477" t="s">
        <v>48</v>
      </c>
      <c r="H2477" t="s">
        <v>49</v>
      </c>
      <c r="I2477" t="s">
        <v>50</v>
      </c>
      <c r="J2477" t="s">
        <v>504</v>
      </c>
      <c r="K2477" t="s">
        <v>505</v>
      </c>
      <c r="L2477" t="s">
        <v>53</v>
      </c>
      <c r="N2477" t="s">
        <v>3912</v>
      </c>
      <c r="P2477" t="s">
        <v>55</v>
      </c>
      <c r="R2477" t="s">
        <v>56</v>
      </c>
      <c r="T2477" t="s">
        <v>3908</v>
      </c>
      <c r="U2477" t="s">
        <v>58</v>
      </c>
      <c r="V2477">
        <v>1</v>
      </c>
      <c r="W2477">
        <v>1</v>
      </c>
      <c r="X2477">
        <v>1</v>
      </c>
      <c r="Y2477">
        <v>0</v>
      </c>
      <c r="Z2477">
        <v>1</v>
      </c>
      <c r="AA2477">
        <v>0</v>
      </c>
      <c r="AB2477">
        <v>163.66</v>
      </c>
      <c r="AC2477">
        <v>144</v>
      </c>
      <c r="AD2477">
        <v>0</v>
      </c>
      <c r="AE2477">
        <v>19.66</v>
      </c>
      <c r="AF2477">
        <v>0</v>
      </c>
      <c r="AG2477">
        <v>0</v>
      </c>
      <c r="AH2477">
        <v>0</v>
      </c>
      <c r="AI2477">
        <v>29.46</v>
      </c>
      <c r="AJ2477">
        <v>163.66</v>
      </c>
      <c r="AK2477">
        <v>0</v>
      </c>
      <c r="AL2477" t="s">
        <v>53</v>
      </c>
      <c r="AM2477" t="s">
        <v>53</v>
      </c>
      <c r="AN2477" t="s">
        <v>198</v>
      </c>
      <c r="AO2477" t="s">
        <v>53</v>
      </c>
      <c r="AP2477" t="s">
        <v>53</v>
      </c>
    </row>
    <row r="2478" spans="2:42" x14ac:dyDescent="0.2">
      <c r="B2478" t="s">
        <v>44</v>
      </c>
      <c r="C2478" t="str">
        <f>HYPERLINK("https://us2.cloudbeds.com/connect/8493803454333002#/reservations/579288244401?display=DJX56B08&amp;reservation_id=579288244401", "DJX56B08")</f>
        <v>DJX56B08</v>
      </c>
      <c r="D2478" t="s">
        <v>45</v>
      </c>
      <c r="E2478" t="s">
        <v>406</v>
      </c>
      <c r="F2478" t="s">
        <v>61</v>
      </c>
      <c r="G2478" t="s">
        <v>48</v>
      </c>
      <c r="H2478" t="s">
        <v>49</v>
      </c>
      <c r="I2478" t="s">
        <v>62</v>
      </c>
      <c r="J2478" t="s">
        <v>1665</v>
      </c>
      <c r="K2478" t="s">
        <v>3514</v>
      </c>
      <c r="L2478" t="s">
        <v>53</v>
      </c>
      <c r="N2478" t="s">
        <v>3913</v>
      </c>
      <c r="P2478" t="s">
        <v>55</v>
      </c>
      <c r="R2478" t="s">
        <v>56</v>
      </c>
      <c r="T2478" t="s">
        <v>3908</v>
      </c>
      <c r="U2478" t="s">
        <v>58</v>
      </c>
      <c r="V2478">
        <v>2</v>
      </c>
      <c r="W2478">
        <v>1</v>
      </c>
      <c r="X2478">
        <v>1</v>
      </c>
      <c r="Y2478">
        <v>0</v>
      </c>
      <c r="Z2478">
        <v>1</v>
      </c>
      <c r="AA2478">
        <v>0</v>
      </c>
      <c r="AB2478">
        <v>347.78</v>
      </c>
      <c r="AC2478">
        <v>306</v>
      </c>
      <c r="AD2478">
        <v>0</v>
      </c>
      <c r="AE2478">
        <v>41.78</v>
      </c>
      <c r="AF2478">
        <v>0</v>
      </c>
      <c r="AG2478">
        <v>0</v>
      </c>
      <c r="AH2478">
        <v>0</v>
      </c>
      <c r="AI2478">
        <v>52.17</v>
      </c>
      <c r="AJ2478">
        <v>347.78</v>
      </c>
      <c r="AK2478">
        <v>0</v>
      </c>
      <c r="AL2478" t="s">
        <v>53</v>
      </c>
      <c r="AM2478" t="s">
        <v>53</v>
      </c>
      <c r="AN2478" t="s">
        <v>413</v>
      </c>
      <c r="AO2478" t="s">
        <v>53</v>
      </c>
      <c r="AP2478" t="s">
        <v>53</v>
      </c>
    </row>
    <row r="2479" spans="2:42" x14ac:dyDescent="0.2">
      <c r="B2479" t="s">
        <v>44</v>
      </c>
      <c r="C2479" t="str">
        <f>HYPERLINK("https://us2.cloudbeds.com/connect/8493803454333002#/reservations/598587302118?display=E1G9M232&amp;reservation_id=598587302118", "E1G9M232")</f>
        <v>E1G9M232</v>
      </c>
      <c r="D2479" t="s">
        <v>45</v>
      </c>
      <c r="E2479" t="s">
        <v>190</v>
      </c>
      <c r="F2479" t="s">
        <v>61</v>
      </c>
      <c r="G2479" t="s">
        <v>48</v>
      </c>
      <c r="H2479" t="s">
        <v>49</v>
      </c>
      <c r="I2479" t="s">
        <v>62</v>
      </c>
      <c r="J2479" t="s">
        <v>504</v>
      </c>
      <c r="K2479" t="s">
        <v>505</v>
      </c>
      <c r="L2479" t="s">
        <v>53</v>
      </c>
      <c r="N2479" t="s">
        <v>3914</v>
      </c>
      <c r="P2479" t="s">
        <v>55</v>
      </c>
      <c r="R2479" t="s">
        <v>56</v>
      </c>
      <c r="T2479" t="s">
        <v>3908</v>
      </c>
      <c r="U2479" t="s">
        <v>58</v>
      </c>
      <c r="V2479">
        <v>1</v>
      </c>
      <c r="W2479">
        <v>1</v>
      </c>
      <c r="X2479">
        <v>1</v>
      </c>
      <c r="Y2479">
        <v>0</v>
      </c>
      <c r="Z2479">
        <v>1</v>
      </c>
      <c r="AA2479">
        <v>0</v>
      </c>
      <c r="AB2479">
        <v>181.84</v>
      </c>
      <c r="AC2479">
        <v>160</v>
      </c>
      <c r="AD2479">
        <v>0</v>
      </c>
      <c r="AE2479">
        <v>21.84</v>
      </c>
      <c r="AF2479">
        <v>0</v>
      </c>
      <c r="AG2479">
        <v>0</v>
      </c>
      <c r="AH2479">
        <v>0</v>
      </c>
      <c r="AI2479">
        <v>27.28</v>
      </c>
      <c r="AJ2479">
        <v>181.84</v>
      </c>
      <c r="AK2479">
        <v>0</v>
      </c>
      <c r="AL2479" t="s">
        <v>53</v>
      </c>
      <c r="AM2479" t="s">
        <v>53</v>
      </c>
      <c r="AN2479" t="s">
        <v>198</v>
      </c>
      <c r="AO2479" t="s">
        <v>53</v>
      </c>
      <c r="AP2479" t="s">
        <v>53</v>
      </c>
    </row>
    <row r="2480" spans="2:42" x14ac:dyDescent="0.2">
      <c r="B2480" t="s">
        <v>44</v>
      </c>
      <c r="C2480" t="str">
        <f>HYPERLINK("https://us2.cloudbeds.com/connect/8493803454333002#/reservations/579167039691?display=DJF1WKTW&amp;reservation_id=579167039691", "DJF1WKTW")</f>
        <v>DJF1WKTW</v>
      </c>
      <c r="D2480" t="s">
        <v>45</v>
      </c>
      <c r="E2480" t="s">
        <v>138</v>
      </c>
      <c r="F2480" t="s">
        <v>70</v>
      </c>
      <c r="G2480" t="s">
        <v>48</v>
      </c>
      <c r="H2480" t="s">
        <v>49</v>
      </c>
      <c r="I2480" t="s">
        <v>79</v>
      </c>
      <c r="J2480" t="s">
        <v>603</v>
      </c>
      <c r="K2480" t="s">
        <v>1367</v>
      </c>
      <c r="L2480" t="s">
        <v>53</v>
      </c>
      <c r="N2480" t="s">
        <v>3915</v>
      </c>
      <c r="P2480" t="s">
        <v>55</v>
      </c>
      <c r="R2480" t="s">
        <v>56</v>
      </c>
      <c r="T2480" t="s">
        <v>3908</v>
      </c>
      <c r="U2480" t="s">
        <v>58</v>
      </c>
      <c r="V2480">
        <v>1</v>
      </c>
      <c r="W2480">
        <v>1</v>
      </c>
      <c r="X2480">
        <v>1</v>
      </c>
      <c r="Y2480">
        <v>0</v>
      </c>
      <c r="Z2480">
        <v>1</v>
      </c>
      <c r="AA2480">
        <v>0</v>
      </c>
      <c r="AB2480">
        <v>140.13999999999999</v>
      </c>
      <c r="AC2480">
        <v>123.3</v>
      </c>
      <c r="AD2480">
        <v>0</v>
      </c>
      <c r="AE2480">
        <v>16.84</v>
      </c>
      <c r="AF2480">
        <v>0</v>
      </c>
      <c r="AG2480">
        <v>0</v>
      </c>
      <c r="AH2480">
        <v>0</v>
      </c>
      <c r="AI2480">
        <v>0</v>
      </c>
      <c r="AJ2480">
        <v>140.13999999999999</v>
      </c>
      <c r="AK2480">
        <v>0</v>
      </c>
      <c r="AL2480" t="s">
        <v>53</v>
      </c>
      <c r="AM2480" t="s">
        <v>53</v>
      </c>
      <c r="AN2480" t="s">
        <v>91</v>
      </c>
      <c r="AO2480" t="s">
        <v>53</v>
      </c>
      <c r="AP2480" t="s">
        <v>53</v>
      </c>
    </row>
    <row r="2481" spans="2:42" x14ac:dyDescent="0.2">
      <c r="B2481" t="s">
        <v>44</v>
      </c>
      <c r="C2481" t="str">
        <f>HYPERLINK("https://us2.cloudbeds.com/connect/8493803454333002#/reservations/579395117196?display=DJKTA7FQ&amp;reservation_id=579395117196", "DJKTA7FQ")</f>
        <v>DJKTA7FQ</v>
      </c>
      <c r="D2481" t="s">
        <v>45</v>
      </c>
      <c r="E2481" t="s">
        <v>381</v>
      </c>
      <c r="F2481" t="s">
        <v>47</v>
      </c>
      <c r="G2481" t="s">
        <v>48</v>
      </c>
      <c r="H2481" t="s">
        <v>49</v>
      </c>
      <c r="I2481" t="s">
        <v>50</v>
      </c>
      <c r="J2481" t="s">
        <v>1555</v>
      </c>
      <c r="K2481" t="s">
        <v>1556</v>
      </c>
      <c r="L2481" t="s">
        <v>53</v>
      </c>
      <c r="N2481" t="s">
        <v>3916</v>
      </c>
      <c r="P2481" t="s">
        <v>55</v>
      </c>
      <c r="R2481" t="s">
        <v>56</v>
      </c>
      <c r="T2481" t="s">
        <v>3908</v>
      </c>
      <c r="U2481" t="s">
        <v>58</v>
      </c>
      <c r="V2481">
        <v>2</v>
      </c>
      <c r="W2481">
        <v>1</v>
      </c>
      <c r="X2481">
        <v>1</v>
      </c>
      <c r="Y2481">
        <v>0</v>
      </c>
      <c r="Z2481">
        <v>1</v>
      </c>
      <c r="AA2481">
        <v>0</v>
      </c>
      <c r="AB2481">
        <v>331.86</v>
      </c>
      <c r="AC2481">
        <v>292</v>
      </c>
      <c r="AD2481">
        <v>0</v>
      </c>
      <c r="AE2481">
        <v>39.86</v>
      </c>
      <c r="AF2481">
        <v>0</v>
      </c>
      <c r="AG2481">
        <v>0</v>
      </c>
      <c r="AH2481">
        <v>0</v>
      </c>
      <c r="AI2481">
        <v>59.73</v>
      </c>
      <c r="AJ2481">
        <v>331.86</v>
      </c>
      <c r="AK2481">
        <v>0</v>
      </c>
      <c r="AL2481" t="s">
        <v>53</v>
      </c>
      <c r="AM2481" t="s">
        <v>53</v>
      </c>
      <c r="AN2481" t="s">
        <v>132</v>
      </c>
      <c r="AO2481" t="s">
        <v>53</v>
      </c>
      <c r="AP2481" t="s">
        <v>53</v>
      </c>
    </row>
    <row r="2482" spans="2:42" x14ac:dyDescent="0.2">
      <c r="B2482" t="s">
        <v>44</v>
      </c>
      <c r="C2482" t="str">
        <f>HYPERLINK("https://us2.cloudbeds.com/connect/8493803454333002#/reservations/579355361412?display=DJJSPVQ2&amp;reservation_id=579355361412", "DJJSPVQ2")</f>
        <v>DJJSPVQ2</v>
      </c>
      <c r="D2482" t="s">
        <v>45</v>
      </c>
      <c r="E2482" t="s">
        <v>138</v>
      </c>
      <c r="F2482" t="s">
        <v>70</v>
      </c>
      <c r="G2482" t="s">
        <v>48</v>
      </c>
      <c r="H2482" t="s">
        <v>49</v>
      </c>
      <c r="I2482" t="s">
        <v>62</v>
      </c>
      <c r="J2482" t="s">
        <v>1258</v>
      </c>
      <c r="K2482" t="s">
        <v>1259</v>
      </c>
      <c r="L2482" t="s">
        <v>53</v>
      </c>
      <c r="N2482" t="s">
        <v>3917</v>
      </c>
      <c r="P2482" t="s">
        <v>55</v>
      </c>
      <c r="R2482" t="s">
        <v>56</v>
      </c>
      <c r="T2482" t="s">
        <v>3908</v>
      </c>
      <c r="U2482" t="s">
        <v>58</v>
      </c>
      <c r="V2482">
        <v>2</v>
      </c>
      <c r="W2482">
        <v>1</v>
      </c>
      <c r="X2482">
        <v>1</v>
      </c>
      <c r="Y2482">
        <v>0</v>
      </c>
      <c r="Z2482">
        <v>1</v>
      </c>
      <c r="AA2482">
        <v>0</v>
      </c>
      <c r="AB2482">
        <v>117.06</v>
      </c>
      <c r="AC2482">
        <v>206</v>
      </c>
      <c r="AD2482">
        <v>0</v>
      </c>
      <c r="AE2482">
        <v>28.14</v>
      </c>
      <c r="AF2482">
        <v>0</v>
      </c>
      <c r="AG2482">
        <v>0</v>
      </c>
      <c r="AH2482">
        <v>0</v>
      </c>
      <c r="AI2482">
        <v>35.119999999999997</v>
      </c>
      <c r="AJ2482">
        <v>234.14</v>
      </c>
      <c r="AK2482">
        <v>117.08</v>
      </c>
      <c r="AL2482" t="s">
        <v>53</v>
      </c>
      <c r="AM2482" t="s">
        <v>53</v>
      </c>
      <c r="AN2482" t="s">
        <v>3918</v>
      </c>
      <c r="AO2482" t="s">
        <v>53</v>
      </c>
      <c r="AP2482" t="s">
        <v>53</v>
      </c>
    </row>
    <row r="2483" spans="2:42" x14ac:dyDescent="0.2">
      <c r="B2483" t="s">
        <v>44</v>
      </c>
      <c r="C2483" t="str">
        <f>HYPERLINK("https://us2.cloudbeds.com/connect/8493803454333002#/reservations/598609801427?display=E1GSY4KA&amp;reservation_id=598609801427", "E1GSY4KA")</f>
        <v>E1GSY4KA</v>
      </c>
      <c r="D2483" t="s">
        <v>45</v>
      </c>
      <c r="E2483" t="s">
        <v>92</v>
      </c>
      <c r="F2483" t="s">
        <v>86</v>
      </c>
      <c r="G2483" t="s">
        <v>48</v>
      </c>
      <c r="H2483" t="s">
        <v>49</v>
      </c>
      <c r="I2483" t="s">
        <v>62</v>
      </c>
      <c r="J2483" t="s">
        <v>504</v>
      </c>
      <c r="K2483" t="s">
        <v>505</v>
      </c>
      <c r="L2483" t="s">
        <v>53</v>
      </c>
      <c r="N2483" t="s">
        <v>3919</v>
      </c>
      <c r="P2483" t="s">
        <v>55</v>
      </c>
      <c r="R2483" t="s">
        <v>56</v>
      </c>
      <c r="T2483" t="s">
        <v>3908</v>
      </c>
      <c r="U2483" t="s">
        <v>58</v>
      </c>
      <c r="V2483">
        <v>1</v>
      </c>
      <c r="W2483">
        <v>1</v>
      </c>
      <c r="X2483">
        <v>1</v>
      </c>
      <c r="Y2483">
        <v>0</v>
      </c>
      <c r="Z2483">
        <v>1</v>
      </c>
      <c r="AA2483">
        <v>0</v>
      </c>
      <c r="AB2483">
        <v>193.21</v>
      </c>
      <c r="AC2483">
        <v>170</v>
      </c>
      <c r="AD2483">
        <v>0</v>
      </c>
      <c r="AE2483">
        <v>23.21</v>
      </c>
      <c r="AF2483">
        <v>0</v>
      </c>
      <c r="AG2483">
        <v>0</v>
      </c>
      <c r="AH2483">
        <v>0</v>
      </c>
      <c r="AI2483">
        <v>28.98</v>
      </c>
      <c r="AJ2483">
        <v>193.21</v>
      </c>
      <c r="AK2483">
        <v>0</v>
      </c>
      <c r="AL2483" t="s">
        <v>53</v>
      </c>
      <c r="AM2483" t="s">
        <v>53</v>
      </c>
      <c r="AN2483" t="s">
        <v>413</v>
      </c>
      <c r="AO2483" t="s">
        <v>53</v>
      </c>
      <c r="AP2483" t="s">
        <v>53</v>
      </c>
    </row>
    <row r="2484" spans="2:42" x14ac:dyDescent="0.2">
      <c r="B2484" t="s">
        <v>44</v>
      </c>
      <c r="C2484" t="str">
        <f>HYPERLINK("https://us2.cloudbeds.com/connect/8493803454333002#/reservations/579144437938?display=DJEFUNAY&amp;reservation_id=579144437938", "DJEFUNAY")</f>
        <v>DJEFUNAY</v>
      </c>
      <c r="D2484" t="s">
        <v>45</v>
      </c>
      <c r="E2484" t="s">
        <v>179</v>
      </c>
      <c r="F2484" t="s">
        <v>47</v>
      </c>
      <c r="G2484" t="s">
        <v>48</v>
      </c>
      <c r="H2484" t="s">
        <v>49</v>
      </c>
      <c r="I2484" t="s">
        <v>50</v>
      </c>
      <c r="J2484" t="s">
        <v>1367</v>
      </c>
      <c r="K2484" t="s">
        <v>2022</v>
      </c>
      <c r="L2484" t="s">
        <v>53</v>
      </c>
      <c r="N2484" t="s">
        <v>3920</v>
      </c>
      <c r="P2484" t="s">
        <v>55</v>
      </c>
      <c r="R2484" t="s">
        <v>56</v>
      </c>
      <c r="T2484" t="s">
        <v>3908</v>
      </c>
      <c r="U2484" t="s">
        <v>58</v>
      </c>
      <c r="V2484">
        <v>2</v>
      </c>
      <c r="W2484">
        <v>1</v>
      </c>
      <c r="X2484">
        <v>1</v>
      </c>
      <c r="Y2484">
        <v>0</v>
      </c>
      <c r="Z2484">
        <v>1</v>
      </c>
      <c r="AA2484">
        <v>0</v>
      </c>
      <c r="AB2484">
        <v>323.22000000000003</v>
      </c>
      <c r="AC2484">
        <v>284.39999999999998</v>
      </c>
      <c r="AD2484">
        <v>0</v>
      </c>
      <c r="AE2484">
        <v>38.82</v>
      </c>
      <c r="AF2484">
        <v>0</v>
      </c>
      <c r="AG2484">
        <v>0</v>
      </c>
      <c r="AH2484">
        <v>0</v>
      </c>
      <c r="AI2484">
        <v>58.18</v>
      </c>
      <c r="AJ2484">
        <v>323.22000000000003</v>
      </c>
      <c r="AK2484">
        <v>0</v>
      </c>
      <c r="AL2484" t="s">
        <v>53</v>
      </c>
      <c r="AM2484" t="s">
        <v>53</v>
      </c>
      <c r="AN2484" t="s">
        <v>316</v>
      </c>
      <c r="AO2484" t="s">
        <v>53</v>
      </c>
      <c r="AP2484" t="s">
        <v>53</v>
      </c>
    </row>
    <row r="2485" spans="2:42" x14ac:dyDescent="0.2">
      <c r="B2485" t="s">
        <v>44</v>
      </c>
      <c r="C2485" t="str">
        <f>HYPERLINK("https://us2.cloudbeds.com/connect/8493803454333002#/reservations/579345862901?display=DJJKPYXD&amp;reservation_id=579345862901", "DJJKPYXD")</f>
        <v>DJJKPYXD</v>
      </c>
      <c r="D2485" t="s">
        <v>45</v>
      </c>
      <c r="E2485" t="s">
        <v>78</v>
      </c>
      <c r="F2485" t="s">
        <v>61</v>
      </c>
      <c r="G2485" t="s">
        <v>48</v>
      </c>
      <c r="H2485" t="s">
        <v>49</v>
      </c>
      <c r="I2485" t="s">
        <v>50</v>
      </c>
      <c r="J2485" t="s">
        <v>1502</v>
      </c>
      <c r="K2485" t="s">
        <v>1436</v>
      </c>
      <c r="L2485" t="s">
        <v>53</v>
      </c>
      <c r="N2485" t="s">
        <v>3921</v>
      </c>
      <c r="P2485" t="s">
        <v>55</v>
      </c>
      <c r="R2485" t="s">
        <v>56</v>
      </c>
      <c r="T2485" t="s">
        <v>3908</v>
      </c>
      <c r="U2485" t="s">
        <v>58</v>
      </c>
      <c r="V2485">
        <v>1</v>
      </c>
      <c r="W2485">
        <v>1</v>
      </c>
      <c r="X2485">
        <v>1</v>
      </c>
      <c r="Y2485">
        <v>0</v>
      </c>
      <c r="Z2485">
        <v>1</v>
      </c>
      <c r="AA2485">
        <v>0</v>
      </c>
      <c r="AB2485">
        <v>156.49</v>
      </c>
      <c r="AC2485">
        <v>137.69999999999999</v>
      </c>
      <c r="AD2485">
        <v>0</v>
      </c>
      <c r="AE2485">
        <v>18.79</v>
      </c>
      <c r="AF2485">
        <v>0</v>
      </c>
      <c r="AG2485">
        <v>0</v>
      </c>
      <c r="AH2485">
        <v>0</v>
      </c>
      <c r="AI2485">
        <v>28.17</v>
      </c>
      <c r="AJ2485">
        <v>156.49</v>
      </c>
      <c r="AK2485">
        <v>0</v>
      </c>
      <c r="AL2485" t="s">
        <v>53</v>
      </c>
      <c r="AM2485" t="s">
        <v>53</v>
      </c>
      <c r="AN2485" t="s">
        <v>68</v>
      </c>
      <c r="AO2485" t="s">
        <v>53</v>
      </c>
      <c r="AP2485" t="s">
        <v>53</v>
      </c>
    </row>
    <row r="2486" spans="2:42" x14ac:dyDescent="0.2">
      <c r="B2486" t="s">
        <v>44</v>
      </c>
      <c r="C2486" t="str">
        <f>HYPERLINK("https://us2.cloudbeds.com/connect/8493803454333002#/reservations/579141812405?display=DJEDNYC0&amp;reservation_id=579141812405", "DJEDNYC0")</f>
        <v>DJEDNYC0</v>
      </c>
      <c r="D2486" t="s">
        <v>45</v>
      </c>
      <c r="E2486" t="s">
        <v>381</v>
      </c>
      <c r="F2486" t="s">
        <v>47</v>
      </c>
      <c r="G2486" t="s">
        <v>48</v>
      </c>
      <c r="H2486" t="s">
        <v>49</v>
      </c>
      <c r="I2486" t="s">
        <v>50</v>
      </c>
      <c r="J2486" t="s">
        <v>505</v>
      </c>
      <c r="K2486" t="s">
        <v>1367</v>
      </c>
      <c r="L2486" t="s">
        <v>53</v>
      </c>
      <c r="N2486" t="s">
        <v>3922</v>
      </c>
      <c r="P2486" t="s">
        <v>55</v>
      </c>
      <c r="R2486" t="s">
        <v>56</v>
      </c>
      <c r="T2486" t="s">
        <v>3908</v>
      </c>
      <c r="U2486" t="s">
        <v>58</v>
      </c>
      <c r="V2486">
        <v>2</v>
      </c>
      <c r="W2486">
        <v>1</v>
      </c>
      <c r="X2486">
        <v>1</v>
      </c>
      <c r="Y2486">
        <v>0</v>
      </c>
      <c r="Z2486">
        <v>1</v>
      </c>
      <c r="AA2486">
        <v>0</v>
      </c>
      <c r="AB2486">
        <v>0</v>
      </c>
      <c r="AC2486">
        <v>-37.22</v>
      </c>
      <c r="AD2486">
        <v>0</v>
      </c>
      <c r="AE2486">
        <v>37.22</v>
      </c>
      <c r="AF2486">
        <v>0</v>
      </c>
      <c r="AG2486">
        <v>0</v>
      </c>
      <c r="AH2486">
        <v>0</v>
      </c>
      <c r="AI2486">
        <v>0</v>
      </c>
      <c r="AJ2486">
        <v>0</v>
      </c>
      <c r="AK2486">
        <v>0</v>
      </c>
      <c r="AL2486" t="s">
        <v>53</v>
      </c>
      <c r="AM2486" t="s">
        <v>53</v>
      </c>
      <c r="AN2486" t="s">
        <v>605</v>
      </c>
      <c r="AO2486" t="s">
        <v>53</v>
      </c>
      <c r="AP2486" t="s">
        <v>53</v>
      </c>
    </row>
    <row r="2487" spans="2:42" x14ac:dyDescent="0.2">
      <c r="B2487" t="s">
        <v>44</v>
      </c>
      <c r="C2487" t="str">
        <f>HYPERLINK("https://us2.cloudbeds.com/connect/8493803454333002#/reservations/579168579788?display=DJF1WZMB&amp;reservation_id=579168579788", "DJF1WZMB")</f>
        <v>DJF1WZMB</v>
      </c>
      <c r="D2487" t="s">
        <v>602</v>
      </c>
      <c r="E2487" t="s">
        <v>53</v>
      </c>
      <c r="F2487" t="s">
        <v>61</v>
      </c>
      <c r="G2487" t="s">
        <v>48</v>
      </c>
      <c r="H2487" t="s">
        <v>71</v>
      </c>
      <c r="I2487" t="s">
        <v>72</v>
      </c>
      <c r="J2487" t="s">
        <v>504</v>
      </c>
      <c r="K2487" t="s">
        <v>603</v>
      </c>
      <c r="L2487" t="s">
        <v>53</v>
      </c>
      <c r="N2487" t="s">
        <v>3923</v>
      </c>
      <c r="P2487" t="s">
        <v>55</v>
      </c>
      <c r="R2487" t="s">
        <v>56</v>
      </c>
      <c r="T2487" t="s">
        <v>3908</v>
      </c>
      <c r="U2487" t="s">
        <v>58</v>
      </c>
      <c r="V2487">
        <v>2</v>
      </c>
      <c r="W2487">
        <v>1</v>
      </c>
      <c r="X2487">
        <v>1</v>
      </c>
      <c r="Y2487">
        <v>0</v>
      </c>
      <c r="Z2487">
        <v>1</v>
      </c>
      <c r="AA2487">
        <v>0</v>
      </c>
      <c r="AB2487">
        <v>0</v>
      </c>
      <c r="AC2487">
        <v>0</v>
      </c>
      <c r="AD2487">
        <v>0</v>
      </c>
      <c r="AE2487">
        <v>0</v>
      </c>
      <c r="AF2487">
        <v>0</v>
      </c>
      <c r="AG2487">
        <v>0</v>
      </c>
      <c r="AH2487">
        <v>0</v>
      </c>
      <c r="AI2487">
        <v>0</v>
      </c>
      <c r="AJ2487">
        <v>0</v>
      </c>
      <c r="AK2487">
        <v>0</v>
      </c>
      <c r="AL2487">
        <v>310</v>
      </c>
      <c r="AM2487">
        <v>352.34</v>
      </c>
      <c r="AN2487" t="s">
        <v>378</v>
      </c>
      <c r="AO2487" t="s">
        <v>53</v>
      </c>
      <c r="AP2487" t="s">
        <v>53</v>
      </c>
    </row>
    <row r="2488" spans="2:42" x14ac:dyDescent="0.2">
      <c r="B2488" t="s">
        <v>44</v>
      </c>
      <c r="C2488" t="str">
        <f>HYPERLINK("https://us2.cloudbeds.com/connect/8493803454333002#/reservations/579351556283?display=DJJPJ2Y4&amp;reservation_id=579351556283", "DJJPJ2Y4")</f>
        <v>DJJPJ2Y4</v>
      </c>
      <c r="D2488" t="s">
        <v>602</v>
      </c>
      <c r="E2488" t="s">
        <v>53</v>
      </c>
      <c r="F2488" t="s">
        <v>61</v>
      </c>
      <c r="G2488" t="s">
        <v>48</v>
      </c>
      <c r="H2488" t="s">
        <v>71</v>
      </c>
      <c r="I2488" t="s">
        <v>72</v>
      </c>
      <c r="J2488" t="s">
        <v>504</v>
      </c>
      <c r="K2488" t="s">
        <v>603</v>
      </c>
      <c r="L2488" t="s">
        <v>53</v>
      </c>
      <c r="N2488" t="s">
        <v>3924</v>
      </c>
      <c r="P2488" t="s">
        <v>55</v>
      </c>
      <c r="R2488" t="s">
        <v>56</v>
      </c>
      <c r="T2488" t="s">
        <v>3908</v>
      </c>
      <c r="U2488" t="s">
        <v>58</v>
      </c>
      <c r="V2488">
        <v>2</v>
      </c>
      <c r="W2488">
        <v>1</v>
      </c>
      <c r="X2488">
        <v>1</v>
      </c>
      <c r="Y2488">
        <v>0</v>
      </c>
      <c r="Z2488">
        <v>1</v>
      </c>
      <c r="AA2488">
        <v>0</v>
      </c>
      <c r="AB2488">
        <v>0</v>
      </c>
      <c r="AC2488">
        <v>0</v>
      </c>
      <c r="AD2488">
        <v>0</v>
      </c>
      <c r="AE2488">
        <v>0</v>
      </c>
      <c r="AF2488">
        <v>0</v>
      </c>
      <c r="AG2488">
        <v>0</v>
      </c>
      <c r="AH2488">
        <v>0</v>
      </c>
      <c r="AI2488">
        <v>0</v>
      </c>
      <c r="AJ2488">
        <v>0</v>
      </c>
      <c r="AK2488">
        <v>0</v>
      </c>
      <c r="AL2488">
        <v>310</v>
      </c>
      <c r="AM2488">
        <v>352.34</v>
      </c>
      <c r="AN2488" t="s">
        <v>378</v>
      </c>
      <c r="AO2488" t="s">
        <v>53</v>
      </c>
      <c r="AP2488" t="s">
        <v>53</v>
      </c>
    </row>
    <row r="2489" spans="2:42" x14ac:dyDescent="0.2">
      <c r="B2489" t="s">
        <v>44</v>
      </c>
      <c r="C2489" t="str">
        <f>HYPERLINK("https://us2.cloudbeds.com/connect/8493803454333002#/reservations/579331436677?display=DJJ8K7B2&amp;reservation_id=579331436677", "DJJ8K7B2")</f>
        <v>DJJ8K7B2</v>
      </c>
      <c r="D2489" t="s">
        <v>45</v>
      </c>
      <c r="E2489" t="s">
        <v>78</v>
      </c>
      <c r="F2489" t="s">
        <v>61</v>
      </c>
      <c r="G2489" t="s">
        <v>48</v>
      </c>
      <c r="H2489" t="s">
        <v>49</v>
      </c>
      <c r="I2489" t="s">
        <v>50</v>
      </c>
      <c r="J2489" t="s">
        <v>1555</v>
      </c>
      <c r="K2489" t="s">
        <v>1556</v>
      </c>
      <c r="L2489" t="s">
        <v>53</v>
      </c>
      <c r="N2489" t="s">
        <v>3925</v>
      </c>
      <c r="P2489" t="s">
        <v>55</v>
      </c>
      <c r="R2489" t="s">
        <v>56</v>
      </c>
      <c r="T2489" t="s">
        <v>3908</v>
      </c>
      <c r="U2489" t="s">
        <v>58</v>
      </c>
      <c r="V2489">
        <v>2</v>
      </c>
      <c r="W2489">
        <v>1</v>
      </c>
      <c r="X2489">
        <v>1</v>
      </c>
      <c r="Y2489">
        <v>0</v>
      </c>
      <c r="Z2489">
        <v>1</v>
      </c>
      <c r="AA2489">
        <v>0</v>
      </c>
      <c r="AB2489">
        <v>312.98</v>
      </c>
      <c r="AC2489">
        <v>275.39999999999998</v>
      </c>
      <c r="AD2489">
        <v>0</v>
      </c>
      <c r="AE2489">
        <v>37.58</v>
      </c>
      <c r="AF2489">
        <v>0</v>
      </c>
      <c r="AG2489">
        <v>0</v>
      </c>
      <c r="AH2489">
        <v>0</v>
      </c>
      <c r="AI2489">
        <v>56.34</v>
      </c>
      <c r="AJ2489">
        <v>312.98</v>
      </c>
      <c r="AK2489">
        <v>0</v>
      </c>
      <c r="AL2489" t="s">
        <v>53</v>
      </c>
      <c r="AM2489" t="s">
        <v>53</v>
      </c>
      <c r="AN2489" t="s">
        <v>245</v>
      </c>
      <c r="AO2489" t="s">
        <v>53</v>
      </c>
      <c r="AP2489" t="s">
        <v>53</v>
      </c>
    </row>
    <row r="2490" spans="2:42" x14ac:dyDescent="0.2">
      <c r="B2490" t="s">
        <v>44</v>
      </c>
      <c r="C2490" t="str">
        <f>HYPERLINK("https://us2.cloudbeds.com/connect/8493803454333002#/reservations/579407122572?display=DJY6E9N2&amp;reservation_id=579407122572", "DJY6E9N2")</f>
        <v>DJY6E9N2</v>
      </c>
      <c r="D2490" t="s">
        <v>45</v>
      </c>
      <c r="E2490" t="s">
        <v>92</v>
      </c>
      <c r="F2490" t="s">
        <v>86</v>
      </c>
      <c r="G2490" t="s">
        <v>48</v>
      </c>
      <c r="H2490" t="s">
        <v>49</v>
      </c>
      <c r="I2490" t="s">
        <v>50</v>
      </c>
      <c r="J2490" t="s">
        <v>1898</v>
      </c>
      <c r="K2490" t="s">
        <v>1336</v>
      </c>
      <c r="L2490" t="s">
        <v>53</v>
      </c>
      <c r="N2490" t="s">
        <v>3926</v>
      </c>
      <c r="P2490" t="s">
        <v>55</v>
      </c>
      <c r="R2490" t="s">
        <v>56</v>
      </c>
      <c r="T2490" t="s">
        <v>3927</v>
      </c>
      <c r="U2490" t="s">
        <v>58</v>
      </c>
      <c r="V2490">
        <v>2</v>
      </c>
      <c r="W2490">
        <v>1</v>
      </c>
      <c r="X2490">
        <v>1</v>
      </c>
      <c r="Y2490">
        <v>0</v>
      </c>
      <c r="Z2490">
        <v>1</v>
      </c>
      <c r="AA2490">
        <v>0</v>
      </c>
      <c r="AB2490">
        <v>286.39999999999998</v>
      </c>
      <c r="AC2490">
        <v>252</v>
      </c>
      <c r="AD2490">
        <v>0</v>
      </c>
      <c r="AE2490">
        <v>34.4</v>
      </c>
      <c r="AF2490">
        <v>0</v>
      </c>
      <c r="AG2490">
        <v>0</v>
      </c>
      <c r="AH2490">
        <v>0</v>
      </c>
      <c r="AI2490">
        <v>51.55</v>
      </c>
      <c r="AJ2490">
        <v>286.39999999999998</v>
      </c>
      <c r="AK2490">
        <v>0</v>
      </c>
      <c r="AL2490" t="s">
        <v>53</v>
      </c>
      <c r="AM2490" t="s">
        <v>53</v>
      </c>
      <c r="AN2490" t="s">
        <v>159</v>
      </c>
      <c r="AO2490" t="s">
        <v>53</v>
      </c>
      <c r="AP2490" t="s">
        <v>53</v>
      </c>
    </row>
    <row r="2491" spans="2:42" x14ac:dyDescent="0.2">
      <c r="B2491" t="s">
        <v>44</v>
      </c>
      <c r="C2491" t="str">
        <f>HYPERLINK("https://us2.cloudbeds.com/connect/8493803454333002#/reservations/579360829568?display=DJK0D0BJ&amp;reservation_id=579360829568", "DJK0D0BJ")</f>
        <v>DJK0D0BJ</v>
      </c>
      <c r="D2491" t="s">
        <v>45</v>
      </c>
      <c r="E2491" t="s">
        <v>98</v>
      </c>
      <c r="F2491" t="s">
        <v>86</v>
      </c>
      <c r="G2491" t="s">
        <v>48</v>
      </c>
      <c r="H2491" t="s">
        <v>49</v>
      </c>
      <c r="I2491" t="s">
        <v>62</v>
      </c>
      <c r="J2491" t="s">
        <v>1458</v>
      </c>
      <c r="K2491" t="s">
        <v>1336</v>
      </c>
      <c r="L2491" t="s">
        <v>53</v>
      </c>
      <c r="N2491" t="s">
        <v>3928</v>
      </c>
      <c r="P2491" t="s">
        <v>55</v>
      </c>
      <c r="R2491" t="s">
        <v>56</v>
      </c>
      <c r="T2491" t="s">
        <v>3927</v>
      </c>
      <c r="U2491" t="s">
        <v>58</v>
      </c>
      <c r="V2491">
        <v>1</v>
      </c>
      <c r="W2491">
        <v>1</v>
      </c>
      <c r="X2491">
        <v>1</v>
      </c>
      <c r="Y2491">
        <v>0</v>
      </c>
      <c r="Z2491">
        <v>1</v>
      </c>
      <c r="AA2491">
        <v>0</v>
      </c>
      <c r="AB2491">
        <v>143.19999999999999</v>
      </c>
      <c r="AC2491">
        <v>126</v>
      </c>
      <c r="AD2491">
        <v>0</v>
      </c>
      <c r="AE2491">
        <v>17.2</v>
      </c>
      <c r="AF2491">
        <v>0</v>
      </c>
      <c r="AG2491">
        <v>0</v>
      </c>
      <c r="AH2491">
        <v>0</v>
      </c>
      <c r="AI2491">
        <v>21.48</v>
      </c>
      <c r="AJ2491">
        <v>143.19999999999999</v>
      </c>
      <c r="AK2491">
        <v>0</v>
      </c>
      <c r="AL2491" t="s">
        <v>53</v>
      </c>
      <c r="AM2491" t="s">
        <v>53</v>
      </c>
      <c r="AN2491" t="s">
        <v>280</v>
      </c>
      <c r="AO2491" t="s">
        <v>53</v>
      </c>
      <c r="AP2491" t="s">
        <v>53</v>
      </c>
    </row>
    <row r="2492" spans="2:42" x14ac:dyDescent="0.2">
      <c r="B2492" t="s">
        <v>44</v>
      </c>
      <c r="C2492" t="str">
        <f>HYPERLINK("https://us2.cloudbeds.com/connect/8493803454333002#/reservations/579254419670?display=DJH9M3YD&amp;reservation_id=579254419670", "DJH9M3YD")</f>
        <v>DJH9M3YD</v>
      </c>
      <c r="D2492" t="s">
        <v>45</v>
      </c>
      <c r="E2492" t="s">
        <v>373</v>
      </c>
      <c r="F2492" t="s">
        <v>47</v>
      </c>
      <c r="G2492" t="s">
        <v>48</v>
      </c>
      <c r="H2492" t="s">
        <v>49</v>
      </c>
      <c r="I2492" t="s">
        <v>50</v>
      </c>
      <c r="J2492" t="s">
        <v>2058</v>
      </c>
      <c r="K2492" t="s">
        <v>2494</v>
      </c>
      <c r="L2492" t="s">
        <v>53</v>
      </c>
      <c r="N2492" t="s">
        <v>3929</v>
      </c>
      <c r="P2492" t="s">
        <v>55</v>
      </c>
      <c r="R2492" t="s">
        <v>56</v>
      </c>
      <c r="T2492" t="s">
        <v>3927</v>
      </c>
      <c r="U2492" t="s">
        <v>58</v>
      </c>
      <c r="V2492">
        <v>1</v>
      </c>
      <c r="W2492">
        <v>1</v>
      </c>
      <c r="X2492">
        <v>1</v>
      </c>
      <c r="Y2492">
        <v>0</v>
      </c>
      <c r="Z2492">
        <v>1</v>
      </c>
      <c r="AA2492">
        <v>0</v>
      </c>
      <c r="AB2492">
        <v>154.44999999999999</v>
      </c>
      <c r="AC2492">
        <v>135.9</v>
      </c>
      <c r="AD2492">
        <v>0</v>
      </c>
      <c r="AE2492">
        <v>18.55</v>
      </c>
      <c r="AF2492">
        <v>0</v>
      </c>
      <c r="AG2492">
        <v>0</v>
      </c>
      <c r="AH2492">
        <v>0</v>
      </c>
      <c r="AI2492">
        <v>27.8</v>
      </c>
      <c r="AJ2492">
        <v>154.44999999999999</v>
      </c>
      <c r="AK2492">
        <v>0</v>
      </c>
      <c r="AL2492" t="s">
        <v>53</v>
      </c>
      <c r="AM2492" t="s">
        <v>53</v>
      </c>
      <c r="AN2492" t="s">
        <v>178</v>
      </c>
      <c r="AO2492" t="s">
        <v>53</v>
      </c>
      <c r="AP2492" t="s">
        <v>53</v>
      </c>
    </row>
    <row r="2493" spans="2:42" x14ac:dyDescent="0.2">
      <c r="B2493" t="s">
        <v>44</v>
      </c>
      <c r="C2493" t="str">
        <f>HYPERLINK("https://us2.cloudbeds.com/connect/8493803454333002#/reservations/579200032987?display=DJFTQNQ3&amp;reservation_id=579200032987", "DJFTQNQ3")</f>
        <v>DJFTQNQ3</v>
      </c>
      <c r="D2493" t="s">
        <v>45</v>
      </c>
      <c r="E2493" t="s">
        <v>265</v>
      </c>
      <c r="F2493" t="s">
        <v>61</v>
      </c>
      <c r="G2493" t="s">
        <v>48</v>
      </c>
      <c r="H2493" t="s">
        <v>49</v>
      </c>
      <c r="I2493" t="s">
        <v>50</v>
      </c>
      <c r="J2493" t="s">
        <v>603</v>
      </c>
      <c r="K2493" t="s">
        <v>1985</v>
      </c>
      <c r="L2493" t="s">
        <v>53</v>
      </c>
      <c r="N2493" t="s">
        <v>3930</v>
      </c>
      <c r="P2493" t="s">
        <v>55</v>
      </c>
      <c r="R2493" t="s">
        <v>56</v>
      </c>
      <c r="T2493" t="s">
        <v>3927</v>
      </c>
      <c r="U2493" t="s">
        <v>58</v>
      </c>
      <c r="V2493">
        <v>2</v>
      </c>
      <c r="W2493">
        <v>1</v>
      </c>
      <c r="X2493">
        <v>1</v>
      </c>
      <c r="Y2493">
        <v>0</v>
      </c>
      <c r="Z2493">
        <v>1</v>
      </c>
      <c r="AA2493">
        <v>0</v>
      </c>
      <c r="AB2493">
        <v>334.48</v>
      </c>
      <c r="AC2493">
        <v>294.3</v>
      </c>
      <c r="AD2493">
        <v>0</v>
      </c>
      <c r="AE2493">
        <v>40.18</v>
      </c>
      <c r="AF2493">
        <v>0</v>
      </c>
      <c r="AG2493">
        <v>0</v>
      </c>
      <c r="AH2493">
        <v>0</v>
      </c>
      <c r="AI2493">
        <v>60.21</v>
      </c>
      <c r="AJ2493">
        <v>334.48</v>
      </c>
      <c r="AK2493">
        <v>0</v>
      </c>
      <c r="AL2493" t="s">
        <v>53</v>
      </c>
      <c r="AM2493" t="s">
        <v>53</v>
      </c>
      <c r="AN2493" t="s">
        <v>127</v>
      </c>
      <c r="AO2493" t="s">
        <v>53</v>
      </c>
      <c r="AP2493" t="s">
        <v>53</v>
      </c>
    </row>
    <row r="2494" spans="2:42" x14ac:dyDescent="0.2">
      <c r="B2494" t="s">
        <v>44</v>
      </c>
      <c r="C2494" t="str">
        <f>HYPERLINK("https://us2.cloudbeds.com/connect/8493803454333002#/reservations/579333742831?display=DJJAXD0H&amp;reservation_id=579333742831", "DJJAXD0H")</f>
        <v>DJJAXD0H</v>
      </c>
      <c r="D2494" t="s">
        <v>45</v>
      </c>
      <c r="E2494" t="s">
        <v>185</v>
      </c>
      <c r="F2494" t="s">
        <v>47</v>
      </c>
      <c r="G2494" t="s">
        <v>48</v>
      </c>
      <c r="H2494" t="s">
        <v>49</v>
      </c>
      <c r="I2494" t="s">
        <v>79</v>
      </c>
      <c r="J2494" t="s">
        <v>505</v>
      </c>
      <c r="K2494" t="s">
        <v>1367</v>
      </c>
      <c r="L2494" t="s">
        <v>53</v>
      </c>
      <c r="N2494" t="s">
        <v>3931</v>
      </c>
      <c r="P2494" t="s">
        <v>55</v>
      </c>
      <c r="R2494" t="s">
        <v>56</v>
      </c>
      <c r="T2494" t="s">
        <v>3927</v>
      </c>
      <c r="U2494" t="s">
        <v>58</v>
      </c>
      <c r="V2494">
        <v>2</v>
      </c>
      <c r="W2494">
        <v>1</v>
      </c>
      <c r="X2494">
        <v>1</v>
      </c>
      <c r="Y2494">
        <v>0</v>
      </c>
      <c r="Z2494">
        <v>1</v>
      </c>
      <c r="AA2494">
        <v>0</v>
      </c>
      <c r="AB2494">
        <v>0</v>
      </c>
      <c r="AC2494">
        <v>-38.32</v>
      </c>
      <c r="AD2494">
        <v>0</v>
      </c>
      <c r="AE2494">
        <v>38.32</v>
      </c>
      <c r="AF2494">
        <v>0</v>
      </c>
      <c r="AG2494">
        <v>0</v>
      </c>
      <c r="AH2494">
        <v>0</v>
      </c>
      <c r="AI2494">
        <v>0</v>
      </c>
      <c r="AJ2494">
        <v>0</v>
      </c>
      <c r="AK2494">
        <v>0</v>
      </c>
      <c r="AL2494" t="s">
        <v>53</v>
      </c>
      <c r="AM2494" t="s">
        <v>53</v>
      </c>
      <c r="AN2494" t="s">
        <v>605</v>
      </c>
      <c r="AO2494" t="s">
        <v>53</v>
      </c>
      <c r="AP2494" t="s">
        <v>53</v>
      </c>
    </row>
    <row r="2495" spans="2:42" x14ac:dyDescent="0.2">
      <c r="B2495" t="s">
        <v>44</v>
      </c>
      <c r="C2495" t="str">
        <f>HYPERLINK("https://us2.cloudbeds.com/connect/8493803454333002#/reservations/579214721260?display=DJG96EY9&amp;reservation_id=579214721260", "DJG96EY9")</f>
        <v>DJG96EY9</v>
      </c>
      <c r="D2495" t="s">
        <v>45</v>
      </c>
      <c r="E2495" t="s">
        <v>98</v>
      </c>
      <c r="F2495" t="s">
        <v>86</v>
      </c>
      <c r="G2495" t="s">
        <v>48</v>
      </c>
      <c r="H2495" t="s">
        <v>49</v>
      </c>
      <c r="I2495" t="s">
        <v>50</v>
      </c>
      <c r="J2495" t="s">
        <v>603</v>
      </c>
      <c r="K2495" t="s">
        <v>1367</v>
      </c>
      <c r="L2495" t="s">
        <v>53</v>
      </c>
      <c r="N2495" t="s">
        <v>3932</v>
      </c>
      <c r="P2495" t="s">
        <v>55</v>
      </c>
      <c r="R2495" t="s">
        <v>56</v>
      </c>
      <c r="T2495" t="s">
        <v>3927</v>
      </c>
      <c r="U2495" t="s">
        <v>58</v>
      </c>
      <c r="V2495">
        <v>1</v>
      </c>
      <c r="W2495">
        <v>1</v>
      </c>
      <c r="X2495">
        <v>1</v>
      </c>
      <c r="Y2495">
        <v>0</v>
      </c>
      <c r="Z2495">
        <v>1</v>
      </c>
      <c r="AA2495">
        <v>0</v>
      </c>
      <c r="AB2495">
        <v>171.83</v>
      </c>
      <c r="AC2495">
        <v>151.19999999999999</v>
      </c>
      <c r="AD2495">
        <v>0</v>
      </c>
      <c r="AE2495">
        <v>20.63</v>
      </c>
      <c r="AF2495">
        <v>0</v>
      </c>
      <c r="AG2495">
        <v>0</v>
      </c>
      <c r="AH2495">
        <v>0</v>
      </c>
      <c r="AI2495">
        <v>30.93</v>
      </c>
      <c r="AJ2495">
        <v>171.83</v>
      </c>
      <c r="AK2495">
        <v>0</v>
      </c>
      <c r="AL2495" t="s">
        <v>53</v>
      </c>
      <c r="AM2495" t="s">
        <v>53</v>
      </c>
      <c r="AN2495" t="s">
        <v>349</v>
      </c>
      <c r="AO2495" t="s">
        <v>53</v>
      </c>
      <c r="AP2495" t="s">
        <v>53</v>
      </c>
    </row>
    <row r="2496" spans="2:42" x14ac:dyDescent="0.2">
      <c r="B2496" t="s">
        <v>44</v>
      </c>
      <c r="C2496" t="str">
        <f>HYPERLINK("https://us2.cloudbeds.com/connect/8493803454333002#/reservations/579217670367?display=DJGBMGZ5&amp;reservation_id=579217670367", "DJGBMGZ5")</f>
        <v>DJGBMGZ5</v>
      </c>
      <c r="D2496" t="s">
        <v>45</v>
      </c>
      <c r="E2496" t="s">
        <v>92</v>
      </c>
      <c r="F2496" t="s">
        <v>86</v>
      </c>
      <c r="G2496" t="s">
        <v>48</v>
      </c>
      <c r="H2496" t="s">
        <v>71</v>
      </c>
      <c r="I2496" t="s">
        <v>72</v>
      </c>
      <c r="J2496" t="s">
        <v>603</v>
      </c>
      <c r="K2496" t="s">
        <v>1367</v>
      </c>
      <c r="L2496" t="s">
        <v>53</v>
      </c>
      <c r="N2496" t="s">
        <v>3933</v>
      </c>
      <c r="P2496" t="s">
        <v>58</v>
      </c>
      <c r="R2496" t="s">
        <v>56</v>
      </c>
      <c r="T2496" t="s">
        <v>3927</v>
      </c>
      <c r="U2496" t="s">
        <v>58</v>
      </c>
      <c r="V2496">
        <v>1</v>
      </c>
      <c r="W2496">
        <v>1</v>
      </c>
      <c r="X2496">
        <v>1</v>
      </c>
      <c r="Y2496">
        <v>0</v>
      </c>
      <c r="Z2496">
        <v>1</v>
      </c>
      <c r="AA2496">
        <v>0</v>
      </c>
      <c r="AB2496">
        <v>185.26</v>
      </c>
      <c r="AC2496">
        <v>163</v>
      </c>
      <c r="AD2496">
        <v>0</v>
      </c>
      <c r="AE2496">
        <v>22.26</v>
      </c>
      <c r="AF2496">
        <v>0</v>
      </c>
      <c r="AG2496">
        <v>0</v>
      </c>
      <c r="AH2496">
        <v>0</v>
      </c>
      <c r="AI2496">
        <v>0</v>
      </c>
      <c r="AJ2496">
        <v>185.26</v>
      </c>
      <c r="AK2496">
        <v>0</v>
      </c>
      <c r="AL2496" t="s">
        <v>53</v>
      </c>
      <c r="AM2496" t="s">
        <v>53</v>
      </c>
      <c r="AN2496" t="s">
        <v>3934</v>
      </c>
      <c r="AO2496" t="s">
        <v>53</v>
      </c>
      <c r="AP2496" t="s">
        <v>53</v>
      </c>
    </row>
    <row r="2497" spans="2:42" x14ac:dyDescent="0.2">
      <c r="B2497" t="s">
        <v>44</v>
      </c>
      <c r="C2497" t="str">
        <f>HYPERLINK("https://us2.cloudbeds.com/connect/8493803454333002#/reservations/579217666275?display=DJGBMCW5&amp;reservation_id=579217666275", "DJGBMCW5")</f>
        <v>DJGBMCW5</v>
      </c>
      <c r="D2497" t="s">
        <v>45</v>
      </c>
      <c r="E2497" t="s">
        <v>121</v>
      </c>
      <c r="F2497" t="s">
        <v>86</v>
      </c>
      <c r="G2497" t="s">
        <v>48</v>
      </c>
      <c r="H2497" t="s">
        <v>71</v>
      </c>
      <c r="I2497" t="s">
        <v>72</v>
      </c>
      <c r="J2497" t="s">
        <v>603</v>
      </c>
      <c r="K2497" t="s">
        <v>1367</v>
      </c>
      <c r="L2497" t="s">
        <v>53</v>
      </c>
      <c r="N2497" t="s">
        <v>3935</v>
      </c>
      <c r="P2497" t="s">
        <v>58</v>
      </c>
      <c r="R2497" t="s">
        <v>56</v>
      </c>
      <c r="T2497" t="s">
        <v>3927</v>
      </c>
      <c r="U2497" t="s">
        <v>58</v>
      </c>
      <c r="V2497">
        <v>1</v>
      </c>
      <c r="W2497">
        <v>1</v>
      </c>
      <c r="X2497">
        <v>1</v>
      </c>
      <c r="Y2497">
        <v>0</v>
      </c>
      <c r="Z2497">
        <v>1</v>
      </c>
      <c r="AA2497">
        <v>0</v>
      </c>
      <c r="AB2497">
        <v>170.48</v>
      </c>
      <c r="AC2497">
        <v>150</v>
      </c>
      <c r="AD2497">
        <v>0</v>
      </c>
      <c r="AE2497">
        <v>20.48</v>
      </c>
      <c r="AF2497">
        <v>0</v>
      </c>
      <c r="AG2497">
        <v>0</v>
      </c>
      <c r="AH2497">
        <v>0</v>
      </c>
      <c r="AI2497">
        <v>0</v>
      </c>
      <c r="AJ2497">
        <v>170.48</v>
      </c>
      <c r="AK2497">
        <v>0</v>
      </c>
      <c r="AL2497" t="s">
        <v>53</v>
      </c>
      <c r="AM2497" t="s">
        <v>53</v>
      </c>
      <c r="AN2497" t="s">
        <v>3936</v>
      </c>
      <c r="AO2497" t="s">
        <v>53</v>
      </c>
      <c r="AP2497" t="s">
        <v>53</v>
      </c>
    </row>
    <row r="2498" spans="2:42" x14ac:dyDescent="0.2">
      <c r="B2498" t="s">
        <v>44</v>
      </c>
      <c r="C2498" t="str">
        <f>HYPERLINK("https://us2.cloudbeds.com/connect/8493803454333002#/reservations/579212419296?display=DJG78CQQ&amp;reservation_id=579212419296", "DJG78CQQ")</f>
        <v>DJG78CQQ</v>
      </c>
      <c r="D2498" t="s">
        <v>45</v>
      </c>
      <c r="E2498" t="s">
        <v>113</v>
      </c>
      <c r="F2498" t="s">
        <v>61</v>
      </c>
      <c r="G2498" t="s">
        <v>48</v>
      </c>
      <c r="H2498" t="s">
        <v>49</v>
      </c>
      <c r="I2498" t="s">
        <v>50</v>
      </c>
      <c r="J2498" t="s">
        <v>2639</v>
      </c>
      <c r="K2498" t="s">
        <v>1295</v>
      </c>
      <c r="L2498" t="s">
        <v>53</v>
      </c>
      <c r="N2498" t="s">
        <v>3937</v>
      </c>
      <c r="P2498" t="s">
        <v>55</v>
      </c>
      <c r="R2498" t="s">
        <v>56</v>
      </c>
      <c r="T2498" t="s">
        <v>3927</v>
      </c>
      <c r="U2498" t="s">
        <v>58</v>
      </c>
      <c r="V2498">
        <v>1</v>
      </c>
      <c r="W2498">
        <v>1</v>
      </c>
      <c r="X2498">
        <v>1</v>
      </c>
      <c r="Y2498">
        <v>0</v>
      </c>
      <c r="Z2498">
        <v>1</v>
      </c>
      <c r="AA2498">
        <v>0</v>
      </c>
      <c r="AB2498">
        <v>163.66</v>
      </c>
      <c r="AC2498">
        <v>144</v>
      </c>
      <c r="AD2498">
        <v>0</v>
      </c>
      <c r="AE2498">
        <v>19.66</v>
      </c>
      <c r="AF2498">
        <v>0</v>
      </c>
      <c r="AG2498">
        <v>0</v>
      </c>
      <c r="AH2498">
        <v>0</v>
      </c>
      <c r="AI2498">
        <v>29.46</v>
      </c>
      <c r="AJ2498">
        <v>163.66</v>
      </c>
      <c r="AK2498">
        <v>0</v>
      </c>
      <c r="AL2498" t="s">
        <v>53</v>
      </c>
      <c r="AM2498" t="s">
        <v>53</v>
      </c>
      <c r="AN2498" t="s">
        <v>316</v>
      </c>
      <c r="AO2498" t="s">
        <v>53</v>
      </c>
      <c r="AP2498" t="s">
        <v>53</v>
      </c>
    </row>
    <row r="2499" spans="2:42" x14ac:dyDescent="0.2">
      <c r="B2499" t="s">
        <v>44</v>
      </c>
      <c r="C2499" t="str">
        <f>HYPERLINK("https://us2.cloudbeds.com/connect/8493803454333002#/reservations/579290202246?display=DJX6RQRS&amp;reservation_id=579290202246", "DJX6RQRS")</f>
        <v>DJX6RQRS</v>
      </c>
      <c r="D2499" t="s">
        <v>45</v>
      </c>
      <c r="E2499" t="s">
        <v>78</v>
      </c>
      <c r="F2499" t="s">
        <v>61</v>
      </c>
      <c r="G2499" t="s">
        <v>48</v>
      </c>
      <c r="H2499" t="s">
        <v>49</v>
      </c>
      <c r="I2499" t="s">
        <v>50</v>
      </c>
      <c r="J2499" t="s">
        <v>603</v>
      </c>
      <c r="K2499" t="s">
        <v>1367</v>
      </c>
      <c r="L2499" t="s">
        <v>53</v>
      </c>
      <c r="N2499" t="s">
        <v>3938</v>
      </c>
      <c r="P2499" t="s">
        <v>55</v>
      </c>
      <c r="R2499" t="s">
        <v>56</v>
      </c>
      <c r="T2499" t="s">
        <v>3927</v>
      </c>
      <c r="U2499" t="s">
        <v>58</v>
      </c>
      <c r="V2499">
        <v>1</v>
      </c>
      <c r="W2499">
        <v>1</v>
      </c>
      <c r="X2499">
        <v>1</v>
      </c>
      <c r="Y2499">
        <v>0</v>
      </c>
      <c r="Z2499">
        <v>1</v>
      </c>
      <c r="AA2499">
        <v>0</v>
      </c>
      <c r="AB2499">
        <v>163.66</v>
      </c>
      <c r="AC2499">
        <v>144</v>
      </c>
      <c r="AD2499">
        <v>0</v>
      </c>
      <c r="AE2499">
        <v>19.66</v>
      </c>
      <c r="AF2499">
        <v>0</v>
      </c>
      <c r="AG2499">
        <v>0</v>
      </c>
      <c r="AH2499">
        <v>0</v>
      </c>
      <c r="AI2499">
        <v>29.46</v>
      </c>
      <c r="AJ2499">
        <v>163.66</v>
      </c>
      <c r="AK2499">
        <v>0</v>
      </c>
      <c r="AL2499" t="s">
        <v>53</v>
      </c>
      <c r="AM2499" t="s">
        <v>53</v>
      </c>
      <c r="AN2499" t="s">
        <v>280</v>
      </c>
      <c r="AO2499" t="s">
        <v>53</v>
      </c>
      <c r="AP2499" t="s">
        <v>53</v>
      </c>
    </row>
    <row r="2500" spans="2:42" x14ac:dyDescent="0.2">
      <c r="B2500" t="s">
        <v>44</v>
      </c>
      <c r="C2500" t="str">
        <f>HYPERLINK("https://us2.cloudbeds.com/connect/8493803454333002#/reservations/579145773186?display=DJEH1SEM&amp;reservation_id=579145773186", "DJEH1SEM")</f>
        <v>DJEH1SEM</v>
      </c>
      <c r="D2500" t="s">
        <v>45</v>
      </c>
      <c r="E2500" t="s">
        <v>406</v>
      </c>
      <c r="F2500" t="s">
        <v>61</v>
      </c>
      <c r="G2500" t="s">
        <v>48</v>
      </c>
      <c r="H2500" t="s">
        <v>49</v>
      </c>
      <c r="I2500" t="s">
        <v>79</v>
      </c>
      <c r="J2500" t="s">
        <v>1985</v>
      </c>
      <c r="K2500" t="s">
        <v>2023</v>
      </c>
      <c r="L2500" t="s">
        <v>53</v>
      </c>
      <c r="N2500" t="s">
        <v>3939</v>
      </c>
      <c r="P2500" t="s">
        <v>55</v>
      </c>
      <c r="R2500" t="s">
        <v>56</v>
      </c>
      <c r="T2500" t="s">
        <v>3927</v>
      </c>
      <c r="U2500" t="s">
        <v>58</v>
      </c>
      <c r="V2500">
        <v>2</v>
      </c>
      <c r="W2500">
        <v>1</v>
      </c>
      <c r="X2500">
        <v>1</v>
      </c>
      <c r="Y2500">
        <v>0</v>
      </c>
      <c r="Z2500">
        <v>1</v>
      </c>
      <c r="AA2500">
        <v>0</v>
      </c>
      <c r="AB2500">
        <v>334.48</v>
      </c>
      <c r="AC2500">
        <v>294.3</v>
      </c>
      <c r="AD2500">
        <v>0</v>
      </c>
      <c r="AE2500">
        <v>40.18</v>
      </c>
      <c r="AF2500">
        <v>0</v>
      </c>
      <c r="AG2500">
        <v>0</v>
      </c>
      <c r="AH2500">
        <v>0</v>
      </c>
      <c r="AI2500">
        <v>0</v>
      </c>
      <c r="AJ2500">
        <v>334.48</v>
      </c>
      <c r="AK2500">
        <v>0</v>
      </c>
      <c r="AL2500" t="s">
        <v>53</v>
      </c>
      <c r="AM2500" t="s">
        <v>53</v>
      </c>
      <c r="AN2500" t="s">
        <v>245</v>
      </c>
      <c r="AO2500" t="s">
        <v>53</v>
      </c>
      <c r="AP2500" t="s">
        <v>53</v>
      </c>
    </row>
    <row r="2501" spans="2:42" x14ac:dyDescent="0.2">
      <c r="B2501" t="s">
        <v>44</v>
      </c>
      <c r="C2501" t="str">
        <f>HYPERLINK("https://us2.cloudbeds.com/connect/8493803454333002#/reservations/579175190744?display=DJF8SEQS&amp;reservation_id=579175190744", "DJF8SEQS")</f>
        <v>DJF8SEQS</v>
      </c>
      <c r="D2501" t="s">
        <v>45</v>
      </c>
      <c r="E2501" t="s">
        <v>85</v>
      </c>
      <c r="F2501" t="s">
        <v>86</v>
      </c>
      <c r="G2501" t="s">
        <v>48</v>
      </c>
      <c r="H2501" t="s">
        <v>49</v>
      </c>
      <c r="I2501" t="s">
        <v>114</v>
      </c>
      <c r="J2501" t="s">
        <v>603</v>
      </c>
      <c r="K2501" t="s">
        <v>1367</v>
      </c>
      <c r="L2501" t="s">
        <v>53</v>
      </c>
      <c r="N2501" t="s">
        <v>3940</v>
      </c>
      <c r="P2501" t="s">
        <v>55</v>
      </c>
      <c r="R2501" t="s">
        <v>56</v>
      </c>
      <c r="T2501" t="s">
        <v>3927</v>
      </c>
      <c r="U2501" t="s">
        <v>58</v>
      </c>
      <c r="V2501">
        <v>1</v>
      </c>
      <c r="W2501">
        <v>1</v>
      </c>
      <c r="X2501">
        <v>1</v>
      </c>
      <c r="Y2501">
        <v>0</v>
      </c>
      <c r="Z2501">
        <v>1</v>
      </c>
      <c r="AA2501">
        <v>0</v>
      </c>
      <c r="AB2501">
        <v>179.57</v>
      </c>
      <c r="AC2501">
        <v>158</v>
      </c>
      <c r="AD2501">
        <v>0</v>
      </c>
      <c r="AE2501">
        <v>21.57</v>
      </c>
      <c r="AF2501">
        <v>0</v>
      </c>
      <c r="AG2501">
        <v>0</v>
      </c>
      <c r="AH2501">
        <v>0</v>
      </c>
      <c r="AI2501">
        <v>0</v>
      </c>
      <c r="AJ2501">
        <v>179.57</v>
      </c>
      <c r="AK2501">
        <v>0</v>
      </c>
      <c r="AL2501" t="s">
        <v>53</v>
      </c>
      <c r="AM2501" t="s">
        <v>53</v>
      </c>
      <c r="AN2501" t="s">
        <v>3941</v>
      </c>
      <c r="AO2501" t="s">
        <v>53</v>
      </c>
      <c r="AP2501" t="s">
        <v>53</v>
      </c>
    </row>
    <row r="2502" spans="2:42" x14ac:dyDescent="0.2">
      <c r="B2502" t="s">
        <v>44</v>
      </c>
      <c r="C2502" t="str">
        <f>HYPERLINK("https://us2.cloudbeds.com/connect/8493803454333002#/reservations/579267018962?display=DJHK9N83&amp;reservation_id=579267018962", "DJHK9N83")</f>
        <v>DJHK9N83</v>
      </c>
      <c r="D2502" t="s">
        <v>45</v>
      </c>
      <c r="E2502" t="s">
        <v>113</v>
      </c>
      <c r="F2502" t="s">
        <v>61</v>
      </c>
      <c r="G2502" t="s">
        <v>48</v>
      </c>
      <c r="H2502" t="s">
        <v>49</v>
      </c>
      <c r="I2502" t="s">
        <v>50</v>
      </c>
      <c r="J2502" t="s">
        <v>1367</v>
      </c>
      <c r="K2502" t="s">
        <v>1985</v>
      </c>
      <c r="L2502" t="s">
        <v>53</v>
      </c>
      <c r="N2502" t="s">
        <v>3942</v>
      </c>
      <c r="P2502" t="s">
        <v>55</v>
      </c>
      <c r="R2502" t="s">
        <v>56</v>
      </c>
      <c r="T2502" t="s">
        <v>3927</v>
      </c>
      <c r="U2502" t="s">
        <v>58</v>
      </c>
      <c r="V2502">
        <v>1</v>
      </c>
      <c r="W2502">
        <v>1</v>
      </c>
      <c r="X2502">
        <v>1</v>
      </c>
      <c r="Y2502">
        <v>0</v>
      </c>
      <c r="Z2502">
        <v>1</v>
      </c>
      <c r="AA2502">
        <v>0</v>
      </c>
      <c r="AB2502">
        <v>187.53</v>
      </c>
      <c r="AC2502">
        <v>165</v>
      </c>
      <c r="AD2502">
        <v>0</v>
      </c>
      <c r="AE2502">
        <v>22.53</v>
      </c>
      <c r="AF2502">
        <v>0</v>
      </c>
      <c r="AG2502">
        <v>0</v>
      </c>
      <c r="AH2502">
        <v>0</v>
      </c>
      <c r="AI2502">
        <v>33.76</v>
      </c>
      <c r="AJ2502">
        <v>187.53</v>
      </c>
      <c r="AK2502">
        <v>0</v>
      </c>
      <c r="AL2502" t="s">
        <v>53</v>
      </c>
      <c r="AM2502" t="s">
        <v>53</v>
      </c>
      <c r="AN2502" t="s">
        <v>127</v>
      </c>
      <c r="AO2502" t="s">
        <v>53</v>
      </c>
      <c r="AP2502" t="s">
        <v>53</v>
      </c>
    </row>
    <row r="2503" spans="2:42" x14ac:dyDescent="0.2">
      <c r="B2503" t="s">
        <v>44</v>
      </c>
      <c r="C2503" t="str">
        <f>HYPERLINK("https://us2.cloudbeds.com/connect/8493803454333002#/reservations/579169702024?display=DJF47NM0&amp;reservation_id=579169702024", "DJF47NM0")</f>
        <v>DJF47NM0</v>
      </c>
      <c r="D2503" t="s">
        <v>45</v>
      </c>
      <c r="E2503" t="s">
        <v>110</v>
      </c>
      <c r="F2503" t="s">
        <v>47</v>
      </c>
      <c r="G2503" t="s">
        <v>48</v>
      </c>
      <c r="H2503" t="s">
        <v>71</v>
      </c>
      <c r="I2503" t="s">
        <v>72</v>
      </c>
      <c r="J2503" t="s">
        <v>1985</v>
      </c>
      <c r="K2503" t="s">
        <v>2022</v>
      </c>
      <c r="L2503" t="s">
        <v>53</v>
      </c>
      <c r="N2503" t="s">
        <v>3943</v>
      </c>
      <c r="P2503" t="s">
        <v>55</v>
      </c>
      <c r="R2503" t="s">
        <v>56</v>
      </c>
      <c r="T2503" t="s">
        <v>3927</v>
      </c>
      <c r="U2503" t="s">
        <v>58</v>
      </c>
      <c r="V2503">
        <v>1</v>
      </c>
      <c r="W2503">
        <v>1</v>
      </c>
      <c r="X2503">
        <v>1</v>
      </c>
      <c r="Y2503">
        <v>0</v>
      </c>
      <c r="Z2503">
        <v>1</v>
      </c>
      <c r="AA2503">
        <v>0</v>
      </c>
      <c r="AB2503">
        <v>177.29</v>
      </c>
      <c r="AC2503">
        <v>156</v>
      </c>
      <c r="AD2503">
        <v>0</v>
      </c>
      <c r="AE2503">
        <v>21.29</v>
      </c>
      <c r="AF2503">
        <v>0</v>
      </c>
      <c r="AG2503">
        <v>0</v>
      </c>
      <c r="AH2503">
        <v>0</v>
      </c>
      <c r="AI2503">
        <v>0</v>
      </c>
      <c r="AJ2503">
        <v>177.29</v>
      </c>
      <c r="AK2503">
        <v>0</v>
      </c>
      <c r="AL2503" t="s">
        <v>53</v>
      </c>
      <c r="AM2503" t="s">
        <v>53</v>
      </c>
      <c r="AN2503" t="s">
        <v>3944</v>
      </c>
      <c r="AO2503" t="s">
        <v>53</v>
      </c>
      <c r="AP2503" t="s">
        <v>53</v>
      </c>
    </row>
    <row r="2504" spans="2:42" x14ac:dyDescent="0.2">
      <c r="B2504" t="s">
        <v>44</v>
      </c>
      <c r="C2504" t="str">
        <f>HYPERLINK("https://us2.cloudbeds.com/connect/8493803454333002#/reservations/579267014881?display=DJHK9JGE&amp;reservation_id=579267014881", "DJHK9JGE")</f>
        <v>DJHK9JGE</v>
      </c>
      <c r="D2504" t="s">
        <v>45</v>
      </c>
      <c r="E2504" t="s">
        <v>406</v>
      </c>
      <c r="F2504" t="s">
        <v>61</v>
      </c>
      <c r="G2504" t="s">
        <v>48</v>
      </c>
      <c r="H2504" t="s">
        <v>71</v>
      </c>
      <c r="I2504" t="s">
        <v>72</v>
      </c>
      <c r="J2504" t="s">
        <v>1556</v>
      </c>
      <c r="K2504" t="s">
        <v>2315</v>
      </c>
      <c r="L2504" t="s">
        <v>53</v>
      </c>
      <c r="N2504" t="s">
        <v>3945</v>
      </c>
      <c r="P2504" t="s">
        <v>55</v>
      </c>
      <c r="R2504" t="s">
        <v>56</v>
      </c>
      <c r="T2504" t="s">
        <v>3927</v>
      </c>
      <c r="U2504" t="s">
        <v>58</v>
      </c>
      <c r="V2504">
        <v>2</v>
      </c>
      <c r="W2504">
        <v>1</v>
      </c>
      <c r="X2504">
        <v>1</v>
      </c>
      <c r="Y2504">
        <v>0</v>
      </c>
      <c r="Z2504">
        <v>1</v>
      </c>
      <c r="AA2504">
        <v>0</v>
      </c>
      <c r="AB2504">
        <v>350.06</v>
      </c>
      <c r="AC2504">
        <v>308</v>
      </c>
      <c r="AD2504">
        <v>0</v>
      </c>
      <c r="AE2504">
        <v>42.06</v>
      </c>
      <c r="AF2504">
        <v>0</v>
      </c>
      <c r="AG2504">
        <v>0</v>
      </c>
      <c r="AH2504">
        <v>0</v>
      </c>
      <c r="AI2504">
        <v>0</v>
      </c>
      <c r="AJ2504">
        <v>350.06</v>
      </c>
      <c r="AK2504">
        <v>0</v>
      </c>
      <c r="AL2504" t="s">
        <v>53</v>
      </c>
      <c r="AM2504" t="s">
        <v>53</v>
      </c>
      <c r="AN2504" t="s">
        <v>3946</v>
      </c>
      <c r="AO2504" t="s">
        <v>53</v>
      </c>
      <c r="AP2504" t="s">
        <v>53</v>
      </c>
    </row>
    <row r="2505" spans="2:42" x14ac:dyDescent="0.2">
      <c r="B2505" t="s">
        <v>44</v>
      </c>
      <c r="C2505" t="str">
        <f>HYPERLINK("https://us2.cloudbeds.com/connect/8493803454333002#/reservations/579265757406?display=DJHJ7JQ5&amp;reservation_id=579265757406", "DJHJ7JQ5")</f>
        <v>DJHJ7JQ5</v>
      </c>
      <c r="D2505" t="s">
        <v>45</v>
      </c>
      <c r="E2505" t="s">
        <v>46</v>
      </c>
      <c r="F2505" t="s">
        <v>47</v>
      </c>
      <c r="G2505" t="s">
        <v>48</v>
      </c>
      <c r="H2505" t="s">
        <v>71</v>
      </c>
      <c r="I2505" t="s">
        <v>72</v>
      </c>
      <c r="J2505" t="s">
        <v>2162</v>
      </c>
      <c r="K2505" t="s">
        <v>2384</v>
      </c>
      <c r="L2505" t="s">
        <v>53</v>
      </c>
      <c r="N2505" t="s">
        <v>3947</v>
      </c>
      <c r="P2505" t="s">
        <v>58</v>
      </c>
      <c r="R2505" t="s">
        <v>56</v>
      </c>
      <c r="T2505" t="s">
        <v>3927</v>
      </c>
      <c r="U2505" t="s">
        <v>58</v>
      </c>
      <c r="V2505">
        <v>1</v>
      </c>
      <c r="W2505">
        <v>1</v>
      </c>
      <c r="X2505">
        <v>1</v>
      </c>
      <c r="Y2505">
        <v>0</v>
      </c>
      <c r="Z2505">
        <v>1</v>
      </c>
      <c r="AA2505">
        <v>0</v>
      </c>
      <c r="AB2505">
        <v>136.38</v>
      </c>
      <c r="AC2505">
        <v>120</v>
      </c>
      <c r="AD2505">
        <v>0</v>
      </c>
      <c r="AE2505">
        <v>16.38</v>
      </c>
      <c r="AF2505">
        <v>0</v>
      </c>
      <c r="AG2505">
        <v>0</v>
      </c>
      <c r="AH2505">
        <v>0</v>
      </c>
      <c r="AI2505">
        <v>0</v>
      </c>
      <c r="AJ2505">
        <v>136.38</v>
      </c>
      <c r="AK2505">
        <v>0</v>
      </c>
      <c r="AL2505" t="s">
        <v>53</v>
      </c>
      <c r="AM2505" t="s">
        <v>53</v>
      </c>
      <c r="AN2505" t="s">
        <v>378</v>
      </c>
      <c r="AO2505" t="s">
        <v>53</v>
      </c>
      <c r="AP2505" t="s">
        <v>53</v>
      </c>
    </row>
    <row r="2506" spans="2:42" x14ac:dyDescent="0.2">
      <c r="B2506" t="s">
        <v>44</v>
      </c>
      <c r="C2506" t="str">
        <f>HYPERLINK("https://us2.cloudbeds.com/connect/8493803454333002#/reservations/579141812354?display=DJEDNYAF&amp;reservation_id=579141812354", "DJEDNYAF")</f>
        <v>DJEDNYAF</v>
      </c>
      <c r="D2506" t="s">
        <v>602</v>
      </c>
      <c r="E2506" t="s">
        <v>53</v>
      </c>
      <c r="F2506" t="s">
        <v>86</v>
      </c>
      <c r="G2506" t="s">
        <v>48</v>
      </c>
      <c r="H2506" t="s">
        <v>71</v>
      </c>
      <c r="I2506" t="s">
        <v>72</v>
      </c>
      <c r="J2506" t="s">
        <v>505</v>
      </c>
      <c r="K2506" t="s">
        <v>603</v>
      </c>
      <c r="L2506" t="s">
        <v>53</v>
      </c>
      <c r="N2506" t="s">
        <v>3948</v>
      </c>
      <c r="P2506" t="s">
        <v>55</v>
      </c>
      <c r="R2506" t="s">
        <v>56</v>
      </c>
      <c r="T2506" t="s">
        <v>3927</v>
      </c>
      <c r="U2506" t="s">
        <v>58</v>
      </c>
      <c r="V2506">
        <v>1</v>
      </c>
      <c r="W2506">
        <v>1</v>
      </c>
      <c r="X2506">
        <v>1</v>
      </c>
      <c r="Y2506">
        <v>0</v>
      </c>
      <c r="Z2506">
        <v>1</v>
      </c>
      <c r="AA2506">
        <v>0</v>
      </c>
      <c r="AB2506">
        <v>0</v>
      </c>
      <c r="AC2506">
        <v>0</v>
      </c>
      <c r="AD2506">
        <v>0</v>
      </c>
      <c r="AE2506">
        <v>0</v>
      </c>
      <c r="AF2506">
        <v>0</v>
      </c>
      <c r="AG2506">
        <v>0</v>
      </c>
      <c r="AH2506">
        <v>0</v>
      </c>
      <c r="AI2506">
        <v>0</v>
      </c>
      <c r="AJ2506">
        <v>0</v>
      </c>
      <c r="AK2506">
        <v>0</v>
      </c>
      <c r="AL2506">
        <v>170</v>
      </c>
      <c r="AM2506">
        <v>193.21</v>
      </c>
      <c r="AN2506" t="s">
        <v>378</v>
      </c>
      <c r="AO2506" t="s">
        <v>53</v>
      </c>
      <c r="AP2506" t="s">
        <v>53</v>
      </c>
    </row>
    <row r="2507" spans="2:42" x14ac:dyDescent="0.2">
      <c r="B2507" t="s">
        <v>44</v>
      </c>
      <c r="C2507" t="str">
        <f>HYPERLINK("https://us2.cloudbeds.com/connect/8493803454333002#/reservations/579263361186?display=DJHH6UDD&amp;reservation_id=579263361186", "DJHH6UDD")</f>
        <v>DJHH6UDD</v>
      </c>
      <c r="D2507" t="s">
        <v>45</v>
      </c>
      <c r="E2507" t="s">
        <v>213</v>
      </c>
      <c r="F2507" t="s">
        <v>86</v>
      </c>
      <c r="G2507" t="s">
        <v>48</v>
      </c>
      <c r="H2507" t="s">
        <v>49</v>
      </c>
      <c r="I2507" t="s">
        <v>266</v>
      </c>
      <c r="J2507" t="s">
        <v>1858</v>
      </c>
      <c r="K2507" t="s">
        <v>1610</v>
      </c>
      <c r="L2507" t="s">
        <v>53</v>
      </c>
      <c r="N2507" t="s">
        <v>3949</v>
      </c>
      <c r="P2507" t="s">
        <v>55</v>
      </c>
      <c r="R2507" t="s">
        <v>56</v>
      </c>
      <c r="T2507" t="s">
        <v>3927</v>
      </c>
      <c r="U2507" t="s">
        <v>58</v>
      </c>
      <c r="V2507">
        <v>2</v>
      </c>
      <c r="W2507">
        <v>1</v>
      </c>
      <c r="X2507">
        <v>1</v>
      </c>
      <c r="Y2507">
        <v>0</v>
      </c>
      <c r="Z2507">
        <v>1</v>
      </c>
      <c r="AA2507">
        <v>0</v>
      </c>
      <c r="AB2507">
        <v>339.58</v>
      </c>
      <c r="AC2507">
        <v>298.8</v>
      </c>
      <c r="AD2507">
        <v>0</v>
      </c>
      <c r="AE2507">
        <v>40.78</v>
      </c>
      <c r="AF2507">
        <v>0</v>
      </c>
      <c r="AG2507">
        <v>0</v>
      </c>
      <c r="AH2507">
        <v>0</v>
      </c>
      <c r="AI2507">
        <v>0</v>
      </c>
      <c r="AJ2507">
        <v>339.58</v>
      </c>
      <c r="AK2507">
        <v>0</v>
      </c>
      <c r="AL2507" t="s">
        <v>53</v>
      </c>
      <c r="AM2507" t="s">
        <v>53</v>
      </c>
      <c r="AN2507" t="s">
        <v>142</v>
      </c>
      <c r="AO2507" t="s">
        <v>53</v>
      </c>
      <c r="AP2507" t="s">
        <v>53</v>
      </c>
    </row>
    <row r="2508" spans="2:42" x14ac:dyDescent="0.2">
      <c r="B2508" t="s">
        <v>44</v>
      </c>
      <c r="C2508" t="str">
        <f>HYPERLINK("https://us2.cloudbeds.com/connect/8493803454333002#/reservations/579313422485?display=DJXQDVCG&amp;reservation_id=579313422485", "DJXQDVCG")</f>
        <v>DJXQDVCG</v>
      </c>
      <c r="D2508" t="s">
        <v>45</v>
      </c>
      <c r="E2508" t="s">
        <v>305</v>
      </c>
      <c r="F2508" t="s">
        <v>61</v>
      </c>
      <c r="G2508" t="s">
        <v>48</v>
      </c>
      <c r="H2508" t="s">
        <v>49</v>
      </c>
      <c r="I2508" t="s">
        <v>50</v>
      </c>
      <c r="J2508" t="s">
        <v>1478</v>
      </c>
      <c r="K2508" t="s">
        <v>3514</v>
      </c>
      <c r="L2508" t="s">
        <v>53</v>
      </c>
      <c r="N2508" t="s">
        <v>3950</v>
      </c>
      <c r="P2508" t="s">
        <v>55</v>
      </c>
      <c r="R2508" t="s">
        <v>56</v>
      </c>
      <c r="T2508" t="s">
        <v>3927</v>
      </c>
      <c r="U2508" t="s">
        <v>58</v>
      </c>
      <c r="V2508">
        <v>1</v>
      </c>
      <c r="W2508">
        <v>1</v>
      </c>
      <c r="X2508">
        <v>1</v>
      </c>
      <c r="Y2508">
        <v>0</v>
      </c>
      <c r="Z2508">
        <v>1</v>
      </c>
      <c r="AA2508">
        <v>0</v>
      </c>
      <c r="AB2508">
        <v>173.89</v>
      </c>
      <c r="AC2508">
        <v>153</v>
      </c>
      <c r="AD2508">
        <v>0</v>
      </c>
      <c r="AE2508">
        <v>20.89</v>
      </c>
      <c r="AF2508">
        <v>0</v>
      </c>
      <c r="AG2508">
        <v>0</v>
      </c>
      <c r="AH2508">
        <v>0</v>
      </c>
      <c r="AI2508">
        <v>31.3</v>
      </c>
      <c r="AJ2508">
        <v>173.89</v>
      </c>
      <c r="AK2508">
        <v>0</v>
      </c>
      <c r="AL2508" t="s">
        <v>53</v>
      </c>
      <c r="AM2508" t="s">
        <v>53</v>
      </c>
      <c r="AN2508" t="s">
        <v>127</v>
      </c>
      <c r="AO2508" t="s">
        <v>53</v>
      </c>
      <c r="AP2508" t="s">
        <v>53</v>
      </c>
    </row>
    <row r="2509" spans="2:42" x14ac:dyDescent="0.2">
      <c r="B2509" t="s">
        <v>44</v>
      </c>
      <c r="C2509" t="str">
        <f>HYPERLINK("https://us2.cloudbeds.com/connect/8493803454333002#/reservations/579256144022?display=DJHB432G&amp;reservation_id=579256144022", "DJHB432G")</f>
        <v>DJHB432G</v>
      </c>
      <c r="D2509" t="s">
        <v>45</v>
      </c>
      <c r="E2509" t="s">
        <v>46</v>
      </c>
      <c r="F2509" t="s">
        <v>47</v>
      </c>
      <c r="G2509" t="s">
        <v>48</v>
      </c>
      <c r="H2509" t="s">
        <v>49</v>
      </c>
      <c r="I2509" t="s">
        <v>50</v>
      </c>
      <c r="J2509" t="s">
        <v>2058</v>
      </c>
      <c r="K2509" t="s">
        <v>2494</v>
      </c>
      <c r="L2509" t="s">
        <v>53</v>
      </c>
      <c r="N2509" t="s">
        <v>3951</v>
      </c>
      <c r="P2509" t="s">
        <v>55</v>
      </c>
      <c r="R2509" t="s">
        <v>56</v>
      </c>
      <c r="T2509" t="s">
        <v>3927</v>
      </c>
      <c r="U2509" t="s">
        <v>58</v>
      </c>
      <c r="V2509">
        <v>1</v>
      </c>
      <c r="W2509">
        <v>1</v>
      </c>
      <c r="X2509">
        <v>1</v>
      </c>
      <c r="Y2509">
        <v>0</v>
      </c>
      <c r="Z2509">
        <v>1</v>
      </c>
      <c r="AA2509">
        <v>0</v>
      </c>
      <c r="AB2509">
        <v>154.44999999999999</v>
      </c>
      <c r="AC2509">
        <v>135.9</v>
      </c>
      <c r="AD2509">
        <v>0</v>
      </c>
      <c r="AE2509">
        <v>18.55</v>
      </c>
      <c r="AF2509">
        <v>0</v>
      </c>
      <c r="AG2509">
        <v>0</v>
      </c>
      <c r="AH2509">
        <v>0</v>
      </c>
      <c r="AI2509">
        <v>27.8</v>
      </c>
      <c r="AJ2509">
        <v>154.44999999999999</v>
      </c>
      <c r="AK2509">
        <v>0</v>
      </c>
      <c r="AL2509" t="s">
        <v>53</v>
      </c>
      <c r="AM2509" t="s">
        <v>53</v>
      </c>
      <c r="AN2509" t="s">
        <v>137</v>
      </c>
      <c r="AO2509" t="s">
        <v>53</v>
      </c>
      <c r="AP2509" t="s">
        <v>53</v>
      </c>
    </row>
    <row r="2510" spans="2:42" x14ac:dyDescent="0.2">
      <c r="B2510" t="s">
        <v>44</v>
      </c>
      <c r="C2510" t="str">
        <f>HYPERLINK("https://us2.cloudbeds.com/connect/8493803454333002#/reservations/579301748883?display=DJXGJ3QW&amp;reservation_id=579301748883", "DJXGJ3QW")</f>
        <v>DJXGJ3QW</v>
      </c>
      <c r="D2510" t="s">
        <v>45</v>
      </c>
      <c r="E2510" t="s">
        <v>373</v>
      </c>
      <c r="F2510" t="s">
        <v>47</v>
      </c>
      <c r="G2510" t="s">
        <v>48</v>
      </c>
      <c r="H2510" t="s">
        <v>49</v>
      </c>
      <c r="I2510" t="s">
        <v>79</v>
      </c>
      <c r="J2510" t="s">
        <v>603</v>
      </c>
      <c r="K2510" t="s">
        <v>1985</v>
      </c>
      <c r="L2510" t="s">
        <v>53</v>
      </c>
      <c r="N2510" t="s">
        <v>3952</v>
      </c>
      <c r="P2510" t="s">
        <v>55</v>
      </c>
      <c r="R2510" t="s">
        <v>56</v>
      </c>
      <c r="T2510" t="s">
        <v>3927</v>
      </c>
      <c r="U2510" t="s">
        <v>58</v>
      </c>
      <c r="V2510">
        <v>2</v>
      </c>
      <c r="W2510">
        <v>1</v>
      </c>
      <c r="X2510">
        <v>1</v>
      </c>
      <c r="Y2510">
        <v>0</v>
      </c>
      <c r="Z2510">
        <v>1</v>
      </c>
      <c r="AA2510">
        <v>0</v>
      </c>
      <c r="AB2510">
        <v>332.44</v>
      </c>
      <c r="AC2510">
        <v>190.5</v>
      </c>
      <c r="AD2510">
        <v>0</v>
      </c>
      <c r="AE2510">
        <v>38.299999999999997</v>
      </c>
      <c r="AF2510">
        <v>0</v>
      </c>
      <c r="AG2510">
        <v>0</v>
      </c>
      <c r="AH2510">
        <v>0</v>
      </c>
      <c r="AI2510">
        <v>0</v>
      </c>
      <c r="AJ2510">
        <v>228.8</v>
      </c>
      <c r="AK2510">
        <v>0</v>
      </c>
      <c r="AL2510" t="s">
        <v>53</v>
      </c>
      <c r="AM2510" t="s">
        <v>53</v>
      </c>
      <c r="AN2510" t="s">
        <v>178</v>
      </c>
      <c r="AO2510" t="s">
        <v>53</v>
      </c>
      <c r="AP2510" t="s">
        <v>53</v>
      </c>
    </row>
    <row r="2511" spans="2:42" x14ac:dyDescent="0.2">
      <c r="B2511" t="s">
        <v>44</v>
      </c>
      <c r="C2511" t="str">
        <f>HYPERLINK("https://us2.cloudbeds.com/connect/8493803454333002#/reservations/579268214930?display=DJHY9WFJ&amp;reservation_id=579268214930", "DJHY9WFJ")</f>
        <v>DJHY9WFJ</v>
      </c>
      <c r="D2511" t="s">
        <v>602</v>
      </c>
      <c r="E2511" t="s">
        <v>53</v>
      </c>
      <c r="F2511" t="s">
        <v>86</v>
      </c>
      <c r="G2511" t="s">
        <v>48</v>
      </c>
      <c r="H2511" t="s">
        <v>71</v>
      </c>
      <c r="I2511" t="s">
        <v>72</v>
      </c>
      <c r="J2511" t="s">
        <v>505</v>
      </c>
      <c r="K2511" t="s">
        <v>603</v>
      </c>
      <c r="L2511" t="s">
        <v>53</v>
      </c>
      <c r="N2511" t="s">
        <v>3953</v>
      </c>
      <c r="P2511" t="s">
        <v>55</v>
      </c>
      <c r="R2511" t="s">
        <v>56</v>
      </c>
      <c r="T2511" t="s">
        <v>3927</v>
      </c>
      <c r="U2511" t="s">
        <v>58</v>
      </c>
      <c r="V2511">
        <v>1</v>
      </c>
      <c r="W2511">
        <v>1</v>
      </c>
      <c r="X2511">
        <v>1</v>
      </c>
      <c r="Y2511">
        <v>0</v>
      </c>
      <c r="Z2511">
        <v>1</v>
      </c>
      <c r="AA2511">
        <v>0</v>
      </c>
      <c r="AB2511">
        <v>0</v>
      </c>
      <c r="AC2511">
        <v>0</v>
      </c>
      <c r="AD2511">
        <v>0</v>
      </c>
      <c r="AE2511">
        <v>0</v>
      </c>
      <c r="AF2511">
        <v>0</v>
      </c>
      <c r="AG2511">
        <v>0</v>
      </c>
      <c r="AH2511">
        <v>0</v>
      </c>
      <c r="AI2511">
        <v>0</v>
      </c>
      <c r="AJ2511">
        <v>0</v>
      </c>
      <c r="AK2511">
        <v>0</v>
      </c>
      <c r="AL2511">
        <v>184</v>
      </c>
      <c r="AM2511">
        <v>209.12</v>
      </c>
      <c r="AN2511" t="s">
        <v>3954</v>
      </c>
      <c r="AO2511" t="s">
        <v>53</v>
      </c>
      <c r="AP2511" t="s">
        <v>53</v>
      </c>
    </row>
    <row r="2512" spans="2:42" x14ac:dyDescent="0.2">
      <c r="B2512" t="s">
        <v>44</v>
      </c>
      <c r="C2512" t="str">
        <f>HYPERLINK("https://us2.cloudbeds.com/connect/8493803454333002#/reservations/579200028912?display=DJFTQK1K&amp;reservation_id=579200028912", "DJFTQK1K")</f>
        <v>DJFTQK1K</v>
      </c>
      <c r="D2512" t="s">
        <v>602</v>
      </c>
      <c r="E2512" t="s">
        <v>53</v>
      </c>
      <c r="F2512" t="s">
        <v>86</v>
      </c>
      <c r="G2512" t="s">
        <v>48</v>
      </c>
      <c r="H2512" t="s">
        <v>49</v>
      </c>
      <c r="I2512" t="s">
        <v>62</v>
      </c>
      <c r="J2512" t="s">
        <v>505</v>
      </c>
      <c r="K2512" t="s">
        <v>603</v>
      </c>
      <c r="L2512" t="s">
        <v>53</v>
      </c>
      <c r="N2512" t="s">
        <v>3955</v>
      </c>
      <c r="P2512" t="s">
        <v>55</v>
      </c>
      <c r="R2512" t="s">
        <v>56</v>
      </c>
      <c r="T2512" t="s">
        <v>3927</v>
      </c>
      <c r="U2512" t="s">
        <v>58</v>
      </c>
      <c r="V2512">
        <v>1</v>
      </c>
      <c r="W2512">
        <v>1</v>
      </c>
      <c r="X2512">
        <v>1</v>
      </c>
      <c r="Y2512">
        <v>0</v>
      </c>
      <c r="Z2512">
        <v>1</v>
      </c>
      <c r="AA2512">
        <v>0</v>
      </c>
      <c r="AB2512">
        <v>0</v>
      </c>
      <c r="AC2512">
        <v>0</v>
      </c>
      <c r="AD2512">
        <v>0</v>
      </c>
      <c r="AE2512">
        <v>0</v>
      </c>
      <c r="AF2512">
        <v>0</v>
      </c>
      <c r="AG2512">
        <v>0</v>
      </c>
      <c r="AH2512">
        <v>0</v>
      </c>
      <c r="AI2512">
        <v>28.98</v>
      </c>
      <c r="AJ2512">
        <v>0</v>
      </c>
      <c r="AK2512">
        <v>0</v>
      </c>
      <c r="AL2512">
        <v>170</v>
      </c>
      <c r="AM2512">
        <v>193.21</v>
      </c>
      <c r="AN2512" t="s">
        <v>605</v>
      </c>
      <c r="AO2512" t="s">
        <v>53</v>
      </c>
      <c r="AP2512" t="s">
        <v>53</v>
      </c>
    </row>
    <row r="2513" spans="2:42" x14ac:dyDescent="0.2">
      <c r="B2513" t="s">
        <v>44</v>
      </c>
      <c r="C2513" t="str">
        <f>HYPERLINK("https://us2.cloudbeds.com/connect/8493803454333002#/reservations/579185754323?display=DJFHPD2A&amp;reservation_id=579185754323", "DJFHPD2A")</f>
        <v>DJFHPD2A</v>
      </c>
      <c r="D2513" t="s">
        <v>602</v>
      </c>
      <c r="E2513" t="s">
        <v>53</v>
      </c>
      <c r="F2513" t="s">
        <v>47</v>
      </c>
      <c r="G2513" t="s">
        <v>48</v>
      </c>
      <c r="H2513" t="s">
        <v>49</v>
      </c>
      <c r="I2513" t="s">
        <v>50</v>
      </c>
      <c r="J2513" t="s">
        <v>505</v>
      </c>
      <c r="K2513" t="s">
        <v>603</v>
      </c>
      <c r="L2513" t="s">
        <v>53</v>
      </c>
      <c r="N2513" t="s">
        <v>3956</v>
      </c>
      <c r="P2513" t="s">
        <v>55</v>
      </c>
      <c r="R2513" t="s">
        <v>56</v>
      </c>
      <c r="T2513" t="s">
        <v>3927</v>
      </c>
      <c r="U2513" t="s">
        <v>58</v>
      </c>
      <c r="V2513">
        <v>1</v>
      </c>
      <c r="W2513">
        <v>1</v>
      </c>
      <c r="X2513">
        <v>1</v>
      </c>
      <c r="Y2513">
        <v>0</v>
      </c>
      <c r="Z2513">
        <v>1</v>
      </c>
      <c r="AA2513">
        <v>0</v>
      </c>
      <c r="AB2513">
        <v>0</v>
      </c>
      <c r="AC2513">
        <v>0</v>
      </c>
      <c r="AD2513">
        <v>0</v>
      </c>
      <c r="AE2513">
        <v>0</v>
      </c>
      <c r="AF2513">
        <v>0</v>
      </c>
      <c r="AG2513">
        <v>0</v>
      </c>
      <c r="AH2513">
        <v>0</v>
      </c>
      <c r="AI2513">
        <v>28.91</v>
      </c>
      <c r="AJ2513">
        <v>0</v>
      </c>
      <c r="AK2513">
        <v>0</v>
      </c>
      <c r="AL2513">
        <v>141.30000000000001</v>
      </c>
      <c r="AM2513">
        <v>160.6</v>
      </c>
      <c r="AN2513" t="s">
        <v>605</v>
      </c>
      <c r="AO2513" t="s">
        <v>53</v>
      </c>
      <c r="AP2513" t="s">
        <v>53</v>
      </c>
    </row>
    <row r="2514" spans="2:42" x14ac:dyDescent="0.2">
      <c r="B2514" t="s">
        <v>44</v>
      </c>
      <c r="C2514" t="str">
        <f>HYPERLINK("https://us2.cloudbeds.com/connect/8493803454333002#/reservations/712780263636?display=GNU66X5B&amp;reservation_id=712780263636", "GNU66X5B")</f>
        <v>GNU66X5B</v>
      </c>
      <c r="D2514" t="s">
        <v>45</v>
      </c>
      <c r="E2514" t="s">
        <v>381</v>
      </c>
      <c r="F2514" t="s">
        <v>47</v>
      </c>
      <c r="G2514" t="s">
        <v>48</v>
      </c>
      <c r="H2514" t="s">
        <v>3957</v>
      </c>
      <c r="I2514" t="s">
        <v>3958</v>
      </c>
      <c r="J2514" t="s">
        <v>1515</v>
      </c>
      <c r="K2514" t="s">
        <v>2163</v>
      </c>
      <c r="L2514" t="s">
        <v>53</v>
      </c>
      <c r="P2514" t="s">
        <v>58</v>
      </c>
      <c r="R2514" t="s">
        <v>56</v>
      </c>
      <c r="T2514" t="s">
        <v>3959</v>
      </c>
      <c r="U2514" t="s">
        <v>58</v>
      </c>
      <c r="V2514">
        <v>3</v>
      </c>
      <c r="W2514">
        <v>1</v>
      </c>
      <c r="X2514">
        <v>1</v>
      </c>
      <c r="Y2514">
        <v>0</v>
      </c>
      <c r="Z2514">
        <v>1</v>
      </c>
      <c r="AA2514">
        <v>0</v>
      </c>
      <c r="AB2514">
        <v>392.13</v>
      </c>
      <c r="AC2514">
        <v>345</v>
      </c>
      <c r="AD2514">
        <v>0</v>
      </c>
      <c r="AE2514">
        <v>47.13</v>
      </c>
      <c r="AF2514">
        <v>0</v>
      </c>
      <c r="AG2514">
        <v>0</v>
      </c>
      <c r="AH2514">
        <v>0</v>
      </c>
      <c r="AI2514">
        <v>0</v>
      </c>
      <c r="AJ2514">
        <v>392.13</v>
      </c>
      <c r="AK2514">
        <v>0</v>
      </c>
      <c r="AL2514" t="s">
        <v>53</v>
      </c>
      <c r="AM2514" t="s">
        <v>53</v>
      </c>
      <c r="AN2514" t="s">
        <v>3960</v>
      </c>
      <c r="AO2514" t="s">
        <v>53</v>
      </c>
      <c r="AP2514" t="s">
        <v>53</v>
      </c>
    </row>
    <row r="2515" spans="2:42" x14ac:dyDescent="0.2">
      <c r="B2515" t="s">
        <v>44</v>
      </c>
      <c r="C2515" t="str">
        <f>HYPERLINK("https://us2.cloudbeds.com/connect/8493803454333002#/reservations/726278365402?display=H1C35496&amp;reservation_id=726278365402", "H1C35496")</f>
        <v>H1C35496</v>
      </c>
      <c r="D2515" t="s">
        <v>45</v>
      </c>
      <c r="E2515" t="s">
        <v>113</v>
      </c>
      <c r="F2515" t="s">
        <v>61</v>
      </c>
      <c r="G2515" t="s">
        <v>48</v>
      </c>
      <c r="H2515" t="s">
        <v>49</v>
      </c>
      <c r="I2515" t="s">
        <v>50</v>
      </c>
      <c r="J2515" t="s">
        <v>1141</v>
      </c>
      <c r="K2515" t="s">
        <v>1450</v>
      </c>
      <c r="L2515" t="s">
        <v>53</v>
      </c>
      <c r="N2515" t="s">
        <v>3961</v>
      </c>
      <c r="P2515" t="s">
        <v>55</v>
      </c>
      <c r="R2515" t="s">
        <v>53</v>
      </c>
      <c r="T2515" t="s">
        <v>3962</v>
      </c>
      <c r="U2515" t="s">
        <v>58</v>
      </c>
      <c r="V2515">
        <v>1</v>
      </c>
      <c r="W2515">
        <v>1</v>
      </c>
      <c r="X2515">
        <v>2</v>
      </c>
      <c r="Y2515">
        <v>0</v>
      </c>
      <c r="Z2515">
        <v>2</v>
      </c>
      <c r="AA2515">
        <v>0</v>
      </c>
      <c r="AB2515">
        <v>175.03</v>
      </c>
      <c r="AC2515">
        <v>154</v>
      </c>
      <c r="AD2515">
        <v>0</v>
      </c>
      <c r="AE2515">
        <v>21.03</v>
      </c>
      <c r="AF2515">
        <v>0</v>
      </c>
      <c r="AG2515">
        <v>0</v>
      </c>
      <c r="AH2515">
        <v>0</v>
      </c>
      <c r="AI2515">
        <v>31.51</v>
      </c>
      <c r="AJ2515">
        <v>175.03</v>
      </c>
      <c r="AK2515">
        <v>0</v>
      </c>
      <c r="AL2515" t="s">
        <v>53</v>
      </c>
      <c r="AM2515" t="s">
        <v>53</v>
      </c>
      <c r="AN2515" t="s">
        <v>53</v>
      </c>
      <c r="AO2515" t="s">
        <v>53</v>
      </c>
      <c r="AP2515" t="s">
        <v>53</v>
      </c>
    </row>
    <row r="2516" spans="2:42" x14ac:dyDescent="0.2">
      <c r="B2516" t="s">
        <v>44</v>
      </c>
      <c r="C2516" t="str">
        <f>HYPERLINK("https://us2.cloudbeds.com/connect/8493803454333002#/reservations/729620652250?display=H3VGF66R&amp;reservation_id=729620652250", "H3VGF66R")</f>
        <v>H3VGF66R</v>
      </c>
      <c r="D2516" t="s">
        <v>45</v>
      </c>
      <c r="E2516" t="s">
        <v>105</v>
      </c>
      <c r="F2516" t="s">
        <v>47</v>
      </c>
      <c r="G2516" t="s">
        <v>48</v>
      </c>
      <c r="H2516" t="s">
        <v>49</v>
      </c>
      <c r="I2516" t="s">
        <v>50</v>
      </c>
      <c r="J2516" t="s">
        <v>603</v>
      </c>
      <c r="K2516" t="s">
        <v>1367</v>
      </c>
      <c r="L2516" t="s">
        <v>53</v>
      </c>
      <c r="N2516" t="s">
        <v>3963</v>
      </c>
      <c r="P2516" t="s">
        <v>55</v>
      </c>
      <c r="R2516" t="s">
        <v>53</v>
      </c>
      <c r="T2516" t="s">
        <v>3964</v>
      </c>
      <c r="U2516" t="s">
        <v>58</v>
      </c>
      <c r="V2516">
        <v>1</v>
      </c>
      <c r="W2516">
        <v>1</v>
      </c>
      <c r="X2516">
        <v>2</v>
      </c>
      <c r="Y2516">
        <v>0</v>
      </c>
      <c r="Z2516">
        <v>2</v>
      </c>
      <c r="AA2516">
        <v>0</v>
      </c>
      <c r="AB2516">
        <v>190.93</v>
      </c>
      <c r="AC2516">
        <v>168</v>
      </c>
      <c r="AD2516">
        <v>0</v>
      </c>
      <c r="AE2516">
        <v>22.93</v>
      </c>
      <c r="AF2516">
        <v>0</v>
      </c>
      <c r="AG2516">
        <v>0</v>
      </c>
      <c r="AH2516">
        <v>0</v>
      </c>
      <c r="AI2516">
        <v>34.369999999999997</v>
      </c>
      <c r="AJ2516">
        <v>190.93</v>
      </c>
      <c r="AK2516">
        <v>0</v>
      </c>
      <c r="AL2516" t="s">
        <v>53</v>
      </c>
      <c r="AM2516" t="s">
        <v>53</v>
      </c>
      <c r="AN2516" t="s">
        <v>53</v>
      </c>
      <c r="AO2516" t="s">
        <v>53</v>
      </c>
      <c r="AP2516" t="s">
        <v>53</v>
      </c>
    </row>
    <row r="2517" spans="2:42" x14ac:dyDescent="0.2">
      <c r="B2517" t="s">
        <v>44</v>
      </c>
      <c r="C2517" t="str">
        <f>HYPERLINK("https://us2.cloudbeds.com/connect/8493803454333002#/reservations/760343609548?display=HRZHSP6R&amp;reservation_id=760343609548", "HRZHSP6R")</f>
        <v>HRZHSP6R</v>
      </c>
      <c r="D2517" t="s">
        <v>45</v>
      </c>
      <c r="E2517" t="s">
        <v>179</v>
      </c>
      <c r="F2517" t="s">
        <v>47</v>
      </c>
      <c r="G2517" t="s">
        <v>48</v>
      </c>
      <c r="H2517" t="s">
        <v>49</v>
      </c>
      <c r="I2517" t="s">
        <v>50</v>
      </c>
      <c r="J2517" t="s">
        <v>603</v>
      </c>
      <c r="K2517" t="s">
        <v>1367</v>
      </c>
      <c r="L2517" t="s">
        <v>53</v>
      </c>
      <c r="N2517" t="s">
        <v>3965</v>
      </c>
      <c r="P2517" t="s">
        <v>55</v>
      </c>
      <c r="R2517" t="s">
        <v>53</v>
      </c>
      <c r="T2517" t="s">
        <v>3966</v>
      </c>
      <c r="U2517" t="s">
        <v>58</v>
      </c>
      <c r="V2517">
        <v>1</v>
      </c>
      <c r="W2517">
        <v>1</v>
      </c>
      <c r="X2517">
        <v>1</v>
      </c>
      <c r="Y2517">
        <v>0</v>
      </c>
      <c r="Z2517">
        <v>1</v>
      </c>
      <c r="AA2517">
        <v>0</v>
      </c>
      <c r="AB2517">
        <v>190.93</v>
      </c>
      <c r="AC2517">
        <v>168</v>
      </c>
      <c r="AD2517">
        <v>0</v>
      </c>
      <c r="AE2517">
        <v>22.93</v>
      </c>
      <c r="AF2517">
        <v>0</v>
      </c>
      <c r="AG2517">
        <v>0</v>
      </c>
      <c r="AH2517">
        <v>0</v>
      </c>
      <c r="AI2517">
        <v>34.369999999999997</v>
      </c>
      <c r="AJ2517">
        <v>190.93</v>
      </c>
      <c r="AK2517">
        <v>0</v>
      </c>
      <c r="AL2517" t="s">
        <v>53</v>
      </c>
      <c r="AM2517" t="s">
        <v>53</v>
      </c>
      <c r="AN2517" t="s">
        <v>53</v>
      </c>
      <c r="AO2517" t="s">
        <v>53</v>
      </c>
      <c r="AP2517" t="s">
        <v>53</v>
      </c>
    </row>
    <row r="2518" spans="2:42" x14ac:dyDescent="0.2">
      <c r="B2518" t="s">
        <v>44</v>
      </c>
      <c r="C2518" t="str">
        <f>HYPERLINK("https://us2.cloudbeds.com/connect/8493803454333002#/reservations/876210507968?display=KHPT7QKJ&amp;reservation_id=876210507968", "KHPT7QKJ")</f>
        <v>KHPT7QKJ</v>
      </c>
      <c r="D2518" t="s">
        <v>45</v>
      </c>
      <c r="E2518" t="s">
        <v>121</v>
      </c>
      <c r="F2518" t="s">
        <v>86</v>
      </c>
      <c r="G2518" t="s">
        <v>48</v>
      </c>
      <c r="H2518" t="s">
        <v>49</v>
      </c>
      <c r="I2518" t="s">
        <v>50</v>
      </c>
      <c r="J2518" t="s">
        <v>1985</v>
      </c>
      <c r="K2518" t="s">
        <v>2022</v>
      </c>
      <c r="L2518" t="s">
        <v>53</v>
      </c>
      <c r="N2518" t="s">
        <v>3967</v>
      </c>
      <c r="P2518" t="s">
        <v>55</v>
      </c>
      <c r="R2518" t="s">
        <v>53</v>
      </c>
      <c r="T2518" t="s">
        <v>3968</v>
      </c>
      <c r="U2518" t="s">
        <v>58</v>
      </c>
      <c r="V2518">
        <v>1</v>
      </c>
      <c r="W2518">
        <v>1</v>
      </c>
      <c r="X2518">
        <v>2</v>
      </c>
      <c r="Y2518">
        <v>0</v>
      </c>
      <c r="Z2518">
        <v>2</v>
      </c>
      <c r="AA2518">
        <v>0</v>
      </c>
      <c r="AB2518">
        <v>238.67</v>
      </c>
      <c r="AC2518">
        <v>210</v>
      </c>
      <c r="AD2518">
        <v>0</v>
      </c>
      <c r="AE2518">
        <v>28.67</v>
      </c>
      <c r="AF2518">
        <v>0</v>
      </c>
      <c r="AG2518">
        <v>0</v>
      </c>
      <c r="AH2518">
        <v>0</v>
      </c>
      <c r="AI2518">
        <v>42.96</v>
      </c>
      <c r="AJ2518">
        <v>238.67</v>
      </c>
      <c r="AK2518">
        <v>0</v>
      </c>
      <c r="AL2518" t="s">
        <v>53</v>
      </c>
      <c r="AM2518" t="s">
        <v>53</v>
      </c>
      <c r="AN2518" t="s">
        <v>53</v>
      </c>
      <c r="AO2518" t="s">
        <v>53</v>
      </c>
      <c r="AP2518" t="s">
        <v>53</v>
      </c>
    </row>
    <row r="2519" spans="2:42" x14ac:dyDescent="0.2">
      <c r="B2519" t="s">
        <v>44</v>
      </c>
      <c r="C2519" t="str">
        <f>HYPERLINK("https://us2.cloudbeds.com/connect/8493803454333002#/reservations/975228272779?display=MT4BA99C&amp;reservation_id=975228272779", "MT4BA99C")</f>
        <v>MT4BA99C</v>
      </c>
      <c r="D2519" t="s">
        <v>45</v>
      </c>
      <c r="E2519" t="s">
        <v>138</v>
      </c>
      <c r="F2519" t="s">
        <v>70</v>
      </c>
      <c r="G2519" t="s">
        <v>48</v>
      </c>
      <c r="H2519" t="s">
        <v>49</v>
      </c>
      <c r="I2519" t="s">
        <v>62</v>
      </c>
      <c r="J2519" t="s">
        <v>3969</v>
      </c>
      <c r="K2519" t="s">
        <v>3413</v>
      </c>
      <c r="L2519" t="s">
        <v>53</v>
      </c>
      <c r="N2519" t="s">
        <v>3970</v>
      </c>
      <c r="P2519" t="s">
        <v>55</v>
      </c>
      <c r="R2519" t="s">
        <v>3971</v>
      </c>
      <c r="T2519" t="s">
        <v>3972</v>
      </c>
      <c r="U2519" t="s">
        <v>55</v>
      </c>
      <c r="V2519">
        <v>1</v>
      </c>
      <c r="W2519">
        <v>1</v>
      </c>
      <c r="X2519">
        <v>2</v>
      </c>
      <c r="Y2519">
        <v>0</v>
      </c>
      <c r="Z2519">
        <v>2</v>
      </c>
      <c r="AA2519">
        <v>0</v>
      </c>
      <c r="AB2519">
        <v>72.510000000000005</v>
      </c>
      <c r="AC2519">
        <v>63.8</v>
      </c>
      <c r="AD2519">
        <v>0</v>
      </c>
      <c r="AE2519">
        <v>8.7100000000000009</v>
      </c>
      <c r="AF2519">
        <v>0</v>
      </c>
      <c r="AG2519">
        <v>0</v>
      </c>
      <c r="AH2519">
        <v>0</v>
      </c>
      <c r="AI2519">
        <v>10.88</v>
      </c>
      <c r="AJ2519">
        <v>72.510000000000005</v>
      </c>
      <c r="AK2519">
        <v>0</v>
      </c>
      <c r="AL2519" t="s">
        <v>53</v>
      </c>
      <c r="AM2519" t="s">
        <v>53</v>
      </c>
      <c r="AN2519" t="s">
        <v>53</v>
      </c>
      <c r="AO2519" t="s">
        <v>53</v>
      </c>
      <c r="AP2519" t="s">
        <v>53</v>
      </c>
    </row>
    <row r="2520" spans="2:42" x14ac:dyDescent="0.2">
      <c r="B2520" t="s">
        <v>44</v>
      </c>
      <c r="C2520" t="str">
        <f>HYPERLINK("https://us2.cloudbeds.com/connect/8493803454333002#/reservations/976650612920?display=MU7MYWZP&amp;reservation_id=976650612920", "MU7MYWZP")</f>
        <v>MU7MYWZP</v>
      </c>
      <c r="D2520" t="s">
        <v>45</v>
      </c>
      <c r="E2520" t="s">
        <v>85</v>
      </c>
      <c r="F2520" t="s">
        <v>86</v>
      </c>
      <c r="G2520" t="s">
        <v>48</v>
      </c>
      <c r="H2520" t="s">
        <v>3957</v>
      </c>
      <c r="I2520" t="s">
        <v>3958</v>
      </c>
      <c r="J2520" t="s">
        <v>1367</v>
      </c>
      <c r="K2520" t="s">
        <v>1985</v>
      </c>
      <c r="L2520" t="s">
        <v>53</v>
      </c>
      <c r="P2520" t="s">
        <v>58</v>
      </c>
      <c r="R2520" t="s">
        <v>56</v>
      </c>
      <c r="T2520" t="s">
        <v>3973</v>
      </c>
      <c r="U2520" t="s">
        <v>58</v>
      </c>
      <c r="V2520">
        <v>1</v>
      </c>
      <c r="W2520">
        <v>1</v>
      </c>
      <c r="X2520">
        <v>1</v>
      </c>
      <c r="Y2520">
        <v>0</v>
      </c>
      <c r="Z2520">
        <v>1</v>
      </c>
      <c r="AA2520">
        <v>0</v>
      </c>
      <c r="AB2520">
        <v>125.02</v>
      </c>
      <c r="AC2520">
        <v>110</v>
      </c>
      <c r="AD2520">
        <v>0</v>
      </c>
      <c r="AE2520">
        <v>15.02</v>
      </c>
      <c r="AF2520">
        <v>0</v>
      </c>
      <c r="AG2520">
        <v>0</v>
      </c>
      <c r="AH2520">
        <v>0</v>
      </c>
      <c r="AI2520">
        <v>0</v>
      </c>
      <c r="AJ2520">
        <v>125.02</v>
      </c>
      <c r="AK2520">
        <v>0</v>
      </c>
      <c r="AL2520" t="s">
        <v>53</v>
      </c>
      <c r="AM2520" t="s">
        <v>53</v>
      </c>
      <c r="AN2520" t="s">
        <v>53</v>
      </c>
      <c r="AO2520" t="s">
        <v>53</v>
      </c>
      <c r="AP2520" t="s">
        <v>53</v>
      </c>
    </row>
    <row r="2521" spans="2:42" x14ac:dyDescent="0.2">
      <c r="B2521" t="s">
        <v>44</v>
      </c>
      <c r="C2521" t="str">
        <f>HYPERLINK("https://us2.cloudbeds.com/connect/8493803454333002#/reservations/978439680234?display=MVKD8E3Q&amp;reservation_id=978439680234", "MVKD8E3Q")</f>
        <v>MVKD8E3Q</v>
      </c>
      <c r="D2521" t="s">
        <v>45</v>
      </c>
      <c r="E2521" t="s">
        <v>105</v>
      </c>
      <c r="F2521" t="s">
        <v>47</v>
      </c>
      <c r="G2521" t="s">
        <v>3974</v>
      </c>
      <c r="H2521" t="s">
        <v>3957</v>
      </c>
      <c r="I2521" t="s">
        <v>3975</v>
      </c>
      <c r="J2521" t="s">
        <v>2541</v>
      </c>
      <c r="K2521" t="s">
        <v>1502</v>
      </c>
      <c r="L2521" t="s">
        <v>53</v>
      </c>
      <c r="P2521" t="s">
        <v>55</v>
      </c>
      <c r="R2521" t="s">
        <v>56</v>
      </c>
      <c r="T2521" t="s">
        <v>3976</v>
      </c>
      <c r="U2521" t="s">
        <v>58</v>
      </c>
      <c r="V2521">
        <v>1</v>
      </c>
      <c r="W2521">
        <v>1</v>
      </c>
      <c r="X2521">
        <v>1</v>
      </c>
      <c r="Y2521">
        <v>0</v>
      </c>
      <c r="Z2521">
        <v>1</v>
      </c>
      <c r="AA2521">
        <v>0</v>
      </c>
      <c r="AB2521">
        <v>152.52000000000001</v>
      </c>
      <c r="AC2521">
        <v>134.19999999999999</v>
      </c>
      <c r="AD2521">
        <v>0</v>
      </c>
      <c r="AE2521">
        <v>0</v>
      </c>
      <c r="AF2521">
        <v>0</v>
      </c>
      <c r="AG2521">
        <v>0</v>
      </c>
      <c r="AH2521">
        <v>0</v>
      </c>
      <c r="AI2521">
        <v>0</v>
      </c>
      <c r="AJ2521">
        <v>134.19999999999999</v>
      </c>
      <c r="AK2521">
        <v>0</v>
      </c>
      <c r="AL2521" t="s">
        <v>53</v>
      </c>
      <c r="AM2521" t="s">
        <v>53</v>
      </c>
      <c r="AN2521" t="s">
        <v>3977</v>
      </c>
      <c r="AO2521" t="s">
        <v>53</v>
      </c>
      <c r="AP2521" t="s">
        <v>53</v>
      </c>
    </row>
    <row r="2522" spans="2:42" x14ac:dyDescent="0.2">
      <c r="B2522" t="s">
        <v>44</v>
      </c>
      <c r="C2522" t="str">
        <f>HYPERLINK("https://us2.cloudbeds.com/connect/8493803454333002#/reservations/990703505662?display=N83PEEQC&amp;reservation_id=990703505662", "N83PEEQC")</f>
        <v>N83PEEQC</v>
      </c>
      <c r="D2522" t="s">
        <v>45</v>
      </c>
      <c r="E2522" t="s">
        <v>3978</v>
      </c>
      <c r="F2522" t="s">
        <v>3979</v>
      </c>
      <c r="G2522" t="s">
        <v>48</v>
      </c>
      <c r="H2522" t="s">
        <v>49</v>
      </c>
      <c r="I2522" t="s">
        <v>50</v>
      </c>
      <c r="J2522" t="s">
        <v>1903</v>
      </c>
      <c r="K2522" t="s">
        <v>2058</v>
      </c>
      <c r="L2522" t="s">
        <v>53</v>
      </c>
      <c r="N2522" t="s">
        <v>3980</v>
      </c>
      <c r="P2522" t="s">
        <v>55</v>
      </c>
      <c r="R2522" t="s">
        <v>53</v>
      </c>
      <c r="T2522" t="s">
        <v>3981</v>
      </c>
      <c r="U2522" t="s">
        <v>58</v>
      </c>
      <c r="V2522">
        <v>2</v>
      </c>
      <c r="W2522">
        <v>2</v>
      </c>
      <c r="X2522">
        <v>3</v>
      </c>
      <c r="Y2522">
        <v>0</v>
      </c>
      <c r="Z2522">
        <v>3</v>
      </c>
      <c r="AA2522">
        <v>0</v>
      </c>
      <c r="AB2522">
        <v>428.35</v>
      </c>
      <c r="AC2522">
        <v>376.9</v>
      </c>
      <c r="AD2522">
        <v>0</v>
      </c>
      <c r="AE2522">
        <v>51.45</v>
      </c>
      <c r="AF2522">
        <v>0</v>
      </c>
      <c r="AG2522">
        <v>0</v>
      </c>
      <c r="AH2522">
        <v>0</v>
      </c>
      <c r="AI2522">
        <v>77.099999999999994</v>
      </c>
      <c r="AJ2522">
        <v>428.35</v>
      </c>
      <c r="AK2522">
        <v>0</v>
      </c>
      <c r="AL2522" t="s">
        <v>53</v>
      </c>
      <c r="AM2522" t="s">
        <v>53</v>
      </c>
      <c r="AN2522" t="s">
        <v>53</v>
      </c>
      <c r="AO2522" t="s">
        <v>53</v>
      </c>
      <c r="AP2522" t="s">
        <v>53</v>
      </c>
    </row>
    <row r="2523" spans="2:42" x14ac:dyDescent="0.2">
      <c r="B2523" t="s">
        <v>44</v>
      </c>
      <c r="C2523" t="str">
        <f>HYPERLINK("https://us2.cloudbeds.com/connect/8493803454333002#/reservations/1041898606796?display=ZEZUGJVD&amp;reservation_id=1041898606796", "ZEZUGJVD")</f>
        <v>ZEZUGJVD</v>
      </c>
      <c r="D2523" t="s">
        <v>45</v>
      </c>
      <c r="E2523" t="s">
        <v>121</v>
      </c>
      <c r="F2523" t="s">
        <v>86</v>
      </c>
      <c r="G2523" t="s">
        <v>48</v>
      </c>
      <c r="H2523" t="s">
        <v>49</v>
      </c>
      <c r="I2523" t="s">
        <v>50</v>
      </c>
      <c r="J2523" t="s">
        <v>1367</v>
      </c>
      <c r="K2523" t="s">
        <v>1985</v>
      </c>
      <c r="L2523" t="s">
        <v>53</v>
      </c>
      <c r="N2523" t="s">
        <v>3982</v>
      </c>
      <c r="P2523" t="s">
        <v>55</v>
      </c>
      <c r="R2523" t="s">
        <v>53</v>
      </c>
      <c r="T2523" t="s">
        <v>3983</v>
      </c>
      <c r="U2523" t="s">
        <v>58</v>
      </c>
      <c r="V2523">
        <v>1</v>
      </c>
      <c r="W2523">
        <v>1</v>
      </c>
      <c r="X2523">
        <v>2</v>
      </c>
      <c r="Y2523">
        <v>0</v>
      </c>
      <c r="Z2523">
        <v>2</v>
      </c>
      <c r="AA2523">
        <v>0</v>
      </c>
      <c r="AB2523">
        <v>238.67</v>
      </c>
      <c r="AC2523">
        <v>210</v>
      </c>
      <c r="AD2523">
        <v>0</v>
      </c>
      <c r="AE2523">
        <v>28.67</v>
      </c>
      <c r="AF2523">
        <v>0</v>
      </c>
      <c r="AG2523">
        <v>0</v>
      </c>
      <c r="AH2523">
        <v>0</v>
      </c>
      <c r="AI2523">
        <v>42.96</v>
      </c>
      <c r="AJ2523">
        <v>238.67</v>
      </c>
      <c r="AK2523">
        <v>0</v>
      </c>
      <c r="AL2523" t="s">
        <v>53</v>
      </c>
      <c r="AM2523" t="s">
        <v>53</v>
      </c>
      <c r="AN2523" t="s">
        <v>53</v>
      </c>
      <c r="AO2523" t="s">
        <v>53</v>
      </c>
      <c r="AP2523" t="s">
        <v>53</v>
      </c>
    </row>
    <row r="2524" spans="2:42" x14ac:dyDescent="0.2">
      <c r="B2524" t="s">
        <v>44</v>
      </c>
      <c r="C2524" t="str">
        <f>HYPERLINK("https://us2.cloudbeds.com/connect/8493803454333002#/reservations/1091595710593?display=PK7QDPKZ&amp;reservation_id=1091595710593", "PK7QDPKZ")</f>
        <v>PK7QDPKZ</v>
      </c>
      <c r="D2524" t="s">
        <v>45</v>
      </c>
      <c r="E2524" t="s">
        <v>85</v>
      </c>
      <c r="F2524" t="s">
        <v>86</v>
      </c>
      <c r="G2524" t="s">
        <v>48</v>
      </c>
      <c r="H2524" t="s">
        <v>3957</v>
      </c>
      <c r="I2524" t="s">
        <v>3958</v>
      </c>
      <c r="J2524" t="s">
        <v>1903</v>
      </c>
      <c r="K2524" t="s">
        <v>2545</v>
      </c>
      <c r="L2524" t="s">
        <v>53</v>
      </c>
      <c r="P2524" t="s">
        <v>55</v>
      </c>
      <c r="R2524" t="s">
        <v>56</v>
      </c>
      <c r="T2524" t="s">
        <v>3984</v>
      </c>
      <c r="U2524" t="s">
        <v>58</v>
      </c>
      <c r="V2524">
        <v>3</v>
      </c>
      <c r="W2524">
        <v>1</v>
      </c>
      <c r="X2524">
        <v>1</v>
      </c>
      <c r="Y2524">
        <v>0</v>
      </c>
      <c r="Z2524">
        <v>1</v>
      </c>
      <c r="AA2524">
        <v>0</v>
      </c>
      <c r="AB2524">
        <v>634.16999999999996</v>
      </c>
      <c r="AC2524">
        <v>558</v>
      </c>
      <c r="AD2524">
        <v>0</v>
      </c>
      <c r="AE2524">
        <v>76.17</v>
      </c>
      <c r="AF2524">
        <v>0</v>
      </c>
      <c r="AG2524">
        <v>0</v>
      </c>
      <c r="AH2524">
        <v>0</v>
      </c>
      <c r="AI2524">
        <v>0</v>
      </c>
      <c r="AJ2524">
        <v>634.16999999999996</v>
      </c>
      <c r="AK2524">
        <v>0</v>
      </c>
      <c r="AL2524" t="s">
        <v>53</v>
      </c>
      <c r="AM2524" t="s">
        <v>53</v>
      </c>
      <c r="AN2524" t="s">
        <v>53</v>
      </c>
      <c r="AO2524" t="s">
        <v>53</v>
      </c>
      <c r="AP2524" t="s">
        <v>53</v>
      </c>
    </row>
    <row r="2525" spans="2:42" x14ac:dyDescent="0.2">
      <c r="B2525" t="s">
        <v>44</v>
      </c>
      <c r="C2525" t="str">
        <f>HYPERLINK("https://us2.cloudbeds.com/connect/8493803454333002#/reservations/1107939164291?display=PWTDYFED&amp;reservation_id=1107939164291", "PWTDYFED")</f>
        <v>PWTDYFED</v>
      </c>
      <c r="D2525" t="s">
        <v>45</v>
      </c>
      <c r="E2525" t="s">
        <v>381</v>
      </c>
      <c r="F2525" t="s">
        <v>47</v>
      </c>
      <c r="G2525" t="s">
        <v>48</v>
      </c>
      <c r="H2525" t="s">
        <v>49</v>
      </c>
      <c r="I2525" t="s">
        <v>50</v>
      </c>
      <c r="J2525" t="s">
        <v>1161</v>
      </c>
      <c r="K2525" t="s">
        <v>2014</v>
      </c>
      <c r="L2525" t="s">
        <v>53</v>
      </c>
      <c r="N2525" t="s">
        <v>3985</v>
      </c>
      <c r="P2525" t="s">
        <v>55</v>
      </c>
      <c r="R2525" t="s">
        <v>53</v>
      </c>
      <c r="T2525" t="s">
        <v>3986</v>
      </c>
      <c r="U2525" t="s">
        <v>58</v>
      </c>
      <c r="V2525">
        <v>1</v>
      </c>
      <c r="W2525">
        <v>1</v>
      </c>
      <c r="X2525">
        <v>2</v>
      </c>
      <c r="Y2525">
        <v>0</v>
      </c>
      <c r="Z2525">
        <v>2</v>
      </c>
      <c r="AA2525">
        <v>0</v>
      </c>
      <c r="AB2525">
        <v>192.07</v>
      </c>
      <c r="AC2525">
        <v>169</v>
      </c>
      <c r="AD2525">
        <v>0</v>
      </c>
      <c r="AE2525">
        <v>23.07</v>
      </c>
      <c r="AF2525">
        <v>0</v>
      </c>
      <c r="AG2525">
        <v>0</v>
      </c>
      <c r="AH2525">
        <v>0</v>
      </c>
      <c r="AI2525">
        <v>34.57</v>
      </c>
      <c r="AJ2525">
        <v>192.07</v>
      </c>
      <c r="AK2525">
        <v>0</v>
      </c>
      <c r="AL2525" t="s">
        <v>53</v>
      </c>
      <c r="AM2525" t="s">
        <v>53</v>
      </c>
      <c r="AN2525" t="s">
        <v>53</v>
      </c>
      <c r="AO2525" t="s">
        <v>53</v>
      </c>
      <c r="AP2525" t="s">
        <v>53</v>
      </c>
    </row>
    <row r="2526" spans="2:42" x14ac:dyDescent="0.2">
      <c r="B2526" t="s">
        <v>44</v>
      </c>
      <c r="C2526" t="str">
        <f>HYPERLINK("https://us2.cloudbeds.com/connect/8493803454333002#/reservations/1109035143390?display=Q0ZDQN58&amp;reservation_id=1109035143390", "Q0ZDQN58")</f>
        <v>Q0ZDQN58</v>
      </c>
      <c r="D2526" t="s">
        <v>45</v>
      </c>
      <c r="E2526" t="s">
        <v>185</v>
      </c>
      <c r="F2526" t="s">
        <v>47</v>
      </c>
      <c r="G2526" t="s">
        <v>48</v>
      </c>
      <c r="H2526" t="s">
        <v>49</v>
      </c>
      <c r="I2526" t="s">
        <v>50</v>
      </c>
      <c r="J2526" t="s">
        <v>1161</v>
      </c>
      <c r="K2526" t="s">
        <v>2014</v>
      </c>
      <c r="L2526" t="s">
        <v>53</v>
      </c>
      <c r="N2526" t="s">
        <v>3987</v>
      </c>
      <c r="P2526" t="s">
        <v>55</v>
      </c>
      <c r="R2526" t="s">
        <v>53</v>
      </c>
      <c r="T2526" t="s">
        <v>3988</v>
      </c>
      <c r="U2526" t="s">
        <v>58</v>
      </c>
      <c r="V2526">
        <v>1</v>
      </c>
      <c r="W2526">
        <v>1</v>
      </c>
      <c r="X2526">
        <v>2</v>
      </c>
      <c r="Y2526">
        <v>0</v>
      </c>
      <c r="Z2526">
        <v>2</v>
      </c>
      <c r="AA2526">
        <v>0</v>
      </c>
      <c r="AB2526">
        <v>192.07</v>
      </c>
      <c r="AC2526">
        <v>169</v>
      </c>
      <c r="AD2526">
        <v>0</v>
      </c>
      <c r="AE2526">
        <v>23.07</v>
      </c>
      <c r="AF2526">
        <v>0</v>
      </c>
      <c r="AG2526">
        <v>0</v>
      </c>
      <c r="AH2526">
        <v>0</v>
      </c>
      <c r="AI2526">
        <v>34.57</v>
      </c>
      <c r="AJ2526">
        <v>192.07</v>
      </c>
      <c r="AK2526">
        <v>0</v>
      </c>
      <c r="AL2526" t="s">
        <v>53</v>
      </c>
      <c r="AM2526" t="s">
        <v>53</v>
      </c>
      <c r="AN2526" t="s">
        <v>53</v>
      </c>
      <c r="AO2526" t="s">
        <v>53</v>
      </c>
      <c r="AP2526" t="s">
        <v>53</v>
      </c>
    </row>
    <row r="2527" spans="2:42" x14ac:dyDescent="0.2">
      <c r="B2527" t="s">
        <v>44</v>
      </c>
      <c r="C2527" t="str">
        <f>HYPERLINK("https://us2.cloudbeds.com/connect/8493803454333002#/reservations/1291632156805?display=UA46EPB0&amp;reservation_id=1291632156805", "UA46EPB0")</f>
        <v>UA46EPB0</v>
      </c>
      <c r="D2527" t="s">
        <v>45</v>
      </c>
      <c r="E2527" t="s">
        <v>190</v>
      </c>
      <c r="F2527" t="s">
        <v>61</v>
      </c>
      <c r="G2527" t="s">
        <v>48</v>
      </c>
      <c r="H2527" t="s">
        <v>3957</v>
      </c>
      <c r="I2527" t="s">
        <v>3989</v>
      </c>
      <c r="J2527" t="s">
        <v>1900</v>
      </c>
      <c r="K2527" t="s">
        <v>1296</v>
      </c>
      <c r="L2527" t="s">
        <v>53</v>
      </c>
      <c r="O2527" t="s">
        <v>3990</v>
      </c>
      <c r="P2527" t="s">
        <v>55</v>
      </c>
      <c r="R2527" t="s">
        <v>56</v>
      </c>
      <c r="T2527" t="s">
        <v>3991</v>
      </c>
      <c r="U2527" t="s">
        <v>58</v>
      </c>
      <c r="V2527">
        <v>1</v>
      </c>
      <c r="W2527">
        <v>1</v>
      </c>
      <c r="X2527">
        <v>1</v>
      </c>
      <c r="Y2527">
        <v>0</v>
      </c>
      <c r="Z2527">
        <v>1</v>
      </c>
      <c r="AA2527">
        <v>0</v>
      </c>
      <c r="AB2527">
        <v>181.84</v>
      </c>
      <c r="AC2527">
        <v>160</v>
      </c>
      <c r="AD2527">
        <v>0</v>
      </c>
      <c r="AE2527">
        <v>21.84</v>
      </c>
      <c r="AF2527">
        <v>0</v>
      </c>
      <c r="AG2527">
        <v>0</v>
      </c>
      <c r="AH2527">
        <v>0</v>
      </c>
      <c r="AI2527">
        <v>0</v>
      </c>
      <c r="AJ2527">
        <v>181.84</v>
      </c>
      <c r="AK2527">
        <v>0</v>
      </c>
      <c r="AL2527" t="s">
        <v>53</v>
      </c>
      <c r="AM2527" t="s">
        <v>53</v>
      </c>
      <c r="AN2527" t="s">
        <v>53</v>
      </c>
      <c r="AO2527" t="s">
        <v>53</v>
      </c>
      <c r="AP2527" t="s">
        <v>53</v>
      </c>
    </row>
    <row r="2528" spans="2:42" x14ac:dyDescent="0.2">
      <c r="B2528" t="s">
        <v>44</v>
      </c>
      <c r="C2528" t="str">
        <f>HYPERLINK("https://us2.cloudbeds.com/connect/8493803454333002#/reservations/1313526759668?display=UR2YXC41&amp;reservation_id=1313526759668", "UR2YXC41")</f>
        <v>UR2YXC41</v>
      </c>
      <c r="D2528" t="s">
        <v>45</v>
      </c>
      <c r="E2528" t="s">
        <v>128</v>
      </c>
      <c r="F2528" t="s">
        <v>86</v>
      </c>
      <c r="G2528" t="s">
        <v>48</v>
      </c>
      <c r="H2528" t="s">
        <v>49</v>
      </c>
      <c r="I2528" t="s">
        <v>50</v>
      </c>
      <c r="J2528" t="s">
        <v>1933</v>
      </c>
      <c r="K2528" t="s">
        <v>2206</v>
      </c>
      <c r="L2528" t="s">
        <v>53</v>
      </c>
      <c r="N2528" t="s">
        <v>3992</v>
      </c>
      <c r="P2528" t="s">
        <v>55</v>
      </c>
      <c r="R2528" t="s">
        <v>53</v>
      </c>
      <c r="T2528" t="s">
        <v>3993</v>
      </c>
      <c r="U2528" t="s">
        <v>58</v>
      </c>
      <c r="V2528">
        <v>2</v>
      </c>
      <c r="W2528">
        <v>1</v>
      </c>
      <c r="X2528">
        <v>2</v>
      </c>
      <c r="Y2528">
        <v>0</v>
      </c>
      <c r="Z2528">
        <v>2</v>
      </c>
      <c r="AA2528">
        <v>0</v>
      </c>
      <c r="AB2528">
        <v>335.27</v>
      </c>
      <c r="AC2528">
        <v>295</v>
      </c>
      <c r="AD2528">
        <v>0</v>
      </c>
      <c r="AE2528">
        <v>40.270000000000003</v>
      </c>
      <c r="AF2528">
        <v>0</v>
      </c>
      <c r="AG2528">
        <v>0</v>
      </c>
      <c r="AH2528">
        <v>0</v>
      </c>
      <c r="AI2528">
        <v>60.35</v>
      </c>
      <c r="AJ2528">
        <v>335.27</v>
      </c>
      <c r="AK2528">
        <v>0</v>
      </c>
      <c r="AL2528" t="s">
        <v>53</v>
      </c>
      <c r="AM2528" t="s">
        <v>53</v>
      </c>
      <c r="AN2528" t="s">
        <v>53</v>
      </c>
      <c r="AO2528" t="s">
        <v>53</v>
      </c>
      <c r="AP2528" t="s">
        <v>53</v>
      </c>
    </row>
    <row r="2529" spans="2:42" x14ac:dyDescent="0.2">
      <c r="B2529" t="s">
        <v>44</v>
      </c>
      <c r="C2529" t="str">
        <f>HYPERLINK("https://us2.cloudbeds.com/connect/8493803454333002#/reservations/1313116737763?display=UQP5QTQR&amp;reservation_id=1313116737763", "UQP5QTQR")</f>
        <v>UQP5QTQR</v>
      </c>
      <c r="D2529" t="s">
        <v>45</v>
      </c>
      <c r="E2529" t="s">
        <v>46</v>
      </c>
      <c r="F2529" t="s">
        <v>47</v>
      </c>
      <c r="G2529" t="s">
        <v>48</v>
      </c>
      <c r="H2529" t="s">
        <v>3957</v>
      </c>
      <c r="I2529" t="s">
        <v>3975</v>
      </c>
      <c r="J2529" t="s">
        <v>1985</v>
      </c>
      <c r="K2529" t="s">
        <v>2022</v>
      </c>
      <c r="L2529" t="s">
        <v>53</v>
      </c>
      <c r="P2529" t="s">
        <v>55</v>
      </c>
      <c r="R2529" t="s">
        <v>56</v>
      </c>
      <c r="T2529" t="s">
        <v>3994</v>
      </c>
      <c r="U2529" t="s">
        <v>58</v>
      </c>
      <c r="V2529">
        <v>1</v>
      </c>
      <c r="W2529">
        <v>1</v>
      </c>
      <c r="X2529">
        <v>2</v>
      </c>
      <c r="Y2529">
        <v>0</v>
      </c>
      <c r="Z2529">
        <v>2</v>
      </c>
      <c r="AA2529">
        <v>0</v>
      </c>
      <c r="AB2529">
        <v>182.98</v>
      </c>
      <c r="AC2529">
        <v>161</v>
      </c>
      <c r="AD2529">
        <v>0</v>
      </c>
      <c r="AE2529">
        <v>21.98</v>
      </c>
      <c r="AF2529">
        <v>0</v>
      </c>
      <c r="AG2529">
        <v>0</v>
      </c>
      <c r="AH2529">
        <v>0</v>
      </c>
      <c r="AI2529">
        <v>0</v>
      </c>
      <c r="AJ2529">
        <v>182.98</v>
      </c>
      <c r="AK2529">
        <v>0</v>
      </c>
      <c r="AL2529" t="s">
        <v>53</v>
      </c>
      <c r="AM2529" t="s">
        <v>53</v>
      </c>
      <c r="AN2529" t="s">
        <v>53</v>
      </c>
      <c r="AO2529" t="s">
        <v>53</v>
      </c>
      <c r="AP2529" t="s">
        <v>53</v>
      </c>
    </row>
    <row r="2530" spans="2:42" x14ac:dyDescent="0.2">
      <c r="B2530" t="s">
        <v>44</v>
      </c>
      <c r="C2530" t="str">
        <f>HYPERLINK("https://us2.cloudbeds.com/connect/8493803454333002#/reservations/1322483626202?display=V10H7CK1&amp;reservation_id=1322483626202", "V10H7CK1")</f>
        <v>V10H7CK1</v>
      </c>
      <c r="D2530" t="s">
        <v>45</v>
      </c>
      <c r="E2530" t="s">
        <v>406</v>
      </c>
      <c r="F2530" t="s">
        <v>61</v>
      </c>
      <c r="G2530" t="s">
        <v>48</v>
      </c>
      <c r="H2530" t="s">
        <v>3957</v>
      </c>
      <c r="I2530" t="s">
        <v>3975</v>
      </c>
      <c r="J2530" t="s">
        <v>3031</v>
      </c>
      <c r="K2530" t="s">
        <v>1660</v>
      </c>
      <c r="L2530" t="s">
        <v>53</v>
      </c>
      <c r="P2530" t="s">
        <v>55</v>
      </c>
      <c r="R2530" t="s">
        <v>56</v>
      </c>
      <c r="T2530" t="s">
        <v>3995</v>
      </c>
      <c r="U2530" t="s">
        <v>58</v>
      </c>
      <c r="V2530">
        <v>3</v>
      </c>
      <c r="W2530">
        <v>1</v>
      </c>
      <c r="X2530">
        <v>2</v>
      </c>
      <c r="Y2530">
        <v>0</v>
      </c>
      <c r="Z2530">
        <v>2</v>
      </c>
      <c r="AA2530">
        <v>0</v>
      </c>
      <c r="AB2530">
        <v>564.86</v>
      </c>
      <c r="AC2530">
        <v>497</v>
      </c>
      <c r="AD2530">
        <v>0</v>
      </c>
      <c r="AE2530">
        <v>67.86</v>
      </c>
      <c r="AF2530">
        <v>0</v>
      </c>
      <c r="AG2530">
        <v>0</v>
      </c>
      <c r="AH2530">
        <v>0</v>
      </c>
      <c r="AI2530">
        <v>0</v>
      </c>
      <c r="AJ2530">
        <v>564.86</v>
      </c>
      <c r="AK2530">
        <v>0</v>
      </c>
      <c r="AL2530" t="s">
        <v>53</v>
      </c>
      <c r="AM2530" t="s">
        <v>53</v>
      </c>
      <c r="AN2530" t="s">
        <v>53</v>
      </c>
      <c r="AO2530" t="s">
        <v>53</v>
      </c>
      <c r="AP2530" t="s">
        <v>53</v>
      </c>
    </row>
    <row r="2531" spans="2:42" x14ac:dyDescent="0.2">
      <c r="B2531" t="s">
        <v>44</v>
      </c>
      <c r="C2531" t="str">
        <f>HYPERLINK("https://us2.cloudbeds.com/connect/8493803454333002#/reservations/1362929852548?display=VWB0X8AY&amp;reservation_id=1362929852548", "VWB0X8AY")</f>
        <v>VWB0X8AY</v>
      </c>
      <c r="D2531" t="s">
        <v>45</v>
      </c>
      <c r="E2531" t="s">
        <v>190</v>
      </c>
      <c r="F2531" t="s">
        <v>61</v>
      </c>
      <c r="G2531" t="s">
        <v>48</v>
      </c>
      <c r="H2531" t="s">
        <v>49</v>
      </c>
      <c r="I2531" t="s">
        <v>50</v>
      </c>
      <c r="J2531" t="s">
        <v>1295</v>
      </c>
      <c r="K2531" t="s">
        <v>1900</v>
      </c>
      <c r="L2531" t="s">
        <v>53</v>
      </c>
      <c r="N2531" t="s">
        <v>3996</v>
      </c>
      <c r="P2531" t="s">
        <v>55</v>
      </c>
      <c r="R2531" t="s">
        <v>56</v>
      </c>
      <c r="T2531" t="s">
        <v>3997</v>
      </c>
      <c r="U2531" t="s">
        <v>58</v>
      </c>
      <c r="V2531">
        <v>2</v>
      </c>
      <c r="W2531">
        <v>1</v>
      </c>
      <c r="X2531">
        <v>2</v>
      </c>
      <c r="Y2531">
        <v>0</v>
      </c>
      <c r="Z2531">
        <v>2</v>
      </c>
      <c r="AA2531">
        <v>0</v>
      </c>
      <c r="AB2531">
        <v>361.43</v>
      </c>
      <c r="AC2531">
        <v>318</v>
      </c>
      <c r="AD2531">
        <v>0</v>
      </c>
      <c r="AE2531">
        <v>43.43</v>
      </c>
      <c r="AF2531">
        <v>0</v>
      </c>
      <c r="AG2531">
        <v>0</v>
      </c>
      <c r="AH2531">
        <v>0</v>
      </c>
      <c r="AI2531">
        <v>65.06</v>
      </c>
      <c r="AJ2531">
        <v>361.43</v>
      </c>
      <c r="AK2531">
        <v>0</v>
      </c>
      <c r="AL2531" t="s">
        <v>53</v>
      </c>
      <c r="AM2531" t="s">
        <v>53</v>
      </c>
      <c r="AN2531" t="s">
        <v>53</v>
      </c>
      <c r="AO2531" t="s">
        <v>53</v>
      </c>
      <c r="AP2531" t="s">
        <v>53</v>
      </c>
    </row>
    <row r="2532" spans="2:42" x14ac:dyDescent="0.2">
      <c r="B2532" t="s">
        <v>44</v>
      </c>
      <c r="C2532" t="str">
        <f>HYPERLINK("https://us2.cloudbeds.com/connect/8493803454333002#/reservations/1364590653665?display=W0KEWG77&amp;reservation_id=1364590653665", "W0KEWG77")</f>
        <v>W0KEWG77</v>
      </c>
      <c r="D2532" t="s">
        <v>45</v>
      </c>
      <c r="E2532" t="s">
        <v>3998</v>
      </c>
      <c r="F2532" t="s">
        <v>61</v>
      </c>
      <c r="G2532" t="s">
        <v>48</v>
      </c>
      <c r="H2532" t="s">
        <v>3957</v>
      </c>
      <c r="I2532" t="s">
        <v>3989</v>
      </c>
      <c r="J2532" t="s">
        <v>1985</v>
      </c>
      <c r="K2532" t="s">
        <v>2022</v>
      </c>
      <c r="L2532" t="s">
        <v>53</v>
      </c>
      <c r="P2532" t="s">
        <v>55</v>
      </c>
      <c r="R2532" t="s">
        <v>56</v>
      </c>
      <c r="T2532" t="s">
        <v>3999</v>
      </c>
      <c r="U2532" t="s">
        <v>58</v>
      </c>
      <c r="V2532">
        <v>2</v>
      </c>
      <c r="W2532">
        <v>2</v>
      </c>
      <c r="X2532">
        <v>2</v>
      </c>
      <c r="Y2532">
        <v>0</v>
      </c>
      <c r="Z2532">
        <v>2</v>
      </c>
      <c r="AA2532">
        <v>0</v>
      </c>
      <c r="AB2532">
        <v>372.78</v>
      </c>
      <c r="AC2532">
        <v>328</v>
      </c>
      <c r="AD2532">
        <v>0</v>
      </c>
      <c r="AE2532">
        <v>44.78</v>
      </c>
      <c r="AF2532">
        <v>0</v>
      </c>
      <c r="AG2532">
        <v>0</v>
      </c>
      <c r="AH2532">
        <v>0</v>
      </c>
      <c r="AI2532">
        <v>0</v>
      </c>
      <c r="AJ2532">
        <v>372.78</v>
      </c>
      <c r="AK2532">
        <v>0</v>
      </c>
      <c r="AL2532" t="s">
        <v>53</v>
      </c>
      <c r="AM2532" t="s">
        <v>53</v>
      </c>
      <c r="AN2532" t="s">
        <v>53</v>
      </c>
      <c r="AO2532" t="s">
        <v>53</v>
      </c>
      <c r="AP2532" t="s">
        <v>53</v>
      </c>
    </row>
    <row r="2533" spans="2:42" x14ac:dyDescent="0.2">
      <c r="B2533" t="s">
        <v>44</v>
      </c>
      <c r="C2533" t="str">
        <f>HYPERLINK("https://us2.cloudbeds.com/connect/8493803454333002#/reservations/1368801403105?display=W3T1JQF3&amp;reservation_id=1368801403105", "W3T1JQF3")</f>
        <v>W3T1JQF3</v>
      </c>
      <c r="D2533" t="s">
        <v>45</v>
      </c>
      <c r="E2533" t="s">
        <v>487</v>
      </c>
      <c r="F2533" t="s">
        <v>61</v>
      </c>
      <c r="G2533" t="s">
        <v>48</v>
      </c>
      <c r="H2533" t="s">
        <v>3957</v>
      </c>
      <c r="I2533" t="s">
        <v>3989</v>
      </c>
      <c r="J2533" t="s">
        <v>1900</v>
      </c>
      <c r="K2533" t="s">
        <v>1296</v>
      </c>
      <c r="L2533" t="s">
        <v>53</v>
      </c>
      <c r="P2533" t="s">
        <v>55</v>
      </c>
      <c r="R2533" t="s">
        <v>56</v>
      </c>
      <c r="T2533" t="s">
        <v>4000</v>
      </c>
      <c r="U2533" t="s">
        <v>58</v>
      </c>
      <c r="V2533">
        <v>1</v>
      </c>
      <c r="W2533">
        <v>1</v>
      </c>
      <c r="X2533">
        <v>1</v>
      </c>
      <c r="Y2533">
        <v>0</v>
      </c>
      <c r="Z2533">
        <v>1</v>
      </c>
      <c r="AA2533">
        <v>0</v>
      </c>
      <c r="AB2533">
        <v>181.84</v>
      </c>
      <c r="AC2533">
        <v>160</v>
      </c>
      <c r="AD2533">
        <v>0</v>
      </c>
      <c r="AE2533">
        <v>21.84</v>
      </c>
      <c r="AF2533">
        <v>0</v>
      </c>
      <c r="AG2533">
        <v>0</v>
      </c>
      <c r="AH2533">
        <v>0</v>
      </c>
      <c r="AI2533">
        <v>0</v>
      </c>
      <c r="AJ2533">
        <v>181.84</v>
      </c>
      <c r="AK2533">
        <v>0</v>
      </c>
      <c r="AL2533" t="s">
        <v>53</v>
      </c>
      <c r="AM2533" t="s">
        <v>53</v>
      </c>
      <c r="AN2533" t="s">
        <v>53</v>
      </c>
      <c r="AO2533" t="s">
        <v>53</v>
      </c>
      <c r="AP2533" t="s">
        <v>53</v>
      </c>
    </row>
    <row r="2534" spans="2:42" x14ac:dyDescent="0.2">
      <c r="B2534" t="s">
        <v>44</v>
      </c>
      <c r="C2534" t="str">
        <f>HYPERLINK("https://us2.cloudbeds.com/connect/8493803454333002#/reservations/1390047858906?display=WKAV5ZT2&amp;reservation_id=1390047858906", "WKAV5ZT2")</f>
        <v>WKAV5ZT2</v>
      </c>
      <c r="D2534" t="s">
        <v>45</v>
      </c>
      <c r="E2534" t="s">
        <v>165</v>
      </c>
      <c r="F2534" t="s">
        <v>61</v>
      </c>
      <c r="G2534" t="s">
        <v>48</v>
      </c>
      <c r="H2534" t="s">
        <v>49</v>
      </c>
      <c r="I2534" t="s">
        <v>50</v>
      </c>
      <c r="J2534" t="s">
        <v>1985</v>
      </c>
      <c r="K2534" t="s">
        <v>2023</v>
      </c>
      <c r="L2534" t="s">
        <v>53</v>
      </c>
      <c r="N2534" t="s">
        <v>4001</v>
      </c>
      <c r="P2534" t="s">
        <v>55</v>
      </c>
      <c r="R2534" t="s">
        <v>53</v>
      </c>
      <c r="T2534" t="s">
        <v>4002</v>
      </c>
      <c r="U2534" t="s">
        <v>58</v>
      </c>
      <c r="V2534">
        <v>2</v>
      </c>
      <c r="W2534">
        <v>1</v>
      </c>
      <c r="X2534">
        <v>2</v>
      </c>
      <c r="Y2534">
        <v>0</v>
      </c>
      <c r="Z2534">
        <v>2</v>
      </c>
      <c r="AA2534">
        <v>0</v>
      </c>
      <c r="AB2534">
        <v>339.83</v>
      </c>
      <c r="AC2534">
        <v>299</v>
      </c>
      <c r="AD2534">
        <v>0</v>
      </c>
      <c r="AE2534">
        <v>40.83</v>
      </c>
      <c r="AF2534">
        <v>0</v>
      </c>
      <c r="AG2534">
        <v>0</v>
      </c>
      <c r="AH2534">
        <v>0</v>
      </c>
      <c r="AI2534">
        <v>61.17</v>
      </c>
      <c r="AJ2534">
        <v>339.83</v>
      </c>
      <c r="AK2534">
        <v>0</v>
      </c>
      <c r="AL2534" t="s">
        <v>53</v>
      </c>
      <c r="AM2534" t="s">
        <v>53</v>
      </c>
      <c r="AN2534" t="s">
        <v>53</v>
      </c>
      <c r="AO2534" t="s">
        <v>53</v>
      </c>
      <c r="AP2534" t="s">
        <v>53</v>
      </c>
    </row>
    <row r="2535" spans="2:42" x14ac:dyDescent="0.2">
      <c r="B2535" t="s">
        <v>44</v>
      </c>
      <c r="C2535" t="str">
        <f>HYPERLINK("https://us2.cloudbeds.com/connect/8493803454333002#/reservations/1393970925738?display=WNC66SP5&amp;reservation_id=1393970925738", "WNC66SP5")</f>
        <v>WNC66SP5</v>
      </c>
      <c r="D2535" t="s">
        <v>45</v>
      </c>
      <c r="E2535" t="s">
        <v>373</v>
      </c>
      <c r="F2535" t="s">
        <v>47</v>
      </c>
      <c r="G2535" t="s">
        <v>48</v>
      </c>
      <c r="H2535" t="s">
        <v>49</v>
      </c>
      <c r="I2535" t="s">
        <v>50</v>
      </c>
      <c r="J2535" t="s">
        <v>1985</v>
      </c>
      <c r="K2535" t="s">
        <v>2022</v>
      </c>
      <c r="L2535" t="s">
        <v>53</v>
      </c>
      <c r="N2535" t="s">
        <v>4003</v>
      </c>
      <c r="P2535" t="s">
        <v>55</v>
      </c>
      <c r="R2535" t="s">
        <v>53</v>
      </c>
      <c r="T2535" t="s">
        <v>4004</v>
      </c>
      <c r="U2535" t="s">
        <v>58</v>
      </c>
      <c r="V2535">
        <v>1</v>
      </c>
      <c r="W2535">
        <v>1</v>
      </c>
      <c r="X2535">
        <v>2</v>
      </c>
      <c r="Y2535">
        <v>0</v>
      </c>
      <c r="Z2535">
        <v>2</v>
      </c>
      <c r="AA2535">
        <v>0</v>
      </c>
      <c r="AB2535">
        <v>182.98</v>
      </c>
      <c r="AC2535">
        <v>161</v>
      </c>
      <c r="AD2535">
        <v>0</v>
      </c>
      <c r="AE2535">
        <v>21.98</v>
      </c>
      <c r="AF2535">
        <v>0</v>
      </c>
      <c r="AG2535">
        <v>0</v>
      </c>
      <c r="AH2535">
        <v>0</v>
      </c>
      <c r="AI2535">
        <v>32.94</v>
      </c>
      <c r="AJ2535">
        <v>182.98</v>
      </c>
      <c r="AK2535">
        <v>0</v>
      </c>
      <c r="AL2535" t="s">
        <v>53</v>
      </c>
      <c r="AM2535" t="s">
        <v>53</v>
      </c>
      <c r="AN2535" t="s">
        <v>53</v>
      </c>
      <c r="AO2535" t="s">
        <v>53</v>
      </c>
      <c r="AP2535" t="s">
        <v>53</v>
      </c>
    </row>
    <row r="2536" spans="2:42" x14ac:dyDescent="0.2">
      <c r="B2536" t="s">
        <v>44</v>
      </c>
      <c r="C2536" t="str">
        <f>HYPERLINK("https://us2.cloudbeds.com/connect/8493803454333002#/reservations/1398716551385?display=WR1ERTNV&amp;reservation_id=1398716551385", "WR1ERTNV")</f>
        <v>WR1ERTNV</v>
      </c>
      <c r="D2536" t="s">
        <v>45</v>
      </c>
      <c r="E2536" t="s">
        <v>110</v>
      </c>
      <c r="F2536" t="s">
        <v>47</v>
      </c>
      <c r="G2536" t="s">
        <v>48</v>
      </c>
      <c r="H2536" t="s">
        <v>49</v>
      </c>
      <c r="I2536" t="s">
        <v>62</v>
      </c>
      <c r="J2536" t="s">
        <v>2022</v>
      </c>
      <c r="K2536" t="s">
        <v>2023</v>
      </c>
      <c r="L2536" t="s">
        <v>53</v>
      </c>
      <c r="N2536" t="s">
        <v>4005</v>
      </c>
      <c r="P2536" t="s">
        <v>55</v>
      </c>
      <c r="R2536" t="s">
        <v>56</v>
      </c>
      <c r="T2536" t="s">
        <v>4006</v>
      </c>
      <c r="U2536" t="s">
        <v>55</v>
      </c>
      <c r="V2536">
        <v>1</v>
      </c>
      <c r="W2536">
        <v>1</v>
      </c>
      <c r="X2536">
        <v>1</v>
      </c>
      <c r="Y2536">
        <v>0</v>
      </c>
      <c r="Z2536">
        <v>1</v>
      </c>
      <c r="AA2536">
        <v>0</v>
      </c>
      <c r="AB2536">
        <v>150.02000000000001</v>
      </c>
      <c r="AC2536">
        <v>132</v>
      </c>
      <c r="AD2536">
        <v>0</v>
      </c>
      <c r="AE2536">
        <v>18.02</v>
      </c>
      <c r="AF2536">
        <v>0</v>
      </c>
      <c r="AG2536">
        <v>0</v>
      </c>
      <c r="AH2536">
        <v>0</v>
      </c>
      <c r="AI2536">
        <v>22.5</v>
      </c>
      <c r="AJ2536">
        <v>150.02000000000001</v>
      </c>
      <c r="AK2536">
        <v>0</v>
      </c>
      <c r="AL2536" t="s">
        <v>53</v>
      </c>
      <c r="AM2536" t="s">
        <v>53</v>
      </c>
      <c r="AN2536" t="s">
        <v>53</v>
      </c>
      <c r="AO2536" t="s">
        <v>53</v>
      </c>
      <c r="AP2536" t="s">
        <v>53</v>
      </c>
    </row>
    <row r="2537" spans="2:42" x14ac:dyDescent="0.2">
      <c r="B2537" t="s">
        <v>44</v>
      </c>
      <c r="C2537" t="str">
        <f>HYPERLINK("https://us2.cloudbeds.com/connect/8493803454333002#/reservations/1391476809896?display=WYEF3DU7&amp;reservation_id=1391476809896", "WYEF3DU7")</f>
        <v>WYEF3DU7</v>
      </c>
      <c r="D2537" t="s">
        <v>45</v>
      </c>
      <c r="E2537" t="s">
        <v>4007</v>
      </c>
      <c r="F2537" t="s">
        <v>47</v>
      </c>
      <c r="G2537" t="s">
        <v>48</v>
      </c>
      <c r="H2537" t="s">
        <v>3957</v>
      </c>
      <c r="I2537" t="s">
        <v>3975</v>
      </c>
      <c r="J2537" t="s">
        <v>4008</v>
      </c>
      <c r="K2537" t="s">
        <v>4009</v>
      </c>
      <c r="L2537" t="s">
        <v>53</v>
      </c>
      <c r="P2537" t="s">
        <v>55</v>
      </c>
      <c r="R2537" t="s">
        <v>201</v>
      </c>
      <c r="T2537" t="s">
        <v>4010</v>
      </c>
      <c r="U2537" t="s">
        <v>58</v>
      </c>
      <c r="V2537">
        <v>2</v>
      </c>
      <c r="W2537">
        <v>2</v>
      </c>
      <c r="X2537">
        <v>4</v>
      </c>
      <c r="Y2537">
        <v>0</v>
      </c>
      <c r="Z2537">
        <v>4</v>
      </c>
      <c r="AA2537">
        <v>413.7</v>
      </c>
      <c r="AB2537">
        <v>413.7</v>
      </c>
      <c r="AC2537">
        <v>364</v>
      </c>
      <c r="AD2537">
        <v>0</v>
      </c>
      <c r="AE2537">
        <v>49.7</v>
      </c>
      <c r="AF2537">
        <v>0</v>
      </c>
      <c r="AG2537">
        <v>0</v>
      </c>
      <c r="AH2537">
        <v>0</v>
      </c>
      <c r="AI2537">
        <v>0</v>
      </c>
      <c r="AJ2537">
        <v>413.7</v>
      </c>
      <c r="AK2537">
        <v>0</v>
      </c>
      <c r="AL2537" t="s">
        <v>53</v>
      </c>
      <c r="AM2537" t="s">
        <v>53</v>
      </c>
      <c r="AN2537" t="s">
        <v>4011</v>
      </c>
      <c r="AO2537" t="s">
        <v>53</v>
      </c>
      <c r="AP2537" t="s">
        <v>53</v>
      </c>
    </row>
    <row r="2538" spans="2:42" x14ac:dyDescent="0.2">
      <c r="B2538" t="s">
        <v>44</v>
      </c>
      <c r="C2538" t="str">
        <f>HYPERLINK("https://us2.cloudbeds.com/connect/8493803454333002#/reservations/1410211881106?display=102V60D1R&amp;reservation_id=1410211881106", "102V60D1R")</f>
        <v>102V60D1R</v>
      </c>
      <c r="D2538" t="s">
        <v>45</v>
      </c>
      <c r="E2538" t="s">
        <v>381</v>
      </c>
      <c r="F2538" t="s">
        <v>47</v>
      </c>
      <c r="G2538" t="s">
        <v>48</v>
      </c>
      <c r="H2538" t="s">
        <v>3957</v>
      </c>
      <c r="I2538" t="s">
        <v>3975</v>
      </c>
      <c r="J2538" t="s">
        <v>1985</v>
      </c>
      <c r="K2538" t="s">
        <v>2022</v>
      </c>
      <c r="L2538" t="s">
        <v>53</v>
      </c>
      <c r="P2538" t="s">
        <v>55</v>
      </c>
      <c r="R2538" t="s">
        <v>56</v>
      </c>
      <c r="T2538" t="s">
        <v>4012</v>
      </c>
      <c r="U2538" t="s">
        <v>58</v>
      </c>
      <c r="V2538">
        <v>1</v>
      </c>
      <c r="W2538">
        <v>1</v>
      </c>
      <c r="X2538">
        <v>2</v>
      </c>
      <c r="Y2538">
        <v>0</v>
      </c>
      <c r="Z2538">
        <v>2</v>
      </c>
      <c r="AA2538">
        <v>0</v>
      </c>
      <c r="AB2538">
        <v>182.98</v>
      </c>
      <c r="AC2538">
        <v>161</v>
      </c>
      <c r="AD2538">
        <v>0</v>
      </c>
      <c r="AE2538">
        <v>21.98</v>
      </c>
      <c r="AF2538">
        <v>0</v>
      </c>
      <c r="AG2538">
        <v>0</v>
      </c>
      <c r="AH2538">
        <v>0</v>
      </c>
      <c r="AI2538">
        <v>0</v>
      </c>
      <c r="AJ2538">
        <v>182.98</v>
      </c>
      <c r="AK2538">
        <v>0</v>
      </c>
      <c r="AL2538" t="s">
        <v>53</v>
      </c>
      <c r="AM2538" t="s">
        <v>53</v>
      </c>
      <c r="AN2538" t="s">
        <v>53</v>
      </c>
      <c r="AO2538" t="s">
        <v>53</v>
      </c>
      <c r="AP2538" t="s">
        <v>53</v>
      </c>
    </row>
    <row r="2539" spans="2:42" x14ac:dyDescent="0.2">
      <c r="B2539" t="s">
        <v>44</v>
      </c>
      <c r="C2539" t="str">
        <f>HYPERLINK("https://us2.cloudbeds.com/connect/8493803454333002#/reservations/1419665907950?display=10A8ZTKZP&amp;reservation_id=1419665907950", "10A8ZTKZP")</f>
        <v>10A8ZTKZP</v>
      </c>
      <c r="D2539" t="s">
        <v>45</v>
      </c>
      <c r="E2539" t="s">
        <v>223</v>
      </c>
      <c r="F2539" t="s">
        <v>47</v>
      </c>
      <c r="G2539" t="s">
        <v>48</v>
      </c>
      <c r="H2539" t="s">
        <v>49</v>
      </c>
      <c r="I2539" t="s">
        <v>62</v>
      </c>
      <c r="J2539" t="s">
        <v>1900</v>
      </c>
      <c r="K2539" t="s">
        <v>1296</v>
      </c>
      <c r="L2539" t="s">
        <v>53</v>
      </c>
      <c r="N2539" t="s">
        <v>4013</v>
      </c>
      <c r="P2539" t="s">
        <v>55</v>
      </c>
      <c r="R2539" t="s">
        <v>56</v>
      </c>
      <c r="T2539" t="s">
        <v>4014</v>
      </c>
      <c r="U2539" t="s">
        <v>55</v>
      </c>
      <c r="V2539">
        <v>1</v>
      </c>
      <c r="W2539">
        <v>1</v>
      </c>
      <c r="X2539">
        <v>1</v>
      </c>
      <c r="Y2539">
        <v>0</v>
      </c>
      <c r="Z2539">
        <v>1</v>
      </c>
      <c r="AA2539">
        <v>0</v>
      </c>
      <c r="AB2539">
        <v>196.27</v>
      </c>
      <c r="AC2539">
        <v>172.7</v>
      </c>
      <c r="AD2539">
        <v>0</v>
      </c>
      <c r="AE2539">
        <v>23.57</v>
      </c>
      <c r="AF2539">
        <v>0</v>
      </c>
      <c r="AG2539">
        <v>0</v>
      </c>
      <c r="AH2539">
        <v>0</v>
      </c>
      <c r="AI2539">
        <v>29.44</v>
      </c>
      <c r="AJ2539">
        <v>196.27</v>
      </c>
      <c r="AK2539">
        <v>0</v>
      </c>
      <c r="AL2539" t="s">
        <v>53</v>
      </c>
      <c r="AM2539" t="s">
        <v>53</v>
      </c>
      <c r="AN2539" t="s">
        <v>53</v>
      </c>
      <c r="AO2539" t="s">
        <v>53</v>
      </c>
      <c r="AP2539" t="s">
        <v>53</v>
      </c>
    </row>
    <row r="2540" spans="2:42" x14ac:dyDescent="0.2">
      <c r="B2540" t="s">
        <v>44</v>
      </c>
      <c r="C2540" t="str">
        <f>HYPERLINK("https://us2.cloudbeds.com/connect/8493803454333002#/reservations/1426854764763?display=10FREZ5GK&amp;reservation_id=1426854764763", "10FREZ5GK")</f>
        <v>10FREZ5GK</v>
      </c>
      <c r="D2540" t="s">
        <v>45</v>
      </c>
      <c r="E2540" t="s">
        <v>381</v>
      </c>
      <c r="F2540" t="s">
        <v>47</v>
      </c>
      <c r="G2540" t="s">
        <v>48</v>
      </c>
      <c r="H2540" t="s">
        <v>49</v>
      </c>
      <c r="I2540" t="s">
        <v>50</v>
      </c>
      <c r="J2540" t="s">
        <v>2023</v>
      </c>
      <c r="K2540" t="s">
        <v>2639</v>
      </c>
      <c r="L2540" t="s">
        <v>53</v>
      </c>
      <c r="N2540" t="s">
        <v>4015</v>
      </c>
      <c r="P2540" t="s">
        <v>55</v>
      </c>
      <c r="R2540" t="s">
        <v>56</v>
      </c>
      <c r="T2540" t="s">
        <v>4016</v>
      </c>
      <c r="U2540" t="s">
        <v>58</v>
      </c>
      <c r="V2540">
        <v>1</v>
      </c>
      <c r="W2540">
        <v>1</v>
      </c>
      <c r="X2540">
        <v>2</v>
      </c>
      <c r="Y2540">
        <v>0</v>
      </c>
      <c r="Z2540">
        <v>2</v>
      </c>
      <c r="AA2540">
        <v>0</v>
      </c>
      <c r="AB2540">
        <v>139.80000000000001</v>
      </c>
      <c r="AC2540">
        <v>123</v>
      </c>
      <c r="AD2540">
        <v>0</v>
      </c>
      <c r="AE2540">
        <v>16.8</v>
      </c>
      <c r="AF2540">
        <v>0</v>
      </c>
      <c r="AG2540">
        <v>0</v>
      </c>
      <c r="AH2540">
        <v>0</v>
      </c>
      <c r="AI2540">
        <v>25.16</v>
      </c>
      <c r="AJ2540">
        <v>139.80000000000001</v>
      </c>
      <c r="AK2540">
        <v>0</v>
      </c>
      <c r="AL2540" t="s">
        <v>53</v>
      </c>
      <c r="AM2540" t="s">
        <v>53</v>
      </c>
      <c r="AN2540" t="s">
        <v>53</v>
      </c>
      <c r="AO2540" t="s">
        <v>53</v>
      </c>
      <c r="AP2540" t="s">
        <v>53</v>
      </c>
    </row>
    <row r="2541" spans="2:42" x14ac:dyDescent="0.2">
      <c r="B2541" t="s">
        <v>44</v>
      </c>
      <c r="C2541" t="str">
        <f>HYPERLINK("https://us2.cloudbeds.com/connect/8493803454333002#/reservations/1453877506291?display=113ZV0PT0&amp;reservation_id=1453877506291", "113ZV0PT0")</f>
        <v>113ZV0PT0</v>
      </c>
      <c r="D2541" t="s">
        <v>45</v>
      </c>
      <c r="E2541" t="s">
        <v>185</v>
      </c>
      <c r="F2541" t="s">
        <v>47</v>
      </c>
      <c r="G2541" t="s">
        <v>48</v>
      </c>
      <c r="H2541" t="s">
        <v>49</v>
      </c>
      <c r="I2541" t="s">
        <v>62</v>
      </c>
      <c r="J2541" t="s">
        <v>2022</v>
      </c>
      <c r="K2541" t="s">
        <v>2639</v>
      </c>
      <c r="L2541" t="s">
        <v>53</v>
      </c>
      <c r="N2541" t="s">
        <v>4017</v>
      </c>
      <c r="P2541" t="s">
        <v>55</v>
      </c>
      <c r="R2541" t="s">
        <v>56</v>
      </c>
      <c r="T2541" t="s">
        <v>4018</v>
      </c>
      <c r="U2541" t="s">
        <v>55</v>
      </c>
      <c r="V2541">
        <v>2</v>
      </c>
      <c r="W2541">
        <v>1</v>
      </c>
      <c r="X2541">
        <v>1</v>
      </c>
      <c r="Y2541">
        <v>0</v>
      </c>
      <c r="Z2541">
        <v>1</v>
      </c>
      <c r="AA2541">
        <v>0</v>
      </c>
      <c r="AB2541">
        <v>289.82</v>
      </c>
      <c r="AC2541">
        <v>255</v>
      </c>
      <c r="AD2541">
        <v>0</v>
      </c>
      <c r="AE2541">
        <v>34.82</v>
      </c>
      <c r="AF2541">
        <v>0</v>
      </c>
      <c r="AG2541">
        <v>0</v>
      </c>
      <c r="AH2541">
        <v>0</v>
      </c>
      <c r="AI2541">
        <v>43.47</v>
      </c>
      <c r="AJ2541">
        <v>289.82</v>
      </c>
      <c r="AK2541">
        <v>0</v>
      </c>
      <c r="AL2541" t="s">
        <v>53</v>
      </c>
      <c r="AM2541" t="s">
        <v>53</v>
      </c>
      <c r="AN2541" t="s">
        <v>53</v>
      </c>
      <c r="AO2541" t="s">
        <v>53</v>
      </c>
      <c r="AP2541" t="s">
        <v>53</v>
      </c>
    </row>
    <row r="2542" spans="2:42" x14ac:dyDescent="0.2">
      <c r="B2542" t="s">
        <v>44</v>
      </c>
      <c r="C2542" t="str">
        <f>HYPERLINK("https://us2.cloudbeds.com/connect/8493803454333002#/reservations/1483033497763?display=11QAV47F3&amp;reservation_id=1483033497763", "11QAV47F3")</f>
        <v>11QAV47F3</v>
      </c>
      <c r="D2542" t="s">
        <v>45</v>
      </c>
      <c r="E2542" t="s">
        <v>78</v>
      </c>
      <c r="F2542" t="s">
        <v>61</v>
      </c>
      <c r="G2542" t="s">
        <v>48</v>
      </c>
      <c r="H2542" t="s">
        <v>49</v>
      </c>
      <c r="I2542" t="s">
        <v>50</v>
      </c>
      <c r="J2542" t="s">
        <v>2639</v>
      </c>
      <c r="K2542" t="s">
        <v>3031</v>
      </c>
      <c r="L2542" t="s">
        <v>53</v>
      </c>
      <c r="N2542" t="s">
        <v>4019</v>
      </c>
      <c r="P2542" t="s">
        <v>55</v>
      </c>
      <c r="R2542" t="s">
        <v>53</v>
      </c>
      <c r="T2542" t="s">
        <v>4020</v>
      </c>
      <c r="U2542" t="s">
        <v>58</v>
      </c>
      <c r="V2542">
        <v>2</v>
      </c>
      <c r="W2542">
        <v>1</v>
      </c>
      <c r="X2542">
        <v>2</v>
      </c>
      <c r="Y2542">
        <v>0</v>
      </c>
      <c r="Z2542">
        <v>2</v>
      </c>
      <c r="AA2542">
        <v>0</v>
      </c>
      <c r="AB2542">
        <v>346.65</v>
      </c>
      <c r="AC2542">
        <v>305</v>
      </c>
      <c r="AD2542">
        <v>0</v>
      </c>
      <c r="AE2542">
        <v>41.65</v>
      </c>
      <c r="AF2542">
        <v>0</v>
      </c>
      <c r="AG2542">
        <v>0</v>
      </c>
      <c r="AH2542">
        <v>0</v>
      </c>
      <c r="AI2542">
        <v>62.4</v>
      </c>
      <c r="AJ2542">
        <v>346.65</v>
      </c>
      <c r="AK2542">
        <v>0</v>
      </c>
      <c r="AL2542" t="s">
        <v>53</v>
      </c>
      <c r="AM2542" t="s">
        <v>53</v>
      </c>
      <c r="AN2542" t="s">
        <v>53</v>
      </c>
      <c r="AO2542" t="s">
        <v>53</v>
      </c>
      <c r="AP2542" t="s">
        <v>53</v>
      </c>
    </row>
    <row r="2543" spans="2:42" x14ac:dyDescent="0.2">
      <c r="B2543" t="s">
        <v>44</v>
      </c>
      <c r="C2543" t="str">
        <f>HYPERLINK("https://us2.cloudbeds.com/connect/8493803454333002#/reservations/1500104327315?display=126X4N7BA&amp;reservation_id=1500104327315", "126X4N7BA")</f>
        <v>126X4N7BA</v>
      </c>
      <c r="D2543" t="s">
        <v>45</v>
      </c>
      <c r="E2543" t="s">
        <v>105</v>
      </c>
      <c r="F2543" t="s">
        <v>47</v>
      </c>
      <c r="G2543" t="s">
        <v>48</v>
      </c>
      <c r="H2543" t="s">
        <v>49</v>
      </c>
      <c r="I2543" t="s">
        <v>50</v>
      </c>
      <c r="J2543" t="s">
        <v>2639</v>
      </c>
      <c r="K2543" t="s">
        <v>1295</v>
      </c>
      <c r="L2543" t="s">
        <v>53</v>
      </c>
      <c r="N2543" t="s">
        <v>4021</v>
      </c>
      <c r="P2543" t="s">
        <v>55</v>
      </c>
      <c r="R2543" t="s">
        <v>53</v>
      </c>
      <c r="T2543" t="s">
        <v>4022</v>
      </c>
      <c r="U2543" t="s">
        <v>58</v>
      </c>
      <c r="V2543">
        <v>1</v>
      </c>
      <c r="W2543">
        <v>1</v>
      </c>
      <c r="X2543">
        <v>1</v>
      </c>
      <c r="Y2543">
        <v>0</v>
      </c>
      <c r="Z2543">
        <v>1</v>
      </c>
      <c r="AA2543">
        <v>0</v>
      </c>
      <c r="AB2543">
        <v>167.07</v>
      </c>
      <c r="AC2543">
        <v>147</v>
      </c>
      <c r="AD2543">
        <v>0</v>
      </c>
      <c r="AE2543">
        <v>20.07</v>
      </c>
      <c r="AF2543">
        <v>0</v>
      </c>
      <c r="AG2543">
        <v>0</v>
      </c>
      <c r="AH2543">
        <v>0</v>
      </c>
      <c r="AI2543">
        <v>30.07</v>
      </c>
      <c r="AJ2543">
        <v>167.07</v>
      </c>
      <c r="AK2543">
        <v>0</v>
      </c>
      <c r="AL2543" t="s">
        <v>53</v>
      </c>
      <c r="AM2543" t="s">
        <v>53</v>
      </c>
      <c r="AN2543" t="s">
        <v>53</v>
      </c>
      <c r="AO2543" t="s">
        <v>53</v>
      </c>
      <c r="AP2543" t="s">
        <v>53</v>
      </c>
    </row>
    <row r="2544" spans="2:42" x14ac:dyDescent="0.2">
      <c r="B2544" t="s">
        <v>44</v>
      </c>
      <c r="C2544" t="str">
        <f>HYPERLINK("https://us2.cloudbeds.com/connect/8493803454333002#/reservations/1501932322960?display=127VS3TXZ&amp;reservation_id=1501932322960", "127VS3TXZ")</f>
        <v>127VS3TXZ</v>
      </c>
      <c r="D2544" t="s">
        <v>45</v>
      </c>
      <c r="E2544" t="s">
        <v>185</v>
      </c>
      <c r="F2544" t="s">
        <v>47</v>
      </c>
      <c r="G2544" t="s">
        <v>48</v>
      </c>
      <c r="H2544" t="s">
        <v>49</v>
      </c>
      <c r="I2544" t="s">
        <v>50</v>
      </c>
      <c r="J2544" t="s">
        <v>2639</v>
      </c>
      <c r="K2544" t="s">
        <v>1295</v>
      </c>
      <c r="L2544" t="s">
        <v>53</v>
      </c>
      <c r="N2544" t="s">
        <v>4023</v>
      </c>
      <c r="P2544" t="s">
        <v>55</v>
      </c>
      <c r="R2544" t="s">
        <v>53</v>
      </c>
      <c r="T2544" t="s">
        <v>4024</v>
      </c>
      <c r="U2544" t="s">
        <v>58</v>
      </c>
      <c r="V2544">
        <v>1</v>
      </c>
      <c r="W2544">
        <v>1</v>
      </c>
      <c r="X2544">
        <v>1</v>
      </c>
      <c r="Y2544">
        <v>0</v>
      </c>
      <c r="Z2544">
        <v>1</v>
      </c>
      <c r="AA2544">
        <v>0</v>
      </c>
      <c r="AB2544">
        <v>167.07</v>
      </c>
      <c r="AC2544">
        <v>147</v>
      </c>
      <c r="AD2544">
        <v>0</v>
      </c>
      <c r="AE2544">
        <v>20.07</v>
      </c>
      <c r="AF2544">
        <v>0</v>
      </c>
      <c r="AG2544">
        <v>0</v>
      </c>
      <c r="AH2544">
        <v>0</v>
      </c>
      <c r="AI2544">
        <v>30.07</v>
      </c>
      <c r="AJ2544">
        <v>167.07</v>
      </c>
      <c r="AK2544">
        <v>0</v>
      </c>
      <c r="AL2544" t="s">
        <v>53</v>
      </c>
      <c r="AM2544" t="s">
        <v>53</v>
      </c>
      <c r="AN2544" t="s">
        <v>53</v>
      </c>
      <c r="AO2544" t="s">
        <v>53</v>
      </c>
      <c r="AP2544" t="s">
        <v>53</v>
      </c>
    </row>
    <row r="2545" spans="2:42" x14ac:dyDescent="0.2">
      <c r="B2545" t="s">
        <v>44</v>
      </c>
      <c r="C2545" t="str">
        <f>HYPERLINK("https://us2.cloudbeds.com/connect/8493803454333002#/reservations/1501932322957?display=127VS3TXY&amp;reservation_id=1501932322957", "127VS3TXY")</f>
        <v>127VS3TXY</v>
      </c>
      <c r="D2545" t="s">
        <v>45</v>
      </c>
      <c r="E2545" t="s">
        <v>179</v>
      </c>
      <c r="F2545" t="s">
        <v>47</v>
      </c>
      <c r="G2545" t="s">
        <v>48</v>
      </c>
      <c r="H2545" t="s">
        <v>49</v>
      </c>
      <c r="I2545" t="s">
        <v>50</v>
      </c>
      <c r="J2545" t="s">
        <v>2639</v>
      </c>
      <c r="K2545" t="s">
        <v>1295</v>
      </c>
      <c r="L2545" t="s">
        <v>53</v>
      </c>
      <c r="N2545" t="s">
        <v>4025</v>
      </c>
      <c r="P2545" t="s">
        <v>55</v>
      </c>
      <c r="R2545" t="s">
        <v>53</v>
      </c>
      <c r="T2545" t="s">
        <v>4026</v>
      </c>
      <c r="U2545" t="s">
        <v>58</v>
      </c>
      <c r="V2545">
        <v>1</v>
      </c>
      <c r="W2545">
        <v>1</v>
      </c>
      <c r="X2545">
        <v>1</v>
      </c>
      <c r="Y2545">
        <v>0</v>
      </c>
      <c r="Z2545">
        <v>1</v>
      </c>
      <c r="AA2545">
        <v>0</v>
      </c>
      <c r="AB2545">
        <v>167.07</v>
      </c>
      <c r="AC2545">
        <v>147</v>
      </c>
      <c r="AD2545">
        <v>0</v>
      </c>
      <c r="AE2545">
        <v>20.07</v>
      </c>
      <c r="AF2545">
        <v>0</v>
      </c>
      <c r="AG2545">
        <v>0</v>
      </c>
      <c r="AH2545">
        <v>0</v>
      </c>
      <c r="AI2545">
        <v>30.07</v>
      </c>
      <c r="AJ2545">
        <v>167.07</v>
      </c>
      <c r="AK2545">
        <v>0</v>
      </c>
      <c r="AL2545" t="s">
        <v>53</v>
      </c>
      <c r="AM2545" t="s">
        <v>53</v>
      </c>
      <c r="AN2545" t="s">
        <v>53</v>
      </c>
      <c r="AO2545" t="s">
        <v>53</v>
      </c>
      <c r="AP2545" t="s">
        <v>53</v>
      </c>
    </row>
    <row r="2546" spans="2:42" x14ac:dyDescent="0.2">
      <c r="B2546" t="s">
        <v>44</v>
      </c>
      <c r="C2546" t="str">
        <f>HYPERLINK("https://us2.cloudbeds.com/connect/8493803454333002#/reservations/1639311401118?display=15FB6Q8G5&amp;reservation_id=1639311401118", "15FB6Q8G5")</f>
        <v>15FB6Q8G5</v>
      </c>
      <c r="D2546" t="s">
        <v>45</v>
      </c>
      <c r="E2546" t="s">
        <v>185</v>
      </c>
      <c r="F2546" t="s">
        <v>47</v>
      </c>
      <c r="G2546" t="s">
        <v>48</v>
      </c>
      <c r="H2546" t="s">
        <v>49</v>
      </c>
      <c r="I2546" t="s">
        <v>50</v>
      </c>
      <c r="J2546" t="s">
        <v>2315</v>
      </c>
      <c r="K2546" t="s">
        <v>1898</v>
      </c>
      <c r="L2546" t="s">
        <v>53</v>
      </c>
      <c r="N2546" t="s">
        <v>4027</v>
      </c>
      <c r="P2546" t="s">
        <v>55</v>
      </c>
      <c r="R2546" t="s">
        <v>53</v>
      </c>
      <c r="T2546" t="s">
        <v>4028</v>
      </c>
      <c r="U2546" t="s">
        <v>58</v>
      </c>
      <c r="V2546">
        <v>3</v>
      </c>
      <c r="W2546">
        <v>1</v>
      </c>
      <c r="X2546">
        <v>2</v>
      </c>
      <c r="Y2546">
        <v>0</v>
      </c>
      <c r="Z2546">
        <v>2</v>
      </c>
      <c r="AA2546">
        <v>0</v>
      </c>
      <c r="AB2546">
        <v>573.94000000000005</v>
      </c>
      <c r="AC2546">
        <v>505</v>
      </c>
      <c r="AD2546">
        <v>0</v>
      </c>
      <c r="AE2546">
        <v>68.94</v>
      </c>
      <c r="AF2546">
        <v>0</v>
      </c>
      <c r="AG2546">
        <v>0</v>
      </c>
      <c r="AH2546">
        <v>0</v>
      </c>
      <c r="AI2546">
        <v>103.31</v>
      </c>
      <c r="AJ2546">
        <v>573.94000000000005</v>
      </c>
      <c r="AK2546">
        <v>0</v>
      </c>
      <c r="AL2546" t="s">
        <v>53</v>
      </c>
      <c r="AM2546" t="s">
        <v>53</v>
      </c>
      <c r="AN2546" t="s">
        <v>53</v>
      </c>
      <c r="AO2546" t="s">
        <v>53</v>
      </c>
      <c r="AP2546" t="s">
        <v>53</v>
      </c>
    </row>
    <row r="2547" spans="2:42" x14ac:dyDescent="0.2">
      <c r="B2547" t="s">
        <v>44</v>
      </c>
      <c r="C2547" t="str">
        <f>HYPERLINK("https://us2.cloudbeds.com/connect/8493803454333002#/reservations/1666399748295?display=163ACDEQH&amp;reservation_id=1666399748295", "163ACDEQH")</f>
        <v>163ACDEQH</v>
      </c>
      <c r="D2547" t="s">
        <v>45</v>
      </c>
      <c r="E2547" t="s">
        <v>223</v>
      </c>
      <c r="F2547" t="s">
        <v>47</v>
      </c>
      <c r="G2547" t="s">
        <v>48</v>
      </c>
      <c r="H2547" t="s">
        <v>49</v>
      </c>
      <c r="I2547" t="s">
        <v>62</v>
      </c>
      <c r="J2547" t="s">
        <v>1767</v>
      </c>
      <c r="K2547" t="s">
        <v>1664</v>
      </c>
      <c r="L2547" t="s">
        <v>53</v>
      </c>
      <c r="N2547" t="s">
        <v>4029</v>
      </c>
      <c r="P2547" t="s">
        <v>55</v>
      </c>
      <c r="R2547" t="s">
        <v>118</v>
      </c>
      <c r="T2547" t="s">
        <v>4030</v>
      </c>
      <c r="U2547" t="s">
        <v>55</v>
      </c>
      <c r="V2547">
        <v>2</v>
      </c>
      <c r="W2547">
        <v>1</v>
      </c>
      <c r="X2547">
        <v>2</v>
      </c>
      <c r="Y2547">
        <v>0</v>
      </c>
      <c r="Z2547">
        <v>2</v>
      </c>
      <c r="AA2547">
        <v>0</v>
      </c>
      <c r="AB2547">
        <v>470.08</v>
      </c>
      <c r="AC2547">
        <v>413.6</v>
      </c>
      <c r="AD2547">
        <v>0</v>
      </c>
      <c r="AE2547">
        <v>56.48</v>
      </c>
      <c r="AF2547">
        <v>0</v>
      </c>
      <c r="AG2547">
        <v>0</v>
      </c>
      <c r="AH2547">
        <v>0</v>
      </c>
      <c r="AI2547">
        <v>70.510000000000005</v>
      </c>
      <c r="AJ2547">
        <v>470.08</v>
      </c>
      <c r="AK2547">
        <v>0</v>
      </c>
      <c r="AL2547" t="s">
        <v>53</v>
      </c>
      <c r="AM2547" t="s">
        <v>53</v>
      </c>
      <c r="AN2547" t="s">
        <v>53</v>
      </c>
      <c r="AO2547" t="s">
        <v>53</v>
      </c>
      <c r="AP2547" t="s">
        <v>53</v>
      </c>
    </row>
    <row r="2548" spans="2:42" x14ac:dyDescent="0.2">
      <c r="B2548" t="s">
        <v>44</v>
      </c>
      <c r="C2548" t="str">
        <f>HYPERLINK("https://us2.cloudbeds.com/connect/8493803454333002#/reservations/1693078671579?display=16NW2PQV8&amp;reservation_id=1693078671579", "16NW2PQV8")</f>
        <v>16NW2PQV8</v>
      </c>
      <c r="D2548" t="s">
        <v>45</v>
      </c>
      <c r="E2548" t="s">
        <v>85</v>
      </c>
      <c r="F2548" t="s">
        <v>86</v>
      </c>
      <c r="G2548" t="s">
        <v>48</v>
      </c>
      <c r="H2548" t="s">
        <v>49</v>
      </c>
      <c r="I2548" t="s">
        <v>50</v>
      </c>
      <c r="J2548" t="s">
        <v>1900</v>
      </c>
      <c r="K2548" t="s">
        <v>1296</v>
      </c>
      <c r="L2548" t="s">
        <v>53</v>
      </c>
      <c r="N2548" t="s">
        <v>4031</v>
      </c>
      <c r="P2548" t="s">
        <v>55</v>
      </c>
      <c r="R2548" t="s">
        <v>53</v>
      </c>
      <c r="T2548" t="s">
        <v>4032</v>
      </c>
      <c r="U2548" t="s">
        <v>58</v>
      </c>
      <c r="V2548">
        <v>1</v>
      </c>
      <c r="W2548">
        <v>1</v>
      </c>
      <c r="X2548">
        <v>4</v>
      </c>
      <c r="Y2548">
        <v>0</v>
      </c>
      <c r="Z2548">
        <v>4</v>
      </c>
      <c r="AA2548">
        <v>0</v>
      </c>
      <c r="AB2548">
        <v>206.85</v>
      </c>
      <c r="AC2548">
        <v>182</v>
      </c>
      <c r="AD2548">
        <v>0</v>
      </c>
      <c r="AE2548">
        <v>24.85</v>
      </c>
      <c r="AF2548">
        <v>0</v>
      </c>
      <c r="AG2548">
        <v>0</v>
      </c>
      <c r="AH2548">
        <v>0</v>
      </c>
      <c r="AI2548">
        <v>37.229999999999997</v>
      </c>
      <c r="AJ2548">
        <v>206.85</v>
      </c>
      <c r="AK2548">
        <v>0</v>
      </c>
      <c r="AL2548" t="s">
        <v>53</v>
      </c>
      <c r="AM2548" t="s">
        <v>53</v>
      </c>
      <c r="AN2548" t="s">
        <v>53</v>
      </c>
      <c r="AO2548" t="s">
        <v>53</v>
      </c>
      <c r="AP2548" t="s">
        <v>53</v>
      </c>
    </row>
    <row r="2549" spans="2:42" x14ac:dyDescent="0.2">
      <c r="B2549" t="s">
        <v>44</v>
      </c>
      <c r="C2549" t="str">
        <f>HYPERLINK("https://us2.cloudbeds.com/connect/8493803454333002#/reservations/1694782210212?display=16P9K89J2&amp;reservation_id=1694782210212", "16P9K89J2")</f>
        <v>16P9K89J2</v>
      </c>
      <c r="D2549" t="s">
        <v>45</v>
      </c>
      <c r="E2549" t="s">
        <v>213</v>
      </c>
      <c r="F2549" t="s">
        <v>86</v>
      </c>
      <c r="G2549" t="s">
        <v>48</v>
      </c>
      <c r="H2549" t="s">
        <v>49</v>
      </c>
      <c r="I2549" t="s">
        <v>50</v>
      </c>
      <c r="J2549" t="s">
        <v>1900</v>
      </c>
      <c r="K2549" t="s">
        <v>1296</v>
      </c>
      <c r="L2549" t="s">
        <v>53</v>
      </c>
      <c r="N2549" t="s">
        <v>4033</v>
      </c>
      <c r="P2549" t="s">
        <v>55</v>
      </c>
      <c r="R2549" t="s">
        <v>53</v>
      </c>
      <c r="T2549" t="s">
        <v>4034</v>
      </c>
      <c r="U2549" t="s">
        <v>58</v>
      </c>
      <c r="V2549">
        <v>1</v>
      </c>
      <c r="W2549">
        <v>1</v>
      </c>
      <c r="X2549">
        <v>3</v>
      </c>
      <c r="Y2549">
        <v>0</v>
      </c>
      <c r="Z2549">
        <v>3</v>
      </c>
      <c r="AA2549">
        <v>0</v>
      </c>
      <c r="AB2549">
        <v>206.85</v>
      </c>
      <c r="AC2549">
        <v>182</v>
      </c>
      <c r="AD2549">
        <v>0</v>
      </c>
      <c r="AE2549">
        <v>24.85</v>
      </c>
      <c r="AF2549">
        <v>0</v>
      </c>
      <c r="AG2549">
        <v>0</v>
      </c>
      <c r="AH2549">
        <v>0</v>
      </c>
      <c r="AI2549">
        <v>37.229999999999997</v>
      </c>
      <c r="AJ2549">
        <v>206.85</v>
      </c>
      <c r="AK2549">
        <v>0</v>
      </c>
      <c r="AL2549" t="s">
        <v>53</v>
      </c>
      <c r="AM2549" t="s">
        <v>53</v>
      </c>
      <c r="AN2549" t="s">
        <v>53</v>
      </c>
      <c r="AO2549" t="s">
        <v>53</v>
      </c>
      <c r="AP2549" t="s">
        <v>53</v>
      </c>
    </row>
    <row r="2550" spans="2:42" x14ac:dyDescent="0.2">
      <c r="B2550" t="s">
        <v>44</v>
      </c>
      <c r="C2550" t="str">
        <f>HYPERLINK("https://us2.cloudbeds.com/connect/8493803454333002#/reservations/1694791872750?display=16P9SD5E8&amp;reservation_id=1694791872750", "16P9SD5E8")</f>
        <v>16P9SD5E8</v>
      </c>
      <c r="D2550" t="s">
        <v>45</v>
      </c>
      <c r="E2550" t="s">
        <v>373</v>
      </c>
      <c r="F2550" t="s">
        <v>47</v>
      </c>
      <c r="G2550" t="s">
        <v>48</v>
      </c>
      <c r="H2550" t="s">
        <v>49</v>
      </c>
      <c r="I2550" t="s">
        <v>50</v>
      </c>
      <c r="J2550" t="s">
        <v>2023</v>
      </c>
      <c r="K2550" t="s">
        <v>2639</v>
      </c>
      <c r="L2550" t="s">
        <v>53</v>
      </c>
      <c r="N2550" t="s">
        <v>4035</v>
      </c>
      <c r="P2550" t="s">
        <v>55</v>
      </c>
      <c r="R2550" t="s">
        <v>56</v>
      </c>
      <c r="T2550" t="s">
        <v>4036</v>
      </c>
      <c r="U2550" t="s">
        <v>58</v>
      </c>
      <c r="V2550">
        <v>1</v>
      </c>
      <c r="W2550">
        <v>1</v>
      </c>
      <c r="X2550">
        <v>2</v>
      </c>
      <c r="Y2550">
        <v>0</v>
      </c>
      <c r="Z2550">
        <v>2</v>
      </c>
      <c r="AA2550">
        <v>0</v>
      </c>
      <c r="AB2550">
        <v>137.52000000000001</v>
      </c>
      <c r="AC2550">
        <v>121</v>
      </c>
      <c r="AD2550">
        <v>0</v>
      </c>
      <c r="AE2550">
        <v>16.52</v>
      </c>
      <c r="AF2550">
        <v>0</v>
      </c>
      <c r="AG2550">
        <v>0</v>
      </c>
      <c r="AH2550">
        <v>0</v>
      </c>
      <c r="AI2550">
        <v>24.75</v>
      </c>
      <c r="AJ2550">
        <v>137.52000000000001</v>
      </c>
      <c r="AK2550">
        <v>0</v>
      </c>
      <c r="AL2550" t="s">
        <v>53</v>
      </c>
      <c r="AM2550" t="s">
        <v>53</v>
      </c>
      <c r="AN2550" t="s">
        <v>53</v>
      </c>
      <c r="AO2550" t="s">
        <v>53</v>
      </c>
      <c r="AP2550" t="s">
        <v>53</v>
      </c>
    </row>
    <row r="2551" spans="2:42" x14ac:dyDescent="0.2">
      <c r="B2551" t="s">
        <v>44</v>
      </c>
      <c r="C2551" t="str">
        <f>HYPERLINK("https://us2.cloudbeds.com/connect/8493803454333002#/reservations/1714907607257?display=177SSH49J&amp;reservation_id=1714907607257", "177SSH49J")</f>
        <v>177SSH49J</v>
      </c>
      <c r="D2551" t="s">
        <v>45</v>
      </c>
      <c r="E2551" t="s">
        <v>110</v>
      </c>
      <c r="F2551" t="s">
        <v>47</v>
      </c>
      <c r="G2551" t="s">
        <v>48</v>
      </c>
      <c r="H2551" t="s">
        <v>49</v>
      </c>
      <c r="I2551" t="s">
        <v>62</v>
      </c>
      <c r="J2551" t="s">
        <v>2384</v>
      </c>
      <c r="K2551" t="s">
        <v>2163</v>
      </c>
      <c r="L2551" t="s">
        <v>53</v>
      </c>
      <c r="N2551" t="s">
        <v>4037</v>
      </c>
      <c r="P2551" t="s">
        <v>55</v>
      </c>
      <c r="R2551" t="s">
        <v>118</v>
      </c>
      <c r="T2551" t="s">
        <v>4038</v>
      </c>
      <c r="U2551" t="s">
        <v>58</v>
      </c>
      <c r="V2551">
        <v>1</v>
      </c>
      <c r="W2551">
        <v>1</v>
      </c>
      <c r="X2551">
        <v>2</v>
      </c>
      <c r="Y2551">
        <v>0</v>
      </c>
      <c r="Z2551">
        <v>2</v>
      </c>
      <c r="AA2551">
        <v>0</v>
      </c>
      <c r="AB2551">
        <v>186.27</v>
      </c>
      <c r="AC2551">
        <v>163.9</v>
      </c>
      <c r="AD2551">
        <v>0</v>
      </c>
      <c r="AE2551">
        <v>22.37</v>
      </c>
      <c r="AF2551">
        <v>0</v>
      </c>
      <c r="AG2551">
        <v>0</v>
      </c>
      <c r="AH2551">
        <v>0</v>
      </c>
      <c r="AI2551">
        <v>27.94</v>
      </c>
      <c r="AJ2551">
        <v>186.27</v>
      </c>
      <c r="AK2551">
        <v>0</v>
      </c>
      <c r="AL2551" t="s">
        <v>53</v>
      </c>
      <c r="AM2551" t="s">
        <v>53</v>
      </c>
      <c r="AN2551" t="s">
        <v>53</v>
      </c>
      <c r="AO2551" t="s">
        <v>53</v>
      </c>
      <c r="AP2551" t="s">
        <v>53</v>
      </c>
    </row>
    <row r="2552" spans="2:42" x14ac:dyDescent="0.2">
      <c r="B2552" t="s">
        <v>44</v>
      </c>
      <c r="C2552" t="str">
        <f>HYPERLINK("https://us2.cloudbeds.com/connect/8493803454333002#/reservations/1723203047591?display=17E9REWHD&amp;reservation_id=1723203047591", "17E9REWHD")</f>
        <v>17E9REWHD</v>
      </c>
      <c r="D2552" t="s">
        <v>45</v>
      </c>
      <c r="E2552" t="s">
        <v>92</v>
      </c>
      <c r="F2552" t="s">
        <v>86</v>
      </c>
      <c r="G2552" t="s">
        <v>48</v>
      </c>
      <c r="H2552" t="s">
        <v>49</v>
      </c>
      <c r="I2552" t="s">
        <v>62</v>
      </c>
      <c r="J2552" t="s">
        <v>3551</v>
      </c>
      <c r="K2552" t="s">
        <v>1502</v>
      </c>
      <c r="L2552" t="s">
        <v>53</v>
      </c>
      <c r="N2552" t="s">
        <v>4039</v>
      </c>
      <c r="P2552" t="s">
        <v>55</v>
      </c>
      <c r="R2552" t="s">
        <v>56</v>
      </c>
      <c r="T2552" t="s">
        <v>4040</v>
      </c>
      <c r="U2552" t="s">
        <v>55</v>
      </c>
      <c r="V2552">
        <v>2</v>
      </c>
      <c r="W2552">
        <v>1</v>
      </c>
      <c r="X2552">
        <v>3</v>
      </c>
      <c r="Y2552">
        <v>0</v>
      </c>
      <c r="Z2552">
        <v>3</v>
      </c>
      <c r="AA2552">
        <v>0</v>
      </c>
      <c r="AB2552">
        <v>301.19</v>
      </c>
      <c r="AC2552">
        <v>265</v>
      </c>
      <c r="AD2552">
        <v>0</v>
      </c>
      <c r="AE2552">
        <v>36.19</v>
      </c>
      <c r="AF2552">
        <v>0</v>
      </c>
      <c r="AG2552">
        <v>0</v>
      </c>
      <c r="AH2552">
        <v>0</v>
      </c>
      <c r="AI2552">
        <v>45.18</v>
      </c>
      <c r="AJ2552">
        <v>301.19</v>
      </c>
      <c r="AK2552">
        <v>0</v>
      </c>
      <c r="AL2552" t="s">
        <v>53</v>
      </c>
      <c r="AM2552" t="s">
        <v>53</v>
      </c>
      <c r="AN2552" t="s">
        <v>53</v>
      </c>
      <c r="AO2552" t="s">
        <v>53</v>
      </c>
      <c r="AP2552" t="s">
        <v>53</v>
      </c>
    </row>
    <row r="2553" spans="2:42" x14ac:dyDescent="0.2">
      <c r="B2553" t="s">
        <v>44</v>
      </c>
      <c r="C2553" t="str">
        <f>HYPERLINK("https://us2.cloudbeds.com/connect/8493803454333002#/reservations/1781694128256?display=18ZG02NEB&amp;reservation_id=1781694128256", "18ZG02NEB")</f>
        <v>18ZG02NEB</v>
      </c>
      <c r="D2553" t="s">
        <v>45</v>
      </c>
      <c r="E2553" t="s">
        <v>69</v>
      </c>
      <c r="F2553" t="s">
        <v>70</v>
      </c>
      <c r="G2553" t="s">
        <v>48</v>
      </c>
      <c r="H2553" t="s">
        <v>49</v>
      </c>
      <c r="I2553" t="s">
        <v>62</v>
      </c>
      <c r="J2553" t="s">
        <v>2022</v>
      </c>
      <c r="K2553" t="s">
        <v>2023</v>
      </c>
      <c r="L2553" t="s">
        <v>53</v>
      </c>
      <c r="N2553" t="s">
        <v>4041</v>
      </c>
      <c r="P2553" t="s">
        <v>55</v>
      </c>
      <c r="R2553" t="s">
        <v>56</v>
      </c>
      <c r="T2553" t="s">
        <v>4042</v>
      </c>
      <c r="U2553" t="s">
        <v>55</v>
      </c>
      <c r="V2553">
        <v>1</v>
      </c>
      <c r="W2553">
        <v>1</v>
      </c>
      <c r="X2553">
        <v>2</v>
      </c>
      <c r="Y2553">
        <v>0</v>
      </c>
      <c r="Z2553">
        <v>2</v>
      </c>
      <c r="AA2553">
        <v>0</v>
      </c>
      <c r="AB2553">
        <v>144.34</v>
      </c>
      <c r="AC2553">
        <v>127</v>
      </c>
      <c r="AD2553">
        <v>0</v>
      </c>
      <c r="AE2553">
        <v>17.34</v>
      </c>
      <c r="AF2553">
        <v>0</v>
      </c>
      <c r="AG2553">
        <v>0</v>
      </c>
      <c r="AH2553">
        <v>0</v>
      </c>
      <c r="AI2553">
        <v>21.65</v>
      </c>
      <c r="AJ2553">
        <v>144.34</v>
      </c>
      <c r="AK2553">
        <v>0</v>
      </c>
      <c r="AL2553" t="s">
        <v>53</v>
      </c>
      <c r="AM2553" t="s">
        <v>53</v>
      </c>
      <c r="AN2553" t="s">
        <v>53</v>
      </c>
      <c r="AO2553" t="s">
        <v>53</v>
      </c>
      <c r="AP2553" t="s">
        <v>53</v>
      </c>
    </row>
    <row r="2554" spans="2:42" x14ac:dyDescent="0.2">
      <c r="B2554" t="s">
        <v>44</v>
      </c>
      <c r="C2554" t="str">
        <f>HYPERLINK("https://us2.cloudbeds.com/connect/8493803454333002#/reservations/1800462024903?display=1983W8U92&amp;reservation_id=1800462024903", "1983W8U92")</f>
        <v>1983W8U92</v>
      </c>
      <c r="D2554" t="s">
        <v>45</v>
      </c>
      <c r="E2554" t="s">
        <v>213</v>
      </c>
      <c r="F2554" t="s">
        <v>86</v>
      </c>
      <c r="G2554" t="s">
        <v>48</v>
      </c>
      <c r="H2554" t="s">
        <v>49</v>
      </c>
      <c r="I2554" t="s">
        <v>50</v>
      </c>
      <c r="J2554" t="s">
        <v>1295</v>
      </c>
      <c r="K2554" t="s">
        <v>3031</v>
      </c>
      <c r="L2554" t="s">
        <v>53</v>
      </c>
      <c r="N2554" t="s">
        <v>4043</v>
      </c>
      <c r="P2554" t="s">
        <v>55</v>
      </c>
      <c r="R2554" t="s">
        <v>56</v>
      </c>
      <c r="T2554" t="s">
        <v>4044</v>
      </c>
      <c r="U2554" t="s">
        <v>58</v>
      </c>
      <c r="V2554">
        <v>1</v>
      </c>
      <c r="W2554">
        <v>1</v>
      </c>
      <c r="X2554">
        <v>2</v>
      </c>
      <c r="Y2554">
        <v>1</v>
      </c>
      <c r="Z2554">
        <v>3</v>
      </c>
      <c r="AA2554">
        <v>0</v>
      </c>
      <c r="AB2554">
        <v>202.3</v>
      </c>
      <c r="AC2554">
        <v>178</v>
      </c>
      <c r="AD2554">
        <v>0</v>
      </c>
      <c r="AE2554">
        <v>24.3</v>
      </c>
      <c r="AF2554">
        <v>0</v>
      </c>
      <c r="AG2554">
        <v>0</v>
      </c>
      <c r="AH2554">
        <v>0</v>
      </c>
      <c r="AI2554">
        <v>36.409999999999997</v>
      </c>
      <c r="AJ2554">
        <v>202.3</v>
      </c>
      <c r="AK2554">
        <v>0</v>
      </c>
      <c r="AL2554" t="s">
        <v>53</v>
      </c>
      <c r="AM2554" t="s">
        <v>53</v>
      </c>
      <c r="AN2554" t="s">
        <v>53</v>
      </c>
      <c r="AO2554" t="s">
        <v>53</v>
      </c>
      <c r="AP2554" t="s">
        <v>53</v>
      </c>
    </row>
    <row r="2555" spans="2:42" x14ac:dyDescent="0.2">
      <c r="B2555" t="s">
        <v>44</v>
      </c>
      <c r="C2555" t="str">
        <f>HYPERLINK("https://us2.cloudbeds.com/connect/8493803454333002#/reservations/1802157109493?display=199E9K4PP&amp;reservation_id=1802157109493", "199E9K4PP")</f>
        <v>199E9K4PP</v>
      </c>
      <c r="D2555" t="s">
        <v>45</v>
      </c>
      <c r="E2555" t="s">
        <v>138</v>
      </c>
      <c r="F2555" t="s">
        <v>70</v>
      </c>
      <c r="G2555" t="s">
        <v>48</v>
      </c>
      <c r="H2555" t="s">
        <v>3957</v>
      </c>
      <c r="I2555" t="s">
        <v>3975</v>
      </c>
      <c r="J2555" t="s">
        <v>2023</v>
      </c>
      <c r="K2555" t="s">
        <v>2639</v>
      </c>
      <c r="L2555" t="s">
        <v>53</v>
      </c>
      <c r="P2555" t="s">
        <v>55</v>
      </c>
      <c r="R2555" t="s">
        <v>56</v>
      </c>
      <c r="T2555" t="s">
        <v>4045</v>
      </c>
      <c r="U2555" t="s">
        <v>58</v>
      </c>
      <c r="V2555">
        <v>1</v>
      </c>
      <c r="W2555">
        <v>1</v>
      </c>
      <c r="X2555">
        <v>2</v>
      </c>
      <c r="Y2555">
        <v>0</v>
      </c>
      <c r="Z2555">
        <v>2</v>
      </c>
      <c r="AA2555">
        <v>0</v>
      </c>
      <c r="AB2555">
        <v>134.11000000000001</v>
      </c>
      <c r="AC2555">
        <v>118</v>
      </c>
      <c r="AD2555">
        <v>0</v>
      </c>
      <c r="AE2555">
        <v>16.11</v>
      </c>
      <c r="AF2555">
        <v>0</v>
      </c>
      <c r="AG2555">
        <v>0</v>
      </c>
      <c r="AH2555">
        <v>0</v>
      </c>
      <c r="AI2555">
        <v>0</v>
      </c>
      <c r="AJ2555">
        <v>134.11000000000001</v>
      </c>
      <c r="AK2555">
        <v>0</v>
      </c>
      <c r="AL2555" t="s">
        <v>53</v>
      </c>
      <c r="AM2555" t="s">
        <v>53</v>
      </c>
      <c r="AN2555" t="s">
        <v>4046</v>
      </c>
      <c r="AO2555" t="s">
        <v>53</v>
      </c>
      <c r="AP2555" t="s">
        <v>53</v>
      </c>
    </row>
    <row r="2556" spans="2:42" x14ac:dyDescent="0.2">
      <c r="B2556" t="s">
        <v>44</v>
      </c>
      <c r="C2556" t="str">
        <f>HYPERLINK("https://us2.cloudbeds.com/connect/8493803454333002#/reservations/1818737905802?display=19M8VW81P&amp;reservation_id=1818737905802", "19M8VW81P")</f>
        <v>19M8VW81P</v>
      </c>
      <c r="D2556" t="s">
        <v>45</v>
      </c>
      <c r="E2556" t="s">
        <v>155</v>
      </c>
      <c r="F2556" t="s">
        <v>86</v>
      </c>
      <c r="G2556" t="s">
        <v>48</v>
      </c>
      <c r="H2556" t="s">
        <v>49</v>
      </c>
      <c r="I2556" t="s">
        <v>50</v>
      </c>
      <c r="J2556" t="s">
        <v>1295</v>
      </c>
      <c r="K2556" t="s">
        <v>3031</v>
      </c>
      <c r="L2556" t="s">
        <v>53</v>
      </c>
      <c r="N2556" t="s">
        <v>4047</v>
      </c>
      <c r="P2556" t="s">
        <v>55</v>
      </c>
      <c r="R2556" t="s">
        <v>56</v>
      </c>
      <c r="T2556" t="s">
        <v>4048</v>
      </c>
      <c r="U2556" t="s">
        <v>58</v>
      </c>
      <c r="V2556">
        <v>1</v>
      </c>
      <c r="W2556">
        <v>1</v>
      </c>
      <c r="X2556">
        <v>2</v>
      </c>
      <c r="Y2556">
        <v>1</v>
      </c>
      <c r="Z2556">
        <v>3</v>
      </c>
      <c r="AA2556">
        <v>0</v>
      </c>
      <c r="AB2556">
        <v>202.3</v>
      </c>
      <c r="AC2556">
        <v>178</v>
      </c>
      <c r="AD2556">
        <v>0</v>
      </c>
      <c r="AE2556">
        <v>24.3</v>
      </c>
      <c r="AF2556">
        <v>0</v>
      </c>
      <c r="AG2556">
        <v>0</v>
      </c>
      <c r="AH2556">
        <v>0</v>
      </c>
      <c r="AI2556">
        <v>36.409999999999997</v>
      </c>
      <c r="AJ2556">
        <v>202.3</v>
      </c>
      <c r="AK2556">
        <v>0</v>
      </c>
      <c r="AL2556" t="s">
        <v>53</v>
      </c>
      <c r="AM2556" t="s">
        <v>53</v>
      </c>
      <c r="AN2556" t="s">
        <v>53</v>
      </c>
      <c r="AO2556" t="s">
        <v>53</v>
      </c>
      <c r="AP2556" t="s">
        <v>53</v>
      </c>
    </row>
    <row r="2557" spans="2:42" x14ac:dyDescent="0.2">
      <c r="B2557" t="s">
        <v>44</v>
      </c>
      <c r="C2557" t="str">
        <f>HYPERLINK("https://us2.cloudbeds.com/connect/8493803454333002#/reservations/1820849680517?display=19NTUMG3V&amp;reservation_id=1820849680517", "19NTUMG3V")</f>
        <v>19NTUMG3V</v>
      </c>
      <c r="D2557" t="s">
        <v>45</v>
      </c>
      <c r="E2557" t="s">
        <v>265</v>
      </c>
      <c r="F2557" t="s">
        <v>61</v>
      </c>
      <c r="G2557" t="s">
        <v>48</v>
      </c>
      <c r="H2557" t="s">
        <v>49</v>
      </c>
      <c r="I2557" t="s">
        <v>50</v>
      </c>
      <c r="J2557" t="s">
        <v>2022</v>
      </c>
      <c r="K2557" t="s">
        <v>2639</v>
      </c>
      <c r="L2557" t="s">
        <v>53</v>
      </c>
      <c r="N2557" t="s">
        <v>4049</v>
      </c>
      <c r="P2557" t="s">
        <v>55</v>
      </c>
      <c r="R2557" t="s">
        <v>53</v>
      </c>
      <c r="T2557" t="s">
        <v>4050</v>
      </c>
      <c r="U2557" t="s">
        <v>58</v>
      </c>
      <c r="V2557">
        <v>2</v>
      </c>
      <c r="W2557">
        <v>1</v>
      </c>
      <c r="X2557">
        <v>2</v>
      </c>
      <c r="Y2557">
        <v>0</v>
      </c>
      <c r="Z2557">
        <v>2</v>
      </c>
      <c r="AA2557">
        <v>0</v>
      </c>
      <c r="AB2557">
        <v>315.95</v>
      </c>
      <c r="AC2557">
        <v>278</v>
      </c>
      <c r="AD2557">
        <v>0</v>
      </c>
      <c r="AE2557">
        <v>37.950000000000003</v>
      </c>
      <c r="AF2557">
        <v>0</v>
      </c>
      <c r="AG2557">
        <v>0</v>
      </c>
      <c r="AH2557">
        <v>0</v>
      </c>
      <c r="AI2557">
        <v>56.87</v>
      </c>
      <c r="AJ2557">
        <v>315.95</v>
      </c>
      <c r="AK2557">
        <v>0</v>
      </c>
      <c r="AL2557" t="s">
        <v>53</v>
      </c>
      <c r="AM2557" t="s">
        <v>53</v>
      </c>
      <c r="AN2557" t="s">
        <v>53</v>
      </c>
      <c r="AO2557" t="s">
        <v>53</v>
      </c>
      <c r="AP2557" t="s">
        <v>53</v>
      </c>
    </row>
    <row r="2558" spans="2:42" x14ac:dyDescent="0.2">
      <c r="B2558" t="s">
        <v>44</v>
      </c>
      <c r="C2558" t="str">
        <f>HYPERLINK("https://us2.cloudbeds.com/connect/8493803454333002#/reservations/1836085395669?display=1A2N7RNQT&amp;reservation_id=1836085395669", "1A2N7RNQT")</f>
        <v>1A2N7RNQT</v>
      </c>
      <c r="D2558" t="s">
        <v>45</v>
      </c>
      <c r="E2558" t="s">
        <v>69</v>
      </c>
      <c r="F2558" t="s">
        <v>70</v>
      </c>
      <c r="G2558" t="s">
        <v>48</v>
      </c>
      <c r="H2558" t="s">
        <v>49</v>
      </c>
      <c r="I2558" t="s">
        <v>50</v>
      </c>
      <c r="J2558" t="s">
        <v>2412</v>
      </c>
      <c r="K2558" t="s">
        <v>1902</v>
      </c>
      <c r="L2558" t="s">
        <v>53</v>
      </c>
      <c r="N2558" t="s">
        <v>4051</v>
      </c>
      <c r="P2558" t="s">
        <v>55</v>
      </c>
      <c r="R2558" t="s">
        <v>53</v>
      </c>
      <c r="T2558" t="s">
        <v>4052</v>
      </c>
      <c r="U2558" t="s">
        <v>58</v>
      </c>
      <c r="V2558">
        <v>2</v>
      </c>
      <c r="W2558">
        <v>1</v>
      </c>
      <c r="X2558">
        <v>2</v>
      </c>
      <c r="Y2558">
        <v>0</v>
      </c>
      <c r="Z2558">
        <v>2</v>
      </c>
      <c r="AA2558">
        <v>0</v>
      </c>
      <c r="AB2558">
        <v>378.79</v>
      </c>
      <c r="AC2558">
        <v>333.3</v>
      </c>
      <c r="AD2558">
        <v>0</v>
      </c>
      <c r="AE2558">
        <v>45.49</v>
      </c>
      <c r="AF2558">
        <v>0</v>
      </c>
      <c r="AG2558">
        <v>0</v>
      </c>
      <c r="AH2558">
        <v>0</v>
      </c>
      <c r="AI2558">
        <v>68.180000000000007</v>
      </c>
      <c r="AJ2558">
        <v>378.79</v>
      </c>
      <c r="AK2558">
        <v>0</v>
      </c>
      <c r="AL2558" t="s">
        <v>53</v>
      </c>
      <c r="AM2558" t="s">
        <v>53</v>
      </c>
      <c r="AN2558" t="s">
        <v>53</v>
      </c>
      <c r="AO2558" t="s">
        <v>53</v>
      </c>
      <c r="AP2558" t="s">
        <v>53</v>
      </c>
    </row>
    <row r="2559" spans="2:42" x14ac:dyDescent="0.2">
      <c r="B2559" t="s">
        <v>44</v>
      </c>
      <c r="C2559" t="str">
        <f>HYPERLINK("https://us2.cloudbeds.com/connect/8493803454333002#/reservations/1839653986496?display=1A5FDVU0M&amp;reservation_id=1839653986496", "1A5FDVU0M")</f>
        <v>1A5FDVU0M</v>
      </c>
      <c r="D2559" t="s">
        <v>45</v>
      </c>
      <c r="E2559" t="s">
        <v>165</v>
      </c>
      <c r="F2559" t="s">
        <v>61</v>
      </c>
      <c r="G2559" t="s">
        <v>48</v>
      </c>
      <c r="H2559" t="s">
        <v>49</v>
      </c>
      <c r="I2559" t="s">
        <v>50</v>
      </c>
      <c r="J2559" t="s">
        <v>2023</v>
      </c>
      <c r="K2559" t="s">
        <v>2639</v>
      </c>
      <c r="L2559" t="s">
        <v>53</v>
      </c>
      <c r="N2559" t="s">
        <v>4053</v>
      </c>
      <c r="P2559" t="s">
        <v>55</v>
      </c>
      <c r="R2559" t="s">
        <v>56</v>
      </c>
      <c r="T2559" t="s">
        <v>4054</v>
      </c>
      <c r="U2559" t="s">
        <v>58</v>
      </c>
      <c r="V2559">
        <v>1</v>
      </c>
      <c r="W2559">
        <v>1</v>
      </c>
      <c r="X2559">
        <v>2</v>
      </c>
      <c r="Y2559">
        <v>0</v>
      </c>
      <c r="Z2559">
        <v>2</v>
      </c>
      <c r="AA2559">
        <v>0</v>
      </c>
      <c r="AB2559">
        <v>147.75</v>
      </c>
      <c r="AC2559">
        <v>130</v>
      </c>
      <c r="AD2559">
        <v>0</v>
      </c>
      <c r="AE2559">
        <v>17.75</v>
      </c>
      <c r="AF2559">
        <v>0</v>
      </c>
      <c r="AG2559">
        <v>0</v>
      </c>
      <c r="AH2559">
        <v>0</v>
      </c>
      <c r="AI2559">
        <v>26.6</v>
      </c>
      <c r="AJ2559">
        <v>147.75</v>
      </c>
      <c r="AK2559">
        <v>0</v>
      </c>
      <c r="AL2559" t="s">
        <v>53</v>
      </c>
      <c r="AM2559" t="s">
        <v>53</v>
      </c>
      <c r="AN2559" t="s">
        <v>53</v>
      </c>
      <c r="AO2559" t="s">
        <v>53</v>
      </c>
      <c r="AP2559" t="s">
        <v>53</v>
      </c>
    </row>
    <row r="2560" spans="2:42" x14ac:dyDescent="0.2">
      <c r="B2560" t="s">
        <v>44</v>
      </c>
      <c r="C2560" t="str">
        <f>HYPERLINK("https://us2.cloudbeds.com/connect/8493803454333002#/reservations/1856848085187?display=1AXPPG5DH&amp;reservation_id=1856848085187", "1AXPPG5DH")</f>
        <v>1AXPPG5DH</v>
      </c>
      <c r="D2560" t="s">
        <v>45</v>
      </c>
      <c r="E2560" t="s">
        <v>85</v>
      </c>
      <c r="F2560" t="s">
        <v>86</v>
      </c>
      <c r="G2560" t="s">
        <v>48</v>
      </c>
      <c r="H2560" t="s">
        <v>49</v>
      </c>
      <c r="I2560" t="s">
        <v>62</v>
      </c>
      <c r="J2560" t="s">
        <v>3031</v>
      </c>
      <c r="K2560" t="s">
        <v>1900</v>
      </c>
      <c r="L2560" t="s">
        <v>53</v>
      </c>
      <c r="N2560" t="s">
        <v>4055</v>
      </c>
      <c r="P2560" t="s">
        <v>55</v>
      </c>
      <c r="R2560" t="s">
        <v>201</v>
      </c>
      <c r="T2560" t="s">
        <v>4056</v>
      </c>
      <c r="U2560" t="s">
        <v>55</v>
      </c>
      <c r="V2560">
        <v>1</v>
      </c>
      <c r="W2560">
        <v>1</v>
      </c>
      <c r="X2560">
        <v>2</v>
      </c>
      <c r="Y2560">
        <v>2</v>
      </c>
      <c r="Z2560">
        <v>4</v>
      </c>
      <c r="AA2560">
        <v>0</v>
      </c>
      <c r="AB2560">
        <v>201.16</v>
      </c>
      <c r="AC2560">
        <v>177</v>
      </c>
      <c r="AD2560">
        <v>0</v>
      </c>
      <c r="AE2560">
        <v>24.16</v>
      </c>
      <c r="AF2560">
        <v>0</v>
      </c>
      <c r="AG2560">
        <v>0</v>
      </c>
      <c r="AH2560">
        <v>0</v>
      </c>
      <c r="AI2560">
        <v>30.17</v>
      </c>
      <c r="AJ2560">
        <v>201.16</v>
      </c>
      <c r="AK2560">
        <v>0</v>
      </c>
      <c r="AL2560" t="s">
        <v>53</v>
      </c>
      <c r="AM2560" t="s">
        <v>53</v>
      </c>
      <c r="AN2560" t="s">
        <v>53</v>
      </c>
      <c r="AO2560" t="s">
        <v>53</v>
      </c>
      <c r="AP2560" t="s">
        <v>53</v>
      </c>
    </row>
    <row r="2561" spans="2:42" x14ac:dyDescent="0.2">
      <c r="B2561" t="s">
        <v>44</v>
      </c>
      <c r="C2561" t="str">
        <f>HYPERLINK("https://us2.cloudbeds.com/connect/8493803454333002#/reservations/1997571547331?display=1DSZJ7V07&amp;reservation_id=1997571547331", "1DSZJ7V07")</f>
        <v>1DSZJ7V07</v>
      </c>
      <c r="D2561" t="s">
        <v>45</v>
      </c>
      <c r="E2561" t="s">
        <v>155</v>
      </c>
      <c r="F2561" t="s">
        <v>86</v>
      </c>
      <c r="G2561" t="s">
        <v>48</v>
      </c>
      <c r="H2561" t="s">
        <v>3957</v>
      </c>
      <c r="I2561" t="s">
        <v>3975</v>
      </c>
      <c r="J2561" t="s">
        <v>1337</v>
      </c>
      <c r="K2561" t="s">
        <v>2062</v>
      </c>
      <c r="L2561" t="s">
        <v>53</v>
      </c>
      <c r="P2561" t="s">
        <v>55</v>
      </c>
      <c r="R2561" t="s">
        <v>56</v>
      </c>
      <c r="T2561" t="s">
        <v>4057</v>
      </c>
      <c r="U2561" t="s">
        <v>58</v>
      </c>
      <c r="V2561">
        <v>1</v>
      </c>
      <c r="W2561">
        <v>1</v>
      </c>
      <c r="X2561">
        <v>2</v>
      </c>
      <c r="Y2561">
        <v>0</v>
      </c>
      <c r="Z2561">
        <v>2</v>
      </c>
      <c r="AA2561">
        <v>0</v>
      </c>
      <c r="AB2561">
        <v>204.57</v>
      </c>
      <c r="AC2561">
        <v>180</v>
      </c>
      <c r="AD2561">
        <v>0</v>
      </c>
      <c r="AE2561">
        <v>24.57</v>
      </c>
      <c r="AF2561">
        <v>0</v>
      </c>
      <c r="AG2561">
        <v>0</v>
      </c>
      <c r="AH2561">
        <v>0</v>
      </c>
      <c r="AI2561">
        <v>0</v>
      </c>
      <c r="AJ2561">
        <v>204.57</v>
      </c>
      <c r="AK2561">
        <v>0</v>
      </c>
      <c r="AL2561" t="s">
        <v>53</v>
      </c>
      <c r="AM2561" t="s">
        <v>53</v>
      </c>
      <c r="AN2561" t="s">
        <v>53</v>
      </c>
      <c r="AO2561" t="s">
        <v>53</v>
      </c>
      <c r="AP2561" t="s">
        <v>53</v>
      </c>
    </row>
    <row r="2562" spans="2:42" x14ac:dyDescent="0.2">
      <c r="B2562" t="s">
        <v>44</v>
      </c>
      <c r="C2562" t="str">
        <f>HYPERLINK("https://us2.cloudbeds.com/connect/8493803454333002#/reservations/2001481498762?display=1DVPG73BU&amp;reservation_id=2001481498762", "1DVPG73BU")</f>
        <v>1DVPG73BU</v>
      </c>
      <c r="D2562" t="s">
        <v>45</v>
      </c>
      <c r="E2562" t="s">
        <v>223</v>
      </c>
      <c r="F2562" t="s">
        <v>47</v>
      </c>
      <c r="G2562" t="s">
        <v>48</v>
      </c>
      <c r="H2562" t="s">
        <v>3957</v>
      </c>
      <c r="I2562" t="s">
        <v>3989</v>
      </c>
      <c r="J2562" t="s">
        <v>2639</v>
      </c>
      <c r="K2562" t="s">
        <v>3031</v>
      </c>
      <c r="L2562" t="s">
        <v>53</v>
      </c>
      <c r="O2562" t="s">
        <v>4058</v>
      </c>
      <c r="P2562" t="s">
        <v>55</v>
      </c>
      <c r="R2562" t="s">
        <v>56</v>
      </c>
      <c r="T2562" t="s">
        <v>4059</v>
      </c>
      <c r="U2562" t="s">
        <v>58</v>
      </c>
      <c r="V2562">
        <v>2</v>
      </c>
      <c r="W2562">
        <v>1</v>
      </c>
      <c r="X2562">
        <v>1</v>
      </c>
      <c r="Y2562">
        <v>0</v>
      </c>
      <c r="Z2562">
        <v>1</v>
      </c>
      <c r="AA2562">
        <v>0</v>
      </c>
      <c r="AB2562">
        <v>320.5</v>
      </c>
      <c r="AC2562">
        <v>282</v>
      </c>
      <c r="AD2562">
        <v>0</v>
      </c>
      <c r="AE2562">
        <v>38.5</v>
      </c>
      <c r="AF2562">
        <v>0</v>
      </c>
      <c r="AG2562">
        <v>0</v>
      </c>
      <c r="AH2562">
        <v>0</v>
      </c>
      <c r="AI2562">
        <v>0</v>
      </c>
      <c r="AJ2562">
        <v>320.5</v>
      </c>
      <c r="AK2562">
        <v>0</v>
      </c>
      <c r="AL2562" t="s">
        <v>53</v>
      </c>
      <c r="AM2562" t="s">
        <v>53</v>
      </c>
      <c r="AN2562" t="s">
        <v>53</v>
      </c>
      <c r="AO2562" t="s">
        <v>53</v>
      </c>
      <c r="AP2562" t="s">
        <v>53</v>
      </c>
    </row>
    <row r="2563" spans="2:42" x14ac:dyDescent="0.2">
      <c r="B2563" t="s">
        <v>44</v>
      </c>
      <c r="C2563" t="str">
        <f>HYPERLINK("https://us2.cloudbeds.com/connect/8493803454333002#/reservations/2006055432346?display=1E2AC2X0U&amp;reservation_id=2006055432346", "1E2AC2X0U")</f>
        <v>1E2AC2X0U</v>
      </c>
      <c r="D2563" t="s">
        <v>45</v>
      </c>
      <c r="E2563" t="s">
        <v>373</v>
      </c>
      <c r="F2563" t="s">
        <v>47</v>
      </c>
      <c r="G2563" t="s">
        <v>48</v>
      </c>
      <c r="H2563" t="s">
        <v>49</v>
      </c>
      <c r="I2563" t="s">
        <v>50</v>
      </c>
      <c r="J2563" t="s">
        <v>1665</v>
      </c>
      <c r="K2563" t="s">
        <v>3514</v>
      </c>
      <c r="L2563" t="s">
        <v>53</v>
      </c>
      <c r="N2563" t="s">
        <v>4060</v>
      </c>
      <c r="P2563" t="s">
        <v>55</v>
      </c>
      <c r="R2563" t="s">
        <v>53</v>
      </c>
      <c r="T2563" t="s">
        <v>4061</v>
      </c>
      <c r="U2563" t="s">
        <v>58</v>
      </c>
      <c r="V2563">
        <v>2</v>
      </c>
      <c r="W2563">
        <v>1</v>
      </c>
      <c r="X2563">
        <v>2</v>
      </c>
      <c r="Y2563">
        <v>0</v>
      </c>
      <c r="Z2563">
        <v>2</v>
      </c>
      <c r="AA2563">
        <v>0</v>
      </c>
      <c r="AB2563">
        <v>362.55</v>
      </c>
      <c r="AC2563">
        <v>319</v>
      </c>
      <c r="AD2563">
        <v>0</v>
      </c>
      <c r="AE2563">
        <v>43.55</v>
      </c>
      <c r="AF2563">
        <v>0</v>
      </c>
      <c r="AG2563">
        <v>0</v>
      </c>
      <c r="AH2563">
        <v>0</v>
      </c>
      <c r="AI2563">
        <v>65.260000000000005</v>
      </c>
      <c r="AJ2563">
        <v>362.55</v>
      </c>
      <c r="AK2563">
        <v>0</v>
      </c>
      <c r="AL2563" t="s">
        <v>53</v>
      </c>
      <c r="AM2563" t="s">
        <v>53</v>
      </c>
      <c r="AN2563" t="s">
        <v>53</v>
      </c>
      <c r="AO2563" t="s">
        <v>53</v>
      </c>
      <c r="AP2563" t="s">
        <v>53</v>
      </c>
    </row>
    <row r="2564" spans="2:42" x14ac:dyDescent="0.2">
      <c r="B2564" t="s">
        <v>44</v>
      </c>
      <c r="C2564" t="str">
        <f>HYPERLINK("https://us2.cloudbeds.com/connect/8493803454333002#/reservations/2045538042107?display=1EWT7SC0V&amp;reservation_id=2045538042107", "1EWT7SC0V")</f>
        <v>1EWT7SC0V</v>
      </c>
      <c r="D2564" t="s">
        <v>45</v>
      </c>
      <c r="E2564" t="s">
        <v>46</v>
      </c>
      <c r="F2564" t="s">
        <v>47</v>
      </c>
      <c r="G2564" t="s">
        <v>48</v>
      </c>
      <c r="H2564" t="s">
        <v>49</v>
      </c>
      <c r="I2564" t="s">
        <v>50</v>
      </c>
      <c r="J2564" t="s">
        <v>2023</v>
      </c>
      <c r="K2564" t="s">
        <v>3031</v>
      </c>
      <c r="L2564" t="s">
        <v>53</v>
      </c>
      <c r="N2564" t="s">
        <v>4062</v>
      </c>
      <c r="P2564" t="s">
        <v>55</v>
      </c>
      <c r="R2564" t="s">
        <v>53</v>
      </c>
      <c r="T2564" t="s">
        <v>4063</v>
      </c>
      <c r="U2564" t="s">
        <v>58</v>
      </c>
      <c r="V2564">
        <v>3</v>
      </c>
      <c r="W2564">
        <v>1</v>
      </c>
      <c r="X2564">
        <v>2</v>
      </c>
      <c r="Y2564">
        <v>0</v>
      </c>
      <c r="Z2564">
        <v>2</v>
      </c>
      <c r="AA2564">
        <v>0</v>
      </c>
      <c r="AB2564">
        <v>521.32000000000005</v>
      </c>
      <c r="AC2564">
        <v>458.7</v>
      </c>
      <c r="AD2564">
        <v>0</v>
      </c>
      <c r="AE2564">
        <v>62.62</v>
      </c>
      <c r="AF2564">
        <v>0</v>
      </c>
      <c r="AG2564">
        <v>0</v>
      </c>
      <c r="AH2564">
        <v>0</v>
      </c>
      <c r="AI2564">
        <v>93.84</v>
      </c>
      <c r="AJ2564">
        <v>521.32000000000005</v>
      </c>
      <c r="AK2564">
        <v>0</v>
      </c>
      <c r="AL2564" t="s">
        <v>53</v>
      </c>
      <c r="AM2564" t="s">
        <v>53</v>
      </c>
      <c r="AN2564" t="s">
        <v>53</v>
      </c>
      <c r="AO2564" t="s">
        <v>53</v>
      </c>
      <c r="AP2564" t="s">
        <v>53</v>
      </c>
    </row>
    <row r="2565" spans="2:42" x14ac:dyDescent="0.2">
      <c r="B2565" t="s">
        <v>44</v>
      </c>
      <c r="C2565" t="str">
        <f>HYPERLINK("https://us2.cloudbeds.com/connect/8493803454333002#/reservations/2052630642915?display=1F5CFHEE5&amp;reservation_id=2052630642915", "1F5CFHEE5")</f>
        <v>1F5CFHEE5</v>
      </c>
      <c r="D2565" t="s">
        <v>45</v>
      </c>
      <c r="E2565" t="s">
        <v>487</v>
      </c>
      <c r="F2565" t="s">
        <v>61</v>
      </c>
      <c r="G2565" t="s">
        <v>48</v>
      </c>
      <c r="H2565" t="s">
        <v>49</v>
      </c>
      <c r="I2565" t="s">
        <v>50</v>
      </c>
      <c r="J2565" t="s">
        <v>1295</v>
      </c>
      <c r="K2565" t="s">
        <v>1900</v>
      </c>
      <c r="L2565" t="s">
        <v>53</v>
      </c>
      <c r="N2565" t="s">
        <v>4064</v>
      </c>
      <c r="P2565" t="s">
        <v>55</v>
      </c>
      <c r="R2565" t="s">
        <v>56</v>
      </c>
      <c r="T2565" t="s">
        <v>4065</v>
      </c>
      <c r="U2565" t="s">
        <v>58</v>
      </c>
      <c r="V2565">
        <v>2</v>
      </c>
      <c r="W2565">
        <v>1</v>
      </c>
      <c r="X2565">
        <v>2</v>
      </c>
      <c r="Y2565">
        <v>0</v>
      </c>
      <c r="Z2565">
        <v>2</v>
      </c>
      <c r="AA2565">
        <v>0</v>
      </c>
      <c r="AB2565">
        <v>384.14</v>
      </c>
      <c r="AC2565">
        <v>338</v>
      </c>
      <c r="AD2565">
        <v>0</v>
      </c>
      <c r="AE2565">
        <v>46.14</v>
      </c>
      <c r="AF2565">
        <v>0</v>
      </c>
      <c r="AG2565">
        <v>0</v>
      </c>
      <c r="AH2565">
        <v>0</v>
      </c>
      <c r="AI2565">
        <v>69.150000000000006</v>
      </c>
      <c r="AJ2565">
        <v>384.14</v>
      </c>
      <c r="AK2565">
        <v>0</v>
      </c>
      <c r="AL2565" t="s">
        <v>53</v>
      </c>
      <c r="AM2565" t="s">
        <v>53</v>
      </c>
      <c r="AN2565" t="s">
        <v>53</v>
      </c>
      <c r="AO2565" t="s">
        <v>53</v>
      </c>
      <c r="AP2565" t="s">
        <v>53</v>
      </c>
    </row>
    <row r="2566" spans="2:42" x14ac:dyDescent="0.2">
      <c r="B2566" t="s">
        <v>44</v>
      </c>
      <c r="C2566" t="str">
        <f>HYPERLINK("https://us2.cloudbeds.com/connect/8493803454333002#/reservations/2080070373513?display=1FQKKECSW&amp;reservation_id=2080070373513", "1FQKKECSW")</f>
        <v>1FQKKECSW</v>
      </c>
      <c r="D2566" t="s">
        <v>45</v>
      </c>
      <c r="E2566" t="s">
        <v>305</v>
      </c>
      <c r="F2566" t="s">
        <v>61</v>
      </c>
      <c r="G2566" t="s">
        <v>48</v>
      </c>
      <c r="H2566" t="s">
        <v>49</v>
      </c>
      <c r="I2566" t="s">
        <v>62</v>
      </c>
      <c r="J2566" t="s">
        <v>2023</v>
      </c>
      <c r="K2566" t="s">
        <v>2639</v>
      </c>
      <c r="L2566" t="s">
        <v>53</v>
      </c>
      <c r="N2566" t="s">
        <v>4066</v>
      </c>
      <c r="P2566" t="s">
        <v>55</v>
      </c>
      <c r="R2566" t="s">
        <v>56</v>
      </c>
      <c r="T2566" t="s">
        <v>4067</v>
      </c>
      <c r="U2566" t="s">
        <v>55</v>
      </c>
      <c r="V2566">
        <v>1</v>
      </c>
      <c r="W2566">
        <v>1</v>
      </c>
      <c r="X2566">
        <v>2</v>
      </c>
      <c r="Y2566">
        <v>0</v>
      </c>
      <c r="Z2566">
        <v>2</v>
      </c>
      <c r="AA2566">
        <v>0</v>
      </c>
      <c r="AB2566">
        <v>154.56</v>
      </c>
      <c r="AC2566">
        <v>136</v>
      </c>
      <c r="AD2566">
        <v>0</v>
      </c>
      <c r="AE2566">
        <v>18.559999999999999</v>
      </c>
      <c r="AF2566">
        <v>0</v>
      </c>
      <c r="AG2566">
        <v>0</v>
      </c>
      <c r="AH2566">
        <v>0</v>
      </c>
      <c r="AI2566">
        <v>23.18</v>
      </c>
      <c r="AJ2566">
        <v>154.56</v>
      </c>
      <c r="AK2566">
        <v>0</v>
      </c>
      <c r="AL2566" t="s">
        <v>53</v>
      </c>
      <c r="AM2566" t="s">
        <v>53</v>
      </c>
      <c r="AN2566" t="s">
        <v>53</v>
      </c>
      <c r="AO2566" t="s">
        <v>53</v>
      </c>
      <c r="AP2566" t="s">
        <v>53</v>
      </c>
    </row>
    <row r="2567" spans="2:42" x14ac:dyDescent="0.2">
      <c r="B2567" t="s">
        <v>44</v>
      </c>
      <c r="C2567" t="str">
        <f>HYPERLINK("https://us2.cloudbeds.com/connect/8493803454333002#/reservations/2101574922445?display=1GA93Y5DU&amp;reservation_id=2101574922445", "1GA93Y5DU")</f>
        <v>1GA93Y5DU</v>
      </c>
      <c r="D2567" t="s">
        <v>45</v>
      </c>
      <c r="E2567" t="s">
        <v>155</v>
      </c>
      <c r="F2567" t="s">
        <v>86</v>
      </c>
      <c r="G2567" t="s">
        <v>48</v>
      </c>
      <c r="H2567" t="s">
        <v>49</v>
      </c>
      <c r="I2567" t="s">
        <v>50</v>
      </c>
      <c r="J2567" t="s">
        <v>2023</v>
      </c>
      <c r="K2567" t="s">
        <v>2639</v>
      </c>
      <c r="L2567" t="s">
        <v>53</v>
      </c>
      <c r="N2567" t="s">
        <v>4068</v>
      </c>
      <c r="P2567" t="s">
        <v>55</v>
      </c>
      <c r="R2567" t="s">
        <v>53</v>
      </c>
      <c r="T2567" t="s">
        <v>4069</v>
      </c>
      <c r="U2567" t="s">
        <v>58</v>
      </c>
      <c r="V2567">
        <v>1</v>
      </c>
      <c r="W2567">
        <v>1</v>
      </c>
      <c r="X2567">
        <v>2</v>
      </c>
      <c r="Y2567">
        <v>0</v>
      </c>
      <c r="Z2567">
        <v>2</v>
      </c>
      <c r="AA2567">
        <v>0</v>
      </c>
      <c r="AB2567">
        <v>162.53</v>
      </c>
      <c r="AC2567">
        <v>143</v>
      </c>
      <c r="AD2567">
        <v>0</v>
      </c>
      <c r="AE2567">
        <v>19.53</v>
      </c>
      <c r="AF2567">
        <v>0</v>
      </c>
      <c r="AG2567">
        <v>0</v>
      </c>
      <c r="AH2567">
        <v>0</v>
      </c>
      <c r="AI2567">
        <v>29.26</v>
      </c>
      <c r="AJ2567">
        <v>162.53</v>
      </c>
      <c r="AK2567">
        <v>0</v>
      </c>
      <c r="AL2567" t="s">
        <v>53</v>
      </c>
      <c r="AM2567" t="s">
        <v>53</v>
      </c>
      <c r="AN2567" t="s">
        <v>53</v>
      </c>
      <c r="AO2567" t="s">
        <v>53</v>
      </c>
      <c r="AP2567" t="s">
        <v>53</v>
      </c>
    </row>
    <row r="2568" spans="2:42" x14ac:dyDescent="0.2">
      <c r="B2568" t="s">
        <v>44</v>
      </c>
      <c r="C2568" t="str">
        <f>HYPERLINK("https://us2.cloudbeds.com/connect/8493803454333002#/reservations/2116855582931?display=1GM3XN27M&amp;reservation_id=2116855582931", "1GM3XN27M")</f>
        <v>1GM3XN27M</v>
      </c>
      <c r="D2568" t="s">
        <v>45</v>
      </c>
      <c r="E2568" t="s">
        <v>78</v>
      </c>
      <c r="F2568" t="s">
        <v>61</v>
      </c>
      <c r="G2568" t="s">
        <v>48</v>
      </c>
      <c r="H2568" t="s">
        <v>49</v>
      </c>
      <c r="I2568" t="s">
        <v>50</v>
      </c>
      <c r="J2568" t="s">
        <v>2023</v>
      </c>
      <c r="K2568" t="s">
        <v>2639</v>
      </c>
      <c r="L2568" t="s">
        <v>53</v>
      </c>
      <c r="N2568" t="s">
        <v>4070</v>
      </c>
      <c r="P2568" t="s">
        <v>55</v>
      </c>
      <c r="R2568" t="s">
        <v>56</v>
      </c>
      <c r="T2568" t="s">
        <v>4071</v>
      </c>
      <c r="U2568" t="s">
        <v>58</v>
      </c>
      <c r="V2568">
        <v>1</v>
      </c>
      <c r="W2568">
        <v>1</v>
      </c>
      <c r="X2568">
        <v>2</v>
      </c>
      <c r="Y2568">
        <v>0</v>
      </c>
      <c r="Z2568">
        <v>2</v>
      </c>
      <c r="AA2568">
        <v>0</v>
      </c>
      <c r="AB2568">
        <v>154.56</v>
      </c>
      <c r="AC2568">
        <v>136</v>
      </c>
      <c r="AD2568">
        <v>0</v>
      </c>
      <c r="AE2568">
        <v>18.559999999999999</v>
      </c>
      <c r="AF2568">
        <v>0</v>
      </c>
      <c r="AG2568">
        <v>0</v>
      </c>
      <c r="AH2568">
        <v>0</v>
      </c>
      <c r="AI2568">
        <v>27.82</v>
      </c>
      <c r="AJ2568">
        <v>154.56</v>
      </c>
      <c r="AK2568">
        <v>0</v>
      </c>
      <c r="AL2568" t="s">
        <v>53</v>
      </c>
      <c r="AM2568" t="s">
        <v>53</v>
      </c>
      <c r="AN2568" t="s">
        <v>53</v>
      </c>
      <c r="AO2568" t="s">
        <v>53</v>
      </c>
      <c r="AP2568" t="s">
        <v>53</v>
      </c>
    </row>
    <row r="2569" spans="2:42" x14ac:dyDescent="0.2">
      <c r="B2569" t="s">
        <v>44</v>
      </c>
      <c r="C2569" t="str">
        <f>HYPERLINK("https://us2.cloudbeds.com/connect/8493803454333002#/reservations/2130960793754?display=1H00WJBJM&amp;reservation_id=2130960793754", "1H00WJBJM")</f>
        <v>1H00WJBJM</v>
      </c>
      <c r="D2569" t="s">
        <v>45</v>
      </c>
      <c r="E2569" t="s">
        <v>373</v>
      </c>
      <c r="F2569" t="s">
        <v>47</v>
      </c>
      <c r="G2569" t="s">
        <v>48</v>
      </c>
      <c r="H2569" t="s">
        <v>49</v>
      </c>
      <c r="I2569" t="s">
        <v>50</v>
      </c>
      <c r="J2569" t="s">
        <v>2639</v>
      </c>
      <c r="K2569" t="s">
        <v>1295</v>
      </c>
      <c r="L2569" t="s">
        <v>53</v>
      </c>
      <c r="N2569" t="s">
        <v>4072</v>
      </c>
      <c r="P2569" t="s">
        <v>55</v>
      </c>
      <c r="R2569" t="s">
        <v>53</v>
      </c>
      <c r="T2569" t="s">
        <v>4073</v>
      </c>
      <c r="U2569" t="s">
        <v>58</v>
      </c>
      <c r="V2569">
        <v>1</v>
      </c>
      <c r="W2569">
        <v>1</v>
      </c>
      <c r="X2569">
        <v>2</v>
      </c>
      <c r="Y2569">
        <v>0</v>
      </c>
      <c r="Z2569">
        <v>2</v>
      </c>
      <c r="AA2569">
        <v>0</v>
      </c>
      <c r="AB2569">
        <v>142.07</v>
      </c>
      <c r="AC2569">
        <v>125</v>
      </c>
      <c r="AD2569">
        <v>0</v>
      </c>
      <c r="AE2569">
        <v>17.07</v>
      </c>
      <c r="AF2569">
        <v>0</v>
      </c>
      <c r="AG2569">
        <v>0</v>
      </c>
      <c r="AH2569">
        <v>0</v>
      </c>
      <c r="AI2569">
        <v>25.57</v>
      </c>
      <c r="AJ2569">
        <v>142.07</v>
      </c>
      <c r="AK2569">
        <v>0</v>
      </c>
      <c r="AL2569" t="s">
        <v>53</v>
      </c>
      <c r="AM2569" t="s">
        <v>53</v>
      </c>
      <c r="AN2569" t="s">
        <v>53</v>
      </c>
      <c r="AO2569" t="s">
        <v>53</v>
      </c>
      <c r="AP2569" t="s">
        <v>53</v>
      </c>
    </row>
    <row r="2570" spans="2:42" x14ac:dyDescent="0.2">
      <c r="B2570" t="s">
        <v>44</v>
      </c>
      <c r="C2570" t="str">
        <f>HYPERLINK("https://us2.cloudbeds.com/connect/8493803454333002#/reservations/2138251194515?display=1H5M91GFS&amp;reservation_id=2138251194515", "1H5M91GFS")</f>
        <v>1H5M91GFS</v>
      </c>
      <c r="D2570" t="s">
        <v>45</v>
      </c>
      <c r="E2570" t="s">
        <v>92</v>
      </c>
      <c r="F2570" t="s">
        <v>86</v>
      </c>
      <c r="G2570" t="s">
        <v>48</v>
      </c>
      <c r="H2570" t="s">
        <v>49</v>
      </c>
      <c r="I2570" t="s">
        <v>50</v>
      </c>
      <c r="J2570" t="s">
        <v>2023</v>
      </c>
      <c r="K2570" t="s">
        <v>2639</v>
      </c>
      <c r="L2570" t="s">
        <v>53</v>
      </c>
      <c r="N2570" t="s">
        <v>4074</v>
      </c>
      <c r="P2570" t="s">
        <v>55</v>
      </c>
      <c r="R2570" t="s">
        <v>53</v>
      </c>
      <c r="T2570" t="s">
        <v>4075</v>
      </c>
      <c r="U2570" t="s">
        <v>58</v>
      </c>
      <c r="V2570">
        <v>1</v>
      </c>
      <c r="W2570">
        <v>1</v>
      </c>
      <c r="X2570">
        <v>2</v>
      </c>
      <c r="Y2570">
        <v>0</v>
      </c>
      <c r="Z2570">
        <v>2</v>
      </c>
      <c r="AA2570">
        <v>0</v>
      </c>
      <c r="AB2570">
        <v>162.53</v>
      </c>
      <c r="AC2570">
        <v>143</v>
      </c>
      <c r="AD2570">
        <v>0</v>
      </c>
      <c r="AE2570">
        <v>19.53</v>
      </c>
      <c r="AF2570">
        <v>0</v>
      </c>
      <c r="AG2570">
        <v>0</v>
      </c>
      <c r="AH2570">
        <v>0</v>
      </c>
      <c r="AI2570">
        <v>29.26</v>
      </c>
      <c r="AJ2570">
        <v>162.53</v>
      </c>
      <c r="AK2570">
        <v>0</v>
      </c>
      <c r="AL2570" t="s">
        <v>53</v>
      </c>
      <c r="AM2570" t="s">
        <v>53</v>
      </c>
      <c r="AN2570" t="s">
        <v>53</v>
      </c>
      <c r="AO2570" t="s">
        <v>53</v>
      </c>
      <c r="AP2570" t="s">
        <v>53</v>
      </c>
    </row>
    <row r="2571" spans="2:42" x14ac:dyDescent="0.2">
      <c r="B2571" t="s">
        <v>44</v>
      </c>
      <c r="C2571" t="str">
        <f>HYPERLINK("https://us2.cloudbeds.com/connect/8493803454333002#/reservations/2144593125573?display=1HAJAZ2KT&amp;reservation_id=2144593125573", "1HAJAZ2KT")</f>
        <v>1HAJAZ2KT</v>
      </c>
      <c r="D2571" t="s">
        <v>45</v>
      </c>
      <c r="E2571" t="s">
        <v>487</v>
      </c>
      <c r="F2571" t="s">
        <v>61</v>
      </c>
      <c r="G2571" t="s">
        <v>48</v>
      </c>
      <c r="H2571" t="s">
        <v>3957</v>
      </c>
      <c r="I2571" t="s">
        <v>3958</v>
      </c>
      <c r="J2571" t="s">
        <v>2023</v>
      </c>
      <c r="K2571" t="s">
        <v>2639</v>
      </c>
      <c r="L2571" t="s">
        <v>53</v>
      </c>
      <c r="P2571" t="s">
        <v>55</v>
      </c>
      <c r="R2571" t="s">
        <v>56</v>
      </c>
      <c r="T2571" t="s">
        <v>4076</v>
      </c>
      <c r="U2571" t="s">
        <v>58</v>
      </c>
      <c r="V2571">
        <v>1</v>
      </c>
      <c r="W2571">
        <v>1</v>
      </c>
      <c r="X2571">
        <v>1</v>
      </c>
      <c r="Y2571">
        <v>0</v>
      </c>
      <c r="Z2571">
        <v>1</v>
      </c>
      <c r="AA2571">
        <v>0</v>
      </c>
      <c r="AB2571">
        <v>143.19999999999999</v>
      </c>
      <c r="AC2571">
        <v>126</v>
      </c>
      <c r="AD2571">
        <v>0</v>
      </c>
      <c r="AE2571">
        <v>17.2</v>
      </c>
      <c r="AF2571">
        <v>0</v>
      </c>
      <c r="AG2571">
        <v>0</v>
      </c>
      <c r="AH2571">
        <v>0</v>
      </c>
      <c r="AI2571">
        <v>0</v>
      </c>
      <c r="AJ2571">
        <v>143.19999999999999</v>
      </c>
      <c r="AK2571">
        <v>0</v>
      </c>
      <c r="AL2571" t="s">
        <v>53</v>
      </c>
      <c r="AM2571" t="s">
        <v>53</v>
      </c>
      <c r="AN2571" t="s">
        <v>53</v>
      </c>
      <c r="AO2571" t="s">
        <v>53</v>
      </c>
      <c r="AP2571" t="s">
        <v>53</v>
      </c>
    </row>
    <row r="2572" spans="2:42" x14ac:dyDescent="0.2">
      <c r="B2572" t="s">
        <v>44</v>
      </c>
      <c r="C2572" t="str">
        <f>HYPERLINK("https://us2.cloudbeds.com/connect/8493803454333002#/reservations/2182466900151?display=1X6U2TMMK&amp;reservation_id=2182466900151", "1X6U2TMMK")</f>
        <v>1X6U2TMMK</v>
      </c>
      <c r="D2572" t="s">
        <v>45</v>
      </c>
      <c r="E2572" t="s">
        <v>110</v>
      </c>
      <c r="F2572" t="s">
        <v>47</v>
      </c>
      <c r="G2572" t="s">
        <v>48</v>
      </c>
      <c r="H2572" t="s">
        <v>3957</v>
      </c>
      <c r="I2572" t="s">
        <v>3958</v>
      </c>
      <c r="J2572" t="s">
        <v>2023</v>
      </c>
      <c r="K2572" t="s">
        <v>2639</v>
      </c>
      <c r="L2572" t="s">
        <v>53</v>
      </c>
      <c r="P2572" t="s">
        <v>58</v>
      </c>
      <c r="R2572" t="s">
        <v>56</v>
      </c>
      <c r="T2572" t="s">
        <v>4077</v>
      </c>
      <c r="U2572" t="s">
        <v>58</v>
      </c>
      <c r="V2572">
        <v>1</v>
      </c>
      <c r="W2572">
        <v>1</v>
      </c>
      <c r="X2572">
        <v>1</v>
      </c>
      <c r="Y2572">
        <v>0</v>
      </c>
      <c r="Z2572">
        <v>1</v>
      </c>
      <c r="AA2572">
        <v>0</v>
      </c>
      <c r="AB2572">
        <v>130.71</v>
      </c>
      <c r="AC2572">
        <v>115</v>
      </c>
      <c r="AD2572">
        <v>0</v>
      </c>
      <c r="AE2572">
        <v>15.71</v>
      </c>
      <c r="AF2572">
        <v>0</v>
      </c>
      <c r="AG2572">
        <v>0</v>
      </c>
      <c r="AH2572">
        <v>0</v>
      </c>
      <c r="AI2572">
        <v>0</v>
      </c>
      <c r="AJ2572">
        <v>130.71</v>
      </c>
      <c r="AK2572">
        <v>0</v>
      </c>
      <c r="AL2572" t="s">
        <v>53</v>
      </c>
      <c r="AM2572" t="s">
        <v>53</v>
      </c>
      <c r="AN2572" t="s">
        <v>53</v>
      </c>
      <c r="AO2572" t="s">
        <v>53</v>
      </c>
      <c r="AP2572" t="s">
        <v>53</v>
      </c>
    </row>
    <row r="2573" spans="2:42" x14ac:dyDescent="0.2">
      <c r="B2573" t="s">
        <v>44</v>
      </c>
      <c r="C2573" t="str">
        <f>HYPERLINK("https://us2.cloudbeds.com/connect/8493803454333002#/reservations/2384924582031?display=1MVMBJ49N&amp;reservation_id=2384924582031", "1MVMBJ49N")</f>
        <v>1MVMBJ49N</v>
      </c>
      <c r="D2573" t="s">
        <v>45</v>
      </c>
      <c r="E2573" t="s">
        <v>4078</v>
      </c>
      <c r="F2573" t="s">
        <v>86</v>
      </c>
      <c r="G2573" t="s">
        <v>48</v>
      </c>
      <c r="H2573" t="s">
        <v>3957</v>
      </c>
      <c r="I2573" t="s">
        <v>3989</v>
      </c>
      <c r="J2573" t="s">
        <v>3031</v>
      </c>
      <c r="K2573" t="s">
        <v>1900</v>
      </c>
      <c r="L2573" t="s">
        <v>53</v>
      </c>
      <c r="P2573" t="s">
        <v>58</v>
      </c>
      <c r="R2573" t="s">
        <v>56</v>
      </c>
      <c r="T2573" t="s">
        <v>4079</v>
      </c>
      <c r="U2573" t="s">
        <v>58</v>
      </c>
      <c r="V2573">
        <v>2</v>
      </c>
      <c r="W2573">
        <v>2</v>
      </c>
      <c r="X2573">
        <v>2</v>
      </c>
      <c r="Y2573">
        <v>0</v>
      </c>
      <c r="Z2573">
        <v>2</v>
      </c>
      <c r="AA2573">
        <v>0</v>
      </c>
      <c r="AB2573">
        <v>397.8</v>
      </c>
      <c r="AC2573">
        <v>350</v>
      </c>
      <c r="AD2573">
        <v>0</v>
      </c>
      <c r="AE2573">
        <v>47.8</v>
      </c>
      <c r="AF2573">
        <v>0</v>
      </c>
      <c r="AG2573">
        <v>0</v>
      </c>
      <c r="AH2573">
        <v>0</v>
      </c>
      <c r="AI2573">
        <v>0</v>
      </c>
      <c r="AJ2573">
        <v>397.8</v>
      </c>
      <c r="AK2573">
        <v>0</v>
      </c>
      <c r="AL2573" t="s">
        <v>53</v>
      </c>
      <c r="AM2573" t="s">
        <v>53</v>
      </c>
      <c r="AN2573" t="s">
        <v>53</v>
      </c>
      <c r="AO2573" t="s">
        <v>53</v>
      </c>
      <c r="AP2573" t="s">
        <v>53</v>
      </c>
    </row>
    <row r="2574" spans="2:42" x14ac:dyDescent="0.2">
      <c r="B2574" t="s">
        <v>44</v>
      </c>
      <c r="C2574" t="str">
        <f>HYPERLINK("https://us2.cloudbeds.com/connect/8493803454333002#/reservations/2401543700656?display=1NBX08JV0&amp;reservation_id=2401543700656", "1NBX08JV0")</f>
        <v>1NBX08JV0</v>
      </c>
      <c r="D2574" t="s">
        <v>45</v>
      </c>
      <c r="E2574" t="s">
        <v>179</v>
      </c>
      <c r="F2574" t="s">
        <v>47</v>
      </c>
      <c r="G2574" t="s">
        <v>48</v>
      </c>
      <c r="H2574" t="s">
        <v>49</v>
      </c>
      <c r="I2574" t="s">
        <v>50</v>
      </c>
      <c r="J2574" t="s">
        <v>1295</v>
      </c>
      <c r="K2574" t="s">
        <v>1660</v>
      </c>
      <c r="L2574" t="s">
        <v>53</v>
      </c>
      <c r="N2574" t="s">
        <v>4080</v>
      </c>
      <c r="P2574" t="s">
        <v>55</v>
      </c>
      <c r="R2574" t="s">
        <v>56</v>
      </c>
      <c r="T2574" t="s">
        <v>4081</v>
      </c>
      <c r="U2574" t="s">
        <v>58</v>
      </c>
      <c r="V2574">
        <v>4</v>
      </c>
      <c r="W2574">
        <v>1</v>
      </c>
      <c r="X2574">
        <v>2</v>
      </c>
      <c r="Y2574">
        <v>0</v>
      </c>
      <c r="Z2574">
        <v>2</v>
      </c>
      <c r="AA2574">
        <v>0</v>
      </c>
      <c r="AB2574">
        <v>743.27</v>
      </c>
      <c r="AC2574">
        <v>654</v>
      </c>
      <c r="AD2574">
        <v>0</v>
      </c>
      <c r="AE2574">
        <v>89.27</v>
      </c>
      <c r="AF2574">
        <v>0</v>
      </c>
      <c r="AG2574">
        <v>0</v>
      </c>
      <c r="AH2574">
        <v>0</v>
      </c>
      <c r="AI2574">
        <v>133.79</v>
      </c>
      <c r="AJ2574">
        <v>743.27</v>
      </c>
      <c r="AK2574">
        <v>0</v>
      </c>
      <c r="AL2574" t="s">
        <v>53</v>
      </c>
      <c r="AM2574" t="s">
        <v>53</v>
      </c>
      <c r="AN2574" t="s">
        <v>53</v>
      </c>
      <c r="AO2574" t="s">
        <v>53</v>
      </c>
      <c r="AP2574" t="s">
        <v>53</v>
      </c>
    </row>
    <row r="2575" spans="2:42" x14ac:dyDescent="0.2">
      <c r="B2575" t="s">
        <v>44</v>
      </c>
      <c r="C2575" t="str">
        <f>HYPERLINK("https://us2.cloudbeds.com/connect/8493803454333002#/reservations/2402073796743?display=1NBVX8A6Q&amp;reservation_id=2402073796743", "1NBVX8A6Q")</f>
        <v>1NBVX8A6Q</v>
      </c>
      <c r="D2575" t="s">
        <v>45</v>
      </c>
      <c r="E2575" t="s">
        <v>110</v>
      </c>
      <c r="F2575" t="s">
        <v>47</v>
      </c>
      <c r="G2575" t="s">
        <v>48</v>
      </c>
      <c r="H2575" t="s">
        <v>3957</v>
      </c>
      <c r="I2575" t="s">
        <v>3958</v>
      </c>
      <c r="J2575" t="s">
        <v>2639</v>
      </c>
      <c r="K2575" t="s">
        <v>1295</v>
      </c>
      <c r="L2575" t="s">
        <v>53</v>
      </c>
      <c r="P2575" t="s">
        <v>58</v>
      </c>
      <c r="R2575" t="s">
        <v>56</v>
      </c>
      <c r="T2575" t="s">
        <v>4082</v>
      </c>
      <c r="U2575" t="s">
        <v>58</v>
      </c>
      <c r="V2575">
        <v>1</v>
      </c>
      <c r="W2575">
        <v>1</v>
      </c>
      <c r="X2575">
        <v>1</v>
      </c>
      <c r="Y2575">
        <v>0</v>
      </c>
      <c r="Z2575">
        <v>1</v>
      </c>
      <c r="AA2575">
        <v>0</v>
      </c>
      <c r="AB2575">
        <v>136.38</v>
      </c>
      <c r="AC2575">
        <v>120</v>
      </c>
      <c r="AD2575">
        <v>0</v>
      </c>
      <c r="AE2575">
        <v>16.38</v>
      </c>
      <c r="AF2575">
        <v>0</v>
      </c>
      <c r="AG2575">
        <v>0</v>
      </c>
      <c r="AH2575">
        <v>0</v>
      </c>
      <c r="AI2575">
        <v>0</v>
      </c>
      <c r="AJ2575">
        <v>136.38</v>
      </c>
      <c r="AK2575">
        <v>0</v>
      </c>
      <c r="AL2575" t="s">
        <v>53</v>
      </c>
      <c r="AM2575" t="s">
        <v>53</v>
      </c>
      <c r="AN2575" t="s">
        <v>53</v>
      </c>
      <c r="AO2575" t="s">
        <v>53</v>
      </c>
      <c r="AP2575" t="s">
        <v>53</v>
      </c>
    </row>
    <row r="2576" spans="2:42" x14ac:dyDescent="0.2">
      <c r="B2576" t="s">
        <v>44</v>
      </c>
      <c r="C2576" t="str">
        <f>HYPERLINK("https://us2.cloudbeds.com/connect/8493803454333002#/reservations/2405083345110?display=1NE9EWE55&amp;reservation_id=2405083345110", "1NE9EWE55")</f>
        <v>1NE9EWE55</v>
      </c>
      <c r="D2576" t="s">
        <v>45</v>
      </c>
      <c r="E2576" t="s">
        <v>223</v>
      </c>
      <c r="F2576" t="s">
        <v>47</v>
      </c>
      <c r="G2576" t="s">
        <v>48</v>
      </c>
      <c r="H2576" t="s">
        <v>49</v>
      </c>
      <c r="I2576" t="s">
        <v>62</v>
      </c>
      <c r="J2576" t="s">
        <v>3043</v>
      </c>
      <c r="K2576" t="s">
        <v>1140</v>
      </c>
      <c r="L2576" t="s">
        <v>53</v>
      </c>
      <c r="N2576" t="s">
        <v>4083</v>
      </c>
      <c r="P2576" t="s">
        <v>55</v>
      </c>
      <c r="R2576" t="s">
        <v>56</v>
      </c>
      <c r="T2576" t="s">
        <v>4084</v>
      </c>
      <c r="U2576" t="s">
        <v>55</v>
      </c>
      <c r="V2576">
        <v>2</v>
      </c>
      <c r="W2576">
        <v>1</v>
      </c>
      <c r="X2576">
        <v>2</v>
      </c>
      <c r="Y2576">
        <v>0</v>
      </c>
      <c r="Z2576">
        <v>2</v>
      </c>
      <c r="AA2576">
        <v>0</v>
      </c>
      <c r="AB2576">
        <v>279.58</v>
      </c>
      <c r="AC2576">
        <v>246</v>
      </c>
      <c r="AD2576">
        <v>0</v>
      </c>
      <c r="AE2576">
        <v>33.58</v>
      </c>
      <c r="AF2576">
        <v>0</v>
      </c>
      <c r="AG2576">
        <v>0</v>
      </c>
      <c r="AH2576">
        <v>0</v>
      </c>
      <c r="AI2576">
        <v>41.94</v>
      </c>
      <c r="AJ2576">
        <v>279.58</v>
      </c>
      <c r="AK2576">
        <v>0</v>
      </c>
      <c r="AL2576" t="s">
        <v>53</v>
      </c>
      <c r="AM2576" t="s">
        <v>53</v>
      </c>
      <c r="AN2576" t="s">
        <v>53</v>
      </c>
      <c r="AO2576" t="s">
        <v>53</v>
      </c>
      <c r="AP2576" t="s">
        <v>53</v>
      </c>
    </row>
    <row r="2577" spans="2:42" x14ac:dyDescent="0.2">
      <c r="B2577" t="s">
        <v>44</v>
      </c>
      <c r="C2577" t="str">
        <f>HYPERLINK("https://us2.cloudbeds.com/connect/8493803454333002#/reservations/2424426397920?display=1NT8NXCPK&amp;reservation_id=2424426397920", "1NT8NXCPK")</f>
        <v>1NT8NXCPK</v>
      </c>
      <c r="D2577" t="s">
        <v>45</v>
      </c>
      <c r="E2577" t="s">
        <v>98</v>
      </c>
      <c r="F2577" t="s">
        <v>86</v>
      </c>
      <c r="G2577" t="s">
        <v>48</v>
      </c>
      <c r="H2577" t="s">
        <v>3957</v>
      </c>
      <c r="I2577" t="s">
        <v>3958</v>
      </c>
      <c r="J2577" t="s">
        <v>2639</v>
      </c>
      <c r="K2577" t="s">
        <v>3031</v>
      </c>
      <c r="L2577" t="s">
        <v>53</v>
      </c>
      <c r="P2577" t="s">
        <v>55</v>
      </c>
      <c r="R2577" t="s">
        <v>56</v>
      </c>
      <c r="T2577" t="s">
        <v>4085</v>
      </c>
      <c r="U2577" t="s">
        <v>58</v>
      </c>
      <c r="V2577">
        <v>2</v>
      </c>
      <c r="W2577">
        <v>1</v>
      </c>
      <c r="X2577">
        <v>1</v>
      </c>
      <c r="Y2577">
        <v>0</v>
      </c>
      <c r="Z2577">
        <v>1</v>
      </c>
      <c r="AA2577">
        <v>0</v>
      </c>
      <c r="AB2577">
        <v>343.24</v>
      </c>
      <c r="AC2577">
        <v>302</v>
      </c>
      <c r="AD2577">
        <v>0</v>
      </c>
      <c r="AE2577">
        <v>41.24</v>
      </c>
      <c r="AF2577">
        <v>0</v>
      </c>
      <c r="AG2577">
        <v>0</v>
      </c>
      <c r="AH2577">
        <v>0</v>
      </c>
      <c r="AI2577">
        <v>0</v>
      </c>
      <c r="AJ2577">
        <v>343.24</v>
      </c>
      <c r="AK2577">
        <v>0</v>
      </c>
      <c r="AL2577" t="s">
        <v>53</v>
      </c>
      <c r="AM2577" t="s">
        <v>53</v>
      </c>
      <c r="AN2577" t="s">
        <v>53</v>
      </c>
      <c r="AO2577" t="s">
        <v>53</v>
      </c>
      <c r="AP2577" t="s">
        <v>53</v>
      </c>
    </row>
    <row r="2578" spans="2:42" x14ac:dyDescent="0.2">
      <c r="B2578" t="s">
        <v>44</v>
      </c>
      <c r="C2578" t="str">
        <f>HYPERLINK("https://us2.cloudbeds.com/connect/8493803454333002#/reservations/2440589873304?display=1Z8PZ0U7W&amp;reservation_id=2440589873304", "1Z8PZ0U7W")</f>
        <v>1Z8PZ0U7W</v>
      </c>
      <c r="D2578" t="s">
        <v>45</v>
      </c>
      <c r="E2578" t="s">
        <v>155</v>
      </c>
      <c r="F2578" t="s">
        <v>86</v>
      </c>
      <c r="G2578" t="s">
        <v>48</v>
      </c>
      <c r="H2578" t="s">
        <v>49</v>
      </c>
      <c r="I2578" t="s">
        <v>62</v>
      </c>
      <c r="J2578" t="s">
        <v>2639</v>
      </c>
      <c r="K2578" t="s">
        <v>1295</v>
      </c>
      <c r="L2578" t="s">
        <v>53</v>
      </c>
      <c r="N2578" t="s">
        <v>4086</v>
      </c>
      <c r="P2578" t="s">
        <v>55</v>
      </c>
      <c r="R2578" t="s">
        <v>56</v>
      </c>
      <c r="T2578" t="s">
        <v>4087</v>
      </c>
      <c r="U2578" t="s">
        <v>55</v>
      </c>
      <c r="V2578">
        <v>1</v>
      </c>
      <c r="W2578">
        <v>1</v>
      </c>
      <c r="X2578">
        <v>2</v>
      </c>
      <c r="Y2578">
        <v>0</v>
      </c>
      <c r="Z2578">
        <v>2</v>
      </c>
      <c r="AA2578">
        <v>0</v>
      </c>
      <c r="AB2578">
        <v>171.62</v>
      </c>
      <c r="AC2578">
        <v>151</v>
      </c>
      <c r="AD2578">
        <v>0</v>
      </c>
      <c r="AE2578">
        <v>20.62</v>
      </c>
      <c r="AF2578">
        <v>0</v>
      </c>
      <c r="AG2578">
        <v>0</v>
      </c>
      <c r="AH2578">
        <v>0</v>
      </c>
      <c r="AI2578">
        <v>25.74</v>
      </c>
      <c r="AJ2578">
        <v>171.62</v>
      </c>
      <c r="AK2578">
        <v>0</v>
      </c>
      <c r="AL2578" t="s">
        <v>53</v>
      </c>
      <c r="AM2578" t="s">
        <v>53</v>
      </c>
      <c r="AN2578" t="s">
        <v>53</v>
      </c>
      <c r="AO2578" t="s">
        <v>53</v>
      </c>
      <c r="AP2578" t="s">
        <v>53</v>
      </c>
    </row>
    <row r="2579" spans="2:42" x14ac:dyDescent="0.2">
      <c r="B2579" t="s">
        <v>44</v>
      </c>
      <c r="C2579" t="str">
        <f>HYPERLINK("https://us2.cloudbeds.com/connect/8493803454333002#/reservations/2453138280599?display=1ZXGC5RVG&amp;reservation_id=2453138280599", "1ZXGC5RVG")</f>
        <v>1ZXGC5RVG</v>
      </c>
      <c r="D2579" t="s">
        <v>45</v>
      </c>
      <c r="E2579" t="s">
        <v>487</v>
      </c>
      <c r="F2579" t="s">
        <v>61</v>
      </c>
      <c r="G2579" t="s">
        <v>48</v>
      </c>
      <c r="H2579" t="s">
        <v>49</v>
      </c>
      <c r="I2579" t="s">
        <v>62</v>
      </c>
      <c r="J2579" t="s">
        <v>2639</v>
      </c>
      <c r="K2579" t="s">
        <v>1295</v>
      </c>
      <c r="L2579" t="s">
        <v>53</v>
      </c>
      <c r="N2579" t="s">
        <v>4088</v>
      </c>
      <c r="P2579" t="s">
        <v>55</v>
      </c>
      <c r="R2579" t="s">
        <v>56</v>
      </c>
      <c r="T2579" t="s">
        <v>4089</v>
      </c>
      <c r="U2579" t="s">
        <v>55</v>
      </c>
      <c r="V2579">
        <v>1</v>
      </c>
      <c r="W2579">
        <v>1</v>
      </c>
      <c r="X2579">
        <v>2</v>
      </c>
      <c r="Y2579">
        <v>0</v>
      </c>
      <c r="Z2579">
        <v>2</v>
      </c>
      <c r="AA2579">
        <v>0</v>
      </c>
      <c r="AB2579">
        <v>163.66</v>
      </c>
      <c r="AC2579">
        <v>144</v>
      </c>
      <c r="AD2579">
        <v>0</v>
      </c>
      <c r="AE2579">
        <v>19.66</v>
      </c>
      <c r="AF2579">
        <v>0</v>
      </c>
      <c r="AG2579">
        <v>0</v>
      </c>
      <c r="AH2579">
        <v>0</v>
      </c>
      <c r="AI2579">
        <v>24.55</v>
      </c>
      <c r="AJ2579">
        <v>163.66</v>
      </c>
      <c r="AK2579">
        <v>0</v>
      </c>
      <c r="AL2579" t="s">
        <v>53</v>
      </c>
      <c r="AM2579" t="s">
        <v>53</v>
      </c>
      <c r="AN2579" t="s">
        <v>53</v>
      </c>
      <c r="AO2579" t="s">
        <v>53</v>
      </c>
      <c r="AP2579" t="s">
        <v>53</v>
      </c>
    </row>
    <row r="2580" spans="2:42" x14ac:dyDescent="0.2">
      <c r="B2580" t="s">
        <v>44</v>
      </c>
      <c r="C2580" t="str">
        <f>HYPERLINK("https://us2.cloudbeds.com/connect/8493803454333002#/reservations/2470567321817?display=1ZVWNQK5M&amp;reservation_id=2470567321817", "1ZVWNQK5M")</f>
        <v>1ZVWNQK5M</v>
      </c>
      <c r="D2580" t="s">
        <v>45</v>
      </c>
      <c r="E2580" t="s">
        <v>121</v>
      </c>
      <c r="F2580" t="s">
        <v>86</v>
      </c>
      <c r="G2580" t="s">
        <v>48</v>
      </c>
      <c r="H2580" t="s">
        <v>49</v>
      </c>
      <c r="I2580" t="s">
        <v>50</v>
      </c>
      <c r="J2580" t="s">
        <v>2639</v>
      </c>
      <c r="K2580" t="s">
        <v>1295</v>
      </c>
      <c r="L2580" t="s">
        <v>53</v>
      </c>
      <c r="N2580" t="s">
        <v>4090</v>
      </c>
      <c r="P2580" t="s">
        <v>55</v>
      </c>
      <c r="R2580" t="s">
        <v>53</v>
      </c>
      <c r="T2580" t="s">
        <v>4091</v>
      </c>
      <c r="U2580" t="s">
        <v>58</v>
      </c>
      <c r="V2580">
        <v>1</v>
      </c>
      <c r="W2580">
        <v>1</v>
      </c>
      <c r="X2580">
        <v>1</v>
      </c>
      <c r="Y2580">
        <v>0</v>
      </c>
      <c r="Z2580">
        <v>1</v>
      </c>
      <c r="AA2580">
        <v>0</v>
      </c>
      <c r="AB2580">
        <v>171.62</v>
      </c>
      <c r="AC2580">
        <v>151</v>
      </c>
      <c r="AD2580">
        <v>0</v>
      </c>
      <c r="AE2580">
        <v>20.62</v>
      </c>
      <c r="AF2580">
        <v>0</v>
      </c>
      <c r="AG2580">
        <v>0</v>
      </c>
      <c r="AH2580">
        <v>0</v>
      </c>
      <c r="AI2580">
        <v>30.89</v>
      </c>
      <c r="AJ2580">
        <v>171.62</v>
      </c>
      <c r="AK2580">
        <v>0</v>
      </c>
      <c r="AL2580" t="s">
        <v>53</v>
      </c>
      <c r="AM2580" t="s">
        <v>53</v>
      </c>
      <c r="AN2580" t="s">
        <v>53</v>
      </c>
      <c r="AO2580" t="s">
        <v>53</v>
      </c>
      <c r="AP2580" t="s">
        <v>53</v>
      </c>
    </row>
    <row r="2581" spans="2:42" x14ac:dyDescent="0.2">
      <c r="B2581" t="s">
        <v>44</v>
      </c>
      <c r="C2581" t="str">
        <f>HYPERLINK("https://us2.cloudbeds.com/connect/8493803454333002#/reservations/2493792673952?display=1PGW618V7&amp;reservation_id=2493792673952", "1PGW618V7")</f>
        <v>1PGW618V7</v>
      </c>
      <c r="D2581" t="s">
        <v>45</v>
      </c>
      <c r="E2581" t="s">
        <v>110</v>
      </c>
      <c r="F2581" t="s">
        <v>47</v>
      </c>
      <c r="G2581" t="s">
        <v>48</v>
      </c>
      <c r="H2581" t="s">
        <v>49</v>
      </c>
      <c r="I2581" t="s">
        <v>62</v>
      </c>
      <c r="J2581" t="s">
        <v>3031</v>
      </c>
      <c r="K2581" t="s">
        <v>1900</v>
      </c>
      <c r="L2581" t="s">
        <v>53</v>
      </c>
      <c r="N2581" t="s">
        <v>4092</v>
      </c>
      <c r="P2581" t="s">
        <v>55</v>
      </c>
      <c r="R2581" t="s">
        <v>56</v>
      </c>
      <c r="T2581" t="s">
        <v>4093</v>
      </c>
      <c r="U2581" t="s">
        <v>58</v>
      </c>
      <c r="V2581">
        <v>1</v>
      </c>
      <c r="W2581">
        <v>1</v>
      </c>
      <c r="X2581">
        <v>2</v>
      </c>
      <c r="Y2581">
        <v>0</v>
      </c>
      <c r="Z2581">
        <v>2</v>
      </c>
      <c r="AA2581">
        <v>0</v>
      </c>
      <c r="AB2581">
        <v>177.29</v>
      </c>
      <c r="AC2581">
        <v>156</v>
      </c>
      <c r="AD2581">
        <v>0</v>
      </c>
      <c r="AE2581">
        <v>21.29</v>
      </c>
      <c r="AF2581">
        <v>0</v>
      </c>
      <c r="AG2581">
        <v>0</v>
      </c>
      <c r="AH2581">
        <v>0</v>
      </c>
      <c r="AI2581">
        <v>26.59</v>
      </c>
      <c r="AJ2581">
        <v>177.29</v>
      </c>
      <c r="AK2581">
        <v>0</v>
      </c>
      <c r="AL2581" t="s">
        <v>53</v>
      </c>
      <c r="AM2581" t="s">
        <v>53</v>
      </c>
      <c r="AN2581" t="s">
        <v>53</v>
      </c>
      <c r="AO2581" t="s">
        <v>53</v>
      </c>
      <c r="AP2581" t="s">
        <v>53</v>
      </c>
    </row>
    <row r="2582" spans="2:42" x14ac:dyDescent="0.2">
      <c r="B2582" t="s">
        <v>44</v>
      </c>
      <c r="C2582" t="str">
        <f>HYPERLINK("https://us2.cloudbeds.com/connect/8493803454333002#/reservations/2495029608588?display=1PHUQ1QDW&amp;reservation_id=2495029608588", "1PHUQ1QDW")</f>
        <v>1PHUQ1QDW</v>
      </c>
      <c r="D2582" t="s">
        <v>45</v>
      </c>
      <c r="E2582" t="s">
        <v>105</v>
      </c>
      <c r="F2582" t="s">
        <v>47</v>
      </c>
      <c r="G2582" t="s">
        <v>48</v>
      </c>
      <c r="H2582" t="s">
        <v>49</v>
      </c>
      <c r="I2582" t="s">
        <v>62</v>
      </c>
      <c r="J2582" t="s">
        <v>3031</v>
      </c>
      <c r="K2582" t="s">
        <v>1900</v>
      </c>
      <c r="L2582" t="s">
        <v>53</v>
      </c>
      <c r="N2582" t="s">
        <v>4094</v>
      </c>
      <c r="P2582" t="s">
        <v>55</v>
      </c>
      <c r="R2582" t="s">
        <v>56</v>
      </c>
      <c r="T2582" t="s">
        <v>4095</v>
      </c>
      <c r="U2582" t="s">
        <v>58</v>
      </c>
      <c r="V2582">
        <v>1</v>
      </c>
      <c r="W2582">
        <v>1</v>
      </c>
      <c r="X2582">
        <v>2</v>
      </c>
      <c r="Y2582">
        <v>0</v>
      </c>
      <c r="Z2582">
        <v>2</v>
      </c>
      <c r="AA2582">
        <v>0</v>
      </c>
      <c r="AB2582">
        <v>177.29</v>
      </c>
      <c r="AC2582">
        <v>156</v>
      </c>
      <c r="AD2582">
        <v>0</v>
      </c>
      <c r="AE2582">
        <v>21.29</v>
      </c>
      <c r="AF2582">
        <v>0</v>
      </c>
      <c r="AG2582">
        <v>0</v>
      </c>
      <c r="AH2582">
        <v>0</v>
      </c>
      <c r="AI2582">
        <v>26.59</v>
      </c>
      <c r="AJ2582">
        <v>177.29</v>
      </c>
      <c r="AK2582">
        <v>0</v>
      </c>
      <c r="AL2582" t="s">
        <v>53</v>
      </c>
      <c r="AM2582" t="s">
        <v>53</v>
      </c>
      <c r="AN2582" t="s">
        <v>53</v>
      </c>
      <c r="AO2582" t="s">
        <v>53</v>
      </c>
      <c r="AP2582" t="s">
        <v>53</v>
      </c>
    </row>
    <row r="2583" spans="2:42" x14ac:dyDescent="0.2">
      <c r="B2583" t="s">
        <v>44</v>
      </c>
      <c r="C2583" t="str">
        <f>HYPERLINK("https://us2.cloudbeds.com/connect/8493803454333002#/reservations/2496491643023?display=1PJ24T23P&amp;reservation_id=2496491643023", "1PJ24T23P")</f>
        <v>1PJ24T23P</v>
      </c>
      <c r="D2583" t="s">
        <v>45</v>
      </c>
      <c r="E2583" t="s">
        <v>305</v>
      </c>
      <c r="F2583" t="s">
        <v>61</v>
      </c>
      <c r="G2583" t="s">
        <v>48</v>
      </c>
      <c r="H2583" t="s">
        <v>49</v>
      </c>
      <c r="I2583" t="s">
        <v>62</v>
      </c>
      <c r="J2583" t="s">
        <v>2639</v>
      </c>
      <c r="K2583" t="s">
        <v>1295</v>
      </c>
      <c r="L2583" t="s">
        <v>53</v>
      </c>
      <c r="N2583" t="s">
        <v>4096</v>
      </c>
      <c r="P2583" t="s">
        <v>55</v>
      </c>
      <c r="R2583" t="s">
        <v>56</v>
      </c>
      <c r="T2583" t="s">
        <v>4097</v>
      </c>
      <c r="U2583" t="s">
        <v>55</v>
      </c>
      <c r="V2583">
        <v>1</v>
      </c>
      <c r="W2583">
        <v>1</v>
      </c>
      <c r="X2583">
        <v>2</v>
      </c>
      <c r="Y2583">
        <v>0</v>
      </c>
      <c r="Z2583">
        <v>2</v>
      </c>
      <c r="AA2583">
        <v>0</v>
      </c>
      <c r="AB2583">
        <v>163.66</v>
      </c>
      <c r="AC2583">
        <v>144</v>
      </c>
      <c r="AD2583">
        <v>0</v>
      </c>
      <c r="AE2583">
        <v>19.66</v>
      </c>
      <c r="AF2583">
        <v>0</v>
      </c>
      <c r="AG2583">
        <v>0</v>
      </c>
      <c r="AH2583">
        <v>0</v>
      </c>
      <c r="AI2583">
        <v>24.55</v>
      </c>
      <c r="AJ2583">
        <v>163.66</v>
      </c>
      <c r="AK2583">
        <v>0</v>
      </c>
      <c r="AL2583" t="s">
        <v>53</v>
      </c>
      <c r="AM2583" t="s">
        <v>53</v>
      </c>
      <c r="AN2583" t="s">
        <v>53</v>
      </c>
      <c r="AO2583" t="s">
        <v>53</v>
      </c>
      <c r="AP2583" t="s">
        <v>53</v>
      </c>
    </row>
    <row r="2584" spans="2:42" x14ac:dyDescent="0.2">
      <c r="B2584" t="s">
        <v>44</v>
      </c>
      <c r="C2584" t="str">
        <f>HYPERLINK("https://us2.cloudbeds.com/connect/8493803454333002#/reservations/2506069008534?display=1PQFSPCF2&amp;reservation_id=2506069008534", "1PQFSPCF2")</f>
        <v>1PQFSPCF2</v>
      </c>
      <c r="D2584" t="s">
        <v>45</v>
      </c>
      <c r="E2584" t="s">
        <v>265</v>
      </c>
      <c r="F2584" t="s">
        <v>61</v>
      </c>
      <c r="G2584" t="s">
        <v>48</v>
      </c>
      <c r="H2584" t="s">
        <v>49</v>
      </c>
      <c r="I2584" t="s">
        <v>62</v>
      </c>
      <c r="J2584" t="s">
        <v>2639</v>
      </c>
      <c r="K2584" t="s">
        <v>1295</v>
      </c>
      <c r="L2584" t="s">
        <v>53</v>
      </c>
      <c r="N2584" t="s">
        <v>4098</v>
      </c>
      <c r="P2584" t="s">
        <v>55</v>
      </c>
      <c r="R2584" t="s">
        <v>56</v>
      </c>
      <c r="T2584" t="s">
        <v>4099</v>
      </c>
      <c r="U2584" t="s">
        <v>55</v>
      </c>
      <c r="V2584">
        <v>1</v>
      </c>
      <c r="W2584">
        <v>1</v>
      </c>
      <c r="X2584">
        <v>2</v>
      </c>
      <c r="Y2584">
        <v>0</v>
      </c>
      <c r="Z2584">
        <v>2</v>
      </c>
      <c r="AA2584">
        <v>0</v>
      </c>
      <c r="AB2584">
        <v>163.66</v>
      </c>
      <c r="AC2584">
        <v>144</v>
      </c>
      <c r="AD2584">
        <v>0</v>
      </c>
      <c r="AE2584">
        <v>19.66</v>
      </c>
      <c r="AF2584">
        <v>0</v>
      </c>
      <c r="AG2584">
        <v>0</v>
      </c>
      <c r="AH2584">
        <v>0</v>
      </c>
      <c r="AI2584">
        <v>24.55</v>
      </c>
      <c r="AJ2584">
        <v>163.66</v>
      </c>
      <c r="AK2584">
        <v>0</v>
      </c>
      <c r="AL2584" t="s">
        <v>53</v>
      </c>
      <c r="AM2584" t="s">
        <v>53</v>
      </c>
      <c r="AN2584" t="s">
        <v>53</v>
      </c>
      <c r="AO2584" t="s">
        <v>53</v>
      </c>
      <c r="AP2584" t="s">
        <v>53</v>
      </c>
    </row>
    <row r="2585" spans="2:42" x14ac:dyDescent="0.2">
      <c r="B2585" t="s">
        <v>44</v>
      </c>
      <c r="C2585" t="str">
        <f>HYPERLINK("https://us2.cloudbeds.com/connect/8493803454333002#/reservations/2540464980154?display=1QK3PBWNC&amp;reservation_id=2540464980154", "1QK3PBWNC")</f>
        <v>1QK3PBWNC</v>
      </c>
      <c r="D2585" t="s">
        <v>45</v>
      </c>
      <c r="E2585" t="s">
        <v>121</v>
      </c>
      <c r="F2585" t="s">
        <v>86</v>
      </c>
      <c r="G2585" t="s">
        <v>48</v>
      </c>
      <c r="H2585" t="s">
        <v>49</v>
      </c>
      <c r="I2585" t="s">
        <v>50</v>
      </c>
      <c r="J2585" t="s">
        <v>1295</v>
      </c>
      <c r="K2585" t="s">
        <v>3031</v>
      </c>
      <c r="L2585" t="s">
        <v>53</v>
      </c>
      <c r="N2585" t="s">
        <v>4100</v>
      </c>
      <c r="P2585" t="s">
        <v>55</v>
      </c>
      <c r="R2585" t="s">
        <v>53</v>
      </c>
      <c r="T2585" t="s">
        <v>4101</v>
      </c>
      <c r="U2585" t="s">
        <v>58</v>
      </c>
      <c r="V2585">
        <v>1</v>
      </c>
      <c r="W2585">
        <v>1</v>
      </c>
      <c r="X2585">
        <v>2</v>
      </c>
      <c r="Y2585">
        <v>0</v>
      </c>
      <c r="Z2585">
        <v>2</v>
      </c>
      <c r="AA2585">
        <v>0</v>
      </c>
      <c r="AB2585">
        <v>220.49</v>
      </c>
      <c r="AC2585">
        <v>194</v>
      </c>
      <c r="AD2585">
        <v>0</v>
      </c>
      <c r="AE2585">
        <v>26.49</v>
      </c>
      <c r="AF2585">
        <v>0</v>
      </c>
      <c r="AG2585">
        <v>0</v>
      </c>
      <c r="AH2585">
        <v>0</v>
      </c>
      <c r="AI2585">
        <v>39.69</v>
      </c>
      <c r="AJ2585">
        <v>220.49</v>
      </c>
      <c r="AK2585">
        <v>0</v>
      </c>
      <c r="AL2585" t="s">
        <v>53</v>
      </c>
      <c r="AM2585" t="s">
        <v>53</v>
      </c>
      <c r="AN2585" t="s">
        <v>53</v>
      </c>
      <c r="AO2585" t="s">
        <v>53</v>
      </c>
      <c r="AP2585" t="s">
        <v>53</v>
      </c>
    </row>
    <row r="2586" spans="2:42" x14ac:dyDescent="0.2">
      <c r="B2586" t="s">
        <v>44</v>
      </c>
      <c r="C2586" t="str">
        <f>HYPERLINK("https://us2.cloudbeds.com/connect/8493803454333002#/reservations/2544007299297?display=1QMS9B80N&amp;reservation_id=2544007299297", "1QMS9B80N")</f>
        <v>1QMS9B80N</v>
      </c>
      <c r="D2586" t="s">
        <v>45</v>
      </c>
      <c r="E2586" t="s">
        <v>113</v>
      </c>
      <c r="F2586" t="s">
        <v>61</v>
      </c>
      <c r="G2586" t="s">
        <v>48</v>
      </c>
      <c r="H2586" t="s">
        <v>49</v>
      </c>
      <c r="I2586" t="s">
        <v>50</v>
      </c>
      <c r="J2586" t="s">
        <v>1900</v>
      </c>
      <c r="K2586" t="s">
        <v>1660</v>
      </c>
      <c r="L2586" t="s">
        <v>53</v>
      </c>
      <c r="N2586" t="s">
        <v>4102</v>
      </c>
      <c r="P2586" t="s">
        <v>55</v>
      </c>
      <c r="R2586" t="s">
        <v>53</v>
      </c>
      <c r="T2586" t="s">
        <v>4103</v>
      </c>
      <c r="U2586" t="s">
        <v>58</v>
      </c>
      <c r="V2586">
        <v>2</v>
      </c>
      <c r="W2586">
        <v>1</v>
      </c>
      <c r="X2586">
        <v>2</v>
      </c>
      <c r="Y2586">
        <v>0</v>
      </c>
      <c r="Z2586">
        <v>2</v>
      </c>
      <c r="AA2586">
        <v>0</v>
      </c>
      <c r="AB2586">
        <v>406.87</v>
      </c>
      <c r="AC2586">
        <v>358</v>
      </c>
      <c r="AD2586">
        <v>0</v>
      </c>
      <c r="AE2586">
        <v>48.87</v>
      </c>
      <c r="AF2586">
        <v>0</v>
      </c>
      <c r="AG2586">
        <v>0</v>
      </c>
      <c r="AH2586">
        <v>0</v>
      </c>
      <c r="AI2586">
        <v>73.239999999999995</v>
      </c>
      <c r="AJ2586">
        <v>406.87</v>
      </c>
      <c r="AK2586">
        <v>0</v>
      </c>
      <c r="AL2586" t="s">
        <v>53</v>
      </c>
      <c r="AM2586" t="s">
        <v>53</v>
      </c>
      <c r="AN2586" t="s">
        <v>53</v>
      </c>
      <c r="AO2586" t="s">
        <v>53</v>
      </c>
      <c r="AP2586" t="s">
        <v>53</v>
      </c>
    </row>
    <row r="2587" spans="2:42" x14ac:dyDescent="0.2">
      <c r="B2587" t="s">
        <v>44</v>
      </c>
      <c r="C2587" t="str">
        <f>HYPERLINK("https://us2.cloudbeds.com/connect/8493803454333002#/reservations/2552277119203?display=1QT8JM5MU&amp;reservation_id=2552277119203", "1QT8JM5MU")</f>
        <v>1QT8JM5MU</v>
      </c>
      <c r="D2587" t="s">
        <v>45</v>
      </c>
      <c r="E2587" t="s">
        <v>213</v>
      </c>
      <c r="F2587" t="s">
        <v>86</v>
      </c>
      <c r="G2587" t="s">
        <v>48</v>
      </c>
      <c r="H2587" t="s">
        <v>49</v>
      </c>
      <c r="I2587" t="s">
        <v>50</v>
      </c>
      <c r="J2587" t="s">
        <v>1296</v>
      </c>
      <c r="K2587" t="s">
        <v>1660</v>
      </c>
      <c r="L2587" t="s">
        <v>53</v>
      </c>
      <c r="N2587" t="s">
        <v>4104</v>
      </c>
      <c r="P2587" t="s">
        <v>55</v>
      </c>
      <c r="R2587" t="s">
        <v>53</v>
      </c>
      <c r="T2587" t="s">
        <v>4105</v>
      </c>
      <c r="U2587" t="s">
        <v>58</v>
      </c>
      <c r="V2587">
        <v>1</v>
      </c>
      <c r="W2587">
        <v>1</v>
      </c>
      <c r="X2587">
        <v>3</v>
      </c>
      <c r="Y2587">
        <v>0</v>
      </c>
      <c r="Z2587">
        <v>3</v>
      </c>
      <c r="AA2587">
        <v>0</v>
      </c>
      <c r="AB2587">
        <v>212.53</v>
      </c>
      <c r="AC2587">
        <v>187</v>
      </c>
      <c r="AD2587">
        <v>0</v>
      </c>
      <c r="AE2587">
        <v>25.53</v>
      </c>
      <c r="AF2587">
        <v>0</v>
      </c>
      <c r="AG2587">
        <v>0</v>
      </c>
      <c r="AH2587">
        <v>0</v>
      </c>
      <c r="AI2587">
        <v>38.26</v>
      </c>
      <c r="AJ2587">
        <v>212.53</v>
      </c>
      <c r="AK2587">
        <v>0</v>
      </c>
      <c r="AL2587" t="s">
        <v>53</v>
      </c>
      <c r="AM2587" t="s">
        <v>53</v>
      </c>
      <c r="AN2587" t="s">
        <v>53</v>
      </c>
      <c r="AO2587" t="s">
        <v>53</v>
      </c>
      <c r="AP2587" t="s">
        <v>53</v>
      </c>
    </row>
    <row r="2588" spans="2:42" x14ac:dyDescent="0.2">
      <c r="B2588" t="s">
        <v>44</v>
      </c>
      <c r="C2588" t="str">
        <f>HYPERLINK("https://us2.cloudbeds.com/connect/8493803454333002#/reservations/2732397174992?display=1V3Z2M7VM&amp;reservation_id=2732397174992", "1V3Z2M7VM")</f>
        <v>1V3Z2M7VM</v>
      </c>
      <c r="D2588" t="s">
        <v>45</v>
      </c>
      <c r="E2588" t="s">
        <v>110</v>
      </c>
      <c r="F2588" t="s">
        <v>47</v>
      </c>
      <c r="G2588" t="s">
        <v>48</v>
      </c>
      <c r="H2588" t="s">
        <v>49</v>
      </c>
      <c r="I2588" t="s">
        <v>50</v>
      </c>
      <c r="J2588" t="s">
        <v>1450</v>
      </c>
      <c r="K2588" t="s">
        <v>1515</v>
      </c>
      <c r="L2588" t="s">
        <v>53</v>
      </c>
      <c r="N2588" t="s">
        <v>4106</v>
      </c>
      <c r="P2588" t="s">
        <v>55</v>
      </c>
      <c r="R2588" t="s">
        <v>53</v>
      </c>
      <c r="T2588" t="s">
        <v>4107</v>
      </c>
      <c r="U2588" t="s">
        <v>58</v>
      </c>
      <c r="V2588">
        <v>2</v>
      </c>
      <c r="W2588">
        <v>1</v>
      </c>
      <c r="X2588">
        <v>2</v>
      </c>
      <c r="Y2588">
        <v>0</v>
      </c>
      <c r="Z2588">
        <v>2</v>
      </c>
      <c r="AA2588">
        <v>0</v>
      </c>
      <c r="AB2588">
        <v>418.79</v>
      </c>
      <c r="AC2588">
        <v>368.5</v>
      </c>
      <c r="AD2588">
        <v>0</v>
      </c>
      <c r="AE2588">
        <v>50.29</v>
      </c>
      <c r="AF2588">
        <v>0</v>
      </c>
      <c r="AG2588">
        <v>0</v>
      </c>
      <c r="AH2588">
        <v>0</v>
      </c>
      <c r="AI2588">
        <v>75.38</v>
      </c>
      <c r="AJ2588">
        <v>418.79</v>
      </c>
      <c r="AK2588">
        <v>0</v>
      </c>
      <c r="AL2588" t="s">
        <v>53</v>
      </c>
      <c r="AM2588" t="s">
        <v>53</v>
      </c>
      <c r="AN2588" t="s">
        <v>53</v>
      </c>
      <c r="AO2588" t="s">
        <v>53</v>
      </c>
      <c r="AP2588" t="s">
        <v>53</v>
      </c>
    </row>
    <row r="2589" spans="2:42" x14ac:dyDescent="0.2">
      <c r="B2589" t="s">
        <v>44</v>
      </c>
      <c r="C2589" t="str">
        <f>HYPERLINK("https://us2.cloudbeds.com/connect/8493803454333002#/reservations/2743212146877?display=1VC3E4PKE&amp;reservation_id=2743212146877", "1VC3E4PKE")</f>
        <v>1VC3E4PKE</v>
      </c>
      <c r="D2589" t="s">
        <v>45</v>
      </c>
      <c r="E2589" t="s">
        <v>128</v>
      </c>
      <c r="F2589" t="s">
        <v>86</v>
      </c>
      <c r="G2589" t="s">
        <v>48</v>
      </c>
      <c r="H2589" t="s">
        <v>49</v>
      </c>
      <c r="I2589" t="s">
        <v>50</v>
      </c>
      <c r="J2589" t="s">
        <v>1436</v>
      </c>
      <c r="K2589" t="s">
        <v>1933</v>
      </c>
      <c r="L2589" t="s">
        <v>53</v>
      </c>
      <c r="N2589" t="s">
        <v>4108</v>
      </c>
      <c r="P2589" t="s">
        <v>55</v>
      </c>
      <c r="R2589" t="s">
        <v>53</v>
      </c>
      <c r="T2589" t="s">
        <v>4109</v>
      </c>
      <c r="U2589" t="s">
        <v>58</v>
      </c>
      <c r="V2589">
        <v>3</v>
      </c>
      <c r="W2589">
        <v>1</v>
      </c>
      <c r="X2589">
        <v>3</v>
      </c>
      <c r="Y2589">
        <v>0</v>
      </c>
      <c r="Z2589">
        <v>3</v>
      </c>
      <c r="AA2589">
        <v>0</v>
      </c>
      <c r="AB2589">
        <v>646.33000000000004</v>
      </c>
      <c r="AC2589">
        <v>568.70000000000005</v>
      </c>
      <c r="AD2589">
        <v>0</v>
      </c>
      <c r="AE2589">
        <v>77.63</v>
      </c>
      <c r="AF2589">
        <v>0</v>
      </c>
      <c r="AG2589">
        <v>0</v>
      </c>
      <c r="AH2589">
        <v>0</v>
      </c>
      <c r="AI2589">
        <v>116.34</v>
      </c>
      <c r="AJ2589">
        <v>646.33000000000004</v>
      </c>
      <c r="AK2589">
        <v>0</v>
      </c>
      <c r="AL2589" t="s">
        <v>53</v>
      </c>
      <c r="AM2589" t="s">
        <v>53</v>
      </c>
      <c r="AN2589" t="s">
        <v>53</v>
      </c>
      <c r="AO2589" t="s">
        <v>53</v>
      </c>
      <c r="AP2589" t="s">
        <v>53</v>
      </c>
    </row>
    <row r="2590" spans="2:42" x14ac:dyDescent="0.2">
      <c r="B2590" t="s">
        <v>44</v>
      </c>
      <c r="C2590" t="str">
        <f>HYPERLINK("https://us2.cloudbeds.com/connect/8493803454333002#/reservations/2749823647902?display=1VH7C4HPB&amp;reservation_id=2749823647902", "1VH7C4HPB")</f>
        <v>1VH7C4HPB</v>
      </c>
      <c r="D2590" t="s">
        <v>45</v>
      </c>
      <c r="E2590" t="s">
        <v>105</v>
      </c>
      <c r="F2590" t="s">
        <v>47</v>
      </c>
      <c r="G2590" t="s">
        <v>48</v>
      </c>
      <c r="H2590" t="s">
        <v>49</v>
      </c>
      <c r="I2590" t="s">
        <v>50</v>
      </c>
      <c r="J2590" t="s">
        <v>1933</v>
      </c>
      <c r="K2590" t="s">
        <v>2412</v>
      </c>
      <c r="L2590" t="s">
        <v>53</v>
      </c>
      <c r="N2590" t="s">
        <v>4110</v>
      </c>
      <c r="P2590" t="s">
        <v>55</v>
      </c>
      <c r="R2590" t="s">
        <v>53</v>
      </c>
      <c r="T2590" t="s">
        <v>4111</v>
      </c>
      <c r="U2590" t="s">
        <v>58</v>
      </c>
      <c r="V2590">
        <v>1</v>
      </c>
      <c r="W2590">
        <v>1</v>
      </c>
      <c r="X2590">
        <v>1</v>
      </c>
      <c r="Y2590">
        <v>0</v>
      </c>
      <c r="Z2590">
        <v>1</v>
      </c>
      <c r="AA2590">
        <v>0</v>
      </c>
      <c r="AB2590">
        <v>162.53</v>
      </c>
      <c r="AC2590">
        <v>143</v>
      </c>
      <c r="AD2590">
        <v>0</v>
      </c>
      <c r="AE2590">
        <v>19.53</v>
      </c>
      <c r="AF2590">
        <v>0</v>
      </c>
      <c r="AG2590">
        <v>0</v>
      </c>
      <c r="AH2590">
        <v>0</v>
      </c>
      <c r="AI2590">
        <v>29.26</v>
      </c>
      <c r="AJ2590">
        <v>162.53</v>
      </c>
      <c r="AK2590">
        <v>0</v>
      </c>
      <c r="AL2590" t="s">
        <v>53</v>
      </c>
      <c r="AM2590" t="s">
        <v>53</v>
      </c>
      <c r="AN2590" t="s">
        <v>53</v>
      </c>
      <c r="AO2590" t="s">
        <v>53</v>
      </c>
      <c r="AP2590" t="s">
        <v>53</v>
      </c>
    </row>
    <row r="2591" spans="2:42" x14ac:dyDescent="0.2">
      <c r="B2591" t="s">
        <v>44</v>
      </c>
      <c r="C2591" t="str">
        <f>HYPERLINK("https://us2.cloudbeds.com/connect/8493803454333002#/reservations/2796998893822?display=1WKZQX9R0&amp;reservation_id=2796998893822", "1WKZQX9R0")</f>
        <v>1WKZQX9R0</v>
      </c>
      <c r="D2591" t="s">
        <v>45</v>
      </c>
      <c r="E2591" t="s">
        <v>185</v>
      </c>
      <c r="F2591" t="s">
        <v>47</v>
      </c>
      <c r="G2591" t="s">
        <v>48</v>
      </c>
      <c r="H2591" t="s">
        <v>49</v>
      </c>
      <c r="I2591" t="s">
        <v>50</v>
      </c>
      <c r="J2591" t="s">
        <v>1863</v>
      </c>
      <c r="K2591" t="s">
        <v>3080</v>
      </c>
      <c r="L2591" t="s">
        <v>53</v>
      </c>
      <c r="N2591" t="s">
        <v>4112</v>
      </c>
      <c r="P2591" t="s">
        <v>55</v>
      </c>
      <c r="R2591" t="s">
        <v>53</v>
      </c>
      <c r="T2591" t="s">
        <v>4113</v>
      </c>
      <c r="U2591" t="s">
        <v>58</v>
      </c>
      <c r="V2591">
        <v>1</v>
      </c>
      <c r="W2591">
        <v>1</v>
      </c>
      <c r="X2591">
        <v>2</v>
      </c>
      <c r="Y2591">
        <v>0</v>
      </c>
      <c r="Z2591">
        <v>2</v>
      </c>
      <c r="AA2591">
        <v>0</v>
      </c>
      <c r="AB2591">
        <v>128.43</v>
      </c>
      <c r="AC2591">
        <v>113</v>
      </c>
      <c r="AD2591">
        <v>0</v>
      </c>
      <c r="AE2591">
        <v>15.43</v>
      </c>
      <c r="AF2591">
        <v>0</v>
      </c>
      <c r="AG2591">
        <v>0</v>
      </c>
      <c r="AH2591">
        <v>0</v>
      </c>
      <c r="AI2591">
        <v>23.12</v>
      </c>
      <c r="AJ2591">
        <v>128.43</v>
      </c>
      <c r="AK2591">
        <v>0</v>
      </c>
      <c r="AL2591" t="s">
        <v>53</v>
      </c>
      <c r="AM2591" t="s">
        <v>53</v>
      </c>
      <c r="AN2591" t="s">
        <v>53</v>
      </c>
      <c r="AO2591" t="s">
        <v>53</v>
      </c>
      <c r="AP2591" t="s">
        <v>53</v>
      </c>
    </row>
    <row r="2592" spans="2:42" x14ac:dyDescent="0.2">
      <c r="B2592" t="s">
        <v>44</v>
      </c>
      <c r="C2592" t="str">
        <f>HYPERLINK("https://us2.cloudbeds.com/connect/8493803454333002#/reservations/2800802320603?display=1WNMWN8D0&amp;reservation_id=2800802320603", "1WNMWN8D0")</f>
        <v>1WNMWN8D0</v>
      </c>
      <c r="D2592" t="s">
        <v>45</v>
      </c>
      <c r="E2592" t="s">
        <v>110</v>
      </c>
      <c r="F2592" t="s">
        <v>47</v>
      </c>
      <c r="G2592" t="s">
        <v>48</v>
      </c>
      <c r="H2592" t="s">
        <v>49</v>
      </c>
      <c r="I2592" t="s">
        <v>50</v>
      </c>
      <c r="J2592" t="s">
        <v>1295</v>
      </c>
      <c r="K2592" t="s">
        <v>3031</v>
      </c>
      <c r="L2592" t="s">
        <v>53</v>
      </c>
      <c r="N2592" t="s">
        <v>4114</v>
      </c>
      <c r="P2592" t="s">
        <v>55</v>
      </c>
      <c r="R2592" t="s">
        <v>53</v>
      </c>
      <c r="T2592" t="s">
        <v>4115</v>
      </c>
      <c r="U2592" t="s">
        <v>58</v>
      </c>
      <c r="V2592">
        <v>1</v>
      </c>
      <c r="W2592">
        <v>1</v>
      </c>
      <c r="X2592">
        <v>2</v>
      </c>
      <c r="Y2592">
        <v>0</v>
      </c>
      <c r="Z2592">
        <v>2</v>
      </c>
      <c r="AA2592">
        <v>0</v>
      </c>
      <c r="AB2592">
        <v>194.35</v>
      </c>
      <c r="AC2592">
        <v>171</v>
      </c>
      <c r="AD2592">
        <v>0</v>
      </c>
      <c r="AE2592">
        <v>23.35</v>
      </c>
      <c r="AF2592">
        <v>0</v>
      </c>
      <c r="AG2592">
        <v>0</v>
      </c>
      <c r="AH2592">
        <v>0</v>
      </c>
      <c r="AI2592">
        <v>34.979999999999997</v>
      </c>
      <c r="AJ2592">
        <v>194.35</v>
      </c>
      <c r="AK2592">
        <v>0</v>
      </c>
      <c r="AL2592" t="s">
        <v>53</v>
      </c>
      <c r="AM2592" t="s">
        <v>53</v>
      </c>
      <c r="AN2592" t="s">
        <v>53</v>
      </c>
      <c r="AO2592" t="s">
        <v>53</v>
      </c>
      <c r="AP2592" t="s">
        <v>53</v>
      </c>
    </row>
    <row r="2593" spans="2:42" x14ac:dyDescent="0.2">
      <c r="B2593" t="s">
        <v>44</v>
      </c>
      <c r="C2593" t="str">
        <f>HYPERLINK("https://us2.cloudbeds.com/connect/8493803454333002#/reservations/2804872601757?display=1WQRWSRA5&amp;reservation_id=2804872601757", "1WQRWSRA5")</f>
        <v>1WQRWSRA5</v>
      </c>
      <c r="D2593" t="s">
        <v>45</v>
      </c>
      <c r="E2593" t="s">
        <v>46</v>
      </c>
      <c r="F2593" t="s">
        <v>47</v>
      </c>
      <c r="G2593" t="s">
        <v>48</v>
      </c>
      <c r="H2593" t="s">
        <v>49</v>
      </c>
      <c r="I2593" t="s">
        <v>50</v>
      </c>
      <c r="J2593" t="s">
        <v>3031</v>
      </c>
      <c r="K2593" t="s">
        <v>1296</v>
      </c>
      <c r="L2593" t="s">
        <v>53</v>
      </c>
      <c r="N2593" t="s">
        <v>4116</v>
      </c>
      <c r="P2593" t="s">
        <v>55</v>
      </c>
      <c r="R2593" t="s">
        <v>53</v>
      </c>
      <c r="T2593" t="s">
        <v>4117</v>
      </c>
      <c r="U2593" t="s">
        <v>58</v>
      </c>
      <c r="V2593">
        <v>2</v>
      </c>
      <c r="W2593">
        <v>1</v>
      </c>
      <c r="X2593">
        <v>2</v>
      </c>
      <c r="Y2593">
        <v>0</v>
      </c>
      <c r="Z2593">
        <v>2</v>
      </c>
      <c r="AA2593">
        <v>0</v>
      </c>
      <c r="AB2593">
        <v>388.69</v>
      </c>
      <c r="AC2593">
        <v>342</v>
      </c>
      <c r="AD2593">
        <v>0</v>
      </c>
      <c r="AE2593">
        <v>46.69</v>
      </c>
      <c r="AF2593">
        <v>0</v>
      </c>
      <c r="AG2593">
        <v>0</v>
      </c>
      <c r="AH2593">
        <v>0</v>
      </c>
      <c r="AI2593">
        <v>69.959999999999994</v>
      </c>
      <c r="AJ2593">
        <v>388.69</v>
      </c>
      <c r="AK2593">
        <v>0</v>
      </c>
      <c r="AL2593" t="s">
        <v>53</v>
      </c>
      <c r="AM2593" t="s">
        <v>53</v>
      </c>
      <c r="AN2593" t="s">
        <v>53</v>
      </c>
      <c r="AO2593" t="s">
        <v>53</v>
      </c>
      <c r="AP2593" t="s">
        <v>53</v>
      </c>
    </row>
    <row r="2594" spans="2:42" x14ac:dyDescent="0.2">
      <c r="B2594" t="s">
        <v>44</v>
      </c>
      <c r="C2594" t="str">
        <f>HYPERLINK("https://us2.cloudbeds.com/connect/8493803454333002#/reservations/2804001804507?display=1WQ5ZJK4N&amp;reservation_id=2804001804507", "1WQ5ZJK4N")</f>
        <v>1WQ5ZJK4N</v>
      </c>
      <c r="D2594" t="s">
        <v>45</v>
      </c>
      <c r="E2594" t="s">
        <v>373</v>
      </c>
      <c r="F2594" t="s">
        <v>47</v>
      </c>
      <c r="G2594" t="s">
        <v>48</v>
      </c>
      <c r="H2594" t="s">
        <v>49</v>
      </c>
      <c r="I2594" t="s">
        <v>50</v>
      </c>
      <c r="J2594" t="s">
        <v>3031</v>
      </c>
      <c r="K2594" t="s">
        <v>1296</v>
      </c>
      <c r="L2594" t="s">
        <v>53</v>
      </c>
      <c r="N2594" t="s">
        <v>4118</v>
      </c>
      <c r="P2594" t="s">
        <v>55</v>
      </c>
      <c r="R2594" t="s">
        <v>53</v>
      </c>
      <c r="T2594" t="s">
        <v>4119</v>
      </c>
      <c r="U2594" t="s">
        <v>58</v>
      </c>
      <c r="V2594">
        <v>2</v>
      </c>
      <c r="W2594">
        <v>1</v>
      </c>
      <c r="X2594">
        <v>1</v>
      </c>
      <c r="Y2594">
        <v>0</v>
      </c>
      <c r="Z2594">
        <v>1</v>
      </c>
      <c r="AA2594">
        <v>0</v>
      </c>
      <c r="AB2594">
        <v>388.69</v>
      </c>
      <c r="AC2594">
        <v>342</v>
      </c>
      <c r="AD2594">
        <v>0</v>
      </c>
      <c r="AE2594">
        <v>46.69</v>
      </c>
      <c r="AF2594">
        <v>0</v>
      </c>
      <c r="AG2594">
        <v>0</v>
      </c>
      <c r="AH2594">
        <v>0</v>
      </c>
      <c r="AI2594">
        <v>69.959999999999994</v>
      </c>
      <c r="AJ2594">
        <v>388.69</v>
      </c>
      <c r="AK2594">
        <v>0</v>
      </c>
      <c r="AL2594" t="s">
        <v>53</v>
      </c>
      <c r="AM2594" t="s">
        <v>53</v>
      </c>
      <c r="AN2594" t="s">
        <v>53</v>
      </c>
      <c r="AO2594" t="s">
        <v>53</v>
      </c>
      <c r="AP2594" t="s">
        <v>53</v>
      </c>
    </row>
    <row r="2595" spans="2:42" x14ac:dyDescent="0.2">
      <c r="B2595" t="s">
        <v>44</v>
      </c>
      <c r="C2595" t="str">
        <f>HYPERLINK("https://us2.cloudbeds.com/connect/8493803454333002#/reservations/2843445203107?display=20NNKAAXZ&amp;reservation_id=2843445203107", "20NNKAAXZ")</f>
        <v>20NNKAAXZ</v>
      </c>
      <c r="D2595" t="s">
        <v>45</v>
      </c>
      <c r="E2595" t="s">
        <v>138</v>
      </c>
      <c r="F2595" t="s">
        <v>70</v>
      </c>
      <c r="G2595" t="s">
        <v>48</v>
      </c>
      <c r="H2595" t="s">
        <v>49</v>
      </c>
      <c r="I2595" t="s">
        <v>62</v>
      </c>
      <c r="J2595" t="s">
        <v>1295</v>
      </c>
      <c r="K2595" t="s">
        <v>3031</v>
      </c>
      <c r="L2595" t="s">
        <v>53</v>
      </c>
      <c r="N2595" t="s">
        <v>4120</v>
      </c>
      <c r="P2595" t="s">
        <v>55</v>
      </c>
      <c r="R2595" t="s">
        <v>56</v>
      </c>
      <c r="T2595" t="s">
        <v>4121</v>
      </c>
      <c r="U2595" t="s">
        <v>55</v>
      </c>
      <c r="V2595">
        <v>1</v>
      </c>
      <c r="W2595">
        <v>1</v>
      </c>
      <c r="X2595">
        <v>1</v>
      </c>
      <c r="Y2595">
        <v>0</v>
      </c>
      <c r="Z2595">
        <v>1</v>
      </c>
      <c r="AA2595">
        <v>0</v>
      </c>
      <c r="AB2595">
        <v>190.93</v>
      </c>
      <c r="AC2595">
        <v>168</v>
      </c>
      <c r="AD2595">
        <v>0</v>
      </c>
      <c r="AE2595">
        <v>22.93</v>
      </c>
      <c r="AF2595">
        <v>0</v>
      </c>
      <c r="AG2595">
        <v>0</v>
      </c>
      <c r="AH2595">
        <v>0</v>
      </c>
      <c r="AI2595">
        <v>28.64</v>
      </c>
      <c r="AJ2595">
        <v>190.93</v>
      </c>
      <c r="AK2595">
        <v>0</v>
      </c>
      <c r="AL2595" t="s">
        <v>53</v>
      </c>
      <c r="AM2595" t="s">
        <v>53</v>
      </c>
      <c r="AN2595" t="s">
        <v>53</v>
      </c>
      <c r="AO2595" t="s">
        <v>53</v>
      </c>
      <c r="AP2595" t="s">
        <v>53</v>
      </c>
    </row>
    <row r="2596" spans="2:42" x14ac:dyDescent="0.2">
      <c r="B2596" t="s">
        <v>44</v>
      </c>
      <c r="C2596" t="str">
        <f>HYPERLINK("https://us2.cloudbeds.com/connect/8493803454333002#/reservations/2852512157910?display=20UZ9QN6T&amp;reservation_id=2852512157910", "20UZ9QN6T")</f>
        <v>20UZ9QN6T</v>
      </c>
      <c r="D2596" t="s">
        <v>45</v>
      </c>
      <c r="E2596" t="s">
        <v>223</v>
      </c>
      <c r="F2596" t="s">
        <v>47</v>
      </c>
      <c r="G2596" t="s">
        <v>48</v>
      </c>
      <c r="H2596" t="s">
        <v>49</v>
      </c>
      <c r="I2596" t="s">
        <v>50</v>
      </c>
      <c r="J2596" t="s">
        <v>3031</v>
      </c>
      <c r="K2596" t="s">
        <v>1900</v>
      </c>
      <c r="L2596" t="s">
        <v>53</v>
      </c>
      <c r="N2596" t="s">
        <v>4122</v>
      </c>
      <c r="P2596" t="s">
        <v>55</v>
      </c>
      <c r="R2596" t="s">
        <v>53</v>
      </c>
      <c r="T2596" t="s">
        <v>4123</v>
      </c>
      <c r="U2596" t="s">
        <v>58</v>
      </c>
      <c r="V2596">
        <v>1</v>
      </c>
      <c r="W2596">
        <v>1</v>
      </c>
      <c r="X2596">
        <v>2</v>
      </c>
      <c r="Y2596">
        <v>0</v>
      </c>
      <c r="Z2596">
        <v>2</v>
      </c>
      <c r="AA2596">
        <v>0</v>
      </c>
      <c r="AB2596">
        <v>187.53</v>
      </c>
      <c r="AC2596">
        <v>165</v>
      </c>
      <c r="AD2596">
        <v>0</v>
      </c>
      <c r="AE2596">
        <v>22.53</v>
      </c>
      <c r="AF2596">
        <v>0</v>
      </c>
      <c r="AG2596">
        <v>0</v>
      </c>
      <c r="AH2596">
        <v>0</v>
      </c>
      <c r="AI2596">
        <v>33.76</v>
      </c>
      <c r="AJ2596">
        <v>187.53</v>
      </c>
      <c r="AK2596">
        <v>0</v>
      </c>
      <c r="AL2596" t="s">
        <v>53</v>
      </c>
      <c r="AM2596" t="s">
        <v>53</v>
      </c>
      <c r="AN2596" t="s">
        <v>53</v>
      </c>
      <c r="AO2596" t="s">
        <v>53</v>
      </c>
      <c r="AP2596" t="s">
        <v>53</v>
      </c>
    </row>
    <row r="2597" spans="2:42" x14ac:dyDescent="0.2">
      <c r="B2597" t="s">
        <v>44</v>
      </c>
      <c r="C2597" t="str">
        <f>HYPERLINK("https://us2.cloudbeds.com/connect/8493803454333002#/reservations/2905583792365?display=225RD75F0&amp;reservation_id=2905583792365", "225RD75F0")</f>
        <v>225RD75F0</v>
      </c>
      <c r="D2597" t="s">
        <v>45</v>
      </c>
      <c r="E2597" t="s">
        <v>213</v>
      </c>
      <c r="F2597" t="s">
        <v>86</v>
      </c>
      <c r="G2597" t="s">
        <v>48</v>
      </c>
      <c r="H2597" t="s">
        <v>3957</v>
      </c>
      <c r="I2597" t="s">
        <v>3975</v>
      </c>
      <c r="J2597" t="s">
        <v>1660</v>
      </c>
      <c r="K2597" t="s">
        <v>3043</v>
      </c>
      <c r="L2597" t="s">
        <v>53</v>
      </c>
      <c r="P2597" t="s">
        <v>55</v>
      </c>
      <c r="R2597" t="s">
        <v>56</v>
      </c>
      <c r="T2597" t="s">
        <v>4124</v>
      </c>
      <c r="U2597" t="s">
        <v>58</v>
      </c>
      <c r="V2597">
        <v>1</v>
      </c>
      <c r="W2597">
        <v>1</v>
      </c>
      <c r="X2597">
        <v>4</v>
      </c>
      <c r="Y2597">
        <v>0</v>
      </c>
      <c r="Z2597">
        <v>4</v>
      </c>
      <c r="AA2597">
        <v>0</v>
      </c>
      <c r="AB2597">
        <v>172.75</v>
      </c>
      <c r="AC2597">
        <v>152</v>
      </c>
      <c r="AD2597">
        <v>0</v>
      </c>
      <c r="AE2597">
        <v>20.75</v>
      </c>
      <c r="AF2597">
        <v>0</v>
      </c>
      <c r="AG2597">
        <v>0</v>
      </c>
      <c r="AH2597">
        <v>0</v>
      </c>
      <c r="AI2597">
        <v>0</v>
      </c>
      <c r="AJ2597">
        <v>172.75</v>
      </c>
      <c r="AK2597">
        <v>0</v>
      </c>
      <c r="AL2597" t="s">
        <v>53</v>
      </c>
      <c r="AM2597" t="s">
        <v>53</v>
      </c>
      <c r="AN2597" t="s">
        <v>53</v>
      </c>
      <c r="AO2597" t="s">
        <v>53</v>
      </c>
      <c r="AP2597" t="s">
        <v>53</v>
      </c>
    </row>
    <row r="2598" spans="2:42" x14ac:dyDescent="0.2">
      <c r="B2598" t="s">
        <v>44</v>
      </c>
      <c r="C2598" t="str">
        <f>HYPERLINK("https://us2.cloudbeds.com/connect/8493803454333002#/reservations/2914635018378?display=22CRMESP5&amp;reservation_id=2914635018378", "22CRMESP5")</f>
        <v>22CRMESP5</v>
      </c>
      <c r="D2598" t="s">
        <v>45</v>
      </c>
      <c r="E2598" t="s">
        <v>98</v>
      </c>
      <c r="F2598" t="s">
        <v>86</v>
      </c>
      <c r="G2598" t="s">
        <v>48</v>
      </c>
      <c r="H2598" t="s">
        <v>49</v>
      </c>
      <c r="I2598" t="s">
        <v>62</v>
      </c>
      <c r="J2598" t="s">
        <v>3031</v>
      </c>
      <c r="K2598" t="s">
        <v>1900</v>
      </c>
      <c r="L2598" t="s">
        <v>53</v>
      </c>
      <c r="N2598" t="s">
        <v>4125</v>
      </c>
      <c r="P2598" t="s">
        <v>55</v>
      </c>
      <c r="R2598" t="s">
        <v>56</v>
      </c>
      <c r="T2598" t="s">
        <v>4126</v>
      </c>
      <c r="U2598" t="s">
        <v>55</v>
      </c>
      <c r="V2598">
        <v>1</v>
      </c>
      <c r="W2598">
        <v>1</v>
      </c>
      <c r="X2598">
        <v>2</v>
      </c>
      <c r="Y2598">
        <v>0</v>
      </c>
      <c r="Z2598">
        <v>2</v>
      </c>
      <c r="AA2598">
        <v>0</v>
      </c>
      <c r="AB2598">
        <v>227.3</v>
      </c>
      <c r="AC2598">
        <v>200</v>
      </c>
      <c r="AD2598">
        <v>0</v>
      </c>
      <c r="AE2598">
        <v>27.3</v>
      </c>
      <c r="AF2598">
        <v>0</v>
      </c>
      <c r="AG2598">
        <v>0</v>
      </c>
      <c r="AH2598">
        <v>0</v>
      </c>
      <c r="AI2598">
        <v>34.1</v>
      </c>
      <c r="AJ2598">
        <v>227.3</v>
      </c>
      <c r="AK2598">
        <v>0</v>
      </c>
      <c r="AL2598" t="s">
        <v>53</v>
      </c>
      <c r="AM2598" t="s">
        <v>53</v>
      </c>
      <c r="AN2598" t="s">
        <v>53</v>
      </c>
      <c r="AO2598" t="s">
        <v>53</v>
      </c>
      <c r="AP2598" t="s">
        <v>53</v>
      </c>
    </row>
    <row r="2599" spans="2:42" x14ac:dyDescent="0.2">
      <c r="B2599" t="s">
        <v>44</v>
      </c>
      <c r="C2599" t="str">
        <f>HYPERLINK("https://us2.cloudbeds.com/connect/8493803454333002#/reservations/2914635022464?display=22CRMESQQ&amp;reservation_id=2914635022464", "22CRMESQQ")</f>
        <v>22CRMESQQ</v>
      </c>
      <c r="D2599" t="s">
        <v>45</v>
      </c>
      <c r="E2599" t="s">
        <v>128</v>
      </c>
      <c r="F2599" t="s">
        <v>86</v>
      </c>
      <c r="G2599" t="s">
        <v>48</v>
      </c>
      <c r="H2599" t="s">
        <v>49</v>
      </c>
      <c r="I2599" t="s">
        <v>50</v>
      </c>
      <c r="J2599" t="s">
        <v>1863</v>
      </c>
      <c r="K2599" t="s">
        <v>1767</v>
      </c>
      <c r="L2599" t="s">
        <v>53</v>
      </c>
      <c r="N2599" t="s">
        <v>4127</v>
      </c>
      <c r="P2599" t="s">
        <v>55</v>
      </c>
      <c r="R2599" t="s">
        <v>53</v>
      </c>
      <c r="T2599" t="s">
        <v>4128</v>
      </c>
      <c r="U2599" t="s">
        <v>58</v>
      </c>
      <c r="V2599">
        <v>3</v>
      </c>
      <c r="W2599">
        <v>1</v>
      </c>
      <c r="X2599">
        <v>2</v>
      </c>
      <c r="Y2599">
        <v>0</v>
      </c>
      <c r="Z2599">
        <v>2</v>
      </c>
      <c r="AA2599">
        <v>0</v>
      </c>
      <c r="AB2599">
        <v>485.29</v>
      </c>
      <c r="AC2599">
        <v>427</v>
      </c>
      <c r="AD2599">
        <v>0</v>
      </c>
      <c r="AE2599">
        <v>58.29</v>
      </c>
      <c r="AF2599">
        <v>0</v>
      </c>
      <c r="AG2599">
        <v>0</v>
      </c>
      <c r="AH2599">
        <v>0</v>
      </c>
      <c r="AI2599">
        <v>87.35</v>
      </c>
      <c r="AJ2599">
        <v>485.29</v>
      </c>
      <c r="AK2599">
        <v>0</v>
      </c>
      <c r="AL2599" t="s">
        <v>53</v>
      </c>
      <c r="AM2599" t="s">
        <v>53</v>
      </c>
      <c r="AN2599" t="s">
        <v>53</v>
      </c>
      <c r="AO2599" t="s">
        <v>53</v>
      </c>
      <c r="AP2599" t="s">
        <v>53</v>
      </c>
    </row>
    <row r="2600" spans="2:42" x14ac:dyDescent="0.2">
      <c r="B2600" t="s">
        <v>44</v>
      </c>
      <c r="C2600" t="str">
        <f>HYPERLINK("https://us2.cloudbeds.com/connect/8493803454333002#/reservations/3109110263951?display=26VDW48FV&amp;reservation_id=3109110263951", "26VDW48FV")</f>
        <v>26VDW48FV</v>
      </c>
      <c r="D2600" t="s">
        <v>45</v>
      </c>
      <c r="E2600" t="s">
        <v>4129</v>
      </c>
      <c r="F2600" t="s">
        <v>47</v>
      </c>
      <c r="G2600" t="s">
        <v>48</v>
      </c>
      <c r="H2600" t="s">
        <v>3957</v>
      </c>
      <c r="I2600" t="s">
        <v>3958</v>
      </c>
      <c r="J2600" t="s">
        <v>1478</v>
      </c>
      <c r="K2600" t="s">
        <v>3514</v>
      </c>
      <c r="L2600" t="s">
        <v>53</v>
      </c>
      <c r="O2600" t="s">
        <v>4130</v>
      </c>
      <c r="P2600" t="s">
        <v>55</v>
      </c>
      <c r="R2600" t="s">
        <v>56</v>
      </c>
      <c r="T2600" t="s">
        <v>4131</v>
      </c>
      <c r="U2600" t="s">
        <v>58</v>
      </c>
      <c r="V2600">
        <v>2</v>
      </c>
      <c r="W2600">
        <v>2</v>
      </c>
      <c r="X2600">
        <v>2</v>
      </c>
      <c r="Y2600">
        <v>0</v>
      </c>
      <c r="Z2600">
        <v>2</v>
      </c>
      <c r="AA2600">
        <v>0</v>
      </c>
      <c r="AB2600">
        <v>231.86</v>
      </c>
      <c r="AC2600">
        <v>204</v>
      </c>
      <c r="AD2600">
        <v>0</v>
      </c>
      <c r="AE2600">
        <v>27.86</v>
      </c>
      <c r="AF2600">
        <v>0</v>
      </c>
      <c r="AG2600">
        <v>0</v>
      </c>
      <c r="AH2600">
        <v>0</v>
      </c>
      <c r="AI2600">
        <v>0</v>
      </c>
      <c r="AJ2600">
        <v>231.86</v>
      </c>
      <c r="AK2600">
        <v>0</v>
      </c>
      <c r="AL2600" t="s">
        <v>53</v>
      </c>
      <c r="AM2600" t="s">
        <v>53</v>
      </c>
      <c r="AN2600" t="s">
        <v>53</v>
      </c>
      <c r="AO2600" t="s">
        <v>53</v>
      </c>
      <c r="AP2600" t="s">
        <v>53</v>
      </c>
    </row>
    <row r="2601" spans="2:42" x14ac:dyDescent="0.2">
      <c r="B2601" t="s">
        <v>44</v>
      </c>
      <c r="C2601" t="str">
        <f>HYPERLINK("https://us2.cloudbeds.com/connect/8493803454333002#/reservations/3125862252705?display=27BD0S18Q&amp;reservation_id=3125862252705", "27BD0S18Q")</f>
        <v>27BD0S18Q</v>
      </c>
      <c r="D2601" t="s">
        <v>45</v>
      </c>
      <c r="E2601" t="s">
        <v>92</v>
      </c>
      <c r="F2601" t="s">
        <v>86</v>
      </c>
      <c r="G2601" t="s">
        <v>48</v>
      </c>
      <c r="H2601" t="s">
        <v>49</v>
      </c>
      <c r="I2601" t="s">
        <v>62</v>
      </c>
      <c r="J2601" t="s">
        <v>3031</v>
      </c>
      <c r="K2601" t="s">
        <v>1296</v>
      </c>
      <c r="L2601" t="s">
        <v>53</v>
      </c>
      <c r="N2601" t="s">
        <v>4132</v>
      </c>
      <c r="P2601" t="s">
        <v>55</v>
      </c>
      <c r="R2601" t="s">
        <v>1445</v>
      </c>
      <c r="T2601" t="s">
        <v>4133</v>
      </c>
      <c r="U2601" t="s">
        <v>55</v>
      </c>
      <c r="V2601">
        <v>2</v>
      </c>
      <c r="W2601">
        <v>1</v>
      </c>
      <c r="X2601">
        <v>2</v>
      </c>
      <c r="Y2601">
        <v>1</v>
      </c>
      <c r="Z2601">
        <v>3</v>
      </c>
      <c r="AA2601">
        <v>0</v>
      </c>
      <c r="AB2601">
        <v>454.6</v>
      </c>
      <c r="AC2601">
        <v>400</v>
      </c>
      <c r="AD2601">
        <v>0</v>
      </c>
      <c r="AE2601">
        <v>54.6</v>
      </c>
      <c r="AF2601">
        <v>0</v>
      </c>
      <c r="AG2601">
        <v>0</v>
      </c>
      <c r="AH2601">
        <v>0</v>
      </c>
      <c r="AI2601">
        <v>68.19</v>
      </c>
      <c r="AJ2601">
        <v>454.6</v>
      </c>
      <c r="AK2601">
        <v>0</v>
      </c>
      <c r="AL2601" t="s">
        <v>53</v>
      </c>
      <c r="AM2601" t="s">
        <v>53</v>
      </c>
      <c r="AN2601" t="s">
        <v>53</v>
      </c>
      <c r="AO2601" t="s">
        <v>53</v>
      </c>
      <c r="AP2601" t="s">
        <v>53</v>
      </c>
    </row>
    <row r="2602" spans="2:42" x14ac:dyDescent="0.2">
      <c r="B2602" t="s">
        <v>44</v>
      </c>
      <c r="C2602" t="str">
        <f>HYPERLINK("https://us2.cloudbeds.com/connect/8493803454333002#/reservations/3133344927915?display=27H67EGNE&amp;reservation_id=3133344927915", "27H67EGNE")</f>
        <v>27H67EGNE</v>
      </c>
      <c r="D2602" t="s">
        <v>45</v>
      </c>
      <c r="E2602" t="s">
        <v>110</v>
      </c>
      <c r="F2602" t="s">
        <v>47</v>
      </c>
      <c r="G2602" t="s">
        <v>48</v>
      </c>
      <c r="H2602" t="s">
        <v>49</v>
      </c>
      <c r="I2602" t="s">
        <v>50</v>
      </c>
      <c r="J2602" t="s">
        <v>2162</v>
      </c>
      <c r="K2602" t="s">
        <v>2384</v>
      </c>
      <c r="L2602" t="s">
        <v>53</v>
      </c>
      <c r="N2602" t="s">
        <v>4134</v>
      </c>
      <c r="P2602" t="s">
        <v>55</v>
      </c>
      <c r="R2602" t="s">
        <v>53</v>
      </c>
      <c r="T2602" t="s">
        <v>4135</v>
      </c>
      <c r="U2602" t="s">
        <v>58</v>
      </c>
      <c r="V2602">
        <v>1</v>
      </c>
      <c r="W2602">
        <v>1</v>
      </c>
      <c r="X2602">
        <v>1</v>
      </c>
      <c r="Y2602">
        <v>0</v>
      </c>
      <c r="Z2602">
        <v>1</v>
      </c>
      <c r="AA2602">
        <v>0</v>
      </c>
      <c r="AB2602">
        <v>157.97999999999999</v>
      </c>
      <c r="AC2602">
        <v>139</v>
      </c>
      <c r="AD2602">
        <v>0</v>
      </c>
      <c r="AE2602">
        <v>18.98</v>
      </c>
      <c r="AF2602">
        <v>0</v>
      </c>
      <c r="AG2602">
        <v>0</v>
      </c>
      <c r="AH2602">
        <v>0</v>
      </c>
      <c r="AI2602">
        <v>28.44</v>
      </c>
      <c r="AJ2602">
        <v>157.97999999999999</v>
      </c>
      <c r="AK2602">
        <v>0</v>
      </c>
      <c r="AL2602" t="s">
        <v>53</v>
      </c>
      <c r="AM2602" t="s">
        <v>53</v>
      </c>
      <c r="AN2602" t="s">
        <v>53</v>
      </c>
      <c r="AO2602" t="s">
        <v>53</v>
      </c>
      <c r="AP2602" t="s">
        <v>53</v>
      </c>
    </row>
    <row r="2603" spans="2:42" x14ac:dyDescent="0.2">
      <c r="B2603" t="s">
        <v>44</v>
      </c>
      <c r="C2603" t="str">
        <f>HYPERLINK("https://us2.cloudbeds.com/connect/8493803454333002#/reservations/3144925655195?display=27Q54KAC4&amp;reservation_id=3144925655195", "27Q54KAC4")</f>
        <v>27Q54KAC4</v>
      </c>
      <c r="D2603" t="s">
        <v>45</v>
      </c>
      <c r="E2603" t="s">
        <v>213</v>
      </c>
      <c r="F2603" t="s">
        <v>86</v>
      </c>
      <c r="G2603" t="s">
        <v>48</v>
      </c>
      <c r="H2603" t="s">
        <v>49</v>
      </c>
      <c r="I2603" t="s">
        <v>50</v>
      </c>
      <c r="J2603" t="s">
        <v>2162</v>
      </c>
      <c r="K2603" t="s">
        <v>2384</v>
      </c>
      <c r="L2603" t="s">
        <v>53</v>
      </c>
      <c r="N2603" t="s">
        <v>4136</v>
      </c>
      <c r="P2603" t="s">
        <v>55</v>
      </c>
      <c r="R2603" t="s">
        <v>53</v>
      </c>
      <c r="T2603" t="s">
        <v>4137</v>
      </c>
      <c r="U2603" t="s">
        <v>58</v>
      </c>
      <c r="V2603">
        <v>1</v>
      </c>
      <c r="W2603">
        <v>1</v>
      </c>
      <c r="X2603">
        <v>2</v>
      </c>
      <c r="Y2603">
        <v>0</v>
      </c>
      <c r="Z2603">
        <v>2</v>
      </c>
      <c r="AA2603">
        <v>0</v>
      </c>
      <c r="AB2603">
        <v>178.43</v>
      </c>
      <c r="AC2603">
        <v>157</v>
      </c>
      <c r="AD2603">
        <v>0</v>
      </c>
      <c r="AE2603">
        <v>21.43</v>
      </c>
      <c r="AF2603">
        <v>0</v>
      </c>
      <c r="AG2603">
        <v>0</v>
      </c>
      <c r="AH2603">
        <v>0</v>
      </c>
      <c r="AI2603">
        <v>32.119999999999997</v>
      </c>
      <c r="AJ2603">
        <v>178.43</v>
      </c>
      <c r="AK2603">
        <v>0</v>
      </c>
      <c r="AL2603" t="s">
        <v>53</v>
      </c>
      <c r="AM2603" t="s">
        <v>53</v>
      </c>
      <c r="AN2603" t="s">
        <v>53</v>
      </c>
      <c r="AO2603" t="s">
        <v>53</v>
      </c>
      <c r="AP2603" t="s">
        <v>53</v>
      </c>
    </row>
    <row r="2604" spans="2:42" x14ac:dyDescent="0.2">
      <c r="B2604" t="s">
        <v>44</v>
      </c>
      <c r="C2604" t="str">
        <f>HYPERLINK("https://us2.cloudbeds.com/connect/8493803454333002#/reservations/3168992907422?display=28BQ3P2QM&amp;reservation_id=3168992907422", "28BQ3P2QM")</f>
        <v>28BQ3P2QM</v>
      </c>
      <c r="D2604" t="s">
        <v>45</v>
      </c>
      <c r="E2604" t="s">
        <v>373</v>
      </c>
      <c r="F2604" t="s">
        <v>47</v>
      </c>
      <c r="G2604" t="s">
        <v>48</v>
      </c>
      <c r="H2604" t="s">
        <v>49</v>
      </c>
      <c r="I2604" t="s">
        <v>50</v>
      </c>
      <c r="J2604" t="s">
        <v>1515</v>
      </c>
      <c r="K2604" t="s">
        <v>2163</v>
      </c>
      <c r="L2604" t="s">
        <v>53</v>
      </c>
      <c r="N2604" t="s">
        <v>4138</v>
      </c>
      <c r="P2604" t="s">
        <v>55</v>
      </c>
      <c r="R2604" t="s">
        <v>53</v>
      </c>
      <c r="T2604" t="s">
        <v>4139</v>
      </c>
      <c r="U2604" t="s">
        <v>58</v>
      </c>
      <c r="V2604">
        <v>3</v>
      </c>
      <c r="W2604">
        <v>1</v>
      </c>
      <c r="X2604">
        <v>2</v>
      </c>
      <c r="Y2604">
        <v>0</v>
      </c>
      <c r="Z2604">
        <v>2</v>
      </c>
      <c r="AA2604">
        <v>0</v>
      </c>
      <c r="AB2604">
        <v>458.03</v>
      </c>
      <c r="AC2604">
        <v>403</v>
      </c>
      <c r="AD2604">
        <v>0</v>
      </c>
      <c r="AE2604">
        <v>55.03</v>
      </c>
      <c r="AF2604">
        <v>0</v>
      </c>
      <c r="AG2604">
        <v>0</v>
      </c>
      <c r="AH2604">
        <v>0</v>
      </c>
      <c r="AI2604">
        <v>82.45</v>
      </c>
      <c r="AJ2604">
        <v>458.03</v>
      </c>
      <c r="AK2604">
        <v>0</v>
      </c>
      <c r="AL2604" t="s">
        <v>53</v>
      </c>
      <c r="AM2604" t="s">
        <v>53</v>
      </c>
      <c r="AN2604" t="s">
        <v>53</v>
      </c>
      <c r="AO2604" t="s">
        <v>53</v>
      </c>
      <c r="AP2604" t="s">
        <v>53</v>
      </c>
    </row>
    <row r="2605" spans="2:42" x14ac:dyDescent="0.2">
      <c r="B2605" t="s">
        <v>44</v>
      </c>
      <c r="C2605" t="str">
        <f>HYPERLINK("https://us2.cloudbeds.com/connect/8493803454333002#/reservations/3196189327522?display=28WS1GXY3&amp;reservation_id=3196189327522", "28WS1GXY3")</f>
        <v>28WS1GXY3</v>
      </c>
      <c r="D2605" t="s">
        <v>45</v>
      </c>
      <c r="E2605" t="s">
        <v>223</v>
      </c>
      <c r="F2605" t="s">
        <v>47</v>
      </c>
      <c r="G2605" t="s">
        <v>48</v>
      </c>
      <c r="H2605" t="s">
        <v>49</v>
      </c>
      <c r="I2605" t="s">
        <v>62</v>
      </c>
      <c r="J2605" t="s">
        <v>1664</v>
      </c>
      <c r="K2605" t="s">
        <v>1478</v>
      </c>
      <c r="L2605" t="s">
        <v>53</v>
      </c>
      <c r="N2605" t="s">
        <v>4140</v>
      </c>
      <c r="P2605" t="s">
        <v>55</v>
      </c>
      <c r="R2605" t="s">
        <v>56</v>
      </c>
      <c r="T2605" t="s">
        <v>4141</v>
      </c>
      <c r="U2605" t="s">
        <v>55</v>
      </c>
      <c r="V2605">
        <v>2</v>
      </c>
      <c r="W2605">
        <v>1</v>
      </c>
      <c r="X2605">
        <v>2</v>
      </c>
      <c r="Y2605">
        <v>0</v>
      </c>
      <c r="Z2605">
        <v>2</v>
      </c>
      <c r="AA2605">
        <v>0</v>
      </c>
      <c r="AB2605">
        <v>854.64</v>
      </c>
      <c r="AC2605">
        <v>376</v>
      </c>
      <c r="AD2605">
        <v>0</v>
      </c>
      <c r="AE2605">
        <v>51.32</v>
      </c>
      <c r="AF2605">
        <v>0</v>
      </c>
      <c r="AG2605">
        <v>0</v>
      </c>
      <c r="AH2605">
        <v>0</v>
      </c>
      <c r="AI2605">
        <v>64.099999999999994</v>
      </c>
      <c r="AJ2605">
        <v>427.32</v>
      </c>
      <c r="AK2605">
        <v>0</v>
      </c>
      <c r="AL2605" t="s">
        <v>53</v>
      </c>
      <c r="AM2605" t="s">
        <v>53</v>
      </c>
      <c r="AN2605" t="s">
        <v>53</v>
      </c>
      <c r="AO2605" t="s">
        <v>53</v>
      </c>
      <c r="AP2605" t="s">
        <v>53</v>
      </c>
    </row>
    <row r="2606" spans="2:42" x14ac:dyDescent="0.2">
      <c r="B2606" t="s">
        <v>44</v>
      </c>
      <c r="C2606" t="str">
        <f>HYPERLINK("https://us2.cloudbeds.com/connect/8493803454333002#/reservations/3216713384128?display=29FZFUJ76&amp;reservation_id=3216713384128", "29FZFUJ76")</f>
        <v>29FZFUJ76</v>
      </c>
      <c r="D2606" t="s">
        <v>45</v>
      </c>
      <c r="E2606" t="s">
        <v>305</v>
      </c>
      <c r="F2606" t="s">
        <v>61</v>
      </c>
      <c r="G2606" t="s">
        <v>48</v>
      </c>
      <c r="H2606" t="s">
        <v>3957</v>
      </c>
      <c r="I2606" t="s">
        <v>3958</v>
      </c>
      <c r="J2606" t="s">
        <v>3031</v>
      </c>
      <c r="K2606" t="s">
        <v>1900</v>
      </c>
      <c r="L2606" t="s">
        <v>53</v>
      </c>
      <c r="O2606" t="s">
        <v>4142</v>
      </c>
      <c r="P2606" t="s">
        <v>55</v>
      </c>
      <c r="R2606" t="s">
        <v>56</v>
      </c>
      <c r="T2606" t="s">
        <v>4143</v>
      </c>
      <c r="U2606" t="s">
        <v>58</v>
      </c>
      <c r="V2606">
        <v>1</v>
      </c>
      <c r="W2606">
        <v>1</v>
      </c>
      <c r="X2606">
        <v>1</v>
      </c>
      <c r="Y2606">
        <v>0</v>
      </c>
      <c r="Z2606">
        <v>1</v>
      </c>
      <c r="AA2606">
        <v>0</v>
      </c>
      <c r="AB2606">
        <v>218.21</v>
      </c>
      <c r="AC2606">
        <v>192</v>
      </c>
      <c r="AD2606">
        <v>0</v>
      </c>
      <c r="AE2606">
        <v>26.21</v>
      </c>
      <c r="AF2606">
        <v>0</v>
      </c>
      <c r="AG2606">
        <v>0</v>
      </c>
      <c r="AH2606">
        <v>0</v>
      </c>
      <c r="AI2606">
        <v>0</v>
      </c>
      <c r="AJ2606">
        <v>218.21</v>
      </c>
      <c r="AK2606">
        <v>0</v>
      </c>
      <c r="AL2606" t="s">
        <v>53</v>
      </c>
      <c r="AM2606" t="s">
        <v>53</v>
      </c>
      <c r="AN2606" t="s">
        <v>53</v>
      </c>
      <c r="AO2606" t="s">
        <v>53</v>
      </c>
      <c r="AP2606" t="s">
        <v>53</v>
      </c>
    </row>
    <row r="2607" spans="2:42" x14ac:dyDescent="0.2">
      <c r="B2607" t="s">
        <v>44</v>
      </c>
      <c r="C2607" t="str">
        <f>HYPERLINK("https://us2.cloudbeds.com/connect/8493803454333002#/reservations/3259627483328?display=2AFW17YHM&amp;reservation_id=3259627483328", "2AFW17YHM")</f>
        <v>2AFW17YHM</v>
      </c>
      <c r="D2607" t="s">
        <v>45</v>
      </c>
      <c r="E2607" t="s">
        <v>46</v>
      </c>
      <c r="F2607" t="s">
        <v>47</v>
      </c>
      <c r="G2607" t="s">
        <v>48</v>
      </c>
      <c r="H2607" t="s">
        <v>49</v>
      </c>
      <c r="I2607" t="s">
        <v>62</v>
      </c>
      <c r="J2607" t="s">
        <v>1478</v>
      </c>
      <c r="K2607" t="s">
        <v>3514</v>
      </c>
      <c r="L2607" t="s">
        <v>53</v>
      </c>
      <c r="N2607" t="s">
        <v>4144</v>
      </c>
      <c r="P2607" t="s">
        <v>55</v>
      </c>
      <c r="R2607" t="s">
        <v>56</v>
      </c>
      <c r="T2607" t="s">
        <v>4145</v>
      </c>
      <c r="U2607" t="s">
        <v>55</v>
      </c>
      <c r="V2607">
        <v>1</v>
      </c>
      <c r="W2607">
        <v>1</v>
      </c>
      <c r="X2607">
        <v>2</v>
      </c>
      <c r="Y2607">
        <v>0</v>
      </c>
      <c r="Z2607">
        <v>2</v>
      </c>
      <c r="AA2607">
        <v>0</v>
      </c>
      <c r="AB2607">
        <v>120.47</v>
      </c>
      <c r="AC2607">
        <v>106</v>
      </c>
      <c r="AD2607">
        <v>0</v>
      </c>
      <c r="AE2607">
        <v>14.47</v>
      </c>
      <c r="AF2607">
        <v>0</v>
      </c>
      <c r="AG2607">
        <v>0</v>
      </c>
      <c r="AH2607">
        <v>0</v>
      </c>
      <c r="AI2607">
        <v>18.07</v>
      </c>
      <c r="AJ2607">
        <v>120.47</v>
      </c>
      <c r="AK2607">
        <v>0</v>
      </c>
      <c r="AL2607" t="s">
        <v>53</v>
      </c>
      <c r="AM2607" t="s">
        <v>53</v>
      </c>
      <c r="AN2607" t="s">
        <v>53</v>
      </c>
      <c r="AO2607" t="s">
        <v>53</v>
      </c>
      <c r="AP2607" t="s">
        <v>53</v>
      </c>
    </row>
    <row r="2608" spans="2:42" x14ac:dyDescent="0.2">
      <c r="B2608" t="s">
        <v>44</v>
      </c>
      <c r="C2608" t="str">
        <f>HYPERLINK("https://us2.cloudbeds.com/connect/8493803454333002#/reservations/3268652810434?display=2AMVYKQ8Y&amp;reservation_id=3268652810434", "2AMVYKQ8Y")</f>
        <v>2AMVYKQ8Y</v>
      </c>
      <c r="D2608" t="s">
        <v>45</v>
      </c>
      <c r="E2608" t="s">
        <v>223</v>
      </c>
      <c r="F2608" t="s">
        <v>47</v>
      </c>
      <c r="G2608" t="s">
        <v>48</v>
      </c>
      <c r="H2608" t="s">
        <v>49</v>
      </c>
      <c r="I2608" t="s">
        <v>62</v>
      </c>
      <c r="J2608" t="s">
        <v>1501</v>
      </c>
      <c r="K2608" t="s">
        <v>1611</v>
      </c>
      <c r="L2608" t="s">
        <v>53</v>
      </c>
      <c r="N2608" t="s">
        <v>4146</v>
      </c>
      <c r="P2608" t="s">
        <v>58</v>
      </c>
      <c r="R2608" t="s">
        <v>56</v>
      </c>
      <c r="T2608" t="s">
        <v>4147</v>
      </c>
      <c r="U2608" t="s">
        <v>55</v>
      </c>
      <c r="V2608">
        <v>1</v>
      </c>
      <c r="W2608">
        <v>1</v>
      </c>
      <c r="X2608">
        <v>2</v>
      </c>
      <c r="Y2608">
        <v>0</v>
      </c>
      <c r="Z2608">
        <v>2</v>
      </c>
      <c r="AA2608">
        <v>0</v>
      </c>
      <c r="AB2608">
        <v>159.11000000000001</v>
      </c>
      <c r="AC2608">
        <v>140</v>
      </c>
      <c r="AD2608">
        <v>0</v>
      </c>
      <c r="AE2608">
        <v>19.11</v>
      </c>
      <c r="AF2608">
        <v>0</v>
      </c>
      <c r="AG2608">
        <v>0</v>
      </c>
      <c r="AH2608">
        <v>0</v>
      </c>
      <c r="AI2608">
        <v>23.87</v>
      </c>
      <c r="AJ2608">
        <v>159.11000000000001</v>
      </c>
      <c r="AK2608">
        <v>0</v>
      </c>
      <c r="AL2608" t="s">
        <v>53</v>
      </c>
      <c r="AM2608" t="s">
        <v>53</v>
      </c>
      <c r="AN2608" t="s">
        <v>53</v>
      </c>
      <c r="AO2608" t="s">
        <v>53</v>
      </c>
      <c r="AP2608" t="s">
        <v>53</v>
      </c>
    </row>
    <row r="2609" spans="2:42" x14ac:dyDescent="0.2">
      <c r="B2609" t="s">
        <v>44</v>
      </c>
      <c r="C2609" t="str">
        <f>HYPERLINK("https://us2.cloudbeds.com/connect/8493803454333002#/reservations/3302829772970?display=2BGDVX581&amp;reservation_id=3302829772970", "2BGDVX581")</f>
        <v>2BGDVX581</v>
      </c>
      <c r="D2609" t="s">
        <v>45</v>
      </c>
      <c r="E2609" t="s">
        <v>105</v>
      </c>
      <c r="F2609" t="s">
        <v>47</v>
      </c>
      <c r="G2609" t="s">
        <v>48</v>
      </c>
      <c r="H2609" t="s">
        <v>3957</v>
      </c>
      <c r="I2609" t="s">
        <v>3975</v>
      </c>
      <c r="J2609" t="s">
        <v>1900</v>
      </c>
      <c r="K2609" t="s">
        <v>1296</v>
      </c>
      <c r="L2609" t="s">
        <v>53</v>
      </c>
      <c r="P2609" t="s">
        <v>55</v>
      </c>
      <c r="R2609" t="s">
        <v>56</v>
      </c>
      <c r="T2609" t="s">
        <v>4148</v>
      </c>
      <c r="U2609" t="s">
        <v>58</v>
      </c>
      <c r="V2609">
        <v>1</v>
      </c>
      <c r="W2609">
        <v>1</v>
      </c>
      <c r="X2609">
        <v>1</v>
      </c>
      <c r="Y2609">
        <v>0</v>
      </c>
      <c r="Z2609">
        <v>1</v>
      </c>
      <c r="AA2609">
        <v>0</v>
      </c>
      <c r="AB2609">
        <v>201.16</v>
      </c>
      <c r="AC2609">
        <v>177</v>
      </c>
      <c r="AD2609">
        <v>0</v>
      </c>
      <c r="AE2609">
        <v>24.16</v>
      </c>
      <c r="AF2609">
        <v>0</v>
      </c>
      <c r="AG2609">
        <v>0</v>
      </c>
      <c r="AH2609">
        <v>0</v>
      </c>
      <c r="AI2609">
        <v>0</v>
      </c>
      <c r="AJ2609">
        <v>201.16</v>
      </c>
      <c r="AK2609">
        <v>0</v>
      </c>
      <c r="AL2609" t="s">
        <v>53</v>
      </c>
      <c r="AM2609" t="s">
        <v>53</v>
      </c>
      <c r="AN2609" t="s">
        <v>53</v>
      </c>
      <c r="AO2609" t="s">
        <v>53</v>
      </c>
      <c r="AP2609" t="s">
        <v>53</v>
      </c>
    </row>
    <row r="2610" spans="2:42" x14ac:dyDescent="0.2">
      <c r="B2610" t="s">
        <v>44</v>
      </c>
      <c r="C2610" t="str">
        <f>HYPERLINK("https://us2.cloudbeds.com/connect/8493803454333002#/reservations/3325672960167?display=2C13YHH0T&amp;reservation_id=3325672960167", "2C13YHH0T")</f>
        <v>2C13YHH0T</v>
      </c>
      <c r="D2610" t="s">
        <v>45</v>
      </c>
      <c r="E2610" t="s">
        <v>138</v>
      </c>
      <c r="F2610" t="s">
        <v>70</v>
      </c>
      <c r="G2610" t="s">
        <v>48</v>
      </c>
      <c r="H2610" t="s">
        <v>49</v>
      </c>
      <c r="I2610" t="s">
        <v>62</v>
      </c>
      <c r="J2610" t="s">
        <v>1900</v>
      </c>
      <c r="K2610" t="s">
        <v>1296</v>
      </c>
      <c r="L2610" t="s">
        <v>53</v>
      </c>
      <c r="N2610" t="s">
        <v>4149</v>
      </c>
      <c r="P2610" t="s">
        <v>55</v>
      </c>
      <c r="R2610" t="s">
        <v>56</v>
      </c>
      <c r="T2610" t="s">
        <v>4150</v>
      </c>
      <c r="U2610" t="s">
        <v>55</v>
      </c>
      <c r="V2610">
        <v>1</v>
      </c>
      <c r="W2610">
        <v>1</v>
      </c>
      <c r="X2610">
        <v>2</v>
      </c>
      <c r="Y2610">
        <v>0</v>
      </c>
      <c r="Z2610">
        <v>2</v>
      </c>
      <c r="AA2610">
        <v>0</v>
      </c>
      <c r="AB2610">
        <v>196.62</v>
      </c>
      <c r="AC2610">
        <v>173</v>
      </c>
      <c r="AD2610">
        <v>0</v>
      </c>
      <c r="AE2610">
        <v>23.62</v>
      </c>
      <c r="AF2610">
        <v>0</v>
      </c>
      <c r="AG2610">
        <v>0</v>
      </c>
      <c r="AH2610">
        <v>0</v>
      </c>
      <c r="AI2610">
        <v>29.49</v>
      </c>
      <c r="AJ2610">
        <v>196.62</v>
      </c>
      <c r="AK2610">
        <v>0</v>
      </c>
      <c r="AL2610" t="s">
        <v>53</v>
      </c>
      <c r="AM2610" t="s">
        <v>53</v>
      </c>
      <c r="AN2610" t="s">
        <v>53</v>
      </c>
      <c r="AO2610" t="s">
        <v>53</v>
      </c>
      <c r="AP2610" t="s">
        <v>53</v>
      </c>
    </row>
    <row r="2611" spans="2:42" x14ac:dyDescent="0.2">
      <c r="B2611" t="s">
        <v>44</v>
      </c>
      <c r="C2611" t="str">
        <f>HYPERLINK("https://us2.cloudbeds.com/connect/8493803454333002#/reservations/3436720910465?display=2EY363E5S&amp;reservation_id=3436720910465", "2EY363E5S")</f>
        <v>2EY363E5S</v>
      </c>
      <c r="D2611" t="s">
        <v>45</v>
      </c>
      <c r="E2611" t="s">
        <v>69</v>
      </c>
      <c r="F2611" t="s">
        <v>70</v>
      </c>
      <c r="G2611" t="s">
        <v>48</v>
      </c>
      <c r="H2611" t="s">
        <v>49</v>
      </c>
      <c r="I2611" t="s">
        <v>62</v>
      </c>
      <c r="J2611" t="s">
        <v>1660</v>
      </c>
      <c r="K2611" t="s">
        <v>3043</v>
      </c>
      <c r="L2611" t="s">
        <v>53</v>
      </c>
      <c r="N2611" t="s">
        <v>4151</v>
      </c>
      <c r="P2611" t="s">
        <v>55</v>
      </c>
      <c r="R2611" t="s">
        <v>56</v>
      </c>
      <c r="T2611" t="s">
        <v>4152</v>
      </c>
      <c r="U2611" t="s">
        <v>55</v>
      </c>
      <c r="V2611">
        <v>1</v>
      </c>
      <c r="W2611">
        <v>1</v>
      </c>
      <c r="X2611">
        <v>2</v>
      </c>
      <c r="Y2611">
        <v>0</v>
      </c>
      <c r="Z2611">
        <v>2</v>
      </c>
      <c r="AA2611">
        <v>0</v>
      </c>
      <c r="AB2611">
        <v>131.83000000000001</v>
      </c>
      <c r="AC2611">
        <v>116</v>
      </c>
      <c r="AD2611">
        <v>0</v>
      </c>
      <c r="AE2611">
        <v>15.83</v>
      </c>
      <c r="AF2611">
        <v>0</v>
      </c>
      <c r="AG2611">
        <v>0</v>
      </c>
      <c r="AH2611">
        <v>0</v>
      </c>
      <c r="AI2611">
        <v>19.77</v>
      </c>
      <c r="AJ2611">
        <v>131.83000000000001</v>
      </c>
      <c r="AK2611">
        <v>0</v>
      </c>
      <c r="AL2611" t="s">
        <v>53</v>
      </c>
      <c r="AM2611" t="s">
        <v>53</v>
      </c>
      <c r="AN2611" t="s">
        <v>53</v>
      </c>
      <c r="AO2611" t="s">
        <v>53</v>
      </c>
      <c r="AP2611" t="s">
        <v>53</v>
      </c>
    </row>
    <row r="2612" spans="2:42" x14ac:dyDescent="0.2">
      <c r="B2612" t="s">
        <v>44</v>
      </c>
      <c r="C2612" t="str">
        <f>HYPERLINK("https://us2.cloudbeds.com/connect/8493803454333002#/reservations/3455111741596?display=2F2B3ZDNU&amp;reservation_id=3455111741596", "2F2B3ZDNU")</f>
        <v>2F2B3ZDNU</v>
      </c>
      <c r="D2612" t="s">
        <v>45</v>
      </c>
      <c r="E2612" t="s">
        <v>185</v>
      </c>
      <c r="F2612" t="s">
        <v>47</v>
      </c>
      <c r="G2612" t="s">
        <v>48</v>
      </c>
      <c r="H2612" t="s">
        <v>49</v>
      </c>
      <c r="I2612" t="s">
        <v>50</v>
      </c>
      <c r="J2612" t="s">
        <v>3043</v>
      </c>
      <c r="K2612" t="s">
        <v>2469</v>
      </c>
      <c r="L2612" t="s">
        <v>53</v>
      </c>
      <c r="N2612" t="s">
        <v>4153</v>
      </c>
      <c r="P2612" t="s">
        <v>55</v>
      </c>
      <c r="R2612" t="s">
        <v>53</v>
      </c>
      <c r="T2612" t="s">
        <v>4154</v>
      </c>
      <c r="U2612" t="s">
        <v>58</v>
      </c>
      <c r="V2612">
        <v>1</v>
      </c>
      <c r="W2612">
        <v>1</v>
      </c>
      <c r="X2612">
        <v>1</v>
      </c>
      <c r="Y2612">
        <v>0</v>
      </c>
      <c r="Z2612">
        <v>1</v>
      </c>
      <c r="AA2612">
        <v>0</v>
      </c>
      <c r="AB2612">
        <v>148.88999999999999</v>
      </c>
      <c r="AC2612">
        <v>131</v>
      </c>
      <c r="AD2612">
        <v>0</v>
      </c>
      <c r="AE2612">
        <v>17.89</v>
      </c>
      <c r="AF2612">
        <v>0</v>
      </c>
      <c r="AG2612">
        <v>0</v>
      </c>
      <c r="AH2612">
        <v>0</v>
      </c>
      <c r="AI2612">
        <v>26.8</v>
      </c>
      <c r="AJ2612">
        <v>148.88999999999999</v>
      </c>
      <c r="AK2612">
        <v>0</v>
      </c>
      <c r="AL2612" t="s">
        <v>53</v>
      </c>
      <c r="AM2612" t="s">
        <v>53</v>
      </c>
      <c r="AN2612" t="s">
        <v>53</v>
      </c>
      <c r="AO2612" t="s">
        <v>53</v>
      </c>
      <c r="AP2612" t="s">
        <v>53</v>
      </c>
    </row>
    <row r="2613" spans="2:42" x14ac:dyDescent="0.2">
      <c r="B2613" t="s">
        <v>44</v>
      </c>
      <c r="C2613" t="str">
        <f>HYPERLINK("https://us2.cloudbeds.com/connect/8493803454333002#/reservations/3532161613963?display=2GSWU7MU3&amp;reservation_id=3532161613963", "2GSWU7MU3")</f>
        <v>2GSWU7MU3</v>
      </c>
      <c r="D2613" t="s">
        <v>45</v>
      </c>
      <c r="E2613" t="s">
        <v>128</v>
      </c>
      <c r="F2613" t="s">
        <v>86</v>
      </c>
      <c r="G2613" t="s">
        <v>48</v>
      </c>
      <c r="H2613" t="s">
        <v>49</v>
      </c>
      <c r="I2613" t="s">
        <v>62</v>
      </c>
      <c r="J2613" t="s">
        <v>1501</v>
      </c>
      <c r="K2613" t="s">
        <v>3551</v>
      </c>
      <c r="L2613" t="s">
        <v>53</v>
      </c>
      <c r="N2613" t="s">
        <v>4155</v>
      </c>
      <c r="P2613" t="s">
        <v>55</v>
      </c>
      <c r="R2613" t="s">
        <v>56</v>
      </c>
      <c r="T2613" t="s">
        <v>4156</v>
      </c>
      <c r="U2613" t="s">
        <v>55</v>
      </c>
      <c r="V2613">
        <v>2</v>
      </c>
      <c r="W2613">
        <v>1</v>
      </c>
      <c r="X2613">
        <v>2</v>
      </c>
      <c r="Y2613">
        <v>0</v>
      </c>
      <c r="Z2613">
        <v>2</v>
      </c>
      <c r="AA2613">
        <v>0</v>
      </c>
      <c r="AB2613">
        <v>386.41</v>
      </c>
      <c r="AC2613">
        <v>340</v>
      </c>
      <c r="AD2613">
        <v>0</v>
      </c>
      <c r="AE2613">
        <v>46.41</v>
      </c>
      <c r="AF2613">
        <v>0</v>
      </c>
      <c r="AG2613">
        <v>0</v>
      </c>
      <c r="AH2613">
        <v>0</v>
      </c>
      <c r="AI2613">
        <v>57.96</v>
      </c>
      <c r="AJ2613">
        <v>386.41</v>
      </c>
      <c r="AK2613">
        <v>0</v>
      </c>
      <c r="AL2613" t="s">
        <v>53</v>
      </c>
      <c r="AM2613" t="s">
        <v>53</v>
      </c>
      <c r="AN2613" t="s">
        <v>53</v>
      </c>
      <c r="AO2613" t="s">
        <v>53</v>
      </c>
      <c r="AP2613" t="s">
        <v>53</v>
      </c>
    </row>
    <row r="2614" spans="2:42" x14ac:dyDescent="0.2">
      <c r="B2614" t="s">
        <v>44</v>
      </c>
      <c r="C2614" t="str">
        <f>HYPERLINK("https://us2.cloudbeds.com/connect/8493803454333002#/reservations/3532252704959?display=2GT281ECA&amp;reservation_id=3532252704959", "2GT281ECA")</f>
        <v>2GT281ECA</v>
      </c>
      <c r="D2614" t="s">
        <v>45</v>
      </c>
      <c r="E2614" t="s">
        <v>155</v>
      </c>
      <c r="F2614" t="s">
        <v>86</v>
      </c>
      <c r="G2614" t="s">
        <v>48</v>
      </c>
      <c r="H2614" t="s">
        <v>3957</v>
      </c>
      <c r="I2614" t="s">
        <v>3958</v>
      </c>
      <c r="J2614" t="s">
        <v>1900</v>
      </c>
      <c r="K2614" t="s">
        <v>1296</v>
      </c>
      <c r="L2614" t="s">
        <v>53</v>
      </c>
      <c r="P2614" t="s">
        <v>55</v>
      </c>
      <c r="R2614" t="s">
        <v>56</v>
      </c>
      <c r="T2614" t="s">
        <v>4157</v>
      </c>
      <c r="U2614" t="s">
        <v>58</v>
      </c>
      <c r="V2614">
        <v>1</v>
      </c>
      <c r="W2614">
        <v>1</v>
      </c>
      <c r="X2614">
        <v>1</v>
      </c>
      <c r="Y2614">
        <v>0</v>
      </c>
      <c r="Z2614">
        <v>1</v>
      </c>
      <c r="AA2614">
        <v>0</v>
      </c>
      <c r="AB2614">
        <v>226.17</v>
      </c>
      <c r="AC2614">
        <v>199</v>
      </c>
      <c r="AD2614">
        <v>0</v>
      </c>
      <c r="AE2614">
        <v>27.17</v>
      </c>
      <c r="AF2614">
        <v>0</v>
      </c>
      <c r="AG2614">
        <v>0</v>
      </c>
      <c r="AH2614">
        <v>0</v>
      </c>
      <c r="AI2614">
        <v>0</v>
      </c>
      <c r="AJ2614">
        <v>226.17</v>
      </c>
      <c r="AK2614">
        <v>0</v>
      </c>
      <c r="AL2614" t="s">
        <v>53</v>
      </c>
      <c r="AM2614" t="s">
        <v>53</v>
      </c>
      <c r="AN2614" t="s">
        <v>53</v>
      </c>
      <c r="AO2614" t="s">
        <v>53</v>
      </c>
      <c r="AP2614" t="s">
        <v>53</v>
      </c>
    </row>
    <row r="2615" spans="2:42" x14ac:dyDescent="0.2">
      <c r="B2615" t="s">
        <v>44</v>
      </c>
      <c r="C2615" t="str">
        <f>HYPERLINK("https://us2.cloudbeds.com/connect/8493803454333002#/reservations/3571675861150?display=2HQJJMSZ0&amp;reservation_id=3571675861150", "2HQJJMSZ0")</f>
        <v>2HQJJMSZ0</v>
      </c>
      <c r="D2615" t="s">
        <v>45</v>
      </c>
      <c r="E2615" t="s">
        <v>69</v>
      </c>
      <c r="F2615" t="s">
        <v>70</v>
      </c>
      <c r="G2615" t="s">
        <v>48</v>
      </c>
      <c r="H2615" t="s">
        <v>49</v>
      </c>
      <c r="I2615" t="s">
        <v>62</v>
      </c>
      <c r="J2615" t="s">
        <v>4158</v>
      </c>
      <c r="K2615" t="s">
        <v>4159</v>
      </c>
      <c r="L2615" t="s">
        <v>53</v>
      </c>
      <c r="N2615" t="s">
        <v>4160</v>
      </c>
      <c r="P2615" t="s">
        <v>55</v>
      </c>
      <c r="R2615" t="s">
        <v>56</v>
      </c>
      <c r="T2615" t="s">
        <v>4161</v>
      </c>
      <c r="U2615" t="s">
        <v>55</v>
      </c>
      <c r="V2615">
        <v>5</v>
      </c>
      <c r="W2615">
        <v>1</v>
      </c>
      <c r="X2615">
        <v>2</v>
      </c>
      <c r="Y2615">
        <v>0</v>
      </c>
      <c r="Z2615">
        <v>2</v>
      </c>
      <c r="AA2615">
        <v>580.79999999999995</v>
      </c>
      <c r="AB2615">
        <v>660.08</v>
      </c>
      <c r="AC2615">
        <v>580.79999999999995</v>
      </c>
      <c r="AD2615">
        <v>0</v>
      </c>
      <c r="AE2615">
        <v>79.28</v>
      </c>
      <c r="AF2615">
        <v>0</v>
      </c>
      <c r="AG2615">
        <v>0</v>
      </c>
      <c r="AH2615">
        <v>0</v>
      </c>
      <c r="AI2615">
        <v>118.81</v>
      </c>
      <c r="AJ2615">
        <v>660.08</v>
      </c>
      <c r="AK2615">
        <v>0</v>
      </c>
      <c r="AL2615" t="s">
        <v>53</v>
      </c>
      <c r="AM2615" t="s">
        <v>53</v>
      </c>
      <c r="AN2615" t="s">
        <v>53</v>
      </c>
      <c r="AO2615" t="s">
        <v>53</v>
      </c>
      <c r="AP2615" t="s">
        <v>53</v>
      </c>
    </row>
    <row r="2616" spans="2:42" x14ac:dyDescent="0.2">
      <c r="B2616" t="s">
        <v>44</v>
      </c>
      <c r="C2616" t="str">
        <f>HYPERLINK("https://us2.cloudbeds.com/connect/8493803454333002#/reservations/3595378491546?display=2XBV8CGX5&amp;reservation_id=3595378491546", "2XBV8CGX5")</f>
        <v>2XBV8CGX5</v>
      </c>
      <c r="D2616" t="s">
        <v>45</v>
      </c>
      <c r="E2616" t="s">
        <v>98</v>
      </c>
      <c r="F2616" t="s">
        <v>86</v>
      </c>
      <c r="G2616" t="s">
        <v>48</v>
      </c>
      <c r="H2616" t="s">
        <v>3957</v>
      </c>
      <c r="I2616" t="s">
        <v>3958</v>
      </c>
      <c r="J2616" t="s">
        <v>1900</v>
      </c>
      <c r="K2616" t="s">
        <v>1296</v>
      </c>
      <c r="L2616" t="s">
        <v>53</v>
      </c>
      <c r="P2616" t="s">
        <v>55</v>
      </c>
      <c r="R2616" t="s">
        <v>56</v>
      </c>
      <c r="T2616" t="s">
        <v>4162</v>
      </c>
      <c r="U2616" t="s">
        <v>58</v>
      </c>
      <c r="V2616">
        <v>1</v>
      </c>
      <c r="W2616">
        <v>1</v>
      </c>
      <c r="X2616">
        <v>1</v>
      </c>
      <c r="Y2616">
        <v>0</v>
      </c>
      <c r="Z2616">
        <v>1</v>
      </c>
      <c r="AA2616">
        <v>0</v>
      </c>
      <c r="AB2616">
        <v>226.17</v>
      </c>
      <c r="AC2616">
        <v>199</v>
      </c>
      <c r="AD2616">
        <v>0</v>
      </c>
      <c r="AE2616">
        <v>27.17</v>
      </c>
      <c r="AF2616">
        <v>0</v>
      </c>
      <c r="AG2616">
        <v>0</v>
      </c>
      <c r="AH2616">
        <v>0</v>
      </c>
      <c r="AI2616">
        <v>0</v>
      </c>
      <c r="AJ2616">
        <v>226.17</v>
      </c>
      <c r="AK2616">
        <v>0</v>
      </c>
      <c r="AL2616" t="s">
        <v>53</v>
      </c>
      <c r="AM2616" t="s">
        <v>53</v>
      </c>
      <c r="AN2616" t="s">
        <v>53</v>
      </c>
      <c r="AO2616" t="s">
        <v>53</v>
      </c>
      <c r="AP2616" t="s">
        <v>53</v>
      </c>
    </row>
    <row r="2617" spans="2:42" x14ac:dyDescent="0.2">
      <c r="B2617" t="s">
        <v>44</v>
      </c>
      <c r="C2617" t="str">
        <f>HYPERLINK("https://us2.cloudbeds.com/connect/8493803454333002#/reservations/3611643154655?display=2XZHS5Z17&amp;reservation_id=3611643154655", "2XZHS5Z17")</f>
        <v>2XZHS5Z17</v>
      </c>
      <c r="D2617" t="s">
        <v>45</v>
      </c>
      <c r="E2617" t="s">
        <v>110</v>
      </c>
      <c r="F2617" t="s">
        <v>47</v>
      </c>
      <c r="G2617" t="s">
        <v>48</v>
      </c>
      <c r="H2617" t="s">
        <v>49</v>
      </c>
      <c r="I2617" t="s">
        <v>62</v>
      </c>
      <c r="J2617" t="s">
        <v>1660</v>
      </c>
      <c r="K2617" t="s">
        <v>3043</v>
      </c>
      <c r="L2617" t="s">
        <v>53</v>
      </c>
      <c r="N2617" t="s">
        <v>4163</v>
      </c>
      <c r="P2617" t="s">
        <v>55</v>
      </c>
      <c r="R2617" t="s">
        <v>56</v>
      </c>
      <c r="T2617" t="s">
        <v>4164</v>
      </c>
      <c r="U2617" t="s">
        <v>55</v>
      </c>
      <c r="V2617">
        <v>1</v>
      </c>
      <c r="W2617">
        <v>1</v>
      </c>
      <c r="X2617">
        <v>1</v>
      </c>
      <c r="Y2617">
        <v>0</v>
      </c>
      <c r="Z2617">
        <v>1</v>
      </c>
      <c r="AA2617">
        <v>0</v>
      </c>
      <c r="AB2617">
        <v>134.11000000000001</v>
      </c>
      <c r="AC2617">
        <v>118</v>
      </c>
      <c r="AD2617">
        <v>0</v>
      </c>
      <c r="AE2617">
        <v>16.11</v>
      </c>
      <c r="AF2617">
        <v>0</v>
      </c>
      <c r="AG2617">
        <v>0</v>
      </c>
      <c r="AH2617">
        <v>0</v>
      </c>
      <c r="AI2617">
        <v>20.12</v>
      </c>
      <c r="AJ2617">
        <v>134.11000000000001</v>
      </c>
      <c r="AK2617">
        <v>0</v>
      </c>
      <c r="AL2617" t="s">
        <v>53</v>
      </c>
      <c r="AM2617" t="s">
        <v>53</v>
      </c>
      <c r="AN2617" t="s">
        <v>53</v>
      </c>
      <c r="AO2617" t="s">
        <v>53</v>
      </c>
      <c r="AP2617" t="s">
        <v>53</v>
      </c>
    </row>
    <row r="2618" spans="2:42" x14ac:dyDescent="0.2">
      <c r="B2618" t="s">
        <v>44</v>
      </c>
      <c r="C2618" t="str">
        <f>HYPERLINK("https://us2.cloudbeds.com/connect/8493803454333002#/reservations/3848310812837?display=2Z9Q8K69S&amp;reservation_id=3848310812837", "2Z9Q8K69S")</f>
        <v>2Z9Q8K69S</v>
      </c>
      <c r="D2618" t="s">
        <v>45</v>
      </c>
      <c r="E2618" t="s">
        <v>69</v>
      </c>
      <c r="F2618" t="s">
        <v>70</v>
      </c>
      <c r="G2618" t="s">
        <v>48</v>
      </c>
      <c r="H2618" t="s">
        <v>49</v>
      </c>
      <c r="I2618" t="s">
        <v>62</v>
      </c>
      <c r="J2618" t="s">
        <v>1296</v>
      </c>
      <c r="K2618" t="s">
        <v>1660</v>
      </c>
      <c r="L2618" t="s">
        <v>53</v>
      </c>
      <c r="N2618" t="s">
        <v>4165</v>
      </c>
      <c r="P2618" t="s">
        <v>55</v>
      </c>
      <c r="R2618" t="s">
        <v>56</v>
      </c>
      <c r="T2618" t="s">
        <v>4166</v>
      </c>
      <c r="U2618" t="s">
        <v>55</v>
      </c>
      <c r="V2618">
        <v>1</v>
      </c>
      <c r="W2618">
        <v>1</v>
      </c>
      <c r="X2618">
        <v>2</v>
      </c>
      <c r="Y2618">
        <v>0</v>
      </c>
      <c r="Z2618">
        <v>2</v>
      </c>
      <c r="AA2618">
        <v>0</v>
      </c>
      <c r="AB2618">
        <v>350.06</v>
      </c>
      <c r="AC2618">
        <v>154</v>
      </c>
      <c r="AD2618">
        <v>0</v>
      </c>
      <c r="AE2618">
        <v>21.03</v>
      </c>
      <c r="AF2618">
        <v>0</v>
      </c>
      <c r="AG2618">
        <v>0</v>
      </c>
      <c r="AH2618">
        <v>0</v>
      </c>
      <c r="AI2618">
        <v>26.25</v>
      </c>
      <c r="AJ2618">
        <v>175.03</v>
      </c>
      <c r="AK2618">
        <v>0</v>
      </c>
      <c r="AL2618" t="s">
        <v>53</v>
      </c>
      <c r="AM2618" t="s">
        <v>53</v>
      </c>
      <c r="AN2618" t="s">
        <v>53</v>
      </c>
      <c r="AO2618" t="s">
        <v>53</v>
      </c>
      <c r="AP2618" t="s">
        <v>53</v>
      </c>
    </row>
    <row r="2619" spans="2:42" x14ac:dyDescent="0.2">
      <c r="B2619" t="s">
        <v>44</v>
      </c>
      <c r="C2619" t="str">
        <f>HYPERLINK("https://us2.cloudbeds.com/connect/8493803454333002#/reservations/3859602608352?display=2ZXHQ51HH&amp;reservation_id=3859602608352", "2ZXHQ51HH")</f>
        <v>2ZXHQ51HH</v>
      </c>
      <c r="D2619" t="s">
        <v>45</v>
      </c>
      <c r="E2619" t="s">
        <v>165</v>
      </c>
      <c r="F2619" t="s">
        <v>61</v>
      </c>
      <c r="G2619" t="s">
        <v>48</v>
      </c>
      <c r="H2619" t="s">
        <v>49</v>
      </c>
      <c r="I2619" t="s">
        <v>50</v>
      </c>
      <c r="J2619" t="s">
        <v>1660</v>
      </c>
      <c r="K2619" t="s">
        <v>3043</v>
      </c>
      <c r="L2619" t="s">
        <v>53</v>
      </c>
      <c r="N2619" t="s">
        <v>4167</v>
      </c>
      <c r="P2619" t="s">
        <v>55</v>
      </c>
      <c r="R2619" t="s">
        <v>53</v>
      </c>
      <c r="T2619" t="s">
        <v>4168</v>
      </c>
      <c r="U2619" t="s">
        <v>58</v>
      </c>
      <c r="V2619">
        <v>1</v>
      </c>
      <c r="W2619">
        <v>1</v>
      </c>
      <c r="X2619">
        <v>2</v>
      </c>
      <c r="Y2619">
        <v>0</v>
      </c>
      <c r="Z2619">
        <v>2</v>
      </c>
      <c r="AA2619">
        <v>0</v>
      </c>
      <c r="AB2619">
        <v>138.66</v>
      </c>
      <c r="AC2619">
        <v>122</v>
      </c>
      <c r="AD2619">
        <v>0</v>
      </c>
      <c r="AE2619">
        <v>16.66</v>
      </c>
      <c r="AF2619">
        <v>0</v>
      </c>
      <c r="AG2619">
        <v>0</v>
      </c>
      <c r="AH2619">
        <v>0</v>
      </c>
      <c r="AI2619">
        <v>24.96</v>
      </c>
      <c r="AJ2619">
        <v>138.66</v>
      </c>
      <c r="AK2619">
        <v>0</v>
      </c>
      <c r="AL2619" t="s">
        <v>53</v>
      </c>
      <c r="AM2619" t="s">
        <v>53</v>
      </c>
      <c r="AN2619" t="s">
        <v>53</v>
      </c>
      <c r="AO2619" t="s">
        <v>53</v>
      </c>
      <c r="AP2619" t="s">
        <v>53</v>
      </c>
    </row>
    <row r="2620" spans="2:42" x14ac:dyDescent="0.2">
      <c r="B2620" t="s">
        <v>44</v>
      </c>
      <c r="C2620" t="str">
        <f>HYPERLINK("https://us2.cloudbeds.com/connect/8493803454333002#/reservations/3861206581411?display=2ZJPPYVNZ&amp;reservation_id=3861206581411", "2ZJPPYVNZ")</f>
        <v>2ZJPPYVNZ</v>
      </c>
      <c r="D2620" t="s">
        <v>45</v>
      </c>
      <c r="E2620" t="s">
        <v>165</v>
      </c>
      <c r="F2620" t="s">
        <v>61</v>
      </c>
      <c r="G2620" t="s">
        <v>48</v>
      </c>
      <c r="H2620" t="s">
        <v>49</v>
      </c>
      <c r="I2620" t="s">
        <v>50</v>
      </c>
      <c r="J2620" t="s">
        <v>1161</v>
      </c>
      <c r="K2620" t="s">
        <v>2014</v>
      </c>
      <c r="L2620" t="s">
        <v>53</v>
      </c>
      <c r="N2620" t="s">
        <v>4169</v>
      </c>
      <c r="P2620" t="s">
        <v>55</v>
      </c>
      <c r="R2620" t="s">
        <v>53</v>
      </c>
      <c r="T2620" t="s">
        <v>4170</v>
      </c>
      <c r="U2620" t="s">
        <v>58</v>
      </c>
      <c r="V2620">
        <v>1</v>
      </c>
      <c r="W2620">
        <v>1</v>
      </c>
      <c r="X2620">
        <v>2</v>
      </c>
      <c r="Y2620">
        <v>0</v>
      </c>
      <c r="Z2620">
        <v>2</v>
      </c>
      <c r="AA2620">
        <v>0</v>
      </c>
      <c r="AB2620">
        <v>194.35</v>
      </c>
      <c r="AC2620">
        <v>171</v>
      </c>
      <c r="AD2620">
        <v>0</v>
      </c>
      <c r="AE2620">
        <v>23.35</v>
      </c>
      <c r="AF2620">
        <v>0</v>
      </c>
      <c r="AG2620">
        <v>0</v>
      </c>
      <c r="AH2620">
        <v>0</v>
      </c>
      <c r="AI2620">
        <v>34.979999999999997</v>
      </c>
      <c r="AJ2620">
        <v>194.35</v>
      </c>
      <c r="AK2620">
        <v>0</v>
      </c>
      <c r="AL2620" t="s">
        <v>53</v>
      </c>
      <c r="AM2620" t="s">
        <v>53</v>
      </c>
      <c r="AN2620" t="s">
        <v>53</v>
      </c>
      <c r="AO2620" t="s">
        <v>53</v>
      </c>
      <c r="AP2620" t="s">
        <v>53</v>
      </c>
    </row>
    <row r="2621" spans="2:42" x14ac:dyDescent="0.2">
      <c r="B2621" t="s">
        <v>44</v>
      </c>
      <c r="C2621" t="str">
        <f>HYPERLINK("https://us2.cloudbeds.com/connect/8493803454333002#/reservations/3861206585498?display=2ZJPPM2FJ&amp;reservation_id=3861206585498", "2ZJPPM2FJ")</f>
        <v>2ZJPPM2FJ</v>
      </c>
      <c r="D2621" t="s">
        <v>45</v>
      </c>
      <c r="E2621" t="s">
        <v>487</v>
      </c>
      <c r="F2621" t="s">
        <v>61</v>
      </c>
      <c r="G2621" t="s">
        <v>48</v>
      </c>
      <c r="H2621" t="s">
        <v>49</v>
      </c>
      <c r="I2621" t="s">
        <v>50</v>
      </c>
      <c r="J2621" t="s">
        <v>1140</v>
      </c>
      <c r="K2621" t="s">
        <v>2039</v>
      </c>
      <c r="L2621" t="s">
        <v>53</v>
      </c>
      <c r="N2621" t="s">
        <v>4171</v>
      </c>
      <c r="P2621" t="s">
        <v>55</v>
      </c>
      <c r="R2621" t="s">
        <v>53</v>
      </c>
      <c r="T2621" t="s">
        <v>4172</v>
      </c>
      <c r="U2621" t="s">
        <v>58</v>
      </c>
      <c r="V2621">
        <v>1</v>
      </c>
      <c r="W2621">
        <v>1</v>
      </c>
      <c r="X2621">
        <v>1</v>
      </c>
      <c r="Y2621">
        <v>0</v>
      </c>
      <c r="Z2621">
        <v>1</v>
      </c>
      <c r="AA2621">
        <v>0</v>
      </c>
      <c r="AB2621">
        <v>172.75</v>
      </c>
      <c r="AC2621">
        <v>152</v>
      </c>
      <c r="AD2621">
        <v>0</v>
      </c>
      <c r="AE2621">
        <v>20.75</v>
      </c>
      <c r="AF2621">
        <v>0</v>
      </c>
      <c r="AG2621">
        <v>0</v>
      </c>
      <c r="AH2621">
        <v>0</v>
      </c>
      <c r="AI2621">
        <v>31.1</v>
      </c>
      <c r="AJ2621">
        <v>172.75</v>
      </c>
      <c r="AK2621">
        <v>0</v>
      </c>
      <c r="AL2621" t="s">
        <v>53</v>
      </c>
      <c r="AM2621" t="s">
        <v>53</v>
      </c>
      <c r="AN2621" t="s">
        <v>53</v>
      </c>
      <c r="AO2621" t="s">
        <v>53</v>
      </c>
      <c r="AP2621" t="s">
        <v>53</v>
      </c>
    </row>
    <row r="2622" spans="2:42" x14ac:dyDescent="0.2">
      <c r="B2622" t="s">
        <v>44</v>
      </c>
      <c r="C2622" t="str">
        <f>HYPERLINK("https://us2.cloudbeds.com/connect/8493803454333002#/reservations/3915339034845?display=2PSMWJ92H&amp;reservation_id=3915339034845", "2PSMWJ92H")</f>
        <v>2PSMWJ92H</v>
      </c>
      <c r="D2622" t="s">
        <v>45</v>
      </c>
      <c r="E2622" t="s">
        <v>381</v>
      </c>
      <c r="F2622" t="s">
        <v>47</v>
      </c>
      <c r="G2622" t="s">
        <v>3974</v>
      </c>
      <c r="H2622" t="s">
        <v>3957</v>
      </c>
      <c r="I2622" t="s">
        <v>3975</v>
      </c>
      <c r="J2622" t="s">
        <v>1477</v>
      </c>
      <c r="K2622" t="s">
        <v>1665</v>
      </c>
      <c r="L2622" t="s">
        <v>53</v>
      </c>
      <c r="P2622" t="s">
        <v>55</v>
      </c>
      <c r="R2622" t="s">
        <v>56</v>
      </c>
      <c r="T2622" t="s">
        <v>4173</v>
      </c>
      <c r="U2622" t="s">
        <v>58</v>
      </c>
      <c r="V2622">
        <v>2</v>
      </c>
      <c r="W2622">
        <v>1</v>
      </c>
      <c r="X2622">
        <v>2</v>
      </c>
      <c r="Y2622">
        <v>0</v>
      </c>
      <c r="Z2622">
        <v>2</v>
      </c>
      <c r="AA2622">
        <v>0</v>
      </c>
      <c r="AB2622">
        <v>470.08</v>
      </c>
      <c r="AC2622">
        <v>413.6</v>
      </c>
      <c r="AD2622">
        <v>0</v>
      </c>
      <c r="AE2622">
        <v>56.48</v>
      </c>
      <c r="AF2622">
        <v>0</v>
      </c>
      <c r="AG2622">
        <v>0</v>
      </c>
      <c r="AH2622">
        <v>0</v>
      </c>
      <c r="AI2622">
        <v>0</v>
      </c>
      <c r="AJ2622">
        <v>470.08</v>
      </c>
      <c r="AK2622">
        <v>0</v>
      </c>
      <c r="AL2622" t="s">
        <v>53</v>
      </c>
      <c r="AM2622" t="s">
        <v>53</v>
      </c>
      <c r="AN2622" t="s">
        <v>53</v>
      </c>
      <c r="AO2622" t="s">
        <v>53</v>
      </c>
      <c r="AP2622" t="s">
        <v>53</v>
      </c>
    </row>
    <row r="2623" spans="2:42" x14ac:dyDescent="0.2">
      <c r="B2623" t="s">
        <v>44</v>
      </c>
      <c r="C2623" t="str">
        <f>HYPERLINK("https://us2.cloudbeds.com/connect/8493803454333002#/reservations/3931440128185?display=2Q85DEUZU&amp;reservation_id=3931440128185", "2Q85DEUZU")</f>
        <v>2Q85DEUZU</v>
      </c>
      <c r="D2623" t="s">
        <v>45</v>
      </c>
      <c r="E2623" t="s">
        <v>487</v>
      </c>
      <c r="F2623" t="s">
        <v>61</v>
      </c>
      <c r="G2623" t="s">
        <v>48</v>
      </c>
      <c r="H2623" t="s">
        <v>49</v>
      </c>
      <c r="I2623" t="s">
        <v>62</v>
      </c>
      <c r="J2623" t="s">
        <v>1296</v>
      </c>
      <c r="K2623" t="s">
        <v>1660</v>
      </c>
      <c r="L2623" t="s">
        <v>53</v>
      </c>
      <c r="N2623" t="s">
        <v>4174</v>
      </c>
      <c r="P2623" t="s">
        <v>55</v>
      </c>
      <c r="R2623" t="s">
        <v>4175</v>
      </c>
      <c r="T2623" t="s">
        <v>4176</v>
      </c>
      <c r="U2623" t="s">
        <v>55</v>
      </c>
      <c r="V2623">
        <v>1</v>
      </c>
      <c r="W2623">
        <v>1</v>
      </c>
      <c r="X2623">
        <v>1</v>
      </c>
      <c r="Y2623">
        <v>0</v>
      </c>
      <c r="Z2623">
        <v>1</v>
      </c>
      <c r="AA2623">
        <v>0</v>
      </c>
      <c r="AB2623">
        <v>181.84</v>
      </c>
      <c r="AC2623">
        <v>160</v>
      </c>
      <c r="AD2623">
        <v>0</v>
      </c>
      <c r="AE2623">
        <v>21.84</v>
      </c>
      <c r="AF2623">
        <v>0</v>
      </c>
      <c r="AG2623">
        <v>0</v>
      </c>
      <c r="AH2623">
        <v>0</v>
      </c>
      <c r="AI2623">
        <v>27.28</v>
      </c>
      <c r="AJ2623">
        <v>181.84</v>
      </c>
      <c r="AK2623">
        <v>0</v>
      </c>
      <c r="AL2623" t="s">
        <v>53</v>
      </c>
      <c r="AM2623" t="s">
        <v>53</v>
      </c>
      <c r="AN2623" t="s">
        <v>53</v>
      </c>
      <c r="AO2623" t="s">
        <v>53</v>
      </c>
      <c r="AP2623" t="s">
        <v>53</v>
      </c>
    </row>
    <row r="2624" spans="2:42" x14ac:dyDescent="0.2">
      <c r="B2624" t="s">
        <v>44</v>
      </c>
      <c r="C2624" t="str">
        <f>HYPERLINK("https://us2.cloudbeds.com/connect/8493803454333002#/reservations/3932474716395?display=2Q8VRRSRQ&amp;reservation_id=3932474716395", "2Q8VRRSRQ")</f>
        <v>2Q8VRRSRQ</v>
      </c>
      <c r="D2624" t="s">
        <v>45</v>
      </c>
      <c r="E2624" t="s">
        <v>165</v>
      </c>
      <c r="F2624" t="s">
        <v>61</v>
      </c>
      <c r="G2624" t="s">
        <v>48</v>
      </c>
      <c r="H2624" t="s">
        <v>49</v>
      </c>
      <c r="I2624" t="s">
        <v>50</v>
      </c>
      <c r="J2624" t="s">
        <v>1450</v>
      </c>
      <c r="K2624" t="s">
        <v>1515</v>
      </c>
      <c r="L2624" t="s">
        <v>53</v>
      </c>
      <c r="N2624" t="s">
        <v>4177</v>
      </c>
      <c r="P2624" t="s">
        <v>55</v>
      </c>
      <c r="R2624" t="s">
        <v>53</v>
      </c>
      <c r="T2624" t="s">
        <v>4178</v>
      </c>
      <c r="U2624" t="s">
        <v>58</v>
      </c>
      <c r="V2624">
        <v>2</v>
      </c>
      <c r="W2624">
        <v>1</v>
      </c>
      <c r="X2624">
        <v>2</v>
      </c>
      <c r="Y2624">
        <v>0</v>
      </c>
      <c r="Z2624">
        <v>2</v>
      </c>
      <c r="AA2624">
        <v>0</v>
      </c>
      <c r="AB2624">
        <v>377.33</v>
      </c>
      <c r="AC2624">
        <v>332</v>
      </c>
      <c r="AD2624">
        <v>0</v>
      </c>
      <c r="AE2624">
        <v>45.33</v>
      </c>
      <c r="AF2624">
        <v>0</v>
      </c>
      <c r="AG2624">
        <v>0</v>
      </c>
      <c r="AH2624">
        <v>0</v>
      </c>
      <c r="AI2624">
        <v>67.92</v>
      </c>
      <c r="AJ2624">
        <v>377.33</v>
      </c>
      <c r="AK2624">
        <v>0</v>
      </c>
      <c r="AL2624" t="s">
        <v>53</v>
      </c>
      <c r="AM2624" t="s">
        <v>53</v>
      </c>
      <c r="AN2624" t="s">
        <v>53</v>
      </c>
      <c r="AO2624" t="s">
        <v>53</v>
      </c>
      <c r="AP2624" t="s">
        <v>53</v>
      </c>
    </row>
    <row r="2625" spans="2:42" x14ac:dyDescent="0.2">
      <c r="B2625" t="s">
        <v>44</v>
      </c>
      <c r="C2625" t="str">
        <f>HYPERLINK("https://us2.cloudbeds.com/connect/8493803454333002#/reservations/3932793532653?display=2Q96WMDDH&amp;reservation_id=3932793532653", "2Q96WMDDH")</f>
        <v>2Q96WMDDH</v>
      </c>
      <c r="D2625" t="s">
        <v>45</v>
      </c>
      <c r="E2625" t="s">
        <v>305</v>
      </c>
      <c r="F2625" t="s">
        <v>61</v>
      </c>
      <c r="G2625" t="s">
        <v>48</v>
      </c>
      <c r="H2625" t="s">
        <v>3957</v>
      </c>
      <c r="I2625" t="s">
        <v>3958</v>
      </c>
      <c r="J2625" t="s">
        <v>1296</v>
      </c>
      <c r="K2625" t="s">
        <v>1660</v>
      </c>
      <c r="L2625" t="s">
        <v>53</v>
      </c>
      <c r="P2625" t="s">
        <v>55</v>
      </c>
      <c r="R2625" t="s">
        <v>56</v>
      </c>
      <c r="T2625" t="s">
        <v>4179</v>
      </c>
      <c r="U2625" t="s">
        <v>58</v>
      </c>
      <c r="V2625">
        <v>1</v>
      </c>
      <c r="W2625">
        <v>1</v>
      </c>
      <c r="X2625">
        <v>1</v>
      </c>
      <c r="Y2625">
        <v>0</v>
      </c>
      <c r="Z2625">
        <v>1</v>
      </c>
      <c r="AA2625">
        <v>0</v>
      </c>
      <c r="AB2625">
        <v>181.84</v>
      </c>
      <c r="AC2625">
        <v>160</v>
      </c>
      <c r="AD2625">
        <v>0</v>
      </c>
      <c r="AE2625">
        <v>21.84</v>
      </c>
      <c r="AF2625">
        <v>0</v>
      </c>
      <c r="AG2625">
        <v>0</v>
      </c>
      <c r="AH2625">
        <v>0</v>
      </c>
      <c r="AI2625">
        <v>0</v>
      </c>
      <c r="AJ2625">
        <v>181.84</v>
      </c>
      <c r="AK2625">
        <v>0</v>
      </c>
      <c r="AL2625" t="s">
        <v>53</v>
      </c>
      <c r="AM2625" t="s">
        <v>53</v>
      </c>
      <c r="AN2625" t="s">
        <v>53</v>
      </c>
      <c r="AO2625" t="s">
        <v>53</v>
      </c>
      <c r="AP2625" t="s">
        <v>53</v>
      </c>
    </row>
    <row r="2626" spans="2:42" x14ac:dyDescent="0.2">
      <c r="B2626" t="s">
        <v>44</v>
      </c>
      <c r="C2626" t="str">
        <f>HYPERLINK("https://us2.cloudbeds.com/connect/8493803454333002#/reservations/3945946591426?display=2QJD2MYY3&amp;reservation_id=3945946591426", "2QJD2MYY3")</f>
        <v>2QJD2MYY3</v>
      </c>
      <c r="D2626" t="s">
        <v>45</v>
      </c>
      <c r="E2626" t="s">
        <v>128</v>
      </c>
      <c r="F2626" t="s">
        <v>86</v>
      </c>
      <c r="G2626" t="s">
        <v>48</v>
      </c>
      <c r="H2626" t="s">
        <v>49</v>
      </c>
      <c r="I2626" t="s">
        <v>50</v>
      </c>
      <c r="J2626" t="s">
        <v>4180</v>
      </c>
      <c r="K2626" t="s">
        <v>4181</v>
      </c>
      <c r="L2626" t="s">
        <v>53</v>
      </c>
      <c r="N2626" t="s">
        <v>4182</v>
      </c>
      <c r="P2626" t="s">
        <v>55</v>
      </c>
      <c r="R2626" t="s">
        <v>53</v>
      </c>
      <c r="T2626" t="s">
        <v>4183</v>
      </c>
      <c r="U2626" t="s">
        <v>58</v>
      </c>
      <c r="V2626">
        <v>1</v>
      </c>
      <c r="W2626">
        <v>1</v>
      </c>
      <c r="X2626">
        <v>2</v>
      </c>
      <c r="Y2626">
        <v>1</v>
      </c>
      <c r="Z2626">
        <v>3</v>
      </c>
      <c r="AA2626">
        <v>0</v>
      </c>
      <c r="AB2626">
        <v>97.51</v>
      </c>
      <c r="AC2626">
        <v>85.8</v>
      </c>
      <c r="AD2626">
        <v>0</v>
      </c>
      <c r="AE2626">
        <v>11.71</v>
      </c>
      <c r="AF2626">
        <v>0</v>
      </c>
      <c r="AG2626">
        <v>0</v>
      </c>
      <c r="AH2626">
        <v>0</v>
      </c>
      <c r="AI2626">
        <v>17.55</v>
      </c>
      <c r="AJ2626">
        <v>97.51</v>
      </c>
      <c r="AK2626">
        <v>0</v>
      </c>
      <c r="AL2626" t="s">
        <v>53</v>
      </c>
      <c r="AM2626" t="s">
        <v>53</v>
      </c>
      <c r="AN2626" t="s">
        <v>53</v>
      </c>
      <c r="AO2626" t="s">
        <v>53</v>
      </c>
      <c r="AP2626" t="s">
        <v>53</v>
      </c>
    </row>
    <row r="2627" spans="2:42" x14ac:dyDescent="0.2">
      <c r="B2627" t="s">
        <v>44</v>
      </c>
      <c r="C2627" t="str">
        <f>HYPERLINK("https://us2.cloudbeds.com/connect/8493803454333002#/reservations/3949429530837?display=2QM32JJ3K&amp;reservation_id=3949429530837", "2QM32JJ3K")</f>
        <v>2QM32JJ3K</v>
      </c>
      <c r="D2627" t="s">
        <v>45</v>
      </c>
      <c r="E2627" t="s">
        <v>265</v>
      </c>
      <c r="F2627" t="s">
        <v>61</v>
      </c>
      <c r="G2627" t="s">
        <v>48</v>
      </c>
      <c r="H2627" t="s">
        <v>49</v>
      </c>
      <c r="I2627" t="s">
        <v>50</v>
      </c>
      <c r="J2627" t="s">
        <v>1296</v>
      </c>
      <c r="K2627" t="s">
        <v>1660</v>
      </c>
      <c r="L2627" t="s">
        <v>53</v>
      </c>
      <c r="N2627" t="s">
        <v>4184</v>
      </c>
      <c r="P2627" t="s">
        <v>55</v>
      </c>
      <c r="R2627" t="s">
        <v>53</v>
      </c>
      <c r="T2627" t="s">
        <v>4185</v>
      </c>
      <c r="U2627" t="s">
        <v>58</v>
      </c>
      <c r="V2627">
        <v>1</v>
      </c>
      <c r="W2627">
        <v>1</v>
      </c>
      <c r="X2627">
        <v>2</v>
      </c>
      <c r="Y2627">
        <v>0</v>
      </c>
      <c r="Z2627">
        <v>2</v>
      </c>
      <c r="AA2627">
        <v>0</v>
      </c>
      <c r="AB2627">
        <v>181.84</v>
      </c>
      <c r="AC2627">
        <v>160</v>
      </c>
      <c r="AD2627">
        <v>0</v>
      </c>
      <c r="AE2627">
        <v>21.84</v>
      </c>
      <c r="AF2627">
        <v>0</v>
      </c>
      <c r="AG2627">
        <v>0</v>
      </c>
      <c r="AH2627">
        <v>0</v>
      </c>
      <c r="AI2627">
        <v>32.729999999999997</v>
      </c>
      <c r="AJ2627">
        <v>181.84</v>
      </c>
      <c r="AK2627">
        <v>0</v>
      </c>
      <c r="AL2627" t="s">
        <v>53</v>
      </c>
      <c r="AM2627" t="s">
        <v>53</v>
      </c>
      <c r="AN2627" t="s">
        <v>53</v>
      </c>
      <c r="AO2627" t="s">
        <v>53</v>
      </c>
      <c r="AP2627" t="s">
        <v>53</v>
      </c>
    </row>
    <row r="2628" spans="2:42" x14ac:dyDescent="0.2">
      <c r="B2628" t="s">
        <v>44</v>
      </c>
      <c r="C2628" t="str">
        <f>HYPERLINK("https://us2.cloudbeds.com/connect/8493803454333002#/reservations/4058740695226?display=2T7Z7YSHX&amp;reservation_id=4058740695226", "2T7Z7YSHX")</f>
        <v>2T7Z7YSHX</v>
      </c>
      <c r="D2628" t="s">
        <v>45</v>
      </c>
      <c r="E2628" t="s">
        <v>113</v>
      </c>
      <c r="F2628" t="s">
        <v>61</v>
      </c>
      <c r="G2628" t="s">
        <v>48</v>
      </c>
      <c r="H2628" t="s">
        <v>49</v>
      </c>
      <c r="I2628" t="s">
        <v>62</v>
      </c>
      <c r="J2628" t="s">
        <v>1660</v>
      </c>
      <c r="K2628" t="s">
        <v>2469</v>
      </c>
      <c r="L2628" t="s">
        <v>53</v>
      </c>
      <c r="N2628" t="s">
        <v>4186</v>
      </c>
      <c r="P2628" t="s">
        <v>55</v>
      </c>
      <c r="R2628" t="s">
        <v>201</v>
      </c>
      <c r="T2628" t="s">
        <v>4187</v>
      </c>
      <c r="U2628" t="s">
        <v>55</v>
      </c>
      <c r="V2628">
        <v>2</v>
      </c>
      <c r="W2628">
        <v>1</v>
      </c>
      <c r="X2628">
        <v>2</v>
      </c>
      <c r="Y2628">
        <v>0</v>
      </c>
      <c r="Z2628">
        <v>2</v>
      </c>
      <c r="AA2628">
        <v>0</v>
      </c>
      <c r="AB2628">
        <v>283</v>
      </c>
      <c r="AC2628">
        <v>249</v>
      </c>
      <c r="AD2628">
        <v>0</v>
      </c>
      <c r="AE2628">
        <v>34</v>
      </c>
      <c r="AF2628">
        <v>0</v>
      </c>
      <c r="AG2628">
        <v>0</v>
      </c>
      <c r="AH2628">
        <v>0</v>
      </c>
      <c r="AI2628">
        <v>42.45</v>
      </c>
      <c r="AJ2628">
        <v>283</v>
      </c>
      <c r="AK2628">
        <v>0</v>
      </c>
      <c r="AL2628" t="s">
        <v>53</v>
      </c>
      <c r="AM2628" t="s">
        <v>53</v>
      </c>
      <c r="AN2628" t="s">
        <v>53</v>
      </c>
      <c r="AO2628" t="s">
        <v>53</v>
      </c>
      <c r="AP2628" t="s">
        <v>53</v>
      </c>
    </row>
    <row r="2629" spans="2:42" x14ac:dyDescent="0.2">
      <c r="B2629" t="s">
        <v>44</v>
      </c>
      <c r="C2629" t="str">
        <f>HYPERLINK("https://us2.cloudbeds.com/connect/8493803454333002#/reservations/4133953859749?display=2UWW3D1A9&amp;reservation_id=4133953859749", "2UWW3D1A9")</f>
        <v>2UWW3D1A9</v>
      </c>
      <c r="D2629" t="s">
        <v>45</v>
      </c>
      <c r="E2629" t="s">
        <v>165</v>
      </c>
      <c r="F2629" t="s">
        <v>61</v>
      </c>
      <c r="G2629" t="s">
        <v>48</v>
      </c>
      <c r="H2629" t="s">
        <v>49</v>
      </c>
      <c r="I2629" t="s">
        <v>50</v>
      </c>
      <c r="J2629" t="s">
        <v>3043</v>
      </c>
      <c r="K2629" t="s">
        <v>1140</v>
      </c>
      <c r="L2629" t="s">
        <v>53</v>
      </c>
      <c r="N2629" t="s">
        <v>4188</v>
      </c>
      <c r="P2629" t="s">
        <v>55</v>
      </c>
      <c r="R2629" t="s">
        <v>53</v>
      </c>
      <c r="T2629" t="s">
        <v>4189</v>
      </c>
      <c r="U2629" t="s">
        <v>58</v>
      </c>
      <c r="V2629">
        <v>2</v>
      </c>
      <c r="W2629">
        <v>1</v>
      </c>
      <c r="X2629">
        <v>2</v>
      </c>
      <c r="Y2629">
        <v>0</v>
      </c>
      <c r="Z2629">
        <v>2</v>
      </c>
      <c r="AA2629">
        <v>0</v>
      </c>
      <c r="AB2629">
        <v>311.27999999999997</v>
      </c>
      <c r="AC2629">
        <v>273.89999999999998</v>
      </c>
      <c r="AD2629">
        <v>0</v>
      </c>
      <c r="AE2629">
        <v>37.380000000000003</v>
      </c>
      <c r="AF2629">
        <v>0</v>
      </c>
      <c r="AG2629">
        <v>0</v>
      </c>
      <c r="AH2629">
        <v>0</v>
      </c>
      <c r="AI2629">
        <v>56.03</v>
      </c>
      <c r="AJ2629">
        <v>311.27999999999997</v>
      </c>
      <c r="AK2629">
        <v>0</v>
      </c>
      <c r="AL2629" t="s">
        <v>53</v>
      </c>
      <c r="AM2629" t="s">
        <v>53</v>
      </c>
      <c r="AN2629" t="s">
        <v>53</v>
      </c>
      <c r="AO2629" t="s">
        <v>53</v>
      </c>
      <c r="AP2629" t="s">
        <v>53</v>
      </c>
    </row>
    <row r="2630" spans="2:42" x14ac:dyDescent="0.2">
      <c r="B2630" t="s">
        <v>44</v>
      </c>
      <c r="C2630" t="str">
        <f>HYPERLINK("https://us2.cloudbeds.com/connect/8493803454333002#/reservations/4141507231970?display=2V5R3JZVJ&amp;reservation_id=4141507231970", "2V5R3JZVJ")</f>
        <v>2V5R3JZVJ</v>
      </c>
      <c r="D2630" t="s">
        <v>45</v>
      </c>
      <c r="E2630" t="s">
        <v>121</v>
      </c>
      <c r="F2630" t="s">
        <v>86</v>
      </c>
      <c r="G2630" t="s">
        <v>48</v>
      </c>
      <c r="H2630" t="s">
        <v>49</v>
      </c>
      <c r="I2630" t="s">
        <v>50</v>
      </c>
      <c r="J2630" t="s">
        <v>1660</v>
      </c>
      <c r="K2630" t="s">
        <v>3043</v>
      </c>
      <c r="L2630" t="s">
        <v>53</v>
      </c>
      <c r="N2630" t="s">
        <v>4190</v>
      </c>
      <c r="P2630" t="s">
        <v>55</v>
      </c>
      <c r="R2630" t="s">
        <v>53</v>
      </c>
      <c r="T2630" t="s">
        <v>4191</v>
      </c>
      <c r="U2630" t="s">
        <v>58</v>
      </c>
      <c r="V2630">
        <v>1</v>
      </c>
      <c r="W2630">
        <v>1</v>
      </c>
      <c r="X2630">
        <v>1</v>
      </c>
      <c r="Y2630">
        <v>0</v>
      </c>
      <c r="Z2630">
        <v>1</v>
      </c>
      <c r="AA2630">
        <v>0</v>
      </c>
      <c r="AB2630">
        <v>511.43</v>
      </c>
      <c r="AC2630">
        <v>450</v>
      </c>
      <c r="AD2630">
        <v>0</v>
      </c>
      <c r="AE2630">
        <v>61.43</v>
      </c>
      <c r="AF2630">
        <v>0</v>
      </c>
      <c r="AG2630">
        <v>320</v>
      </c>
      <c r="AH2630">
        <v>0</v>
      </c>
      <c r="AI2630">
        <v>92.06</v>
      </c>
      <c r="AJ2630">
        <v>511.43</v>
      </c>
      <c r="AK2630">
        <v>0</v>
      </c>
      <c r="AL2630" t="s">
        <v>53</v>
      </c>
      <c r="AM2630" t="s">
        <v>53</v>
      </c>
      <c r="AN2630" t="s">
        <v>53</v>
      </c>
      <c r="AO2630" t="s">
        <v>53</v>
      </c>
      <c r="AP2630" t="s">
        <v>53</v>
      </c>
    </row>
    <row r="2631" spans="2:42" x14ac:dyDescent="0.2">
      <c r="B2631" t="s">
        <v>44</v>
      </c>
      <c r="C2631" t="str">
        <f>HYPERLINK("https://us2.cloudbeds.com/connect/8493803454333002#/reservations/4145946816688?display=2V98X5ZJR&amp;reservation_id=4145946816688", "2V98X5ZJR")</f>
        <v>2V98X5ZJR</v>
      </c>
      <c r="D2631" t="s">
        <v>45</v>
      </c>
      <c r="E2631" t="s">
        <v>406</v>
      </c>
      <c r="F2631" t="s">
        <v>61</v>
      </c>
      <c r="G2631" t="s">
        <v>48</v>
      </c>
      <c r="H2631" t="s">
        <v>49</v>
      </c>
      <c r="I2631" t="s">
        <v>62</v>
      </c>
      <c r="J2631" t="s">
        <v>1660</v>
      </c>
      <c r="K2631" t="s">
        <v>3043</v>
      </c>
      <c r="L2631" t="s">
        <v>53</v>
      </c>
      <c r="N2631" t="s">
        <v>4192</v>
      </c>
      <c r="P2631" t="s">
        <v>55</v>
      </c>
      <c r="R2631" t="s">
        <v>56</v>
      </c>
      <c r="T2631" t="s">
        <v>4193</v>
      </c>
      <c r="U2631" t="s">
        <v>55</v>
      </c>
      <c r="V2631">
        <v>1</v>
      </c>
      <c r="W2631">
        <v>1</v>
      </c>
      <c r="X2631">
        <v>2</v>
      </c>
      <c r="Y2631">
        <v>0</v>
      </c>
      <c r="Z2631">
        <v>2</v>
      </c>
      <c r="AA2631">
        <v>0</v>
      </c>
      <c r="AB2631">
        <v>138.66</v>
      </c>
      <c r="AC2631">
        <v>122</v>
      </c>
      <c r="AD2631">
        <v>0</v>
      </c>
      <c r="AE2631">
        <v>16.66</v>
      </c>
      <c r="AF2631">
        <v>0</v>
      </c>
      <c r="AG2631">
        <v>0</v>
      </c>
      <c r="AH2631">
        <v>0</v>
      </c>
      <c r="AI2631">
        <v>20.8</v>
      </c>
      <c r="AJ2631">
        <v>138.66</v>
      </c>
      <c r="AK2631">
        <v>0</v>
      </c>
      <c r="AL2631" t="s">
        <v>53</v>
      </c>
      <c r="AM2631" t="s">
        <v>53</v>
      </c>
      <c r="AN2631" t="s">
        <v>53</v>
      </c>
      <c r="AO2631" t="s">
        <v>53</v>
      </c>
      <c r="AP2631" t="s">
        <v>53</v>
      </c>
    </row>
    <row r="2632" spans="2:42" x14ac:dyDescent="0.2">
      <c r="B2632" t="s">
        <v>44</v>
      </c>
      <c r="C2632" t="str">
        <f>HYPERLINK("https://us2.cloudbeds.com/connect/8493803454333002#/reservations/4146919026845?display=2VA0CVUXM&amp;reservation_id=4146919026845", "2VA0CVUXM")</f>
        <v>2VA0CVUXM</v>
      </c>
      <c r="D2632" t="s">
        <v>45</v>
      </c>
      <c r="E2632" t="s">
        <v>381</v>
      </c>
      <c r="F2632" t="s">
        <v>47</v>
      </c>
      <c r="G2632" t="s">
        <v>48</v>
      </c>
      <c r="H2632" t="s">
        <v>49</v>
      </c>
      <c r="I2632" t="s">
        <v>50</v>
      </c>
      <c r="J2632" t="s">
        <v>1259</v>
      </c>
      <c r="K2632" t="s">
        <v>4194</v>
      </c>
      <c r="L2632" t="s">
        <v>53</v>
      </c>
      <c r="N2632" t="s">
        <v>4195</v>
      </c>
      <c r="P2632" t="s">
        <v>55</v>
      </c>
      <c r="R2632" t="s">
        <v>53</v>
      </c>
      <c r="T2632" t="s">
        <v>4196</v>
      </c>
      <c r="U2632" t="s">
        <v>58</v>
      </c>
      <c r="V2632">
        <v>7</v>
      </c>
      <c r="W2632">
        <v>1</v>
      </c>
      <c r="X2632">
        <v>2</v>
      </c>
      <c r="Y2632">
        <v>0</v>
      </c>
      <c r="Z2632">
        <v>2</v>
      </c>
      <c r="AA2632">
        <v>0</v>
      </c>
      <c r="AB2632">
        <v>925.14</v>
      </c>
      <c r="AC2632">
        <v>814</v>
      </c>
      <c r="AD2632">
        <v>0</v>
      </c>
      <c r="AE2632">
        <v>111.14</v>
      </c>
      <c r="AF2632">
        <v>0</v>
      </c>
      <c r="AG2632">
        <v>0</v>
      </c>
      <c r="AH2632">
        <v>0</v>
      </c>
      <c r="AI2632">
        <v>166.53</v>
      </c>
      <c r="AJ2632">
        <v>925.14</v>
      </c>
      <c r="AK2632">
        <v>0</v>
      </c>
      <c r="AL2632" t="s">
        <v>53</v>
      </c>
      <c r="AM2632" t="s">
        <v>53</v>
      </c>
      <c r="AN2632" t="s">
        <v>53</v>
      </c>
      <c r="AO2632" t="s">
        <v>53</v>
      </c>
      <c r="AP2632" t="s">
        <v>53</v>
      </c>
    </row>
    <row r="2633" spans="2:42" x14ac:dyDescent="0.2">
      <c r="B2633" t="s">
        <v>44</v>
      </c>
      <c r="C2633" t="str">
        <f>HYPERLINK("https://us2.cloudbeds.com/connect/8493803454333002#/reservations/4155771859156?display=2VGSJU15F&amp;reservation_id=4155771859156", "2VGSJU15F")</f>
        <v>2VGSJU15F</v>
      </c>
      <c r="D2633" t="s">
        <v>45</v>
      </c>
      <c r="E2633" t="s">
        <v>105</v>
      </c>
      <c r="F2633" t="s">
        <v>47</v>
      </c>
      <c r="G2633" t="s">
        <v>48</v>
      </c>
      <c r="H2633" t="s">
        <v>49</v>
      </c>
      <c r="I2633" t="s">
        <v>62</v>
      </c>
      <c r="J2633" t="s">
        <v>1660</v>
      </c>
      <c r="K2633" t="s">
        <v>3043</v>
      </c>
      <c r="L2633" t="s">
        <v>53</v>
      </c>
      <c r="N2633" t="s">
        <v>4197</v>
      </c>
      <c r="P2633" t="s">
        <v>55</v>
      </c>
      <c r="R2633" t="s">
        <v>56</v>
      </c>
      <c r="T2633" t="s">
        <v>4198</v>
      </c>
      <c r="U2633" t="s">
        <v>55</v>
      </c>
      <c r="V2633">
        <v>1</v>
      </c>
      <c r="W2633">
        <v>1</v>
      </c>
      <c r="X2633">
        <v>2</v>
      </c>
      <c r="Y2633">
        <v>0</v>
      </c>
      <c r="Z2633">
        <v>2</v>
      </c>
      <c r="AA2633">
        <v>0</v>
      </c>
      <c r="AB2633">
        <v>128.43</v>
      </c>
      <c r="AC2633">
        <v>113</v>
      </c>
      <c r="AD2633">
        <v>0</v>
      </c>
      <c r="AE2633">
        <v>15.43</v>
      </c>
      <c r="AF2633">
        <v>0</v>
      </c>
      <c r="AG2633">
        <v>0</v>
      </c>
      <c r="AH2633">
        <v>0</v>
      </c>
      <c r="AI2633">
        <v>19.260000000000002</v>
      </c>
      <c r="AJ2633">
        <v>128.43</v>
      </c>
      <c r="AK2633">
        <v>0</v>
      </c>
      <c r="AL2633" t="s">
        <v>53</v>
      </c>
      <c r="AM2633" t="s">
        <v>53</v>
      </c>
      <c r="AN2633" t="s">
        <v>53</v>
      </c>
      <c r="AO2633" t="s">
        <v>53</v>
      </c>
      <c r="AP2633" t="s">
        <v>53</v>
      </c>
    </row>
    <row r="2634" spans="2:42" x14ac:dyDescent="0.2">
      <c r="B2634" t="s">
        <v>44</v>
      </c>
      <c r="C2634" t="str">
        <f>HYPERLINK("https://us2.cloudbeds.com/connect/8493803454333002#/reservations/4197867409547?display=2WGF7WPMJ&amp;reservation_id=4197867409547", "2WGF7WPMJ")</f>
        <v>2WGF7WPMJ</v>
      </c>
      <c r="D2634" t="s">
        <v>45</v>
      </c>
      <c r="E2634" t="s">
        <v>305</v>
      </c>
      <c r="F2634" t="s">
        <v>61</v>
      </c>
      <c r="G2634" t="s">
        <v>48</v>
      </c>
      <c r="H2634" t="s">
        <v>49</v>
      </c>
      <c r="I2634" t="s">
        <v>62</v>
      </c>
      <c r="J2634" t="s">
        <v>1660</v>
      </c>
      <c r="K2634" t="s">
        <v>2469</v>
      </c>
      <c r="L2634" t="s">
        <v>53</v>
      </c>
      <c r="N2634" t="s">
        <v>4199</v>
      </c>
      <c r="P2634" t="s">
        <v>55</v>
      </c>
      <c r="R2634" t="s">
        <v>56</v>
      </c>
      <c r="T2634" t="s">
        <v>4200</v>
      </c>
      <c r="U2634" t="s">
        <v>55</v>
      </c>
      <c r="V2634">
        <v>2</v>
      </c>
      <c r="W2634">
        <v>1</v>
      </c>
      <c r="X2634">
        <v>2</v>
      </c>
      <c r="Y2634">
        <v>0</v>
      </c>
      <c r="Z2634">
        <v>2</v>
      </c>
      <c r="AA2634">
        <v>0</v>
      </c>
      <c r="AB2634">
        <v>283</v>
      </c>
      <c r="AC2634">
        <v>249</v>
      </c>
      <c r="AD2634">
        <v>0</v>
      </c>
      <c r="AE2634">
        <v>34</v>
      </c>
      <c r="AF2634">
        <v>0</v>
      </c>
      <c r="AG2634">
        <v>0</v>
      </c>
      <c r="AH2634">
        <v>0</v>
      </c>
      <c r="AI2634">
        <v>42.45</v>
      </c>
      <c r="AJ2634">
        <v>283</v>
      </c>
      <c r="AK2634">
        <v>0</v>
      </c>
      <c r="AL2634" t="s">
        <v>53</v>
      </c>
      <c r="AM2634" t="s">
        <v>53</v>
      </c>
      <c r="AN2634" t="s">
        <v>53</v>
      </c>
      <c r="AO2634" t="s">
        <v>53</v>
      </c>
      <c r="AP2634" t="s">
        <v>53</v>
      </c>
    </row>
    <row r="2635" spans="2:42" x14ac:dyDescent="0.2">
      <c r="B2635" t="s">
        <v>44</v>
      </c>
      <c r="C2635" t="str">
        <f>HYPERLINK("https://us2.cloudbeds.com/connect/8493803454333002#/reservations/4201799782588?display=2WJGNSS70&amp;reservation_id=4201799782588", "2WJGNSS70")</f>
        <v>2WJGNSS70</v>
      </c>
      <c r="D2635" t="s">
        <v>45</v>
      </c>
      <c r="E2635" t="s">
        <v>265</v>
      </c>
      <c r="F2635" t="s">
        <v>61</v>
      </c>
      <c r="G2635" t="s">
        <v>48</v>
      </c>
      <c r="H2635" t="s">
        <v>49</v>
      </c>
      <c r="I2635" t="s">
        <v>62</v>
      </c>
      <c r="J2635" t="s">
        <v>1660</v>
      </c>
      <c r="K2635" t="s">
        <v>3043</v>
      </c>
      <c r="L2635" t="s">
        <v>53</v>
      </c>
      <c r="N2635" t="s">
        <v>4201</v>
      </c>
      <c r="P2635" t="s">
        <v>58</v>
      </c>
      <c r="R2635" t="s">
        <v>1445</v>
      </c>
      <c r="T2635" t="s">
        <v>4202</v>
      </c>
      <c r="U2635" t="s">
        <v>55</v>
      </c>
      <c r="V2635">
        <v>1</v>
      </c>
      <c r="W2635">
        <v>1</v>
      </c>
      <c r="X2635">
        <v>2</v>
      </c>
      <c r="Y2635">
        <v>0</v>
      </c>
      <c r="Z2635">
        <v>2</v>
      </c>
      <c r="AA2635">
        <v>0</v>
      </c>
      <c r="AB2635">
        <v>138.66</v>
      </c>
      <c r="AC2635">
        <v>122</v>
      </c>
      <c r="AD2635">
        <v>0</v>
      </c>
      <c r="AE2635">
        <v>16.66</v>
      </c>
      <c r="AF2635">
        <v>0</v>
      </c>
      <c r="AG2635">
        <v>0</v>
      </c>
      <c r="AH2635">
        <v>0</v>
      </c>
      <c r="AI2635">
        <v>20.8</v>
      </c>
      <c r="AJ2635">
        <v>138.66</v>
      </c>
      <c r="AK2635">
        <v>0</v>
      </c>
      <c r="AL2635" t="s">
        <v>53</v>
      </c>
      <c r="AM2635" t="s">
        <v>53</v>
      </c>
      <c r="AN2635" t="s">
        <v>53</v>
      </c>
      <c r="AO2635" t="s">
        <v>53</v>
      </c>
      <c r="AP2635" t="s">
        <v>53</v>
      </c>
    </row>
    <row r="2636" spans="2:42" x14ac:dyDescent="0.2">
      <c r="B2636" t="s">
        <v>44</v>
      </c>
      <c r="C2636" t="str">
        <f>HYPERLINK("https://us2.cloudbeds.com/connect/8493803454333002#/reservations/4206598213775?display=2WN7B193M&amp;reservation_id=4206598213775", "2WN7B193M")</f>
        <v>2WN7B193M</v>
      </c>
      <c r="D2636" t="s">
        <v>45</v>
      </c>
      <c r="E2636" t="s">
        <v>98</v>
      </c>
      <c r="F2636" t="s">
        <v>86</v>
      </c>
      <c r="G2636" t="s">
        <v>48</v>
      </c>
      <c r="H2636" t="s">
        <v>49</v>
      </c>
      <c r="I2636" t="s">
        <v>62</v>
      </c>
      <c r="J2636" t="s">
        <v>1660</v>
      </c>
      <c r="K2636" t="s">
        <v>2469</v>
      </c>
      <c r="L2636" t="s">
        <v>53</v>
      </c>
      <c r="N2636" t="s">
        <v>4203</v>
      </c>
      <c r="P2636" t="s">
        <v>55</v>
      </c>
      <c r="R2636" t="s">
        <v>56</v>
      </c>
      <c r="T2636" t="s">
        <v>4204</v>
      </c>
      <c r="U2636" t="s">
        <v>55</v>
      </c>
      <c r="V2636">
        <v>2</v>
      </c>
      <c r="W2636">
        <v>1</v>
      </c>
      <c r="X2636">
        <v>2</v>
      </c>
      <c r="Y2636">
        <v>0</v>
      </c>
      <c r="Z2636">
        <v>2</v>
      </c>
      <c r="AA2636">
        <v>0</v>
      </c>
      <c r="AB2636">
        <v>318.23</v>
      </c>
      <c r="AC2636">
        <v>280</v>
      </c>
      <c r="AD2636">
        <v>0</v>
      </c>
      <c r="AE2636">
        <v>38.229999999999997</v>
      </c>
      <c r="AF2636">
        <v>0</v>
      </c>
      <c r="AG2636">
        <v>0</v>
      </c>
      <c r="AH2636">
        <v>0</v>
      </c>
      <c r="AI2636">
        <v>47.73</v>
      </c>
      <c r="AJ2636">
        <v>318.23</v>
      </c>
      <c r="AK2636">
        <v>0</v>
      </c>
      <c r="AL2636" t="s">
        <v>53</v>
      </c>
      <c r="AM2636" t="s">
        <v>53</v>
      </c>
      <c r="AN2636" t="s">
        <v>53</v>
      </c>
      <c r="AO2636" t="s">
        <v>53</v>
      </c>
      <c r="AP2636" t="s">
        <v>53</v>
      </c>
    </row>
    <row r="2637" spans="2:42" x14ac:dyDescent="0.2">
      <c r="B2637" t="s">
        <v>44</v>
      </c>
      <c r="C2637" t="str">
        <f>HYPERLINK("https://us2.cloudbeds.com/connect/8493803454333002#/reservations/4223311753400?display=3035DB52D&amp;reservation_id=4223311753400", "3035DB52D")</f>
        <v>3035DB52D</v>
      </c>
      <c r="D2637" t="s">
        <v>45</v>
      </c>
      <c r="E2637" t="s">
        <v>185</v>
      </c>
      <c r="F2637" t="s">
        <v>47</v>
      </c>
      <c r="G2637" t="s">
        <v>48</v>
      </c>
      <c r="H2637" t="s">
        <v>49</v>
      </c>
      <c r="I2637" t="s">
        <v>50</v>
      </c>
      <c r="J2637" t="s">
        <v>1660</v>
      </c>
      <c r="K2637" t="s">
        <v>3043</v>
      </c>
      <c r="L2637" t="s">
        <v>53</v>
      </c>
      <c r="N2637" t="s">
        <v>4205</v>
      </c>
      <c r="P2637" t="s">
        <v>55</v>
      </c>
      <c r="R2637" t="s">
        <v>56</v>
      </c>
      <c r="T2637" t="s">
        <v>4206</v>
      </c>
      <c r="U2637" t="s">
        <v>58</v>
      </c>
      <c r="V2637">
        <v>1</v>
      </c>
      <c r="W2637">
        <v>1</v>
      </c>
      <c r="X2637">
        <v>2</v>
      </c>
      <c r="Y2637">
        <v>0</v>
      </c>
      <c r="Z2637">
        <v>2</v>
      </c>
      <c r="AA2637">
        <v>0</v>
      </c>
      <c r="AB2637">
        <v>128.43</v>
      </c>
      <c r="AC2637">
        <v>113</v>
      </c>
      <c r="AD2637">
        <v>0</v>
      </c>
      <c r="AE2637">
        <v>15.43</v>
      </c>
      <c r="AF2637">
        <v>0</v>
      </c>
      <c r="AG2637">
        <v>0</v>
      </c>
      <c r="AH2637">
        <v>0</v>
      </c>
      <c r="AI2637">
        <v>23.12</v>
      </c>
      <c r="AJ2637">
        <v>128.43</v>
      </c>
      <c r="AK2637">
        <v>0</v>
      </c>
      <c r="AL2637" t="s">
        <v>53</v>
      </c>
      <c r="AM2637" t="s">
        <v>53</v>
      </c>
      <c r="AN2637" t="s">
        <v>53</v>
      </c>
      <c r="AO2637" t="s">
        <v>53</v>
      </c>
      <c r="AP2637" t="s">
        <v>53</v>
      </c>
    </row>
    <row r="2638" spans="2:42" x14ac:dyDescent="0.2">
      <c r="B2638" t="s">
        <v>44</v>
      </c>
      <c r="C2638" t="str">
        <f>HYPERLINK("https://us2.cloudbeds.com/connect/8493803454333002#/reservations/4231236612255?display=3099TQ13E&amp;reservation_id=4231236612255", "3099TQ13E")</f>
        <v>3099TQ13E</v>
      </c>
      <c r="D2638" t="s">
        <v>45</v>
      </c>
      <c r="E2638" t="s">
        <v>179</v>
      </c>
      <c r="F2638" t="s">
        <v>47</v>
      </c>
      <c r="G2638" t="s">
        <v>48</v>
      </c>
      <c r="H2638" t="s">
        <v>49</v>
      </c>
      <c r="I2638" t="s">
        <v>50</v>
      </c>
      <c r="J2638" t="s">
        <v>1660</v>
      </c>
      <c r="K2638" t="s">
        <v>3043</v>
      </c>
      <c r="L2638" t="s">
        <v>53</v>
      </c>
      <c r="N2638" t="s">
        <v>4207</v>
      </c>
      <c r="P2638" t="s">
        <v>55</v>
      </c>
      <c r="R2638" t="s">
        <v>53</v>
      </c>
      <c r="T2638" t="s">
        <v>4208</v>
      </c>
      <c r="U2638" t="s">
        <v>58</v>
      </c>
      <c r="V2638">
        <v>1</v>
      </c>
      <c r="W2638">
        <v>1</v>
      </c>
      <c r="X2638">
        <v>1</v>
      </c>
      <c r="Y2638">
        <v>0</v>
      </c>
      <c r="Z2638">
        <v>1</v>
      </c>
      <c r="AA2638">
        <v>0</v>
      </c>
      <c r="AB2638">
        <v>128.43</v>
      </c>
      <c r="AC2638">
        <v>113</v>
      </c>
      <c r="AD2638">
        <v>0</v>
      </c>
      <c r="AE2638">
        <v>15.43</v>
      </c>
      <c r="AF2638">
        <v>0</v>
      </c>
      <c r="AG2638">
        <v>0</v>
      </c>
      <c r="AH2638">
        <v>0</v>
      </c>
      <c r="AI2638">
        <v>23.12</v>
      </c>
      <c r="AJ2638">
        <v>128.43</v>
      </c>
      <c r="AK2638">
        <v>0</v>
      </c>
      <c r="AL2638" t="s">
        <v>53</v>
      </c>
      <c r="AM2638" t="s">
        <v>53</v>
      </c>
      <c r="AN2638" t="s">
        <v>53</v>
      </c>
      <c r="AO2638" t="s">
        <v>53</v>
      </c>
      <c r="AP2638" t="s">
        <v>53</v>
      </c>
    </row>
    <row r="2639" spans="2:42" x14ac:dyDescent="0.2">
      <c r="B2639" t="s">
        <v>44</v>
      </c>
      <c r="C2639" t="str">
        <f>HYPERLINK("https://us2.cloudbeds.com/connect/8493803454333002#/reservations/4240665198802?display=30GJR7BY9&amp;reservation_id=4240665198802", "30GJR7BY9")</f>
        <v>30GJR7BY9</v>
      </c>
      <c r="D2639" t="s">
        <v>45</v>
      </c>
      <c r="E2639" t="s">
        <v>69</v>
      </c>
      <c r="F2639" t="s">
        <v>70</v>
      </c>
      <c r="G2639" t="s">
        <v>48</v>
      </c>
      <c r="H2639" t="s">
        <v>49</v>
      </c>
      <c r="I2639" t="s">
        <v>62</v>
      </c>
      <c r="J2639" t="s">
        <v>3080</v>
      </c>
      <c r="K2639" t="s">
        <v>1745</v>
      </c>
      <c r="L2639" t="s">
        <v>53</v>
      </c>
      <c r="N2639" t="s">
        <v>4209</v>
      </c>
      <c r="P2639" t="s">
        <v>55</v>
      </c>
      <c r="R2639" t="s">
        <v>56</v>
      </c>
      <c r="T2639" t="s">
        <v>4210</v>
      </c>
      <c r="U2639" t="s">
        <v>55</v>
      </c>
      <c r="V2639">
        <v>1</v>
      </c>
      <c r="W2639">
        <v>1</v>
      </c>
      <c r="X2639">
        <v>2</v>
      </c>
      <c r="Y2639">
        <v>0</v>
      </c>
      <c r="Z2639">
        <v>2</v>
      </c>
      <c r="AA2639">
        <v>0</v>
      </c>
      <c r="AB2639">
        <v>127.29</v>
      </c>
      <c r="AC2639">
        <v>112</v>
      </c>
      <c r="AD2639">
        <v>0</v>
      </c>
      <c r="AE2639">
        <v>15.29</v>
      </c>
      <c r="AF2639">
        <v>0</v>
      </c>
      <c r="AG2639">
        <v>0</v>
      </c>
      <c r="AH2639">
        <v>0</v>
      </c>
      <c r="AI2639">
        <v>19.09</v>
      </c>
      <c r="AJ2639">
        <v>127.29</v>
      </c>
      <c r="AK2639">
        <v>0</v>
      </c>
      <c r="AL2639" t="s">
        <v>53</v>
      </c>
      <c r="AM2639" t="s">
        <v>53</v>
      </c>
      <c r="AN2639" t="s">
        <v>53</v>
      </c>
      <c r="AO2639" t="s">
        <v>53</v>
      </c>
      <c r="AP2639" t="s">
        <v>53</v>
      </c>
    </row>
    <row r="2640" spans="2:42" x14ac:dyDescent="0.2">
      <c r="B2640" t="s">
        <v>44</v>
      </c>
      <c r="C2640" t="str">
        <f>HYPERLINK("https://us2.cloudbeds.com/connect/8493803454333002#/reservations/4266087727330?display=3139E5MJY&amp;reservation_id=4266087727330", "3139E5MJY")</f>
        <v>3139E5MJY</v>
      </c>
      <c r="D2640" t="s">
        <v>45</v>
      </c>
      <c r="E2640" t="s">
        <v>105</v>
      </c>
      <c r="F2640" t="s">
        <v>47</v>
      </c>
      <c r="G2640" t="s">
        <v>48</v>
      </c>
      <c r="H2640" t="s">
        <v>49</v>
      </c>
      <c r="I2640" t="s">
        <v>50</v>
      </c>
      <c r="J2640" t="s">
        <v>2384</v>
      </c>
      <c r="K2640" t="s">
        <v>1862</v>
      </c>
      <c r="L2640" t="s">
        <v>53</v>
      </c>
      <c r="N2640" t="s">
        <v>4211</v>
      </c>
      <c r="P2640" t="s">
        <v>55</v>
      </c>
      <c r="R2640" t="s">
        <v>53</v>
      </c>
      <c r="T2640" t="s">
        <v>4212</v>
      </c>
      <c r="U2640" t="s">
        <v>58</v>
      </c>
      <c r="V2640">
        <v>3</v>
      </c>
      <c r="W2640">
        <v>1</v>
      </c>
      <c r="X2640">
        <v>1</v>
      </c>
      <c r="Y2640">
        <v>0</v>
      </c>
      <c r="Z2640">
        <v>1</v>
      </c>
      <c r="AA2640">
        <v>0</v>
      </c>
      <c r="AB2640">
        <v>539.85</v>
      </c>
      <c r="AC2640">
        <v>475</v>
      </c>
      <c r="AD2640">
        <v>0</v>
      </c>
      <c r="AE2640">
        <v>64.849999999999994</v>
      </c>
      <c r="AF2640">
        <v>0</v>
      </c>
      <c r="AG2640">
        <v>0</v>
      </c>
      <c r="AH2640">
        <v>0</v>
      </c>
      <c r="AI2640">
        <v>97.17</v>
      </c>
      <c r="AJ2640">
        <v>539.85</v>
      </c>
      <c r="AK2640">
        <v>0</v>
      </c>
      <c r="AL2640" t="s">
        <v>53</v>
      </c>
      <c r="AM2640" t="s">
        <v>53</v>
      </c>
      <c r="AN2640" t="s">
        <v>53</v>
      </c>
      <c r="AO2640" t="s">
        <v>53</v>
      </c>
      <c r="AP2640" t="s">
        <v>53</v>
      </c>
    </row>
    <row r="2641" spans="2:42" x14ac:dyDescent="0.2">
      <c r="B2641" t="s">
        <v>44</v>
      </c>
      <c r="C2641" t="str">
        <f>HYPERLINK("https://us2.cloudbeds.com/connect/8493803454333002#/reservations/4277742194921?display=31CA7HE17&amp;reservation_id=4277742194921", "31CA7HE17")</f>
        <v>31CA7HE17</v>
      </c>
      <c r="D2641" t="s">
        <v>45</v>
      </c>
      <c r="E2641" t="s">
        <v>265</v>
      </c>
      <c r="F2641" t="s">
        <v>61</v>
      </c>
      <c r="G2641" t="s">
        <v>48</v>
      </c>
      <c r="H2641" t="s">
        <v>3957</v>
      </c>
      <c r="I2641" t="s">
        <v>3958</v>
      </c>
      <c r="J2641" t="s">
        <v>3043</v>
      </c>
      <c r="K2641" t="s">
        <v>2469</v>
      </c>
      <c r="L2641" t="s">
        <v>53</v>
      </c>
      <c r="P2641" t="s">
        <v>58</v>
      </c>
      <c r="R2641" t="s">
        <v>1445</v>
      </c>
      <c r="T2641" t="s">
        <v>4213</v>
      </c>
      <c r="U2641" t="s">
        <v>58</v>
      </c>
      <c r="V2641">
        <v>1</v>
      </c>
      <c r="W2641">
        <v>1</v>
      </c>
      <c r="X2641">
        <v>1</v>
      </c>
      <c r="Y2641">
        <v>0</v>
      </c>
      <c r="Z2641">
        <v>1</v>
      </c>
      <c r="AA2641">
        <v>0</v>
      </c>
      <c r="AB2641">
        <v>144.34</v>
      </c>
      <c r="AC2641">
        <v>127</v>
      </c>
      <c r="AD2641">
        <v>0</v>
      </c>
      <c r="AE2641">
        <v>17.34</v>
      </c>
      <c r="AF2641">
        <v>0</v>
      </c>
      <c r="AG2641">
        <v>0</v>
      </c>
      <c r="AH2641">
        <v>0</v>
      </c>
      <c r="AI2641">
        <v>0</v>
      </c>
      <c r="AJ2641">
        <v>144.34</v>
      </c>
      <c r="AK2641">
        <v>0</v>
      </c>
      <c r="AL2641" t="s">
        <v>53</v>
      </c>
      <c r="AM2641" t="s">
        <v>53</v>
      </c>
      <c r="AN2641" t="s">
        <v>53</v>
      </c>
      <c r="AO2641" t="s">
        <v>53</v>
      </c>
      <c r="AP2641" t="s">
        <v>53</v>
      </c>
    </row>
    <row r="2642" spans="2:42" x14ac:dyDescent="0.2">
      <c r="B2642" t="s">
        <v>44</v>
      </c>
      <c r="C2642" t="str">
        <f>HYPERLINK("https://us2.cloudbeds.com/connect/8493803454333002#/reservations/4301232345287?display=31UGF1G1J&amp;reservation_id=4301232345287", "31UGF1G1J")</f>
        <v>31UGF1G1J</v>
      </c>
      <c r="D2642" t="s">
        <v>45</v>
      </c>
      <c r="E2642" t="s">
        <v>46</v>
      </c>
      <c r="F2642" t="s">
        <v>47</v>
      </c>
      <c r="G2642" t="s">
        <v>48</v>
      </c>
      <c r="H2642" t="s">
        <v>3957</v>
      </c>
      <c r="I2642" t="s">
        <v>3958</v>
      </c>
      <c r="J2642" t="s">
        <v>1660</v>
      </c>
      <c r="K2642" t="s">
        <v>3043</v>
      </c>
      <c r="L2642" t="s">
        <v>53</v>
      </c>
      <c r="P2642" t="s">
        <v>55</v>
      </c>
      <c r="R2642" t="s">
        <v>56</v>
      </c>
      <c r="T2642" t="s">
        <v>4214</v>
      </c>
      <c r="U2642" t="s">
        <v>58</v>
      </c>
      <c r="V2642">
        <v>1</v>
      </c>
      <c r="W2642">
        <v>1</v>
      </c>
      <c r="X2642">
        <v>1</v>
      </c>
      <c r="Y2642">
        <v>0</v>
      </c>
      <c r="Z2642">
        <v>1</v>
      </c>
      <c r="AA2642">
        <v>0</v>
      </c>
      <c r="AB2642">
        <v>128.43</v>
      </c>
      <c r="AC2642">
        <v>113</v>
      </c>
      <c r="AD2642">
        <v>0</v>
      </c>
      <c r="AE2642">
        <v>15.43</v>
      </c>
      <c r="AF2642">
        <v>0</v>
      </c>
      <c r="AG2642">
        <v>0</v>
      </c>
      <c r="AH2642">
        <v>0</v>
      </c>
      <c r="AI2642">
        <v>0</v>
      </c>
      <c r="AJ2642">
        <v>128.43</v>
      </c>
      <c r="AK2642">
        <v>0</v>
      </c>
      <c r="AL2642" t="s">
        <v>53</v>
      </c>
      <c r="AM2642" t="s">
        <v>53</v>
      </c>
      <c r="AN2642" t="s">
        <v>53</v>
      </c>
      <c r="AO2642" t="s">
        <v>53</v>
      </c>
      <c r="AP2642" t="s">
        <v>53</v>
      </c>
    </row>
    <row r="2643" spans="2:42" x14ac:dyDescent="0.2">
      <c r="B2643" t="s">
        <v>44</v>
      </c>
      <c r="C2643" t="str">
        <f>HYPERLINK("https://us2.cloudbeds.com/connect/8493803454333002#/reservations/4301762080937?display=31UTWZ5B1&amp;reservation_id=4301762080937", "31UTWZ5B1")</f>
        <v>31UTWZ5B1</v>
      </c>
      <c r="D2643" t="s">
        <v>45</v>
      </c>
      <c r="E2643" t="s">
        <v>223</v>
      </c>
      <c r="F2643" t="s">
        <v>47</v>
      </c>
      <c r="G2643" t="s">
        <v>48</v>
      </c>
      <c r="H2643" t="s">
        <v>3957</v>
      </c>
      <c r="I2643" t="s">
        <v>3958</v>
      </c>
      <c r="J2643" t="s">
        <v>1660</v>
      </c>
      <c r="K2643" t="s">
        <v>3043</v>
      </c>
      <c r="L2643" t="s">
        <v>53</v>
      </c>
      <c r="P2643" t="s">
        <v>55</v>
      </c>
      <c r="R2643" t="s">
        <v>56</v>
      </c>
      <c r="T2643" t="s">
        <v>4215</v>
      </c>
      <c r="U2643" t="s">
        <v>58</v>
      </c>
      <c r="V2643">
        <v>1</v>
      </c>
      <c r="W2643">
        <v>1</v>
      </c>
      <c r="X2643">
        <v>1</v>
      </c>
      <c r="Y2643">
        <v>0</v>
      </c>
      <c r="Z2643">
        <v>1</v>
      </c>
      <c r="AA2643">
        <v>0</v>
      </c>
      <c r="AB2643">
        <v>128.43</v>
      </c>
      <c r="AC2643">
        <v>113</v>
      </c>
      <c r="AD2643">
        <v>0</v>
      </c>
      <c r="AE2643">
        <v>15.43</v>
      </c>
      <c r="AF2643">
        <v>0</v>
      </c>
      <c r="AG2643">
        <v>0</v>
      </c>
      <c r="AH2643">
        <v>0</v>
      </c>
      <c r="AI2643">
        <v>0</v>
      </c>
      <c r="AJ2643">
        <v>128.43</v>
      </c>
      <c r="AK2643">
        <v>0</v>
      </c>
      <c r="AL2643" t="s">
        <v>53</v>
      </c>
      <c r="AM2643" t="s">
        <v>53</v>
      </c>
      <c r="AN2643" t="s">
        <v>53</v>
      </c>
      <c r="AO2643" t="s">
        <v>53</v>
      </c>
      <c r="AP2643" t="s">
        <v>53</v>
      </c>
    </row>
    <row r="2644" spans="2:42" x14ac:dyDescent="0.2">
      <c r="B2644" t="s">
        <v>44</v>
      </c>
      <c r="C2644" t="str">
        <f>HYPERLINK("https://us2.cloudbeds.com/connect/8493803454333002#/reservations/4308203294935?display=322TJ4ED0&amp;reservation_id=4308203294935", "322TJ4ED0")</f>
        <v>322TJ4ED0</v>
      </c>
      <c r="D2644" t="s">
        <v>45</v>
      </c>
      <c r="E2644" t="s">
        <v>190</v>
      </c>
      <c r="F2644" t="s">
        <v>61</v>
      </c>
      <c r="G2644" t="s">
        <v>48</v>
      </c>
      <c r="H2644" t="s">
        <v>3957</v>
      </c>
      <c r="I2644" t="s">
        <v>3975</v>
      </c>
      <c r="J2644" t="s">
        <v>1478</v>
      </c>
      <c r="K2644" t="s">
        <v>3514</v>
      </c>
      <c r="L2644" t="s">
        <v>53</v>
      </c>
      <c r="P2644" t="s">
        <v>55</v>
      </c>
      <c r="R2644" t="s">
        <v>56</v>
      </c>
      <c r="T2644" t="s">
        <v>4216</v>
      </c>
      <c r="U2644" t="s">
        <v>58</v>
      </c>
      <c r="V2644">
        <v>1</v>
      </c>
      <c r="W2644">
        <v>1</v>
      </c>
      <c r="X2644">
        <v>2</v>
      </c>
      <c r="Y2644">
        <v>0</v>
      </c>
      <c r="Z2644">
        <v>2</v>
      </c>
      <c r="AA2644">
        <v>0</v>
      </c>
      <c r="AB2644">
        <v>138.66</v>
      </c>
      <c r="AC2644">
        <v>122</v>
      </c>
      <c r="AD2644">
        <v>0</v>
      </c>
      <c r="AE2644">
        <v>16.66</v>
      </c>
      <c r="AF2644">
        <v>0</v>
      </c>
      <c r="AG2644">
        <v>0</v>
      </c>
      <c r="AH2644">
        <v>0</v>
      </c>
      <c r="AI2644">
        <v>0</v>
      </c>
      <c r="AJ2644">
        <v>138.66</v>
      </c>
      <c r="AK2644">
        <v>0</v>
      </c>
      <c r="AL2644" t="s">
        <v>53</v>
      </c>
      <c r="AM2644" t="s">
        <v>53</v>
      </c>
      <c r="AN2644" t="s">
        <v>53</v>
      </c>
      <c r="AO2644" t="s">
        <v>53</v>
      </c>
      <c r="AP2644" t="s">
        <v>53</v>
      </c>
    </row>
    <row r="2645" spans="2:42" x14ac:dyDescent="0.2">
      <c r="B2645" t="s">
        <v>44</v>
      </c>
      <c r="C2645" t="str">
        <f>HYPERLINK("https://us2.cloudbeds.com/connect/8493803454333002#/reservations/4312488313076?display=32672CCKJ&amp;reservation_id=4312488313076", "32672CCKJ")</f>
        <v>32672CCKJ</v>
      </c>
      <c r="D2645" t="s">
        <v>45</v>
      </c>
      <c r="E2645" t="s">
        <v>78</v>
      </c>
      <c r="F2645" t="s">
        <v>61</v>
      </c>
      <c r="G2645" t="s">
        <v>48</v>
      </c>
      <c r="H2645" t="s">
        <v>3957</v>
      </c>
      <c r="I2645" t="s">
        <v>3975</v>
      </c>
      <c r="J2645" t="s">
        <v>3043</v>
      </c>
      <c r="K2645" t="s">
        <v>2469</v>
      </c>
      <c r="L2645" t="s">
        <v>53</v>
      </c>
      <c r="P2645" t="s">
        <v>55</v>
      </c>
      <c r="R2645" t="s">
        <v>56</v>
      </c>
      <c r="T2645" t="s">
        <v>4217</v>
      </c>
      <c r="U2645" t="s">
        <v>58</v>
      </c>
      <c r="V2645">
        <v>1</v>
      </c>
      <c r="W2645">
        <v>1</v>
      </c>
      <c r="X2645">
        <v>2</v>
      </c>
      <c r="Y2645">
        <v>0</v>
      </c>
      <c r="Z2645">
        <v>2</v>
      </c>
      <c r="AA2645">
        <v>0</v>
      </c>
      <c r="AB2645">
        <v>144.34</v>
      </c>
      <c r="AC2645">
        <v>127</v>
      </c>
      <c r="AD2645">
        <v>0</v>
      </c>
      <c r="AE2645">
        <v>17.34</v>
      </c>
      <c r="AF2645">
        <v>0</v>
      </c>
      <c r="AG2645">
        <v>0</v>
      </c>
      <c r="AH2645">
        <v>0</v>
      </c>
      <c r="AI2645">
        <v>0</v>
      </c>
      <c r="AJ2645">
        <v>144.34</v>
      </c>
      <c r="AK2645">
        <v>0</v>
      </c>
      <c r="AL2645" t="s">
        <v>53</v>
      </c>
      <c r="AM2645" t="s">
        <v>53</v>
      </c>
      <c r="AN2645" t="s">
        <v>53</v>
      </c>
      <c r="AO2645" t="s">
        <v>53</v>
      </c>
      <c r="AP2645" t="s">
        <v>53</v>
      </c>
    </row>
    <row r="2646" spans="2:42" x14ac:dyDescent="0.2">
      <c r="B2646" t="s">
        <v>44</v>
      </c>
      <c r="C2646" t="str">
        <f>HYPERLINK("https://us2.cloudbeds.com/connect/8493803454333002#/reservations/4315787825320?display=328PCK5P3&amp;reservation_id=4315787825320", "328PCK5P3")</f>
        <v>328PCK5P3</v>
      </c>
      <c r="D2646" t="s">
        <v>45</v>
      </c>
      <c r="E2646" t="s">
        <v>98</v>
      </c>
      <c r="F2646" t="s">
        <v>86</v>
      </c>
      <c r="G2646" t="s">
        <v>48</v>
      </c>
      <c r="H2646" t="s">
        <v>49</v>
      </c>
      <c r="I2646" t="s">
        <v>62</v>
      </c>
      <c r="J2646" t="s">
        <v>2163</v>
      </c>
      <c r="K2646" t="s">
        <v>2643</v>
      </c>
      <c r="L2646" t="s">
        <v>53</v>
      </c>
      <c r="N2646" t="s">
        <v>4218</v>
      </c>
      <c r="P2646" t="s">
        <v>55</v>
      </c>
      <c r="R2646" t="s">
        <v>56</v>
      </c>
      <c r="T2646" t="s">
        <v>4219</v>
      </c>
      <c r="U2646" t="s">
        <v>55</v>
      </c>
      <c r="V2646">
        <v>1</v>
      </c>
      <c r="W2646">
        <v>1</v>
      </c>
      <c r="X2646">
        <v>2</v>
      </c>
      <c r="Y2646">
        <v>0</v>
      </c>
      <c r="Z2646">
        <v>2</v>
      </c>
      <c r="AA2646">
        <v>0</v>
      </c>
      <c r="AB2646">
        <v>205.02</v>
      </c>
      <c r="AC2646">
        <v>180.4</v>
      </c>
      <c r="AD2646">
        <v>0</v>
      </c>
      <c r="AE2646">
        <v>24.62</v>
      </c>
      <c r="AF2646">
        <v>0</v>
      </c>
      <c r="AG2646">
        <v>0</v>
      </c>
      <c r="AH2646">
        <v>0</v>
      </c>
      <c r="AI2646">
        <v>30.75</v>
      </c>
      <c r="AJ2646">
        <v>205.02</v>
      </c>
      <c r="AK2646">
        <v>0</v>
      </c>
      <c r="AL2646" t="s">
        <v>53</v>
      </c>
      <c r="AM2646" t="s">
        <v>53</v>
      </c>
      <c r="AN2646" t="s">
        <v>53</v>
      </c>
      <c r="AO2646" t="s">
        <v>53</v>
      </c>
      <c r="AP2646" t="s">
        <v>53</v>
      </c>
    </row>
    <row r="2647" spans="2:42" x14ac:dyDescent="0.2">
      <c r="B2647" t="s">
        <v>44</v>
      </c>
      <c r="C2647" t="str">
        <f>HYPERLINK("https://us2.cloudbeds.com/connect/8493803454333002#/reservations/4318692470949?display=32B0JT79K&amp;reservation_id=4318692470949", "32B0JT79K")</f>
        <v>32B0JT79K</v>
      </c>
      <c r="D2647" t="s">
        <v>45</v>
      </c>
      <c r="E2647" t="s">
        <v>487</v>
      </c>
      <c r="F2647" t="s">
        <v>61</v>
      </c>
      <c r="G2647" t="s">
        <v>48</v>
      </c>
      <c r="H2647" t="s">
        <v>49</v>
      </c>
      <c r="I2647" t="s">
        <v>62</v>
      </c>
      <c r="J2647" t="s">
        <v>3043</v>
      </c>
      <c r="K2647" t="s">
        <v>2469</v>
      </c>
      <c r="L2647" t="s">
        <v>53</v>
      </c>
      <c r="N2647" t="s">
        <v>4220</v>
      </c>
      <c r="P2647" t="s">
        <v>55</v>
      </c>
      <c r="R2647" t="s">
        <v>56</v>
      </c>
      <c r="T2647" t="s">
        <v>4221</v>
      </c>
      <c r="U2647" t="s">
        <v>55</v>
      </c>
      <c r="V2647">
        <v>1</v>
      </c>
      <c r="W2647">
        <v>1</v>
      </c>
      <c r="X2647">
        <v>1</v>
      </c>
      <c r="Y2647">
        <v>0</v>
      </c>
      <c r="Z2647">
        <v>1</v>
      </c>
      <c r="AA2647">
        <v>0</v>
      </c>
      <c r="AB2647">
        <v>144.34</v>
      </c>
      <c r="AC2647">
        <v>127</v>
      </c>
      <c r="AD2647">
        <v>0</v>
      </c>
      <c r="AE2647">
        <v>17.34</v>
      </c>
      <c r="AF2647">
        <v>0</v>
      </c>
      <c r="AG2647">
        <v>0</v>
      </c>
      <c r="AH2647">
        <v>0</v>
      </c>
      <c r="AI2647">
        <v>21.65</v>
      </c>
      <c r="AJ2647">
        <v>144.34</v>
      </c>
      <c r="AK2647">
        <v>0</v>
      </c>
      <c r="AL2647" t="s">
        <v>53</v>
      </c>
      <c r="AM2647" t="s">
        <v>53</v>
      </c>
      <c r="AN2647" t="s">
        <v>53</v>
      </c>
      <c r="AO2647" t="s">
        <v>53</v>
      </c>
      <c r="AP2647" t="s">
        <v>53</v>
      </c>
    </row>
    <row r="2648" spans="2:42" x14ac:dyDescent="0.2">
      <c r="B2648" t="s">
        <v>44</v>
      </c>
      <c r="C2648" t="str">
        <f>HYPERLINK("https://us2.cloudbeds.com/connect/8493803454333002#/reservations/4319924699381?display=32BW2UQ64&amp;reservation_id=4319924699381", "32BW2UQ64")</f>
        <v>32BW2UQ64</v>
      </c>
      <c r="D2648" t="s">
        <v>45</v>
      </c>
      <c r="E2648" t="s">
        <v>78</v>
      </c>
      <c r="F2648" t="s">
        <v>61</v>
      </c>
      <c r="G2648" t="s">
        <v>48</v>
      </c>
      <c r="H2648" t="s">
        <v>49</v>
      </c>
      <c r="I2648" t="s">
        <v>62</v>
      </c>
      <c r="J2648" t="s">
        <v>2469</v>
      </c>
      <c r="K2648" t="s">
        <v>1140</v>
      </c>
      <c r="L2648" t="s">
        <v>53</v>
      </c>
      <c r="N2648" t="s">
        <v>4222</v>
      </c>
      <c r="P2648" t="s">
        <v>55</v>
      </c>
      <c r="R2648" t="s">
        <v>56</v>
      </c>
      <c r="T2648" t="s">
        <v>4223</v>
      </c>
      <c r="U2648" t="s">
        <v>55</v>
      </c>
      <c r="V2648">
        <v>1</v>
      </c>
      <c r="W2648">
        <v>1</v>
      </c>
      <c r="X2648">
        <v>1</v>
      </c>
      <c r="Y2648">
        <v>0</v>
      </c>
      <c r="Z2648">
        <v>1</v>
      </c>
      <c r="AA2648">
        <v>0</v>
      </c>
      <c r="AB2648">
        <v>134.11000000000001</v>
      </c>
      <c r="AC2648">
        <v>118</v>
      </c>
      <c r="AD2648">
        <v>0</v>
      </c>
      <c r="AE2648">
        <v>16.11</v>
      </c>
      <c r="AF2648">
        <v>0</v>
      </c>
      <c r="AG2648">
        <v>0</v>
      </c>
      <c r="AH2648">
        <v>0</v>
      </c>
      <c r="AI2648">
        <v>20.12</v>
      </c>
      <c r="AJ2648">
        <v>134.11000000000001</v>
      </c>
      <c r="AK2648">
        <v>0</v>
      </c>
      <c r="AL2648" t="s">
        <v>53</v>
      </c>
      <c r="AM2648" t="s">
        <v>53</v>
      </c>
      <c r="AN2648" t="s">
        <v>53</v>
      </c>
      <c r="AO2648" t="s">
        <v>53</v>
      </c>
      <c r="AP2648" t="s">
        <v>53</v>
      </c>
    </row>
    <row r="2649" spans="2:42" x14ac:dyDescent="0.2">
      <c r="B2649" t="s">
        <v>44</v>
      </c>
      <c r="C2649" t="str">
        <f>HYPERLINK("https://us2.cloudbeds.com/connect/8493803454333002#/reservations/4394424045718?display=343YNZUHZ&amp;reservation_id=4394424045718", "343YNZUHZ")</f>
        <v>343YNZUHZ</v>
      </c>
      <c r="D2649" t="s">
        <v>45</v>
      </c>
      <c r="E2649" t="s">
        <v>185</v>
      </c>
      <c r="F2649" t="s">
        <v>47</v>
      </c>
      <c r="G2649" t="s">
        <v>48</v>
      </c>
      <c r="H2649" t="s">
        <v>3957</v>
      </c>
      <c r="I2649" t="s">
        <v>3975</v>
      </c>
      <c r="J2649" t="s">
        <v>2469</v>
      </c>
      <c r="K2649" t="s">
        <v>1140</v>
      </c>
      <c r="L2649" t="s">
        <v>53</v>
      </c>
      <c r="P2649" t="s">
        <v>55</v>
      </c>
      <c r="R2649" t="s">
        <v>56</v>
      </c>
      <c r="T2649" t="s">
        <v>4224</v>
      </c>
      <c r="U2649" t="s">
        <v>58</v>
      </c>
      <c r="V2649">
        <v>1</v>
      </c>
      <c r="W2649">
        <v>1</v>
      </c>
      <c r="X2649">
        <v>2</v>
      </c>
      <c r="Y2649">
        <v>0</v>
      </c>
      <c r="Z2649">
        <v>2</v>
      </c>
      <c r="AA2649">
        <v>0</v>
      </c>
      <c r="AB2649">
        <v>130.71</v>
      </c>
      <c r="AC2649">
        <v>115</v>
      </c>
      <c r="AD2649">
        <v>0</v>
      </c>
      <c r="AE2649">
        <v>15.71</v>
      </c>
      <c r="AF2649">
        <v>0</v>
      </c>
      <c r="AG2649">
        <v>0</v>
      </c>
      <c r="AH2649">
        <v>0</v>
      </c>
      <c r="AI2649">
        <v>0</v>
      </c>
      <c r="AJ2649">
        <v>130.71</v>
      </c>
      <c r="AK2649">
        <v>0</v>
      </c>
      <c r="AL2649" t="s">
        <v>53</v>
      </c>
      <c r="AM2649" t="s">
        <v>53</v>
      </c>
      <c r="AN2649" t="s">
        <v>53</v>
      </c>
      <c r="AO2649" t="s">
        <v>53</v>
      </c>
      <c r="AP2649" t="s">
        <v>53</v>
      </c>
    </row>
    <row r="2650" spans="2:42" x14ac:dyDescent="0.2">
      <c r="B2650" t="s">
        <v>44</v>
      </c>
      <c r="C2650" t="str">
        <f>HYPERLINK("https://us2.cloudbeds.com/connect/8493803454333002#/reservations/4501976707234?display=36KUV093R&amp;reservation_id=4501976707234", "36KUV093R")</f>
        <v>36KUV093R</v>
      </c>
      <c r="D2650" t="s">
        <v>45</v>
      </c>
      <c r="E2650" t="s">
        <v>110</v>
      </c>
      <c r="F2650" t="s">
        <v>47</v>
      </c>
      <c r="G2650" t="s">
        <v>48</v>
      </c>
      <c r="H2650" t="s">
        <v>49</v>
      </c>
      <c r="I2650" t="s">
        <v>50</v>
      </c>
      <c r="J2650" t="s">
        <v>2469</v>
      </c>
      <c r="K2650" t="s">
        <v>1140</v>
      </c>
      <c r="L2650" t="s">
        <v>53</v>
      </c>
      <c r="N2650" t="s">
        <v>4225</v>
      </c>
      <c r="P2650" t="s">
        <v>55</v>
      </c>
      <c r="R2650" t="s">
        <v>53</v>
      </c>
      <c r="T2650" t="s">
        <v>4226</v>
      </c>
      <c r="U2650" t="s">
        <v>58</v>
      </c>
      <c r="V2650">
        <v>1</v>
      </c>
      <c r="W2650">
        <v>1</v>
      </c>
      <c r="X2650">
        <v>1</v>
      </c>
      <c r="Y2650">
        <v>0</v>
      </c>
      <c r="Z2650">
        <v>1</v>
      </c>
      <c r="AA2650">
        <v>0</v>
      </c>
      <c r="AB2650">
        <v>130.71</v>
      </c>
      <c r="AC2650">
        <v>115</v>
      </c>
      <c r="AD2650">
        <v>0</v>
      </c>
      <c r="AE2650">
        <v>15.71</v>
      </c>
      <c r="AF2650">
        <v>0</v>
      </c>
      <c r="AG2650">
        <v>0</v>
      </c>
      <c r="AH2650">
        <v>0</v>
      </c>
      <c r="AI2650">
        <v>23.53</v>
      </c>
      <c r="AJ2650">
        <v>130.71</v>
      </c>
      <c r="AK2650">
        <v>0</v>
      </c>
      <c r="AL2650" t="s">
        <v>53</v>
      </c>
      <c r="AM2650" t="s">
        <v>53</v>
      </c>
      <c r="AN2650" t="s">
        <v>53</v>
      </c>
      <c r="AO2650" t="s">
        <v>53</v>
      </c>
      <c r="AP2650" t="s">
        <v>53</v>
      </c>
    </row>
    <row r="2651" spans="2:42" x14ac:dyDescent="0.2">
      <c r="B2651" t="s">
        <v>44</v>
      </c>
      <c r="C2651" t="str">
        <f>HYPERLINK("https://us2.cloudbeds.com/connect/8493803454333002#/reservations/4520905379988?display=372JK5GET&amp;reservation_id=4520905379988", "372JK5GET")</f>
        <v>372JK5GET</v>
      </c>
      <c r="D2651" t="s">
        <v>45</v>
      </c>
      <c r="E2651" t="s">
        <v>138</v>
      </c>
      <c r="F2651" t="s">
        <v>70</v>
      </c>
      <c r="G2651" t="s">
        <v>48</v>
      </c>
      <c r="H2651" t="s">
        <v>3957</v>
      </c>
      <c r="I2651" t="s">
        <v>3975</v>
      </c>
      <c r="J2651" t="s">
        <v>2790</v>
      </c>
      <c r="K2651" t="s">
        <v>3080</v>
      </c>
      <c r="L2651" t="s">
        <v>53</v>
      </c>
      <c r="P2651" t="s">
        <v>55</v>
      </c>
      <c r="R2651" t="s">
        <v>56</v>
      </c>
      <c r="T2651" t="s">
        <v>4227</v>
      </c>
      <c r="U2651" t="s">
        <v>58</v>
      </c>
      <c r="V2651">
        <v>2</v>
      </c>
      <c r="W2651">
        <v>1</v>
      </c>
      <c r="X2651">
        <v>2</v>
      </c>
      <c r="Y2651">
        <v>0</v>
      </c>
      <c r="Z2651">
        <v>2</v>
      </c>
      <c r="AA2651">
        <v>0</v>
      </c>
      <c r="AB2651">
        <v>236.4</v>
      </c>
      <c r="AC2651">
        <v>208</v>
      </c>
      <c r="AD2651">
        <v>0</v>
      </c>
      <c r="AE2651">
        <v>28.4</v>
      </c>
      <c r="AF2651">
        <v>0</v>
      </c>
      <c r="AG2651">
        <v>0</v>
      </c>
      <c r="AH2651">
        <v>0</v>
      </c>
      <c r="AI2651">
        <v>0</v>
      </c>
      <c r="AJ2651">
        <v>236.4</v>
      </c>
      <c r="AK2651">
        <v>0</v>
      </c>
      <c r="AL2651" t="s">
        <v>53</v>
      </c>
      <c r="AM2651" t="s">
        <v>53</v>
      </c>
      <c r="AN2651" t="s">
        <v>53</v>
      </c>
      <c r="AO2651" t="s">
        <v>53</v>
      </c>
      <c r="AP2651" t="s">
        <v>53</v>
      </c>
    </row>
    <row r="2652" spans="2:42" x14ac:dyDescent="0.2">
      <c r="B2652" t="s">
        <v>44</v>
      </c>
      <c r="C2652" t="str">
        <f>HYPERLINK("https://us2.cloudbeds.com/connect/8493803454333002#/reservations/4531213111513?display=37AXWUAYY&amp;reservation_id=4531213111513", "37AXWUAYY")</f>
        <v>37AXWUAYY</v>
      </c>
      <c r="D2652" t="s">
        <v>45</v>
      </c>
      <c r="E2652" t="s">
        <v>381</v>
      </c>
      <c r="F2652" t="s">
        <v>47</v>
      </c>
      <c r="G2652" t="s">
        <v>48</v>
      </c>
      <c r="H2652" t="s">
        <v>49</v>
      </c>
      <c r="I2652" t="s">
        <v>50</v>
      </c>
      <c r="J2652" t="s">
        <v>3043</v>
      </c>
      <c r="K2652" t="s">
        <v>2469</v>
      </c>
      <c r="L2652" t="s">
        <v>53</v>
      </c>
      <c r="N2652" t="s">
        <v>4228</v>
      </c>
      <c r="P2652" t="s">
        <v>55</v>
      </c>
      <c r="R2652" t="s">
        <v>53</v>
      </c>
      <c r="T2652" t="s">
        <v>4229</v>
      </c>
      <c r="U2652" t="s">
        <v>58</v>
      </c>
      <c r="V2652">
        <v>1</v>
      </c>
      <c r="W2652">
        <v>1</v>
      </c>
      <c r="X2652">
        <v>1</v>
      </c>
      <c r="Y2652">
        <v>0</v>
      </c>
      <c r="Z2652">
        <v>1</v>
      </c>
      <c r="AA2652">
        <v>0</v>
      </c>
      <c r="AB2652">
        <v>134.11000000000001</v>
      </c>
      <c r="AC2652">
        <v>118</v>
      </c>
      <c r="AD2652">
        <v>0</v>
      </c>
      <c r="AE2652">
        <v>16.11</v>
      </c>
      <c r="AF2652">
        <v>0</v>
      </c>
      <c r="AG2652">
        <v>0</v>
      </c>
      <c r="AH2652">
        <v>0</v>
      </c>
      <c r="AI2652">
        <v>24.14</v>
      </c>
      <c r="AJ2652">
        <v>134.11000000000001</v>
      </c>
      <c r="AK2652">
        <v>0</v>
      </c>
      <c r="AL2652" t="s">
        <v>53</v>
      </c>
      <c r="AM2652" t="s">
        <v>53</v>
      </c>
      <c r="AN2652" t="s">
        <v>53</v>
      </c>
      <c r="AO2652" t="s">
        <v>53</v>
      </c>
      <c r="AP2652" t="s">
        <v>53</v>
      </c>
    </row>
    <row r="2653" spans="2:42" x14ac:dyDescent="0.2">
      <c r="B2653" t="s">
        <v>44</v>
      </c>
      <c r="C2653" t="str">
        <f>HYPERLINK("https://us2.cloudbeds.com/connect/8493803454333002#/reservations/4533150171296?display=37C2G9SJV&amp;reservation_id=4533150171296", "37C2G9SJV")</f>
        <v>37C2G9SJV</v>
      </c>
      <c r="D2653" t="s">
        <v>45</v>
      </c>
      <c r="E2653" t="s">
        <v>92</v>
      </c>
      <c r="F2653" t="s">
        <v>86</v>
      </c>
      <c r="G2653" t="s">
        <v>48</v>
      </c>
      <c r="H2653" t="s">
        <v>3957</v>
      </c>
      <c r="I2653" t="s">
        <v>3989</v>
      </c>
      <c r="J2653" t="s">
        <v>3043</v>
      </c>
      <c r="K2653" t="s">
        <v>2469</v>
      </c>
      <c r="L2653" t="s">
        <v>53</v>
      </c>
      <c r="P2653" t="s">
        <v>55</v>
      </c>
      <c r="R2653" t="s">
        <v>56</v>
      </c>
      <c r="T2653" t="s">
        <v>4230</v>
      </c>
      <c r="U2653" t="s">
        <v>58</v>
      </c>
      <c r="V2653">
        <v>1</v>
      </c>
      <c r="W2653">
        <v>1</v>
      </c>
      <c r="X2653">
        <v>1</v>
      </c>
      <c r="Y2653">
        <v>0</v>
      </c>
      <c r="Z2653">
        <v>1</v>
      </c>
      <c r="AA2653">
        <v>0</v>
      </c>
      <c r="AB2653">
        <v>170.48</v>
      </c>
      <c r="AC2653">
        <v>150</v>
      </c>
      <c r="AD2653">
        <v>0</v>
      </c>
      <c r="AE2653">
        <v>20.48</v>
      </c>
      <c r="AF2653">
        <v>0</v>
      </c>
      <c r="AG2653">
        <v>0</v>
      </c>
      <c r="AH2653">
        <v>0</v>
      </c>
      <c r="AI2653">
        <v>0</v>
      </c>
      <c r="AJ2653">
        <v>170.48</v>
      </c>
      <c r="AK2653">
        <v>0</v>
      </c>
      <c r="AL2653" t="s">
        <v>53</v>
      </c>
      <c r="AM2653" t="s">
        <v>53</v>
      </c>
      <c r="AN2653" t="s">
        <v>53</v>
      </c>
      <c r="AO2653" t="s">
        <v>53</v>
      </c>
      <c r="AP2653" t="s">
        <v>53</v>
      </c>
    </row>
    <row r="2654" spans="2:42" x14ac:dyDescent="0.2">
      <c r="B2654" t="s">
        <v>44</v>
      </c>
      <c r="C2654" t="str">
        <f>HYPERLINK("https://us2.cloudbeds.com/connect/8493803454333002#/reservations/4548352942320?display=37NRVMCXW&amp;reservation_id=4548352942320", "37NRVMCXW")</f>
        <v>37NRVMCXW</v>
      </c>
      <c r="D2654" t="s">
        <v>45</v>
      </c>
      <c r="E2654" t="s">
        <v>265</v>
      </c>
      <c r="F2654" t="s">
        <v>61</v>
      </c>
      <c r="G2654" t="s">
        <v>48</v>
      </c>
      <c r="H2654" t="s">
        <v>3957</v>
      </c>
      <c r="I2654" t="s">
        <v>3989</v>
      </c>
      <c r="J2654" t="s">
        <v>3080</v>
      </c>
      <c r="K2654" t="s">
        <v>1745</v>
      </c>
      <c r="L2654" t="s">
        <v>53</v>
      </c>
      <c r="P2654" t="s">
        <v>58</v>
      </c>
      <c r="R2654" t="s">
        <v>56</v>
      </c>
      <c r="T2654" t="s">
        <v>4231</v>
      </c>
      <c r="U2654" t="s">
        <v>58</v>
      </c>
      <c r="V2654">
        <v>1</v>
      </c>
      <c r="W2654">
        <v>1</v>
      </c>
      <c r="X2654">
        <v>1</v>
      </c>
      <c r="Y2654">
        <v>0</v>
      </c>
      <c r="Z2654">
        <v>1</v>
      </c>
      <c r="AA2654">
        <v>0</v>
      </c>
      <c r="AB2654">
        <v>277.32</v>
      </c>
      <c r="AC2654">
        <v>244</v>
      </c>
      <c r="AD2654">
        <v>0</v>
      </c>
      <c r="AE2654">
        <v>33.32</v>
      </c>
      <c r="AF2654">
        <v>0</v>
      </c>
      <c r="AG2654">
        <v>0</v>
      </c>
      <c r="AH2654">
        <v>0</v>
      </c>
      <c r="AI2654">
        <v>0</v>
      </c>
      <c r="AJ2654">
        <v>277.32</v>
      </c>
      <c r="AK2654">
        <v>0</v>
      </c>
      <c r="AL2654" t="s">
        <v>53</v>
      </c>
      <c r="AM2654" t="s">
        <v>53</v>
      </c>
      <c r="AN2654" t="s">
        <v>53</v>
      </c>
      <c r="AO2654" t="s">
        <v>53</v>
      </c>
      <c r="AP2654" t="s">
        <v>53</v>
      </c>
    </row>
    <row r="2655" spans="2:42" x14ac:dyDescent="0.2">
      <c r="B2655" t="s">
        <v>44</v>
      </c>
      <c r="C2655" t="str">
        <f>HYPERLINK("https://us2.cloudbeds.com/connect/8493803454333002#/reservations/4548634665107?display=37Z257Z64&amp;reservation_id=4548634665107", "37Z257Z64")</f>
        <v>37Z257Z64</v>
      </c>
      <c r="D2655" t="s">
        <v>45</v>
      </c>
      <c r="E2655" t="s">
        <v>265</v>
      </c>
      <c r="F2655" t="s">
        <v>61</v>
      </c>
      <c r="G2655" t="s">
        <v>48</v>
      </c>
      <c r="H2655" t="s">
        <v>3957</v>
      </c>
      <c r="I2655" t="s">
        <v>3989</v>
      </c>
      <c r="J2655" t="s">
        <v>1478</v>
      </c>
      <c r="K2655" t="s">
        <v>3514</v>
      </c>
      <c r="L2655" t="s">
        <v>53</v>
      </c>
      <c r="P2655" t="s">
        <v>58</v>
      </c>
      <c r="R2655" t="s">
        <v>56</v>
      </c>
      <c r="T2655" t="s">
        <v>4232</v>
      </c>
      <c r="U2655" t="s">
        <v>58</v>
      </c>
      <c r="V2655">
        <v>1</v>
      </c>
      <c r="W2655">
        <v>1</v>
      </c>
      <c r="X2655">
        <v>1</v>
      </c>
      <c r="Y2655">
        <v>0</v>
      </c>
      <c r="Z2655">
        <v>1</v>
      </c>
      <c r="AA2655">
        <v>0</v>
      </c>
      <c r="AB2655">
        <v>0</v>
      </c>
      <c r="AC2655">
        <v>0</v>
      </c>
      <c r="AD2655">
        <v>0</v>
      </c>
      <c r="AE2655">
        <v>0</v>
      </c>
      <c r="AF2655">
        <v>0</v>
      </c>
      <c r="AG2655">
        <v>0</v>
      </c>
      <c r="AH2655">
        <v>0</v>
      </c>
      <c r="AI2655">
        <v>0</v>
      </c>
      <c r="AJ2655">
        <v>0</v>
      </c>
      <c r="AK2655">
        <v>0</v>
      </c>
      <c r="AL2655" t="s">
        <v>53</v>
      </c>
      <c r="AM2655" t="s">
        <v>53</v>
      </c>
      <c r="AN2655" t="s">
        <v>4233</v>
      </c>
      <c r="AO2655" t="s">
        <v>53</v>
      </c>
      <c r="AP2655" t="s">
        <v>53</v>
      </c>
    </row>
    <row r="2656" spans="2:42" x14ac:dyDescent="0.2">
      <c r="B2656" t="s">
        <v>44</v>
      </c>
      <c r="C2656" t="str">
        <f>HYPERLINK("https://us2.cloudbeds.com/connect/8493803454333002#/reservations/4561266393331?display=380RUY6A9&amp;reservation_id=4561266393331", "380RUY6A9")</f>
        <v>380RUY6A9</v>
      </c>
      <c r="D2656" t="s">
        <v>45</v>
      </c>
      <c r="E2656" t="s">
        <v>487</v>
      </c>
      <c r="F2656" t="s">
        <v>61</v>
      </c>
      <c r="G2656" t="s">
        <v>48</v>
      </c>
      <c r="H2656" t="s">
        <v>49</v>
      </c>
      <c r="I2656" t="s">
        <v>50</v>
      </c>
      <c r="J2656" t="s">
        <v>3551</v>
      </c>
      <c r="K2656" t="s">
        <v>1436</v>
      </c>
      <c r="L2656" t="s">
        <v>53</v>
      </c>
      <c r="N2656" t="s">
        <v>4234</v>
      </c>
      <c r="P2656" t="s">
        <v>55</v>
      </c>
      <c r="R2656" t="s">
        <v>53</v>
      </c>
      <c r="T2656" t="s">
        <v>4235</v>
      </c>
      <c r="U2656" t="s">
        <v>58</v>
      </c>
      <c r="V2656">
        <v>3</v>
      </c>
      <c r="W2656">
        <v>1</v>
      </c>
      <c r="X2656">
        <v>2</v>
      </c>
      <c r="Y2656">
        <v>0</v>
      </c>
      <c r="Z2656">
        <v>2</v>
      </c>
      <c r="AA2656">
        <v>0</v>
      </c>
      <c r="AB2656">
        <v>489.84</v>
      </c>
      <c r="AC2656">
        <v>431</v>
      </c>
      <c r="AD2656">
        <v>0</v>
      </c>
      <c r="AE2656">
        <v>58.84</v>
      </c>
      <c r="AF2656">
        <v>0</v>
      </c>
      <c r="AG2656">
        <v>0</v>
      </c>
      <c r="AH2656">
        <v>0</v>
      </c>
      <c r="AI2656">
        <v>88.17</v>
      </c>
      <c r="AJ2656">
        <v>489.84</v>
      </c>
      <c r="AK2656">
        <v>0</v>
      </c>
      <c r="AL2656" t="s">
        <v>53</v>
      </c>
      <c r="AM2656" t="s">
        <v>53</v>
      </c>
      <c r="AN2656" t="s">
        <v>53</v>
      </c>
      <c r="AO2656" t="s">
        <v>53</v>
      </c>
      <c r="AP2656" t="s">
        <v>53</v>
      </c>
    </row>
    <row r="2657" spans="2:42" x14ac:dyDescent="0.2">
      <c r="B2657" t="s">
        <v>44</v>
      </c>
      <c r="C2657" t="str">
        <f>HYPERLINK("https://us2.cloudbeds.com/connect/8493803454333002#/reservations/4562158129285?display=381HNJ1UU&amp;reservation_id=4562158129285", "381HNJ1UU")</f>
        <v>381HNJ1UU</v>
      </c>
      <c r="D2657" t="s">
        <v>45</v>
      </c>
      <c r="E2657" t="s">
        <v>774</v>
      </c>
      <c r="F2657" t="s">
        <v>47</v>
      </c>
      <c r="G2657" t="s">
        <v>48</v>
      </c>
      <c r="H2657" t="s">
        <v>3957</v>
      </c>
      <c r="I2657" t="s">
        <v>3958</v>
      </c>
      <c r="J2657" t="s">
        <v>3043</v>
      </c>
      <c r="K2657" t="s">
        <v>2469</v>
      </c>
      <c r="L2657" t="s">
        <v>53</v>
      </c>
      <c r="P2657" t="s">
        <v>55</v>
      </c>
      <c r="R2657" t="s">
        <v>56</v>
      </c>
      <c r="T2657" t="s">
        <v>4236</v>
      </c>
      <c r="U2657" t="s">
        <v>58</v>
      </c>
      <c r="V2657">
        <v>2</v>
      </c>
      <c r="W2657">
        <v>2</v>
      </c>
      <c r="X2657">
        <v>2</v>
      </c>
      <c r="Y2657">
        <v>0</v>
      </c>
      <c r="Z2657">
        <v>2</v>
      </c>
      <c r="AA2657">
        <v>0</v>
      </c>
      <c r="AB2657">
        <v>268.22000000000003</v>
      </c>
      <c r="AC2657">
        <v>236</v>
      </c>
      <c r="AD2657">
        <v>0</v>
      </c>
      <c r="AE2657">
        <v>32.22</v>
      </c>
      <c r="AF2657">
        <v>0</v>
      </c>
      <c r="AG2657">
        <v>0</v>
      </c>
      <c r="AH2657">
        <v>0</v>
      </c>
      <c r="AI2657">
        <v>0</v>
      </c>
      <c r="AJ2657">
        <v>268.22000000000003</v>
      </c>
      <c r="AK2657">
        <v>0</v>
      </c>
      <c r="AL2657" t="s">
        <v>53</v>
      </c>
      <c r="AM2657" t="s">
        <v>53</v>
      </c>
      <c r="AN2657" t="s">
        <v>53</v>
      </c>
      <c r="AO2657" t="s">
        <v>53</v>
      </c>
      <c r="AP2657" t="s">
        <v>53</v>
      </c>
    </row>
    <row r="2658" spans="2:42" x14ac:dyDescent="0.2">
      <c r="B2658" t="s">
        <v>44</v>
      </c>
      <c r="C2658" t="str">
        <f>HYPERLINK("https://us2.cloudbeds.com/connect/8493803454333002#/reservations/4571468415184?display=388ZK8G3Y&amp;reservation_id=4571468415184", "388ZK8G3Y")</f>
        <v>388ZK8G3Y</v>
      </c>
      <c r="D2658" t="s">
        <v>45</v>
      </c>
      <c r="E2658" t="s">
        <v>373</v>
      </c>
      <c r="F2658" t="s">
        <v>47</v>
      </c>
      <c r="G2658" t="s">
        <v>48</v>
      </c>
      <c r="H2658" t="s">
        <v>49</v>
      </c>
      <c r="I2658" t="s">
        <v>50</v>
      </c>
      <c r="J2658" t="s">
        <v>2469</v>
      </c>
      <c r="K2658" t="s">
        <v>1141</v>
      </c>
      <c r="L2658" t="s">
        <v>53</v>
      </c>
      <c r="N2658" t="s">
        <v>4237</v>
      </c>
      <c r="P2658" t="s">
        <v>55</v>
      </c>
      <c r="R2658" t="s">
        <v>53</v>
      </c>
      <c r="T2658" t="s">
        <v>4238</v>
      </c>
      <c r="U2658" t="s">
        <v>58</v>
      </c>
      <c r="V2658">
        <v>3</v>
      </c>
      <c r="W2658">
        <v>1</v>
      </c>
      <c r="X2658">
        <v>2</v>
      </c>
      <c r="Y2658">
        <v>0</v>
      </c>
      <c r="Z2658">
        <v>2</v>
      </c>
      <c r="AA2658">
        <v>0</v>
      </c>
      <c r="AB2658">
        <v>462.58</v>
      </c>
      <c r="AC2658">
        <v>407</v>
      </c>
      <c r="AD2658">
        <v>0</v>
      </c>
      <c r="AE2658">
        <v>55.58</v>
      </c>
      <c r="AF2658">
        <v>0</v>
      </c>
      <c r="AG2658">
        <v>0</v>
      </c>
      <c r="AH2658">
        <v>0</v>
      </c>
      <c r="AI2658">
        <v>83.26</v>
      </c>
      <c r="AJ2658">
        <v>462.58</v>
      </c>
      <c r="AK2658">
        <v>0</v>
      </c>
      <c r="AL2658" t="s">
        <v>53</v>
      </c>
      <c r="AM2658" t="s">
        <v>53</v>
      </c>
      <c r="AN2658" t="s">
        <v>53</v>
      </c>
      <c r="AO2658" t="s">
        <v>53</v>
      </c>
      <c r="AP2658" t="s">
        <v>53</v>
      </c>
    </row>
    <row r="2659" spans="2:42" x14ac:dyDescent="0.2">
      <c r="B2659" t="s">
        <v>44</v>
      </c>
      <c r="C2659" t="str">
        <f>HYPERLINK("https://us2.cloudbeds.com/connect/8493803454333002#/reservations/4592371925122?display=38ZUZYFCZ&amp;reservation_id=4592371925122", "38ZUZYFCZ")</f>
        <v>38ZUZYFCZ</v>
      </c>
      <c r="D2659" t="s">
        <v>45</v>
      </c>
      <c r="E2659" t="s">
        <v>179</v>
      </c>
      <c r="F2659" t="s">
        <v>47</v>
      </c>
      <c r="G2659" t="s">
        <v>48</v>
      </c>
      <c r="H2659" t="s">
        <v>3957</v>
      </c>
      <c r="I2659" t="s">
        <v>3989</v>
      </c>
      <c r="J2659" t="s">
        <v>3043</v>
      </c>
      <c r="K2659" t="s">
        <v>2469</v>
      </c>
      <c r="L2659" t="s">
        <v>53</v>
      </c>
      <c r="P2659" t="s">
        <v>55</v>
      </c>
      <c r="R2659" t="s">
        <v>56</v>
      </c>
      <c r="T2659" t="s">
        <v>4239</v>
      </c>
      <c r="U2659" t="s">
        <v>58</v>
      </c>
      <c r="V2659">
        <v>1</v>
      </c>
      <c r="W2659">
        <v>1</v>
      </c>
      <c r="X2659">
        <v>1</v>
      </c>
      <c r="Y2659">
        <v>0</v>
      </c>
      <c r="Z2659">
        <v>1</v>
      </c>
      <c r="AA2659">
        <v>0</v>
      </c>
      <c r="AB2659">
        <v>134.11000000000001</v>
      </c>
      <c r="AC2659">
        <v>118</v>
      </c>
      <c r="AD2659">
        <v>0</v>
      </c>
      <c r="AE2659">
        <v>16.11</v>
      </c>
      <c r="AF2659">
        <v>0</v>
      </c>
      <c r="AG2659">
        <v>0</v>
      </c>
      <c r="AH2659">
        <v>0</v>
      </c>
      <c r="AI2659">
        <v>0</v>
      </c>
      <c r="AJ2659">
        <v>134.11000000000001</v>
      </c>
      <c r="AK2659">
        <v>0</v>
      </c>
      <c r="AL2659" t="s">
        <v>53</v>
      </c>
      <c r="AM2659" t="s">
        <v>53</v>
      </c>
      <c r="AN2659" t="s">
        <v>53</v>
      </c>
      <c r="AO2659" t="s">
        <v>53</v>
      </c>
      <c r="AP2659" t="s">
        <v>53</v>
      </c>
    </row>
    <row r="2660" spans="2:42" x14ac:dyDescent="0.2">
      <c r="B2660" t="s">
        <v>44</v>
      </c>
      <c r="C2660" t="str">
        <f>HYPERLINK("https://us2.cloudbeds.com/connect/8493803454333002#/reservations/4611223392502?display=396HENB20&amp;reservation_id=4611223392502", "396HENB20")</f>
        <v>396HENB20</v>
      </c>
      <c r="D2660" t="s">
        <v>45</v>
      </c>
      <c r="E2660" t="s">
        <v>128</v>
      </c>
      <c r="F2660" t="s">
        <v>86</v>
      </c>
      <c r="G2660" t="s">
        <v>48</v>
      </c>
      <c r="H2660" t="s">
        <v>49</v>
      </c>
      <c r="I2660" t="s">
        <v>62</v>
      </c>
      <c r="J2660" t="s">
        <v>3514</v>
      </c>
      <c r="K2660" t="s">
        <v>1858</v>
      </c>
      <c r="L2660" t="s">
        <v>53</v>
      </c>
      <c r="N2660" t="s">
        <v>4240</v>
      </c>
      <c r="P2660" t="s">
        <v>58</v>
      </c>
      <c r="R2660" t="s">
        <v>56</v>
      </c>
      <c r="T2660" t="s">
        <v>4241</v>
      </c>
      <c r="U2660" t="s">
        <v>55</v>
      </c>
      <c r="V2660">
        <v>1</v>
      </c>
      <c r="W2660">
        <v>1</v>
      </c>
      <c r="X2660">
        <v>2</v>
      </c>
      <c r="Y2660">
        <v>0</v>
      </c>
      <c r="Z2660">
        <v>2</v>
      </c>
      <c r="AA2660">
        <v>0</v>
      </c>
      <c r="AB2660">
        <v>146.26</v>
      </c>
      <c r="AC2660">
        <v>128.69999999999999</v>
      </c>
      <c r="AD2660">
        <v>0</v>
      </c>
      <c r="AE2660">
        <v>17.559999999999999</v>
      </c>
      <c r="AF2660">
        <v>0</v>
      </c>
      <c r="AG2660">
        <v>0</v>
      </c>
      <c r="AH2660">
        <v>0</v>
      </c>
      <c r="AI2660">
        <v>21.94</v>
      </c>
      <c r="AJ2660">
        <v>146.26</v>
      </c>
      <c r="AK2660">
        <v>0</v>
      </c>
      <c r="AL2660" t="s">
        <v>53</v>
      </c>
      <c r="AM2660" t="s">
        <v>53</v>
      </c>
      <c r="AN2660" t="s">
        <v>53</v>
      </c>
      <c r="AO2660" t="s">
        <v>53</v>
      </c>
      <c r="AP2660" t="s">
        <v>53</v>
      </c>
    </row>
    <row r="2661" spans="2:42" x14ac:dyDescent="0.2">
      <c r="B2661" t="s">
        <v>44</v>
      </c>
      <c r="C2661" t="str">
        <f>HYPERLINK("https://us2.cloudbeds.com/connect/8493803454333002#/reservations/4654743105757?display=3A77FMGQX&amp;reservation_id=4654743105757", "3A77FMGQX")</f>
        <v>3A77FMGQX</v>
      </c>
      <c r="D2661" t="s">
        <v>45</v>
      </c>
      <c r="E2661" t="s">
        <v>190</v>
      </c>
      <c r="F2661" t="s">
        <v>61</v>
      </c>
      <c r="G2661" t="s">
        <v>48</v>
      </c>
      <c r="H2661" t="s">
        <v>49</v>
      </c>
      <c r="I2661" t="s">
        <v>50</v>
      </c>
      <c r="J2661" t="s">
        <v>2469</v>
      </c>
      <c r="K2661" t="s">
        <v>2039</v>
      </c>
      <c r="L2661" t="s">
        <v>53</v>
      </c>
      <c r="N2661" t="s">
        <v>4242</v>
      </c>
      <c r="P2661" t="s">
        <v>55</v>
      </c>
      <c r="R2661" t="s">
        <v>53</v>
      </c>
      <c r="T2661" t="s">
        <v>4243</v>
      </c>
      <c r="U2661" t="s">
        <v>58</v>
      </c>
      <c r="V2661">
        <v>2</v>
      </c>
      <c r="W2661">
        <v>1</v>
      </c>
      <c r="X2661">
        <v>2</v>
      </c>
      <c r="Y2661">
        <v>0</v>
      </c>
      <c r="Z2661">
        <v>2</v>
      </c>
      <c r="AA2661">
        <v>0</v>
      </c>
      <c r="AB2661">
        <v>329.59</v>
      </c>
      <c r="AC2661">
        <v>290</v>
      </c>
      <c r="AD2661">
        <v>0</v>
      </c>
      <c r="AE2661">
        <v>39.590000000000003</v>
      </c>
      <c r="AF2661">
        <v>0</v>
      </c>
      <c r="AG2661">
        <v>0</v>
      </c>
      <c r="AH2661">
        <v>0</v>
      </c>
      <c r="AI2661">
        <v>59.33</v>
      </c>
      <c r="AJ2661">
        <v>329.59</v>
      </c>
      <c r="AK2661">
        <v>0</v>
      </c>
      <c r="AL2661" t="s">
        <v>53</v>
      </c>
      <c r="AM2661" t="s">
        <v>53</v>
      </c>
      <c r="AN2661" t="s">
        <v>53</v>
      </c>
      <c r="AO2661" t="s">
        <v>53</v>
      </c>
      <c r="AP2661" t="s">
        <v>53</v>
      </c>
    </row>
    <row r="2662" spans="2:42" x14ac:dyDescent="0.2">
      <c r="B2662" t="s">
        <v>44</v>
      </c>
      <c r="C2662" t="str">
        <f>HYPERLINK("https://us2.cloudbeds.com/connect/8493803454333002#/reservations/4673537528020?display=3AYPNY0EU&amp;reservation_id=4673537528020", "3AYPNY0EU")</f>
        <v>3AYPNY0EU</v>
      </c>
      <c r="D2662" t="s">
        <v>45</v>
      </c>
      <c r="E2662" t="s">
        <v>373</v>
      </c>
      <c r="F2662" t="s">
        <v>47</v>
      </c>
      <c r="G2662" t="s">
        <v>48</v>
      </c>
      <c r="H2662" t="s">
        <v>49</v>
      </c>
      <c r="I2662" t="s">
        <v>62</v>
      </c>
      <c r="J2662" t="s">
        <v>1477</v>
      </c>
      <c r="K2662" t="s">
        <v>1665</v>
      </c>
      <c r="L2662" t="s">
        <v>53</v>
      </c>
      <c r="N2662" t="s">
        <v>4244</v>
      </c>
      <c r="P2662" t="s">
        <v>55</v>
      </c>
      <c r="R2662" t="s">
        <v>56</v>
      </c>
      <c r="T2662" t="s">
        <v>4245</v>
      </c>
      <c r="U2662" t="s">
        <v>55</v>
      </c>
      <c r="V2662">
        <v>2</v>
      </c>
      <c r="W2662">
        <v>1</v>
      </c>
      <c r="X2662">
        <v>2</v>
      </c>
      <c r="Y2662">
        <v>0</v>
      </c>
      <c r="Z2662">
        <v>2</v>
      </c>
      <c r="AA2662">
        <v>0</v>
      </c>
      <c r="AB2662">
        <v>470.08</v>
      </c>
      <c r="AC2662">
        <v>413.6</v>
      </c>
      <c r="AD2662">
        <v>0</v>
      </c>
      <c r="AE2662">
        <v>56.48</v>
      </c>
      <c r="AF2662">
        <v>0</v>
      </c>
      <c r="AG2662">
        <v>0</v>
      </c>
      <c r="AH2662">
        <v>0</v>
      </c>
      <c r="AI2662">
        <v>70.510000000000005</v>
      </c>
      <c r="AJ2662">
        <v>470.08</v>
      </c>
      <c r="AK2662">
        <v>0</v>
      </c>
      <c r="AL2662" t="s">
        <v>53</v>
      </c>
      <c r="AM2662" t="s">
        <v>53</v>
      </c>
      <c r="AN2662" t="s">
        <v>53</v>
      </c>
      <c r="AO2662" t="s">
        <v>53</v>
      </c>
      <c r="AP2662" t="s">
        <v>53</v>
      </c>
    </row>
    <row r="2663" spans="2:42" x14ac:dyDescent="0.2">
      <c r="B2663" t="s">
        <v>44</v>
      </c>
      <c r="C2663" t="str">
        <f>HYPERLINK("https://us2.cloudbeds.com/connect/8493803454333002#/reservations/4688781426820?display=3B0J7MVW6&amp;reservation_id=4688781426820", "3B0J7MVW6")</f>
        <v>3B0J7MVW6</v>
      </c>
      <c r="D2663" t="s">
        <v>45</v>
      </c>
      <c r="E2663" t="s">
        <v>121</v>
      </c>
      <c r="F2663" t="s">
        <v>86</v>
      </c>
      <c r="G2663" t="s">
        <v>48</v>
      </c>
      <c r="H2663" t="s">
        <v>49</v>
      </c>
      <c r="I2663" t="s">
        <v>62</v>
      </c>
      <c r="J2663" t="s">
        <v>2643</v>
      </c>
      <c r="K2663" t="s">
        <v>2790</v>
      </c>
      <c r="L2663" t="s">
        <v>53</v>
      </c>
      <c r="N2663" t="s">
        <v>4246</v>
      </c>
      <c r="P2663" t="s">
        <v>55</v>
      </c>
      <c r="R2663" t="s">
        <v>56</v>
      </c>
      <c r="T2663" t="s">
        <v>4247</v>
      </c>
      <c r="U2663" t="s">
        <v>55</v>
      </c>
      <c r="V2663">
        <v>2</v>
      </c>
      <c r="W2663">
        <v>1</v>
      </c>
      <c r="X2663">
        <v>3</v>
      </c>
      <c r="Y2663">
        <v>0</v>
      </c>
      <c r="Z2663">
        <v>3</v>
      </c>
      <c r="AA2663">
        <v>0</v>
      </c>
      <c r="AB2663">
        <v>430.74</v>
      </c>
      <c r="AC2663">
        <v>379</v>
      </c>
      <c r="AD2663">
        <v>0</v>
      </c>
      <c r="AE2663">
        <v>51.74</v>
      </c>
      <c r="AF2663">
        <v>0</v>
      </c>
      <c r="AG2663">
        <v>0</v>
      </c>
      <c r="AH2663">
        <v>0</v>
      </c>
      <c r="AI2663">
        <v>64.61</v>
      </c>
      <c r="AJ2663">
        <v>430.74</v>
      </c>
      <c r="AK2663">
        <v>0</v>
      </c>
      <c r="AL2663" t="s">
        <v>53</v>
      </c>
      <c r="AM2663" t="s">
        <v>53</v>
      </c>
      <c r="AN2663" t="s">
        <v>53</v>
      </c>
      <c r="AO2663" t="s">
        <v>53</v>
      </c>
      <c r="AP2663" t="s">
        <v>53</v>
      </c>
    </row>
    <row r="2664" spans="2:42" x14ac:dyDescent="0.2">
      <c r="B2664" t="s">
        <v>44</v>
      </c>
      <c r="C2664" t="str">
        <f>HYPERLINK("https://us2.cloudbeds.com/connect/8493803454333002#/reservations/4830110732491?display=3EB0HA7NY&amp;reservation_id=4830110732491", "3EB0HA7NY")</f>
        <v>3EB0HA7NY</v>
      </c>
      <c r="D2664" t="s">
        <v>45</v>
      </c>
      <c r="E2664" t="s">
        <v>69</v>
      </c>
      <c r="F2664" t="s">
        <v>70</v>
      </c>
      <c r="G2664" t="s">
        <v>48</v>
      </c>
      <c r="H2664" t="s">
        <v>49</v>
      </c>
      <c r="I2664" t="s">
        <v>50</v>
      </c>
      <c r="J2664" t="s">
        <v>2469</v>
      </c>
      <c r="K2664" t="s">
        <v>1140</v>
      </c>
      <c r="L2664" t="s">
        <v>53</v>
      </c>
      <c r="N2664" t="s">
        <v>4248</v>
      </c>
      <c r="P2664" t="s">
        <v>55</v>
      </c>
      <c r="R2664" t="s">
        <v>53</v>
      </c>
      <c r="T2664" t="s">
        <v>4249</v>
      </c>
      <c r="U2664" t="s">
        <v>58</v>
      </c>
      <c r="V2664">
        <v>1</v>
      </c>
      <c r="W2664">
        <v>1</v>
      </c>
      <c r="X2664">
        <v>2</v>
      </c>
      <c r="Y2664">
        <v>0</v>
      </c>
      <c r="Z2664">
        <v>2</v>
      </c>
      <c r="AA2664">
        <v>0</v>
      </c>
      <c r="AB2664">
        <v>146.61000000000001</v>
      </c>
      <c r="AC2664">
        <v>129</v>
      </c>
      <c r="AD2664">
        <v>0</v>
      </c>
      <c r="AE2664">
        <v>17.61</v>
      </c>
      <c r="AF2664">
        <v>0</v>
      </c>
      <c r="AG2664">
        <v>0</v>
      </c>
      <c r="AH2664">
        <v>0</v>
      </c>
      <c r="AI2664">
        <v>26.39</v>
      </c>
      <c r="AJ2664">
        <v>146.61000000000001</v>
      </c>
      <c r="AK2664">
        <v>0</v>
      </c>
      <c r="AL2664" t="s">
        <v>53</v>
      </c>
      <c r="AM2664" t="s">
        <v>53</v>
      </c>
      <c r="AN2664" t="s">
        <v>53</v>
      </c>
      <c r="AO2664" t="s">
        <v>53</v>
      </c>
      <c r="AP2664" t="s">
        <v>53</v>
      </c>
    </row>
    <row r="2665" spans="2:42" x14ac:dyDescent="0.2">
      <c r="B2665" t="s">
        <v>44</v>
      </c>
      <c r="C2665" t="str">
        <f>HYPERLINK("https://us2.cloudbeds.com/connect/8493803454333002#/reservations/4835191976075?display=3EEVBVAPV&amp;reservation_id=4835191976075", "3EEVBVAPV")</f>
        <v>3EEVBVAPV</v>
      </c>
      <c r="D2665" t="s">
        <v>45</v>
      </c>
      <c r="E2665" t="s">
        <v>46</v>
      </c>
      <c r="F2665" t="s">
        <v>47</v>
      </c>
      <c r="G2665" t="s">
        <v>48</v>
      </c>
      <c r="H2665" t="s">
        <v>49</v>
      </c>
      <c r="I2665" t="s">
        <v>62</v>
      </c>
      <c r="J2665" t="s">
        <v>2469</v>
      </c>
      <c r="K2665" t="s">
        <v>1140</v>
      </c>
      <c r="L2665" t="s">
        <v>53</v>
      </c>
      <c r="N2665" t="s">
        <v>4250</v>
      </c>
      <c r="P2665" t="s">
        <v>55</v>
      </c>
      <c r="R2665" t="s">
        <v>118</v>
      </c>
      <c r="T2665" t="s">
        <v>4251</v>
      </c>
      <c r="U2665" t="s">
        <v>55</v>
      </c>
      <c r="V2665">
        <v>1</v>
      </c>
      <c r="W2665">
        <v>1</v>
      </c>
      <c r="X2665">
        <v>2</v>
      </c>
      <c r="Y2665">
        <v>0</v>
      </c>
      <c r="Z2665">
        <v>2</v>
      </c>
      <c r="AA2665">
        <v>0</v>
      </c>
      <c r="AB2665">
        <v>150.02000000000001</v>
      </c>
      <c r="AC2665">
        <v>132</v>
      </c>
      <c r="AD2665">
        <v>0</v>
      </c>
      <c r="AE2665">
        <v>18.02</v>
      </c>
      <c r="AF2665">
        <v>0</v>
      </c>
      <c r="AG2665">
        <v>0</v>
      </c>
      <c r="AH2665">
        <v>0</v>
      </c>
      <c r="AI2665">
        <v>22.5</v>
      </c>
      <c r="AJ2665">
        <v>150.02000000000001</v>
      </c>
      <c r="AK2665">
        <v>0</v>
      </c>
      <c r="AL2665" t="s">
        <v>53</v>
      </c>
      <c r="AM2665" t="s">
        <v>53</v>
      </c>
      <c r="AN2665" t="s">
        <v>53</v>
      </c>
      <c r="AO2665" t="s">
        <v>53</v>
      </c>
      <c r="AP2665" t="s">
        <v>53</v>
      </c>
    </row>
    <row r="2666" spans="2:42" x14ac:dyDescent="0.2">
      <c r="B2666" t="s">
        <v>44</v>
      </c>
      <c r="C2666" t="str">
        <f>HYPERLINK("https://us2.cloudbeds.com/connect/8493803454333002#/reservations/4851346620593?display=3ERF4W43A&amp;reservation_id=4851346620593", "3ERF4W43A")</f>
        <v>3ERF4W43A</v>
      </c>
      <c r="D2666" t="s">
        <v>45</v>
      </c>
      <c r="E2666" t="s">
        <v>60</v>
      </c>
      <c r="F2666" t="s">
        <v>61</v>
      </c>
      <c r="G2666" t="s">
        <v>48</v>
      </c>
      <c r="H2666" t="s">
        <v>49</v>
      </c>
      <c r="I2666" t="s">
        <v>62</v>
      </c>
      <c r="J2666" t="s">
        <v>2545</v>
      </c>
      <c r="K2666" t="s">
        <v>2314</v>
      </c>
      <c r="L2666" t="s">
        <v>53</v>
      </c>
      <c r="N2666" t="s">
        <v>4252</v>
      </c>
      <c r="P2666" t="s">
        <v>55</v>
      </c>
      <c r="R2666" t="s">
        <v>56</v>
      </c>
      <c r="T2666" t="s">
        <v>4253</v>
      </c>
      <c r="U2666" t="s">
        <v>55</v>
      </c>
      <c r="V2666">
        <v>4</v>
      </c>
      <c r="W2666">
        <v>2</v>
      </c>
      <c r="X2666">
        <v>3</v>
      </c>
      <c r="Y2666">
        <v>0</v>
      </c>
      <c r="Z2666">
        <v>3</v>
      </c>
      <c r="AA2666">
        <v>0</v>
      </c>
      <c r="AB2666">
        <v>582.55999999999995</v>
      </c>
      <c r="AC2666">
        <v>512.6</v>
      </c>
      <c r="AD2666">
        <v>0</v>
      </c>
      <c r="AE2666">
        <v>69.959999999999994</v>
      </c>
      <c r="AF2666">
        <v>0</v>
      </c>
      <c r="AG2666">
        <v>0</v>
      </c>
      <c r="AH2666">
        <v>0</v>
      </c>
      <c r="AI2666">
        <v>87.38</v>
      </c>
      <c r="AJ2666">
        <v>582.55999999999995</v>
      </c>
      <c r="AK2666">
        <v>0</v>
      </c>
      <c r="AL2666" t="s">
        <v>53</v>
      </c>
      <c r="AM2666" t="s">
        <v>53</v>
      </c>
      <c r="AN2666" t="s">
        <v>4254</v>
      </c>
      <c r="AO2666" t="s">
        <v>53</v>
      </c>
      <c r="AP2666" t="s">
        <v>53</v>
      </c>
    </row>
    <row r="2667" spans="2:42" x14ac:dyDescent="0.2">
      <c r="B2667" t="s">
        <v>44</v>
      </c>
      <c r="C2667" t="str">
        <f>HYPERLINK("https://us2.cloudbeds.com/connect/8493803454333002#/reservations/4907880530082?display=3G57NSG8N&amp;reservation_id=4907880530082", "3G57NSG8N")</f>
        <v>3G57NSG8N</v>
      </c>
      <c r="D2667" t="s">
        <v>45</v>
      </c>
      <c r="E2667" t="s">
        <v>110</v>
      </c>
      <c r="F2667" t="s">
        <v>47</v>
      </c>
      <c r="G2667" t="s">
        <v>48</v>
      </c>
      <c r="H2667" t="s">
        <v>3957</v>
      </c>
      <c r="I2667" t="s">
        <v>3958</v>
      </c>
      <c r="J2667" t="s">
        <v>1141</v>
      </c>
      <c r="K2667" t="s">
        <v>1450</v>
      </c>
      <c r="L2667" t="s">
        <v>53</v>
      </c>
      <c r="P2667" t="s">
        <v>55</v>
      </c>
      <c r="R2667" t="s">
        <v>56</v>
      </c>
      <c r="T2667" t="s">
        <v>4255</v>
      </c>
      <c r="U2667" t="s">
        <v>58</v>
      </c>
      <c r="V2667">
        <v>1</v>
      </c>
      <c r="W2667">
        <v>1</v>
      </c>
      <c r="X2667">
        <v>1</v>
      </c>
      <c r="Y2667">
        <v>0</v>
      </c>
      <c r="Z2667">
        <v>1</v>
      </c>
      <c r="AA2667">
        <v>0</v>
      </c>
      <c r="AB2667">
        <v>187.53</v>
      </c>
      <c r="AC2667">
        <v>165</v>
      </c>
      <c r="AD2667">
        <v>0</v>
      </c>
      <c r="AE2667">
        <v>22.53</v>
      </c>
      <c r="AF2667">
        <v>0</v>
      </c>
      <c r="AG2667">
        <v>0</v>
      </c>
      <c r="AH2667">
        <v>0</v>
      </c>
      <c r="AI2667">
        <v>0</v>
      </c>
      <c r="AJ2667">
        <v>187.53</v>
      </c>
      <c r="AK2667">
        <v>0</v>
      </c>
      <c r="AL2667" t="s">
        <v>53</v>
      </c>
      <c r="AM2667" t="s">
        <v>53</v>
      </c>
      <c r="AN2667" t="s">
        <v>53</v>
      </c>
      <c r="AO2667" t="s">
        <v>53</v>
      </c>
      <c r="AP2667" t="s">
        <v>53</v>
      </c>
    </row>
    <row r="2668" spans="2:42" x14ac:dyDescent="0.2">
      <c r="B2668" t="s">
        <v>44</v>
      </c>
      <c r="C2668" t="str">
        <f>HYPERLINK("https://us2.cloudbeds.com/connect/8493803454333002#/reservations/4909680369856?display=3G6KNHXWZ&amp;reservation_id=4909680369856", "3G6KNHXWZ")</f>
        <v>3G6KNHXWZ</v>
      </c>
      <c r="D2668" t="s">
        <v>45</v>
      </c>
      <c r="E2668" t="s">
        <v>98</v>
      </c>
      <c r="F2668" t="s">
        <v>86</v>
      </c>
      <c r="G2668" t="s">
        <v>48</v>
      </c>
      <c r="H2668" t="s">
        <v>49</v>
      </c>
      <c r="I2668" t="s">
        <v>62</v>
      </c>
      <c r="J2668" t="s">
        <v>1259</v>
      </c>
      <c r="K2668" t="s">
        <v>3339</v>
      </c>
      <c r="L2668" t="s">
        <v>53</v>
      </c>
      <c r="N2668" t="s">
        <v>4256</v>
      </c>
      <c r="P2668" t="s">
        <v>55</v>
      </c>
      <c r="R2668" t="s">
        <v>329</v>
      </c>
      <c r="T2668" t="s">
        <v>4257</v>
      </c>
      <c r="U2668" t="s">
        <v>55</v>
      </c>
      <c r="V2668">
        <v>1</v>
      </c>
      <c r="W2668">
        <v>1</v>
      </c>
      <c r="X2668">
        <v>2</v>
      </c>
      <c r="Y2668">
        <v>0</v>
      </c>
      <c r="Z2668">
        <v>2</v>
      </c>
      <c r="AA2668">
        <v>0</v>
      </c>
      <c r="AB2668">
        <v>159.11000000000001</v>
      </c>
      <c r="AC2668">
        <v>140</v>
      </c>
      <c r="AD2668">
        <v>0</v>
      </c>
      <c r="AE2668">
        <v>19.11</v>
      </c>
      <c r="AF2668">
        <v>0</v>
      </c>
      <c r="AG2668">
        <v>0</v>
      </c>
      <c r="AH2668">
        <v>0</v>
      </c>
      <c r="AI2668">
        <v>23.87</v>
      </c>
      <c r="AJ2668">
        <v>159.11000000000001</v>
      </c>
      <c r="AK2668">
        <v>0</v>
      </c>
      <c r="AL2668" t="s">
        <v>53</v>
      </c>
      <c r="AM2668" t="s">
        <v>53</v>
      </c>
      <c r="AN2668" t="s">
        <v>53</v>
      </c>
      <c r="AO2668" t="s">
        <v>53</v>
      </c>
      <c r="AP2668" t="s">
        <v>53</v>
      </c>
    </row>
    <row r="2669" spans="2:42" x14ac:dyDescent="0.2">
      <c r="B2669" t="s">
        <v>44</v>
      </c>
      <c r="C2669" t="str">
        <f>HYPERLINK("https://us2.cloudbeds.com/connect/8493803454333002#/reservations/4948460912854?display=3H3YYAF9X&amp;reservation_id=4948460912854", "3H3YYAF9X")</f>
        <v>3H3YYAF9X</v>
      </c>
      <c r="D2669" t="s">
        <v>45</v>
      </c>
      <c r="E2669" t="s">
        <v>113</v>
      </c>
      <c r="F2669" t="s">
        <v>61</v>
      </c>
      <c r="G2669" t="s">
        <v>48</v>
      </c>
      <c r="H2669" t="s">
        <v>49</v>
      </c>
      <c r="I2669" t="s">
        <v>62</v>
      </c>
      <c r="J2669" t="s">
        <v>2469</v>
      </c>
      <c r="K2669" t="s">
        <v>1140</v>
      </c>
      <c r="L2669" t="s">
        <v>53</v>
      </c>
      <c r="N2669" t="s">
        <v>4258</v>
      </c>
      <c r="P2669" t="s">
        <v>55</v>
      </c>
      <c r="R2669" t="s">
        <v>56</v>
      </c>
      <c r="T2669" t="s">
        <v>4259</v>
      </c>
      <c r="U2669" t="s">
        <v>55</v>
      </c>
      <c r="V2669">
        <v>1</v>
      </c>
      <c r="W2669">
        <v>1</v>
      </c>
      <c r="X2669">
        <v>2</v>
      </c>
      <c r="Y2669">
        <v>0</v>
      </c>
      <c r="Z2669">
        <v>2</v>
      </c>
      <c r="AA2669">
        <v>0</v>
      </c>
      <c r="AB2669">
        <v>160.25</v>
      </c>
      <c r="AC2669">
        <v>141</v>
      </c>
      <c r="AD2669">
        <v>0</v>
      </c>
      <c r="AE2669">
        <v>19.25</v>
      </c>
      <c r="AF2669">
        <v>0</v>
      </c>
      <c r="AG2669">
        <v>0</v>
      </c>
      <c r="AH2669">
        <v>0</v>
      </c>
      <c r="AI2669">
        <v>24.04</v>
      </c>
      <c r="AJ2669">
        <v>160.25</v>
      </c>
      <c r="AK2669">
        <v>0</v>
      </c>
      <c r="AL2669" t="s">
        <v>53</v>
      </c>
      <c r="AM2669" t="s">
        <v>53</v>
      </c>
      <c r="AN2669" t="s">
        <v>53</v>
      </c>
      <c r="AO2669" t="s">
        <v>53</v>
      </c>
      <c r="AP2669" t="s">
        <v>53</v>
      </c>
    </row>
    <row r="2670" spans="2:42" x14ac:dyDescent="0.2">
      <c r="B2670" t="s">
        <v>44</v>
      </c>
      <c r="C2670" t="str">
        <f>HYPERLINK("https://us2.cloudbeds.com/connect/8493803454333002#/reservations/4956101238962?display=3H9XSRQD4&amp;reservation_id=4956101238962", "3H9XSRQD4")</f>
        <v>3H9XSRQD4</v>
      </c>
      <c r="D2670" t="s">
        <v>45</v>
      </c>
      <c r="E2670" t="s">
        <v>213</v>
      </c>
      <c r="F2670" t="s">
        <v>86</v>
      </c>
      <c r="G2670" t="s">
        <v>48</v>
      </c>
      <c r="H2670" t="s">
        <v>3957</v>
      </c>
      <c r="I2670" t="s">
        <v>3958</v>
      </c>
      <c r="J2670" t="s">
        <v>2790</v>
      </c>
      <c r="K2670" t="s">
        <v>1477</v>
      </c>
      <c r="L2670" t="s">
        <v>53</v>
      </c>
      <c r="P2670" t="s">
        <v>58</v>
      </c>
      <c r="R2670" t="s">
        <v>56</v>
      </c>
      <c r="T2670" t="s">
        <v>4260</v>
      </c>
      <c r="U2670" t="s">
        <v>58</v>
      </c>
      <c r="V2670">
        <v>5</v>
      </c>
      <c r="W2670">
        <v>1</v>
      </c>
      <c r="X2670">
        <v>1</v>
      </c>
      <c r="Y2670">
        <v>0</v>
      </c>
      <c r="Z2670">
        <v>1</v>
      </c>
      <c r="AA2670">
        <v>0</v>
      </c>
      <c r="AB2670">
        <v>825.11</v>
      </c>
      <c r="AC2670">
        <v>726</v>
      </c>
      <c r="AD2670">
        <v>0</v>
      </c>
      <c r="AE2670">
        <v>99.11</v>
      </c>
      <c r="AF2670">
        <v>0</v>
      </c>
      <c r="AG2670">
        <v>0</v>
      </c>
      <c r="AH2670">
        <v>0</v>
      </c>
      <c r="AI2670">
        <v>0</v>
      </c>
      <c r="AJ2670">
        <v>825.11</v>
      </c>
      <c r="AK2670">
        <v>0</v>
      </c>
      <c r="AL2670" t="s">
        <v>53</v>
      </c>
      <c r="AM2670" t="s">
        <v>53</v>
      </c>
      <c r="AN2670" t="s">
        <v>53</v>
      </c>
      <c r="AO2670" t="s">
        <v>53</v>
      </c>
      <c r="AP2670" t="s">
        <v>53</v>
      </c>
    </row>
    <row r="2671" spans="2:42" x14ac:dyDescent="0.2">
      <c r="B2671" t="s">
        <v>44</v>
      </c>
      <c r="C2671" t="str">
        <f>HYPERLINK("https://us2.cloudbeds.com/connect/8493803454333002#/reservations/4972013990090?display=3HYTFTXCP&amp;reservation_id=4972013990090", "3HYTFTXCP")</f>
        <v>3HYTFTXCP</v>
      </c>
      <c r="D2671" t="s">
        <v>45</v>
      </c>
      <c r="E2671" t="s">
        <v>381</v>
      </c>
      <c r="F2671" t="s">
        <v>47</v>
      </c>
      <c r="G2671" t="s">
        <v>48</v>
      </c>
      <c r="H2671" t="s">
        <v>3957</v>
      </c>
      <c r="I2671" t="s">
        <v>3958</v>
      </c>
      <c r="J2671" t="s">
        <v>2469</v>
      </c>
      <c r="K2671" t="s">
        <v>1141</v>
      </c>
      <c r="L2671" t="s">
        <v>53</v>
      </c>
      <c r="P2671" t="s">
        <v>55</v>
      </c>
      <c r="R2671" t="s">
        <v>56</v>
      </c>
      <c r="T2671" t="s">
        <v>4261</v>
      </c>
      <c r="U2671" t="s">
        <v>58</v>
      </c>
      <c r="V2671">
        <v>3</v>
      </c>
      <c r="W2671">
        <v>1</v>
      </c>
      <c r="X2671">
        <v>1</v>
      </c>
      <c r="Y2671">
        <v>0</v>
      </c>
      <c r="Z2671">
        <v>1</v>
      </c>
      <c r="AA2671">
        <v>0</v>
      </c>
      <c r="AB2671">
        <v>500.07</v>
      </c>
      <c r="AC2671">
        <v>440</v>
      </c>
      <c r="AD2671">
        <v>0</v>
      </c>
      <c r="AE2671">
        <v>60.07</v>
      </c>
      <c r="AF2671">
        <v>0</v>
      </c>
      <c r="AG2671">
        <v>0</v>
      </c>
      <c r="AH2671">
        <v>0</v>
      </c>
      <c r="AI2671">
        <v>0</v>
      </c>
      <c r="AJ2671">
        <v>500.07</v>
      </c>
      <c r="AK2671">
        <v>0</v>
      </c>
      <c r="AL2671" t="s">
        <v>53</v>
      </c>
      <c r="AM2671" t="s">
        <v>53</v>
      </c>
      <c r="AN2671" t="s">
        <v>53</v>
      </c>
      <c r="AO2671" t="s">
        <v>53</v>
      </c>
      <c r="AP2671" t="s">
        <v>53</v>
      </c>
    </row>
    <row r="2672" spans="2:42" x14ac:dyDescent="0.2">
      <c r="B2672" t="s">
        <v>44</v>
      </c>
      <c r="C2672" t="str">
        <f>HYPERLINK("https://us2.cloudbeds.com/connect/8493803454333002#/reservations/4982622314714?display=3HU3X3RAA&amp;reservation_id=4982622314714", "3HU3X3RAA")</f>
        <v>3HU3X3RAA</v>
      </c>
      <c r="D2672" t="s">
        <v>45</v>
      </c>
      <c r="E2672" t="s">
        <v>406</v>
      </c>
      <c r="F2672" t="s">
        <v>61</v>
      </c>
      <c r="G2672" t="s">
        <v>48</v>
      </c>
      <c r="H2672" t="s">
        <v>49</v>
      </c>
      <c r="I2672" t="s">
        <v>50</v>
      </c>
      <c r="J2672" t="s">
        <v>1405</v>
      </c>
      <c r="K2672" t="s">
        <v>2314</v>
      </c>
      <c r="L2672" t="s">
        <v>53</v>
      </c>
      <c r="N2672" t="s">
        <v>4262</v>
      </c>
      <c r="P2672" t="s">
        <v>55</v>
      </c>
      <c r="R2672" t="s">
        <v>56</v>
      </c>
      <c r="T2672" t="s">
        <v>4263</v>
      </c>
      <c r="U2672" t="s">
        <v>58</v>
      </c>
      <c r="V2672">
        <v>1</v>
      </c>
      <c r="W2672">
        <v>1</v>
      </c>
      <c r="X2672">
        <v>2</v>
      </c>
      <c r="Y2672">
        <v>0</v>
      </c>
      <c r="Z2672">
        <v>2</v>
      </c>
      <c r="AA2672">
        <v>0</v>
      </c>
      <c r="AB2672">
        <v>132.97</v>
      </c>
      <c r="AC2672">
        <v>117</v>
      </c>
      <c r="AD2672">
        <v>0</v>
      </c>
      <c r="AE2672">
        <v>15.97</v>
      </c>
      <c r="AF2672">
        <v>0</v>
      </c>
      <c r="AG2672">
        <v>0</v>
      </c>
      <c r="AH2672">
        <v>0</v>
      </c>
      <c r="AI2672">
        <v>23.93</v>
      </c>
      <c r="AJ2672">
        <v>132.97</v>
      </c>
      <c r="AK2672">
        <v>0</v>
      </c>
      <c r="AL2672" t="s">
        <v>53</v>
      </c>
      <c r="AM2672" t="s">
        <v>53</v>
      </c>
      <c r="AN2672" t="s">
        <v>53</v>
      </c>
      <c r="AO2672" t="s">
        <v>53</v>
      </c>
      <c r="AP2672" t="s">
        <v>53</v>
      </c>
    </row>
    <row r="2673" spans="2:42" x14ac:dyDescent="0.2">
      <c r="B2673" t="s">
        <v>44</v>
      </c>
      <c r="C2673" t="str">
        <f>HYPERLINK("https://us2.cloudbeds.com/connect/8493803454333002#/reservations/5004977946855?display=3XEDPW84H&amp;reservation_id=5004977946855", "3XEDPW84H")</f>
        <v>3XEDPW84H</v>
      </c>
      <c r="D2673" t="s">
        <v>45</v>
      </c>
      <c r="E2673" t="s">
        <v>155</v>
      </c>
      <c r="F2673" t="s">
        <v>86</v>
      </c>
      <c r="G2673" t="s">
        <v>48</v>
      </c>
      <c r="H2673" t="s">
        <v>3957</v>
      </c>
      <c r="I2673" t="s">
        <v>3958</v>
      </c>
      <c r="J2673" t="s">
        <v>2469</v>
      </c>
      <c r="K2673" t="s">
        <v>2039</v>
      </c>
      <c r="L2673" t="s">
        <v>53</v>
      </c>
      <c r="P2673" t="s">
        <v>55</v>
      </c>
      <c r="R2673" t="s">
        <v>56</v>
      </c>
      <c r="T2673" t="s">
        <v>4264</v>
      </c>
      <c r="U2673" t="s">
        <v>58</v>
      </c>
      <c r="V2673">
        <v>2</v>
      </c>
      <c r="W2673">
        <v>1</v>
      </c>
      <c r="X2673">
        <v>1</v>
      </c>
      <c r="Y2673">
        <v>0</v>
      </c>
      <c r="Z2673">
        <v>1</v>
      </c>
      <c r="AA2673">
        <v>0</v>
      </c>
      <c r="AB2673">
        <v>361.41</v>
      </c>
      <c r="AC2673">
        <v>318</v>
      </c>
      <c r="AD2673">
        <v>0</v>
      </c>
      <c r="AE2673">
        <v>43.41</v>
      </c>
      <c r="AF2673">
        <v>0</v>
      </c>
      <c r="AG2673">
        <v>0</v>
      </c>
      <c r="AH2673">
        <v>0</v>
      </c>
      <c r="AI2673">
        <v>0</v>
      </c>
      <c r="AJ2673">
        <v>361.41</v>
      </c>
      <c r="AK2673">
        <v>0</v>
      </c>
      <c r="AL2673" t="s">
        <v>53</v>
      </c>
      <c r="AM2673" t="s">
        <v>53</v>
      </c>
      <c r="AN2673" t="s">
        <v>53</v>
      </c>
      <c r="AO2673" t="s">
        <v>53</v>
      </c>
      <c r="AP2673" t="s">
        <v>53</v>
      </c>
    </row>
    <row r="2674" spans="2:42" x14ac:dyDescent="0.2">
      <c r="B2674" t="s">
        <v>44</v>
      </c>
      <c r="C2674" t="str">
        <f>HYPERLINK("https://us2.cloudbeds.com/connect/8493803454333002#/reservations/5218903679111?display=3NF22R35M&amp;reservation_id=5218903679111", "3NF22R35M")</f>
        <v>3NF22R35M</v>
      </c>
      <c r="D2674" t="s">
        <v>45</v>
      </c>
      <c r="E2674" t="s">
        <v>155</v>
      </c>
      <c r="F2674" t="s">
        <v>86</v>
      </c>
      <c r="G2674" t="s">
        <v>48</v>
      </c>
      <c r="H2674" t="s">
        <v>49</v>
      </c>
      <c r="I2674" t="s">
        <v>50</v>
      </c>
      <c r="J2674" t="s">
        <v>1858</v>
      </c>
      <c r="K2674" t="s">
        <v>3551</v>
      </c>
      <c r="L2674" t="s">
        <v>53</v>
      </c>
      <c r="N2674" t="s">
        <v>4265</v>
      </c>
      <c r="P2674" t="s">
        <v>55</v>
      </c>
      <c r="R2674" t="s">
        <v>53</v>
      </c>
      <c r="T2674" t="s">
        <v>4266</v>
      </c>
      <c r="U2674" t="s">
        <v>58</v>
      </c>
      <c r="V2674">
        <v>5</v>
      </c>
      <c r="W2674">
        <v>1</v>
      </c>
      <c r="X2674">
        <v>2</v>
      </c>
      <c r="Y2674">
        <v>0</v>
      </c>
      <c r="Z2674">
        <v>2</v>
      </c>
      <c r="AA2674">
        <v>0</v>
      </c>
      <c r="AB2674">
        <v>882.6</v>
      </c>
      <c r="AC2674">
        <v>776.6</v>
      </c>
      <c r="AD2674">
        <v>0</v>
      </c>
      <c r="AE2674">
        <v>106</v>
      </c>
      <c r="AF2674">
        <v>0</v>
      </c>
      <c r="AG2674">
        <v>0</v>
      </c>
      <c r="AH2674">
        <v>0</v>
      </c>
      <c r="AI2674">
        <v>158.87</v>
      </c>
      <c r="AJ2674">
        <v>882.6</v>
      </c>
      <c r="AK2674">
        <v>0</v>
      </c>
      <c r="AL2674" t="s">
        <v>53</v>
      </c>
      <c r="AM2674" t="s">
        <v>53</v>
      </c>
      <c r="AN2674" t="s">
        <v>53</v>
      </c>
      <c r="AO2674" t="s">
        <v>53</v>
      </c>
      <c r="AP2674" t="s">
        <v>53</v>
      </c>
    </row>
    <row r="2675" spans="2:42" x14ac:dyDescent="0.2">
      <c r="B2675" t="s">
        <v>44</v>
      </c>
      <c r="C2675" t="str">
        <f>HYPERLINK("https://us2.cloudbeds.com/connect/8493803454333002#/reservations/5221305442532?display=3NGUF1N7D&amp;reservation_id=5221305442532", "3NGUF1N7D")</f>
        <v>3NGUF1N7D</v>
      </c>
      <c r="D2675" t="s">
        <v>45</v>
      </c>
      <c r="E2675" t="s">
        <v>46</v>
      </c>
      <c r="F2675" t="s">
        <v>47</v>
      </c>
      <c r="G2675" t="s">
        <v>48</v>
      </c>
      <c r="H2675" t="s">
        <v>49</v>
      </c>
      <c r="I2675" t="s">
        <v>50</v>
      </c>
      <c r="J2675" t="s">
        <v>1451</v>
      </c>
      <c r="K2675" t="s">
        <v>1515</v>
      </c>
      <c r="L2675" t="s">
        <v>53</v>
      </c>
      <c r="N2675" t="s">
        <v>4267</v>
      </c>
      <c r="P2675" t="s">
        <v>55</v>
      </c>
      <c r="R2675" t="s">
        <v>53</v>
      </c>
      <c r="T2675" t="s">
        <v>4268</v>
      </c>
      <c r="U2675" t="s">
        <v>58</v>
      </c>
      <c r="V2675">
        <v>1</v>
      </c>
      <c r="W2675">
        <v>1</v>
      </c>
      <c r="X2675">
        <v>1</v>
      </c>
      <c r="Y2675">
        <v>0</v>
      </c>
      <c r="Z2675">
        <v>1</v>
      </c>
      <c r="AA2675">
        <v>0</v>
      </c>
      <c r="AB2675">
        <v>175.03</v>
      </c>
      <c r="AC2675">
        <v>154</v>
      </c>
      <c r="AD2675">
        <v>0</v>
      </c>
      <c r="AE2675">
        <v>21.03</v>
      </c>
      <c r="AF2675">
        <v>0</v>
      </c>
      <c r="AG2675">
        <v>0</v>
      </c>
      <c r="AH2675">
        <v>0</v>
      </c>
      <c r="AI2675">
        <v>31.51</v>
      </c>
      <c r="AJ2675">
        <v>175.03</v>
      </c>
      <c r="AK2675">
        <v>0</v>
      </c>
      <c r="AL2675" t="s">
        <v>53</v>
      </c>
      <c r="AM2675" t="s">
        <v>53</v>
      </c>
      <c r="AN2675" t="s">
        <v>53</v>
      </c>
      <c r="AO2675" t="s">
        <v>53</v>
      </c>
      <c r="AP2675" t="s">
        <v>53</v>
      </c>
    </row>
    <row r="2676" spans="2:42" x14ac:dyDescent="0.2">
      <c r="B2676" t="s">
        <v>44</v>
      </c>
      <c r="C2676" t="str">
        <f>HYPERLINK("https://us2.cloudbeds.com/connect/8493803454333002#/reservations/5227931324561?display=3NM1P5Y2A&amp;reservation_id=5227931324561", "3NM1P5Y2A")</f>
        <v>3NM1P5Y2A</v>
      </c>
      <c r="D2676" t="s">
        <v>45</v>
      </c>
      <c r="E2676" t="s">
        <v>78</v>
      </c>
      <c r="F2676" t="s">
        <v>61</v>
      </c>
      <c r="G2676" t="s">
        <v>48</v>
      </c>
      <c r="H2676" t="s">
        <v>49</v>
      </c>
      <c r="I2676" t="s">
        <v>62</v>
      </c>
      <c r="J2676" t="s">
        <v>1332</v>
      </c>
      <c r="K2676" t="s">
        <v>1333</v>
      </c>
      <c r="L2676" t="s">
        <v>53</v>
      </c>
      <c r="N2676" t="s">
        <v>4269</v>
      </c>
      <c r="P2676" t="s">
        <v>55</v>
      </c>
      <c r="R2676" t="s">
        <v>56</v>
      </c>
      <c r="T2676" t="s">
        <v>4270</v>
      </c>
      <c r="U2676" t="s">
        <v>55</v>
      </c>
      <c r="V2676">
        <v>1</v>
      </c>
      <c r="W2676">
        <v>1</v>
      </c>
      <c r="X2676">
        <v>2</v>
      </c>
      <c r="Y2676">
        <v>0</v>
      </c>
      <c r="Z2676">
        <v>2</v>
      </c>
      <c r="AA2676">
        <v>0</v>
      </c>
      <c r="AB2676">
        <v>196.27</v>
      </c>
      <c r="AC2676">
        <v>172.7</v>
      </c>
      <c r="AD2676">
        <v>0</v>
      </c>
      <c r="AE2676">
        <v>23.57</v>
      </c>
      <c r="AF2676">
        <v>0</v>
      </c>
      <c r="AG2676">
        <v>0</v>
      </c>
      <c r="AH2676">
        <v>0</v>
      </c>
      <c r="AI2676">
        <v>29.44</v>
      </c>
      <c r="AJ2676">
        <v>196.27</v>
      </c>
      <c r="AK2676">
        <v>0</v>
      </c>
      <c r="AL2676" t="s">
        <v>53</v>
      </c>
      <c r="AM2676" t="s">
        <v>53</v>
      </c>
      <c r="AN2676" t="s">
        <v>53</v>
      </c>
      <c r="AO2676" t="s">
        <v>53</v>
      </c>
      <c r="AP2676" t="s">
        <v>53</v>
      </c>
    </row>
    <row r="2677" spans="2:42" x14ac:dyDescent="0.2">
      <c r="B2677" t="s">
        <v>44</v>
      </c>
      <c r="C2677" t="str">
        <f>HYPERLINK("https://us2.cloudbeds.com/connect/8493803454333002#/reservations/5248585597146?display=3Z51HD78B&amp;reservation_id=5248585597146", "3Z51HD78B")</f>
        <v>3Z51HD78B</v>
      </c>
      <c r="D2677" t="s">
        <v>45</v>
      </c>
      <c r="E2677" t="s">
        <v>110</v>
      </c>
      <c r="F2677" t="s">
        <v>47</v>
      </c>
      <c r="G2677" t="s">
        <v>48</v>
      </c>
      <c r="H2677" t="s">
        <v>49</v>
      </c>
      <c r="I2677" t="s">
        <v>50</v>
      </c>
      <c r="J2677" t="s">
        <v>1140</v>
      </c>
      <c r="K2677" t="s">
        <v>2039</v>
      </c>
      <c r="L2677" t="s">
        <v>53</v>
      </c>
      <c r="N2677" t="s">
        <v>4271</v>
      </c>
      <c r="P2677" t="s">
        <v>55</v>
      </c>
      <c r="R2677" t="s">
        <v>53</v>
      </c>
      <c r="T2677" t="s">
        <v>4272</v>
      </c>
      <c r="U2677" t="s">
        <v>58</v>
      </c>
      <c r="V2677">
        <v>1</v>
      </c>
      <c r="W2677">
        <v>1</v>
      </c>
      <c r="X2677">
        <v>1</v>
      </c>
      <c r="Y2677">
        <v>0</v>
      </c>
      <c r="Z2677">
        <v>1</v>
      </c>
      <c r="AA2677">
        <v>0</v>
      </c>
      <c r="AB2677">
        <v>182.98</v>
      </c>
      <c r="AC2677">
        <v>161</v>
      </c>
      <c r="AD2677">
        <v>0</v>
      </c>
      <c r="AE2677">
        <v>21.98</v>
      </c>
      <c r="AF2677">
        <v>0</v>
      </c>
      <c r="AG2677">
        <v>0</v>
      </c>
      <c r="AH2677">
        <v>0</v>
      </c>
      <c r="AI2677">
        <v>32.94</v>
      </c>
      <c r="AJ2677">
        <v>182.98</v>
      </c>
      <c r="AK2677">
        <v>0</v>
      </c>
      <c r="AL2677" t="s">
        <v>53</v>
      </c>
      <c r="AM2677" t="s">
        <v>53</v>
      </c>
      <c r="AN2677" t="s">
        <v>53</v>
      </c>
      <c r="AO2677" t="s">
        <v>53</v>
      </c>
      <c r="AP2677" t="s">
        <v>53</v>
      </c>
    </row>
    <row r="2678" spans="2:42" x14ac:dyDescent="0.2">
      <c r="B2678" t="s">
        <v>44</v>
      </c>
      <c r="C2678" t="str">
        <f>HYPERLINK("https://us2.cloudbeds.com/connect/8493803454333002#/reservations/5256910287007?display=3ZBG7WWXF&amp;reservation_id=5256910287007", "3ZBG7WWXF")</f>
        <v>3ZBG7WWXF</v>
      </c>
      <c r="D2678" t="s">
        <v>45</v>
      </c>
      <c r="E2678" t="s">
        <v>4273</v>
      </c>
      <c r="F2678" t="s">
        <v>511</v>
      </c>
      <c r="G2678" t="s">
        <v>48</v>
      </c>
      <c r="H2678" t="s">
        <v>3957</v>
      </c>
      <c r="I2678" t="s">
        <v>3989</v>
      </c>
      <c r="J2678" t="s">
        <v>2163</v>
      </c>
      <c r="K2678" t="s">
        <v>2643</v>
      </c>
      <c r="L2678" t="s">
        <v>53</v>
      </c>
      <c r="P2678" t="s">
        <v>55</v>
      </c>
      <c r="R2678" t="s">
        <v>56</v>
      </c>
      <c r="T2678" t="s">
        <v>4274</v>
      </c>
      <c r="U2678" t="s">
        <v>58</v>
      </c>
      <c r="V2678">
        <v>2</v>
      </c>
      <c r="W2678">
        <v>2</v>
      </c>
      <c r="X2678">
        <v>2</v>
      </c>
      <c r="Y2678">
        <v>0</v>
      </c>
      <c r="Z2678">
        <v>2</v>
      </c>
      <c r="AA2678">
        <v>0</v>
      </c>
      <c r="AB2678">
        <v>367.1</v>
      </c>
      <c r="AC2678">
        <v>323</v>
      </c>
      <c r="AD2678">
        <v>0</v>
      </c>
      <c r="AE2678">
        <v>44.1</v>
      </c>
      <c r="AF2678">
        <v>0</v>
      </c>
      <c r="AG2678">
        <v>0</v>
      </c>
      <c r="AH2678">
        <v>0</v>
      </c>
      <c r="AI2678">
        <v>0</v>
      </c>
      <c r="AJ2678">
        <v>367.1</v>
      </c>
      <c r="AK2678">
        <v>0</v>
      </c>
      <c r="AL2678" t="s">
        <v>53</v>
      </c>
      <c r="AM2678" t="s">
        <v>53</v>
      </c>
      <c r="AN2678" t="s">
        <v>53</v>
      </c>
      <c r="AO2678" t="s">
        <v>53</v>
      </c>
      <c r="AP2678" t="s">
        <v>53</v>
      </c>
    </row>
    <row r="2679" spans="2:42" x14ac:dyDescent="0.2">
      <c r="B2679" t="s">
        <v>44</v>
      </c>
      <c r="C2679" t="str">
        <f>HYPERLINK("https://us2.cloudbeds.com/connect/8493803454333002#/reservations/5261220008165?display=3ZERC2AUA&amp;reservation_id=5261220008165", "3ZERC2AUA")</f>
        <v>3ZERC2AUA</v>
      </c>
      <c r="D2679" t="s">
        <v>45</v>
      </c>
      <c r="E2679" t="s">
        <v>78</v>
      </c>
      <c r="F2679" t="s">
        <v>61</v>
      </c>
      <c r="G2679" t="s">
        <v>48</v>
      </c>
      <c r="H2679" t="s">
        <v>49</v>
      </c>
      <c r="I2679" t="s">
        <v>50</v>
      </c>
      <c r="J2679" t="s">
        <v>1140</v>
      </c>
      <c r="K2679" t="s">
        <v>1141</v>
      </c>
      <c r="L2679" t="s">
        <v>53</v>
      </c>
      <c r="N2679" t="s">
        <v>4275</v>
      </c>
      <c r="P2679" t="s">
        <v>55</v>
      </c>
      <c r="R2679" t="s">
        <v>53</v>
      </c>
      <c r="T2679" t="s">
        <v>4276</v>
      </c>
      <c r="U2679" t="s">
        <v>58</v>
      </c>
      <c r="V2679">
        <v>2</v>
      </c>
      <c r="W2679">
        <v>1</v>
      </c>
      <c r="X2679">
        <v>2</v>
      </c>
      <c r="Y2679">
        <v>0</v>
      </c>
      <c r="Z2679">
        <v>2</v>
      </c>
      <c r="AA2679">
        <v>0</v>
      </c>
      <c r="AB2679">
        <v>372.79</v>
      </c>
      <c r="AC2679">
        <v>328</v>
      </c>
      <c r="AD2679">
        <v>0</v>
      </c>
      <c r="AE2679">
        <v>44.79</v>
      </c>
      <c r="AF2679">
        <v>0</v>
      </c>
      <c r="AG2679">
        <v>0</v>
      </c>
      <c r="AH2679">
        <v>0</v>
      </c>
      <c r="AI2679">
        <v>67.099999999999994</v>
      </c>
      <c r="AJ2679">
        <v>372.79</v>
      </c>
      <c r="AK2679">
        <v>0</v>
      </c>
      <c r="AL2679" t="s">
        <v>53</v>
      </c>
      <c r="AM2679" t="s">
        <v>53</v>
      </c>
      <c r="AN2679" t="s">
        <v>53</v>
      </c>
      <c r="AO2679" t="s">
        <v>53</v>
      </c>
      <c r="AP2679" t="s">
        <v>53</v>
      </c>
    </row>
    <row r="2680" spans="2:42" x14ac:dyDescent="0.2">
      <c r="B2680" t="s">
        <v>44</v>
      </c>
      <c r="C2680" t="str">
        <f>HYPERLINK("https://us2.cloudbeds.com/connect/8493803454333002#/reservations/5308448809167?display=3PXD5YB68&amp;reservation_id=5308448809167", "3PXD5YB68")</f>
        <v>3PXD5YB68</v>
      </c>
      <c r="D2680" t="s">
        <v>45</v>
      </c>
      <c r="E2680" t="s">
        <v>185</v>
      </c>
      <c r="F2680" t="s">
        <v>47</v>
      </c>
      <c r="G2680" t="s">
        <v>48</v>
      </c>
      <c r="H2680" t="s">
        <v>49</v>
      </c>
      <c r="I2680" t="s">
        <v>62</v>
      </c>
      <c r="J2680" t="s">
        <v>1140</v>
      </c>
      <c r="K2680" t="s">
        <v>2039</v>
      </c>
      <c r="L2680" t="s">
        <v>53</v>
      </c>
      <c r="N2680" t="s">
        <v>4277</v>
      </c>
      <c r="P2680" t="s">
        <v>55</v>
      </c>
      <c r="R2680" t="s">
        <v>56</v>
      </c>
      <c r="T2680" t="s">
        <v>4278</v>
      </c>
      <c r="U2680" t="s">
        <v>55</v>
      </c>
      <c r="V2680">
        <v>1</v>
      </c>
      <c r="W2680">
        <v>1</v>
      </c>
      <c r="X2680">
        <v>1</v>
      </c>
      <c r="Y2680">
        <v>0</v>
      </c>
      <c r="Z2680">
        <v>1</v>
      </c>
      <c r="AA2680">
        <v>0</v>
      </c>
      <c r="AB2680">
        <v>182.98</v>
      </c>
      <c r="AC2680">
        <v>161</v>
      </c>
      <c r="AD2680">
        <v>0</v>
      </c>
      <c r="AE2680">
        <v>21.98</v>
      </c>
      <c r="AF2680">
        <v>0</v>
      </c>
      <c r="AG2680">
        <v>0</v>
      </c>
      <c r="AH2680">
        <v>0</v>
      </c>
      <c r="AI2680">
        <v>27.45</v>
      </c>
      <c r="AJ2680">
        <v>182.98</v>
      </c>
      <c r="AK2680">
        <v>0</v>
      </c>
      <c r="AL2680" t="s">
        <v>53</v>
      </c>
      <c r="AM2680" t="s">
        <v>53</v>
      </c>
      <c r="AN2680" t="s">
        <v>53</v>
      </c>
      <c r="AO2680" t="s">
        <v>53</v>
      </c>
      <c r="AP2680" t="s">
        <v>53</v>
      </c>
    </row>
    <row r="2681" spans="2:42" x14ac:dyDescent="0.2">
      <c r="B2681" t="s">
        <v>44</v>
      </c>
      <c r="C2681" t="str">
        <f>HYPERLINK("https://us2.cloudbeds.com/connect/8493803454333002#/reservations/5316915429607?display=3PZVGUHK0&amp;reservation_id=5316915429607", "3PZVGUHK0")</f>
        <v>3PZVGUHK0</v>
      </c>
      <c r="D2681" t="s">
        <v>45</v>
      </c>
      <c r="E2681" t="s">
        <v>223</v>
      </c>
      <c r="F2681" t="s">
        <v>47</v>
      </c>
      <c r="G2681" t="s">
        <v>48</v>
      </c>
      <c r="H2681" t="s">
        <v>49</v>
      </c>
      <c r="I2681" t="s">
        <v>50</v>
      </c>
      <c r="J2681" t="s">
        <v>1140</v>
      </c>
      <c r="K2681" t="s">
        <v>2039</v>
      </c>
      <c r="L2681" t="s">
        <v>53</v>
      </c>
      <c r="N2681" t="s">
        <v>4279</v>
      </c>
      <c r="P2681" t="s">
        <v>55</v>
      </c>
      <c r="R2681" t="s">
        <v>53</v>
      </c>
      <c r="T2681" t="s">
        <v>4280</v>
      </c>
      <c r="U2681" t="s">
        <v>58</v>
      </c>
      <c r="V2681">
        <v>1</v>
      </c>
      <c r="W2681">
        <v>1</v>
      </c>
      <c r="X2681">
        <v>1</v>
      </c>
      <c r="Y2681">
        <v>0</v>
      </c>
      <c r="Z2681">
        <v>1</v>
      </c>
      <c r="AA2681">
        <v>0</v>
      </c>
      <c r="AB2681">
        <v>182.98</v>
      </c>
      <c r="AC2681">
        <v>161</v>
      </c>
      <c r="AD2681">
        <v>0</v>
      </c>
      <c r="AE2681">
        <v>21.98</v>
      </c>
      <c r="AF2681">
        <v>0</v>
      </c>
      <c r="AG2681">
        <v>0</v>
      </c>
      <c r="AH2681">
        <v>0</v>
      </c>
      <c r="AI2681">
        <v>32.94</v>
      </c>
      <c r="AJ2681">
        <v>182.98</v>
      </c>
      <c r="AK2681">
        <v>0</v>
      </c>
      <c r="AL2681" t="s">
        <v>53</v>
      </c>
      <c r="AM2681" t="s">
        <v>53</v>
      </c>
      <c r="AN2681" t="s">
        <v>53</v>
      </c>
      <c r="AO2681" t="s">
        <v>53</v>
      </c>
      <c r="AP2681" t="s">
        <v>53</v>
      </c>
    </row>
    <row r="2682" spans="2:42" x14ac:dyDescent="0.2">
      <c r="B2682" t="s">
        <v>44</v>
      </c>
      <c r="C2682" t="str">
        <f>HYPERLINK("https://us2.cloudbeds.com/connect/8493803454333002#/reservations/5368319029492?display=3QVZWQFM0&amp;reservation_id=5368319029492", "3QVZWQFM0")</f>
        <v>3QVZWQFM0</v>
      </c>
      <c r="D2682" t="s">
        <v>45</v>
      </c>
      <c r="E2682" t="s">
        <v>213</v>
      </c>
      <c r="F2682" t="s">
        <v>86</v>
      </c>
      <c r="G2682" t="s">
        <v>48</v>
      </c>
      <c r="H2682" t="s">
        <v>3957</v>
      </c>
      <c r="I2682" t="s">
        <v>3989</v>
      </c>
      <c r="J2682" t="s">
        <v>1405</v>
      </c>
      <c r="K2682" t="s">
        <v>2314</v>
      </c>
      <c r="L2682" t="s">
        <v>53</v>
      </c>
      <c r="P2682" t="s">
        <v>55</v>
      </c>
      <c r="R2682" t="s">
        <v>56</v>
      </c>
      <c r="T2682" t="s">
        <v>4281</v>
      </c>
      <c r="U2682" t="s">
        <v>58</v>
      </c>
      <c r="V2682">
        <v>1</v>
      </c>
      <c r="W2682">
        <v>1</v>
      </c>
      <c r="X2682">
        <v>2</v>
      </c>
      <c r="Y2682">
        <v>0</v>
      </c>
      <c r="Z2682">
        <v>2</v>
      </c>
      <c r="AA2682">
        <v>0</v>
      </c>
      <c r="AB2682">
        <v>151.16</v>
      </c>
      <c r="AC2682">
        <v>133</v>
      </c>
      <c r="AD2682">
        <v>0</v>
      </c>
      <c r="AE2682">
        <v>18.16</v>
      </c>
      <c r="AF2682">
        <v>0</v>
      </c>
      <c r="AG2682">
        <v>0</v>
      </c>
      <c r="AH2682">
        <v>0</v>
      </c>
      <c r="AI2682">
        <v>0</v>
      </c>
      <c r="AJ2682">
        <v>151.16</v>
      </c>
      <c r="AK2682">
        <v>0</v>
      </c>
      <c r="AL2682" t="s">
        <v>53</v>
      </c>
      <c r="AM2682" t="s">
        <v>53</v>
      </c>
      <c r="AN2682" t="s">
        <v>53</v>
      </c>
      <c r="AO2682" t="s">
        <v>53</v>
      </c>
      <c r="AP2682" t="s">
        <v>53</v>
      </c>
    </row>
    <row r="2683" spans="2:42" x14ac:dyDescent="0.2">
      <c r="B2683" t="s">
        <v>44</v>
      </c>
      <c r="C2683" t="str">
        <f>HYPERLINK("https://us2.cloudbeds.com/connect/8493803454333002#/reservations/5522622390409?display=3UJ7QFVDZ&amp;reservation_id=5522622390409", "3UJ7QFVDZ")</f>
        <v>3UJ7QFVDZ</v>
      </c>
      <c r="D2683" t="s">
        <v>45</v>
      </c>
      <c r="E2683" t="s">
        <v>185</v>
      </c>
      <c r="F2683" t="s">
        <v>47</v>
      </c>
      <c r="G2683" t="s">
        <v>48</v>
      </c>
      <c r="H2683" t="s">
        <v>3957</v>
      </c>
      <c r="I2683" t="s">
        <v>3989</v>
      </c>
      <c r="J2683" t="s">
        <v>2039</v>
      </c>
      <c r="K2683" t="s">
        <v>1451</v>
      </c>
      <c r="L2683" t="s">
        <v>53</v>
      </c>
      <c r="P2683" t="s">
        <v>58</v>
      </c>
      <c r="R2683" t="s">
        <v>56</v>
      </c>
      <c r="T2683" t="s">
        <v>4282</v>
      </c>
      <c r="U2683" t="s">
        <v>58</v>
      </c>
      <c r="V2683">
        <v>3</v>
      </c>
      <c r="W2683">
        <v>1</v>
      </c>
      <c r="X2683">
        <v>1</v>
      </c>
      <c r="Y2683">
        <v>0</v>
      </c>
      <c r="Z2683">
        <v>1</v>
      </c>
      <c r="AA2683">
        <v>0</v>
      </c>
      <c r="AB2683">
        <v>0</v>
      </c>
      <c r="AC2683">
        <v>0</v>
      </c>
      <c r="AD2683">
        <v>0</v>
      </c>
      <c r="AE2683">
        <v>0</v>
      </c>
      <c r="AF2683">
        <v>0</v>
      </c>
      <c r="AG2683">
        <v>0</v>
      </c>
      <c r="AH2683">
        <v>0</v>
      </c>
      <c r="AI2683">
        <v>0</v>
      </c>
      <c r="AJ2683">
        <v>0</v>
      </c>
      <c r="AK2683">
        <v>0</v>
      </c>
      <c r="AL2683" t="s">
        <v>53</v>
      </c>
      <c r="AM2683" t="s">
        <v>53</v>
      </c>
      <c r="AN2683" t="s">
        <v>4283</v>
      </c>
      <c r="AO2683" t="s">
        <v>53</v>
      </c>
      <c r="AP2683" t="s">
        <v>53</v>
      </c>
    </row>
    <row r="2684" spans="2:42" x14ac:dyDescent="0.2">
      <c r="B2684" t="s">
        <v>44</v>
      </c>
      <c r="C2684" t="str">
        <f>HYPERLINK("https://us2.cloudbeds.com/connect/8493803454333002#/reservations/5646595035352?display=40G7JGX16&amp;reservation_id=5646595035352", "40G7JGX16")</f>
        <v>40G7JGX16</v>
      </c>
      <c r="D2684" t="s">
        <v>45</v>
      </c>
      <c r="E2684" t="s">
        <v>46</v>
      </c>
      <c r="F2684" t="s">
        <v>47</v>
      </c>
      <c r="G2684" t="s">
        <v>48</v>
      </c>
      <c r="H2684" t="s">
        <v>49</v>
      </c>
      <c r="I2684" t="s">
        <v>50</v>
      </c>
      <c r="J2684" t="s">
        <v>1450</v>
      </c>
      <c r="K2684" t="s">
        <v>1451</v>
      </c>
      <c r="L2684" t="s">
        <v>53</v>
      </c>
      <c r="N2684" t="s">
        <v>4284</v>
      </c>
      <c r="P2684" t="s">
        <v>55</v>
      </c>
      <c r="R2684" t="s">
        <v>53</v>
      </c>
      <c r="T2684" t="s">
        <v>4285</v>
      </c>
      <c r="U2684" t="s">
        <v>58</v>
      </c>
      <c r="V2684">
        <v>1</v>
      </c>
      <c r="W2684">
        <v>1</v>
      </c>
      <c r="X2684">
        <v>2</v>
      </c>
      <c r="Y2684">
        <v>0</v>
      </c>
      <c r="Z2684">
        <v>2</v>
      </c>
      <c r="AA2684">
        <v>0</v>
      </c>
      <c r="AB2684">
        <v>194.35</v>
      </c>
      <c r="AC2684">
        <v>171</v>
      </c>
      <c r="AD2684">
        <v>0</v>
      </c>
      <c r="AE2684">
        <v>23.35</v>
      </c>
      <c r="AF2684">
        <v>0</v>
      </c>
      <c r="AG2684">
        <v>0</v>
      </c>
      <c r="AH2684">
        <v>0</v>
      </c>
      <c r="AI2684">
        <v>34.979999999999997</v>
      </c>
      <c r="AJ2684">
        <v>194.35</v>
      </c>
      <c r="AK2684">
        <v>0</v>
      </c>
      <c r="AL2684" t="s">
        <v>53</v>
      </c>
      <c r="AM2684" t="s">
        <v>53</v>
      </c>
      <c r="AN2684" t="s">
        <v>53</v>
      </c>
      <c r="AO2684" t="s">
        <v>53</v>
      </c>
      <c r="AP2684" t="s">
        <v>53</v>
      </c>
    </row>
    <row r="2685" spans="2:42" x14ac:dyDescent="0.2">
      <c r="B2685" t="s">
        <v>44</v>
      </c>
      <c r="C2685" t="str">
        <f>HYPERLINK("https://us2.cloudbeds.com/connect/8493803454333002#/reservations/5656089358473?display=40NJ6C2ZE&amp;reservation_id=5656089358473", "40NJ6C2ZE")</f>
        <v>40NJ6C2ZE</v>
      </c>
      <c r="D2685" t="s">
        <v>45</v>
      </c>
      <c r="E2685" t="s">
        <v>46</v>
      </c>
      <c r="F2685" t="s">
        <v>47</v>
      </c>
      <c r="G2685" t="s">
        <v>48</v>
      </c>
      <c r="H2685" t="s">
        <v>3957</v>
      </c>
      <c r="I2685" t="s">
        <v>3958</v>
      </c>
      <c r="J2685" t="s">
        <v>2039</v>
      </c>
      <c r="K2685" t="s">
        <v>1141</v>
      </c>
      <c r="L2685" t="s">
        <v>53</v>
      </c>
      <c r="P2685" t="s">
        <v>55</v>
      </c>
      <c r="R2685" t="s">
        <v>56</v>
      </c>
      <c r="T2685" t="s">
        <v>4286</v>
      </c>
      <c r="U2685" t="s">
        <v>58</v>
      </c>
      <c r="V2685">
        <v>1</v>
      </c>
      <c r="W2685">
        <v>1</v>
      </c>
      <c r="X2685">
        <v>1</v>
      </c>
      <c r="Y2685">
        <v>0</v>
      </c>
      <c r="Z2685">
        <v>1</v>
      </c>
      <c r="AA2685">
        <v>0</v>
      </c>
      <c r="AB2685">
        <v>179.57</v>
      </c>
      <c r="AC2685">
        <v>158</v>
      </c>
      <c r="AD2685">
        <v>0</v>
      </c>
      <c r="AE2685">
        <v>21.57</v>
      </c>
      <c r="AF2685">
        <v>0</v>
      </c>
      <c r="AG2685">
        <v>0</v>
      </c>
      <c r="AH2685">
        <v>0</v>
      </c>
      <c r="AI2685">
        <v>0</v>
      </c>
      <c r="AJ2685">
        <v>179.57</v>
      </c>
      <c r="AK2685">
        <v>0</v>
      </c>
      <c r="AL2685" t="s">
        <v>53</v>
      </c>
      <c r="AM2685" t="s">
        <v>53</v>
      </c>
      <c r="AN2685" t="s">
        <v>53</v>
      </c>
      <c r="AO2685" t="s">
        <v>53</v>
      </c>
      <c r="AP2685" t="s">
        <v>53</v>
      </c>
    </row>
    <row r="2686" spans="2:42" x14ac:dyDescent="0.2">
      <c r="B2686" t="s">
        <v>44</v>
      </c>
      <c r="C2686" t="str">
        <f>HYPERLINK("https://us2.cloudbeds.com/connect/8493803454333002#/reservations/5670831313026?display=411WT5N2W&amp;reservation_id=5670831313026", "411WT5N2W")</f>
        <v>411WT5N2W</v>
      </c>
      <c r="D2686" t="s">
        <v>45</v>
      </c>
      <c r="E2686" t="s">
        <v>487</v>
      </c>
      <c r="F2686" t="s">
        <v>61</v>
      </c>
      <c r="G2686" t="s">
        <v>48</v>
      </c>
      <c r="H2686" t="s">
        <v>49</v>
      </c>
      <c r="I2686" t="s">
        <v>62</v>
      </c>
      <c r="J2686" t="s">
        <v>2039</v>
      </c>
      <c r="K2686" t="s">
        <v>1141</v>
      </c>
      <c r="L2686" t="s">
        <v>53</v>
      </c>
      <c r="N2686" t="s">
        <v>4287</v>
      </c>
      <c r="P2686" t="s">
        <v>55</v>
      </c>
      <c r="R2686" t="s">
        <v>56</v>
      </c>
      <c r="T2686" t="s">
        <v>4288</v>
      </c>
      <c r="U2686" t="s">
        <v>55</v>
      </c>
      <c r="V2686">
        <v>1</v>
      </c>
      <c r="W2686">
        <v>1</v>
      </c>
      <c r="X2686">
        <v>2</v>
      </c>
      <c r="Y2686">
        <v>0</v>
      </c>
      <c r="Z2686">
        <v>2</v>
      </c>
      <c r="AA2686">
        <v>0</v>
      </c>
      <c r="AB2686">
        <v>193.21</v>
      </c>
      <c r="AC2686">
        <v>170</v>
      </c>
      <c r="AD2686">
        <v>0</v>
      </c>
      <c r="AE2686">
        <v>23.21</v>
      </c>
      <c r="AF2686">
        <v>0</v>
      </c>
      <c r="AG2686">
        <v>0</v>
      </c>
      <c r="AH2686">
        <v>0</v>
      </c>
      <c r="AI2686">
        <v>28.98</v>
      </c>
      <c r="AJ2686">
        <v>193.21</v>
      </c>
      <c r="AK2686">
        <v>0</v>
      </c>
      <c r="AL2686" t="s">
        <v>53</v>
      </c>
      <c r="AM2686" t="s">
        <v>53</v>
      </c>
      <c r="AN2686" t="s">
        <v>53</v>
      </c>
      <c r="AO2686" t="s">
        <v>53</v>
      </c>
      <c r="AP2686" t="s">
        <v>53</v>
      </c>
    </row>
    <row r="2687" spans="2:42" x14ac:dyDescent="0.2">
      <c r="B2687" t="s">
        <v>44</v>
      </c>
      <c r="C2687" t="str">
        <f>HYPERLINK("https://us2.cloudbeds.com/connect/8493803454333002#/reservations/5660349878463?display=40QT1VAVQ&amp;reservation_id=5660349878463", "40QT1VAVQ")</f>
        <v>40QT1VAVQ</v>
      </c>
      <c r="D2687" t="s">
        <v>45</v>
      </c>
      <c r="E2687" t="s">
        <v>110</v>
      </c>
      <c r="F2687" t="s">
        <v>47</v>
      </c>
      <c r="G2687" t="s">
        <v>3974</v>
      </c>
      <c r="H2687" t="s">
        <v>3957</v>
      </c>
      <c r="I2687" t="s">
        <v>3975</v>
      </c>
      <c r="J2687" t="s">
        <v>1862</v>
      </c>
      <c r="K2687" t="s">
        <v>2790</v>
      </c>
      <c r="L2687" t="s">
        <v>53</v>
      </c>
      <c r="P2687" t="s">
        <v>55</v>
      </c>
      <c r="R2687" t="s">
        <v>56</v>
      </c>
      <c r="T2687" t="s">
        <v>4289</v>
      </c>
      <c r="U2687" t="s">
        <v>58</v>
      </c>
      <c r="V2687">
        <v>1</v>
      </c>
      <c r="W2687">
        <v>1</v>
      </c>
      <c r="X2687">
        <v>1</v>
      </c>
      <c r="Y2687">
        <v>0</v>
      </c>
      <c r="Z2687">
        <v>1</v>
      </c>
      <c r="AA2687">
        <v>0</v>
      </c>
      <c r="AB2687">
        <v>202.53</v>
      </c>
      <c r="AC2687">
        <v>178.2</v>
      </c>
      <c r="AD2687">
        <v>0</v>
      </c>
      <c r="AE2687">
        <v>24.33</v>
      </c>
      <c r="AF2687">
        <v>0</v>
      </c>
      <c r="AG2687">
        <v>0</v>
      </c>
      <c r="AH2687">
        <v>0</v>
      </c>
      <c r="AI2687">
        <v>0</v>
      </c>
      <c r="AJ2687">
        <v>202.53</v>
      </c>
      <c r="AK2687">
        <v>0</v>
      </c>
      <c r="AL2687" t="s">
        <v>53</v>
      </c>
      <c r="AM2687" t="s">
        <v>53</v>
      </c>
      <c r="AN2687" t="s">
        <v>53</v>
      </c>
      <c r="AO2687" t="s">
        <v>53</v>
      </c>
      <c r="AP2687" t="s">
        <v>53</v>
      </c>
    </row>
    <row r="2688" spans="2:42" x14ac:dyDescent="0.2">
      <c r="B2688" t="s">
        <v>44</v>
      </c>
      <c r="C2688" t="str">
        <f>HYPERLINK("https://us2.cloudbeds.com/connect/8493803454333002#/reservations/5695498875043?display=41Y36GW69&amp;reservation_id=5695498875043", "41Y36GW69")</f>
        <v>41Y36GW69</v>
      </c>
      <c r="D2688" t="s">
        <v>45</v>
      </c>
      <c r="E2688" t="s">
        <v>110</v>
      </c>
      <c r="F2688" t="s">
        <v>47</v>
      </c>
      <c r="G2688" t="s">
        <v>48</v>
      </c>
      <c r="H2688" t="s">
        <v>3957</v>
      </c>
      <c r="I2688" t="s">
        <v>3958</v>
      </c>
      <c r="J2688" t="s">
        <v>2039</v>
      </c>
      <c r="K2688" t="s">
        <v>1141</v>
      </c>
      <c r="L2688" t="s">
        <v>53</v>
      </c>
      <c r="P2688" t="s">
        <v>55</v>
      </c>
      <c r="R2688" t="s">
        <v>56</v>
      </c>
      <c r="T2688" t="s">
        <v>4290</v>
      </c>
      <c r="U2688" t="s">
        <v>58</v>
      </c>
      <c r="V2688">
        <v>1</v>
      </c>
      <c r="W2688">
        <v>1</v>
      </c>
      <c r="X2688">
        <v>1</v>
      </c>
      <c r="Y2688">
        <v>0</v>
      </c>
      <c r="Z2688">
        <v>1</v>
      </c>
      <c r="AA2688">
        <v>0</v>
      </c>
      <c r="AB2688">
        <v>179.57</v>
      </c>
      <c r="AC2688">
        <v>158</v>
      </c>
      <c r="AD2688">
        <v>0</v>
      </c>
      <c r="AE2688">
        <v>21.57</v>
      </c>
      <c r="AF2688">
        <v>0</v>
      </c>
      <c r="AG2688">
        <v>0</v>
      </c>
      <c r="AH2688">
        <v>0</v>
      </c>
      <c r="AI2688">
        <v>0</v>
      </c>
      <c r="AJ2688">
        <v>179.57</v>
      </c>
      <c r="AK2688">
        <v>0</v>
      </c>
      <c r="AL2688" t="s">
        <v>53</v>
      </c>
      <c r="AM2688" t="s">
        <v>53</v>
      </c>
      <c r="AN2688" t="s">
        <v>53</v>
      </c>
      <c r="AO2688" t="s">
        <v>53</v>
      </c>
      <c r="AP2688" t="s">
        <v>53</v>
      </c>
    </row>
    <row r="2689" spans="2:42" x14ac:dyDescent="0.2">
      <c r="B2689" t="s">
        <v>44</v>
      </c>
      <c r="C2689" t="str">
        <f>HYPERLINK("https://us2.cloudbeds.com/connect/8493803454333002#/reservations/5704697082083?display=41S77MY9V&amp;reservation_id=5704697082083", "41S77MY9V")</f>
        <v>41S77MY9V</v>
      </c>
      <c r="D2689" t="s">
        <v>45</v>
      </c>
      <c r="E2689" t="s">
        <v>373</v>
      </c>
      <c r="F2689" t="s">
        <v>47</v>
      </c>
      <c r="G2689" t="s">
        <v>48</v>
      </c>
      <c r="H2689" t="s">
        <v>3957</v>
      </c>
      <c r="I2689" t="s">
        <v>3975</v>
      </c>
      <c r="J2689" t="s">
        <v>3514</v>
      </c>
      <c r="K2689" t="s">
        <v>1858</v>
      </c>
      <c r="L2689" t="s">
        <v>53</v>
      </c>
      <c r="P2689" t="s">
        <v>58</v>
      </c>
      <c r="R2689" t="s">
        <v>56</v>
      </c>
      <c r="T2689" t="s">
        <v>4291</v>
      </c>
      <c r="U2689" t="s">
        <v>58</v>
      </c>
      <c r="V2689">
        <v>1</v>
      </c>
      <c r="W2689">
        <v>1</v>
      </c>
      <c r="X2689">
        <v>2</v>
      </c>
      <c r="Y2689">
        <v>0</v>
      </c>
      <c r="Z2689">
        <v>2</v>
      </c>
      <c r="AA2689">
        <v>0</v>
      </c>
      <c r="AB2689">
        <v>115.93</v>
      </c>
      <c r="AC2689">
        <v>102</v>
      </c>
      <c r="AD2689">
        <v>0</v>
      </c>
      <c r="AE2689">
        <v>13.93</v>
      </c>
      <c r="AF2689">
        <v>0</v>
      </c>
      <c r="AG2689">
        <v>0</v>
      </c>
      <c r="AH2689">
        <v>0</v>
      </c>
      <c r="AI2689">
        <v>0</v>
      </c>
      <c r="AJ2689">
        <v>115.93</v>
      </c>
      <c r="AK2689">
        <v>0</v>
      </c>
      <c r="AL2689" t="s">
        <v>53</v>
      </c>
      <c r="AM2689" t="s">
        <v>53</v>
      </c>
      <c r="AN2689" t="s">
        <v>53</v>
      </c>
      <c r="AO2689" t="s">
        <v>53</v>
      </c>
      <c r="AP2689" t="s">
        <v>53</v>
      </c>
    </row>
    <row r="2690" spans="2:42" x14ac:dyDescent="0.2">
      <c r="B2690" t="s">
        <v>44</v>
      </c>
      <c r="C2690" t="str">
        <f>HYPERLINK("https://us2.cloudbeds.com/connect/8493803454333002#/reservations/5711299526825?display=420AV1DA1&amp;reservation_id=5711299526825", "420AV1DA1")</f>
        <v>420AV1DA1</v>
      </c>
      <c r="D2690" t="s">
        <v>45</v>
      </c>
      <c r="E2690" t="s">
        <v>105</v>
      </c>
      <c r="F2690" t="s">
        <v>47</v>
      </c>
      <c r="G2690" t="s">
        <v>48</v>
      </c>
      <c r="H2690" t="s">
        <v>49</v>
      </c>
      <c r="I2690" t="s">
        <v>50</v>
      </c>
      <c r="J2690" t="s">
        <v>1332</v>
      </c>
      <c r="K2690" t="s">
        <v>1333</v>
      </c>
      <c r="L2690" t="s">
        <v>53</v>
      </c>
      <c r="N2690" t="s">
        <v>4292</v>
      </c>
      <c r="P2690" t="s">
        <v>55</v>
      </c>
      <c r="R2690" t="s">
        <v>53</v>
      </c>
      <c r="T2690" t="s">
        <v>4293</v>
      </c>
      <c r="U2690" t="s">
        <v>58</v>
      </c>
      <c r="V2690">
        <v>1</v>
      </c>
      <c r="W2690">
        <v>1</v>
      </c>
      <c r="X2690">
        <v>2</v>
      </c>
      <c r="Y2690">
        <v>0</v>
      </c>
      <c r="Z2690">
        <v>2</v>
      </c>
      <c r="AA2690">
        <v>0</v>
      </c>
      <c r="AB2690">
        <v>167.07</v>
      </c>
      <c r="AC2690">
        <v>147</v>
      </c>
      <c r="AD2690">
        <v>0</v>
      </c>
      <c r="AE2690">
        <v>20.07</v>
      </c>
      <c r="AF2690">
        <v>0</v>
      </c>
      <c r="AG2690">
        <v>0</v>
      </c>
      <c r="AH2690">
        <v>0</v>
      </c>
      <c r="AI2690">
        <v>30.07</v>
      </c>
      <c r="AJ2690">
        <v>167.07</v>
      </c>
      <c r="AK2690">
        <v>0</v>
      </c>
      <c r="AL2690" t="s">
        <v>53</v>
      </c>
      <c r="AM2690" t="s">
        <v>53</v>
      </c>
      <c r="AN2690" t="s">
        <v>53</v>
      </c>
      <c r="AO2690" t="s">
        <v>53</v>
      </c>
      <c r="AP2690" t="s">
        <v>53</v>
      </c>
    </row>
    <row r="2691" spans="2:42" x14ac:dyDescent="0.2">
      <c r="B2691" t="s">
        <v>44</v>
      </c>
      <c r="C2691" t="str">
        <f>HYPERLINK("https://us2.cloudbeds.com/connect/8493803454333002#/reservations/5714336866452?display=422MX6S7Q&amp;reservation_id=5714336866452", "422MX6S7Q")</f>
        <v>422MX6S7Q</v>
      </c>
      <c r="D2691" t="s">
        <v>45</v>
      </c>
      <c r="E2691" t="s">
        <v>113</v>
      </c>
      <c r="F2691" t="s">
        <v>61</v>
      </c>
      <c r="G2691" t="s">
        <v>48</v>
      </c>
      <c r="H2691" t="s">
        <v>3957</v>
      </c>
      <c r="I2691" t="s">
        <v>3975</v>
      </c>
      <c r="J2691" t="s">
        <v>2163</v>
      </c>
      <c r="K2691" t="s">
        <v>1862</v>
      </c>
      <c r="L2691" t="s">
        <v>53</v>
      </c>
      <c r="P2691" t="s">
        <v>58</v>
      </c>
      <c r="R2691" t="s">
        <v>56</v>
      </c>
      <c r="T2691" t="s">
        <v>4294</v>
      </c>
      <c r="U2691" t="s">
        <v>58</v>
      </c>
      <c r="V2691">
        <v>2</v>
      </c>
      <c r="W2691">
        <v>1</v>
      </c>
      <c r="X2691">
        <v>2</v>
      </c>
      <c r="Y2691">
        <v>0</v>
      </c>
      <c r="Z2691">
        <v>2</v>
      </c>
      <c r="AA2691">
        <v>0</v>
      </c>
      <c r="AB2691">
        <v>395.52</v>
      </c>
      <c r="AC2691">
        <v>348</v>
      </c>
      <c r="AD2691">
        <v>0</v>
      </c>
      <c r="AE2691">
        <v>47.52</v>
      </c>
      <c r="AF2691">
        <v>0</v>
      </c>
      <c r="AG2691">
        <v>0</v>
      </c>
      <c r="AH2691">
        <v>0</v>
      </c>
      <c r="AI2691">
        <v>0</v>
      </c>
      <c r="AJ2691">
        <v>395.52</v>
      </c>
      <c r="AK2691">
        <v>0</v>
      </c>
      <c r="AL2691" t="s">
        <v>53</v>
      </c>
      <c r="AM2691" t="s">
        <v>53</v>
      </c>
      <c r="AN2691" t="s">
        <v>53</v>
      </c>
      <c r="AO2691" t="s">
        <v>53</v>
      </c>
      <c r="AP2691" t="s">
        <v>53</v>
      </c>
    </row>
    <row r="2692" spans="2:42" x14ac:dyDescent="0.2">
      <c r="B2692" t="s">
        <v>44</v>
      </c>
      <c r="C2692" t="str">
        <f>HYPERLINK("https://us2.cloudbeds.com/connect/8493803454333002#/reservations/5913764130963?display=46P3CXFEH&amp;reservation_id=5913764130963", "46P3CXFEH")</f>
        <v>46P3CXFEH</v>
      </c>
      <c r="D2692" t="s">
        <v>45</v>
      </c>
      <c r="E2692" t="s">
        <v>155</v>
      </c>
      <c r="F2692" t="s">
        <v>86</v>
      </c>
      <c r="G2692" t="s">
        <v>48</v>
      </c>
      <c r="H2692" t="s">
        <v>49</v>
      </c>
      <c r="I2692" t="s">
        <v>50</v>
      </c>
      <c r="J2692" t="s">
        <v>1515</v>
      </c>
      <c r="K2692" t="s">
        <v>2384</v>
      </c>
      <c r="L2692" t="s">
        <v>53</v>
      </c>
      <c r="N2692" t="s">
        <v>4295</v>
      </c>
      <c r="P2692" t="s">
        <v>55</v>
      </c>
      <c r="R2692" t="s">
        <v>53</v>
      </c>
      <c r="T2692" t="s">
        <v>4296</v>
      </c>
      <c r="U2692" t="s">
        <v>58</v>
      </c>
      <c r="V2692">
        <v>2</v>
      </c>
      <c r="W2692">
        <v>1</v>
      </c>
      <c r="X2692">
        <v>3</v>
      </c>
      <c r="Y2692">
        <v>0</v>
      </c>
      <c r="Z2692">
        <v>3</v>
      </c>
      <c r="AA2692">
        <v>0</v>
      </c>
      <c r="AB2692">
        <v>364.83</v>
      </c>
      <c r="AC2692">
        <v>321</v>
      </c>
      <c r="AD2692">
        <v>0</v>
      </c>
      <c r="AE2692">
        <v>43.83</v>
      </c>
      <c r="AF2692">
        <v>0</v>
      </c>
      <c r="AG2692">
        <v>0</v>
      </c>
      <c r="AH2692">
        <v>0</v>
      </c>
      <c r="AI2692">
        <v>65.67</v>
      </c>
      <c r="AJ2692">
        <v>364.83</v>
      </c>
      <c r="AK2692">
        <v>0</v>
      </c>
      <c r="AL2692" t="s">
        <v>53</v>
      </c>
      <c r="AM2692" t="s">
        <v>53</v>
      </c>
      <c r="AN2692" t="s">
        <v>53</v>
      </c>
      <c r="AO2692" t="s">
        <v>53</v>
      </c>
      <c r="AP2692" t="s">
        <v>53</v>
      </c>
    </row>
    <row r="2693" spans="2:42" x14ac:dyDescent="0.2">
      <c r="B2693" t="s">
        <v>44</v>
      </c>
      <c r="C2693" t="str">
        <f>HYPERLINK("https://us2.cloudbeds.com/connect/8493803454333002#/reservations/5931000684687?display=475EQSWFB&amp;reservation_id=5931000684687", "475EQSWFB")</f>
        <v>475EQSWFB</v>
      </c>
      <c r="D2693" t="s">
        <v>45</v>
      </c>
      <c r="E2693" t="s">
        <v>85</v>
      </c>
      <c r="F2693" t="s">
        <v>86</v>
      </c>
      <c r="G2693" t="s">
        <v>48</v>
      </c>
      <c r="H2693" t="s">
        <v>49</v>
      </c>
      <c r="I2693" t="s">
        <v>62</v>
      </c>
      <c r="J2693" t="s">
        <v>1436</v>
      </c>
      <c r="K2693" t="s">
        <v>1933</v>
      </c>
      <c r="L2693" t="s">
        <v>53</v>
      </c>
      <c r="N2693" t="s">
        <v>4297</v>
      </c>
      <c r="P2693" t="s">
        <v>55</v>
      </c>
      <c r="R2693" t="s">
        <v>56</v>
      </c>
      <c r="T2693" t="s">
        <v>4298</v>
      </c>
      <c r="U2693" t="s">
        <v>55</v>
      </c>
      <c r="V2693">
        <v>3</v>
      </c>
      <c r="W2693">
        <v>1</v>
      </c>
      <c r="X2693">
        <v>2</v>
      </c>
      <c r="Y2693">
        <v>0</v>
      </c>
      <c r="Z2693">
        <v>2</v>
      </c>
      <c r="AA2693">
        <v>0</v>
      </c>
      <c r="AB2693">
        <v>520.54</v>
      </c>
      <c r="AC2693">
        <v>458</v>
      </c>
      <c r="AD2693">
        <v>0</v>
      </c>
      <c r="AE2693">
        <v>62.54</v>
      </c>
      <c r="AF2693">
        <v>0</v>
      </c>
      <c r="AG2693">
        <v>0</v>
      </c>
      <c r="AH2693">
        <v>0</v>
      </c>
      <c r="AI2693">
        <v>78.08</v>
      </c>
      <c r="AJ2693">
        <v>520.54</v>
      </c>
      <c r="AK2693">
        <v>0</v>
      </c>
      <c r="AL2693" t="s">
        <v>53</v>
      </c>
      <c r="AM2693" t="s">
        <v>53</v>
      </c>
      <c r="AN2693" t="s">
        <v>53</v>
      </c>
      <c r="AO2693" t="s">
        <v>53</v>
      </c>
      <c r="AP2693" t="s">
        <v>53</v>
      </c>
    </row>
    <row r="2694" spans="2:42" x14ac:dyDescent="0.2">
      <c r="B2694" t="s">
        <v>44</v>
      </c>
      <c r="C2694" t="str">
        <f>HYPERLINK("https://us2.cloudbeds.com/connect/8493803454333002#/reservations/5933099020500?display=4772E88V2&amp;reservation_id=5933099020500", "4772E88V2")</f>
        <v>4772E88V2</v>
      </c>
      <c r="D2694" t="s">
        <v>45</v>
      </c>
      <c r="E2694" t="s">
        <v>78</v>
      </c>
      <c r="F2694" t="s">
        <v>61</v>
      </c>
      <c r="G2694" t="s">
        <v>48</v>
      </c>
      <c r="H2694" t="s">
        <v>49</v>
      </c>
      <c r="I2694" t="s">
        <v>50</v>
      </c>
      <c r="J2694" t="s">
        <v>2384</v>
      </c>
      <c r="K2694" t="s">
        <v>2163</v>
      </c>
      <c r="L2694" t="s">
        <v>53</v>
      </c>
      <c r="N2694" t="s">
        <v>4299</v>
      </c>
      <c r="P2694" t="s">
        <v>55</v>
      </c>
      <c r="R2694" t="s">
        <v>53</v>
      </c>
      <c r="T2694" t="s">
        <v>4300</v>
      </c>
      <c r="U2694" t="s">
        <v>58</v>
      </c>
      <c r="V2694">
        <v>1</v>
      </c>
      <c r="W2694">
        <v>1</v>
      </c>
      <c r="X2694">
        <v>2</v>
      </c>
      <c r="Y2694">
        <v>0</v>
      </c>
      <c r="Z2694">
        <v>2</v>
      </c>
      <c r="AA2694">
        <v>0</v>
      </c>
      <c r="AB2694">
        <v>165.93</v>
      </c>
      <c r="AC2694">
        <v>146</v>
      </c>
      <c r="AD2694">
        <v>0</v>
      </c>
      <c r="AE2694">
        <v>19.93</v>
      </c>
      <c r="AF2694">
        <v>0</v>
      </c>
      <c r="AG2694">
        <v>0</v>
      </c>
      <c r="AH2694">
        <v>0</v>
      </c>
      <c r="AI2694">
        <v>29.87</v>
      </c>
      <c r="AJ2694">
        <v>165.93</v>
      </c>
      <c r="AK2694">
        <v>0</v>
      </c>
      <c r="AL2694" t="s">
        <v>53</v>
      </c>
      <c r="AM2694" t="s">
        <v>53</v>
      </c>
      <c r="AN2694" t="s">
        <v>53</v>
      </c>
      <c r="AO2694" t="s">
        <v>53</v>
      </c>
      <c r="AP2694" t="s">
        <v>53</v>
      </c>
    </row>
    <row r="2695" spans="2:42" x14ac:dyDescent="0.2">
      <c r="B2695" t="s">
        <v>44</v>
      </c>
      <c r="C2695" t="str">
        <f>HYPERLINK("https://us2.cloudbeds.com/connect/8493803454333002#/reservations/5956930527375?display=47PHCK2Y2&amp;reservation_id=5956930527375", "47PHCK2Y2")</f>
        <v>47PHCK2Y2</v>
      </c>
      <c r="D2695" t="s">
        <v>45</v>
      </c>
      <c r="E2695" t="s">
        <v>69</v>
      </c>
      <c r="F2695" t="s">
        <v>70</v>
      </c>
      <c r="G2695" t="s">
        <v>48</v>
      </c>
      <c r="H2695" t="s">
        <v>49</v>
      </c>
      <c r="I2695" t="s">
        <v>62</v>
      </c>
      <c r="J2695" t="s">
        <v>2163</v>
      </c>
      <c r="K2695" t="s">
        <v>1862</v>
      </c>
      <c r="L2695" t="s">
        <v>53</v>
      </c>
      <c r="N2695" t="s">
        <v>4301</v>
      </c>
      <c r="P2695" t="s">
        <v>55</v>
      </c>
      <c r="R2695" t="s">
        <v>56</v>
      </c>
      <c r="T2695" t="s">
        <v>4302</v>
      </c>
      <c r="U2695" t="s">
        <v>55</v>
      </c>
      <c r="V2695">
        <v>2</v>
      </c>
      <c r="W2695">
        <v>1</v>
      </c>
      <c r="X2695">
        <v>2</v>
      </c>
      <c r="Y2695">
        <v>0</v>
      </c>
      <c r="Z2695">
        <v>2</v>
      </c>
      <c r="AA2695">
        <v>0</v>
      </c>
      <c r="AB2695">
        <v>383.01</v>
      </c>
      <c r="AC2695">
        <v>337</v>
      </c>
      <c r="AD2695">
        <v>0</v>
      </c>
      <c r="AE2695">
        <v>46.01</v>
      </c>
      <c r="AF2695">
        <v>0</v>
      </c>
      <c r="AG2695">
        <v>0</v>
      </c>
      <c r="AH2695">
        <v>0</v>
      </c>
      <c r="AI2695">
        <v>57.45</v>
      </c>
      <c r="AJ2695">
        <v>383.01</v>
      </c>
      <c r="AK2695">
        <v>0</v>
      </c>
      <c r="AL2695" t="s">
        <v>53</v>
      </c>
      <c r="AM2695" t="s">
        <v>53</v>
      </c>
      <c r="AN2695" t="s">
        <v>53</v>
      </c>
      <c r="AO2695" t="s">
        <v>53</v>
      </c>
      <c r="AP2695" t="s">
        <v>53</v>
      </c>
    </row>
    <row r="2696" spans="2:42" x14ac:dyDescent="0.2">
      <c r="B2696" t="s">
        <v>44</v>
      </c>
      <c r="C2696" t="str">
        <f>HYPERLINK("https://us2.cloudbeds.com/connect/8493803454333002#/reservations/5964549013650?display=47VE1NMQH&amp;reservation_id=5964549013650", "47VE1NMQH")</f>
        <v>47VE1NMQH</v>
      </c>
      <c r="D2696" t="s">
        <v>45</v>
      </c>
      <c r="E2696" t="s">
        <v>46</v>
      </c>
      <c r="F2696" t="s">
        <v>47</v>
      </c>
      <c r="G2696" t="s">
        <v>48</v>
      </c>
      <c r="H2696" t="s">
        <v>49</v>
      </c>
      <c r="I2696" t="s">
        <v>62</v>
      </c>
      <c r="J2696" t="s">
        <v>2384</v>
      </c>
      <c r="K2696" t="s">
        <v>2790</v>
      </c>
      <c r="L2696" t="s">
        <v>53</v>
      </c>
      <c r="N2696" t="s">
        <v>4303</v>
      </c>
      <c r="P2696" t="s">
        <v>55</v>
      </c>
      <c r="R2696" t="s">
        <v>56</v>
      </c>
      <c r="T2696" t="s">
        <v>4304</v>
      </c>
      <c r="U2696" t="s">
        <v>55</v>
      </c>
      <c r="V2696">
        <v>4</v>
      </c>
      <c r="W2696">
        <v>1</v>
      </c>
      <c r="X2696">
        <v>1</v>
      </c>
      <c r="Y2696">
        <v>0</v>
      </c>
      <c r="Z2696">
        <v>1</v>
      </c>
      <c r="AA2696">
        <v>0</v>
      </c>
      <c r="AB2696">
        <v>760.34</v>
      </c>
      <c r="AC2696">
        <v>669</v>
      </c>
      <c r="AD2696">
        <v>0</v>
      </c>
      <c r="AE2696">
        <v>91.34</v>
      </c>
      <c r="AF2696">
        <v>0</v>
      </c>
      <c r="AG2696">
        <v>0</v>
      </c>
      <c r="AH2696">
        <v>0</v>
      </c>
      <c r="AI2696">
        <v>114.05</v>
      </c>
      <c r="AJ2696">
        <v>760.34</v>
      </c>
      <c r="AK2696">
        <v>0</v>
      </c>
      <c r="AL2696" t="s">
        <v>53</v>
      </c>
      <c r="AM2696" t="s">
        <v>53</v>
      </c>
      <c r="AN2696" t="s">
        <v>53</v>
      </c>
      <c r="AO2696" t="s">
        <v>53</v>
      </c>
      <c r="AP2696" t="s">
        <v>53</v>
      </c>
    </row>
    <row r="2697" spans="2:42" x14ac:dyDescent="0.2">
      <c r="B2697" t="s">
        <v>44</v>
      </c>
      <c r="C2697" t="str">
        <f>HYPERLINK("https://us2.cloudbeds.com/connect/8493803454333002#/reservations/5975480836234?display=486TCNPCX&amp;reservation_id=5975480836234", "486TCNPCX")</f>
        <v>486TCNPCX</v>
      </c>
      <c r="D2697" t="s">
        <v>45</v>
      </c>
      <c r="E2697" t="s">
        <v>92</v>
      </c>
      <c r="F2697" t="s">
        <v>86</v>
      </c>
      <c r="G2697" t="s">
        <v>48</v>
      </c>
      <c r="H2697" t="s">
        <v>3957</v>
      </c>
      <c r="I2697" t="s">
        <v>3975</v>
      </c>
      <c r="J2697" t="s">
        <v>1332</v>
      </c>
      <c r="K2697" t="s">
        <v>1902</v>
      </c>
      <c r="L2697" t="s">
        <v>53</v>
      </c>
      <c r="P2697" t="s">
        <v>55</v>
      </c>
      <c r="R2697" t="s">
        <v>56</v>
      </c>
      <c r="T2697" t="s">
        <v>4305</v>
      </c>
      <c r="U2697" t="s">
        <v>58</v>
      </c>
      <c r="V2697">
        <v>5</v>
      </c>
      <c r="W2697">
        <v>1</v>
      </c>
      <c r="X2697">
        <v>2</v>
      </c>
      <c r="Y2697">
        <v>0</v>
      </c>
      <c r="Z2697">
        <v>2</v>
      </c>
      <c r="AA2697">
        <v>0</v>
      </c>
      <c r="AB2697">
        <v>885.36</v>
      </c>
      <c r="AC2697">
        <v>779</v>
      </c>
      <c r="AD2697">
        <v>0</v>
      </c>
      <c r="AE2697">
        <v>106.36</v>
      </c>
      <c r="AF2697">
        <v>0</v>
      </c>
      <c r="AG2697">
        <v>0</v>
      </c>
      <c r="AH2697">
        <v>0</v>
      </c>
      <c r="AI2697">
        <v>0</v>
      </c>
      <c r="AJ2697">
        <v>885.36</v>
      </c>
      <c r="AK2697">
        <v>0</v>
      </c>
      <c r="AL2697" t="s">
        <v>53</v>
      </c>
      <c r="AM2697" t="s">
        <v>53</v>
      </c>
      <c r="AN2697" t="s">
        <v>53</v>
      </c>
      <c r="AO2697" t="s">
        <v>53</v>
      </c>
      <c r="AP2697" t="s">
        <v>53</v>
      </c>
    </row>
    <row r="2698" spans="2:42" x14ac:dyDescent="0.2">
      <c r="B2698" t="s">
        <v>44</v>
      </c>
      <c r="C2698" t="str">
        <f>HYPERLINK("https://us2.cloudbeds.com/connect/8493803454333002#/reservations/5987075027086?display=48FSY8799&amp;reservation_id=5987075027086", "48FSY8799")</f>
        <v>48FSY8799</v>
      </c>
      <c r="D2698" t="s">
        <v>45</v>
      </c>
      <c r="E2698" t="s">
        <v>128</v>
      </c>
      <c r="F2698" t="s">
        <v>86</v>
      </c>
      <c r="G2698" t="s">
        <v>48</v>
      </c>
      <c r="H2698" t="s">
        <v>3957</v>
      </c>
      <c r="I2698" t="s">
        <v>3975</v>
      </c>
      <c r="J2698" t="s">
        <v>1555</v>
      </c>
      <c r="K2698" t="s">
        <v>1406</v>
      </c>
      <c r="L2698" t="s">
        <v>53</v>
      </c>
      <c r="P2698" t="s">
        <v>55</v>
      </c>
      <c r="R2698" t="s">
        <v>56</v>
      </c>
      <c r="T2698" t="s">
        <v>4306</v>
      </c>
      <c r="U2698" t="s">
        <v>58</v>
      </c>
      <c r="V2698">
        <v>1</v>
      </c>
      <c r="W2698">
        <v>1</v>
      </c>
      <c r="X2698">
        <v>3</v>
      </c>
      <c r="Y2698">
        <v>0</v>
      </c>
      <c r="Z2698">
        <v>3</v>
      </c>
      <c r="AA2698">
        <v>0</v>
      </c>
      <c r="AB2698">
        <v>204.57</v>
      </c>
      <c r="AC2698">
        <v>180</v>
      </c>
      <c r="AD2698">
        <v>0</v>
      </c>
      <c r="AE2698">
        <v>24.57</v>
      </c>
      <c r="AF2698">
        <v>0</v>
      </c>
      <c r="AG2698">
        <v>0</v>
      </c>
      <c r="AH2698">
        <v>0</v>
      </c>
      <c r="AI2698">
        <v>0</v>
      </c>
      <c r="AJ2698">
        <v>204.57</v>
      </c>
      <c r="AK2698">
        <v>0</v>
      </c>
      <c r="AL2698" t="s">
        <v>53</v>
      </c>
      <c r="AM2698" t="s">
        <v>53</v>
      </c>
      <c r="AN2698" t="s">
        <v>53</v>
      </c>
      <c r="AO2698" t="s">
        <v>53</v>
      </c>
      <c r="AP2698" t="s">
        <v>53</v>
      </c>
    </row>
    <row r="2699" spans="2:42" x14ac:dyDescent="0.2">
      <c r="B2699" t="s">
        <v>44</v>
      </c>
      <c r="C2699" t="str">
        <f>HYPERLINK("https://us2.cloudbeds.com/connect/8493803454333002#/reservations/6005344145602?display=48U0F8CB9&amp;reservation_id=6005344145602", "48U0F8CB9")</f>
        <v>48U0F8CB9</v>
      </c>
      <c r="D2699" t="s">
        <v>45</v>
      </c>
      <c r="E2699" t="s">
        <v>69</v>
      </c>
      <c r="F2699" t="s">
        <v>70</v>
      </c>
      <c r="G2699" t="s">
        <v>48</v>
      </c>
      <c r="H2699" t="s">
        <v>49</v>
      </c>
      <c r="I2699" t="s">
        <v>50</v>
      </c>
      <c r="J2699" t="s">
        <v>1478</v>
      </c>
      <c r="K2699" t="s">
        <v>3514</v>
      </c>
      <c r="L2699" t="s">
        <v>53</v>
      </c>
      <c r="N2699" t="s">
        <v>4307</v>
      </c>
      <c r="P2699" t="s">
        <v>55</v>
      </c>
      <c r="R2699" t="s">
        <v>53</v>
      </c>
      <c r="T2699" t="s">
        <v>4308</v>
      </c>
      <c r="U2699" t="s">
        <v>58</v>
      </c>
      <c r="V2699">
        <v>1</v>
      </c>
      <c r="W2699">
        <v>1</v>
      </c>
      <c r="X2699">
        <v>1</v>
      </c>
      <c r="Y2699">
        <v>0</v>
      </c>
      <c r="Z2699">
        <v>1</v>
      </c>
      <c r="AA2699">
        <v>0</v>
      </c>
      <c r="AB2699">
        <v>123.88</v>
      </c>
      <c r="AC2699">
        <v>109</v>
      </c>
      <c r="AD2699">
        <v>0</v>
      </c>
      <c r="AE2699">
        <v>14.88</v>
      </c>
      <c r="AF2699">
        <v>0</v>
      </c>
      <c r="AG2699">
        <v>0</v>
      </c>
      <c r="AH2699">
        <v>0</v>
      </c>
      <c r="AI2699">
        <v>22.3</v>
      </c>
      <c r="AJ2699">
        <v>123.88</v>
      </c>
      <c r="AK2699">
        <v>0</v>
      </c>
      <c r="AL2699" t="s">
        <v>53</v>
      </c>
      <c r="AM2699" t="s">
        <v>53</v>
      </c>
      <c r="AN2699" t="s">
        <v>53</v>
      </c>
      <c r="AO2699" t="s">
        <v>53</v>
      </c>
      <c r="AP2699" t="s">
        <v>53</v>
      </c>
    </row>
    <row r="2700" spans="2:42" x14ac:dyDescent="0.2">
      <c r="B2700" t="s">
        <v>44</v>
      </c>
      <c r="C2700" t="str">
        <f>HYPERLINK("https://us2.cloudbeds.com/connect/8493803454333002#/reservations/6024262123658?display=49BYSD00J&amp;reservation_id=6024262123658", "49BYSD00J")</f>
        <v>49BYSD00J</v>
      </c>
      <c r="D2700" t="s">
        <v>45</v>
      </c>
      <c r="E2700" t="s">
        <v>179</v>
      </c>
      <c r="F2700" t="s">
        <v>47</v>
      </c>
      <c r="G2700" t="s">
        <v>48</v>
      </c>
      <c r="H2700" t="s">
        <v>49</v>
      </c>
      <c r="I2700" t="s">
        <v>50</v>
      </c>
      <c r="J2700" t="s">
        <v>1450</v>
      </c>
      <c r="K2700" t="s">
        <v>1451</v>
      </c>
      <c r="L2700" t="s">
        <v>53</v>
      </c>
      <c r="N2700" t="s">
        <v>4309</v>
      </c>
      <c r="P2700" t="s">
        <v>55</v>
      </c>
      <c r="R2700" t="s">
        <v>53</v>
      </c>
      <c r="T2700" t="s">
        <v>4310</v>
      </c>
      <c r="U2700" t="s">
        <v>58</v>
      </c>
      <c r="V2700">
        <v>1</v>
      </c>
      <c r="W2700">
        <v>1</v>
      </c>
      <c r="X2700">
        <v>1</v>
      </c>
      <c r="Y2700">
        <v>0</v>
      </c>
      <c r="Z2700">
        <v>1</v>
      </c>
      <c r="AA2700">
        <v>0</v>
      </c>
      <c r="AB2700">
        <v>188.2</v>
      </c>
      <c r="AC2700">
        <v>165.6</v>
      </c>
      <c r="AD2700">
        <v>0</v>
      </c>
      <c r="AE2700">
        <v>22.6</v>
      </c>
      <c r="AF2700">
        <v>0</v>
      </c>
      <c r="AG2700">
        <v>0</v>
      </c>
      <c r="AH2700">
        <v>0</v>
      </c>
      <c r="AI2700">
        <v>33.880000000000003</v>
      </c>
      <c r="AJ2700">
        <v>188.2</v>
      </c>
      <c r="AK2700">
        <v>0</v>
      </c>
      <c r="AL2700" t="s">
        <v>53</v>
      </c>
      <c r="AM2700" t="s">
        <v>53</v>
      </c>
      <c r="AN2700" t="s">
        <v>53</v>
      </c>
      <c r="AO2700" t="s">
        <v>53</v>
      </c>
      <c r="AP2700" t="s">
        <v>53</v>
      </c>
    </row>
    <row r="2701" spans="2:42" x14ac:dyDescent="0.2">
      <c r="B2701" t="s">
        <v>44</v>
      </c>
      <c r="C2701" t="str">
        <f>HYPERLINK("https://us2.cloudbeds.com/connect/8493803454333002#/reservations/6031470727382?display=49H81T0RM&amp;reservation_id=6031470727382", "49H81T0RM")</f>
        <v>49H81T0RM</v>
      </c>
      <c r="D2701" t="s">
        <v>45</v>
      </c>
      <c r="E2701" t="s">
        <v>223</v>
      </c>
      <c r="F2701" t="s">
        <v>47</v>
      </c>
      <c r="G2701" t="s">
        <v>48</v>
      </c>
      <c r="H2701" t="s">
        <v>49</v>
      </c>
      <c r="I2701" t="s">
        <v>62</v>
      </c>
      <c r="J2701" t="s">
        <v>1515</v>
      </c>
      <c r="K2701" t="s">
        <v>2384</v>
      </c>
      <c r="L2701" t="s">
        <v>53</v>
      </c>
      <c r="N2701" t="s">
        <v>4311</v>
      </c>
      <c r="P2701" t="s">
        <v>55</v>
      </c>
      <c r="R2701" t="s">
        <v>56</v>
      </c>
      <c r="T2701" t="s">
        <v>4312</v>
      </c>
      <c r="U2701" t="s">
        <v>55</v>
      </c>
      <c r="V2701">
        <v>2</v>
      </c>
      <c r="W2701">
        <v>1</v>
      </c>
      <c r="X2701">
        <v>2</v>
      </c>
      <c r="Y2701">
        <v>0</v>
      </c>
      <c r="Z2701">
        <v>2</v>
      </c>
      <c r="AA2701">
        <v>0</v>
      </c>
      <c r="AB2701">
        <v>329.59</v>
      </c>
      <c r="AC2701">
        <v>290</v>
      </c>
      <c r="AD2701">
        <v>0</v>
      </c>
      <c r="AE2701">
        <v>39.590000000000003</v>
      </c>
      <c r="AF2701">
        <v>0</v>
      </c>
      <c r="AG2701">
        <v>0</v>
      </c>
      <c r="AH2701">
        <v>0</v>
      </c>
      <c r="AI2701">
        <v>49.44</v>
      </c>
      <c r="AJ2701">
        <v>329.59</v>
      </c>
      <c r="AK2701">
        <v>0</v>
      </c>
      <c r="AL2701" t="s">
        <v>53</v>
      </c>
      <c r="AM2701" t="s">
        <v>53</v>
      </c>
      <c r="AN2701" t="s">
        <v>53</v>
      </c>
      <c r="AO2701" t="s">
        <v>53</v>
      </c>
      <c r="AP2701" t="s">
        <v>53</v>
      </c>
    </row>
    <row r="2702" spans="2:42" x14ac:dyDescent="0.2">
      <c r="B2702" t="s">
        <v>44</v>
      </c>
      <c r="C2702" t="str">
        <f>HYPERLINK("https://us2.cloudbeds.com/connect/8493803454333002#/reservations/6038249799811?display=49MG95NCU&amp;reservation_id=6038249799811", "49MG95NCU")</f>
        <v>49MG95NCU</v>
      </c>
      <c r="D2702" t="s">
        <v>45</v>
      </c>
      <c r="E2702" t="s">
        <v>223</v>
      </c>
      <c r="F2702" t="s">
        <v>47</v>
      </c>
      <c r="G2702" t="s">
        <v>48</v>
      </c>
      <c r="H2702" t="s">
        <v>49</v>
      </c>
      <c r="I2702" t="s">
        <v>62</v>
      </c>
      <c r="J2702" t="s">
        <v>1611</v>
      </c>
      <c r="K2702" t="s">
        <v>1333</v>
      </c>
      <c r="L2702" t="s">
        <v>53</v>
      </c>
      <c r="N2702" t="s">
        <v>4313</v>
      </c>
      <c r="P2702" t="s">
        <v>55</v>
      </c>
      <c r="R2702" t="s">
        <v>56</v>
      </c>
      <c r="T2702" t="s">
        <v>4314</v>
      </c>
      <c r="U2702" t="s">
        <v>55</v>
      </c>
      <c r="V2702">
        <v>6</v>
      </c>
      <c r="W2702">
        <v>1</v>
      </c>
      <c r="X2702">
        <v>2</v>
      </c>
      <c r="Y2702">
        <v>0</v>
      </c>
      <c r="Z2702">
        <v>2</v>
      </c>
      <c r="AA2702">
        <v>0</v>
      </c>
      <c r="AB2702">
        <v>769.22</v>
      </c>
      <c r="AC2702">
        <v>676.8</v>
      </c>
      <c r="AD2702">
        <v>0</v>
      </c>
      <c r="AE2702">
        <v>92.42</v>
      </c>
      <c r="AF2702">
        <v>0</v>
      </c>
      <c r="AG2702">
        <v>0</v>
      </c>
      <c r="AH2702">
        <v>0</v>
      </c>
      <c r="AI2702">
        <v>115.38</v>
      </c>
      <c r="AJ2702">
        <v>769.22</v>
      </c>
      <c r="AK2702">
        <v>0</v>
      </c>
      <c r="AL2702" t="s">
        <v>53</v>
      </c>
      <c r="AM2702" t="s">
        <v>53</v>
      </c>
      <c r="AN2702" t="s">
        <v>53</v>
      </c>
      <c r="AO2702" t="s">
        <v>53</v>
      </c>
      <c r="AP2702" t="s">
        <v>53</v>
      </c>
    </row>
    <row r="2703" spans="2:42" x14ac:dyDescent="0.2">
      <c r="B2703" t="s">
        <v>44</v>
      </c>
      <c r="C2703" t="str">
        <f>HYPERLINK("https://us2.cloudbeds.com/connect/8493803454333002#/reservations/6044164546747?display=49R2DY8KX&amp;reservation_id=6044164546747", "49R2DY8KX")</f>
        <v>49R2DY8KX</v>
      </c>
      <c r="D2703" t="s">
        <v>45</v>
      </c>
      <c r="E2703" t="s">
        <v>105</v>
      </c>
      <c r="F2703" t="s">
        <v>47</v>
      </c>
      <c r="G2703" t="s">
        <v>48</v>
      </c>
      <c r="H2703" t="s">
        <v>49</v>
      </c>
      <c r="I2703" t="s">
        <v>62</v>
      </c>
      <c r="J2703" t="s">
        <v>3080</v>
      </c>
      <c r="K2703" t="s">
        <v>1477</v>
      </c>
      <c r="L2703" t="s">
        <v>53</v>
      </c>
      <c r="N2703" t="s">
        <v>4315</v>
      </c>
      <c r="P2703" t="s">
        <v>55</v>
      </c>
      <c r="R2703" t="s">
        <v>56</v>
      </c>
      <c r="T2703" t="s">
        <v>4316</v>
      </c>
      <c r="U2703" t="s">
        <v>55</v>
      </c>
      <c r="V2703">
        <v>3</v>
      </c>
      <c r="W2703">
        <v>1</v>
      </c>
      <c r="X2703">
        <v>2</v>
      </c>
      <c r="Y2703">
        <v>0</v>
      </c>
      <c r="Z2703">
        <v>2</v>
      </c>
      <c r="AA2703">
        <v>0</v>
      </c>
      <c r="AB2703">
        <v>439.82</v>
      </c>
      <c r="AC2703">
        <v>387</v>
      </c>
      <c r="AD2703">
        <v>0</v>
      </c>
      <c r="AE2703">
        <v>52.82</v>
      </c>
      <c r="AF2703">
        <v>0</v>
      </c>
      <c r="AG2703">
        <v>0</v>
      </c>
      <c r="AH2703">
        <v>0</v>
      </c>
      <c r="AI2703">
        <v>65.97</v>
      </c>
      <c r="AJ2703">
        <v>439.82</v>
      </c>
      <c r="AK2703">
        <v>0</v>
      </c>
      <c r="AL2703" t="s">
        <v>53</v>
      </c>
      <c r="AM2703" t="s">
        <v>53</v>
      </c>
      <c r="AN2703" t="s">
        <v>53</v>
      </c>
      <c r="AO2703" t="s">
        <v>53</v>
      </c>
      <c r="AP2703" t="s">
        <v>53</v>
      </c>
    </row>
    <row r="2704" spans="2:42" x14ac:dyDescent="0.2">
      <c r="B2704" t="s">
        <v>44</v>
      </c>
      <c r="C2704" t="str">
        <f>HYPERLINK("https://us2.cloudbeds.com/connect/8493803454333002#/reservations/6075748896959?display=4AXHFDC14&amp;reservation_id=6075748896959", "4AXHFDC14")</f>
        <v>4AXHFDC14</v>
      </c>
      <c r="D2704" t="s">
        <v>45</v>
      </c>
      <c r="E2704" t="s">
        <v>98</v>
      </c>
      <c r="F2704" t="s">
        <v>86</v>
      </c>
      <c r="G2704" t="s">
        <v>48</v>
      </c>
      <c r="H2704" t="s">
        <v>49</v>
      </c>
      <c r="I2704" t="s">
        <v>62</v>
      </c>
      <c r="J2704" t="s">
        <v>1858</v>
      </c>
      <c r="K2704" t="s">
        <v>1611</v>
      </c>
      <c r="L2704" t="s">
        <v>53</v>
      </c>
      <c r="N2704" t="s">
        <v>4317</v>
      </c>
      <c r="P2704" t="s">
        <v>55</v>
      </c>
      <c r="R2704" t="s">
        <v>56</v>
      </c>
      <c r="T2704" t="s">
        <v>4318</v>
      </c>
      <c r="U2704" t="s">
        <v>55</v>
      </c>
      <c r="V2704">
        <v>4</v>
      </c>
      <c r="W2704">
        <v>1</v>
      </c>
      <c r="X2704">
        <v>2</v>
      </c>
      <c r="Y2704">
        <v>0</v>
      </c>
      <c r="Z2704">
        <v>2</v>
      </c>
      <c r="AA2704">
        <v>0</v>
      </c>
      <c r="AB2704">
        <v>598.36</v>
      </c>
      <c r="AC2704">
        <v>526.5</v>
      </c>
      <c r="AD2704">
        <v>0</v>
      </c>
      <c r="AE2704">
        <v>71.86</v>
      </c>
      <c r="AF2704">
        <v>0</v>
      </c>
      <c r="AG2704">
        <v>0</v>
      </c>
      <c r="AH2704">
        <v>0</v>
      </c>
      <c r="AI2704">
        <v>89.75</v>
      </c>
      <c r="AJ2704">
        <v>598.36</v>
      </c>
      <c r="AK2704">
        <v>0</v>
      </c>
      <c r="AL2704" t="s">
        <v>53</v>
      </c>
      <c r="AM2704" t="s">
        <v>53</v>
      </c>
      <c r="AN2704" t="s">
        <v>53</v>
      </c>
      <c r="AO2704" t="s">
        <v>53</v>
      </c>
      <c r="AP2704" t="s">
        <v>53</v>
      </c>
    </row>
    <row r="2705" spans="2:42" x14ac:dyDescent="0.2">
      <c r="B2705" t="s">
        <v>44</v>
      </c>
      <c r="C2705" t="str">
        <f>HYPERLINK("https://us2.cloudbeds.com/connect/8493803454333002#/reservations/6076238798981?display=4AXTWGK4V&amp;reservation_id=6076238798981", "4AXTWGK4V")</f>
        <v>4AXTWGK4V</v>
      </c>
      <c r="D2705" t="s">
        <v>45</v>
      </c>
      <c r="E2705" t="s">
        <v>165</v>
      </c>
      <c r="F2705" t="s">
        <v>61</v>
      </c>
      <c r="G2705" t="s">
        <v>48</v>
      </c>
      <c r="H2705" t="s">
        <v>49</v>
      </c>
      <c r="I2705" t="s">
        <v>50</v>
      </c>
      <c r="J2705" t="s">
        <v>3104</v>
      </c>
      <c r="K2705" t="s">
        <v>1501</v>
      </c>
      <c r="L2705" t="s">
        <v>53</v>
      </c>
      <c r="N2705" t="s">
        <v>4319</v>
      </c>
      <c r="P2705" t="s">
        <v>55</v>
      </c>
      <c r="R2705" t="s">
        <v>53</v>
      </c>
      <c r="T2705" t="s">
        <v>4320</v>
      </c>
      <c r="U2705" t="s">
        <v>58</v>
      </c>
      <c r="V2705">
        <v>2</v>
      </c>
      <c r="W2705">
        <v>1</v>
      </c>
      <c r="X2705">
        <v>2</v>
      </c>
      <c r="Y2705">
        <v>0</v>
      </c>
      <c r="Z2705">
        <v>2</v>
      </c>
      <c r="AA2705">
        <v>0</v>
      </c>
      <c r="AB2705">
        <v>323.23</v>
      </c>
      <c r="AC2705">
        <v>284.39999999999998</v>
      </c>
      <c r="AD2705">
        <v>0</v>
      </c>
      <c r="AE2705">
        <v>38.83</v>
      </c>
      <c r="AF2705">
        <v>0</v>
      </c>
      <c r="AG2705">
        <v>0</v>
      </c>
      <c r="AH2705">
        <v>0</v>
      </c>
      <c r="AI2705">
        <v>58.18</v>
      </c>
      <c r="AJ2705">
        <v>323.23</v>
      </c>
      <c r="AK2705">
        <v>0</v>
      </c>
      <c r="AL2705" t="s">
        <v>53</v>
      </c>
      <c r="AM2705" t="s">
        <v>53</v>
      </c>
      <c r="AN2705" t="s">
        <v>53</v>
      </c>
      <c r="AO2705" t="s">
        <v>53</v>
      </c>
      <c r="AP2705" t="s">
        <v>53</v>
      </c>
    </row>
    <row r="2706" spans="2:42" x14ac:dyDescent="0.2">
      <c r="B2706" t="s">
        <v>44</v>
      </c>
      <c r="C2706" t="str">
        <f>HYPERLINK("https://us2.cloudbeds.com/connect/8493803454333002#/reservations/6270093131904?display=4F34QZJS8&amp;reservation_id=6270093131904", "4F34QZJS8")</f>
        <v>4F34QZJS8</v>
      </c>
      <c r="D2706" t="s">
        <v>45</v>
      </c>
      <c r="E2706" t="s">
        <v>98</v>
      </c>
      <c r="F2706" t="s">
        <v>86</v>
      </c>
      <c r="G2706" t="s">
        <v>48</v>
      </c>
      <c r="H2706" t="s">
        <v>49</v>
      </c>
      <c r="I2706" t="s">
        <v>50</v>
      </c>
      <c r="J2706" t="s">
        <v>1515</v>
      </c>
      <c r="K2706" t="s">
        <v>2384</v>
      </c>
      <c r="L2706" t="s">
        <v>53</v>
      </c>
      <c r="N2706" t="s">
        <v>4321</v>
      </c>
      <c r="P2706" t="s">
        <v>55</v>
      </c>
      <c r="R2706" t="s">
        <v>53</v>
      </c>
      <c r="T2706" t="s">
        <v>4322</v>
      </c>
      <c r="U2706" t="s">
        <v>58</v>
      </c>
      <c r="V2706">
        <v>2</v>
      </c>
      <c r="W2706">
        <v>1</v>
      </c>
      <c r="X2706">
        <v>2</v>
      </c>
      <c r="Y2706">
        <v>0</v>
      </c>
      <c r="Z2706">
        <v>2</v>
      </c>
      <c r="AA2706">
        <v>0</v>
      </c>
      <c r="AB2706">
        <v>331.39</v>
      </c>
      <c r="AC2706">
        <v>291.60000000000002</v>
      </c>
      <c r="AD2706">
        <v>0</v>
      </c>
      <c r="AE2706">
        <v>39.79</v>
      </c>
      <c r="AF2706">
        <v>0</v>
      </c>
      <c r="AG2706">
        <v>0</v>
      </c>
      <c r="AH2706">
        <v>0</v>
      </c>
      <c r="AI2706">
        <v>59.65</v>
      </c>
      <c r="AJ2706">
        <v>331.39</v>
      </c>
      <c r="AK2706">
        <v>0</v>
      </c>
      <c r="AL2706" t="s">
        <v>53</v>
      </c>
      <c r="AM2706" t="s">
        <v>53</v>
      </c>
      <c r="AN2706" t="s">
        <v>53</v>
      </c>
      <c r="AO2706" t="s">
        <v>53</v>
      </c>
      <c r="AP2706" t="s">
        <v>53</v>
      </c>
    </row>
    <row r="2707" spans="2:42" x14ac:dyDescent="0.2">
      <c r="B2707" t="s">
        <v>44</v>
      </c>
      <c r="C2707" t="str">
        <f>HYPERLINK("https://us2.cloudbeds.com/connect/8493803454333002#/reservations/6290992345265?display=4FK6ECJWM&amp;reservation_id=6290992345265", "4FK6ECJWM")</f>
        <v>4FK6ECJWM</v>
      </c>
      <c r="D2707" t="s">
        <v>45</v>
      </c>
      <c r="E2707" t="s">
        <v>69</v>
      </c>
      <c r="F2707" t="s">
        <v>70</v>
      </c>
      <c r="G2707" t="s">
        <v>48</v>
      </c>
      <c r="H2707" t="s">
        <v>49</v>
      </c>
      <c r="I2707" t="s">
        <v>62</v>
      </c>
      <c r="J2707" t="s">
        <v>1450</v>
      </c>
      <c r="K2707" t="s">
        <v>1451</v>
      </c>
      <c r="L2707" t="s">
        <v>53</v>
      </c>
      <c r="N2707" t="s">
        <v>4323</v>
      </c>
      <c r="P2707" t="s">
        <v>55</v>
      </c>
      <c r="R2707" t="s">
        <v>56</v>
      </c>
      <c r="T2707" t="s">
        <v>4324</v>
      </c>
      <c r="U2707" t="s">
        <v>55</v>
      </c>
      <c r="V2707">
        <v>1</v>
      </c>
      <c r="W2707">
        <v>1</v>
      </c>
      <c r="X2707">
        <v>1</v>
      </c>
      <c r="Y2707">
        <v>0</v>
      </c>
      <c r="Z2707">
        <v>1</v>
      </c>
      <c r="AA2707">
        <v>0</v>
      </c>
      <c r="AB2707">
        <v>192.07</v>
      </c>
      <c r="AC2707">
        <v>169</v>
      </c>
      <c r="AD2707">
        <v>0</v>
      </c>
      <c r="AE2707">
        <v>23.07</v>
      </c>
      <c r="AF2707">
        <v>0</v>
      </c>
      <c r="AG2707">
        <v>0</v>
      </c>
      <c r="AH2707">
        <v>0</v>
      </c>
      <c r="AI2707">
        <v>28.81</v>
      </c>
      <c r="AJ2707">
        <v>192.07</v>
      </c>
      <c r="AK2707">
        <v>0</v>
      </c>
      <c r="AL2707" t="s">
        <v>53</v>
      </c>
      <c r="AM2707" t="s">
        <v>53</v>
      </c>
      <c r="AN2707" t="s">
        <v>53</v>
      </c>
      <c r="AO2707" t="s">
        <v>53</v>
      </c>
      <c r="AP2707" t="s">
        <v>53</v>
      </c>
    </row>
    <row r="2708" spans="2:42" x14ac:dyDescent="0.2">
      <c r="B2708" t="s">
        <v>44</v>
      </c>
      <c r="C2708" t="str">
        <f>HYPERLINK("https://us2.cloudbeds.com/connect/8493803454333002#/reservations/6306604777724?display=4FW9C6X8J&amp;reservation_id=6306604777724", "4FW9C6X8J")</f>
        <v>4FW9C6X8J</v>
      </c>
      <c r="D2708" t="s">
        <v>45</v>
      </c>
      <c r="E2708" t="s">
        <v>487</v>
      </c>
      <c r="F2708" t="s">
        <v>61</v>
      </c>
      <c r="G2708" t="s">
        <v>48</v>
      </c>
      <c r="H2708" t="s">
        <v>49</v>
      </c>
      <c r="I2708" t="s">
        <v>50</v>
      </c>
      <c r="J2708" t="s">
        <v>1405</v>
      </c>
      <c r="K2708" t="s">
        <v>1555</v>
      </c>
      <c r="L2708" t="s">
        <v>53</v>
      </c>
      <c r="N2708" t="s">
        <v>4325</v>
      </c>
      <c r="P2708" t="s">
        <v>55</v>
      </c>
      <c r="R2708" t="s">
        <v>53</v>
      </c>
      <c r="T2708" t="s">
        <v>4326</v>
      </c>
      <c r="U2708" t="s">
        <v>58</v>
      </c>
      <c r="V2708">
        <v>2</v>
      </c>
      <c r="W2708">
        <v>1</v>
      </c>
      <c r="X2708">
        <v>1</v>
      </c>
      <c r="Y2708">
        <v>0</v>
      </c>
      <c r="Z2708">
        <v>1</v>
      </c>
      <c r="AA2708">
        <v>0</v>
      </c>
      <c r="AB2708">
        <v>346.64</v>
      </c>
      <c r="AC2708">
        <v>305</v>
      </c>
      <c r="AD2708">
        <v>0</v>
      </c>
      <c r="AE2708">
        <v>41.64</v>
      </c>
      <c r="AF2708">
        <v>0</v>
      </c>
      <c r="AG2708">
        <v>0</v>
      </c>
      <c r="AH2708">
        <v>0</v>
      </c>
      <c r="AI2708">
        <v>62.4</v>
      </c>
      <c r="AJ2708">
        <v>346.64</v>
      </c>
      <c r="AK2708">
        <v>0</v>
      </c>
      <c r="AL2708" t="s">
        <v>53</v>
      </c>
      <c r="AM2708" t="s">
        <v>53</v>
      </c>
      <c r="AN2708" t="s">
        <v>53</v>
      </c>
      <c r="AO2708" t="s">
        <v>53</v>
      </c>
      <c r="AP2708" t="s">
        <v>53</v>
      </c>
    </row>
    <row r="2709" spans="2:42" x14ac:dyDescent="0.2">
      <c r="B2709" t="s">
        <v>44</v>
      </c>
      <c r="C2709" t="str">
        <f>HYPERLINK("https://us2.cloudbeds.com/connect/8493803454333002#/reservations/6322318483675?display=4GBETDJA6&amp;reservation_id=6322318483675", "4GBETDJA6")</f>
        <v>4GBETDJA6</v>
      </c>
      <c r="D2709" t="s">
        <v>45</v>
      </c>
      <c r="E2709" t="s">
        <v>179</v>
      </c>
      <c r="F2709" t="s">
        <v>47</v>
      </c>
      <c r="G2709" t="s">
        <v>3974</v>
      </c>
      <c r="H2709" t="s">
        <v>3957</v>
      </c>
      <c r="I2709" t="s">
        <v>3975</v>
      </c>
      <c r="J2709" t="s">
        <v>2058</v>
      </c>
      <c r="K2709" t="s">
        <v>2545</v>
      </c>
      <c r="L2709" t="s">
        <v>53</v>
      </c>
      <c r="P2709" t="s">
        <v>55</v>
      </c>
      <c r="R2709" t="s">
        <v>56</v>
      </c>
      <c r="T2709" t="s">
        <v>4327</v>
      </c>
      <c r="U2709" t="s">
        <v>58</v>
      </c>
      <c r="V2709">
        <v>2</v>
      </c>
      <c r="W2709">
        <v>1</v>
      </c>
      <c r="X2709">
        <v>1</v>
      </c>
      <c r="Y2709">
        <v>0</v>
      </c>
      <c r="Z2709">
        <v>1</v>
      </c>
      <c r="AA2709">
        <v>0</v>
      </c>
      <c r="AB2709">
        <v>345.72</v>
      </c>
      <c r="AC2709">
        <v>304.2</v>
      </c>
      <c r="AD2709">
        <v>0</v>
      </c>
      <c r="AE2709">
        <v>41.52</v>
      </c>
      <c r="AF2709">
        <v>0</v>
      </c>
      <c r="AG2709">
        <v>0</v>
      </c>
      <c r="AH2709">
        <v>0</v>
      </c>
      <c r="AI2709">
        <v>0</v>
      </c>
      <c r="AJ2709">
        <v>345.72</v>
      </c>
      <c r="AK2709">
        <v>0</v>
      </c>
      <c r="AL2709" t="s">
        <v>53</v>
      </c>
      <c r="AM2709" t="s">
        <v>53</v>
      </c>
      <c r="AN2709" t="s">
        <v>53</v>
      </c>
      <c r="AO2709" t="s">
        <v>53</v>
      </c>
      <c r="AP2709" t="s">
        <v>53</v>
      </c>
    </row>
    <row r="2710" spans="2:42" x14ac:dyDescent="0.2">
      <c r="B2710" t="s">
        <v>44</v>
      </c>
      <c r="C2710" t="str">
        <f>HYPERLINK("https://us2.cloudbeds.com/connect/8493803454333002#/reservations/6378537791648?display=4HYWE0N6A&amp;reservation_id=6378537791648", "4HYWE0N6A")</f>
        <v>4HYWE0N6A</v>
      </c>
      <c r="D2710" t="s">
        <v>45</v>
      </c>
      <c r="E2710" t="s">
        <v>165</v>
      </c>
      <c r="F2710" t="s">
        <v>61</v>
      </c>
      <c r="G2710" t="s">
        <v>3974</v>
      </c>
      <c r="H2710" t="s">
        <v>3957</v>
      </c>
      <c r="I2710" t="s">
        <v>3975</v>
      </c>
      <c r="J2710" t="s">
        <v>1501</v>
      </c>
      <c r="K2710" t="s">
        <v>1611</v>
      </c>
      <c r="L2710" t="s">
        <v>53</v>
      </c>
      <c r="P2710" t="s">
        <v>55</v>
      </c>
      <c r="R2710" t="s">
        <v>56</v>
      </c>
      <c r="T2710" t="s">
        <v>4328</v>
      </c>
      <c r="U2710" t="s">
        <v>58</v>
      </c>
      <c r="V2710">
        <v>1</v>
      </c>
      <c r="W2710">
        <v>1</v>
      </c>
      <c r="X2710">
        <v>2</v>
      </c>
      <c r="Y2710">
        <v>0</v>
      </c>
      <c r="Z2710">
        <v>2</v>
      </c>
      <c r="AA2710">
        <v>0</v>
      </c>
      <c r="AB2710">
        <v>160.6</v>
      </c>
      <c r="AC2710">
        <v>141.30000000000001</v>
      </c>
      <c r="AD2710">
        <v>0</v>
      </c>
      <c r="AE2710">
        <v>19.3</v>
      </c>
      <c r="AF2710">
        <v>0</v>
      </c>
      <c r="AG2710">
        <v>0</v>
      </c>
      <c r="AH2710">
        <v>0</v>
      </c>
      <c r="AI2710">
        <v>0</v>
      </c>
      <c r="AJ2710">
        <v>160.6</v>
      </c>
      <c r="AK2710">
        <v>0</v>
      </c>
      <c r="AL2710" t="s">
        <v>53</v>
      </c>
      <c r="AM2710" t="s">
        <v>53</v>
      </c>
      <c r="AN2710" t="s">
        <v>53</v>
      </c>
      <c r="AO2710" t="s">
        <v>53</v>
      </c>
      <c r="AP2710" t="s">
        <v>53</v>
      </c>
    </row>
    <row r="2711" spans="2:42" x14ac:dyDescent="0.2">
      <c r="B2711" t="s">
        <v>44</v>
      </c>
      <c r="C2711" t="str">
        <f>HYPERLINK("https://us2.cloudbeds.com/connect/8493803454333002#/reservations/6384338956470?display=4HQFYNYVN&amp;reservation_id=6384338956470", "4HQFYNYVN")</f>
        <v>4HQFYNYVN</v>
      </c>
      <c r="D2711" t="s">
        <v>45</v>
      </c>
      <c r="E2711" t="s">
        <v>165</v>
      </c>
      <c r="F2711" t="s">
        <v>61</v>
      </c>
      <c r="G2711" t="s">
        <v>48</v>
      </c>
      <c r="H2711" t="s">
        <v>49</v>
      </c>
      <c r="I2711" t="s">
        <v>50</v>
      </c>
      <c r="J2711" t="s">
        <v>2058</v>
      </c>
      <c r="K2711" t="s">
        <v>2494</v>
      </c>
      <c r="L2711" t="s">
        <v>53</v>
      </c>
      <c r="N2711" t="s">
        <v>4329</v>
      </c>
      <c r="P2711" t="s">
        <v>55</v>
      </c>
      <c r="R2711" t="s">
        <v>53</v>
      </c>
      <c r="T2711" t="s">
        <v>4330</v>
      </c>
      <c r="U2711" t="s">
        <v>58</v>
      </c>
      <c r="V2711">
        <v>1</v>
      </c>
      <c r="W2711">
        <v>1</v>
      </c>
      <c r="X2711">
        <v>2</v>
      </c>
      <c r="Y2711">
        <v>0</v>
      </c>
      <c r="Z2711">
        <v>2</v>
      </c>
      <c r="AA2711">
        <v>0</v>
      </c>
      <c r="AB2711">
        <v>196.62</v>
      </c>
      <c r="AC2711">
        <v>173</v>
      </c>
      <c r="AD2711">
        <v>0</v>
      </c>
      <c r="AE2711">
        <v>23.62</v>
      </c>
      <c r="AF2711">
        <v>0</v>
      </c>
      <c r="AG2711">
        <v>0</v>
      </c>
      <c r="AH2711">
        <v>0</v>
      </c>
      <c r="AI2711">
        <v>35.39</v>
      </c>
      <c r="AJ2711">
        <v>196.62</v>
      </c>
      <c r="AK2711">
        <v>0</v>
      </c>
      <c r="AL2711" t="s">
        <v>53</v>
      </c>
      <c r="AM2711" t="s">
        <v>53</v>
      </c>
      <c r="AN2711" t="s">
        <v>53</v>
      </c>
      <c r="AO2711" t="s">
        <v>53</v>
      </c>
      <c r="AP2711" t="s">
        <v>53</v>
      </c>
    </row>
    <row r="2712" spans="2:42" x14ac:dyDescent="0.2">
      <c r="B2712" t="s">
        <v>44</v>
      </c>
      <c r="C2712" t="str">
        <f>HYPERLINK("https://us2.cloudbeds.com/connect/8493803454333002#/reservations/6388060721358?display=4HTBP08XT&amp;reservation_id=6388060721358", "4HTBP08XT")</f>
        <v>4HTBP08XT</v>
      </c>
      <c r="D2712" t="s">
        <v>45</v>
      </c>
      <c r="E2712" t="s">
        <v>165</v>
      </c>
      <c r="F2712" t="s">
        <v>61</v>
      </c>
      <c r="G2712" t="s">
        <v>48</v>
      </c>
      <c r="H2712" t="s">
        <v>49</v>
      </c>
      <c r="I2712" t="s">
        <v>50</v>
      </c>
      <c r="J2712" t="s">
        <v>1515</v>
      </c>
      <c r="K2712" t="s">
        <v>2384</v>
      </c>
      <c r="L2712" t="s">
        <v>53</v>
      </c>
      <c r="N2712" t="s">
        <v>4331</v>
      </c>
      <c r="P2712" t="s">
        <v>58</v>
      </c>
      <c r="R2712" t="s">
        <v>56</v>
      </c>
      <c r="T2712" t="s">
        <v>4332</v>
      </c>
      <c r="U2712" t="s">
        <v>58</v>
      </c>
      <c r="V2712">
        <v>2</v>
      </c>
      <c r="W2712">
        <v>1</v>
      </c>
      <c r="X2712">
        <v>2</v>
      </c>
      <c r="Y2712">
        <v>0</v>
      </c>
      <c r="Z2712">
        <v>2</v>
      </c>
      <c r="AA2712">
        <v>0</v>
      </c>
      <c r="AB2712">
        <v>314.02</v>
      </c>
      <c r="AC2712">
        <v>276.3</v>
      </c>
      <c r="AD2712">
        <v>0</v>
      </c>
      <c r="AE2712">
        <v>37.72</v>
      </c>
      <c r="AF2712">
        <v>0</v>
      </c>
      <c r="AG2712">
        <v>0</v>
      </c>
      <c r="AH2712">
        <v>0</v>
      </c>
      <c r="AI2712">
        <v>56.52</v>
      </c>
      <c r="AJ2712">
        <v>314.02</v>
      </c>
      <c r="AK2712">
        <v>0</v>
      </c>
      <c r="AL2712" t="s">
        <v>53</v>
      </c>
      <c r="AM2712" t="s">
        <v>53</v>
      </c>
      <c r="AN2712" t="s">
        <v>53</v>
      </c>
      <c r="AO2712" t="s">
        <v>53</v>
      </c>
      <c r="AP2712" t="s">
        <v>53</v>
      </c>
    </row>
    <row r="2713" spans="2:42" x14ac:dyDescent="0.2">
      <c r="B2713" t="s">
        <v>44</v>
      </c>
      <c r="C2713" t="str">
        <f>HYPERLINK("https://us2.cloudbeds.com/connect/8493803454333002#/reservations/6406692810886?display=4XAPS2KBF&amp;reservation_id=6406692810886", "4XAPS2KBF")</f>
        <v>4XAPS2KBF</v>
      </c>
      <c r="D2713" t="s">
        <v>45</v>
      </c>
      <c r="E2713" t="s">
        <v>223</v>
      </c>
      <c r="F2713" t="s">
        <v>47</v>
      </c>
      <c r="G2713" t="s">
        <v>48</v>
      </c>
      <c r="H2713" t="s">
        <v>3957</v>
      </c>
      <c r="I2713" t="s">
        <v>3958</v>
      </c>
      <c r="J2713" t="s">
        <v>1450</v>
      </c>
      <c r="K2713" t="s">
        <v>1451</v>
      </c>
      <c r="L2713" t="s">
        <v>53</v>
      </c>
      <c r="P2713" t="s">
        <v>55</v>
      </c>
      <c r="R2713" t="s">
        <v>56</v>
      </c>
      <c r="T2713" t="s">
        <v>4333</v>
      </c>
      <c r="U2713" t="s">
        <v>58</v>
      </c>
      <c r="V2713">
        <v>1</v>
      </c>
      <c r="W2713">
        <v>1</v>
      </c>
      <c r="X2713">
        <v>1</v>
      </c>
      <c r="Y2713">
        <v>0</v>
      </c>
      <c r="Z2713">
        <v>1</v>
      </c>
      <c r="AA2713">
        <v>0</v>
      </c>
      <c r="AB2713">
        <v>182.98</v>
      </c>
      <c r="AC2713">
        <v>161</v>
      </c>
      <c r="AD2713">
        <v>0</v>
      </c>
      <c r="AE2713">
        <v>21.98</v>
      </c>
      <c r="AF2713">
        <v>0</v>
      </c>
      <c r="AG2713">
        <v>0</v>
      </c>
      <c r="AH2713">
        <v>0</v>
      </c>
      <c r="AI2713">
        <v>0</v>
      </c>
      <c r="AJ2713">
        <v>182.98</v>
      </c>
      <c r="AK2713">
        <v>0</v>
      </c>
      <c r="AL2713" t="s">
        <v>53</v>
      </c>
      <c r="AM2713" t="s">
        <v>53</v>
      </c>
      <c r="AN2713" t="s">
        <v>53</v>
      </c>
      <c r="AO2713" t="s">
        <v>53</v>
      </c>
      <c r="AP2713" t="s">
        <v>53</v>
      </c>
    </row>
    <row r="2714" spans="2:42" x14ac:dyDescent="0.2">
      <c r="B2714" t="s">
        <v>44</v>
      </c>
      <c r="C2714" t="str">
        <f>HYPERLINK("https://us2.cloudbeds.com/connect/8493803454333002#/reservations/6586719920262?display=4MX5VNAC8&amp;reservation_id=6586719920262", "4MX5VNAC8")</f>
        <v>4MX5VNAC8</v>
      </c>
      <c r="D2714" t="s">
        <v>45</v>
      </c>
      <c r="E2714" t="s">
        <v>165</v>
      </c>
      <c r="F2714" t="s">
        <v>61</v>
      </c>
      <c r="G2714" t="s">
        <v>48</v>
      </c>
      <c r="H2714" t="s">
        <v>49</v>
      </c>
      <c r="I2714" t="s">
        <v>50</v>
      </c>
      <c r="J2714" t="s">
        <v>2643</v>
      </c>
      <c r="K2714" t="s">
        <v>1862</v>
      </c>
      <c r="L2714" t="s">
        <v>53</v>
      </c>
      <c r="N2714" t="s">
        <v>4334</v>
      </c>
      <c r="P2714" t="s">
        <v>55</v>
      </c>
      <c r="R2714" t="s">
        <v>53</v>
      </c>
      <c r="T2714" t="s">
        <v>4335</v>
      </c>
      <c r="U2714" t="s">
        <v>58</v>
      </c>
      <c r="V2714">
        <v>1</v>
      </c>
      <c r="W2714">
        <v>1</v>
      </c>
      <c r="X2714">
        <v>2</v>
      </c>
      <c r="Y2714">
        <v>0</v>
      </c>
      <c r="Z2714">
        <v>2</v>
      </c>
      <c r="AA2714">
        <v>0</v>
      </c>
      <c r="AB2714">
        <v>196.39</v>
      </c>
      <c r="AC2714">
        <v>172.8</v>
      </c>
      <c r="AD2714">
        <v>0</v>
      </c>
      <c r="AE2714">
        <v>23.59</v>
      </c>
      <c r="AF2714">
        <v>0</v>
      </c>
      <c r="AG2714">
        <v>0</v>
      </c>
      <c r="AH2714">
        <v>0</v>
      </c>
      <c r="AI2714">
        <v>35.35</v>
      </c>
      <c r="AJ2714">
        <v>196.39</v>
      </c>
      <c r="AK2714">
        <v>0</v>
      </c>
      <c r="AL2714" t="s">
        <v>53</v>
      </c>
      <c r="AM2714" t="s">
        <v>53</v>
      </c>
      <c r="AN2714" t="s">
        <v>53</v>
      </c>
      <c r="AO2714" t="s">
        <v>53</v>
      </c>
      <c r="AP2714" t="s">
        <v>53</v>
      </c>
    </row>
    <row r="2715" spans="2:42" x14ac:dyDescent="0.2">
      <c r="B2715" t="s">
        <v>44</v>
      </c>
      <c r="C2715" t="str">
        <f>HYPERLINK("https://us2.cloudbeds.com/connect/8493803454333002#/reservations/6612427509898?display=4N52S0TE0&amp;reservation_id=6612427509898", "4N52S0TE0")</f>
        <v>4N52S0TE0</v>
      </c>
      <c r="D2715" t="s">
        <v>45</v>
      </c>
      <c r="E2715" t="s">
        <v>213</v>
      </c>
      <c r="F2715" t="s">
        <v>86</v>
      </c>
      <c r="G2715" t="s">
        <v>48</v>
      </c>
      <c r="H2715" t="s">
        <v>49</v>
      </c>
      <c r="I2715" t="s">
        <v>50</v>
      </c>
      <c r="J2715" t="s">
        <v>1451</v>
      </c>
      <c r="K2715" t="s">
        <v>1515</v>
      </c>
      <c r="L2715" t="s">
        <v>53</v>
      </c>
      <c r="N2715" t="s">
        <v>4336</v>
      </c>
      <c r="P2715" t="s">
        <v>55</v>
      </c>
      <c r="R2715" t="s">
        <v>53</v>
      </c>
      <c r="T2715" t="s">
        <v>4337</v>
      </c>
      <c r="U2715" t="s">
        <v>58</v>
      </c>
      <c r="V2715">
        <v>1</v>
      </c>
      <c r="W2715">
        <v>1</v>
      </c>
      <c r="X2715">
        <v>2</v>
      </c>
      <c r="Y2715">
        <v>0</v>
      </c>
      <c r="Z2715">
        <v>2</v>
      </c>
      <c r="AA2715">
        <v>0</v>
      </c>
      <c r="AB2715">
        <v>157.52000000000001</v>
      </c>
      <c r="AC2715">
        <v>138.6</v>
      </c>
      <c r="AD2715">
        <v>0</v>
      </c>
      <c r="AE2715">
        <v>18.920000000000002</v>
      </c>
      <c r="AF2715">
        <v>0</v>
      </c>
      <c r="AG2715">
        <v>0</v>
      </c>
      <c r="AH2715">
        <v>0</v>
      </c>
      <c r="AI2715">
        <v>28.35</v>
      </c>
      <c r="AJ2715">
        <v>157.52000000000001</v>
      </c>
      <c r="AK2715">
        <v>0</v>
      </c>
      <c r="AL2715" t="s">
        <v>53</v>
      </c>
      <c r="AM2715" t="s">
        <v>53</v>
      </c>
      <c r="AN2715" t="s">
        <v>53</v>
      </c>
      <c r="AO2715" t="s">
        <v>53</v>
      </c>
      <c r="AP2715" t="s">
        <v>53</v>
      </c>
    </row>
    <row r="2716" spans="2:42" x14ac:dyDescent="0.2">
      <c r="B2716" t="s">
        <v>44</v>
      </c>
      <c r="C2716" t="str">
        <f>HYPERLINK("https://us2.cloudbeds.com/connect/8493803454333002#/reservations/6616249348254?display=4N81GN5SH&amp;reservation_id=6616249348254", "4N81GN5SH")</f>
        <v>4N81GN5SH</v>
      </c>
      <c r="D2716" t="s">
        <v>45</v>
      </c>
      <c r="E2716" t="s">
        <v>46</v>
      </c>
      <c r="F2716" t="s">
        <v>47</v>
      </c>
      <c r="G2716" t="s">
        <v>48</v>
      </c>
      <c r="H2716" t="s">
        <v>49</v>
      </c>
      <c r="I2716" t="s">
        <v>50</v>
      </c>
      <c r="J2716" t="s">
        <v>1610</v>
      </c>
      <c r="K2716" t="s">
        <v>1611</v>
      </c>
      <c r="L2716" t="s">
        <v>53</v>
      </c>
      <c r="N2716" t="s">
        <v>4338</v>
      </c>
      <c r="P2716" t="s">
        <v>55</v>
      </c>
      <c r="R2716" t="s">
        <v>53</v>
      </c>
      <c r="T2716" t="s">
        <v>4339</v>
      </c>
      <c r="U2716" t="s">
        <v>58</v>
      </c>
      <c r="V2716">
        <v>2</v>
      </c>
      <c r="W2716">
        <v>1</v>
      </c>
      <c r="X2716">
        <v>2</v>
      </c>
      <c r="Y2716">
        <v>0</v>
      </c>
      <c r="Z2716">
        <v>2</v>
      </c>
      <c r="AA2716">
        <v>0</v>
      </c>
      <c r="AB2716">
        <v>322.19</v>
      </c>
      <c r="AC2716">
        <v>283.5</v>
      </c>
      <c r="AD2716">
        <v>0</v>
      </c>
      <c r="AE2716">
        <v>38.69</v>
      </c>
      <c r="AF2716">
        <v>0</v>
      </c>
      <c r="AG2716">
        <v>0</v>
      </c>
      <c r="AH2716">
        <v>0</v>
      </c>
      <c r="AI2716">
        <v>57.99</v>
      </c>
      <c r="AJ2716">
        <v>322.19</v>
      </c>
      <c r="AK2716">
        <v>0</v>
      </c>
      <c r="AL2716" t="s">
        <v>53</v>
      </c>
      <c r="AM2716" t="s">
        <v>53</v>
      </c>
      <c r="AN2716" t="s">
        <v>53</v>
      </c>
      <c r="AO2716" t="s">
        <v>53</v>
      </c>
      <c r="AP2716" t="s">
        <v>53</v>
      </c>
    </row>
    <row r="2717" spans="2:42" x14ac:dyDescent="0.2">
      <c r="B2717" t="s">
        <v>44</v>
      </c>
      <c r="C2717" t="str">
        <f>HYPERLINK("https://us2.cloudbeds.com/connect/8493803454333002#/reservations/6616495812771?display=4N87QHDZ8&amp;reservation_id=6616495812771", "4N87QHDZ8")</f>
        <v>4N87QHDZ8</v>
      </c>
      <c r="D2717" t="s">
        <v>45</v>
      </c>
      <c r="E2717" t="s">
        <v>381</v>
      </c>
      <c r="F2717" t="s">
        <v>47</v>
      </c>
      <c r="G2717" t="s">
        <v>48</v>
      </c>
      <c r="H2717" t="s">
        <v>3957</v>
      </c>
      <c r="I2717" t="s">
        <v>3989</v>
      </c>
      <c r="J2717" t="s">
        <v>1451</v>
      </c>
      <c r="K2717" t="s">
        <v>1515</v>
      </c>
      <c r="L2717" t="s">
        <v>53</v>
      </c>
      <c r="P2717" t="s">
        <v>55</v>
      </c>
      <c r="R2717" t="s">
        <v>56</v>
      </c>
      <c r="T2717" t="s">
        <v>4340</v>
      </c>
      <c r="U2717" t="s">
        <v>58</v>
      </c>
      <c r="V2717">
        <v>1</v>
      </c>
      <c r="W2717">
        <v>1</v>
      </c>
      <c r="X2717">
        <v>1</v>
      </c>
      <c r="Y2717">
        <v>0</v>
      </c>
      <c r="Z2717">
        <v>1</v>
      </c>
      <c r="AA2717">
        <v>0</v>
      </c>
      <c r="AB2717">
        <v>153.44</v>
      </c>
      <c r="AC2717">
        <v>135</v>
      </c>
      <c r="AD2717">
        <v>0</v>
      </c>
      <c r="AE2717">
        <v>18.440000000000001</v>
      </c>
      <c r="AF2717">
        <v>0</v>
      </c>
      <c r="AG2717">
        <v>0</v>
      </c>
      <c r="AH2717">
        <v>0</v>
      </c>
      <c r="AI2717">
        <v>0</v>
      </c>
      <c r="AJ2717">
        <v>153.44</v>
      </c>
      <c r="AK2717">
        <v>0</v>
      </c>
      <c r="AL2717" t="s">
        <v>53</v>
      </c>
      <c r="AM2717" t="s">
        <v>53</v>
      </c>
      <c r="AN2717" t="s">
        <v>53</v>
      </c>
      <c r="AO2717" t="s">
        <v>53</v>
      </c>
      <c r="AP2717" t="s">
        <v>53</v>
      </c>
    </row>
    <row r="2718" spans="2:42" x14ac:dyDescent="0.2">
      <c r="B2718" t="s">
        <v>44</v>
      </c>
      <c r="C2718" t="str">
        <f>HYPERLINK("https://us2.cloudbeds.com/connect/8493803454333002#/reservations/6623519105201?display=4NDM8ZT2J&amp;reservation_id=6623519105201", "4NDM8ZT2J")</f>
        <v>4NDM8ZT2J</v>
      </c>
      <c r="D2718" t="s">
        <v>45</v>
      </c>
      <c r="E2718" t="s">
        <v>165</v>
      </c>
      <c r="F2718" t="s">
        <v>61</v>
      </c>
      <c r="G2718" t="s">
        <v>48</v>
      </c>
      <c r="H2718" t="s">
        <v>49</v>
      </c>
      <c r="I2718" t="s">
        <v>50</v>
      </c>
      <c r="J2718" t="s">
        <v>1556</v>
      </c>
      <c r="K2718" t="s">
        <v>2315</v>
      </c>
      <c r="L2718" t="s">
        <v>53</v>
      </c>
      <c r="N2718" t="s">
        <v>4341</v>
      </c>
      <c r="P2718" t="s">
        <v>55</v>
      </c>
      <c r="R2718" t="s">
        <v>53</v>
      </c>
      <c r="T2718" t="s">
        <v>4342</v>
      </c>
      <c r="U2718" t="s">
        <v>58</v>
      </c>
      <c r="V2718">
        <v>2</v>
      </c>
      <c r="W2718">
        <v>1</v>
      </c>
      <c r="X2718">
        <v>2</v>
      </c>
      <c r="Y2718">
        <v>0</v>
      </c>
      <c r="Z2718">
        <v>2</v>
      </c>
      <c r="AA2718">
        <v>0</v>
      </c>
      <c r="AB2718">
        <v>375.05</v>
      </c>
      <c r="AC2718">
        <v>330</v>
      </c>
      <c r="AD2718">
        <v>0</v>
      </c>
      <c r="AE2718">
        <v>45.05</v>
      </c>
      <c r="AF2718">
        <v>0</v>
      </c>
      <c r="AG2718">
        <v>0</v>
      </c>
      <c r="AH2718">
        <v>0</v>
      </c>
      <c r="AI2718">
        <v>67.510000000000005</v>
      </c>
      <c r="AJ2718">
        <v>375.05</v>
      </c>
      <c r="AK2718">
        <v>0</v>
      </c>
      <c r="AL2718" t="s">
        <v>53</v>
      </c>
      <c r="AM2718" t="s">
        <v>53</v>
      </c>
      <c r="AN2718" t="s">
        <v>53</v>
      </c>
      <c r="AO2718" t="s">
        <v>53</v>
      </c>
      <c r="AP2718" t="s">
        <v>53</v>
      </c>
    </row>
    <row r="2719" spans="2:42" x14ac:dyDescent="0.2">
      <c r="B2719" t="s">
        <v>44</v>
      </c>
      <c r="C2719" t="str">
        <f>HYPERLINK("https://us2.cloudbeds.com/connect/8493803454333002#/reservations/6636627415170?display=4NNR70UYQ&amp;reservation_id=6636627415170", "4NNR70UYQ")</f>
        <v>4NNR70UYQ</v>
      </c>
      <c r="D2719" t="s">
        <v>45</v>
      </c>
      <c r="E2719" t="s">
        <v>406</v>
      </c>
      <c r="F2719" t="s">
        <v>61</v>
      </c>
      <c r="G2719" t="s">
        <v>48</v>
      </c>
      <c r="H2719" t="s">
        <v>3957</v>
      </c>
      <c r="I2719" t="s">
        <v>3989</v>
      </c>
      <c r="J2719" t="s">
        <v>1862</v>
      </c>
      <c r="K2719" t="s">
        <v>1863</v>
      </c>
      <c r="L2719" t="s">
        <v>53</v>
      </c>
      <c r="P2719" t="s">
        <v>58</v>
      </c>
      <c r="R2719" t="s">
        <v>56</v>
      </c>
      <c r="T2719" t="s">
        <v>4343</v>
      </c>
      <c r="U2719" t="s">
        <v>58</v>
      </c>
      <c r="V2719">
        <v>2</v>
      </c>
      <c r="W2719">
        <v>1</v>
      </c>
      <c r="X2719">
        <v>1</v>
      </c>
      <c r="Y2719">
        <v>0</v>
      </c>
      <c r="Z2719">
        <v>1</v>
      </c>
      <c r="AA2719">
        <v>0</v>
      </c>
      <c r="AB2719">
        <v>343.23</v>
      </c>
      <c r="AC2719">
        <v>302</v>
      </c>
      <c r="AD2719">
        <v>0</v>
      </c>
      <c r="AE2719">
        <v>41.23</v>
      </c>
      <c r="AF2719">
        <v>0</v>
      </c>
      <c r="AG2719">
        <v>0</v>
      </c>
      <c r="AH2719">
        <v>0</v>
      </c>
      <c r="AI2719">
        <v>0</v>
      </c>
      <c r="AJ2719">
        <v>343.23</v>
      </c>
      <c r="AK2719">
        <v>0</v>
      </c>
      <c r="AL2719" t="s">
        <v>53</v>
      </c>
      <c r="AM2719" t="s">
        <v>53</v>
      </c>
      <c r="AN2719" t="s">
        <v>53</v>
      </c>
      <c r="AO2719" t="s">
        <v>53</v>
      </c>
      <c r="AP2719" t="s">
        <v>53</v>
      </c>
    </row>
    <row r="2720" spans="2:42" x14ac:dyDescent="0.2">
      <c r="B2720" t="s">
        <v>44</v>
      </c>
      <c r="C2720" t="str">
        <f>HYPERLINK("https://us2.cloudbeds.com/connect/8493803454333002#/reservations/6665510695107?display=4ZD685PDW&amp;reservation_id=6665510695107", "4ZD685PDW")</f>
        <v>4ZD685PDW</v>
      </c>
      <c r="D2720" t="s">
        <v>45</v>
      </c>
      <c r="E2720" t="s">
        <v>85</v>
      </c>
      <c r="F2720" t="s">
        <v>86</v>
      </c>
      <c r="G2720" t="s">
        <v>48</v>
      </c>
      <c r="H2720" t="s">
        <v>49</v>
      </c>
      <c r="I2720" t="s">
        <v>62</v>
      </c>
      <c r="J2720" t="s">
        <v>1767</v>
      </c>
      <c r="K2720" t="s">
        <v>1664</v>
      </c>
      <c r="L2720" t="s">
        <v>53</v>
      </c>
      <c r="N2720" t="s">
        <v>4344</v>
      </c>
      <c r="P2720" t="s">
        <v>55</v>
      </c>
      <c r="R2720" t="s">
        <v>56</v>
      </c>
      <c r="T2720" t="s">
        <v>4345</v>
      </c>
      <c r="U2720" t="s">
        <v>55</v>
      </c>
      <c r="V2720">
        <v>2</v>
      </c>
      <c r="W2720">
        <v>1</v>
      </c>
      <c r="X2720">
        <v>4</v>
      </c>
      <c r="Y2720">
        <v>0</v>
      </c>
      <c r="Z2720">
        <v>4</v>
      </c>
      <c r="AA2720">
        <v>0</v>
      </c>
      <c r="AB2720">
        <v>409.14</v>
      </c>
      <c r="AC2720">
        <v>360</v>
      </c>
      <c r="AD2720">
        <v>0</v>
      </c>
      <c r="AE2720">
        <v>49.14</v>
      </c>
      <c r="AF2720">
        <v>0</v>
      </c>
      <c r="AG2720">
        <v>0</v>
      </c>
      <c r="AH2720">
        <v>0</v>
      </c>
      <c r="AI2720">
        <v>61.37</v>
      </c>
      <c r="AJ2720">
        <v>409.14</v>
      </c>
      <c r="AK2720">
        <v>0</v>
      </c>
      <c r="AL2720" t="s">
        <v>53</v>
      </c>
      <c r="AM2720" t="s">
        <v>53</v>
      </c>
      <c r="AN2720" t="s">
        <v>53</v>
      </c>
      <c r="AO2720" t="s">
        <v>53</v>
      </c>
      <c r="AP2720" t="s">
        <v>53</v>
      </c>
    </row>
    <row r="2721" spans="2:42" x14ac:dyDescent="0.2">
      <c r="B2721" t="s">
        <v>44</v>
      </c>
      <c r="C2721" t="str">
        <f>HYPERLINK("https://us2.cloudbeds.com/connect/8493803454333002#/reservations/6666440626318?display=4ZDU0AFZY&amp;reservation_id=6666440626318", "4ZDU0AFZY")</f>
        <v>4ZDU0AFZY</v>
      </c>
      <c r="D2721" t="s">
        <v>45</v>
      </c>
      <c r="E2721" t="s">
        <v>69</v>
      </c>
      <c r="F2721" t="s">
        <v>70</v>
      </c>
      <c r="G2721" t="s">
        <v>48</v>
      </c>
      <c r="H2721" t="s">
        <v>3957</v>
      </c>
      <c r="I2721" t="s">
        <v>3975</v>
      </c>
      <c r="J2721" t="s">
        <v>1515</v>
      </c>
      <c r="K2721" t="s">
        <v>2162</v>
      </c>
      <c r="L2721" t="s">
        <v>53</v>
      </c>
      <c r="P2721" t="s">
        <v>55</v>
      </c>
      <c r="R2721" t="s">
        <v>56</v>
      </c>
      <c r="T2721" t="s">
        <v>4346</v>
      </c>
      <c r="U2721" t="s">
        <v>58</v>
      </c>
      <c r="V2721">
        <v>1</v>
      </c>
      <c r="W2721">
        <v>1</v>
      </c>
      <c r="X2721">
        <v>2</v>
      </c>
      <c r="Y2721">
        <v>0</v>
      </c>
      <c r="Z2721">
        <v>2</v>
      </c>
      <c r="AA2721">
        <v>0</v>
      </c>
      <c r="AB2721">
        <v>153.44</v>
      </c>
      <c r="AC2721">
        <v>135</v>
      </c>
      <c r="AD2721">
        <v>0</v>
      </c>
      <c r="AE2721">
        <v>18.440000000000001</v>
      </c>
      <c r="AF2721">
        <v>0</v>
      </c>
      <c r="AG2721">
        <v>0</v>
      </c>
      <c r="AH2721">
        <v>0</v>
      </c>
      <c r="AI2721">
        <v>0</v>
      </c>
      <c r="AJ2721">
        <v>153.44</v>
      </c>
      <c r="AK2721">
        <v>0</v>
      </c>
      <c r="AL2721" t="s">
        <v>53</v>
      </c>
      <c r="AM2721" t="s">
        <v>53</v>
      </c>
      <c r="AN2721" t="s">
        <v>53</v>
      </c>
      <c r="AO2721" t="s">
        <v>53</v>
      </c>
      <c r="AP2721" t="s">
        <v>53</v>
      </c>
    </row>
    <row r="2722" spans="2:42" x14ac:dyDescent="0.2">
      <c r="B2722" t="s">
        <v>44</v>
      </c>
      <c r="C2722" t="str">
        <f>HYPERLINK("https://us2.cloudbeds.com/connect/8493803454333002#/reservations/6670632489110?display=4ZH5407SS&amp;reservation_id=6670632489110", "4ZH5407SS")</f>
        <v>4ZH5407SS</v>
      </c>
      <c r="D2722" t="s">
        <v>45</v>
      </c>
      <c r="E2722" t="s">
        <v>190</v>
      </c>
      <c r="F2722" t="s">
        <v>61</v>
      </c>
      <c r="G2722" t="s">
        <v>3974</v>
      </c>
      <c r="H2722" t="s">
        <v>3957</v>
      </c>
      <c r="I2722" t="s">
        <v>3975</v>
      </c>
      <c r="J2722" t="s">
        <v>1858</v>
      </c>
      <c r="K2722" t="s">
        <v>1610</v>
      </c>
      <c r="L2722" t="s">
        <v>53</v>
      </c>
      <c r="P2722" t="s">
        <v>55</v>
      </c>
      <c r="R2722" t="s">
        <v>56</v>
      </c>
      <c r="T2722" t="s">
        <v>4347</v>
      </c>
      <c r="U2722" t="s">
        <v>58</v>
      </c>
      <c r="V2722">
        <v>2</v>
      </c>
      <c r="W2722">
        <v>1</v>
      </c>
      <c r="X2722">
        <v>2</v>
      </c>
      <c r="Y2722">
        <v>0</v>
      </c>
      <c r="Z2722">
        <v>2</v>
      </c>
      <c r="AA2722">
        <v>0</v>
      </c>
      <c r="AB2722">
        <v>290.48</v>
      </c>
      <c r="AC2722">
        <v>255.6</v>
      </c>
      <c r="AD2722">
        <v>0</v>
      </c>
      <c r="AE2722">
        <v>34.880000000000003</v>
      </c>
      <c r="AF2722">
        <v>0</v>
      </c>
      <c r="AG2722">
        <v>0</v>
      </c>
      <c r="AH2722">
        <v>0</v>
      </c>
      <c r="AI2722">
        <v>0</v>
      </c>
      <c r="AJ2722">
        <v>290.48</v>
      </c>
      <c r="AK2722">
        <v>0</v>
      </c>
      <c r="AL2722" t="s">
        <v>53</v>
      </c>
      <c r="AM2722" t="s">
        <v>53</v>
      </c>
      <c r="AN2722" t="s">
        <v>53</v>
      </c>
      <c r="AO2722" t="s">
        <v>53</v>
      </c>
      <c r="AP2722" t="s">
        <v>53</v>
      </c>
    </row>
    <row r="2723" spans="2:42" x14ac:dyDescent="0.2">
      <c r="B2723" t="s">
        <v>44</v>
      </c>
      <c r="C2723" t="str">
        <f>HYPERLINK("https://us2.cloudbeds.com/connect/8493803454333002#/reservations/6682542690522?display=4ZQCF04V5&amp;reservation_id=6682542690522", "4ZQCF04V5")</f>
        <v>4ZQCF04V5</v>
      </c>
      <c r="D2723" t="s">
        <v>45</v>
      </c>
      <c r="E2723" t="s">
        <v>223</v>
      </c>
      <c r="F2723" t="s">
        <v>47</v>
      </c>
      <c r="G2723" t="s">
        <v>48</v>
      </c>
      <c r="H2723" t="s">
        <v>49</v>
      </c>
      <c r="I2723" t="s">
        <v>62</v>
      </c>
      <c r="J2723" t="s">
        <v>1478</v>
      </c>
      <c r="K2723" t="s">
        <v>1858</v>
      </c>
      <c r="L2723" t="s">
        <v>53</v>
      </c>
      <c r="N2723" t="s">
        <v>4348</v>
      </c>
      <c r="P2723" t="s">
        <v>55</v>
      </c>
      <c r="R2723" t="s">
        <v>56</v>
      </c>
      <c r="T2723" t="s">
        <v>4349</v>
      </c>
      <c r="U2723" t="s">
        <v>55</v>
      </c>
      <c r="V2723">
        <v>2</v>
      </c>
      <c r="W2723">
        <v>1</v>
      </c>
      <c r="X2723">
        <v>2</v>
      </c>
      <c r="Y2723">
        <v>0</v>
      </c>
      <c r="Z2723">
        <v>2</v>
      </c>
      <c r="AA2723">
        <v>0</v>
      </c>
      <c r="AB2723">
        <v>227.08</v>
      </c>
      <c r="AC2723">
        <v>199.8</v>
      </c>
      <c r="AD2723">
        <v>0</v>
      </c>
      <c r="AE2723">
        <v>27.28</v>
      </c>
      <c r="AF2723">
        <v>0</v>
      </c>
      <c r="AG2723">
        <v>0</v>
      </c>
      <c r="AH2723">
        <v>0</v>
      </c>
      <c r="AI2723">
        <v>34.06</v>
      </c>
      <c r="AJ2723">
        <v>227.08</v>
      </c>
      <c r="AK2723">
        <v>0</v>
      </c>
      <c r="AL2723" t="s">
        <v>53</v>
      </c>
      <c r="AM2723" t="s">
        <v>53</v>
      </c>
      <c r="AN2723" t="s">
        <v>53</v>
      </c>
      <c r="AO2723" t="s">
        <v>53</v>
      </c>
      <c r="AP2723" t="s">
        <v>53</v>
      </c>
    </row>
    <row r="2724" spans="2:42" x14ac:dyDescent="0.2">
      <c r="B2724" t="s">
        <v>44</v>
      </c>
      <c r="C2724" t="str">
        <f>HYPERLINK("https://us2.cloudbeds.com/connect/8493803454333002#/reservations/6685997203690?display=4ZT1NV2BC&amp;reservation_id=6685997203690", "4ZT1NV2BC")</f>
        <v>4ZT1NV2BC</v>
      </c>
      <c r="D2724" t="s">
        <v>45</v>
      </c>
      <c r="E2724" t="s">
        <v>190</v>
      </c>
      <c r="F2724" t="s">
        <v>61</v>
      </c>
      <c r="G2724" t="s">
        <v>48</v>
      </c>
      <c r="H2724" t="s">
        <v>49</v>
      </c>
      <c r="I2724" t="s">
        <v>50</v>
      </c>
      <c r="J2724" t="s">
        <v>1451</v>
      </c>
      <c r="K2724" t="s">
        <v>1515</v>
      </c>
      <c r="L2724" t="s">
        <v>53</v>
      </c>
      <c r="N2724" t="s">
        <v>4350</v>
      </c>
      <c r="P2724" t="s">
        <v>55</v>
      </c>
      <c r="R2724" t="s">
        <v>53</v>
      </c>
      <c r="T2724" t="s">
        <v>4351</v>
      </c>
      <c r="U2724" t="s">
        <v>58</v>
      </c>
      <c r="V2724">
        <v>1</v>
      </c>
      <c r="W2724">
        <v>1</v>
      </c>
      <c r="X2724">
        <v>2</v>
      </c>
      <c r="Y2724">
        <v>0</v>
      </c>
      <c r="Z2724">
        <v>2</v>
      </c>
      <c r="AA2724">
        <v>0</v>
      </c>
      <c r="AB2724">
        <v>149.34</v>
      </c>
      <c r="AC2724">
        <v>131.4</v>
      </c>
      <c r="AD2724">
        <v>0</v>
      </c>
      <c r="AE2724">
        <v>17.940000000000001</v>
      </c>
      <c r="AF2724">
        <v>0</v>
      </c>
      <c r="AG2724">
        <v>0</v>
      </c>
      <c r="AH2724">
        <v>0</v>
      </c>
      <c r="AI2724">
        <v>26.88</v>
      </c>
      <c r="AJ2724">
        <v>149.34</v>
      </c>
      <c r="AK2724">
        <v>0</v>
      </c>
      <c r="AL2724" t="s">
        <v>53</v>
      </c>
      <c r="AM2724" t="s">
        <v>53</v>
      </c>
      <c r="AN2724" t="s">
        <v>53</v>
      </c>
      <c r="AO2724" t="s">
        <v>53</v>
      </c>
      <c r="AP2724" t="s">
        <v>53</v>
      </c>
    </row>
    <row r="2725" spans="2:42" x14ac:dyDescent="0.2">
      <c r="B2725" t="s">
        <v>44</v>
      </c>
      <c r="C2725" t="str">
        <f>HYPERLINK("https://us2.cloudbeds.com/connect/8493803454333002#/reservations/6705528094944?display=4PB5PTU1T&amp;reservation_id=6705528094944", "4PB5PTU1T")</f>
        <v>4PB5PTU1T</v>
      </c>
      <c r="D2725" t="s">
        <v>45</v>
      </c>
      <c r="E2725" t="s">
        <v>105</v>
      </c>
      <c r="F2725" t="s">
        <v>47</v>
      </c>
      <c r="G2725" t="s">
        <v>48</v>
      </c>
      <c r="H2725" t="s">
        <v>49</v>
      </c>
      <c r="I2725" t="s">
        <v>62</v>
      </c>
      <c r="J2725" t="s">
        <v>2412</v>
      </c>
      <c r="K2725" t="s">
        <v>1903</v>
      </c>
      <c r="L2725" t="s">
        <v>53</v>
      </c>
      <c r="N2725" t="s">
        <v>4352</v>
      </c>
      <c r="P2725" t="s">
        <v>55</v>
      </c>
      <c r="R2725" t="s">
        <v>56</v>
      </c>
      <c r="T2725" t="s">
        <v>4353</v>
      </c>
      <c r="U2725" t="s">
        <v>55</v>
      </c>
      <c r="V2725">
        <v>3</v>
      </c>
      <c r="W2725">
        <v>1</v>
      </c>
      <c r="X2725">
        <v>1</v>
      </c>
      <c r="Y2725">
        <v>0</v>
      </c>
      <c r="Z2725">
        <v>1</v>
      </c>
      <c r="AA2725">
        <v>0</v>
      </c>
      <c r="AB2725">
        <v>420.41</v>
      </c>
      <c r="AC2725">
        <v>369.9</v>
      </c>
      <c r="AD2725">
        <v>0</v>
      </c>
      <c r="AE2725">
        <v>50.51</v>
      </c>
      <c r="AF2725">
        <v>0</v>
      </c>
      <c r="AG2725">
        <v>0</v>
      </c>
      <c r="AH2725">
        <v>0</v>
      </c>
      <c r="AI2725">
        <v>63.06</v>
      </c>
      <c r="AJ2725">
        <v>420.41</v>
      </c>
      <c r="AK2725">
        <v>0</v>
      </c>
      <c r="AL2725" t="s">
        <v>53</v>
      </c>
      <c r="AM2725" t="s">
        <v>53</v>
      </c>
      <c r="AN2725" t="s">
        <v>53</v>
      </c>
      <c r="AO2725" t="s">
        <v>53</v>
      </c>
      <c r="AP2725" t="s">
        <v>53</v>
      </c>
    </row>
    <row r="2726" spans="2:42" x14ac:dyDescent="0.2">
      <c r="B2726" t="s">
        <v>44</v>
      </c>
      <c r="C2726" t="str">
        <f>HYPERLINK("https://us2.cloudbeds.com/connect/8493803454333002#/reservations/6709094604930?display=4PDUU9A62&amp;reservation_id=6709094604930", "4PDUU9A62")</f>
        <v>4PDUU9A62</v>
      </c>
      <c r="D2726" t="s">
        <v>45</v>
      </c>
      <c r="E2726" t="s">
        <v>98</v>
      </c>
      <c r="F2726" t="s">
        <v>86</v>
      </c>
      <c r="G2726" t="s">
        <v>48</v>
      </c>
      <c r="H2726" t="s">
        <v>49</v>
      </c>
      <c r="I2726" t="s">
        <v>62</v>
      </c>
      <c r="J2726" t="s">
        <v>1451</v>
      </c>
      <c r="K2726" t="s">
        <v>1515</v>
      </c>
      <c r="L2726" t="s">
        <v>53</v>
      </c>
      <c r="N2726" t="s">
        <v>4354</v>
      </c>
      <c r="P2726" t="s">
        <v>55</v>
      </c>
      <c r="R2726" t="s">
        <v>56</v>
      </c>
      <c r="T2726" t="s">
        <v>4355</v>
      </c>
      <c r="U2726" t="s">
        <v>55</v>
      </c>
      <c r="V2726">
        <v>1</v>
      </c>
      <c r="W2726">
        <v>1</v>
      </c>
      <c r="X2726">
        <v>4</v>
      </c>
      <c r="Y2726">
        <v>0</v>
      </c>
      <c r="Z2726">
        <v>4</v>
      </c>
      <c r="AA2726">
        <v>0</v>
      </c>
      <c r="AB2726">
        <v>175.03</v>
      </c>
      <c r="AC2726">
        <v>154</v>
      </c>
      <c r="AD2726">
        <v>0</v>
      </c>
      <c r="AE2726">
        <v>21.03</v>
      </c>
      <c r="AF2726">
        <v>0</v>
      </c>
      <c r="AG2726">
        <v>0</v>
      </c>
      <c r="AH2726">
        <v>0</v>
      </c>
      <c r="AI2726">
        <v>26.25</v>
      </c>
      <c r="AJ2726">
        <v>175.03</v>
      </c>
      <c r="AK2726">
        <v>0</v>
      </c>
      <c r="AL2726" t="s">
        <v>53</v>
      </c>
      <c r="AM2726" t="s">
        <v>53</v>
      </c>
      <c r="AN2726" t="s">
        <v>53</v>
      </c>
      <c r="AO2726" t="s">
        <v>53</v>
      </c>
      <c r="AP2726" t="s">
        <v>53</v>
      </c>
    </row>
    <row r="2727" spans="2:42" x14ac:dyDescent="0.2">
      <c r="B2727" t="s">
        <v>44</v>
      </c>
      <c r="C2727" t="str">
        <f>HYPERLINK("https://us2.cloudbeds.com/connect/8493803454333002#/reservations/6707738251406?display=4PCT8XPG4&amp;reservation_id=6707738251406", "4PCT8XPG4")</f>
        <v>4PCT8XPG4</v>
      </c>
      <c r="D2727" t="s">
        <v>45</v>
      </c>
      <c r="E2727" t="s">
        <v>265</v>
      </c>
      <c r="F2727" t="s">
        <v>61</v>
      </c>
      <c r="G2727" t="s">
        <v>48</v>
      </c>
      <c r="H2727" t="s">
        <v>3957</v>
      </c>
      <c r="I2727" t="s">
        <v>3958</v>
      </c>
      <c r="J2727" t="s">
        <v>1451</v>
      </c>
      <c r="K2727" t="s">
        <v>1515</v>
      </c>
      <c r="L2727" t="s">
        <v>53</v>
      </c>
      <c r="P2727" t="s">
        <v>58</v>
      </c>
      <c r="R2727" t="s">
        <v>56</v>
      </c>
      <c r="T2727" t="s">
        <v>4356</v>
      </c>
      <c r="U2727" t="s">
        <v>58</v>
      </c>
      <c r="V2727">
        <v>1</v>
      </c>
      <c r="W2727">
        <v>1</v>
      </c>
      <c r="X2727">
        <v>1</v>
      </c>
      <c r="Y2727">
        <v>0</v>
      </c>
      <c r="Z2727">
        <v>1</v>
      </c>
      <c r="AA2727">
        <v>0</v>
      </c>
      <c r="AB2727">
        <v>154.56</v>
      </c>
      <c r="AC2727">
        <v>136</v>
      </c>
      <c r="AD2727">
        <v>0</v>
      </c>
      <c r="AE2727">
        <v>18.559999999999999</v>
      </c>
      <c r="AF2727">
        <v>0</v>
      </c>
      <c r="AG2727">
        <v>0</v>
      </c>
      <c r="AH2727">
        <v>0</v>
      </c>
      <c r="AI2727">
        <v>0</v>
      </c>
      <c r="AJ2727">
        <v>154.56</v>
      </c>
      <c r="AK2727">
        <v>0</v>
      </c>
      <c r="AL2727" t="s">
        <v>53</v>
      </c>
      <c r="AM2727" t="s">
        <v>53</v>
      </c>
      <c r="AN2727" t="s">
        <v>53</v>
      </c>
      <c r="AO2727" t="s">
        <v>53</v>
      </c>
      <c r="AP2727" t="s">
        <v>53</v>
      </c>
    </row>
    <row r="2728" spans="2:42" x14ac:dyDescent="0.2">
      <c r="B2728" t="s">
        <v>44</v>
      </c>
      <c r="C2728" t="str">
        <f>HYPERLINK("https://us2.cloudbeds.com/connect/8493803454333002#/reservations/6710560989390?display=4PF2CPKCQ&amp;reservation_id=6710560989390", "4PF2CPKCQ")</f>
        <v>4PF2CPKCQ</v>
      </c>
      <c r="D2728" t="s">
        <v>45</v>
      </c>
      <c r="E2728" t="s">
        <v>487</v>
      </c>
      <c r="F2728" t="s">
        <v>61</v>
      </c>
      <c r="G2728" t="s">
        <v>48</v>
      </c>
      <c r="H2728" t="s">
        <v>49</v>
      </c>
      <c r="I2728" t="s">
        <v>50</v>
      </c>
      <c r="J2728" t="s">
        <v>2162</v>
      </c>
      <c r="K2728" t="s">
        <v>2384</v>
      </c>
      <c r="L2728" t="s">
        <v>53</v>
      </c>
      <c r="N2728" t="s">
        <v>4357</v>
      </c>
      <c r="P2728" t="s">
        <v>55</v>
      </c>
      <c r="R2728" t="s">
        <v>53</v>
      </c>
      <c r="T2728" t="s">
        <v>4358</v>
      </c>
      <c r="U2728" t="s">
        <v>58</v>
      </c>
      <c r="V2728">
        <v>1</v>
      </c>
      <c r="W2728">
        <v>1</v>
      </c>
      <c r="X2728">
        <v>2</v>
      </c>
      <c r="Y2728">
        <v>0</v>
      </c>
      <c r="Z2728">
        <v>2</v>
      </c>
      <c r="AA2728">
        <v>0</v>
      </c>
      <c r="AB2728">
        <v>155.47999999999999</v>
      </c>
      <c r="AC2728">
        <v>136.80000000000001</v>
      </c>
      <c r="AD2728">
        <v>0</v>
      </c>
      <c r="AE2728">
        <v>18.68</v>
      </c>
      <c r="AF2728">
        <v>0</v>
      </c>
      <c r="AG2728">
        <v>0</v>
      </c>
      <c r="AH2728">
        <v>0</v>
      </c>
      <c r="AI2728">
        <v>27.99</v>
      </c>
      <c r="AJ2728">
        <v>155.47999999999999</v>
      </c>
      <c r="AK2728">
        <v>0</v>
      </c>
      <c r="AL2728" t="s">
        <v>53</v>
      </c>
      <c r="AM2728" t="s">
        <v>53</v>
      </c>
      <c r="AN2728" t="s">
        <v>53</v>
      </c>
      <c r="AO2728" t="s">
        <v>53</v>
      </c>
      <c r="AP2728" t="s">
        <v>53</v>
      </c>
    </row>
    <row r="2729" spans="2:42" x14ac:dyDescent="0.2">
      <c r="B2729" t="s">
        <v>44</v>
      </c>
      <c r="C2729" t="str">
        <f>HYPERLINK("https://us2.cloudbeds.com/connect/8493803454333002#/reservations/6712318410943?display=4PGE9MF9C&amp;reservation_id=6712318410943", "4PGE9MF9C")</f>
        <v>4PGE9MF9C</v>
      </c>
      <c r="D2729" t="s">
        <v>45</v>
      </c>
      <c r="E2729" t="s">
        <v>121</v>
      </c>
      <c r="F2729" t="s">
        <v>86</v>
      </c>
      <c r="G2729" t="s">
        <v>48</v>
      </c>
      <c r="H2729" t="s">
        <v>49</v>
      </c>
      <c r="I2729" t="s">
        <v>62</v>
      </c>
      <c r="J2729" t="s">
        <v>2162</v>
      </c>
      <c r="K2729" t="s">
        <v>2384</v>
      </c>
      <c r="L2729" t="s">
        <v>53</v>
      </c>
      <c r="N2729" t="s">
        <v>4359</v>
      </c>
      <c r="P2729" t="s">
        <v>55</v>
      </c>
      <c r="R2729" t="s">
        <v>56</v>
      </c>
      <c r="T2729" t="s">
        <v>4360</v>
      </c>
      <c r="U2729" t="s">
        <v>58</v>
      </c>
      <c r="V2729">
        <v>1</v>
      </c>
      <c r="W2729">
        <v>1</v>
      </c>
      <c r="X2729">
        <v>2</v>
      </c>
      <c r="Y2729">
        <v>0</v>
      </c>
      <c r="Z2729">
        <v>2</v>
      </c>
      <c r="AA2729">
        <v>0</v>
      </c>
      <c r="AB2729">
        <v>186.39</v>
      </c>
      <c r="AC2729">
        <v>164</v>
      </c>
      <c r="AD2729">
        <v>0</v>
      </c>
      <c r="AE2729">
        <v>22.39</v>
      </c>
      <c r="AF2729">
        <v>0</v>
      </c>
      <c r="AG2729">
        <v>0</v>
      </c>
      <c r="AH2729">
        <v>0</v>
      </c>
      <c r="AI2729">
        <v>27.96</v>
      </c>
      <c r="AJ2729">
        <v>186.39</v>
      </c>
      <c r="AK2729">
        <v>0</v>
      </c>
      <c r="AL2729" t="s">
        <v>53</v>
      </c>
      <c r="AM2729" t="s">
        <v>53</v>
      </c>
      <c r="AN2729" t="s">
        <v>4361</v>
      </c>
      <c r="AO2729" t="s">
        <v>53</v>
      </c>
      <c r="AP2729" t="s">
        <v>53</v>
      </c>
    </row>
    <row r="2730" spans="2:42" x14ac:dyDescent="0.2">
      <c r="B2730" t="s">
        <v>44</v>
      </c>
      <c r="C2730" t="str">
        <f>HYPERLINK("https://us2.cloudbeds.com/connect/8493803454333002#/reservations/6721598984399?display=4PNKEA3A1&amp;reservation_id=6721598984399", "4PNKEA3A1")</f>
        <v>4PNKEA3A1</v>
      </c>
      <c r="D2730" t="s">
        <v>45</v>
      </c>
      <c r="E2730" t="s">
        <v>185</v>
      </c>
      <c r="F2730" t="s">
        <v>47</v>
      </c>
      <c r="G2730" t="s">
        <v>48</v>
      </c>
      <c r="H2730" t="s">
        <v>49</v>
      </c>
      <c r="I2730" t="s">
        <v>62</v>
      </c>
      <c r="J2730" t="s">
        <v>2163</v>
      </c>
      <c r="K2730" t="s">
        <v>1863</v>
      </c>
      <c r="L2730" t="s">
        <v>53</v>
      </c>
      <c r="N2730" t="s">
        <v>4362</v>
      </c>
      <c r="P2730" t="s">
        <v>55</v>
      </c>
      <c r="R2730" t="s">
        <v>56</v>
      </c>
      <c r="T2730" t="s">
        <v>4363</v>
      </c>
      <c r="U2730" t="s">
        <v>55</v>
      </c>
      <c r="V2730">
        <v>4</v>
      </c>
      <c r="W2730">
        <v>1</v>
      </c>
      <c r="X2730">
        <v>2</v>
      </c>
      <c r="Y2730">
        <v>0</v>
      </c>
      <c r="Z2730">
        <v>2</v>
      </c>
      <c r="AA2730">
        <v>0</v>
      </c>
      <c r="AB2730">
        <v>761.47</v>
      </c>
      <c r="AC2730">
        <v>670</v>
      </c>
      <c r="AD2730">
        <v>0</v>
      </c>
      <c r="AE2730">
        <v>91.47</v>
      </c>
      <c r="AF2730">
        <v>0</v>
      </c>
      <c r="AG2730">
        <v>0</v>
      </c>
      <c r="AH2730">
        <v>0</v>
      </c>
      <c r="AI2730">
        <v>114.22</v>
      </c>
      <c r="AJ2730">
        <v>761.47</v>
      </c>
      <c r="AK2730">
        <v>0</v>
      </c>
      <c r="AL2730" t="s">
        <v>53</v>
      </c>
      <c r="AM2730" t="s">
        <v>53</v>
      </c>
      <c r="AN2730" t="s">
        <v>53</v>
      </c>
      <c r="AO2730" t="s">
        <v>53</v>
      </c>
      <c r="AP2730" t="s">
        <v>53</v>
      </c>
    </row>
    <row r="2731" spans="2:42" x14ac:dyDescent="0.2">
      <c r="B2731" t="s">
        <v>44</v>
      </c>
      <c r="C2731" t="str">
        <f>HYPERLINK("https://us2.cloudbeds.com/connect/8493803454333002#/reservations/6722082562239?display=4PNWQ2C2W&amp;reservation_id=6722082562239", "4PNWQ2C2W")</f>
        <v>4PNWQ2C2W</v>
      </c>
      <c r="D2731" t="s">
        <v>45</v>
      </c>
      <c r="E2731" t="s">
        <v>487</v>
      </c>
      <c r="F2731" t="s">
        <v>61</v>
      </c>
      <c r="G2731" t="s">
        <v>48</v>
      </c>
      <c r="H2731" t="s">
        <v>3957</v>
      </c>
      <c r="I2731" t="s">
        <v>3975</v>
      </c>
      <c r="J2731" t="s">
        <v>1515</v>
      </c>
      <c r="K2731" t="s">
        <v>2162</v>
      </c>
      <c r="L2731" t="s">
        <v>53</v>
      </c>
      <c r="P2731" t="s">
        <v>55</v>
      </c>
      <c r="R2731" t="s">
        <v>56</v>
      </c>
      <c r="T2731" t="s">
        <v>4364</v>
      </c>
      <c r="U2731" t="s">
        <v>58</v>
      </c>
      <c r="V2731">
        <v>1</v>
      </c>
      <c r="W2731">
        <v>1</v>
      </c>
      <c r="X2731">
        <v>2</v>
      </c>
      <c r="Y2731">
        <v>0</v>
      </c>
      <c r="Z2731">
        <v>2</v>
      </c>
      <c r="AA2731">
        <v>0</v>
      </c>
      <c r="AB2731">
        <v>176.17</v>
      </c>
      <c r="AC2731">
        <v>155</v>
      </c>
      <c r="AD2731">
        <v>0</v>
      </c>
      <c r="AE2731">
        <v>21.17</v>
      </c>
      <c r="AF2731">
        <v>0</v>
      </c>
      <c r="AG2731">
        <v>0</v>
      </c>
      <c r="AH2731">
        <v>0</v>
      </c>
      <c r="AI2731">
        <v>0</v>
      </c>
      <c r="AJ2731">
        <v>176.17</v>
      </c>
      <c r="AK2731">
        <v>0</v>
      </c>
      <c r="AL2731" t="s">
        <v>53</v>
      </c>
      <c r="AM2731" t="s">
        <v>53</v>
      </c>
      <c r="AN2731" t="s">
        <v>53</v>
      </c>
      <c r="AO2731" t="s">
        <v>53</v>
      </c>
      <c r="AP2731" t="s">
        <v>53</v>
      </c>
    </row>
    <row r="2732" spans="2:42" x14ac:dyDescent="0.2">
      <c r="B2732" t="s">
        <v>44</v>
      </c>
      <c r="C2732" t="str">
        <f>HYPERLINK("https://us2.cloudbeds.com/connect/8493803454333002#/reservations/6738714771673?display=4Q3SPQ3MF&amp;reservation_id=6738714771673", "4Q3SPQ3MF")</f>
        <v>4Q3SPQ3MF</v>
      </c>
      <c r="D2732" t="s">
        <v>45</v>
      </c>
      <c r="E2732" t="s">
        <v>92</v>
      </c>
      <c r="F2732" t="s">
        <v>86</v>
      </c>
      <c r="G2732" t="s">
        <v>48</v>
      </c>
      <c r="H2732" t="s">
        <v>3957</v>
      </c>
      <c r="I2732" t="s">
        <v>3958</v>
      </c>
      <c r="J2732" t="s">
        <v>1451</v>
      </c>
      <c r="K2732" t="s">
        <v>1515</v>
      </c>
      <c r="L2732" t="s">
        <v>53</v>
      </c>
      <c r="P2732" t="s">
        <v>58</v>
      </c>
      <c r="R2732" t="s">
        <v>56</v>
      </c>
      <c r="T2732" t="s">
        <v>4365</v>
      </c>
      <c r="U2732" t="s">
        <v>58</v>
      </c>
      <c r="V2732">
        <v>1</v>
      </c>
      <c r="W2732">
        <v>1</v>
      </c>
      <c r="X2732">
        <v>1</v>
      </c>
      <c r="Y2732">
        <v>0</v>
      </c>
      <c r="Z2732">
        <v>1</v>
      </c>
      <c r="AA2732">
        <v>0</v>
      </c>
      <c r="AB2732">
        <v>175.03</v>
      </c>
      <c r="AC2732">
        <v>154</v>
      </c>
      <c r="AD2732">
        <v>0</v>
      </c>
      <c r="AE2732">
        <v>21.03</v>
      </c>
      <c r="AF2732">
        <v>0</v>
      </c>
      <c r="AG2732">
        <v>0</v>
      </c>
      <c r="AH2732">
        <v>0</v>
      </c>
      <c r="AI2732">
        <v>0</v>
      </c>
      <c r="AJ2732">
        <v>175.03</v>
      </c>
      <c r="AK2732">
        <v>0</v>
      </c>
      <c r="AL2732" t="s">
        <v>53</v>
      </c>
      <c r="AM2732" t="s">
        <v>53</v>
      </c>
      <c r="AN2732" t="s">
        <v>53</v>
      </c>
      <c r="AO2732" t="s">
        <v>53</v>
      </c>
      <c r="AP2732" t="s">
        <v>53</v>
      </c>
    </row>
    <row r="2733" spans="2:42" x14ac:dyDescent="0.2">
      <c r="B2733" t="s">
        <v>44</v>
      </c>
      <c r="C2733" t="str">
        <f>HYPERLINK("https://us2.cloudbeds.com/connect/8493803454333002#/reservations/6746424377487?display=4Q9RPZ8H2&amp;reservation_id=6746424377487", "4Q9RPZ8H2")</f>
        <v>4Q9RPZ8H2</v>
      </c>
      <c r="D2733" t="s">
        <v>45</v>
      </c>
      <c r="E2733" t="s">
        <v>85</v>
      </c>
      <c r="F2733" t="s">
        <v>86</v>
      </c>
      <c r="G2733" t="s">
        <v>48</v>
      </c>
      <c r="H2733" t="s">
        <v>49</v>
      </c>
      <c r="I2733" t="s">
        <v>50</v>
      </c>
      <c r="J2733" t="s">
        <v>2412</v>
      </c>
      <c r="K2733" t="s">
        <v>1902</v>
      </c>
      <c r="L2733" t="s">
        <v>53</v>
      </c>
      <c r="N2733" t="s">
        <v>4366</v>
      </c>
      <c r="P2733" t="s">
        <v>55</v>
      </c>
      <c r="R2733" t="s">
        <v>53</v>
      </c>
      <c r="T2733" t="s">
        <v>4367</v>
      </c>
      <c r="U2733" t="s">
        <v>58</v>
      </c>
      <c r="V2733">
        <v>2</v>
      </c>
      <c r="W2733">
        <v>1</v>
      </c>
      <c r="X2733">
        <v>2</v>
      </c>
      <c r="Y2733">
        <v>0</v>
      </c>
      <c r="Z2733">
        <v>2</v>
      </c>
      <c r="AA2733">
        <v>0</v>
      </c>
      <c r="AB2733">
        <v>330.73</v>
      </c>
      <c r="AC2733">
        <v>291</v>
      </c>
      <c r="AD2733">
        <v>0</v>
      </c>
      <c r="AE2733">
        <v>39.729999999999997</v>
      </c>
      <c r="AF2733">
        <v>0</v>
      </c>
      <c r="AG2733">
        <v>0</v>
      </c>
      <c r="AH2733">
        <v>0</v>
      </c>
      <c r="AI2733">
        <v>59.53</v>
      </c>
      <c r="AJ2733">
        <v>330.73</v>
      </c>
      <c r="AK2733">
        <v>0</v>
      </c>
      <c r="AL2733" t="s">
        <v>53</v>
      </c>
      <c r="AM2733" t="s">
        <v>53</v>
      </c>
      <c r="AN2733" t="s">
        <v>53</v>
      </c>
      <c r="AO2733" t="s">
        <v>53</v>
      </c>
      <c r="AP2733" t="s">
        <v>53</v>
      </c>
    </row>
    <row r="2734" spans="2:42" x14ac:dyDescent="0.2">
      <c r="B2734" t="s">
        <v>44</v>
      </c>
      <c r="C2734" t="str">
        <f>HYPERLINK("https://us2.cloudbeds.com/connect/8493803454333002#/reservations/6760996819183?display=4QY44JUMC&amp;reservation_id=6760996819183", "4QY44JUMC")</f>
        <v>4QY44JUMC</v>
      </c>
      <c r="D2734" t="s">
        <v>45</v>
      </c>
      <c r="E2734" t="s">
        <v>155</v>
      </c>
      <c r="F2734" t="s">
        <v>86</v>
      </c>
      <c r="G2734" t="s">
        <v>48</v>
      </c>
      <c r="H2734" t="s">
        <v>49</v>
      </c>
      <c r="I2734" t="s">
        <v>50</v>
      </c>
      <c r="J2734" t="s">
        <v>3551</v>
      </c>
      <c r="K2734" t="s">
        <v>2541</v>
      </c>
      <c r="L2734" t="s">
        <v>53</v>
      </c>
      <c r="N2734" t="s">
        <v>4368</v>
      </c>
      <c r="P2734" t="s">
        <v>55</v>
      </c>
      <c r="R2734" t="s">
        <v>53</v>
      </c>
      <c r="T2734" t="s">
        <v>4369</v>
      </c>
      <c r="U2734" t="s">
        <v>58</v>
      </c>
      <c r="V2734">
        <v>1</v>
      </c>
      <c r="W2734">
        <v>1</v>
      </c>
      <c r="X2734">
        <v>2</v>
      </c>
      <c r="Y2734">
        <v>0</v>
      </c>
      <c r="Z2734">
        <v>2</v>
      </c>
      <c r="AA2734">
        <v>0</v>
      </c>
      <c r="AB2734">
        <v>138.08000000000001</v>
      </c>
      <c r="AC2734">
        <v>121.5</v>
      </c>
      <c r="AD2734">
        <v>0</v>
      </c>
      <c r="AE2734">
        <v>16.579999999999998</v>
      </c>
      <c r="AF2734">
        <v>0</v>
      </c>
      <c r="AG2734">
        <v>0</v>
      </c>
      <c r="AH2734">
        <v>0</v>
      </c>
      <c r="AI2734">
        <v>24.85</v>
      </c>
      <c r="AJ2734">
        <v>138.08000000000001</v>
      </c>
      <c r="AK2734">
        <v>0</v>
      </c>
      <c r="AL2734" t="s">
        <v>53</v>
      </c>
      <c r="AM2734" t="s">
        <v>53</v>
      </c>
      <c r="AN2734" t="s">
        <v>53</v>
      </c>
      <c r="AO2734" t="s">
        <v>53</v>
      </c>
      <c r="AP2734" t="s">
        <v>53</v>
      </c>
    </row>
    <row r="2735" spans="2:42" x14ac:dyDescent="0.2">
      <c r="B2735" t="s">
        <v>44</v>
      </c>
      <c r="C2735" t="str">
        <f>HYPERLINK("https://us2.cloudbeds.com/connect/8493803454333002#/reservations/6784081203415?display=4R5WWVVB9&amp;reservation_id=6784081203415", "4R5WWVVB9")</f>
        <v>4R5WWVVB9</v>
      </c>
      <c r="D2735" t="s">
        <v>45</v>
      </c>
      <c r="E2735" t="s">
        <v>190</v>
      </c>
      <c r="F2735" t="s">
        <v>61</v>
      </c>
      <c r="G2735" t="s">
        <v>48</v>
      </c>
      <c r="H2735" t="s">
        <v>49</v>
      </c>
      <c r="I2735" t="s">
        <v>50</v>
      </c>
      <c r="J2735" t="s">
        <v>2162</v>
      </c>
      <c r="K2735" t="s">
        <v>2384</v>
      </c>
      <c r="L2735" t="s">
        <v>53</v>
      </c>
      <c r="N2735" t="s">
        <v>4370</v>
      </c>
      <c r="P2735" t="s">
        <v>55</v>
      </c>
      <c r="R2735" t="s">
        <v>53</v>
      </c>
      <c r="T2735" t="s">
        <v>4371</v>
      </c>
      <c r="U2735" t="s">
        <v>58</v>
      </c>
      <c r="V2735">
        <v>1</v>
      </c>
      <c r="W2735">
        <v>1</v>
      </c>
      <c r="X2735">
        <v>2</v>
      </c>
      <c r="Y2735">
        <v>0</v>
      </c>
      <c r="Z2735">
        <v>2</v>
      </c>
      <c r="AA2735">
        <v>0</v>
      </c>
      <c r="AB2735">
        <v>158.54</v>
      </c>
      <c r="AC2735">
        <v>139.5</v>
      </c>
      <c r="AD2735">
        <v>0</v>
      </c>
      <c r="AE2735">
        <v>19.04</v>
      </c>
      <c r="AF2735">
        <v>0</v>
      </c>
      <c r="AG2735">
        <v>0</v>
      </c>
      <c r="AH2735">
        <v>0</v>
      </c>
      <c r="AI2735">
        <v>28.54</v>
      </c>
      <c r="AJ2735">
        <v>158.54</v>
      </c>
      <c r="AK2735">
        <v>0</v>
      </c>
      <c r="AL2735" t="s">
        <v>53</v>
      </c>
      <c r="AM2735" t="s">
        <v>53</v>
      </c>
      <c r="AN2735" t="s">
        <v>53</v>
      </c>
      <c r="AO2735" t="s">
        <v>53</v>
      </c>
      <c r="AP2735" t="s">
        <v>53</v>
      </c>
    </row>
    <row r="2736" spans="2:42" x14ac:dyDescent="0.2">
      <c r="B2736" t="s">
        <v>44</v>
      </c>
      <c r="C2736" t="str">
        <f>HYPERLINK("https://us2.cloudbeds.com/connect/8493803454333002#/reservations/6801092444291?display=4RJ5M9QH1&amp;reservation_id=6801092444291", "4RJ5M9QH1")</f>
        <v>4RJ5M9QH1</v>
      </c>
      <c r="D2736" t="s">
        <v>45</v>
      </c>
      <c r="E2736" t="s">
        <v>113</v>
      </c>
      <c r="F2736" t="s">
        <v>61</v>
      </c>
      <c r="G2736" t="s">
        <v>48</v>
      </c>
      <c r="H2736" t="s">
        <v>49</v>
      </c>
      <c r="I2736" t="s">
        <v>50</v>
      </c>
      <c r="J2736" t="s">
        <v>1515</v>
      </c>
      <c r="K2736" t="s">
        <v>2162</v>
      </c>
      <c r="L2736" t="s">
        <v>53</v>
      </c>
      <c r="N2736" t="s">
        <v>4372</v>
      </c>
      <c r="P2736" t="s">
        <v>55</v>
      </c>
      <c r="R2736" t="s">
        <v>53</v>
      </c>
      <c r="T2736" t="s">
        <v>4373</v>
      </c>
      <c r="U2736" t="s">
        <v>58</v>
      </c>
      <c r="V2736">
        <v>1</v>
      </c>
      <c r="W2736">
        <v>1</v>
      </c>
      <c r="X2736">
        <v>2</v>
      </c>
      <c r="Y2736">
        <v>0</v>
      </c>
      <c r="Z2736">
        <v>2</v>
      </c>
      <c r="AA2736">
        <v>0</v>
      </c>
      <c r="AB2736">
        <v>161.61000000000001</v>
      </c>
      <c r="AC2736">
        <v>142.19999999999999</v>
      </c>
      <c r="AD2736">
        <v>0</v>
      </c>
      <c r="AE2736">
        <v>19.41</v>
      </c>
      <c r="AF2736">
        <v>0</v>
      </c>
      <c r="AG2736">
        <v>0</v>
      </c>
      <c r="AH2736">
        <v>0</v>
      </c>
      <c r="AI2736">
        <v>29.09</v>
      </c>
      <c r="AJ2736">
        <v>161.61000000000001</v>
      </c>
      <c r="AK2736">
        <v>0</v>
      </c>
      <c r="AL2736" t="s">
        <v>53</v>
      </c>
      <c r="AM2736" t="s">
        <v>53</v>
      </c>
      <c r="AN2736" t="s">
        <v>53</v>
      </c>
      <c r="AO2736" t="s">
        <v>53</v>
      </c>
      <c r="AP2736" t="s">
        <v>53</v>
      </c>
    </row>
    <row r="2737" spans="2:42" x14ac:dyDescent="0.2">
      <c r="B2737" t="s">
        <v>44</v>
      </c>
      <c r="C2737" t="str">
        <f>HYPERLINK("https://us2.cloudbeds.com/connect/8493803454333002#/reservations/6923143307427?display=4UEMBQWX5&amp;reservation_id=6923143307427", "4UEMBQWX5")</f>
        <v>4UEMBQWX5</v>
      </c>
      <c r="D2737" t="s">
        <v>45</v>
      </c>
      <c r="E2737" t="s">
        <v>190</v>
      </c>
      <c r="F2737" t="s">
        <v>61</v>
      </c>
      <c r="G2737" t="s">
        <v>48</v>
      </c>
      <c r="H2737" t="s">
        <v>49</v>
      </c>
      <c r="I2737" t="s">
        <v>50</v>
      </c>
      <c r="J2737" t="s">
        <v>1515</v>
      </c>
      <c r="K2737" t="s">
        <v>2162</v>
      </c>
      <c r="L2737" t="s">
        <v>53</v>
      </c>
      <c r="N2737" t="s">
        <v>4374</v>
      </c>
      <c r="P2737" t="s">
        <v>55</v>
      </c>
      <c r="R2737" t="s">
        <v>53</v>
      </c>
      <c r="T2737" t="s">
        <v>4375</v>
      </c>
      <c r="U2737" t="s">
        <v>58</v>
      </c>
      <c r="V2737">
        <v>1</v>
      </c>
      <c r="W2737">
        <v>1</v>
      </c>
      <c r="X2737">
        <v>2</v>
      </c>
      <c r="Y2737">
        <v>0</v>
      </c>
      <c r="Z2737">
        <v>2</v>
      </c>
      <c r="AA2737">
        <v>0</v>
      </c>
      <c r="AB2737">
        <v>160.6</v>
      </c>
      <c r="AC2737">
        <v>141.30000000000001</v>
      </c>
      <c r="AD2737">
        <v>0</v>
      </c>
      <c r="AE2737">
        <v>19.3</v>
      </c>
      <c r="AF2737">
        <v>0</v>
      </c>
      <c r="AG2737">
        <v>0</v>
      </c>
      <c r="AH2737">
        <v>0</v>
      </c>
      <c r="AI2737">
        <v>28.91</v>
      </c>
      <c r="AJ2737">
        <v>160.6</v>
      </c>
      <c r="AK2737">
        <v>0</v>
      </c>
      <c r="AL2737" t="s">
        <v>53</v>
      </c>
      <c r="AM2737" t="s">
        <v>53</v>
      </c>
      <c r="AN2737" t="s">
        <v>53</v>
      </c>
      <c r="AO2737" t="s">
        <v>53</v>
      </c>
      <c r="AP2737" t="s">
        <v>53</v>
      </c>
    </row>
    <row r="2738" spans="2:42" x14ac:dyDescent="0.2">
      <c r="B2738" t="s">
        <v>44</v>
      </c>
      <c r="C2738" t="str">
        <f>HYPERLINK("https://us2.cloudbeds.com/connect/8493803454333002#/reservations/6948920426642?display=4V1Y0PAPS&amp;reservation_id=6948920426642", "4V1Y0PAPS")</f>
        <v>4V1Y0PAPS</v>
      </c>
      <c r="D2738" t="s">
        <v>45</v>
      </c>
      <c r="E2738" t="s">
        <v>105</v>
      </c>
      <c r="F2738" t="s">
        <v>47</v>
      </c>
      <c r="G2738" t="s">
        <v>48</v>
      </c>
      <c r="H2738" t="s">
        <v>3957</v>
      </c>
      <c r="I2738" t="s">
        <v>3975</v>
      </c>
      <c r="J2738" t="s">
        <v>2790</v>
      </c>
      <c r="K2738" t="s">
        <v>1863</v>
      </c>
      <c r="L2738" t="s">
        <v>53</v>
      </c>
      <c r="P2738" t="s">
        <v>55</v>
      </c>
      <c r="R2738" t="s">
        <v>56</v>
      </c>
      <c r="T2738" t="s">
        <v>4376</v>
      </c>
      <c r="U2738" t="s">
        <v>58</v>
      </c>
      <c r="V2738">
        <v>1</v>
      </c>
      <c r="W2738">
        <v>1</v>
      </c>
      <c r="X2738">
        <v>2</v>
      </c>
      <c r="Y2738">
        <v>0</v>
      </c>
      <c r="Z2738">
        <v>2</v>
      </c>
      <c r="AA2738">
        <v>0</v>
      </c>
      <c r="AB2738">
        <v>139.80000000000001</v>
      </c>
      <c r="AC2738">
        <v>123</v>
      </c>
      <c r="AD2738">
        <v>0</v>
      </c>
      <c r="AE2738">
        <v>16.8</v>
      </c>
      <c r="AF2738">
        <v>0</v>
      </c>
      <c r="AG2738">
        <v>0</v>
      </c>
      <c r="AH2738">
        <v>0</v>
      </c>
      <c r="AI2738">
        <v>0</v>
      </c>
      <c r="AJ2738">
        <v>139.80000000000001</v>
      </c>
      <c r="AK2738">
        <v>0</v>
      </c>
      <c r="AL2738" t="s">
        <v>53</v>
      </c>
      <c r="AM2738" t="s">
        <v>53</v>
      </c>
      <c r="AN2738" t="s">
        <v>53</v>
      </c>
      <c r="AO2738" t="s">
        <v>53</v>
      </c>
      <c r="AP2738" t="s">
        <v>53</v>
      </c>
    </row>
    <row r="2739" spans="2:42" x14ac:dyDescent="0.2">
      <c r="B2739" t="s">
        <v>44</v>
      </c>
      <c r="C2739" t="str">
        <f>HYPERLINK("https://us2.cloudbeds.com/connect/8493803454333002#/reservations/6985690099872?display=4VU3XUMYW&amp;reservation_id=6985690099872", "4VU3XUMYW")</f>
        <v>4VU3XUMYW</v>
      </c>
      <c r="D2739" t="s">
        <v>45</v>
      </c>
      <c r="E2739" t="s">
        <v>487</v>
      </c>
      <c r="F2739" t="s">
        <v>61</v>
      </c>
      <c r="G2739" t="s">
        <v>48</v>
      </c>
      <c r="H2739" t="s">
        <v>49</v>
      </c>
      <c r="I2739" t="s">
        <v>50</v>
      </c>
      <c r="J2739" t="s">
        <v>2384</v>
      </c>
      <c r="K2739" t="s">
        <v>2163</v>
      </c>
      <c r="L2739" t="s">
        <v>53</v>
      </c>
      <c r="N2739" t="s">
        <v>4377</v>
      </c>
      <c r="P2739" t="s">
        <v>55</v>
      </c>
      <c r="R2739" t="s">
        <v>53</v>
      </c>
      <c r="T2739" t="s">
        <v>4378</v>
      </c>
      <c r="U2739" t="s">
        <v>58</v>
      </c>
      <c r="V2739">
        <v>1</v>
      </c>
      <c r="W2739">
        <v>1</v>
      </c>
      <c r="X2739">
        <v>2</v>
      </c>
      <c r="Y2739">
        <v>0</v>
      </c>
      <c r="Z2739">
        <v>2</v>
      </c>
      <c r="AA2739">
        <v>0</v>
      </c>
      <c r="AB2739">
        <v>149.34</v>
      </c>
      <c r="AC2739">
        <v>131.4</v>
      </c>
      <c r="AD2739">
        <v>0</v>
      </c>
      <c r="AE2739">
        <v>17.940000000000001</v>
      </c>
      <c r="AF2739">
        <v>0</v>
      </c>
      <c r="AG2739">
        <v>0</v>
      </c>
      <c r="AH2739">
        <v>0</v>
      </c>
      <c r="AI2739">
        <v>26.88</v>
      </c>
      <c r="AJ2739">
        <v>149.34</v>
      </c>
      <c r="AK2739">
        <v>0</v>
      </c>
      <c r="AL2739" t="s">
        <v>53</v>
      </c>
      <c r="AM2739" t="s">
        <v>53</v>
      </c>
      <c r="AN2739" t="s">
        <v>53</v>
      </c>
      <c r="AO2739" t="s">
        <v>53</v>
      </c>
      <c r="AP2739" t="s">
        <v>53</v>
      </c>
    </row>
    <row r="2740" spans="2:42" x14ac:dyDescent="0.2">
      <c r="B2740" t="s">
        <v>44</v>
      </c>
      <c r="C2740" t="str">
        <f>HYPERLINK("https://us2.cloudbeds.com/connect/8493803454333002#/reservations/6998940487812?display=4W7C508N8&amp;reservation_id=6998940487812", "4W7C508N8")</f>
        <v>4W7C508N8</v>
      </c>
      <c r="D2740" t="s">
        <v>45</v>
      </c>
      <c r="E2740" t="s">
        <v>110</v>
      </c>
      <c r="F2740" t="s">
        <v>47</v>
      </c>
      <c r="G2740" t="s">
        <v>48</v>
      </c>
      <c r="H2740" t="s">
        <v>49</v>
      </c>
      <c r="I2740" t="s">
        <v>62</v>
      </c>
      <c r="J2740" t="s">
        <v>1333</v>
      </c>
      <c r="K2740" t="s">
        <v>1933</v>
      </c>
      <c r="L2740" t="s">
        <v>53</v>
      </c>
      <c r="N2740" t="s">
        <v>4379</v>
      </c>
      <c r="P2740" t="s">
        <v>55</v>
      </c>
      <c r="R2740" t="s">
        <v>329</v>
      </c>
      <c r="T2740" t="s">
        <v>4380</v>
      </c>
      <c r="U2740" t="s">
        <v>55</v>
      </c>
      <c r="V2740">
        <v>1</v>
      </c>
      <c r="W2740">
        <v>1</v>
      </c>
      <c r="X2740">
        <v>1</v>
      </c>
      <c r="Y2740">
        <v>0</v>
      </c>
      <c r="Z2740">
        <v>1</v>
      </c>
      <c r="AA2740">
        <v>0</v>
      </c>
      <c r="AB2740">
        <v>176.17</v>
      </c>
      <c r="AC2740">
        <v>155</v>
      </c>
      <c r="AD2740">
        <v>0</v>
      </c>
      <c r="AE2740">
        <v>21.17</v>
      </c>
      <c r="AF2740">
        <v>0</v>
      </c>
      <c r="AG2740">
        <v>0</v>
      </c>
      <c r="AH2740">
        <v>0</v>
      </c>
      <c r="AI2740">
        <v>26.43</v>
      </c>
      <c r="AJ2740">
        <v>176.17</v>
      </c>
      <c r="AK2740">
        <v>0</v>
      </c>
      <c r="AL2740" t="s">
        <v>53</v>
      </c>
      <c r="AM2740" t="s">
        <v>53</v>
      </c>
      <c r="AN2740" t="s">
        <v>53</v>
      </c>
      <c r="AO2740" t="s">
        <v>53</v>
      </c>
      <c r="AP2740" t="s">
        <v>53</v>
      </c>
    </row>
    <row r="2741" spans="2:42" x14ac:dyDescent="0.2">
      <c r="B2741" t="s">
        <v>44</v>
      </c>
      <c r="C2741" t="str">
        <f>HYPERLINK("https://us2.cloudbeds.com/connect/8493803454333002#/reservations/7003388637354?display=4WAQQQJ6K&amp;reservation_id=7003388637354", "4WAQQQJ6K")</f>
        <v>4WAQQQJ6K</v>
      </c>
      <c r="D2741" t="s">
        <v>45</v>
      </c>
      <c r="E2741" t="s">
        <v>98</v>
      </c>
      <c r="F2741" t="s">
        <v>86</v>
      </c>
      <c r="G2741" t="s">
        <v>48</v>
      </c>
      <c r="H2741" t="s">
        <v>49</v>
      </c>
      <c r="I2741" t="s">
        <v>50</v>
      </c>
      <c r="J2741" t="s">
        <v>2384</v>
      </c>
      <c r="K2741" t="s">
        <v>2163</v>
      </c>
      <c r="L2741" t="s">
        <v>53</v>
      </c>
      <c r="N2741" t="s">
        <v>4381</v>
      </c>
      <c r="P2741" t="s">
        <v>55</v>
      </c>
      <c r="R2741" t="s">
        <v>53</v>
      </c>
      <c r="T2741" t="s">
        <v>4382</v>
      </c>
      <c r="U2741" t="s">
        <v>58</v>
      </c>
      <c r="V2741">
        <v>1</v>
      </c>
      <c r="W2741">
        <v>1</v>
      </c>
      <c r="X2741">
        <v>2</v>
      </c>
      <c r="Y2741">
        <v>0</v>
      </c>
      <c r="Z2741">
        <v>2</v>
      </c>
      <c r="AA2741">
        <v>0</v>
      </c>
      <c r="AB2741">
        <v>157.52000000000001</v>
      </c>
      <c r="AC2741">
        <v>138.6</v>
      </c>
      <c r="AD2741">
        <v>0</v>
      </c>
      <c r="AE2741">
        <v>18.920000000000002</v>
      </c>
      <c r="AF2741">
        <v>0</v>
      </c>
      <c r="AG2741">
        <v>0</v>
      </c>
      <c r="AH2741">
        <v>0</v>
      </c>
      <c r="AI2741">
        <v>28.35</v>
      </c>
      <c r="AJ2741">
        <v>157.52000000000001</v>
      </c>
      <c r="AK2741">
        <v>0</v>
      </c>
      <c r="AL2741" t="s">
        <v>53</v>
      </c>
      <c r="AM2741" t="s">
        <v>53</v>
      </c>
      <c r="AN2741" t="s">
        <v>53</v>
      </c>
      <c r="AO2741" t="s">
        <v>53</v>
      </c>
      <c r="AP2741" t="s">
        <v>53</v>
      </c>
    </row>
    <row r="2742" spans="2:42" x14ac:dyDescent="0.2">
      <c r="B2742" t="s">
        <v>44</v>
      </c>
      <c r="C2742" t="str">
        <f>HYPERLINK("https://us2.cloudbeds.com/connect/8493803454333002#/reservations/7011363696888?display=4WGWJJC6B&amp;reservation_id=7011363696888", "4WGWJJC6B")</f>
        <v>4WGWJJC6B</v>
      </c>
      <c r="D2742" t="s">
        <v>45</v>
      </c>
      <c r="E2742" t="s">
        <v>223</v>
      </c>
      <c r="F2742" t="s">
        <v>47</v>
      </c>
      <c r="G2742" t="s">
        <v>48</v>
      </c>
      <c r="H2742" t="s">
        <v>3957</v>
      </c>
      <c r="I2742" t="s">
        <v>3975</v>
      </c>
      <c r="J2742" t="s">
        <v>2790</v>
      </c>
      <c r="K2742" t="s">
        <v>1863</v>
      </c>
      <c r="L2742" t="s">
        <v>53</v>
      </c>
      <c r="P2742" t="s">
        <v>55</v>
      </c>
      <c r="R2742" t="s">
        <v>56</v>
      </c>
      <c r="T2742" t="s">
        <v>4383</v>
      </c>
      <c r="U2742" t="s">
        <v>58</v>
      </c>
      <c r="V2742">
        <v>1</v>
      </c>
      <c r="W2742">
        <v>1</v>
      </c>
      <c r="X2742">
        <v>2</v>
      </c>
      <c r="Y2742">
        <v>0</v>
      </c>
      <c r="Z2742">
        <v>2</v>
      </c>
      <c r="AA2742">
        <v>0</v>
      </c>
      <c r="AB2742">
        <v>139.80000000000001</v>
      </c>
      <c r="AC2742">
        <v>123</v>
      </c>
      <c r="AD2742">
        <v>0</v>
      </c>
      <c r="AE2742">
        <v>16.8</v>
      </c>
      <c r="AF2742">
        <v>0</v>
      </c>
      <c r="AG2742">
        <v>0</v>
      </c>
      <c r="AH2742">
        <v>0</v>
      </c>
      <c r="AI2742">
        <v>0</v>
      </c>
      <c r="AJ2742">
        <v>139.80000000000001</v>
      </c>
      <c r="AK2742">
        <v>0</v>
      </c>
      <c r="AL2742" t="s">
        <v>53</v>
      </c>
      <c r="AM2742" t="s">
        <v>53</v>
      </c>
      <c r="AN2742" t="s">
        <v>53</v>
      </c>
      <c r="AO2742" t="s">
        <v>53</v>
      </c>
      <c r="AP2742" t="s">
        <v>53</v>
      </c>
    </row>
    <row r="2743" spans="2:42" x14ac:dyDescent="0.2">
      <c r="B2743" t="s">
        <v>44</v>
      </c>
      <c r="C2743" t="str">
        <f>HYPERLINK("https://us2.cloudbeds.com/connect/8493803454333002#/reservations/7019127316624?display=4WMWW2HJF&amp;reservation_id=7019127316624", "4WMWW2HJF")</f>
        <v>4WMWW2HJF</v>
      </c>
      <c r="D2743" t="s">
        <v>45</v>
      </c>
      <c r="E2743" t="s">
        <v>78</v>
      </c>
      <c r="F2743" t="s">
        <v>61</v>
      </c>
      <c r="G2743" t="s">
        <v>48</v>
      </c>
      <c r="H2743" t="s">
        <v>49</v>
      </c>
      <c r="I2743" t="s">
        <v>62</v>
      </c>
      <c r="J2743" t="s">
        <v>1933</v>
      </c>
      <c r="K2743" t="s">
        <v>2206</v>
      </c>
      <c r="L2743" t="s">
        <v>53</v>
      </c>
      <c r="N2743" t="s">
        <v>4384</v>
      </c>
      <c r="P2743" t="s">
        <v>55</v>
      </c>
      <c r="R2743" t="s">
        <v>56</v>
      </c>
      <c r="T2743" t="s">
        <v>4385</v>
      </c>
      <c r="U2743" t="s">
        <v>55</v>
      </c>
      <c r="V2743">
        <v>2</v>
      </c>
      <c r="W2743">
        <v>1</v>
      </c>
      <c r="X2743">
        <v>2</v>
      </c>
      <c r="Y2743">
        <v>0</v>
      </c>
      <c r="Z2743">
        <v>2</v>
      </c>
      <c r="AA2743">
        <v>0</v>
      </c>
      <c r="AB2743">
        <v>327.32</v>
      </c>
      <c r="AC2743">
        <v>288</v>
      </c>
      <c r="AD2743">
        <v>0</v>
      </c>
      <c r="AE2743">
        <v>39.32</v>
      </c>
      <c r="AF2743">
        <v>0</v>
      </c>
      <c r="AG2743">
        <v>0</v>
      </c>
      <c r="AH2743">
        <v>0</v>
      </c>
      <c r="AI2743">
        <v>49.1</v>
      </c>
      <c r="AJ2743">
        <v>327.32</v>
      </c>
      <c r="AK2743">
        <v>0</v>
      </c>
      <c r="AL2743" t="s">
        <v>53</v>
      </c>
      <c r="AM2743" t="s">
        <v>53</v>
      </c>
      <c r="AN2743" t="s">
        <v>53</v>
      </c>
      <c r="AO2743" t="s">
        <v>53</v>
      </c>
      <c r="AP2743" t="s">
        <v>53</v>
      </c>
    </row>
    <row r="2744" spans="2:42" x14ac:dyDescent="0.2">
      <c r="B2744" t="s">
        <v>44</v>
      </c>
      <c r="C2744" t="str">
        <f>HYPERLINK("https://us2.cloudbeds.com/connect/8493803454333002#/reservations/7025895866510?display=4WS7UGDXP&amp;reservation_id=7025895866510", "4WS7UGDXP")</f>
        <v>4WS7UGDXP</v>
      </c>
      <c r="D2744" t="s">
        <v>45</v>
      </c>
      <c r="E2744" t="s">
        <v>406</v>
      </c>
      <c r="F2744" t="s">
        <v>61</v>
      </c>
      <c r="G2744" t="s">
        <v>48</v>
      </c>
      <c r="H2744" t="s">
        <v>49</v>
      </c>
      <c r="I2744" t="s">
        <v>62</v>
      </c>
      <c r="J2744" t="s">
        <v>1515</v>
      </c>
      <c r="K2744" t="s">
        <v>2162</v>
      </c>
      <c r="L2744" t="s">
        <v>53</v>
      </c>
      <c r="N2744" t="s">
        <v>4386</v>
      </c>
      <c r="P2744" t="s">
        <v>55</v>
      </c>
      <c r="R2744" t="s">
        <v>205</v>
      </c>
      <c r="T2744" t="s">
        <v>4387</v>
      </c>
      <c r="U2744" t="s">
        <v>55</v>
      </c>
      <c r="V2744">
        <v>1</v>
      </c>
      <c r="W2744">
        <v>1</v>
      </c>
      <c r="X2744">
        <v>2</v>
      </c>
      <c r="Y2744">
        <v>0</v>
      </c>
      <c r="Z2744">
        <v>2</v>
      </c>
      <c r="AA2744">
        <v>0</v>
      </c>
      <c r="AB2744">
        <v>178.43</v>
      </c>
      <c r="AC2744">
        <v>157</v>
      </c>
      <c r="AD2744">
        <v>0</v>
      </c>
      <c r="AE2744">
        <v>21.43</v>
      </c>
      <c r="AF2744">
        <v>0</v>
      </c>
      <c r="AG2744">
        <v>0</v>
      </c>
      <c r="AH2744">
        <v>0</v>
      </c>
      <c r="AI2744">
        <v>26.76</v>
      </c>
      <c r="AJ2744">
        <v>178.43</v>
      </c>
      <c r="AK2744">
        <v>0</v>
      </c>
      <c r="AL2744" t="s">
        <v>53</v>
      </c>
      <c r="AM2744" t="s">
        <v>53</v>
      </c>
      <c r="AN2744" t="s">
        <v>53</v>
      </c>
      <c r="AO2744" t="s">
        <v>53</v>
      </c>
      <c r="AP2744" t="s">
        <v>53</v>
      </c>
    </row>
    <row r="2745" spans="2:42" x14ac:dyDescent="0.2">
      <c r="B2745" t="s">
        <v>44</v>
      </c>
      <c r="C2745" t="str">
        <f>HYPERLINK("https://us2.cloudbeds.com/connect/8493803454333002#/reservations/7035846451417?display=502V633EZ&amp;reservation_id=7035846451417", "502V633EZ")</f>
        <v>502V633EZ</v>
      </c>
      <c r="D2745" t="s">
        <v>45</v>
      </c>
      <c r="E2745" t="s">
        <v>155</v>
      </c>
      <c r="F2745" t="s">
        <v>86</v>
      </c>
      <c r="G2745" t="s">
        <v>48</v>
      </c>
      <c r="H2745" t="s">
        <v>49</v>
      </c>
      <c r="I2745" t="s">
        <v>50</v>
      </c>
      <c r="J2745" t="s">
        <v>2960</v>
      </c>
      <c r="K2745" t="s">
        <v>1523</v>
      </c>
      <c r="L2745" t="s">
        <v>53</v>
      </c>
      <c r="N2745" t="s">
        <v>4388</v>
      </c>
      <c r="P2745" t="s">
        <v>55</v>
      </c>
      <c r="R2745" t="s">
        <v>53</v>
      </c>
      <c r="T2745" t="s">
        <v>4389</v>
      </c>
      <c r="U2745" t="s">
        <v>58</v>
      </c>
      <c r="V2745">
        <v>2</v>
      </c>
      <c r="W2745">
        <v>1</v>
      </c>
      <c r="X2745">
        <v>2</v>
      </c>
      <c r="Y2745">
        <v>0</v>
      </c>
      <c r="Z2745">
        <v>2</v>
      </c>
      <c r="AA2745">
        <v>0</v>
      </c>
      <c r="AB2745">
        <v>293.57</v>
      </c>
      <c r="AC2745">
        <v>258.3</v>
      </c>
      <c r="AD2745">
        <v>0</v>
      </c>
      <c r="AE2745">
        <v>35.270000000000003</v>
      </c>
      <c r="AF2745">
        <v>0</v>
      </c>
      <c r="AG2745">
        <v>0</v>
      </c>
      <c r="AH2745">
        <v>0</v>
      </c>
      <c r="AI2745">
        <v>52.84</v>
      </c>
      <c r="AJ2745">
        <v>293.57</v>
      </c>
      <c r="AK2745">
        <v>0</v>
      </c>
      <c r="AL2745" t="s">
        <v>53</v>
      </c>
      <c r="AM2745" t="s">
        <v>53</v>
      </c>
      <c r="AN2745" t="s">
        <v>53</v>
      </c>
      <c r="AO2745" t="s">
        <v>53</v>
      </c>
      <c r="AP2745" t="s">
        <v>53</v>
      </c>
    </row>
    <row r="2746" spans="2:42" x14ac:dyDescent="0.2">
      <c r="B2746" t="s">
        <v>44</v>
      </c>
      <c r="C2746" t="str">
        <f>HYPERLINK("https://us2.cloudbeds.com/connect/8493803454333002#/reservations/7059949908146?display=50YK2PAHD&amp;reservation_id=7059949908146", "50YK2PAHD")</f>
        <v>50YK2PAHD</v>
      </c>
      <c r="D2746" t="s">
        <v>45</v>
      </c>
      <c r="E2746" t="s">
        <v>373</v>
      </c>
      <c r="F2746" t="s">
        <v>47</v>
      </c>
      <c r="G2746" t="s">
        <v>48</v>
      </c>
      <c r="H2746" t="s">
        <v>49</v>
      </c>
      <c r="I2746" t="s">
        <v>50</v>
      </c>
      <c r="J2746" t="s">
        <v>1862</v>
      </c>
      <c r="K2746" t="s">
        <v>1863</v>
      </c>
      <c r="L2746" t="s">
        <v>53</v>
      </c>
      <c r="N2746" t="s">
        <v>4390</v>
      </c>
      <c r="P2746" t="s">
        <v>55</v>
      </c>
      <c r="R2746" t="s">
        <v>53</v>
      </c>
      <c r="T2746" t="s">
        <v>4391</v>
      </c>
      <c r="U2746" t="s">
        <v>58</v>
      </c>
      <c r="V2746">
        <v>2</v>
      </c>
      <c r="W2746">
        <v>1</v>
      </c>
      <c r="X2746">
        <v>1</v>
      </c>
      <c r="Y2746">
        <v>0</v>
      </c>
      <c r="Z2746">
        <v>1</v>
      </c>
      <c r="AA2746">
        <v>0</v>
      </c>
      <c r="AB2746">
        <v>315.02999999999997</v>
      </c>
      <c r="AC2746">
        <v>277.2</v>
      </c>
      <c r="AD2746">
        <v>0</v>
      </c>
      <c r="AE2746">
        <v>37.83</v>
      </c>
      <c r="AF2746">
        <v>0</v>
      </c>
      <c r="AG2746">
        <v>0</v>
      </c>
      <c r="AH2746">
        <v>0</v>
      </c>
      <c r="AI2746">
        <v>56.71</v>
      </c>
      <c r="AJ2746">
        <v>315.02999999999997</v>
      </c>
      <c r="AK2746">
        <v>0</v>
      </c>
      <c r="AL2746" t="s">
        <v>53</v>
      </c>
      <c r="AM2746" t="s">
        <v>53</v>
      </c>
      <c r="AN2746" t="s">
        <v>53</v>
      </c>
      <c r="AO2746" t="s">
        <v>53</v>
      </c>
      <c r="AP2746" t="s">
        <v>53</v>
      </c>
    </row>
    <row r="2747" spans="2:42" x14ac:dyDescent="0.2">
      <c r="B2747" t="s">
        <v>44</v>
      </c>
      <c r="C2747" t="str">
        <f>HYPERLINK("https://us2.cloudbeds.com/connect/8493803454333002#/reservations/7060462342279?display=50M05SX9F&amp;reservation_id=7060462342279", "50M05SX9F")</f>
        <v>50M05SX9F</v>
      </c>
      <c r="D2747" t="s">
        <v>45</v>
      </c>
      <c r="E2747" t="s">
        <v>305</v>
      </c>
      <c r="F2747" t="s">
        <v>61</v>
      </c>
      <c r="G2747" t="s">
        <v>48</v>
      </c>
      <c r="H2747" t="s">
        <v>49</v>
      </c>
      <c r="I2747" t="s">
        <v>50</v>
      </c>
      <c r="J2747" t="s">
        <v>1515</v>
      </c>
      <c r="K2747" t="s">
        <v>2162</v>
      </c>
      <c r="L2747" t="s">
        <v>53</v>
      </c>
      <c r="N2747" t="s">
        <v>4392</v>
      </c>
      <c r="P2747" t="s">
        <v>55</v>
      </c>
      <c r="R2747" t="s">
        <v>53</v>
      </c>
      <c r="T2747" t="s">
        <v>4393</v>
      </c>
      <c r="U2747" t="s">
        <v>58</v>
      </c>
      <c r="V2747">
        <v>1</v>
      </c>
      <c r="W2747">
        <v>1</v>
      </c>
      <c r="X2747">
        <v>2</v>
      </c>
      <c r="Y2747">
        <v>0</v>
      </c>
      <c r="Z2747">
        <v>2</v>
      </c>
      <c r="AA2747">
        <v>0</v>
      </c>
      <c r="AB2747">
        <v>160.6</v>
      </c>
      <c r="AC2747">
        <v>141.30000000000001</v>
      </c>
      <c r="AD2747">
        <v>0</v>
      </c>
      <c r="AE2747">
        <v>19.3</v>
      </c>
      <c r="AF2747">
        <v>0</v>
      </c>
      <c r="AG2747">
        <v>0</v>
      </c>
      <c r="AH2747">
        <v>0</v>
      </c>
      <c r="AI2747">
        <v>28.91</v>
      </c>
      <c r="AJ2747">
        <v>160.6</v>
      </c>
      <c r="AK2747">
        <v>0</v>
      </c>
      <c r="AL2747" t="s">
        <v>53</v>
      </c>
      <c r="AM2747" t="s">
        <v>53</v>
      </c>
      <c r="AN2747" t="s">
        <v>53</v>
      </c>
      <c r="AO2747" t="s">
        <v>53</v>
      </c>
      <c r="AP2747" t="s">
        <v>53</v>
      </c>
    </row>
    <row r="2748" spans="2:42" x14ac:dyDescent="0.2">
      <c r="B2748" t="s">
        <v>44</v>
      </c>
      <c r="C2748" t="str">
        <f>HYPERLINK("https://us2.cloudbeds.com/connect/8493803454333002#/reservations/7067315699866?display=50RA9QAV3&amp;reservation_id=7067315699866", "50RA9QAV3")</f>
        <v>50RA9QAV3</v>
      </c>
      <c r="D2748" t="s">
        <v>45</v>
      </c>
      <c r="E2748" t="s">
        <v>265</v>
      </c>
      <c r="F2748" t="s">
        <v>61</v>
      </c>
      <c r="G2748" t="s">
        <v>48</v>
      </c>
      <c r="H2748" t="s">
        <v>49</v>
      </c>
      <c r="I2748" t="s">
        <v>50</v>
      </c>
      <c r="J2748" t="s">
        <v>1515</v>
      </c>
      <c r="K2748" t="s">
        <v>2162</v>
      </c>
      <c r="L2748" t="s">
        <v>53</v>
      </c>
      <c r="N2748" t="s">
        <v>4394</v>
      </c>
      <c r="P2748" t="s">
        <v>55</v>
      </c>
      <c r="R2748" t="s">
        <v>53</v>
      </c>
      <c r="T2748" t="s">
        <v>4395</v>
      </c>
      <c r="U2748" t="s">
        <v>58</v>
      </c>
      <c r="V2748">
        <v>1</v>
      </c>
      <c r="W2748">
        <v>1</v>
      </c>
      <c r="X2748">
        <v>2</v>
      </c>
      <c r="Y2748">
        <v>0</v>
      </c>
      <c r="Z2748">
        <v>2</v>
      </c>
      <c r="AA2748">
        <v>0</v>
      </c>
      <c r="AB2748">
        <v>160.6</v>
      </c>
      <c r="AC2748">
        <v>141.30000000000001</v>
      </c>
      <c r="AD2748">
        <v>0</v>
      </c>
      <c r="AE2748">
        <v>19.3</v>
      </c>
      <c r="AF2748">
        <v>0</v>
      </c>
      <c r="AG2748">
        <v>0</v>
      </c>
      <c r="AH2748">
        <v>0</v>
      </c>
      <c r="AI2748">
        <v>28.91</v>
      </c>
      <c r="AJ2748">
        <v>160.6</v>
      </c>
      <c r="AK2748">
        <v>0</v>
      </c>
      <c r="AL2748" t="s">
        <v>53</v>
      </c>
      <c r="AM2748" t="s">
        <v>53</v>
      </c>
      <c r="AN2748" t="s">
        <v>53</v>
      </c>
      <c r="AO2748" t="s">
        <v>53</v>
      </c>
      <c r="AP2748" t="s">
        <v>53</v>
      </c>
    </row>
    <row r="2749" spans="2:42" x14ac:dyDescent="0.2">
      <c r="B2749" t="s">
        <v>44</v>
      </c>
      <c r="C2749" t="str">
        <f>HYPERLINK("https://us2.cloudbeds.com/connect/8493803454333002#/reservations/7083956465912?display=5176GZ5RS&amp;reservation_id=7083956465912", "5176GZ5RS")</f>
        <v>5176GZ5RS</v>
      </c>
      <c r="D2749" t="s">
        <v>45</v>
      </c>
      <c r="E2749" t="s">
        <v>121</v>
      </c>
      <c r="F2749" t="s">
        <v>86</v>
      </c>
      <c r="G2749" t="s">
        <v>48</v>
      </c>
      <c r="H2749" t="s">
        <v>49</v>
      </c>
      <c r="I2749" t="s">
        <v>50</v>
      </c>
      <c r="J2749" t="s">
        <v>1515</v>
      </c>
      <c r="K2749" t="s">
        <v>2162</v>
      </c>
      <c r="L2749" t="s">
        <v>53</v>
      </c>
      <c r="N2749" t="s">
        <v>4396</v>
      </c>
      <c r="P2749" t="s">
        <v>55</v>
      </c>
      <c r="R2749" t="s">
        <v>53</v>
      </c>
      <c r="T2749" t="s">
        <v>4397</v>
      </c>
      <c r="U2749" t="s">
        <v>58</v>
      </c>
      <c r="V2749">
        <v>1</v>
      </c>
      <c r="W2749">
        <v>1</v>
      </c>
      <c r="X2749">
        <v>2</v>
      </c>
      <c r="Y2749">
        <v>0</v>
      </c>
      <c r="Z2749">
        <v>2</v>
      </c>
      <c r="AA2749">
        <v>0</v>
      </c>
      <c r="AB2749">
        <v>168.78</v>
      </c>
      <c r="AC2749">
        <v>148.5</v>
      </c>
      <c r="AD2749">
        <v>0</v>
      </c>
      <c r="AE2749">
        <v>20.28</v>
      </c>
      <c r="AF2749">
        <v>0</v>
      </c>
      <c r="AG2749">
        <v>0</v>
      </c>
      <c r="AH2749">
        <v>0</v>
      </c>
      <c r="AI2749">
        <v>30.38</v>
      </c>
      <c r="AJ2749">
        <v>168.78</v>
      </c>
      <c r="AK2749">
        <v>0</v>
      </c>
      <c r="AL2749" t="s">
        <v>53</v>
      </c>
      <c r="AM2749" t="s">
        <v>53</v>
      </c>
      <c r="AN2749" t="s">
        <v>53</v>
      </c>
      <c r="AO2749" t="s">
        <v>53</v>
      </c>
      <c r="AP2749" t="s">
        <v>53</v>
      </c>
    </row>
    <row r="2750" spans="2:42" x14ac:dyDescent="0.2">
      <c r="B2750" t="s">
        <v>44</v>
      </c>
      <c r="C2750" t="str">
        <f>HYPERLINK("https://us2.cloudbeds.com/connect/8493803454333002#/reservations/7101309690105?display=51KKUE79E&amp;reservation_id=7101309690105", "51KKUE79E")</f>
        <v>51KKUE79E</v>
      </c>
      <c r="D2750" t="s">
        <v>45</v>
      </c>
      <c r="E2750" t="s">
        <v>487</v>
      </c>
      <c r="F2750" t="s">
        <v>61</v>
      </c>
      <c r="G2750" t="s">
        <v>48</v>
      </c>
      <c r="H2750" t="s">
        <v>49</v>
      </c>
      <c r="I2750" t="s">
        <v>62</v>
      </c>
      <c r="J2750" t="s">
        <v>1501</v>
      </c>
      <c r="K2750" t="s">
        <v>3551</v>
      </c>
      <c r="L2750" t="s">
        <v>53</v>
      </c>
      <c r="N2750" t="s">
        <v>4398</v>
      </c>
      <c r="P2750" t="s">
        <v>55</v>
      </c>
      <c r="R2750" t="s">
        <v>56</v>
      </c>
      <c r="T2750" t="s">
        <v>4399</v>
      </c>
      <c r="U2750" t="s">
        <v>55</v>
      </c>
      <c r="V2750">
        <v>2</v>
      </c>
      <c r="W2750">
        <v>1</v>
      </c>
      <c r="X2750">
        <v>2</v>
      </c>
      <c r="Y2750">
        <v>0</v>
      </c>
      <c r="Z2750">
        <v>2</v>
      </c>
      <c r="AA2750">
        <v>0</v>
      </c>
      <c r="AB2750">
        <v>287.42</v>
      </c>
      <c r="AC2750">
        <v>252.9</v>
      </c>
      <c r="AD2750">
        <v>0</v>
      </c>
      <c r="AE2750">
        <v>34.520000000000003</v>
      </c>
      <c r="AF2750">
        <v>0</v>
      </c>
      <c r="AG2750">
        <v>0</v>
      </c>
      <c r="AH2750">
        <v>0</v>
      </c>
      <c r="AI2750">
        <v>43.11</v>
      </c>
      <c r="AJ2750">
        <v>287.42</v>
      </c>
      <c r="AK2750">
        <v>0</v>
      </c>
      <c r="AL2750" t="s">
        <v>53</v>
      </c>
      <c r="AM2750" t="s">
        <v>53</v>
      </c>
      <c r="AN2750" t="s">
        <v>53</v>
      </c>
      <c r="AO2750" t="s">
        <v>53</v>
      </c>
      <c r="AP2750" t="s">
        <v>53</v>
      </c>
    </row>
    <row r="2751" spans="2:42" x14ac:dyDescent="0.2">
      <c r="B2751" t="s">
        <v>44</v>
      </c>
      <c r="C2751" t="str">
        <f>HYPERLINK("https://us2.cloudbeds.com/connect/8493803454333002#/reservations/7102775242956?display=51YPC7CRT&amp;reservation_id=7102775242956", "51YPC7CRT")</f>
        <v>51YPC7CRT</v>
      </c>
      <c r="D2751" t="s">
        <v>45</v>
      </c>
      <c r="E2751" t="s">
        <v>92</v>
      </c>
      <c r="F2751" t="s">
        <v>86</v>
      </c>
      <c r="G2751" t="s">
        <v>48</v>
      </c>
      <c r="H2751" t="s">
        <v>49</v>
      </c>
      <c r="I2751" t="s">
        <v>50</v>
      </c>
      <c r="J2751" t="s">
        <v>1515</v>
      </c>
      <c r="K2751" t="s">
        <v>2162</v>
      </c>
      <c r="L2751" t="s">
        <v>53</v>
      </c>
      <c r="N2751" t="s">
        <v>4400</v>
      </c>
      <c r="P2751" t="s">
        <v>55</v>
      </c>
      <c r="R2751" t="s">
        <v>53</v>
      </c>
      <c r="T2751" t="s">
        <v>4401</v>
      </c>
      <c r="U2751" t="s">
        <v>58</v>
      </c>
      <c r="V2751">
        <v>1</v>
      </c>
      <c r="W2751">
        <v>1</v>
      </c>
      <c r="X2751">
        <v>1</v>
      </c>
      <c r="Y2751">
        <v>0</v>
      </c>
      <c r="Z2751">
        <v>1</v>
      </c>
      <c r="AA2751">
        <v>0</v>
      </c>
      <c r="AB2751">
        <v>168.78</v>
      </c>
      <c r="AC2751">
        <v>148.5</v>
      </c>
      <c r="AD2751">
        <v>0</v>
      </c>
      <c r="AE2751">
        <v>20.28</v>
      </c>
      <c r="AF2751">
        <v>0</v>
      </c>
      <c r="AG2751">
        <v>0</v>
      </c>
      <c r="AH2751">
        <v>0</v>
      </c>
      <c r="AI2751">
        <v>30.38</v>
      </c>
      <c r="AJ2751">
        <v>168.78</v>
      </c>
      <c r="AK2751">
        <v>0</v>
      </c>
      <c r="AL2751" t="s">
        <v>53</v>
      </c>
      <c r="AM2751" t="s">
        <v>53</v>
      </c>
      <c r="AN2751" t="s">
        <v>53</v>
      </c>
      <c r="AO2751" t="s">
        <v>53</v>
      </c>
      <c r="AP2751" t="s">
        <v>53</v>
      </c>
    </row>
    <row r="2752" spans="2:42" x14ac:dyDescent="0.2">
      <c r="B2752" t="s">
        <v>44</v>
      </c>
      <c r="C2752" t="str">
        <f>HYPERLINK("https://us2.cloudbeds.com/connect/8493803454333002#/reservations/7110797598959?display=51RWBT8UV&amp;reservation_id=7110797598959", "51RWBT8UV")</f>
        <v>51RWBT8UV</v>
      </c>
      <c r="D2752" t="s">
        <v>45</v>
      </c>
      <c r="E2752" t="s">
        <v>138</v>
      </c>
      <c r="F2752" t="s">
        <v>70</v>
      </c>
      <c r="G2752" t="s">
        <v>48</v>
      </c>
      <c r="H2752" t="s">
        <v>3957</v>
      </c>
      <c r="I2752" t="s">
        <v>3975</v>
      </c>
      <c r="J2752" t="s">
        <v>2162</v>
      </c>
      <c r="K2752" t="s">
        <v>2384</v>
      </c>
      <c r="L2752" t="s">
        <v>53</v>
      </c>
      <c r="P2752" t="s">
        <v>55</v>
      </c>
      <c r="R2752" t="s">
        <v>56</v>
      </c>
      <c r="T2752" t="s">
        <v>4402</v>
      </c>
      <c r="U2752" t="s">
        <v>58</v>
      </c>
      <c r="V2752">
        <v>1</v>
      </c>
      <c r="W2752">
        <v>1</v>
      </c>
      <c r="X2752">
        <v>2</v>
      </c>
      <c r="Y2752">
        <v>0</v>
      </c>
      <c r="Z2752">
        <v>2</v>
      </c>
      <c r="AA2752">
        <v>0</v>
      </c>
      <c r="AB2752">
        <v>167.07</v>
      </c>
      <c r="AC2752">
        <v>147</v>
      </c>
      <c r="AD2752">
        <v>0</v>
      </c>
      <c r="AE2752">
        <v>20.07</v>
      </c>
      <c r="AF2752">
        <v>0</v>
      </c>
      <c r="AG2752">
        <v>0</v>
      </c>
      <c r="AH2752">
        <v>0</v>
      </c>
      <c r="AI2752">
        <v>0</v>
      </c>
      <c r="AJ2752">
        <v>167.07</v>
      </c>
      <c r="AK2752">
        <v>0</v>
      </c>
      <c r="AL2752" t="s">
        <v>53</v>
      </c>
      <c r="AM2752" t="s">
        <v>53</v>
      </c>
      <c r="AN2752" t="s">
        <v>53</v>
      </c>
      <c r="AO2752" t="s">
        <v>53</v>
      </c>
      <c r="AP2752" t="s">
        <v>53</v>
      </c>
    </row>
    <row r="2753" spans="2:42" x14ac:dyDescent="0.2">
      <c r="B2753" t="s">
        <v>44</v>
      </c>
      <c r="C2753" t="str">
        <f>HYPERLINK("https://us2.cloudbeds.com/connect/8493803454333002#/reservations/7135380345006?display=52E0GNDPB&amp;reservation_id=7135380345006", "52E0GNDPB")</f>
        <v>52E0GNDPB</v>
      </c>
      <c r="D2753" t="s">
        <v>45</v>
      </c>
      <c r="E2753" t="s">
        <v>85</v>
      </c>
      <c r="F2753" t="s">
        <v>86</v>
      </c>
      <c r="G2753" t="s">
        <v>48</v>
      </c>
      <c r="H2753" t="s">
        <v>49</v>
      </c>
      <c r="I2753" t="s">
        <v>50</v>
      </c>
      <c r="J2753" t="s">
        <v>1862</v>
      </c>
      <c r="K2753" t="s">
        <v>1863</v>
      </c>
      <c r="L2753" t="s">
        <v>53</v>
      </c>
      <c r="N2753" t="s">
        <v>4403</v>
      </c>
      <c r="P2753" t="s">
        <v>55</v>
      </c>
      <c r="R2753" t="s">
        <v>53</v>
      </c>
      <c r="T2753" t="s">
        <v>4404</v>
      </c>
      <c r="U2753" t="s">
        <v>58</v>
      </c>
      <c r="V2753">
        <v>2</v>
      </c>
      <c r="W2753">
        <v>1</v>
      </c>
      <c r="X2753">
        <v>2</v>
      </c>
      <c r="Y2753">
        <v>0</v>
      </c>
      <c r="Z2753">
        <v>2</v>
      </c>
      <c r="AA2753">
        <v>0</v>
      </c>
      <c r="AB2753">
        <v>338.57</v>
      </c>
      <c r="AC2753">
        <v>297.89999999999998</v>
      </c>
      <c r="AD2753">
        <v>0</v>
      </c>
      <c r="AE2753">
        <v>40.67</v>
      </c>
      <c r="AF2753">
        <v>0</v>
      </c>
      <c r="AG2753">
        <v>0</v>
      </c>
      <c r="AH2753">
        <v>0</v>
      </c>
      <c r="AI2753">
        <v>60.94</v>
      </c>
      <c r="AJ2753">
        <v>338.57</v>
      </c>
      <c r="AK2753">
        <v>0</v>
      </c>
      <c r="AL2753" t="s">
        <v>53</v>
      </c>
      <c r="AM2753" t="s">
        <v>53</v>
      </c>
      <c r="AN2753" t="s">
        <v>53</v>
      </c>
      <c r="AO2753" t="s">
        <v>53</v>
      </c>
      <c r="AP2753" t="s">
        <v>53</v>
      </c>
    </row>
    <row r="2754" spans="2:42" x14ac:dyDescent="0.2">
      <c r="B2754" t="s">
        <v>44</v>
      </c>
      <c r="C2754" t="str">
        <f>HYPERLINK("https://us2.cloudbeds.com/connect/8493803454333002#/reservations/7143139643537?display=52K0PXB3S&amp;reservation_id=7143139643537", "52K0PXB3S")</f>
        <v>52K0PXB3S</v>
      </c>
      <c r="D2754" t="s">
        <v>45</v>
      </c>
      <c r="E2754" t="s">
        <v>179</v>
      </c>
      <c r="F2754" t="s">
        <v>47</v>
      </c>
      <c r="G2754" t="s">
        <v>48</v>
      </c>
      <c r="H2754" t="s">
        <v>49</v>
      </c>
      <c r="I2754" t="s">
        <v>62</v>
      </c>
      <c r="J2754" t="s">
        <v>3080</v>
      </c>
      <c r="K2754" t="s">
        <v>1767</v>
      </c>
      <c r="L2754" t="s">
        <v>53</v>
      </c>
      <c r="N2754" t="s">
        <v>4405</v>
      </c>
      <c r="P2754" t="s">
        <v>55</v>
      </c>
      <c r="R2754" t="s">
        <v>56</v>
      </c>
      <c r="T2754" t="s">
        <v>4406</v>
      </c>
      <c r="U2754" t="s">
        <v>55</v>
      </c>
      <c r="V2754">
        <v>2</v>
      </c>
      <c r="W2754">
        <v>1</v>
      </c>
      <c r="X2754">
        <v>2</v>
      </c>
      <c r="Y2754">
        <v>0</v>
      </c>
      <c r="Z2754">
        <v>2</v>
      </c>
      <c r="AA2754">
        <v>0</v>
      </c>
      <c r="AB2754">
        <v>253.66</v>
      </c>
      <c r="AC2754">
        <v>223.2</v>
      </c>
      <c r="AD2754">
        <v>0</v>
      </c>
      <c r="AE2754">
        <v>30.46</v>
      </c>
      <c r="AF2754">
        <v>0</v>
      </c>
      <c r="AG2754">
        <v>0</v>
      </c>
      <c r="AH2754">
        <v>0</v>
      </c>
      <c r="AI2754">
        <v>38.049999999999997</v>
      </c>
      <c r="AJ2754">
        <v>253.66</v>
      </c>
      <c r="AK2754">
        <v>0</v>
      </c>
      <c r="AL2754" t="s">
        <v>53</v>
      </c>
      <c r="AM2754" t="s">
        <v>53</v>
      </c>
      <c r="AN2754" t="s">
        <v>53</v>
      </c>
      <c r="AO2754" t="s">
        <v>53</v>
      </c>
      <c r="AP2754" t="s">
        <v>53</v>
      </c>
    </row>
    <row r="2755" spans="2:42" x14ac:dyDescent="0.2">
      <c r="B2755" t="s">
        <v>44</v>
      </c>
      <c r="C2755" t="str">
        <f>HYPERLINK("https://us2.cloudbeds.com/connect/8493803454333002#/reservations/7245888024818?display=550J7NGPD&amp;reservation_id=7245888024818", "550J7NGPD")</f>
        <v>550J7NGPD</v>
      </c>
      <c r="D2755" t="s">
        <v>45</v>
      </c>
      <c r="E2755" t="s">
        <v>190</v>
      </c>
      <c r="F2755" t="s">
        <v>61</v>
      </c>
      <c r="G2755" t="s">
        <v>48</v>
      </c>
      <c r="H2755" t="s">
        <v>49</v>
      </c>
      <c r="I2755" t="s">
        <v>50</v>
      </c>
      <c r="J2755" t="s">
        <v>1436</v>
      </c>
      <c r="K2755" t="s">
        <v>1333</v>
      </c>
      <c r="L2755" t="s">
        <v>53</v>
      </c>
      <c r="N2755" t="s">
        <v>4407</v>
      </c>
      <c r="P2755" t="s">
        <v>55</v>
      </c>
      <c r="R2755" t="s">
        <v>53</v>
      </c>
      <c r="T2755" t="s">
        <v>4408</v>
      </c>
      <c r="U2755" t="s">
        <v>58</v>
      </c>
      <c r="V2755">
        <v>2</v>
      </c>
      <c r="W2755">
        <v>1</v>
      </c>
      <c r="X2755">
        <v>1</v>
      </c>
      <c r="Y2755">
        <v>0</v>
      </c>
      <c r="Z2755">
        <v>1</v>
      </c>
      <c r="AA2755">
        <v>0</v>
      </c>
      <c r="AB2755">
        <v>352.89</v>
      </c>
      <c r="AC2755">
        <v>310.5</v>
      </c>
      <c r="AD2755">
        <v>0</v>
      </c>
      <c r="AE2755">
        <v>42.39</v>
      </c>
      <c r="AF2755">
        <v>0</v>
      </c>
      <c r="AG2755">
        <v>0</v>
      </c>
      <c r="AH2755">
        <v>0</v>
      </c>
      <c r="AI2755">
        <v>63.52</v>
      </c>
      <c r="AJ2755">
        <v>352.89</v>
      </c>
      <c r="AK2755">
        <v>0</v>
      </c>
      <c r="AL2755" t="s">
        <v>53</v>
      </c>
      <c r="AM2755" t="s">
        <v>53</v>
      </c>
      <c r="AN2755" t="s">
        <v>53</v>
      </c>
      <c r="AO2755" t="s">
        <v>53</v>
      </c>
      <c r="AP2755" t="s">
        <v>53</v>
      </c>
    </row>
    <row r="2756" spans="2:42" x14ac:dyDescent="0.2">
      <c r="B2756" t="s">
        <v>44</v>
      </c>
      <c r="C2756" t="str">
        <f>HYPERLINK("https://us2.cloudbeds.com/connect/8493803454333002#/reservations/7308938727640?display=56GDAZ8GY&amp;reservation_id=7308938727640", "56GDAZ8GY")</f>
        <v>56GDAZ8GY</v>
      </c>
      <c r="D2756" t="s">
        <v>45</v>
      </c>
      <c r="E2756" t="s">
        <v>155</v>
      </c>
      <c r="F2756" t="s">
        <v>86</v>
      </c>
      <c r="G2756" t="s">
        <v>48</v>
      </c>
      <c r="H2756" t="s">
        <v>49</v>
      </c>
      <c r="I2756" t="s">
        <v>62</v>
      </c>
      <c r="J2756" t="s">
        <v>2790</v>
      </c>
      <c r="K2756" t="s">
        <v>1745</v>
      </c>
      <c r="L2756" t="s">
        <v>53</v>
      </c>
      <c r="N2756" t="s">
        <v>4409</v>
      </c>
      <c r="P2756" t="s">
        <v>55</v>
      </c>
      <c r="R2756" t="s">
        <v>56</v>
      </c>
      <c r="T2756" t="s">
        <v>4410</v>
      </c>
      <c r="U2756" t="s">
        <v>55</v>
      </c>
      <c r="V2756">
        <v>3</v>
      </c>
      <c r="W2756">
        <v>1</v>
      </c>
      <c r="X2756">
        <v>2</v>
      </c>
      <c r="Y2756">
        <v>0</v>
      </c>
      <c r="Z2756">
        <v>2</v>
      </c>
      <c r="AA2756">
        <v>0</v>
      </c>
      <c r="AB2756">
        <v>477.33</v>
      </c>
      <c r="AC2756">
        <v>420</v>
      </c>
      <c r="AD2756">
        <v>0</v>
      </c>
      <c r="AE2756">
        <v>57.33</v>
      </c>
      <c r="AF2756">
        <v>0</v>
      </c>
      <c r="AG2756">
        <v>0</v>
      </c>
      <c r="AH2756">
        <v>0</v>
      </c>
      <c r="AI2756">
        <v>71.599999999999994</v>
      </c>
      <c r="AJ2756">
        <v>477.33</v>
      </c>
      <c r="AK2756">
        <v>0</v>
      </c>
      <c r="AL2756" t="s">
        <v>53</v>
      </c>
      <c r="AM2756" t="s">
        <v>53</v>
      </c>
      <c r="AN2756" t="s">
        <v>53</v>
      </c>
      <c r="AO2756" t="s">
        <v>53</v>
      </c>
      <c r="AP2756" t="s">
        <v>53</v>
      </c>
    </row>
    <row r="2757" spans="2:42" x14ac:dyDescent="0.2">
      <c r="B2757" t="s">
        <v>44</v>
      </c>
      <c r="C2757" t="str">
        <f>HYPERLINK("https://us2.cloudbeds.com/connect/8493803454333002#/reservations/7326456934566?display=56TVVX67W&amp;reservation_id=7326456934566", "56TVVX67W")</f>
        <v>56TVVX67W</v>
      </c>
      <c r="D2757" t="s">
        <v>45</v>
      </c>
      <c r="E2757" t="s">
        <v>155</v>
      </c>
      <c r="F2757" t="s">
        <v>86</v>
      </c>
      <c r="G2757" t="s">
        <v>3974</v>
      </c>
      <c r="H2757" t="s">
        <v>3957</v>
      </c>
      <c r="I2757" t="s">
        <v>3975</v>
      </c>
      <c r="J2757" t="s">
        <v>1333</v>
      </c>
      <c r="K2757" t="s">
        <v>1933</v>
      </c>
      <c r="L2757" t="s">
        <v>53</v>
      </c>
      <c r="P2757" t="s">
        <v>55</v>
      </c>
      <c r="R2757" t="s">
        <v>56</v>
      </c>
      <c r="T2757" t="s">
        <v>4411</v>
      </c>
      <c r="U2757" t="s">
        <v>58</v>
      </c>
      <c r="V2757">
        <v>1</v>
      </c>
      <c r="W2757">
        <v>1</v>
      </c>
      <c r="X2757">
        <v>2</v>
      </c>
      <c r="Y2757">
        <v>2</v>
      </c>
      <c r="Z2757">
        <v>4</v>
      </c>
      <c r="AA2757">
        <v>0</v>
      </c>
      <c r="AB2757">
        <v>171.83</v>
      </c>
      <c r="AC2757">
        <v>151.19999999999999</v>
      </c>
      <c r="AD2757">
        <v>0</v>
      </c>
      <c r="AE2757">
        <v>20.63</v>
      </c>
      <c r="AF2757">
        <v>0</v>
      </c>
      <c r="AG2757">
        <v>0</v>
      </c>
      <c r="AH2757">
        <v>0</v>
      </c>
      <c r="AI2757">
        <v>0</v>
      </c>
      <c r="AJ2757">
        <v>171.83</v>
      </c>
      <c r="AK2757">
        <v>0</v>
      </c>
      <c r="AL2757" t="s">
        <v>53</v>
      </c>
      <c r="AM2757" t="s">
        <v>53</v>
      </c>
      <c r="AN2757" t="s">
        <v>53</v>
      </c>
      <c r="AO2757" t="s">
        <v>53</v>
      </c>
      <c r="AP2757" t="s">
        <v>53</v>
      </c>
    </row>
    <row r="2758" spans="2:42" x14ac:dyDescent="0.2">
      <c r="B2758" t="s">
        <v>44</v>
      </c>
      <c r="C2758" t="str">
        <f>HYPERLINK("https://us2.cloudbeds.com/connect/8493803454333002#/reservations/7328850993316?display=56VR49D9R&amp;reservation_id=7328850993316", "56VR49D9R")</f>
        <v>56VR49D9R</v>
      </c>
      <c r="D2758" t="s">
        <v>45</v>
      </c>
      <c r="E2758" t="s">
        <v>128</v>
      </c>
      <c r="F2758" t="s">
        <v>86</v>
      </c>
      <c r="G2758" t="s">
        <v>48</v>
      </c>
      <c r="H2758" t="s">
        <v>49</v>
      </c>
      <c r="I2758" t="s">
        <v>50</v>
      </c>
      <c r="J2758" t="s">
        <v>2315</v>
      </c>
      <c r="K2758" t="s">
        <v>3196</v>
      </c>
      <c r="L2758" t="s">
        <v>53</v>
      </c>
      <c r="N2758" t="s">
        <v>4412</v>
      </c>
      <c r="P2758" t="s">
        <v>55</v>
      </c>
      <c r="R2758" t="s">
        <v>53</v>
      </c>
      <c r="T2758" t="s">
        <v>4413</v>
      </c>
      <c r="U2758" t="s">
        <v>58</v>
      </c>
      <c r="V2758">
        <v>1</v>
      </c>
      <c r="W2758">
        <v>1</v>
      </c>
      <c r="X2758">
        <v>2</v>
      </c>
      <c r="Y2758">
        <v>0</v>
      </c>
      <c r="Z2758">
        <v>2</v>
      </c>
      <c r="AA2758">
        <v>0</v>
      </c>
      <c r="AB2758">
        <v>185.26</v>
      </c>
      <c r="AC2758">
        <v>163</v>
      </c>
      <c r="AD2758">
        <v>0</v>
      </c>
      <c r="AE2758">
        <v>22.26</v>
      </c>
      <c r="AF2758">
        <v>0</v>
      </c>
      <c r="AG2758">
        <v>0</v>
      </c>
      <c r="AH2758">
        <v>0</v>
      </c>
      <c r="AI2758">
        <v>33.35</v>
      </c>
      <c r="AJ2758">
        <v>185.26</v>
      </c>
      <c r="AK2758">
        <v>0</v>
      </c>
      <c r="AL2758" t="s">
        <v>53</v>
      </c>
      <c r="AM2758" t="s">
        <v>53</v>
      </c>
      <c r="AN2758" t="s">
        <v>4414</v>
      </c>
      <c r="AO2758" t="s">
        <v>53</v>
      </c>
      <c r="AP2758" t="s">
        <v>53</v>
      </c>
    </row>
    <row r="2759" spans="2:42" x14ac:dyDescent="0.2">
      <c r="B2759" t="s">
        <v>44</v>
      </c>
      <c r="C2759" t="str">
        <f>HYPERLINK("https://us2.cloudbeds.com/connect/8493803454333002#/reservations/7354480795789?display=57XM10EER&amp;reservation_id=7354480795789", "57XM10EER")</f>
        <v>57XM10EER</v>
      </c>
      <c r="D2759" t="s">
        <v>45</v>
      </c>
      <c r="E2759" t="s">
        <v>85</v>
      </c>
      <c r="F2759" t="s">
        <v>86</v>
      </c>
      <c r="G2759" t="s">
        <v>48</v>
      </c>
      <c r="H2759" t="s">
        <v>49</v>
      </c>
      <c r="I2759" t="s">
        <v>50</v>
      </c>
      <c r="J2759" t="s">
        <v>2162</v>
      </c>
      <c r="K2759" t="s">
        <v>2163</v>
      </c>
      <c r="L2759" t="s">
        <v>53</v>
      </c>
      <c r="N2759" t="s">
        <v>4415</v>
      </c>
      <c r="P2759" t="s">
        <v>55</v>
      </c>
      <c r="R2759" t="s">
        <v>53</v>
      </c>
      <c r="T2759" t="s">
        <v>4416</v>
      </c>
      <c r="U2759" t="s">
        <v>58</v>
      </c>
      <c r="V2759">
        <v>2</v>
      </c>
      <c r="W2759">
        <v>1</v>
      </c>
      <c r="X2759">
        <v>2</v>
      </c>
      <c r="Y2759">
        <v>1</v>
      </c>
      <c r="Z2759">
        <v>3</v>
      </c>
      <c r="AA2759">
        <v>0</v>
      </c>
      <c r="AB2759">
        <v>329.35</v>
      </c>
      <c r="AC2759">
        <v>289.8</v>
      </c>
      <c r="AD2759">
        <v>0</v>
      </c>
      <c r="AE2759">
        <v>39.549999999999997</v>
      </c>
      <c r="AF2759">
        <v>0</v>
      </c>
      <c r="AG2759">
        <v>0</v>
      </c>
      <c r="AH2759">
        <v>0</v>
      </c>
      <c r="AI2759">
        <v>59.28</v>
      </c>
      <c r="AJ2759">
        <v>329.35</v>
      </c>
      <c r="AK2759">
        <v>0</v>
      </c>
      <c r="AL2759" t="s">
        <v>53</v>
      </c>
      <c r="AM2759" t="s">
        <v>53</v>
      </c>
      <c r="AN2759" t="s">
        <v>53</v>
      </c>
      <c r="AO2759" t="s">
        <v>53</v>
      </c>
      <c r="AP2759" t="s">
        <v>53</v>
      </c>
    </row>
    <row r="2760" spans="2:42" x14ac:dyDescent="0.2">
      <c r="B2760" t="s">
        <v>44</v>
      </c>
      <c r="C2760" t="str">
        <f>HYPERLINK("https://us2.cloudbeds.com/connect/8493803454333002#/reservations/7397189632190?display=58XZB7PBG&amp;reservation_id=7397189632190", "58XZB7PBG")</f>
        <v>58XZB7PBG</v>
      </c>
      <c r="D2760" t="s">
        <v>45</v>
      </c>
      <c r="E2760" t="s">
        <v>92</v>
      </c>
      <c r="F2760" t="s">
        <v>86</v>
      </c>
      <c r="G2760" t="s">
        <v>48</v>
      </c>
      <c r="H2760" t="s">
        <v>49</v>
      </c>
      <c r="I2760" t="s">
        <v>50</v>
      </c>
      <c r="J2760" t="s">
        <v>2162</v>
      </c>
      <c r="K2760" t="s">
        <v>2384</v>
      </c>
      <c r="L2760" t="s">
        <v>53</v>
      </c>
      <c r="N2760" t="s">
        <v>4417</v>
      </c>
      <c r="P2760" t="s">
        <v>55</v>
      </c>
      <c r="R2760" t="s">
        <v>53</v>
      </c>
      <c r="T2760" t="s">
        <v>4418</v>
      </c>
      <c r="U2760" t="s">
        <v>58</v>
      </c>
      <c r="V2760">
        <v>1</v>
      </c>
      <c r="W2760">
        <v>1</v>
      </c>
      <c r="X2760">
        <v>2</v>
      </c>
      <c r="Y2760">
        <v>2</v>
      </c>
      <c r="Z2760">
        <v>4</v>
      </c>
      <c r="AA2760">
        <v>0</v>
      </c>
      <c r="AB2760">
        <v>172.86</v>
      </c>
      <c r="AC2760">
        <v>152.1</v>
      </c>
      <c r="AD2760">
        <v>0</v>
      </c>
      <c r="AE2760">
        <v>20.76</v>
      </c>
      <c r="AF2760">
        <v>0</v>
      </c>
      <c r="AG2760">
        <v>0</v>
      </c>
      <c r="AH2760">
        <v>0</v>
      </c>
      <c r="AI2760">
        <v>31.11</v>
      </c>
      <c r="AJ2760">
        <v>172.86</v>
      </c>
      <c r="AK2760">
        <v>0</v>
      </c>
      <c r="AL2760" t="s">
        <v>53</v>
      </c>
      <c r="AM2760" t="s">
        <v>53</v>
      </c>
      <c r="AN2760" t="s">
        <v>53</v>
      </c>
      <c r="AO2760" t="s">
        <v>53</v>
      </c>
      <c r="AP2760" t="s">
        <v>53</v>
      </c>
    </row>
    <row r="2761" spans="2:42" x14ac:dyDescent="0.2">
      <c r="B2761" t="s">
        <v>44</v>
      </c>
      <c r="C2761" t="str">
        <f>HYPERLINK("https://us2.cloudbeds.com/connect/8493803454333002#/reservations/7412250046705?display=58UD5J02U&amp;reservation_id=7412250046705", "58UD5J02U")</f>
        <v>58UD5J02U</v>
      </c>
      <c r="D2761" t="s">
        <v>45</v>
      </c>
      <c r="E2761" t="s">
        <v>69</v>
      </c>
      <c r="F2761" t="s">
        <v>70</v>
      </c>
      <c r="G2761" t="s">
        <v>48</v>
      </c>
      <c r="H2761" t="s">
        <v>49</v>
      </c>
      <c r="I2761" t="s">
        <v>50</v>
      </c>
      <c r="J2761" t="s">
        <v>2162</v>
      </c>
      <c r="K2761" t="s">
        <v>2384</v>
      </c>
      <c r="L2761" t="s">
        <v>53</v>
      </c>
      <c r="N2761" t="s">
        <v>4419</v>
      </c>
      <c r="P2761" t="s">
        <v>55</v>
      </c>
      <c r="R2761" t="s">
        <v>53</v>
      </c>
      <c r="T2761" t="s">
        <v>4420</v>
      </c>
      <c r="U2761" t="s">
        <v>58</v>
      </c>
      <c r="V2761">
        <v>1</v>
      </c>
      <c r="W2761">
        <v>1</v>
      </c>
      <c r="X2761">
        <v>1</v>
      </c>
      <c r="Y2761">
        <v>0</v>
      </c>
      <c r="Z2761">
        <v>1</v>
      </c>
      <c r="AA2761">
        <v>0</v>
      </c>
      <c r="AB2761">
        <v>150.37</v>
      </c>
      <c r="AC2761">
        <v>132.30000000000001</v>
      </c>
      <c r="AD2761">
        <v>0</v>
      </c>
      <c r="AE2761">
        <v>18.07</v>
      </c>
      <c r="AF2761">
        <v>0</v>
      </c>
      <c r="AG2761">
        <v>0</v>
      </c>
      <c r="AH2761">
        <v>0</v>
      </c>
      <c r="AI2761">
        <v>27.07</v>
      </c>
      <c r="AJ2761">
        <v>150.37</v>
      </c>
      <c r="AK2761">
        <v>0</v>
      </c>
      <c r="AL2761" t="s">
        <v>53</v>
      </c>
      <c r="AM2761" t="s">
        <v>53</v>
      </c>
      <c r="AN2761" t="s">
        <v>53</v>
      </c>
      <c r="AO2761" t="s">
        <v>53</v>
      </c>
      <c r="AP2761" t="s">
        <v>53</v>
      </c>
    </row>
    <row r="2762" spans="2:42" x14ac:dyDescent="0.2">
      <c r="B2762" t="s">
        <v>44</v>
      </c>
      <c r="C2762" t="str">
        <f>HYPERLINK("https://us2.cloudbeds.com/connect/8493803454333002#/reservations/7418881683585?display=592HKX2F8&amp;reservation_id=7418881683585", "592HKX2F8")</f>
        <v>592HKX2F8</v>
      </c>
      <c r="D2762" t="s">
        <v>45</v>
      </c>
      <c r="E2762" t="s">
        <v>85</v>
      </c>
      <c r="F2762" t="s">
        <v>86</v>
      </c>
      <c r="G2762" t="s">
        <v>48</v>
      </c>
      <c r="H2762" t="s">
        <v>49</v>
      </c>
      <c r="I2762" t="s">
        <v>50</v>
      </c>
      <c r="J2762" t="s">
        <v>2163</v>
      </c>
      <c r="K2762" t="s">
        <v>1862</v>
      </c>
      <c r="L2762" t="s">
        <v>53</v>
      </c>
      <c r="N2762" t="s">
        <v>4421</v>
      </c>
      <c r="P2762" t="s">
        <v>55</v>
      </c>
      <c r="R2762" t="s">
        <v>53</v>
      </c>
      <c r="T2762" t="s">
        <v>4422</v>
      </c>
      <c r="U2762" t="s">
        <v>58</v>
      </c>
      <c r="V2762">
        <v>2</v>
      </c>
      <c r="W2762">
        <v>1</v>
      </c>
      <c r="X2762">
        <v>1</v>
      </c>
      <c r="Y2762">
        <v>0</v>
      </c>
      <c r="Z2762">
        <v>1</v>
      </c>
      <c r="AA2762">
        <v>0</v>
      </c>
      <c r="AB2762">
        <v>394.82</v>
      </c>
      <c r="AC2762">
        <v>347.4</v>
      </c>
      <c r="AD2762">
        <v>0</v>
      </c>
      <c r="AE2762">
        <v>47.42</v>
      </c>
      <c r="AF2762">
        <v>0</v>
      </c>
      <c r="AG2762">
        <v>0</v>
      </c>
      <c r="AH2762">
        <v>0</v>
      </c>
      <c r="AI2762">
        <v>71.069999999999993</v>
      </c>
      <c r="AJ2762">
        <v>394.82</v>
      </c>
      <c r="AK2762">
        <v>0</v>
      </c>
      <c r="AL2762" t="s">
        <v>53</v>
      </c>
      <c r="AM2762" t="s">
        <v>53</v>
      </c>
      <c r="AN2762" t="s">
        <v>53</v>
      </c>
      <c r="AO2762" t="s">
        <v>53</v>
      </c>
      <c r="AP2762" t="s">
        <v>53</v>
      </c>
    </row>
    <row r="2763" spans="2:42" x14ac:dyDescent="0.2">
      <c r="B2763" t="s">
        <v>44</v>
      </c>
      <c r="C2763" t="str">
        <f>HYPERLINK("https://us2.cloudbeds.com/connect/8493803454333002#/reservations/7425828016275?display=597U3T0N8&amp;reservation_id=7425828016275", "597U3T0N8")</f>
        <v>597U3T0N8</v>
      </c>
      <c r="D2763" t="s">
        <v>45</v>
      </c>
      <c r="E2763" t="s">
        <v>406</v>
      </c>
      <c r="F2763" t="s">
        <v>61</v>
      </c>
      <c r="G2763" t="s">
        <v>48</v>
      </c>
      <c r="H2763" t="s">
        <v>49</v>
      </c>
      <c r="I2763" t="s">
        <v>50</v>
      </c>
      <c r="J2763" t="s">
        <v>2162</v>
      </c>
      <c r="K2763" t="s">
        <v>2384</v>
      </c>
      <c r="L2763" t="s">
        <v>53</v>
      </c>
      <c r="N2763" t="s">
        <v>4423</v>
      </c>
      <c r="P2763" t="s">
        <v>55</v>
      </c>
      <c r="R2763" t="s">
        <v>53</v>
      </c>
      <c r="T2763" t="s">
        <v>4424</v>
      </c>
      <c r="U2763" t="s">
        <v>58</v>
      </c>
      <c r="V2763">
        <v>1</v>
      </c>
      <c r="W2763">
        <v>1</v>
      </c>
      <c r="X2763">
        <v>2</v>
      </c>
      <c r="Y2763">
        <v>0</v>
      </c>
      <c r="Z2763">
        <v>2</v>
      </c>
      <c r="AA2763">
        <v>0</v>
      </c>
      <c r="AB2763">
        <v>164.68</v>
      </c>
      <c r="AC2763">
        <v>144.9</v>
      </c>
      <c r="AD2763">
        <v>0</v>
      </c>
      <c r="AE2763">
        <v>19.78</v>
      </c>
      <c r="AF2763">
        <v>0</v>
      </c>
      <c r="AG2763">
        <v>0</v>
      </c>
      <c r="AH2763">
        <v>0</v>
      </c>
      <c r="AI2763">
        <v>29.64</v>
      </c>
      <c r="AJ2763">
        <v>164.68</v>
      </c>
      <c r="AK2763">
        <v>0</v>
      </c>
      <c r="AL2763" t="s">
        <v>53</v>
      </c>
      <c r="AM2763" t="s">
        <v>53</v>
      </c>
      <c r="AN2763" t="s">
        <v>53</v>
      </c>
      <c r="AO2763" t="s">
        <v>53</v>
      </c>
      <c r="AP2763" t="s">
        <v>53</v>
      </c>
    </row>
    <row r="2764" spans="2:42" x14ac:dyDescent="0.2">
      <c r="B2764" t="s">
        <v>44</v>
      </c>
      <c r="C2764" t="str">
        <f>HYPERLINK("https://us2.cloudbeds.com/connect/8493803454333002#/reservations/7428268150937?display=599QFFC1S&amp;reservation_id=7428268150937", "599QFFC1S")</f>
        <v>599QFFC1S</v>
      </c>
      <c r="D2764" t="s">
        <v>45</v>
      </c>
      <c r="E2764" t="s">
        <v>373</v>
      </c>
      <c r="F2764" t="s">
        <v>47</v>
      </c>
      <c r="G2764" t="s">
        <v>48</v>
      </c>
      <c r="H2764" t="s">
        <v>49</v>
      </c>
      <c r="I2764" t="s">
        <v>62</v>
      </c>
      <c r="J2764" t="s">
        <v>1380</v>
      </c>
      <c r="K2764" t="s">
        <v>1523</v>
      </c>
      <c r="L2764" t="s">
        <v>53</v>
      </c>
      <c r="N2764" t="s">
        <v>4425</v>
      </c>
      <c r="P2764" t="s">
        <v>55</v>
      </c>
      <c r="R2764" t="s">
        <v>56</v>
      </c>
      <c r="T2764" t="s">
        <v>4426</v>
      </c>
      <c r="U2764" t="s">
        <v>55</v>
      </c>
      <c r="V2764">
        <v>3</v>
      </c>
      <c r="W2764">
        <v>1</v>
      </c>
      <c r="X2764">
        <v>1</v>
      </c>
      <c r="Y2764">
        <v>0</v>
      </c>
      <c r="Z2764">
        <v>1</v>
      </c>
      <c r="AA2764">
        <v>0</v>
      </c>
      <c r="AB2764">
        <v>496.67</v>
      </c>
      <c r="AC2764">
        <v>437</v>
      </c>
      <c r="AD2764">
        <v>0</v>
      </c>
      <c r="AE2764">
        <v>59.67</v>
      </c>
      <c r="AF2764">
        <v>0</v>
      </c>
      <c r="AG2764">
        <v>0</v>
      </c>
      <c r="AH2764">
        <v>0</v>
      </c>
      <c r="AI2764">
        <v>74.5</v>
      </c>
      <c r="AJ2764">
        <v>496.67</v>
      </c>
      <c r="AK2764">
        <v>0</v>
      </c>
      <c r="AL2764" t="s">
        <v>53</v>
      </c>
      <c r="AM2764" t="s">
        <v>53</v>
      </c>
      <c r="AN2764" t="s">
        <v>53</v>
      </c>
      <c r="AO2764" t="s">
        <v>53</v>
      </c>
      <c r="AP2764" t="s">
        <v>53</v>
      </c>
    </row>
    <row r="2765" spans="2:42" x14ac:dyDescent="0.2">
      <c r="B2765" t="s">
        <v>44</v>
      </c>
      <c r="C2765" t="str">
        <f>HYPERLINK("https://us2.cloudbeds.com/connect/8493803454333002#/reservations/7429301530866?display=59AJSRMK5&amp;reservation_id=7429301530866", "59AJSRMK5")</f>
        <v>59AJSRMK5</v>
      </c>
      <c r="D2765" t="s">
        <v>45</v>
      </c>
      <c r="E2765" t="s">
        <v>128</v>
      </c>
      <c r="F2765" t="s">
        <v>86</v>
      </c>
      <c r="G2765" t="s">
        <v>48</v>
      </c>
      <c r="H2765" t="s">
        <v>49</v>
      </c>
      <c r="I2765" t="s">
        <v>50</v>
      </c>
      <c r="J2765" t="s">
        <v>2384</v>
      </c>
      <c r="K2765" t="s">
        <v>2163</v>
      </c>
      <c r="L2765" t="s">
        <v>53</v>
      </c>
      <c r="N2765" t="s">
        <v>4427</v>
      </c>
      <c r="P2765" t="s">
        <v>55</v>
      </c>
      <c r="R2765" t="s">
        <v>53</v>
      </c>
      <c r="T2765" t="s">
        <v>4428</v>
      </c>
      <c r="U2765" t="s">
        <v>58</v>
      </c>
      <c r="V2765">
        <v>1</v>
      </c>
      <c r="W2765">
        <v>1</v>
      </c>
      <c r="X2765">
        <v>2</v>
      </c>
      <c r="Y2765">
        <v>0</v>
      </c>
      <c r="Z2765">
        <v>2</v>
      </c>
      <c r="AA2765">
        <v>0</v>
      </c>
      <c r="AB2765">
        <v>164.8</v>
      </c>
      <c r="AC2765">
        <v>145</v>
      </c>
      <c r="AD2765">
        <v>0</v>
      </c>
      <c r="AE2765">
        <v>19.8</v>
      </c>
      <c r="AF2765">
        <v>0</v>
      </c>
      <c r="AG2765">
        <v>0</v>
      </c>
      <c r="AH2765">
        <v>0</v>
      </c>
      <c r="AI2765">
        <v>29.66</v>
      </c>
      <c r="AJ2765">
        <v>164.8</v>
      </c>
      <c r="AK2765">
        <v>0</v>
      </c>
      <c r="AL2765" t="s">
        <v>53</v>
      </c>
      <c r="AM2765" t="s">
        <v>53</v>
      </c>
      <c r="AN2765" t="s">
        <v>53</v>
      </c>
      <c r="AO2765" t="s">
        <v>53</v>
      </c>
      <c r="AP2765" t="s">
        <v>53</v>
      </c>
    </row>
    <row r="2766" spans="2:42" x14ac:dyDescent="0.2">
      <c r="B2766" t="s">
        <v>44</v>
      </c>
      <c r="C2766" t="str">
        <f>HYPERLINK("https://us2.cloudbeds.com/connect/8493803454333002#/reservations/7440246325483?display=59J2HPZ23&amp;reservation_id=7440246325483", "59J2HPZ23")</f>
        <v>59J2HPZ23</v>
      </c>
      <c r="D2766" t="s">
        <v>45</v>
      </c>
      <c r="E2766" t="s">
        <v>305</v>
      </c>
      <c r="F2766" t="s">
        <v>61</v>
      </c>
      <c r="G2766" t="s">
        <v>48</v>
      </c>
      <c r="H2766" t="s">
        <v>3957</v>
      </c>
      <c r="I2766" t="s">
        <v>3958</v>
      </c>
      <c r="J2766" t="s">
        <v>2162</v>
      </c>
      <c r="K2766" t="s">
        <v>2384</v>
      </c>
      <c r="L2766" t="s">
        <v>53</v>
      </c>
      <c r="P2766" t="s">
        <v>58</v>
      </c>
      <c r="R2766" t="s">
        <v>56</v>
      </c>
      <c r="T2766" t="s">
        <v>4429</v>
      </c>
      <c r="U2766" t="s">
        <v>58</v>
      </c>
      <c r="V2766">
        <v>1</v>
      </c>
      <c r="W2766">
        <v>1</v>
      </c>
      <c r="X2766">
        <v>1</v>
      </c>
      <c r="Y2766">
        <v>0</v>
      </c>
      <c r="Z2766">
        <v>1</v>
      </c>
      <c r="AA2766">
        <v>0</v>
      </c>
      <c r="AB2766">
        <v>182.98</v>
      </c>
      <c r="AC2766">
        <v>161</v>
      </c>
      <c r="AD2766">
        <v>0</v>
      </c>
      <c r="AE2766">
        <v>21.98</v>
      </c>
      <c r="AF2766">
        <v>0</v>
      </c>
      <c r="AG2766">
        <v>0</v>
      </c>
      <c r="AH2766">
        <v>0</v>
      </c>
      <c r="AI2766">
        <v>0</v>
      </c>
      <c r="AJ2766">
        <v>182.98</v>
      </c>
      <c r="AK2766">
        <v>0</v>
      </c>
      <c r="AL2766" t="s">
        <v>53</v>
      </c>
      <c r="AM2766" t="s">
        <v>53</v>
      </c>
      <c r="AN2766" t="s">
        <v>53</v>
      </c>
      <c r="AO2766" t="s">
        <v>53</v>
      </c>
      <c r="AP2766" t="s">
        <v>53</v>
      </c>
    </row>
    <row r="2767" spans="2:42" x14ac:dyDescent="0.2">
      <c r="B2767" t="s">
        <v>44</v>
      </c>
      <c r="C2767" t="str">
        <f>HYPERLINK("https://us2.cloudbeds.com/connect/8493803454333002#/reservations/7465309278407?display=5A5FVHB71&amp;reservation_id=7465309278407", "5A5FVHB71")</f>
        <v>5A5FVHB71</v>
      </c>
      <c r="D2767" t="s">
        <v>45</v>
      </c>
      <c r="E2767" t="s">
        <v>155</v>
      </c>
      <c r="F2767" t="s">
        <v>86</v>
      </c>
      <c r="G2767" t="s">
        <v>48</v>
      </c>
      <c r="H2767" t="s">
        <v>49</v>
      </c>
      <c r="I2767" t="s">
        <v>62</v>
      </c>
      <c r="J2767" t="s">
        <v>1332</v>
      </c>
      <c r="K2767" t="s">
        <v>1333</v>
      </c>
      <c r="L2767" t="s">
        <v>53</v>
      </c>
      <c r="N2767" t="s">
        <v>4430</v>
      </c>
      <c r="P2767" t="s">
        <v>55</v>
      </c>
      <c r="R2767" t="s">
        <v>56</v>
      </c>
      <c r="T2767" t="s">
        <v>4431</v>
      </c>
      <c r="U2767" t="s">
        <v>55</v>
      </c>
      <c r="V2767">
        <v>1</v>
      </c>
      <c r="W2767">
        <v>1</v>
      </c>
      <c r="X2767">
        <v>2</v>
      </c>
      <c r="Y2767">
        <v>0</v>
      </c>
      <c r="Z2767">
        <v>2</v>
      </c>
      <c r="AA2767">
        <v>0</v>
      </c>
      <c r="AB2767">
        <v>204.57</v>
      </c>
      <c r="AC2767">
        <v>180</v>
      </c>
      <c r="AD2767">
        <v>0</v>
      </c>
      <c r="AE2767">
        <v>24.57</v>
      </c>
      <c r="AF2767">
        <v>0</v>
      </c>
      <c r="AG2767">
        <v>0</v>
      </c>
      <c r="AH2767">
        <v>0</v>
      </c>
      <c r="AI2767">
        <v>30.69</v>
      </c>
      <c r="AJ2767">
        <v>204.57</v>
      </c>
      <c r="AK2767">
        <v>0</v>
      </c>
      <c r="AL2767" t="s">
        <v>53</v>
      </c>
      <c r="AM2767" t="s">
        <v>53</v>
      </c>
      <c r="AN2767" t="s">
        <v>53</v>
      </c>
      <c r="AO2767" t="s">
        <v>53</v>
      </c>
      <c r="AP2767" t="s">
        <v>53</v>
      </c>
    </row>
    <row r="2768" spans="2:42" x14ac:dyDescent="0.2">
      <c r="B2768" t="s">
        <v>44</v>
      </c>
      <c r="C2768" t="str">
        <f>HYPERLINK("https://us2.cloudbeds.com/connect/8493803454333002#/reservations/7482898743441?display=5AJ3DE4CW&amp;reservation_id=7482898743441", "5AJ3DE4CW")</f>
        <v>5AJ3DE4CW</v>
      </c>
      <c r="D2768" t="s">
        <v>45</v>
      </c>
      <c r="E2768" t="s">
        <v>265</v>
      </c>
      <c r="F2768" t="s">
        <v>61</v>
      </c>
      <c r="G2768" t="s">
        <v>48</v>
      </c>
      <c r="H2768" t="s">
        <v>3957</v>
      </c>
      <c r="I2768" t="s">
        <v>3958</v>
      </c>
      <c r="J2768" t="s">
        <v>2162</v>
      </c>
      <c r="K2768" t="s">
        <v>2384</v>
      </c>
      <c r="L2768" t="s">
        <v>53</v>
      </c>
      <c r="P2768" t="s">
        <v>55</v>
      </c>
      <c r="R2768" t="s">
        <v>56</v>
      </c>
      <c r="T2768" t="s">
        <v>4432</v>
      </c>
      <c r="U2768" t="s">
        <v>58</v>
      </c>
      <c r="V2768">
        <v>1</v>
      </c>
      <c r="W2768">
        <v>1</v>
      </c>
      <c r="X2768">
        <v>1</v>
      </c>
      <c r="Y2768">
        <v>0</v>
      </c>
      <c r="Z2768">
        <v>1</v>
      </c>
      <c r="AA2768">
        <v>0</v>
      </c>
      <c r="AB2768">
        <v>182.98</v>
      </c>
      <c r="AC2768">
        <v>161</v>
      </c>
      <c r="AD2768">
        <v>0</v>
      </c>
      <c r="AE2768">
        <v>21.98</v>
      </c>
      <c r="AF2768">
        <v>0</v>
      </c>
      <c r="AG2768">
        <v>0</v>
      </c>
      <c r="AH2768">
        <v>0</v>
      </c>
      <c r="AI2768">
        <v>0</v>
      </c>
      <c r="AJ2768">
        <v>182.98</v>
      </c>
      <c r="AK2768">
        <v>0</v>
      </c>
      <c r="AL2768" t="s">
        <v>53</v>
      </c>
      <c r="AM2768" t="s">
        <v>53</v>
      </c>
      <c r="AN2768" t="s">
        <v>53</v>
      </c>
      <c r="AO2768" t="s">
        <v>53</v>
      </c>
      <c r="AP2768" t="s">
        <v>53</v>
      </c>
    </row>
    <row r="2769" spans="2:42" x14ac:dyDescent="0.2">
      <c r="B2769" t="s">
        <v>44</v>
      </c>
      <c r="C2769" t="str">
        <f>HYPERLINK("https://us2.cloudbeds.com/connect/8493803454333002#/reservations/7530153533596?display=5BMMSUAR0&amp;reservation_id=7530153533596", "5BMMSUAR0")</f>
        <v>5BMMSUAR0</v>
      </c>
      <c r="D2769" t="s">
        <v>45</v>
      </c>
      <c r="E2769" t="s">
        <v>213</v>
      </c>
      <c r="F2769" t="s">
        <v>86</v>
      </c>
      <c r="G2769" t="s">
        <v>48</v>
      </c>
      <c r="H2769" t="s">
        <v>49</v>
      </c>
      <c r="I2769" t="s">
        <v>50</v>
      </c>
      <c r="J2769" t="s">
        <v>2541</v>
      </c>
      <c r="K2769" t="s">
        <v>1436</v>
      </c>
      <c r="L2769" t="s">
        <v>53</v>
      </c>
      <c r="N2769" t="s">
        <v>4433</v>
      </c>
      <c r="P2769" t="s">
        <v>55</v>
      </c>
      <c r="R2769" t="s">
        <v>53</v>
      </c>
      <c r="T2769" t="s">
        <v>4434</v>
      </c>
      <c r="U2769" t="s">
        <v>58</v>
      </c>
      <c r="V2769">
        <v>2</v>
      </c>
      <c r="W2769">
        <v>1</v>
      </c>
      <c r="X2769">
        <v>2</v>
      </c>
      <c r="Y2769">
        <v>0</v>
      </c>
      <c r="Z2769">
        <v>2</v>
      </c>
      <c r="AA2769">
        <v>0</v>
      </c>
      <c r="AB2769">
        <v>300.70999999999998</v>
      </c>
      <c r="AC2769">
        <v>264.60000000000002</v>
      </c>
      <c r="AD2769">
        <v>0</v>
      </c>
      <c r="AE2769">
        <v>36.11</v>
      </c>
      <c r="AF2769">
        <v>0</v>
      </c>
      <c r="AG2769">
        <v>0</v>
      </c>
      <c r="AH2769">
        <v>0</v>
      </c>
      <c r="AI2769">
        <v>54.13</v>
      </c>
      <c r="AJ2769">
        <v>300.70999999999998</v>
      </c>
      <c r="AK2769">
        <v>0</v>
      </c>
      <c r="AL2769" t="s">
        <v>53</v>
      </c>
      <c r="AM2769" t="s">
        <v>53</v>
      </c>
      <c r="AN2769" t="s">
        <v>4435</v>
      </c>
      <c r="AO2769" t="s">
        <v>53</v>
      </c>
      <c r="AP2769" t="s">
        <v>53</v>
      </c>
    </row>
    <row r="2770" spans="2:42" x14ac:dyDescent="0.2">
      <c r="B2770" t="s">
        <v>44</v>
      </c>
      <c r="C2770" t="str">
        <f>HYPERLINK("https://us2.cloudbeds.com/connect/8493803454333002#/reservations/7606328176817?display=5DFMAD24S&amp;reservation_id=7606328176817", "5DFMAD24S")</f>
        <v>5DFMAD24S</v>
      </c>
      <c r="D2770" t="s">
        <v>45</v>
      </c>
      <c r="E2770" t="s">
        <v>155</v>
      </c>
      <c r="F2770" t="s">
        <v>86</v>
      </c>
      <c r="G2770" t="s">
        <v>48</v>
      </c>
      <c r="H2770" t="s">
        <v>49</v>
      </c>
      <c r="I2770" t="s">
        <v>50</v>
      </c>
      <c r="J2770" t="s">
        <v>2384</v>
      </c>
      <c r="K2770" t="s">
        <v>2643</v>
      </c>
      <c r="L2770" t="s">
        <v>53</v>
      </c>
      <c r="N2770" t="s">
        <v>4436</v>
      </c>
      <c r="P2770" t="s">
        <v>55</v>
      </c>
      <c r="R2770" t="s">
        <v>53</v>
      </c>
      <c r="T2770" t="s">
        <v>4437</v>
      </c>
      <c r="U2770" t="s">
        <v>58</v>
      </c>
      <c r="V2770">
        <v>2</v>
      </c>
      <c r="W2770">
        <v>1</v>
      </c>
      <c r="X2770">
        <v>1</v>
      </c>
      <c r="Y2770">
        <v>0</v>
      </c>
      <c r="Z2770">
        <v>1</v>
      </c>
      <c r="AA2770">
        <v>0</v>
      </c>
      <c r="AB2770">
        <v>376.07</v>
      </c>
      <c r="AC2770">
        <v>330.9</v>
      </c>
      <c r="AD2770">
        <v>0</v>
      </c>
      <c r="AE2770">
        <v>45.17</v>
      </c>
      <c r="AF2770">
        <v>0</v>
      </c>
      <c r="AG2770">
        <v>0</v>
      </c>
      <c r="AH2770">
        <v>0</v>
      </c>
      <c r="AI2770">
        <v>67.69</v>
      </c>
      <c r="AJ2770">
        <v>376.07</v>
      </c>
      <c r="AK2770">
        <v>0</v>
      </c>
      <c r="AL2770" t="s">
        <v>53</v>
      </c>
      <c r="AM2770" t="s">
        <v>53</v>
      </c>
      <c r="AN2770" t="s">
        <v>53</v>
      </c>
      <c r="AO2770" t="s">
        <v>53</v>
      </c>
      <c r="AP2770" t="s">
        <v>53</v>
      </c>
    </row>
    <row r="2771" spans="2:42" x14ac:dyDescent="0.2">
      <c r="B2771" t="s">
        <v>44</v>
      </c>
      <c r="C2771" t="str">
        <f>HYPERLINK("https://us2.cloudbeds.com/connect/8493803454333002#/reservations/7662775853192?display=5EQCMXSNJ&amp;reservation_id=7662775853192", "5EQCMXSNJ")</f>
        <v>5EQCMXSNJ</v>
      </c>
      <c r="D2771" t="s">
        <v>45</v>
      </c>
      <c r="E2771" t="s">
        <v>113</v>
      </c>
      <c r="F2771" t="s">
        <v>61</v>
      </c>
      <c r="G2771" t="s">
        <v>48</v>
      </c>
      <c r="H2771" t="s">
        <v>49</v>
      </c>
      <c r="I2771" t="s">
        <v>62</v>
      </c>
      <c r="J2771" t="s">
        <v>1406</v>
      </c>
      <c r="K2771" t="s">
        <v>2634</v>
      </c>
      <c r="L2771" t="s">
        <v>53</v>
      </c>
      <c r="N2771" t="s">
        <v>4438</v>
      </c>
      <c r="P2771" t="s">
        <v>55</v>
      </c>
      <c r="R2771" t="s">
        <v>56</v>
      </c>
      <c r="T2771" t="s">
        <v>4439</v>
      </c>
      <c r="U2771" t="s">
        <v>55</v>
      </c>
      <c r="V2771">
        <v>2</v>
      </c>
      <c r="W2771">
        <v>1</v>
      </c>
      <c r="X2771">
        <v>2</v>
      </c>
      <c r="Y2771">
        <v>0</v>
      </c>
      <c r="Z2771">
        <v>2</v>
      </c>
      <c r="AA2771">
        <v>0</v>
      </c>
      <c r="AB2771">
        <v>393.24</v>
      </c>
      <c r="AC2771">
        <v>346</v>
      </c>
      <c r="AD2771">
        <v>0</v>
      </c>
      <c r="AE2771">
        <v>47.24</v>
      </c>
      <c r="AF2771">
        <v>0</v>
      </c>
      <c r="AG2771">
        <v>0</v>
      </c>
      <c r="AH2771">
        <v>0</v>
      </c>
      <c r="AI2771">
        <v>58.99</v>
      </c>
      <c r="AJ2771">
        <v>393.24</v>
      </c>
      <c r="AK2771">
        <v>0</v>
      </c>
      <c r="AL2771" t="s">
        <v>53</v>
      </c>
      <c r="AM2771" t="s">
        <v>53</v>
      </c>
      <c r="AN2771" t="s">
        <v>53</v>
      </c>
      <c r="AO2771" t="s">
        <v>53</v>
      </c>
      <c r="AP2771" t="s">
        <v>53</v>
      </c>
    </row>
    <row r="2772" spans="2:42" x14ac:dyDescent="0.2">
      <c r="B2772" t="s">
        <v>44</v>
      </c>
      <c r="C2772" t="str">
        <f>HYPERLINK("https://us2.cloudbeds.com/connect/8493803454333002#/reservations/7652072186062?display=5EX35VX96&amp;reservation_id=7652072186062", "5EX35VX96")</f>
        <v>5EX35VX96</v>
      </c>
      <c r="D2772" t="s">
        <v>45</v>
      </c>
      <c r="E2772" t="s">
        <v>78</v>
      </c>
      <c r="F2772" t="s">
        <v>61</v>
      </c>
      <c r="G2772" t="s">
        <v>48</v>
      </c>
      <c r="H2772" t="s">
        <v>3957</v>
      </c>
      <c r="I2772" t="s">
        <v>3975</v>
      </c>
      <c r="J2772" t="s">
        <v>3514</v>
      </c>
      <c r="K2772" t="s">
        <v>1858</v>
      </c>
      <c r="L2772" t="s">
        <v>53</v>
      </c>
      <c r="P2772" t="s">
        <v>55</v>
      </c>
      <c r="R2772" t="s">
        <v>56</v>
      </c>
      <c r="T2772" t="s">
        <v>4440</v>
      </c>
      <c r="U2772" t="s">
        <v>58</v>
      </c>
      <c r="V2772">
        <v>1</v>
      </c>
      <c r="W2772">
        <v>1</v>
      </c>
      <c r="X2772">
        <v>2</v>
      </c>
      <c r="Y2772">
        <v>0</v>
      </c>
      <c r="Z2772">
        <v>2</v>
      </c>
      <c r="AA2772">
        <v>0</v>
      </c>
      <c r="AB2772">
        <v>135.25</v>
      </c>
      <c r="AC2772">
        <v>119</v>
      </c>
      <c r="AD2772">
        <v>0</v>
      </c>
      <c r="AE2772">
        <v>16.25</v>
      </c>
      <c r="AF2772">
        <v>0</v>
      </c>
      <c r="AG2772">
        <v>0</v>
      </c>
      <c r="AH2772">
        <v>0</v>
      </c>
      <c r="AI2772">
        <v>0</v>
      </c>
      <c r="AJ2772">
        <v>135.25</v>
      </c>
      <c r="AK2772">
        <v>0</v>
      </c>
      <c r="AL2772" t="s">
        <v>53</v>
      </c>
      <c r="AM2772" t="s">
        <v>53</v>
      </c>
      <c r="AN2772" t="s">
        <v>53</v>
      </c>
      <c r="AO2772" t="s">
        <v>53</v>
      </c>
      <c r="AP2772" t="s">
        <v>53</v>
      </c>
    </row>
    <row r="2773" spans="2:42" x14ac:dyDescent="0.2">
      <c r="B2773" t="s">
        <v>44</v>
      </c>
      <c r="C2773" t="str">
        <f>HYPERLINK("https://us2.cloudbeds.com/connect/8493803454333002#/reservations/7673661030602?display=5F1QR7W8G&amp;reservation_id=7673661030602", "5F1QR7W8G")</f>
        <v>5F1QR7W8G</v>
      </c>
      <c r="D2773" t="s">
        <v>45</v>
      </c>
      <c r="E2773" t="s">
        <v>223</v>
      </c>
      <c r="F2773" t="s">
        <v>47</v>
      </c>
      <c r="G2773" t="s">
        <v>48</v>
      </c>
      <c r="H2773" t="s">
        <v>3957</v>
      </c>
      <c r="I2773" t="s">
        <v>3958</v>
      </c>
      <c r="J2773" t="s">
        <v>2384</v>
      </c>
      <c r="K2773" t="s">
        <v>2163</v>
      </c>
      <c r="L2773" t="s">
        <v>53</v>
      </c>
      <c r="P2773" t="s">
        <v>55</v>
      </c>
      <c r="R2773" t="s">
        <v>56</v>
      </c>
      <c r="T2773" t="s">
        <v>4441</v>
      </c>
      <c r="U2773" t="s">
        <v>58</v>
      </c>
      <c r="V2773">
        <v>1</v>
      </c>
      <c r="W2773">
        <v>1</v>
      </c>
      <c r="X2773">
        <v>1</v>
      </c>
      <c r="Y2773">
        <v>0</v>
      </c>
      <c r="Z2773">
        <v>1</v>
      </c>
      <c r="AA2773">
        <v>0</v>
      </c>
      <c r="AB2773">
        <v>179.57</v>
      </c>
      <c r="AC2773">
        <v>158</v>
      </c>
      <c r="AD2773">
        <v>0</v>
      </c>
      <c r="AE2773">
        <v>21.57</v>
      </c>
      <c r="AF2773">
        <v>0</v>
      </c>
      <c r="AG2773">
        <v>0</v>
      </c>
      <c r="AH2773">
        <v>0</v>
      </c>
      <c r="AI2773">
        <v>0</v>
      </c>
      <c r="AJ2773">
        <v>179.57</v>
      </c>
      <c r="AK2773">
        <v>0</v>
      </c>
      <c r="AL2773" t="s">
        <v>53</v>
      </c>
      <c r="AM2773" t="s">
        <v>53</v>
      </c>
      <c r="AN2773" t="s">
        <v>53</v>
      </c>
      <c r="AO2773" t="s">
        <v>53</v>
      </c>
      <c r="AP2773" t="s">
        <v>53</v>
      </c>
    </row>
    <row r="2774" spans="2:42" x14ac:dyDescent="0.2">
      <c r="B2774" t="s">
        <v>44</v>
      </c>
      <c r="C2774" t="str">
        <f>HYPERLINK("https://us2.cloudbeds.com/connect/8493803454333002#/reservations/7681972801670?display=5F886V8J1&amp;reservation_id=7681972801670", "5F886V8J1")</f>
        <v>5F886V8J1</v>
      </c>
      <c r="D2774" t="s">
        <v>45</v>
      </c>
      <c r="E2774" t="s">
        <v>110</v>
      </c>
      <c r="F2774" t="s">
        <v>47</v>
      </c>
      <c r="G2774" t="s">
        <v>48</v>
      </c>
      <c r="H2774" t="s">
        <v>49</v>
      </c>
      <c r="I2774" t="s">
        <v>62</v>
      </c>
      <c r="J2774" t="s">
        <v>4442</v>
      </c>
      <c r="K2774" t="s">
        <v>4443</v>
      </c>
      <c r="L2774" t="s">
        <v>53</v>
      </c>
      <c r="N2774" t="s">
        <v>4444</v>
      </c>
      <c r="P2774" t="s">
        <v>55</v>
      </c>
      <c r="R2774" t="s">
        <v>102</v>
      </c>
      <c r="T2774" t="s">
        <v>4445</v>
      </c>
      <c r="U2774" t="s">
        <v>55</v>
      </c>
      <c r="V2774">
        <v>2</v>
      </c>
      <c r="W2774">
        <v>1</v>
      </c>
      <c r="X2774">
        <v>2</v>
      </c>
      <c r="Y2774">
        <v>0</v>
      </c>
      <c r="Z2774">
        <v>2</v>
      </c>
      <c r="AA2774">
        <v>326</v>
      </c>
      <c r="AB2774">
        <v>696.5</v>
      </c>
      <c r="AC2774">
        <v>326</v>
      </c>
      <c r="AD2774">
        <v>0</v>
      </c>
      <c r="AE2774">
        <v>44.5</v>
      </c>
      <c r="AF2774">
        <v>0</v>
      </c>
      <c r="AG2774">
        <v>0</v>
      </c>
      <c r="AH2774">
        <v>0</v>
      </c>
      <c r="AI2774">
        <v>66.69</v>
      </c>
      <c r="AJ2774">
        <v>370.5</v>
      </c>
      <c r="AK2774">
        <v>0</v>
      </c>
      <c r="AL2774" t="s">
        <v>53</v>
      </c>
      <c r="AM2774" t="s">
        <v>53</v>
      </c>
      <c r="AN2774" t="s">
        <v>4446</v>
      </c>
      <c r="AO2774" t="s">
        <v>53</v>
      </c>
      <c r="AP2774" t="s">
        <v>53</v>
      </c>
    </row>
    <row r="2775" spans="2:42" x14ac:dyDescent="0.2">
      <c r="B2775" t="s">
        <v>44</v>
      </c>
      <c r="C2775" t="str">
        <f>HYPERLINK("https://us2.cloudbeds.com/connect/8493803454333002#/reservations/7694722474178?display=5FX3WQMRD&amp;reservation_id=7694722474178", "5FX3WQMRD")</f>
        <v>5FX3WQMRD</v>
      </c>
      <c r="D2775" t="s">
        <v>45</v>
      </c>
      <c r="E2775" t="s">
        <v>113</v>
      </c>
      <c r="F2775" t="s">
        <v>61</v>
      </c>
      <c r="G2775" t="s">
        <v>48</v>
      </c>
      <c r="H2775" t="s">
        <v>49</v>
      </c>
      <c r="I2775" t="s">
        <v>50</v>
      </c>
      <c r="J2775" t="s">
        <v>1863</v>
      </c>
      <c r="K2775" t="s">
        <v>1745</v>
      </c>
      <c r="L2775" t="s">
        <v>53</v>
      </c>
      <c r="N2775" t="s">
        <v>4447</v>
      </c>
      <c r="P2775" t="s">
        <v>55</v>
      </c>
      <c r="R2775" t="s">
        <v>53</v>
      </c>
      <c r="T2775" t="s">
        <v>4448</v>
      </c>
      <c r="U2775" t="s">
        <v>58</v>
      </c>
      <c r="V2775">
        <v>2</v>
      </c>
      <c r="W2775">
        <v>1</v>
      </c>
      <c r="X2775">
        <v>2</v>
      </c>
      <c r="Y2775">
        <v>0</v>
      </c>
      <c r="Z2775">
        <v>2</v>
      </c>
      <c r="AA2775">
        <v>0</v>
      </c>
      <c r="AB2775">
        <v>285.05</v>
      </c>
      <c r="AC2775">
        <v>250.8</v>
      </c>
      <c r="AD2775">
        <v>0</v>
      </c>
      <c r="AE2775">
        <v>34.25</v>
      </c>
      <c r="AF2775">
        <v>0</v>
      </c>
      <c r="AG2775">
        <v>0</v>
      </c>
      <c r="AH2775">
        <v>0</v>
      </c>
      <c r="AI2775">
        <v>51.31</v>
      </c>
      <c r="AJ2775">
        <v>285.05</v>
      </c>
      <c r="AK2775">
        <v>0</v>
      </c>
      <c r="AL2775" t="s">
        <v>53</v>
      </c>
      <c r="AM2775" t="s">
        <v>53</v>
      </c>
      <c r="AN2775" t="s">
        <v>4449</v>
      </c>
      <c r="AO2775" t="s">
        <v>53</v>
      </c>
      <c r="AP2775" t="s">
        <v>53</v>
      </c>
    </row>
    <row r="2776" spans="2:42" x14ac:dyDescent="0.2">
      <c r="B2776" t="s">
        <v>44</v>
      </c>
      <c r="C2776" t="str">
        <f>HYPERLINK("https://us2.cloudbeds.com/connect/8493803454333002#/reservations/7706332172481?display=5FR3YDYQT&amp;reservation_id=7706332172481", "5FR3YDYQT")</f>
        <v>5FR3YDYQT</v>
      </c>
      <c r="D2776" t="s">
        <v>45</v>
      </c>
      <c r="E2776" t="s">
        <v>113</v>
      </c>
      <c r="F2776" t="s">
        <v>61</v>
      </c>
      <c r="G2776" t="s">
        <v>3974</v>
      </c>
      <c r="H2776" t="s">
        <v>3957</v>
      </c>
      <c r="I2776" t="s">
        <v>3975</v>
      </c>
      <c r="J2776" t="s">
        <v>2058</v>
      </c>
      <c r="K2776" t="s">
        <v>2494</v>
      </c>
      <c r="L2776" t="s">
        <v>53</v>
      </c>
      <c r="P2776" t="s">
        <v>55</v>
      </c>
      <c r="R2776" t="s">
        <v>56</v>
      </c>
      <c r="T2776" t="s">
        <v>4450</v>
      </c>
      <c r="U2776" t="s">
        <v>58</v>
      </c>
      <c r="V2776">
        <v>1</v>
      </c>
      <c r="W2776">
        <v>1</v>
      </c>
      <c r="X2776">
        <v>2</v>
      </c>
      <c r="Y2776">
        <v>0</v>
      </c>
      <c r="Z2776">
        <v>2</v>
      </c>
      <c r="AA2776">
        <v>0</v>
      </c>
      <c r="AB2776">
        <v>176.95</v>
      </c>
      <c r="AC2776">
        <v>155.69999999999999</v>
      </c>
      <c r="AD2776">
        <v>0</v>
      </c>
      <c r="AE2776">
        <v>21.25</v>
      </c>
      <c r="AF2776">
        <v>0</v>
      </c>
      <c r="AG2776">
        <v>0</v>
      </c>
      <c r="AH2776">
        <v>0</v>
      </c>
      <c r="AI2776">
        <v>0</v>
      </c>
      <c r="AJ2776">
        <v>176.95</v>
      </c>
      <c r="AK2776">
        <v>0</v>
      </c>
      <c r="AL2776" t="s">
        <v>53</v>
      </c>
      <c r="AM2776" t="s">
        <v>53</v>
      </c>
      <c r="AN2776" t="s">
        <v>53</v>
      </c>
      <c r="AO2776" t="s">
        <v>53</v>
      </c>
      <c r="AP2776" t="s">
        <v>53</v>
      </c>
    </row>
    <row r="2777" spans="2:42" x14ac:dyDescent="0.2">
      <c r="B2777" t="s">
        <v>44</v>
      </c>
      <c r="C2777" t="str">
        <f>HYPERLINK("https://us2.cloudbeds.com/connect/8493803454333002#/reservations/7711304638661?display=5FUVNASF7&amp;reservation_id=7711304638661", "5FUVNASF7")</f>
        <v>5FUVNASF7</v>
      </c>
      <c r="D2777" t="s">
        <v>45</v>
      </c>
      <c r="E2777" t="s">
        <v>92</v>
      </c>
      <c r="F2777" t="s">
        <v>86</v>
      </c>
      <c r="G2777" t="s">
        <v>48</v>
      </c>
      <c r="H2777" t="s">
        <v>49</v>
      </c>
      <c r="I2777" t="s">
        <v>50</v>
      </c>
      <c r="J2777" t="s">
        <v>2494</v>
      </c>
      <c r="K2777" t="s">
        <v>2545</v>
      </c>
      <c r="L2777" t="s">
        <v>53</v>
      </c>
      <c r="N2777" t="s">
        <v>4451</v>
      </c>
      <c r="P2777" t="s">
        <v>55</v>
      </c>
      <c r="R2777" t="s">
        <v>53</v>
      </c>
      <c r="T2777" t="s">
        <v>4452</v>
      </c>
      <c r="U2777" t="s">
        <v>58</v>
      </c>
      <c r="V2777">
        <v>1</v>
      </c>
      <c r="W2777">
        <v>1</v>
      </c>
      <c r="X2777">
        <v>2</v>
      </c>
      <c r="Y2777">
        <v>0</v>
      </c>
      <c r="Z2777">
        <v>2</v>
      </c>
      <c r="AA2777">
        <v>0</v>
      </c>
      <c r="AB2777">
        <v>204.57</v>
      </c>
      <c r="AC2777">
        <v>180</v>
      </c>
      <c r="AD2777">
        <v>0</v>
      </c>
      <c r="AE2777">
        <v>24.57</v>
      </c>
      <c r="AF2777">
        <v>0</v>
      </c>
      <c r="AG2777">
        <v>0</v>
      </c>
      <c r="AH2777">
        <v>0</v>
      </c>
      <c r="AI2777">
        <v>36.82</v>
      </c>
      <c r="AJ2777">
        <v>204.57</v>
      </c>
      <c r="AK2777">
        <v>0</v>
      </c>
      <c r="AL2777" t="s">
        <v>53</v>
      </c>
      <c r="AM2777" t="s">
        <v>53</v>
      </c>
      <c r="AN2777" t="s">
        <v>53</v>
      </c>
      <c r="AO2777" t="s">
        <v>53</v>
      </c>
      <c r="AP2777" t="s">
        <v>53</v>
      </c>
    </row>
    <row r="2778" spans="2:42" x14ac:dyDescent="0.2">
      <c r="B2778" t="s">
        <v>44</v>
      </c>
      <c r="C2778" t="str">
        <f>HYPERLINK("https://us2.cloudbeds.com/connect/8493803454333002#/reservations/7715355853006?display=5G137DSR9&amp;reservation_id=7715355853006", "5G137DSR9")</f>
        <v>5G137DSR9</v>
      </c>
      <c r="D2778" t="s">
        <v>45</v>
      </c>
      <c r="E2778" t="s">
        <v>105</v>
      </c>
      <c r="F2778" t="s">
        <v>47</v>
      </c>
      <c r="G2778" t="s">
        <v>48</v>
      </c>
      <c r="H2778" t="s">
        <v>3957</v>
      </c>
      <c r="I2778" t="s">
        <v>3958</v>
      </c>
      <c r="J2778" t="s">
        <v>1610</v>
      </c>
      <c r="K2778" t="s">
        <v>1501</v>
      </c>
      <c r="L2778" t="s">
        <v>53</v>
      </c>
      <c r="P2778" t="s">
        <v>58</v>
      </c>
      <c r="R2778" t="s">
        <v>56</v>
      </c>
      <c r="T2778" t="s">
        <v>4453</v>
      </c>
      <c r="U2778" t="s">
        <v>58</v>
      </c>
      <c r="V2778">
        <v>1</v>
      </c>
      <c r="W2778">
        <v>1</v>
      </c>
      <c r="X2778">
        <v>1</v>
      </c>
      <c r="Y2778">
        <v>0</v>
      </c>
      <c r="Z2778">
        <v>1</v>
      </c>
      <c r="AA2778">
        <v>0</v>
      </c>
      <c r="AB2778">
        <v>351.18</v>
      </c>
      <c r="AC2778">
        <v>309</v>
      </c>
      <c r="AD2778">
        <v>0</v>
      </c>
      <c r="AE2778">
        <v>42.18</v>
      </c>
      <c r="AF2778">
        <v>0</v>
      </c>
      <c r="AG2778">
        <v>0</v>
      </c>
      <c r="AH2778">
        <v>0</v>
      </c>
      <c r="AI2778">
        <v>0</v>
      </c>
      <c r="AJ2778">
        <v>351.18</v>
      </c>
      <c r="AK2778">
        <v>0</v>
      </c>
      <c r="AL2778" t="s">
        <v>53</v>
      </c>
      <c r="AM2778" t="s">
        <v>53</v>
      </c>
      <c r="AN2778" t="s">
        <v>53</v>
      </c>
      <c r="AO2778" t="s">
        <v>53</v>
      </c>
      <c r="AP2778" t="s">
        <v>53</v>
      </c>
    </row>
    <row r="2779" spans="2:42" x14ac:dyDescent="0.2">
      <c r="B2779" t="s">
        <v>44</v>
      </c>
      <c r="C2779" t="str">
        <f>HYPERLINK("https://us2.cloudbeds.com/connect/8493803454333002#/reservations/7733681508570?display=5GF9G38C5&amp;reservation_id=7733681508570", "5GF9G38C5")</f>
        <v>5GF9G38C5</v>
      </c>
      <c r="D2779" t="s">
        <v>45</v>
      </c>
      <c r="E2779" t="s">
        <v>138</v>
      </c>
      <c r="F2779" t="s">
        <v>70</v>
      </c>
      <c r="G2779" t="s">
        <v>48</v>
      </c>
      <c r="H2779" t="s">
        <v>49</v>
      </c>
      <c r="I2779" t="s">
        <v>50</v>
      </c>
      <c r="J2779" t="s">
        <v>2384</v>
      </c>
      <c r="K2779" t="s">
        <v>2643</v>
      </c>
      <c r="L2779" t="s">
        <v>53</v>
      </c>
      <c r="N2779" t="s">
        <v>4454</v>
      </c>
      <c r="P2779" t="s">
        <v>55</v>
      </c>
      <c r="R2779" t="s">
        <v>53</v>
      </c>
      <c r="T2779" t="s">
        <v>4455</v>
      </c>
      <c r="U2779" t="s">
        <v>58</v>
      </c>
      <c r="V2779">
        <v>2</v>
      </c>
      <c r="W2779">
        <v>1</v>
      </c>
      <c r="X2779">
        <v>2</v>
      </c>
      <c r="Y2779">
        <v>0</v>
      </c>
      <c r="Z2779">
        <v>2</v>
      </c>
      <c r="AA2779">
        <v>0</v>
      </c>
      <c r="AB2779">
        <v>315.05</v>
      </c>
      <c r="AC2779">
        <v>277.2</v>
      </c>
      <c r="AD2779">
        <v>0</v>
      </c>
      <c r="AE2779">
        <v>37.85</v>
      </c>
      <c r="AF2779">
        <v>0</v>
      </c>
      <c r="AG2779">
        <v>0</v>
      </c>
      <c r="AH2779">
        <v>0</v>
      </c>
      <c r="AI2779">
        <v>56.71</v>
      </c>
      <c r="AJ2779">
        <v>315.05</v>
      </c>
      <c r="AK2779">
        <v>0</v>
      </c>
      <c r="AL2779" t="s">
        <v>53</v>
      </c>
      <c r="AM2779" t="s">
        <v>53</v>
      </c>
      <c r="AN2779" t="s">
        <v>53</v>
      </c>
      <c r="AO2779" t="s">
        <v>53</v>
      </c>
      <c r="AP2779" t="s">
        <v>53</v>
      </c>
    </row>
    <row r="2780" spans="2:42" x14ac:dyDescent="0.2">
      <c r="B2780" t="s">
        <v>44</v>
      </c>
      <c r="C2780" t="str">
        <f>HYPERLINK("https://us2.cloudbeds.com/connect/8493803454333002#/reservations/7728781807747?display=5GBG9HS7Y&amp;reservation_id=7728781807747", "5GBG9HS7Y")</f>
        <v>5GBG9HS7Y</v>
      </c>
      <c r="D2780" t="s">
        <v>45</v>
      </c>
      <c r="E2780" t="s">
        <v>138</v>
      </c>
      <c r="F2780" t="s">
        <v>70</v>
      </c>
      <c r="G2780" t="s">
        <v>48</v>
      </c>
      <c r="H2780" t="s">
        <v>3957</v>
      </c>
      <c r="I2780" t="s">
        <v>3975</v>
      </c>
      <c r="J2780" t="s">
        <v>1502</v>
      </c>
      <c r="K2780" t="s">
        <v>1436</v>
      </c>
      <c r="L2780" t="s">
        <v>53</v>
      </c>
      <c r="P2780" t="s">
        <v>55</v>
      </c>
      <c r="R2780" t="s">
        <v>56</v>
      </c>
      <c r="T2780" t="s">
        <v>4456</v>
      </c>
      <c r="U2780" t="s">
        <v>58</v>
      </c>
      <c r="V2780">
        <v>1</v>
      </c>
      <c r="W2780">
        <v>1</v>
      </c>
      <c r="X2780">
        <v>2</v>
      </c>
      <c r="Y2780">
        <v>0</v>
      </c>
      <c r="Z2780">
        <v>2</v>
      </c>
      <c r="AA2780">
        <v>0</v>
      </c>
      <c r="AB2780">
        <v>147.75</v>
      </c>
      <c r="AC2780">
        <v>130</v>
      </c>
      <c r="AD2780">
        <v>0</v>
      </c>
      <c r="AE2780">
        <v>17.75</v>
      </c>
      <c r="AF2780">
        <v>0</v>
      </c>
      <c r="AG2780">
        <v>0</v>
      </c>
      <c r="AH2780">
        <v>0</v>
      </c>
      <c r="AI2780">
        <v>0</v>
      </c>
      <c r="AJ2780">
        <v>147.75</v>
      </c>
      <c r="AK2780">
        <v>0</v>
      </c>
      <c r="AL2780" t="s">
        <v>53</v>
      </c>
      <c r="AM2780" t="s">
        <v>53</v>
      </c>
      <c r="AN2780" t="s">
        <v>53</v>
      </c>
      <c r="AO2780" t="s">
        <v>53</v>
      </c>
      <c r="AP2780" t="s">
        <v>53</v>
      </c>
    </row>
    <row r="2781" spans="2:42" x14ac:dyDescent="0.2">
      <c r="B2781" t="s">
        <v>44</v>
      </c>
      <c r="C2781" t="str">
        <f>HYPERLINK("https://us2.cloudbeds.com/connect/8493803454333002#/reservations/7734774231271?display=5GG4DGSR9&amp;reservation_id=7734774231271", "5GG4DGSR9")</f>
        <v>5GG4DGSR9</v>
      </c>
      <c r="D2781" t="s">
        <v>45</v>
      </c>
      <c r="E2781" t="s">
        <v>128</v>
      </c>
      <c r="F2781" t="s">
        <v>86</v>
      </c>
      <c r="G2781" t="s">
        <v>48</v>
      </c>
      <c r="H2781" t="s">
        <v>49</v>
      </c>
      <c r="I2781" t="s">
        <v>50</v>
      </c>
      <c r="J2781" t="s">
        <v>1406</v>
      </c>
      <c r="K2781" t="s">
        <v>2634</v>
      </c>
      <c r="L2781" t="s">
        <v>53</v>
      </c>
      <c r="N2781" t="s">
        <v>4457</v>
      </c>
      <c r="P2781" t="s">
        <v>55</v>
      </c>
      <c r="R2781" t="s">
        <v>53</v>
      </c>
      <c r="T2781" t="s">
        <v>4458</v>
      </c>
      <c r="U2781" t="s">
        <v>58</v>
      </c>
      <c r="V2781">
        <v>2</v>
      </c>
      <c r="W2781">
        <v>1</v>
      </c>
      <c r="X2781">
        <v>2</v>
      </c>
      <c r="Y2781">
        <v>0</v>
      </c>
      <c r="Z2781">
        <v>2</v>
      </c>
      <c r="AA2781">
        <v>0</v>
      </c>
      <c r="AB2781">
        <v>409.14</v>
      </c>
      <c r="AC2781">
        <v>360</v>
      </c>
      <c r="AD2781">
        <v>0</v>
      </c>
      <c r="AE2781">
        <v>49.14</v>
      </c>
      <c r="AF2781">
        <v>0</v>
      </c>
      <c r="AG2781">
        <v>0</v>
      </c>
      <c r="AH2781">
        <v>0</v>
      </c>
      <c r="AI2781">
        <v>73.650000000000006</v>
      </c>
      <c r="AJ2781">
        <v>409.14</v>
      </c>
      <c r="AK2781">
        <v>0</v>
      </c>
      <c r="AL2781" t="s">
        <v>53</v>
      </c>
      <c r="AM2781" t="s">
        <v>53</v>
      </c>
      <c r="AN2781" t="s">
        <v>53</v>
      </c>
      <c r="AO2781" t="s">
        <v>53</v>
      </c>
      <c r="AP2781" t="s">
        <v>53</v>
      </c>
    </row>
    <row r="2782" spans="2:42" x14ac:dyDescent="0.2">
      <c r="B2782" t="s">
        <v>44</v>
      </c>
      <c r="C2782" t="str">
        <f>HYPERLINK("https://us2.cloudbeds.com/connect/8493803454333002#/reservations/7756919181441?display=5H098NZVB&amp;reservation_id=7756919181441", "5H098NZVB")</f>
        <v>5H098NZVB</v>
      </c>
      <c r="D2782" t="s">
        <v>45</v>
      </c>
      <c r="E2782" t="s">
        <v>165</v>
      </c>
      <c r="F2782" t="s">
        <v>61</v>
      </c>
      <c r="G2782" t="s">
        <v>48</v>
      </c>
      <c r="H2782" t="s">
        <v>49</v>
      </c>
      <c r="I2782" t="s">
        <v>50</v>
      </c>
      <c r="J2782" t="s">
        <v>2384</v>
      </c>
      <c r="K2782" t="s">
        <v>2163</v>
      </c>
      <c r="L2782" t="s">
        <v>53</v>
      </c>
      <c r="N2782" t="s">
        <v>4459</v>
      </c>
      <c r="P2782" t="s">
        <v>55</v>
      </c>
      <c r="R2782" t="s">
        <v>53</v>
      </c>
      <c r="T2782" t="s">
        <v>4460</v>
      </c>
      <c r="U2782" t="s">
        <v>58</v>
      </c>
      <c r="V2782">
        <v>1</v>
      </c>
      <c r="W2782">
        <v>1</v>
      </c>
      <c r="X2782">
        <v>1</v>
      </c>
      <c r="Y2782">
        <v>0</v>
      </c>
      <c r="Z2782">
        <v>1</v>
      </c>
      <c r="AA2782">
        <v>0</v>
      </c>
      <c r="AB2782">
        <v>164.68</v>
      </c>
      <c r="AC2782">
        <v>144.9</v>
      </c>
      <c r="AD2782">
        <v>0</v>
      </c>
      <c r="AE2782">
        <v>19.78</v>
      </c>
      <c r="AF2782">
        <v>0</v>
      </c>
      <c r="AG2782">
        <v>0</v>
      </c>
      <c r="AH2782">
        <v>0</v>
      </c>
      <c r="AI2782">
        <v>29.64</v>
      </c>
      <c r="AJ2782">
        <v>164.68</v>
      </c>
      <c r="AK2782">
        <v>0</v>
      </c>
      <c r="AL2782" t="s">
        <v>53</v>
      </c>
      <c r="AM2782" t="s">
        <v>53</v>
      </c>
      <c r="AN2782" t="s">
        <v>53</v>
      </c>
      <c r="AO2782" t="s">
        <v>53</v>
      </c>
      <c r="AP2782" t="s">
        <v>53</v>
      </c>
    </row>
    <row r="2783" spans="2:42" x14ac:dyDescent="0.2">
      <c r="B2783" t="s">
        <v>44</v>
      </c>
      <c r="C2783" t="str">
        <f>HYPERLINK("https://us2.cloudbeds.com/connect/8493803454333002#/reservations/7783293747394?display=5HKN6EUPY&amp;reservation_id=7783293747394", "5HKN6EUPY")</f>
        <v>5HKN6EUPY</v>
      </c>
      <c r="D2783" t="s">
        <v>45</v>
      </c>
      <c r="E2783" t="s">
        <v>138</v>
      </c>
      <c r="F2783" t="s">
        <v>70</v>
      </c>
      <c r="G2783" t="s">
        <v>48</v>
      </c>
      <c r="H2783" t="s">
        <v>49</v>
      </c>
      <c r="I2783" t="s">
        <v>62</v>
      </c>
      <c r="J2783" t="s">
        <v>2643</v>
      </c>
      <c r="K2783" t="s">
        <v>2790</v>
      </c>
      <c r="L2783" t="s">
        <v>53</v>
      </c>
      <c r="N2783" t="s">
        <v>4461</v>
      </c>
      <c r="P2783" t="s">
        <v>55</v>
      </c>
      <c r="R2783" t="s">
        <v>56</v>
      </c>
      <c r="T2783" t="s">
        <v>4462</v>
      </c>
      <c r="U2783" t="s">
        <v>58</v>
      </c>
      <c r="V2783">
        <v>2</v>
      </c>
      <c r="W2783">
        <v>1</v>
      </c>
      <c r="X2783">
        <v>2</v>
      </c>
      <c r="Y2783">
        <v>0</v>
      </c>
      <c r="Z2783">
        <v>2</v>
      </c>
      <c r="AA2783">
        <v>0</v>
      </c>
      <c r="AB2783">
        <v>398.92</v>
      </c>
      <c r="AC2783">
        <v>351</v>
      </c>
      <c r="AD2783">
        <v>0</v>
      </c>
      <c r="AE2783">
        <v>47.92</v>
      </c>
      <c r="AF2783">
        <v>0</v>
      </c>
      <c r="AG2783">
        <v>0</v>
      </c>
      <c r="AH2783">
        <v>0</v>
      </c>
      <c r="AI2783">
        <v>59.84</v>
      </c>
      <c r="AJ2783">
        <v>398.92</v>
      </c>
      <c r="AK2783">
        <v>0</v>
      </c>
      <c r="AL2783" t="s">
        <v>53</v>
      </c>
      <c r="AM2783" t="s">
        <v>53</v>
      </c>
      <c r="AN2783" t="s">
        <v>53</v>
      </c>
      <c r="AO2783" t="s">
        <v>53</v>
      </c>
      <c r="AP2783" t="s">
        <v>53</v>
      </c>
    </row>
    <row r="2784" spans="2:42" x14ac:dyDescent="0.2">
      <c r="B2784" t="s">
        <v>44</v>
      </c>
      <c r="C2784" t="str">
        <f>HYPERLINK("https://us2.cloudbeds.com/connect/8493803454333002#/reservations/7793185968290?display=5HSBVRXH7&amp;reservation_id=7793185968290", "5HSBVRXH7")</f>
        <v>5HSBVRXH7</v>
      </c>
      <c r="D2784" t="s">
        <v>45</v>
      </c>
      <c r="E2784" t="s">
        <v>265</v>
      </c>
      <c r="F2784" t="s">
        <v>61</v>
      </c>
      <c r="G2784" t="s">
        <v>48</v>
      </c>
      <c r="H2784" t="s">
        <v>49</v>
      </c>
      <c r="I2784" t="s">
        <v>50</v>
      </c>
      <c r="J2784" t="s">
        <v>2058</v>
      </c>
      <c r="K2784" t="s">
        <v>2545</v>
      </c>
      <c r="L2784" t="s">
        <v>53</v>
      </c>
      <c r="N2784" t="s">
        <v>4463</v>
      </c>
      <c r="P2784" t="s">
        <v>55</v>
      </c>
      <c r="R2784" t="s">
        <v>53</v>
      </c>
      <c r="T2784" t="s">
        <v>4464</v>
      </c>
      <c r="U2784" t="s">
        <v>58</v>
      </c>
      <c r="V2784">
        <v>2</v>
      </c>
      <c r="W2784">
        <v>1</v>
      </c>
      <c r="X2784">
        <v>1</v>
      </c>
      <c r="Y2784">
        <v>1</v>
      </c>
      <c r="Z2784">
        <v>2</v>
      </c>
      <c r="AA2784">
        <v>0</v>
      </c>
      <c r="AB2784">
        <v>393.24</v>
      </c>
      <c r="AC2784">
        <v>346</v>
      </c>
      <c r="AD2784">
        <v>0</v>
      </c>
      <c r="AE2784">
        <v>47.24</v>
      </c>
      <c r="AF2784">
        <v>0</v>
      </c>
      <c r="AG2784">
        <v>0</v>
      </c>
      <c r="AH2784">
        <v>0</v>
      </c>
      <c r="AI2784">
        <v>70.78</v>
      </c>
      <c r="AJ2784">
        <v>393.24</v>
      </c>
      <c r="AK2784">
        <v>0</v>
      </c>
      <c r="AL2784" t="s">
        <v>53</v>
      </c>
      <c r="AM2784" t="s">
        <v>53</v>
      </c>
      <c r="AN2784" t="s">
        <v>53</v>
      </c>
      <c r="AO2784" t="s">
        <v>53</v>
      </c>
      <c r="AP2784" t="s">
        <v>53</v>
      </c>
    </row>
    <row r="2785" spans="2:42" x14ac:dyDescent="0.2">
      <c r="B2785" t="s">
        <v>44</v>
      </c>
      <c r="C2785" t="str">
        <f>HYPERLINK("https://us2.cloudbeds.com/connect/8493803454333002#/reservations/7797302493390?display=5HVX4WV12&amp;reservation_id=7797302493390", "5HVX4WV12")</f>
        <v>5HVX4WV12</v>
      </c>
      <c r="D2785" t="s">
        <v>45</v>
      </c>
      <c r="E2785" t="s">
        <v>98</v>
      </c>
      <c r="F2785" t="s">
        <v>86</v>
      </c>
      <c r="G2785" t="s">
        <v>48</v>
      </c>
      <c r="H2785" t="s">
        <v>49</v>
      </c>
      <c r="I2785" t="s">
        <v>50</v>
      </c>
      <c r="J2785" t="s">
        <v>1436</v>
      </c>
      <c r="K2785" t="s">
        <v>2412</v>
      </c>
      <c r="L2785" t="s">
        <v>53</v>
      </c>
      <c r="N2785" t="s">
        <v>4465</v>
      </c>
      <c r="P2785" t="s">
        <v>55</v>
      </c>
      <c r="R2785" t="s">
        <v>53</v>
      </c>
      <c r="T2785" t="s">
        <v>4466</v>
      </c>
      <c r="U2785" t="s">
        <v>58</v>
      </c>
      <c r="V2785">
        <v>4</v>
      </c>
      <c r="W2785">
        <v>1</v>
      </c>
      <c r="X2785">
        <v>2</v>
      </c>
      <c r="Y2785">
        <v>0</v>
      </c>
      <c r="Z2785">
        <v>2</v>
      </c>
      <c r="AA2785">
        <v>0</v>
      </c>
      <c r="AB2785">
        <v>696.57</v>
      </c>
      <c r="AC2785">
        <v>612.9</v>
      </c>
      <c r="AD2785">
        <v>0</v>
      </c>
      <c r="AE2785">
        <v>83.67</v>
      </c>
      <c r="AF2785">
        <v>0</v>
      </c>
      <c r="AG2785">
        <v>0</v>
      </c>
      <c r="AH2785">
        <v>0</v>
      </c>
      <c r="AI2785">
        <v>125.38</v>
      </c>
      <c r="AJ2785">
        <v>696.57</v>
      </c>
      <c r="AK2785">
        <v>0</v>
      </c>
      <c r="AL2785" t="s">
        <v>53</v>
      </c>
      <c r="AM2785" t="s">
        <v>53</v>
      </c>
      <c r="AN2785" t="s">
        <v>53</v>
      </c>
      <c r="AO2785" t="s">
        <v>53</v>
      </c>
      <c r="AP2785" t="s">
        <v>53</v>
      </c>
    </row>
    <row r="2786" spans="2:42" x14ac:dyDescent="0.2">
      <c r="B2786" t="s">
        <v>44</v>
      </c>
      <c r="C2786" t="str">
        <f>HYPERLINK("https://us2.cloudbeds.com/connect/8493803454333002#/reservations/7813653610713?display=5XB6VMT4Q&amp;reservation_id=7813653610713", "5XB6VMT4Q")</f>
        <v>5XB6VMT4Q</v>
      </c>
      <c r="D2786" t="s">
        <v>45</v>
      </c>
      <c r="E2786" t="s">
        <v>121</v>
      </c>
      <c r="F2786" t="s">
        <v>86</v>
      </c>
      <c r="G2786" t="s">
        <v>48</v>
      </c>
      <c r="H2786" t="s">
        <v>49</v>
      </c>
      <c r="I2786" t="s">
        <v>62</v>
      </c>
      <c r="J2786" t="s">
        <v>2384</v>
      </c>
      <c r="K2786" t="s">
        <v>2163</v>
      </c>
      <c r="L2786" t="s">
        <v>53</v>
      </c>
      <c r="N2786" t="s">
        <v>4467</v>
      </c>
      <c r="P2786" t="s">
        <v>55</v>
      </c>
      <c r="R2786" t="s">
        <v>56</v>
      </c>
      <c r="T2786" t="s">
        <v>4468</v>
      </c>
      <c r="U2786" t="s">
        <v>55</v>
      </c>
      <c r="V2786">
        <v>1</v>
      </c>
      <c r="W2786">
        <v>1</v>
      </c>
      <c r="X2786">
        <v>2</v>
      </c>
      <c r="Y2786">
        <v>0</v>
      </c>
      <c r="Z2786">
        <v>2</v>
      </c>
      <c r="AA2786">
        <v>0</v>
      </c>
      <c r="AB2786">
        <v>192.07</v>
      </c>
      <c r="AC2786">
        <v>169</v>
      </c>
      <c r="AD2786">
        <v>0</v>
      </c>
      <c r="AE2786">
        <v>23.07</v>
      </c>
      <c r="AF2786">
        <v>0</v>
      </c>
      <c r="AG2786">
        <v>0</v>
      </c>
      <c r="AH2786">
        <v>0</v>
      </c>
      <c r="AI2786">
        <v>28.81</v>
      </c>
      <c r="AJ2786">
        <v>192.07</v>
      </c>
      <c r="AK2786">
        <v>0</v>
      </c>
      <c r="AL2786" t="s">
        <v>53</v>
      </c>
      <c r="AM2786" t="s">
        <v>53</v>
      </c>
      <c r="AN2786" t="s">
        <v>53</v>
      </c>
      <c r="AO2786" t="s">
        <v>53</v>
      </c>
      <c r="AP2786" t="s">
        <v>53</v>
      </c>
    </row>
    <row r="2787" spans="2:42" x14ac:dyDescent="0.2">
      <c r="B2787" t="s">
        <v>44</v>
      </c>
      <c r="C2787" t="str">
        <f>HYPERLINK("https://us2.cloudbeds.com/connect/8493803454333002#/reservations/7812251041936?display=5XA440B6Y&amp;reservation_id=7812251041936", "5XA440B6Y")</f>
        <v>5XA440B6Y</v>
      </c>
      <c r="D2787" t="s">
        <v>45</v>
      </c>
      <c r="E2787" t="s">
        <v>190</v>
      </c>
      <c r="F2787" t="s">
        <v>61</v>
      </c>
      <c r="G2787" t="s">
        <v>3974</v>
      </c>
      <c r="H2787" t="s">
        <v>3957</v>
      </c>
      <c r="I2787" t="s">
        <v>3975</v>
      </c>
      <c r="J2787" t="s">
        <v>1902</v>
      </c>
      <c r="K2787" t="s">
        <v>2058</v>
      </c>
      <c r="L2787" t="s">
        <v>53</v>
      </c>
      <c r="P2787" t="s">
        <v>58</v>
      </c>
      <c r="R2787" t="s">
        <v>56</v>
      </c>
      <c r="T2787" t="s">
        <v>4469</v>
      </c>
      <c r="U2787" t="s">
        <v>58</v>
      </c>
      <c r="V2787">
        <v>2</v>
      </c>
      <c r="W2787">
        <v>1</v>
      </c>
      <c r="X2787">
        <v>2</v>
      </c>
      <c r="Y2787">
        <v>0</v>
      </c>
      <c r="Z2787">
        <v>2</v>
      </c>
      <c r="AA2787">
        <v>0</v>
      </c>
      <c r="AB2787">
        <v>326.29000000000002</v>
      </c>
      <c r="AC2787">
        <v>287.10000000000002</v>
      </c>
      <c r="AD2787">
        <v>0</v>
      </c>
      <c r="AE2787">
        <v>39.19</v>
      </c>
      <c r="AF2787">
        <v>0</v>
      </c>
      <c r="AG2787">
        <v>0</v>
      </c>
      <c r="AH2787">
        <v>0</v>
      </c>
      <c r="AI2787">
        <v>0</v>
      </c>
      <c r="AJ2787">
        <v>326.29000000000002</v>
      </c>
      <c r="AK2787">
        <v>0</v>
      </c>
      <c r="AL2787" t="s">
        <v>53</v>
      </c>
      <c r="AM2787" t="s">
        <v>53</v>
      </c>
      <c r="AN2787" t="s">
        <v>53</v>
      </c>
      <c r="AO2787" t="s">
        <v>53</v>
      </c>
      <c r="AP2787" t="s">
        <v>53</v>
      </c>
    </row>
    <row r="2788" spans="2:42" x14ac:dyDescent="0.2">
      <c r="B2788" t="s">
        <v>44</v>
      </c>
      <c r="C2788" t="str">
        <f>HYPERLINK("https://us2.cloudbeds.com/connect/8493803454333002#/reservations/7812183670944?display=5XA2D6Y6E&amp;reservation_id=7812183670944", "5XA2D6Y6E")</f>
        <v>5XA2D6Y6E</v>
      </c>
      <c r="D2788" t="s">
        <v>45</v>
      </c>
      <c r="E2788" t="s">
        <v>138</v>
      </c>
      <c r="F2788" t="s">
        <v>70</v>
      </c>
      <c r="G2788" t="s">
        <v>48</v>
      </c>
      <c r="H2788" t="s">
        <v>3957</v>
      </c>
      <c r="I2788" t="s">
        <v>3975</v>
      </c>
      <c r="J2788" t="s">
        <v>1933</v>
      </c>
      <c r="K2788" t="s">
        <v>2412</v>
      </c>
      <c r="L2788" t="s">
        <v>53</v>
      </c>
      <c r="P2788" t="s">
        <v>55</v>
      </c>
      <c r="R2788" t="s">
        <v>56</v>
      </c>
      <c r="T2788" t="s">
        <v>4470</v>
      </c>
      <c r="U2788" t="s">
        <v>58</v>
      </c>
      <c r="V2788">
        <v>1</v>
      </c>
      <c r="W2788">
        <v>1</v>
      </c>
      <c r="X2788">
        <v>2</v>
      </c>
      <c r="Y2788">
        <v>0</v>
      </c>
      <c r="Z2788">
        <v>2</v>
      </c>
      <c r="AA2788">
        <v>0</v>
      </c>
      <c r="AB2788">
        <v>152.30000000000001</v>
      </c>
      <c r="AC2788">
        <v>134</v>
      </c>
      <c r="AD2788">
        <v>0</v>
      </c>
      <c r="AE2788">
        <v>18.3</v>
      </c>
      <c r="AF2788">
        <v>0</v>
      </c>
      <c r="AG2788">
        <v>0</v>
      </c>
      <c r="AH2788">
        <v>0</v>
      </c>
      <c r="AI2788">
        <v>0</v>
      </c>
      <c r="AJ2788">
        <v>152.30000000000001</v>
      </c>
      <c r="AK2788">
        <v>0</v>
      </c>
      <c r="AL2788" t="s">
        <v>53</v>
      </c>
      <c r="AM2788" t="s">
        <v>53</v>
      </c>
      <c r="AN2788" t="s">
        <v>53</v>
      </c>
      <c r="AO2788" t="s">
        <v>53</v>
      </c>
      <c r="AP2788" t="s">
        <v>53</v>
      </c>
    </row>
    <row r="2789" spans="2:42" x14ac:dyDescent="0.2">
      <c r="B2789" t="s">
        <v>44</v>
      </c>
      <c r="C2789" t="str">
        <f>HYPERLINK("https://us2.cloudbeds.com/connect/8493803454333002#/reservations/7824462250148?display=5XJJ4R6T4&amp;reservation_id=7824462250148", "5XJJ4R6T4")</f>
        <v>5XJJ4R6T4</v>
      </c>
      <c r="D2789" t="s">
        <v>45</v>
      </c>
      <c r="E2789" t="s">
        <v>69</v>
      </c>
      <c r="F2789" t="s">
        <v>70</v>
      </c>
      <c r="G2789" t="s">
        <v>48</v>
      </c>
      <c r="H2789" t="s">
        <v>49</v>
      </c>
      <c r="I2789" t="s">
        <v>62</v>
      </c>
      <c r="J2789" t="s">
        <v>1862</v>
      </c>
      <c r="K2789" t="s">
        <v>2790</v>
      </c>
      <c r="L2789" t="s">
        <v>53</v>
      </c>
      <c r="N2789" t="s">
        <v>4471</v>
      </c>
      <c r="P2789" t="s">
        <v>55</v>
      </c>
      <c r="R2789" t="s">
        <v>205</v>
      </c>
      <c r="T2789" t="s">
        <v>4472</v>
      </c>
      <c r="U2789" t="s">
        <v>58</v>
      </c>
      <c r="V2789">
        <v>1</v>
      </c>
      <c r="W2789">
        <v>1</v>
      </c>
      <c r="X2789">
        <v>2</v>
      </c>
      <c r="Y2789">
        <v>0</v>
      </c>
      <c r="Z2789">
        <v>2</v>
      </c>
      <c r="AA2789">
        <v>0</v>
      </c>
      <c r="AB2789">
        <v>197.76</v>
      </c>
      <c r="AC2789">
        <v>174</v>
      </c>
      <c r="AD2789">
        <v>0</v>
      </c>
      <c r="AE2789">
        <v>23.76</v>
      </c>
      <c r="AF2789">
        <v>0</v>
      </c>
      <c r="AG2789">
        <v>0</v>
      </c>
      <c r="AH2789">
        <v>0</v>
      </c>
      <c r="AI2789">
        <v>29.66</v>
      </c>
      <c r="AJ2789">
        <v>197.76</v>
      </c>
      <c r="AK2789">
        <v>0</v>
      </c>
      <c r="AL2789" t="s">
        <v>53</v>
      </c>
      <c r="AM2789" t="s">
        <v>53</v>
      </c>
      <c r="AN2789" t="s">
        <v>4473</v>
      </c>
      <c r="AO2789" t="s">
        <v>53</v>
      </c>
      <c r="AP2789" t="s">
        <v>53</v>
      </c>
    </row>
    <row r="2790" spans="2:42" x14ac:dyDescent="0.2">
      <c r="B2790" t="s">
        <v>44</v>
      </c>
      <c r="C2790" t="str">
        <f>HYPERLINK("https://us2.cloudbeds.com/connect/8493803454333002#/reservations/7998131257548?display=5MM1Q4BE2&amp;reservation_id=7998131257548", "5MM1Q4BE2")</f>
        <v>5MM1Q4BE2</v>
      </c>
      <c r="D2790" t="s">
        <v>45</v>
      </c>
      <c r="E2790" t="s">
        <v>60</v>
      </c>
      <c r="F2790" t="s">
        <v>61</v>
      </c>
      <c r="G2790" t="s">
        <v>48</v>
      </c>
      <c r="H2790" t="s">
        <v>3957</v>
      </c>
      <c r="I2790" t="s">
        <v>3975</v>
      </c>
      <c r="J2790" t="s">
        <v>1611</v>
      </c>
      <c r="K2790" t="s">
        <v>2541</v>
      </c>
      <c r="L2790" t="s">
        <v>53</v>
      </c>
      <c r="P2790" t="s">
        <v>55</v>
      </c>
      <c r="R2790" t="s">
        <v>56</v>
      </c>
      <c r="T2790" t="s">
        <v>4474</v>
      </c>
      <c r="U2790" t="s">
        <v>58</v>
      </c>
      <c r="V2790">
        <v>4</v>
      </c>
      <c r="W2790">
        <v>2</v>
      </c>
      <c r="X2790">
        <v>4</v>
      </c>
      <c r="Y2790">
        <v>0</v>
      </c>
      <c r="Z2790">
        <v>4</v>
      </c>
      <c r="AA2790">
        <v>0</v>
      </c>
      <c r="AB2790">
        <v>572.82000000000005</v>
      </c>
      <c r="AC2790">
        <v>504</v>
      </c>
      <c r="AD2790">
        <v>0</v>
      </c>
      <c r="AE2790">
        <v>68.819999999999993</v>
      </c>
      <c r="AF2790">
        <v>0</v>
      </c>
      <c r="AG2790">
        <v>0</v>
      </c>
      <c r="AH2790">
        <v>0</v>
      </c>
      <c r="AI2790">
        <v>0</v>
      </c>
      <c r="AJ2790">
        <v>572.82000000000005</v>
      </c>
      <c r="AK2790">
        <v>0</v>
      </c>
      <c r="AL2790" t="s">
        <v>53</v>
      </c>
      <c r="AM2790" t="s">
        <v>53</v>
      </c>
      <c r="AN2790" t="s">
        <v>53</v>
      </c>
      <c r="AO2790" t="s">
        <v>53</v>
      </c>
      <c r="AP2790" t="s">
        <v>53</v>
      </c>
    </row>
    <row r="2791" spans="2:42" x14ac:dyDescent="0.2">
      <c r="B2791" t="s">
        <v>44</v>
      </c>
      <c r="C2791" t="str">
        <f>HYPERLINK("https://us2.cloudbeds.com/connect/8493803454333002#/reservations/8066454933706?display=5Z8VKFBK3&amp;reservation_id=8066454933706", "5Z8VKFBK3")</f>
        <v>5Z8VKFBK3</v>
      </c>
      <c r="D2791" t="s">
        <v>45</v>
      </c>
      <c r="E2791" t="s">
        <v>110</v>
      </c>
      <c r="F2791" t="s">
        <v>47</v>
      </c>
      <c r="G2791" t="s">
        <v>48</v>
      </c>
      <c r="H2791" t="s">
        <v>49</v>
      </c>
      <c r="I2791" t="s">
        <v>50</v>
      </c>
      <c r="J2791" t="s">
        <v>2643</v>
      </c>
      <c r="K2791" t="s">
        <v>1862</v>
      </c>
      <c r="L2791" t="s">
        <v>53</v>
      </c>
      <c r="N2791" t="s">
        <v>4475</v>
      </c>
      <c r="P2791" t="s">
        <v>55</v>
      </c>
      <c r="R2791" t="s">
        <v>53</v>
      </c>
      <c r="T2791" t="s">
        <v>4476</v>
      </c>
      <c r="U2791" t="s">
        <v>58</v>
      </c>
      <c r="V2791">
        <v>1</v>
      </c>
      <c r="W2791">
        <v>1</v>
      </c>
      <c r="X2791">
        <v>2</v>
      </c>
      <c r="Y2791">
        <v>0</v>
      </c>
      <c r="Z2791">
        <v>2</v>
      </c>
      <c r="AA2791">
        <v>0</v>
      </c>
      <c r="AB2791">
        <v>192.29</v>
      </c>
      <c r="AC2791">
        <v>169.2</v>
      </c>
      <c r="AD2791">
        <v>0</v>
      </c>
      <c r="AE2791">
        <v>23.09</v>
      </c>
      <c r="AF2791">
        <v>0</v>
      </c>
      <c r="AG2791">
        <v>0</v>
      </c>
      <c r="AH2791">
        <v>0</v>
      </c>
      <c r="AI2791">
        <v>34.61</v>
      </c>
      <c r="AJ2791">
        <v>192.29</v>
      </c>
      <c r="AK2791">
        <v>0</v>
      </c>
      <c r="AL2791" t="s">
        <v>53</v>
      </c>
      <c r="AM2791" t="s">
        <v>53</v>
      </c>
      <c r="AN2791" t="s">
        <v>53</v>
      </c>
      <c r="AO2791" t="s">
        <v>53</v>
      </c>
      <c r="AP2791" t="s">
        <v>53</v>
      </c>
    </row>
    <row r="2792" spans="2:42" x14ac:dyDescent="0.2">
      <c r="B2792" t="s">
        <v>44</v>
      </c>
      <c r="C2792" t="str">
        <f>HYPERLINK("https://us2.cloudbeds.com/connect/8493803454333002#/reservations/8080414769297?display=5ZJPAPBZ1&amp;reservation_id=8080414769297", "5ZJPAPBZ1")</f>
        <v>5ZJPAPBZ1</v>
      </c>
      <c r="D2792" t="s">
        <v>45</v>
      </c>
      <c r="E2792" t="s">
        <v>190</v>
      </c>
      <c r="F2792" t="s">
        <v>61</v>
      </c>
      <c r="G2792" t="s">
        <v>48</v>
      </c>
      <c r="H2792" t="s">
        <v>49</v>
      </c>
      <c r="I2792" t="s">
        <v>62</v>
      </c>
      <c r="J2792" t="s">
        <v>2790</v>
      </c>
      <c r="K2792" t="s">
        <v>1745</v>
      </c>
      <c r="L2792" t="s">
        <v>53</v>
      </c>
      <c r="N2792" t="s">
        <v>4477</v>
      </c>
      <c r="P2792" t="s">
        <v>55</v>
      </c>
      <c r="R2792" t="s">
        <v>56</v>
      </c>
      <c r="T2792" t="s">
        <v>4478</v>
      </c>
      <c r="U2792" t="s">
        <v>55</v>
      </c>
      <c r="V2792">
        <v>3</v>
      </c>
      <c r="W2792">
        <v>1</v>
      </c>
      <c r="X2792">
        <v>2</v>
      </c>
      <c r="Y2792">
        <v>0</v>
      </c>
      <c r="Z2792">
        <v>2</v>
      </c>
      <c r="AA2792">
        <v>0</v>
      </c>
      <c r="AB2792">
        <v>467.11</v>
      </c>
      <c r="AC2792">
        <v>411</v>
      </c>
      <c r="AD2792">
        <v>0</v>
      </c>
      <c r="AE2792">
        <v>56.11</v>
      </c>
      <c r="AF2792">
        <v>0</v>
      </c>
      <c r="AG2792">
        <v>0</v>
      </c>
      <c r="AH2792">
        <v>0</v>
      </c>
      <c r="AI2792">
        <v>70.069999999999993</v>
      </c>
      <c r="AJ2792">
        <v>467.11</v>
      </c>
      <c r="AK2792">
        <v>0</v>
      </c>
      <c r="AL2792" t="s">
        <v>53</v>
      </c>
      <c r="AM2792" t="s">
        <v>53</v>
      </c>
      <c r="AN2792" t="s">
        <v>53</v>
      </c>
      <c r="AO2792" t="s">
        <v>53</v>
      </c>
      <c r="AP2792" t="s">
        <v>53</v>
      </c>
    </row>
    <row r="2793" spans="2:42" x14ac:dyDescent="0.2">
      <c r="B2793" t="s">
        <v>44</v>
      </c>
      <c r="C2793" t="str">
        <f>HYPERLINK("https://us2.cloudbeds.com/connect/8493803454333002#/reservations/8108839825630?display=5P8PYHERF&amp;reservation_id=8108839825630", "5P8PYHERF")</f>
        <v>5P8PYHERF</v>
      </c>
      <c r="D2793" t="s">
        <v>45</v>
      </c>
      <c r="E2793" t="s">
        <v>155</v>
      </c>
      <c r="F2793" t="s">
        <v>86</v>
      </c>
      <c r="G2793" t="s">
        <v>48</v>
      </c>
      <c r="H2793" t="s">
        <v>49</v>
      </c>
      <c r="I2793" t="s">
        <v>50</v>
      </c>
      <c r="J2793" t="s">
        <v>2058</v>
      </c>
      <c r="K2793" t="s">
        <v>2545</v>
      </c>
      <c r="L2793" t="s">
        <v>53</v>
      </c>
      <c r="N2793" t="s">
        <v>4479</v>
      </c>
      <c r="P2793" t="s">
        <v>55</v>
      </c>
      <c r="R2793" t="s">
        <v>53</v>
      </c>
      <c r="T2793" t="s">
        <v>4480</v>
      </c>
      <c r="U2793" t="s">
        <v>58</v>
      </c>
      <c r="V2793">
        <v>2</v>
      </c>
      <c r="W2793">
        <v>1</v>
      </c>
      <c r="X2793">
        <v>2</v>
      </c>
      <c r="Y2793">
        <v>0</v>
      </c>
      <c r="Z2793">
        <v>2</v>
      </c>
      <c r="AA2793">
        <v>0</v>
      </c>
      <c r="AB2793">
        <v>409.14</v>
      </c>
      <c r="AC2793">
        <v>360</v>
      </c>
      <c r="AD2793">
        <v>0</v>
      </c>
      <c r="AE2793">
        <v>49.14</v>
      </c>
      <c r="AF2793">
        <v>0</v>
      </c>
      <c r="AG2793">
        <v>0</v>
      </c>
      <c r="AH2793">
        <v>0</v>
      </c>
      <c r="AI2793">
        <v>73.650000000000006</v>
      </c>
      <c r="AJ2793">
        <v>409.14</v>
      </c>
      <c r="AK2793">
        <v>0</v>
      </c>
      <c r="AL2793" t="s">
        <v>53</v>
      </c>
      <c r="AM2793" t="s">
        <v>53</v>
      </c>
      <c r="AN2793" t="s">
        <v>53</v>
      </c>
      <c r="AO2793" t="s">
        <v>53</v>
      </c>
      <c r="AP2793" t="s">
        <v>53</v>
      </c>
    </row>
    <row r="2794" spans="2:42" x14ac:dyDescent="0.2">
      <c r="B2794" t="s">
        <v>44</v>
      </c>
      <c r="C2794" t="str">
        <f>HYPERLINK("https://us2.cloudbeds.com/connect/8493803454333002#/reservations/8121640120448?display=5PXMZ2DH1&amp;reservation_id=8121640120448", "5PXMZ2DH1")</f>
        <v>5PXMZ2DH1</v>
      </c>
      <c r="D2794" t="s">
        <v>45</v>
      </c>
      <c r="E2794" t="s">
        <v>373</v>
      </c>
      <c r="F2794" t="s">
        <v>47</v>
      </c>
      <c r="G2794" t="s">
        <v>48</v>
      </c>
      <c r="H2794" t="s">
        <v>49</v>
      </c>
      <c r="I2794" t="s">
        <v>62</v>
      </c>
      <c r="J2794" t="s">
        <v>2163</v>
      </c>
      <c r="K2794" t="s">
        <v>2643</v>
      </c>
      <c r="L2794" t="s">
        <v>53</v>
      </c>
      <c r="N2794" t="s">
        <v>4481</v>
      </c>
      <c r="P2794" t="s">
        <v>55</v>
      </c>
      <c r="R2794" t="s">
        <v>56</v>
      </c>
      <c r="T2794" t="s">
        <v>4482</v>
      </c>
      <c r="U2794" t="s">
        <v>55</v>
      </c>
      <c r="V2794">
        <v>1</v>
      </c>
      <c r="W2794">
        <v>1</v>
      </c>
      <c r="X2794">
        <v>1</v>
      </c>
      <c r="Y2794">
        <v>0</v>
      </c>
      <c r="Z2794">
        <v>1</v>
      </c>
      <c r="AA2794">
        <v>0</v>
      </c>
      <c r="AB2794">
        <v>197.76</v>
      </c>
      <c r="AC2794">
        <v>174</v>
      </c>
      <c r="AD2794">
        <v>0</v>
      </c>
      <c r="AE2794">
        <v>23.76</v>
      </c>
      <c r="AF2794">
        <v>0</v>
      </c>
      <c r="AG2794">
        <v>0</v>
      </c>
      <c r="AH2794">
        <v>0</v>
      </c>
      <c r="AI2794">
        <v>29.66</v>
      </c>
      <c r="AJ2794">
        <v>197.76</v>
      </c>
      <c r="AK2794">
        <v>0</v>
      </c>
      <c r="AL2794" t="s">
        <v>53</v>
      </c>
      <c r="AM2794" t="s">
        <v>53</v>
      </c>
      <c r="AN2794" t="s">
        <v>53</v>
      </c>
      <c r="AO2794" t="s">
        <v>53</v>
      </c>
      <c r="AP2794" t="s">
        <v>53</v>
      </c>
    </row>
    <row r="2795" spans="2:42" x14ac:dyDescent="0.2">
      <c r="B2795" t="s">
        <v>44</v>
      </c>
      <c r="C2795" t="str">
        <f>HYPERLINK("https://us2.cloudbeds.com/connect/8493803454333002#/reservations/8130618278049?display=5PPY4MWZ2&amp;reservation_id=8130618278049", "5PPY4MWZ2")</f>
        <v>5PPY4MWZ2</v>
      </c>
      <c r="D2795" t="s">
        <v>45</v>
      </c>
      <c r="E2795" t="s">
        <v>381</v>
      </c>
      <c r="F2795" t="s">
        <v>47</v>
      </c>
      <c r="G2795" t="s">
        <v>48</v>
      </c>
      <c r="H2795" t="s">
        <v>49</v>
      </c>
      <c r="I2795" t="s">
        <v>50</v>
      </c>
      <c r="J2795" t="s">
        <v>2163</v>
      </c>
      <c r="K2795" t="s">
        <v>2643</v>
      </c>
      <c r="L2795" t="s">
        <v>53</v>
      </c>
      <c r="N2795" t="s">
        <v>4483</v>
      </c>
      <c r="P2795" t="s">
        <v>55</v>
      </c>
      <c r="R2795" t="s">
        <v>53</v>
      </c>
      <c r="T2795" t="s">
        <v>4484</v>
      </c>
      <c r="U2795" t="s">
        <v>58</v>
      </c>
      <c r="V2795">
        <v>1</v>
      </c>
      <c r="W2795">
        <v>1</v>
      </c>
      <c r="X2795">
        <v>1</v>
      </c>
      <c r="Y2795">
        <v>0</v>
      </c>
      <c r="Z2795">
        <v>1</v>
      </c>
      <c r="AA2795">
        <v>0</v>
      </c>
      <c r="AB2795">
        <v>177.97</v>
      </c>
      <c r="AC2795">
        <v>156.6</v>
      </c>
      <c r="AD2795">
        <v>0</v>
      </c>
      <c r="AE2795">
        <v>21.37</v>
      </c>
      <c r="AF2795">
        <v>0</v>
      </c>
      <c r="AG2795">
        <v>0</v>
      </c>
      <c r="AH2795">
        <v>0</v>
      </c>
      <c r="AI2795">
        <v>32.03</v>
      </c>
      <c r="AJ2795">
        <v>177.97</v>
      </c>
      <c r="AK2795">
        <v>0</v>
      </c>
      <c r="AL2795" t="s">
        <v>53</v>
      </c>
      <c r="AM2795" t="s">
        <v>53</v>
      </c>
      <c r="AN2795" t="s">
        <v>4485</v>
      </c>
      <c r="AO2795" t="s">
        <v>53</v>
      </c>
      <c r="AP2795" t="s">
        <v>53</v>
      </c>
    </row>
    <row r="2796" spans="2:42" x14ac:dyDescent="0.2">
      <c r="B2796" t="s">
        <v>44</v>
      </c>
      <c r="C2796" t="str">
        <f>HYPERLINK("https://us2.cloudbeds.com/connect/8493803454333002#/reservations/8143987736710?display=5Q2WP5T90&amp;reservation_id=8143987736710", "5Q2WP5T90")</f>
        <v>5Q2WP5T90</v>
      </c>
      <c r="D2796" t="s">
        <v>45</v>
      </c>
      <c r="E2796" t="s">
        <v>373</v>
      </c>
      <c r="F2796" t="s">
        <v>47</v>
      </c>
      <c r="G2796" t="s">
        <v>48</v>
      </c>
      <c r="H2796" t="s">
        <v>49</v>
      </c>
      <c r="I2796" t="s">
        <v>50</v>
      </c>
      <c r="J2796" t="s">
        <v>2643</v>
      </c>
      <c r="K2796" t="s">
        <v>1862</v>
      </c>
      <c r="L2796" t="s">
        <v>53</v>
      </c>
      <c r="N2796" t="s">
        <v>4486</v>
      </c>
      <c r="P2796" t="s">
        <v>55</v>
      </c>
      <c r="R2796" t="s">
        <v>53</v>
      </c>
      <c r="T2796" t="s">
        <v>4487</v>
      </c>
      <c r="U2796" t="s">
        <v>58</v>
      </c>
      <c r="V2796">
        <v>1</v>
      </c>
      <c r="W2796">
        <v>1</v>
      </c>
      <c r="X2796">
        <v>2</v>
      </c>
      <c r="Y2796">
        <v>0</v>
      </c>
      <c r="Z2796">
        <v>2</v>
      </c>
      <c r="AA2796">
        <v>0</v>
      </c>
      <c r="AB2796">
        <v>192.29</v>
      </c>
      <c r="AC2796">
        <v>169.2</v>
      </c>
      <c r="AD2796">
        <v>0</v>
      </c>
      <c r="AE2796">
        <v>23.09</v>
      </c>
      <c r="AF2796">
        <v>0</v>
      </c>
      <c r="AG2796">
        <v>0</v>
      </c>
      <c r="AH2796">
        <v>0</v>
      </c>
      <c r="AI2796">
        <v>34.61</v>
      </c>
      <c r="AJ2796">
        <v>192.29</v>
      </c>
      <c r="AK2796">
        <v>0</v>
      </c>
      <c r="AL2796" t="s">
        <v>53</v>
      </c>
      <c r="AM2796" t="s">
        <v>53</v>
      </c>
      <c r="AN2796" t="s">
        <v>53</v>
      </c>
      <c r="AO2796" t="s">
        <v>53</v>
      </c>
      <c r="AP2796" t="s">
        <v>53</v>
      </c>
    </row>
    <row r="2797" spans="2:42" x14ac:dyDescent="0.2">
      <c r="B2797" t="s">
        <v>44</v>
      </c>
      <c r="C2797" t="str">
        <f>HYPERLINK("https://us2.cloudbeds.com/connect/8493803454333002#/reservations/8156877910189?display=5QCW4GVSX&amp;reservation_id=8156877910189", "5QCW4GVSX")</f>
        <v>5QCW4GVSX</v>
      </c>
      <c r="D2797" t="s">
        <v>45</v>
      </c>
      <c r="E2797" t="s">
        <v>78</v>
      </c>
      <c r="F2797" t="s">
        <v>61</v>
      </c>
      <c r="G2797" t="s">
        <v>48</v>
      </c>
      <c r="H2797" t="s">
        <v>49</v>
      </c>
      <c r="I2797" t="s">
        <v>62</v>
      </c>
      <c r="J2797" t="s">
        <v>2163</v>
      </c>
      <c r="K2797" t="s">
        <v>2643</v>
      </c>
      <c r="L2797" t="s">
        <v>53</v>
      </c>
      <c r="N2797" t="s">
        <v>4488</v>
      </c>
      <c r="P2797" t="s">
        <v>55</v>
      </c>
      <c r="R2797" t="s">
        <v>56</v>
      </c>
      <c r="T2797" t="s">
        <v>4489</v>
      </c>
      <c r="U2797" t="s">
        <v>55</v>
      </c>
      <c r="V2797">
        <v>1</v>
      </c>
      <c r="W2797">
        <v>1</v>
      </c>
      <c r="X2797">
        <v>2</v>
      </c>
      <c r="Y2797">
        <v>0</v>
      </c>
      <c r="Z2797">
        <v>2</v>
      </c>
      <c r="AA2797">
        <v>0</v>
      </c>
      <c r="AB2797">
        <v>202.3</v>
      </c>
      <c r="AC2797">
        <v>178</v>
      </c>
      <c r="AD2797">
        <v>0</v>
      </c>
      <c r="AE2797">
        <v>24.3</v>
      </c>
      <c r="AF2797">
        <v>0</v>
      </c>
      <c r="AG2797">
        <v>0</v>
      </c>
      <c r="AH2797">
        <v>0</v>
      </c>
      <c r="AI2797">
        <v>30.35</v>
      </c>
      <c r="AJ2797">
        <v>202.3</v>
      </c>
      <c r="AK2797">
        <v>0</v>
      </c>
      <c r="AL2797" t="s">
        <v>53</v>
      </c>
      <c r="AM2797" t="s">
        <v>53</v>
      </c>
      <c r="AN2797" t="s">
        <v>53</v>
      </c>
      <c r="AO2797" t="s">
        <v>53</v>
      </c>
      <c r="AP2797" t="s">
        <v>53</v>
      </c>
    </row>
    <row r="2798" spans="2:42" x14ac:dyDescent="0.2">
      <c r="B2798" t="s">
        <v>44</v>
      </c>
      <c r="C2798" t="str">
        <f>HYPERLINK("https://us2.cloudbeds.com/connect/8493803454333002#/reservations/8174800285917?display=5QQS34G5B&amp;reservation_id=8174800285917", "5QQS34G5B")</f>
        <v>5QQS34G5B</v>
      </c>
      <c r="D2798" t="s">
        <v>45</v>
      </c>
      <c r="E2798" t="s">
        <v>165</v>
      </c>
      <c r="F2798" t="s">
        <v>61</v>
      </c>
      <c r="G2798" t="s">
        <v>48</v>
      </c>
      <c r="H2798" t="s">
        <v>49</v>
      </c>
      <c r="I2798" t="s">
        <v>62</v>
      </c>
      <c r="J2798" t="s">
        <v>2163</v>
      </c>
      <c r="K2798" t="s">
        <v>2643</v>
      </c>
      <c r="L2798" t="s">
        <v>53</v>
      </c>
      <c r="N2798" t="s">
        <v>4490</v>
      </c>
      <c r="P2798" t="s">
        <v>55</v>
      </c>
      <c r="R2798" t="s">
        <v>56</v>
      </c>
      <c r="T2798" t="s">
        <v>4491</v>
      </c>
      <c r="U2798" t="s">
        <v>55</v>
      </c>
      <c r="V2798">
        <v>1</v>
      </c>
      <c r="W2798">
        <v>1</v>
      </c>
      <c r="X2798">
        <v>2</v>
      </c>
      <c r="Y2798">
        <v>0</v>
      </c>
      <c r="Z2798">
        <v>2</v>
      </c>
      <c r="AA2798">
        <v>0</v>
      </c>
      <c r="AB2798">
        <v>202.3</v>
      </c>
      <c r="AC2798">
        <v>178</v>
      </c>
      <c r="AD2798">
        <v>0</v>
      </c>
      <c r="AE2798">
        <v>24.3</v>
      </c>
      <c r="AF2798">
        <v>0</v>
      </c>
      <c r="AG2798">
        <v>0</v>
      </c>
      <c r="AH2798">
        <v>0</v>
      </c>
      <c r="AI2798">
        <v>30.35</v>
      </c>
      <c r="AJ2798">
        <v>202.3</v>
      </c>
      <c r="AK2798">
        <v>0</v>
      </c>
      <c r="AL2798" t="s">
        <v>53</v>
      </c>
      <c r="AM2798" t="s">
        <v>53</v>
      </c>
      <c r="AN2798" t="s">
        <v>53</v>
      </c>
      <c r="AO2798" t="s">
        <v>53</v>
      </c>
      <c r="AP2798" t="s">
        <v>53</v>
      </c>
    </row>
    <row r="2799" spans="2:42" x14ac:dyDescent="0.2">
      <c r="B2799" t="s">
        <v>44</v>
      </c>
      <c r="C2799" t="str">
        <f>HYPERLINK("https://us2.cloudbeds.com/connect/8493803454333002#/reservations/8185786298595?display=5R2BQRG2E&amp;reservation_id=8185786298595", "5R2BQRG2E")</f>
        <v>5R2BQRG2E</v>
      </c>
      <c r="D2799" t="s">
        <v>45</v>
      </c>
      <c r="E2799" t="s">
        <v>487</v>
      </c>
      <c r="F2799" t="s">
        <v>61</v>
      </c>
      <c r="G2799" t="s">
        <v>48</v>
      </c>
      <c r="H2799" t="s">
        <v>49</v>
      </c>
      <c r="I2799" t="s">
        <v>50</v>
      </c>
      <c r="J2799" t="s">
        <v>2163</v>
      </c>
      <c r="K2799" t="s">
        <v>2643</v>
      </c>
      <c r="L2799" t="s">
        <v>53</v>
      </c>
      <c r="N2799" t="s">
        <v>4492</v>
      </c>
      <c r="P2799" t="s">
        <v>55</v>
      </c>
      <c r="R2799" t="s">
        <v>53</v>
      </c>
      <c r="T2799" t="s">
        <v>4493</v>
      </c>
      <c r="U2799" t="s">
        <v>58</v>
      </c>
      <c r="V2799">
        <v>1</v>
      </c>
      <c r="W2799">
        <v>1</v>
      </c>
      <c r="X2799">
        <v>2</v>
      </c>
      <c r="Y2799">
        <v>0</v>
      </c>
      <c r="Z2799">
        <v>2</v>
      </c>
      <c r="AA2799">
        <v>0</v>
      </c>
      <c r="AB2799">
        <v>182.07</v>
      </c>
      <c r="AC2799">
        <v>160.19999999999999</v>
      </c>
      <c r="AD2799">
        <v>0</v>
      </c>
      <c r="AE2799">
        <v>21.87</v>
      </c>
      <c r="AF2799">
        <v>0</v>
      </c>
      <c r="AG2799">
        <v>0</v>
      </c>
      <c r="AH2799">
        <v>0</v>
      </c>
      <c r="AI2799">
        <v>32.770000000000003</v>
      </c>
      <c r="AJ2799">
        <v>182.07</v>
      </c>
      <c r="AK2799">
        <v>0</v>
      </c>
      <c r="AL2799" t="s">
        <v>53</v>
      </c>
      <c r="AM2799" t="s">
        <v>53</v>
      </c>
      <c r="AN2799" t="s">
        <v>53</v>
      </c>
      <c r="AO2799" t="s">
        <v>53</v>
      </c>
      <c r="AP2799" t="s">
        <v>53</v>
      </c>
    </row>
    <row r="2800" spans="2:42" x14ac:dyDescent="0.2">
      <c r="B2800" t="s">
        <v>44</v>
      </c>
      <c r="C2800" t="str">
        <f>HYPERLINK("https://us2.cloudbeds.com/connect/8493803454333002#/reservations/8187202699459?display=5R3F05UYZ&amp;reservation_id=8187202699459", "5R3F05UYZ")</f>
        <v>5R3F05UYZ</v>
      </c>
      <c r="D2800" t="s">
        <v>45</v>
      </c>
      <c r="E2800" t="s">
        <v>165</v>
      </c>
      <c r="F2800" t="s">
        <v>61</v>
      </c>
      <c r="G2800" t="s">
        <v>48</v>
      </c>
      <c r="H2800" t="s">
        <v>49</v>
      </c>
      <c r="I2800" t="s">
        <v>50</v>
      </c>
      <c r="J2800" t="s">
        <v>2314</v>
      </c>
      <c r="K2800" t="s">
        <v>1406</v>
      </c>
      <c r="L2800" t="s">
        <v>53</v>
      </c>
      <c r="N2800" t="s">
        <v>4494</v>
      </c>
      <c r="P2800" t="s">
        <v>55</v>
      </c>
      <c r="R2800" t="s">
        <v>53</v>
      </c>
      <c r="T2800" t="s">
        <v>4495</v>
      </c>
      <c r="U2800" t="s">
        <v>58</v>
      </c>
      <c r="V2800">
        <v>2</v>
      </c>
      <c r="W2800">
        <v>1</v>
      </c>
      <c r="X2800">
        <v>2</v>
      </c>
      <c r="Y2800">
        <v>0</v>
      </c>
      <c r="Z2800">
        <v>2</v>
      </c>
      <c r="AA2800">
        <v>0</v>
      </c>
      <c r="AB2800">
        <v>341.63</v>
      </c>
      <c r="AC2800">
        <v>300.60000000000002</v>
      </c>
      <c r="AD2800">
        <v>0</v>
      </c>
      <c r="AE2800">
        <v>41.03</v>
      </c>
      <c r="AF2800">
        <v>0</v>
      </c>
      <c r="AG2800">
        <v>0</v>
      </c>
      <c r="AH2800">
        <v>0</v>
      </c>
      <c r="AI2800">
        <v>61.49</v>
      </c>
      <c r="AJ2800">
        <v>341.63</v>
      </c>
      <c r="AK2800">
        <v>0</v>
      </c>
      <c r="AL2800" t="s">
        <v>53</v>
      </c>
      <c r="AM2800" t="s">
        <v>53</v>
      </c>
      <c r="AN2800" t="s">
        <v>53</v>
      </c>
      <c r="AO2800" t="s">
        <v>53</v>
      </c>
      <c r="AP2800" t="s">
        <v>53</v>
      </c>
    </row>
    <row r="2801" spans="2:42" x14ac:dyDescent="0.2">
      <c r="B2801" t="s">
        <v>44</v>
      </c>
      <c r="C2801" t="str">
        <f>HYPERLINK("https://us2.cloudbeds.com/connect/8493803454333002#/reservations/8198667268280?display=5RCAVDF24&amp;reservation_id=8198667268280", "5RCAVDF24")</f>
        <v>5RCAVDF24</v>
      </c>
      <c r="D2801" t="s">
        <v>45</v>
      </c>
      <c r="E2801" t="s">
        <v>128</v>
      </c>
      <c r="F2801" t="s">
        <v>86</v>
      </c>
      <c r="G2801" t="s">
        <v>48</v>
      </c>
      <c r="H2801" t="s">
        <v>3957</v>
      </c>
      <c r="I2801" t="s">
        <v>3958</v>
      </c>
      <c r="J2801" t="s">
        <v>1862</v>
      </c>
      <c r="K2801" t="s">
        <v>2790</v>
      </c>
      <c r="L2801" t="s">
        <v>53</v>
      </c>
      <c r="P2801" t="s">
        <v>55</v>
      </c>
      <c r="R2801" t="s">
        <v>56</v>
      </c>
      <c r="T2801" t="s">
        <v>4496</v>
      </c>
      <c r="U2801" t="s">
        <v>58</v>
      </c>
      <c r="V2801">
        <v>1</v>
      </c>
      <c r="W2801">
        <v>1</v>
      </c>
      <c r="X2801">
        <v>1</v>
      </c>
      <c r="Y2801">
        <v>0</v>
      </c>
      <c r="Z2801">
        <v>1</v>
      </c>
      <c r="AA2801">
        <v>0</v>
      </c>
      <c r="AB2801">
        <v>227.3</v>
      </c>
      <c r="AC2801">
        <v>200</v>
      </c>
      <c r="AD2801">
        <v>0</v>
      </c>
      <c r="AE2801">
        <v>27.3</v>
      </c>
      <c r="AF2801">
        <v>0</v>
      </c>
      <c r="AG2801">
        <v>0</v>
      </c>
      <c r="AH2801">
        <v>0</v>
      </c>
      <c r="AI2801">
        <v>0</v>
      </c>
      <c r="AJ2801">
        <v>227.3</v>
      </c>
      <c r="AK2801">
        <v>0</v>
      </c>
      <c r="AL2801" t="s">
        <v>53</v>
      </c>
      <c r="AM2801" t="s">
        <v>53</v>
      </c>
      <c r="AN2801" t="s">
        <v>53</v>
      </c>
      <c r="AO2801" t="s">
        <v>53</v>
      </c>
      <c r="AP2801" t="s">
        <v>53</v>
      </c>
    </row>
    <row r="2802" spans="2:42" x14ac:dyDescent="0.2">
      <c r="B2802" t="s">
        <v>44</v>
      </c>
      <c r="C2802" t="str">
        <f>HYPERLINK("https://us2.cloudbeds.com/connect/8493803454333002#/reservations/8201970159850?display=5RETBG9BF&amp;reservation_id=8201970159850", "5RETBG9BF")</f>
        <v>5RETBG9BF</v>
      </c>
      <c r="D2802" t="s">
        <v>45</v>
      </c>
      <c r="E2802" t="s">
        <v>190</v>
      </c>
      <c r="F2802" t="s">
        <v>61</v>
      </c>
      <c r="G2802" t="s">
        <v>48</v>
      </c>
      <c r="H2802" t="s">
        <v>49</v>
      </c>
      <c r="I2802" t="s">
        <v>62</v>
      </c>
      <c r="J2802" t="s">
        <v>2541</v>
      </c>
      <c r="K2802" t="s">
        <v>1436</v>
      </c>
      <c r="L2802" t="s">
        <v>53</v>
      </c>
      <c r="N2802" t="s">
        <v>4497</v>
      </c>
      <c r="P2802" t="s">
        <v>55</v>
      </c>
      <c r="R2802" t="s">
        <v>56</v>
      </c>
      <c r="T2802" t="s">
        <v>4498</v>
      </c>
      <c r="U2802" t="s">
        <v>55</v>
      </c>
      <c r="V2802">
        <v>2</v>
      </c>
      <c r="W2802">
        <v>1</v>
      </c>
      <c r="X2802">
        <v>2</v>
      </c>
      <c r="Y2802">
        <v>0</v>
      </c>
      <c r="Z2802">
        <v>2</v>
      </c>
      <c r="AA2802">
        <v>0</v>
      </c>
      <c r="AB2802">
        <v>335.28</v>
      </c>
      <c r="AC2802">
        <v>295</v>
      </c>
      <c r="AD2802">
        <v>0</v>
      </c>
      <c r="AE2802">
        <v>40.28</v>
      </c>
      <c r="AF2802">
        <v>0</v>
      </c>
      <c r="AG2802">
        <v>0</v>
      </c>
      <c r="AH2802">
        <v>0</v>
      </c>
      <c r="AI2802">
        <v>50.29</v>
      </c>
      <c r="AJ2802">
        <v>335.28</v>
      </c>
      <c r="AK2802">
        <v>0</v>
      </c>
      <c r="AL2802" t="s">
        <v>53</v>
      </c>
      <c r="AM2802" t="s">
        <v>53</v>
      </c>
      <c r="AN2802" t="s">
        <v>53</v>
      </c>
      <c r="AO2802" t="s">
        <v>53</v>
      </c>
      <c r="AP2802" t="s">
        <v>53</v>
      </c>
    </row>
    <row r="2803" spans="2:42" x14ac:dyDescent="0.2">
      <c r="B2803" t="s">
        <v>44</v>
      </c>
      <c r="C2803" t="str">
        <f>HYPERLINK("https://us2.cloudbeds.com/connect/8493803454333002#/reservations/8213421609167?display=5RNZVYZF4&amp;reservation_id=8213421609167", "5RNZVYZF4")</f>
        <v>5RNZVYZF4</v>
      </c>
      <c r="D2803" t="s">
        <v>45</v>
      </c>
      <c r="E2803" t="s">
        <v>69</v>
      </c>
      <c r="F2803" t="s">
        <v>70</v>
      </c>
      <c r="G2803" t="s">
        <v>48</v>
      </c>
      <c r="H2803" t="s">
        <v>3957</v>
      </c>
      <c r="I2803" t="s">
        <v>3975</v>
      </c>
      <c r="J2803" t="s">
        <v>1863</v>
      </c>
      <c r="K2803" t="s">
        <v>3080</v>
      </c>
      <c r="L2803" t="s">
        <v>53</v>
      </c>
      <c r="P2803" t="s">
        <v>55</v>
      </c>
      <c r="R2803" t="s">
        <v>56</v>
      </c>
      <c r="T2803" t="s">
        <v>4499</v>
      </c>
      <c r="U2803" t="s">
        <v>58</v>
      </c>
      <c r="V2803">
        <v>1</v>
      </c>
      <c r="W2803">
        <v>1</v>
      </c>
      <c r="X2803">
        <v>2</v>
      </c>
      <c r="Y2803">
        <v>0</v>
      </c>
      <c r="Z2803">
        <v>2</v>
      </c>
      <c r="AA2803">
        <v>0</v>
      </c>
      <c r="AB2803">
        <v>144.34</v>
      </c>
      <c r="AC2803">
        <v>127</v>
      </c>
      <c r="AD2803">
        <v>0</v>
      </c>
      <c r="AE2803">
        <v>17.34</v>
      </c>
      <c r="AF2803">
        <v>0</v>
      </c>
      <c r="AG2803">
        <v>0</v>
      </c>
      <c r="AH2803">
        <v>0</v>
      </c>
      <c r="AI2803">
        <v>0</v>
      </c>
      <c r="AJ2803">
        <v>144.34</v>
      </c>
      <c r="AK2803">
        <v>0</v>
      </c>
      <c r="AL2803" t="s">
        <v>53</v>
      </c>
      <c r="AM2803" t="s">
        <v>53</v>
      </c>
      <c r="AN2803" t="s">
        <v>53</v>
      </c>
      <c r="AO2803" t="s">
        <v>53</v>
      </c>
      <c r="AP2803" t="s">
        <v>53</v>
      </c>
    </row>
    <row r="2804" spans="2:42" x14ac:dyDescent="0.2">
      <c r="B2804" t="s">
        <v>44</v>
      </c>
      <c r="C2804" t="str">
        <f>HYPERLINK("https://us2.cloudbeds.com/connect/8493803454333002#/reservations/8216447164641?display=5RQ38T9AB&amp;reservation_id=8216447164641", "5RQ38T9AB")</f>
        <v>5RQ38T9AB</v>
      </c>
      <c r="D2804" t="s">
        <v>45</v>
      </c>
      <c r="E2804" t="s">
        <v>406</v>
      </c>
      <c r="F2804" t="s">
        <v>61</v>
      </c>
      <c r="G2804" t="s">
        <v>48</v>
      </c>
      <c r="H2804" t="s">
        <v>49</v>
      </c>
      <c r="I2804" t="s">
        <v>50</v>
      </c>
      <c r="J2804" t="s">
        <v>3104</v>
      </c>
      <c r="K2804" t="s">
        <v>1610</v>
      </c>
      <c r="L2804" t="s">
        <v>53</v>
      </c>
      <c r="N2804" t="s">
        <v>4500</v>
      </c>
      <c r="P2804" t="s">
        <v>55</v>
      </c>
      <c r="R2804" t="s">
        <v>53</v>
      </c>
      <c r="T2804" t="s">
        <v>4501</v>
      </c>
      <c r="U2804" t="s">
        <v>58</v>
      </c>
      <c r="V2804">
        <v>1</v>
      </c>
      <c r="W2804">
        <v>1</v>
      </c>
      <c r="X2804">
        <v>1</v>
      </c>
      <c r="Y2804">
        <v>0</v>
      </c>
      <c r="Z2804">
        <v>1</v>
      </c>
      <c r="AA2804">
        <v>0</v>
      </c>
      <c r="AB2804">
        <v>164.8</v>
      </c>
      <c r="AC2804">
        <v>145</v>
      </c>
      <c r="AD2804">
        <v>0</v>
      </c>
      <c r="AE2804">
        <v>19.8</v>
      </c>
      <c r="AF2804">
        <v>0</v>
      </c>
      <c r="AG2804">
        <v>0</v>
      </c>
      <c r="AH2804">
        <v>0</v>
      </c>
      <c r="AI2804">
        <v>29.66</v>
      </c>
      <c r="AJ2804">
        <v>164.8</v>
      </c>
      <c r="AK2804">
        <v>0</v>
      </c>
      <c r="AL2804" t="s">
        <v>53</v>
      </c>
      <c r="AM2804" t="s">
        <v>53</v>
      </c>
      <c r="AN2804" t="s">
        <v>53</v>
      </c>
      <c r="AO2804" t="s">
        <v>53</v>
      </c>
      <c r="AP2804" t="s">
        <v>53</v>
      </c>
    </row>
    <row r="2805" spans="2:42" x14ac:dyDescent="0.2">
      <c r="B2805" t="s">
        <v>44</v>
      </c>
      <c r="C2805" t="str">
        <f>HYPERLINK("https://us2.cloudbeds.com/connect/8493803454333002#/reservations/8336035995848?display=5UJN1BQAA&amp;reservation_id=8336035995848", "5UJN1BQAA")</f>
        <v>5UJN1BQAA</v>
      </c>
      <c r="D2805" t="s">
        <v>45</v>
      </c>
      <c r="E2805" t="s">
        <v>69</v>
      </c>
      <c r="F2805" t="s">
        <v>70</v>
      </c>
      <c r="G2805" t="s">
        <v>48</v>
      </c>
      <c r="H2805" t="s">
        <v>49</v>
      </c>
      <c r="I2805" t="s">
        <v>50</v>
      </c>
      <c r="J2805" t="s">
        <v>1933</v>
      </c>
      <c r="K2805" t="s">
        <v>2412</v>
      </c>
      <c r="L2805" t="s">
        <v>53</v>
      </c>
      <c r="N2805" t="s">
        <v>4502</v>
      </c>
      <c r="P2805" t="s">
        <v>55</v>
      </c>
      <c r="R2805" t="s">
        <v>53</v>
      </c>
      <c r="T2805" t="s">
        <v>4503</v>
      </c>
      <c r="U2805" t="s">
        <v>58</v>
      </c>
      <c r="V2805">
        <v>1</v>
      </c>
      <c r="W2805">
        <v>1</v>
      </c>
      <c r="X2805">
        <v>1</v>
      </c>
      <c r="Y2805">
        <v>0</v>
      </c>
      <c r="Z2805">
        <v>1</v>
      </c>
      <c r="AA2805">
        <v>0</v>
      </c>
      <c r="AB2805">
        <v>145.25</v>
      </c>
      <c r="AC2805">
        <v>127.8</v>
      </c>
      <c r="AD2805">
        <v>0</v>
      </c>
      <c r="AE2805">
        <v>17.45</v>
      </c>
      <c r="AF2805">
        <v>0</v>
      </c>
      <c r="AG2805">
        <v>0</v>
      </c>
      <c r="AH2805">
        <v>0</v>
      </c>
      <c r="AI2805">
        <v>26.15</v>
      </c>
      <c r="AJ2805">
        <v>145.25</v>
      </c>
      <c r="AK2805">
        <v>0</v>
      </c>
      <c r="AL2805" t="s">
        <v>53</v>
      </c>
      <c r="AM2805" t="s">
        <v>53</v>
      </c>
      <c r="AN2805" t="s">
        <v>53</v>
      </c>
      <c r="AO2805" t="s">
        <v>53</v>
      </c>
      <c r="AP2805" t="s">
        <v>53</v>
      </c>
    </row>
    <row r="2806" spans="2:42" x14ac:dyDescent="0.2">
      <c r="B2806" t="s">
        <v>44</v>
      </c>
      <c r="C2806" t="str">
        <f>HYPERLINK("https://us2.cloudbeds.com/connect/8493803454333002#/reservations/8359533764749?display=5V4TF9S7C&amp;reservation_id=8359533764749", "5V4TF9S7C")</f>
        <v>5V4TF9S7C</v>
      </c>
      <c r="D2806" t="s">
        <v>45</v>
      </c>
      <c r="E2806" t="s">
        <v>381</v>
      </c>
      <c r="F2806" t="s">
        <v>47</v>
      </c>
      <c r="G2806" t="s">
        <v>48</v>
      </c>
      <c r="H2806" t="s">
        <v>3957</v>
      </c>
      <c r="I2806" t="s">
        <v>3975</v>
      </c>
      <c r="J2806" t="s">
        <v>2643</v>
      </c>
      <c r="K2806" t="s">
        <v>1862</v>
      </c>
      <c r="L2806" t="s">
        <v>53</v>
      </c>
      <c r="P2806" t="s">
        <v>55</v>
      </c>
      <c r="R2806" t="s">
        <v>56</v>
      </c>
      <c r="T2806" t="s">
        <v>4504</v>
      </c>
      <c r="U2806" t="s">
        <v>58</v>
      </c>
      <c r="V2806">
        <v>1</v>
      </c>
      <c r="W2806">
        <v>1</v>
      </c>
      <c r="X2806">
        <v>2</v>
      </c>
      <c r="Y2806">
        <v>0</v>
      </c>
      <c r="Z2806">
        <v>2</v>
      </c>
      <c r="AA2806">
        <v>0</v>
      </c>
      <c r="AB2806">
        <v>213.66</v>
      </c>
      <c r="AC2806">
        <v>188</v>
      </c>
      <c r="AD2806">
        <v>0</v>
      </c>
      <c r="AE2806">
        <v>25.66</v>
      </c>
      <c r="AF2806">
        <v>0</v>
      </c>
      <c r="AG2806">
        <v>0</v>
      </c>
      <c r="AH2806">
        <v>0</v>
      </c>
      <c r="AI2806">
        <v>0</v>
      </c>
      <c r="AJ2806">
        <v>213.66</v>
      </c>
      <c r="AK2806">
        <v>0</v>
      </c>
      <c r="AL2806" t="s">
        <v>53</v>
      </c>
      <c r="AM2806" t="s">
        <v>53</v>
      </c>
      <c r="AN2806" t="s">
        <v>53</v>
      </c>
      <c r="AO2806" t="s">
        <v>53</v>
      </c>
      <c r="AP2806" t="s">
        <v>53</v>
      </c>
    </row>
    <row r="2807" spans="2:42" x14ac:dyDescent="0.2">
      <c r="B2807" t="s">
        <v>44</v>
      </c>
      <c r="C2807" t="str">
        <f>HYPERLINK("https://us2.cloudbeds.com/connect/8493803454333002#/reservations/8390026793160?display=5VSGKRAJB&amp;reservation_id=8390026793160", "5VSGKRAJB")</f>
        <v>5VSGKRAJB</v>
      </c>
      <c r="D2807" t="s">
        <v>45</v>
      </c>
      <c r="E2807" t="s">
        <v>69</v>
      </c>
      <c r="F2807" t="s">
        <v>70</v>
      </c>
      <c r="G2807" t="s">
        <v>48</v>
      </c>
      <c r="H2807" t="s">
        <v>49</v>
      </c>
      <c r="I2807" t="s">
        <v>62</v>
      </c>
      <c r="J2807" t="s">
        <v>1716</v>
      </c>
      <c r="K2807" t="s">
        <v>3882</v>
      </c>
      <c r="L2807" t="s">
        <v>53</v>
      </c>
      <c r="N2807" t="s">
        <v>4505</v>
      </c>
      <c r="P2807" t="s">
        <v>55</v>
      </c>
      <c r="R2807" t="s">
        <v>56</v>
      </c>
      <c r="T2807" t="s">
        <v>4506</v>
      </c>
      <c r="U2807" t="s">
        <v>55</v>
      </c>
      <c r="V2807">
        <v>2</v>
      </c>
      <c r="W2807">
        <v>1</v>
      </c>
      <c r="X2807">
        <v>2</v>
      </c>
      <c r="Y2807">
        <v>0</v>
      </c>
      <c r="Z2807">
        <v>2</v>
      </c>
      <c r="AA2807">
        <v>0</v>
      </c>
      <c r="AB2807">
        <v>295.5</v>
      </c>
      <c r="AC2807">
        <v>260</v>
      </c>
      <c r="AD2807">
        <v>0</v>
      </c>
      <c r="AE2807">
        <v>35.5</v>
      </c>
      <c r="AF2807">
        <v>0</v>
      </c>
      <c r="AG2807">
        <v>0</v>
      </c>
      <c r="AH2807">
        <v>0</v>
      </c>
      <c r="AI2807">
        <v>44.33</v>
      </c>
      <c r="AJ2807">
        <v>295.5</v>
      </c>
      <c r="AK2807">
        <v>0</v>
      </c>
      <c r="AL2807" t="s">
        <v>53</v>
      </c>
      <c r="AM2807" t="s">
        <v>53</v>
      </c>
      <c r="AN2807" t="s">
        <v>53</v>
      </c>
      <c r="AO2807" t="s">
        <v>53</v>
      </c>
      <c r="AP2807" t="s">
        <v>53</v>
      </c>
    </row>
    <row r="2808" spans="2:42" x14ac:dyDescent="0.2">
      <c r="B2808" t="s">
        <v>44</v>
      </c>
      <c r="C2808" t="str">
        <f>HYPERLINK("https://us2.cloudbeds.com/connect/8493803454333002#/reservations/8396455260318?display=5W0FTFTXE&amp;reservation_id=8396455260318", "5W0FTFTXE")</f>
        <v>5W0FTFTXE</v>
      </c>
      <c r="D2808" t="s">
        <v>45</v>
      </c>
      <c r="E2808" t="s">
        <v>155</v>
      </c>
      <c r="F2808" t="s">
        <v>86</v>
      </c>
      <c r="G2808" t="s">
        <v>48</v>
      </c>
      <c r="H2808" t="s">
        <v>49</v>
      </c>
      <c r="I2808" t="s">
        <v>50</v>
      </c>
      <c r="J2808" t="s">
        <v>1161</v>
      </c>
      <c r="K2808" t="s">
        <v>2449</v>
      </c>
      <c r="L2808" t="s">
        <v>53</v>
      </c>
      <c r="N2808" t="s">
        <v>4507</v>
      </c>
      <c r="P2808" t="s">
        <v>55</v>
      </c>
      <c r="R2808" t="s">
        <v>53</v>
      </c>
      <c r="T2808" t="s">
        <v>4508</v>
      </c>
      <c r="U2808" t="s">
        <v>58</v>
      </c>
      <c r="V2808">
        <v>3</v>
      </c>
      <c r="W2808">
        <v>1</v>
      </c>
      <c r="X2808">
        <v>2</v>
      </c>
      <c r="Y2808">
        <v>0</v>
      </c>
      <c r="Z2808">
        <v>2</v>
      </c>
      <c r="AA2808">
        <v>0</v>
      </c>
      <c r="AB2808">
        <v>449.27</v>
      </c>
      <c r="AC2808">
        <v>395.3</v>
      </c>
      <c r="AD2808">
        <v>0</v>
      </c>
      <c r="AE2808">
        <v>53.97</v>
      </c>
      <c r="AF2808">
        <v>0</v>
      </c>
      <c r="AG2808">
        <v>0</v>
      </c>
      <c r="AH2808">
        <v>0</v>
      </c>
      <c r="AI2808">
        <v>80.87</v>
      </c>
      <c r="AJ2808">
        <v>449.27</v>
      </c>
      <c r="AK2808">
        <v>0</v>
      </c>
      <c r="AL2808" t="s">
        <v>53</v>
      </c>
      <c r="AM2808" t="s">
        <v>53</v>
      </c>
      <c r="AN2808" t="s">
        <v>53</v>
      </c>
      <c r="AO2808" t="s">
        <v>53</v>
      </c>
      <c r="AP2808" t="s">
        <v>53</v>
      </c>
    </row>
    <row r="2809" spans="2:42" x14ac:dyDescent="0.2">
      <c r="B2809" t="s">
        <v>44</v>
      </c>
      <c r="C2809" t="str">
        <f>HYPERLINK("https://us2.cloudbeds.com/connect/8493803454333002#/reservations/8403236188334?display=5W5Z5B71J&amp;reservation_id=8403236188334", "5W5Z5B71J")</f>
        <v>5W5Z5B71J</v>
      </c>
      <c r="D2809" t="s">
        <v>45</v>
      </c>
      <c r="E2809" t="s">
        <v>487</v>
      </c>
      <c r="F2809" t="s">
        <v>61</v>
      </c>
      <c r="G2809" t="s">
        <v>48</v>
      </c>
      <c r="H2809" t="s">
        <v>49</v>
      </c>
      <c r="I2809" t="s">
        <v>50</v>
      </c>
      <c r="J2809" t="s">
        <v>2643</v>
      </c>
      <c r="K2809" t="s">
        <v>1862</v>
      </c>
      <c r="L2809" t="s">
        <v>53</v>
      </c>
      <c r="N2809" t="s">
        <v>4509</v>
      </c>
      <c r="P2809" t="s">
        <v>55</v>
      </c>
      <c r="R2809" t="s">
        <v>53</v>
      </c>
      <c r="T2809" t="s">
        <v>4510</v>
      </c>
      <c r="U2809" t="s">
        <v>58</v>
      </c>
      <c r="V2809">
        <v>1</v>
      </c>
      <c r="W2809">
        <v>1</v>
      </c>
      <c r="X2809">
        <v>1</v>
      </c>
      <c r="Y2809">
        <v>0</v>
      </c>
      <c r="Z2809">
        <v>1</v>
      </c>
      <c r="AA2809">
        <v>0</v>
      </c>
      <c r="AB2809">
        <v>196.39</v>
      </c>
      <c r="AC2809">
        <v>172.8</v>
      </c>
      <c r="AD2809">
        <v>0</v>
      </c>
      <c r="AE2809">
        <v>23.59</v>
      </c>
      <c r="AF2809">
        <v>0</v>
      </c>
      <c r="AG2809">
        <v>0</v>
      </c>
      <c r="AH2809">
        <v>0</v>
      </c>
      <c r="AI2809">
        <v>35.35</v>
      </c>
      <c r="AJ2809">
        <v>196.39</v>
      </c>
      <c r="AK2809">
        <v>0</v>
      </c>
      <c r="AL2809" t="s">
        <v>53</v>
      </c>
      <c r="AM2809" t="s">
        <v>53</v>
      </c>
      <c r="AN2809" t="s">
        <v>53</v>
      </c>
      <c r="AO2809" t="s">
        <v>53</v>
      </c>
      <c r="AP2809" t="s">
        <v>53</v>
      </c>
    </row>
    <row r="2810" spans="2:42" x14ac:dyDescent="0.2">
      <c r="B2810" t="s">
        <v>44</v>
      </c>
      <c r="C2810" t="str">
        <f>HYPERLINK("https://us2.cloudbeds.com/connect/8493803454333002#/reservations/8432437088432?display=5WSBAAA14&amp;reservation_id=8432437088432", "5WSBAAA14")</f>
        <v>5WSBAAA14</v>
      </c>
      <c r="D2810" t="s">
        <v>45</v>
      </c>
      <c r="E2810" t="s">
        <v>179</v>
      </c>
      <c r="F2810" t="s">
        <v>47</v>
      </c>
      <c r="G2810" t="s">
        <v>48</v>
      </c>
      <c r="H2810" t="s">
        <v>49</v>
      </c>
      <c r="I2810" t="s">
        <v>62</v>
      </c>
      <c r="J2810" t="s">
        <v>1162</v>
      </c>
      <c r="K2810" t="s">
        <v>1258</v>
      </c>
      <c r="L2810" t="s">
        <v>53</v>
      </c>
      <c r="N2810" t="s">
        <v>4511</v>
      </c>
      <c r="P2810" t="s">
        <v>55</v>
      </c>
      <c r="R2810" t="s">
        <v>205</v>
      </c>
      <c r="T2810" t="s">
        <v>4512</v>
      </c>
      <c r="U2810" t="s">
        <v>55</v>
      </c>
      <c r="V2810">
        <v>3</v>
      </c>
      <c r="W2810">
        <v>1</v>
      </c>
      <c r="X2810">
        <v>2</v>
      </c>
      <c r="Y2810">
        <v>0</v>
      </c>
      <c r="Z2810">
        <v>2</v>
      </c>
      <c r="AA2810">
        <v>0</v>
      </c>
      <c r="AB2810">
        <v>348.8</v>
      </c>
      <c r="AC2810">
        <v>306.89999999999998</v>
      </c>
      <c r="AD2810">
        <v>0</v>
      </c>
      <c r="AE2810">
        <v>41.9</v>
      </c>
      <c r="AF2810">
        <v>0</v>
      </c>
      <c r="AG2810">
        <v>0</v>
      </c>
      <c r="AH2810">
        <v>0</v>
      </c>
      <c r="AI2810">
        <v>52.32</v>
      </c>
      <c r="AJ2810">
        <v>348.8</v>
      </c>
      <c r="AK2810">
        <v>0</v>
      </c>
      <c r="AL2810" t="s">
        <v>53</v>
      </c>
      <c r="AM2810" t="s">
        <v>53</v>
      </c>
      <c r="AN2810" t="s">
        <v>53</v>
      </c>
      <c r="AO2810" t="s">
        <v>53</v>
      </c>
      <c r="AP2810" t="s">
        <v>53</v>
      </c>
    </row>
    <row r="2811" spans="2:42" x14ac:dyDescent="0.2">
      <c r="B2811" t="s">
        <v>44</v>
      </c>
      <c r="C2811" t="str">
        <f>HYPERLINK("https://us2.cloudbeds.com/connect/8493803454333002#/reservations/8433341014179?display=5WT1DHC7E&amp;reservation_id=8433341014179", "5WT1DHC7E")</f>
        <v>5WT1DHC7E</v>
      </c>
      <c r="D2811" t="s">
        <v>45</v>
      </c>
      <c r="E2811" t="s">
        <v>487</v>
      </c>
      <c r="F2811" t="s">
        <v>61</v>
      </c>
      <c r="G2811" t="s">
        <v>48</v>
      </c>
      <c r="H2811" t="s">
        <v>49</v>
      </c>
      <c r="I2811" t="s">
        <v>50</v>
      </c>
      <c r="J2811" t="s">
        <v>1862</v>
      </c>
      <c r="K2811" t="s">
        <v>2790</v>
      </c>
      <c r="L2811" t="s">
        <v>53</v>
      </c>
      <c r="N2811" t="s">
        <v>4513</v>
      </c>
      <c r="P2811" t="s">
        <v>55</v>
      </c>
      <c r="R2811" t="s">
        <v>56</v>
      </c>
      <c r="T2811" t="s">
        <v>4514</v>
      </c>
      <c r="U2811" t="s">
        <v>58</v>
      </c>
      <c r="V2811">
        <v>1</v>
      </c>
      <c r="W2811">
        <v>1</v>
      </c>
      <c r="X2811">
        <v>2</v>
      </c>
      <c r="Y2811">
        <v>0</v>
      </c>
      <c r="Z2811">
        <v>2</v>
      </c>
      <c r="AA2811">
        <v>0</v>
      </c>
      <c r="AB2811">
        <v>196.39</v>
      </c>
      <c r="AC2811">
        <v>172.8</v>
      </c>
      <c r="AD2811">
        <v>0</v>
      </c>
      <c r="AE2811">
        <v>23.59</v>
      </c>
      <c r="AF2811">
        <v>0</v>
      </c>
      <c r="AG2811">
        <v>0</v>
      </c>
      <c r="AH2811">
        <v>0</v>
      </c>
      <c r="AI2811">
        <v>35.35</v>
      </c>
      <c r="AJ2811">
        <v>196.39</v>
      </c>
      <c r="AK2811">
        <v>0</v>
      </c>
      <c r="AL2811" t="s">
        <v>53</v>
      </c>
      <c r="AM2811" t="s">
        <v>53</v>
      </c>
      <c r="AN2811" t="s">
        <v>53</v>
      </c>
      <c r="AO2811" t="s">
        <v>53</v>
      </c>
      <c r="AP2811" t="s">
        <v>53</v>
      </c>
    </row>
    <row r="2812" spans="2:42" x14ac:dyDescent="0.2">
      <c r="B2812" t="s">
        <v>44</v>
      </c>
      <c r="C2812" t="str">
        <f>HYPERLINK("https://us2.cloudbeds.com/connect/8493803454333002#/reservations/8520050311375?display=61U613CYU&amp;reservation_id=8520050311375", "61U613CYU")</f>
        <v>61U613CYU</v>
      </c>
      <c r="D2812" t="s">
        <v>45</v>
      </c>
      <c r="E2812" t="s">
        <v>105</v>
      </c>
      <c r="F2812" t="s">
        <v>47</v>
      </c>
      <c r="G2812" t="s">
        <v>48</v>
      </c>
      <c r="H2812" t="s">
        <v>3957</v>
      </c>
      <c r="I2812" t="s">
        <v>3975</v>
      </c>
      <c r="J2812" t="s">
        <v>1903</v>
      </c>
      <c r="K2812" t="s">
        <v>2545</v>
      </c>
      <c r="L2812" t="s">
        <v>53</v>
      </c>
      <c r="P2812" t="s">
        <v>55</v>
      </c>
      <c r="R2812" t="s">
        <v>56</v>
      </c>
      <c r="T2812" t="s">
        <v>4515</v>
      </c>
      <c r="U2812" t="s">
        <v>58</v>
      </c>
      <c r="V2812">
        <v>3</v>
      </c>
      <c r="W2812">
        <v>1</v>
      </c>
      <c r="X2812">
        <v>1</v>
      </c>
      <c r="Y2812">
        <v>0</v>
      </c>
      <c r="Z2812">
        <v>1</v>
      </c>
      <c r="AA2812">
        <v>0</v>
      </c>
      <c r="AB2812">
        <v>561.51</v>
      </c>
      <c r="AC2812">
        <v>507</v>
      </c>
      <c r="AD2812">
        <v>0</v>
      </c>
      <c r="AE2812">
        <v>54.51</v>
      </c>
      <c r="AF2812">
        <v>0</v>
      </c>
      <c r="AG2812">
        <v>0</v>
      </c>
      <c r="AH2812">
        <v>0</v>
      </c>
      <c r="AI2812">
        <v>0</v>
      </c>
      <c r="AJ2812">
        <v>561.51</v>
      </c>
      <c r="AK2812">
        <v>0</v>
      </c>
      <c r="AL2812" t="s">
        <v>53</v>
      </c>
      <c r="AM2812" t="s">
        <v>53</v>
      </c>
      <c r="AN2812" t="s">
        <v>4516</v>
      </c>
      <c r="AO2812" t="s">
        <v>53</v>
      </c>
      <c r="AP2812" t="s">
        <v>53</v>
      </c>
    </row>
    <row r="2813" spans="2:42" x14ac:dyDescent="0.2">
      <c r="B2813" t="s">
        <v>44</v>
      </c>
      <c r="C2813" t="str">
        <f>HYPERLINK("https://us2.cloudbeds.com/connect/8493803454333002#/reservations/8521611149446?display=61VCU8049&amp;reservation_id=8521611149446", "61VCU8049")</f>
        <v>61VCU8049</v>
      </c>
      <c r="D2813" t="s">
        <v>45</v>
      </c>
      <c r="E2813" t="s">
        <v>78</v>
      </c>
      <c r="F2813" t="s">
        <v>61</v>
      </c>
      <c r="G2813" t="s">
        <v>48</v>
      </c>
      <c r="H2813" t="s">
        <v>49</v>
      </c>
      <c r="I2813" t="s">
        <v>62</v>
      </c>
      <c r="J2813" t="s">
        <v>3080</v>
      </c>
      <c r="K2813" t="s">
        <v>1767</v>
      </c>
      <c r="L2813" t="s">
        <v>53</v>
      </c>
      <c r="N2813" t="s">
        <v>4517</v>
      </c>
      <c r="P2813" t="s">
        <v>55</v>
      </c>
      <c r="R2813" t="s">
        <v>56</v>
      </c>
      <c r="T2813" t="s">
        <v>4518</v>
      </c>
      <c r="U2813" t="s">
        <v>55</v>
      </c>
      <c r="V2813">
        <v>2</v>
      </c>
      <c r="W2813">
        <v>1</v>
      </c>
      <c r="X2813">
        <v>2</v>
      </c>
      <c r="Y2813">
        <v>0</v>
      </c>
      <c r="Z2813">
        <v>2</v>
      </c>
      <c r="AA2813">
        <v>0</v>
      </c>
      <c r="AB2813">
        <v>323.91000000000003</v>
      </c>
      <c r="AC2813">
        <v>285</v>
      </c>
      <c r="AD2813">
        <v>0</v>
      </c>
      <c r="AE2813">
        <v>38.909999999999997</v>
      </c>
      <c r="AF2813">
        <v>0</v>
      </c>
      <c r="AG2813">
        <v>0</v>
      </c>
      <c r="AH2813">
        <v>0</v>
      </c>
      <c r="AI2813">
        <v>48.59</v>
      </c>
      <c r="AJ2813">
        <v>323.91000000000003</v>
      </c>
      <c r="AK2813">
        <v>0</v>
      </c>
      <c r="AL2813" t="s">
        <v>53</v>
      </c>
      <c r="AM2813" t="s">
        <v>53</v>
      </c>
      <c r="AN2813" t="s">
        <v>53</v>
      </c>
      <c r="AO2813" t="s">
        <v>53</v>
      </c>
      <c r="AP2813" t="s">
        <v>53</v>
      </c>
    </row>
    <row r="2814" spans="2:42" x14ac:dyDescent="0.2">
      <c r="B2814" t="s">
        <v>44</v>
      </c>
      <c r="C2814" t="str">
        <f>HYPERLINK("https://us2.cloudbeds.com/connect/8493803454333002#/reservations/8593237721279?display=63KS4YVC1&amp;reservation_id=8593237721279", "63KS4YVC1")</f>
        <v>63KS4YVC1</v>
      </c>
      <c r="D2814" t="s">
        <v>45</v>
      </c>
      <c r="E2814" t="s">
        <v>105</v>
      </c>
      <c r="F2814" t="s">
        <v>47</v>
      </c>
      <c r="G2814" t="s">
        <v>48</v>
      </c>
      <c r="H2814" t="s">
        <v>3957</v>
      </c>
      <c r="I2814" t="s">
        <v>3975</v>
      </c>
      <c r="J2814" t="s">
        <v>1862</v>
      </c>
      <c r="K2814" t="s">
        <v>2790</v>
      </c>
      <c r="L2814" t="s">
        <v>53</v>
      </c>
      <c r="P2814" t="s">
        <v>55</v>
      </c>
      <c r="R2814" t="s">
        <v>56</v>
      </c>
      <c r="T2814" t="s">
        <v>4519</v>
      </c>
      <c r="U2814" t="s">
        <v>58</v>
      </c>
      <c r="V2814">
        <v>1</v>
      </c>
      <c r="W2814">
        <v>1</v>
      </c>
      <c r="X2814">
        <v>1</v>
      </c>
      <c r="Y2814">
        <v>0</v>
      </c>
      <c r="Z2814">
        <v>1</v>
      </c>
      <c r="AA2814">
        <v>0</v>
      </c>
      <c r="AB2814">
        <v>213.66</v>
      </c>
      <c r="AC2814">
        <v>188</v>
      </c>
      <c r="AD2814">
        <v>0</v>
      </c>
      <c r="AE2814">
        <v>25.66</v>
      </c>
      <c r="AF2814">
        <v>0</v>
      </c>
      <c r="AG2814">
        <v>0</v>
      </c>
      <c r="AH2814">
        <v>0</v>
      </c>
      <c r="AI2814">
        <v>0</v>
      </c>
      <c r="AJ2814">
        <v>213.66</v>
      </c>
      <c r="AK2814">
        <v>0</v>
      </c>
      <c r="AL2814" t="s">
        <v>53</v>
      </c>
      <c r="AM2814" t="s">
        <v>53</v>
      </c>
      <c r="AN2814" t="s">
        <v>53</v>
      </c>
      <c r="AO2814" t="s">
        <v>53</v>
      </c>
      <c r="AP2814" t="s">
        <v>53</v>
      </c>
    </row>
    <row r="2815" spans="2:42" x14ac:dyDescent="0.2">
      <c r="B2815" t="s">
        <v>44</v>
      </c>
      <c r="C2815" t="str">
        <f>HYPERLINK("https://us2.cloudbeds.com/connect/8493803454333002#/reservations/8758787977369?display=67H1B0SX0&amp;reservation_id=8758787977369", "67H1B0SX0")</f>
        <v>67H1B0SX0</v>
      </c>
      <c r="D2815" t="s">
        <v>45</v>
      </c>
      <c r="E2815" t="s">
        <v>185</v>
      </c>
      <c r="F2815" t="s">
        <v>47</v>
      </c>
      <c r="G2815" t="s">
        <v>4520</v>
      </c>
      <c r="H2815" t="s">
        <v>3957</v>
      </c>
      <c r="I2815" t="s">
        <v>3989</v>
      </c>
      <c r="J2815" t="s">
        <v>1902</v>
      </c>
      <c r="K2815" t="s">
        <v>2494</v>
      </c>
      <c r="L2815" t="s">
        <v>53</v>
      </c>
      <c r="P2815" t="s">
        <v>55</v>
      </c>
      <c r="R2815" t="s">
        <v>56</v>
      </c>
      <c r="T2815" t="s">
        <v>4521</v>
      </c>
      <c r="U2815" t="s">
        <v>58</v>
      </c>
      <c r="V2815">
        <v>3</v>
      </c>
      <c r="W2815">
        <v>1</v>
      </c>
      <c r="X2815">
        <v>1</v>
      </c>
      <c r="Y2815">
        <v>0</v>
      </c>
      <c r="Z2815">
        <v>1</v>
      </c>
      <c r="AA2815">
        <v>0</v>
      </c>
      <c r="AB2815">
        <v>479.72</v>
      </c>
      <c r="AC2815">
        <v>422.1</v>
      </c>
      <c r="AD2815">
        <v>0</v>
      </c>
      <c r="AE2815">
        <v>57.62</v>
      </c>
      <c r="AF2815">
        <v>0</v>
      </c>
      <c r="AG2815">
        <v>0</v>
      </c>
      <c r="AH2815">
        <v>0</v>
      </c>
      <c r="AI2815">
        <v>0</v>
      </c>
      <c r="AJ2815">
        <v>479.72</v>
      </c>
      <c r="AK2815">
        <v>0</v>
      </c>
      <c r="AL2815" t="s">
        <v>53</v>
      </c>
      <c r="AM2815" t="s">
        <v>53</v>
      </c>
      <c r="AN2815" t="s">
        <v>53</v>
      </c>
      <c r="AO2815" t="s">
        <v>53</v>
      </c>
      <c r="AP2815" t="s">
        <v>53</v>
      </c>
    </row>
    <row r="2816" spans="2:42" x14ac:dyDescent="0.2">
      <c r="B2816" t="s">
        <v>44</v>
      </c>
      <c r="C2816" t="str">
        <f>HYPERLINK("https://us2.cloudbeds.com/connect/8493803454333002#/reservations/8812359827679?display=68PH77XRB&amp;reservation_id=8812359827679", "68PH77XRB")</f>
        <v>68PH77XRB</v>
      </c>
      <c r="D2816" t="s">
        <v>45</v>
      </c>
      <c r="E2816" t="s">
        <v>487</v>
      </c>
      <c r="F2816" t="s">
        <v>61</v>
      </c>
      <c r="G2816" t="s">
        <v>48</v>
      </c>
      <c r="H2816" t="s">
        <v>49</v>
      </c>
      <c r="I2816" t="s">
        <v>50</v>
      </c>
      <c r="J2816" t="s">
        <v>3080</v>
      </c>
      <c r="K2816" t="s">
        <v>1745</v>
      </c>
      <c r="L2816" t="s">
        <v>53</v>
      </c>
      <c r="N2816" t="s">
        <v>4522</v>
      </c>
      <c r="P2816" t="s">
        <v>55</v>
      </c>
      <c r="R2816" t="s">
        <v>53</v>
      </c>
      <c r="T2816" t="s">
        <v>4523</v>
      </c>
      <c r="U2816" t="s">
        <v>58</v>
      </c>
      <c r="V2816">
        <v>1</v>
      </c>
      <c r="W2816">
        <v>1</v>
      </c>
      <c r="X2816">
        <v>2</v>
      </c>
      <c r="Y2816">
        <v>0</v>
      </c>
      <c r="Z2816">
        <v>2</v>
      </c>
      <c r="AA2816">
        <v>0</v>
      </c>
      <c r="AB2816">
        <v>150.37</v>
      </c>
      <c r="AC2816">
        <v>132.30000000000001</v>
      </c>
      <c r="AD2816">
        <v>0</v>
      </c>
      <c r="AE2816">
        <v>18.07</v>
      </c>
      <c r="AF2816">
        <v>0</v>
      </c>
      <c r="AG2816">
        <v>0</v>
      </c>
      <c r="AH2816">
        <v>0</v>
      </c>
      <c r="AI2816">
        <v>27.07</v>
      </c>
      <c r="AJ2816">
        <v>150.37</v>
      </c>
      <c r="AK2816">
        <v>0</v>
      </c>
      <c r="AL2816" t="s">
        <v>53</v>
      </c>
      <c r="AM2816" t="s">
        <v>53</v>
      </c>
      <c r="AN2816" t="s">
        <v>53</v>
      </c>
      <c r="AO2816" t="s">
        <v>53</v>
      </c>
      <c r="AP2816" t="s">
        <v>53</v>
      </c>
    </row>
    <row r="2817" spans="2:42" x14ac:dyDescent="0.2">
      <c r="B2817" t="s">
        <v>44</v>
      </c>
      <c r="C2817" t="str">
        <f>HYPERLINK("https://us2.cloudbeds.com/connect/8493803454333002#/reservations/8818027352221?display=68TU17Q89&amp;reservation_id=8818027352221", "68TU17Q89")</f>
        <v>68TU17Q89</v>
      </c>
      <c r="D2817" t="s">
        <v>45</v>
      </c>
      <c r="E2817" t="s">
        <v>179</v>
      </c>
      <c r="F2817" t="s">
        <v>47</v>
      </c>
      <c r="G2817" t="s">
        <v>48</v>
      </c>
      <c r="H2817" t="s">
        <v>49</v>
      </c>
      <c r="I2817" t="s">
        <v>50</v>
      </c>
      <c r="J2817" t="s">
        <v>1862</v>
      </c>
      <c r="K2817" t="s">
        <v>2790</v>
      </c>
      <c r="L2817" t="s">
        <v>53</v>
      </c>
      <c r="N2817" t="s">
        <v>4524</v>
      </c>
      <c r="P2817" t="s">
        <v>55</v>
      </c>
      <c r="R2817" t="s">
        <v>53</v>
      </c>
      <c r="T2817" t="s">
        <v>4525</v>
      </c>
      <c r="U2817" t="s">
        <v>58</v>
      </c>
      <c r="V2817">
        <v>1</v>
      </c>
      <c r="W2817">
        <v>1</v>
      </c>
      <c r="X2817">
        <v>2</v>
      </c>
      <c r="Y2817">
        <v>0</v>
      </c>
      <c r="Z2817">
        <v>2</v>
      </c>
      <c r="AA2817">
        <v>0</v>
      </c>
      <c r="AB2817">
        <v>192.29</v>
      </c>
      <c r="AC2817">
        <v>169.2</v>
      </c>
      <c r="AD2817">
        <v>0</v>
      </c>
      <c r="AE2817">
        <v>23.09</v>
      </c>
      <c r="AF2817">
        <v>0</v>
      </c>
      <c r="AG2817">
        <v>0</v>
      </c>
      <c r="AH2817">
        <v>0</v>
      </c>
      <c r="AI2817">
        <v>34.61</v>
      </c>
      <c r="AJ2817">
        <v>192.29</v>
      </c>
      <c r="AK2817">
        <v>0</v>
      </c>
      <c r="AL2817" t="s">
        <v>53</v>
      </c>
      <c r="AM2817" t="s">
        <v>53</v>
      </c>
      <c r="AN2817" t="s">
        <v>53</v>
      </c>
      <c r="AO2817" t="s">
        <v>53</v>
      </c>
      <c r="AP2817" t="s">
        <v>53</v>
      </c>
    </row>
    <row r="2818" spans="2:42" x14ac:dyDescent="0.2">
      <c r="B2818" t="s">
        <v>44</v>
      </c>
      <c r="C2818" t="str">
        <f>HYPERLINK("https://us2.cloudbeds.com/connect/8493803454333002#/reservations/8960451997920?display=6C86AFGSQ&amp;reservation_id=8960451997920", "6C86AFGSQ")</f>
        <v>6C86AFGSQ</v>
      </c>
      <c r="D2818" t="s">
        <v>45</v>
      </c>
      <c r="E2818" t="s">
        <v>69</v>
      </c>
      <c r="F2818" t="s">
        <v>70</v>
      </c>
      <c r="G2818" t="s">
        <v>48</v>
      </c>
      <c r="H2818" t="s">
        <v>49</v>
      </c>
      <c r="I2818" t="s">
        <v>62</v>
      </c>
      <c r="J2818" t="s">
        <v>2790</v>
      </c>
      <c r="K2818" t="s">
        <v>1863</v>
      </c>
      <c r="L2818" t="s">
        <v>53</v>
      </c>
      <c r="N2818" t="s">
        <v>4526</v>
      </c>
      <c r="P2818" t="s">
        <v>55</v>
      </c>
      <c r="R2818" t="s">
        <v>205</v>
      </c>
      <c r="T2818" t="s">
        <v>4527</v>
      </c>
      <c r="U2818" t="s">
        <v>55</v>
      </c>
      <c r="V2818">
        <v>1</v>
      </c>
      <c r="W2818">
        <v>1</v>
      </c>
      <c r="X2818">
        <v>2</v>
      </c>
      <c r="Y2818">
        <v>0</v>
      </c>
      <c r="Z2818">
        <v>2</v>
      </c>
      <c r="AA2818">
        <v>0</v>
      </c>
      <c r="AB2818">
        <v>129.57</v>
      </c>
      <c r="AC2818">
        <v>114</v>
      </c>
      <c r="AD2818">
        <v>0</v>
      </c>
      <c r="AE2818">
        <v>15.57</v>
      </c>
      <c r="AF2818">
        <v>0</v>
      </c>
      <c r="AG2818">
        <v>0</v>
      </c>
      <c r="AH2818">
        <v>0</v>
      </c>
      <c r="AI2818">
        <v>19.440000000000001</v>
      </c>
      <c r="AJ2818">
        <v>129.57</v>
      </c>
      <c r="AK2818">
        <v>0</v>
      </c>
      <c r="AL2818" t="s">
        <v>53</v>
      </c>
      <c r="AM2818" t="s">
        <v>53</v>
      </c>
      <c r="AN2818" t="s">
        <v>4528</v>
      </c>
      <c r="AO2818" t="s">
        <v>53</v>
      </c>
      <c r="AP2818" t="s">
        <v>53</v>
      </c>
    </row>
    <row r="2819" spans="2:42" x14ac:dyDescent="0.2">
      <c r="B2819" t="s">
        <v>44</v>
      </c>
      <c r="C2819" t="str">
        <f>HYPERLINK("https://us2.cloudbeds.com/connect/8493803454333002#/reservations/9066818965706?display=6EZX7U64S&amp;reservation_id=9066818965706", "6EZX7U64S")</f>
        <v>6EZX7U64S</v>
      </c>
      <c r="D2819" t="s">
        <v>45</v>
      </c>
      <c r="E2819" t="s">
        <v>373</v>
      </c>
      <c r="F2819" t="s">
        <v>47</v>
      </c>
      <c r="G2819" t="s">
        <v>48</v>
      </c>
      <c r="H2819" t="s">
        <v>3957</v>
      </c>
      <c r="I2819" t="s">
        <v>3975</v>
      </c>
      <c r="J2819" t="s">
        <v>2494</v>
      </c>
      <c r="K2819" t="s">
        <v>2545</v>
      </c>
      <c r="L2819" t="s">
        <v>53</v>
      </c>
      <c r="P2819" t="s">
        <v>55</v>
      </c>
      <c r="R2819" t="s">
        <v>56</v>
      </c>
      <c r="T2819" t="s">
        <v>4529</v>
      </c>
      <c r="U2819" t="s">
        <v>58</v>
      </c>
      <c r="V2819">
        <v>1</v>
      </c>
      <c r="W2819">
        <v>1</v>
      </c>
      <c r="X2819">
        <v>2</v>
      </c>
      <c r="Y2819">
        <v>0</v>
      </c>
      <c r="Z2819">
        <v>2</v>
      </c>
      <c r="AA2819">
        <v>0</v>
      </c>
      <c r="AB2819">
        <v>192.07</v>
      </c>
      <c r="AC2819">
        <v>169</v>
      </c>
      <c r="AD2819">
        <v>0</v>
      </c>
      <c r="AE2819">
        <v>23.07</v>
      </c>
      <c r="AF2819">
        <v>0</v>
      </c>
      <c r="AG2819">
        <v>0</v>
      </c>
      <c r="AH2819">
        <v>0</v>
      </c>
      <c r="AI2819">
        <v>0</v>
      </c>
      <c r="AJ2819">
        <v>192.07</v>
      </c>
      <c r="AK2819">
        <v>0</v>
      </c>
      <c r="AL2819" t="s">
        <v>53</v>
      </c>
      <c r="AM2819" t="s">
        <v>53</v>
      </c>
      <c r="AN2819" t="s">
        <v>53</v>
      </c>
      <c r="AO2819" t="s">
        <v>53</v>
      </c>
      <c r="AP2819" t="s">
        <v>53</v>
      </c>
    </row>
    <row r="2820" spans="2:42" x14ac:dyDescent="0.2">
      <c r="B2820" t="s">
        <v>44</v>
      </c>
      <c r="C2820" t="str">
        <f>HYPERLINK("https://us2.cloudbeds.com/connect/8493803454333002#/reservations/9101521740002?display=6FXDW716V&amp;reservation_id=9101521740002", "6FXDW716V")</f>
        <v>6FXDW716V</v>
      </c>
      <c r="D2820" t="s">
        <v>45</v>
      </c>
      <c r="E2820" t="s">
        <v>121</v>
      </c>
      <c r="F2820" t="s">
        <v>86</v>
      </c>
      <c r="G2820" t="s">
        <v>48</v>
      </c>
      <c r="H2820" t="s">
        <v>49</v>
      </c>
      <c r="I2820" t="s">
        <v>50</v>
      </c>
      <c r="J2820" t="s">
        <v>3882</v>
      </c>
      <c r="K2820" t="s">
        <v>3339</v>
      </c>
      <c r="L2820" t="s">
        <v>53</v>
      </c>
      <c r="N2820" t="s">
        <v>4530</v>
      </c>
      <c r="P2820" t="s">
        <v>55</v>
      </c>
      <c r="R2820" t="s">
        <v>53</v>
      </c>
      <c r="T2820" t="s">
        <v>4531</v>
      </c>
      <c r="U2820" t="s">
        <v>58</v>
      </c>
      <c r="V2820">
        <v>2</v>
      </c>
      <c r="W2820">
        <v>1</v>
      </c>
      <c r="X2820">
        <v>2</v>
      </c>
      <c r="Y2820">
        <v>0</v>
      </c>
      <c r="Z2820">
        <v>2</v>
      </c>
      <c r="AA2820">
        <v>0</v>
      </c>
      <c r="AB2820">
        <v>316.07</v>
      </c>
      <c r="AC2820">
        <v>278.10000000000002</v>
      </c>
      <c r="AD2820">
        <v>0</v>
      </c>
      <c r="AE2820">
        <v>37.97</v>
      </c>
      <c r="AF2820">
        <v>0</v>
      </c>
      <c r="AG2820">
        <v>0</v>
      </c>
      <c r="AH2820">
        <v>0</v>
      </c>
      <c r="AI2820">
        <v>56.89</v>
      </c>
      <c r="AJ2820">
        <v>316.07</v>
      </c>
      <c r="AK2820">
        <v>0</v>
      </c>
      <c r="AL2820" t="s">
        <v>53</v>
      </c>
      <c r="AM2820" t="s">
        <v>53</v>
      </c>
      <c r="AN2820" t="s">
        <v>53</v>
      </c>
      <c r="AO2820" t="s">
        <v>53</v>
      </c>
      <c r="AP2820" t="s">
        <v>53</v>
      </c>
    </row>
    <row r="2821" spans="2:42" x14ac:dyDescent="0.2">
      <c r="B2821" t="s">
        <v>44</v>
      </c>
      <c r="C2821" t="str">
        <f>HYPERLINK("https://us2.cloudbeds.com/connect/8493803454333002#/reservations/9127778541773?display=6G5ZTY89M&amp;reservation_id=9127778541773", "6G5ZTY89M")</f>
        <v>6G5ZTY89M</v>
      </c>
      <c r="D2821" t="s">
        <v>45</v>
      </c>
      <c r="E2821" t="s">
        <v>138</v>
      </c>
      <c r="F2821" t="s">
        <v>70</v>
      </c>
      <c r="G2821" t="s">
        <v>48</v>
      </c>
      <c r="H2821" t="s">
        <v>49</v>
      </c>
      <c r="I2821" t="s">
        <v>62</v>
      </c>
      <c r="J2821" t="s">
        <v>2494</v>
      </c>
      <c r="K2821" t="s">
        <v>2545</v>
      </c>
      <c r="L2821" t="s">
        <v>53</v>
      </c>
      <c r="N2821" t="s">
        <v>4532</v>
      </c>
      <c r="P2821" t="s">
        <v>55</v>
      </c>
      <c r="R2821" t="s">
        <v>56</v>
      </c>
      <c r="T2821" t="s">
        <v>4533</v>
      </c>
      <c r="U2821" t="s">
        <v>55</v>
      </c>
      <c r="V2821">
        <v>1</v>
      </c>
      <c r="W2821">
        <v>1</v>
      </c>
      <c r="X2821">
        <v>2</v>
      </c>
      <c r="Y2821">
        <v>0</v>
      </c>
      <c r="Z2821">
        <v>2</v>
      </c>
      <c r="AA2821">
        <v>0</v>
      </c>
      <c r="AB2821">
        <v>164.68</v>
      </c>
      <c r="AC2821">
        <v>144.9</v>
      </c>
      <c r="AD2821">
        <v>0</v>
      </c>
      <c r="AE2821">
        <v>19.78</v>
      </c>
      <c r="AF2821">
        <v>0</v>
      </c>
      <c r="AG2821">
        <v>0</v>
      </c>
      <c r="AH2821">
        <v>0</v>
      </c>
      <c r="AI2821">
        <v>24.7</v>
      </c>
      <c r="AJ2821">
        <v>164.68</v>
      </c>
      <c r="AK2821">
        <v>0</v>
      </c>
      <c r="AL2821" t="s">
        <v>53</v>
      </c>
      <c r="AM2821" t="s">
        <v>53</v>
      </c>
      <c r="AN2821" t="s">
        <v>53</v>
      </c>
      <c r="AO2821" t="s">
        <v>53</v>
      </c>
      <c r="AP2821" t="s">
        <v>53</v>
      </c>
    </row>
    <row r="2822" spans="2:42" x14ac:dyDescent="0.2">
      <c r="B2822" t="s">
        <v>44</v>
      </c>
      <c r="C2822" t="str">
        <f>HYPERLINK("https://us2.cloudbeds.com/connect/8493803454333002#/reservations/9136973275353?display=6GCSRT8QW&amp;reservation_id=9136973275353", "6GCSRT8QW")</f>
        <v>6GCSRT8QW</v>
      </c>
      <c r="D2822" t="s">
        <v>45</v>
      </c>
      <c r="E2822" t="s">
        <v>113</v>
      </c>
      <c r="F2822" t="s">
        <v>61</v>
      </c>
      <c r="G2822" t="s">
        <v>48</v>
      </c>
      <c r="H2822" t="s">
        <v>49</v>
      </c>
      <c r="I2822" t="s">
        <v>62</v>
      </c>
      <c r="J2822" t="s">
        <v>1610</v>
      </c>
      <c r="K2822" t="s">
        <v>1501</v>
      </c>
      <c r="L2822" t="s">
        <v>53</v>
      </c>
      <c r="N2822" t="s">
        <v>4534</v>
      </c>
      <c r="P2822" t="s">
        <v>55</v>
      </c>
      <c r="R2822" t="s">
        <v>56</v>
      </c>
      <c r="T2822" t="s">
        <v>4535</v>
      </c>
      <c r="U2822" t="s">
        <v>55</v>
      </c>
      <c r="V2822">
        <v>1</v>
      </c>
      <c r="W2822">
        <v>1</v>
      </c>
      <c r="X2822">
        <v>2</v>
      </c>
      <c r="Y2822">
        <v>0</v>
      </c>
      <c r="Z2822">
        <v>2</v>
      </c>
      <c r="AA2822">
        <v>0</v>
      </c>
      <c r="AB2822">
        <v>193.21</v>
      </c>
      <c r="AC2822">
        <v>170</v>
      </c>
      <c r="AD2822">
        <v>0</v>
      </c>
      <c r="AE2822">
        <v>23.21</v>
      </c>
      <c r="AF2822">
        <v>0</v>
      </c>
      <c r="AG2822">
        <v>0</v>
      </c>
      <c r="AH2822">
        <v>0</v>
      </c>
      <c r="AI2822">
        <v>28.98</v>
      </c>
      <c r="AJ2822">
        <v>193.21</v>
      </c>
      <c r="AK2822">
        <v>0</v>
      </c>
      <c r="AL2822" t="s">
        <v>53</v>
      </c>
      <c r="AM2822" t="s">
        <v>53</v>
      </c>
      <c r="AN2822" t="s">
        <v>53</v>
      </c>
      <c r="AO2822" t="s">
        <v>53</v>
      </c>
      <c r="AP2822" t="s">
        <v>53</v>
      </c>
    </row>
    <row r="2823" spans="2:42" x14ac:dyDescent="0.2">
      <c r="B2823" t="s">
        <v>44</v>
      </c>
      <c r="C2823" t="str">
        <f>HYPERLINK("https://us2.cloudbeds.com/connect/8493803454333002#/reservations/9154305102034?display=6GQ9NHTG3&amp;reservation_id=9154305102034", "6GQ9NHTG3")</f>
        <v>6GQ9NHTG3</v>
      </c>
      <c r="D2823" t="s">
        <v>45</v>
      </c>
      <c r="E2823" t="s">
        <v>179</v>
      </c>
      <c r="F2823" t="s">
        <v>47</v>
      </c>
      <c r="G2823" t="s">
        <v>48</v>
      </c>
      <c r="H2823" t="s">
        <v>49</v>
      </c>
      <c r="I2823" t="s">
        <v>62</v>
      </c>
      <c r="J2823" t="s">
        <v>1477</v>
      </c>
      <c r="K2823" t="s">
        <v>1664</v>
      </c>
      <c r="L2823" t="s">
        <v>53</v>
      </c>
      <c r="N2823" t="s">
        <v>4536</v>
      </c>
      <c r="P2823" t="s">
        <v>55</v>
      </c>
      <c r="R2823" t="s">
        <v>201</v>
      </c>
      <c r="T2823" t="s">
        <v>4537</v>
      </c>
      <c r="U2823" t="s">
        <v>55</v>
      </c>
      <c r="V2823">
        <v>1</v>
      </c>
      <c r="W2823">
        <v>1</v>
      </c>
      <c r="X2823">
        <v>2</v>
      </c>
      <c r="Y2823">
        <v>0</v>
      </c>
      <c r="Z2823">
        <v>2</v>
      </c>
      <c r="AA2823">
        <v>0</v>
      </c>
      <c r="AB2823">
        <v>213.66</v>
      </c>
      <c r="AC2823">
        <v>188</v>
      </c>
      <c r="AD2823">
        <v>0</v>
      </c>
      <c r="AE2823">
        <v>25.66</v>
      </c>
      <c r="AF2823">
        <v>0</v>
      </c>
      <c r="AG2823">
        <v>0</v>
      </c>
      <c r="AH2823">
        <v>0</v>
      </c>
      <c r="AI2823">
        <v>32.049999999999997</v>
      </c>
      <c r="AJ2823">
        <v>213.66</v>
      </c>
      <c r="AK2823">
        <v>0</v>
      </c>
      <c r="AL2823" t="s">
        <v>53</v>
      </c>
      <c r="AM2823" t="s">
        <v>53</v>
      </c>
      <c r="AN2823" t="s">
        <v>53</v>
      </c>
      <c r="AO2823" t="s">
        <v>53</v>
      </c>
      <c r="AP2823" t="s">
        <v>53</v>
      </c>
    </row>
    <row r="2824" spans="2:42" x14ac:dyDescent="0.2">
      <c r="B2824" t="s">
        <v>44</v>
      </c>
      <c r="C2824" t="str">
        <f>HYPERLINK("https://us2.cloudbeds.com/connect/8493803454333002#/reservations/9148890267815?display=6GM3BK4UM&amp;reservation_id=9148890267815", "6GM3BK4UM")</f>
        <v>6GM3BK4UM</v>
      </c>
      <c r="D2824" t="s">
        <v>45</v>
      </c>
      <c r="E2824" t="s">
        <v>265</v>
      </c>
      <c r="F2824" t="s">
        <v>61</v>
      </c>
      <c r="G2824" t="s">
        <v>48</v>
      </c>
      <c r="H2824" t="s">
        <v>3957</v>
      </c>
      <c r="I2824" t="s">
        <v>3975</v>
      </c>
      <c r="J2824" t="s">
        <v>2314</v>
      </c>
      <c r="K2824" t="s">
        <v>2634</v>
      </c>
      <c r="L2824" t="s">
        <v>53</v>
      </c>
      <c r="P2824" t="s">
        <v>58</v>
      </c>
      <c r="R2824" t="s">
        <v>56</v>
      </c>
      <c r="T2824" t="s">
        <v>4538</v>
      </c>
      <c r="U2824" t="s">
        <v>58</v>
      </c>
      <c r="V2824">
        <v>4</v>
      </c>
      <c r="W2824">
        <v>1</v>
      </c>
      <c r="X2824">
        <v>1</v>
      </c>
      <c r="Y2824">
        <v>0</v>
      </c>
      <c r="Z2824">
        <v>1</v>
      </c>
      <c r="AA2824">
        <v>0</v>
      </c>
      <c r="AB2824">
        <v>760.34</v>
      </c>
      <c r="AC2824">
        <v>669</v>
      </c>
      <c r="AD2824">
        <v>0</v>
      </c>
      <c r="AE2824">
        <v>91.34</v>
      </c>
      <c r="AF2824">
        <v>0</v>
      </c>
      <c r="AG2824">
        <v>0</v>
      </c>
      <c r="AH2824">
        <v>0</v>
      </c>
      <c r="AI2824">
        <v>0</v>
      </c>
      <c r="AJ2824">
        <v>760.34</v>
      </c>
      <c r="AK2824">
        <v>0</v>
      </c>
      <c r="AL2824" t="s">
        <v>53</v>
      </c>
      <c r="AM2824" t="s">
        <v>53</v>
      </c>
      <c r="AN2824" t="s">
        <v>53</v>
      </c>
      <c r="AO2824" t="s">
        <v>53</v>
      </c>
      <c r="AP2824" t="s">
        <v>53</v>
      </c>
    </row>
    <row r="2825" spans="2:42" x14ac:dyDescent="0.2">
      <c r="B2825" t="s">
        <v>44</v>
      </c>
      <c r="C2825" t="str">
        <f>HYPERLINK("https://us2.cloudbeds.com/connect/8493803454333002#/reservations/9159691817100?display=6GUFBP5VW&amp;reservation_id=9159691817100", "6GUFBP5VW")</f>
        <v>6GUFBP5VW</v>
      </c>
      <c r="D2825" t="s">
        <v>45</v>
      </c>
      <c r="E2825" t="s">
        <v>179</v>
      </c>
      <c r="F2825" t="s">
        <v>47</v>
      </c>
      <c r="G2825" t="s">
        <v>48</v>
      </c>
      <c r="H2825" t="s">
        <v>49</v>
      </c>
      <c r="I2825" t="s">
        <v>62</v>
      </c>
      <c r="J2825" t="s">
        <v>1664</v>
      </c>
      <c r="K2825" t="s">
        <v>1665</v>
      </c>
      <c r="L2825" t="s">
        <v>53</v>
      </c>
      <c r="N2825" t="s">
        <v>4539</v>
      </c>
      <c r="P2825" t="s">
        <v>55</v>
      </c>
      <c r="R2825" t="s">
        <v>56</v>
      </c>
      <c r="T2825" t="s">
        <v>4540</v>
      </c>
      <c r="U2825" t="s">
        <v>55</v>
      </c>
      <c r="V2825">
        <v>1</v>
      </c>
      <c r="W2825">
        <v>1</v>
      </c>
      <c r="X2825">
        <v>2</v>
      </c>
      <c r="Y2825">
        <v>0</v>
      </c>
      <c r="Z2825">
        <v>2</v>
      </c>
      <c r="AA2825">
        <v>0</v>
      </c>
      <c r="AB2825">
        <v>213.66</v>
      </c>
      <c r="AC2825">
        <v>188</v>
      </c>
      <c r="AD2825">
        <v>0</v>
      </c>
      <c r="AE2825">
        <v>25.66</v>
      </c>
      <c r="AF2825">
        <v>0</v>
      </c>
      <c r="AG2825">
        <v>0</v>
      </c>
      <c r="AH2825">
        <v>0</v>
      </c>
      <c r="AI2825">
        <v>32.049999999999997</v>
      </c>
      <c r="AJ2825">
        <v>213.66</v>
      </c>
      <c r="AK2825">
        <v>0</v>
      </c>
      <c r="AL2825" t="s">
        <v>53</v>
      </c>
      <c r="AM2825" t="s">
        <v>53</v>
      </c>
      <c r="AN2825" t="s">
        <v>53</v>
      </c>
      <c r="AO2825" t="s">
        <v>53</v>
      </c>
      <c r="AP2825" t="s">
        <v>53</v>
      </c>
    </row>
    <row r="2826" spans="2:42" x14ac:dyDescent="0.2">
      <c r="B2826" t="s">
        <v>44</v>
      </c>
      <c r="C2826" t="str">
        <f>HYPERLINK("https://us2.cloudbeds.com/connect/8493803454333002#/reservations/9160406114463?display=6GV0K2XDK&amp;reservation_id=9160406114463", "6GV0K2XDK")</f>
        <v>6GV0K2XDK</v>
      </c>
      <c r="D2826" t="s">
        <v>45</v>
      </c>
      <c r="E2826" t="s">
        <v>69</v>
      </c>
      <c r="F2826" t="s">
        <v>70</v>
      </c>
      <c r="G2826" t="s">
        <v>48</v>
      </c>
      <c r="H2826" t="s">
        <v>49</v>
      </c>
      <c r="I2826" t="s">
        <v>62</v>
      </c>
      <c r="J2826" t="s">
        <v>1858</v>
      </c>
      <c r="K2826" t="s">
        <v>3104</v>
      </c>
      <c r="L2826" t="s">
        <v>53</v>
      </c>
      <c r="N2826" t="s">
        <v>4541</v>
      </c>
      <c r="P2826" t="s">
        <v>55</v>
      </c>
      <c r="R2826" t="s">
        <v>56</v>
      </c>
      <c r="T2826" t="s">
        <v>4542</v>
      </c>
      <c r="U2826" t="s">
        <v>55</v>
      </c>
      <c r="V2826">
        <v>1</v>
      </c>
      <c r="W2826">
        <v>1</v>
      </c>
      <c r="X2826">
        <v>2</v>
      </c>
      <c r="Y2826">
        <v>0</v>
      </c>
      <c r="Z2826">
        <v>2</v>
      </c>
      <c r="AA2826">
        <v>0</v>
      </c>
      <c r="AB2826">
        <v>111.48</v>
      </c>
      <c r="AC2826">
        <v>98.1</v>
      </c>
      <c r="AD2826">
        <v>0</v>
      </c>
      <c r="AE2826">
        <v>13.38</v>
      </c>
      <c r="AF2826">
        <v>0</v>
      </c>
      <c r="AG2826">
        <v>0</v>
      </c>
      <c r="AH2826">
        <v>0</v>
      </c>
      <c r="AI2826">
        <v>16.72</v>
      </c>
      <c r="AJ2826">
        <v>111.48</v>
      </c>
      <c r="AK2826">
        <v>0</v>
      </c>
      <c r="AL2826" t="s">
        <v>53</v>
      </c>
      <c r="AM2826" t="s">
        <v>53</v>
      </c>
      <c r="AN2826" t="s">
        <v>53</v>
      </c>
      <c r="AO2826" t="s">
        <v>53</v>
      </c>
      <c r="AP2826" t="s">
        <v>53</v>
      </c>
    </row>
    <row r="2827" spans="2:42" x14ac:dyDescent="0.2">
      <c r="B2827" t="s">
        <v>44</v>
      </c>
      <c r="C2827" t="str">
        <f>HYPERLINK("https://us2.cloudbeds.com/connect/8493803454333002#/reservations/9162839847151?display=6GWTQ8P00&amp;reservation_id=9162839847151", "6GWTQ8P00")</f>
        <v>6GWTQ8P00</v>
      </c>
      <c r="D2827" t="s">
        <v>45</v>
      </c>
      <c r="E2827" t="s">
        <v>46</v>
      </c>
      <c r="F2827" t="s">
        <v>47</v>
      </c>
      <c r="G2827" t="s">
        <v>48</v>
      </c>
      <c r="H2827" t="s">
        <v>3957</v>
      </c>
      <c r="I2827" t="s">
        <v>3958</v>
      </c>
      <c r="J2827" t="s">
        <v>2790</v>
      </c>
      <c r="K2827" t="s">
        <v>1863</v>
      </c>
      <c r="L2827" t="s">
        <v>53</v>
      </c>
      <c r="P2827" t="s">
        <v>55</v>
      </c>
      <c r="R2827" t="s">
        <v>56</v>
      </c>
      <c r="T2827" t="s">
        <v>4543</v>
      </c>
      <c r="U2827" t="s">
        <v>58</v>
      </c>
      <c r="V2827">
        <v>1</v>
      </c>
      <c r="W2827">
        <v>1</v>
      </c>
      <c r="X2827">
        <v>1</v>
      </c>
      <c r="Y2827">
        <v>0</v>
      </c>
      <c r="Z2827">
        <v>1</v>
      </c>
      <c r="AA2827">
        <v>0</v>
      </c>
      <c r="AB2827">
        <v>139.80000000000001</v>
      </c>
      <c r="AC2827">
        <v>123</v>
      </c>
      <c r="AD2827">
        <v>0</v>
      </c>
      <c r="AE2827">
        <v>16.8</v>
      </c>
      <c r="AF2827">
        <v>0</v>
      </c>
      <c r="AG2827">
        <v>0</v>
      </c>
      <c r="AH2827">
        <v>0</v>
      </c>
      <c r="AI2827">
        <v>0</v>
      </c>
      <c r="AJ2827">
        <v>139.80000000000001</v>
      </c>
      <c r="AK2827">
        <v>0</v>
      </c>
      <c r="AL2827" t="s">
        <v>53</v>
      </c>
      <c r="AM2827" t="s">
        <v>53</v>
      </c>
      <c r="AN2827" t="s">
        <v>53</v>
      </c>
      <c r="AO2827" t="s">
        <v>53</v>
      </c>
      <c r="AP2827" t="s">
        <v>53</v>
      </c>
    </row>
    <row r="2828" spans="2:42" x14ac:dyDescent="0.2">
      <c r="B2828" t="s">
        <v>44</v>
      </c>
      <c r="C2828" t="str">
        <f>HYPERLINK("https://us2.cloudbeds.com/connect/8493803454333002#/reservations/9185599299802?display=6HHHBY2XC&amp;reservation_id=9185599299802", "6HHHBY2XC")</f>
        <v>6HHHBY2XC</v>
      </c>
      <c r="D2828" t="s">
        <v>45</v>
      </c>
      <c r="E2828" t="s">
        <v>138</v>
      </c>
      <c r="F2828" t="s">
        <v>70</v>
      </c>
      <c r="G2828" t="s">
        <v>48</v>
      </c>
      <c r="H2828" t="s">
        <v>3957</v>
      </c>
      <c r="I2828" t="s">
        <v>3958</v>
      </c>
      <c r="J2828" t="s">
        <v>2541</v>
      </c>
      <c r="K2828" t="s">
        <v>1502</v>
      </c>
      <c r="L2828" t="s">
        <v>53</v>
      </c>
      <c r="P2828" t="s">
        <v>55</v>
      </c>
      <c r="R2828" t="s">
        <v>56</v>
      </c>
      <c r="T2828" t="s">
        <v>4544</v>
      </c>
      <c r="U2828" t="s">
        <v>58</v>
      </c>
      <c r="V2828">
        <v>1</v>
      </c>
      <c r="W2828">
        <v>1</v>
      </c>
      <c r="X2828">
        <v>1</v>
      </c>
      <c r="Y2828">
        <v>0</v>
      </c>
      <c r="Z2828">
        <v>1</v>
      </c>
      <c r="AA2828">
        <v>0</v>
      </c>
      <c r="AB2828">
        <v>135.25</v>
      </c>
      <c r="AC2828">
        <v>119</v>
      </c>
      <c r="AD2828">
        <v>0</v>
      </c>
      <c r="AE2828">
        <v>16.25</v>
      </c>
      <c r="AF2828">
        <v>0</v>
      </c>
      <c r="AG2828">
        <v>0</v>
      </c>
      <c r="AH2828">
        <v>0</v>
      </c>
      <c r="AI2828">
        <v>0</v>
      </c>
      <c r="AJ2828">
        <v>135.25</v>
      </c>
      <c r="AK2828">
        <v>0</v>
      </c>
      <c r="AL2828" t="s">
        <v>53</v>
      </c>
      <c r="AM2828" t="s">
        <v>53</v>
      </c>
      <c r="AN2828" t="s">
        <v>53</v>
      </c>
      <c r="AO2828" t="s">
        <v>53</v>
      </c>
      <c r="AP2828" t="s">
        <v>53</v>
      </c>
    </row>
    <row r="2829" spans="2:42" x14ac:dyDescent="0.2">
      <c r="B2829" t="s">
        <v>44</v>
      </c>
      <c r="C2829" t="str">
        <f>HYPERLINK("https://us2.cloudbeds.com/connect/8493803454333002#/reservations/9189592432836?display=6HKKCZTCN&amp;reservation_id=9189592432836", "6HKKCZTCN")</f>
        <v>6HKKCZTCN</v>
      </c>
      <c r="D2829" t="s">
        <v>45</v>
      </c>
      <c r="E2829" t="s">
        <v>185</v>
      </c>
      <c r="F2829" t="s">
        <v>47</v>
      </c>
      <c r="G2829" t="s">
        <v>48</v>
      </c>
      <c r="H2829" t="s">
        <v>49</v>
      </c>
      <c r="I2829" t="s">
        <v>50</v>
      </c>
      <c r="J2829" t="s">
        <v>1611</v>
      </c>
      <c r="K2829" t="s">
        <v>1502</v>
      </c>
      <c r="L2829" t="s">
        <v>53</v>
      </c>
      <c r="N2829" t="s">
        <v>4545</v>
      </c>
      <c r="P2829" t="s">
        <v>55</v>
      </c>
      <c r="R2829" t="s">
        <v>53</v>
      </c>
      <c r="T2829" t="s">
        <v>4546</v>
      </c>
      <c r="U2829" t="s">
        <v>58</v>
      </c>
      <c r="V2829">
        <v>3</v>
      </c>
      <c r="W2829">
        <v>1</v>
      </c>
      <c r="X2829">
        <v>2</v>
      </c>
      <c r="Y2829">
        <v>0</v>
      </c>
      <c r="Z2829">
        <v>2</v>
      </c>
      <c r="AA2829">
        <v>0</v>
      </c>
      <c r="AB2829">
        <v>381.53</v>
      </c>
      <c r="AC2829">
        <v>335.7</v>
      </c>
      <c r="AD2829">
        <v>0</v>
      </c>
      <c r="AE2829">
        <v>45.83</v>
      </c>
      <c r="AF2829">
        <v>0</v>
      </c>
      <c r="AG2829">
        <v>0</v>
      </c>
      <c r="AH2829">
        <v>0</v>
      </c>
      <c r="AI2829">
        <v>68.680000000000007</v>
      </c>
      <c r="AJ2829">
        <v>381.53</v>
      </c>
      <c r="AK2829">
        <v>0</v>
      </c>
      <c r="AL2829" t="s">
        <v>53</v>
      </c>
      <c r="AM2829" t="s">
        <v>53</v>
      </c>
      <c r="AN2829" t="s">
        <v>53</v>
      </c>
      <c r="AO2829" t="s">
        <v>53</v>
      </c>
      <c r="AP2829" t="s">
        <v>53</v>
      </c>
    </row>
    <row r="2830" spans="2:42" x14ac:dyDescent="0.2">
      <c r="B2830" t="s">
        <v>44</v>
      </c>
      <c r="C2830" t="str">
        <f>HYPERLINK("https://us2.cloudbeds.com/connect/8493803454333002#/reservations/9193702224023?display=6HNQD7TAJ&amp;reservation_id=9193702224023", "6HNQD7TAJ")</f>
        <v>6HNQD7TAJ</v>
      </c>
      <c r="D2830" t="s">
        <v>45</v>
      </c>
      <c r="E2830" t="s">
        <v>165</v>
      </c>
      <c r="F2830" t="s">
        <v>61</v>
      </c>
      <c r="G2830" t="s">
        <v>48</v>
      </c>
      <c r="H2830" t="s">
        <v>3957</v>
      </c>
      <c r="I2830" t="s">
        <v>3975</v>
      </c>
      <c r="J2830" t="s">
        <v>1902</v>
      </c>
      <c r="K2830" t="s">
        <v>2058</v>
      </c>
      <c r="L2830" t="s">
        <v>53</v>
      </c>
      <c r="P2830" t="s">
        <v>55</v>
      </c>
      <c r="R2830" t="s">
        <v>56</v>
      </c>
      <c r="T2830" t="s">
        <v>4547</v>
      </c>
      <c r="U2830" t="s">
        <v>58</v>
      </c>
      <c r="V2830">
        <v>2</v>
      </c>
      <c r="W2830">
        <v>1</v>
      </c>
      <c r="X2830">
        <v>2</v>
      </c>
      <c r="Y2830">
        <v>0</v>
      </c>
      <c r="Z2830">
        <v>2</v>
      </c>
      <c r="AA2830">
        <v>0</v>
      </c>
      <c r="AB2830">
        <v>348.92</v>
      </c>
      <c r="AC2830">
        <v>307</v>
      </c>
      <c r="AD2830">
        <v>0</v>
      </c>
      <c r="AE2830">
        <v>41.92</v>
      </c>
      <c r="AF2830">
        <v>0</v>
      </c>
      <c r="AG2830">
        <v>0</v>
      </c>
      <c r="AH2830">
        <v>0</v>
      </c>
      <c r="AI2830">
        <v>0</v>
      </c>
      <c r="AJ2830">
        <v>348.92</v>
      </c>
      <c r="AK2830">
        <v>0</v>
      </c>
      <c r="AL2830" t="s">
        <v>53</v>
      </c>
      <c r="AM2830" t="s">
        <v>53</v>
      </c>
      <c r="AN2830" t="s">
        <v>53</v>
      </c>
      <c r="AO2830" t="s">
        <v>53</v>
      </c>
      <c r="AP2830" t="s">
        <v>53</v>
      </c>
    </row>
    <row r="2831" spans="2:42" x14ac:dyDescent="0.2">
      <c r="B2831" t="s">
        <v>44</v>
      </c>
      <c r="C2831" t="str">
        <f>HYPERLINK("https://us2.cloudbeds.com/connect/8493803454333002#/reservations/9217553506456?display=6X98S8WCU&amp;reservation_id=9217553506456", "6X98S8WCU")</f>
        <v>6X98S8WCU</v>
      </c>
      <c r="D2831" t="s">
        <v>45</v>
      </c>
      <c r="E2831" t="s">
        <v>179</v>
      </c>
      <c r="F2831" t="s">
        <v>47</v>
      </c>
      <c r="G2831" t="s">
        <v>48</v>
      </c>
      <c r="H2831" t="s">
        <v>49</v>
      </c>
      <c r="I2831" t="s">
        <v>50</v>
      </c>
      <c r="J2831" t="s">
        <v>2790</v>
      </c>
      <c r="K2831" t="s">
        <v>1863</v>
      </c>
      <c r="L2831" t="s">
        <v>53</v>
      </c>
      <c r="N2831" t="s">
        <v>4548</v>
      </c>
      <c r="P2831" t="s">
        <v>55</v>
      </c>
      <c r="R2831" t="s">
        <v>53</v>
      </c>
      <c r="T2831" t="s">
        <v>4549</v>
      </c>
      <c r="U2831" t="s">
        <v>58</v>
      </c>
      <c r="V2831">
        <v>1</v>
      </c>
      <c r="W2831">
        <v>1</v>
      </c>
      <c r="X2831">
        <v>1</v>
      </c>
      <c r="Y2831">
        <v>0</v>
      </c>
      <c r="Z2831">
        <v>1</v>
      </c>
      <c r="AA2831">
        <v>0</v>
      </c>
      <c r="AB2831">
        <v>125.8</v>
      </c>
      <c r="AC2831">
        <v>110.7</v>
      </c>
      <c r="AD2831">
        <v>0</v>
      </c>
      <c r="AE2831">
        <v>15.1</v>
      </c>
      <c r="AF2831">
        <v>0</v>
      </c>
      <c r="AG2831">
        <v>0</v>
      </c>
      <c r="AH2831">
        <v>0</v>
      </c>
      <c r="AI2831">
        <v>22.64</v>
      </c>
      <c r="AJ2831">
        <v>125.8</v>
      </c>
      <c r="AK2831">
        <v>0</v>
      </c>
      <c r="AL2831" t="s">
        <v>53</v>
      </c>
      <c r="AM2831" t="s">
        <v>53</v>
      </c>
      <c r="AN2831" t="s">
        <v>53</v>
      </c>
      <c r="AO2831" t="s">
        <v>53</v>
      </c>
      <c r="AP2831" t="s">
        <v>53</v>
      </c>
    </row>
    <row r="2832" spans="2:42" x14ac:dyDescent="0.2">
      <c r="B2832" t="s">
        <v>44</v>
      </c>
      <c r="C2832" t="str">
        <f>HYPERLINK("https://us2.cloudbeds.com/connect/8493803454333002#/reservations/9227799605391?display=6XH6M1Q0E&amp;reservation_id=9227799605391", "6XH6M1Q0E")</f>
        <v>6XH6M1Q0E</v>
      </c>
      <c r="D2832" t="s">
        <v>45</v>
      </c>
      <c r="E2832" t="s">
        <v>98</v>
      </c>
      <c r="F2832" t="s">
        <v>86</v>
      </c>
      <c r="G2832" t="s">
        <v>48</v>
      </c>
      <c r="H2832" t="s">
        <v>49</v>
      </c>
      <c r="I2832" t="s">
        <v>50</v>
      </c>
      <c r="J2832" t="s">
        <v>1863</v>
      </c>
      <c r="K2832" t="s">
        <v>3080</v>
      </c>
      <c r="L2832" t="s">
        <v>53</v>
      </c>
      <c r="N2832" t="s">
        <v>4550</v>
      </c>
      <c r="P2832" t="s">
        <v>55</v>
      </c>
      <c r="R2832" t="s">
        <v>53</v>
      </c>
      <c r="T2832" t="s">
        <v>4551</v>
      </c>
      <c r="U2832" t="s">
        <v>58</v>
      </c>
      <c r="V2832">
        <v>1</v>
      </c>
      <c r="W2832">
        <v>1</v>
      </c>
      <c r="X2832">
        <v>2</v>
      </c>
      <c r="Y2832">
        <v>0</v>
      </c>
      <c r="Z2832">
        <v>2</v>
      </c>
      <c r="AA2832">
        <v>0</v>
      </c>
      <c r="AB2832">
        <v>157.52000000000001</v>
      </c>
      <c r="AC2832">
        <v>138.6</v>
      </c>
      <c r="AD2832">
        <v>0</v>
      </c>
      <c r="AE2832">
        <v>18.920000000000002</v>
      </c>
      <c r="AF2832">
        <v>0</v>
      </c>
      <c r="AG2832">
        <v>0</v>
      </c>
      <c r="AH2832">
        <v>0</v>
      </c>
      <c r="AI2832">
        <v>28.35</v>
      </c>
      <c r="AJ2832">
        <v>157.52000000000001</v>
      </c>
      <c r="AK2832">
        <v>0</v>
      </c>
      <c r="AL2832" t="s">
        <v>53</v>
      </c>
      <c r="AM2832" t="s">
        <v>53</v>
      </c>
      <c r="AN2832" t="s">
        <v>53</v>
      </c>
      <c r="AO2832" t="s">
        <v>53</v>
      </c>
      <c r="AP2832" t="s">
        <v>53</v>
      </c>
    </row>
    <row r="2833" spans="2:42" x14ac:dyDescent="0.2">
      <c r="B2833" t="s">
        <v>44</v>
      </c>
      <c r="C2833" t="str">
        <f>HYPERLINK("https://us2.cloudbeds.com/connect/8493803454333002#/reservations/9247044133003?display=6XW3DX4HR&amp;reservation_id=9247044133003", "6XW3DX4HR")</f>
        <v>6XW3DX4HR</v>
      </c>
      <c r="D2833" t="s">
        <v>45</v>
      </c>
      <c r="E2833" t="s">
        <v>406</v>
      </c>
      <c r="F2833" t="s">
        <v>61</v>
      </c>
      <c r="G2833" t="s">
        <v>48</v>
      </c>
      <c r="H2833" t="s">
        <v>49</v>
      </c>
      <c r="I2833" t="s">
        <v>50</v>
      </c>
      <c r="J2833" t="s">
        <v>1332</v>
      </c>
      <c r="K2833" t="s">
        <v>1933</v>
      </c>
      <c r="L2833" t="s">
        <v>53</v>
      </c>
      <c r="N2833" t="s">
        <v>4552</v>
      </c>
      <c r="P2833" t="s">
        <v>55</v>
      </c>
      <c r="R2833" t="s">
        <v>53</v>
      </c>
      <c r="T2833" t="s">
        <v>4553</v>
      </c>
      <c r="U2833" t="s">
        <v>58</v>
      </c>
      <c r="V2833">
        <v>2</v>
      </c>
      <c r="W2833">
        <v>1</v>
      </c>
      <c r="X2833">
        <v>2</v>
      </c>
      <c r="Y2833">
        <v>0</v>
      </c>
      <c r="Z2833">
        <v>2</v>
      </c>
      <c r="AA2833">
        <v>0</v>
      </c>
      <c r="AB2833">
        <v>393.24</v>
      </c>
      <c r="AC2833">
        <v>346</v>
      </c>
      <c r="AD2833">
        <v>0</v>
      </c>
      <c r="AE2833">
        <v>47.24</v>
      </c>
      <c r="AF2833">
        <v>0</v>
      </c>
      <c r="AG2833">
        <v>0</v>
      </c>
      <c r="AH2833">
        <v>0</v>
      </c>
      <c r="AI2833">
        <v>70.78</v>
      </c>
      <c r="AJ2833">
        <v>393.24</v>
      </c>
      <c r="AK2833">
        <v>0</v>
      </c>
      <c r="AL2833" t="s">
        <v>53</v>
      </c>
      <c r="AM2833" t="s">
        <v>53</v>
      </c>
      <c r="AN2833" t="s">
        <v>53</v>
      </c>
      <c r="AO2833" t="s">
        <v>53</v>
      </c>
      <c r="AP2833" t="s">
        <v>53</v>
      </c>
    </row>
    <row r="2834" spans="2:42" x14ac:dyDescent="0.2">
      <c r="B2834" t="s">
        <v>44</v>
      </c>
      <c r="C2834" t="str">
        <f>HYPERLINK("https://us2.cloudbeds.com/connect/8493803454333002#/reservations/9257588527233?display=6J78RSESN&amp;reservation_id=9257588527233", "6J78RSESN")</f>
        <v>6J78RSESN</v>
      </c>
      <c r="D2834" t="s">
        <v>45</v>
      </c>
      <c r="E2834" t="s">
        <v>98</v>
      </c>
      <c r="F2834" t="s">
        <v>86</v>
      </c>
      <c r="G2834" t="s">
        <v>48</v>
      </c>
      <c r="H2834" t="s">
        <v>3957</v>
      </c>
      <c r="I2834" t="s">
        <v>3958</v>
      </c>
      <c r="J2834" t="s">
        <v>2790</v>
      </c>
      <c r="K2834" t="s">
        <v>1863</v>
      </c>
      <c r="L2834" t="s">
        <v>53</v>
      </c>
      <c r="P2834" t="s">
        <v>55</v>
      </c>
      <c r="R2834" t="s">
        <v>56</v>
      </c>
      <c r="T2834" t="s">
        <v>4554</v>
      </c>
      <c r="U2834" t="s">
        <v>58</v>
      </c>
      <c r="V2834">
        <v>1</v>
      </c>
      <c r="W2834">
        <v>1</v>
      </c>
      <c r="X2834">
        <v>1</v>
      </c>
      <c r="Y2834">
        <v>0</v>
      </c>
      <c r="Z2834">
        <v>1</v>
      </c>
      <c r="AA2834">
        <v>0</v>
      </c>
      <c r="AB2834">
        <v>159.11000000000001</v>
      </c>
      <c r="AC2834">
        <v>140</v>
      </c>
      <c r="AD2834">
        <v>0</v>
      </c>
      <c r="AE2834">
        <v>19.11</v>
      </c>
      <c r="AF2834">
        <v>0</v>
      </c>
      <c r="AG2834">
        <v>0</v>
      </c>
      <c r="AH2834">
        <v>0</v>
      </c>
      <c r="AI2834">
        <v>0</v>
      </c>
      <c r="AJ2834">
        <v>159.11000000000001</v>
      </c>
      <c r="AK2834">
        <v>0</v>
      </c>
      <c r="AL2834" t="s">
        <v>53</v>
      </c>
      <c r="AM2834" t="s">
        <v>53</v>
      </c>
      <c r="AN2834" t="s">
        <v>53</v>
      </c>
      <c r="AO2834" t="s">
        <v>53</v>
      </c>
      <c r="AP2834" t="s">
        <v>53</v>
      </c>
    </row>
    <row r="2835" spans="2:42" x14ac:dyDescent="0.2">
      <c r="B2835" t="s">
        <v>44</v>
      </c>
      <c r="C2835" t="str">
        <f>HYPERLINK("https://us2.cloudbeds.com/connect/8493803454333002#/reservations/9280854286516?display=6JP9B5GF9&amp;reservation_id=9280854286516", "6JP9B5GF9")</f>
        <v>6JP9B5GF9</v>
      </c>
      <c r="D2835" t="s">
        <v>45</v>
      </c>
      <c r="E2835" t="s">
        <v>213</v>
      </c>
      <c r="F2835" t="s">
        <v>86</v>
      </c>
      <c r="G2835" t="s">
        <v>48</v>
      </c>
      <c r="H2835" t="s">
        <v>49</v>
      </c>
      <c r="I2835" t="s">
        <v>62</v>
      </c>
      <c r="J2835" t="s">
        <v>1903</v>
      </c>
      <c r="K2835" t="s">
        <v>2545</v>
      </c>
      <c r="L2835" t="s">
        <v>53</v>
      </c>
      <c r="N2835" t="s">
        <v>4555</v>
      </c>
      <c r="P2835" t="s">
        <v>55</v>
      </c>
      <c r="R2835" t="s">
        <v>56</v>
      </c>
      <c r="T2835" t="s">
        <v>4556</v>
      </c>
      <c r="U2835" t="s">
        <v>55</v>
      </c>
      <c r="V2835">
        <v>3</v>
      </c>
      <c r="W2835">
        <v>1</v>
      </c>
      <c r="X2835">
        <v>2</v>
      </c>
      <c r="Y2835">
        <v>0</v>
      </c>
      <c r="Z2835">
        <v>2</v>
      </c>
      <c r="AA2835">
        <v>0</v>
      </c>
      <c r="AB2835">
        <v>552.36</v>
      </c>
      <c r="AC2835">
        <v>486</v>
      </c>
      <c r="AD2835">
        <v>0</v>
      </c>
      <c r="AE2835">
        <v>66.36</v>
      </c>
      <c r="AF2835">
        <v>0</v>
      </c>
      <c r="AG2835">
        <v>0</v>
      </c>
      <c r="AH2835">
        <v>0</v>
      </c>
      <c r="AI2835">
        <v>82.85</v>
      </c>
      <c r="AJ2835">
        <v>552.36</v>
      </c>
      <c r="AK2835">
        <v>0</v>
      </c>
      <c r="AL2835" t="s">
        <v>53</v>
      </c>
      <c r="AM2835" t="s">
        <v>53</v>
      </c>
      <c r="AN2835" t="s">
        <v>53</v>
      </c>
      <c r="AO2835" t="s">
        <v>53</v>
      </c>
      <c r="AP2835" t="s">
        <v>53</v>
      </c>
    </row>
    <row r="2836" spans="2:42" x14ac:dyDescent="0.2">
      <c r="B2836" t="s">
        <v>44</v>
      </c>
      <c r="C2836" t="str">
        <f>HYPERLINK("https://us2.cloudbeds.com/connect/8493803454333002#/reservations/9286966186202?display=6JU0GT3SM&amp;reservation_id=9286966186202", "6JU0GT3SM")</f>
        <v>6JU0GT3SM</v>
      </c>
      <c r="D2836" t="s">
        <v>45</v>
      </c>
      <c r="E2836" t="s">
        <v>165</v>
      </c>
      <c r="F2836" t="s">
        <v>61</v>
      </c>
      <c r="G2836" t="s">
        <v>48</v>
      </c>
      <c r="H2836" t="s">
        <v>49</v>
      </c>
      <c r="I2836" t="s">
        <v>62</v>
      </c>
      <c r="J2836" t="s">
        <v>1745</v>
      </c>
      <c r="K2836" t="s">
        <v>1767</v>
      </c>
      <c r="L2836" t="s">
        <v>53</v>
      </c>
      <c r="N2836" t="s">
        <v>4557</v>
      </c>
      <c r="P2836" t="s">
        <v>55</v>
      </c>
      <c r="R2836" t="s">
        <v>56</v>
      </c>
      <c r="T2836" t="s">
        <v>4558</v>
      </c>
      <c r="U2836" t="s">
        <v>55</v>
      </c>
      <c r="V2836">
        <v>1</v>
      </c>
      <c r="W2836">
        <v>1</v>
      </c>
      <c r="X2836">
        <v>2</v>
      </c>
      <c r="Y2836">
        <v>0</v>
      </c>
      <c r="Z2836">
        <v>2</v>
      </c>
      <c r="AA2836">
        <v>0</v>
      </c>
      <c r="AB2836">
        <v>154.56</v>
      </c>
      <c r="AC2836">
        <v>136</v>
      </c>
      <c r="AD2836">
        <v>0</v>
      </c>
      <c r="AE2836">
        <v>18.559999999999999</v>
      </c>
      <c r="AF2836">
        <v>0</v>
      </c>
      <c r="AG2836">
        <v>0</v>
      </c>
      <c r="AH2836">
        <v>0</v>
      </c>
      <c r="AI2836">
        <v>23.18</v>
      </c>
      <c r="AJ2836">
        <v>154.56</v>
      </c>
      <c r="AK2836">
        <v>0</v>
      </c>
      <c r="AL2836" t="s">
        <v>53</v>
      </c>
      <c r="AM2836" t="s">
        <v>53</v>
      </c>
      <c r="AN2836" t="s">
        <v>53</v>
      </c>
      <c r="AO2836" t="s">
        <v>53</v>
      </c>
      <c r="AP2836" t="s">
        <v>53</v>
      </c>
    </row>
    <row r="2837" spans="2:42" x14ac:dyDescent="0.2">
      <c r="B2837" t="s">
        <v>44</v>
      </c>
      <c r="C2837" t="str">
        <f>HYPERLINK("https://us2.cloudbeds.com/connect/8493803454333002#/reservations/9420548698340?display=6N1ES6E8V&amp;reservation_id=9420548698340", "6N1ES6E8V")</f>
        <v>6N1ES6E8V</v>
      </c>
      <c r="D2837" t="s">
        <v>45</v>
      </c>
      <c r="E2837" t="s">
        <v>406</v>
      </c>
      <c r="F2837" t="s">
        <v>61</v>
      </c>
      <c r="G2837" t="s">
        <v>48</v>
      </c>
      <c r="H2837" t="s">
        <v>49</v>
      </c>
      <c r="I2837" t="s">
        <v>62</v>
      </c>
      <c r="J2837" t="s">
        <v>3080</v>
      </c>
      <c r="K2837" t="s">
        <v>1745</v>
      </c>
      <c r="L2837" t="s">
        <v>53</v>
      </c>
      <c r="N2837" t="s">
        <v>4559</v>
      </c>
      <c r="P2837" t="s">
        <v>55</v>
      </c>
      <c r="R2837" t="s">
        <v>329</v>
      </c>
      <c r="T2837" t="s">
        <v>4560</v>
      </c>
      <c r="U2837" t="s">
        <v>55</v>
      </c>
      <c r="V2837">
        <v>1</v>
      </c>
      <c r="W2837">
        <v>1</v>
      </c>
      <c r="X2837">
        <v>2</v>
      </c>
      <c r="Y2837">
        <v>0</v>
      </c>
      <c r="Z2837">
        <v>2</v>
      </c>
      <c r="AA2837">
        <v>0</v>
      </c>
      <c r="AB2837">
        <v>331.86</v>
      </c>
      <c r="AC2837">
        <v>146</v>
      </c>
      <c r="AD2837">
        <v>0</v>
      </c>
      <c r="AE2837">
        <v>19.93</v>
      </c>
      <c r="AF2837">
        <v>0</v>
      </c>
      <c r="AG2837">
        <v>0</v>
      </c>
      <c r="AH2837">
        <v>0</v>
      </c>
      <c r="AI2837">
        <v>24.89</v>
      </c>
      <c r="AJ2837">
        <v>165.93</v>
      </c>
      <c r="AK2837">
        <v>0</v>
      </c>
      <c r="AL2837" t="s">
        <v>53</v>
      </c>
      <c r="AM2837" t="s">
        <v>53</v>
      </c>
      <c r="AN2837" t="s">
        <v>53</v>
      </c>
      <c r="AO2837" t="s">
        <v>53</v>
      </c>
      <c r="AP2837" t="s">
        <v>53</v>
      </c>
    </row>
    <row r="2838" spans="2:42" x14ac:dyDescent="0.2">
      <c r="B2838" t="s">
        <v>44</v>
      </c>
      <c r="C2838" t="str">
        <f>HYPERLINK("https://us2.cloudbeds.com/connect/8493803454333002#/reservations/9417271312619?display=6MVU3KBB4&amp;reservation_id=9417271312619", "6MVU3KBB4")</f>
        <v>6MVU3KBB4</v>
      </c>
      <c r="D2838" t="s">
        <v>45</v>
      </c>
      <c r="E2838" t="s">
        <v>113</v>
      </c>
      <c r="F2838" t="s">
        <v>61</v>
      </c>
      <c r="G2838" t="s">
        <v>3974</v>
      </c>
      <c r="H2838" t="s">
        <v>3957</v>
      </c>
      <c r="I2838" t="s">
        <v>3975</v>
      </c>
      <c r="J2838" t="s">
        <v>1902</v>
      </c>
      <c r="K2838" t="s">
        <v>2058</v>
      </c>
      <c r="L2838" t="s">
        <v>53</v>
      </c>
      <c r="P2838" t="s">
        <v>55</v>
      </c>
      <c r="R2838" t="s">
        <v>56</v>
      </c>
      <c r="T2838" t="s">
        <v>4561</v>
      </c>
      <c r="U2838" t="s">
        <v>58</v>
      </c>
      <c r="V2838">
        <v>2</v>
      </c>
      <c r="W2838">
        <v>1</v>
      </c>
      <c r="X2838">
        <v>2</v>
      </c>
      <c r="Y2838">
        <v>0</v>
      </c>
      <c r="Z2838">
        <v>2</v>
      </c>
      <c r="AA2838">
        <v>0</v>
      </c>
      <c r="AB2838">
        <v>315.02999999999997</v>
      </c>
      <c r="AC2838">
        <v>277.2</v>
      </c>
      <c r="AD2838">
        <v>0</v>
      </c>
      <c r="AE2838">
        <v>37.83</v>
      </c>
      <c r="AF2838">
        <v>0</v>
      </c>
      <c r="AG2838">
        <v>0</v>
      </c>
      <c r="AH2838">
        <v>0</v>
      </c>
      <c r="AI2838">
        <v>0</v>
      </c>
      <c r="AJ2838">
        <v>315.02999999999997</v>
      </c>
      <c r="AK2838">
        <v>0</v>
      </c>
      <c r="AL2838" t="s">
        <v>53</v>
      </c>
      <c r="AM2838" t="s">
        <v>53</v>
      </c>
      <c r="AN2838" t="s">
        <v>53</v>
      </c>
      <c r="AO2838" t="s">
        <v>53</v>
      </c>
      <c r="AP2838" t="s">
        <v>53</v>
      </c>
    </row>
    <row r="2839" spans="2:42" x14ac:dyDescent="0.2">
      <c r="B2839" t="s">
        <v>44</v>
      </c>
      <c r="C2839" t="str">
        <f>HYPERLINK("https://us2.cloudbeds.com/connect/8493803454333002#/reservations/9452026163452?display=6NPR5R9U3&amp;reservation_id=9452026163452", "6NPR5R9U3")</f>
        <v>6NPR5R9U3</v>
      </c>
      <c r="D2839" t="s">
        <v>45</v>
      </c>
      <c r="E2839" t="s">
        <v>78</v>
      </c>
      <c r="F2839" t="s">
        <v>61</v>
      </c>
      <c r="G2839" t="s">
        <v>48</v>
      </c>
      <c r="H2839" t="s">
        <v>49</v>
      </c>
      <c r="I2839" t="s">
        <v>50</v>
      </c>
      <c r="J2839" t="s">
        <v>1405</v>
      </c>
      <c r="K2839" t="s">
        <v>1555</v>
      </c>
      <c r="L2839" t="s">
        <v>53</v>
      </c>
      <c r="N2839" t="s">
        <v>4562</v>
      </c>
      <c r="P2839" t="s">
        <v>55</v>
      </c>
      <c r="R2839" t="s">
        <v>53</v>
      </c>
      <c r="T2839" t="s">
        <v>4563</v>
      </c>
      <c r="U2839" t="s">
        <v>58</v>
      </c>
      <c r="V2839">
        <v>2</v>
      </c>
      <c r="W2839">
        <v>1</v>
      </c>
      <c r="X2839">
        <v>2</v>
      </c>
      <c r="Y2839">
        <v>0</v>
      </c>
      <c r="Z2839">
        <v>2</v>
      </c>
      <c r="AA2839">
        <v>0</v>
      </c>
      <c r="AB2839">
        <v>285.38</v>
      </c>
      <c r="AC2839">
        <v>251.1</v>
      </c>
      <c r="AD2839">
        <v>0</v>
      </c>
      <c r="AE2839">
        <v>34.28</v>
      </c>
      <c r="AF2839">
        <v>0</v>
      </c>
      <c r="AG2839">
        <v>0</v>
      </c>
      <c r="AH2839">
        <v>0</v>
      </c>
      <c r="AI2839">
        <v>51.37</v>
      </c>
      <c r="AJ2839">
        <v>285.38</v>
      </c>
      <c r="AK2839">
        <v>0</v>
      </c>
      <c r="AL2839" t="s">
        <v>53</v>
      </c>
      <c r="AM2839" t="s">
        <v>53</v>
      </c>
      <c r="AN2839" t="s">
        <v>4564</v>
      </c>
      <c r="AO2839" t="s">
        <v>53</v>
      </c>
      <c r="AP2839" t="s">
        <v>53</v>
      </c>
    </row>
    <row r="2840" spans="2:42" x14ac:dyDescent="0.2">
      <c r="B2840" t="s">
        <v>44</v>
      </c>
      <c r="C2840" t="str">
        <f>HYPERLINK("https://us2.cloudbeds.com/connect/8493803454333002#/reservations/9493065482389?display=6ZZJR8RUF&amp;reservation_id=9493065482389", "6ZZJR8RUF")</f>
        <v>6ZZJR8RUF</v>
      </c>
      <c r="D2840" t="s">
        <v>45</v>
      </c>
      <c r="E2840" t="s">
        <v>487</v>
      </c>
      <c r="F2840" t="s">
        <v>61</v>
      </c>
      <c r="G2840" t="s">
        <v>48</v>
      </c>
      <c r="H2840" t="s">
        <v>49</v>
      </c>
      <c r="I2840" t="s">
        <v>50</v>
      </c>
      <c r="J2840" t="s">
        <v>1858</v>
      </c>
      <c r="K2840" t="s">
        <v>3104</v>
      </c>
      <c r="L2840" t="s">
        <v>53</v>
      </c>
      <c r="N2840" t="s">
        <v>4565</v>
      </c>
      <c r="P2840" t="s">
        <v>55</v>
      </c>
      <c r="R2840" t="s">
        <v>53</v>
      </c>
      <c r="T2840" t="s">
        <v>4566</v>
      </c>
      <c r="U2840" t="s">
        <v>58</v>
      </c>
      <c r="V2840">
        <v>1</v>
      </c>
      <c r="W2840">
        <v>1</v>
      </c>
      <c r="X2840">
        <v>1</v>
      </c>
      <c r="Y2840">
        <v>0</v>
      </c>
      <c r="Z2840">
        <v>1</v>
      </c>
      <c r="AA2840">
        <v>0</v>
      </c>
      <c r="AB2840">
        <v>135.25</v>
      </c>
      <c r="AC2840">
        <v>119</v>
      </c>
      <c r="AD2840">
        <v>0</v>
      </c>
      <c r="AE2840">
        <v>16.25</v>
      </c>
      <c r="AF2840">
        <v>0</v>
      </c>
      <c r="AG2840">
        <v>0</v>
      </c>
      <c r="AH2840">
        <v>0</v>
      </c>
      <c r="AI2840">
        <v>24.35</v>
      </c>
      <c r="AJ2840">
        <v>135.25</v>
      </c>
      <c r="AK2840">
        <v>0</v>
      </c>
      <c r="AL2840" t="s">
        <v>53</v>
      </c>
      <c r="AM2840" t="s">
        <v>53</v>
      </c>
      <c r="AN2840" t="s">
        <v>53</v>
      </c>
      <c r="AO2840" t="s">
        <v>53</v>
      </c>
      <c r="AP2840" t="s">
        <v>53</v>
      </c>
    </row>
    <row r="2841" spans="2:42" x14ac:dyDescent="0.2">
      <c r="B2841" t="s">
        <v>44</v>
      </c>
      <c r="C2841" t="str">
        <f>HYPERLINK("https://us2.cloudbeds.com/connect/8493803454333002#/reservations/9492893483166?display=6ZZFE7NXQ&amp;reservation_id=9492893483166", "6ZZFE7NXQ")</f>
        <v>6ZZFE7NXQ</v>
      </c>
      <c r="D2841" t="s">
        <v>45</v>
      </c>
      <c r="E2841" t="s">
        <v>78</v>
      </c>
      <c r="F2841" t="s">
        <v>61</v>
      </c>
      <c r="G2841" t="s">
        <v>48</v>
      </c>
      <c r="H2841" t="s">
        <v>49</v>
      </c>
      <c r="I2841" t="s">
        <v>50</v>
      </c>
      <c r="J2841" t="s">
        <v>1858</v>
      </c>
      <c r="K2841" t="s">
        <v>3104</v>
      </c>
      <c r="L2841" t="s">
        <v>53</v>
      </c>
      <c r="N2841" t="s">
        <v>4567</v>
      </c>
      <c r="P2841" t="s">
        <v>55</v>
      </c>
      <c r="R2841" t="s">
        <v>53</v>
      </c>
      <c r="T2841" t="s">
        <v>4568</v>
      </c>
      <c r="U2841" t="s">
        <v>58</v>
      </c>
      <c r="V2841">
        <v>1</v>
      </c>
      <c r="W2841">
        <v>1</v>
      </c>
      <c r="X2841">
        <v>1</v>
      </c>
      <c r="Y2841">
        <v>0</v>
      </c>
      <c r="Z2841">
        <v>1</v>
      </c>
      <c r="AA2841">
        <v>0</v>
      </c>
      <c r="AB2841">
        <v>135.25</v>
      </c>
      <c r="AC2841">
        <v>119</v>
      </c>
      <c r="AD2841">
        <v>0</v>
      </c>
      <c r="AE2841">
        <v>16.25</v>
      </c>
      <c r="AF2841">
        <v>0</v>
      </c>
      <c r="AG2841">
        <v>0</v>
      </c>
      <c r="AH2841">
        <v>0</v>
      </c>
      <c r="AI2841">
        <v>24.35</v>
      </c>
      <c r="AJ2841">
        <v>135.25</v>
      </c>
      <c r="AK2841">
        <v>0</v>
      </c>
      <c r="AL2841" t="s">
        <v>53</v>
      </c>
      <c r="AM2841" t="s">
        <v>53</v>
      </c>
      <c r="AN2841" t="s">
        <v>53</v>
      </c>
      <c r="AO2841" t="s">
        <v>53</v>
      </c>
      <c r="AP2841" t="s">
        <v>53</v>
      </c>
    </row>
    <row r="2842" spans="2:42" x14ac:dyDescent="0.2">
      <c r="B2842" t="s">
        <v>44</v>
      </c>
      <c r="C2842" t="str">
        <f>HYPERLINK("https://us2.cloudbeds.com/connect/8493803454333002#/reservations/9492893483169?display=6ZZFE7NXT&amp;reservation_id=9492893483169", "6ZZFE7NXT")</f>
        <v>6ZZFE7NXT</v>
      </c>
      <c r="D2842" t="s">
        <v>45</v>
      </c>
      <c r="E2842" t="s">
        <v>406</v>
      </c>
      <c r="F2842" t="s">
        <v>61</v>
      </c>
      <c r="G2842" t="s">
        <v>48</v>
      </c>
      <c r="H2842" t="s">
        <v>49</v>
      </c>
      <c r="I2842" t="s">
        <v>50</v>
      </c>
      <c r="J2842" t="s">
        <v>1858</v>
      </c>
      <c r="K2842" t="s">
        <v>3104</v>
      </c>
      <c r="L2842" t="s">
        <v>53</v>
      </c>
      <c r="N2842" t="s">
        <v>4569</v>
      </c>
      <c r="P2842" t="s">
        <v>55</v>
      </c>
      <c r="R2842" t="s">
        <v>53</v>
      </c>
      <c r="T2842" t="s">
        <v>4570</v>
      </c>
      <c r="U2842" t="s">
        <v>58</v>
      </c>
      <c r="V2842">
        <v>1</v>
      </c>
      <c r="W2842">
        <v>1</v>
      </c>
      <c r="X2842">
        <v>1</v>
      </c>
      <c r="Y2842">
        <v>0</v>
      </c>
      <c r="Z2842">
        <v>1</v>
      </c>
      <c r="AA2842">
        <v>0</v>
      </c>
      <c r="AB2842">
        <v>135.25</v>
      </c>
      <c r="AC2842">
        <v>119</v>
      </c>
      <c r="AD2842">
        <v>0</v>
      </c>
      <c r="AE2842">
        <v>16.25</v>
      </c>
      <c r="AF2842">
        <v>0</v>
      </c>
      <c r="AG2842">
        <v>0</v>
      </c>
      <c r="AH2842">
        <v>0</v>
      </c>
      <c r="AI2842">
        <v>24.35</v>
      </c>
      <c r="AJ2842">
        <v>135.25</v>
      </c>
      <c r="AK2842">
        <v>0</v>
      </c>
      <c r="AL2842" t="s">
        <v>53</v>
      </c>
      <c r="AM2842" t="s">
        <v>53</v>
      </c>
      <c r="AN2842" t="s">
        <v>53</v>
      </c>
      <c r="AO2842" t="s">
        <v>53</v>
      </c>
      <c r="AP2842" t="s">
        <v>53</v>
      </c>
    </row>
    <row r="2843" spans="2:42" x14ac:dyDescent="0.2">
      <c r="B2843" t="s">
        <v>44</v>
      </c>
      <c r="C2843" t="str">
        <f>HYPERLINK("https://us2.cloudbeds.com/connect/8493803454333002#/reservations/9495123296502?display=6ZQ6DFXCT&amp;reservation_id=9495123296502", "6ZQ6DFXCT")</f>
        <v>6ZQ6DFXCT</v>
      </c>
      <c r="D2843" t="s">
        <v>45</v>
      </c>
      <c r="E2843" t="s">
        <v>46</v>
      </c>
      <c r="F2843" t="s">
        <v>47</v>
      </c>
      <c r="G2843" t="s">
        <v>48</v>
      </c>
      <c r="H2843" t="s">
        <v>49</v>
      </c>
      <c r="I2843" t="s">
        <v>50</v>
      </c>
      <c r="J2843" t="s">
        <v>2541</v>
      </c>
      <c r="K2843" t="s">
        <v>1502</v>
      </c>
      <c r="L2843" t="s">
        <v>53</v>
      </c>
      <c r="N2843" t="s">
        <v>4571</v>
      </c>
      <c r="P2843" t="s">
        <v>55</v>
      </c>
      <c r="R2843" t="s">
        <v>53</v>
      </c>
      <c r="T2843" t="s">
        <v>4572</v>
      </c>
      <c r="U2843" t="s">
        <v>58</v>
      </c>
      <c r="V2843">
        <v>1</v>
      </c>
      <c r="W2843">
        <v>1</v>
      </c>
      <c r="X2843">
        <v>1</v>
      </c>
      <c r="Y2843">
        <v>0</v>
      </c>
      <c r="Z2843">
        <v>1</v>
      </c>
      <c r="AA2843">
        <v>0</v>
      </c>
      <c r="AB2843">
        <v>135.25</v>
      </c>
      <c r="AC2843">
        <v>119</v>
      </c>
      <c r="AD2843">
        <v>0</v>
      </c>
      <c r="AE2843">
        <v>16.25</v>
      </c>
      <c r="AF2843">
        <v>0</v>
      </c>
      <c r="AG2843">
        <v>0</v>
      </c>
      <c r="AH2843">
        <v>0</v>
      </c>
      <c r="AI2843">
        <v>24.35</v>
      </c>
      <c r="AJ2843">
        <v>135.25</v>
      </c>
      <c r="AK2843">
        <v>0</v>
      </c>
      <c r="AL2843" t="s">
        <v>53</v>
      </c>
      <c r="AM2843" t="s">
        <v>53</v>
      </c>
      <c r="AN2843" t="s">
        <v>53</v>
      </c>
      <c r="AO2843" t="s">
        <v>53</v>
      </c>
      <c r="AP2843" t="s">
        <v>53</v>
      </c>
    </row>
    <row r="2844" spans="2:42" x14ac:dyDescent="0.2">
      <c r="B2844" t="s">
        <v>44</v>
      </c>
      <c r="C2844" t="str">
        <f>HYPERLINK("https://us2.cloudbeds.com/connect/8493803454333002#/reservations/9495688278185?display=6ZQKRT05V&amp;reservation_id=9495688278185", "6ZQKRT05V")</f>
        <v>6ZQKRT05V</v>
      </c>
      <c r="D2844" t="s">
        <v>45</v>
      </c>
      <c r="E2844" t="s">
        <v>78</v>
      </c>
      <c r="F2844" t="s">
        <v>61</v>
      </c>
      <c r="G2844" t="s">
        <v>48</v>
      </c>
      <c r="H2844" t="s">
        <v>49</v>
      </c>
      <c r="I2844" t="s">
        <v>50</v>
      </c>
      <c r="J2844" t="s">
        <v>2541</v>
      </c>
      <c r="K2844" t="s">
        <v>1502</v>
      </c>
      <c r="L2844" t="s">
        <v>53</v>
      </c>
      <c r="N2844" t="s">
        <v>4573</v>
      </c>
      <c r="P2844" t="s">
        <v>55</v>
      </c>
      <c r="R2844" t="s">
        <v>53</v>
      </c>
      <c r="T2844" t="s">
        <v>4574</v>
      </c>
      <c r="U2844" t="s">
        <v>58</v>
      </c>
      <c r="V2844">
        <v>1</v>
      </c>
      <c r="W2844">
        <v>1</v>
      </c>
      <c r="X2844">
        <v>1</v>
      </c>
      <c r="Y2844">
        <v>0</v>
      </c>
      <c r="Z2844">
        <v>1</v>
      </c>
      <c r="AA2844">
        <v>0</v>
      </c>
      <c r="AB2844">
        <v>135.25</v>
      </c>
      <c r="AC2844">
        <v>119</v>
      </c>
      <c r="AD2844">
        <v>0</v>
      </c>
      <c r="AE2844">
        <v>16.25</v>
      </c>
      <c r="AF2844">
        <v>0</v>
      </c>
      <c r="AG2844">
        <v>0</v>
      </c>
      <c r="AH2844">
        <v>0</v>
      </c>
      <c r="AI2844">
        <v>24.35</v>
      </c>
      <c r="AJ2844">
        <v>135.25</v>
      </c>
      <c r="AK2844">
        <v>0</v>
      </c>
      <c r="AL2844" t="s">
        <v>53</v>
      </c>
      <c r="AM2844" t="s">
        <v>53</v>
      </c>
      <c r="AN2844" t="s">
        <v>4575</v>
      </c>
      <c r="AO2844" t="s">
        <v>53</v>
      </c>
      <c r="AP2844" t="s">
        <v>53</v>
      </c>
    </row>
    <row r="2845" spans="2:42" x14ac:dyDescent="0.2">
      <c r="B2845" t="s">
        <v>44</v>
      </c>
      <c r="C2845" t="str">
        <f>HYPERLINK("https://us2.cloudbeds.com/connect/8493803454333002#/reservations/9495688278187?display=6ZQKRT060&amp;reservation_id=9495688278187", "6ZQKRT060")</f>
        <v>6ZQKRT060</v>
      </c>
      <c r="D2845" t="s">
        <v>45</v>
      </c>
      <c r="E2845" t="s">
        <v>179</v>
      </c>
      <c r="F2845" t="s">
        <v>47</v>
      </c>
      <c r="G2845" t="s">
        <v>48</v>
      </c>
      <c r="H2845" t="s">
        <v>49</v>
      </c>
      <c r="I2845" t="s">
        <v>50</v>
      </c>
      <c r="J2845" t="s">
        <v>2541</v>
      </c>
      <c r="K2845" t="s">
        <v>1502</v>
      </c>
      <c r="L2845" t="s">
        <v>53</v>
      </c>
      <c r="N2845" t="s">
        <v>4576</v>
      </c>
      <c r="P2845" t="s">
        <v>55</v>
      </c>
      <c r="R2845" t="s">
        <v>53</v>
      </c>
      <c r="T2845" t="s">
        <v>4577</v>
      </c>
      <c r="U2845" t="s">
        <v>58</v>
      </c>
      <c r="V2845">
        <v>1</v>
      </c>
      <c r="W2845">
        <v>1</v>
      </c>
      <c r="X2845">
        <v>1</v>
      </c>
      <c r="Y2845">
        <v>0</v>
      </c>
      <c r="Z2845">
        <v>1</v>
      </c>
      <c r="AA2845">
        <v>0</v>
      </c>
      <c r="AB2845">
        <v>135.25</v>
      </c>
      <c r="AC2845">
        <v>119</v>
      </c>
      <c r="AD2845">
        <v>0</v>
      </c>
      <c r="AE2845">
        <v>16.25</v>
      </c>
      <c r="AF2845">
        <v>0</v>
      </c>
      <c r="AG2845">
        <v>0</v>
      </c>
      <c r="AH2845">
        <v>0</v>
      </c>
      <c r="AI2845">
        <v>24.35</v>
      </c>
      <c r="AJ2845">
        <v>135.25</v>
      </c>
      <c r="AK2845">
        <v>0</v>
      </c>
      <c r="AL2845" t="s">
        <v>53</v>
      </c>
      <c r="AM2845" t="s">
        <v>53</v>
      </c>
      <c r="AN2845" t="s">
        <v>53</v>
      </c>
      <c r="AO2845" t="s">
        <v>53</v>
      </c>
      <c r="AP2845" t="s">
        <v>53</v>
      </c>
    </row>
    <row r="2846" spans="2:42" x14ac:dyDescent="0.2">
      <c r="B2846" t="s">
        <v>44</v>
      </c>
      <c r="C2846" t="str">
        <f>HYPERLINK("https://us2.cloudbeds.com/connect/8493803454333002#/reservations/9510577733772?display=6P55A21RQ&amp;reservation_id=9510577733772", "6P55A21RQ")</f>
        <v>6P55A21RQ</v>
      </c>
      <c r="D2846" t="s">
        <v>45</v>
      </c>
      <c r="E2846" t="s">
        <v>85</v>
      </c>
      <c r="F2846" t="s">
        <v>86</v>
      </c>
      <c r="G2846" t="s">
        <v>48</v>
      </c>
      <c r="H2846" t="s">
        <v>49</v>
      </c>
      <c r="I2846" t="s">
        <v>50</v>
      </c>
      <c r="J2846" t="s">
        <v>1933</v>
      </c>
      <c r="K2846" t="s">
        <v>2412</v>
      </c>
      <c r="L2846" t="s">
        <v>53</v>
      </c>
      <c r="N2846" t="s">
        <v>4578</v>
      </c>
      <c r="P2846" t="s">
        <v>55</v>
      </c>
      <c r="R2846" t="s">
        <v>53</v>
      </c>
      <c r="T2846" t="s">
        <v>4579</v>
      </c>
      <c r="U2846" t="s">
        <v>58</v>
      </c>
      <c r="V2846">
        <v>1</v>
      </c>
      <c r="W2846">
        <v>1</v>
      </c>
      <c r="X2846">
        <v>2</v>
      </c>
      <c r="Y2846">
        <v>0</v>
      </c>
      <c r="Z2846">
        <v>2</v>
      </c>
      <c r="AA2846">
        <v>0</v>
      </c>
      <c r="AB2846">
        <v>195.48</v>
      </c>
      <c r="AC2846">
        <v>172</v>
      </c>
      <c r="AD2846">
        <v>0</v>
      </c>
      <c r="AE2846">
        <v>23.48</v>
      </c>
      <c r="AF2846">
        <v>0</v>
      </c>
      <c r="AG2846">
        <v>0</v>
      </c>
      <c r="AH2846">
        <v>0</v>
      </c>
      <c r="AI2846">
        <v>35.19</v>
      </c>
      <c r="AJ2846">
        <v>195.48</v>
      </c>
      <c r="AK2846">
        <v>0</v>
      </c>
      <c r="AL2846" t="s">
        <v>53</v>
      </c>
      <c r="AM2846" t="s">
        <v>53</v>
      </c>
      <c r="AN2846" t="s">
        <v>53</v>
      </c>
      <c r="AO2846" t="s">
        <v>53</v>
      </c>
      <c r="AP2846" t="s">
        <v>53</v>
      </c>
    </row>
    <row r="2847" spans="2:42" x14ac:dyDescent="0.2">
      <c r="B2847" t="s">
        <v>44</v>
      </c>
      <c r="C2847" t="str">
        <f>HYPERLINK("https://us2.cloudbeds.com/connect/8493803454333002#/reservations/9532856868994?display=6PMDJDRXX&amp;reservation_id=9532856868994", "6PMDJDRXX")</f>
        <v>6PMDJDRXX</v>
      </c>
      <c r="D2847" t="s">
        <v>45</v>
      </c>
      <c r="E2847" t="s">
        <v>92</v>
      </c>
      <c r="F2847" t="s">
        <v>86</v>
      </c>
      <c r="G2847" t="s">
        <v>48</v>
      </c>
      <c r="H2847" t="s">
        <v>49</v>
      </c>
      <c r="I2847" t="s">
        <v>50</v>
      </c>
      <c r="J2847" t="s">
        <v>1405</v>
      </c>
      <c r="K2847" t="s">
        <v>1555</v>
      </c>
      <c r="L2847" t="s">
        <v>53</v>
      </c>
      <c r="N2847" t="s">
        <v>4580</v>
      </c>
      <c r="P2847" t="s">
        <v>55</v>
      </c>
      <c r="R2847" t="s">
        <v>53</v>
      </c>
      <c r="T2847" t="s">
        <v>4581</v>
      </c>
      <c r="U2847" t="s">
        <v>58</v>
      </c>
      <c r="V2847">
        <v>2</v>
      </c>
      <c r="W2847">
        <v>1</v>
      </c>
      <c r="X2847">
        <v>4</v>
      </c>
      <c r="Y2847">
        <v>0</v>
      </c>
      <c r="Z2847">
        <v>4</v>
      </c>
      <c r="AA2847">
        <v>0</v>
      </c>
      <c r="AB2847">
        <v>333</v>
      </c>
      <c r="AC2847">
        <v>293</v>
      </c>
      <c r="AD2847">
        <v>0</v>
      </c>
      <c r="AE2847">
        <v>40</v>
      </c>
      <c r="AF2847">
        <v>0</v>
      </c>
      <c r="AG2847">
        <v>0</v>
      </c>
      <c r="AH2847">
        <v>0</v>
      </c>
      <c r="AI2847">
        <v>59.94</v>
      </c>
      <c r="AJ2847">
        <v>333</v>
      </c>
      <c r="AK2847">
        <v>0</v>
      </c>
      <c r="AL2847" t="s">
        <v>53</v>
      </c>
      <c r="AM2847" t="s">
        <v>53</v>
      </c>
      <c r="AN2847" t="s">
        <v>53</v>
      </c>
      <c r="AO2847" t="s">
        <v>53</v>
      </c>
      <c r="AP2847" t="s">
        <v>53</v>
      </c>
    </row>
    <row r="2848" spans="2:42" x14ac:dyDescent="0.2">
      <c r="B2848" t="s">
        <v>44</v>
      </c>
      <c r="C2848" t="str">
        <f>HYPERLINK("https://us2.cloudbeds.com/connect/8493803454333002#/reservations/9540442509457?display=6PS9DRF9C&amp;reservation_id=9540442509457", "6PS9DRF9C")</f>
        <v>6PS9DRF9C</v>
      </c>
      <c r="D2848" t="s">
        <v>45</v>
      </c>
      <c r="E2848" t="s">
        <v>69</v>
      </c>
      <c r="F2848" t="s">
        <v>70</v>
      </c>
      <c r="G2848" t="s">
        <v>48</v>
      </c>
      <c r="H2848" t="s">
        <v>49</v>
      </c>
      <c r="I2848" t="s">
        <v>50</v>
      </c>
      <c r="J2848" t="s">
        <v>1664</v>
      </c>
      <c r="K2848" t="s">
        <v>1665</v>
      </c>
      <c r="L2848" t="s">
        <v>53</v>
      </c>
      <c r="N2848" t="s">
        <v>4582</v>
      </c>
      <c r="P2848" t="s">
        <v>55</v>
      </c>
      <c r="R2848" t="s">
        <v>53</v>
      </c>
      <c r="T2848" t="s">
        <v>4583</v>
      </c>
      <c r="U2848" t="s">
        <v>58</v>
      </c>
      <c r="V2848">
        <v>1</v>
      </c>
      <c r="W2848">
        <v>1</v>
      </c>
      <c r="X2848">
        <v>1</v>
      </c>
      <c r="Y2848">
        <v>0</v>
      </c>
      <c r="Z2848">
        <v>1</v>
      </c>
      <c r="AA2848">
        <v>0</v>
      </c>
      <c r="AB2848">
        <v>183.09</v>
      </c>
      <c r="AC2848">
        <v>161.1</v>
      </c>
      <c r="AD2848">
        <v>0</v>
      </c>
      <c r="AE2848">
        <v>21.99</v>
      </c>
      <c r="AF2848">
        <v>0</v>
      </c>
      <c r="AG2848">
        <v>0</v>
      </c>
      <c r="AH2848">
        <v>0</v>
      </c>
      <c r="AI2848">
        <v>32.96</v>
      </c>
      <c r="AJ2848">
        <v>183.09</v>
      </c>
      <c r="AK2848">
        <v>0</v>
      </c>
      <c r="AL2848" t="s">
        <v>53</v>
      </c>
      <c r="AM2848" t="s">
        <v>53</v>
      </c>
      <c r="AN2848" t="s">
        <v>53</v>
      </c>
      <c r="AO2848" t="s">
        <v>53</v>
      </c>
      <c r="AP2848" t="s">
        <v>53</v>
      </c>
    </row>
    <row r="2849" spans="2:42" x14ac:dyDescent="0.2">
      <c r="B2849" t="s">
        <v>44</v>
      </c>
      <c r="C2849" t="str">
        <f>HYPERLINK("https://us2.cloudbeds.com/connect/8493803454333002#/reservations/9544567271647?display=6PVFQV1N0&amp;reservation_id=9544567271647", "6PVFQV1N0")</f>
        <v>6PVFQV1N0</v>
      </c>
      <c r="D2849" t="s">
        <v>45</v>
      </c>
      <c r="E2849" t="s">
        <v>78</v>
      </c>
      <c r="F2849" t="s">
        <v>61</v>
      </c>
      <c r="G2849" t="s">
        <v>48</v>
      </c>
      <c r="H2849" t="s">
        <v>49</v>
      </c>
      <c r="I2849" t="s">
        <v>62</v>
      </c>
      <c r="J2849" t="s">
        <v>1863</v>
      </c>
      <c r="K2849" t="s">
        <v>3080</v>
      </c>
      <c r="L2849" t="s">
        <v>53</v>
      </c>
      <c r="N2849" t="s">
        <v>4584</v>
      </c>
      <c r="P2849" t="s">
        <v>55</v>
      </c>
      <c r="R2849" t="s">
        <v>56</v>
      </c>
      <c r="T2849" t="s">
        <v>4585</v>
      </c>
      <c r="U2849" t="s">
        <v>55</v>
      </c>
      <c r="V2849">
        <v>1</v>
      </c>
      <c r="W2849">
        <v>1</v>
      </c>
      <c r="X2849">
        <v>2</v>
      </c>
      <c r="Y2849">
        <v>0</v>
      </c>
      <c r="Z2849">
        <v>2</v>
      </c>
      <c r="AA2849">
        <v>0</v>
      </c>
      <c r="AB2849">
        <v>150.02000000000001</v>
      </c>
      <c r="AC2849">
        <v>132</v>
      </c>
      <c r="AD2849">
        <v>0</v>
      </c>
      <c r="AE2849">
        <v>18.02</v>
      </c>
      <c r="AF2849">
        <v>0</v>
      </c>
      <c r="AG2849">
        <v>0</v>
      </c>
      <c r="AH2849">
        <v>0</v>
      </c>
      <c r="AI2849">
        <v>22.5</v>
      </c>
      <c r="AJ2849">
        <v>150.02000000000001</v>
      </c>
      <c r="AK2849">
        <v>0</v>
      </c>
      <c r="AL2849" t="s">
        <v>53</v>
      </c>
      <c r="AM2849" t="s">
        <v>53</v>
      </c>
      <c r="AN2849" t="s">
        <v>53</v>
      </c>
      <c r="AO2849" t="s">
        <v>53</v>
      </c>
      <c r="AP2849" t="s">
        <v>53</v>
      </c>
    </row>
    <row r="2850" spans="2:42" x14ac:dyDescent="0.2">
      <c r="B2850" t="s">
        <v>44</v>
      </c>
      <c r="C2850" t="str">
        <f>HYPERLINK("https://us2.cloudbeds.com/connect/8493803454333002#/reservations/9561271337189?display=6QBDY89SA&amp;reservation_id=9561271337189", "6QBDY89SA")</f>
        <v>6QBDY89SA</v>
      </c>
      <c r="D2850" t="s">
        <v>45</v>
      </c>
      <c r="E2850" t="s">
        <v>4586</v>
      </c>
      <c r="F2850" t="s">
        <v>47</v>
      </c>
      <c r="G2850" t="s">
        <v>48</v>
      </c>
      <c r="H2850" t="s">
        <v>49</v>
      </c>
      <c r="I2850" t="s">
        <v>62</v>
      </c>
      <c r="J2850" t="s">
        <v>1502</v>
      </c>
      <c r="K2850" t="s">
        <v>1436</v>
      </c>
      <c r="L2850" t="s">
        <v>53</v>
      </c>
      <c r="N2850" t="s">
        <v>4587</v>
      </c>
      <c r="P2850" t="s">
        <v>55</v>
      </c>
      <c r="R2850" t="s">
        <v>56</v>
      </c>
      <c r="T2850" t="s">
        <v>4588</v>
      </c>
      <c r="U2850" t="s">
        <v>55</v>
      </c>
      <c r="V2850">
        <v>2</v>
      </c>
      <c r="W2850">
        <v>2</v>
      </c>
      <c r="X2850">
        <v>2</v>
      </c>
      <c r="Y2850">
        <v>0</v>
      </c>
      <c r="Z2850">
        <v>2</v>
      </c>
      <c r="AA2850">
        <v>0</v>
      </c>
      <c r="AB2850">
        <v>263.44</v>
      </c>
      <c r="AC2850">
        <v>231.8</v>
      </c>
      <c r="AD2850">
        <v>0</v>
      </c>
      <c r="AE2850">
        <v>31.64</v>
      </c>
      <c r="AF2850">
        <v>0</v>
      </c>
      <c r="AG2850">
        <v>0</v>
      </c>
      <c r="AH2850">
        <v>0</v>
      </c>
      <c r="AI2850">
        <v>39.520000000000003</v>
      </c>
      <c r="AJ2850">
        <v>263.44</v>
      </c>
      <c r="AK2850">
        <v>0</v>
      </c>
      <c r="AL2850" t="s">
        <v>53</v>
      </c>
      <c r="AM2850" t="s">
        <v>53</v>
      </c>
      <c r="AN2850" t="s">
        <v>53</v>
      </c>
      <c r="AO2850" t="s">
        <v>53</v>
      </c>
      <c r="AP2850" t="s">
        <v>53</v>
      </c>
    </row>
    <row r="2851" spans="2:42" x14ac:dyDescent="0.2">
      <c r="B2851" t="s">
        <v>44</v>
      </c>
      <c r="C2851" t="str">
        <f>HYPERLINK("https://us2.cloudbeds.com/connect/8493803454333002#/reservations/9604844314842?display=6RC514KTH&amp;reservation_id=9604844314842", "6RC514KTH")</f>
        <v>6RC514KTH</v>
      </c>
      <c r="D2851" t="s">
        <v>45</v>
      </c>
      <c r="E2851" t="s">
        <v>381</v>
      </c>
      <c r="F2851" t="s">
        <v>47</v>
      </c>
      <c r="G2851" t="s">
        <v>48</v>
      </c>
      <c r="H2851" t="s">
        <v>3957</v>
      </c>
      <c r="I2851" t="s">
        <v>3958</v>
      </c>
      <c r="J2851" t="s">
        <v>1863</v>
      </c>
      <c r="K2851" t="s">
        <v>3080</v>
      </c>
      <c r="L2851" t="s">
        <v>53</v>
      </c>
      <c r="P2851" t="s">
        <v>55</v>
      </c>
      <c r="R2851" t="s">
        <v>56</v>
      </c>
      <c r="T2851" t="s">
        <v>4589</v>
      </c>
      <c r="U2851" t="s">
        <v>58</v>
      </c>
      <c r="V2851">
        <v>1</v>
      </c>
      <c r="W2851">
        <v>1</v>
      </c>
      <c r="X2851">
        <v>1</v>
      </c>
      <c r="Y2851">
        <v>0</v>
      </c>
      <c r="Z2851">
        <v>1</v>
      </c>
      <c r="AA2851">
        <v>0</v>
      </c>
      <c r="AB2851">
        <v>156.84</v>
      </c>
      <c r="AC2851">
        <v>138</v>
      </c>
      <c r="AD2851">
        <v>0</v>
      </c>
      <c r="AE2851">
        <v>18.84</v>
      </c>
      <c r="AF2851">
        <v>0</v>
      </c>
      <c r="AG2851">
        <v>0</v>
      </c>
      <c r="AH2851">
        <v>0</v>
      </c>
      <c r="AI2851">
        <v>0</v>
      </c>
      <c r="AJ2851">
        <v>156.84</v>
      </c>
      <c r="AK2851">
        <v>0</v>
      </c>
      <c r="AL2851" t="s">
        <v>53</v>
      </c>
      <c r="AM2851" t="s">
        <v>53</v>
      </c>
      <c r="AN2851" t="s">
        <v>53</v>
      </c>
      <c r="AO2851" t="s">
        <v>53</v>
      </c>
      <c r="AP2851" t="s">
        <v>53</v>
      </c>
    </row>
    <row r="2852" spans="2:42" x14ac:dyDescent="0.2">
      <c r="B2852" t="s">
        <v>44</v>
      </c>
      <c r="C2852" t="str">
        <f>HYPERLINK("https://us2.cloudbeds.com/connect/8493803454333002#/reservations/9739864350886?display=6UHN3K5K9&amp;reservation_id=9739864350886", "6UHN3K5K9")</f>
        <v>6UHN3K5K9</v>
      </c>
      <c r="D2852" t="s">
        <v>45</v>
      </c>
      <c r="E2852" t="s">
        <v>185</v>
      </c>
      <c r="F2852" t="s">
        <v>47</v>
      </c>
      <c r="G2852" t="s">
        <v>48</v>
      </c>
      <c r="H2852" t="s">
        <v>49</v>
      </c>
      <c r="I2852" t="s">
        <v>62</v>
      </c>
      <c r="J2852" t="s">
        <v>1406</v>
      </c>
      <c r="K2852" t="s">
        <v>2634</v>
      </c>
      <c r="L2852" t="s">
        <v>53</v>
      </c>
      <c r="N2852" t="s">
        <v>4590</v>
      </c>
      <c r="P2852" t="s">
        <v>55</v>
      </c>
      <c r="R2852" t="s">
        <v>56</v>
      </c>
      <c r="T2852" t="s">
        <v>4591</v>
      </c>
      <c r="U2852" t="s">
        <v>55</v>
      </c>
      <c r="V2852">
        <v>2</v>
      </c>
      <c r="W2852">
        <v>1</v>
      </c>
      <c r="X2852">
        <v>2</v>
      </c>
      <c r="Y2852">
        <v>0</v>
      </c>
      <c r="Z2852">
        <v>2</v>
      </c>
      <c r="AA2852">
        <v>0</v>
      </c>
      <c r="AB2852">
        <v>345.72</v>
      </c>
      <c r="AC2852">
        <v>304.2</v>
      </c>
      <c r="AD2852">
        <v>0</v>
      </c>
      <c r="AE2852">
        <v>41.52</v>
      </c>
      <c r="AF2852">
        <v>0</v>
      </c>
      <c r="AG2852">
        <v>0</v>
      </c>
      <c r="AH2852">
        <v>0</v>
      </c>
      <c r="AI2852">
        <v>51.86</v>
      </c>
      <c r="AJ2852">
        <v>345.72</v>
      </c>
      <c r="AK2852">
        <v>0</v>
      </c>
      <c r="AL2852" t="s">
        <v>53</v>
      </c>
      <c r="AM2852" t="s">
        <v>53</v>
      </c>
      <c r="AN2852" t="s">
        <v>53</v>
      </c>
      <c r="AO2852" t="s">
        <v>53</v>
      </c>
      <c r="AP2852" t="s">
        <v>53</v>
      </c>
    </row>
    <row r="2853" spans="2:42" x14ac:dyDescent="0.2">
      <c r="B2853" t="s">
        <v>44</v>
      </c>
      <c r="C2853" t="str">
        <f>HYPERLINK("https://us2.cloudbeds.com/connect/8493803454333002#/reservations/9775721291931?display=6VCFB4DJB&amp;reservation_id=9775721291931", "6VCFB4DJB")</f>
        <v>6VCFB4DJB</v>
      </c>
      <c r="D2853" t="s">
        <v>45</v>
      </c>
      <c r="E2853" t="s">
        <v>190</v>
      </c>
      <c r="F2853" t="s">
        <v>61</v>
      </c>
      <c r="G2853" t="s">
        <v>48</v>
      </c>
      <c r="H2853" t="s">
        <v>49</v>
      </c>
      <c r="I2853" t="s">
        <v>62</v>
      </c>
      <c r="J2853" t="s">
        <v>2494</v>
      </c>
      <c r="K2853" t="s">
        <v>1555</v>
      </c>
      <c r="L2853" t="s">
        <v>53</v>
      </c>
      <c r="N2853" t="s">
        <v>4592</v>
      </c>
      <c r="P2853" t="s">
        <v>55</v>
      </c>
      <c r="R2853" t="s">
        <v>118</v>
      </c>
      <c r="T2853" t="s">
        <v>4593</v>
      </c>
      <c r="U2853" t="s">
        <v>55</v>
      </c>
      <c r="V2853">
        <v>4</v>
      </c>
      <c r="W2853">
        <v>1</v>
      </c>
      <c r="X2853">
        <v>2</v>
      </c>
      <c r="Y2853">
        <v>0</v>
      </c>
      <c r="Z2853">
        <v>2</v>
      </c>
      <c r="AA2853">
        <v>0</v>
      </c>
      <c r="AB2853">
        <v>641.01</v>
      </c>
      <c r="AC2853">
        <v>564</v>
      </c>
      <c r="AD2853">
        <v>0</v>
      </c>
      <c r="AE2853">
        <v>77.010000000000005</v>
      </c>
      <c r="AF2853">
        <v>0</v>
      </c>
      <c r="AG2853">
        <v>0</v>
      </c>
      <c r="AH2853">
        <v>0</v>
      </c>
      <c r="AI2853">
        <v>96.15</v>
      </c>
      <c r="AJ2853">
        <v>641.01</v>
      </c>
      <c r="AK2853">
        <v>0</v>
      </c>
      <c r="AL2853" t="s">
        <v>53</v>
      </c>
      <c r="AM2853" t="s">
        <v>53</v>
      </c>
      <c r="AN2853" t="s">
        <v>53</v>
      </c>
      <c r="AO2853" t="s">
        <v>53</v>
      </c>
      <c r="AP2853" t="s">
        <v>53</v>
      </c>
    </row>
    <row r="2854" spans="2:42" x14ac:dyDescent="0.2">
      <c r="B2854" t="s">
        <v>44</v>
      </c>
      <c r="C2854" t="str">
        <f>HYPERLINK("https://us2.cloudbeds.com/connect/8493803454333002#/reservations/9806132310165?display=6W30DGR5E&amp;reservation_id=9806132310165", "6W30DGR5E")</f>
        <v>6W30DGR5E</v>
      </c>
      <c r="D2854" t="s">
        <v>45</v>
      </c>
      <c r="E2854" t="s">
        <v>381</v>
      </c>
      <c r="F2854" t="s">
        <v>47</v>
      </c>
      <c r="G2854" t="s">
        <v>48</v>
      </c>
      <c r="H2854" t="s">
        <v>49</v>
      </c>
      <c r="I2854" t="s">
        <v>50</v>
      </c>
      <c r="J2854" t="s">
        <v>2494</v>
      </c>
      <c r="K2854" t="s">
        <v>2545</v>
      </c>
      <c r="L2854" t="s">
        <v>53</v>
      </c>
      <c r="N2854" t="s">
        <v>4594</v>
      </c>
      <c r="P2854" t="s">
        <v>55</v>
      </c>
      <c r="R2854" t="s">
        <v>53</v>
      </c>
      <c r="T2854" t="s">
        <v>4595</v>
      </c>
      <c r="U2854" t="s">
        <v>58</v>
      </c>
      <c r="V2854">
        <v>1</v>
      </c>
      <c r="W2854">
        <v>1</v>
      </c>
      <c r="X2854">
        <v>1</v>
      </c>
      <c r="Y2854">
        <v>0</v>
      </c>
      <c r="Z2854">
        <v>1</v>
      </c>
      <c r="AA2854">
        <v>0</v>
      </c>
      <c r="AB2854">
        <v>172.86</v>
      </c>
      <c r="AC2854">
        <v>152.1</v>
      </c>
      <c r="AD2854">
        <v>0</v>
      </c>
      <c r="AE2854">
        <v>20.76</v>
      </c>
      <c r="AF2854">
        <v>0</v>
      </c>
      <c r="AG2854">
        <v>0</v>
      </c>
      <c r="AH2854">
        <v>0</v>
      </c>
      <c r="AI2854">
        <v>31.11</v>
      </c>
      <c r="AJ2854">
        <v>172.86</v>
      </c>
      <c r="AK2854">
        <v>0</v>
      </c>
      <c r="AL2854" t="s">
        <v>53</v>
      </c>
      <c r="AM2854" t="s">
        <v>53</v>
      </c>
      <c r="AN2854" t="s">
        <v>53</v>
      </c>
      <c r="AO2854" t="s">
        <v>53</v>
      </c>
      <c r="AP2854" t="s">
        <v>53</v>
      </c>
    </row>
    <row r="2855" spans="2:42" x14ac:dyDescent="0.2">
      <c r="B2855" t="s">
        <v>44</v>
      </c>
      <c r="C2855" t="str">
        <f>HYPERLINK("https://us2.cloudbeds.com/connect/8493803454333002#/reservations/9811570131188?display=6W77BR6TM&amp;reservation_id=9811570131188", "6W77BR6TM")</f>
        <v>6W77BR6TM</v>
      </c>
      <c r="D2855" t="s">
        <v>45</v>
      </c>
      <c r="E2855" t="s">
        <v>190</v>
      </c>
      <c r="F2855" t="s">
        <v>61</v>
      </c>
      <c r="G2855" t="s">
        <v>48</v>
      </c>
      <c r="H2855" t="s">
        <v>49</v>
      </c>
      <c r="I2855" t="s">
        <v>50</v>
      </c>
      <c r="J2855" t="s">
        <v>1458</v>
      </c>
      <c r="K2855" t="s">
        <v>1336</v>
      </c>
      <c r="L2855" t="s">
        <v>53</v>
      </c>
      <c r="N2855" t="s">
        <v>4596</v>
      </c>
      <c r="P2855" t="s">
        <v>55</v>
      </c>
      <c r="R2855" t="s">
        <v>53</v>
      </c>
      <c r="T2855" t="s">
        <v>4597</v>
      </c>
      <c r="U2855" t="s">
        <v>58</v>
      </c>
      <c r="V2855">
        <v>1</v>
      </c>
      <c r="W2855">
        <v>1</v>
      </c>
      <c r="X2855">
        <v>2</v>
      </c>
      <c r="Y2855">
        <v>0</v>
      </c>
      <c r="Z2855">
        <v>2</v>
      </c>
      <c r="AA2855">
        <v>0</v>
      </c>
      <c r="AB2855">
        <v>196.62</v>
      </c>
      <c r="AC2855">
        <v>173</v>
      </c>
      <c r="AD2855">
        <v>0</v>
      </c>
      <c r="AE2855">
        <v>23.62</v>
      </c>
      <c r="AF2855">
        <v>0</v>
      </c>
      <c r="AG2855">
        <v>0</v>
      </c>
      <c r="AH2855">
        <v>0</v>
      </c>
      <c r="AI2855">
        <v>35.39</v>
      </c>
      <c r="AJ2855">
        <v>196.62</v>
      </c>
      <c r="AK2855">
        <v>0</v>
      </c>
      <c r="AL2855" t="s">
        <v>53</v>
      </c>
      <c r="AM2855" t="s">
        <v>53</v>
      </c>
      <c r="AN2855" t="s">
        <v>53</v>
      </c>
      <c r="AO2855" t="s">
        <v>53</v>
      </c>
      <c r="AP2855" t="s">
        <v>53</v>
      </c>
    </row>
    <row r="2856" spans="2:42" x14ac:dyDescent="0.2">
      <c r="B2856" t="s">
        <v>44</v>
      </c>
      <c r="C2856" t="str">
        <f>HYPERLINK("https://us2.cloudbeds.com/connect/8493803454333002#/reservations/9858223853789?display=70ABFFQRD&amp;reservation_id=9858223853789", "70ABFFQRD")</f>
        <v>70ABFFQRD</v>
      </c>
      <c r="D2856" t="s">
        <v>45</v>
      </c>
      <c r="E2856" t="s">
        <v>185</v>
      </c>
      <c r="F2856" t="s">
        <v>47</v>
      </c>
      <c r="G2856" t="s">
        <v>48</v>
      </c>
      <c r="H2856" t="s">
        <v>49</v>
      </c>
      <c r="I2856" t="s">
        <v>50</v>
      </c>
      <c r="J2856" t="s">
        <v>3080</v>
      </c>
      <c r="K2856" t="s">
        <v>1745</v>
      </c>
      <c r="L2856" t="s">
        <v>53</v>
      </c>
      <c r="N2856" t="s">
        <v>4598</v>
      </c>
      <c r="P2856" t="s">
        <v>55</v>
      </c>
      <c r="R2856" t="s">
        <v>53</v>
      </c>
      <c r="T2856" t="s">
        <v>4599</v>
      </c>
      <c r="U2856" t="s">
        <v>58</v>
      </c>
      <c r="V2856">
        <v>1</v>
      </c>
      <c r="W2856">
        <v>1</v>
      </c>
      <c r="X2856">
        <v>2</v>
      </c>
      <c r="Y2856">
        <v>0</v>
      </c>
      <c r="Z2856">
        <v>2</v>
      </c>
      <c r="AA2856">
        <v>0</v>
      </c>
      <c r="AB2856">
        <v>125.8</v>
      </c>
      <c r="AC2856">
        <v>110.7</v>
      </c>
      <c r="AD2856">
        <v>0</v>
      </c>
      <c r="AE2856">
        <v>15.1</v>
      </c>
      <c r="AF2856">
        <v>0</v>
      </c>
      <c r="AG2856">
        <v>0</v>
      </c>
      <c r="AH2856">
        <v>0</v>
      </c>
      <c r="AI2856">
        <v>22.64</v>
      </c>
      <c r="AJ2856">
        <v>125.8</v>
      </c>
      <c r="AK2856">
        <v>0</v>
      </c>
      <c r="AL2856" t="s">
        <v>53</v>
      </c>
      <c r="AM2856" t="s">
        <v>53</v>
      </c>
      <c r="AN2856" t="s">
        <v>53</v>
      </c>
      <c r="AO2856" t="s">
        <v>53</v>
      </c>
      <c r="AP2856" t="s">
        <v>53</v>
      </c>
    </row>
    <row r="2857" spans="2:42" x14ac:dyDescent="0.2">
      <c r="B2857" t="s">
        <v>44</v>
      </c>
      <c r="C2857" t="str">
        <f>HYPERLINK("https://us2.cloudbeds.com/connect/8493803454333002#/reservations/9870586007743?display=70JUBXW09&amp;reservation_id=9870586007743", "70JUBXW09")</f>
        <v>70JUBXW09</v>
      </c>
      <c r="D2857" t="s">
        <v>45</v>
      </c>
      <c r="E2857" t="s">
        <v>373</v>
      </c>
      <c r="F2857" t="s">
        <v>47</v>
      </c>
      <c r="G2857" t="s">
        <v>48</v>
      </c>
      <c r="H2857" t="s">
        <v>49</v>
      </c>
      <c r="I2857" t="s">
        <v>62</v>
      </c>
      <c r="J2857" t="s">
        <v>1501</v>
      </c>
      <c r="K2857" t="s">
        <v>1611</v>
      </c>
      <c r="L2857" t="s">
        <v>53</v>
      </c>
      <c r="N2857" t="s">
        <v>4600</v>
      </c>
      <c r="P2857" t="s">
        <v>55</v>
      </c>
      <c r="R2857" t="s">
        <v>56</v>
      </c>
      <c r="T2857" t="s">
        <v>4601</v>
      </c>
      <c r="U2857" t="s">
        <v>55</v>
      </c>
      <c r="V2857">
        <v>1</v>
      </c>
      <c r="W2857">
        <v>1</v>
      </c>
      <c r="X2857">
        <v>1</v>
      </c>
      <c r="Y2857">
        <v>0</v>
      </c>
      <c r="Z2857">
        <v>1</v>
      </c>
      <c r="AA2857">
        <v>0</v>
      </c>
      <c r="AB2857">
        <v>137.06</v>
      </c>
      <c r="AC2857">
        <v>120.6</v>
      </c>
      <c r="AD2857">
        <v>0</v>
      </c>
      <c r="AE2857">
        <v>16.46</v>
      </c>
      <c r="AF2857">
        <v>0</v>
      </c>
      <c r="AG2857">
        <v>0</v>
      </c>
      <c r="AH2857">
        <v>0</v>
      </c>
      <c r="AI2857">
        <v>20.56</v>
      </c>
      <c r="AJ2857">
        <v>137.06</v>
      </c>
      <c r="AK2857">
        <v>0</v>
      </c>
      <c r="AL2857" t="s">
        <v>53</v>
      </c>
      <c r="AM2857" t="s">
        <v>53</v>
      </c>
      <c r="AN2857" t="s">
        <v>53</v>
      </c>
      <c r="AO2857" t="s">
        <v>53</v>
      </c>
      <c r="AP2857" t="s">
        <v>53</v>
      </c>
    </row>
    <row r="2858" spans="2:42" x14ac:dyDescent="0.2">
      <c r="B2858" t="s">
        <v>44</v>
      </c>
      <c r="C2858" t="str">
        <f>HYPERLINK("https://us2.cloudbeds.com/connect/8493803454333002#/reservations/9892062343387?display=713X3WM13&amp;reservation_id=9892062343387", "713X3WM13")</f>
        <v>713X3WM13</v>
      </c>
      <c r="D2858" t="s">
        <v>45</v>
      </c>
      <c r="E2858" t="s">
        <v>69</v>
      </c>
      <c r="F2858" t="s">
        <v>70</v>
      </c>
      <c r="G2858" t="s">
        <v>48</v>
      </c>
      <c r="H2858" t="s">
        <v>49</v>
      </c>
      <c r="I2858" t="s">
        <v>62</v>
      </c>
      <c r="J2858" t="s">
        <v>2058</v>
      </c>
      <c r="K2858" t="s">
        <v>2545</v>
      </c>
      <c r="L2858" t="s">
        <v>53</v>
      </c>
      <c r="N2858" t="s">
        <v>4602</v>
      </c>
      <c r="P2858" t="s">
        <v>55</v>
      </c>
      <c r="R2858" t="s">
        <v>56</v>
      </c>
      <c r="T2858" t="s">
        <v>4603</v>
      </c>
      <c r="U2858" t="s">
        <v>55</v>
      </c>
      <c r="V2858">
        <v>2</v>
      </c>
      <c r="W2858">
        <v>1</v>
      </c>
      <c r="X2858">
        <v>2</v>
      </c>
      <c r="Y2858">
        <v>0</v>
      </c>
      <c r="Z2858">
        <v>2</v>
      </c>
      <c r="AA2858">
        <v>0</v>
      </c>
      <c r="AB2858">
        <v>329.36</v>
      </c>
      <c r="AC2858">
        <v>289.8</v>
      </c>
      <c r="AD2858">
        <v>0</v>
      </c>
      <c r="AE2858">
        <v>39.56</v>
      </c>
      <c r="AF2858">
        <v>0</v>
      </c>
      <c r="AG2858">
        <v>0</v>
      </c>
      <c r="AH2858">
        <v>0</v>
      </c>
      <c r="AI2858">
        <v>49.4</v>
      </c>
      <c r="AJ2858">
        <v>329.36</v>
      </c>
      <c r="AK2858">
        <v>0</v>
      </c>
      <c r="AL2858" t="s">
        <v>53</v>
      </c>
      <c r="AM2858" t="s">
        <v>53</v>
      </c>
      <c r="AN2858" t="s">
        <v>53</v>
      </c>
      <c r="AO2858" t="s">
        <v>53</v>
      </c>
      <c r="AP2858" t="s">
        <v>53</v>
      </c>
    </row>
    <row r="2859" spans="2:42" x14ac:dyDescent="0.2">
      <c r="B2859" t="s">
        <v>44</v>
      </c>
      <c r="C2859" t="str">
        <f>HYPERLINK("https://us2.cloudbeds.com/connect/8493803454333002#/reservations/9900574961824?display=71A4Y1R6X&amp;reservation_id=9900574961824", "71A4Y1R6X")</f>
        <v>71A4Y1R6X</v>
      </c>
      <c r="D2859" t="s">
        <v>45</v>
      </c>
      <c r="E2859" t="s">
        <v>138</v>
      </c>
      <c r="F2859" t="s">
        <v>70</v>
      </c>
      <c r="G2859" t="s">
        <v>3974</v>
      </c>
      <c r="H2859" t="s">
        <v>3957</v>
      </c>
      <c r="I2859" t="s">
        <v>3975</v>
      </c>
      <c r="J2859" t="s">
        <v>2960</v>
      </c>
      <c r="K2859" t="s">
        <v>1381</v>
      </c>
      <c r="L2859" t="s">
        <v>53</v>
      </c>
      <c r="P2859" t="s">
        <v>55</v>
      </c>
      <c r="R2859" t="s">
        <v>56</v>
      </c>
      <c r="T2859" t="s">
        <v>4604</v>
      </c>
      <c r="U2859" t="s">
        <v>58</v>
      </c>
      <c r="V2859">
        <v>1</v>
      </c>
      <c r="W2859">
        <v>1</v>
      </c>
      <c r="X2859">
        <v>2</v>
      </c>
      <c r="Y2859">
        <v>0</v>
      </c>
      <c r="Z2859">
        <v>2</v>
      </c>
      <c r="AA2859">
        <v>0</v>
      </c>
      <c r="AB2859">
        <v>140.13999999999999</v>
      </c>
      <c r="AC2859">
        <v>123.3</v>
      </c>
      <c r="AD2859">
        <v>0</v>
      </c>
      <c r="AE2859">
        <v>16.84</v>
      </c>
      <c r="AF2859">
        <v>0</v>
      </c>
      <c r="AG2859">
        <v>0</v>
      </c>
      <c r="AH2859">
        <v>0</v>
      </c>
      <c r="AI2859">
        <v>0</v>
      </c>
      <c r="AJ2859">
        <v>140.13999999999999</v>
      </c>
      <c r="AK2859">
        <v>0</v>
      </c>
      <c r="AL2859" t="s">
        <v>53</v>
      </c>
      <c r="AM2859" t="s">
        <v>53</v>
      </c>
      <c r="AN2859" t="s">
        <v>53</v>
      </c>
      <c r="AO2859" t="s">
        <v>53</v>
      </c>
      <c r="AP2859" t="s">
        <v>53</v>
      </c>
    </row>
    <row r="2860" spans="2:42" x14ac:dyDescent="0.2">
      <c r="B2860" t="s">
        <v>44</v>
      </c>
      <c r="C2860" t="str">
        <f>HYPERLINK("https://us2.cloudbeds.com/connect/8493803454333002#/reservations/9903188660416?display=71C5DWZ10&amp;reservation_id=9903188660416", "71C5DWZ10")</f>
        <v>71C5DWZ10</v>
      </c>
      <c r="D2860" t="s">
        <v>45</v>
      </c>
      <c r="E2860" t="s">
        <v>190</v>
      </c>
      <c r="F2860" t="s">
        <v>61</v>
      </c>
      <c r="G2860" t="s">
        <v>48</v>
      </c>
      <c r="H2860" t="s">
        <v>49</v>
      </c>
      <c r="I2860" t="s">
        <v>50</v>
      </c>
      <c r="J2860" t="s">
        <v>1745</v>
      </c>
      <c r="K2860" t="s">
        <v>1767</v>
      </c>
      <c r="L2860" t="s">
        <v>53</v>
      </c>
      <c r="N2860" t="s">
        <v>4605</v>
      </c>
      <c r="P2860" t="s">
        <v>55</v>
      </c>
      <c r="R2860" t="s">
        <v>53</v>
      </c>
      <c r="T2860" t="s">
        <v>4606</v>
      </c>
      <c r="U2860" t="s">
        <v>58</v>
      </c>
      <c r="V2860">
        <v>1</v>
      </c>
      <c r="W2860">
        <v>1</v>
      </c>
      <c r="X2860">
        <v>2</v>
      </c>
      <c r="Y2860">
        <v>0</v>
      </c>
      <c r="Z2860">
        <v>2</v>
      </c>
      <c r="AA2860">
        <v>0</v>
      </c>
      <c r="AB2860">
        <v>135.03</v>
      </c>
      <c r="AC2860">
        <v>118.8</v>
      </c>
      <c r="AD2860">
        <v>0</v>
      </c>
      <c r="AE2860">
        <v>16.23</v>
      </c>
      <c r="AF2860">
        <v>0</v>
      </c>
      <c r="AG2860">
        <v>0</v>
      </c>
      <c r="AH2860">
        <v>0</v>
      </c>
      <c r="AI2860">
        <v>24.31</v>
      </c>
      <c r="AJ2860">
        <v>135.03</v>
      </c>
      <c r="AK2860">
        <v>0</v>
      </c>
      <c r="AL2860" t="s">
        <v>53</v>
      </c>
      <c r="AM2860" t="s">
        <v>53</v>
      </c>
      <c r="AN2860" t="s">
        <v>53</v>
      </c>
      <c r="AO2860" t="s">
        <v>53</v>
      </c>
      <c r="AP2860" t="s">
        <v>53</v>
      </c>
    </row>
    <row r="2861" spans="2:42" x14ac:dyDescent="0.2">
      <c r="B2861" t="s">
        <v>44</v>
      </c>
      <c r="C2861" t="str">
        <f>HYPERLINK("https://us2.cloudbeds.com/connect/8493803454333002#/reservations/9909133791369?display=71GPB2SQK&amp;reservation_id=9909133791369", "71GPB2SQK")</f>
        <v>71GPB2SQK</v>
      </c>
      <c r="D2861" t="s">
        <v>45</v>
      </c>
      <c r="E2861" t="s">
        <v>110</v>
      </c>
      <c r="F2861" t="s">
        <v>47</v>
      </c>
      <c r="G2861" t="s">
        <v>48</v>
      </c>
      <c r="H2861" t="s">
        <v>3957</v>
      </c>
      <c r="I2861" t="s">
        <v>3958</v>
      </c>
      <c r="J2861" t="s">
        <v>1556</v>
      </c>
      <c r="K2861" t="s">
        <v>2634</v>
      </c>
      <c r="L2861" t="s">
        <v>53</v>
      </c>
      <c r="P2861" t="s">
        <v>55</v>
      </c>
      <c r="R2861" t="s">
        <v>56</v>
      </c>
      <c r="T2861" t="s">
        <v>4607</v>
      </c>
      <c r="U2861" t="s">
        <v>58</v>
      </c>
      <c r="V2861">
        <v>1</v>
      </c>
      <c r="W2861">
        <v>1</v>
      </c>
      <c r="X2861">
        <v>1</v>
      </c>
      <c r="Y2861">
        <v>0</v>
      </c>
      <c r="Z2861">
        <v>1</v>
      </c>
      <c r="AA2861">
        <v>0</v>
      </c>
      <c r="AB2861">
        <v>192.07</v>
      </c>
      <c r="AC2861">
        <v>169</v>
      </c>
      <c r="AD2861">
        <v>0</v>
      </c>
      <c r="AE2861">
        <v>23.07</v>
      </c>
      <c r="AF2861">
        <v>0</v>
      </c>
      <c r="AG2861">
        <v>0</v>
      </c>
      <c r="AH2861">
        <v>0</v>
      </c>
      <c r="AI2861">
        <v>0</v>
      </c>
      <c r="AJ2861">
        <v>192.07</v>
      </c>
      <c r="AK2861">
        <v>0</v>
      </c>
      <c r="AL2861" t="s">
        <v>53</v>
      </c>
      <c r="AM2861" t="s">
        <v>53</v>
      </c>
      <c r="AN2861" t="s">
        <v>53</v>
      </c>
      <c r="AO2861" t="s">
        <v>53</v>
      </c>
      <c r="AP2861" t="s">
        <v>53</v>
      </c>
    </row>
    <row r="2862" spans="2:42" x14ac:dyDescent="0.2">
      <c r="B2862" t="s">
        <v>44</v>
      </c>
      <c r="C2862" t="str">
        <f>HYPERLINK("https://us2.cloudbeds.com/connect/8493803454333002#/reservations/9909491785882?display=71H1FVJZ6&amp;reservation_id=9909491785882", "71H1FVJZ6")</f>
        <v>71H1FVJZ6</v>
      </c>
      <c r="D2862" t="s">
        <v>45</v>
      </c>
      <c r="E2862" t="s">
        <v>98</v>
      </c>
      <c r="F2862" t="s">
        <v>86</v>
      </c>
      <c r="G2862" t="s">
        <v>48</v>
      </c>
      <c r="H2862" t="s">
        <v>3957</v>
      </c>
      <c r="I2862" t="s">
        <v>3958</v>
      </c>
      <c r="J2862" t="s">
        <v>3080</v>
      </c>
      <c r="K2862" t="s">
        <v>1745</v>
      </c>
      <c r="L2862" t="s">
        <v>53</v>
      </c>
      <c r="P2862" t="s">
        <v>55</v>
      </c>
      <c r="R2862" t="s">
        <v>56</v>
      </c>
      <c r="T2862" t="s">
        <v>4608</v>
      </c>
      <c r="U2862" t="s">
        <v>58</v>
      </c>
      <c r="V2862">
        <v>1</v>
      </c>
      <c r="W2862">
        <v>1</v>
      </c>
      <c r="X2862">
        <v>1</v>
      </c>
      <c r="Y2862">
        <v>0</v>
      </c>
      <c r="Z2862">
        <v>1</v>
      </c>
      <c r="AA2862">
        <v>0</v>
      </c>
      <c r="AB2862">
        <v>159.11000000000001</v>
      </c>
      <c r="AC2862">
        <v>140</v>
      </c>
      <c r="AD2862">
        <v>0</v>
      </c>
      <c r="AE2862">
        <v>19.11</v>
      </c>
      <c r="AF2862">
        <v>0</v>
      </c>
      <c r="AG2862">
        <v>0</v>
      </c>
      <c r="AH2862">
        <v>0</v>
      </c>
      <c r="AI2862">
        <v>0</v>
      </c>
      <c r="AJ2862">
        <v>159.11000000000001</v>
      </c>
      <c r="AK2862">
        <v>0</v>
      </c>
      <c r="AL2862" t="s">
        <v>53</v>
      </c>
      <c r="AM2862" t="s">
        <v>53</v>
      </c>
      <c r="AN2862" t="s">
        <v>53</v>
      </c>
      <c r="AO2862" t="s">
        <v>53</v>
      </c>
      <c r="AP2862" t="s">
        <v>53</v>
      </c>
    </row>
    <row r="2863" spans="2:42" x14ac:dyDescent="0.2">
      <c r="B2863" t="s">
        <v>44</v>
      </c>
      <c r="C2863" t="str">
        <f>HYPERLINK("https://us2.cloudbeds.com/connect/8493803454333002#/reservations/9931666600158?display=72173BG95&amp;reservation_id=9931666600158", "72173BG95")</f>
        <v>72173BG95</v>
      </c>
      <c r="D2863" t="s">
        <v>45</v>
      </c>
      <c r="E2863" t="s">
        <v>69</v>
      </c>
      <c r="F2863" t="s">
        <v>70</v>
      </c>
      <c r="G2863" t="s">
        <v>48</v>
      </c>
      <c r="H2863" t="s">
        <v>49</v>
      </c>
      <c r="I2863" t="s">
        <v>62</v>
      </c>
      <c r="J2863" t="s">
        <v>1767</v>
      </c>
      <c r="K2863" t="s">
        <v>1477</v>
      </c>
      <c r="L2863" t="s">
        <v>53</v>
      </c>
      <c r="N2863" t="s">
        <v>4609</v>
      </c>
      <c r="P2863" t="s">
        <v>55</v>
      </c>
      <c r="R2863" t="s">
        <v>56</v>
      </c>
      <c r="T2863" t="s">
        <v>4610</v>
      </c>
      <c r="U2863" t="s">
        <v>55</v>
      </c>
      <c r="V2863">
        <v>1</v>
      </c>
      <c r="W2863">
        <v>1</v>
      </c>
      <c r="X2863">
        <v>1</v>
      </c>
      <c r="Y2863">
        <v>0</v>
      </c>
      <c r="Z2863">
        <v>1</v>
      </c>
      <c r="AA2863">
        <v>0</v>
      </c>
      <c r="AB2863">
        <v>140.93</v>
      </c>
      <c r="AC2863">
        <v>124</v>
      </c>
      <c r="AD2863">
        <v>0</v>
      </c>
      <c r="AE2863">
        <v>16.93</v>
      </c>
      <c r="AF2863">
        <v>0</v>
      </c>
      <c r="AG2863">
        <v>0</v>
      </c>
      <c r="AH2863">
        <v>0</v>
      </c>
      <c r="AI2863">
        <v>21.14</v>
      </c>
      <c r="AJ2863">
        <v>140.93</v>
      </c>
      <c r="AK2863">
        <v>0</v>
      </c>
      <c r="AL2863" t="s">
        <v>53</v>
      </c>
      <c r="AM2863" t="s">
        <v>53</v>
      </c>
      <c r="AN2863" t="s">
        <v>53</v>
      </c>
      <c r="AO2863" t="s">
        <v>53</v>
      </c>
      <c r="AP2863" t="s">
        <v>53</v>
      </c>
    </row>
    <row r="2864" spans="2:42" x14ac:dyDescent="0.2">
      <c r="B2864" t="s">
        <v>44</v>
      </c>
      <c r="C2864" t="str">
        <f>HYPERLINK("https://us2.cloudbeds.com/connect/8493803454333002#/reservations/9934860349578?display=723MND96K&amp;reservation_id=9934860349578", "723MND96K")</f>
        <v>723MND96K</v>
      </c>
      <c r="D2864" t="s">
        <v>45</v>
      </c>
      <c r="E2864" t="s">
        <v>223</v>
      </c>
      <c r="F2864" t="s">
        <v>47</v>
      </c>
      <c r="G2864" t="s">
        <v>48</v>
      </c>
      <c r="H2864" t="s">
        <v>49</v>
      </c>
      <c r="I2864" t="s">
        <v>62</v>
      </c>
      <c r="J2864" t="s">
        <v>3080</v>
      </c>
      <c r="K2864" t="s">
        <v>1745</v>
      </c>
      <c r="L2864" t="s">
        <v>53</v>
      </c>
      <c r="N2864" t="s">
        <v>4611</v>
      </c>
      <c r="P2864" t="s">
        <v>55</v>
      </c>
      <c r="R2864" t="s">
        <v>946</v>
      </c>
      <c r="T2864" t="s">
        <v>4612</v>
      </c>
      <c r="U2864" t="s">
        <v>55</v>
      </c>
      <c r="V2864">
        <v>1</v>
      </c>
      <c r="W2864">
        <v>1</v>
      </c>
      <c r="X2864">
        <v>1</v>
      </c>
      <c r="Y2864">
        <v>0</v>
      </c>
      <c r="Z2864">
        <v>1</v>
      </c>
      <c r="AA2864">
        <v>0</v>
      </c>
      <c r="AB2864">
        <v>139.80000000000001</v>
      </c>
      <c r="AC2864">
        <v>123</v>
      </c>
      <c r="AD2864">
        <v>0</v>
      </c>
      <c r="AE2864">
        <v>16.8</v>
      </c>
      <c r="AF2864">
        <v>0</v>
      </c>
      <c r="AG2864">
        <v>0</v>
      </c>
      <c r="AH2864">
        <v>0</v>
      </c>
      <c r="AI2864">
        <v>20.97</v>
      </c>
      <c r="AJ2864">
        <v>139.80000000000001</v>
      </c>
      <c r="AK2864">
        <v>0</v>
      </c>
      <c r="AL2864" t="s">
        <v>53</v>
      </c>
      <c r="AM2864" t="s">
        <v>53</v>
      </c>
      <c r="AN2864" t="s">
        <v>53</v>
      </c>
      <c r="AO2864" t="s">
        <v>53</v>
      </c>
      <c r="AP2864" t="s">
        <v>53</v>
      </c>
    </row>
    <row r="2865" spans="2:42" x14ac:dyDescent="0.2">
      <c r="B2865" t="s">
        <v>44</v>
      </c>
      <c r="C2865" t="str">
        <f>HYPERLINK("https://us2.cloudbeds.com/connect/8493803454333002#/reservations/9937821675763?display=725WCFHWZ&amp;reservation_id=9937821675763", "725WCFHWZ")</f>
        <v>725WCFHWZ</v>
      </c>
      <c r="D2865" t="s">
        <v>45</v>
      </c>
      <c r="E2865" t="s">
        <v>46</v>
      </c>
      <c r="F2865" t="s">
        <v>47</v>
      </c>
      <c r="G2865" t="s">
        <v>48</v>
      </c>
      <c r="H2865" t="s">
        <v>49</v>
      </c>
      <c r="I2865" t="s">
        <v>50</v>
      </c>
      <c r="J2865" t="s">
        <v>3080</v>
      </c>
      <c r="K2865" t="s">
        <v>1745</v>
      </c>
      <c r="L2865" t="s">
        <v>53</v>
      </c>
      <c r="N2865" t="s">
        <v>4613</v>
      </c>
      <c r="P2865" t="s">
        <v>55</v>
      </c>
      <c r="R2865" t="s">
        <v>53</v>
      </c>
      <c r="T2865" t="s">
        <v>4614</v>
      </c>
      <c r="U2865" t="s">
        <v>58</v>
      </c>
      <c r="V2865">
        <v>1</v>
      </c>
      <c r="W2865">
        <v>1</v>
      </c>
      <c r="X2865">
        <v>2</v>
      </c>
      <c r="Y2865">
        <v>0</v>
      </c>
      <c r="Z2865">
        <v>2</v>
      </c>
      <c r="AA2865">
        <v>0</v>
      </c>
      <c r="AB2865">
        <v>125.8</v>
      </c>
      <c r="AC2865">
        <v>110.7</v>
      </c>
      <c r="AD2865">
        <v>0</v>
      </c>
      <c r="AE2865">
        <v>15.1</v>
      </c>
      <c r="AF2865">
        <v>0</v>
      </c>
      <c r="AG2865">
        <v>0</v>
      </c>
      <c r="AH2865">
        <v>0</v>
      </c>
      <c r="AI2865">
        <v>22.64</v>
      </c>
      <c r="AJ2865">
        <v>125.8</v>
      </c>
      <c r="AK2865">
        <v>0</v>
      </c>
      <c r="AL2865" t="s">
        <v>53</v>
      </c>
      <c r="AM2865" t="s">
        <v>53</v>
      </c>
      <c r="AN2865" t="s">
        <v>53</v>
      </c>
      <c r="AO2865" t="s">
        <v>53</v>
      </c>
      <c r="AP2865" t="s">
        <v>53</v>
      </c>
    </row>
    <row r="2866" spans="2:42" x14ac:dyDescent="0.2">
      <c r="B2866" t="s">
        <v>44</v>
      </c>
      <c r="C2866" t="str">
        <f>HYPERLINK("https://us2.cloudbeds.com/connect/8493803454333002#/reservations/9940205592801?display=727R9YX5W&amp;reservation_id=9940205592801", "727R9YX5W")</f>
        <v>727R9YX5W</v>
      </c>
      <c r="D2866" t="s">
        <v>45</v>
      </c>
      <c r="E2866" t="s">
        <v>110</v>
      </c>
      <c r="F2866" t="s">
        <v>47</v>
      </c>
      <c r="G2866" t="s">
        <v>48</v>
      </c>
      <c r="H2866" t="s">
        <v>49</v>
      </c>
      <c r="I2866" t="s">
        <v>62</v>
      </c>
      <c r="J2866" t="s">
        <v>1767</v>
      </c>
      <c r="K2866" t="s">
        <v>1477</v>
      </c>
      <c r="L2866" t="s">
        <v>53</v>
      </c>
      <c r="N2866" t="s">
        <v>4615</v>
      </c>
      <c r="P2866" t="s">
        <v>55</v>
      </c>
      <c r="R2866" t="s">
        <v>56</v>
      </c>
      <c r="T2866" t="s">
        <v>4616</v>
      </c>
      <c r="U2866" t="s">
        <v>55</v>
      </c>
      <c r="V2866">
        <v>1</v>
      </c>
      <c r="W2866">
        <v>1</v>
      </c>
      <c r="X2866">
        <v>1</v>
      </c>
      <c r="Y2866">
        <v>0</v>
      </c>
      <c r="Z2866">
        <v>1</v>
      </c>
      <c r="AA2866">
        <v>0</v>
      </c>
      <c r="AB2866">
        <v>153.44</v>
      </c>
      <c r="AC2866">
        <v>135</v>
      </c>
      <c r="AD2866">
        <v>0</v>
      </c>
      <c r="AE2866">
        <v>18.440000000000001</v>
      </c>
      <c r="AF2866">
        <v>0</v>
      </c>
      <c r="AG2866">
        <v>0</v>
      </c>
      <c r="AH2866">
        <v>0</v>
      </c>
      <c r="AI2866">
        <v>23.02</v>
      </c>
      <c r="AJ2866">
        <v>153.44</v>
      </c>
      <c r="AK2866">
        <v>0</v>
      </c>
      <c r="AL2866" t="s">
        <v>53</v>
      </c>
      <c r="AM2866" t="s">
        <v>53</v>
      </c>
      <c r="AN2866" t="s">
        <v>53</v>
      </c>
      <c r="AO2866" t="s">
        <v>53</v>
      </c>
      <c r="AP2866" t="s">
        <v>53</v>
      </c>
    </row>
    <row r="2867" spans="2:42" x14ac:dyDescent="0.2">
      <c r="B2867" t="s">
        <v>44</v>
      </c>
      <c r="C2867" t="str">
        <f>HYPERLINK("https://us2.cloudbeds.com/connect/8493803454333002#/reservations/9963300925603?display=72PNE87KZ&amp;reservation_id=9963300925603", "72PNE87KZ")</f>
        <v>72PNE87KZ</v>
      </c>
      <c r="D2867" t="s">
        <v>45</v>
      </c>
      <c r="E2867" t="s">
        <v>98</v>
      </c>
      <c r="F2867" t="s">
        <v>86</v>
      </c>
      <c r="G2867" t="s">
        <v>48</v>
      </c>
      <c r="H2867" t="s">
        <v>3957</v>
      </c>
      <c r="I2867" t="s">
        <v>3975</v>
      </c>
      <c r="J2867" t="s">
        <v>1745</v>
      </c>
      <c r="K2867" t="s">
        <v>1767</v>
      </c>
      <c r="L2867" t="s">
        <v>53</v>
      </c>
      <c r="P2867" t="s">
        <v>55</v>
      </c>
      <c r="R2867" t="s">
        <v>764</v>
      </c>
      <c r="T2867" t="s">
        <v>4617</v>
      </c>
      <c r="U2867" t="s">
        <v>58</v>
      </c>
      <c r="V2867">
        <v>1</v>
      </c>
      <c r="W2867">
        <v>1</v>
      </c>
      <c r="X2867">
        <v>2</v>
      </c>
      <c r="Y2867">
        <v>0</v>
      </c>
      <c r="Z2867">
        <v>2</v>
      </c>
      <c r="AA2867">
        <v>0</v>
      </c>
      <c r="AB2867">
        <v>159.11000000000001</v>
      </c>
      <c r="AC2867">
        <v>140</v>
      </c>
      <c r="AD2867">
        <v>0</v>
      </c>
      <c r="AE2867">
        <v>19.11</v>
      </c>
      <c r="AF2867">
        <v>0</v>
      </c>
      <c r="AG2867">
        <v>0</v>
      </c>
      <c r="AH2867">
        <v>0</v>
      </c>
      <c r="AI2867">
        <v>0</v>
      </c>
      <c r="AJ2867">
        <v>159.11000000000001</v>
      </c>
      <c r="AK2867">
        <v>0</v>
      </c>
      <c r="AL2867" t="s">
        <v>53</v>
      </c>
      <c r="AM2867" t="s">
        <v>53</v>
      </c>
      <c r="AN2867" t="s">
        <v>53</v>
      </c>
      <c r="AO2867" t="s">
        <v>53</v>
      </c>
      <c r="AP2867" t="s">
        <v>53</v>
      </c>
    </row>
    <row r="2868" spans="2:42" x14ac:dyDescent="0.2">
      <c r="B2868" t="s">
        <v>44</v>
      </c>
      <c r="C2868" t="str">
        <f>HYPERLINK("https://us2.cloudbeds.com/connect/8493803454333002#/reservations/9974869999819?display=731M1JPJ9&amp;reservation_id=9974869999819", "731M1JPJ9")</f>
        <v>731M1JPJ9</v>
      </c>
      <c r="D2868" t="s">
        <v>45</v>
      </c>
      <c r="E2868" t="s">
        <v>265</v>
      </c>
      <c r="F2868" t="s">
        <v>61</v>
      </c>
      <c r="G2868" t="s">
        <v>48</v>
      </c>
      <c r="H2868" t="s">
        <v>49</v>
      </c>
      <c r="I2868" t="s">
        <v>50</v>
      </c>
      <c r="J2868" t="s">
        <v>1502</v>
      </c>
      <c r="K2868" t="s">
        <v>1436</v>
      </c>
      <c r="L2868" t="s">
        <v>53</v>
      </c>
      <c r="N2868" t="s">
        <v>4618</v>
      </c>
      <c r="P2868" t="s">
        <v>55</v>
      </c>
      <c r="R2868" t="s">
        <v>53</v>
      </c>
      <c r="T2868" t="s">
        <v>4619</v>
      </c>
      <c r="U2868" t="s">
        <v>58</v>
      </c>
      <c r="V2868">
        <v>1</v>
      </c>
      <c r="W2868">
        <v>1</v>
      </c>
      <c r="X2868">
        <v>2</v>
      </c>
      <c r="Y2868">
        <v>0</v>
      </c>
      <c r="Z2868">
        <v>2</v>
      </c>
      <c r="AA2868">
        <v>0</v>
      </c>
      <c r="AB2868">
        <v>121.72</v>
      </c>
      <c r="AC2868">
        <v>107.1</v>
      </c>
      <c r="AD2868">
        <v>0</v>
      </c>
      <c r="AE2868">
        <v>14.62</v>
      </c>
      <c r="AF2868">
        <v>0</v>
      </c>
      <c r="AG2868">
        <v>0</v>
      </c>
      <c r="AH2868">
        <v>0</v>
      </c>
      <c r="AI2868">
        <v>21.91</v>
      </c>
      <c r="AJ2868">
        <v>121.72</v>
      </c>
      <c r="AK2868">
        <v>0</v>
      </c>
      <c r="AL2868" t="s">
        <v>53</v>
      </c>
      <c r="AM2868" t="s">
        <v>53</v>
      </c>
      <c r="AN2868" t="s">
        <v>53</v>
      </c>
      <c r="AO2868" t="s">
        <v>53</v>
      </c>
      <c r="AP2868" t="s">
        <v>53</v>
      </c>
    </row>
    <row r="2869" spans="2:42" x14ac:dyDescent="0.2">
      <c r="B2869" t="s">
        <v>44</v>
      </c>
      <c r="C2869" t="str">
        <f>HYPERLINK("https://us2.cloudbeds.com/connect/8493803454333002#/reservations/9982671642757?display=737ND4WMY&amp;reservation_id=9982671642757", "737ND4WMY")</f>
        <v>737ND4WMY</v>
      </c>
      <c r="D2869" t="s">
        <v>45</v>
      </c>
      <c r="E2869" t="s">
        <v>78</v>
      </c>
      <c r="F2869" t="s">
        <v>61</v>
      </c>
      <c r="G2869" t="s">
        <v>48</v>
      </c>
      <c r="H2869" t="s">
        <v>49</v>
      </c>
      <c r="I2869" t="s">
        <v>50</v>
      </c>
      <c r="J2869" t="s">
        <v>1767</v>
      </c>
      <c r="K2869" t="s">
        <v>1477</v>
      </c>
      <c r="L2869" t="s">
        <v>53</v>
      </c>
      <c r="N2869" t="s">
        <v>4620</v>
      </c>
      <c r="P2869" t="s">
        <v>55</v>
      </c>
      <c r="R2869" t="s">
        <v>53</v>
      </c>
      <c r="T2869" t="s">
        <v>4621</v>
      </c>
      <c r="U2869" t="s">
        <v>58</v>
      </c>
      <c r="V2869">
        <v>1</v>
      </c>
      <c r="W2869">
        <v>1</v>
      </c>
      <c r="X2869">
        <v>2</v>
      </c>
      <c r="Y2869">
        <v>0</v>
      </c>
      <c r="Z2869">
        <v>2</v>
      </c>
      <c r="AA2869">
        <v>0</v>
      </c>
      <c r="AB2869">
        <v>140.13999999999999</v>
      </c>
      <c r="AC2869">
        <v>123.3</v>
      </c>
      <c r="AD2869">
        <v>0</v>
      </c>
      <c r="AE2869">
        <v>16.84</v>
      </c>
      <c r="AF2869">
        <v>0</v>
      </c>
      <c r="AG2869">
        <v>0</v>
      </c>
      <c r="AH2869">
        <v>0</v>
      </c>
      <c r="AI2869">
        <v>25.23</v>
      </c>
      <c r="AJ2869">
        <v>140.13999999999999</v>
      </c>
      <c r="AK2869">
        <v>0</v>
      </c>
      <c r="AL2869" t="s">
        <v>53</v>
      </c>
      <c r="AM2869" t="s">
        <v>53</v>
      </c>
      <c r="AN2869" t="s">
        <v>4622</v>
      </c>
      <c r="AO2869" t="s">
        <v>53</v>
      </c>
      <c r="AP2869" t="s">
        <v>53</v>
      </c>
    </row>
    <row r="2870" spans="2:42" x14ac:dyDescent="0.2">
      <c r="B2870" t="s">
        <v>44</v>
      </c>
      <c r="C2870" t="str">
        <f>HYPERLINK("https://us2.cloudbeds.com/connect/8493803454333002#/reservations/9983147397356?display=7382XAXJY&amp;reservation_id=9983147397356", "7382XAXJY")</f>
        <v>7382XAXJY</v>
      </c>
      <c r="D2870" t="s">
        <v>45</v>
      </c>
      <c r="E2870" t="s">
        <v>406</v>
      </c>
      <c r="F2870" t="s">
        <v>61</v>
      </c>
      <c r="G2870" t="s">
        <v>48</v>
      </c>
      <c r="H2870" t="s">
        <v>49</v>
      </c>
      <c r="I2870" t="s">
        <v>50</v>
      </c>
      <c r="J2870" t="s">
        <v>1767</v>
      </c>
      <c r="K2870" t="s">
        <v>1477</v>
      </c>
      <c r="L2870" t="s">
        <v>53</v>
      </c>
      <c r="N2870" t="s">
        <v>4623</v>
      </c>
      <c r="P2870" t="s">
        <v>55</v>
      </c>
      <c r="R2870" t="s">
        <v>53</v>
      </c>
      <c r="T2870" t="s">
        <v>4624</v>
      </c>
      <c r="U2870" t="s">
        <v>58</v>
      </c>
      <c r="V2870">
        <v>1</v>
      </c>
      <c r="W2870">
        <v>1</v>
      </c>
      <c r="X2870">
        <v>2</v>
      </c>
      <c r="Y2870">
        <v>0</v>
      </c>
      <c r="Z2870">
        <v>2</v>
      </c>
      <c r="AA2870">
        <v>0</v>
      </c>
      <c r="AB2870">
        <v>140.13999999999999</v>
      </c>
      <c r="AC2870">
        <v>123.3</v>
      </c>
      <c r="AD2870">
        <v>0</v>
      </c>
      <c r="AE2870">
        <v>16.84</v>
      </c>
      <c r="AF2870">
        <v>0</v>
      </c>
      <c r="AG2870">
        <v>0</v>
      </c>
      <c r="AH2870">
        <v>0</v>
      </c>
      <c r="AI2870">
        <v>25.23</v>
      </c>
      <c r="AJ2870">
        <v>140.13999999999999</v>
      </c>
      <c r="AK2870">
        <v>0</v>
      </c>
      <c r="AL2870" t="s">
        <v>53</v>
      </c>
      <c r="AM2870" t="s">
        <v>53</v>
      </c>
      <c r="AN2870" t="s">
        <v>4622</v>
      </c>
      <c r="AO2870" t="s">
        <v>53</v>
      </c>
      <c r="AP2870" t="s">
        <v>53</v>
      </c>
    </row>
    <row r="2871" spans="2:42" x14ac:dyDescent="0.2">
      <c r="B2871" t="s">
        <v>44</v>
      </c>
      <c r="C2871" t="str">
        <f>HYPERLINK("https://us2.cloudbeds.com/connect/8493803454333002#/reservations/9983147397357?display=7382XAXJM&amp;reservation_id=9983147397357", "7382XAXJM")</f>
        <v>7382XAXJM</v>
      </c>
      <c r="D2871" t="s">
        <v>45</v>
      </c>
      <c r="E2871" t="s">
        <v>487</v>
      </c>
      <c r="F2871" t="s">
        <v>61</v>
      </c>
      <c r="G2871" t="s">
        <v>48</v>
      </c>
      <c r="H2871" t="s">
        <v>49</v>
      </c>
      <c r="I2871" t="s">
        <v>50</v>
      </c>
      <c r="J2871" t="s">
        <v>1767</v>
      </c>
      <c r="K2871" t="s">
        <v>1477</v>
      </c>
      <c r="L2871" t="s">
        <v>53</v>
      </c>
      <c r="N2871" t="s">
        <v>4625</v>
      </c>
      <c r="P2871" t="s">
        <v>55</v>
      </c>
      <c r="R2871" t="s">
        <v>53</v>
      </c>
      <c r="T2871" t="s">
        <v>4626</v>
      </c>
      <c r="U2871" t="s">
        <v>58</v>
      </c>
      <c r="V2871">
        <v>1</v>
      </c>
      <c r="W2871">
        <v>1</v>
      </c>
      <c r="X2871">
        <v>2</v>
      </c>
      <c r="Y2871">
        <v>0</v>
      </c>
      <c r="Z2871">
        <v>2</v>
      </c>
      <c r="AA2871">
        <v>0</v>
      </c>
      <c r="AB2871">
        <v>140.13999999999999</v>
      </c>
      <c r="AC2871">
        <v>123.3</v>
      </c>
      <c r="AD2871">
        <v>0</v>
      </c>
      <c r="AE2871">
        <v>16.84</v>
      </c>
      <c r="AF2871">
        <v>0</v>
      </c>
      <c r="AG2871">
        <v>0</v>
      </c>
      <c r="AH2871">
        <v>0</v>
      </c>
      <c r="AI2871">
        <v>25.23</v>
      </c>
      <c r="AJ2871">
        <v>140.13999999999999</v>
      </c>
      <c r="AK2871">
        <v>0</v>
      </c>
      <c r="AL2871" t="s">
        <v>53</v>
      </c>
      <c r="AM2871" t="s">
        <v>53</v>
      </c>
      <c r="AN2871" t="s">
        <v>4622</v>
      </c>
      <c r="AO2871" t="s">
        <v>53</v>
      </c>
      <c r="AP2871" t="s">
        <v>53</v>
      </c>
    </row>
    <row r="2872" spans="2:42" x14ac:dyDescent="0.2">
      <c r="B2872" t="s">
        <v>44</v>
      </c>
      <c r="C2872" t="str">
        <f>HYPERLINK("https://us2.cloudbeds.com/connect/8493803454333002#/reservations/10139723432104?display=76UAECHRC&amp;reservation_id=10139723432104", "76UAECHRC")</f>
        <v>76UAECHRC</v>
      </c>
      <c r="D2872" t="s">
        <v>45</v>
      </c>
      <c r="E2872" t="s">
        <v>4627</v>
      </c>
      <c r="F2872" t="s">
        <v>4628</v>
      </c>
      <c r="G2872" t="s">
        <v>4629</v>
      </c>
      <c r="H2872" t="s">
        <v>3957</v>
      </c>
      <c r="I2872" t="s">
        <v>3975</v>
      </c>
      <c r="J2872" t="s">
        <v>2013</v>
      </c>
      <c r="K2872" t="s">
        <v>1161</v>
      </c>
      <c r="L2872" t="s">
        <v>53</v>
      </c>
      <c r="P2872" t="s">
        <v>55</v>
      </c>
      <c r="R2872" t="s">
        <v>56</v>
      </c>
      <c r="T2872" t="s">
        <v>4630</v>
      </c>
      <c r="U2872" t="s">
        <v>58</v>
      </c>
      <c r="V2872">
        <v>3</v>
      </c>
      <c r="W2872">
        <v>3</v>
      </c>
      <c r="X2872">
        <v>5</v>
      </c>
      <c r="Y2872">
        <v>0</v>
      </c>
      <c r="Z2872">
        <v>5</v>
      </c>
      <c r="AA2872">
        <v>0</v>
      </c>
      <c r="AB2872">
        <v>551.22</v>
      </c>
      <c r="AC2872">
        <v>485</v>
      </c>
      <c r="AD2872">
        <v>0</v>
      </c>
      <c r="AE2872">
        <v>66.22</v>
      </c>
      <c r="AF2872">
        <v>0</v>
      </c>
      <c r="AG2872">
        <v>0</v>
      </c>
      <c r="AH2872">
        <v>0</v>
      </c>
      <c r="AI2872">
        <v>0</v>
      </c>
      <c r="AJ2872">
        <v>551.22</v>
      </c>
      <c r="AK2872">
        <v>0</v>
      </c>
      <c r="AL2872" t="s">
        <v>53</v>
      </c>
      <c r="AM2872" t="s">
        <v>53</v>
      </c>
      <c r="AN2872" t="s">
        <v>53</v>
      </c>
      <c r="AO2872" t="s">
        <v>53</v>
      </c>
      <c r="AP2872" t="s">
        <v>53</v>
      </c>
    </row>
    <row r="2873" spans="2:42" x14ac:dyDescent="0.2">
      <c r="B2873" t="s">
        <v>44</v>
      </c>
      <c r="C2873" t="str">
        <f>HYPERLINK("https://us2.cloudbeds.com/connect/8493803454333002#/reservations/10155679932580?display=779M5AMMR&amp;reservation_id=10155679932580", "779M5AMMR")</f>
        <v>779M5AMMR</v>
      </c>
      <c r="D2873" t="s">
        <v>45</v>
      </c>
      <c r="E2873" t="s">
        <v>185</v>
      </c>
      <c r="F2873" t="s">
        <v>47</v>
      </c>
      <c r="G2873" t="s">
        <v>48</v>
      </c>
      <c r="H2873" t="s">
        <v>49</v>
      </c>
      <c r="I2873" t="s">
        <v>50</v>
      </c>
      <c r="J2873" t="s">
        <v>1745</v>
      </c>
      <c r="K2873" t="s">
        <v>1767</v>
      </c>
      <c r="L2873" t="s">
        <v>53</v>
      </c>
      <c r="N2873" t="s">
        <v>4631</v>
      </c>
      <c r="P2873" t="s">
        <v>55</v>
      </c>
      <c r="R2873" t="s">
        <v>53</v>
      </c>
      <c r="T2873" t="s">
        <v>4632</v>
      </c>
      <c r="U2873" t="s">
        <v>58</v>
      </c>
      <c r="V2873">
        <v>1</v>
      </c>
      <c r="W2873">
        <v>1</v>
      </c>
      <c r="X2873">
        <v>1</v>
      </c>
      <c r="Y2873">
        <v>0</v>
      </c>
      <c r="Z2873">
        <v>1</v>
      </c>
      <c r="AA2873">
        <v>0</v>
      </c>
      <c r="AB2873">
        <v>125.8</v>
      </c>
      <c r="AC2873">
        <v>110.7</v>
      </c>
      <c r="AD2873">
        <v>0</v>
      </c>
      <c r="AE2873">
        <v>15.1</v>
      </c>
      <c r="AF2873">
        <v>0</v>
      </c>
      <c r="AG2873">
        <v>0</v>
      </c>
      <c r="AH2873">
        <v>0</v>
      </c>
      <c r="AI2873">
        <v>22.64</v>
      </c>
      <c r="AJ2873">
        <v>125.8</v>
      </c>
      <c r="AK2873">
        <v>0</v>
      </c>
      <c r="AL2873" t="s">
        <v>53</v>
      </c>
      <c r="AM2873" t="s">
        <v>53</v>
      </c>
      <c r="AN2873" t="s">
        <v>53</v>
      </c>
      <c r="AO2873" t="s">
        <v>53</v>
      </c>
      <c r="AP2873" t="s">
        <v>53</v>
      </c>
    </row>
    <row r="2874" spans="2:42" x14ac:dyDescent="0.2">
      <c r="B2874" t="s">
        <v>44</v>
      </c>
      <c r="C2874" t="str">
        <f>HYPERLINK("https://us2.cloudbeds.com/connect/8493803454333002#/reservations/10158531174614?display=77BT0XN3J&amp;reservation_id=10158531174614", "77BT0XN3J")</f>
        <v>77BT0XN3J</v>
      </c>
      <c r="D2874" t="s">
        <v>45</v>
      </c>
      <c r="E2874" t="s">
        <v>185</v>
      </c>
      <c r="F2874" t="s">
        <v>47</v>
      </c>
      <c r="G2874" t="s">
        <v>48</v>
      </c>
      <c r="H2874" t="s">
        <v>49</v>
      </c>
      <c r="I2874" t="s">
        <v>62</v>
      </c>
      <c r="J2874" t="s">
        <v>1502</v>
      </c>
      <c r="K2874" t="s">
        <v>1436</v>
      </c>
      <c r="L2874" t="s">
        <v>53</v>
      </c>
      <c r="N2874" t="s">
        <v>4633</v>
      </c>
      <c r="P2874" t="s">
        <v>55</v>
      </c>
      <c r="R2874" t="s">
        <v>56</v>
      </c>
      <c r="T2874" t="s">
        <v>4634</v>
      </c>
      <c r="U2874" t="s">
        <v>55</v>
      </c>
      <c r="V2874">
        <v>1</v>
      </c>
      <c r="W2874">
        <v>1</v>
      </c>
      <c r="X2874">
        <v>2</v>
      </c>
      <c r="Y2874">
        <v>0</v>
      </c>
      <c r="Z2874">
        <v>2</v>
      </c>
      <c r="AA2874">
        <v>0</v>
      </c>
      <c r="AB2874">
        <v>126.16</v>
      </c>
      <c r="AC2874">
        <v>111</v>
      </c>
      <c r="AD2874">
        <v>0</v>
      </c>
      <c r="AE2874">
        <v>15.16</v>
      </c>
      <c r="AF2874">
        <v>0</v>
      </c>
      <c r="AG2874">
        <v>0</v>
      </c>
      <c r="AH2874">
        <v>0</v>
      </c>
      <c r="AI2874">
        <v>18.920000000000002</v>
      </c>
      <c r="AJ2874">
        <v>126.16</v>
      </c>
      <c r="AK2874">
        <v>0</v>
      </c>
      <c r="AL2874" t="s">
        <v>53</v>
      </c>
      <c r="AM2874" t="s">
        <v>53</v>
      </c>
      <c r="AN2874" t="s">
        <v>53</v>
      </c>
      <c r="AO2874" t="s">
        <v>53</v>
      </c>
      <c r="AP2874" t="s">
        <v>53</v>
      </c>
    </row>
    <row r="2875" spans="2:42" x14ac:dyDescent="0.2">
      <c r="B2875" t="s">
        <v>44</v>
      </c>
      <c r="C2875" t="str">
        <f>HYPERLINK("https://us2.cloudbeds.com/connect/8493803454333002#/reservations/10179197866112?display=77QVQZ66U&amp;reservation_id=10179197866112", "77QVQZ66U")</f>
        <v>77QVQZ66U</v>
      </c>
      <c r="D2875" t="s">
        <v>45</v>
      </c>
      <c r="E2875" t="s">
        <v>381</v>
      </c>
      <c r="F2875" t="s">
        <v>47</v>
      </c>
      <c r="G2875" t="s">
        <v>48</v>
      </c>
      <c r="H2875" t="s">
        <v>49</v>
      </c>
      <c r="I2875" t="s">
        <v>62</v>
      </c>
      <c r="J2875" t="s">
        <v>3104</v>
      </c>
      <c r="K2875" t="s">
        <v>1610</v>
      </c>
      <c r="L2875" t="s">
        <v>53</v>
      </c>
      <c r="N2875" t="s">
        <v>4635</v>
      </c>
      <c r="P2875" t="s">
        <v>55</v>
      </c>
      <c r="R2875" t="s">
        <v>56</v>
      </c>
      <c r="T2875" t="s">
        <v>4636</v>
      </c>
      <c r="U2875" t="s">
        <v>55</v>
      </c>
      <c r="V2875">
        <v>1</v>
      </c>
      <c r="W2875">
        <v>1</v>
      </c>
      <c r="X2875">
        <v>1</v>
      </c>
      <c r="Y2875">
        <v>0</v>
      </c>
      <c r="Z2875">
        <v>1</v>
      </c>
      <c r="AA2875">
        <v>0</v>
      </c>
      <c r="AB2875">
        <v>119.68</v>
      </c>
      <c r="AC2875">
        <v>105.3</v>
      </c>
      <c r="AD2875">
        <v>0</v>
      </c>
      <c r="AE2875">
        <v>14.38</v>
      </c>
      <c r="AF2875">
        <v>0</v>
      </c>
      <c r="AG2875">
        <v>0</v>
      </c>
      <c r="AH2875">
        <v>0</v>
      </c>
      <c r="AI2875">
        <v>17.95</v>
      </c>
      <c r="AJ2875">
        <v>119.68</v>
      </c>
      <c r="AK2875">
        <v>0</v>
      </c>
      <c r="AL2875" t="s">
        <v>53</v>
      </c>
      <c r="AM2875" t="s">
        <v>53</v>
      </c>
      <c r="AN2875" t="s">
        <v>53</v>
      </c>
      <c r="AO2875" t="s">
        <v>53</v>
      </c>
      <c r="AP2875" t="s">
        <v>53</v>
      </c>
    </row>
    <row r="2876" spans="2:42" x14ac:dyDescent="0.2">
      <c r="B2876" t="s">
        <v>44</v>
      </c>
      <c r="C2876" t="str">
        <f>HYPERLINK("https://us2.cloudbeds.com/connect/8493803454333002#/reservations/10181716758749?display=77TRF8ZW7&amp;reservation_id=10181716758749", "77TRF8ZW7")</f>
        <v>77TRF8ZW7</v>
      </c>
      <c r="D2876" t="s">
        <v>45</v>
      </c>
      <c r="E2876" t="s">
        <v>110</v>
      </c>
      <c r="F2876" t="s">
        <v>47</v>
      </c>
      <c r="G2876" t="s">
        <v>48</v>
      </c>
      <c r="H2876" t="s">
        <v>49</v>
      </c>
      <c r="I2876" t="s">
        <v>62</v>
      </c>
      <c r="J2876" t="s">
        <v>4637</v>
      </c>
      <c r="K2876" t="s">
        <v>4638</v>
      </c>
      <c r="L2876" t="s">
        <v>53</v>
      </c>
      <c r="N2876" t="s">
        <v>4639</v>
      </c>
      <c r="P2876" t="s">
        <v>55</v>
      </c>
      <c r="R2876" t="s">
        <v>56</v>
      </c>
      <c r="T2876" t="s">
        <v>4640</v>
      </c>
      <c r="U2876" t="s">
        <v>55</v>
      </c>
      <c r="V2876">
        <v>1</v>
      </c>
      <c r="W2876">
        <v>1</v>
      </c>
      <c r="X2876">
        <v>1</v>
      </c>
      <c r="Y2876">
        <v>0</v>
      </c>
      <c r="Z2876">
        <v>1</v>
      </c>
      <c r="AA2876">
        <v>63</v>
      </c>
      <c r="AB2876">
        <v>71.599999999999994</v>
      </c>
      <c r="AC2876">
        <v>63</v>
      </c>
      <c r="AD2876">
        <v>0</v>
      </c>
      <c r="AE2876">
        <v>8.61</v>
      </c>
      <c r="AF2876">
        <v>0</v>
      </c>
      <c r="AG2876">
        <v>0</v>
      </c>
      <c r="AH2876">
        <v>0</v>
      </c>
      <c r="AI2876">
        <v>12.89</v>
      </c>
      <c r="AJ2876">
        <v>71.61</v>
      </c>
      <c r="AK2876">
        <v>0.01</v>
      </c>
      <c r="AL2876" t="s">
        <v>53</v>
      </c>
      <c r="AM2876" t="s">
        <v>53</v>
      </c>
      <c r="AN2876" t="s">
        <v>53</v>
      </c>
      <c r="AO2876" t="s">
        <v>53</v>
      </c>
      <c r="AP2876" t="s">
        <v>53</v>
      </c>
    </row>
    <row r="2877" spans="2:42" x14ac:dyDescent="0.2">
      <c r="B2877" t="s">
        <v>44</v>
      </c>
      <c r="C2877" t="str">
        <f>HYPERLINK("https://us2.cloudbeds.com/connect/8493803454333002#/reservations/10187879628958?display=781JUVN8U&amp;reservation_id=10187879628958", "781JUVN8U")</f>
        <v>781JUVN8U</v>
      </c>
      <c r="D2877" t="s">
        <v>45</v>
      </c>
      <c r="E2877" t="s">
        <v>110</v>
      </c>
      <c r="F2877" t="s">
        <v>47</v>
      </c>
      <c r="G2877" t="s">
        <v>48</v>
      </c>
      <c r="H2877" t="s">
        <v>49</v>
      </c>
      <c r="I2877" t="s">
        <v>50</v>
      </c>
      <c r="J2877" t="s">
        <v>1858</v>
      </c>
      <c r="K2877" t="s">
        <v>3104</v>
      </c>
      <c r="L2877" t="s">
        <v>53</v>
      </c>
      <c r="N2877" t="s">
        <v>4641</v>
      </c>
      <c r="P2877" t="s">
        <v>55</v>
      </c>
      <c r="R2877" t="s">
        <v>53</v>
      </c>
      <c r="T2877" t="s">
        <v>4642</v>
      </c>
      <c r="U2877" t="s">
        <v>58</v>
      </c>
      <c r="V2877">
        <v>1</v>
      </c>
      <c r="W2877">
        <v>1</v>
      </c>
      <c r="X2877">
        <v>2</v>
      </c>
      <c r="Y2877">
        <v>0</v>
      </c>
      <c r="Z2877">
        <v>2</v>
      </c>
      <c r="AA2877">
        <v>0</v>
      </c>
      <c r="AB2877">
        <v>104.33</v>
      </c>
      <c r="AC2877">
        <v>91.8</v>
      </c>
      <c r="AD2877">
        <v>0</v>
      </c>
      <c r="AE2877">
        <v>12.53</v>
      </c>
      <c r="AF2877">
        <v>0</v>
      </c>
      <c r="AG2877">
        <v>0</v>
      </c>
      <c r="AH2877">
        <v>0</v>
      </c>
      <c r="AI2877">
        <v>18.78</v>
      </c>
      <c r="AJ2877">
        <v>104.33</v>
      </c>
      <c r="AK2877">
        <v>0</v>
      </c>
      <c r="AL2877" t="s">
        <v>53</v>
      </c>
      <c r="AM2877" t="s">
        <v>53</v>
      </c>
      <c r="AN2877" t="s">
        <v>53</v>
      </c>
      <c r="AO2877" t="s">
        <v>53</v>
      </c>
      <c r="AP2877" t="s">
        <v>53</v>
      </c>
    </row>
    <row r="2878" spans="2:42" x14ac:dyDescent="0.2">
      <c r="B2878" t="s">
        <v>44</v>
      </c>
      <c r="C2878" t="str">
        <f>HYPERLINK("https://us2.cloudbeds.com/connect/8493803454333002#/reservations/10207429341347?display=78GZFQ8US&amp;reservation_id=10207429341347", "78GZFQ8US")</f>
        <v>78GZFQ8US</v>
      </c>
      <c r="D2878" t="s">
        <v>45</v>
      </c>
      <c r="E2878" t="s">
        <v>138</v>
      </c>
      <c r="F2878" t="s">
        <v>70</v>
      </c>
      <c r="G2878" t="s">
        <v>48</v>
      </c>
      <c r="H2878" t="s">
        <v>49</v>
      </c>
      <c r="I2878" t="s">
        <v>62</v>
      </c>
      <c r="J2878" t="s">
        <v>3514</v>
      </c>
      <c r="K2878" t="s">
        <v>1858</v>
      </c>
      <c r="L2878" t="s">
        <v>53</v>
      </c>
      <c r="N2878" t="s">
        <v>4643</v>
      </c>
      <c r="P2878" t="s">
        <v>55</v>
      </c>
      <c r="R2878" t="s">
        <v>56</v>
      </c>
      <c r="T2878" t="s">
        <v>4644</v>
      </c>
      <c r="U2878" t="s">
        <v>55</v>
      </c>
      <c r="V2878">
        <v>1</v>
      </c>
      <c r="W2878">
        <v>1</v>
      </c>
      <c r="X2878">
        <v>2</v>
      </c>
      <c r="Y2878">
        <v>0</v>
      </c>
      <c r="Z2878">
        <v>2</v>
      </c>
      <c r="AA2878">
        <v>0</v>
      </c>
      <c r="AB2878">
        <v>106.84</v>
      </c>
      <c r="AC2878">
        <v>94</v>
      </c>
      <c r="AD2878">
        <v>0</v>
      </c>
      <c r="AE2878">
        <v>12.84</v>
      </c>
      <c r="AF2878">
        <v>0</v>
      </c>
      <c r="AG2878">
        <v>0</v>
      </c>
      <c r="AH2878">
        <v>0</v>
      </c>
      <c r="AI2878">
        <v>16.03</v>
      </c>
      <c r="AJ2878">
        <v>106.84</v>
      </c>
      <c r="AK2878">
        <v>0</v>
      </c>
      <c r="AL2878" t="s">
        <v>53</v>
      </c>
      <c r="AM2878" t="s">
        <v>53</v>
      </c>
      <c r="AN2878" t="s">
        <v>53</v>
      </c>
      <c r="AO2878" t="s">
        <v>53</v>
      </c>
      <c r="AP2878" t="s">
        <v>53</v>
      </c>
    </row>
    <row r="2879" spans="2:42" x14ac:dyDescent="0.2">
      <c r="B2879" t="s">
        <v>44</v>
      </c>
      <c r="C2879" t="str">
        <f>HYPERLINK("https://us2.cloudbeds.com/connect/8493803454333002#/reservations/10213451767985?display=78YDC25JP&amp;reservation_id=10213451767985", "78YDC25JP")</f>
        <v>78YDC25JP</v>
      </c>
      <c r="D2879" t="s">
        <v>45</v>
      </c>
      <c r="E2879" t="s">
        <v>223</v>
      </c>
      <c r="F2879" t="s">
        <v>47</v>
      </c>
      <c r="G2879" t="s">
        <v>48</v>
      </c>
      <c r="H2879" t="s">
        <v>49</v>
      </c>
      <c r="I2879" t="s">
        <v>62</v>
      </c>
      <c r="J2879" t="s">
        <v>1745</v>
      </c>
      <c r="K2879" t="s">
        <v>1767</v>
      </c>
      <c r="L2879" t="s">
        <v>53</v>
      </c>
      <c r="N2879" t="s">
        <v>4645</v>
      </c>
      <c r="P2879" t="s">
        <v>55</v>
      </c>
      <c r="R2879" t="s">
        <v>56</v>
      </c>
      <c r="T2879" t="s">
        <v>4646</v>
      </c>
      <c r="U2879" t="s">
        <v>55</v>
      </c>
      <c r="V2879">
        <v>1</v>
      </c>
      <c r="W2879">
        <v>1</v>
      </c>
      <c r="X2879">
        <v>2</v>
      </c>
      <c r="Y2879">
        <v>0</v>
      </c>
      <c r="Z2879">
        <v>2</v>
      </c>
      <c r="AA2879">
        <v>0</v>
      </c>
      <c r="AB2879">
        <v>139.80000000000001</v>
      </c>
      <c r="AC2879">
        <v>123</v>
      </c>
      <c r="AD2879">
        <v>0</v>
      </c>
      <c r="AE2879">
        <v>16.8</v>
      </c>
      <c r="AF2879">
        <v>0</v>
      </c>
      <c r="AG2879">
        <v>0</v>
      </c>
      <c r="AH2879">
        <v>0</v>
      </c>
      <c r="AI2879">
        <v>20.97</v>
      </c>
      <c r="AJ2879">
        <v>139.80000000000001</v>
      </c>
      <c r="AK2879">
        <v>0</v>
      </c>
      <c r="AL2879" t="s">
        <v>53</v>
      </c>
      <c r="AM2879" t="s">
        <v>53</v>
      </c>
      <c r="AN2879" t="s">
        <v>53</v>
      </c>
      <c r="AO2879" t="s">
        <v>53</v>
      </c>
      <c r="AP2879" t="s">
        <v>53</v>
      </c>
    </row>
    <row r="2880" spans="2:42" x14ac:dyDescent="0.2">
      <c r="B2880" t="s">
        <v>44</v>
      </c>
      <c r="C2880" t="str">
        <f>HYPERLINK("https://us2.cloudbeds.com/connect/8493803454333002#/reservations/10221399482591?display=78RXEQ1FA&amp;reservation_id=10221399482591", "78RXEQ1FA")</f>
        <v>78RXEQ1FA</v>
      </c>
      <c r="D2880" t="s">
        <v>45</v>
      </c>
      <c r="E2880" t="s">
        <v>128</v>
      </c>
      <c r="F2880" t="s">
        <v>86</v>
      </c>
      <c r="G2880" t="s">
        <v>48</v>
      </c>
      <c r="H2880" t="s">
        <v>49</v>
      </c>
      <c r="I2880" t="s">
        <v>50</v>
      </c>
      <c r="J2880" t="s">
        <v>3233</v>
      </c>
      <c r="K2880" t="s">
        <v>1779</v>
      </c>
      <c r="L2880" t="s">
        <v>53</v>
      </c>
      <c r="N2880" t="s">
        <v>4647</v>
      </c>
      <c r="P2880" t="s">
        <v>55</v>
      </c>
      <c r="R2880" t="s">
        <v>53</v>
      </c>
      <c r="T2880" t="s">
        <v>4648</v>
      </c>
      <c r="U2880" t="s">
        <v>58</v>
      </c>
      <c r="V2880">
        <v>1</v>
      </c>
      <c r="W2880">
        <v>1</v>
      </c>
      <c r="X2880">
        <v>2</v>
      </c>
      <c r="Y2880">
        <v>0</v>
      </c>
      <c r="Z2880">
        <v>2</v>
      </c>
      <c r="AA2880">
        <v>0</v>
      </c>
      <c r="AB2880">
        <v>128.88</v>
      </c>
      <c r="AC2880">
        <v>113.4</v>
      </c>
      <c r="AD2880">
        <v>0</v>
      </c>
      <c r="AE2880">
        <v>15.48</v>
      </c>
      <c r="AF2880">
        <v>0</v>
      </c>
      <c r="AG2880">
        <v>0</v>
      </c>
      <c r="AH2880">
        <v>0</v>
      </c>
      <c r="AI2880">
        <v>23.2</v>
      </c>
      <c r="AJ2880">
        <v>128.88</v>
      </c>
      <c r="AK2880">
        <v>0</v>
      </c>
      <c r="AL2880" t="s">
        <v>53</v>
      </c>
      <c r="AM2880" t="s">
        <v>53</v>
      </c>
      <c r="AN2880" t="s">
        <v>53</v>
      </c>
      <c r="AO2880" t="s">
        <v>53</v>
      </c>
      <c r="AP2880" t="s">
        <v>53</v>
      </c>
    </row>
    <row r="2881" spans="2:42" x14ac:dyDescent="0.2">
      <c r="B2881" t="s">
        <v>44</v>
      </c>
      <c r="C2881" t="str">
        <f>HYPERLINK("https://us2.cloudbeds.com/connect/8493803454333002#/reservations/10221250834657?display=78REYEMWF&amp;reservation_id=10221250834657", "78REYEMWF")</f>
        <v>78REYEMWF</v>
      </c>
      <c r="D2881" t="s">
        <v>45</v>
      </c>
      <c r="E2881" t="s">
        <v>213</v>
      </c>
      <c r="F2881" t="s">
        <v>86</v>
      </c>
      <c r="G2881" t="s">
        <v>48</v>
      </c>
      <c r="H2881" t="s">
        <v>49</v>
      </c>
      <c r="I2881" t="s">
        <v>50</v>
      </c>
      <c r="J2881" t="s">
        <v>3233</v>
      </c>
      <c r="K2881" t="s">
        <v>1779</v>
      </c>
      <c r="L2881" t="s">
        <v>53</v>
      </c>
      <c r="N2881" t="s">
        <v>4649</v>
      </c>
      <c r="P2881" t="s">
        <v>55</v>
      </c>
      <c r="R2881" t="s">
        <v>53</v>
      </c>
      <c r="T2881" t="s">
        <v>4650</v>
      </c>
      <c r="U2881" t="s">
        <v>58</v>
      </c>
      <c r="V2881">
        <v>1</v>
      </c>
      <c r="W2881">
        <v>1</v>
      </c>
      <c r="X2881">
        <v>1</v>
      </c>
      <c r="Y2881">
        <v>0</v>
      </c>
      <c r="Z2881">
        <v>1</v>
      </c>
      <c r="AA2881">
        <v>0</v>
      </c>
      <c r="AB2881">
        <v>128.88</v>
      </c>
      <c r="AC2881">
        <v>113.4</v>
      </c>
      <c r="AD2881">
        <v>0</v>
      </c>
      <c r="AE2881">
        <v>15.48</v>
      </c>
      <c r="AF2881">
        <v>0</v>
      </c>
      <c r="AG2881">
        <v>0</v>
      </c>
      <c r="AH2881">
        <v>0</v>
      </c>
      <c r="AI2881">
        <v>23.2</v>
      </c>
      <c r="AJ2881">
        <v>128.88</v>
      </c>
      <c r="AK2881">
        <v>0</v>
      </c>
      <c r="AL2881" t="s">
        <v>53</v>
      </c>
      <c r="AM2881" t="s">
        <v>53</v>
      </c>
      <c r="AN2881" t="s">
        <v>53</v>
      </c>
      <c r="AO2881" t="s">
        <v>53</v>
      </c>
      <c r="AP2881" t="s">
        <v>53</v>
      </c>
    </row>
    <row r="2882" spans="2:42" x14ac:dyDescent="0.2">
      <c r="B2882" t="s">
        <v>44</v>
      </c>
      <c r="C2882" t="str">
        <f>HYPERLINK("https://us2.cloudbeds.com/connect/8493803454333002#/reservations/10250765508818?display=79H9R00DV&amp;reservation_id=10250765508818", "79H9R00DV")</f>
        <v>79H9R00DV</v>
      </c>
      <c r="D2882" t="s">
        <v>45</v>
      </c>
      <c r="E2882" t="s">
        <v>179</v>
      </c>
      <c r="F2882" t="s">
        <v>47</v>
      </c>
      <c r="G2882" t="s">
        <v>48</v>
      </c>
      <c r="H2882" t="s">
        <v>3957</v>
      </c>
      <c r="I2882" t="s">
        <v>3958</v>
      </c>
      <c r="J2882" t="s">
        <v>1502</v>
      </c>
      <c r="K2882" t="s">
        <v>1436</v>
      </c>
      <c r="L2882" t="s">
        <v>53</v>
      </c>
      <c r="P2882" t="s">
        <v>58</v>
      </c>
      <c r="R2882" t="s">
        <v>56</v>
      </c>
      <c r="T2882" t="s">
        <v>4651</v>
      </c>
      <c r="U2882" t="s">
        <v>58</v>
      </c>
      <c r="V2882">
        <v>1</v>
      </c>
      <c r="W2882">
        <v>1</v>
      </c>
      <c r="X2882">
        <v>1</v>
      </c>
      <c r="Y2882">
        <v>0</v>
      </c>
      <c r="Z2882">
        <v>1</v>
      </c>
      <c r="AA2882">
        <v>0</v>
      </c>
      <c r="AB2882">
        <v>126.16</v>
      </c>
      <c r="AC2882">
        <v>111</v>
      </c>
      <c r="AD2882">
        <v>0</v>
      </c>
      <c r="AE2882">
        <v>15.16</v>
      </c>
      <c r="AF2882">
        <v>0</v>
      </c>
      <c r="AG2882">
        <v>0</v>
      </c>
      <c r="AH2882">
        <v>0</v>
      </c>
      <c r="AI2882">
        <v>0</v>
      </c>
      <c r="AJ2882">
        <v>126.16</v>
      </c>
      <c r="AK2882">
        <v>0</v>
      </c>
      <c r="AL2882" t="s">
        <v>53</v>
      </c>
      <c r="AM2882" t="s">
        <v>53</v>
      </c>
      <c r="AN2882" t="s">
        <v>53</v>
      </c>
      <c r="AO2882" t="s">
        <v>53</v>
      </c>
      <c r="AP2882" t="s">
        <v>53</v>
      </c>
    </row>
    <row r="2883" spans="2:42" x14ac:dyDescent="0.2">
      <c r="B2883" t="s">
        <v>44</v>
      </c>
      <c r="C2883" t="str">
        <f>HYPERLINK("https://us2.cloudbeds.com/connect/8493803454333002#/reservations/10272130265236?display=7A0RZAS63&amp;reservation_id=10272130265236", "7A0RZAS63")</f>
        <v>7A0RZAS63</v>
      </c>
      <c r="D2883" t="s">
        <v>45</v>
      </c>
      <c r="E2883" t="s">
        <v>487</v>
      </c>
      <c r="F2883" t="s">
        <v>61</v>
      </c>
      <c r="G2883" t="s">
        <v>48</v>
      </c>
      <c r="H2883" t="s">
        <v>49</v>
      </c>
      <c r="I2883" t="s">
        <v>50</v>
      </c>
      <c r="J2883" t="s">
        <v>1745</v>
      </c>
      <c r="K2883" t="s">
        <v>1767</v>
      </c>
      <c r="L2883" t="s">
        <v>53</v>
      </c>
      <c r="N2883" t="s">
        <v>4652</v>
      </c>
      <c r="P2883" t="s">
        <v>55</v>
      </c>
      <c r="R2883" t="s">
        <v>53</v>
      </c>
      <c r="T2883" t="s">
        <v>4653</v>
      </c>
      <c r="U2883" t="s">
        <v>58</v>
      </c>
      <c r="V2883">
        <v>1</v>
      </c>
      <c r="W2883">
        <v>1</v>
      </c>
      <c r="X2883">
        <v>2</v>
      </c>
      <c r="Y2883">
        <v>0</v>
      </c>
      <c r="Z2883">
        <v>2</v>
      </c>
      <c r="AA2883">
        <v>0</v>
      </c>
      <c r="AB2883">
        <v>135.03</v>
      </c>
      <c r="AC2883">
        <v>118.8</v>
      </c>
      <c r="AD2883">
        <v>0</v>
      </c>
      <c r="AE2883">
        <v>16.23</v>
      </c>
      <c r="AF2883">
        <v>0</v>
      </c>
      <c r="AG2883">
        <v>0</v>
      </c>
      <c r="AH2883">
        <v>0</v>
      </c>
      <c r="AI2883">
        <v>24.31</v>
      </c>
      <c r="AJ2883">
        <v>135.03</v>
      </c>
      <c r="AK2883">
        <v>0</v>
      </c>
      <c r="AL2883" t="s">
        <v>53</v>
      </c>
      <c r="AM2883" t="s">
        <v>53</v>
      </c>
      <c r="AN2883" t="s">
        <v>53</v>
      </c>
      <c r="AO2883" t="s">
        <v>53</v>
      </c>
      <c r="AP2883" t="s">
        <v>53</v>
      </c>
    </row>
    <row r="2884" spans="2:42" x14ac:dyDescent="0.2">
      <c r="B2884" t="s">
        <v>44</v>
      </c>
      <c r="C2884" t="str">
        <f>HYPERLINK("https://us2.cloudbeds.com/connect/8493803454333002#/reservations/10272181936315?display=7A0T1TMCC&amp;reservation_id=10272181936315", "7A0T1TMCC")</f>
        <v>7A0T1TMCC</v>
      </c>
      <c r="D2884" t="s">
        <v>45</v>
      </c>
      <c r="E2884" t="s">
        <v>46</v>
      </c>
      <c r="F2884" t="s">
        <v>47</v>
      </c>
      <c r="G2884" t="s">
        <v>48</v>
      </c>
      <c r="H2884" t="s">
        <v>3957</v>
      </c>
      <c r="I2884" t="s">
        <v>3958</v>
      </c>
      <c r="J2884" t="s">
        <v>1745</v>
      </c>
      <c r="K2884" t="s">
        <v>1767</v>
      </c>
      <c r="L2884" t="s">
        <v>53</v>
      </c>
      <c r="P2884" t="s">
        <v>55</v>
      </c>
      <c r="R2884" t="s">
        <v>56</v>
      </c>
      <c r="T2884" t="s">
        <v>4654</v>
      </c>
      <c r="U2884" t="s">
        <v>58</v>
      </c>
      <c r="V2884">
        <v>1</v>
      </c>
      <c r="W2884">
        <v>1</v>
      </c>
      <c r="X2884">
        <v>1</v>
      </c>
      <c r="Y2884">
        <v>0</v>
      </c>
      <c r="Z2884">
        <v>1</v>
      </c>
      <c r="AA2884">
        <v>0</v>
      </c>
      <c r="AB2884">
        <v>134.11000000000001</v>
      </c>
      <c r="AC2884">
        <v>118</v>
      </c>
      <c r="AD2884">
        <v>0</v>
      </c>
      <c r="AE2884">
        <v>16.11</v>
      </c>
      <c r="AF2884">
        <v>0</v>
      </c>
      <c r="AG2884">
        <v>0</v>
      </c>
      <c r="AH2884">
        <v>0</v>
      </c>
      <c r="AI2884">
        <v>0</v>
      </c>
      <c r="AJ2884">
        <v>134.11000000000001</v>
      </c>
      <c r="AK2884">
        <v>0</v>
      </c>
      <c r="AL2884" t="s">
        <v>53</v>
      </c>
      <c r="AM2884" t="s">
        <v>53</v>
      </c>
      <c r="AN2884" t="s">
        <v>53</v>
      </c>
      <c r="AO2884" t="s">
        <v>53</v>
      </c>
      <c r="AP2884" t="s">
        <v>53</v>
      </c>
    </row>
    <row r="2885" spans="2:42" x14ac:dyDescent="0.2">
      <c r="B2885" t="s">
        <v>44</v>
      </c>
      <c r="C2885" t="str">
        <f>HYPERLINK("https://us2.cloudbeds.com/connect/8493803454333002#/reservations/10288721715348?display=7ADMMMDXK&amp;reservation_id=10288721715348", "7ADMMMDXK")</f>
        <v>7ADMMMDXK</v>
      </c>
      <c r="D2885" t="s">
        <v>45</v>
      </c>
      <c r="E2885" t="s">
        <v>373</v>
      </c>
      <c r="F2885" t="s">
        <v>47</v>
      </c>
      <c r="G2885" t="s">
        <v>48</v>
      </c>
      <c r="H2885" t="s">
        <v>49</v>
      </c>
      <c r="I2885" t="s">
        <v>50</v>
      </c>
      <c r="J2885" t="s">
        <v>1745</v>
      </c>
      <c r="K2885" t="s">
        <v>1477</v>
      </c>
      <c r="L2885" t="s">
        <v>53</v>
      </c>
      <c r="N2885" t="s">
        <v>4655</v>
      </c>
      <c r="P2885" t="s">
        <v>55</v>
      </c>
      <c r="R2885" t="s">
        <v>53</v>
      </c>
      <c r="T2885" t="s">
        <v>4656</v>
      </c>
      <c r="U2885" t="s">
        <v>58</v>
      </c>
      <c r="V2885">
        <v>2</v>
      </c>
      <c r="W2885">
        <v>1</v>
      </c>
      <c r="X2885">
        <v>1</v>
      </c>
      <c r="Y2885">
        <v>0</v>
      </c>
      <c r="Z2885">
        <v>1</v>
      </c>
      <c r="AA2885">
        <v>0</v>
      </c>
      <c r="AB2885">
        <v>277.17</v>
      </c>
      <c r="AC2885">
        <v>243.9</v>
      </c>
      <c r="AD2885">
        <v>0</v>
      </c>
      <c r="AE2885">
        <v>33.270000000000003</v>
      </c>
      <c r="AF2885">
        <v>0</v>
      </c>
      <c r="AG2885">
        <v>0</v>
      </c>
      <c r="AH2885">
        <v>0</v>
      </c>
      <c r="AI2885">
        <v>49.89</v>
      </c>
      <c r="AJ2885">
        <v>277.17</v>
      </c>
      <c r="AK2885">
        <v>0</v>
      </c>
      <c r="AL2885" t="s">
        <v>53</v>
      </c>
      <c r="AM2885" t="s">
        <v>53</v>
      </c>
      <c r="AN2885" t="s">
        <v>53</v>
      </c>
      <c r="AO2885" t="s">
        <v>53</v>
      </c>
      <c r="AP2885" t="s">
        <v>53</v>
      </c>
    </row>
    <row r="2886" spans="2:42" x14ac:dyDescent="0.2">
      <c r="B2886" t="s">
        <v>44</v>
      </c>
      <c r="C2886" t="str">
        <f>HYPERLINK("https://us2.cloudbeds.com/connect/8493803454333002#/reservations/10288368079011?display=7ADDYFVKW&amp;reservation_id=10288368079011", "7ADDYFVKW")</f>
        <v>7ADDYFVKW</v>
      </c>
      <c r="D2886" t="s">
        <v>45</v>
      </c>
      <c r="E2886" t="s">
        <v>185</v>
      </c>
      <c r="F2886" t="s">
        <v>47</v>
      </c>
      <c r="G2886" t="s">
        <v>4520</v>
      </c>
      <c r="H2886" t="s">
        <v>3957</v>
      </c>
      <c r="I2886" t="s">
        <v>3989</v>
      </c>
      <c r="J2886" t="s">
        <v>1767</v>
      </c>
      <c r="K2886" t="s">
        <v>1477</v>
      </c>
      <c r="L2886" t="s">
        <v>53</v>
      </c>
      <c r="P2886" t="s">
        <v>55</v>
      </c>
      <c r="R2886" t="s">
        <v>56</v>
      </c>
      <c r="T2886" t="s">
        <v>4657</v>
      </c>
      <c r="U2886" t="s">
        <v>58</v>
      </c>
      <c r="V2886">
        <v>1</v>
      </c>
      <c r="W2886">
        <v>1</v>
      </c>
      <c r="X2886">
        <v>1</v>
      </c>
      <c r="Y2886">
        <v>0</v>
      </c>
      <c r="Z2886">
        <v>1</v>
      </c>
      <c r="AA2886">
        <v>0</v>
      </c>
      <c r="AB2886">
        <v>280.02</v>
      </c>
      <c r="AC2886">
        <v>123.2</v>
      </c>
      <c r="AD2886">
        <v>0</v>
      </c>
      <c r="AE2886">
        <v>16.809999999999999</v>
      </c>
      <c r="AF2886">
        <v>0</v>
      </c>
      <c r="AG2886">
        <v>0</v>
      </c>
      <c r="AH2886">
        <v>0</v>
      </c>
      <c r="AI2886">
        <v>0</v>
      </c>
      <c r="AJ2886">
        <v>140.01</v>
      </c>
      <c r="AK2886">
        <v>0</v>
      </c>
      <c r="AL2886" t="s">
        <v>53</v>
      </c>
      <c r="AM2886" t="s">
        <v>53</v>
      </c>
      <c r="AN2886" t="s">
        <v>4622</v>
      </c>
      <c r="AO2886" t="s">
        <v>53</v>
      </c>
      <c r="AP2886" t="s">
        <v>53</v>
      </c>
    </row>
    <row r="2887" spans="2:42" x14ac:dyDescent="0.2">
      <c r="B2887" t="s">
        <v>44</v>
      </c>
      <c r="C2887" t="str">
        <f>HYPERLINK("https://us2.cloudbeds.com/connect/8493803454333002#/reservations/10299283058817?display=7AYSX9BUQ&amp;reservation_id=10299283058817", "7AYSX9BUQ")</f>
        <v>7AYSX9BUQ</v>
      </c>
      <c r="D2887" t="s">
        <v>45</v>
      </c>
      <c r="E2887" t="s">
        <v>190</v>
      </c>
      <c r="F2887" t="s">
        <v>61</v>
      </c>
      <c r="G2887" t="s">
        <v>48</v>
      </c>
      <c r="H2887" t="s">
        <v>49</v>
      </c>
      <c r="I2887" t="s">
        <v>50</v>
      </c>
      <c r="J2887" t="s">
        <v>1933</v>
      </c>
      <c r="K2887" t="s">
        <v>1902</v>
      </c>
      <c r="L2887" t="s">
        <v>53</v>
      </c>
      <c r="N2887" t="s">
        <v>4658</v>
      </c>
      <c r="P2887" t="s">
        <v>55</v>
      </c>
      <c r="R2887" t="s">
        <v>53</v>
      </c>
      <c r="T2887" t="s">
        <v>4659</v>
      </c>
      <c r="U2887" t="s">
        <v>58</v>
      </c>
      <c r="V2887">
        <v>3</v>
      </c>
      <c r="W2887">
        <v>1</v>
      </c>
      <c r="X2887">
        <v>2</v>
      </c>
      <c r="Y2887">
        <v>0</v>
      </c>
      <c r="Z2887">
        <v>2</v>
      </c>
      <c r="AA2887">
        <v>0</v>
      </c>
      <c r="AB2887">
        <v>463.35</v>
      </c>
      <c r="AC2887">
        <v>407.7</v>
      </c>
      <c r="AD2887">
        <v>0</v>
      </c>
      <c r="AE2887">
        <v>55.65</v>
      </c>
      <c r="AF2887">
        <v>0</v>
      </c>
      <c r="AG2887">
        <v>0</v>
      </c>
      <c r="AH2887">
        <v>0</v>
      </c>
      <c r="AI2887">
        <v>83.4</v>
      </c>
      <c r="AJ2887">
        <v>463.35</v>
      </c>
      <c r="AK2887">
        <v>0</v>
      </c>
      <c r="AL2887" t="s">
        <v>53</v>
      </c>
      <c r="AM2887" t="s">
        <v>53</v>
      </c>
      <c r="AN2887" t="s">
        <v>53</v>
      </c>
      <c r="AO2887" t="s">
        <v>53</v>
      </c>
      <c r="AP2887" t="s">
        <v>53</v>
      </c>
    </row>
    <row r="2888" spans="2:42" x14ac:dyDescent="0.2">
      <c r="B2888" t="s">
        <v>44</v>
      </c>
      <c r="C2888" t="str">
        <f>HYPERLINK("https://us2.cloudbeds.com/connect/8493803454333002#/reservations/10305975791755?display=7AR1XPH6R&amp;reservation_id=10305975791755", "7AR1XPH6R")</f>
        <v>7AR1XPH6R</v>
      </c>
      <c r="D2888" t="s">
        <v>45</v>
      </c>
      <c r="E2888" t="s">
        <v>121</v>
      </c>
      <c r="F2888" t="s">
        <v>86</v>
      </c>
      <c r="G2888" t="s">
        <v>48</v>
      </c>
      <c r="H2888" t="s">
        <v>49</v>
      </c>
      <c r="I2888" t="s">
        <v>50</v>
      </c>
      <c r="J2888" t="s">
        <v>1767</v>
      </c>
      <c r="K2888" t="s">
        <v>1477</v>
      </c>
      <c r="L2888" t="s">
        <v>53</v>
      </c>
      <c r="N2888" t="s">
        <v>4660</v>
      </c>
      <c r="P2888" t="s">
        <v>55</v>
      </c>
      <c r="R2888" t="s">
        <v>53</v>
      </c>
      <c r="T2888" t="s">
        <v>4661</v>
      </c>
      <c r="U2888" t="s">
        <v>58</v>
      </c>
      <c r="V2888">
        <v>1</v>
      </c>
      <c r="W2888">
        <v>1</v>
      </c>
      <c r="X2888">
        <v>2</v>
      </c>
      <c r="Y2888">
        <v>0</v>
      </c>
      <c r="Z2888">
        <v>2</v>
      </c>
      <c r="AA2888">
        <v>0</v>
      </c>
      <c r="AB2888">
        <v>160.6</v>
      </c>
      <c r="AC2888">
        <v>141.30000000000001</v>
      </c>
      <c r="AD2888">
        <v>0</v>
      </c>
      <c r="AE2888">
        <v>19.3</v>
      </c>
      <c r="AF2888">
        <v>0</v>
      </c>
      <c r="AG2888">
        <v>0</v>
      </c>
      <c r="AH2888">
        <v>0</v>
      </c>
      <c r="AI2888">
        <v>28.91</v>
      </c>
      <c r="AJ2888">
        <v>160.6</v>
      </c>
      <c r="AK2888">
        <v>0</v>
      </c>
      <c r="AL2888" t="s">
        <v>53</v>
      </c>
      <c r="AM2888" t="s">
        <v>53</v>
      </c>
      <c r="AN2888" t="s">
        <v>53</v>
      </c>
      <c r="AO2888" t="s">
        <v>53</v>
      </c>
      <c r="AP2888" t="s">
        <v>53</v>
      </c>
    </row>
    <row r="2889" spans="2:42" x14ac:dyDescent="0.2">
      <c r="B2889" t="s">
        <v>44</v>
      </c>
      <c r="C2889" t="str">
        <f>HYPERLINK("https://us2.cloudbeds.com/connect/8493803454333002#/reservations/10316752367835?display=7B2CUSY0B&amp;reservation_id=10316752367835", "7B2CUSY0B")</f>
        <v>7B2CUSY0B</v>
      </c>
      <c r="D2889" t="s">
        <v>45</v>
      </c>
      <c r="E2889" t="s">
        <v>85</v>
      </c>
      <c r="F2889" t="s">
        <v>86</v>
      </c>
      <c r="G2889" t="s">
        <v>48</v>
      </c>
      <c r="H2889" t="s">
        <v>49</v>
      </c>
      <c r="I2889" t="s">
        <v>62</v>
      </c>
      <c r="J2889" t="s">
        <v>2314</v>
      </c>
      <c r="K2889" t="s">
        <v>1406</v>
      </c>
      <c r="L2889" t="s">
        <v>53</v>
      </c>
      <c r="N2889" t="s">
        <v>4662</v>
      </c>
      <c r="P2889" t="s">
        <v>55</v>
      </c>
      <c r="R2889" t="s">
        <v>56</v>
      </c>
      <c r="T2889" t="s">
        <v>4663</v>
      </c>
      <c r="U2889" t="s">
        <v>55</v>
      </c>
      <c r="V2889">
        <v>2</v>
      </c>
      <c r="W2889">
        <v>1</v>
      </c>
      <c r="X2889">
        <v>3</v>
      </c>
      <c r="Y2889">
        <v>0</v>
      </c>
      <c r="Z2889">
        <v>3</v>
      </c>
      <c r="AA2889">
        <v>0</v>
      </c>
      <c r="AB2889">
        <v>356.97</v>
      </c>
      <c r="AC2889">
        <v>314.10000000000002</v>
      </c>
      <c r="AD2889">
        <v>0</v>
      </c>
      <c r="AE2889">
        <v>42.87</v>
      </c>
      <c r="AF2889">
        <v>0</v>
      </c>
      <c r="AG2889">
        <v>0</v>
      </c>
      <c r="AH2889">
        <v>0</v>
      </c>
      <c r="AI2889">
        <v>53.55</v>
      </c>
      <c r="AJ2889">
        <v>356.97</v>
      </c>
      <c r="AK2889">
        <v>0</v>
      </c>
      <c r="AL2889" t="s">
        <v>53</v>
      </c>
      <c r="AM2889" t="s">
        <v>53</v>
      </c>
      <c r="AN2889" t="s">
        <v>53</v>
      </c>
      <c r="AO2889" t="s">
        <v>53</v>
      </c>
      <c r="AP2889" t="s">
        <v>53</v>
      </c>
    </row>
    <row r="2890" spans="2:42" x14ac:dyDescent="0.2">
      <c r="B2890" t="s">
        <v>44</v>
      </c>
      <c r="C2890" t="str">
        <f>HYPERLINK("https://us2.cloudbeds.com/connect/8493803454333002#/reservations/10322050916581?display=7B6GAZXMX&amp;reservation_id=10322050916581", "7B6GAZXMX")</f>
        <v>7B6GAZXMX</v>
      </c>
      <c r="D2890" t="s">
        <v>45</v>
      </c>
      <c r="E2890" t="s">
        <v>381</v>
      </c>
      <c r="F2890" t="s">
        <v>47</v>
      </c>
      <c r="G2890" t="s">
        <v>48</v>
      </c>
      <c r="H2890" t="s">
        <v>49</v>
      </c>
      <c r="I2890" t="s">
        <v>50</v>
      </c>
      <c r="J2890" t="s">
        <v>1745</v>
      </c>
      <c r="K2890" t="s">
        <v>1767</v>
      </c>
      <c r="L2890" t="s">
        <v>53</v>
      </c>
      <c r="N2890" t="s">
        <v>4664</v>
      </c>
      <c r="P2890" t="s">
        <v>55</v>
      </c>
      <c r="R2890" t="s">
        <v>53</v>
      </c>
      <c r="T2890" t="s">
        <v>4665</v>
      </c>
      <c r="U2890" t="s">
        <v>58</v>
      </c>
      <c r="V2890">
        <v>1</v>
      </c>
      <c r="W2890">
        <v>1</v>
      </c>
      <c r="X2890">
        <v>2</v>
      </c>
      <c r="Y2890">
        <v>0</v>
      </c>
      <c r="Z2890">
        <v>2</v>
      </c>
      <c r="AA2890">
        <v>0</v>
      </c>
      <c r="AB2890">
        <v>125.8</v>
      </c>
      <c r="AC2890">
        <v>110.7</v>
      </c>
      <c r="AD2890">
        <v>0</v>
      </c>
      <c r="AE2890">
        <v>15.1</v>
      </c>
      <c r="AF2890">
        <v>0</v>
      </c>
      <c r="AG2890">
        <v>0</v>
      </c>
      <c r="AH2890">
        <v>0</v>
      </c>
      <c r="AI2890">
        <v>22.64</v>
      </c>
      <c r="AJ2890">
        <v>125.8</v>
      </c>
      <c r="AK2890">
        <v>0</v>
      </c>
      <c r="AL2890" t="s">
        <v>53</v>
      </c>
      <c r="AM2890" t="s">
        <v>53</v>
      </c>
      <c r="AN2890" t="s">
        <v>53</v>
      </c>
      <c r="AO2890" t="s">
        <v>53</v>
      </c>
      <c r="AP2890" t="s">
        <v>53</v>
      </c>
    </row>
    <row r="2891" spans="2:42" x14ac:dyDescent="0.2">
      <c r="B2891" t="s">
        <v>44</v>
      </c>
      <c r="C2891" t="str">
        <f>HYPERLINK("https://us2.cloudbeds.com/connect/8493803454333002#/reservations/10329481552084?display=7BC86EVEC&amp;reservation_id=10329481552084", "7BC86EVEC")</f>
        <v>7BC86EVEC</v>
      </c>
      <c r="D2891" t="s">
        <v>45</v>
      </c>
      <c r="E2891" t="s">
        <v>179</v>
      </c>
      <c r="F2891" t="s">
        <v>47</v>
      </c>
      <c r="G2891" t="s">
        <v>48</v>
      </c>
      <c r="H2891" t="s">
        <v>49</v>
      </c>
      <c r="I2891" t="s">
        <v>62</v>
      </c>
      <c r="J2891" t="s">
        <v>3196</v>
      </c>
      <c r="K2891" t="s">
        <v>3000</v>
      </c>
      <c r="L2891" t="s">
        <v>53</v>
      </c>
      <c r="N2891" t="s">
        <v>4666</v>
      </c>
      <c r="P2891" t="s">
        <v>55</v>
      </c>
      <c r="R2891" t="s">
        <v>1445</v>
      </c>
      <c r="T2891" t="s">
        <v>4667</v>
      </c>
      <c r="U2891" t="s">
        <v>55</v>
      </c>
      <c r="V2891">
        <v>1</v>
      </c>
      <c r="W2891">
        <v>1</v>
      </c>
      <c r="X2891">
        <v>1</v>
      </c>
      <c r="Y2891">
        <v>0</v>
      </c>
      <c r="Z2891">
        <v>1</v>
      </c>
      <c r="AA2891">
        <v>0</v>
      </c>
      <c r="AB2891">
        <v>171.83</v>
      </c>
      <c r="AC2891">
        <v>151.19999999999999</v>
      </c>
      <c r="AD2891">
        <v>0</v>
      </c>
      <c r="AE2891">
        <v>20.63</v>
      </c>
      <c r="AF2891">
        <v>0</v>
      </c>
      <c r="AG2891">
        <v>0</v>
      </c>
      <c r="AH2891">
        <v>0</v>
      </c>
      <c r="AI2891">
        <v>25.77</v>
      </c>
      <c r="AJ2891">
        <v>171.83</v>
      </c>
      <c r="AK2891">
        <v>0</v>
      </c>
      <c r="AL2891" t="s">
        <v>53</v>
      </c>
      <c r="AM2891" t="s">
        <v>53</v>
      </c>
      <c r="AN2891" t="s">
        <v>53</v>
      </c>
      <c r="AO2891" t="s">
        <v>53</v>
      </c>
      <c r="AP2891" t="s">
        <v>53</v>
      </c>
    </row>
    <row r="2892" spans="2:42" x14ac:dyDescent="0.2">
      <c r="B2892" t="s">
        <v>44</v>
      </c>
      <c r="C2892" t="str">
        <f>HYPERLINK("https://us2.cloudbeds.com/connect/8493803454333002#/reservations/10344464888044?display=7BNS1QBW0&amp;reservation_id=10344464888044", "7BNS1QBW0")</f>
        <v>7BNS1QBW0</v>
      </c>
      <c r="D2892" t="s">
        <v>45</v>
      </c>
      <c r="E2892" t="s">
        <v>373</v>
      </c>
      <c r="F2892" t="s">
        <v>47</v>
      </c>
      <c r="G2892" t="s">
        <v>48</v>
      </c>
      <c r="H2892" t="s">
        <v>49</v>
      </c>
      <c r="I2892" t="s">
        <v>62</v>
      </c>
      <c r="J2892" t="s">
        <v>2315</v>
      </c>
      <c r="K2892" t="s">
        <v>3000</v>
      </c>
      <c r="L2892" t="s">
        <v>53</v>
      </c>
      <c r="N2892" t="s">
        <v>4668</v>
      </c>
      <c r="P2892" t="s">
        <v>55</v>
      </c>
      <c r="R2892" t="s">
        <v>56</v>
      </c>
      <c r="T2892" t="s">
        <v>4669</v>
      </c>
      <c r="U2892" t="s">
        <v>55</v>
      </c>
      <c r="V2892">
        <v>2</v>
      </c>
      <c r="W2892">
        <v>1</v>
      </c>
      <c r="X2892">
        <v>2</v>
      </c>
      <c r="Y2892">
        <v>0</v>
      </c>
      <c r="Z2892">
        <v>2</v>
      </c>
      <c r="AA2892">
        <v>0</v>
      </c>
      <c r="AB2892">
        <v>344.69</v>
      </c>
      <c r="AC2892">
        <v>303.3</v>
      </c>
      <c r="AD2892">
        <v>0</v>
      </c>
      <c r="AE2892">
        <v>41.39</v>
      </c>
      <c r="AF2892">
        <v>0</v>
      </c>
      <c r="AG2892">
        <v>0</v>
      </c>
      <c r="AH2892">
        <v>0</v>
      </c>
      <c r="AI2892">
        <v>51.7</v>
      </c>
      <c r="AJ2892">
        <v>344.69</v>
      </c>
      <c r="AK2892">
        <v>0</v>
      </c>
      <c r="AL2892" t="s">
        <v>53</v>
      </c>
      <c r="AM2892" t="s">
        <v>53</v>
      </c>
      <c r="AN2892" t="s">
        <v>53</v>
      </c>
      <c r="AO2892" t="s">
        <v>53</v>
      </c>
      <c r="AP2892" t="s">
        <v>53</v>
      </c>
    </row>
    <row r="2893" spans="2:42" x14ac:dyDescent="0.2">
      <c r="B2893" t="s">
        <v>44</v>
      </c>
      <c r="C2893" t="str">
        <f>HYPERLINK("https://us2.cloudbeds.com/connect/8493803454333002#/reservations/10346156298381?display=7BP591BGN&amp;reservation_id=10346156298381", "7BP591BGN")</f>
        <v>7BP591BGN</v>
      </c>
      <c r="D2893" t="s">
        <v>45</v>
      </c>
      <c r="E2893" t="s">
        <v>98</v>
      </c>
      <c r="F2893" t="s">
        <v>86</v>
      </c>
      <c r="G2893" t="s">
        <v>3974</v>
      </c>
      <c r="H2893" t="s">
        <v>3957</v>
      </c>
      <c r="I2893" t="s">
        <v>3975</v>
      </c>
      <c r="J2893" t="s">
        <v>2058</v>
      </c>
      <c r="K2893" t="s">
        <v>2545</v>
      </c>
      <c r="L2893" t="s">
        <v>53</v>
      </c>
      <c r="P2893" t="s">
        <v>55</v>
      </c>
      <c r="R2893" t="s">
        <v>56</v>
      </c>
      <c r="T2893" t="s">
        <v>4670</v>
      </c>
      <c r="U2893" t="s">
        <v>58</v>
      </c>
      <c r="V2893">
        <v>2</v>
      </c>
      <c r="W2893">
        <v>1</v>
      </c>
      <c r="X2893">
        <v>3</v>
      </c>
      <c r="Y2893">
        <v>0</v>
      </c>
      <c r="Z2893">
        <v>3</v>
      </c>
      <c r="AA2893">
        <v>0</v>
      </c>
      <c r="AB2893">
        <v>368.24</v>
      </c>
      <c r="AC2893">
        <v>324</v>
      </c>
      <c r="AD2893">
        <v>0</v>
      </c>
      <c r="AE2893">
        <v>44.24</v>
      </c>
      <c r="AF2893">
        <v>0</v>
      </c>
      <c r="AG2893">
        <v>0</v>
      </c>
      <c r="AH2893">
        <v>0</v>
      </c>
      <c r="AI2893">
        <v>0</v>
      </c>
      <c r="AJ2893">
        <v>368.24</v>
      </c>
      <c r="AK2893">
        <v>0</v>
      </c>
      <c r="AL2893" t="s">
        <v>53</v>
      </c>
      <c r="AM2893" t="s">
        <v>53</v>
      </c>
      <c r="AN2893" t="s">
        <v>53</v>
      </c>
      <c r="AO2893" t="s">
        <v>53</v>
      </c>
      <c r="AP2893" t="s">
        <v>53</v>
      </c>
    </row>
    <row r="2894" spans="2:42" x14ac:dyDescent="0.2">
      <c r="B2894" t="s">
        <v>44</v>
      </c>
      <c r="C2894" t="str">
        <f>HYPERLINK("https://us2.cloudbeds.com/connect/8493803454333002#/reservations/10348743536840?display=7BR5CM2D4&amp;reservation_id=10348743536840", "7BR5CM2D4")</f>
        <v>7BR5CM2D4</v>
      </c>
      <c r="D2894" t="s">
        <v>45</v>
      </c>
      <c r="E2894" t="s">
        <v>265</v>
      </c>
      <c r="F2894" t="s">
        <v>61</v>
      </c>
      <c r="G2894" t="s">
        <v>48</v>
      </c>
      <c r="H2894" t="s">
        <v>49</v>
      </c>
      <c r="I2894" t="s">
        <v>62</v>
      </c>
      <c r="J2894" t="s">
        <v>1858</v>
      </c>
      <c r="K2894" t="s">
        <v>1610</v>
      </c>
      <c r="L2894" t="s">
        <v>53</v>
      </c>
      <c r="N2894" t="s">
        <v>4671</v>
      </c>
      <c r="P2894" t="s">
        <v>55</v>
      </c>
      <c r="R2894" t="s">
        <v>56</v>
      </c>
      <c r="T2894" t="s">
        <v>4672</v>
      </c>
      <c r="U2894" t="s">
        <v>55</v>
      </c>
      <c r="V2894">
        <v>2</v>
      </c>
      <c r="W2894">
        <v>1</v>
      </c>
      <c r="X2894">
        <v>2</v>
      </c>
      <c r="Y2894">
        <v>0</v>
      </c>
      <c r="Z2894">
        <v>2</v>
      </c>
      <c r="AA2894">
        <v>0</v>
      </c>
      <c r="AB2894">
        <v>232.19</v>
      </c>
      <c r="AC2894">
        <v>204.3</v>
      </c>
      <c r="AD2894">
        <v>0</v>
      </c>
      <c r="AE2894">
        <v>27.89</v>
      </c>
      <c r="AF2894">
        <v>0</v>
      </c>
      <c r="AG2894">
        <v>0</v>
      </c>
      <c r="AH2894">
        <v>0</v>
      </c>
      <c r="AI2894">
        <v>34.83</v>
      </c>
      <c r="AJ2894">
        <v>232.19</v>
      </c>
      <c r="AK2894">
        <v>0</v>
      </c>
      <c r="AL2894" t="s">
        <v>53</v>
      </c>
      <c r="AM2894" t="s">
        <v>53</v>
      </c>
      <c r="AN2894" t="s">
        <v>53</v>
      </c>
      <c r="AO2894" t="s">
        <v>53</v>
      </c>
      <c r="AP2894" t="s">
        <v>53</v>
      </c>
    </row>
    <row r="2895" spans="2:42" x14ac:dyDescent="0.2">
      <c r="B2895" t="s">
        <v>44</v>
      </c>
      <c r="C2895" t="str">
        <f>HYPERLINK("https://us2.cloudbeds.com/connect/8493803454333002#/reservations/10406956847274?display=7D67SM868&amp;reservation_id=10406956847274", "7D67SM868")</f>
        <v>7D67SM868</v>
      </c>
      <c r="D2895" t="s">
        <v>45</v>
      </c>
      <c r="E2895" t="s">
        <v>121</v>
      </c>
      <c r="F2895" t="s">
        <v>86</v>
      </c>
      <c r="G2895" t="s">
        <v>48</v>
      </c>
      <c r="H2895" t="s">
        <v>49</v>
      </c>
      <c r="I2895" t="s">
        <v>62</v>
      </c>
      <c r="J2895" t="s">
        <v>1502</v>
      </c>
      <c r="K2895" t="s">
        <v>1333</v>
      </c>
      <c r="L2895" t="s">
        <v>53</v>
      </c>
      <c r="N2895" t="s">
        <v>4673</v>
      </c>
      <c r="P2895" t="s">
        <v>55</v>
      </c>
      <c r="R2895" t="s">
        <v>56</v>
      </c>
      <c r="T2895" t="s">
        <v>4674</v>
      </c>
      <c r="U2895" t="s">
        <v>55</v>
      </c>
      <c r="V2895">
        <v>3</v>
      </c>
      <c r="W2895">
        <v>1</v>
      </c>
      <c r="X2895">
        <v>2</v>
      </c>
      <c r="Y2895">
        <v>0</v>
      </c>
      <c r="Z2895">
        <v>2</v>
      </c>
      <c r="AA2895">
        <v>0</v>
      </c>
      <c r="AB2895">
        <v>505.75</v>
      </c>
      <c r="AC2895">
        <v>445</v>
      </c>
      <c r="AD2895">
        <v>0</v>
      </c>
      <c r="AE2895">
        <v>60.75</v>
      </c>
      <c r="AF2895">
        <v>0</v>
      </c>
      <c r="AG2895">
        <v>0</v>
      </c>
      <c r="AH2895">
        <v>0</v>
      </c>
      <c r="AI2895">
        <v>75.86</v>
      </c>
      <c r="AJ2895">
        <v>505.75</v>
      </c>
      <c r="AK2895">
        <v>0</v>
      </c>
      <c r="AL2895" t="s">
        <v>53</v>
      </c>
      <c r="AM2895" t="s">
        <v>53</v>
      </c>
      <c r="AN2895" t="s">
        <v>53</v>
      </c>
      <c r="AO2895" t="s">
        <v>53</v>
      </c>
      <c r="AP2895" t="s">
        <v>53</v>
      </c>
    </row>
    <row r="2896" spans="2:42" x14ac:dyDescent="0.2">
      <c r="B2896" t="s">
        <v>44</v>
      </c>
      <c r="C2896" t="str">
        <f>HYPERLINK("https://us2.cloudbeds.com/connect/8493803454333002#/reservations/10497668460681?display=7FAFP3K45&amp;reservation_id=10497668460681", "7FAFP3K45")</f>
        <v>7FAFP3K45</v>
      </c>
      <c r="D2896" t="s">
        <v>45</v>
      </c>
      <c r="E2896" t="s">
        <v>213</v>
      </c>
      <c r="F2896" t="s">
        <v>86</v>
      </c>
      <c r="G2896" t="s">
        <v>48</v>
      </c>
      <c r="H2896" t="s">
        <v>49</v>
      </c>
      <c r="I2896" t="s">
        <v>62</v>
      </c>
      <c r="J2896" t="s">
        <v>1556</v>
      </c>
      <c r="K2896" t="s">
        <v>2315</v>
      </c>
      <c r="L2896" t="s">
        <v>53</v>
      </c>
      <c r="N2896" t="s">
        <v>4675</v>
      </c>
      <c r="P2896" t="s">
        <v>55</v>
      </c>
      <c r="R2896" t="s">
        <v>56</v>
      </c>
      <c r="T2896" t="s">
        <v>4676</v>
      </c>
      <c r="U2896" t="s">
        <v>55</v>
      </c>
      <c r="V2896">
        <v>2</v>
      </c>
      <c r="W2896">
        <v>1</v>
      </c>
      <c r="X2896">
        <v>4</v>
      </c>
      <c r="Y2896">
        <v>0</v>
      </c>
      <c r="Z2896">
        <v>4</v>
      </c>
      <c r="AA2896">
        <v>0</v>
      </c>
      <c r="AB2896">
        <v>360.06</v>
      </c>
      <c r="AC2896">
        <v>316.8</v>
      </c>
      <c r="AD2896">
        <v>0</v>
      </c>
      <c r="AE2896">
        <v>43.26</v>
      </c>
      <c r="AF2896">
        <v>0</v>
      </c>
      <c r="AG2896">
        <v>0</v>
      </c>
      <c r="AH2896">
        <v>0</v>
      </c>
      <c r="AI2896">
        <v>54.01</v>
      </c>
      <c r="AJ2896">
        <v>360.06</v>
      </c>
      <c r="AK2896">
        <v>0</v>
      </c>
      <c r="AL2896" t="s">
        <v>53</v>
      </c>
      <c r="AM2896" t="s">
        <v>53</v>
      </c>
      <c r="AN2896" t="s">
        <v>53</v>
      </c>
      <c r="AO2896" t="s">
        <v>53</v>
      </c>
      <c r="AP2896" t="s">
        <v>53</v>
      </c>
    </row>
    <row r="2897" spans="2:42" x14ac:dyDescent="0.2">
      <c r="B2897" t="s">
        <v>44</v>
      </c>
      <c r="C2897" t="str">
        <f>HYPERLINK("https://us2.cloudbeds.com/connect/8493803454333002#/reservations/10533392937091?display=7G54JURAC&amp;reservation_id=10533392937091", "7G54JURAC")</f>
        <v>7G54JURAC</v>
      </c>
      <c r="D2897" t="s">
        <v>45</v>
      </c>
      <c r="E2897" t="s">
        <v>381</v>
      </c>
      <c r="F2897" t="s">
        <v>47</v>
      </c>
      <c r="G2897" t="s">
        <v>48</v>
      </c>
      <c r="H2897" t="s">
        <v>3957</v>
      </c>
      <c r="I2897" t="s">
        <v>3989</v>
      </c>
      <c r="J2897" t="s">
        <v>2541</v>
      </c>
      <c r="K2897" t="s">
        <v>1436</v>
      </c>
      <c r="L2897" t="s">
        <v>53</v>
      </c>
      <c r="P2897" t="s">
        <v>58</v>
      </c>
      <c r="R2897" t="s">
        <v>56</v>
      </c>
      <c r="T2897" t="s">
        <v>4677</v>
      </c>
      <c r="U2897" t="s">
        <v>58</v>
      </c>
      <c r="V2897">
        <v>2</v>
      </c>
      <c r="W2897">
        <v>1</v>
      </c>
      <c r="X2897">
        <v>1</v>
      </c>
      <c r="Y2897">
        <v>0</v>
      </c>
      <c r="Z2897">
        <v>1</v>
      </c>
      <c r="AA2897">
        <v>0</v>
      </c>
      <c r="AB2897">
        <v>333.01</v>
      </c>
      <c r="AC2897">
        <v>293</v>
      </c>
      <c r="AD2897">
        <v>0</v>
      </c>
      <c r="AE2897">
        <v>40.01</v>
      </c>
      <c r="AF2897">
        <v>0</v>
      </c>
      <c r="AG2897">
        <v>0</v>
      </c>
      <c r="AH2897">
        <v>0</v>
      </c>
      <c r="AI2897">
        <v>0</v>
      </c>
      <c r="AJ2897">
        <v>333.01</v>
      </c>
      <c r="AK2897">
        <v>0</v>
      </c>
      <c r="AL2897" t="s">
        <v>53</v>
      </c>
      <c r="AM2897" t="s">
        <v>53</v>
      </c>
      <c r="AN2897" t="s">
        <v>53</v>
      </c>
      <c r="AO2897" t="s">
        <v>53</v>
      </c>
      <c r="AP2897" t="s">
        <v>53</v>
      </c>
    </row>
    <row r="2898" spans="2:42" x14ac:dyDescent="0.2">
      <c r="B2898" t="s">
        <v>44</v>
      </c>
      <c r="C2898" t="str">
        <f>HYPERLINK("https://us2.cloudbeds.com/connect/8493803454333002#/reservations/10536786813060?display=7G7PAZE5N&amp;reservation_id=10536786813060", "7G7PAZE5N")</f>
        <v>7G7PAZE5N</v>
      </c>
      <c r="D2898" t="s">
        <v>45</v>
      </c>
      <c r="E2898" t="s">
        <v>185</v>
      </c>
      <c r="F2898" t="s">
        <v>47</v>
      </c>
      <c r="G2898" t="s">
        <v>48</v>
      </c>
      <c r="H2898" t="s">
        <v>49</v>
      </c>
      <c r="I2898" t="s">
        <v>50</v>
      </c>
      <c r="J2898" t="s">
        <v>3104</v>
      </c>
      <c r="K2898" t="s">
        <v>1610</v>
      </c>
      <c r="L2898" t="s">
        <v>53</v>
      </c>
      <c r="N2898" t="s">
        <v>4678</v>
      </c>
      <c r="P2898" t="s">
        <v>55</v>
      </c>
      <c r="R2898" t="s">
        <v>53</v>
      </c>
      <c r="T2898" t="s">
        <v>4679</v>
      </c>
      <c r="U2898" t="s">
        <v>58</v>
      </c>
      <c r="V2898">
        <v>1</v>
      </c>
      <c r="W2898">
        <v>1</v>
      </c>
      <c r="X2898">
        <v>2</v>
      </c>
      <c r="Y2898">
        <v>0</v>
      </c>
      <c r="Z2898">
        <v>2</v>
      </c>
      <c r="AA2898">
        <v>0</v>
      </c>
      <c r="AB2898">
        <v>113.54</v>
      </c>
      <c r="AC2898">
        <v>99.9</v>
      </c>
      <c r="AD2898">
        <v>0</v>
      </c>
      <c r="AE2898">
        <v>13.64</v>
      </c>
      <c r="AF2898">
        <v>0</v>
      </c>
      <c r="AG2898">
        <v>0</v>
      </c>
      <c r="AH2898">
        <v>0</v>
      </c>
      <c r="AI2898">
        <v>20.440000000000001</v>
      </c>
      <c r="AJ2898">
        <v>113.54</v>
      </c>
      <c r="AK2898">
        <v>0</v>
      </c>
      <c r="AL2898" t="s">
        <v>53</v>
      </c>
      <c r="AM2898" t="s">
        <v>53</v>
      </c>
      <c r="AN2898" t="s">
        <v>53</v>
      </c>
      <c r="AO2898" t="s">
        <v>53</v>
      </c>
      <c r="AP2898" t="s">
        <v>53</v>
      </c>
    </row>
    <row r="2899" spans="2:42" x14ac:dyDescent="0.2">
      <c r="B2899" t="s">
        <v>44</v>
      </c>
      <c r="C2899" t="str">
        <f>HYPERLINK("https://us2.cloudbeds.com/connect/8493803454333002#/reservations/10546946924754?display=7GFKV0GW8&amp;reservation_id=10546946924754", "7GFKV0GW8")</f>
        <v>7GFKV0GW8</v>
      </c>
      <c r="D2899" t="s">
        <v>45</v>
      </c>
      <c r="E2899" t="s">
        <v>305</v>
      </c>
      <c r="F2899" t="s">
        <v>61</v>
      </c>
      <c r="G2899" t="s">
        <v>48</v>
      </c>
      <c r="H2899" t="s">
        <v>49</v>
      </c>
      <c r="I2899" t="s">
        <v>62</v>
      </c>
      <c r="J2899" t="s">
        <v>3514</v>
      </c>
      <c r="K2899" t="s">
        <v>3104</v>
      </c>
      <c r="L2899" t="s">
        <v>53</v>
      </c>
      <c r="N2899" t="s">
        <v>4680</v>
      </c>
      <c r="P2899" t="s">
        <v>55</v>
      </c>
      <c r="R2899" t="s">
        <v>56</v>
      </c>
      <c r="T2899" t="s">
        <v>4681</v>
      </c>
      <c r="U2899" t="s">
        <v>55</v>
      </c>
      <c r="V2899">
        <v>2</v>
      </c>
      <c r="W2899">
        <v>1</v>
      </c>
      <c r="X2899">
        <v>2</v>
      </c>
      <c r="Y2899">
        <v>0</v>
      </c>
      <c r="Z2899">
        <v>2</v>
      </c>
      <c r="AA2899">
        <v>0</v>
      </c>
      <c r="AB2899">
        <v>261.41000000000003</v>
      </c>
      <c r="AC2899">
        <v>230</v>
      </c>
      <c r="AD2899">
        <v>0</v>
      </c>
      <c r="AE2899">
        <v>31.41</v>
      </c>
      <c r="AF2899">
        <v>0</v>
      </c>
      <c r="AG2899">
        <v>0</v>
      </c>
      <c r="AH2899">
        <v>0</v>
      </c>
      <c r="AI2899">
        <v>39.21</v>
      </c>
      <c r="AJ2899">
        <v>261.41000000000003</v>
      </c>
      <c r="AK2899">
        <v>0</v>
      </c>
      <c r="AL2899" t="s">
        <v>53</v>
      </c>
      <c r="AM2899" t="s">
        <v>53</v>
      </c>
      <c r="AN2899" t="s">
        <v>53</v>
      </c>
      <c r="AO2899" t="s">
        <v>53</v>
      </c>
      <c r="AP2899" t="s">
        <v>53</v>
      </c>
    </row>
    <row r="2900" spans="2:42" x14ac:dyDescent="0.2">
      <c r="B2900" t="s">
        <v>44</v>
      </c>
      <c r="C2900" t="str">
        <f>HYPERLINK("https://us2.cloudbeds.com/connect/8493803454333002#/reservations/10556606800067?display=7GN3PFPTJ&amp;reservation_id=10556606800067", "7GN3PFPTJ")</f>
        <v>7GN3PFPTJ</v>
      </c>
      <c r="D2900" t="s">
        <v>45</v>
      </c>
      <c r="E2900" t="s">
        <v>155</v>
      </c>
      <c r="F2900" t="s">
        <v>86</v>
      </c>
      <c r="G2900" t="s">
        <v>48</v>
      </c>
      <c r="H2900" t="s">
        <v>49</v>
      </c>
      <c r="I2900" t="s">
        <v>62</v>
      </c>
      <c r="J2900" t="s">
        <v>1523</v>
      </c>
      <c r="K2900" t="s">
        <v>1161</v>
      </c>
      <c r="L2900" t="s">
        <v>53</v>
      </c>
      <c r="N2900" t="s">
        <v>4682</v>
      </c>
      <c r="P2900" t="s">
        <v>55</v>
      </c>
      <c r="R2900" t="s">
        <v>125</v>
      </c>
      <c r="T2900" t="s">
        <v>4683</v>
      </c>
      <c r="U2900" t="s">
        <v>55</v>
      </c>
      <c r="V2900">
        <v>2</v>
      </c>
      <c r="W2900">
        <v>1</v>
      </c>
      <c r="X2900">
        <v>4</v>
      </c>
      <c r="Y2900">
        <v>0</v>
      </c>
      <c r="Z2900">
        <v>4</v>
      </c>
      <c r="AA2900">
        <v>0</v>
      </c>
      <c r="AB2900">
        <v>368.24</v>
      </c>
      <c r="AC2900">
        <v>324</v>
      </c>
      <c r="AD2900">
        <v>0</v>
      </c>
      <c r="AE2900">
        <v>44.24</v>
      </c>
      <c r="AF2900">
        <v>0</v>
      </c>
      <c r="AG2900">
        <v>0</v>
      </c>
      <c r="AH2900">
        <v>0</v>
      </c>
      <c r="AI2900">
        <v>55.24</v>
      </c>
      <c r="AJ2900">
        <v>368.24</v>
      </c>
      <c r="AK2900">
        <v>0</v>
      </c>
      <c r="AL2900" t="s">
        <v>53</v>
      </c>
      <c r="AM2900" t="s">
        <v>53</v>
      </c>
      <c r="AN2900" t="s">
        <v>53</v>
      </c>
      <c r="AO2900" t="s">
        <v>53</v>
      </c>
      <c r="AP2900" t="s">
        <v>53</v>
      </c>
    </row>
    <row r="2901" spans="2:42" x14ac:dyDescent="0.2">
      <c r="B2901" t="s">
        <v>44</v>
      </c>
      <c r="C2901" t="str">
        <f>HYPERLINK("https://us2.cloudbeds.com/connect/8493803454333002#/reservations/10556629225694?display=7GN4BCQP1&amp;reservation_id=10556629225694", "7GN4BCQP1")</f>
        <v>7GN4BCQP1</v>
      </c>
      <c r="D2901" t="s">
        <v>45</v>
      </c>
      <c r="E2901" t="s">
        <v>4684</v>
      </c>
      <c r="F2901" t="s">
        <v>511</v>
      </c>
      <c r="G2901" t="s">
        <v>48</v>
      </c>
      <c r="H2901" t="s">
        <v>49</v>
      </c>
      <c r="I2901" t="s">
        <v>62</v>
      </c>
      <c r="J2901" t="s">
        <v>2634</v>
      </c>
      <c r="K2901" t="s">
        <v>2315</v>
      </c>
      <c r="L2901" t="s">
        <v>53</v>
      </c>
      <c r="N2901" t="s">
        <v>4685</v>
      </c>
      <c r="P2901" t="s">
        <v>55</v>
      </c>
      <c r="R2901" t="s">
        <v>56</v>
      </c>
      <c r="T2901" t="s">
        <v>4686</v>
      </c>
      <c r="U2901" t="s">
        <v>55</v>
      </c>
      <c r="V2901">
        <v>3</v>
      </c>
      <c r="W2901">
        <v>3</v>
      </c>
      <c r="X2901">
        <v>6</v>
      </c>
      <c r="Y2901">
        <v>1</v>
      </c>
      <c r="Z2901">
        <v>7</v>
      </c>
      <c r="AA2901">
        <v>0</v>
      </c>
      <c r="AB2901">
        <v>493.02</v>
      </c>
      <c r="AC2901">
        <v>433.8</v>
      </c>
      <c r="AD2901">
        <v>0</v>
      </c>
      <c r="AE2901">
        <v>59.22</v>
      </c>
      <c r="AF2901">
        <v>0</v>
      </c>
      <c r="AG2901">
        <v>0</v>
      </c>
      <c r="AH2901">
        <v>0</v>
      </c>
      <c r="AI2901">
        <v>73.95</v>
      </c>
      <c r="AJ2901">
        <v>493.02</v>
      </c>
      <c r="AK2901">
        <v>0</v>
      </c>
      <c r="AL2901" t="s">
        <v>53</v>
      </c>
      <c r="AM2901" t="s">
        <v>53</v>
      </c>
      <c r="AN2901" t="s">
        <v>53</v>
      </c>
      <c r="AO2901" t="s">
        <v>53</v>
      </c>
      <c r="AP2901" t="s">
        <v>53</v>
      </c>
    </row>
    <row r="2902" spans="2:42" x14ac:dyDescent="0.2">
      <c r="B2902" t="s">
        <v>44</v>
      </c>
      <c r="C2902" t="str">
        <f>HYPERLINK("https://us2.cloudbeds.com/connect/8493803454333002#/reservations/10580071710857?display=7H89BNH2A&amp;reservation_id=10580071710857", "7H89BNH2A")</f>
        <v>7H89BNH2A</v>
      </c>
      <c r="D2902" t="s">
        <v>45</v>
      </c>
      <c r="E2902" t="s">
        <v>179</v>
      </c>
      <c r="F2902" t="s">
        <v>47</v>
      </c>
      <c r="G2902" t="s">
        <v>48</v>
      </c>
      <c r="H2902" t="s">
        <v>3957</v>
      </c>
      <c r="I2902" t="s">
        <v>3975</v>
      </c>
      <c r="J2902" t="s">
        <v>1767</v>
      </c>
      <c r="K2902" t="s">
        <v>1477</v>
      </c>
      <c r="L2902" t="s">
        <v>53</v>
      </c>
      <c r="P2902" t="s">
        <v>55</v>
      </c>
      <c r="R2902" t="s">
        <v>56</v>
      </c>
      <c r="T2902" t="s">
        <v>4687</v>
      </c>
      <c r="U2902" t="s">
        <v>58</v>
      </c>
      <c r="V2902">
        <v>1</v>
      </c>
      <c r="W2902">
        <v>1</v>
      </c>
      <c r="X2902">
        <v>1</v>
      </c>
      <c r="Y2902">
        <v>0</v>
      </c>
      <c r="Z2902">
        <v>1</v>
      </c>
      <c r="AA2902">
        <v>0</v>
      </c>
      <c r="AB2902">
        <v>213.66</v>
      </c>
      <c r="AC2902">
        <v>188</v>
      </c>
      <c r="AD2902">
        <v>0</v>
      </c>
      <c r="AE2902">
        <v>25.66</v>
      </c>
      <c r="AF2902">
        <v>0</v>
      </c>
      <c r="AG2902">
        <v>0</v>
      </c>
      <c r="AH2902">
        <v>0</v>
      </c>
      <c r="AI2902">
        <v>0</v>
      </c>
      <c r="AJ2902">
        <v>213.66</v>
      </c>
      <c r="AK2902">
        <v>0</v>
      </c>
      <c r="AL2902" t="s">
        <v>53</v>
      </c>
      <c r="AM2902" t="s">
        <v>53</v>
      </c>
      <c r="AN2902" t="s">
        <v>53</v>
      </c>
      <c r="AO2902" t="s">
        <v>53</v>
      </c>
      <c r="AP2902" t="s">
        <v>53</v>
      </c>
    </row>
    <row r="2903" spans="2:42" x14ac:dyDescent="0.2">
      <c r="B2903" t="s">
        <v>44</v>
      </c>
      <c r="C2903" t="str">
        <f>HYPERLINK("https://us2.cloudbeds.com/connect/8493803454333002#/reservations/10690503299287?display=7JRQ4X8BU&amp;reservation_id=10690503299287", "7JRQ4X8BU")</f>
        <v>7JRQ4X8BU</v>
      </c>
      <c r="D2903" t="s">
        <v>45</v>
      </c>
      <c r="E2903" t="s">
        <v>105</v>
      </c>
      <c r="F2903" t="s">
        <v>47</v>
      </c>
      <c r="G2903" t="s">
        <v>48</v>
      </c>
      <c r="H2903" t="s">
        <v>49</v>
      </c>
      <c r="I2903" t="s">
        <v>50</v>
      </c>
      <c r="J2903" t="s">
        <v>1611</v>
      </c>
      <c r="K2903" t="s">
        <v>3551</v>
      </c>
      <c r="L2903" t="s">
        <v>53</v>
      </c>
      <c r="N2903" t="s">
        <v>4688</v>
      </c>
      <c r="P2903" t="s">
        <v>55</v>
      </c>
      <c r="R2903" t="s">
        <v>53</v>
      </c>
      <c r="T2903" t="s">
        <v>4689</v>
      </c>
      <c r="U2903" t="s">
        <v>58</v>
      </c>
      <c r="V2903">
        <v>1</v>
      </c>
      <c r="W2903">
        <v>1</v>
      </c>
      <c r="X2903">
        <v>2</v>
      </c>
      <c r="Y2903">
        <v>0</v>
      </c>
      <c r="Z2903">
        <v>2</v>
      </c>
      <c r="AA2903">
        <v>0</v>
      </c>
      <c r="AB2903">
        <v>154.44999999999999</v>
      </c>
      <c r="AC2903">
        <v>135.9</v>
      </c>
      <c r="AD2903">
        <v>0</v>
      </c>
      <c r="AE2903">
        <v>18.55</v>
      </c>
      <c r="AF2903">
        <v>0</v>
      </c>
      <c r="AG2903">
        <v>0</v>
      </c>
      <c r="AH2903">
        <v>0</v>
      </c>
      <c r="AI2903">
        <v>27.8</v>
      </c>
      <c r="AJ2903">
        <v>154.44999999999999</v>
      </c>
      <c r="AK2903">
        <v>0</v>
      </c>
      <c r="AL2903" t="s">
        <v>53</v>
      </c>
      <c r="AM2903" t="s">
        <v>53</v>
      </c>
      <c r="AN2903" t="s">
        <v>53</v>
      </c>
      <c r="AO2903" t="s">
        <v>53</v>
      </c>
      <c r="AP2903" t="s">
        <v>53</v>
      </c>
    </row>
    <row r="2904" spans="2:42" x14ac:dyDescent="0.2">
      <c r="B2904" t="s">
        <v>44</v>
      </c>
      <c r="C2904" t="str">
        <f>HYPERLINK("https://us2.cloudbeds.com/connect/8493803454333002#/reservations/10892545532096?display=7ZXM7E9FF&amp;reservation_id=10892545532096", "7ZXM7E9FF")</f>
        <v>7ZXM7E9FF</v>
      </c>
      <c r="D2904" t="s">
        <v>45</v>
      </c>
      <c r="E2904" t="s">
        <v>69</v>
      </c>
      <c r="F2904" t="s">
        <v>70</v>
      </c>
      <c r="G2904" t="s">
        <v>48</v>
      </c>
      <c r="H2904" t="s">
        <v>49</v>
      </c>
      <c r="I2904" t="s">
        <v>62</v>
      </c>
      <c r="J2904" t="s">
        <v>1477</v>
      </c>
      <c r="K2904" t="s">
        <v>1664</v>
      </c>
      <c r="L2904" t="s">
        <v>53</v>
      </c>
      <c r="N2904" t="s">
        <v>4690</v>
      </c>
      <c r="P2904" t="s">
        <v>55</v>
      </c>
      <c r="R2904" t="s">
        <v>56</v>
      </c>
      <c r="T2904" t="s">
        <v>4691</v>
      </c>
      <c r="U2904" t="s">
        <v>55</v>
      </c>
      <c r="V2904">
        <v>1</v>
      </c>
      <c r="W2904">
        <v>1</v>
      </c>
      <c r="X2904">
        <v>2</v>
      </c>
      <c r="Y2904">
        <v>0</v>
      </c>
      <c r="Z2904">
        <v>2</v>
      </c>
      <c r="AA2904">
        <v>0</v>
      </c>
      <c r="AB2904">
        <v>214.8</v>
      </c>
      <c r="AC2904">
        <v>189</v>
      </c>
      <c r="AD2904">
        <v>0</v>
      </c>
      <c r="AE2904">
        <v>25.8</v>
      </c>
      <c r="AF2904">
        <v>0</v>
      </c>
      <c r="AG2904">
        <v>0</v>
      </c>
      <c r="AH2904">
        <v>0</v>
      </c>
      <c r="AI2904">
        <v>32.22</v>
      </c>
      <c r="AJ2904">
        <v>214.8</v>
      </c>
      <c r="AK2904">
        <v>0</v>
      </c>
      <c r="AL2904" t="s">
        <v>53</v>
      </c>
      <c r="AM2904" t="s">
        <v>53</v>
      </c>
      <c r="AN2904" t="s">
        <v>53</v>
      </c>
      <c r="AO2904" t="s">
        <v>53</v>
      </c>
      <c r="AP2904" t="s">
        <v>53</v>
      </c>
    </row>
    <row r="2905" spans="2:42" x14ac:dyDescent="0.2">
      <c r="B2905" t="s">
        <v>44</v>
      </c>
      <c r="C2905" t="str">
        <f>HYPERLINK("https://us2.cloudbeds.com/connect/8493803454333002#/reservations/10912316305625?display=7P1HW54AJ&amp;reservation_id=10912316305625", "7P1HW54AJ")</f>
        <v>7P1HW54AJ</v>
      </c>
      <c r="D2905" t="s">
        <v>45</v>
      </c>
      <c r="E2905" t="s">
        <v>4692</v>
      </c>
      <c r="F2905" t="s">
        <v>86</v>
      </c>
      <c r="G2905" t="s">
        <v>48</v>
      </c>
      <c r="H2905" t="s">
        <v>49</v>
      </c>
      <c r="I2905" t="s">
        <v>62</v>
      </c>
      <c r="J2905" t="s">
        <v>2541</v>
      </c>
      <c r="K2905" t="s">
        <v>1502</v>
      </c>
      <c r="L2905" t="s">
        <v>53</v>
      </c>
      <c r="N2905" t="s">
        <v>4693</v>
      </c>
      <c r="P2905" t="s">
        <v>55</v>
      </c>
      <c r="R2905" t="s">
        <v>56</v>
      </c>
      <c r="T2905" t="s">
        <v>4694</v>
      </c>
      <c r="U2905" t="s">
        <v>55</v>
      </c>
      <c r="V2905">
        <v>3</v>
      </c>
      <c r="W2905">
        <v>3</v>
      </c>
      <c r="X2905">
        <v>12</v>
      </c>
      <c r="Y2905">
        <v>0</v>
      </c>
      <c r="Z2905">
        <v>12</v>
      </c>
      <c r="AA2905">
        <v>0</v>
      </c>
      <c r="AB2905">
        <v>481.8</v>
      </c>
      <c r="AC2905">
        <v>423.9</v>
      </c>
      <c r="AD2905">
        <v>0</v>
      </c>
      <c r="AE2905">
        <v>57.9</v>
      </c>
      <c r="AF2905">
        <v>0</v>
      </c>
      <c r="AG2905">
        <v>0</v>
      </c>
      <c r="AH2905">
        <v>0</v>
      </c>
      <c r="AI2905">
        <v>72.27</v>
      </c>
      <c r="AJ2905">
        <v>481.8</v>
      </c>
      <c r="AK2905">
        <v>0</v>
      </c>
      <c r="AL2905" t="s">
        <v>53</v>
      </c>
      <c r="AM2905" t="s">
        <v>53</v>
      </c>
      <c r="AN2905" t="s">
        <v>53</v>
      </c>
      <c r="AO2905" t="s">
        <v>53</v>
      </c>
      <c r="AP2905" t="s">
        <v>53</v>
      </c>
    </row>
    <row r="2906" spans="2:42" x14ac:dyDescent="0.2">
      <c r="B2906" t="s">
        <v>44</v>
      </c>
      <c r="C2906" t="str">
        <f>HYPERLINK("https://us2.cloudbeds.com/connect/8493803454333002#/reservations/10914996687090?display=7P3KFAMWB&amp;reservation_id=10914996687090", "7P3KFAMWB")</f>
        <v>7P3KFAMWB</v>
      </c>
      <c r="D2906" t="s">
        <v>45</v>
      </c>
      <c r="E2906" t="s">
        <v>110</v>
      </c>
      <c r="F2906" t="s">
        <v>47</v>
      </c>
      <c r="G2906" t="s">
        <v>48</v>
      </c>
      <c r="H2906" t="s">
        <v>49</v>
      </c>
      <c r="I2906" t="s">
        <v>50</v>
      </c>
      <c r="J2906" t="s">
        <v>1477</v>
      </c>
      <c r="K2906" t="s">
        <v>1664</v>
      </c>
      <c r="L2906" t="s">
        <v>53</v>
      </c>
      <c r="N2906" t="s">
        <v>4695</v>
      </c>
      <c r="P2906" t="s">
        <v>55</v>
      </c>
      <c r="R2906" t="s">
        <v>53</v>
      </c>
      <c r="T2906" t="s">
        <v>4696</v>
      </c>
      <c r="U2906" t="s">
        <v>58</v>
      </c>
      <c r="V2906">
        <v>1</v>
      </c>
      <c r="W2906">
        <v>1</v>
      </c>
      <c r="X2906">
        <v>2</v>
      </c>
      <c r="Y2906">
        <v>0</v>
      </c>
      <c r="Z2906">
        <v>2</v>
      </c>
      <c r="AA2906">
        <v>0</v>
      </c>
      <c r="AB2906">
        <v>202.53</v>
      </c>
      <c r="AC2906">
        <v>178.2</v>
      </c>
      <c r="AD2906">
        <v>0</v>
      </c>
      <c r="AE2906">
        <v>24.33</v>
      </c>
      <c r="AF2906">
        <v>0</v>
      </c>
      <c r="AG2906">
        <v>0</v>
      </c>
      <c r="AH2906">
        <v>0</v>
      </c>
      <c r="AI2906">
        <v>36.46</v>
      </c>
      <c r="AJ2906">
        <v>202.53</v>
      </c>
      <c r="AK2906">
        <v>0</v>
      </c>
      <c r="AL2906" t="s">
        <v>53</v>
      </c>
      <c r="AM2906" t="s">
        <v>53</v>
      </c>
      <c r="AN2906" t="s">
        <v>53</v>
      </c>
      <c r="AO2906" t="s">
        <v>53</v>
      </c>
      <c r="AP2906" t="s">
        <v>53</v>
      </c>
    </row>
    <row r="2907" spans="2:42" x14ac:dyDescent="0.2">
      <c r="B2907" t="s">
        <v>44</v>
      </c>
      <c r="C2907" t="str">
        <f>HYPERLINK("https://us2.cloudbeds.com/connect/8493803454333002#/reservations/10922166411485?display=7P95M0RUV&amp;reservation_id=10922166411485", "7P95M0RUV")</f>
        <v>7P95M0RUV</v>
      </c>
      <c r="D2907" t="s">
        <v>45</v>
      </c>
      <c r="E2907" t="s">
        <v>381</v>
      </c>
      <c r="F2907" t="s">
        <v>47</v>
      </c>
      <c r="G2907" t="s">
        <v>48</v>
      </c>
      <c r="H2907" t="s">
        <v>49</v>
      </c>
      <c r="I2907" t="s">
        <v>62</v>
      </c>
      <c r="J2907" t="s">
        <v>3196</v>
      </c>
      <c r="K2907" t="s">
        <v>3000</v>
      </c>
      <c r="L2907" t="s">
        <v>53</v>
      </c>
      <c r="N2907" t="s">
        <v>4697</v>
      </c>
      <c r="P2907" t="s">
        <v>55</v>
      </c>
      <c r="R2907" t="s">
        <v>56</v>
      </c>
      <c r="T2907" t="s">
        <v>4698</v>
      </c>
      <c r="U2907" t="s">
        <v>55</v>
      </c>
      <c r="V2907">
        <v>1</v>
      </c>
      <c r="W2907">
        <v>1</v>
      </c>
      <c r="X2907">
        <v>2</v>
      </c>
      <c r="Y2907">
        <v>0</v>
      </c>
      <c r="Z2907">
        <v>2</v>
      </c>
      <c r="AA2907">
        <v>0</v>
      </c>
      <c r="AB2907">
        <v>201.16</v>
      </c>
      <c r="AC2907">
        <v>177</v>
      </c>
      <c r="AD2907">
        <v>0</v>
      </c>
      <c r="AE2907">
        <v>24.16</v>
      </c>
      <c r="AF2907">
        <v>0</v>
      </c>
      <c r="AG2907">
        <v>0</v>
      </c>
      <c r="AH2907">
        <v>0</v>
      </c>
      <c r="AI2907">
        <v>30.17</v>
      </c>
      <c r="AJ2907">
        <v>201.16</v>
      </c>
      <c r="AK2907">
        <v>0</v>
      </c>
      <c r="AL2907" t="s">
        <v>53</v>
      </c>
      <c r="AM2907" t="s">
        <v>53</v>
      </c>
      <c r="AN2907" t="s">
        <v>53</v>
      </c>
      <c r="AO2907" t="s">
        <v>53</v>
      </c>
      <c r="AP2907" t="s">
        <v>53</v>
      </c>
    </row>
    <row r="2908" spans="2:42" x14ac:dyDescent="0.2">
      <c r="B2908" t="s">
        <v>44</v>
      </c>
      <c r="C2908" t="str">
        <f>HYPERLINK("https://us2.cloudbeds.com/connect/8493803454333002#/reservations/11249209327824?display=7WVDC92W5&amp;reservation_id=11249209327824", "7WVDC92W5")</f>
        <v>7WVDC92W5</v>
      </c>
      <c r="D2908" t="s">
        <v>45</v>
      </c>
      <c r="E2908" t="s">
        <v>213</v>
      </c>
      <c r="F2908" t="s">
        <v>86</v>
      </c>
      <c r="G2908" t="s">
        <v>4520</v>
      </c>
      <c r="H2908" t="s">
        <v>3957</v>
      </c>
      <c r="I2908" t="s">
        <v>3989</v>
      </c>
      <c r="J2908" t="s">
        <v>1436</v>
      </c>
      <c r="K2908" t="s">
        <v>1332</v>
      </c>
      <c r="L2908" t="s">
        <v>53</v>
      </c>
      <c r="P2908" t="s">
        <v>55</v>
      </c>
      <c r="R2908" t="s">
        <v>56</v>
      </c>
      <c r="T2908" t="s">
        <v>4699</v>
      </c>
      <c r="U2908" t="s">
        <v>58</v>
      </c>
      <c r="V2908">
        <v>1</v>
      </c>
      <c r="W2908">
        <v>1</v>
      </c>
      <c r="X2908">
        <v>1</v>
      </c>
      <c r="Y2908">
        <v>0</v>
      </c>
      <c r="Z2908">
        <v>1</v>
      </c>
      <c r="AA2908">
        <v>0</v>
      </c>
      <c r="AB2908">
        <v>193.31</v>
      </c>
      <c r="AC2908">
        <v>170.1</v>
      </c>
      <c r="AD2908">
        <v>0</v>
      </c>
      <c r="AE2908">
        <v>23.21</v>
      </c>
      <c r="AF2908">
        <v>0</v>
      </c>
      <c r="AG2908">
        <v>0</v>
      </c>
      <c r="AH2908">
        <v>0</v>
      </c>
      <c r="AI2908">
        <v>0</v>
      </c>
      <c r="AJ2908">
        <v>193.31</v>
      </c>
      <c r="AK2908">
        <v>0</v>
      </c>
      <c r="AL2908" t="s">
        <v>53</v>
      </c>
      <c r="AM2908" t="s">
        <v>53</v>
      </c>
      <c r="AN2908" t="s">
        <v>53</v>
      </c>
      <c r="AO2908" t="s">
        <v>53</v>
      </c>
      <c r="AP2908" t="s">
        <v>53</v>
      </c>
    </row>
    <row r="2909" spans="2:42" x14ac:dyDescent="0.2">
      <c r="B2909" t="s">
        <v>44</v>
      </c>
      <c r="C2909" t="str">
        <f>HYPERLINK("https://us2.cloudbeds.com/connect/8493803454333002#/reservations/11291393626269?display=80V296CG8&amp;reservation_id=11291393626269", "80V296CG8")</f>
        <v>80V296CG8</v>
      </c>
      <c r="D2909" t="s">
        <v>45</v>
      </c>
      <c r="E2909" t="s">
        <v>121</v>
      </c>
      <c r="F2909" t="s">
        <v>86</v>
      </c>
      <c r="G2909" t="s">
        <v>48</v>
      </c>
      <c r="H2909" t="s">
        <v>3957</v>
      </c>
      <c r="I2909" t="s">
        <v>3958</v>
      </c>
      <c r="J2909" t="s">
        <v>1858</v>
      </c>
      <c r="K2909" t="s">
        <v>1610</v>
      </c>
      <c r="L2909" t="s">
        <v>53</v>
      </c>
      <c r="P2909" t="s">
        <v>55</v>
      </c>
      <c r="R2909" t="s">
        <v>56</v>
      </c>
      <c r="T2909" t="s">
        <v>4700</v>
      </c>
      <c r="U2909" t="s">
        <v>58</v>
      </c>
      <c r="V2909">
        <v>2</v>
      </c>
      <c r="W2909">
        <v>1</v>
      </c>
      <c r="X2909">
        <v>1</v>
      </c>
      <c r="Y2909">
        <v>0</v>
      </c>
      <c r="Z2909">
        <v>1</v>
      </c>
      <c r="AA2909">
        <v>0</v>
      </c>
      <c r="AB2909">
        <v>379.61</v>
      </c>
      <c r="AC2909">
        <v>334</v>
      </c>
      <c r="AD2909">
        <v>0</v>
      </c>
      <c r="AE2909">
        <v>45.61</v>
      </c>
      <c r="AF2909">
        <v>0</v>
      </c>
      <c r="AG2909">
        <v>0</v>
      </c>
      <c r="AH2909">
        <v>0</v>
      </c>
      <c r="AI2909">
        <v>0</v>
      </c>
      <c r="AJ2909">
        <v>379.61</v>
      </c>
      <c r="AK2909">
        <v>0</v>
      </c>
      <c r="AL2909" t="s">
        <v>53</v>
      </c>
      <c r="AM2909" t="s">
        <v>53</v>
      </c>
      <c r="AN2909" t="s">
        <v>53</v>
      </c>
      <c r="AO2909" t="s">
        <v>53</v>
      </c>
      <c r="AP2909" t="s">
        <v>53</v>
      </c>
    </row>
    <row r="2910" spans="2:42" x14ac:dyDescent="0.2">
      <c r="B2910" t="s">
        <v>44</v>
      </c>
      <c r="C2910" t="str">
        <f>HYPERLINK("https://us2.cloudbeds.com/connect/8493803454333002#/reservations/11395238199447?display=83CFZMN92&amp;reservation_id=11395238199447", "83CFZMN92")</f>
        <v>83CFZMN92</v>
      </c>
      <c r="D2910" t="s">
        <v>45</v>
      </c>
      <c r="E2910" t="s">
        <v>138</v>
      </c>
      <c r="F2910" t="s">
        <v>70</v>
      </c>
      <c r="G2910" t="s">
        <v>48</v>
      </c>
      <c r="H2910" t="s">
        <v>49</v>
      </c>
      <c r="I2910" t="s">
        <v>62</v>
      </c>
      <c r="J2910" t="s">
        <v>3551</v>
      </c>
      <c r="K2910" t="s">
        <v>2541</v>
      </c>
      <c r="L2910" t="s">
        <v>53</v>
      </c>
      <c r="N2910" t="s">
        <v>4701</v>
      </c>
      <c r="P2910" t="s">
        <v>55</v>
      </c>
      <c r="R2910" t="s">
        <v>56</v>
      </c>
      <c r="T2910" t="s">
        <v>4702</v>
      </c>
      <c r="U2910" t="s">
        <v>55</v>
      </c>
      <c r="V2910">
        <v>1</v>
      </c>
      <c r="W2910">
        <v>1</v>
      </c>
      <c r="X2910">
        <v>2</v>
      </c>
      <c r="Y2910">
        <v>0</v>
      </c>
      <c r="Z2910">
        <v>2</v>
      </c>
      <c r="AA2910">
        <v>0</v>
      </c>
      <c r="AB2910">
        <v>161.38999999999999</v>
      </c>
      <c r="AC2910">
        <v>142</v>
      </c>
      <c r="AD2910">
        <v>0</v>
      </c>
      <c r="AE2910">
        <v>19.39</v>
      </c>
      <c r="AF2910">
        <v>0</v>
      </c>
      <c r="AG2910">
        <v>0</v>
      </c>
      <c r="AH2910">
        <v>0</v>
      </c>
      <c r="AI2910">
        <v>24.21</v>
      </c>
      <c r="AJ2910">
        <v>161.38999999999999</v>
      </c>
      <c r="AK2910">
        <v>0</v>
      </c>
      <c r="AL2910" t="s">
        <v>53</v>
      </c>
      <c r="AM2910" t="s">
        <v>53</v>
      </c>
      <c r="AN2910" t="s">
        <v>53</v>
      </c>
      <c r="AO2910" t="s">
        <v>53</v>
      </c>
      <c r="AP2910" t="s">
        <v>53</v>
      </c>
    </row>
    <row r="2911" spans="2:42" x14ac:dyDescent="0.2">
      <c r="B2911" t="s">
        <v>44</v>
      </c>
      <c r="C2911" t="str">
        <f>HYPERLINK("https://us2.cloudbeds.com/connect/8493803454333002#/reservations/11569751150769?display=87FJVKR98&amp;reservation_id=11569751150769", "87FJVKR98")</f>
        <v>87FJVKR98</v>
      </c>
      <c r="D2911" t="s">
        <v>45</v>
      </c>
      <c r="E2911" t="s">
        <v>60</v>
      </c>
      <c r="F2911" t="s">
        <v>61</v>
      </c>
      <c r="G2911" t="s">
        <v>48</v>
      </c>
      <c r="H2911" t="s">
        <v>3957</v>
      </c>
      <c r="I2911" t="s">
        <v>3975</v>
      </c>
      <c r="J2911" t="s">
        <v>3233</v>
      </c>
      <c r="K2911" t="s">
        <v>1779</v>
      </c>
      <c r="L2911" t="s">
        <v>53</v>
      </c>
      <c r="P2911" t="s">
        <v>55</v>
      </c>
      <c r="R2911" t="s">
        <v>56</v>
      </c>
      <c r="T2911" t="s">
        <v>4703</v>
      </c>
      <c r="U2911" t="s">
        <v>58</v>
      </c>
      <c r="V2911">
        <v>2</v>
      </c>
      <c r="W2911">
        <v>2</v>
      </c>
      <c r="X2911">
        <v>4</v>
      </c>
      <c r="Y2911">
        <v>0</v>
      </c>
      <c r="Z2911">
        <v>4</v>
      </c>
      <c r="AA2911">
        <v>0</v>
      </c>
      <c r="AB2911">
        <v>315.95999999999998</v>
      </c>
      <c r="AC2911">
        <v>278</v>
      </c>
      <c r="AD2911">
        <v>0</v>
      </c>
      <c r="AE2911">
        <v>37.96</v>
      </c>
      <c r="AF2911">
        <v>0</v>
      </c>
      <c r="AG2911">
        <v>0</v>
      </c>
      <c r="AH2911">
        <v>0</v>
      </c>
      <c r="AI2911">
        <v>0</v>
      </c>
      <c r="AJ2911">
        <v>315.95999999999998</v>
      </c>
      <c r="AK2911">
        <v>0</v>
      </c>
      <c r="AL2911" t="s">
        <v>53</v>
      </c>
      <c r="AM2911" t="s">
        <v>53</v>
      </c>
      <c r="AN2911" t="s">
        <v>53</v>
      </c>
      <c r="AO2911" t="s">
        <v>53</v>
      </c>
      <c r="AP2911" t="s">
        <v>53</v>
      </c>
    </row>
    <row r="2912" spans="2:42" x14ac:dyDescent="0.2">
      <c r="B2912" t="s">
        <v>44</v>
      </c>
      <c r="C2912" t="str">
        <f>HYPERLINK("https://us2.cloudbeds.com/connect/8493803454333002#/reservations/11591530090726?display=87WFF6USZ&amp;reservation_id=11591530090726", "87WFF6USZ")</f>
        <v>87WFF6USZ</v>
      </c>
      <c r="D2912" t="s">
        <v>45</v>
      </c>
      <c r="E2912" t="s">
        <v>113</v>
      </c>
      <c r="F2912" t="s">
        <v>61</v>
      </c>
      <c r="G2912" t="s">
        <v>48</v>
      </c>
      <c r="H2912" t="s">
        <v>49</v>
      </c>
      <c r="I2912" t="s">
        <v>50</v>
      </c>
      <c r="J2912" t="s">
        <v>1333</v>
      </c>
      <c r="K2912" t="s">
        <v>2412</v>
      </c>
      <c r="L2912" t="s">
        <v>53</v>
      </c>
      <c r="N2912" t="s">
        <v>4704</v>
      </c>
      <c r="P2912" t="s">
        <v>55</v>
      </c>
      <c r="R2912" t="s">
        <v>56</v>
      </c>
      <c r="T2912" t="s">
        <v>4705</v>
      </c>
      <c r="U2912" t="s">
        <v>58</v>
      </c>
      <c r="V2912">
        <v>2</v>
      </c>
      <c r="W2912">
        <v>1</v>
      </c>
      <c r="X2912">
        <v>2</v>
      </c>
      <c r="Y2912">
        <v>0</v>
      </c>
      <c r="Z2912">
        <v>2</v>
      </c>
      <c r="AA2912">
        <v>0</v>
      </c>
      <c r="AB2912">
        <v>381.86</v>
      </c>
      <c r="AC2912">
        <v>336</v>
      </c>
      <c r="AD2912">
        <v>0</v>
      </c>
      <c r="AE2912">
        <v>45.86</v>
      </c>
      <c r="AF2912">
        <v>0</v>
      </c>
      <c r="AG2912">
        <v>0</v>
      </c>
      <c r="AH2912">
        <v>0</v>
      </c>
      <c r="AI2912">
        <v>68.73</v>
      </c>
      <c r="AJ2912">
        <v>381.86</v>
      </c>
      <c r="AK2912">
        <v>0</v>
      </c>
      <c r="AL2912" t="s">
        <v>53</v>
      </c>
      <c r="AM2912" t="s">
        <v>53</v>
      </c>
      <c r="AN2912" t="s">
        <v>53</v>
      </c>
      <c r="AO2912" t="s">
        <v>53</v>
      </c>
      <c r="AP2912" t="s">
        <v>53</v>
      </c>
    </row>
    <row r="2913" spans="2:42" x14ac:dyDescent="0.2">
      <c r="B2913" t="s">
        <v>44</v>
      </c>
      <c r="C2913" t="str">
        <f>HYPERLINK("https://us2.cloudbeds.com/connect/8493803454333002#/reservations/11664970563789?display=89NB15BQE&amp;reservation_id=11664970563789", "89NB15BQE")</f>
        <v>89NB15BQE</v>
      </c>
      <c r="D2913" t="s">
        <v>45</v>
      </c>
      <c r="E2913" t="s">
        <v>185</v>
      </c>
      <c r="F2913" t="s">
        <v>47</v>
      </c>
      <c r="G2913" t="s">
        <v>4706</v>
      </c>
      <c r="H2913" t="s">
        <v>3957</v>
      </c>
      <c r="I2913" t="s">
        <v>3958</v>
      </c>
      <c r="J2913" t="s">
        <v>1665</v>
      </c>
      <c r="K2913" t="s">
        <v>1858</v>
      </c>
      <c r="L2913" t="s">
        <v>53</v>
      </c>
      <c r="P2913" t="s">
        <v>58</v>
      </c>
      <c r="R2913" t="s">
        <v>56</v>
      </c>
      <c r="T2913" t="s">
        <v>4707</v>
      </c>
      <c r="U2913" t="s">
        <v>58</v>
      </c>
      <c r="V2913">
        <v>3</v>
      </c>
      <c r="W2913">
        <v>2</v>
      </c>
      <c r="X2913">
        <v>2</v>
      </c>
      <c r="Y2913">
        <v>0</v>
      </c>
      <c r="Z2913">
        <v>2</v>
      </c>
      <c r="AA2913">
        <v>0</v>
      </c>
      <c r="AB2913">
        <v>496.3</v>
      </c>
      <c r="AC2913">
        <v>436.7</v>
      </c>
      <c r="AD2913">
        <v>0</v>
      </c>
      <c r="AE2913">
        <v>59.6</v>
      </c>
      <c r="AF2913">
        <v>0</v>
      </c>
      <c r="AG2913">
        <v>0</v>
      </c>
      <c r="AH2913">
        <v>0</v>
      </c>
      <c r="AI2913">
        <v>0</v>
      </c>
      <c r="AJ2913">
        <v>496.3</v>
      </c>
      <c r="AK2913">
        <v>0</v>
      </c>
      <c r="AL2913" t="s">
        <v>53</v>
      </c>
      <c r="AM2913" t="s">
        <v>53</v>
      </c>
      <c r="AN2913" t="s">
        <v>53</v>
      </c>
      <c r="AO2913" t="s">
        <v>53</v>
      </c>
      <c r="AP2913" t="s">
        <v>53</v>
      </c>
    </row>
    <row r="2914" spans="2:42" x14ac:dyDescent="0.2">
      <c r="B2914" t="s">
        <v>44</v>
      </c>
      <c r="C2914" t="str">
        <f>HYPERLINK("https://us2.cloudbeds.com/connect/8493803454333002#/reservations/11736673419421?display=8BCS6U0EF&amp;reservation_id=11736673419421", "8BCS6U0EF")</f>
        <v>8BCS6U0EF</v>
      </c>
      <c r="D2914" t="s">
        <v>45</v>
      </c>
      <c r="E2914" t="s">
        <v>185</v>
      </c>
      <c r="F2914" t="s">
        <v>47</v>
      </c>
      <c r="G2914" t="s">
        <v>3974</v>
      </c>
      <c r="H2914" t="s">
        <v>3957</v>
      </c>
      <c r="I2914" t="s">
        <v>3975</v>
      </c>
      <c r="J2914" t="s">
        <v>1381</v>
      </c>
      <c r="K2914" t="s">
        <v>1161</v>
      </c>
      <c r="L2914" t="s">
        <v>53</v>
      </c>
      <c r="P2914" t="s">
        <v>55</v>
      </c>
      <c r="R2914" t="s">
        <v>56</v>
      </c>
      <c r="T2914" t="s">
        <v>4708</v>
      </c>
      <c r="U2914" t="s">
        <v>58</v>
      </c>
      <c r="V2914">
        <v>3</v>
      </c>
      <c r="W2914">
        <v>1</v>
      </c>
      <c r="X2914">
        <v>2</v>
      </c>
      <c r="Y2914">
        <v>0</v>
      </c>
      <c r="Z2914">
        <v>2</v>
      </c>
      <c r="AA2914">
        <v>0</v>
      </c>
      <c r="AB2914">
        <v>467.44</v>
      </c>
      <c r="AC2914">
        <v>411.3</v>
      </c>
      <c r="AD2914">
        <v>0</v>
      </c>
      <c r="AE2914">
        <v>56.14</v>
      </c>
      <c r="AF2914">
        <v>0</v>
      </c>
      <c r="AG2914">
        <v>0</v>
      </c>
      <c r="AH2914">
        <v>0</v>
      </c>
      <c r="AI2914">
        <v>0</v>
      </c>
      <c r="AJ2914">
        <v>467.44</v>
      </c>
      <c r="AK2914">
        <v>0</v>
      </c>
      <c r="AL2914" t="s">
        <v>53</v>
      </c>
      <c r="AM2914" t="s">
        <v>53</v>
      </c>
      <c r="AN2914" t="s">
        <v>53</v>
      </c>
      <c r="AO2914" t="s">
        <v>53</v>
      </c>
      <c r="AP2914" t="s">
        <v>53</v>
      </c>
    </row>
    <row r="2915" spans="2:42" x14ac:dyDescent="0.2">
      <c r="B2915" t="s">
        <v>44</v>
      </c>
      <c r="C2915" t="str">
        <f>HYPERLINK("https://us2.cloudbeds.com/connect/8493803454333002#/reservations/11762887450839?display=8C05192KT&amp;reservation_id=11762887450839", "8C05192KT")</f>
        <v>8C05192KT</v>
      </c>
      <c r="D2915" t="s">
        <v>45</v>
      </c>
      <c r="E2915" t="s">
        <v>487</v>
      </c>
      <c r="F2915" t="s">
        <v>61</v>
      </c>
      <c r="G2915" t="s">
        <v>48</v>
      </c>
      <c r="H2915" t="s">
        <v>3957</v>
      </c>
      <c r="I2915" t="s">
        <v>3975</v>
      </c>
      <c r="J2915" t="s">
        <v>1478</v>
      </c>
      <c r="K2915" t="s">
        <v>3514</v>
      </c>
      <c r="L2915" t="s">
        <v>53</v>
      </c>
      <c r="P2915" t="s">
        <v>55</v>
      </c>
      <c r="R2915" t="s">
        <v>56</v>
      </c>
      <c r="T2915" t="s">
        <v>4709</v>
      </c>
      <c r="U2915" t="s">
        <v>58</v>
      </c>
      <c r="V2915">
        <v>1</v>
      </c>
      <c r="W2915">
        <v>1</v>
      </c>
      <c r="X2915">
        <v>1</v>
      </c>
      <c r="Y2915">
        <v>0</v>
      </c>
      <c r="Z2915">
        <v>1</v>
      </c>
      <c r="AA2915">
        <v>0</v>
      </c>
      <c r="AB2915">
        <v>159.11000000000001</v>
      </c>
      <c r="AC2915">
        <v>140</v>
      </c>
      <c r="AD2915">
        <v>0</v>
      </c>
      <c r="AE2915">
        <v>19.11</v>
      </c>
      <c r="AF2915">
        <v>0</v>
      </c>
      <c r="AG2915">
        <v>0</v>
      </c>
      <c r="AH2915">
        <v>0</v>
      </c>
      <c r="AI2915">
        <v>0</v>
      </c>
      <c r="AJ2915">
        <v>159.11000000000001</v>
      </c>
      <c r="AK2915">
        <v>0</v>
      </c>
      <c r="AL2915" t="s">
        <v>53</v>
      </c>
      <c r="AM2915" t="s">
        <v>53</v>
      </c>
      <c r="AN2915" t="s">
        <v>53</v>
      </c>
      <c r="AO2915" t="s">
        <v>53</v>
      </c>
      <c r="AP2915" t="s">
        <v>53</v>
      </c>
    </row>
    <row r="2916" spans="2:42" x14ac:dyDescent="0.2">
      <c r="B2916" t="s">
        <v>44</v>
      </c>
      <c r="C2916" t="str">
        <f>HYPERLINK("https://us2.cloudbeds.com/connect/8493803454333002#/reservations/11968608686323?display=8GREMSNGZ&amp;reservation_id=11968608686323", "8GREMSNGZ")</f>
        <v>8GREMSNGZ</v>
      </c>
      <c r="D2916" t="s">
        <v>45</v>
      </c>
      <c r="E2916" t="s">
        <v>381</v>
      </c>
      <c r="F2916" t="s">
        <v>47</v>
      </c>
      <c r="G2916" t="s">
        <v>48</v>
      </c>
      <c r="H2916" t="s">
        <v>49</v>
      </c>
      <c r="I2916" t="s">
        <v>62</v>
      </c>
      <c r="J2916" t="s">
        <v>1478</v>
      </c>
      <c r="K2916" t="s">
        <v>1858</v>
      </c>
      <c r="L2916" t="s">
        <v>53</v>
      </c>
      <c r="N2916" t="s">
        <v>4710</v>
      </c>
      <c r="P2916" t="s">
        <v>55</v>
      </c>
      <c r="R2916" t="s">
        <v>56</v>
      </c>
      <c r="T2916" t="s">
        <v>4711</v>
      </c>
      <c r="U2916" t="s">
        <v>55</v>
      </c>
      <c r="V2916">
        <v>2</v>
      </c>
      <c r="W2916">
        <v>1</v>
      </c>
      <c r="X2916">
        <v>2</v>
      </c>
      <c r="Y2916">
        <v>0</v>
      </c>
      <c r="Z2916">
        <v>2</v>
      </c>
      <c r="AA2916">
        <v>0</v>
      </c>
      <c r="AB2916">
        <v>279.60000000000002</v>
      </c>
      <c r="AC2916">
        <v>246</v>
      </c>
      <c r="AD2916">
        <v>0</v>
      </c>
      <c r="AE2916">
        <v>33.6</v>
      </c>
      <c r="AF2916">
        <v>0</v>
      </c>
      <c r="AG2916">
        <v>0</v>
      </c>
      <c r="AH2916">
        <v>0</v>
      </c>
      <c r="AI2916">
        <v>41.94</v>
      </c>
      <c r="AJ2916">
        <v>279.60000000000002</v>
      </c>
      <c r="AK2916">
        <v>0</v>
      </c>
      <c r="AL2916" t="s">
        <v>53</v>
      </c>
      <c r="AM2916" t="s">
        <v>53</v>
      </c>
      <c r="AN2916" t="s">
        <v>53</v>
      </c>
      <c r="AO2916" t="s">
        <v>53</v>
      </c>
      <c r="AP2916" t="s">
        <v>53</v>
      </c>
    </row>
    <row r="2917" spans="2:42" x14ac:dyDescent="0.2">
      <c r="B2917" t="s">
        <v>44</v>
      </c>
      <c r="C2917" t="str">
        <f>HYPERLINK("https://us2.cloudbeds.com/connect/8493803454333002#/reservations/11973364662424?display=8GV477P0Y&amp;reservation_id=11973364662424", "8GV477P0Y")</f>
        <v>8GV477P0Y</v>
      </c>
      <c r="D2917" t="s">
        <v>45</v>
      </c>
      <c r="E2917" t="s">
        <v>128</v>
      </c>
      <c r="F2917" t="s">
        <v>86</v>
      </c>
      <c r="G2917" t="s">
        <v>48</v>
      </c>
      <c r="H2917" t="s">
        <v>3957</v>
      </c>
      <c r="I2917" t="s">
        <v>3975</v>
      </c>
      <c r="J2917" t="s">
        <v>1858</v>
      </c>
      <c r="K2917" t="s">
        <v>3104</v>
      </c>
      <c r="L2917" t="s">
        <v>53</v>
      </c>
      <c r="P2917" t="s">
        <v>55</v>
      </c>
      <c r="R2917" t="s">
        <v>56</v>
      </c>
      <c r="T2917" t="s">
        <v>4712</v>
      </c>
      <c r="U2917" t="s">
        <v>58</v>
      </c>
      <c r="V2917">
        <v>1</v>
      </c>
      <c r="W2917">
        <v>1</v>
      </c>
      <c r="X2917">
        <v>2</v>
      </c>
      <c r="Y2917">
        <v>0</v>
      </c>
      <c r="Z2917">
        <v>2</v>
      </c>
      <c r="AA2917">
        <v>0</v>
      </c>
      <c r="AB2917">
        <v>159.11000000000001</v>
      </c>
      <c r="AC2917">
        <v>140</v>
      </c>
      <c r="AD2917">
        <v>0</v>
      </c>
      <c r="AE2917">
        <v>19.11</v>
      </c>
      <c r="AF2917">
        <v>0</v>
      </c>
      <c r="AG2917">
        <v>0</v>
      </c>
      <c r="AH2917">
        <v>0</v>
      </c>
      <c r="AI2917">
        <v>0</v>
      </c>
      <c r="AJ2917">
        <v>159.11000000000001</v>
      </c>
      <c r="AK2917">
        <v>0</v>
      </c>
      <c r="AL2917" t="s">
        <v>53</v>
      </c>
      <c r="AM2917" t="s">
        <v>53</v>
      </c>
      <c r="AN2917" t="s">
        <v>53</v>
      </c>
      <c r="AO2917" t="s">
        <v>53</v>
      </c>
      <c r="AP2917" t="s">
        <v>53</v>
      </c>
    </row>
    <row r="2918" spans="2:42" x14ac:dyDescent="0.2">
      <c r="B2918" t="s">
        <v>44</v>
      </c>
      <c r="C2918" t="str">
        <f>HYPERLINK("https://us2.cloudbeds.com/connect/8493803454333002#/reservations/11977928192147?display=8H1YRAN34&amp;reservation_id=11977928192147", "8H1YRAN34")</f>
        <v>8H1YRAN34</v>
      </c>
      <c r="D2918" t="s">
        <v>45</v>
      </c>
      <c r="E2918" t="s">
        <v>138</v>
      </c>
      <c r="F2918" t="s">
        <v>70</v>
      </c>
      <c r="G2918" t="s">
        <v>48</v>
      </c>
      <c r="H2918" t="s">
        <v>49</v>
      </c>
      <c r="I2918" t="s">
        <v>62</v>
      </c>
      <c r="J2918" t="s">
        <v>1555</v>
      </c>
      <c r="K2918" t="s">
        <v>1406</v>
      </c>
      <c r="L2918" t="s">
        <v>53</v>
      </c>
      <c r="N2918" t="s">
        <v>4713</v>
      </c>
      <c r="P2918" t="s">
        <v>55</v>
      </c>
      <c r="R2918" t="s">
        <v>56</v>
      </c>
      <c r="T2918" t="s">
        <v>4714</v>
      </c>
      <c r="U2918" t="s">
        <v>55</v>
      </c>
      <c r="V2918">
        <v>1</v>
      </c>
      <c r="W2918">
        <v>1</v>
      </c>
      <c r="X2918">
        <v>1</v>
      </c>
      <c r="Y2918">
        <v>1</v>
      </c>
      <c r="Z2918">
        <v>2</v>
      </c>
      <c r="AA2918">
        <v>0</v>
      </c>
      <c r="AB2918">
        <v>203.44</v>
      </c>
      <c r="AC2918">
        <v>179</v>
      </c>
      <c r="AD2918">
        <v>0</v>
      </c>
      <c r="AE2918">
        <v>24.44</v>
      </c>
      <c r="AF2918">
        <v>0</v>
      </c>
      <c r="AG2918">
        <v>0</v>
      </c>
      <c r="AH2918">
        <v>0</v>
      </c>
      <c r="AI2918">
        <v>30.52</v>
      </c>
      <c r="AJ2918">
        <v>203.44</v>
      </c>
      <c r="AK2918">
        <v>0</v>
      </c>
      <c r="AL2918" t="s">
        <v>53</v>
      </c>
      <c r="AM2918" t="s">
        <v>53</v>
      </c>
      <c r="AN2918" t="s">
        <v>53</v>
      </c>
      <c r="AO2918" t="s">
        <v>53</v>
      </c>
      <c r="AP2918" t="s">
        <v>53</v>
      </c>
    </row>
    <row r="2919" spans="2:42" x14ac:dyDescent="0.2">
      <c r="B2919" t="s">
        <v>44</v>
      </c>
      <c r="C2919" t="str">
        <f>HYPERLINK("https://us2.cloudbeds.com/connect/8493803454333002#/reservations/12025438728425?display=8X5ERFDEM&amp;reservation_id=12025438728425", "8X5ERFDEM")</f>
        <v>8X5ERFDEM</v>
      </c>
      <c r="D2919" t="s">
        <v>45</v>
      </c>
      <c r="E2919" t="s">
        <v>128</v>
      </c>
      <c r="F2919" t="s">
        <v>86</v>
      </c>
      <c r="G2919" t="s">
        <v>4520</v>
      </c>
      <c r="H2919" t="s">
        <v>3957</v>
      </c>
      <c r="I2919" t="s">
        <v>3958</v>
      </c>
      <c r="J2919" t="s">
        <v>1478</v>
      </c>
      <c r="K2919" t="s">
        <v>3514</v>
      </c>
      <c r="L2919" t="s">
        <v>53</v>
      </c>
      <c r="P2919" t="s">
        <v>55</v>
      </c>
      <c r="R2919" t="s">
        <v>56</v>
      </c>
      <c r="T2919" t="s">
        <v>4715</v>
      </c>
      <c r="U2919" t="s">
        <v>58</v>
      </c>
      <c r="V2919">
        <v>1</v>
      </c>
      <c r="W2919">
        <v>1</v>
      </c>
      <c r="X2919">
        <v>1</v>
      </c>
      <c r="Y2919">
        <v>0</v>
      </c>
      <c r="Z2919">
        <v>1</v>
      </c>
      <c r="AA2919">
        <v>0</v>
      </c>
      <c r="AB2919">
        <v>143.19999999999999</v>
      </c>
      <c r="AC2919">
        <v>126</v>
      </c>
      <c r="AD2919">
        <v>0</v>
      </c>
      <c r="AE2919">
        <v>17.2</v>
      </c>
      <c r="AF2919">
        <v>0</v>
      </c>
      <c r="AG2919">
        <v>0</v>
      </c>
      <c r="AH2919">
        <v>0</v>
      </c>
      <c r="AI2919">
        <v>0</v>
      </c>
      <c r="AJ2919">
        <v>143.19999999999999</v>
      </c>
      <c r="AK2919">
        <v>0</v>
      </c>
      <c r="AL2919" t="s">
        <v>53</v>
      </c>
      <c r="AM2919" t="s">
        <v>53</v>
      </c>
      <c r="AN2919" t="s">
        <v>53</v>
      </c>
      <c r="AO2919" t="s">
        <v>53</v>
      </c>
      <c r="AP2919" t="s">
        <v>53</v>
      </c>
    </row>
    <row r="2920" spans="2:42" x14ac:dyDescent="0.2">
      <c r="B2920" t="s">
        <v>44</v>
      </c>
      <c r="C2920" t="str">
        <f>HYPERLINK("https://us2.cloudbeds.com/connect/8493803454333002#/reservations/12035394109601?display=8XD573XK4&amp;reservation_id=12035394109601", "8XD573XK4")</f>
        <v>8XD573XK4</v>
      </c>
      <c r="D2920" t="s">
        <v>45</v>
      </c>
      <c r="E2920" t="s">
        <v>4716</v>
      </c>
      <c r="F2920" t="s">
        <v>61</v>
      </c>
      <c r="G2920" t="s">
        <v>48</v>
      </c>
      <c r="H2920" t="s">
        <v>49</v>
      </c>
      <c r="I2920" t="s">
        <v>62</v>
      </c>
      <c r="J2920" t="s">
        <v>2634</v>
      </c>
      <c r="K2920" t="s">
        <v>2315</v>
      </c>
      <c r="L2920" t="s">
        <v>53</v>
      </c>
      <c r="N2920" t="s">
        <v>4717</v>
      </c>
      <c r="P2920" t="s">
        <v>55</v>
      </c>
      <c r="R2920" t="s">
        <v>56</v>
      </c>
      <c r="T2920" t="s">
        <v>4718</v>
      </c>
      <c r="U2920" t="s">
        <v>55</v>
      </c>
      <c r="V2920">
        <v>2</v>
      </c>
      <c r="W2920">
        <v>2</v>
      </c>
      <c r="X2920">
        <v>4</v>
      </c>
      <c r="Y2920">
        <v>0</v>
      </c>
      <c r="Z2920">
        <v>4</v>
      </c>
      <c r="AA2920">
        <v>0</v>
      </c>
      <c r="AB2920">
        <v>376.4</v>
      </c>
      <c r="AC2920">
        <v>331.2</v>
      </c>
      <c r="AD2920">
        <v>0</v>
      </c>
      <c r="AE2920">
        <v>45.2</v>
      </c>
      <c r="AF2920">
        <v>0</v>
      </c>
      <c r="AG2920">
        <v>0</v>
      </c>
      <c r="AH2920">
        <v>0</v>
      </c>
      <c r="AI2920">
        <v>56.46</v>
      </c>
      <c r="AJ2920">
        <v>376.4</v>
      </c>
      <c r="AK2920">
        <v>0</v>
      </c>
      <c r="AL2920" t="s">
        <v>53</v>
      </c>
      <c r="AM2920" t="s">
        <v>53</v>
      </c>
      <c r="AN2920" t="s">
        <v>53</v>
      </c>
      <c r="AO2920" t="s">
        <v>53</v>
      </c>
      <c r="AP2920" t="s">
        <v>53</v>
      </c>
    </row>
    <row r="2921" spans="2:42" x14ac:dyDescent="0.2">
      <c r="B2921" t="s">
        <v>44</v>
      </c>
      <c r="C2921" t="str">
        <f>HYPERLINK("https://us2.cloudbeds.com/connect/8493803454333002#/reservations/12049982820512?display=8XZEWMVBV&amp;reservation_id=12049982820512", "8XZEWMVBV")</f>
        <v>8XZEWMVBV</v>
      </c>
      <c r="D2921" t="s">
        <v>45</v>
      </c>
      <c r="E2921" t="s">
        <v>98</v>
      </c>
      <c r="F2921" t="s">
        <v>86</v>
      </c>
      <c r="G2921" t="s">
        <v>4520</v>
      </c>
      <c r="H2921" t="s">
        <v>3957</v>
      </c>
      <c r="I2921" t="s">
        <v>3989</v>
      </c>
      <c r="J2921" t="s">
        <v>1478</v>
      </c>
      <c r="K2921" t="s">
        <v>1858</v>
      </c>
      <c r="L2921" t="s">
        <v>53</v>
      </c>
      <c r="P2921" t="s">
        <v>58</v>
      </c>
      <c r="R2921" t="s">
        <v>56</v>
      </c>
      <c r="T2921" t="s">
        <v>4719</v>
      </c>
      <c r="U2921" t="s">
        <v>58</v>
      </c>
      <c r="V2921">
        <v>2</v>
      </c>
      <c r="W2921">
        <v>1</v>
      </c>
      <c r="X2921">
        <v>1</v>
      </c>
      <c r="Y2921">
        <v>0</v>
      </c>
      <c r="Z2921">
        <v>1</v>
      </c>
      <c r="AA2921">
        <v>0</v>
      </c>
      <c r="AB2921">
        <v>286.39999999999998</v>
      </c>
      <c r="AC2921">
        <v>252</v>
      </c>
      <c r="AD2921">
        <v>0</v>
      </c>
      <c r="AE2921">
        <v>34.4</v>
      </c>
      <c r="AF2921">
        <v>0</v>
      </c>
      <c r="AG2921">
        <v>0</v>
      </c>
      <c r="AH2921">
        <v>0</v>
      </c>
      <c r="AI2921">
        <v>0</v>
      </c>
      <c r="AJ2921">
        <v>286.39999999999998</v>
      </c>
      <c r="AK2921">
        <v>0</v>
      </c>
      <c r="AL2921" t="s">
        <v>53</v>
      </c>
      <c r="AM2921" t="s">
        <v>53</v>
      </c>
      <c r="AN2921" t="s">
        <v>53</v>
      </c>
      <c r="AO2921" t="s">
        <v>53</v>
      </c>
      <c r="AP2921" t="s">
        <v>53</v>
      </c>
    </row>
    <row r="2922" spans="2:42" x14ac:dyDescent="0.2">
      <c r="B2922" t="s">
        <v>44</v>
      </c>
      <c r="C2922" t="str">
        <f>HYPERLINK("https://us2.cloudbeds.com/connect/8493803454333002#/reservations/12058990649589?display=8XVE5B2DE&amp;reservation_id=12058990649589", "8XVE5B2DE")</f>
        <v>8XVE5B2DE</v>
      </c>
      <c r="D2922" t="s">
        <v>45</v>
      </c>
      <c r="E2922" t="s">
        <v>98</v>
      </c>
      <c r="F2922" t="s">
        <v>86</v>
      </c>
      <c r="G2922" t="s">
        <v>48</v>
      </c>
      <c r="H2922" t="s">
        <v>49</v>
      </c>
      <c r="I2922" t="s">
        <v>62</v>
      </c>
      <c r="J2922" t="s">
        <v>2013</v>
      </c>
      <c r="K2922" t="s">
        <v>1161</v>
      </c>
      <c r="L2922" t="s">
        <v>53</v>
      </c>
      <c r="N2922" t="s">
        <v>4720</v>
      </c>
      <c r="P2922" t="s">
        <v>55</v>
      </c>
      <c r="R2922" t="s">
        <v>56</v>
      </c>
      <c r="T2922" t="s">
        <v>4721</v>
      </c>
      <c r="U2922" t="s">
        <v>55</v>
      </c>
      <c r="V2922">
        <v>1</v>
      </c>
      <c r="W2922">
        <v>1</v>
      </c>
      <c r="X2922">
        <v>4</v>
      </c>
      <c r="Y2922">
        <v>0</v>
      </c>
      <c r="Z2922">
        <v>4</v>
      </c>
      <c r="AA2922">
        <v>0</v>
      </c>
      <c r="AB2922">
        <v>184.12</v>
      </c>
      <c r="AC2922">
        <v>162</v>
      </c>
      <c r="AD2922">
        <v>0</v>
      </c>
      <c r="AE2922">
        <v>22.12</v>
      </c>
      <c r="AF2922">
        <v>0</v>
      </c>
      <c r="AG2922">
        <v>0</v>
      </c>
      <c r="AH2922">
        <v>0</v>
      </c>
      <c r="AI2922">
        <v>27.62</v>
      </c>
      <c r="AJ2922">
        <v>184.12</v>
      </c>
      <c r="AK2922">
        <v>0</v>
      </c>
      <c r="AL2922" t="s">
        <v>53</v>
      </c>
      <c r="AM2922" t="s">
        <v>53</v>
      </c>
      <c r="AN2922" t="s">
        <v>53</v>
      </c>
      <c r="AO2922" t="s">
        <v>53</v>
      </c>
      <c r="AP2922" t="s">
        <v>53</v>
      </c>
    </row>
    <row r="2923" spans="2:42" x14ac:dyDescent="0.2">
      <c r="B2923" t="s">
        <v>44</v>
      </c>
      <c r="C2923" t="str">
        <f>HYPERLINK("https://us2.cloudbeds.com/connect/8493803454333002#/reservations/12089287770323?display=8JYTAM3U4&amp;reservation_id=12089287770323", "8JYTAM3U4")</f>
        <v>8JYTAM3U4</v>
      </c>
      <c r="D2923" t="s">
        <v>45</v>
      </c>
      <c r="E2923" t="s">
        <v>85</v>
      </c>
      <c r="F2923" t="s">
        <v>86</v>
      </c>
      <c r="G2923" t="s">
        <v>48</v>
      </c>
      <c r="H2923" t="s">
        <v>49</v>
      </c>
      <c r="I2923" t="s">
        <v>50</v>
      </c>
      <c r="J2923" t="s">
        <v>1478</v>
      </c>
      <c r="K2923" t="s">
        <v>3514</v>
      </c>
      <c r="L2923" t="s">
        <v>53</v>
      </c>
      <c r="N2923" t="s">
        <v>4722</v>
      </c>
      <c r="P2923" t="s">
        <v>55</v>
      </c>
      <c r="R2923" t="s">
        <v>53</v>
      </c>
      <c r="T2923" t="s">
        <v>4723</v>
      </c>
      <c r="U2923" t="s">
        <v>58</v>
      </c>
      <c r="V2923">
        <v>1</v>
      </c>
      <c r="W2923">
        <v>1</v>
      </c>
      <c r="X2923">
        <v>2</v>
      </c>
      <c r="Y2923">
        <v>0</v>
      </c>
      <c r="Z2923">
        <v>2</v>
      </c>
      <c r="AA2923">
        <v>0</v>
      </c>
      <c r="AB2923">
        <v>143.19999999999999</v>
      </c>
      <c r="AC2923">
        <v>126</v>
      </c>
      <c r="AD2923">
        <v>0</v>
      </c>
      <c r="AE2923">
        <v>17.2</v>
      </c>
      <c r="AF2923">
        <v>0</v>
      </c>
      <c r="AG2923">
        <v>0</v>
      </c>
      <c r="AH2923">
        <v>0</v>
      </c>
      <c r="AI2923">
        <v>25.78</v>
      </c>
      <c r="AJ2923">
        <v>143.19999999999999</v>
      </c>
      <c r="AK2923">
        <v>0</v>
      </c>
      <c r="AL2923" t="s">
        <v>53</v>
      </c>
      <c r="AM2923" t="s">
        <v>53</v>
      </c>
      <c r="AN2923" t="s">
        <v>53</v>
      </c>
      <c r="AO2923" t="s">
        <v>53</v>
      </c>
      <c r="AP2923" t="s">
        <v>53</v>
      </c>
    </row>
    <row r="2924" spans="2:42" x14ac:dyDescent="0.2">
      <c r="B2924" t="s">
        <v>44</v>
      </c>
      <c r="C2924" t="str">
        <f>HYPERLINK("https://us2.cloudbeds.com/connect/8493803454333002#/reservations/12275166388400?display=8Z0QVEM5D&amp;reservation_id=12275166388400", "8Z0QVEM5D")</f>
        <v>8Z0QVEM5D</v>
      </c>
      <c r="D2924" t="s">
        <v>45</v>
      </c>
      <c r="E2924" t="s">
        <v>128</v>
      </c>
      <c r="F2924" t="s">
        <v>86</v>
      </c>
      <c r="G2924" t="s">
        <v>48</v>
      </c>
      <c r="H2924" t="s">
        <v>49</v>
      </c>
      <c r="I2924" t="s">
        <v>62</v>
      </c>
      <c r="J2924" t="s">
        <v>4724</v>
      </c>
      <c r="K2924" t="s">
        <v>4725</v>
      </c>
      <c r="L2924" t="s">
        <v>53</v>
      </c>
      <c r="N2924" t="s">
        <v>4726</v>
      </c>
      <c r="P2924" t="s">
        <v>55</v>
      </c>
      <c r="R2924" t="s">
        <v>56</v>
      </c>
      <c r="T2924" t="s">
        <v>4727</v>
      </c>
      <c r="U2924" t="s">
        <v>55</v>
      </c>
      <c r="V2924">
        <v>3</v>
      </c>
      <c r="W2924">
        <v>1</v>
      </c>
      <c r="X2924">
        <v>4</v>
      </c>
      <c r="Y2924">
        <v>0</v>
      </c>
      <c r="Z2924">
        <v>4</v>
      </c>
      <c r="AA2924">
        <v>0</v>
      </c>
      <c r="AB2924">
        <v>262.52999999999997</v>
      </c>
      <c r="AC2924">
        <v>231</v>
      </c>
      <c r="AD2924">
        <v>0</v>
      </c>
      <c r="AE2924">
        <v>31.53</v>
      </c>
      <c r="AF2924">
        <v>0</v>
      </c>
      <c r="AG2924">
        <v>0</v>
      </c>
      <c r="AH2924">
        <v>0</v>
      </c>
      <c r="AI2924">
        <v>39.380000000000003</v>
      </c>
      <c r="AJ2924">
        <v>262.52999999999997</v>
      </c>
      <c r="AK2924">
        <v>0</v>
      </c>
      <c r="AL2924" t="s">
        <v>53</v>
      </c>
      <c r="AM2924" t="s">
        <v>53</v>
      </c>
      <c r="AN2924" t="s">
        <v>53</v>
      </c>
      <c r="AO2924" t="s">
        <v>53</v>
      </c>
      <c r="AP2924" t="s">
        <v>53</v>
      </c>
    </row>
    <row r="2925" spans="2:42" x14ac:dyDescent="0.2">
      <c r="B2925" t="s">
        <v>44</v>
      </c>
      <c r="C2925" t="str">
        <f>HYPERLINK("https://us2.cloudbeds.com/connect/8493803454333002#/reservations/12307780686004?display=8ZQ2AMJ40&amp;reservation_id=12307780686004", "8ZQ2AMJ40")</f>
        <v>8ZQ2AMJ40</v>
      </c>
      <c r="D2925" t="s">
        <v>45</v>
      </c>
      <c r="E2925" t="s">
        <v>85</v>
      </c>
      <c r="F2925" t="s">
        <v>86</v>
      </c>
      <c r="G2925" t="s">
        <v>48</v>
      </c>
      <c r="H2925" t="s">
        <v>3957</v>
      </c>
      <c r="I2925" t="s">
        <v>3989</v>
      </c>
      <c r="J2925" t="s">
        <v>1898</v>
      </c>
      <c r="K2925" t="s">
        <v>1336</v>
      </c>
      <c r="L2925" t="s">
        <v>53</v>
      </c>
      <c r="P2925" t="s">
        <v>55</v>
      </c>
      <c r="R2925" t="s">
        <v>56</v>
      </c>
      <c r="T2925" t="s">
        <v>4728</v>
      </c>
      <c r="U2925" t="s">
        <v>58</v>
      </c>
      <c r="V2925">
        <v>2</v>
      </c>
      <c r="W2925">
        <v>1</v>
      </c>
      <c r="X2925">
        <v>1</v>
      </c>
      <c r="Y2925">
        <v>0</v>
      </c>
      <c r="Z2925">
        <v>1</v>
      </c>
      <c r="AA2925">
        <v>0</v>
      </c>
      <c r="AB2925">
        <v>454.6</v>
      </c>
      <c r="AC2925">
        <v>400</v>
      </c>
      <c r="AD2925">
        <v>0</v>
      </c>
      <c r="AE2925">
        <v>54.6</v>
      </c>
      <c r="AF2925">
        <v>0</v>
      </c>
      <c r="AG2925">
        <v>0</v>
      </c>
      <c r="AH2925">
        <v>0</v>
      </c>
      <c r="AI2925">
        <v>0</v>
      </c>
      <c r="AJ2925">
        <v>454.6</v>
      </c>
      <c r="AK2925">
        <v>0</v>
      </c>
      <c r="AL2925" t="s">
        <v>53</v>
      </c>
      <c r="AM2925" t="s">
        <v>53</v>
      </c>
      <c r="AN2925" t="s">
        <v>4729</v>
      </c>
      <c r="AO2925" t="s">
        <v>53</v>
      </c>
      <c r="AP2925" t="s">
        <v>53</v>
      </c>
    </row>
    <row r="2926" spans="2:42" x14ac:dyDescent="0.2">
      <c r="B2926" t="s">
        <v>44</v>
      </c>
      <c r="C2926" t="str">
        <f>HYPERLINK("https://us2.cloudbeds.com/connect/8493803454333002#/reservations/12316460073130?display=8ZWQ3CAJ3&amp;reservation_id=12316460073130", "8ZWQ3CAJ3")</f>
        <v>8ZWQ3CAJ3</v>
      </c>
      <c r="D2926" t="s">
        <v>45</v>
      </c>
      <c r="E2926" t="s">
        <v>110</v>
      </c>
      <c r="F2926" t="s">
        <v>47</v>
      </c>
      <c r="G2926" t="s">
        <v>48</v>
      </c>
      <c r="H2926" t="s">
        <v>49</v>
      </c>
      <c r="I2926" t="s">
        <v>50</v>
      </c>
      <c r="J2926" t="s">
        <v>3514</v>
      </c>
      <c r="K2926" t="s">
        <v>1858</v>
      </c>
      <c r="L2926" t="s">
        <v>53</v>
      </c>
      <c r="N2926" t="s">
        <v>4730</v>
      </c>
      <c r="P2926" t="s">
        <v>55</v>
      </c>
      <c r="R2926" t="s">
        <v>53</v>
      </c>
      <c r="T2926" t="s">
        <v>4731</v>
      </c>
      <c r="U2926" t="s">
        <v>58</v>
      </c>
      <c r="V2926">
        <v>1</v>
      </c>
      <c r="W2926">
        <v>1</v>
      </c>
      <c r="X2926">
        <v>1</v>
      </c>
      <c r="Y2926">
        <v>0</v>
      </c>
      <c r="Z2926">
        <v>1</v>
      </c>
      <c r="AA2926">
        <v>0</v>
      </c>
      <c r="AB2926">
        <v>125.8</v>
      </c>
      <c r="AC2926">
        <v>110.7</v>
      </c>
      <c r="AD2926">
        <v>0</v>
      </c>
      <c r="AE2926">
        <v>15.1</v>
      </c>
      <c r="AF2926">
        <v>0</v>
      </c>
      <c r="AG2926">
        <v>0</v>
      </c>
      <c r="AH2926">
        <v>0</v>
      </c>
      <c r="AI2926">
        <v>22.64</v>
      </c>
      <c r="AJ2926">
        <v>125.8</v>
      </c>
      <c r="AK2926">
        <v>0</v>
      </c>
      <c r="AL2926" t="s">
        <v>53</v>
      </c>
      <c r="AM2926" t="s">
        <v>53</v>
      </c>
      <c r="AN2926" t="s">
        <v>53</v>
      </c>
      <c r="AO2926" t="s">
        <v>53</v>
      </c>
      <c r="AP2926" t="s">
        <v>53</v>
      </c>
    </row>
    <row r="2927" spans="2:42" x14ac:dyDescent="0.2">
      <c r="B2927" t="s">
        <v>44</v>
      </c>
      <c r="C2927" t="str">
        <f>HYPERLINK("https://us2.cloudbeds.com/connect/8493803454333002#/reservations/12320623755489?display=8P30G9UBQ&amp;reservation_id=12320623755489", "8P30G9UBQ")</f>
        <v>8P30G9UBQ</v>
      </c>
      <c r="D2927" t="s">
        <v>45</v>
      </c>
      <c r="E2927" t="s">
        <v>381</v>
      </c>
      <c r="F2927" t="s">
        <v>47</v>
      </c>
      <c r="G2927" t="s">
        <v>48</v>
      </c>
      <c r="H2927" t="s">
        <v>49</v>
      </c>
      <c r="I2927" t="s">
        <v>50</v>
      </c>
      <c r="J2927" t="s">
        <v>1501</v>
      </c>
      <c r="K2927" t="s">
        <v>2541</v>
      </c>
      <c r="L2927" t="s">
        <v>53</v>
      </c>
      <c r="N2927" t="s">
        <v>4732</v>
      </c>
      <c r="P2927" t="s">
        <v>55</v>
      </c>
      <c r="R2927" t="s">
        <v>53</v>
      </c>
      <c r="T2927" t="s">
        <v>4733</v>
      </c>
      <c r="U2927" t="s">
        <v>58</v>
      </c>
      <c r="V2927">
        <v>3</v>
      </c>
      <c r="W2927">
        <v>1</v>
      </c>
      <c r="X2927">
        <v>1</v>
      </c>
      <c r="Y2927">
        <v>0</v>
      </c>
      <c r="Z2927">
        <v>1</v>
      </c>
      <c r="AA2927">
        <v>0</v>
      </c>
      <c r="AB2927">
        <v>538.01</v>
      </c>
      <c r="AC2927">
        <v>473.4</v>
      </c>
      <c r="AD2927">
        <v>0</v>
      </c>
      <c r="AE2927">
        <v>64.61</v>
      </c>
      <c r="AF2927">
        <v>0</v>
      </c>
      <c r="AG2927">
        <v>0</v>
      </c>
      <c r="AH2927">
        <v>0</v>
      </c>
      <c r="AI2927">
        <v>96.84</v>
      </c>
      <c r="AJ2927">
        <v>538.01</v>
      </c>
      <c r="AK2927">
        <v>0</v>
      </c>
      <c r="AL2927" t="s">
        <v>53</v>
      </c>
      <c r="AM2927" t="s">
        <v>53</v>
      </c>
      <c r="AN2927" t="s">
        <v>53</v>
      </c>
      <c r="AO2927" t="s">
        <v>53</v>
      </c>
      <c r="AP2927" t="s">
        <v>53</v>
      </c>
    </row>
    <row r="2928" spans="2:42" x14ac:dyDescent="0.2">
      <c r="B2928" t="s">
        <v>44</v>
      </c>
      <c r="C2928" t="str">
        <f>HYPERLINK("https://us2.cloudbeds.com/connect/8493803454333002#/reservations/12337228882050?display=8PFSQ61F5&amp;reservation_id=12337228882050", "8PFSQ61F5")</f>
        <v>8PFSQ61F5</v>
      </c>
      <c r="D2928" t="s">
        <v>45</v>
      </c>
      <c r="E2928" t="s">
        <v>105</v>
      </c>
      <c r="F2928" t="s">
        <v>47</v>
      </c>
      <c r="G2928" t="s">
        <v>48</v>
      </c>
      <c r="H2928" t="s">
        <v>49</v>
      </c>
      <c r="I2928" t="s">
        <v>50</v>
      </c>
      <c r="J2928" t="s">
        <v>1858</v>
      </c>
      <c r="K2928" t="s">
        <v>3104</v>
      </c>
      <c r="L2928" t="s">
        <v>53</v>
      </c>
      <c r="N2928" t="s">
        <v>4734</v>
      </c>
      <c r="P2928" t="s">
        <v>55</v>
      </c>
      <c r="R2928" t="s">
        <v>53</v>
      </c>
      <c r="T2928" t="s">
        <v>4735</v>
      </c>
      <c r="U2928" t="s">
        <v>58</v>
      </c>
      <c r="V2928">
        <v>1</v>
      </c>
      <c r="W2928">
        <v>1</v>
      </c>
      <c r="X2928">
        <v>1</v>
      </c>
      <c r="Y2928">
        <v>0</v>
      </c>
      <c r="Z2928">
        <v>1</v>
      </c>
      <c r="AA2928">
        <v>0</v>
      </c>
      <c r="AB2928">
        <v>125.8</v>
      </c>
      <c r="AC2928">
        <v>110.7</v>
      </c>
      <c r="AD2928">
        <v>0</v>
      </c>
      <c r="AE2928">
        <v>15.1</v>
      </c>
      <c r="AF2928">
        <v>0</v>
      </c>
      <c r="AG2928">
        <v>0</v>
      </c>
      <c r="AH2928">
        <v>0</v>
      </c>
      <c r="AI2928">
        <v>22.64</v>
      </c>
      <c r="AJ2928">
        <v>125.8</v>
      </c>
      <c r="AK2928">
        <v>0</v>
      </c>
      <c r="AL2928" t="s">
        <v>53</v>
      </c>
      <c r="AM2928" t="s">
        <v>53</v>
      </c>
      <c r="AN2928" t="s">
        <v>53</v>
      </c>
      <c r="AO2928" t="s">
        <v>53</v>
      </c>
      <c r="AP2928" t="s">
        <v>53</v>
      </c>
    </row>
    <row r="2929" spans="2:42" x14ac:dyDescent="0.2">
      <c r="B2929" t="s">
        <v>44</v>
      </c>
      <c r="C2929" t="str">
        <f>HYPERLINK("https://us2.cloudbeds.com/connect/8493803454333002#/reservations/12351055220934?display=8PQJ2UA2B&amp;reservation_id=12351055220934", "8PQJ2UA2B")</f>
        <v>8PQJ2UA2B</v>
      </c>
      <c r="D2929" t="s">
        <v>45</v>
      </c>
      <c r="E2929" t="s">
        <v>165</v>
      </c>
      <c r="F2929" t="s">
        <v>61</v>
      </c>
      <c r="G2929" t="s">
        <v>48</v>
      </c>
      <c r="H2929" t="s">
        <v>49</v>
      </c>
      <c r="I2929" t="s">
        <v>50</v>
      </c>
      <c r="J2929" t="s">
        <v>3906</v>
      </c>
      <c r="K2929" t="s">
        <v>4736</v>
      </c>
      <c r="L2929" t="s">
        <v>53</v>
      </c>
      <c r="N2929" t="s">
        <v>4737</v>
      </c>
      <c r="P2929" t="s">
        <v>55</v>
      </c>
      <c r="R2929" t="s">
        <v>53</v>
      </c>
      <c r="T2929" t="s">
        <v>4738</v>
      </c>
      <c r="U2929" t="s">
        <v>58</v>
      </c>
      <c r="V2929">
        <v>2</v>
      </c>
      <c r="W2929">
        <v>1</v>
      </c>
      <c r="X2929">
        <v>2</v>
      </c>
      <c r="Y2929">
        <v>0</v>
      </c>
      <c r="Z2929">
        <v>2</v>
      </c>
      <c r="AA2929">
        <v>0</v>
      </c>
      <c r="AB2929">
        <v>319.37</v>
      </c>
      <c r="AC2929">
        <v>281</v>
      </c>
      <c r="AD2929">
        <v>0</v>
      </c>
      <c r="AE2929">
        <v>38.369999999999997</v>
      </c>
      <c r="AF2929">
        <v>0</v>
      </c>
      <c r="AG2929">
        <v>0</v>
      </c>
      <c r="AH2929">
        <v>0</v>
      </c>
      <c r="AI2929">
        <v>57.49</v>
      </c>
      <c r="AJ2929">
        <v>319.37</v>
      </c>
      <c r="AK2929">
        <v>0</v>
      </c>
      <c r="AL2929" t="s">
        <v>53</v>
      </c>
      <c r="AM2929" t="s">
        <v>53</v>
      </c>
      <c r="AN2929" t="s">
        <v>53</v>
      </c>
      <c r="AO2929" t="s">
        <v>53</v>
      </c>
      <c r="AP2929" t="s">
        <v>53</v>
      </c>
    </row>
    <row r="2930" spans="2:42" x14ac:dyDescent="0.2">
      <c r="B2930" t="s">
        <v>44</v>
      </c>
      <c r="C2930" t="str">
        <f>HYPERLINK("https://us2.cloudbeds.com/connect/8493803454333002#/reservations/12351620522176?display=8PR0HJHJR&amp;reservation_id=12351620522176", "8PR0HJHJR")</f>
        <v>8PR0HJHJR</v>
      </c>
      <c r="D2930" t="s">
        <v>45</v>
      </c>
      <c r="E2930" t="s">
        <v>128</v>
      </c>
      <c r="F2930" t="s">
        <v>86</v>
      </c>
      <c r="G2930" t="s">
        <v>48</v>
      </c>
      <c r="H2930" t="s">
        <v>49</v>
      </c>
      <c r="I2930" t="s">
        <v>50</v>
      </c>
      <c r="J2930" t="s">
        <v>3906</v>
      </c>
      <c r="K2930" t="s">
        <v>4736</v>
      </c>
      <c r="L2930" t="s">
        <v>53</v>
      </c>
      <c r="N2930" t="s">
        <v>4739</v>
      </c>
      <c r="P2930" t="s">
        <v>55</v>
      </c>
      <c r="R2930" t="s">
        <v>53</v>
      </c>
      <c r="T2930" t="s">
        <v>4740</v>
      </c>
      <c r="U2930" t="s">
        <v>58</v>
      </c>
      <c r="V2930">
        <v>2</v>
      </c>
      <c r="W2930">
        <v>1</v>
      </c>
      <c r="X2930">
        <v>2</v>
      </c>
      <c r="Y2930">
        <v>0</v>
      </c>
      <c r="Z2930">
        <v>2</v>
      </c>
      <c r="AA2930">
        <v>0</v>
      </c>
      <c r="AB2930">
        <v>351.19</v>
      </c>
      <c r="AC2930">
        <v>309</v>
      </c>
      <c r="AD2930">
        <v>0</v>
      </c>
      <c r="AE2930">
        <v>42.19</v>
      </c>
      <c r="AF2930">
        <v>0</v>
      </c>
      <c r="AG2930">
        <v>0</v>
      </c>
      <c r="AH2930">
        <v>0</v>
      </c>
      <c r="AI2930">
        <v>63.21</v>
      </c>
      <c r="AJ2930">
        <v>351.19</v>
      </c>
      <c r="AK2930">
        <v>0</v>
      </c>
      <c r="AL2930" t="s">
        <v>53</v>
      </c>
      <c r="AM2930" t="s">
        <v>53</v>
      </c>
      <c r="AN2930" t="s">
        <v>53</v>
      </c>
      <c r="AO2930" t="s">
        <v>53</v>
      </c>
      <c r="AP2930" t="s">
        <v>53</v>
      </c>
    </row>
    <row r="2931" spans="2:42" x14ac:dyDescent="0.2">
      <c r="B2931" t="s">
        <v>44</v>
      </c>
      <c r="C2931" t="str">
        <f>HYPERLINK("https://us2.cloudbeds.com/connect/8493803454333002#/reservations/12359741452542?display=8Q0A1CGKW&amp;reservation_id=12359741452542", "8Q0A1CGKW")</f>
        <v>8Q0A1CGKW</v>
      </c>
      <c r="D2931" t="s">
        <v>45</v>
      </c>
      <c r="E2931" t="s">
        <v>155</v>
      </c>
      <c r="F2931" t="s">
        <v>86</v>
      </c>
      <c r="G2931" t="s">
        <v>48</v>
      </c>
      <c r="H2931" t="s">
        <v>49</v>
      </c>
      <c r="I2931" t="s">
        <v>50</v>
      </c>
      <c r="J2931" t="s">
        <v>3514</v>
      </c>
      <c r="K2931" t="s">
        <v>1858</v>
      </c>
      <c r="L2931" t="s">
        <v>53</v>
      </c>
      <c r="N2931" t="s">
        <v>4741</v>
      </c>
      <c r="P2931" t="s">
        <v>55</v>
      </c>
      <c r="R2931" t="s">
        <v>53</v>
      </c>
      <c r="T2931" t="s">
        <v>4742</v>
      </c>
      <c r="U2931" t="s">
        <v>58</v>
      </c>
      <c r="V2931">
        <v>1</v>
      </c>
      <c r="W2931">
        <v>1</v>
      </c>
      <c r="X2931">
        <v>2</v>
      </c>
      <c r="Y2931">
        <v>0</v>
      </c>
      <c r="Z2931">
        <v>2</v>
      </c>
      <c r="AA2931">
        <v>0</v>
      </c>
      <c r="AB2931">
        <v>143.19999999999999</v>
      </c>
      <c r="AC2931">
        <v>126</v>
      </c>
      <c r="AD2931">
        <v>0</v>
      </c>
      <c r="AE2931">
        <v>17.2</v>
      </c>
      <c r="AF2931">
        <v>0</v>
      </c>
      <c r="AG2931">
        <v>0</v>
      </c>
      <c r="AH2931">
        <v>0</v>
      </c>
      <c r="AI2931">
        <v>25.78</v>
      </c>
      <c r="AJ2931">
        <v>143.19999999999999</v>
      </c>
      <c r="AK2931">
        <v>0</v>
      </c>
      <c r="AL2931" t="s">
        <v>53</v>
      </c>
      <c r="AM2931" t="s">
        <v>53</v>
      </c>
      <c r="AN2931" t="s">
        <v>53</v>
      </c>
      <c r="AO2931" t="s">
        <v>53</v>
      </c>
      <c r="AP2931" t="s">
        <v>53</v>
      </c>
    </row>
    <row r="2932" spans="2:42" x14ac:dyDescent="0.2">
      <c r="B2932" t="s">
        <v>44</v>
      </c>
      <c r="C2932" t="str">
        <f>HYPERLINK("https://us2.cloudbeds.com/connect/8493803454333002#/reservations/12360467271899?display=8Q0SJDGDV&amp;reservation_id=12360467271899", "8Q0SJDGDV")</f>
        <v>8Q0SJDGDV</v>
      </c>
      <c r="D2932" t="s">
        <v>45</v>
      </c>
      <c r="E2932" t="s">
        <v>92</v>
      </c>
      <c r="F2932" t="s">
        <v>86</v>
      </c>
      <c r="G2932" t="s">
        <v>48</v>
      </c>
      <c r="H2932" t="s">
        <v>49</v>
      </c>
      <c r="I2932" t="s">
        <v>50</v>
      </c>
      <c r="J2932" t="s">
        <v>3514</v>
      </c>
      <c r="K2932" t="s">
        <v>1858</v>
      </c>
      <c r="L2932" t="s">
        <v>53</v>
      </c>
      <c r="N2932" t="s">
        <v>4743</v>
      </c>
      <c r="P2932" t="s">
        <v>55</v>
      </c>
      <c r="R2932" t="s">
        <v>53</v>
      </c>
      <c r="T2932" t="s">
        <v>4744</v>
      </c>
      <c r="U2932" t="s">
        <v>58</v>
      </c>
      <c r="V2932">
        <v>1</v>
      </c>
      <c r="W2932">
        <v>1</v>
      </c>
      <c r="X2932">
        <v>2</v>
      </c>
      <c r="Y2932">
        <v>0</v>
      </c>
      <c r="Z2932">
        <v>2</v>
      </c>
      <c r="AA2932">
        <v>0</v>
      </c>
      <c r="AB2932">
        <v>143.19999999999999</v>
      </c>
      <c r="AC2932">
        <v>126</v>
      </c>
      <c r="AD2932">
        <v>0</v>
      </c>
      <c r="AE2932">
        <v>17.2</v>
      </c>
      <c r="AF2932">
        <v>0</v>
      </c>
      <c r="AG2932">
        <v>0</v>
      </c>
      <c r="AH2932">
        <v>0</v>
      </c>
      <c r="AI2932">
        <v>25.78</v>
      </c>
      <c r="AJ2932">
        <v>143.19999999999999</v>
      </c>
      <c r="AK2932">
        <v>0</v>
      </c>
      <c r="AL2932" t="s">
        <v>53</v>
      </c>
      <c r="AM2932" t="s">
        <v>53</v>
      </c>
      <c r="AN2932" t="s">
        <v>53</v>
      </c>
      <c r="AO2932" t="s">
        <v>53</v>
      </c>
      <c r="AP2932" t="s">
        <v>53</v>
      </c>
    </row>
    <row r="2933" spans="2:42" x14ac:dyDescent="0.2">
      <c r="B2933" t="s">
        <v>44</v>
      </c>
      <c r="C2933" t="str">
        <f>HYPERLINK("https://us2.cloudbeds.com/connect/8493803454333002#/reservations/12369940799702?display=8Q86YZCB1&amp;reservation_id=12369940799702", "8Q86YZCB1")</f>
        <v>8Q86YZCB1</v>
      </c>
      <c r="D2933" t="s">
        <v>45</v>
      </c>
      <c r="E2933" t="s">
        <v>179</v>
      </c>
      <c r="F2933" t="s">
        <v>47</v>
      </c>
      <c r="G2933" t="s">
        <v>48</v>
      </c>
      <c r="H2933" t="s">
        <v>49</v>
      </c>
      <c r="I2933" t="s">
        <v>62</v>
      </c>
      <c r="J2933" t="s">
        <v>3514</v>
      </c>
      <c r="K2933" t="s">
        <v>1858</v>
      </c>
      <c r="L2933" t="s">
        <v>53</v>
      </c>
      <c r="N2933" t="s">
        <v>4745</v>
      </c>
      <c r="P2933" t="s">
        <v>55</v>
      </c>
      <c r="R2933" t="s">
        <v>56</v>
      </c>
      <c r="T2933" t="s">
        <v>4746</v>
      </c>
      <c r="U2933" t="s">
        <v>55</v>
      </c>
      <c r="V2933">
        <v>1</v>
      </c>
      <c r="W2933">
        <v>1</v>
      </c>
      <c r="X2933">
        <v>2</v>
      </c>
      <c r="Y2933">
        <v>0</v>
      </c>
      <c r="Z2933">
        <v>2</v>
      </c>
      <c r="AA2933">
        <v>0</v>
      </c>
      <c r="AB2933">
        <v>139.80000000000001</v>
      </c>
      <c r="AC2933">
        <v>123</v>
      </c>
      <c r="AD2933">
        <v>0</v>
      </c>
      <c r="AE2933">
        <v>16.8</v>
      </c>
      <c r="AF2933">
        <v>0</v>
      </c>
      <c r="AG2933">
        <v>0</v>
      </c>
      <c r="AH2933">
        <v>0</v>
      </c>
      <c r="AI2933">
        <v>20.97</v>
      </c>
      <c r="AJ2933">
        <v>139.80000000000001</v>
      </c>
      <c r="AK2933">
        <v>0</v>
      </c>
      <c r="AL2933" t="s">
        <v>53</v>
      </c>
      <c r="AM2933" t="s">
        <v>53</v>
      </c>
      <c r="AN2933" t="s">
        <v>53</v>
      </c>
      <c r="AO2933" t="s">
        <v>53</v>
      </c>
      <c r="AP2933" t="s">
        <v>53</v>
      </c>
    </row>
    <row r="2934" spans="2:42" x14ac:dyDescent="0.2">
      <c r="B2934" t="s">
        <v>44</v>
      </c>
      <c r="C2934" t="str">
        <f>HYPERLINK("https://us2.cloudbeds.com/connect/8493803454333002#/reservations/12387601916060?display=8QYSV1W17&amp;reservation_id=12387601916060", "8QYSV1W17")</f>
        <v>8QYSV1W17</v>
      </c>
      <c r="D2934" t="s">
        <v>45</v>
      </c>
      <c r="E2934" t="s">
        <v>98</v>
      </c>
      <c r="F2934" t="s">
        <v>86</v>
      </c>
      <c r="G2934" t="s">
        <v>48</v>
      </c>
      <c r="H2934" t="s">
        <v>3957</v>
      </c>
      <c r="I2934" t="s">
        <v>3958</v>
      </c>
      <c r="J2934" t="s">
        <v>1555</v>
      </c>
      <c r="K2934" t="s">
        <v>1556</v>
      </c>
      <c r="L2934" t="s">
        <v>53</v>
      </c>
      <c r="P2934" t="s">
        <v>55</v>
      </c>
      <c r="R2934" t="s">
        <v>56</v>
      </c>
      <c r="T2934" t="s">
        <v>4747</v>
      </c>
      <c r="U2934" t="s">
        <v>58</v>
      </c>
      <c r="V2934">
        <v>2</v>
      </c>
      <c r="W2934">
        <v>1</v>
      </c>
      <c r="X2934">
        <v>1</v>
      </c>
      <c r="Y2934">
        <v>0</v>
      </c>
      <c r="Z2934">
        <v>1</v>
      </c>
      <c r="AA2934">
        <v>0</v>
      </c>
      <c r="AB2934">
        <v>454.6</v>
      </c>
      <c r="AC2934">
        <v>400</v>
      </c>
      <c r="AD2934">
        <v>0</v>
      </c>
      <c r="AE2934">
        <v>54.6</v>
      </c>
      <c r="AF2934">
        <v>0</v>
      </c>
      <c r="AG2934">
        <v>0</v>
      </c>
      <c r="AH2934">
        <v>0</v>
      </c>
      <c r="AI2934">
        <v>0</v>
      </c>
      <c r="AJ2934">
        <v>454.6</v>
      </c>
      <c r="AK2934">
        <v>0</v>
      </c>
      <c r="AL2934" t="s">
        <v>53</v>
      </c>
      <c r="AM2934" t="s">
        <v>53</v>
      </c>
      <c r="AN2934" t="s">
        <v>53</v>
      </c>
      <c r="AO2934" t="s">
        <v>53</v>
      </c>
      <c r="AP2934" t="s">
        <v>53</v>
      </c>
    </row>
    <row r="2935" spans="2:42" x14ac:dyDescent="0.2">
      <c r="B2935" t="s">
        <v>44</v>
      </c>
      <c r="C2935" t="str">
        <f>HYPERLINK("https://us2.cloudbeds.com/connect/8493803454333002#/reservations/12400882565338?display=8QW59YK8Z&amp;reservation_id=12400882565338", "8QW59YK8Z")</f>
        <v>8QW59YK8Z</v>
      </c>
      <c r="D2935" t="s">
        <v>45</v>
      </c>
      <c r="E2935" t="s">
        <v>46</v>
      </c>
      <c r="F2935" t="s">
        <v>47</v>
      </c>
      <c r="G2935" t="s">
        <v>48</v>
      </c>
      <c r="H2935" t="s">
        <v>3957</v>
      </c>
      <c r="I2935" t="s">
        <v>3975</v>
      </c>
      <c r="J2935" t="s">
        <v>3514</v>
      </c>
      <c r="K2935" t="s">
        <v>1858</v>
      </c>
      <c r="L2935" t="s">
        <v>53</v>
      </c>
      <c r="P2935" t="s">
        <v>55</v>
      </c>
      <c r="R2935" t="s">
        <v>56</v>
      </c>
      <c r="T2935" t="s">
        <v>4748</v>
      </c>
      <c r="U2935" t="s">
        <v>58</v>
      </c>
      <c r="V2935">
        <v>1</v>
      </c>
      <c r="W2935">
        <v>1</v>
      </c>
      <c r="X2935">
        <v>1</v>
      </c>
      <c r="Y2935">
        <v>0</v>
      </c>
      <c r="Z2935">
        <v>1</v>
      </c>
      <c r="AA2935">
        <v>0</v>
      </c>
      <c r="AB2935">
        <v>139.80000000000001</v>
      </c>
      <c r="AC2935">
        <v>123</v>
      </c>
      <c r="AD2935">
        <v>0</v>
      </c>
      <c r="AE2935">
        <v>16.8</v>
      </c>
      <c r="AF2935">
        <v>0</v>
      </c>
      <c r="AG2935">
        <v>0</v>
      </c>
      <c r="AH2935">
        <v>0</v>
      </c>
      <c r="AI2935">
        <v>0</v>
      </c>
      <c r="AJ2935">
        <v>139.80000000000001</v>
      </c>
      <c r="AK2935">
        <v>0</v>
      </c>
      <c r="AL2935" t="s">
        <v>53</v>
      </c>
      <c r="AM2935" t="s">
        <v>53</v>
      </c>
      <c r="AN2935" t="s">
        <v>53</v>
      </c>
      <c r="AO2935" t="s">
        <v>53</v>
      </c>
      <c r="AP2935" t="s">
        <v>53</v>
      </c>
    </row>
    <row r="2936" spans="2:42" x14ac:dyDescent="0.2">
      <c r="B2936" t="s">
        <v>44</v>
      </c>
      <c r="C2936" t="str">
        <f>HYPERLINK("https://us2.cloudbeds.com/connect/8493803454333002#/reservations/12402334908591?display=8R09DA6QB&amp;reservation_id=12402334908591", "8R09DA6QB")</f>
        <v>8R09DA6QB</v>
      </c>
      <c r="D2936" t="s">
        <v>45</v>
      </c>
      <c r="E2936" t="s">
        <v>190</v>
      </c>
      <c r="F2936" t="s">
        <v>61</v>
      </c>
      <c r="G2936" t="s">
        <v>48</v>
      </c>
      <c r="H2936" t="s">
        <v>49</v>
      </c>
      <c r="I2936" t="s">
        <v>62</v>
      </c>
      <c r="J2936" t="s">
        <v>3514</v>
      </c>
      <c r="K2936" t="s">
        <v>1858</v>
      </c>
      <c r="L2936" t="s">
        <v>53</v>
      </c>
      <c r="N2936" t="s">
        <v>4749</v>
      </c>
      <c r="P2936" t="s">
        <v>55</v>
      </c>
      <c r="R2936" t="s">
        <v>56</v>
      </c>
      <c r="T2936" t="s">
        <v>4750</v>
      </c>
      <c r="U2936" t="s">
        <v>55</v>
      </c>
      <c r="V2936">
        <v>1</v>
      </c>
      <c r="W2936">
        <v>1</v>
      </c>
      <c r="X2936">
        <v>2</v>
      </c>
      <c r="Y2936">
        <v>0</v>
      </c>
      <c r="Z2936">
        <v>2</v>
      </c>
      <c r="AA2936">
        <v>0</v>
      </c>
      <c r="AB2936">
        <v>150.02000000000001</v>
      </c>
      <c r="AC2936">
        <v>132</v>
      </c>
      <c r="AD2936">
        <v>0</v>
      </c>
      <c r="AE2936">
        <v>18.02</v>
      </c>
      <c r="AF2936">
        <v>0</v>
      </c>
      <c r="AG2936">
        <v>0</v>
      </c>
      <c r="AH2936">
        <v>0</v>
      </c>
      <c r="AI2936">
        <v>22.5</v>
      </c>
      <c r="AJ2936">
        <v>150.02000000000001</v>
      </c>
      <c r="AK2936">
        <v>0</v>
      </c>
      <c r="AL2936" t="s">
        <v>53</v>
      </c>
      <c r="AM2936" t="s">
        <v>53</v>
      </c>
      <c r="AN2936" t="s">
        <v>53</v>
      </c>
      <c r="AO2936" t="s">
        <v>53</v>
      </c>
      <c r="AP2936" t="s">
        <v>53</v>
      </c>
    </row>
    <row r="2937" spans="2:42" x14ac:dyDescent="0.2">
      <c r="B2937" t="s">
        <v>44</v>
      </c>
      <c r="C2937" t="str">
        <f>HYPERLINK("https://us2.cloudbeds.com/connect/8493803454333002#/reservations/12420862537858?display=8REKR9QFF&amp;reservation_id=12420862537858", "8REKR9QFF")</f>
        <v>8REKR9QFF</v>
      </c>
      <c r="D2937" t="s">
        <v>45</v>
      </c>
      <c r="E2937" t="s">
        <v>85</v>
      </c>
      <c r="F2937" t="s">
        <v>86</v>
      </c>
      <c r="G2937" t="s">
        <v>48</v>
      </c>
      <c r="H2937" t="s">
        <v>49</v>
      </c>
      <c r="I2937" t="s">
        <v>50</v>
      </c>
      <c r="J2937" t="s">
        <v>3514</v>
      </c>
      <c r="K2937" t="s">
        <v>3104</v>
      </c>
      <c r="L2937" t="s">
        <v>53</v>
      </c>
      <c r="N2937" t="s">
        <v>4751</v>
      </c>
      <c r="P2937" t="s">
        <v>55</v>
      </c>
      <c r="R2937" t="s">
        <v>53</v>
      </c>
      <c r="T2937" t="s">
        <v>4752</v>
      </c>
      <c r="U2937" t="s">
        <v>58</v>
      </c>
      <c r="V2937">
        <v>2</v>
      </c>
      <c r="W2937">
        <v>1</v>
      </c>
      <c r="X2937">
        <v>1</v>
      </c>
      <c r="Y2937">
        <v>0</v>
      </c>
      <c r="Z2937">
        <v>1</v>
      </c>
      <c r="AA2937">
        <v>0</v>
      </c>
      <c r="AB2937">
        <v>286.39999999999998</v>
      </c>
      <c r="AC2937">
        <v>252</v>
      </c>
      <c r="AD2937">
        <v>0</v>
      </c>
      <c r="AE2937">
        <v>34.4</v>
      </c>
      <c r="AF2937">
        <v>0</v>
      </c>
      <c r="AG2937">
        <v>0</v>
      </c>
      <c r="AH2937">
        <v>0</v>
      </c>
      <c r="AI2937">
        <v>51.55</v>
      </c>
      <c r="AJ2937">
        <v>286.39999999999998</v>
      </c>
      <c r="AK2937">
        <v>0</v>
      </c>
      <c r="AL2937" t="s">
        <v>53</v>
      </c>
      <c r="AM2937" t="s">
        <v>53</v>
      </c>
      <c r="AN2937" t="s">
        <v>53</v>
      </c>
      <c r="AO2937" t="s">
        <v>53</v>
      </c>
      <c r="AP2937" t="s">
        <v>53</v>
      </c>
    </row>
    <row r="2938" spans="2:42" x14ac:dyDescent="0.2">
      <c r="B2938" t="s">
        <v>44</v>
      </c>
      <c r="C2938" t="str">
        <f>HYPERLINK("https://us2.cloudbeds.com/connect/8493803454333002#/reservations/12420818346209?display=8REJN13EJ&amp;reservation_id=12420818346209", "8REJN13EJ")</f>
        <v>8REJN13EJ</v>
      </c>
      <c r="D2938" t="s">
        <v>45</v>
      </c>
      <c r="E2938" t="s">
        <v>265</v>
      </c>
      <c r="F2938" t="s">
        <v>61</v>
      </c>
      <c r="G2938" t="s">
        <v>48</v>
      </c>
      <c r="H2938" t="s">
        <v>3957</v>
      </c>
      <c r="I2938" t="s">
        <v>3958</v>
      </c>
      <c r="J2938" t="s">
        <v>3514</v>
      </c>
      <c r="K2938" t="s">
        <v>1858</v>
      </c>
      <c r="L2938" t="s">
        <v>53</v>
      </c>
      <c r="P2938" t="s">
        <v>55</v>
      </c>
      <c r="R2938" t="s">
        <v>56</v>
      </c>
      <c r="T2938" t="s">
        <v>4753</v>
      </c>
      <c r="U2938" t="s">
        <v>58</v>
      </c>
      <c r="V2938">
        <v>1</v>
      </c>
      <c r="W2938">
        <v>1</v>
      </c>
      <c r="X2938">
        <v>1</v>
      </c>
      <c r="Y2938">
        <v>0</v>
      </c>
      <c r="Z2938">
        <v>1</v>
      </c>
      <c r="AA2938">
        <v>0</v>
      </c>
      <c r="AB2938">
        <v>150.02000000000001</v>
      </c>
      <c r="AC2938">
        <v>132</v>
      </c>
      <c r="AD2938">
        <v>0</v>
      </c>
      <c r="AE2938">
        <v>18.02</v>
      </c>
      <c r="AF2938">
        <v>0</v>
      </c>
      <c r="AG2938">
        <v>0</v>
      </c>
      <c r="AH2938">
        <v>0</v>
      </c>
      <c r="AI2938">
        <v>0</v>
      </c>
      <c r="AJ2938">
        <v>150.02000000000001</v>
      </c>
      <c r="AK2938">
        <v>0</v>
      </c>
      <c r="AL2938" t="s">
        <v>53</v>
      </c>
      <c r="AM2938" t="s">
        <v>53</v>
      </c>
      <c r="AN2938" t="s">
        <v>53</v>
      </c>
      <c r="AO2938" t="s">
        <v>53</v>
      </c>
      <c r="AP2938" t="s">
        <v>53</v>
      </c>
    </row>
    <row r="2939" spans="2:42" x14ac:dyDescent="0.2">
      <c r="B2939" t="s">
        <v>44</v>
      </c>
      <c r="C2939" t="str">
        <f>HYPERLINK("https://us2.cloudbeds.com/connect/8493803454333002#/reservations/12425592402127?display=8RX9MY85Z&amp;reservation_id=12425592402127", "8RX9MY85Z")</f>
        <v>8RX9MY85Z</v>
      </c>
      <c r="D2939" t="s">
        <v>45</v>
      </c>
      <c r="E2939" t="s">
        <v>92</v>
      </c>
      <c r="F2939" t="s">
        <v>86</v>
      </c>
      <c r="G2939" t="s">
        <v>48</v>
      </c>
      <c r="H2939" t="s">
        <v>49</v>
      </c>
      <c r="I2939" t="s">
        <v>50</v>
      </c>
      <c r="J2939" t="s">
        <v>1858</v>
      </c>
      <c r="K2939" t="s">
        <v>3104</v>
      </c>
      <c r="L2939" t="s">
        <v>53</v>
      </c>
      <c r="N2939" t="s">
        <v>4754</v>
      </c>
      <c r="P2939" t="s">
        <v>55</v>
      </c>
      <c r="R2939" t="s">
        <v>53</v>
      </c>
      <c r="T2939" t="s">
        <v>4755</v>
      </c>
      <c r="U2939" t="s">
        <v>58</v>
      </c>
      <c r="V2939">
        <v>1</v>
      </c>
      <c r="W2939">
        <v>1</v>
      </c>
      <c r="X2939">
        <v>2</v>
      </c>
      <c r="Y2939">
        <v>0</v>
      </c>
      <c r="Z2939">
        <v>2</v>
      </c>
      <c r="AA2939">
        <v>0</v>
      </c>
      <c r="AB2939">
        <v>143.19999999999999</v>
      </c>
      <c r="AC2939">
        <v>126</v>
      </c>
      <c r="AD2939">
        <v>0</v>
      </c>
      <c r="AE2939">
        <v>17.2</v>
      </c>
      <c r="AF2939">
        <v>0</v>
      </c>
      <c r="AG2939">
        <v>0</v>
      </c>
      <c r="AH2939">
        <v>0</v>
      </c>
      <c r="AI2939">
        <v>25.78</v>
      </c>
      <c r="AJ2939">
        <v>143.19999999999999</v>
      </c>
      <c r="AK2939">
        <v>0</v>
      </c>
      <c r="AL2939" t="s">
        <v>53</v>
      </c>
      <c r="AM2939" t="s">
        <v>53</v>
      </c>
      <c r="AN2939" t="s">
        <v>53</v>
      </c>
      <c r="AO2939" t="s">
        <v>53</v>
      </c>
      <c r="AP2939" t="s">
        <v>53</v>
      </c>
    </row>
    <row r="2940" spans="2:42" x14ac:dyDescent="0.2">
      <c r="B2940" t="s">
        <v>44</v>
      </c>
      <c r="C2940" t="str">
        <f>HYPERLINK("https://us2.cloudbeds.com/connect/8493803454333002#/reservations/12435720728795?display=8RQ4G3SKM&amp;reservation_id=12435720728795", "8RQ4G3SKM")</f>
        <v>8RQ4G3SKM</v>
      </c>
      <c r="D2940" t="s">
        <v>45</v>
      </c>
      <c r="E2940" t="s">
        <v>121</v>
      </c>
      <c r="F2940" t="s">
        <v>86</v>
      </c>
      <c r="G2940" t="s">
        <v>48</v>
      </c>
      <c r="H2940" t="s">
        <v>3957</v>
      </c>
      <c r="I2940" t="s">
        <v>3975</v>
      </c>
      <c r="J2940" t="s">
        <v>3514</v>
      </c>
      <c r="K2940" t="s">
        <v>1858</v>
      </c>
      <c r="L2940" t="s">
        <v>53</v>
      </c>
      <c r="P2940" t="s">
        <v>55</v>
      </c>
      <c r="R2940" t="s">
        <v>56</v>
      </c>
      <c r="T2940" t="s">
        <v>4756</v>
      </c>
      <c r="U2940" t="s">
        <v>58</v>
      </c>
      <c r="V2940">
        <v>1</v>
      </c>
      <c r="W2940">
        <v>1</v>
      </c>
      <c r="X2940">
        <v>2</v>
      </c>
      <c r="Y2940">
        <v>0</v>
      </c>
      <c r="Z2940">
        <v>2</v>
      </c>
      <c r="AA2940">
        <v>0</v>
      </c>
      <c r="AB2940">
        <v>159.11000000000001</v>
      </c>
      <c r="AC2940">
        <v>140</v>
      </c>
      <c r="AD2940">
        <v>0</v>
      </c>
      <c r="AE2940">
        <v>19.11</v>
      </c>
      <c r="AF2940">
        <v>0</v>
      </c>
      <c r="AG2940">
        <v>0</v>
      </c>
      <c r="AH2940">
        <v>0</v>
      </c>
      <c r="AI2940">
        <v>0</v>
      </c>
      <c r="AJ2940">
        <v>159.11000000000001</v>
      </c>
      <c r="AK2940">
        <v>0</v>
      </c>
      <c r="AL2940" t="s">
        <v>53</v>
      </c>
      <c r="AM2940" t="s">
        <v>53</v>
      </c>
      <c r="AN2940" t="s">
        <v>53</v>
      </c>
      <c r="AO2940" t="s">
        <v>53</v>
      </c>
      <c r="AP2940" t="s">
        <v>53</v>
      </c>
    </row>
    <row r="2941" spans="2:42" x14ac:dyDescent="0.2">
      <c r="B2941" t="s">
        <v>44</v>
      </c>
      <c r="C2941" t="str">
        <f>HYPERLINK("https://us2.cloudbeds.com/connect/8493803454333002#/reservations/12449062461603?display=8S3FD7888&amp;reservation_id=12449062461603", "8S3FD7888")</f>
        <v>8S3FD7888</v>
      </c>
      <c r="D2941" t="s">
        <v>45</v>
      </c>
      <c r="E2941" t="s">
        <v>406</v>
      </c>
      <c r="F2941" t="s">
        <v>61</v>
      </c>
      <c r="G2941" t="s">
        <v>48</v>
      </c>
      <c r="H2941" t="s">
        <v>49</v>
      </c>
      <c r="I2941" t="s">
        <v>62</v>
      </c>
      <c r="J2941" t="s">
        <v>3514</v>
      </c>
      <c r="K2941" t="s">
        <v>1858</v>
      </c>
      <c r="L2941" t="s">
        <v>53</v>
      </c>
      <c r="N2941" t="s">
        <v>4757</v>
      </c>
      <c r="P2941" t="s">
        <v>55</v>
      </c>
      <c r="R2941" t="s">
        <v>56</v>
      </c>
      <c r="T2941" t="s">
        <v>4758</v>
      </c>
      <c r="U2941" t="s">
        <v>55</v>
      </c>
      <c r="V2941">
        <v>1</v>
      </c>
      <c r="W2941">
        <v>1</v>
      </c>
      <c r="X2941">
        <v>2</v>
      </c>
      <c r="Y2941">
        <v>0</v>
      </c>
      <c r="Z2941">
        <v>2</v>
      </c>
      <c r="AA2941">
        <v>0</v>
      </c>
      <c r="AB2941">
        <v>150.02000000000001</v>
      </c>
      <c r="AC2941">
        <v>132</v>
      </c>
      <c r="AD2941">
        <v>0</v>
      </c>
      <c r="AE2941">
        <v>18.02</v>
      </c>
      <c r="AF2941">
        <v>0</v>
      </c>
      <c r="AG2941">
        <v>0</v>
      </c>
      <c r="AH2941">
        <v>0</v>
      </c>
      <c r="AI2941">
        <v>22.5</v>
      </c>
      <c r="AJ2941">
        <v>150.02000000000001</v>
      </c>
      <c r="AK2941">
        <v>0</v>
      </c>
      <c r="AL2941" t="s">
        <v>53</v>
      </c>
      <c r="AM2941" t="s">
        <v>53</v>
      </c>
      <c r="AN2941" t="s">
        <v>53</v>
      </c>
      <c r="AO2941" t="s">
        <v>53</v>
      </c>
      <c r="AP2941" t="s">
        <v>53</v>
      </c>
    </row>
    <row r="2942" spans="2:42" x14ac:dyDescent="0.2">
      <c r="B2942" t="s">
        <v>44</v>
      </c>
      <c r="C2942" t="str">
        <f>HYPERLINK("https://us2.cloudbeds.com/connect/8493803454333002#/reservations/12459718574311?display=8SBNMZ9NX&amp;reservation_id=12459718574311", "8SBNMZ9NX")</f>
        <v>8SBNMZ9NX</v>
      </c>
      <c r="D2942" t="s">
        <v>45</v>
      </c>
      <c r="E2942" t="s">
        <v>223</v>
      </c>
      <c r="F2942" t="s">
        <v>47</v>
      </c>
      <c r="G2942" t="s">
        <v>48</v>
      </c>
      <c r="H2942" t="s">
        <v>49</v>
      </c>
      <c r="I2942" t="s">
        <v>62</v>
      </c>
      <c r="J2942" t="s">
        <v>1161</v>
      </c>
      <c r="K2942" t="s">
        <v>2014</v>
      </c>
      <c r="L2942" t="s">
        <v>53</v>
      </c>
      <c r="N2942" t="s">
        <v>4759</v>
      </c>
      <c r="P2942" t="s">
        <v>55</v>
      </c>
      <c r="R2942" t="s">
        <v>56</v>
      </c>
      <c r="T2942" t="s">
        <v>4760</v>
      </c>
      <c r="U2942" t="s">
        <v>55</v>
      </c>
      <c r="V2942">
        <v>1</v>
      </c>
      <c r="W2942">
        <v>1</v>
      </c>
      <c r="X2942">
        <v>1</v>
      </c>
      <c r="Y2942">
        <v>0</v>
      </c>
      <c r="Z2942">
        <v>1</v>
      </c>
      <c r="AA2942">
        <v>0</v>
      </c>
      <c r="AB2942">
        <v>192.07</v>
      </c>
      <c r="AC2942">
        <v>169</v>
      </c>
      <c r="AD2942">
        <v>0</v>
      </c>
      <c r="AE2942">
        <v>23.07</v>
      </c>
      <c r="AF2942">
        <v>0</v>
      </c>
      <c r="AG2942">
        <v>0</v>
      </c>
      <c r="AH2942">
        <v>0</v>
      </c>
      <c r="AI2942">
        <v>28.81</v>
      </c>
      <c r="AJ2942">
        <v>192.07</v>
      </c>
      <c r="AK2942">
        <v>0</v>
      </c>
      <c r="AL2942" t="s">
        <v>53</v>
      </c>
      <c r="AM2942" t="s">
        <v>53</v>
      </c>
      <c r="AN2942" t="s">
        <v>53</v>
      </c>
      <c r="AO2942" t="s">
        <v>53</v>
      </c>
      <c r="AP2942" t="s">
        <v>53</v>
      </c>
    </row>
    <row r="2943" spans="2:42" x14ac:dyDescent="0.2">
      <c r="B2943" t="s">
        <v>44</v>
      </c>
      <c r="C2943" t="str">
        <f>HYPERLINK("https://us2.cloudbeds.com/connect/8493803454333002#/reservations/12607725461702?display=8VRAK23P7&amp;reservation_id=12607725461702", "8VRAK23P7")</f>
        <v>8VRAK23P7</v>
      </c>
      <c r="D2943" t="s">
        <v>45</v>
      </c>
      <c r="E2943" t="s">
        <v>185</v>
      </c>
      <c r="F2943" t="s">
        <v>47</v>
      </c>
      <c r="G2943" t="s">
        <v>48</v>
      </c>
      <c r="H2943" t="s">
        <v>49</v>
      </c>
      <c r="I2943" t="s">
        <v>50</v>
      </c>
      <c r="J2943" t="s">
        <v>1858</v>
      </c>
      <c r="K2943" t="s">
        <v>3104</v>
      </c>
      <c r="L2943" t="s">
        <v>53</v>
      </c>
      <c r="N2943" t="s">
        <v>4761</v>
      </c>
      <c r="P2943" t="s">
        <v>55</v>
      </c>
      <c r="R2943" t="s">
        <v>53</v>
      </c>
      <c r="T2943" t="s">
        <v>4762</v>
      </c>
      <c r="U2943" t="s">
        <v>58</v>
      </c>
      <c r="V2943">
        <v>1</v>
      </c>
      <c r="W2943">
        <v>1</v>
      </c>
      <c r="X2943">
        <v>1</v>
      </c>
      <c r="Y2943">
        <v>0</v>
      </c>
      <c r="Z2943">
        <v>1</v>
      </c>
      <c r="AA2943">
        <v>0</v>
      </c>
      <c r="AB2943">
        <v>125.8</v>
      </c>
      <c r="AC2943">
        <v>110.7</v>
      </c>
      <c r="AD2943">
        <v>0</v>
      </c>
      <c r="AE2943">
        <v>15.1</v>
      </c>
      <c r="AF2943">
        <v>0</v>
      </c>
      <c r="AG2943">
        <v>0</v>
      </c>
      <c r="AH2943">
        <v>0</v>
      </c>
      <c r="AI2943">
        <v>22.64</v>
      </c>
      <c r="AJ2943">
        <v>125.8</v>
      </c>
      <c r="AK2943">
        <v>0</v>
      </c>
      <c r="AL2943" t="s">
        <v>53</v>
      </c>
      <c r="AM2943" t="s">
        <v>53</v>
      </c>
      <c r="AN2943" t="s">
        <v>53</v>
      </c>
      <c r="AO2943" t="s">
        <v>53</v>
      </c>
      <c r="AP2943" t="s">
        <v>53</v>
      </c>
    </row>
    <row r="2944" spans="2:42" x14ac:dyDescent="0.2">
      <c r="B2944" t="s">
        <v>44</v>
      </c>
      <c r="C2944" t="str">
        <f>HYPERLINK("https://us2.cloudbeds.com/connect/8493803454333002#/reservations/12621386858642?display=8W4TMNKHM&amp;reservation_id=12621386858642", "8W4TMNKHM")</f>
        <v>8W4TMNKHM</v>
      </c>
      <c r="D2944" t="s">
        <v>45</v>
      </c>
      <c r="E2944" t="s">
        <v>381</v>
      </c>
      <c r="F2944" t="s">
        <v>47</v>
      </c>
      <c r="G2944" t="s">
        <v>48</v>
      </c>
      <c r="H2944" t="s">
        <v>49</v>
      </c>
      <c r="I2944" t="s">
        <v>50</v>
      </c>
      <c r="J2944" t="s">
        <v>1858</v>
      </c>
      <c r="K2944" t="s">
        <v>3104</v>
      </c>
      <c r="L2944" t="s">
        <v>53</v>
      </c>
      <c r="N2944" t="s">
        <v>4763</v>
      </c>
      <c r="P2944" t="s">
        <v>55</v>
      </c>
      <c r="R2944" t="s">
        <v>53</v>
      </c>
      <c r="T2944" t="s">
        <v>4764</v>
      </c>
      <c r="U2944" t="s">
        <v>58</v>
      </c>
      <c r="V2944">
        <v>1</v>
      </c>
      <c r="W2944">
        <v>1</v>
      </c>
      <c r="X2944">
        <v>2</v>
      </c>
      <c r="Y2944">
        <v>0</v>
      </c>
      <c r="Z2944">
        <v>2</v>
      </c>
      <c r="AA2944">
        <v>0</v>
      </c>
      <c r="AB2944">
        <v>125.8</v>
      </c>
      <c r="AC2944">
        <v>110.7</v>
      </c>
      <c r="AD2944">
        <v>0</v>
      </c>
      <c r="AE2944">
        <v>15.1</v>
      </c>
      <c r="AF2944">
        <v>0</v>
      </c>
      <c r="AG2944">
        <v>0</v>
      </c>
      <c r="AH2944">
        <v>0</v>
      </c>
      <c r="AI2944">
        <v>22.64</v>
      </c>
      <c r="AJ2944">
        <v>125.8</v>
      </c>
      <c r="AK2944">
        <v>0</v>
      </c>
      <c r="AL2944" t="s">
        <v>53</v>
      </c>
      <c r="AM2944" t="s">
        <v>53</v>
      </c>
      <c r="AN2944" t="s">
        <v>53</v>
      </c>
      <c r="AO2944" t="s">
        <v>53</v>
      </c>
      <c r="AP2944" t="s">
        <v>53</v>
      </c>
    </row>
    <row r="2945" spans="2:42" x14ac:dyDescent="0.2">
      <c r="B2945" t="s">
        <v>44</v>
      </c>
      <c r="C2945" t="str">
        <f>HYPERLINK("https://us2.cloudbeds.com/connect/8493803454333002#/reservations/12663544467613?display=904HU47QR&amp;reservation_id=12663544467613", "904HU47QR")</f>
        <v>904HU47QR</v>
      </c>
      <c r="D2945" t="s">
        <v>45</v>
      </c>
      <c r="E2945" t="s">
        <v>305</v>
      </c>
      <c r="F2945" t="s">
        <v>61</v>
      </c>
      <c r="G2945" t="s">
        <v>48</v>
      </c>
      <c r="H2945" t="s">
        <v>49</v>
      </c>
      <c r="I2945" t="s">
        <v>62</v>
      </c>
      <c r="J2945" t="s">
        <v>1405</v>
      </c>
      <c r="K2945" t="s">
        <v>2314</v>
      </c>
      <c r="L2945" t="s">
        <v>53</v>
      </c>
      <c r="N2945" t="s">
        <v>4765</v>
      </c>
      <c r="P2945" t="s">
        <v>55</v>
      </c>
      <c r="R2945" t="s">
        <v>118</v>
      </c>
      <c r="T2945" t="s">
        <v>4766</v>
      </c>
      <c r="U2945" t="s">
        <v>55</v>
      </c>
      <c r="V2945">
        <v>1</v>
      </c>
      <c r="W2945">
        <v>1</v>
      </c>
      <c r="X2945">
        <v>2</v>
      </c>
      <c r="Y2945">
        <v>0</v>
      </c>
      <c r="Z2945">
        <v>2</v>
      </c>
      <c r="AA2945">
        <v>0</v>
      </c>
      <c r="AB2945">
        <v>150.02000000000001</v>
      </c>
      <c r="AC2945">
        <v>132</v>
      </c>
      <c r="AD2945">
        <v>0</v>
      </c>
      <c r="AE2945">
        <v>18.02</v>
      </c>
      <c r="AF2945">
        <v>0</v>
      </c>
      <c r="AG2945">
        <v>0</v>
      </c>
      <c r="AH2945">
        <v>0</v>
      </c>
      <c r="AI2945">
        <v>22.5</v>
      </c>
      <c r="AJ2945">
        <v>150.02000000000001</v>
      </c>
      <c r="AK2945">
        <v>0</v>
      </c>
      <c r="AL2945" t="s">
        <v>53</v>
      </c>
      <c r="AM2945" t="s">
        <v>53</v>
      </c>
      <c r="AN2945" t="s">
        <v>53</v>
      </c>
      <c r="AO2945" t="s">
        <v>53</v>
      </c>
      <c r="AP2945" t="s">
        <v>53</v>
      </c>
    </row>
    <row r="2946" spans="2:42" x14ac:dyDescent="0.2">
      <c r="B2946" t="s">
        <v>44</v>
      </c>
      <c r="C2946" t="str">
        <f>HYPERLINK("https://us2.cloudbeds.com/connect/8493803454333002#/reservations/12667079401712?display=90797SWKV&amp;reservation_id=12667079401712", "90797SWKV")</f>
        <v>90797SWKV</v>
      </c>
      <c r="D2946" t="s">
        <v>45</v>
      </c>
      <c r="E2946" t="s">
        <v>128</v>
      </c>
      <c r="F2946" t="s">
        <v>86</v>
      </c>
      <c r="G2946" t="s">
        <v>48</v>
      </c>
      <c r="H2946" t="s">
        <v>49</v>
      </c>
      <c r="I2946" t="s">
        <v>50</v>
      </c>
      <c r="J2946" t="s">
        <v>4767</v>
      </c>
      <c r="K2946" t="s">
        <v>4768</v>
      </c>
      <c r="L2946" t="s">
        <v>53</v>
      </c>
      <c r="N2946" t="s">
        <v>4769</v>
      </c>
      <c r="P2946" t="s">
        <v>55</v>
      </c>
      <c r="R2946" t="s">
        <v>53</v>
      </c>
      <c r="T2946" t="s">
        <v>4770</v>
      </c>
      <c r="U2946" t="s">
        <v>58</v>
      </c>
      <c r="V2946">
        <v>1</v>
      </c>
      <c r="W2946">
        <v>1</v>
      </c>
      <c r="X2946">
        <v>3</v>
      </c>
      <c r="Y2946">
        <v>0</v>
      </c>
      <c r="Z2946">
        <v>3</v>
      </c>
      <c r="AA2946">
        <v>0</v>
      </c>
      <c r="AB2946">
        <v>143.19999999999999</v>
      </c>
      <c r="AC2946">
        <v>126</v>
      </c>
      <c r="AD2946">
        <v>0</v>
      </c>
      <c r="AE2946">
        <v>17.2</v>
      </c>
      <c r="AF2946">
        <v>0</v>
      </c>
      <c r="AG2946">
        <v>0</v>
      </c>
      <c r="AH2946">
        <v>0</v>
      </c>
      <c r="AI2946">
        <v>25.78</v>
      </c>
      <c r="AJ2946">
        <v>143.19999999999999</v>
      </c>
      <c r="AK2946">
        <v>0</v>
      </c>
      <c r="AL2946" t="s">
        <v>53</v>
      </c>
      <c r="AM2946" t="s">
        <v>53</v>
      </c>
      <c r="AN2946" t="s">
        <v>4771</v>
      </c>
      <c r="AO2946" t="s">
        <v>53</v>
      </c>
      <c r="AP2946" t="s">
        <v>53</v>
      </c>
    </row>
    <row r="2947" spans="2:42" x14ac:dyDescent="0.2">
      <c r="B2947" t="s">
        <v>44</v>
      </c>
      <c r="C2947" t="str">
        <f>HYPERLINK("https://us2.cloudbeds.com/connect/8493803454333002#/reservations/12692577767632?display=90R0PPK23&amp;reservation_id=12692577767632", "90R0PPK23")</f>
        <v>90R0PPK23</v>
      </c>
      <c r="D2947" t="s">
        <v>45</v>
      </c>
      <c r="E2947" t="s">
        <v>138</v>
      </c>
      <c r="F2947" t="s">
        <v>70</v>
      </c>
      <c r="G2947" t="s">
        <v>48</v>
      </c>
      <c r="H2947" t="s">
        <v>49</v>
      </c>
      <c r="I2947" t="s">
        <v>62</v>
      </c>
      <c r="J2947" t="s">
        <v>1406</v>
      </c>
      <c r="K2947" t="s">
        <v>1556</v>
      </c>
      <c r="L2947" t="s">
        <v>53</v>
      </c>
      <c r="N2947" t="s">
        <v>4772</v>
      </c>
      <c r="P2947" t="s">
        <v>55</v>
      </c>
      <c r="R2947" t="s">
        <v>56</v>
      </c>
      <c r="T2947" t="s">
        <v>4773</v>
      </c>
      <c r="U2947" t="s">
        <v>55</v>
      </c>
      <c r="V2947">
        <v>1</v>
      </c>
      <c r="W2947">
        <v>1</v>
      </c>
      <c r="X2947">
        <v>1</v>
      </c>
      <c r="Y2947">
        <v>0</v>
      </c>
      <c r="Z2947">
        <v>1</v>
      </c>
      <c r="AA2947">
        <v>0</v>
      </c>
      <c r="AB2947">
        <v>203.44</v>
      </c>
      <c r="AC2947">
        <v>179</v>
      </c>
      <c r="AD2947">
        <v>0</v>
      </c>
      <c r="AE2947">
        <v>24.44</v>
      </c>
      <c r="AF2947">
        <v>0</v>
      </c>
      <c r="AG2947">
        <v>0</v>
      </c>
      <c r="AH2947">
        <v>0</v>
      </c>
      <c r="AI2947">
        <v>30.52</v>
      </c>
      <c r="AJ2947">
        <v>203.44</v>
      </c>
      <c r="AK2947">
        <v>0</v>
      </c>
      <c r="AL2947" t="s">
        <v>53</v>
      </c>
      <c r="AM2947" t="s">
        <v>53</v>
      </c>
      <c r="AN2947" t="s">
        <v>53</v>
      </c>
      <c r="AO2947" t="s">
        <v>53</v>
      </c>
      <c r="AP2947" t="s">
        <v>53</v>
      </c>
    </row>
    <row r="2948" spans="2:42" x14ac:dyDescent="0.2">
      <c r="B2948" t="s">
        <v>44</v>
      </c>
      <c r="C2948" t="str">
        <f>HYPERLINK("https://us2.cloudbeds.com/connect/8493803454333002#/reservations/12696017559731?display=90TMM9TGA&amp;reservation_id=12696017559731", "90TMM9TGA")</f>
        <v>90TMM9TGA</v>
      </c>
      <c r="D2948" t="s">
        <v>45</v>
      </c>
      <c r="E2948" t="s">
        <v>223</v>
      </c>
      <c r="F2948" t="s">
        <v>47</v>
      </c>
      <c r="G2948" t="s">
        <v>48</v>
      </c>
      <c r="H2948" t="s">
        <v>49</v>
      </c>
      <c r="I2948" t="s">
        <v>62</v>
      </c>
      <c r="J2948" t="s">
        <v>1858</v>
      </c>
      <c r="K2948" t="s">
        <v>3104</v>
      </c>
      <c r="L2948" t="s">
        <v>53</v>
      </c>
      <c r="N2948" t="s">
        <v>4774</v>
      </c>
      <c r="P2948" t="s">
        <v>55</v>
      </c>
      <c r="R2948" t="s">
        <v>56</v>
      </c>
      <c r="T2948" t="s">
        <v>4775</v>
      </c>
      <c r="U2948" t="s">
        <v>55</v>
      </c>
      <c r="V2948">
        <v>1</v>
      </c>
      <c r="W2948">
        <v>1</v>
      </c>
      <c r="X2948">
        <v>2</v>
      </c>
      <c r="Y2948">
        <v>0</v>
      </c>
      <c r="Z2948">
        <v>2</v>
      </c>
      <c r="AA2948">
        <v>0</v>
      </c>
      <c r="AB2948">
        <v>139.80000000000001</v>
      </c>
      <c r="AC2948">
        <v>123</v>
      </c>
      <c r="AD2948">
        <v>0</v>
      </c>
      <c r="AE2948">
        <v>16.8</v>
      </c>
      <c r="AF2948">
        <v>0</v>
      </c>
      <c r="AG2948">
        <v>0</v>
      </c>
      <c r="AH2948">
        <v>0</v>
      </c>
      <c r="AI2948">
        <v>20.97</v>
      </c>
      <c r="AJ2948">
        <v>139.80000000000001</v>
      </c>
      <c r="AK2948">
        <v>0</v>
      </c>
      <c r="AL2948" t="s">
        <v>53</v>
      </c>
      <c r="AM2948" t="s">
        <v>53</v>
      </c>
      <c r="AN2948" t="s">
        <v>53</v>
      </c>
      <c r="AO2948" t="s">
        <v>53</v>
      </c>
      <c r="AP2948" t="s">
        <v>53</v>
      </c>
    </row>
    <row r="2949" spans="2:42" x14ac:dyDescent="0.2">
      <c r="B2949" t="s">
        <v>44</v>
      </c>
      <c r="C2949" t="str">
        <f>HYPERLINK("https://us2.cloudbeds.com/connect/8493803454333002#/reservations/12714907689104?display=91BABVJF4&amp;reservation_id=12714907689104", "91BABVJF4")</f>
        <v>91BABVJF4</v>
      </c>
      <c r="D2949" t="s">
        <v>45</v>
      </c>
      <c r="E2949" t="s">
        <v>165</v>
      </c>
      <c r="F2949" t="s">
        <v>61</v>
      </c>
      <c r="G2949" t="s">
        <v>48</v>
      </c>
      <c r="H2949" t="s">
        <v>3957</v>
      </c>
      <c r="I2949" t="s">
        <v>3975</v>
      </c>
      <c r="J2949" t="s">
        <v>2014</v>
      </c>
      <c r="K2949" t="s">
        <v>1162</v>
      </c>
      <c r="L2949" t="s">
        <v>53</v>
      </c>
      <c r="P2949" t="s">
        <v>55</v>
      </c>
      <c r="R2949" t="s">
        <v>56</v>
      </c>
      <c r="T2949" t="s">
        <v>4776</v>
      </c>
      <c r="U2949" t="s">
        <v>58</v>
      </c>
      <c r="V2949">
        <v>1</v>
      </c>
      <c r="W2949">
        <v>1</v>
      </c>
      <c r="X2949">
        <v>2</v>
      </c>
      <c r="Y2949">
        <v>0</v>
      </c>
      <c r="Z2949">
        <v>2</v>
      </c>
      <c r="AA2949">
        <v>0</v>
      </c>
      <c r="AB2949">
        <v>151.16</v>
      </c>
      <c r="AC2949">
        <v>133</v>
      </c>
      <c r="AD2949">
        <v>0</v>
      </c>
      <c r="AE2949">
        <v>18.16</v>
      </c>
      <c r="AF2949">
        <v>0</v>
      </c>
      <c r="AG2949">
        <v>0</v>
      </c>
      <c r="AH2949">
        <v>0</v>
      </c>
      <c r="AI2949">
        <v>0</v>
      </c>
      <c r="AJ2949">
        <v>151.16</v>
      </c>
      <c r="AK2949">
        <v>0</v>
      </c>
      <c r="AL2949" t="s">
        <v>53</v>
      </c>
      <c r="AM2949" t="s">
        <v>53</v>
      </c>
      <c r="AN2949" t="s">
        <v>53</v>
      </c>
      <c r="AO2949" t="s">
        <v>53</v>
      </c>
      <c r="AP2949" t="s">
        <v>53</v>
      </c>
    </row>
    <row r="2950" spans="2:42" x14ac:dyDescent="0.2">
      <c r="B2950" t="s">
        <v>44</v>
      </c>
      <c r="C2950" t="str">
        <f>HYPERLINK("https://us2.cloudbeds.com/connect/8493803454333002#/reservations/12733611434226?display=91PQ9ESMB&amp;reservation_id=12733611434226", "91PQ9ESMB")</f>
        <v>91PQ9ESMB</v>
      </c>
      <c r="D2950" t="s">
        <v>45</v>
      </c>
      <c r="E2950" t="s">
        <v>179</v>
      </c>
      <c r="F2950" t="s">
        <v>47</v>
      </c>
      <c r="G2950" t="s">
        <v>4520</v>
      </c>
      <c r="H2950" t="s">
        <v>3957</v>
      </c>
      <c r="I2950" t="s">
        <v>3958</v>
      </c>
      <c r="J2950" t="s">
        <v>1858</v>
      </c>
      <c r="K2950" t="s">
        <v>3104</v>
      </c>
      <c r="L2950" t="s">
        <v>53</v>
      </c>
      <c r="P2950" t="s">
        <v>58</v>
      </c>
      <c r="R2950" t="s">
        <v>56</v>
      </c>
      <c r="T2950" t="s">
        <v>4777</v>
      </c>
      <c r="U2950" t="s">
        <v>58</v>
      </c>
      <c r="V2950">
        <v>1</v>
      </c>
      <c r="W2950">
        <v>1</v>
      </c>
      <c r="X2950">
        <v>1</v>
      </c>
      <c r="Y2950">
        <v>0</v>
      </c>
      <c r="Z2950">
        <v>1</v>
      </c>
      <c r="AA2950">
        <v>0</v>
      </c>
      <c r="AB2950">
        <v>125.8</v>
      </c>
      <c r="AC2950">
        <v>110.7</v>
      </c>
      <c r="AD2950">
        <v>0</v>
      </c>
      <c r="AE2950">
        <v>15.1</v>
      </c>
      <c r="AF2950">
        <v>0</v>
      </c>
      <c r="AG2950">
        <v>0</v>
      </c>
      <c r="AH2950">
        <v>0</v>
      </c>
      <c r="AI2950">
        <v>0</v>
      </c>
      <c r="AJ2950">
        <v>125.8</v>
      </c>
      <c r="AK2950">
        <v>0</v>
      </c>
      <c r="AL2950" t="s">
        <v>53</v>
      </c>
      <c r="AM2950" t="s">
        <v>53</v>
      </c>
      <c r="AN2950" t="s">
        <v>53</v>
      </c>
      <c r="AO2950" t="s">
        <v>53</v>
      </c>
      <c r="AP2950" t="s">
        <v>53</v>
      </c>
    </row>
    <row r="2951" spans="2:42" x14ac:dyDescent="0.2">
      <c r="B2951" t="s">
        <v>44</v>
      </c>
      <c r="C2951" t="str">
        <f>HYPERLINK("https://us2.cloudbeds.com/connect/8493803454333002#/reservations/12749406695622?display=9250TE9V2&amp;reservation_id=12749406695622", "9250TE9V2")</f>
        <v>9250TE9V2</v>
      </c>
      <c r="D2951" t="s">
        <v>45</v>
      </c>
      <c r="E2951" t="s">
        <v>46</v>
      </c>
      <c r="F2951" t="s">
        <v>47</v>
      </c>
      <c r="G2951" t="s">
        <v>48</v>
      </c>
      <c r="H2951" t="s">
        <v>49</v>
      </c>
      <c r="I2951" t="s">
        <v>62</v>
      </c>
      <c r="J2951" t="s">
        <v>1858</v>
      </c>
      <c r="K2951" t="s">
        <v>3104</v>
      </c>
      <c r="L2951" t="s">
        <v>53</v>
      </c>
      <c r="N2951" t="s">
        <v>4778</v>
      </c>
      <c r="P2951" t="s">
        <v>55</v>
      </c>
      <c r="R2951" t="s">
        <v>56</v>
      </c>
      <c r="T2951" t="s">
        <v>4779</v>
      </c>
      <c r="U2951" t="s">
        <v>55</v>
      </c>
      <c r="V2951">
        <v>1</v>
      </c>
      <c r="W2951">
        <v>1</v>
      </c>
      <c r="X2951">
        <v>2</v>
      </c>
      <c r="Y2951">
        <v>0</v>
      </c>
      <c r="Z2951">
        <v>2</v>
      </c>
      <c r="AA2951">
        <v>0</v>
      </c>
      <c r="AB2951">
        <v>139.80000000000001</v>
      </c>
      <c r="AC2951">
        <v>123</v>
      </c>
      <c r="AD2951">
        <v>0</v>
      </c>
      <c r="AE2951">
        <v>16.8</v>
      </c>
      <c r="AF2951">
        <v>0</v>
      </c>
      <c r="AG2951">
        <v>0</v>
      </c>
      <c r="AH2951">
        <v>0</v>
      </c>
      <c r="AI2951">
        <v>20.97</v>
      </c>
      <c r="AJ2951">
        <v>139.80000000000001</v>
      </c>
      <c r="AK2951">
        <v>0</v>
      </c>
      <c r="AL2951" t="s">
        <v>53</v>
      </c>
      <c r="AM2951" t="s">
        <v>53</v>
      </c>
      <c r="AN2951" t="s">
        <v>53</v>
      </c>
      <c r="AO2951" t="s">
        <v>53</v>
      </c>
      <c r="AP2951" t="s">
        <v>53</v>
      </c>
    </row>
    <row r="2952" spans="2:42" x14ac:dyDescent="0.2">
      <c r="B2952" t="s">
        <v>44</v>
      </c>
      <c r="C2952" t="str">
        <f>HYPERLINK("https://us2.cloudbeds.com/connect/8493803454333002#/reservations/12761416499416?display=92EAPDQ8C&amp;reservation_id=12761416499416", "92EAPDQ8C")</f>
        <v>92EAPDQ8C</v>
      </c>
      <c r="D2952" t="s">
        <v>45</v>
      </c>
      <c r="E2952" t="s">
        <v>373</v>
      </c>
      <c r="F2952" t="s">
        <v>47</v>
      </c>
      <c r="G2952" t="s">
        <v>48</v>
      </c>
      <c r="H2952" t="s">
        <v>3957</v>
      </c>
      <c r="I2952" t="s">
        <v>3958</v>
      </c>
      <c r="J2952" t="s">
        <v>1858</v>
      </c>
      <c r="K2952" t="s">
        <v>3104</v>
      </c>
      <c r="L2952" t="s">
        <v>53</v>
      </c>
      <c r="P2952" t="s">
        <v>58</v>
      </c>
      <c r="R2952" t="s">
        <v>56</v>
      </c>
      <c r="T2952" t="s">
        <v>4780</v>
      </c>
      <c r="U2952" t="s">
        <v>58</v>
      </c>
      <c r="V2952">
        <v>1</v>
      </c>
      <c r="W2952">
        <v>1</v>
      </c>
      <c r="X2952">
        <v>1</v>
      </c>
      <c r="Y2952">
        <v>0</v>
      </c>
      <c r="Z2952">
        <v>1</v>
      </c>
      <c r="AA2952">
        <v>0</v>
      </c>
      <c r="AB2952">
        <v>139.80000000000001</v>
      </c>
      <c r="AC2952">
        <v>123</v>
      </c>
      <c r="AD2952">
        <v>0</v>
      </c>
      <c r="AE2952">
        <v>16.8</v>
      </c>
      <c r="AF2952">
        <v>0</v>
      </c>
      <c r="AG2952">
        <v>0</v>
      </c>
      <c r="AH2952">
        <v>0</v>
      </c>
      <c r="AI2952">
        <v>0</v>
      </c>
      <c r="AJ2952">
        <v>139.80000000000001</v>
      </c>
      <c r="AK2952">
        <v>0</v>
      </c>
      <c r="AL2952" t="s">
        <v>53</v>
      </c>
      <c r="AM2952" t="s">
        <v>53</v>
      </c>
      <c r="AN2952" t="s">
        <v>53</v>
      </c>
      <c r="AO2952" t="s">
        <v>53</v>
      </c>
      <c r="AP2952" t="s">
        <v>53</v>
      </c>
    </row>
    <row r="2953" spans="2:42" x14ac:dyDescent="0.2">
      <c r="B2953" t="s">
        <v>44</v>
      </c>
      <c r="C2953" t="str">
        <f>HYPERLINK("https://us2.cloudbeds.com/connect/8493803454333002#/reservations/12778643742881?display=92RYVT7U4&amp;reservation_id=12778643742881", "92RYVT7U4")</f>
        <v>92RYVT7U4</v>
      </c>
      <c r="D2953" t="s">
        <v>45</v>
      </c>
      <c r="E2953" t="s">
        <v>46</v>
      </c>
      <c r="F2953" t="s">
        <v>47</v>
      </c>
      <c r="G2953" t="s">
        <v>48</v>
      </c>
      <c r="H2953" t="s">
        <v>49</v>
      </c>
      <c r="I2953" t="s">
        <v>50</v>
      </c>
      <c r="J2953" t="s">
        <v>1502</v>
      </c>
      <c r="K2953" t="s">
        <v>2412</v>
      </c>
      <c r="L2953" t="s">
        <v>53</v>
      </c>
      <c r="N2953" t="s">
        <v>4781</v>
      </c>
      <c r="P2953" t="s">
        <v>55</v>
      </c>
      <c r="R2953" t="s">
        <v>53</v>
      </c>
      <c r="T2953" t="s">
        <v>4782</v>
      </c>
      <c r="U2953" t="s">
        <v>58</v>
      </c>
      <c r="V2953">
        <v>5</v>
      </c>
      <c r="W2953">
        <v>1</v>
      </c>
      <c r="X2953">
        <v>2</v>
      </c>
      <c r="Y2953">
        <v>0</v>
      </c>
      <c r="Z2953">
        <v>2</v>
      </c>
      <c r="AA2953">
        <v>0</v>
      </c>
      <c r="AB2953">
        <v>891.91</v>
      </c>
      <c r="AC2953">
        <v>784.8</v>
      </c>
      <c r="AD2953">
        <v>0</v>
      </c>
      <c r="AE2953">
        <v>107.11</v>
      </c>
      <c r="AF2953">
        <v>0</v>
      </c>
      <c r="AG2953">
        <v>0</v>
      </c>
      <c r="AH2953">
        <v>0</v>
      </c>
      <c r="AI2953">
        <v>160.54</v>
      </c>
      <c r="AJ2953">
        <v>891.91</v>
      </c>
      <c r="AK2953">
        <v>0</v>
      </c>
      <c r="AL2953" t="s">
        <v>53</v>
      </c>
      <c r="AM2953" t="s">
        <v>53</v>
      </c>
      <c r="AN2953" t="s">
        <v>53</v>
      </c>
      <c r="AO2953" t="s">
        <v>53</v>
      </c>
      <c r="AP2953" t="s">
        <v>53</v>
      </c>
    </row>
    <row r="2954" spans="2:42" x14ac:dyDescent="0.2">
      <c r="B2954" t="s">
        <v>44</v>
      </c>
      <c r="C2954" t="str">
        <f>HYPERLINK("https://us2.cloudbeds.com/connect/8493803454333002#/reservations/12800771813538?display=93BQCSE0Q&amp;reservation_id=12800771813538", "93BQCSE0Q")</f>
        <v>93BQCSE0Q</v>
      </c>
      <c r="D2954" t="s">
        <v>45</v>
      </c>
      <c r="E2954" t="s">
        <v>381</v>
      </c>
      <c r="F2954" t="s">
        <v>47</v>
      </c>
      <c r="G2954" t="s">
        <v>48</v>
      </c>
      <c r="H2954" t="s">
        <v>49</v>
      </c>
      <c r="I2954" t="s">
        <v>62</v>
      </c>
      <c r="J2954" t="s">
        <v>2058</v>
      </c>
      <c r="K2954" t="s">
        <v>2494</v>
      </c>
      <c r="L2954" t="s">
        <v>53</v>
      </c>
      <c r="N2954" t="s">
        <v>4783</v>
      </c>
      <c r="P2954" t="s">
        <v>55</v>
      </c>
      <c r="R2954" t="s">
        <v>56</v>
      </c>
      <c r="T2954" t="s">
        <v>4784</v>
      </c>
      <c r="U2954" t="s">
        <v>55</v>
      </c>
      <c r="V2954">
        <v>1</v>
      </c>
      <c r="W2954">
        <v>1</v>
      </c>
      <c r="X2954">
        <v>2</v>
      </c>
      <c r="Y2954">
        <v>0</v>
      </c>
      <c r="Z2954">
        <v>2</v>
      </c>
      <c r="AA2954">
        <v>0</v>
      </c>
      <c r="AB2954">
        <v>192.29</v>
      </c>
      <c r="AC2954">
        <v>169.2</v>
      </c>
      <c r="AD2954">
        <v>0</v>
      </c>
      <c r="AE2954">
        <v>23.09</v>
      </c>
      <c r="AF2954">
        <v>0</v>
      </c>
      <c r="AG2954">
        <v>0</v>
      </c>
      <c r="AH2954">
        <v>0</v>
      </c>
      <c r="AI2954">
        <v>28.84</v>
      </c>
      <c r="AJ2954">
        <v>192.29</v>
      </c>
      <c r="AK2954">
        <v>0</v>
      </c>
      <c r="AL2954" t="s">
        <v>53</v>
      </c>
      <c r="AM2954" t="s">
        <v>53</v>
      </c>
      <c r="AN2954" t="s">
        <v>53</v>
      </c>
      <c r="AO2954" t="s">
        <v>53</v>
      </c>
      <c r="AP2954" t="s">
        <v>53</v>
      </c>
    </row>
    <row r="2955" spans="2:42" x14ac:dyDescent="0.2">
      <c r="B2955" t="s">
        <v>44</v>
      </c>
      <c r="C2955" t="str">
        <f>HYPERLINK("https://us2.cloudbeds.com/connect/8493803454333002#/reservations/12985991258327?display=97N75QGQV&amp;reservation_id=12985991258327", "97N75QGQV")</f>
        <v>97N75QGQV</v>
      </c>
      <c r="D2955" t="s">
        <v>602</v>
      </c>
      <c r="E2955" t="s">
        <v>53</v>
      </c>
      <c r="F2955" t="s">
        <v>86</v>
      </c>
      <c r="G2955" t="s">
        <v>48</v>
      </c>
      <c r="H2955" t="s">
        <v>49</v>
      </c>
      <c r="I2955" t="s">
        <v>62</v>
      </c>
      <c r="J2955" t="s">
        <v>1933</v>
      </c>
      <c r="K2955" t="s">
        <v>2412</v>
      </c>
      <c r="L2955" t="s">
        <v>53</v>
      </c>
      <c r="N2955" t="s">
        <v>4785</v>
      </c>
      <c r="P2955" t="s">
        <v>55</v>
      </c>
      <c r="R2955" t="s">
        <v>56</v>
      </c>
      <c r="T2955" t="s">
        <v>4786</v>
      </c>
      <c r="U2955" t="s">
        <v>55</v>
      </c>
      <c r="V2955">
        <v>1</v>
      </c>
      <c r="W2955">
        <v>1</v>
      </c>
      <c r="X2955">
        <v>1</v>
      </c>
      <c r="Y2955">
        <v>2</v>
      </c>
      <c r="Z2955">
        <v>3</v>
      </c>
      <c r="AA2955">
        <v>0</v>
      </c>
      <c r="AB2955">
        <v>143.19999999999999</v>
      </c>
      <c r="AC2955">
        <v>126</v>
      </c>
      <c r="AD2955">
        <v>0</v>
      </c>
      <c r="AE2955">
        <v>17.2</v>
      </c>
      <c r="AF2955">
        <v>0</v>
      </c>
      <c r="AG2955">
        <v>0</v>
      </c>
      <c r="AH2955">
        <v>0</v>
      </c>
      <c r="AI2955">
        <v>21.48</v>
      </c>
      <c r="AJ2955">
        <v>143.19999999999999</v>
      </c>
      <c r="AK2955">
        <v>0</v>
      </c>
      <c r="AL2955">
        <v>126</v>
      </c>
      <c r="AM2955">
        <v>143.19999999999999</v>
      </c>
      <c r="AN2955" t="s">
        <v>4787</v>
      </c>
      <c r="AO2955" t="s">
        <v>53</v>
      </c>
      <c r="AP2955" t="s">
        <v>53</v>
      </c>
    </row>
    <row r="2956" spans="2:42" x14ac:dyDescent="0.2">
      <c r="B2956" t="s">
        <v>44</v>
      </c>
      <c r="C2956" t="str">
        <f>HYPERLINK("https://us2.cloudbeds.com/connect/8493803454333002#/reservations/13020812214408?display=98H5UZV38&amp;reservation_id=13020812214408", "98H5UZV38")</f>
        <v>98H5UZV38</v>
      </c>
      <c r="D2956" t="s">
        <v>45</v>
      </c>
      <c r="E2956" t="s">
        <v>190</v>
      </c>
      <c r="F2956" t="s">
        <v>61</v>
      </c>
      <c r="G2956" t="s">
        <v>48</v>
      </c>
      <c r="H2956" t="s">
        <v>49</v>
      </c>
      <c r="I2956" t="s">
        <v>50</v>
      </c>
      <c r="J2956" t="s">
        <v>1611</v>
      </c>
      <c r="K2956" t="s">
        <v>3551</v>
      </c>
      <c r="L2956" t="s">
        <v>53</v>
      </c>
      <c r="N2956" t="s">
        <v>4788</v>
      </c>
      <c r="P2956" t="s">
        <v>55</v>
      </c>
      <c r="R2956" t="s">
        <v>53</v>
      </c>
      <c r="T2956" t="s">
        <v>4789</v>
      </c>
      <c r="U2956" t="s">
        <v>58</v>
      </c>
      <c r="V2956">
        <v>1</v>
      </c>
      <c r="W2956">
        <v>1</v>
      </c>
      <c r="X2956">
        <v>2</v>
      </c>
      <c r="Y2956">
        <v>0</v>
      </c>
      <c r="Z2956">
        <v>2</v>
      </c>
      <c r="AA2956">
        <v>0</v>
      </c>
      <c r="AB2956">
        <v>189.8</v>
      </c>
      <c r="AC2956">
        <v>167</v>
      </c>
      <c r="AD2956">
        <v>0</v>
      </c>
      <c r="AE2956">
        <v>22.8</v>
      </c>
      <c r="AF2956">
        <v>0</v>
      </c>
      <c r="AG2956">
        <v>0</v>
      </c>
      <c r="AH2956">
        <v>0</v>
      </c>
      <c r="AI2956">
        <v>34.159999999999997</v>
      </c>
      <c r="AJ2956">
        <v>189.8</v>
      </c>
      <c r="AK2956">
        <v>0</v>
      </c>
      <c r="AL2956" t="s">
        <v>53</v>
      </c>
      <c r="AM2956" t="s">
        <v>53</v>
      </c>
      <c r="AN2956" t="s">
        <v>53</v>
      </c>
      <c r="AO2956" t="s">
        <v>53</v>
      </c>
      <c r="AP2956" t="s">
        <v>53</v>
      </c>
    </row>
    <row r="2957" spans="2:42" x14ac:dyDescent="0.2">
      <c r="B2957" t="s">
        <v>44</v>
      </c>
      <c r="C2957" t="str">
        <f>HYPERLINK("https://us2.cloudbeds.com/connect/8493803454333002#/reservations/13093659066623?display=9A7JB4WYD&amp;reservation_id=13093659066623", "9A7JB4WYD")</f>
        <v>9A7JB4WYD</v>
      </c>
      <c r="D2957" t="s">
        <v>45</v>
      </c>
      <c r="E2957" t="s">
        <v>85</v>
      </c>
      <c r="F2957" t="s">
        <v>86</v>
      </c>
      <c r="G2957" t="s">
        <v>48</v>
      </c>
      <c r="H2957" t="s">
        <v>3957</v>
      </c>
      <c r="I2957" t="s">
        <v>3958</v>
      </c>
      <c r="J2957" t="s">
        <v>3104</v>
      </c>
      <c r="K2957" t="s">
        <v>1610</v>
      </c>
      <c r="L2957" t="s">
        <v>53</v>
      </c>
      <c r="P2957" t="s">
        <v>55</v>
      </c>
      <c r="R2957" t="s">
        <v>56</v>
      </c>
      <c r="T2957" t="s">
        <v>4790</v>
      </c>
      <c r="U2957" t="s">
        <v>58</v>
      </c>
      <c r="V2957">
        <v>1</v>
      </c>
      <c r="W2957">
        <v>1</v>
      </c>
      <c r="X2957">
        <v>1</v>
      </c>
      <c r="Y2957">
        <v>0</v>
      </c>
      <c r="Z2957">
        <v>1</v>
      </c>
      <c r="AA2957">
        <v>0</v>
      </c>
      <c r="AB2957">
        <v>154.56</v>
      </c>
      <c r="AC2957">
        <v>136</v>
      </c>
      <c r="AD2957">
        <v>0</v>
      </c>
      <c r="AE2957">
        <v>18.559999999999999</v>
      </c>
      <c r="AF2957">
        <v>0</v>
      </c>
      <c r="AG2957">
        <v>0</v>
      </c>
      <c r="AH2957">
        <v>0</v>
      </c>
      <c r="AI2957">
        <v>0</v>
      </c>
      <c r="AJ2957">
        <v>154.56</v>
      </c>
      <c r="AK2957">
        <v>0</v>
      </c>
      <c r="AL2957" t="s">
        <v>53</v>
      </c>
      <c r="AM2957" t="s">
        <v>53</v>
      </c>
      <c r="AN2957" t="s">
        <v>53</v>
      </c>
      <c r="AO2957" t="s">
        <v>53</v>
      </c>
      <c r="AP2957" t="s">
        <v>53</v>
      </c>
    </row>
    <row r="2958" spans="2:42" x14ac:dyDescent="0.2">
      <c r="B2958" t="s">
        <v>44</v>
      </c>
      <c r="C2958" t="str">
        <f>HYPERLINK("https://us2.cloudbeds.com/connect/8493803454333002#/reservations/13095970296046?display=9A9CD1BNY&amp;reservation_id=13095970296046", "9A9CD1BNY")</f>
        <v>9A9CD1BNY</v>
      </c>
      <c r="D2958" t="s">
        <v>45</v>
      </c>
      <c r="E2958" t="s">
        <v>85</v>
      </c>
      <c r="F2958" t="s">
        <v>86</v>
      </c>
      <c r="G2958" t="s">
        <v>48</v>
      </c>
      <c r="H2958" t="s">
        <v>3957</v>
      </c>
      <c r="I2958" t="s">
        <v>3975</v>
      </c>
      <c r="J2958" t="s">
        <v>2541</v>
      </c>
      <c r="K2958" t="s">
        <v>1502</v>
      </c>
      <c r="L2958" t="s">
        <v>53</v>
      </c>
      <c r="P2958" t="s">
        <v>55</v>
      </c>
      <c r="R2958" t="s">
        <v>56</v>
      </c>
      <c r="T2958" t="s">
        <v>4791</v>
      </c>
      <c r="U2958" t="s">
        <v>58</v>
      </c>
      <c r="V2958">
        <v>1</v>
      </c>
      <c r="W2958">
        <v>1</v>
      </c>
      <c r="X2958">
        <v>2</v>
      </c>
      <c r="Y2958">
        <v>0</v>
      </c>
      <c r="Z2958">
        <v>2</v>
      </c>
      <c r="AA2958">
        <v>0</v>
      </c>
      <c r="AB2958">
        <v>409.14</v>
      </c>
      <c r="AC2958">
        <v>180</v>
      </c>
      <c r="AD2958">
        <v>0</v>
      </c>
      <c r="AE2958">
        <v>24.57</v>
      </c>
      <c r="AF2958">
        <v>0</v>
      </c>
      <c r="AG2958">
        <v>0</v>
      </c>
      <c r="AH2958">
        <v>0</v>
      </c>
      <c r="AI2958">
        <v>0</v>
      </c>
      <c r="AJ2958">
        <v>204.57</v>
      </c>
      <c r="AK2958">
        <v>0</v>
      </c>
      <c r="AL2958" t="s">
        <v>53</v>
      </c>
      <c r="AM2958" t="s">
        <v>53</v>
      </c>
      <c r="AN2958" t="s">
        <v>53</v>
      </c>
      <c r="AO2958" t="s">
        <v>53</v>
      </c>
      <c r="AP2958" t="s">
        <v>53</v>
      </c>
    </row>
    <row r="2959" spans="2:42" x14ac:dyDescent="0.2">
      <c r="B2959" t="s">
        <v>44</v>
      </c>
      <c r="C2959" t="str">
        <f>HYPERLINK("https://us2.cloudbeds.com/connect/8493803454333002#/reservations/13099342164171?display=9ABWX9XBK&amp;reservation_id=13099342164171", "9ABWX9XBK")</f>
        <v>9ABWX9XBK</v>
      </c>
      <c r="D2959" t="s">
        <v>45</v>
      </c>
      <c r="E2959" t="s">
        <v>179</v>
      </c>
      <c r="F2959" t="s">
        <v>47</v>
      </c>
      <c r="G2959" t="s">
        <v>48</v>
      </c>
      <c r="H2959" t="s">
        <v>3957</v>
      </c>
      <c r="I2959" t="s">
        <v>3958</v>
      </c>
      <c r="J2959" t="s">
        <v>3104</v>
      </c>
      <c r="K2959" t="s">
        <v>1611</v>
      </c>
      <c r="L2959" t="s">
        <v>53</v>
      </c>
      <c r="P2959" t="s">
        <v>55</v>
      </c>
      <c r="R2959" t="s">
        <v>56</v>
      </c>
      <c r="T2959" t="s">
        <v>4792</v>
      </c>
      <c r="U2959" t="s">
        <v>58</v>
      </c>
      <c r="V2959">
        <v>3</v>
      </c>
      <c r="W2959">
        <v>1</v>
      </c>
      <c r="X2959">
        <v>1</v>
      </c>
      <c r="Y2959">
        <v>0</v>
      </c>
      <c r="Z2959">
        <v>1</v>
      </c>
      <c r="AA2959">
        <v>0</v>
      </c>
      <c r="AB2959">
        <v>465.98</v>
      </c>
      <c r="AC2959">
        <v>410</v>
      </c>
      <c r="AD2959">
        <v>0</v>
      </c>
      <c r="AE2959">
        <v>55.98</v>
      </c>
      <c r="AF2959">
        <v>0</v>
      </c>
      <c r="AG2959">
        <v>0</v>
      </c>
      <c r="AH2959">
        <v>0</v>
      </c>
      <c r="AI2959">
        <v>0</v>
      </c>
      <c r="AJ2959">
        <v>465.98</v>
      </c>
      <c r="AK2959">
        <v>0</v>
      </c>
      <c r="AL2959" t="s">
        <v>53</v>
      </c>
      <c r="AM2959" t="s">
        <v>53</v>
      </c>
      <c r="AN2959" t="s">
        <v>53</v>
      </c>
      <c r="AO2959" t="s">
        <v>53</v>
      </c>
      <c r="AP2959" t="s">
        <v>53</v>
      </c>
    </row>
    <row r="2960" spans="2:42" x14ac:dyDescent="0.2">
      <c r="B2960" t="s">
        <v>44</v>
      </c>
      <c r="C2960" t="str">
        <f>HYPERLINK("https://us2.cloudbeds.com/connect/8493803454333002#/reservations/13109560045818?display=9AJTY95PQ&amp;reservation_id=13109560045818", "9AJTY95PQ")</f>
        <v>9AJTY95PQ</v>
      </c>
      <c r="D2960" t="s">
        <v>45</v>
      </c>
      <c r="E2960" t="s">
        <v>128</v>
      </c>
      <c r="F2960" t="s">
        <v>86</v>
      </c>
      <c r="G2960" t="s">
        <v>48</v>
      </c>
      <c r="H2960" t="s">
        <v>3957</v>
      </c>
      <c r="I2960" t="s">
        <v>3958</v>
      </c>
      <c r="J2960" t="s">
        <v>3104</v>
      </c>
      <c r="K2960" t="s">
        <v>1610</v>
      </c>
      <c r="L2960" t="s">
        <v>53</v>
      </c>
      <c r="P2960" t="s">
        <v>55</v>
      </c>
      <c r="R2960" t="s">
        <v>56</v>
      </c>
      <c r="T2960" t="s">
        <v>4793</v>
      </c>
      <c r="U2960" t="s">
        <v>58</v>
      </c>
      <c r="V2960">
        <v>1</v>
      </c>
      <c r="W2960">
        <v>1</v>
      </c>
      <c r="X2960">
        <v>1</v>
      </c>
      <c r="Y2960">
        <v>0</v>
      </c>
      <c r="Z2960">
        <v>1</v>
      </c>
      <c r="AA2960">
        <v>0</v>
      </c>
      <c r="AB2960">
        <v>154.56</v>
      </c>
      <c r="AC2960">
        <v>136</v>
      </c>
      <c r="AD2960">
        <v>0</v>
      </c>
      <c r="AE2960">
        <v>18.559999999999999</v>
      </c>
      <c r="AF2960">
        <v>0</v>
      </c>
      <c r="AG2960">
        <v>0</v>
      </c>
      <c r="AH2960">
        <v>0</v>
      </c>
      <c r="AI2960">
        <v>0</v>
      </c>
      <c r="AJ2960">
        <v>154.56</v>
      </c>
      <c r="AK2960">
        <v>0</v>
      </c>
      <c r="AL2960" t="s">
        <v>53</v>
      </c>
      <c r="AM2960" t="s">
        <v>53</v>
      </c>
      <c r="AN2960" t="s">
        <v>53</v>
      </c>
      <c r="AO2960" t="s">
        <v>53</v>
      </c>
      <c r="AP2960" t="s">
        <v>53</v>
      </c>
    </row>
    <row r="2961" spans="2:42" x14ac:dyDescent="0.2">
      <c r="B2961" t="s">
        <v>44</v>
      </c>
      <c r="C2961" t="str">
        <f>HYPERLINK("https://us2.cloudbeds.com/connect/8493803454333002#/reservations/13116226670738?display=9AP1WZRZP&amp;reservation_id=13116226670738", "9AP1WZRZP")</f>
        <v>9AP1WZRZP</v>
      </c>
      <c r="D2961" t="s">
        <v>45</v>
      </c>
      <c r="E2961" t="s">
        <v>92</v>
      </c>
      <c r="F2961" t="s">
        <v>86</v>
      </c>
      <c r="G2961" t="s">
        <v>48</v>
      </c>
      <c r="H2961" t="s">
        <v>49</v>
      </c>
      <c r="I2961" t="s">
        <v>62</v>
      </c>
      <c r="J2961" t="s">
        <v>3104</v>
      </c>
      <c r="K2961" t="s">
        <v>1610</v>
      </c>
      <c r="L2961" t="s">
        <v>53</v>
      </c>
      <c r="N2961" t="s">
        <v>4794</v>
      </c>
      <c r="P2961" t="s">
        <v>55</v>
      </c>
      <c r="R2961" t="s">
        <v>56</v>
      </c>
      <c r="T2961" t="s">
        <v>4795</v>
      </c>
      <c r="U2961" t="s">
        <v>55</v>
      </c>
      <c r="V2961">
        <v>1</v>
      </c>
      <c r="W2961">
        <v>1</v>
      </c>
      <c r="X2961">
        <v>2</v>
      </c>
      <c r="Y2961">
        <v>0</v>
      </c>
      <c r="Z2961">
        <v>2</v>
      </c>
      <c r="AA2961">
        <v>0</v>
      </c>
      <c r="AB2961">
        <v>154.56</v>
      </c>
      <c r="AC2961">
        <v>136</v>
      </c>
      <c r="AD2961">
        <v>0</v>
      </c>
      <c r="AE2961">
        <v>18.559999999999999</v>
      </c>
      <c r="AF2961">
        <v>0</v>
      </c>
      <c r="AG2961">
        <v>0</v>
      </c>
      <c r="AH2961">
        <v>0</v>
      </c>
      <c r="AI2961">
        <v>23.18</v>
      </c>
      <c r="AJ2961">
        <v>154.56</v>
      </c>
      <c r="AK2961">
        <v>0</v>
      </c>
      <c r="AL2961" t="s">
        <v>53</v>
      </c>
      <c r="AM2961" t="s">
        <v>53</v>
      </c>
      <c r="AN2961" t="s">
        <v>53</v>
      </c>
      <c r="AO2961" t="s">
        <v>53</v>
      </c>
      <c r="AP2961" t="s">
        <v>53</v>
      </c>
    </row>
    <row r="2962" spans="2:42" x14ac:dyDescent="0.2">
      <c r="B2962" t="s">
        <v>44</v>
      </c>
      <c r="C2962" t="str">
        <f>HYPERLINK("https://us2.cloudbeds.com/connect/8493803454333002#/reservations/13119842234506?display=9ARSCG7M6&amp;reservation_id=13119842234506", "9ARSCG7M6")</f>
        <v>9ARSCG7M6</v>
      </c>
      <c r="D2962" t="s">
        <v>45</v>
      </c>
      <c r="E2962" t="s">
        <v>105</v>
      </c>
      <c r="F2962" t="s">
        <v>47</v>
      </c>
      <c r="G2962" t="s">
        <v>48</v>
      </c>
      <c r="H2962" t="s">
        <v>49</v>
      </c>
      <c r="I2962" t="s">
        <v>62</v>
      </c>
      <c r="J2962" t="s">
        <v>3104</v>
      </c>
      <c r="K2962" t="s">
        <v>1610</v>
      </c>
      <c r="L2962" t="s">
        <v>53</v>
      </c>
      <c r="N2962" t="s">
        <v>4796</v>
      </c>
      <c r="P2962" t="s">
        <v>55</v>
      </c>
      <c r="R2962" t="s">
        <v>56</v>
      </c>
      <c r="T2962" t="s">
        <v>4797</v>
      </c>
      <c r="U2962" t="s">
        <v>55</v>
      </c>
      <c r="V2962">
        <v>1</v>
      </c>
      <c r="W2962">
        <v>1</v>
      </c>
      <c r="X2962">
        <v>2</v>
      </c>
      <c r="Y2962">
        <v>0</v>
      </c>
      <c r="Z2962">
        <v>2</v>
      </c>
      <c r="AA2962">
        <v>0</v>
      </c>
      <c r="AB2962">
        <v>145.47</v>
      </c>
      <c r="AC2962">
        <v>128</v>
      </c>
      <c r="AD2962">
        <v>0</v>
      </c>
      <c r="AE2962">
        <v>17.47</v>
      </c>
      <c r="AF2962">
        <v>0</v>
      </c>
      <c r="AG2962">
        <v>0</v>
      </c>
      <c r="AH2962">
        <v>0</v>
      </c>
      <c r="AI2962">
        <v>21.82</v>
      </c>
      <c r="AJ2962">
        <v>145.47</v>
      </c>
      <c r="AK2962">
        <v>0</v>
      </c>
      <c r="AL2962" t="s">
        <v>53</v>
      </c>
      <c r="AM2962" t="s">
        <v>53</v>
      </c>
      <c r="AN2962" t="s">
        <v>53</v>
      </c>
      <c r="AO2962" t="s">
        <v>53</v>
      </c>
      <c r="AP2962" t="s">
        <v>53</v>
      </c>
    </row>
    <row r="2963" spans="2:42" x14ac:dyDescent="0.2">
      <c r="B2963" t="s">
        <v>44</v>
      </c>
      <c r="C2963" t="str">
        <f>HYPERLINK("https://us2.cloudbeds.com/connect/8493803454333002#/reservations/13129406947526?display=9B28PNFXM&amp;reservation_id=13129406947526", "9B28PNFXM")</f>
        <v>9B28PNFXM</v>
      </c>
      <c r="D2963" t="s">
        <v>45</v>
      </c>
      <c r="E2963" t="s">
        <v>138</v>
      </c>
      <c r="F2963" t="s">
        <v>70</v>
      </c>
      <c r="G2963" t="s">
        <v>48</v>
      </c>
      <c r="H2963" t="s">
        <v>49</v>
      </c>
      <c r="I2963" t="s">
        <v>62</v>
      </c>
      <c r="J2963" t="s">
        <v>1610</v>
      </c>
      <c r="K2963" t="s">
        <v>1501</v>
      </c>
      <c r="L2963" t="s">
        <v>53</v>
      </c>
      <c r="N2963" t="s">
        <v>4798</v>
      </c>
      <c r="P2963" t="s">
        <v>55</v>
      </c>
      <c r="R2963" t="s">
        <v>56</v>
      </c>
      <c r="T2963" t="s">
        <v>4799</v>
      </c>
      <c r="U2963" t="s">
        <v>55</v>
      </c>
      <c r="V2963">
        <v>1</v>
      </c>
      <c r="W2963">
        <v>1</v>
      </c>
      <c r="X2963">
        <v>2</v>
      </c>
      <c r="Y2963">
        <v>0</v>
      </c>
      <c r="Z2963">
        <v>2</v>
      </c>
      <c r="AA2963">
        <v>0</v>
      </c>
      <c r="AB2963">
        <v>143.19999999999999</v>
      </c>
      <c r="AC2963">
        <v>126</v>
      </c>
      <c r="AD2963">
        <v>0</v>
      </c>
      <c r="AE2963">
        <v>17.2</v>
      </c>
      <c r="AF2963">
        <v>0</v>
      </c>
      <c r="AG2963">
        <v>0</v>
      </c>
      <c r="AH2963">
        <v>0</v>
      </c>
      <c r="AI2963">
        <v>21.48</v>
      </c>
      <c r="AJ2963">
        <v>143.19999999999999</v>
      </c>
      <c r="AK2963">
        <v>0</v>
      </c>
      <c r="AL2963" t="s">
        <v>53</v>
      </c>
      <c r="AM2963" t="s">
        <v>53</v>
      </c>
      <c r="AN2963" t="s">
        <v>53</v>
      </c>
      <c r="AO2963" t="s">
        <v>53</v>
      </c>
      <c r="AP2963" t="s">
        <v>53</v>
      </c>
    </row>
    <row r="2964" spans="2:42" x14ac:dyDescent="0.2">
      <c r="B2964" t="s">
        <v>44</v>
      </c>
      <c r="C2964" t="str">
        <f>HYPERLINK("https://us2.cloudbeds.com/connect/8493803454333002#/reservations/13140603846887?display=9BAUT7N5A&amp;reservation_id=13140603846887", "9BAUT7N5A")</f>
        <v>9BAUT7N5A</v>
      </c>
      <c r="D2964" t="s">
        <v>45</v>
      </c>
      <c r="E2964" t="s">
        <v>85</v>
      </c>
      <c r="F2964" t="s">
        <v>86</v>
      </c>
      <c r="G2964" t="s">
        <v>48</v>
      </c>
      <c r="H2964" t="s">
        <v>49</v>
      </c>
      <c r="I2964" t="s">
        <v>62</v>
      </c>
      <c r="J2964" t="s">
        <v>1611</v>
      </c>
      <c r="K2964" t="s">
        <v>3551</v>
      </c>
      <c r="L2964" t="s">
        <v>53</v>
      </c>
      <c r="N2964" t="s">
        <v>4800</v>
      </c>
      <c r="P2964" t="s">
        <v>58</v>
      </c>
      <c r="R2964" t="s">
        <v>56</v>
      </c>
      <c r="T2964" t="s">
        <v>4801</v>
      </c>
      <c r="U2964" t="s">
        <v>55</v>
      </c>
      <c r="V2964">
        <v>1</v>
      </c>
      <c r="W2964">
        <v>1</v>
      </c>
      <c r="X2964">
        <v>2</v>
      </c>
      <c r="Y2964">
        <v>0</v>
      </c>
      <c r="Z2964">
        <v>2</v>
      </c>
      <c r="AA2964">
        <v>0</v>
      </c>
      <c r="AB2964">
        <v>142.07</v>
      </c>
      <c r="AC2964">
        <v>125</v>
      </c>
      <c r="AD2964">
        <v>0</v>
      </c>
      <c r="AE2964">
        <v>17.07</v>
      </c>
      <c r="AF2964">
        <v>0</v>
      </c>
      <c r="AG2964">
        <v>0</v>
      </c>
      <c r="AH2964">
        <v>0</v>
      </c>
      <c r="AI2964">
        <v>21.31</v>
      </c>
      <c r="AJ2964">
        <v>142.07</v>
      </c>
      <c r="AK2964">
        <v>0</v>
      </c>
      <c r="AL2964" t="s">
        <v>53</v>
      </c>
      <c r="AM2964" t="s">
        <v>53</v>
      </c>
      <c r="AN2964" t="s">
        <v>53</v>
      </c>
      <c r="AO2964" t="s">
        <v>53</v>
      </c>
      <c r="AP2964" t="s">
        <v>53</v>
      </c>
    </row>
    <row r="2965" spans="2:42" x14ac:dyDescent="0.2">
      <c r="B2965" t="s">
        <v>44</v>
      </c>
      <c r="C2965" t="str">
        <f>HYPERLINK("https://us2.cloudbeds.com/connect/8493803454333002#/reservations/13153655685252?display=9BY1CTBBQ&amp;reservation_id=13153655685252", "9BY1CTBBQ")</f>
        <v>9BY1CTBBQ</v>
      </c>
      <c r="D2965" t="s">
        <v>45</v>
      </c>
      <c r="E2965" t="s">
        <v>223</v>
      </c>
      <c r="F2965" t="s">
        <v>47</v>
      </c>
      <c r="G2965" t="s">
        <v>48</v>
      </c>
      <c r="H2965" t="s">
        <v>49</v>
      </c>
      <c r="I2965" t="s">
        <v>62</v>
      </c>
      <c r="J2965" t="s">
        <v>1610</v>
      </c>
      <c r="K2965" t="s">
        <v>1501</v>
      </c>
      <c r="L2965" t="s">
        <v>53</v>
      </c>
      <c r="N2965" t="s">
        <v>4802</v>
      </c>
      <c r="P2965" t="s">
        <v>55</v>
      </c>
      <c r="R2965" t="s">
        <v>56</v>
      </c>
      <c r="T2965" t="s">
        <v>4803</v>
      </c>
      <c r="U2965" t="s">
        <v>55</v>
      </c>
      <c r="V2965">
        <v>1</v>
      </c>
      <c r="W2965">
        <v>1</v>
      </c>
      <c r="X2965">
        <v>1</v>
      </c>
      <c r="Y2965">
        <v>0</v>
      </c>
      <c r="Z2965">
        <v>1</v>
      </c>
      <c r="AA2965">
        <v>0</v>
      </c>
      <c r="AB2965">
        <v>153.44</v>
      </c>
      <c r="AC2965">
        <v>135</v>
      </c>
      <c r="AD2965">
        <v>0</v>
      </c>
      <c r="AE2965">
        <v>18.440000000000001</v>
      </c>
      <c r="AF2965">
        <v>0</v>
      </c>
      <c r="AG2965">
        <v>0</v>
      </c>
      <c r="AH2965">
        <v>0</v>
      </c>
      <c r="AI2965">
        <v>23.02</v>
      </c>
      <c r="AJ2965">
        <v>153.44</v>
      </c>
      <c r="AK2965">
        <v>0</v>
      </c>
      <c r="AL2965" t="s">
        <v>53</v>
      </c>
      <c r="AM2965" t="s">
        <v>53</v>
      </c>
      <c r="AN2965" t="s">
        <v>53</v>
      </c>
      <c r="AO2965" t="s">
        <v>53</v>
      </c>
      <c r="AP2965" t="s">
        <v>53</v>
      </c>
    </row>
    <row r="2966" spans="2:42" x14ac:dyDescent="0.2">
      <c r="B2966" t="s">
        <v>44</v>
      </c>
      <c r="C2966" t="str">
        <f>HYPERLINK("https://us2.cloudbeds.com/connect/8493803454333002#/reservations/13155206348954?display=9BM80ERVV&amp;reservation_id=13155206348954", "9BM80ERVV")</f>
        <v>9BM80ERVV</v>
      </c>
      <c r="D2966" t="s">
        <v>45</v>
      </c>
      <c r="E2966" t="s">
        <v>121</v>
      </c>
      <c r="F2966" t="s">
        <v>86</v>
      </c>
      <c r="G2966" t="s">
        <v>48</v>
      </c>
      <c r="H2966" t="s">
        <v>49</v>
      </c>
      <c r="I2966" t="s">
        <v>62</v>
      </c>
      <c r="J2966" t="s">
        <v>1933</v>
      </c>
      <c r="K2966" t="s">
        <v>2412</v>
      </c>
      <c r="L2966" t="s">
        <v>53</v>
      </c>
      <c r="N2966" t="s">
        <v>4804</v>
      </c>
      <c r="P2966" t="s">
        <v>58</v>
      </c>
      <c r="R2966" t="s">
        <v>56</v>
      </c>
      <c r="T2966" t="s">
        <v>4805</v>
      </c>
      <c r="U2966" t="s">
        <v>55</v>
      </c>
      <c r="V2966">
        <v>1</v>
      </c>
      <c r="W2966">
        <v>1</v>
      </c>
      <c r="X2966">
        <v>2</v>
      </c>
      <c r="Y2966">
        <v>0</v>
      </c>
      <c r="Z2966">
        <v>2</v>
      </c>
      <c r="AA2966">
        <v>0</v>
      </c>
      <c r="AB2966">
        <v>128.88</v>
      </c>
      <c r="AC2966">
        <v>113.4</v>
      </c>
      <c r="AD2966">
        <v>0</v>
      </c>
      <c r="AE2966">
        <v>15.48</v>
      </c>
      <c r="AF2966">
        <v>0</v>
      </c>
      <c r="AG2966">
        <v>0</v>
      </c>
      <c r="AH2966">
        <v>0</v>
      </c>
      <c r="AI2966">
        <v>19.329999999999998</v>
      </c>
      <c r="AJ2966">
        <v>128.88</v>
      </c>
      <c r="AK2966">
        <v>0</v>
      </c>
      <c r="AL2966" t="s">
        <v>53</v>
      </c>
      <c r="AM2966" t="s">
        <v>53</v>
      </c>
      <c r="AN2966" t="s">
        <v>53</v>
      </c>
      <c r="AO2966" t="s">
        <v>53</v>
      </c>
      <c r="AP2966" t="s">
        <v>53</v>
      </c>
    </row>
    <row r="2967" spans="2:42" x14ac:dyDescent="0.2">
      <c r="B2967" t="s">
        <v>44</v>
      </c>
      <c r="C2967" t="str">
        <f>HYPERLINK("https://us2.cloudbeds.com/connect/8493803454333002#/reservations/13160860303573?display=9BQKG0FG3&amp;reservation_id=13160860303573", "9BQKG0FG3")</f>
        <v>9BQKG0FG3</v>
      </c>
      <c r="D2967" t="s">
        <v>45</v>
      </c>
      <c r="E2967" t="s">
        <v>78</v>
      </c>
      <c r="F2967" t="s">
        <v>61</v>
      </c>
      <c r="G2967" t="s">
        <v>48</v>
      </c>
      <c r="H2967" t="s">
        <v>49</v>
      </c>
      <c r="I2967" t="s">
        <v>50</v>
      </c>
      <c r="J2967" t="s">
        <v>3551</v>
      </c>
      <c r="K2967" t="s">
        <v>2541</v>
      </c>
      <c r="L2967" t="s">
        <v>53</v>
      </c>
      <c r="N2967" t="s">
        <v>4806</v>
      </c>
      <c r="P2967" t="s">
        <v>55</v>
      </c>
      <c r="R2967" t="s">
        <v>53</v>
      </c>
      <c r="T2967" t="s">
        <v>4807</v>
      </c>
      <c r="U2967" t="s">
        <v>58</v>
      </c>
      <c r="V2967">
        <v>1</v>
      </c>
      <c r="W2967">
        <v>1</v>
      </c>
      <c r="X2967">
        <v>1</v>
      </c>
      <c r="Y2967">
        <v>0</v>
      </c>
      <c r="Z2967">
        <v>1</v>
      </c>
      <c r="AA2967">
        <v>0</v>
      </c>
      <c r="AB2967">
        <v>159.11000000000001</v>
      </c>
      <c r="AC2967">
        <v>140</v>
      </c>
      <c r="AD2967">
        <v>0</v>
      </c>
      <c r="AE2967">
        <v>19.11</v>
      </c>
      <c r="AF2967">
        <v>0</v>
      </c>
      <c r="AG2967">
        <v>0</v>
      </c>
      <c r="AH2967">
        <v>0</v>
      </c>
      <c r="AI2967">
        <v>28.64</v>
      </c>
      <c r="AJ2967">
        <v>159.11000000000001</v>
      </c>
      <c r="AK2967">
        <v>0</v>
      </c>
      <c r="AL2967" t="s">
        <v>53</v>
      </c>
      <c r="AM2967" t="s">
        <v>53</v>
      </c>
      <c r="AN2967" t="s">
        <v>53</v>
      </c>
      <c r="AO2967" t="s">
        <v>53</v>
      </c>
      <c r="AP2967" t="s">
        <v>53</v>
      </c>
    </row>
    <row r="2968" spans="2:42" x14ac:dyDescent="0.2">
      <c r="B2968" t="s">
        <v>44</v>
      </c>
      <c r="C2968" t="str">
        <f>HYPERLINK("https://us2.cloudbeds.com/connect/8493803454333002#/reservations/13166045716629?display=9BUKWG7Y2&amp;reservation_id=13166045716629", "9BUKWG7Y2")</f>
        <v>9BUKWG7Y2</v>
      </c>
      <c r="D2968" t="s">
        <v>45</v>
      </c>
      <c r="E2968" t="s">
        <v>373</v>
      </c>
      <c r="F2968" t="s">
        <v>47</v>
      </c>
      <c r="G2968" t="s">
        <v>48</v>
      </c>
      <c r="H2968" t="s">
        <v>49</v>
      </c>
      <c r="I2968" t="s">
        <v>62</v>
      </c>
      <c r="J2968" t="s">
        <v>1610</v>
      </c>
      <c r="K2968" t="s">
        <v>1501</v>
      </c>
      <c r="L2968" t="s">
        <v>53</v>
      </c>
      <c r="N2968" t="s">
        <v>4808</v>
      </c>
      <c r="P2968" t="s">
        <v>55</v>
      </c>
      <c r="R2968" t="s">
        <v>56</v>
      </c>
      <c r="T2968" t="s">
        <v>4809</v>
      </c>
      <c r="U2968" t="s">
        <v>55</v>
      </c>
      <c r="V2968">
        <v>1</v>
      </c>
      <c r="W2968">
        <v>1</v>
      </c>
      <c r="X2968">
        <v>2</v>
      </c>
      <c r="Y2968">
        <v>0</v>
      </c>
      <c r="Z2968">
        <v>2</v>
      </c>
      <c r="AA2968">
        <v>0</v>
      </c>
      <c r="AB2968">
        <v>153.44</v>
      </c>
      <c r="AC2968">
        <v>135</v>
      </c>
      <c r="AD2968">
        <v>0</v>
      </c>
      <c r="AE2968">
        <v>18.440000000000001</v>
      </c>
      <c r="AF2968">
        <v>0</v>
      </c>
      <c r="AG2968">
        <v>0</v>
      </c>
      <c r="AH2968">
        <v>0</v>
      </c>
      <c r="AI2968">
        <v>23.02</v>
      </c>
      <c r="AJ2968">
        <v>153.44</v>
      </c>
      <c r="AK2968">
        <v>0</v>
      </c>
      <c r="AL2968" t="s">
        <v>53</v>
      </c>
      <c r="AM2968" t="s">
        <v>53</v>
      </c>
      <c r="AN2968" t="s">
        <v>53</v>
      </c>
      <c r="AO2968" t="s">
        <v>53</v>
      </c>
      <c r="AP2968" t="s">
        <v>53</v>
      </c>
    </row>
    <row r="2969" spans="2:42" x14ac:dyDescent="0.2">
      <c r="B2969" t="s">
        <v>44</v>
      </c>
      <c r="C2969" t="str">
        <f>HYPERLINK("https://us2.cloudbeds.com/connect/8493803454333002#/reservations/13355379753175?display=9GC7TVTJU&amp;reservation_id=13355379753175", "9GC7TVTJU")</f>
        <v>9GC7TVTJU</v>
      </c>
      <c r="D2969" t="s">
        <v>45</v>
      </c>
      <c r="E2969" t="s">
        <v>381</v>
      </c>
      <c r="F2969" t="s">
        <v>47</v>
      </c>
      <c r="G2969" t="s">
        <v>48</v>
      </c>
      <c r="H2969" t="s">
        <v>49</v>
      </c>
      <c r="I2969" t="s">
        <v>62</v>
      </c>
      <c r="J2969" t="s">
        <v>1610</v>
      </c>
      <c r="K2969" t="s">
        <v>1501</v>
      </c>
      <c r="L2969" t="s">
        <v>53</v>
      </c>
      <c r="N2969" t="s">
        <v>4810</v>
      </c>
      <c r="P2969" t="s">
        <v>55</v>
      </c>
      <c r="R2969" t="s">
        <v>56</v>
      </c>
      <c r="T2969" t="s">
        <v>4811</v>
      </c>
      <c r="U2969" t="s">
        <v>55</v>
      </c>
      <c r="V2969">
        <v>1</v>
      </c>
      <c r="W2969">
        <v>1</v>
      </c>
      <c r="X2969">
        <v>2</v>
      </c>
      <c r="Y2969">
        <v>0</v>
      </c>
      <c r="Z2969">
        <v>2</v>
      </c>
      <c r="AA2969">
        <v>0</v>
      </c>
      <c r="AB2969">
        <v>161.38999999999999</v>
      </c>
      <c r="AC2969">
        <v>142</v>
      </c>
      <c r="AD2969">
        <v>0</v>
      </c>
      <c r="AE2969">
        <v>19.39</v>
      </c>
      <c r="AF2969">
        <v>0</v>
      </c>
      <c r="AG2969">
        <v>0</v>
      </c>
      <c r="AH2969">
        <v>0</v>
      </c>
      <c r="AI2969">
        <v>24.21</v>
      </c>
      <c r="AJ2969">
        <v>161.38999999999999</v>
      </c>
      <c r="AK2969">
        <v>0</v>
      </c>
      <c r="AL2969" t="s">
        <v>53</v>
      </c>
      <c r="AM2969" t="s">
        <v>53</v>
      </c>
      <c r="AN2969" t="s">
        <v>53</v>
      </c>
      <c r="AO2969" t="s">
        <v>53</v>
      </c>
      <c r="AP2969" t="s">
        <v>53</v>
      </c>
    </row>
    <row r="2970" spans="2:42" x14ac:dyDescent="0.2">
      <c r="B2970" t="s">
        <v>44</v>
      </c>
      <c r="C2970" t="str">
        <f>HYPERLINK("https://us2.cloudbeds.com/connect/8493803454333002#/reservations/13376950051033?display=9GSV2K7YX&amp;reservation_id=13376950051033", "9GSV2K7YX")</f>
        <v>9GSV2K7YX</v>
      </c>
      <c r="D2970" t="s">
        <v>45</v>
      </c>
      <c r="E2970" t="s">
        <v>78</v>
      </c>
      <c r="F2970" t="s">
        <v>61</v>
      </c>
      <c r="G2970" t="s">
        <v>48</v>
      </c>
      <c r="H2970" t="s">
        <v>49</v>
      </c>
      <c r="I2970" t="s">
        <v>50</v>
      </c>
      <c r="J2970" t="s">
        <v>1611</v>
      </c>
      <c r="K2970" t="s">
        <v>3551</v>
      </c>
      <c r="L2970" t="s">
        <v>53</v>
      </c>
      <c r="N2970" t="s">
        <v>4812</v>
      </c>
      <c r="P2970" t="s">
        <v>55</v>
      </c>
      <c r="R2970" t="s">
        <v>53</v>
      </c>
      <c r="T2970" t="s">
        <v>4813</v>
      </c>
      <c r="U2970" t="s">
        <v>58</v>
      </c>
      <c r="V2970">
        <v>1</v>
      </c>
      <c r="W2970">
        <v>1</v>
      </c>
      <c r="X2970">
        <v>2</v>
      </c>
      <c r="Y2970">
        <v>0</v>
      </c>
      <c r="Z2970">
        <v>2</v>
      </c>
      <c r="AA2970">
        <v>0</v>
      </c>
      <c r="AB2970">
        <v>163.66</v>
      </c>
      <c r="AC2970">
        <v>144</v>
      </c>
      <c r="AD2970">
        <v>0</v>
      </c>
      <c r="AE2970">
        <v>19.66</v>
      </c>
      <c r="AF2970">
        <v>0</v>
      </c>
      <c r="AG2970">
        <v>0</v>
      </c>
      <c r="AH2970">
        <v>0</v>
      </c>
      <c r="AI2970">
        <v>29.46</v>
      </c>
      <c r="AJ2970">
        <v>163.66</v>
      </c>
      <c r="AK2970">
        <v>0</v>
      </c>
      <c r="AL2970" t="s">
        <v>53</v>
      </c>
      <c r="AM2970" t="s">
        <v>53</v>
      </c>
      <c r="AN2970" t="s">
        <v>53</v>
      </c>
      <c r="AO2970" t="s">
        <v>53</v>
      </c>
      <c r="AP2970" t="s">
        <v>53</v>
      </c>
    </row>
    <row r="2971" spans="2:42" x14ac:dyDescent="0.2">
      <c r="B2971" t="s">
        <v>44</v>
      </c>
      <c r="C2971" t="str">
        <f>HYPERLINK("https://us2.cloudbeds.com/connect/8493803454333002#/reservations/13387110199455?display=9H3QMUB62&amp;reservation_id=13387110199455", "9H3QMUB62")</f>
        <v>9H3QMUB62</v>
      </c>
      <c r="D2971" t="s">
        <v>45</v>
      </c>
      <c r="E2971" t="s">
        <v>373</v>
      </c>
      <c r="F2971" t="s">
        <v>47</v>
      </c>
      <c r="G2971" t="s">
        <v>48</v>
      </c>
      <c r="H2971" t="s">
        <v>49</v>
      </c>
      <c r="I2971" t="s">
        <v>50</v>
      </c>
      <c r="J2971" t="s">
        <v>1611</v>
      </c>
      <c r="K2971" t="s">
        <v>3551</v>
      </c>
      <c r="L2971" t="s">
        <v>53</v>
      </c>
      <c r="N2971" t="s">
        <v>4814</v>
      </c>
      <c r="P2971" t="s">
        <v>55</v>
      </c>
      <c r="R2971" t="s">
        <v>53</v>
      </c>
      <c r="T2971" t="s">
        <v>4815</v>
      </c>
      <c r="U2971" t="s">
        <v>58</v>
      </c>
      <c r="V2971">
        <v>1</v>
      </c>
      <c r="W2971">
        <v>1</v>
      </c>
      <c r="X2971">
        <v>1</v>
      </c>
      <c r="Y2971">
        <v>0</v>
      </c>
      <c r="Z2971">
        <v>1</v>
      </c>
      <c r="AA2971">
        <v>0</v>
      </c>
      <c r="AB2971">
        <v>159.11000000000001</v>
      </c>
      <c r="AC2971">
        <v>140</v>
      </c>
      <c r="AD2971">
        <v>0</v>
      </c>
      <c r="AE2971">
        <v>19.11</v>
      </c>
      <c r="AF2971">
        <v>0</v>
      </c>
      <c r="AG2971">
        <v>0</v>
      </c>
      <c r="AH2971">
        <v>0</v>
      </c>
      <c r="AI2971">
        <v>28.64</v>
      </c>
      <c r="AJ2971">
        <v>159.11000000000001</v>
      </c>
      <c r="AK2971">
        <v>0</v>
      </c>
      <c r="AL2971" t="s">
        <v>53</v>
      </c>
      <c r="AM2971" t="s">
        <v>53</v>
      </c>
      <c r="AN2971" t="s">
        <v>53</v>
      </c>
      <c r="AO2971" t="s">
        <v>53</v>
      </c>
      <c r="AP2971" t="s">
        <v>53</v>
      </c>
    </row>
    <row r="2972" spans="2:42" x14ac:dyDescent="0.2">
      <c r="B2972" t="s">
        <v>44</v>
      </c>
      <c r="C2972" t="str">
        <f>HYPERLINK("https://us2.cloudbeds.com/connect/8493803454333002#/reservations/13385344315549?display=9H2EXT0HX&amp;reservation_id=13385344315549", "9H2EXT0HX")</f>
        <v>9H2EXT0HX</v>
      </c>
      <c r="D2972" t="s">
        <v>45</v>
      </c>
      <c r="E2972" t="s">
        <v>46</v>
      </c>
      <c r="F2972" t="s">
        <v>47</v>
      </c>
      <c r="G2972" t="s">
        <v>48</v>
      </c>
      <c r="H2972" t="s">
        <v>49</v>
      </c>
      <c r="I2972" t="s">
        <v>50</v>
      </c>
      <c r="J2972" t="s">
        <v>1611</v>
      </c>
      <c r="K2972" t="s">
        <v>3551</v>
      </c>
      <c r="L2972" t="s">
        <v>53</v>
      </c>
      <c r="N2972" t="s">
        <v>4816</v>
      </c>
      <c r="P2972" t="s">
        <v>55</v>
      </c>
      <c r="R2972" t="s">
        <v>53</v>
      </c>
      <c r="T2972" t="s">
        <v>4817</v>
      </c>
      <c r="U2972" t="s">
        <v>58</v>
      </c>
      <c r="V2972">
        <v>1</v>
      </c>
      <c r="W2972">
        <v>1</v>
      </c>
      <c r="X2972">
        <v>1</v>
      </c>
      <c r="Y2972">
        <v>0</v>
      </c>
      <c r="Z2972">
        <v>1</v>
      </c>
      <c r="AA2972">
        <v>0</v>
      </c>
      <c r="AB2972">
        <v>159.11000000000001</v>
      </c>
      <c r="AC2972">
        <v>140</v>
      </c>
      <c r="AD2972">
        <v>0</v>
      </c>
      <c r="AE2972">
        <v>19.11</v>
      </c>
      <c r="AF2972">
        <v>0</v>
      </c>
      <c r="AG2972">
        <v>0</v>
      </c>
      <c r="AH2972">
        <v>0</v>
      </c>
      <c r="AI2972">
        <v>28.64</v>
      </c>
      <c r="AJ2972">
        <v>159.11000000000001</v>
      </c>
      <c r="AK2972">
        <v>0</v>
      </c>
      <c r="AL2972" t="s">
        <v>53</v>
      </c>
      <c r="AM2972" t="s">
        <v>53</v>
      </c>
      <c r="AN2972" t="s">
        <v>53</v>
      </c>
      <c r="AO2972" t="s">
        <v>53</v>
      </c>
      <c r="AP2972" t="s">
        <v>53</v>
      </c>
    </row>
    <row r="2973" spans="2:42" x14ac:dyDescent="0.2">
      <c r="B2973" t="s">
        <v>44</v>
      </c>
      <c r="C2973" t="str">
        <f>HYPERLINK("https://us2.cloudbeds.com/connect/8493803454333002#/reservations/13387989831858?display=9H4G5YDEE&amp;reservation_id=13387989831858", "9H4G5YDEE")</f>
        <v>9H4G5YDEE</v>
      </c>
      <c r="D2973" t="s">
        <v>45</v>
      </c>
      <c r="E2973" t="s">
        <v>213</v>
      </c>
      <c r="F2973" t="s">
        <v>86</v>
      </c>
      <c r="G2973" t="s">
        <v>48</v>
      </c>
      <c r="H2973" t="s">
        <v>49</v>
      </c>
      <c r="I2973" t="s">
        <v>62</v>
      </c>
      <c r="J2973" t="s">
        <v>1933</v>
      </c>
      <c r="K2973" t="s">
        <v>2412</v>
      </c>
      <c r="L2973" t="s">
        <v>53</v>
      </c>
      <c r="N2973" t="s">
        <v>4818</v>
      </c>
      <c r="P2973" t="s">
        <v>55</v>
      </c>
      <c r="R2973" t="s">
        <v>56</v>
      </c>
      <c r="T2973" t="s">
        <v>4819</v>
      </c>
      <c r="U2973" t="s">
        <v>55</v>
      </c>
      <c r="V2973">
        <v>1</v>
      </c>
      <c r="W2973">
        <v>1</v>
      </c>
      <c r="X2973">
        <v>2</v>
      </c>
      <c r="Y2973">
        <v>0</v>
      </c>
      <c r="Z2973">
        <v>2</v>
      </c>
      <c r="AA2973">
        <v>0</v>
      </c>
      <c r="AB2973">
        <v>128.88</v>
      </c>
      <c r="AC2973">
        <v>113.4</v>
      </c>
      <c r="AD2973">
        <v>0</v>
      </c>
      <c r="AE2973">
        <v>15.48</v>
      </c>
      <c r="AF2973">
        <v>0</v>
      </c>
      <c r="AG2973">
        <v>0</v>
      </c>
      <c r="AH2973">
        <v>0</v>
      </c>
      <c r="AI2973">
        <v>19.329999999999998</v>
      </c>
      <c r="AJ2973">
        <v>128.88</v>
      </c>
      <c r="AK2973">
        <v>0</v>
      </c>
      <c r="AL2973" t="s">
        <v>53</v>
      </c>
      <c r="AM2973" t="s">
        <v>53</v>
      </c>
      <c r="AN2973" t="s">
        <v>53</v>
      </c>
      <c r="AO2973" t="s">
        <v>53</v>
      </c>
      <c r="AP2973" t="s">
        <v>53</v>
      </c>
    </row>
    <row r="2974" spans="2:42" x14ac:dyDescent="0.2">
      <c r="B2974" t="s">
        <v>44</v>
      </c>
      <c r="C2974" t="str">
        <f>HYPERLINK("https://us2.cloudbeds.com/connect/8493803454333002#/reservations/13390592540831?display=9H6GMAKGA&amp;reservation_id=13390592540831", "9H6GMAKGA")</f>
        <v>9H6GMAKGA</v>
      </c>
      <c r="D2974" t="s">
        <v>45</v>
      </c>
      <c r="E2974" t="s">
        <v>110</v>
      </c>
      <c r="F2974" t="s">
        <v>47</v>
      </c>
      <c r="G2974" t="s">
        <v>48</v>
      </c>
      <c r="H2974" t="s">
        <v>49</v>
      </c>
      <c r="I2974" t="s">
        <v>62</v>
      </c>
      <c r="J2974" t="s">
        <v>1933</v>
      </c>
      <c r="K2974" t="s">
        <v>2206</v>
      </c>
      <c r="L2974" t="s">
        <v>53</v>
      </c>
      <c r="N2974" t="s">
        <v>4820</v>
      </c>
      <c r="P2974" t="s">
        <v>55</v>
      </c>
      <c r="R2974" t="s">
        <v>56</v>
      </c>
      <c r="T2974" t="s">
        <v>4821</v>
      </c>
      <c r="U2974" t="s">
        <v>55</v>
      </c>
      <c r="V2974">
        <v>2</v>
      </c>
      <c r="W2974">
        <v>1</v>
      </c>
      <c r="X2974">
        <v>2</v>
      </c>
      <c r="Y2974">
        <v>0</v>
      </c>
      <c r="Z2974">
        <v>2</v>
      </c>
      <c r="AA2974">
        <v>0</v>
      </c>
      <c r="AB2974">
        <v>216.85</v>
      </c>
      <c r="AC2974">
        <v>190.8</v>
      </c>
      <c r="AD2974">
        <v>0</v>
      </c>
      <c r="AE2974">
        <v>26.05</v>
      </c>
      <c r="AF2974">
        <v>0</v>
      </c>
      <c r="AG2974">
        <v>0</v>
      </c>
      <c r="AH2974">
        <v>0</v>
      </c>
      <c r="AI2974">
        <v>32.53</v>
      </c>
      <c r="AJ2974">
        <v>216.85</v>
      </c>
      <c r="AK2974">
        <v>0</v>
      </c>
      <c r="AL2974" t="s">
        <v>53</v>
      </c>
      <c r="AM2974" t="s">
        <v>53</v>
      </c>
      <c r="AN2974" t="s">
        <v>53</v>
      </c>
      <c r="AO2974" t="s">
        <v>53</v>
      </c>
      <c r="AP2974" t="s">
        <v>53</v>
      </c>
    </row>
    <row r="2975" spans="2:42" x14ac:dyDescent="0.2">
      <c r="B2975" t="s">
        <v>44</v>
      </c>
      <c r="C2975" t="str">
        <f>HYPERLINK("https://us2.cloudbeds.com/connect/8493803454333002#/reservations/13412153704586?display=9HN6K8PUV&amp;reservation_id=13412153704586", "9HN6K8PUV")</f>
        <v>9HN6K8PUV</v>
      </c>
      <c r="D2975" t="s">
        <v>45</v>
      </c>
      <c r="E2975" t="s">
        <v>190</v>
      </c>
      <c r="F2975" t="s">
        <v>61</v>
      </c>
      <c r="G2975" t="s">
        <v>48</v>
      </c>
      <c r="H2975" t="s">
        <v>3957</v>
      </c>
      <c r="I2975" t="s">
        <v>3958</v>
      </c>
      <c r="J2975" t="s">
        <v>1610</v>
      </c>
      <c r="K2975" t="s">
        <v>1501</v>
      </c>
      <c r="L2975" t="s">
        <v>53</v>
      </c>
      <c r="P2975" t="s">
        <v>55</v>
      </c>
      <c r="R2975" t="s">
        <v>56</v>
      </c>
      <c r="T2975" t="s">
        <v>4822</v>
      </c>
      <c r="U2975" t="s">
        <v>58</v>
      </c>
      <c r="V2975">
        <v>1</v>
      </c>
      <c r="W2975">
        <v>1</v>
      </c>
      <c r="X2975">
        <v>1</v>
      </c>
      <c r="Y2975">
        <v>0</v>
      </c>
      <c r="Z2975">
        <v>1</v>
      </c>
      <c r="AA2975">
        <v>0</v>
      </c>
      <c r="AB2975">
        <v>168.2</v>
      </c>
      <c r="AC2975">
        <v>148</v>
      </c>
      <c r="AD2975">
        <v>0</v>
      </c>
      <c r="AE2975">
        <v>20.2</v>
      </c>
      <c r="AF2975">
        <v>0</v>
      </c>
      <c r="AG2975">
        <v>0</v>
      </c>
      <c r="AH2975">
        <v>0</v>
      </c>
      <c r="AI2975">
        <v>0</v>
      </c>
      <c r="AJ2975">
        <v>168.2</v>
      </c>
      <c r="AK2975">
        <v>0</v>
      </c>
      <c r="AL2975" t="s">
        <v>53</v>
      </c>
      <c r="AM2975" t="s">
        <v>53</v>
      </c>
      <c r="AN2975" t="s">
        <v>53</v>
      </c>
      <c r="AO2975" t="s">
        <v>53</v>
      </c>
      <c r="AP2975" t="s">
        <v>53</v>
      </c>
    </row>
    <row r="2976" spans="2:42" x14ac:dyDescent="0.2">
      <c r="B2976" t="s">
        <v>44</v>
      </c>
      <c r="C2976" t="str">
        <f>HYPERLINK("https://us2.cloudbeds.com/connect/8493803454333002#/reservations/13416624930970?display=9HQYSH89X&amp;reservation_id=13416624930970", "9HQYSH89X")</f>
        <v>9HQYSH89X</v>
      </c>
      <c r="D2976" t="s">
        <v>45</v>
      </c>
      <c r="E2976" t="s">
        <v>265</v>
      </c>
      <c r="F2976" t="s">
        <v>61</v>
      </c>
      <c r="G2976" t="s">
        <v>48</v>
      </c>
      <c r="H2976" t="s">
        <v>49</v>
      </c>
      <c r="I2976" t="s">
        <v>62</v>
      </c>
      <c r="J2976" t="s">
        <v>1610</v>
      </c>
      <c r="K2976" t="s">
        <v>1501</v>
      </c>
      <c r="L2976" t="s">
        <v>53</v>
      </c>
      <c r="N2976" t="s">
        <v>4823</v>
      </c>
      <c r="P2976" t="s">
        <v>55</v>
      </c>
      <c r="R2976" t="s">
        <v>56</v>
      </c>
      <c r="T2976" t="s">
        <v>4824</v>
      </c>
      <c r="U2976" t="s">
        <v>55</v>
      </c>
      <c r="V2976">
        <v>1</v>
      </c>
      <c r="W2976">
        <v>1</v>
      </c>
      <c r="X2976">
        <v>2</v>
      </c>
      <c r="Y2976">
        <v>0</v>
      </c>
      <c r="Z2976">
        <v>2</v>
      </c>
      <c r="AA2976">
        <v>0</v>
      </c>
      <c r="AB2976">
        <v>172.75</v>
      </c>
      <c r="AC2976">
        <v>152</v>
      </c>
      <c r="AD2976">
        <v>0</v>
      </c>
      <c r="AE2976">
        <v>20.75</v>
      </c>
      <c r="AF2976">
        <v>0</v>
      </c>
      <c r="AG2976">
        <v>0</v>
      </c>
      <c r="AH2976">
        <v>0</v>
      </c>
      <c r="AI2976">
        <v>25.91</v>
      </c>
      <c r="AJ2976">
        <v>172.75</v>
      </c>
      <c r="AK2976">
        <v>0</v>
      </c>
      <c r="AL2976" t="s">
        <v>53</v>
      </c>
      <c r="AM2976" t="s">
        <v>53</v>
      </c>
      <c r="AN2976" t="s">
        <v>53</v>
      </c>
      <c r="AO2976" t="s">
        <v>53</v>
      </c>
      <c r="AP2976" t="s">
        <v>53</v>
      </c>
    </row>
    <row r="2977" spans="2:42" x14ac:dyDescent="0.2">
      <c r="B2977" t="s">
        <v>44</v>
      </c>
      <c r="C2977" t="str">
        <f>HYPERLINK("https://us2.cloudbeds.com/connect/8493803454333002#/reservations/13437231308952?display=9X9KDC33W&amp;reservation_id=13437231308952", "9X9KDC33W")</f>
        <v>9X9KDC33W</v>
      </c>
      <c r="D2977" t="s">
        <v>45</v>
      </c>
      <c r="E2977" t="s">
        <v>487</v>
      </c>
      <c r="F2977" t="s">
        <v>61</v>
      </c>
      <c r="G2977" t="s">
        <v>48</v>
      </c>
      <c r="H2977" t="s">
        <v>49</v>
      </c>
      <c r="I2977" t="s">
        <v>62</v>
      </c>
      <c r="J2977" t="s">
        <v>2412</v>
      </c>
      <c r="K2977" t="s">
        <v>1902</v>
      </c>
      <c r="L2977" t="s">
        <v>53</v>
      </c>
      <c r="N2977" t="s">
        <v>4825</v>
      </c>
      <c r="P2977" t="s">
        <v>55</v>
      </c>
      <c r="R2977" t="s">
        <v>56</v>
      </c>
      <c r="T2977" t="s">
        <v>4826</v>
      </c>
      <c r="U2977" t="s">
        <v>55</v>
      </c>
      <c r="V2977">
        <v>2</v>
      </c>
      <c r="W2977">
        <v>1</v>
      </c>
      <c r="X2977">
        <v>2</v>
      </c>
      <c r="Y2977">
        <v>0</v>
      </c>
      <c r="Z2977">
        <v>2</v>
      </c>
      <c r="AA2977">
        <v>0</v>
      </c>
      <c r="AB2977">
        <v>284.14</v>
      </c>
      <c r="AC2977">
        <v>250</v>
      </c>
      <c r="AD2977">
        <v>0</v>
      </c>
      <c r="AE2977">
        <v>34.14</v>
      </c>
      <c r="AF2977">
        <v>0</v>
      </c>
      <c r="AG2977">
        <v>0</v>
      </c>
      <c r="AH2977">
        <v>0</v>
      </c>
      <c r="AI2977">
        <v>42.62</v>
      </c>
      <c r="AJ2977">
        <v>284.14</v>
      </c>
      <c r="AK2977">
        <v>0</v>
      </c>
      <c r="AL2977" t="s">
        <v>53</v>
      </c>
      <c r="AM2977" t="s">
        <v>53</v>
      </c>
      <c r="AN2977" t="s">
        <v>53</v>
      </c>
      <c r="AO2977" t="s">
        <v>53</v>
      </c>
      <c r="AP2977" t="s">
        <v>53</v>
      </c>
    </row>
    <row r="2978" spans="2:42" x14ac:dyDescent="0.2">
      <c r="B2978" t="s">
        <v>44</v>
      </c>
      <c r="C2978" t="str">
        <f>HYPERLINK("https://us2.cloudbeds.com/connect/8493803454333002#/reservations/13470217576578?display=9J2598KBE&amp;reservation_id=13470217576578", "9J2598KBE")</f>
        <v>9J2598KBE</v>
      </c>
      <c r="D2978" t="s">
        <v>45</v>
      </c>
      <c r="E2978" t="s">
        <v>78</v>
      </c>
      <c r="F2978" t="s">
        <v>61</v>
      </c>
      <c r="G2978" t="s">
        <v>48</v>
      </c>
      <c r="H2978" t="s">
        <v>49</v>
      </c>
      <c r="I2978" t="s">
        <v>62</v>
      </c>
      <c r="J2978" t="s">
        <v>1610</v>
      </c>
      <c r="K2978" t="s">
        <v>1501</v>
      </c>
      <c r="L2978" t="s">
        <v>53</v>
      </c>
      <c r="N2978" t="s">
        <v>4827</v>
      </c>
      <c r="P2978" t="s">
        <v>55</v>
      </c>
      <c r="R2978" t="s">
        <v>53</v>
      </c>
      <c r="T2978" t="s">
        <v>4828</v>
      </c>
      <c r="U2978" t="s">
        <v>55</v>
      </c>
      <c r="V2978">
        <v>1</v>
      </c>
      <c r="W2978">
        <v>1</v>
      </c>
      <c r="X2978">
        <v>2</v>
      </c>
      <c r="Y2978">
        <v>0</v>
      </c>
      <c r="Z2978">
        <v>2</v>
      </c>
      <c r="AA2978">
        <v>0</v>
      </c>
      <c r="AB2978">
        <v>182.98</v>
      </c>
      <c r="AC2978">
        <v>161</v>
      </c>
      <c r="AD2978">
        <v>0</v>
      </c>
      <c r="AE2978">
        <v>21.98</v>
      </c>
      <c r="AF2978">
        <v>0</v>
      </c>
      <c r="AG2978">
        <v>0</v>
      </c>
      <c r="AH2978">
        <v>0</v>
      </c>
      <c r="AI2978">
        <v>27.45</v>
      </c>
      <c r="AJ2978">
        <v>182.98</v>
      </c>
      <c r="AK2978">
        <v>0</v>
      </c>
      <c r="AL2978" t="s">
        <v>53</v>
      </c>
      <c r="AM2978" t="s">
        <v>53</v>
      </c>
      <c r="AN2978" t="s">
        <v>53</v>
      </c>
      <c r="AO2978" t="s">
        <v>53</v>
      </c>
      <c r="AP2978" t="s">
        <v>53</v>
      </c>
    </row>
    <row r="2979" spans="2:42" x14ac:dyDescent="0.2">
      <c r="B2979" t="s">
        <v>44</v>
      </c>
      <c r="C2979" t="str">
        <f>HYPERLINK("https://us2.cloudbeds.com/connect/8493803454333002#/reservations/13479666421910?display=9J9FNPYWS&amp;reservation_id=13479666421910", "9J9FNPYWS")</f>
        <v>9J9FNPYWS</v>
      </c>
      <c r="D2979" t="s">
        <v>45</v>
      </c>
      <c r="E2979" t="s">
        <v>373</v>
      </c>
      <c r="F2979" t="s">
        <v>47</v>
      </c>
      <c r="G2979" t="s">
        <v>48</v>
      </c>
      <c r="H2979" t="s">
        <v>3957</v>
      </c>
      <c r="I2979" t="s">
        <v>3958</v>
      </c>
      <c r="J2979" t="s">
        <v>3551</v>
      </c>
      <c r="K2979" t="s">
        <v>2541</v>
      </c>
      <c r="L2979" t="s">
        <v>53</v>
      </c>
      <c r="P2979" t="s">
        <v>58</v>
      </c>
      <c r="R2979" t="s">
        <v>56</v>
      </c>
      <c r="T2979" t="s">
        <v>4829</v>
      </c>
      <c r="U2979" t="s">
        <v>58</v>
      </c>
      <c r="V2979">
        <v>1</v>
      </c>
      <c r="W2979">
        <v>1</v>
      </c>
      <c r="X2979">
        <v>1</v>
      </c>
      <c r="Y2979">
        <v>0</v>
      </c>
      <c r="Z2979">
        <v>1</v>
      </c>
      <c r="AA2979">
        <v>0</v>
      </c>
      <c r="AB2979">
        <v>0</v>
      </c>
      <c r="AC2979">
        <v>0</v>
      </c>
      <c r="AD2979">
        <v>0</v>
      </c>
      <c r="AE2979">
        <v>0</v>
      </c>
      <c r="AF2979">
        <v>0</v>
      </c>
      <c r="AG2979">
        <v>0</v>
      </c>
      <c r="AH2979">
        <v>0</v>
      </c>
      <c r="AI2979">
        <v>0</v>
      </c>
      <c r="AJ2979">
        <v>0</v>
      </c>
      <c r="AK2979">
        <v>0</v>
      </c>
      <c r="AL2979" t="s">
        <v>53</v>
      </c>
      <c r="AM2979" t="s">
        <v>53</v>
      </c>
      <c r="AN2979" t="s">
        <v>4830</v>
      </c>
      <c r="AO2979" t="s">
        <v>53</v>
      </c>
      <c r="AP2979" t="s">
        <v>53</v>
      </c>
    </row>
    <row r="2980" spans="2:42" x14ac:dyDescent="0.2">
      <c r="B2980" t="s">
        <v>44</v>
      </c>
      <c r="C2980" t="str">
        <f>HYPERLINK("https://us2.cloudbeds.com/connect/8493803454333002#/reservations/13502432329877?display=9JR3EJK9S&amp;reservation_id=13502432329877", "9JR3EJK9S")</f>
        <v>9JR3EJK9S</v>
      </c>
      <c r="D2980" t="s">
        <v>45</v>
      </c>
      <c r="E2980" t="s">
        <v>110</v>
      </c>
      <c r="F2980" t="s">
        <v>47</v>
      </c>
      <c r="G2980" t="s">
        <v>48</v>
      </c>
      <c r="H2980" t="s">
        <v>49</v>
      </c>
      <c r="I2980" t="s">
        <v>50</v>
      </c>
      <c r="J2980" t="s">
        <v>3000</v>
      </c>
      <c r="K2980" t="s">
        <v>1898</v>
      </c>
      <c r="L2980" t="s">
        <v>53</v>
      </c>
      <c r="N2980" t="s">
        <v>4831</v>
      </c>
      <c r="P2980" t="s">
        <v>55</v>
      </c>
      <c r="R2980" t="s">
        <v>53</v>
      </c>
      <c r="T2980" t="s">
        <v>4832</v>
      </c>
      <c r="U2980" t="s">
        <v>58</v>
      </c>
      <c r="V2980">
        <v>1</v>
      </c>
      <c r="W2980">
        <v>1</v>
      </c>
      <c r="X2980">
        <v>2</v>
      </c>
      <c r="Y2980">
        <v>0</v>
      </c>
      <c r="Z2980">
        <v>2</v>
      </c>
      <c r="AA2980">
        <v>0</v>
      </c>
      <c r="AB2980">
        <v>159.56</v>
      </c>
      <c r="AC2980">
        <v>140.4</v>
      </c>
      <c r="AD2980">
        <v>0</v>
      </c>
      <c r="AE2980">
        <v>19.16</v>
      </c>
      <c r="AF2980">
        <v>0</v>
      </c>
      <c r="AG2980">
        <v>0</v>
      </c>
      <c r="AH2980">
        <v>0</v>
      </c>
      <c r="AI2980">
        <v>28.72</v>
      </c>
      <c r="AJ2980">
        <v>159.56</v>
      </c>
      <c r="AK2980">
        <v>0</v>
      </c>
      <c r="AL2980" t="s">
        <v>53</v>
      </c>
      <c r="AM2980" t="s">
        <v>53</v>
      </c>
      <c r="AN2980" t="s">
        <v>53</v>
      </c>
      <c r="AO2980" t="s">
        <v>53</v>
      </c>
      <c r="AP2980" t="s">
        <v>53</v>
      </c>
    </row>
    <row r="2981" spans="2:42" x14ac:dyDescent="0.2">
      <c r="B2981" t="s">
        <v>44</v>
      </c>
      <c r="C2981" t="str">
        <f>HYPERLINK("https://us2.cloudbeds.com/connect/8493803454333002#/reservations/13503367078082?display=9JRRAQBV1&amp;reservation_id=13503367078082", "9JRRAQBV1")</f>
        <v>9JRRAQBV1</v>
      </c>
      <c r="D2981" t="s">
        <v>45</v>
      </c>
      <c r="E2981" t="s">
        <v>179</v>
      </c>
      <c r="F2981" t="s">
        <v>47</v>
      </c>
      <c r="G2981" t="s">
        <v>48</v>
      </c>
      <c r="H2981" t="s">
        <v>49</v>
      </c>
      <c r="I2981" t="s">
        <v>50</v>
      </c>
      <c r="J2981" t="s">
        <v>3000</v>
      </c>
      <c r="K2981" t="s">
        <v>1898</v>
      </c>
      <c r="L2981" t="s">
        <v>53</v>
      </c>
      <c r="N2981" t="s">
        <v>4833</v>
      </c>
      <c r="P2981" t="s">
        <v>55</v>
      </c>
      <c r="R2981" t="s">
        <v>53</v>
      </c>
      <c r="T2981" t="s">
        <v>4834</v>
      </c>
      <c r="U2981" t="s">
        <v>58</v>
      </c>
      <c r="V2981">
        <v>1</v>
      </c>
      <c r="W2981">
        <v>1</v>
      </c>
      <c r="X2981">
        <v>2</v>
      </c>
      <c r="Y2981">
        <v>0</v>
      </c>
      <c r="Z2981">
        <v>2</v>
      </c>
      <c r="AA2981">
        <v>0</v>
      </c>
      <c r="AB2981">
        <v>159.56</v>
      </c>
      <c r="AC2981">
        <v>140.4</v>
      </c>
      <c r="AD2981">
        <v>0</v>
      </c>
      <c r="AE2981">
        <v>19.16</v>
      </c>
      <c r="AF2981">
        <v>0</v>
      </c>
      <c r="AG2981">
        <v>0</v>
      </c>
      <c r="AH2981">
        <v>0</v>
      </c>
      <c r="AI2981">
        <v>28.72</v>
      </c>
      <c r="AJ2981">
        <v>159.56</v>
      </c>
      <c r="AK2981">
        <v>0</v>
      </c>
      <c r="AL2981" t="s">
        <v>53</v>
      </c>
      <c r="AM2981" t="s">
        <v>53</v>
      </c>
      <c r="AN2981" t="s">
        <v>53</v>
      </c>
      <c r="AO2981" t="s">
        <v>53</v>
      </c>
      <c r="AP2981" t="s">
        <v>53</v>
      </c>
    </row>
    <row r="2982" spans="2:42" x14ac:dyDescent="0.2">
      <c r="B2982" t="s">
        <v>44</v>
      </c>
      <c r="C2982" t="str">
        <f>HYPERLINK("https://us2.cloudbeds.com/connect/8493803454333002#/reservations/13530573320379?display=9KFTGR57Q&amp;reservation_id=13530573320379", "9KFTGR57Q")</f>
        <v>9KFTGR57Q</v>
      </c>
      <c r="D2982" t="s">
        <v>45</v>
      </c>
      <c r="E2982" t="s">
        <v>373</v>
      </c>
      <c r="F2982" t="s">
        <v>47</v>
      </c>
      <c r="G2982" t="s">
        <v>3974</v>
      </c>
      <c r="H2982" t="s">
        <v>3957</v>
      </c>
      <c r="I2982" t="s">
        <v>3975</v>
      </c>
      <c r="J2982" t="s">
        <v>1332</v>
      </c>
      <c r="K2982" t="s">
        <v>1333</v>
      </c>
      <c r="L2982" t="s">
        <v>53</v>
      </c>
      <c r="P2982" t="s">
        <v>55</v>
      </c>
      <c r="R2982" t="s">
        <v>56</v>
      </c>
      <c r="T2982" t="s">
        <v>4835</v>
      </c>
      <c r="U2982" t="s">
        <v>58</v>
      </c>
      <c r="V2982">
        <v>1</v>
      </c>
      <c r="W2982">
        <v>1</v>
      </c>
      <c r="X2982">
        <v>1</v>
      </c>
      <c r="Y2982">
        <v>0</v>
      </c>
      <c r="Z2982">
        <v>1</v>
      </c>
      <c r="AA2982">
        <v>0</v>
      </c>
      <c r="AB2982">
        <v>172.86</v>
      </c>
      <c r="AC2982">
        <v>152.1</v>
      </c>
      <c r="AD2982">
        <v>0</v>
      </c>
      <c r="AE2982">
        <v>20.76</v>
      </c>
      <c r="AF2982">
        <v>0</v>
      </c>
      <c r="AG2982">
        <v>0</v>
      </c>
      <c r="AH2982">
        <v>0</v>
      </c>
      <c r="AI2982">
        <v>0</v>
      </c>
      <c r="AJ2982">
        <v>172.86</v>
      </c>
      <c r="AK2982">
        <v>0</v>
      </c>
      <c r="AL2982" t="s">
        <v>53</v>
      </c>
      <c r="AM2982" t="s">
        <v>53</v>
      </c>
      <c r="AN2982" t="s">
        <v>53</v>
      </c>
      <c r="AO2982" t="s">
        <v>53</v>
      </c>
      <c r="AP2982" t="s">
        <v>53</v>
      </c>
    </row>
    <row r="2983" spans="2:42" x14ac:dyDescent="0.2">
      <c r="B2983" t="s">
        <v>44</v>
      </c>
      <c r="C2983" t="str">
        <f>HYPERLINK("https://us2.cloudbeds.com/connect/8493803454333002#/reservations/13691381891315?display=9Z8DHSMTS&amp;reservation_id=13691381891315", "9Z8DHSMTS")</f>
        <v>9Z8DHSMTS</v>
      </c>
      <c r="D2983" t="s">
        <v>45</v>
      </c>
      <c r="E2983" t="s">
        <v>179</v>
      </c>
      <c r="F2983" t="s">
        <v>47</v>
      </c>
      <c r="G2983" t="s">
        <v>48</v>
      </c>
      <c r="H2983" t="s">
        <v>49</v>
      </c>
      <c r="I2983" t="s">
        <v>50</v>
      </c>
      <c r="J2983" t="s">
        <v>1611</v>
      </c>
      <c r="K2983" t="s">
        <v>2541</v>
      </c>
      <c r="L2983" t="s">
        <v>53</v>
      </c>
      <c r="N2983" t="s">
        <v>4836</v>
      </c>
      <c r="P2983" t="s">
        <v>55</v>
      </c>
      <c r="R2983" t="s">
        <v>53</v>
      </c>
      <c r="T2983" t="s">
        <v>4837</v>
      </c>
      <c r="U2983" t="s">
        <v>58</v>
      </c>
      <c r="V2983">
        <v>2</v>
      </c>
      <c r="W2983">
        <v>1</v>
      </c>
      <c r="X2983">
        <v>1</v>
      </c>
      <c r="Y2983">
        <v>0</v>
      </c>
      <c r="Z2983">
        <v>1</v>
      </c>
      <c r="AA2983">
        <v>0</v>
      </c>
      <c r="AB2983">
        <v>331.87</v>
      </c>
      <c r="AC2983">
        <v>292</v>
      </c>
      <c r="AD2983">
        <v>0</v>
      </c>
      <c r="AE2983">
        <v>39.869999999999997</v>
      </c>
      <c r="AF2983">
        <v>0</v>
      </c>
      <c r="AG2983">
        <v>0</v>
      </c>
      <c r="AH2983">
        <v>0</v>
      </c>
      <c r="AI2983">
        <v>59.74</v>
      </c>
      <c r="AJ2983">
        <v>331.87</v>
      </c>
      <c r="AK2983">
        <v>0</v>
      </c>
      <c r="AL2983" t="s">
        <v>53</v>
      </c>
      <c r="AM2983" t="s">
        <v>53</v>
      </c>
      <c r="AN2983" t="s">
        <v>53</v>
      </c>
      <c r="AO2983" t="s">
        <v>53</v>
      </c>
      <c r="AP2983" t="s">
        <v>53</v>
      </c>
    </row>
    <row r="2984" spans="2:42" x14ac:dyDescent="0.2">
      <c r="B2984" t="s">
        <v>44</v>
      </c>
      <c r="C2984" t="str">
        <f>HYPERLINK("https://us2.cloudbeds.com/connect/8493803454333002#/reservations/13745018626259?display=9PGV2PU17&amp;reservation_id=13745018626259", "9PGV2PU17")</f>
        <v>9PGV2PU17</v>
      </c>
      <c r="D2984" t="s">
        <v>45</v>
      </c>
      <c r="E2984" t="s">
        <v>113</v>
      </c>
      <c r="F2984" t="s">
        <v>61</v>
      </c>
      <c r="G2984" t="s">
        <v>48</v>
      </c>
      <c r="H2984" t="s">
        <v>49</v>
      </c>
      <c r="I2984" t="s">
        <v>62</v>
      </c>
      <c r="J2984" t="s">
        <v>1501</v>
      </c>
      <c r="K2984" t="s">
        <v>1611</v>
      </c>
      <c r="L2984" t="s">
        <v>53</v>
      </c>
      <c r="N2984" t="s">
        <v>4838</v>
      </c>
      <c r="P2984" t="s">
        <v>55</v>
      </c>
      <c r="R2984" t="s">
        <v>56</v>
      </c>
      <c r="T2984" t="s">
        <v>4839</v>
      </c>
      <c r="U2984" t="s">
        <v>55</v>
      </c>
      <c r="V2984">
        <v>1</v>
      </c>
      <c r="W2984">
        <v>1</v>
      </c>
      <c r="X2984">
        <v>1</v>
      </c>
      <c r="Y2984">
        <v>0</v>
      </c>
      <c r="Z2984">
        <v>1</v>
      </c>
      <c r="AA2984">
        <v>0</v>
      </c>
      <c r="AB2984">
        <v>215.94</v>
      </c>
      <c r="AC2984">
        <v>190</v>
      </c>
      <c r="AD2984">
        <v>0</v>
      </c>
      <c r="AE2984">
        <v>25.94</v>
      </c>
      <c r="AF2984">
        <v>0</v>
      </c>
      <c r="AG2984">
        <v>0</v>
      </c>
      <c r="AH2984">
        <v>0</v>
      </c>
      <c r="AI2984">
        <v>32.39</v>
      </c>
      <c r="AJ2984">
        <v>215.94</v>
      </c>
      <c r="AK2984">
        <v>0</v>
      </c>
      <c r="AL2984" t="s">
        <v>53</v>
      </c>
      <c r="AM2984" t="s">
        <v>53</v>
      </c>
      <c r="AN2984" t="s">
        <v>53</v>
      </c>
      <c r="AO2984" t="s">
        <v>53</v>
      </c>
      <c r="AP2984" t="s">
        <v>53</v>
      </c>
    </row>
    <row r="2985" spans="2:42" x14ac:dyDescent="0.2">
      <c r="B2985" t="s">
        <v>44</v>
      </c>
      <c r="C2985" t="str">
        <f>HYPERLINK("https://us2.cloudbeds.com/connect/8493803454333002#/reservations/13782865969292?display=9QD85M0N1&amp;reservation_id=13782865969292", "9QD85M0N1")</f>
        <v>9QD85M0N1</v>
      </c>
      <c r="D2985" t="s">
        <v>45</v>
      </c>
      <c r="E2985" t="s">
        <v>128</v>
      </c>
      <c r="F2985" t="s">
        <v>86</v>
      </c>
      <c r="G2985" t="s">
        <v>48</v>
      </c>
      <c r="H2985" t="s">
        <v>49</v>
      </c>
      <c r="I2985" t="s">
        <v>62</v>
      </c>
      <c r="J2985" t="s">
        <v>4840</v>
      </c>
      <c r="K2985" t="s">
        <v>4841</v>
      </c>
      <c r="L2985" t="s">
        <v>53</v>
      </c>
      <c r="N2985" t="s">
        <v>4842</v>
      </c>
      <c r="P2985" t="s">
        <v>55</v>
      </c>
      <c r="R2985" t="s">
        <v>56</v>
      </c>
      <c r="T2985" t="s">
        <v>4843</v>
      </c>
      <c r="U2985" t="s">
        <v>55</v>
      </c>
      <c r="V2985">
        <v>2</v>
      </c>
      <c r="W2985">
        <v>1</v>
      </c>
      <c r="X2985">
        <v>2</v>
      </c>
      <c r="Y2985">
        <v>2</v>
      </c>
      <c r="Z2985">
        <v>4</v>
      </c>
      <c r="AA2985">
        <v>0</v>
      </c>
      <c r="AB2985">
        <v>226.18</v>
      </c>
      <c r="AC2985">
        <v>199</v>
      </c>
      <c r="AD2985">
        <v>0</v>
      </c>
      <c r="AE2985">
        <v>27.18</v>
      </c>
      <c r="AF2985">
        <v>0</v>
      </c>
      <c r="AG2985">
        <v>0</v>
      </c>
      <c r="AH2985">
        <v>0</v>
      </c>
      <c r="AI2985">
        <v>33.93</v>
      </c>
      <c r="AJ2985">
        <v>226.18</v>
      </c>
      <c r="AK2985">
        <v>0</v>
      </c>
      <c r="AL2985" t="s">
        <v>53</v>
      </c>
      <c r="AM2985" t="s">
        <v>53</v>
      </c>
      <c r="AN2985" t="s">
        <v>53</v>
      </c>
      <c r="AO2985" t="s">
        <v>53</v>
      </c>
      <c r="AP2985" t="s">
        <v>53</v>
      </c>
    </row>
    <row r="2986" spans="2:42" x14ac:dyDescent="0.2">
      <c r="B2986" t="s">
        <v>44</v>
      </c>
      <c r="C2986" t="str">
        <f>HYPERLINK("https://us2.cloudbeds.com/connect/8493803454333002#/reservations/13889414201519?display=9STZNVYAV&amp;reservation_id=13889414201519", "9STZNVYAV")</f>
        <v>9STZNVYAV</v>
      </c>
      <c r="D2986" t="s">
        <v>45</v>
      </c>
      <c r="E2986" t="s">
        <v>78</v>
      </c>
      <c r="F2986" t="s">
        <v>61</v>
      </c>
      <c r="G2986" t="s">
        <v>48</v>
      </c>
      <c r="H2986" t="s">
        <v>49</v>
      </c>
      <c r="I2986" t="s">
        <v>50</v>
      </c>
      <c r="J2986" t="s">
        <v>2206</v>
      </c>
      <c r="K2986" t="s">
        <v>1902</v>
      </c>
      <c r="L2986" t="s">
        <v>53</v>
      </c>
      <c r="N2986" t="s">
        <v>4844</v>
      </c>
      <c r="P2986" t="s">
        <v>55</v>
      </c>
      <c r="R2986" t="s">
        <v>53</v>
      </c>
      <c r="T2986" t="s">
        <v>4845</v>
      </c>
      <c r="U2986" t="s">
        <v>58</v>
      </c>
      <c r="V2986">
        <v>1</v>
      </c>
      <c r="W2986">
        <v>1</v>
      </c>
      <c r="X2986">
        <v>2</v>
      </c>
      <c r="Y2986">
        <v>0</v>
      </c>
      <c r="Z2986">
        <v>2</v>
      </c>
      <c r="AA2986">
        <v>0</v>
      </c>
      <c r="AB2986">
        <v>121.72</v>
      </c>
      <c r="AC2986">
        <v>107.1</v>
      </c>
      <c r="AD2986">
        <v>0</v>
      </c>
      <c r="AE2986">
        <v>14.62</v>
      </c>
      <c r="AF2986">
        <v>0</v>
      </c>
      <c r="AG2986">
        <v>0</v>
      </c>
      <c r="AH2986">
        <v>0</v>
      </c>
      <c r="AI2986">
        <v>21.91</v>
      </c>
      <c r="AJ2986">
        <v>121.72</v>
      </c>
      <c r="AK2986">
        <v>0</v>
      </c>
      <c r="AL2986" t="s">
        <v>53</v>
      </c>
      <c r="AM2986" t="s">
        <v>53</v>
      </c>
      <c r="AN2986" t="s">
        <v>53</v>
      </c>
      <c r="AO2986" t="s">
        <v>53</v>
      </c>
      <c r="AP2986" t="s">
        <v>53</v>
      </c>
    </row>
    <row r="2987" spans="2:42" x14ac:dyDescent="0.2">
      <c r="B2987" t="s">
        <v>44</v>
      </c>
      <c r="C2987" t="str">
        <f>HYPERLINK("https://us2.cloudbeds.com/connect/8493803454333002#/reservations/14090824663238?display=A0KN7JY8P&amp;reservation_id=14090824663238", "A0KN7JY8P")</f>
        <v>A0KN7JY8P</v>
      </c>
      <c r="D2987" t="s">
        <v>45</v>
      </c>
      <c r="E2987" t="s">
        <v>185</v>
      </c>
      <c r="F2987" t="s">
        <v>47</v>
      </c>
      <c r="G2987" t="s">
        <v>48</v>
      </c>
      <c r="H2987" t="s">
        <v>3957</v>
      </c>
      <c r="I2987" t="s">
        <v>3989</v>
      </c>
      <c r="J2987" t="s">
        <v>2412</v>
      </c>
      <c r="K2987" t="s">
        <v>1902</v>
      </c>
      <c r="L2987" t="s">
        <v>53</v>
      </c>
      <c r="P2987" t="s">
        <v>55</v>
      </c>
      <c r="R2987" t="s">
        <v>56</v>
      </c>
      <c r="T2987" t="s">
        <v>4846</v>
      </c>
      <c r="U2987" t="s">
        <v>58</v>
      </c>
      <c r="V2987">
        <v>2</v>
      </c>
      <c r="W2987">
        <v>1</v>
      </c>
      <c r="X2987">
        <v>1</v>
      </c>
      <c r="Y2987">
        <v>0</v>
      </c>
      <c r="Z2987">
        <v>1</v>
      </c>
      <c r="AA2987">
        <v>0</v>
      </c>
      <c r="AB2987">
        <v>276.18</v>
      </c>
      <c r="AC2987">
        <v>243</v>
      </c>
      <c r="AD2987">
        <v>0</v>
      </c>
      <c r="AE2987">
        <v>33.18</v>
      </c>
      <c r="AF2987">
        <v>0</v>
      </c>
      <c r="AG2987">
        <v>0</v>
      </c>
      <c r="AH2987">
        <v>0</v>
      </c>
      <c r="AI2987">
        <v>0</v>
      </c>
      <c r="AJ2987">
        <v>276.18</v>
      </c>
      <c r="AK2987">
        <v>0</v>
      </c>
      <c r="AL2987" t="s">
        <v>53</v>
      </c>
      <c r="AM2987" t="s">
        <v>53</v>
      </c>
      <c r="AN2987" t="s">
        <v>4847</v>
      </c>
      <c r="AO2987" t="s">
        <v>53</v>
      </c>
      <c r="AP2987" t="s">
        <v>53</v>
      </c>
    </row>
    <row r="2988" spans="2:42" x14ac:dyDescent="0.2">
      <c r="B2988" t="s">
        <v>44</v>
      </c>
      <c r="C2988" t="str">
        <f>HYPERLINK("https://us2.cloudbeds.com/connect/8493803454333002#/reservations/14118377390212?display=A1918PTA6&amp;reservation_id=14118377390212", "A1918PTA6")</f>
        <v>A1918PTA6</v>
      </c>
      <c r="D2988" t="s">
        <v>45</v>
      </c>
      <c r="E2988" t="s">
        <v>85</v>
      </c>
      <c r="F2988" t="s">
        <v>86</v>
      </c>
      <c r="G2988" t="s">
        <v>48</v>
      </c>
      <c r="H2988" t="s">
        <v>3957</v>
      </c>
      <c r="I2988" t="s">
        <v>3958</v>
      </c>
      <c r="J2988" t="s">
        <v>3551</v>
      </c>
      <c r="K2988" t="s">
        <v>2541</v>
      </c>
      <c r="L2988" t="s">
        <v>53</v>
      </c>
      <c r="P2988" t="s">
        <v>58</v>
      </c>
      <c r="R2988" t="s">
        <v>56</v>
      </c>
      <c r="T2988" t="s">
        <v>4848</v>
      </c>
      <c r="U2988" t="s">
        <v>58</v>
      </c>
      <c r="V2988">
        <v>1</v>
      </c>
      <c r="W2988">
        <v>1</v>
      </c>
      <c r="X2988">
        <v>1</v>
      </c>
      <c r="Y2988">
        <v>0</v>
      </c>
      <c r="Z2988">
        <v>1</v>
      </c>
      <c r="AA2988">
        <v>0</v>
      </c>
      <c r="AB2988">
        <v>157.97999999999999</v>
      </c>
      <c r="AC2988">
        <v>139</v>
      </c>
      <c r="AD2988">
        <v>0</v>
      </c>
      <c r="AE2988">
        <v>18.98</v>
      </c>
      <c r="AF2988">
        <v>0</v>
      </c>
      <c r="AG2988">
        <v>0</v>
      </c>
      <c r="AH2988">
        <v>0</v>
      </c>
      <c r="AI2988">
        <v>0</v>
      </c>
      <c r="AJ2988">
        <v>157.97999999999999</v>
      </c>
      <c r="AK2988">
        <v>0</v>
      </c>
      <c r="AL2988" t="s">
        <v>53</v>
      </c>
      <c r="AM2988" t="s">
        <v>53</v>
      </c>
      <c r="AN2988" t="s">
        <v>53</v>
      </c>
      <c r="AO2988" t="s">
        <v>53</v>
      </c>
      <c r="AP2988" t="s">
        <v>53</v>
      </c>
    </row>
    <row r="2989" spans="2:42" x14ac:dyDescent="0.2">
      <c r="B2989" t="s">
        <v>44</v>
      </c>
      <c r="C2989" t="str">
        <f>HYPERLINK("https://us2.cloudbeds.com/connect/8493803454333002#/reservations/14124716638439?display=A1DV86QTA&amp;reservation_id=14124716638439", "A1DV86QTA")</f>
        <v>A1DV86QTA</v>
      </c>
      <c r="D2989" t="s">
        <v>45</v>
      </c>
      <c r="E2989" t="s">
        <v>138</v>
      </c>
      <c r="F2989" t="s">
        <v>70</v>
      </c>
      <c r="G2989" t="s">
        <v>48</v>
      </c>
      <c r="H2989" t="s">
        <v>49</v>
      </c>
      <c r="I2989" t="s">
        <v>62</v>
      </c>
      <c r="J2989" t="s">
        <v>1611</v>
      </c>
      <c r="K2989" t="s">
        <v>3551</v>
      </c>
      <c r="L2989" t="s">
        <v>53</v>
      </c>
      <c r="N2989" t="s">
        <v>4849</v>
      </c>
      <c r="P2989" t="s">
        <v>55</v>
      </c>
      <c r="R2989" t="s">
        <v>56</v>
      </c>
      <c r="T2989" t="s">
        <v>4850</v>
      </c>
      <c r="U2989" t="s">
        <v>55</v>
      </c>
      <c r="V2989">
        <v>1</v>
      </c>
      <c r="W2989">
        <v>1</v>
      </c>
      <c r="X2989">
        <v>1</v>
      </c>
      <c r="Y2989">
        <v>0</v>
      </c>
      <c r="Z2989">
        <v>1</v>
      </c>
      <c r="AA2989">
        <v>0</v>
      </c>
      <c r="AB2989">
        <v>143.19999999999999</v>
      </c>
      <c r="AC2989">
        <v>126</v>
      </c>
      <c r="AD2989">
        <v>0</v>
      </c>
      <c r="AE2989">
        <v>17.2</v>
      </c>
      <c r="AF2989">
        <v>0</v>
      </c>
      <c r="AG2989">
        <v>0</v>
      </c>
      <c r="AH2989">
        <v>0</v>
      </c>
      <c r="AI2989">
        <v>21.48</v>
      </c>
      <c r="AJ2989">
        <v>143.19999999999999</v>
      </c>
      <c r="AK2989">
        <v>0</v>
      </c>
      <c r="AL2989" t="s">
        <v>53</v>
      </c>
      <c r="AM2989" t="s">
        <v>53</v>
      </c>
      <c r="AN2989" t="s">
        <v>53</v>
      </c>
      <c r="AO2989" t="s">
        <v>53</v>
      </c>
      <c r="AP2989" t="s">
        <v>53</v>
      </c>
    </row>
    <row r="2990" spans="2:42" x14ac:dyDescent="0.2">
      <c r="B2990" t="s">
        <v>44</v>
      </c>
      <c r="C2990" t="str">
        <f>HYPERLINK("https://us2.cloudbeds.com/connect/8493803454333002#/reservations/14128331976867?display=A1GZKZUT8&amp;reservation_id=14128331976867", "A1GZKZUT8")</f>
        <v>A1GZKZUT8</v>
      </c>
      <c r="D2990" t="s">
        <v>45</v>
      </c>
      <c r="E2990" t="s">
        <v>165</v>
      </c>
      <c r="F2990" t="s">
        <v>61</v>
      </c>
      <c r="G2990" t="s">
        <v>48</v>
      </c>
      <c r="H2990" t="s">
        <v>3957</v>
      </c>
      <c r="I2990" t="s">
        <v>3975</v>
      </c>
      <c r="J2990" t="s">
        <v>2412</v>
      </c>
      <c r="K2990" t="s">
        <v>2206</v>
      </c>
      <c r="L2990" t="s">
        <v>53</v>
      </c>
      <c r="P2990" t="s">
        <v>55</v>
      </c>
      <c r="R2990" t="s">
        <v>56</v>
      </c>
      <c r="T2990" t="s">
        <v>4851</v>
      </c>
      <c r="U2990" t="s">
        <v>58</v>
      </c>
      <c r="V2990">
        <v>1</v>
      </c>
      <c r="W2990">
        <v>1</v>
      </c>
      <c r="X2990">
        <v>2</v>
      </c>
      <c r="Y2990">
        <v>0</v>
      </c>
      <c r="Z2990">
        <v>2</v>
      </c>
      <c r="AA2990">
        <v>0</v>
      </c>
      <c r="AB2990">
        <v>148.88999999999999</v>
      </c>
      <c r="AC2990">
        <v>131</v>
      </c>
      <c r="AD2990">
        <v>0</v>
      </c>
      <c r="AE2990">
        <v>17.89</v>
      </c>
      <c r="AF2990">
        <v>0</v>
      </c>
      <c r="AG2990">
        <v>0</v>
      </c>
      <c r="AH2990">
        <v>0</v>
      </c>
      <c r="AI2990">
        <v>0</v>
      </c>
      <c r="AJ2990">
        <v>148.88999999999999</v>
      </c>
      <c r="AK2990">
        <v>0</v>
      </c>
      <c r="AL2990" t="s">
        <v>53</v>
      </c>
      <c r="AM2990" t="s">
        <v>53</v>
      </c>
      <c r="AN2990" t="s">
        <v>53</v>
      </c>
      <c r="AO2990" t="s">
        <v>53</v>
      </c>
      <c r="AP2990" t="s">
        <v>53</v>
      </c>
    </row>
    <row r="2991" spans="2:42" x14ac:dyDescent="0.2">
      <c r="B2991" t="s">
        <v>44</v>
      </c>
      <c r="C2991" t="str">
        <f>HYPERLINK("https://us2.cloudbeds.com/connect/8493803454333002#/reservations/14160352825475?display=A28HRJ88V&amp;reservation_id=14160352825475", "A28HRJ88V")</f>
        <v>A28HRJ88V</v>
      </c>
      <c r="D2991" t="s">
        <v>45</v>
      </c>
      <c r="E2991" t="s">
        <v>213</v>
      </c>
      <c r="F2991" t="s">
        <v>86</v>
      </c>
      <c r="G2991" t="s">
        <v>48</v>
      </c>
      <c r="H2991" t="s">
        <v>3957</v>
      </c>
      <c r="I2991" t="s">
        <v>3975</v>
      </c>
      <c r="J2991" t="s">
        <v>1332</v>
      </c>
      <c r="K2991" t="s">
        <v>1933</v>
      </c>
      <c r="L2991" t="s">
        <v>53</v>
      </c>
      <c r="P2991" t="s">
        <v>58</v>
      </c>
      <c r="R2991" t="s">
        <v>56</v>
      </c>
      <c r="T2991" t="s">
        <v>4852</v>
      </c>
      <c r="U2991" t="s">
        <v>58</v>
      </c>
      <c r="V2991">
        <v>2</v>
      </c>
      <c r="W2991">
        <v>1</v>
      </c>
      <c r="X2991">
        <v>2</v>
      </c>
      <c r="Y2991">
        <v>0</v>
      </c>
      <c r="Z2991">
        <v>2</v>
      </c>
      <c r="AA2991">
        <v>0</v>
      </c>
      <c r="AB2991">
        <v>392.1</v>
      </c>
      <c r="AC2991">
        <v>345</v>
      </c>
      <c r="AD2991">
        <v>0</v>
      </c>
      <c r="AE2991">
        <v>47.1</v>
      </c>
      <c r="AF2991">
        <v>0</v>
      </c>
      <c r="AG2991">
        <v>0</v>
      </c>
      <c r="AH2991">
        <v>0</v>
      </c>
      <c r="AI2991">
        <v>0</v>
      </c>
      <c r="AJ2991">
        <v>392.1</v>
      </c>
      <c r="AK2991">
        <v>0</v>
      </c>
      <c r="AL2991" t="s">
        <v>53</v>
      </c>
      <c r="AM2991" t="s">
        <v>53</v>
      </c>
      <c r="AN2991" t="s">
        <v>53</v>
      </c>
      <c r="AO2991" t="s">
        <v>53</v>
      </c>
      <c r="AP2991" t="s">
        <v>53</v>
      </c>
    </row>
    <row r="2992" spans="2:42" x14ac:dyDescent="0.2">
      <c r="B2992" t="s">
        <v>44</v>
      </c>
      <c r="C2992" t="str">
        <f>HYPERLINK("https://us2.cloudbeds.com/connect/8493803454333002#/reservations/14163781943438?display=A2B6F3GUG&amp;reservation_id=14163781943438", "A2B6F3GUG")</f>
        <v>A2B6F3GUG</v>
      </c>
      <c r="D2992" t="s">
        <v>45</v>
      </c>
      <c r="E2992" t="s">
        <v>110</v>
      </c>
      <c r="F2992" t="s">
        <v>47</v>
      </c>
      <c r="G2992" t="s">
        <v>48</v>
      </c>
      <c r="H2992" t="s">
        <v>49</v>
      </c>
      <c r="I2992" t="s">
        <v>50</v>
      </c>
      <c r="J2992" t="s">
        <v>3551</v>
      </c>
      <c r="K2992" t="s">
        <v>2541</v>
      </c>
      <c r="L2992" t="s">
        <v>53</v>
      </c>
      <c r="N2992" t="s">
        <v>4853</v>
      </c>
      <c r="P2992" t="s">
        <v>55</v>
      </c>
      <c r="R2992" t="s">
        <v>53</v>
      </c>
      <c r="T2992" t="s">
        <v>4854</v>
      </c>
      <c r="U2992" t="s">
        <v>58</v>
      </c>
      <c r="V2992">
        <v>1</v>
      </c>
      <c r="W2992">
        <v>1</v>
      </c>
      <c r="X2992">
        <v>2</v>
      </c>
      <c r="Y2992">
        <v>0</v>
      </c>
      <c r="Z2992">
        <v>2</v>
      </c>
      <c r="AA2992">
        <v>0</v>
      </c>
      <c r="AB2992">
        <v>147.75</v>
      </c>
      <c r="AC2992">
        <v>130</v>
      </c>
      <c r="AD2992">
        <v>0</v>
      </c>
      <c r="AE2992">
        <v>17.75</v>
      </c>
      <c r="AF2992">
        <v>0</v>
      </c>
      <c r="AG2992">
        <v>0</v>
      </c>
      <c r="AH2992">
        <v>0</v>
      </c>
      <c r="AI2992">
        <v>26.6</v>
      </c>
      <c r="AJ2992">
        <v>147.75</v>
      </c>
      <c r="AK2992">
        <v>0</v>
      </c>
      <c r="AL2992" t="s">
        <v>53</v>
      </c>
      <c r="AM2992" t="s">
        <v>53</v>
      </c>
      <c r="AN2992" t="s">
        <v>53</v>
      </c>
      <c r="AO2992" t="s">
        <v>53</v>
      </c>
      <c r="AP2992" t="s">
        <v>53</v>
      </c>
    </row>
    <row r="2993" spans="2:42" x14ac:dyDescent="0.2">
      <c r="B2993" t="s">
        <v>44</v>
      </c>
      <c r="C2993" t="str">
        <f>HYPERLINK("https://us2.cloudbeds.com/connect/8493803454333002#/reservations/14176827654304?display=A2Y9QJYD6&amp;reservation_id=14176827654304", "A2Y9QJYD6")</f>
        <v>A2Y9QJYD6</v>
      </c>
      <c r="D2993" t="s">
        <v>45</v>
      </c>
      <c r="E2993" t="s">
        <v>213</v>
      </c>
      <c r="F2993" t="s">
        <v>86</v>
      </c>
      <c r="G2993" t="s">
        <v>48</v>
      </c>
      <c r="H2993" t="s">
        <v>3957</v>
      </c>
      <c r="I2993" t="s">
        <v>3958</v>
      </c>
      <c r="J2993" t="s">
        <v>1611</v>
      </c>
      <c r="K2993" t="s">
        <v>2541</v>
      </c>
      <c r="L2993" t="s">
        <v>53</v>
      </c>
      <c r="P2993" t="s">
        <v>58</v>
      </c>
      <c r="R2993" t="s">
        <v>56</v>
      </c>
      <c r="T2993" t="s">
        <v>4855</v>
      </c>
      <c r="U2993" t="s">
        <v>58</v>
      </c>
      <c r="V2993">
        <v>2</v>
      </c>
      <c r="W2993">
        <v>1</v>
      </c>
      <c r="X2993">
        <v>1</v>
      </c>
      <c r="Y2993">
        <v>0</v>
      </c>
      <c r="Z2993">
        <v>1</v>
      </c>
      <c r="AA2993">
        <v>0</v>
      </c>
      <c r="AB2993">
        <v>322.77999999999997</v>
      </c>
      <c r="AC2993">
        <v>284</v>
      </c>
      <c r="AD2993">
        <v>0</v>
      </c>
      <c r="AE2993">
        <v>38.78</v>
      </c>
      <c r="AF2993">
        <v>0</v>
      </c>
      <c r="AG2993">
        <v>0</v>
      </c>
      <c r="AH2993">
        <v>0</v>
      </c>
      <c r="AI2993">
        <v>0</v>
      </c>
      <c r="AJ2993">
        <v>322.77999999999997</v>
      </c>
      <c r="AK2993">
        <v>0</v>
      </c>
      <c r="AL2993" t="s">
        <v>53</v>
      </c>
      <c r="AM2993" t="s">
        <v>53</v>
      </c>
      <c r="AN2993" t="s">
        <v>53</v>
      </c>
      <c r="AO2993" t="s">
        <v>53</v>
      </c>
      <c r="AP2993" t="s">
        <v>53</v>
      </c>
    </row>
    <row r="2994" spans="2:42" x14ac:dyDescent="0.2">
      <c r="B2994" t="s">
        <v>44</v>
      </c>
      <c r="C2994" t="str">
        <f>HYPERLINK("https://us2.cloudbeds.com/connect/8493803454333002#/reservations/14186350829819?display=A2SM4Q1GD&amp;reservation_id=14186350829819", "A2SM4Q1GD")</f>
        <v>A2SM4Q1GD</v>
      </c>
      <c r="D2994" t="s">
        <v>45</v>
      </c>
      <c r="E2994" t="s">
        <v>98</v>
      </c>
      <c r="F2994" t="s">
        <v>86</v>
      </c>
      <c r="G2994" t="s">
        <v>48</v>
      </c>
      <c r="H2994" t="s">
        <v>3957</v>
      </c>
      <c r="I2994" t="s">
        <v>3958</v>
      </c>
      <c r="J2994" t="s">
        <v>1611</v>
      </c>
      <c r="K2994" t="s">
        <v>3551</v>
      </c>
      <c r="L2994" t="s">
        <v>53</v>
      </c>
      <c r="P2994" t="s">
        <v>55</v>
      </c>
      <c r="R2994" t="s">
        <v>56</v>
      </c>
      <c r="T2994" t="s">
        <v>4856</v>
      </c>
      <c r="U2994" t="s">
        <v>58</v>
      </c>
      <c r="V2994">
        <v>1</v>
      </c>
      <c r="W2994">
        <v>1</v>
      </c>
      <c r="X2994">
        <v>1</v>
      </c>
      <c r="Y2994">
        <v>0</v>
      </c>
      <c r="Z2994">
        <v>1</v>
      </c>
      <c r="AA2994">
        <v>0</v>
      </c>
      <c r="AB2994">
        <v>164.8</v>
      </c>
      <c r="AC2994">
        <v>145</v>
      </c>
      <c r="AD2994">
        <v>0</v>
      </c>
      <c r="AE2994">
        <v>19.8</v>
      </c>
      <c r="AF2994">
        <v>0</v>
      </c>
      <c r="AG2994">
        <v>0</v>
      </c>
      <c r="AH2994">
        <v>0</v>
      </c>
      <c r="AI2994">
        <v>0</v>
      </c>
      <c r="AJ2994">
        <v>164.8</v>
      </c>
      <c r="AK2994">
        <v>0</v>
      </c>
      <c r="AL2994" t="s">
        <v>53</v>
      </c>
      <c r="AM2994" t="s">
        <v>53</v>
      </c>
      <c r="AN2994" t="s">
        <v>53</v>
      </c>
      <c r="AO2994" t="s">
        <v>53</v>
      </c>
      <c r="AP2994" t="s">
        <v>53</v>
      </c>
    </row>
    <row r="2995" spans="2:42" x14ac:dyDescent="0.2">
      <c r="B2995" t="s">
        <v>44</v>
      </c>
      <c r="C2995" t="str">
        <f>HYPERLINK("https://us2.cloudbeds.com/connect/8493803454333002#/reservations/14191491043554?display=A2WYG529W&amp;reservation_id=14191491043554", "A2WYG529W")</f>
        <v>A2WYG529W</v>
      </c>
      <c r="D2995" t="s">
        <v>45</v>
      </c>
      <c r="E2995" t="s">
        <v>128</v>
      </c>
      <c r="F2995" t="s">
        <v>86</v>
      </c>
      <c r="G2995" t="s">
        <v>48</v>
      </c>
      <c r="H2995" t="s">
        <v>49</v>
      </c>
      <c r="I2995" t="s">
        <v>62</v>
      </c>
      <c r="J2995" t="s">
        <v>3551</v>
      </c>
      <c r="K2995" t="s">
        <v>1502</v>
      </c>
      <c r="L2995" t="s">
        <v>53</v>
      </c>
      <c r="N2995" t="s">
        <v>4857</v>
      </c>
      <c r="P2995" t="s">
        <v>55</v>
      </c>
      <c r="R2995" t="s">
        <v>56</v>
      </c>
      <c r="T2995" t="s">
        <v>4858</v>
      </c>
      <c r="U2995" t="s">
        <v>55</v>
      </c>
      <c r="V2995">
        <v>2</v>
      </c>
      <c r="W2995">
        <v>1</v>
      </c>
      <c r="X2995">
        <v>2</v>
      </c>
      <c r="Y2995">
        <v>0</v>
      </c>
      <c r="Z2995">
        <v>2</v>
      </c>
      <c r="AA2995">
        <v>0</v>
      </c>
      <c r="AB2995">
        <v>375.06</v>
      </c>
      <c r="AC2995">
        <v>330</v>
      </c>
      <c r="AD2995">
        <v>0</v>
      </c>
      <c r="AE2995">
        <v>45.06</v>
      </c>
      <c r="AF2995">
        <v>0</v>
      </c>
      <c r="AG2995">
        <v>0</v>
      </c>
      <c r="AH2995">
        <v>0</v>
      </c>
      <c r="AI2995">
        <v>56.26</v>
      </c>
      <c r="AJ2995">
        <v>375.06</v>
      </c>
      <c r="AK2995">
        <v>0</v>
      </c>
      <c r="AL2995" t="s">
        <v>53</v>
      </c>
      <c r="AM2995" t="s">
        <v>53</v>
      </c>
      <c r="AN2995" t="s">
        <v>53</v>
      </c>
      <c r="AO2995" t="s">
        <v>53</v>
      </c>
      <c r="AP2995" t="s">
        <v>53</v>
      </c>
    </row>
    <row r="2996" spans="2:42" x14ac:dyDescent="0.2">
      <c r="B2996" t="s">
        <v>44</v>
      </c>
      <c r="C2996" t="str">
        <f>HYPERLINK("https://us2.cloudbeds.com/connect/8493803454333002#/reservations/14216528052418?display=A3J180ZN9&amp;reservation_id=14216528052418", "A3J180ZN9")</f>
        <v>A3J180ZN9</v>
      </c>
      <c r="D2996" t="s">
        <v>45</v>
      </c>
      <c r="E2996" t="s">
        <v>121</v>
      </c>
      <c r="F2996" t="s">
        <v>86</v>
      </c>
      <c r="G2996" t="s">
        <v>48</v>
      </c>
      <c r="H2996" t="s">
        <v>3957</v>
      </c>
      <c r="I2996" t="s">
        <v>3958</v>
      </c>
      <c r="J2996" t="s">
        <v>1611</v>
      </c>
      <c r="K2996" t="s">
        <v>3551</v>
      </c>
      <c r="L2996" t="s">
        <v>53</v>
      </c>
      <c r="P2996" t="s">
        <v>55</v>
      </c>
      <c r="R2996" t="s">
        <v>56</v>
      </c>
      <c r="T2996" t="s">
        <v>4859</v>
      </c>
      <c r="U2996" t="s">
        <v>58</v>
      </c>
      <c r="V2996">
        <v>1</v>
      </c>
      <c r="W2996">
        <v>1</v>
      </c>
      <c r="X2996">
        <v>1</v>
      </c>
      <c r="Y2996">
        <v>0</v>
      </c>
      <c r="Z2996">
        <v>1</v>
      </c>
      <c r="AA2996">
        <v>0</v>
      </c>
      <c r="AB2996">
        <v>164.8</v>
      </c>
      <c r="AC2996">
        <v>145</v>
      </c>
      <c r="AD2996">
        <v>0</v>
      </c>
      <c r="AE2996">
        <v>19.8</v>
      </c>
      <c r="AF2996">
        <v>0</v>
      </c>
      <c r="AG2996">
        <v>0</v>
      </c>
      <c r="AH2996">
        <v>0</v>
      </c>
      <c r="AI2996">
        <v>0</v>
      </c>
      <c r="AJ2996">
        <v>164.8</v>
      </c>
      <c r="AK2996">
        <v>0</v>
      </c>
      <c r="AL2996" t="s">
        <v>53</v>
      </c>
      <c r="AM2996" t="s">
        <v>53</v>
      </c>
      <c r="AN2996" t="s">
        <v>53</v>
      </c>
      <c r="AO2996" t="s">
        <v>53</v>
      </c>
      <c r="AP2996" t="s">
        <v>53</v>
      </c>
    </row>
    <row r="2997" spans="2:42" x14ac:dyDescent="0.2">
      <c r="B2997" t="s">
        <v>44</v>
      </c>
      <c r="C2997" t="str">
        <f>HYPERLINK("https://us2.cloudbeds.com/connect/8493803454333002#/reservations/14227203969169?display=A3RA17SN3&amp;reservation_id=14227203969169", "A3RA17SN3")</f>
        <v>A3RA17SN3</v>
      </c>
      <c r="D2997" t="s">
        <v>45</v>
      </c>
      <c r="E2997" t="s">
        <v>113</v>
      </c>
      <c r="F2997" t="s">
        <v>61</v>
      </c>
      <c r="G2997" t="s">
        <v>3974</v>
      </c>
      <c r="H2997" t="s">
        <v>3957</v>
      </c>
      <c r="I2997" t="s">
        <v>3975</v>
      </c>
      <c r="J2997" t="s">
        <v>2315</v>
      </c>
      <c r="K2997" t="s">
        <v>1898</v>
      </c>
      <c r="L2997" t="s">
        <v>53</v>
      </c>
      <c r="P2997" t="s">
        <v>55</v>
      </c>
      <c r="R2997" t="s">
        <v>56</v>
      </c>
      <c r="T2997" t="s">
        <v>4860</v>
      </c>
      <c r="U2997" t="s">
        <v>58</v>
      </c>
      <c r="V2997">
        <v>3</v>
      </c>
      <c r="W2997">
        <v>1</v>
      </c>
      <c r="X2997">
        <v>2</v>
      </c>
      <c r="Y2997">
        <v>0</v>
      </c>
      <c r="Z2997">
        <v>2</v>
      </c>
      <c r="AA2997">
        <v>0</v>
      </c>
      <c r="AB2997">
        <v>515.52</v>
      </c>
      <c r="AC2997">
        <v>453.6</v>
      </c>
      <c r="AD2997">
        <v>0</v>
      </c>
      <c r="AE2997">
        <v>61.92</v>
      </c>
      <c r="AF2997">
        <v>0</v>
      </c>
      <c r="AG2997">
        <v>0</v>
      </c>
      <c r="AH2997">
        <v>0</v>
      </c>
      <c r="AI2997">
        <v>0</v>
      </c>
      <c r="AJ2997">
        <v>515.52</v>
      </c>
      <c r="AK2997">
        <v>0</v>
      </c>
      <c r="AL2997" t="s">
        <v>53</v>
      </c>
      <c r="AM2997" t="s">
        <v>53</v>
      </c>
      <c r="AN2997" t="s">
        <v>53</v>
      </c>
      <c r="AO2997" t="s">
        <v>53</v>
      </c>
      <c r="AP2997" t="s">
        <v>53</v>
      </c>
    </row>
    <row r="2998" spans="2:42" x14ac:dyDescent="0.2">
      <c r="B2998" t="s">
        <v>44</v>
      </c>
      <c r="C2998" t="str">
        <f>HYPERLINK("https://us2.cloudbeds.com/connect/8493803454333002#/reservations/14247758536880?display=A4A78D0HA&amp;reservation_id=14247758536880", "A4A78D0HA")</f>
        <v>A4A78D0HA</v>
      </c>
      <c r="D2998" t="s">
        <v>45</v>
      </c>
      <c r="E2998" t="s">
        <v>155</v>
      </c>
      <c r="F2998" t="s">
        <v>86</v>
      </c>
      <c r="G2998" t="s">
        <v>48</v>
      </c>
      <c r="H2998" t="s">
        <v>49</v>
      </c>
      <c r="I2998" t="s">
        <v>50</v>
      </c>
      <c r="J2998" t="s">
        <v>1436</v>
      </c>
      <c r="K2998" t="s">
        <v>1332</v>
      </c>
      <c r="L2998" t="s">
        <v>53</v>
      </c>
      <c r="N2998" t="s">
        <v>4861</v>
      </c>
      <c r="P2998" t="s">
        <v>55</v>
      </c>
      <c r="R2998" t="s">
        <v>53</v>
      </c>
      <c r="T2998" t="s">
        <v>4862</v>
      </c>
      <c r="U2998" t="s">
        <v>58</v>
      </c>
      <c r="V2998">
        <v>1</v>
      </c>
      <c r="W2998">
        <v>1</v>
      </c>
      <c r="X2998">
        <v>2</v>
      </c>
      <c r="Y2998">
        <v>0</v>
      </c>
      <c r="Z2998">
        <v>2</v>
      </c>
      <c r="AA2998">
        <v>0</v>
      </c>
      <c r="AB2998">
        <v>202.3</v>
      </c>
      <c r="AC2998">
        <v>178</v>
      </c>
      <c r="AD2998">
        <v>0</v>
      </c>
      <c r="AE2998">
        <v>24.3</v>
      </c>
      <c r="AF2998">
        <v>0</v>
      </c>
      <c r="AG2998">
        <v>0</v>
      </c>
      <c r="AH2998">
        <v>0</v>
      </c>
      <c r="AI2998">
        <v>36.409999999999997</v>
      </c>
      <c r="AJ2998">
        <v>202.3</v>
      </c>
      <c r="AK2998">
        <v>0</v>
      </c>
      <c r="AL2998" t="s">
        <v>53</v>
      </c>
      <c r="AM2998" t="s">
        <v>53</v>
      </c>
      <c r="AN2998" t="s">
        <v>53</v>
      </c>
      <c r="AO2998" t="s">
        <v>53</v>
      </c>
      <c r="AP2998" t="s">
        <v>53</v>
      </c>
    </row>
    <row r="2999" spans="2:42" x14ac:dyDescent="0.2">
      <c r="B2999" t="s">
        <v>44</v>
      </c>
      <c r="C2999" t="str">
        <f>HYPERLINK("https://us2.cloudbeds.com/connect/8493803454333002#/reservations/14367522939030?display=A73VGU1MT&amp;reservation_id=14367522939030", "A73VGU1MT")</f>
        <v>A73VGU1MT</v>
      </c>
      <c r="D2999" t="s">
        <v>45</v>
      </c>
      <c r="E2999" t="s">
        <v>3998</v>
      </c>
      <c r="F2999" t="s">
        <v>61</v>
      </c>
      <c r="G2999" t="s">
        <v>48</v>
      </c>
      <c r="H2999" t="s">
        <v>49</v>
      </c>
      <c r="I2999" t="s">
        <v>62</v>
      </c>
      <c r="J2999" t="s">
        <v>1332</v>
      </c>
      <c r="K2999" t="s">
        <v>1333</v>
      </c>
      <c r="L2999" t="s">
        <v>53</v>
      </c>
      <c r="N2999" t="s">
        <v>4863</v>
      </c>
      <c r="P2999" t="s">
        <v>55</v>
      </c>
      <c r="R2999" t="s">
        <v>56</v>
      </c>
      <c r="T2999" t="s">
        <v>4864</v>
      </c>
      <c r="U2999" t="s">
        <v>55</v>
      </c>
      <c r="V2999">
        <v>2</v>
      </c>
      <c r="W2999">
        <v>2</v>
      </c>
      <c r="X2999">
        <v>2</v>
      </c>
      <c r="Y2999">
        <v>0</v>
      </c>
      <c r="Z2999">
        <v>2</v>
      </c>
      <c r="AA2999">
        <v>0</v>
      </c>
      <c r="AB2999">
        <v>393.24</v>
      </c>
      <c r="AC2999">
        <v>346</v>
      </c>
      <c r="AD2999">
        <v>0</v>
      </c>
      <c r="AE2999">
        <v>47.24</v>
      </c>
      <c r="AF2999">
        <v>0</v>
      </c>
      <c r="AG2999">
        <v>0</v>
      </c>
      <c r="AH2999">
        <v>0</v>
      </c>
      <c r="AI2999">
        <v>58.99</v>
      </c>
      <c r="AJ2999">
        <v>393.24</v>
      </c>
      <c r="AK2999">
        <v>0</v>
      </c>
      <c r="AL2999" t="s">
        <v>53</v>
      </c>
      <c r="AM2999" t="s">
        <v>53</v>
      </c>
      <c r="AN2999" t="s">
        <v>53</v>
      </c>
      <c r="AO2999" t="s">
        <v>53</v>
      </c>
      <c r="AP2999" t="s">
        <v>53</v>
      </c>
    </row>
    <row r="3000" spans="2:42" x14ac:dyDescent="0.2">
      <c r="B3000" t="s">
        <v>44</v>
      </c>
      <c r="C3000" t="str">
        <f>HYPERLINK("https://us2.cloudbeds.com/connect/8493803454333002#/reservations/14439246266568?display=A8QG6UC4N&amp;reservation_id=14439246266568", "A8QG6UC4N")</f>
        <v>A8QG6UC4N</v>
      </c>
      <c r="D3000" t="s">
        <v>45</v>
      </c>
      <c r="E3000" t="s">
        <v>406</v>
      </c>
      <c r="F3000" t="s">
        <v>61</v>
      </c>
      <c r="G3000" t="s">
        <v>48</v>
      </c>
      <c r="H3000" t="s">
        <v>49</v>
      </c>
      <c r="I3000" t="s">
        <v>62</v>
      </c>
      <c r="J3000" t="s">
        <v>1458</v>
      </c>
      <c r="K3000" t="s">
        <v>1336</v>
      </c>
      <c r="L3000" t="s">
        <v>53</v>
      </c>
      <c r="N3000" t="s">
        <v>4865</v>
      </c>
      <c r="P3000" t="s">
        <v>55</v>
      </c>
      <c r="R3000" t="s">
        <v>56</v>
      </c>
      <c r="T3000" t="s">
        <v>4866</v>
      </c>
      <c r="U3000" t="s">
        <v>55</v>
      </c>
      <c r="V3000">
        <v>1</v>
      </c>
      <c r="W3000">
        <v>1</v>
      </c>
      <c r="X3000">
        <v>2</v>
      </c>
      <c r="Y3000">
        <v>0</v>
      </c>
      <c r="Z3000">
        <v>2</v>
      </c>
      <c r="AA3000">
        <v>0</v>
      </c>
      <c r="AB3000">
        <v>196.62</v>
      </c>
      <c r="AC3000">
        <v>173</v>
      </c>
      <c r="AD3000">
        <v>0</v>
      </c>
      <c r="AE3000">
        <v>23.62</v>
      </c>
      <c r="AF3000">
        <v>0</v>
      </c>
      <c r="AG3000">
        <v>0</v>
      </c>
      <c r="AH3000">
        <v>0</v>
      </c>
      <c r="AI3000">
        <v>29.49</v>
      </c>
      <c r="AJ3000">
        <v>196.62</v>
      </c>
      <c r="AK3000">
        <v>0</v>
      </c>
      <c r="AL3000" t="s">
        <v>53</v>
      </c>
      <c r="AM3000" t="s">
        <v>53</v>
      </c>
      <c r="AN3000" t="s">
        <v>53</v>
      </c>
      <c r="AO3000" t="s">
        <v>53</v>
      </c>
      <c r="AP3000" t="s">
        <v>53</v>
      </c>
    </row>
    <row r="3001" spans="2:42" x14ac:dyDescent="0.2">
      <c r="B3001" t="s">
        <v>44</v>
      </c>
      <c r="C3001" t="str">
        <f>HYPERLINK("https://us2.cloudbeds.com/connect/8493803454333002#/reservations/14441413443726?display=A8S5JB8QQ&amp;reservation_id=14441413443726", "A8S5JB8QQ")</f>
        <v>A8S5JB8QQ</v>
      </c>
      <c r="D3001" t="s">
        <v>45</v>
      </c>
      <c r="E3001" t="s">
        <v>179</v>
      </c>
      <c r="F3001" t="s">
        <v>47</v>
      </c>
      <c r="G3001" t="s">
        <v>48</v>
      </c>
      <c r="H3001" t="s">
        <v>49</v>
      </c>
      <c r="I3001" t="s">
        <v>62</v>
      </c>
      <c r="J3001" t="s">
        <v>1902</v>
      </c>
      <c r="K3001" t="s">
        <v>2058</v>
      </c>
      <c r="L3001" t="s">
        <v>53</v>
      </c>
      <c r="N3001" t="s">
        <v>4867</v>
      </c>
      <c r="P3001" t="s">
        <v>55</v>
      </c>
      <c r="R3001" t="s">
        <v>56</v>
      </c>
      <c r="T3001" t="s">
        <v>4868</v>
      </c>
      <c r="U3001" t="s">
        <v>55</v>
      </c>
      <c r="V3001">
        <v>2</v>
      </c>
      <c r="W3001">
        <v>1</v>
      </c>
      <c r="X3001">
        <v>2</v>
      </c>
      <c r="Y3001">
        <v>0</v>
      </c>
      <c r="Z3001">
        <v>2</v>
      </c>
      <c r="AA3001">
        <v>0</v>
      </c>
      <c r="AB3001">
        <v>361.41</v>
      </c>
      <c r="AC3001">
        <v>318</v>
      </c>
      <c r="AD3001">
        <v>0</v>
      </c>
      <c r="AE3001">
        <v>43.41</v>
      </c>
      <c r="AF3001">
        <v>0</v>
      </c>
      <c r="AG3001">
        <v>0</v>
      </c>
      <c r="AH3001">
        <v>0</v>
      </c>
      <c r="AI3001">
        <v>54.21</v>
      </c>
      <c r="AJ3001">
        <v>361.41</v>
      </c>
      <c r="AK3001">
        <v>0</v>
      </c>
      <c r="AL3001" t="s">
        <v>53</v>
      </c>
      <c r="AM3001" t="s">
        <v>53</v>
      </c>
      <c r="AN3001" t="s">
        <v>53</v>
      </c>
      <c r="AO3001" t="s">
        <v>53</v>
      </c>
      <c r="AP3001" t="s">
        <v>53</v>
      </c>
    </row>
    <row r="3002" spans="2:42" x14ac:dyDescent="0.2">
      <c r="B3002" t="s">
        <v>44</v>
      </c>
      <c r="C3002" t="str">
        <f>HYPERLINK("https://us2.cloudbeds.com/connect/8493803454333002#/reservations/14455844196498?display=A96BAZ7PB&amp;reservation_id=14455844196498", "A96BAZ7PB")</f>
        <v>A96BAZ7PB</v>
      </c>
      <c r="D3002" t="s">
        <v>45</v>
      </c>
      <c r="E3002" t="s">
        <v>46</v>
      </c>
      <c r="F3002" t="s">
        <v>47</v>
      </c>
      <c r="G3002" t="s">
        <v>48</v>
      </c>
      <c r="H3002" t="s">
        <v>3957</v>
      </c>
      <c r="I3002" t="s">
        <v>3989</v>
      </c>
      <c r="J3002" t="s">
        <v>3551</v>
      </c>
      <c r="K3002" t="s">
        <v>2541</v>
      </c>
      <c r="L3002" t="s">
        <v>53</v>
      </c>
      <c r="P3002" t="s">
        <v>55</v>
      </c>
      <c r="R3002" t="s">
        <v>56</v>
      </c>
      <c r="T3002" t="s">
        <v>4869</v>
      </c>
      <c r="U3002" t="s">
        <v>58</v>
      </c>
      <c r="V3002">
        <v>1</v>
      </c>
      <c r="W3002">
        <v>1</v>
      </c>
      <c r="X3002">
        <v>1</v>
      </c>
      <c r="Y3002">
        <v>0</v>
      </c>
      <c r="Z3002">
        <v>1</v>
      </c>
      <c r="AA3002">
        <v>0</v>
      </c>
      <c r="AB3002">
        <v>145.47</v>
      </c>
      <c r="AC3002">
        <v>128</v>
      </c>
      <c r="AD3002">
        <v>0</v>
      </c>
      <c r="AE3002">
        <v>17.47</v>
      </c>
      <c r="AF3002">
        <v>0</v>
      </c>
      <c r="AG3002">
        <v>0</v>
      </c>
      <c r="AH3002">
        <v>0</v>
      </c>
      <c r="AI3002">
        <v>0</v>
      </c>
      <c r="AJ3002">
        <v>145.47</v>
      </c>
      <c r="AK3002">
        <v>0</v>
      </c>
      <c r="AL3002" t="s">
        <v>53</v>
      </c>
      <c r="AM3002" t="s">
        <v>53</v>
      </c>
      <c r="AN3002" t="s">
        <v>53</v>
      </c>
      <c r="AO3002" t="s">
        <v>53</v>
      </c>
      <c r="AP3002" t="s">
        <v>53</v>
      </c>
    </row>
    <row r="3003" spans="2:42" x14ac:dyDescent="0.2">
      <c r="B3003" t="s">
        <v>44</v>
      </c>
      <c r="C3003" t="str">
        <f>HYPERLINK("https://us2.cloudbeds.com/connect/8493803454333002#/reservations/14467679989960?display=A9FGZWKW9&amp;reservation_id=14467679989960", "A9FGZWKW9")</f>
        <v>A9FGZWKW9</v>
      </c>
      <c r="D3003" t="s">
        <v>45</v>
      </c>
      <c r="E3003" t="s">
        <v>381</v>
      </c>
      <c r="F3003" t="s">
        <v>47</v>
      </c>
      <c r="G3003" t="s">
        <v>48</v>
      </c>
      <c r="H3003" t="s">
        <v>49</v>
      </c>
      <c r="I3003" t="s">
        <v>62</v>
      </c>
      <c r="J3003" t="s">
        <v>1332</v>
      </c>
      <c r="K3003" t="s">
        <v>1333</v>
      </c>
      <c r="L3003" t="s">
        <v>53</v>
      </c>
      <c r="N3003" t="s">
        <v>4870</v>
      </c>
      <c r="P3003" t="s">
        <v>55</v>
      </c>
      <c r="R3003" t="s">
        <v>56</v>
      </c>
      <c r="T3003" t="s">
        <v>4871</v>
      </c>
      <c r="U3003" t="s">
        <v>55</v>
      </c>
      <c r="V3003">
        <v>1</v>
      </c>
      <c r="W3003">
        <v>1</v>
      </c>
      <c r="X3003">
        <v>2</v>
      </c>
      <c r="Y3003">
        <v>0</v>
      </c>
      <c r="Z3003">
        <v>2</v>
      </c>
      <c r="AA3003">
        <v>0</v>
      </c>
      <c r="AB3003">
        <v>192.07</v>
      </c>
      <c r="AC3003">
        <v>169</v>
      </c>
      <c r="AD3003">
        <v>0</v>
      </c>
      <c r="AE3003">
        <v>23.07</v>
      </c>
      <c r="AF3003">
        <v>0</v>
      </c>
      <c r="AG3003">
        <v>0</v>
      </c>
      <c r="AH3003">
        <v>0</v>
      </c>
      <c r="AI3003">
        <v>28.81</v>
      </c>
      <c r="AJ3003">
        <v>192.07</v>
      </c>
      <c r="AK3003">
        <v>0</v>
      </c>
      <c r="AL3003" t="s">
        <v>53</v>
      </c>
      <c r="AM3003" t="s">
        <v>53</v>
      </c>
      <c r="AN3003" t="s">
        <v>53</v>
      </c>
      <c r="AO3003" t="s">
        <v>53</v>
      </c>
      <c r="AP3003" t="s">
        <v>53</v>
      </c>
    </row>
    <row r="3004" spans="2:42" x14ac:dyDescent="0.2">
      <c r="B3004" t="s">
        <v>44</v>
      </c>
      <c r="C3004" t="str">
        <f>HYPERLINK("https://us2.cloudbeds.com/connect/8493803454333002#/reservations/14483465597168?display=A9RZ3RE1S&amp;reservation_id=14483465597168", "A9RZ3RE1S")</f>
        <v>A9RZ3RE1S</v>
      </c>
      <c r="D3004" t="s">
        <v>45</v>
      </c>
      <c r="E3004" t="s">
        <v>105</v>
      </c>
      <c r="F3004" t="s">
        <v>47</v>
      </c>
      <c r="G3004" t="s">
        <v>48</v>
      </c>
      <c r="H3004" t="s">
        <v>49</v>
      </c>
      <c r="I3004" t="s">
        <v>50</v>
      </c>
      <c r="J3004" t="s">
        <v>3551</v>
      </c>
      <c r="K3004" t="s">
        <v>2541</v>
      </c>
      <c r="L3004" t="s">
        <v>53</v>
      </c>
      <c r="N3004" t="s">
        <v>4872</v>
      </c>
      <c r="P3004" t="s">
        <v>55</v>
      </c>
      <c r="R3004" t="s">
        <v>53</v>
      </c>
      <c r="T3004" t="s">
        <v>4873</v>
      </c>
      <c r="U3004" t="s">
        <v>58</v>
      </c>
      <c r="V3004">
        <v>1</v>
      </c>
      <c r="W3004">
        <v>1</v>
      </c>
      <c r="X3004">
        <v>2</v>
      </c>
      <c r="Y3004">
        <v>0</v>
      </c>
      <c r="Z3004">
        <v>2</v>
      </c>
      <c r="AA3004">
        <v>0</v>
      </c>
      <c r="AB3004">
        <v>145.47</v>
      </c>
      <c r="AC3004">
        <v>128</v>
      </c>
      <c r="AD3004">
        <v>0</v>
      </c>
      <c r="AE3004">
        <v>17.47</v>
      </c>
      <c r="AF3004">
        <v>0</v>
      </c>
      <c r="AG3004">
        <v>0</v>
      </c>
      <c r="AH3004">
        <v>0</v>
      </c>
      <c r="AI3004">
        <v>26.18</v>
      </c>
      <c r="AJ3004">
        <v>145.47</v>
      </c>
      <c r="AK3004">
        <v>0</v>
      </c>
      <c r="AL3004" t="s">
        <v>53</v>
      </c>
      <c r="AM3004" t="s">
        <v>53</v>
      </c>
      <c r="AN3004" t="s">
        <v>53</v>
      </c>
      <c r="AO3004" t="s">
        <v>53</v>
      </c>
      <c r="AP3004" t="s">
        <v>53</v>
      </c>
    </row>
    <row r="3005" spans="2:42" x14ac:dyDescent="0.2">
      <c r="B3005" t="s">
        <v>44</v>
      </c>
      <c r="C3005" t="str">
        <f>HYPERLINK("https://us2.cloudbeds.com/connect/8493803454333002#/reservations/14489619853449?display=A9WGC8MDE&amp;reservation_id=14489619853449", "A9WGC8MDE")</f>
        <v>A9WGC8MDE</v>
      </c>
      <c r="D3005" t="s">
        <v>45</v>
      </c>
      <c r="E3005" t="s">
        <v>98</v>
      </c>
      <c r="F3005" t="s">
        <v>86</v>
      </c>
      <c r="G3005" t="s">
        <v>48</v>
      </c>
      <c r="H3005" t="s">
        <v>49</v>
      </c>
      <c r="I3005" t="s">
        <v>50</v>
      </c>
      <c r="J3005" t="s">
        <v>3551</v>
      </c>
      <c r="K3005" t="s">
        <v>2541</v>
      </c>
      <c r="L3005" t="s">
        <v>53</v>
      </c>
      <c r="N3005" t="s">
        <v>4874</v>
      </c>
      <c r="P3005" t="s">
        <v>55</v>
      </c>
      <c r="R3005" t="s">
        <v>53</v>
      </c>
      <c r="T3005" t="s">
        <v>4875</v>
      </c>
      <c r="U3005" t="s">
        <v>58</v>
      </c>
      <c r="V3005">
        <v>1</v>
      </c>
      <c r="W3005">
        <v>1</v>
      </c>
      <c r="X3005">
        <v>2</v>
      </c>
      <c r="Y3005">
        <v>0</v>
      </c>
      <c r="Z3005">
        <v>2</v>
      </c>
      <c r="AA3005">
        <v>0</v>
      </c>
      <c r="AB3005">
        <v>163.66</v>
      </c>
      <c r="AC3005">
        <v>144</v>
      </c>
      <c r="AD3005">
        <v>0</v>
      </c>
      <c r="AE3005">
        <v>19.66</v>
      </c>
      <c r="AF3005">
        <v>0</v>
      </c>
      <c r="AG3005">
        <v>0</v>
      </c>
      <c r="AH3005">
        <v>0</v>
      </c>
      <c r="AI3005">
        <v>29.46</v>
      </c>
      <c r="AJ3005">
        <v>163.66</v>
      </c>
      <c r="AK3005">
        <v>0</v>
      </c>
      <c r="AL3005" t="s">
        <v>53</v>
      </c>
      <c r="AM3005" t="s">
        <v>53</v>
      </c>
      <c r="AN3005" t="s">
        <v>53</v>
      </c>
      <c r="AO3005" t="s">
        <v>53</v>
      </c>
      <c r="AP3005" t="s">
        <v>53</v>
      </c>
    </row>
    <row r="3006" spans="2:42" x14ac:dyDescent="0.2">
      <c r="B3006" t="s">
        <v>44</v>
      </c>
      <c r="C3006" t="str">
        <f>HYPERLINK("https://us2.cloudbeds.com/connect/8493803454333002#/reservations/14498200375451?display=AA64KJBKM&amp;reservation_id=14498200375451", "AA64KJBKM")</f>
        <v>AA64KJBKM</v>
      </c>
      <c r="D3006" t="s">
        <v>45</v>
      </c>
      <c r="E3006" t="s">
        <v>121</v>
      </c>
      <c r="F3006" t="s">
        <v>86</v>
      </c>
      <c r="G3006" t="s">
        <v>48</v>
      </c>
      <c r="H3006" t="s">
        <v>49</v>
      </c>
      <c r="I3006" t="s">
        <v>62</v>
      </c>
      <c r="J3006" t="s">
        <v>3551</v>
      </c>
      <c r="K3006" t="s">
        <v>2541</v>
      </c>
      <c r="L3006" t="s">
        <v>53</v>
      </c>
      <c r="N3006" t="s">
        <v>4876</v>
      </c>
      <c r="P3006" t="s">
        <v>55</v>
      </c>
      <c r="R3006" t="s">
        <v>56</v>
      </c>
      <c r="T3006" t="s">
        <v>4877</v>
      </c>
      <c r="U3006" t="s">
        <v>55</v>
      </c>
      <c r="V3006">
        <v>1</v>
      </c>
      <c r="W3006">
        <v>1</v>
      </c>
      <c r="X3006">
        <v>2</v>
      </c>
      <c r="Y3006">
        <v>0</v>
      </c>
      <c r="Z3006">
        <v>2</v>
      </c>
      <c r="AA3006">
        <v>0</v>
      </c>
      <c r="AB3006">
        <v>163.66</v>
      </c>
      <c r="AC3006">
        <v>144</v>
      </c>
      <c r="AD3006">
        <v>0</v>
      </c>
      <c r="AE3006">
        <v>19.66</v>
      </c>
      <c r="AF3006">
        <v>0</v>
      </c>
      <c r="AG3006">
        <v>0</v>
      </c>
      <c r="AH3006">
        <v>0</v>
      </c>
      <c r="AI3006">
        <v>24.55</v>
      </c>
      <c r="AJ3006">
        <v>163.66</v>
      </c>
      <c r="AK3006">
        <v>0</v>
      </c>
      <c r="AL3006" t="s">
        <v>53</v>
      </c>
      <c r="AM3006" t="s">
        <v>53</v>
      </c>
      <c r="AN3006" t="s">
        <v>53</v>
      </c>
      <c r="AO3006" t="s">
        <v>53</v>
      </c>
      <c r="AP3006" t="s">
        <v>53</v>
      </c>
    </row>
    <row r="3007" spans="2:42" x14ac:dyDescent="0.2">
      <c r="B3007" t="s">
        <v>44</v>
      </c>
      <c r="C3007" t="str">
        <f>HYPERLINK("https://us2.cloudbeds.com/connect/8493803454333002#/reservations/14590063907064?display=ACB8VBHMT&amp;reservation_id=14590063907064", "ACB8VBHMT")</f>
        <v>ACB8VBHMT</v>
      </c>
      <c r="D3007" t="s">
        <v>45</v>
      </c>
      <c r="E3007" t="s">
        <v>69</v>
      </c>
      <c r="F3007" t="s">
        <v>70</v>
      </c>
      <c r="G3007" t="s">
        <v>48</v>
      </c>
      <c r="H3007" t="s">
        <v>49</v>
      </c>
      <c r="I3007" t="s">
        <v>62</v>
      </c>
      <c r="J3007" t="s">
        <v>1502</v>
      </c>
      <c r="K3007" t="s">
        <v>1436</v>
      </c>
      <c r="L3007" t="s">
        <v>53</v>
      </c>
      <c r="N3007" t="s">
        <v>4878</v>
      </c>
      <c r="P3007" t="s">
        <v>55</v>
      </c>
      <c r="R3007" t="s">
        <v>125</v>
      </c>
      <c r="T3007" t="s">
        <v>4879</v>
      </c>
      <c r="U3007" t="s">
        <v>55</v>
      </c>
      <c r="V3007">
        <v>1</v>
      </c>
      <c r="W3007">
        <v>1</v>
      </c>
      <c r="X3007">
        <v>2</v>
      </c>
      <c r="Y3007">
        <v>0</v>
      </c>
      <c r="Z3007">
        <v>2</v>
      </c>
      <c r="AA3007">
        <v>0</v>
      </c>
      <c r="AB3007">
        <v>188.66</v>
      </c>
      <c r="AC3007">
        <v>166</v>
      </c>
      <c r="AD3007">
        <v>0</v>
      </c>
      <c r="AE3007">
        <v>22.66</v>
      </c>
      <c r="AF3007">
        <v>0</v>
      </c>
      <c r="AG3007">
        <v>0</v>
      </c>
      <c r="AH3007">
        <v>0</v>
      </c>
      <c r="AI3007">
        <v>28.3</v>
      </c>
      <c r="AJ3007">
        <v>188.66</v>
      </c>
      <c r="AK3007">
        <v>0</v>
      </c>
      <c r="AL3007" t="s">
        <v>53</v>
      </c>
      <c r="AM3007" t="s">
        <v>53</v>
      </c>
      <c r="AN3007" t="s">
        <v>53</v>
      </c>
      <c r="AO3007" t="s">
        <v>53</v>
      </c>
      <c r="AP3007" t="s">
        <v>53</v>
      </c>
    </row>
    <row r="3008" spans="2:42" x14ac:dyDescent="0.2">
      <c r="B3008" t="s">
        <v>44</v>
      </c>
      <c r="C3008" t="str">
        <f>HYPERLINK("https://us2.cloudbeds.com/connect/8493803454333002#/reservations/14741529575564?display=AFTX8719A&amp;reservation_id=14741529575564", "AFTX8719A")</f>
        <v>AFTX8719A</v>
      </c>
      <c r="D3008" t="s">
        <v>45</v>
      </c>
      <c r="E3008" t="s">
        <v>155</v>
      </c>
      <c r="F3008" t="s">
        <v>86</v>
      </c>
      <c r="G3008" t="s">
        <v>48</v>
      </c>
      <c r="H3008" t="s">
        <v>3957</v>
      </c>
      <c r="I3008" t="s">
        <v>3958</v>
      </c>
      <c r="J3008" t="s">
        <v>2545</v>
      </c>
      <c r="K3008" t="s">
        <v>1555</v>
      </c>
      <c r="L3008" t="s">
        <v>53</v>
      </c>
      <c r="P3008" t="s">
        <v>55</v>
      </c>
      <c r="R3008" t="s">
        <v>56</v>
      </c>
      <c r="T3008" t="s">
        <v>4880</v>
      </c>
      <c r="U3008" t="s">
        <v>58</v>
      </c>
      <c r="V3008">
        <v>3</v>
      </c>
      <c r="W3008">
        <v>1</v>
      </c>
      <c r="X3008">
        <v>1</v>
      </c>
      <c r="Y3008">
        <v>0</v>
      </c>
      <c r="Z3008">
        <v>1</v>
      </c>
      <c r="AA3008">
        <v>0</v>
      </c>
      <c r="AB3008">
        <v>221.64</v>
      </c>
      <c r="AC3008">
        <v>195</v>
      </c>
      <c r="AD3008">
        <v>0</v>
      </c>
      <c r="AE3008">
        <v>26.64</v>
      </c>
      <c r="AF3008">
        <v>0</v>
      </c>
      <c r="AG3008">
        <v>0</v>
      </c>
      <c r="AH3008">
        <v>0</v>
      </c>
      <c r="AI3008">
        <v>0</v>
      </c>
      <c r="AJ3008">
        <v>221.64</v>
      </c>
      <c r="AK3008">
        <v>0</v>
      </c>
      <c r="AL3008" t="s">
        <v>53</v>
      </c>
      <c r="AM3008" t="s">
        <v>53</v>
      </c>
      <c r="AN3008" t="s">
        <v>4881</v>
      </c>
      <c r="AO3008" t="s">
        <v>53</v>
      </c>
      <c r="AP3008" t="s">
        <v>53</v>
      </c>
    </row>
    <row r="3009" spans="2:42" x14ac:dyDescent="0.2">
      <c r="B3009" t="s">
        <v>44</v>
      </c>
      <c r="C3009" t="str">
        <f>HYPERLINK("https://us2.cloudbeds.com/connect/8493803454333002#/reservations/14751485333728?display=AG48Y5MKY&amp;reservation_id=14751485333728", "AG48Y5MKY")</f>
        <v>AG48Y5MKY</v>
      </c>
      <c r="D3009" t="s">
        <v>45</v>
      </c>
      <c r="E3009" t="s">
        <v>265</v>
      </c>
      <c r="F3009" t="s">
        <v>61</v>
      </c>
      <c r="G3009" t="s">
        <v>48</v>
      </c>
      <c r="H3009" t="s">
        <v>49</v>
      </c>
      <c r="I3009" t="s">
        <v>50</v>
      </c>
      <c r="J3009" t="s">
        <v>1902</v>
      </c>
      <c r="K3009" t="s">
        <v>1903</v>
      </c>
      <c r="L3009" t="s">
        <v>53</v>
      </c>
      <c r="N3009" t="s">
        <v>4882</v>
      </c>
      <c r="P3009" t="s">
        <v>55</v>
      </c>
      <c r="R3009" t="s">
        <v>53</v>
      </c>
      <c r="T3009" t="s">
        <v>4883</v>
      </c>
      <c r="U3009" t="s">
        <v>58</v>
      </c>
      <c r="V3009">
        <v>1</v>
      </c>
      <c r="W3009">
        <v>1</v>
      </c>
      <c r="X3009">
        <v>2</v>
      </c>
      <c r="Y3009">
        <v>0</v>
      </c>
      <c r="Z3009">
        <v>2</v>
      </c>
      <c r="AA3009">
        <v>0</v>
      </c>
      <c r="AB3009">
        <v>181.84</v>
      </c>
      <c r="AC3009">
        <v>160</v>
      </c>
      <c r="AD3009">
        <v>0</v>
      </c>
      <c r="AE3009">
        <v>21.84</v>
      </c>
      <c r="AF3009">
        <v>0</v>
      </c>
      <c r="AG3009">
        <v>0</v>
      </c>
      <c r="AH3009">
        <v>0</v>
      </c>
      <c r="AI3009">
        <v>32.729999999999997</v>
      </c>
      <c r="AJ3009">
        <v>181.84</v>
      </c>
      <c r="AK3009">
        <v>0</v>
      </c>
      <c r="AL3009" t="s">
        <v>53</v>
      </c>
      <c r="AM3009" t="s">
        <v>53</v>
      </c>
      <c r="AN3009" t="s">
        <v>53</v>
      </c>
      <c r="AO3009" t="s">
        <v>53</v>
      </c>
      <c r="AP3009" t="s">
        <v>53</v>
      </c>
    </row>
    <row r="3010" spans="2:42" x14ac:dyDescent="0.2">
      <c r="B3010" t="s">
        <v>44</v>
      </c>
      <c r="C3010" t="str">
        <f>HYPERLINK("https://us2.cloudbeds.com/connect/8493803454333002#/reservations/14769797144770?display=AGXEX5R3X&amp;reservation_id=14769797144770", "AGXEX5R3X")</f>
        <v>AGXEX5R3X</v>
      </c>
      <c r="D3010" t="s">
        <v>45</v>
      </c>
      <c r="E3010" t="s">
        <v>179</v>
      </c>
      <c r="F3010" t="s">
        <v>47</v>
      </c>
      <c r="G3010" t="s">
        <v>48</v>
      </c>
      <c r="H3010" t="s">
        <v>3957</v>
      </c>
      <c r="I3010" t="s">
        <v>3975</v>
      </c>
      <c r="J3010" t="s">
        <v>1933</v>
      </c>
      <c r="K3010" t="s">
        <v>2206</v>
      </c>
      <c r="L3010" t="s">
        <v>53</v>
      </c>
      <c r="P3010" t="s">
        <v>55</v>
      </c>
      <c r="R3010" t="s">
        <v>56</v>
      </c>
      <c r="T3010" t="s">
        <v>4884</v>
      </c>
      <c r="U3010" t="s">
        <v>58</v>
      </c>
      <c r="V3010">
        <v>2</v>
      </c>
      <c r="W3010">
        <v>1</v>
      </c>
      <c r="X3010">
        <v>1</v>
      </c>
      <c r="Y3010">
        <v>0</v>
      </c>
      <c r="Z3010">
        <v>1</v>
      </c>
      <c r="AA3010">
        <v>0</v>
      </c>
      <c r="AB3010">
        <v>617.45000000000005</v>
      </c>
      <c r="AC3010">
        <v>289</v>
      </c>
      <c r="AD3010">
        <v>0</v>
      </c>
      <c r="AE3010">
        <v>0</v>
      </c>
      <c r="AF3010">
        <v>0</v>
      </c>
      <c r="AG3010">
        <v>0</v>
      </c>
      <c r="AH3010">
        <v>0</v>
      </c>
      <c r="AI3010">
        <v>0</v>
      </c>
      <c r="AJ3010">
        <v>289</v>
      </c>
      <c r="AK3010">
        <v>0</v>
      </c>
      <c r="AL3010" t="s">
        <v>53</v>
      </c>
      <c r="AM3010" t="s">
        <v>53</v>
      </c>
      <c r="AN3010" t="s">
        <v>53</v>
      </c>
      <c r="AO3010" t="s">
        <v>53</v>
      </c>
      <c r="AP3010" t="s">
        <v>53</v>
      </c>
    </row>
    <row r="3011" spans="2:42" x14ac:dyDescent="0.2">
      <c r="B3011" t="s">
        <v>44</v>
      </c>
      <c r="C3011" t="str">
        <f>HYPERLINK("https://us2.cloudbeds.com/connect/8493803454333002#/reservations/14793330421964?display=AH3YT1VBG&amp;reservation_id=14793330421964", "AH3YT1VBG")</f>
        <v>AH3YT1VBG</v>
      </c>
      <c r="D3011" t="s">
        <v>45</v>
      </c>
      <c r="E3011" t="s">
        <v>105</v>
      </c>
      <c r="F3011" t="s">
        <v>47</v>
      </c>
      <c r="G3011" t="s">
        <v>48</v>
      </c>
      <c r="H3011" t="s">
        <v>49</v>
      </c>
      <c r="I3011" t="s">
        <v>50</v>
      </c>
      <c r="J3011" t="s">
        <v>2314</v>
      </c>
      <c r="K3011" t="s">
        <v>1406</v>
      </c>
      <c r="L3011" t="s">
        <v>53</v>
      </c>
      <c r="N3011" t="s">
        <v>4885</v>
      </c>
      <c r="P3011" t="s">
        <v>55</v>
      </c>
      <c r="R3011" t="s">
        <v>53</v>
      </c>
      <c r="T3011" t="s">
        <v>4886</v>
      </c>
      <c r="U3011" t="s">
        <v>58</v>
      </c>
      <c r="V3011">
        <v>2</v>
      </c>
      <c r="W3011">
        <v>1</v>
      </c>
      <c r="X3011">
        <v>2</v>
      </c>
      <c r="Y3011">
        <v>0</v>
      </c>
      <c r="Z3011">
        <v>2</v>
      </c>
      <c r="AA3011">
        <v>0</v>
      </c>
      <c r="AB3011">
        <v>339.57</v>
      </c>
      <c r="AC3011">
        <v>298.8</v>
      </c>
      <c r="AD3011">
        <v>0</v>
      </c>
      <c r="AE3011">
        <v>40.770000000000003</v>
      </c>
      <c r="AF3011">
        <v>0</v>
      </c>
      <c r="AG3011">
        <v>0</v>
      </c>
      <c r="AH3011">
        <v>0</v>
      </c>
      <c r="AI3011">
        <v>61.12</v>
      </c>
      <c r="AJ3011">
        <v>339.57</v>
      </c>
      <c r="AK3011">
        <v>0</v>
      </c>
      <c r="AL3011" t="s">
        <v>53</v>
      </c>
      <c r="AM3011" t="s">
        <v>53</v>
      </c>
      <c r="AN3011" t="s">
        <v>53</v>
      </c>
      <c r="AO3011" t="s">
        <v>53</v>
      </c>
      <c r="AP3011" t="s">
        <v>53</v>
      </c>
    </row>
    <row r="3012" spans="2:42" x14ac:dyDescent="0.2">
      <c r="B3012" t="s">
        <v>44</v>
      </c>
      <c r="C3012" t="str">
        <f>HYPERLINK("https://us2.cloudbeds.com/connect/8493803454333002#/reservations/14823498608826?display=AHR0ZM795&amp;reservation_id=14823498608826", "AHR0ZM795")</f>
        <v>AHR0ZM795</v>
      </c>
      <c r="D3012" t="s">
        <v>45</v>
      </c>
      <c r="E3012" t="s">
        <v>155</v>
      </c>
      <c r="F3012" t="s">
        <v>86</v>
      </c>
      <c r="G3012" t="s">
        <v>48</v>
      </c>
      <c r="H3012" t="s">
        <v>49</v>
      </c>
      <c r="I3012" t="s">
        <v>62</v>
      </c>
      <c r="J3012" t="s">
        <v>2206</v>
      </c>
      <c r="K3012" t="s">
        <v>1902</v>
      </c>
      <c r="L3012" t="s">
        <v>53</v>
      </c>
      <c r="N3012" t="s">
        <v>4887</v>
      </c>
      <c r="P3012" t="s">
        <v>55</v>
      </c>
      <c r="R3012" t="s">
        <v>56</v>
      </c>
      <c r="T3012" t="s">
        <v>4888</v>
      </c>
      <c r="U3012" t="s">
        <v>55</v>
      </c>
      <c r="V3012">
        <v>1</v>
      </c>
      <c r="W3012">
        <v>1</v>
      </c>
      <c r="X3012">
        <v>4</v>
      </c>
      <c r="Y3012">
        <v>0</v>
      </c>
      <c r="Z3012">
        <v>4</v>
      </c>
      <c r="AA3012">
        <v>0</v>
      </c>
      <c r="AB3012">
        <v>149.34</v>
      </c>
      <c r="AC3012">
        <v>131.4</v>
      </c>
      <c r="AD3012">
        <v>0</v>
      </c>
      <c r="AE3012">
        <v>17.940000000000001</v>
      </c>
      <c r="AF3012">
        <v>0</v>
      </c>
      <c r="AG3012">
        <v>0</v>
      </c>
      <c r="AH3012">
        <v>0</v>
      </c>
      <c r="AI3012">
        <v>22.4</v>
      </c>
      <c r="AJ3012">
        <v>149.34</v>
      </c>
      <c r="AK3012">
        <v>0</v>
      </c>
      <c r="AL3012" t="s">
        <v>53</v>
      </c>
      <c r="AM3012" t="s">
        <v>53</v>
      </c>
      <c r="AN3012" t="s">
        <v>53</v>
      </c>
      <c r="AO3012" t="s">
        <v>53</v>
      </c>
      <c r="AP3012" t="s">
        <v>53</v>
      </c>
    </row>
    <row r="3013" spans="2:42" x14ac:dyDescent="0.2">
      <c r="B3013" t="s">
        <v>44</v>
      </c>
      <c r="C3013" t="str">
        <f>HYPERLINK("https://us2.cloudbeds.com/connect/8493803454333002#/reservations/14844958314718?display=AXAY325Y3&amp;reservation_id=14844958314718", "AXAY325Y3")</f>
        <v>AXAY325Y3</v>
      </c>
      <c r="D3013" t="s">
        <v>45</v>
      </c>
      <c r="E3013" t="s">
        <v>105</v>
      </c>
      <c r="F3013" t="s">
        <v>47</v>
      </c>
      <c r="G3013" t="s">
        <v>48</v>
      </c>
      <c r="H3013" t="s">
        <v>49</v>
      </c>
      <c r="I3013" t="s">
        <v>62</v>
      </c>
      <c r="J3013" t="s">
        <v>1333</v>
      </c>
      <c r="K3013" t="s">
        <v>1933</v>
      </c>
      <c r="L3013" t="s">
        <v>53</v>
      </c>
      <c r="N3013" t="s">
        <v>4889</v>
      </c>
      <c r="P3013" t="s">
        <v>55</v>
      </c>
      <c r="R3013" t="s">
        <v>56</v>
      </c>
      <c r="T3013" t="s">
        <v>4890</v>
      </c>
      <c r="U3013" t="s">
        <v>55</v>
      </c>
      <c r="V3013">
        <v>1</v>
      </c>
      <c r="W3013">
        <v>1</v>
      </c>
      <c r="X3013">
        <v>1</v>
      </c>
      <c r="Y3013">
        <v>0</v>
      </c>
      <c r="Z3013">
        <v>1</v>
      </c>
      <c r="AA3013">
        <v>0</v>
      </c>
      <c r="AB3013">
        <v>176.17</v>
      </c>
      <c r="AC3013">
        <v>155</v>
      </c>
      <c r="AD3013">
        <v>0</v>
      </c>
      <c r="AE3013">
        <v>21.17</v>
      </c>
      <c r="AF3013">
        <v>0</v>
      </c>
      <c r="AG3013">
        <v>0</v>
      </c>
      <c r="AH3013">
        <v>0</v>
      </c>
      <c r="AI3013">
        <v>26.43</v>
      </c>
      <c r="AJ3013">
        <v>176.17</v>
      </c>
      <c r="AK3013">
        <v>0</v>
      </c>
      <c r="AL3013" t="s">
        <v>53</v>
      </c>
      <c r="AM3013" t="s">
        <v>53</v>
      </c>
      <c r="AN3013" t="s">
        <v>53</v>
      </c>
      <c r="AO3013" t="s">
        <v>53</v>
      </c>
      <c r="AP3013" t="s">
        <v>53</v>
      </c>
    </row>
    <row r="3014" spans="2:42" x14ac:dyDescent="0.2">
      <c r="B3014" t="s">
        <v>44</v>
      </c>
      <c r="C3014" t="str">
        <f>HYPERLINK("https://us2.cloudbeds.com/connect/8493803454333002#/reservations/14844697161950?display=AXAEDS6US&amp;reservation_id=14844697161950", "AXAEDS6US")</f>
        <v>AXAEDS6US</v>
      </c>
      <c r="D3014" t="s">
        <v>45</v>
      </c>
      <c r="E3014" t="s">
        <v>165</v>
      </c>
      <c r="F3014" t="s">
        <v>61</v>
      </c>
      <c r="G3014" t="s">
        <v>48</v>
      </c>
      <c r="H3014" t="s">
        <v>3957</v>
      </c>
      <c r="I3014" t="s">
        <v>3975</v>
      </c>
      <c r="J3014" t="s">
        <v>1333</v>
      </c>
      <c r="K3014" t="s">
        <v>2412</v>
      </c>
      <c r="L3014" t="s">
        <v>53</v>
      </c>
      <c r="P3014" t="s">
        <v>55</v>
      </c>
      <c r="R3014" t="s">
        <v>56</v>
      </c>
      <c r="T3014" t="s">
        <v>4891</v>
      </c>
      <c r="U3014" t="s">
        <v>58</v>
      </c>
      <c r="V3014">
        <v>2</v>
      </c>
      <c r="W3014">
        <v>1</v>
      </c>
      <c r="X3014">
        <v>1</v>
      </c>
      <c r="Y3014">
        <v>0</v>
      </c>
      <c r="Z3014">
        <v>1</v>
      </c>
      <c r="AA3014">
        <v>0</v>
      </c>
      <c r="AB3014">
        <v>356.86</v>
      </c>
      <c r="AC3014">
        <v>314</v>
      </c>
      <c r="AD3014">
        <v>0</v>
      </c>
      <c r="AE3014">
        <v>42.86</v>
      </c>
      <c r="AF3014">
        <v>0</v>
      </c>
      <c r="AG3014">
        <v>0</v>
      </c>
      <c r="AH3014">
        <v>0</v>
      </c>
      <c r="AI3014">
        <v>0</v>
      </c>
      <c r="AJ3014">
        <v>356.86</v>
      </c>
      <c r="AK3014">
        <v>0</v>
      </c>
      <c r="AL3014" t="s">
        <v>53</v>
      </c>
      <c r="AM3014" t="s">
        <v>53</v>
      </c>
      <c r="AN3014" t="s">
        <v>53</v>
      </c>
      <c r="AO3014" t="s">
        <v>53</v>
      </c>
      <c r="AP3014" t="s">
        <v>53</v>
      </c>
    </row>
    <row r="3015" spans="2:42" x14ac:dyDescent="0.2">
      <c r="B3015" t="s">
        <v>44</v>
      </c>
      <c r="C3015" t="str">
        <f>HYPERLINK("https://us2.cloudbeds.com/connect/8493803454333002#/reservations/14885945729231?display=AJ9CDZD64&amp;reservation_id=14885945729231", "AJ9CDZD64")</f>
        <v>AJ9CDZD64</v>
      </c>
      <c r="D3015" t="s">
        <v>45</v>
      </c>
      <c r="E3015" t="s">
        <v>110</v>
      </c>
      <c r="F3015" t="s">
        <v>47</v>
      </c>
      <c r="G3015" t="s">
        <v>48</v>
      </c>
      <c r="H3015" t="s">
        <v>49</v>
      </c>
      <c r="I3015" t="s">
        <v>62</v>
      </c>
      <c r="J3015" t="s">
        <v>2541</v>
      </c>
      <c r="K3015" t="s">
        <v>1502</v>
      </c>
      <c r="L3015" t="s">
        <v>53</v>
      </c>
      <c r="N3015" t="s">
        <v>4892</v>
      </c>
      <c r="P3015" t="s">
        <v>55</v>
      </c>
      <c r="R3015" t="s">
        <v>56</v>
      </c>
      <c r="T3015" t="s">
        <v>4893</v>
      </c>
      <c r="U3015" t="s">
        <v>55</v>
      </c>
      <c r="V3015">
        <v>1</v>
      </c>
      <c r="W3015">
        <v>1</v>
      </c>
      <c r="X3015">
        <v>2</v>
      </c>
      <c r="Y3015">
        <v>0</v>
      </c>
      <c r="Z3015">
        <v>2</v>
      </c>
      <c r="AA3015">
        <v>0</v>
      </c>
      <c r="AB3015">
        <v>204.57</v>
      </c>
      <c r="AC3015">
        <v>180</v>
      </c>
      <c r="AD3015">
        <v>0</v>
      </c>
      <c r="AE3015">
        <v>24.57</v>
      </c>
      <c r="AF3015">
        <v>0</v>
      </c>
      <c r="AG3015">
        <v>0</v>
      </c>
      <c r="AH3015">
        <v>0</v>
      </c>
      <c r="AI3015">
        <v>30.69</v>
      </c>
      <c r="AJ3015">
        <v>204.57</v>
      </c>
      <c r="AK3015">
        <v>0</v>
      </c>
      <c r="AL3015" t="s">
        <v>53</v>
      </c>
      <c r="AM3015" t="s">
        <v>53</v>
      </c>
      <c r="AN3015" t="s">
        <v>53</v>
      </c>
      <c r="AO3015" t="s">
        <v>53</v>
      </c>
      <c r="AP3015" t="s">
        <v>53</v>
      </c>
    </row>
    <row r="3016" spans="2:42" x14ac:dyDescent="0.2">
      <c r="B3016" t="s">
        <v>44</v>
      </c>
      <c r="C3016" t="str">
        <f>HYPERLINK("https://us2.cloudbeds.com/connect/8493803454333002#/reservations/15159650930827?display=APNA773F6&amp;reservation_id=15159650930827", "APNA773F6")</f>
        <v>APNA773F6</v>
      </c>
      <c r="D3016" t="s">
        <v>45</v>
      </c>
      <c r="E3016" t="s">
        <v>113</v>
      </c>
      <c r="F3016" t="s">
        <v>61</v>
      </c>
      <c r="G3016" t="s">
        <v>48</v>
      </c>
      <c r="H3016" t="s">
        <v>49</v>
      </c>
      <c r="I3016" t="s">
        <v>50</v>
      </c>
      <c r="J3016" t="s">
        <v>1436</v>
      </c>
      <c r="K3016" t="s">
        <v>1332</v>
      </c>
      <c r="L3016" t="s">
        <v>53</v>
      </c>
      <c r="N3016" t="s">
        <v>4894</v>
      </c>
      <c r="P3016" t="s">
        <v>58</v>
      </c>
      <c r="R3016" t="s">
        <v>56</v>
      </c>
      <c r="T3016" t="s">
        <v>4895</v>
      </c>
      <c r="U3016" t="s">
        <v>58</v>
      </c>
      <c r="V3016">
        <v>1</v>
      </c>
      <c r="W3016">
        <v>1</v>
      </c>
      <c r="X3016">
        <v>2</v>
      </c>
      <c r="Y3016">
        <v>0</v>
      </c>
      <c r="Z3016">
        <v>2</v>
      </c>
      <c r="AA3016">
        <v>0</v>
      </c>
      <c r="AB3016">
        <v>159.11000000000001</v>
      </c>
      <c r="AC3016">
        <v>140</v>
      </c>
      <c r="AD3016">
        <v>0</v>
      </c>
      <c r="AE3016">
        <v>19.11</v>
      </c>
      <c r="AF3016">
        <v>0</v>
      </c>
      <c r="AG3016">
        <v>0</v>
      </c>
      <c r="AH3016">
        <v>0</v>
      </c>
      <c r="AI3016">
        <v>28.64</v>
      </c>
      <c r="AJ3016">
        <v>159.11000000000001</v>
      </c>
      <c r="AK3016">
        <v>0</v>
      </c>
      <c r="AL3016" t="s">
        <v>53</v>
      </c>
      <c r="AM3016" t="s">
        <v>53</v>
      </c>
      <c r="AN3016" t="s">
        <v>53</v>
      </c>
      <c r="AO3016" t="s">
        <v>53</v>
      </c>
      <c r="AP3016" t="s">
        <v>53</v>
      </c>
    </row>
    <row r="3017" spans="2:42" x14ac:dyDescent="0.2">
      <c r="B3017" t="s">
        <v>44</v>
      </c>
      <c r="C3017" t="str">
        <f>HYPERLINK("https://us2.cloudbeds.com/connect/8493803454333002#/reservations/15209857052842?display=AQT63BF50&amp;reservation_id=15209857052842", "AQT63BF50")</f>
        <v>AQT63BF50</v>
      </c>
      <c r="D3017" t="s">
        <v>45</v>
      </c>
      <c r="E3017" t="s">
        <v>92</v>
      </c>
      <c r="F3017" t="s">
        <v>86</v>
      </c>
      <c r="G3017" t="s">
        <v>4520</v>
      </c>
      <c r="H3017" t="s">
        <v>3957</v>
      </c>
      <c r="I3017" t="s">
        <v>3958</v>
      </c>
      <c r="J3017" t="s">
        <v>1502</v>
      </c>
      <c r="K3017" t="s">
        <v>1332</v>
      </c>
      <c r="L3017" t="s">
        <v>53</v>
      </c>
      <c r="P3017" t="s">
        <v>55</v>
      </c>
      <c r="R3017" t="s">
        <v>56</v>
      </c>
      <c r="T3017" t="s">
        <v>4896</v>
      </c>
      <c r="U3017" t="s">
        <v>58</v>
      </c>
      <c r="V3017">
        <v>2</v>
      </c>
      <c r="W3017">
        <v>1</v>
      </c>
      <c r="X3017">
        <v>1</v>
      </c>
      <c r="Y3017">
        <v>0</v>
      </c>
      <c r="Z3017">
        <v>1</v>
      </c>
      <c r="AA3017">
        <v>0</v>
      </c>
      <c r="AB3017">
        <v>384.58</v>
      </c>
      <c r="AC3017">
        <v>338.4</v>
      </c>
      <c r="AD3017">
        <v>0</v>
      </c>
      <c r="AE3017">
        <v>46.18</v>
      </c>
      <c r="AF3017">
        <v>0</v>
      </c>
      <c r="AG3017">
        <v>0</v>
      </c>
      <c r="AH3017">
        <v>0</v>
      </c>
      <c r="AI3017">
        <v>0</v>
      </c>
      <c r="AJ3017">
        <v>384.58</v>
      </c>
      <c r="AK3017">
        <v>0</v>
      </c>
      <c r="AL3017" t="s">
        <v>53</v>
      </c>
      <c r="AM3017" t="s">
        <v>53</v>
      </c>
      <c r="AN3017" t="s">
        <v>53</v>
      </c>
      <c r="AO3017" t="s">
        <v>53</v>
      </c>
      <c r="AP3017" t="s">
        <v>53</v>
      </c>
    </row>
    <row r="3018" spans="2:42" x14ac:dyDescent="0.2">
      <c r="B3018" t="s">
        <v>44</v>
      </c>
      <c r="C3018" t="str">
        <f>HYPERLINK("https://us2.cloudbeds.com/connect/8493803454333002#/reservations/15450951971040?display=AWHSKVVK2&amp;reservation_id=15450951971040", "AWHSKVVK2")</f>
        <v>AWHSKVVK2</v>
      </c>
      <c r="D3018" t="s">
        <v>45</v>
      </c>
      <c r="E3018" t="s">
        <v>165</v>
      </c>
      <c r="F3018" t="s">
        <v>61</v>
      </c>
      <c r="G3018" t="s">
        <v>48</v>
      </c>
      <c r="H3018" t="s">
        <v>49</v>
      </c>
      <c r="I3018" t="s">
        <v>62</v>
      </c>
      <c r="J3018" t="s">
        <v>1436</v>
      </c>
      <c r="K3018" t="s">
        <v>1332</v>
      </c>
      <c r="L3018" t="s">
        <v>53</v>
      </c>
      <c r="N3018" t="s">
        <v>4897</v>
      </c>
      <c r="P3018" t="s">
        <v>55</v>
      </c>
      <c r="R3018" t="s">
        <v>56</v>
      </c>
      <c r="T3018" t="s">
        <v>4898</v>
      </c>
      <c r="U3018" t="s">
        <v>55</v>
      </c>
      <c r="V3018">
        <v>1</v>
      </c>
      <c r="W3018">
        <v>1</v>
      </c>
      <c r="X3018">
        <v>2</v>
      </c>
      <c r="Y3018">
        <v>0</v>
      </c>
      <c r="Z3018">
        <v>2</v>
      </c>
      <c r="AA3018">
        <v>0</v>
      </c>
      <c r="AB3018">
        <v>159.11000000000001</v>
      </c>
      <c r="AC3018">
        <v>140</v>
      </c>
      <c r="AD3018">
        <v>0</v>
      </c>
      <c r="AE3018">
        <v>19.11</v>
      </c>
      <c r="AF3018">
        <v>0</v>
      </c>
      <c r="AG3018">
        <v>0</v>
      </c>
      <c r="AH3018">
        <v>0</v>
      </c>
      <c r="AI3018">
        <v>23.87</v>
      </c>
      <c r="AJ3018">
        <v>159.11000000000001</v>
      </c>
      <c r="AK3018">
        <v>0</v>
      </c>
      <c r="AL3018" t="s">
        <v>53</v>
      </c>
      <c r="AM3018" t="s">
        <v>53</v>
      </c>
      <c r="AN3018" t="s">
        <v>53</v>
      </c>
      <c r="AO3018" t="s">
        <v>53</v>
      </c>
      <c r="AP3018" t="s">
        <v>53</v>
      </c>
    </row>
    <row r="3019" spans="2:42" x14ac:dyDescent="0.2">
      <c r="B3019" t="s">
        <v>44</v>
      </c>
      <c r="C3019" t="str">
        <f>HYPERLINK("https://us2.cloudbeds.com/connect/8493803454333002#/reservations/15484662603977?display=B0AW0M0DG&amp;reservation_id=15484662603977", "B0AW0M0DG")</f>
        <v>B0AW0M0DG</v>
      </c>
      <c r="D3019" t="s">
        <v>45</v>
      </c>
      <c r="E3019" t="s">
        <v>105</v>
      </c>
      <c r="F3019" t="s">
        <v>47</v>
      </c>
      <c r="G3019" t="s">
        <v>4520</v>
      </c>
      <c r="H3019" t="s">
        <v>3957</v>
      </c>
      <c r="I3019" t="s">
        <v>3958</v>
      </c>
      <c r="J3019" t="s">
        <v>1436</v>
      </c>
      <c r="K3019" t="s">
        <v>1332</v>
      </c>
      <c r="L3019" t="s">
        <v>53</v>
      </c>
      <c r="P3019" t="s">
        <v>55</v>
      </c>
      <c r="R3019" t="s">
        <v>56</v>
      </c>
      <c r="T3019" t="s">
        <v>4899</v>
      </c>
      <c r="U3019" t="s">
        <v>58</v>
      </c>
      <c r="V3019">
        <v>1</v>
      </c>
      <c r="W3019">
        <v>1</v>
      </c>
      <c r="X3019">
        <v>1</v>
      </c>
      <c r="Y3019">
        <v>0</v>
      </c>
      <c r="Z3019">
        <v>1</v>
      </c>
      <c r="AA3019">
        <v>0</v>
      </c>
      <c r="AB3019">
        <v>140.13999999999999</v>
      </c>
      <c r="AC3019">
        <v>123.3</v>
      </c>
      <c r="AD3019">
        <v>0</v>
      </c>
      <c r="AE3019">
        <v>16.84</v>
      </c>
      <c r="AF3019">
        <v>0</v>
      </c>
      <c r="AG3019">
        <v>0</v>
      </c>
      <c r="AH3019">
        <v>0</v>
      </c>
      <c r="AI3019">
        <v>0</v>
      </c>
      <c r="AJ3019">
        <v>140.13999999999999</v>
      </c>
      <c r="AK3019">
        <v>0</v>
      </c>
      <c r="AL3019" t="s">
        <v>53</v>
      </c>
      <c r="AM3019" t="s">
        <v>53</v>
      </c>
      <c r="AN3019" t="s">
        <v>53</v>
      </c>
      <c r="AO3019" t="s">
        <v>53</v>
      </c>
      <c r="AP3019" t="s">
        <v>53</v>
      </c>
    </row>
    <row r="3020" spans="2:42" x14ac:dyDescent="0.2">
      <c r="B3020" t="s">
        <v>44</v>
      </c>
      <c r="C3020" t="str">
        <f>HYPERLINK("https://us2.cloudbeds.com/connect/8493803454333002#/reservations/15490449805504?display=B0FETJABX&amp;reservation_id=15490449805504", "B0FETJABX")</f>
        <v>B0FETJABX</v>
      </c>
      <c r="D3020" t="s">
        <v>45</v>
      </c>
      <c r="E3020" t="s">
        <v>265</v>
      </c>
      <c r="F3020" t="s">
        <v>61</v>
      </c>
      <c r="G3020" t="s">
        <v>48</v>
      </c>
      <c r="H3020" t="s">
        <v>3957</v>
      </c>
      <c r="I3020" t="s">
        <v>3958</v>
      </c>
      <c r="J3020" t="s">
        <v>1405</v>
      </c>
      <c r="K3020" t="s">
        <v>2314</v>
      </c>
      <c r="L3020" t="s">
        <v>53</v>
      </c>
      <c r="P3020" t="s">
        <v>55</v>
      </c>
      <c r="R3020" t="s">
        <v>56</v>
      </c>
      <c r="T3020" t="s">
        <v>4900</v>
      </c>
      <c r="U3020" t="s">
        <v>58</v>
      </c>
      <c r="V3020">
        <v>1</v>
      </c>
      <c r="W3020">
        <v>1</v>
      </c>
      <c r="X3020">
        <v>1</v>
      </c>
      <c r="Y3020">
        <v>0</v>
      </c>
      <c r="Z3020">
        <v>1</v>
      </c>
      <c r="AA3020">
        <v>0</v>
      </c>
      <c r="AB3020">
        <v>147.75</v>
      </c>
      <c r="AC3020">
        <v>130</v>
      </c>
      <c r="AD3020">
        <v>0</v>
      </c>
      <c r="AE3020">
        <v>17.75</v>
      </c>
      <c r="AF3020">
        <v>0</v>
      </c>
      <c r="AG3020">
        <v>0</v>
      </c>
      <c r="AH3020">
        <v>0</v>
      </c>
      <c r="AI3020">
        <v>0</v>
      </c>
      <c r="AJ3020">
        <v>147.75</v>
      </c>
      <c r="AK3020">
        <v>0</v>
      </c>
      <c r="AL3020" t="s">
        <v>53</v>
      </c>
      <c r="AM3020" t="s">
        <v>53</v>
      </c>
      <c r="AN3020" t="s">
        <v>53</v>
      </c>
      <c r="AO3020" t="s">
        <v>53</v>
      </c>
      <c r="AP3020" t="s">
        <v>53</v>
      </c>
    </row>
    <row r="3021" spans="2:42" x14ac:dyDescent="0.2">
      <c r="B3021" t="s">
        <v>44</v>
      </c>
      <c r="C3021" t="str">
        <f>HYPERLINK("https://us2.cloudbeds.com/connect/8493803454333002#/reservations/15524210405538?display=B18JXDTAK&amp;reservation_id=15524210405538", "B18JXDTAK")</f>
        <v>B18JXDTAK</v>
      </c>
      <c r="D3021" t="s">
        <v>45</v>
      </c>
      <c r="E3021" t="s">
        <v>78</v>
      </c>
      <c r="F3021" t="s">
        <v>61</v>
      </c>
      <c r="G3021" t="s">
        <v>48</v>
      </c>
      <c r="H3021" t="s">
        <v>49</v>
      </c>
      <c r="I3021" t="s">
        <v>62</v>
      </c>
      <c r="J3021" t="s">
        <v>1436</v>
      </c>
      <c r="K3021" t="s">
        <v>1332</v>
      </c>
      <c r="L3021" t="s">
        <v>53</v>
      </c>
      <c r="N3021" t="s">
        <v>4901</v>
      </c>
      <c r="P3021" t="s">
        <v>55</v>
      </c>
      <c r="R3021" t="s">
        <v>56</v>
      </c>
      <c r="T3021" t="s">
        <v>4902</v>
      </c>
      <c r="U3021" t="s">
        <v>55</v>
      </c>
      <c r="V3021">
        <v>1</v>
      </c>
      <c r="W3021">
        <v>1</v>
      </c>
      <c r="X3021">
        <v>1</v>
      </c>
      <c r="Y3021">
        <v>0</v>
      </c>
      <c r="Z3021">
        <v>1</v>
      </c>
      <c r="AA3021">
        <v>0</v>
      </c>
      <c r="AB3021">
        <v>159.11000000000001</v>
      </c>
      <c r="AC3021">
        <v>140</v>
      </c>
      <c r="AD3021">
        <v>0</v>
      </c>
      <c r="AE3021">
        <v>19.11</v>
      </c>
      <c r="AF3021">
        <v>0</v>
      </c>
      <c r="AG3021">
        <v>0</v>
      </c>
      <c r="AH3021">
        <v>0</v>
      </c>
      <c r="AI3021">
        <v>23.87</v>
      </c>
      <c r="AJ3021">
        <v>159.11000000000001</v>
      </c>
      <c r="AK3021">
        <v>0</v>
      </c>
      <c r="AL3021" t="s">
        <v>53</v>
      </c>
      <c r="AM3021" t="s">
        <v>53</v>
      </c>
      <c r="AN3021" t="s">
        <v>53</v>
      </c>
      <c r="AO3021" t="s">
        <v>53</v>
      </c>
      <c r="AP3021" t="s">
        <v>53</v>
      </c>
    </row>
    <row r="3022" spans="2:42" x14ac:dyDescent="0.2">
      <c r="B3022" t="s">
        <v>44</v>
      </c>
      <c r="C3022" t="str">
        <f>HYPERLINK("https://us2.cloudbeds.com/connect/8493803454333002#/reservations/15540359835793?display=B1Y371JH0&amp;reservation_id=15540359835793", "B1Y371JH0")</f>
        <v>B1Y371JH0</v>
      </c>
      <c r="D3022" t="s">
        <v>45</v>
      </c>
      <c r="E3022" t="s">
        <v>110</v>
      </c>
      <c r="F3022" t="s">
        <v>47</v>
      </c>
      <c r="G3022" t="s">
        <v>48</v>
      </c>
      <c r="H3022" t="s">
        <v>49</v>
      </c>
      <c r="I3022" t="s">
        <v>62</v>
      </c>
      <c r="J3022" t="s">
        <v>1405</v>
      </c>
      <c r="K3022" t="s">
        <v>1555</v>
      </c>
      <c r="L3022" t="s">
        <v>53</v>
      </c>
      <c r="N3022" t="s">
        <v>4903</v>
      </c>
      <c r="P3022" t="s">
        <v>55</v>
      </c>
      <c r="R3022" t="s">
        <v>56</v>
      </c>
      <c r="T3022" t="s">
        <v>4904</v>
      </c>
      <c r="U3022" t="s">
        <v>55</v>
      </c>
      <c r="V3022">
        <v>2</v>
      </c>
      <c r="W3022">
        <v>1</v>
      </c>
      <c r="X3022">
        <v>1</v>
      </c>
      <c r="Y3022">
        <v>0</v>
      </c>
      <c r="Z3022">
        <v>1</v>
      </c>
      <c r="AA3022">
        <v>0</v>
      </c>
      <c r="AB3022">
        <v>296.61</v>
      </c>
      <c r="AC3022">
        <v>261</v>
      </c>
      <c r="AD3022">
        <v>0</v>
      </c>
      <c r="AE3022">
        <v>35.61</v>
      </c>
      <c r="AF3022">
        <v>0</v>
      </c>
      <c r="AG3022">
        <v>0</v>
      </c>
      <c r="AH3022">
        <v>0</v>
      </c>
      <c r="AI3022">
        <v>44.49</v>
      </c>
      <c r="AJ3022">
        <v>296.61</v>
      </c>
      <c r="AK3022">
        <v>0</v>
      </c>
      <c r="AL3022" t="s">
        <v>53</v>
      </c>
      <c r="AM3022" t="s">
        <v>53</v>
      </c>
      <c r="AN3022" t="s">
        <v>53</v>
      </c>
      <c r="AO3022" t="s">
        <v>53</v>
      </c>
      <c r="AP3022" t="s">
        <v>53</v>
      </c>
    </row>
    <row r="3023" spans="2:42" x14ac:dyDescent="0.2">
      <c r="B3023" t="s">
        <v>44</v>
      </c>
      <c r="C3023" t="str">
        <f>HYPERLINK("https://us2.cloudbeds.com/connect/8493803454333002#/reservations/15542775443627?display=B1MVUVEHD&amp;reservation_id=15542775443627", "B1MVUVEHD")</f>
        <v>B1MVUVEHD</v>
      </c>
      <c r="D3023" t="s">
        <v>45</v>
      </c>
      <c r="E3023" t="s">
        <v>265</v>
      </c>
      <c r="F3023" t="s">
        <v>61</v>
      </c>
      <c r="G3023" t="s">
        <v>48</v>
      </c>
      <c r="H3023" t="s">
        <v>3957</v>
      </c>
      <c r="I3023" t="s">
        <v>3958</v>
      </c>
      <c r="J3023" t="s">
        <v>1436</v>
      </c>
      <c r="K3023" t="s">
        <v>1332</v>
      </c>
      <c r="L3023" t="s">
        <v>53</v>
      </c>
      <c r="P3023" t="s">
        <v>55</v>
      </c>
      <c r="R3023" t="s">
        <v>56</v>
      </c>
      <c r="T3023" t="s">
        <v>4905</v>
      </c>
      <c r="U3023" t="s">
        <v>58</v>
      </c>
      <c r="V3023">
        <v>1</v>
      </c>
      <c r="W3023">
        <v>1</v>
      </c>
      <c r="X3023">
        <v>1</v>
      </c>
      <c r="Y3023">
        <v>0</v>
      </c>
      <c r="Z3023">
        <v>1</v>
      </c>
      <c r="AA3023">
        <v>0</v>
      </c>
      <c r="AB3023">
        <v>159.11000000000001</v>
      </c>
      <c r="AC3023">
        <v>140</v>
      </c>
      <c r="AD3023">
        <v>0</v>
      </c>
      <c r="AE3023">
        <v>19.11</v>
      </c>
      <c r="AF3023">
        <v>0</v>
      </c>
      <c r="AG3023">
        <v>0</v>
      </c>
      <c r="AH3023">
        <v>0</v>
      </c>
      <c r="AI3023">
        <v>0</v>
      </c>
      <c r="AJ3023">
        <v>159.11000000000001</v>
      </c>
      <c r="AK3023">
        <v>0</v>
      </c>
      <c r="AL3023" t="s">
        <v>53</v>
      </c>
      <c r="AM3023" t="s">
        <v>53</v>
      </c>
      <c r="AN3023" t="s">
        <v>53</v>
      </c>
      <c r="AO3023" t="s">
        <v>53</v>
      </c>
      <c r="AP3023" t="s">
        <v>53</v>
      </c>
    </row>
    <row r="3024" spans="2:42" x14ac:dyDescent="0.2">
      <c r="B3024" t="s">
        <v>44</v>
      </c>
      <c r="C3024" t="str">
        <f>HYPERLINK("https://us2.cloudbeds.com/connect/8493803454333002#/reservations/15568103342212?display=B29J43X9Z&amp;reservation_id=15568103342212", "B29J43X9Z")</f>
        <v>B29J43X9Z</v>
      </c>
      <c r="D3024" t="s">
        <v>45</v>
      </c>
      <c r="E3024" t="s">
        <v>373</v>
      </c>
      <c r="F3024" t="s">
        <v>47</v>
      </c>
      <c r="G3024" t="s">
        <v>48</v>
      </c>
      <c r="H3024" t="s">
        <v>49</v>
      </c>
      <c r="I3024" t="s">
        <v>62</v>
      </c>
      <c r="J3024" t="s">
        <v>1436</v>
      </c>
      <c r="K3024" t="s">
        <v>1332</v>
      </c>
      <c r="L3024" t="s">
        <v>53</v>
      </c>
      <c r="N3024" t="s">
        <v>4906</v>
      </c>
      <c r="P3024" t="s">
        <v>55</v>
      </c>
      <c r="R3024" t="s">
        <v>56</v>
      </c>
      <c r="T3024" t="s">
        <v>4907</v>
      </c>
      <c r="U3024" t="s">
        <v>55</v>
      </c>
      <c r="V3024">
        <v>1</v>
      </c>
      <c r="W3024">
        <v>1</v>
      </c>
      <c r="X3024">
        <v>2</v>
      </c>
      <c r="Y3024">
        <v>0</v>
      </c>
      <c r="Z3024">
        <v>2</v>
      </c>
      <c r="AA3024">
        <v>0</v>
      </c>
      <c r="AB3024">
        <v>155.69999999999999</v>
      </c>
      <c r="AC3024">
        <v>137</v>
      </c>
      <c r="AD3024">
        <v>0</v>
      </c>
      <c r="AE3024">
        <v>18.7</v>
      </c>
      <c r="AF3024">
        <v>0</v>
      </c>
      <c r="AG3024">
        <v>0</v>
      </c>
      <c r="AH3024">
        <v>0</v>
      </c>
      <c r="AI3024">
        <v>23.36</v>
      </c>
      <c r="AJ3024">
        <v>155.69999999999999</v>
      </c>
      <c r="AK3024">
        <v>0</v>
      </c>
      <c r="AL3024" t="s">
        <v>53</v>
      </c>
      <c r="AM3024" t="s">
        <v>53</v>
      </c>
      <c r="AN3024" t="s">
        <v>53</v>
      </c>
      <c r="AO3024" t="s">
        <v>53</v>
      </c>
      <c r="AP3024" t="s">
        <v>53</v>
      </c>
    </row>
    <row r="3025" spans="2:42" x14ac:dyDescent="0.2">
      <c r="B3025" t="s">
        <v>44</v>
      </c>
      <c r="C3025" t="str">
        <f>HYPERLINK("https://us2.cloudbeds.com/connect/8493803454333002#/reservations/15570369609878?display=B2BB12Q5G&amp;reservation_id=15570369609878", "B2BB12Q5G")</f>
        <v>B2BB12Q5G</v>
      </c>
      <c r="D3025" t="s">
        <v>45</v>
      </c>
      <c r="E3025" t="s">
        <v>381</v>
      </c>
      <c r="F3025" t="s">
        <v>47</v>
      </c>
      <c r="G3025" t="s">
        <v>48</v>
      </c>
      <c r="H3025" t="s">
        <v>49</v>
      </c>
      <c r="I3025" t="s">
        <v>62</v>
      </c>
      <c r="J3025" t="s">
        <v>1436</v>
      </c>
      <c r="K3025" t="s">
        <v>1332</v>
      </c>
      <c r="L3025" t="s">
        <v>53</v>
      </c>
      <c r="N3025" t="s">
        <v>4908</v>
      </c>
      <c r="P3025" t="s">
        <v>55</v>
      </c>
      <c r="R3025" t="s">
        <v>56</v>
      </c>
      <c r="T3025" t="s">
        <v>4909</v>
      </c>
      <c r="U3025" t="s">
        <v>55</v>
      </c>
      <c r="V3025">
        <v>1</v>
      </c>
      <c r="W3025">
        <v>1</v>
      </c>
      <c r="X3025">
        <v>2</v>
      </c>
      <c r="Y3025">
        <v>0</v>
      </c>
      <c r="Z3025">
        <v>2</v>
      </c>
      <c r="AA3025">
        <v>0</v>
      </c>
      <c r="AB3025">
        <v>155.69999999999999</v>
      </c>
      <c r="AC3025">
        <v>137</v>
      </c>
      <c r="AD3025">
        <v>0</v>
      </c>
      <c r="AE3025">
        <v>18.7</v>
      </c>
      <c r="AF3025">
        <v>0</v>
      </c>
      <c r="AG3025">
        <v>0</v>
      </c>
      <c r="AH3025">
        <v>0</v>
      </c>
      <c r="AI3025">
        <v>23.36</v>
      </c>
      <c r="AJ3025">
        <v>155.69999999999999</v>
      </c>
      <c r="AK3025">
        <v>0</v>
      </c>
      <c r="AL3025" t="s">
        <v>53</v>
      </c>
      <c r="AM3025" t="s">
        <v>53</v>
      </c>
      <c r="AN3025" t="s">
        <v>53</v>
      </c>
      <c r="AO3025" t="s">
        <v>53</v>
      </c>
      <c r="AP3025" t="s">
        <v>53</v>
      </c>
    </row>
    <row r="3026" spans="2:42" x14ac:dyDescent="0.2">
      <c r="B3026" t="s">
        <v>44</v>
      </c>
      <c r="C3026" t="str">
        <f>HYPERLINK("https://us2.cloudbeds.com/connect/8493803454333002#/reservations/15620747468938?display=B3HBA0WF6&amp;reservation_id=15620747468938", "B3HBA0WF6")</f>
        <v>B3HBA0WF6</v>
      </c>
      <c r="D3026" t="s">
        <v>45</v>
      </c>
      <c r="E3026" t="s">
        <v>381</v>
      </c>
      <c r="F3026" t="s">
        <v>47</v>
      </c>
      <c r="G3026" t="s">
        <v>48</v>
      </c>
      <c r="H3026" t="s">
        <v>49</v>
      </c>
      <c r="I3026" t="s">
        <v>62</v>
      </c>
      <c r="J3026" t="s">
        <v>4910</v>
      </c>
      <c r="K3026" t="s">
        <v>4911</v>
      </c>
      <c r="L3026" t="s">
        <v>53</v>
      </c>
      <c r="N3026" t="s">
        <v>4912</v>
      </c>
      <c r="P3026" t="s">
        <v>55</v>
      </c>
      <c r="R3026" t="s">
        <v>56</v>
      </c>
      <c r="T3026" t="s">
        <v>4913</v>
      </c>
      <c r="U3026" t="s">
        <v>55</v>
      </c>
      <c r="V3026">
        <v>2</v>
      </c>
      <c r="W3026">
        <v>1</v>
      </c>
      <c r="X3026">
        <v>2</v>
      </c>
      <c r="Y3026">
        <v>0</v>
      </c>
      <c r="Z3026">
        <v>2</v>
      </c>
      <c r="AA3026">
        <v>181.84</v>
      </c>
      <c r="AB3026">
        <v>90.92</v>
      </c>
      <c r="AC3026">
        <v>80</v>
      </c>
      <c r="AD3026">
        <v>0</v>
      </c>
      <c r="AE3026">
        <v>10.92</v>
      </c>
      <c r="AF3026">
        <v>0</v>
      </c>
      <c r="AG3026">
        <v>0</v>
      </c>
      <c r="AH3026">
        <v>0</v>
      </c>
      <c r="AI3026">
        <v>16.37</v>
      </c>
      <c r="AJ3026">
        <v>90.92</v>
      </c>
      <c r="AK3026">
        <v>0</v>
      </c>
      <c r="AL3026" t="s">
        <v>53</v>
      </c>
      <c r="AM3026" t="s">
        <v>53</v>
      </c>
      <c r="AN3026" t="s">
        <v>53</v>
      </c>
      <c r="AO3026" t="s">
        <v>53</v>
      </c>
      <c r="AP3026" t="s">
        <v>53</v>
      </c>
    </row>
    <row r="3027" spans="2:42" x14ac:dyDescent="0.2">
      <c r="B3027" t="s">
        <v>44</v>
      </c>
      <c r="C3027" t="str">
        <f>HYPERLINK("https://us2.cloudbeds.com/connect/8493803454333002#/reservations/15624312295652?display=B3K3CWHT4&amp;reservation_id=15624312295652", "B3K3CWHT4")</f>
        <v>B3K3CWHT4</v>
      </c>
      <c r="D3027" t="s">
        <v>45</v>
      </c>
      <c r="E3027" t="s">
        <v>121</v>
      </c>
      <c r="F3027" t="s">
        <v>86</v>
      </c>
      <c r="G3027" t="s">
        <v>48</v>
      </c>
      <c r="H3027" t="s">
        <v>49</v>
      </c>
      <c r="I3027" t="s">
        <v>62</v>
      </c>
      <c r="J3027" t="s">
        <v>1406</v>
      </c>
      <c r="K3027" t="s">
        <v>1556</v>
      </c>
      <c r="L3027" t="s">
        <v>53</v>
      </c>
      <c r="N3027" t="s">
        <v>4914</v>
      </c>
      <c r="P3027" t="s">
        <v>55</v>
      </c>
      <c r="R3027" t="s">
        <v>56</v>
      </c>
      <c r="T3027" t="s">
        <v>4915</v>
      </c>
      <c r="U3027" t="s">
        <v>55</v>
      </c>
      <c r="V3027">
        <v>1</v>
      </c>
      <c r="W3027">
        <v>1</v>
      </c>
      <c r="X3027">
        <v>4</v>
      </c>
      <c r="Y3027">
        <v>0</v>
      </c>
      <c r="Z3027">
        <v>4</v>
      </c>
      <c r="AA3027">
        <v>0</v>
      </c>
      <c r="AB3027">
        <v>184.12</v>
      </c>
      <c r="AC3027">
        <v>162</v>
      </c>
      <c r="AD3027">
        <v>0</v>
      </c>
      <c r="AE3027">
        <v>22.12</v>
      </c>
      <c r="AF3027">
        <v>0</v>
      </c>
      <c r="AG3027">
        <v>0</v>
      </c>
      <c r="AH3027">
        <v>0</v>
      </c>
      <c r="AI3027">
        <v>27.62</v>
      </c>
      <c r="AJ3027">
        <v>184.12</v>
      </c>
      <c r="AK3027">
        <v>0</v>
      </c>
      <c r="AL3027" t="s">
        <v>53</v>
      </c>
      <c r="AM3027" t="s">
        <v>53</v>
      </c>
      <c r="AN3027" t="s">
        <v>53</v>
      </c>
      <c r="AO3027" t="s">
        <v>53</v>
      </c>
      <c r="AP3027" t="s">
        <v>53</v>
      </c>
    </row>
    <row r="3028" spans="2:42" x14ac:dyDescent="0.2">
      <c r="B3028" t="s">
        <v>44</v>
      </c>
      <c r="C3028" t="str">
        <f>HYPERLINK("https://us2.cloudbeds.com/connect/8493803454333002#/reservations/15851445645456?display=B8UW5RR12&amp;reservation_id=15851445645456", "B8UW5RR12")</f>
        <v>B8UW5RR12</v>
      </c>
      <c r="D3028" t="s">
        <v>45</v>
      </c>
      <c r="E3028" t="s">
        <v>113</v>
      </c>
      <c r="F3028" t="s">
        <v>61</v>
      </c>
      <c r="G3028" t="s">
        <v>4520</v>
      </c>
      <c r="H3028" t="s">
        <v>3957</v>
      </c>
      <c r="I3028" t="s">
        <v>3989</v>
      </c>
      <c r="J3028" t="s">
        <v>1716</v>
      </c>
      <c r="K3028" t="s">
        <v>1258</v>
      </c>
      <c r="L3028" t="s">
        <v>53</v>
      </c>
      <c r="P3028" t="s">
        <v>55</v>
      </c>
      <c r="R3028" t="s">
        <v>56</v>
      </c>
      <c r="T3028" t="s">
        <v>4916</v>
      </c>
      <c r="U3028" t="s">
        <v>58</v>
      </c>
      <c r="V3028">
        <v>1</v>
      </c>
      <c r="W3028">
        <v>1</v>
      </c>
      <c r="X3028">
        <v>1</v>
      </c>
      <c r="Y3028">
        <v>0</v>
      </c>
      <c r="Z3028">
        <v>1</v>
      </c>
      <c r="AA3028">
        <v>0</v>
      </c>
      <c r="AB3028">
        <v>131.94999999999999</v>
      </c>
      <c r="AC3028">
        <v>116.1</v>
      </c>
      <c r="AD3028">
        <v>0</v>
      </c>
      <c r="AE3028">
        <v>15.85</v>
      </c>
      <c r="AF3028">
        <v>0</v>
      </c>
      <c r="AG3028">
        <v>0</v>
      </c>
      <c r="AH3028">
        <v>0</v>
      </c>
      <c r="AI3028">
        <v>0</v>
      </c>
      <c r="AJ3028">
        <v>131.94999999999999</v>
      </c>
      <c r="AK3028">
        <v>0</v>
      </c>
      <c r="AL3028" t="s">
        <v>53</v>
      </c>
      <c r="AM3028" t="s">
        <v>53</v>
      </c>
      <c r="AN3028" t="s">
        <v>53</v>
      </c>
      <c r="AO3028" t="s">
        <v>53</v>
      </c>
      <c r="AP3028" t="s">
        <v>53</v>
      </c>
    </row>
    <row r="3029" spans="2:42" x14ac:dyDescent="0.2">
      <c r="B3029" t="s">
        <v>44</v>
      </c>
      <c r="C3029" t="str">
        <f>HYPERLINK("https://us2.cloudbeds.com/connect/8493803454333002#/reservations/15926526267630?display=BAN3YQQYW&amp;reservation_id=15926526267630", "BAN3YQQYW")</f>
        <v>BAN3YQQYW</v>
      </c>
      <c r="D3029" t="s">
        <v>45</v>
      </c>
      <c r="E3029" t="s">
        <v>165</v>
      </c>
      <c r="F3029" t="s">
        <v>61</v>
      </c>
      <c r="G3029" t="s">
        <v>3974</v>
      </c>
      <c r="H3029" t="s">
        <v>3957</v>
      </c>
      <c r="I3029" t="s">
        <v>3975</v>
      </c>
      <c r="J3029" t="s">
        <v>1406</v>
      </c>
      <c r="K3029" t="s">
        <v>1556</v>
      </c>
      <c r="L3029" t="s">
        <v>53</v>
      </c>
      <c r="P3029" t="s">
        <v>55</v>
      </c>
      <c r="R3029" t="s">
        <v>56</v>
      </c>
      <c r="T3029" t="s">
        <v>4917</v>
      </c>
      <c r="U3029" t="s">
        <v>58</v>
      </c>
      <c r="V3029">
        <v>1</v>
      </c>
      <c r="W3029">
        <v>1</v>
      </c>
      <c r="X3029">
        <v>2</v>
      </c>
      <c r="Y3029">
        <v>0</v>
      </c>
      <c r="Z3029">
        <v>2</v>
      </c>
      <c r="AA3029">
        <v>0</v>
      </c>
      <c r="AB3029">
        <v>176.95</v>
      </c>
      <c r="AC3029">
        <v>155.69999999999999</v>
      </c>
      <c r="AD3029">
        <v>0</v>
      </c>
      <c r="AE3029">
        <v>21.25</v>
      </c>
      <c r="AF3029">
        <v>0</v>
      </c>
      <c r="AG3029">
        <v>0</v>
      </c>
      <c r="AH3029">
        <v>0</v>
      </c>
      <c r="AI3029">
        <v>0</v>
      </c>
      <c r="AJ3029">
        <v>176.95</v>
      </c>
      <c r="AK3029">
        <v>0</v>
      </c>
      <c r="AL3029" t="s">
        <v>53</v>
      </c>
      <c r="AM3029" t="s">
        <v>53</v>
      </c>
      <c r="AN3029" t="s">
        <v>53</v>
      </c>
      <c r="AO3029" t="s">
        <v>53</v>
      </c>
      <c r="AP3029" t="s">
        <v>53</v>
      </c>
    </row>
    <row r="3030" spans="2:42" x14ac:dyDescent="0.2">
      <c r="B3030" t="s">
        <v>44</v>
      </c>
      <c r="C3030" t="str">
        <f>HYPERLINK("https://us2.cloudbeds.com/connect/8493803454333002#/reservations/15944568058070?display=BB42M47BD&amp;reservation_id=15944568058070", "BB42M47BD")</f>
        <v>BB42M47BD</v>
      </c>
      <c r="D3030" t="s">
        <v>45</v>
      </c>
      <c r="E3030" t="s">
        <v>4918</v>
      </c>
      <c r="F3030" t="s">
        <v>47</v>
      </c>
      <c r="G3030" t="s">
        <v>48</v>
      </c>
      <c r="H3030" t="s">
        <v>3957</v>
      </c>
      <c r="I3030" t="s">
        <v>3975</v>
      </c>
      <c r="J3030" t="s">
        <v>1333</v>
      </c>
      <c r="K3030" t="s">
        <v>1933</v>
      </c>
      <c r="L3030" t="s">
        <v>53</v>
      </c>
      <c r="P3030" t="s">
        <v>55</v>
      </c>
      <c r="R3030" t="s">
        <v>56</v>
      </c>
      <c r="T3030" t="s">
        <v>4919</v>
      </c>
      <c r="U3030" t="s">
        <v>58</v>
      </c>
      <c r="V3030">
        <v>2</v>
      </c>
      <c r="W3030">
        <v>2</v>
      </c>
      <c r="X3030">
        <v>2</v>
      </c>
      <c r="Y3030">
        <v>0</v>
      </c>
      <c r="Z3030">
        <v>2</v>
      </c>
      <c r="AA3030">
        <v>0</v>
      </c>
      <c r="AB3030">
        <v>379.6</v>
      </c>
      <c r="AC3030">
        <v>334</v>
      </c>
      <c r="AD3030">
        <v>0</v>
      </c>
      <c r="AE3030">
        <v>45.6</v>
      </c>
      <c r="AF3030">
        <v>0</v>
      </c>
      <c r="AG3030">
        <v>0</v>
      </c>
      <c r="AH3030">
        <v>0</v>
      </c>
      <c r="AI3030">
        <v>0</v>
      </c>
      <c r="AJ3030">
        <v>379.6</v>
      </c>
      <c r="AK3030">
        <v>0</v>
      </c>
      <c r="AL3030" t="s">
        <v>53</v>
      </c>
      <c r="AM3030" t="s">
        <v>53</v>
      </c>
      <c r="AN3030" t="s">
        <v>53</v>
      </c>
      <c r="AO3030" t="s">
        <v>53</v>
      </c>
      <c r="AP3030" t="s">
        <v>53</v>
      </c>
    </row>
    <row r="3031" spans="2:42" x14ac:dyDescent="0.2">
      <c r="B3031" t="s">
        <v>44</v>
      </c>
      <c r="C3031" t="str">
        <f>HYPERLINK("https://us2.cloudbeds.com/connect/8493803454333002#/reservations/16174452277378?display=BGH2ZJGF9&amp;reservation_id=16174452277378", "BGH2ZJGF9")</f>
        <v>BGH2ZJGF9</v>
      </c>
      <c r="D3031" t="s">
        <v>45</v>
      </c>
      <c r="E3031" t="s">
        <v>265</v>
      </c>
      <c r="F3031" t="s">
        <v>61</v>
      </c>
      <c r="G3031" t="s">
        <v>48</v>
      </c>
      <c r="H3031" t="s">
        <v>49</v>
      </c>
      <c r="I3031" t="s">
        <v>50</v>
      </c>
      <c r="J3031" t="s">
        <v>1933</v>
      </c>
      <c r="K3031" t="s">
        <v>2412</v>
      </c>
      <c r="L3031" t="s">
        <v>53</v>
      </c>
      <c r="N3031" t="s">
        <v>4920</v>
      </c>
      <c r="P3031" t="s">
        <v>55</v>
      </c>
      <c r="R3031" t="s">
        <v>53</v>
      </c>
      <c r="T3031" t="s">
        <v>4921</v>
      </c>
      <c r="U3031" t="s">
        <v>58</v>
      </c>
      <c r="V3031">
        <v>1</v>
      </c>
      <c r="W3031">
        <v>1</v>
      </c>
      <c r="X3031">
        <v>2</v>
      </c>
      <c r="Y3031">
        <v>0</v>
      </c>
      <c r="Z3031">
        <v>2</v>
      </c>
      <c r="AA3031">
        <v>0</v>
      </c>
      <c r="AB3031">
        <v>190.93</v>
      </c>
      <c r="AC3031">
        <v>168</v>
      </c>
      <c r="AD3031">
        <v>0</v>
      </c>
      <c r="AE3031">
        <v>22.93</v>
      </c>
      <c r="AF3031">
        <v>0</v>
      </c>
      <c r="AG3031">
        <v>0</v>
      </c>
      <c r="AH3031">
        <v>0</v>
      </c>
      <c r="AI3031">
        <v>34.369999999999997</v>
      </c>
      <c r="AJ3031">
        <v>190.93</v>
      </c>
      <c r="AK3031">
        <v>0</v>
      </c>
      <c r="AL3031" t="s">
        <v>53</v>
      </c>
      <c r="AM3031" t="s">
        <v>53</v>
      </c>
      <c r="AN3031" t="s">
        <v>53</v>
      </c>
      <c r="AO3031" t="s">
        <v>53</v>
      </c>
      <c r="AP3031" t="s">
        <v>53</v>
      </c>
    </row>
    <row r="3032" spans="2:42" x14ac:dyDescent="0.2">
      <c r="B3032" t="s">
        <v>44</v>
      </c>
      <c r="C3032" t="str">
        <f>HYPERLINK("https://us2.cloudbeds.com/connect/8493803454333002#/reservations/16204092625054?display=BH7143SJ3&amp;reservation_id=16204092625054", "BH7143SJ3")</f>
        <v>BH7143SJ3</v>
      </c>
      <c r="D3032" t="s">
        <v>45</v>
      </c>
      <c r="E3032" t="s">
        <v>406</v>
      </c>
      <c r="F3032" t="s">
        <v>61</v>
      </c>
      <c r="G3032" t="s">
        <v>48</v>
      </c>
      <c r="H3032" t="s">
        <v>3957</v>
      </c>
      <c r="I3032" t="s">
        <v>3975</v>
      </c>
      <c r="J3032" t="s">
        <v>1933</v>
      </c>
      <c r="K3032" t="s">
        <v>1903</v>
      </c>
      <c r="L3032" t="s">
        <v>53</v>
      </c>
      <c r="P3032" t="s">
        <v>55</v>
      </c>
      <c r="R3032" t="s">
        <v>56</v>
      </c>
      <c r="T3032" t="s">
        <v>4922</v>
      </c>
      <c r="U3032" t="s">
        <v>58</v>
      </c>
      <c r="V3032">
        <v>4</v>
      </c>
      <c r="W3032">
        <v>1</v>
      </c>
      <c r="X3032">
        <v>2</v>
      </c>
      <c r="Y3032">
        <v>0</v>
      </c>
      <c r="Z3032">
        <v>2</v>
      </c>
      <c r="AA3032">
        <v>0</v>
      </c>
      <c r="AB3032">
        <v>697.83</v>
      </c>
      <c r="AC3032">
        <v>614</v>
      </c>
      <c r="AD3032">
        <v>0</v>
      </c>
      <c r="AE3032">
        <v>83.83</v>
      </c>
      <c r="AF3032">
        <v>0</v>
      </c>
      <c r="AG3032">
        <v>0</v>
      </c>
      <c r="AH3032">
        <v>0</v>
      </c>
      <c r="AI3032">
        <v>0</v>
      </c>
      <c r="AJ3032">
        <v>697.83</v>
      </c>
      <c r="AK3032">
        <v>0</v>
      </c>
      <c r="AL3032" t="s">
        <v>53</v>
      </c>
      <c r="AM3032" t="s">
        <v>53</v>
      </c>
      <c r="AN3032" t="s">
        <v>53</v>
      </c>
      <c r="AO3032" t="s">
        <v>53</v>
      </c>
      <c r="AP3032" t="s">
        <v>53</v>
      </c>
    </row>
    <row r="3033" spans="2:42" x14ac:dyDescent="0.2">
      <c r="B3033" t="s">
        <v>44</v>
      </c>
      <c r="C3033" t="str">
        <f>HYPERLINK("https://us2.cloudbeds.com/connect/8493803454333002#/reservations/16223852724474?display=BHMB1BP3K&amp;reservation_id=16223852724474", "BHMB1BP3K")</f>
        <v>BHMB1BP3K</v>
      </c>
      <c r="D3033" t="s">
        <v>45</v>
      </c>
      <c r="E3033" t="s">
        <v>78</v>
      </c>
      <c r="F3033" t="s">
        <v>61</v>
      </c>
      <c r="G3033" t="s">
        <v>48</v>
      </c>
      <c r="H3033" t="s">
        <v>49</v>
      </c>
      <c r="I3033" t="s">
        <v>62</v>
      </c>
      <c r="J3033" t="s">
        <v>1333</v>
      </c>
      <c r="K3033" t="s">
        <v>1933</v>
      </c>
      <c r="L3033" t="s">
        <v>53</v>
      </c>
      <c r="N3033" t="s">
        <v>4923</v>
      </c>
      <c r="P3033" t="s">
        <v>55</v>
      </c>
      <c r="R3033" t="s">
        <v>56</v>
      </c>
      <c r="T3033" t="s">
        <v>4924</v>
      </c>
      <c r="U3033" t="s">
        <v>55</v>
      </c>
      <c r="V3033">
        <v>1</v>
      </c>
      <c r="W3033">
        <v>1</v>
      </c>
      <c r="X3033">
        <v>2</v>
      </c>
      <c r="Y3033">
        <v>0</v>
      </c>
      <c r="Z3033">
        <v>2</v>
      </c>
      <c r="AA3033">
        <v>0</v>
      </c>
      <c r="AB3033">
        <v>193.21</v>
      </c>
      <c r="AC3033">
        <v>170</v>
      </c>
      <c r="AD3033">
        <v>0</v>
      </c>
      <c r="AE3033">
        <v>23.21</v>
      </c>
      <c r="AF3033">
        <v>0</v>
      </c>
      <c r="AG3033">
        <v>0</v>
      </c>
      <c r="AH3033">
        <v>0</v>
      </c>
      <c r="AI3033">
        <v>28.98</v>
      </c>
      <c r="AJ3033">
        <v>193.21</v>
      </c>
      <c r="AK3033">
        <v>0</v>
      </c>
      <c r="AL3033" t="s">
        <v>53</v>
      </c>
      <c r="AM3033" t="s">
        <v>53</v>
      </c>
      <c r="AN3033" t="s">
        <v>53</v>
      </c>
      <c r="AO3033" t="s">
        <v>53</v>
      </c>
      <c r="AP3033" t="s">
        <v>53</v>
      </c>
    </row>
    <row r="3034" spans="2:42" x14ac:dyDescent="0.2">
      <c r="B3034" t="s">
        <v>44</v>
      </c>
      <c r="C3034" t="str">
        <f>HYPERLINK("https://us2.cloudbeds.com/connect/8493803454333002#/reservations/16293703581854?display=BJADTERXG&amp;reservation_id=16293703581854", "BJADTERXG")</f>
        <v>BJADTERXG</v>
      </c>
      <c r="D3034" t="s">
        <v>45</v>
      </c>
      <c r="E3034" t="s">
        <v>213</v>
      </c>
      <c r="F3034" t="s">
        <v>86</v>
      </c>
      <c r="G3034" t="s">
        <v>48</v>
      </c>
      <c r="H3034" t="s">
        <v>3957</v>
      </c>
      <c r="I3034" t="s">
        <v>3958</v>
      </c>
      <c r="J3034" t="s">
        <v>2206</v>
      </c>
      <c r="K3034" t="s">
        <v>1902</v>
      </c>
      <c r="L3034" t="s">
        <v>53</v>
      </c>
      <c r="P3034" t="s">
        <v>55</v>
      </c>
      <c r="R3034" t="s">
        <v>56</v>
      </c>
      <c r="T3034" t="s">
        <v>4925</v>
      </c>
      <c r="U3034" t="s">
        <v>58</v>
      </c>
      <c r="V3034">
        <v>1</v>
      </c>
      <c r="W3034">
        <v>1</v>
      </c>
      <c r="X3034">
        <v>1</v>
      </c>
      <c r="Y3034">
        <v>0</v>
      </c>
      <c r="Z3034">
        <v>1</v>
      </c>
      <c r="AA3034">
        <v>0</v>
      </c>
      <c r="AB3034">
        <v>170.48</v>
      </c>
      <c r="AC3034">
        <v>150</v>
      </c>
      <c r="AD3034">
        <v>0</v>
      </c>
      <c r="AE3034">
        <v>20.48</v>
      </c>
      <c r="AF3034">
        <v>0</v>
      </c>
      <c r="AG3034">
        <v>0</v>
      </c>
      <c r="AH3034">
        <v>0</v>
      </c>
      <c r="AI3034">
        <v>0</v>
      </c>
      <c r="AJ3034">
        <v>170.48</v>
      </c>
      <c r="AK3034">
        <v>0</v>
      </c>
      <c r="AL3034" t="s">
        <v>53</v>
      </c>
      <c r="AM3034" t="s">
        <v>53</v>
      </c>
      <c r="AN3034" t="s">
        <v>53</v>
      </c>
      <c r="AO3034" t="s">
        <v>53</v>
      </c>
      <c r="AP3034" t="s">
        <v>53</v>
      </c>
    </row>
    <row r="3035" spans="2:42" x14ac:dyDescent="0.2">
      <c r="B3035" t="s">
        <v>44</v>
      </c>
      <c r="C3035" t="str">
        <f>HYPERLINK("https://us2.cloudbeds.com/connect/8493803454333002#/reservations/16335146029189?display=BK9GRR0ZU&amp;reservation_id=16335146029189", "BK9GRR0ZU")</f>
        <v>BK9GRR0ZU</v>
      </c>
      <c r="D3035" t="s">
        <v>45</v>
      </c>
      <c r="E3035" t="s">
        <v>179</v>
      </c>
      <c r="F3035" t="s">
        <v>47</v>
      </c>
      <c r="G3035" t="s">
        <v>48</v>
      </c>
      <c r="H3035" t="s">
        <v>3957</v>
      </c>
      <c r="I3035" t="s">
        <v>3975</v>
      </c>
      <c r="J3035" t="s">
        <v>2206</v>
      </c>
      <c r="K3035" t="s">
        <v>1902</v>
      </c>
      <c r="L3035" t="s">
        <v>53</v>
      </c>
      <c r="P3035" t="s">
        <v>55</v>
      </c>
      <c r="R3035" t="s">
        <v>56</v>
      </c>
      <c r="T3035" t="s">
        <v>4926</v>
      </c>
      <c r="U3035" t="s">
        <v>58</v>
      </c>
      <c r="V3035">
        <v>1</v>
      </c>
      <c r="W3035">
        <v>1</v>
      </c>
      <c r="X3035">
        <v>1</v>
      </c>
      <c r="Y3035">
        <v>0</v>
      </c>
      <c r="Z3035">
        <v>1</v>
      </c>
      <c r="AA3035">
        <v>0</v>
      </c>
      <c r="AB3035">
        <v>159.11000000000001</v>
      </c>
      <c r="AC3035">
        <v>140</v>
      </c>
      <c r="AD3035">
        <v>0</v>
      </c>
      <c r="AE3035">
        <v>19.11</v>
      </c>
      <c r="AF3035">
        <v>0</v>
      </c>
      <c r="AG3035">
        <v>0</v>
      </c>
      <c r="AH3035">
        <v>0</v>
      </c>
      <c r="AI3035">
        <v>0</v>
      </c>
      <c r="AJ3035">
        <v>159.11000000000001</v>
      </c>
      <c r="AK3035">
        <v>0</v>
      </c>
      <c r="AL3035" t="s">
        <v>53</v>
      </c>
      <c r="AM3035" t="s">
        <v>53</v>
      </c>
      <c r="AN3035" t="s">
        <v>53</v>
      </c>
      <c r="AO3035" t="s">
        <v>53</v>
      </c>
      <c r="AP3035" t="s">
        <v>53</v>
      </c>
    </row>
    <row r="3036" spans="2:42" x14ac:dyDescent="0.2">
      <c r="B3036" t="s">
        <v>44</v>
      </c>
      <c r="C3036" t="str">
        <f>HYPERLINK("https://us2.cloudbeds.com/connect/8493803454333002#/reservations/16367029666019?display=BY16HV75V&amp;reservation_id=16367029666019", "BY16HV75V")</f>
        <v>BY16HV75V</v>
      </c>
      <c r="D3036" t="s">
        <v>45</v>
      </c>
      <c r="E3036" t="s">
        <v>265</v>
      </c>
      <c r="F3036" t="s">
        <v>61</v>
      </c>
      <c r="G3036" t="s">
        <v>48</v>
      </c>
      <c r="H3036" t="s">
        <v>3957</v>
      </c>
      <c r="I3036" t="s">
        <v>3975</v>
      </c>
      <c r="J3036" t="s">
        <v>2634</v>
      </c>
      <c r="K3036" t="s">
        <v>2315</v>
      </c>
      <c r="L3036" t="s">
        <v>53</v>
      </c>
      <c r="P3036" t="s">
        <v>58</v>
      </c>
      <c r="R3036" t="s">
        <v>56</v>
      </c>
      <c r="T3036" t="s">
        <v>4927</v>
      </c>
      <c r="U3036" t="s">
        <v>58</v>
      </c>
      <c r="V3036">
        <v>1</v>
      </c>
      <c r="W3036">
        <v>1</v>
      </c>
      <c r="X3036">
        <v>2</v>
      </c>
      <c r="Y3036">
        <v>0</v>
      </c>
      <c r="Z3036">
        <v>2</v>
      </c>
      <c r="AA3036">
        <v>0</v>
      </c>
      <c r="AB3036">
        <v>196.62</v>
      </c>
      <c r="AC3036">
        <v>173</v>
      </c>
      <c r="AD3036">
        <v>0</v>
      </c>
      <c r="AE3036">
        <v>23.62</v>
      </c>
      <c r="AF3036">
        <v>0</v>
      </c>
      <c r="AG3036">
        <v>0</v>
      </c>
      <c r="AH3036">
        <v>0</v>
      </c>
      <c r="AI3036">
        <v>0</v>
      </c>
      <c r="AJ3036">
        <v>196.62</v>
      </c>
      <c r="AK3036">
        <v>0</v>
      </c>
      <c r="AL3036" t="s">
        <v>53</v>
      </c>
      <c r="AM3036" t="s">
        <v>53</v>
      </c>
      <c r="AN3036" t="s">
        <v>53</v>
      </c>
      <c r="AO3036" t="s">
        <v>53</v>
      </c>
      <c r="AP3036" t="s">
        <v>53</v>
      </c>
    </row>
    <row r="3037" spans="2:42" x14ac:dyDescent="0.2">
      <c r="B3037" t="s">
        <v>44</v>
      </c>
      <c r="C3037" t="str">
        <f>HYPERLINK("https://us2.cloudbeds.com/connect/8493803454333002#/reservations/16530794881240?display=BZT043ZCC&amp;reservation_id=16530794881240", "BZT043ZCC")</f>
        <v>BZT043ZCC</v>
      </c>
      <c r="D3037" t="s">
        <v>45</v>
      </c>
      <c r="E3037" t="s">
        <v>121</v>
      </c>
      <c r="F3037" t="s">
        <v>86</v>
      </c>
      <c r="G3037" t="s">
        <v>48</v>
      </c>
      <c r="H3037" t="s">
        <v>3957</v>
      </c>
      <c r="I3037" t="s">
        <v>3975</v>
      </c>
      <c r="J3037" t="s">
        <v>1523</v>
      </c>
      <c r="K3037" t="s">
        <v>2014</v>
      </c>
      <c r="L3037" t="s">
        <v>53</v>
      </c>
      <c r="P3037" t="s">
        <v>55</v>
      </c>
      <c r="R3037" t="s">
        <v>56</v>
      </c>
      <c r="T3037" t="s">
        <v>4928</v>
      </c>
      <c r="U3037" t="s">
        <v>58</v>
      </c>
      <c r="V3037">
        <v>3</v>
      </c>
      <c r="W3037">
        <v>1</v>
      </c>
      <c r="X3037">
        <v>2</v>
      </c>
      <c r="Y3037">
        <v>0</v>
      </c>
      <c r="Z3037">
        <v>2</v>
      </c>
      <c r="AA3037">
        <v>0</v>
      </c>
      <c r="AB3037">
        <v>613.71</v>
      </c>
      <c r="AC3037">
        <v>540</v>
      </c>
      <c r="AD3037">
        <v>0</v>
      </c>
      <c r="AE3037">
        <v>73.709999999999994</v>
      </c>
      <c r="AF3037">
        <v>0</v>
      </c>
      <c r="AG3037">
        <v>0</v>
      </c>
      <c r="AH3037">
        <v>0</v>
      </c>
      <c r="AI3037">
        <v>0</v>
      </c>
      <c r="AJ3037">
        <v>613.71</v>
      </c>
      <c r="AK3037">
        <v>0</v>
      </c>
      <c r="AL3037" t="s">
        <v>53</v>
      </c>
      <c r="AM3037" t="s">
        <v>53</v>
      </c>
      <c r="AN3037" t="s">
        <v>53</v>
      </c>
      <c r="AO3037" t="s">
        <v>53</v>
      </c>
      <c r="AP3037" t="s">
        <v>53</v>
      </c>
    </row>
    <row r="3038" spans="2:42" x14ac:dyDescent="0.2">
      <c r="B3038" t="s">
        <v>44</v>
      </c>
      <c r="C3038" t="str">
        <f>HYPERLINK("https://us2.cloudbeds.com/connect/8493803454333002#/reservations/16540479328410?display=BP3GJ9ZWE&amp;reservation_id=16540479328410", "BP3GJ9ZWE")</f>
        <v>BP3GJ9ZWE</v>
      </c>
      <c r="D3038" t="s">
        <v>45</v>
      </c>
      <c r="E3038" t="s">
        <v>128</v>
      </c>
      <c r="F3038" t="s">
        <v>86</v>
      </c>
      <c r="G3038" t="s">
        <v>4520</v>
      </c>
      <c r="H3038" t="s">
        <v>3957</v>
      </c>
      <c r="I3038" t="s">
        <v>3958</v>
      </c>
      <c r="J3038" t="s">
        <v>1903</v>
      </c>
      <c r="K3038" t="s">
        <v>2494</v>
      </c>
      <c r="L3038" t="s">
        <v>53</v>
      </c>
      <c r="P3038" t="s">
        <v>55</v>
      </c>
      <c r="R3038" t="s">
        <v>56</v>
      </c>
      <c r="T3038" t="s">
        <v>4929</v>
      </c>
      <c r="U3038" t="s">
        <v>58</v>
      </c>
      <c r="V3038">
        <v>2</v>
      </c>
      <c r="W3038">
        <v>1</v>
      </c>
      <c r="X3038">
        <v>1</v>
      </c>
      <c r="Y3038">
        <v>0</v>
      </c>
      <c r="Z3038">
        <v>1</v>
      </c>
      <c r="AA3038">
        <v>0</v>
      </c>
      <c r="AB3038">
        <v>512.55999999999995</v>
      </c>
      <c r="AC3038">
        <v>280</v>
      </c>
      <c r="AD3038">
        <v>0</v>
      </c>
      <c r="AE3038">
        <v>38.22</v>
      </c>
      <c r="AF3038">
        <v>0</v>
      </c>
      <c r="AG3038">
        <v>0</v>
      </c>
      <c r="AH3038">
        <v>0</v>
      </c>
      <c r="AI3038">
        <v>0</v>
      </c>
      <c r="AJ3038">
        <v>318.22000000000003</v>
      </c>
      <c r="AK3038">
        <v>0</v>
      </c>
      <c r="AL3038" t="s">
        <v>53</v>
      </c>
      <c r="AM3038" t="s">
        <v>53</v>
      </c>
      <c r="AN3038" t="s">
        <v>53</v>
      </c>
      <c r="AO3038" t="s">
        <v>53</v>
      </c>
      <c r="AP3038" t="s">
        <v>53</v>
      </c>
    </row>
    <row r="3039" spans="2:42" x14ac:dyDescent="0.2">
      <c r="B3039" t="s">
        <v>44</v>
      </c>
      <c r="C3039" t="str">
        <f>HYPERLINK("https://us2.cloudbeds.com/connect/8493803454333002#/reservations/16549523505372?display=BPAGMJAAW&amp;reservation_id=16549523505372", "BPAGMJAAW")</f>
        <v>BPAGMJAAW</v>
      </c>
      <c r="D3039" t="s">
        <v>45</v>
      </c>
      <c r="E3039" t="s">
        <v>305</v>
      </c>
      <c r="F3039" t="s">
        <v>61</v>
      </c>
      <c r="G3039" t="s">
        <v>48</v>
      </c>
      <c r="H3039" t="s">
        <v>3957</v>
      </c>
      <c r="I3039" t="s">
        <v>3975</v>
      </c>
      <c r="J3039" t="s">
        <v>1933</v>
      </c>
      <c r="K3039" t="s">
        <v>2412</v>
      </c>
      <c r="L3039" t="s">
        <v>53</v>
      </c>
      <c r="P3039" t="s">
        <v>55</v>
      </c>
      <c r="R3039" t="s">
        <v>56</v>
      </c>
      <c r="T3039" t="s">
        <v>4930</v>
      </c>
      <c r="U3039" t="s">
        <v>58</v>
      </c>
      <c r="V3039">
        <v>1</v>
      </c>
      <c r="W3039">
        <v>1</v>
      </c>
      <c r="X3039">
        <v>2</v>
      </c>
      <c r="Y3039">
        <v>0</v>
      </c>
      <c r="Z3039">
        <v>2</v>
      </c>
      <c r="AA3039">
        <v>0</v>
      </c>
      <c r="AB3039">
        <v>195.48</v>
      </c>
      <c r="AC3039">
        <v>172</v>
      </c>
      <c r="AD3039">
        <v>0</v>
      </c>
      <c r="AE3039">
        <v>23.48</v>
      </c>
      <c r="AF3039">
        <v>0</v>
      </c>
      <c r="AG3039">
        <v>0</v>
      </c>
      <c r="AH3039">
        <v>0</v>
      </c>
      <c r="AI3039">
        <v>0</v>
      </c>
      <c r="AJ3039">
        <v>195.48</v>
      </c>
      <c r="AK3039">
        <v>0</v>
      </c>
      <c r="AL3039" t="s">
        <v>53</v>
      </c>
      <c r="AM3039" t="s">
        <v>53</v>
      </c>
      <c r="AN3039" t="s">
        <v>53</v>
      </c>
      <c r="AO3039" t="s">
        <v>53</v>
      </c>
      <c r="AP3039" t="s">
        <v>53</v>
      </c>
    </row>
    <row r="3040" spans="2:42" x14ac:dyDescent="0.2">
      <c r="B3040" t="s">
        <v>44</v>
      </c>
      <c r="C3040" t="str">
        <f>HYPERLINK("https://us2.cloudbeds.com/connect/8493803454333002#/reservations/16585253925098?display=BQ55MDU3M&amp;reservation_id=16585253925098", "BQ55MDU3M")</f>
        <v>BQ55MDU3M</v>
      </c>
      <c r="D3040" t="s">
        <v>45</v>
      </c>
      <c r="E3040" t="s">
        <v>138</v>
      </c>
      <c r="F3040" t="s">
        <v>70</v>
      </c>
      <c r="G3040" t="s">
        <v>48</v>
      </c>
      <c r="H3040" t="s">
        <v>49</v>
      </c>
      <c r="I3040" t="s">
        <v>62</v>
      </c>
      <c r="J3040" t="s">
        <v>1902</v>
      </c>
      <c r="K3040" t="s">
        <v>1903</v>
      </c>
      <c r="L3040" t="s">
        <v>53</v>
      </c>
      <c r="N3040" t="s">
        <v>4931</v>
      </c>
      <c r="P3040" t="s">
        <v>55</v>
      </c>
      <c r="R3040" t="s">
        <v>56</v>
      </c>
      <c r="T3040" t="s">
        <v>4932</v>
      </c>
      <c r="U3040" t="s">
        <v>55</v>
      </c>
      <c r="V3040">
        <v>1</v>
      </c>
      <c r="W3040">
        <v>1</v>
      </c>
      <c r="X3040">
        <v>1</v>
      </c>
      <c r="Y3040">
        <v>0</v>
      </c>
      <c r="Z3040">
        <v>1</v>
      </c>
      <c r="AA3040">
        <v>0</v>
      </c>
      <c r="AB3040">
        <v>157.97999999999999</v>
      </c>
      <c r="AC3040">
        <v>139</v>
      </c>
      <c r="AD3040">
        <v>0</v>
      </c>
      <c r="AE3040">
        <v>18.98</v>
      </c>
      <c r="AF3040">
        <v>0</v>
      </c>
      <c r="AG3040">
        <v>0</v>
      </c>
      <c r="AH3040">
        <v>0</v>
      </c>
      <c r="AI3040">
        <v>23.7</v>
      </c>
      <c r="AJ3040">
        <v>157.97999999999999</v>
      </c>
      <c r="AK3040">
        <v>0</v>
      </c>
      <c r="AL3040" t="s">
        <v>53</v>
      </c>
      <c r="AM3040" t="s">
        <v>53</v>
      </c>
      <c r="AN3040" t="s">
        <v>53</v>
      </c>
      <c r="AO3040" t="s">
        <v>53</v>
      </c>
      <c r="AP3040" t="s">
        <v>53</v>
      </c>
    </row>
    <row r="3041" spans="2:42" x14ac:dyDescent="0.2">
      <c r="B3041" t="s">
        <v>44</v>
      </c>
      <c r="C3041" t="str">
        <f>HYPERLINK("https://us2.cloudbeds.com/connect/8493803454333002#/reservations/16604134195346?display=BQJQ3P8N4&amp;reservation_id=16604134195346", "BQJQ3P8N4")</f>
        <v>BQJQ3P8N4</v>
      </c>
      <c r="D3041" t="s">
        <v>45</v>
      </c>
      <c r="E3041" t="s">
        <v>373</v>
      </c>
      <c r="F3041" t="s">
        <v>47</v>
      </c>
      <c r="G3041" t="s">
        <v>48</v>
      </c>
      <c r="H3041" t="s">
        <v>3957</v>
      </c>
      <c r="I3041" t="s">
        <v>3975</v>
      </c>
      <c r="J3041" t="s">
        <v>2013</v>
      </c>
      <c r="K3041" t="s">
        <v>2014</v>
      </c>
      <c r="L3041" t="s">
        <v>53</v>
      </c>
      <c r="P3041" t="s">
        <v>55</v>
      </c>
      <c r="R3041" t="s">
        <v>56</v>
      </c>
      <c r="T3041" t="s">
        <v>4933</v>
      </c>
      <c r="U3041" t="s">
        <v>58</v>
      </c>
      <c r="V3041">
        <v>2</v>
      </c>
      <c r="W3041">
        <v>1</v>
      </c>
      <c r="X3041">
        <v>2</v>
      </c>
      <c r="Y3041">
        <v>0</v>
      </c>
      <c r="Z3041">
        <v>2</v>
      </c>
      <c r="AA3041">
        <v>0</v>
      </c>
      <c r="AB3041">
        <v>384.14</v>
      </c>
      <c r="AC3041">
        <v>338</v>
      </c>
      <c r="AD3041">
        <v>0</v>
      </c>
      <c r="AE3041">
        <v>46.14</v>
      </c>
      <c r="AF3041">
        <v>0</v>
      </c>
      <c r="AG3041">
        <v>0</v>
      </c>
      <c r="AH3041">
        <v>0</v>
      </c>
      <c r="AI3041">
        <v>0</v>
      </c>
      <c r="AJ3041">
        <v>384.14</v>
      </c>
      <c r="AK3041">
        <v>0</v>
      </c>
      <c r="AL3041" t="s">
        <v>53</v>
      </c>
      <c r="AM3041" t="s">
        <v>53</v>
      </c>
      <c r="AN3041" t="s">
        <v>53</v>
      </c>
      <c r="AO3041" t="s">
        <v>53</v>
      </c>
      <c r="AP3041" t="s">
        <v>53</v>
      </c>
    </row>
    <row r="3042" spans="2:42" x14ac:dyDescent="0.2">
      <c r="B3042" t="s">
        <v>44</v>
      </c>
      <c r="C3042" t="str">
        <f>HYPERLINK("https://us2.cloudbeds.com/connect/8493803454333002#/reservations/16654643265730?display=BRPTZBJTX&amp;reservation_id=16654643265730", "BRPTZBJTX")</f>
        <v>BRPTZBJTX</v>
      </c>
      <c r="D3042" t="s">
        <v>45</v>
      </c>
      <c r="E3042" t="s">
        <v>155</v>
      </c>
      <c r="F3042" t="s">
        <v>86</v>
      </c>
      <c r="G3042" t="s">
        <v>48</v>
      </c>
      <c r="H3042" t="s">
        <v>49</v>
      </c>
      <c r="I3042" t="s">
        <v>50</v>
      </c>
      <c r="J3042" t="s">
        <v>1903</v>
      </c>
      <c r="K3042" t="s">
        <v>2058</v>
      </c>
      <c r="L3042" t="s">
        <v>53</v>
      </c>
      <c r="N3042" t="s">
        <v>4934</v>
      </c>
      <c r="P3042" t="s">
        <v>55</v>
      </c>
      <c r="R3042" t="s">
        <v>53</v>
      </c>
      <c r="T3042" t="s">
        <v>4935</v>
      </c>
      <c r="U3042" t="s">
        <v>58</v>
      </c>
      <c r="V3042">
        <v>1</v>
      </c>
      <c r="W3042">
        <v>1</v>
      </c>
      <c r="X3042">
        <v>2</v>
      </c>
      <c r="Y3042">
        <v>1</v>
      </c>
      <c r="Z3042">
        <v>3</v>
      </c>
      <c r="AA3042">
        <v>0</v>
      </c>
      <c r="AB3042">
        <v>204.57</v>
      </c>
      <c r="AC3042">
        <v>180</v>
      </c>
      <c r="AD3042">
        <v>0</v>
      </c>
      <c r="AE3042">
        <v>24.57</v>
      </c>
      <c r="AF3042">
        <v>0</v>
      </c>
      <c r="AG3042">
        <v>0</v>
      </c>
      <c r="AH3042">
        <v>0</v>
      </c>
      <c r="AI3042">
        <v>36.82</v>
      </c>
      <c r="AJ3042">
        <v>204.57</v>
      </c>
      <c r="AK3042">
        <v>0</v>
      </c>
      <c r="AL3042" t="s">
        <v>53</v>
      </c>
      <c r="AM3042" t="s">
        <v>53</v>
      </c>
      <c r="AN3042" t="s">
        <v>53</v>
      </c>
      <c r="AO3042" t="s">
        <v>53</v>
      </c>
      <c r="AP3042" t="s">
        <v>53</v>
      </c>
    </row>
    <row r="3043" spans="2:42" x14ac:dyDescent="0.2">
      <c r="B3043" t="s">
        <v>44</v>
      </c>
      <c r="C3043" t="str">
        <f>HYPERLINK("https://us2.cloudbeds.com/connect/8493803454333002#/reservations/16683549962479?display=BSF9C81N3&amp;reservation_id=16683549962479", "BSF9C81N3")</f>
        <v>BSF9C81N3</v>
      </c>
      <c r="D3043" t="s">
        <v>45</v>
      </c>
      <c r="E3043" t="s">
        <v>121</v>
      </c>
      <c r="F3043" t="s">
        <v>86</v>
      </c>
      <c r="G3043" t="s">
        <v>48</v>
      </c>
      <c r="H3043" t="s">
        <v>3957</v>
      </c>
      <c r="I3043" t="s">
        <v>3958</v>
      </c>
      <c r="J3043" t="s">
        <v>2412</v>
      </c>
      <c r="K3043" t="s">
        <v>2206</v>
      </c>
      <c r="L3043" t="s">
        <v>53</v>
      </c>
      <c r="P3043" t="s">
        <v>58</v>
      </c>
      <c r="R3043" t="s">
        <v>56</v>
      </c>
      <c r="T3043" t="s">
        <v>4936</v>
      </c>
      <c r="U3043" t="s">
        <v>58</v>
      </c>
      <c r="V3043">
        <v>1</v>
      </c>
      <c r="W3043">
        <v>1</v>
      </c>
      <c r="X3043">
        <v>1</v>
      </c>
      <c r="Y3043">
        <v>0</v>
      </c>
      <c r="Z3043">
        <v>1</v>
      </c>
      <c r="AA3043">
        <v>0</v>
      </c>
      <c r="AB3043">
        <v>175.03</v>
      </c>
      <c r="AC3043">
        <v>154</v>
      </c>
      <c r="AD3043">
        <v>0</v>
      </c>
      <c r="AE3043">
        <v>21.03</v>
      </c>
      <c r="AF3043">
        <v>0</v>
      </c>
      <c r="AG3043">
        <v>0</v>
      </c>
      <c r="AH3043">
        <v>0</v>
      </c>
      <c r="AI3043">
        <v>0</v>
      </c>
      <c r="AJ3043">
        <v>175.03</v>
      </c>
      <c r="AK3043">
        <v>0</v>
      </c>
      <c r="AL3043" t="s">
        <v>53</v>
      </c>
      <c r="AM3043" t="s">
        <v>53</v>
      </c>
      <c r="AN3043" t="s">
        <v>53</v>
      </c>
      <c r="AO3043" t="s">
        <v>53</v>
      </c>
      <c r="AP3043" t="s">
        <v>53</v>
      </c>
    </row>
    <row r="3044" spans="2:42" x14ac:dyDescent="0.2">
      <c r="B3044" t="s">
        <v>44</v>
      </c>
      <c r="C3044" t="str">
        <f>HYPERLINK("https://us2.cloudbeds.com/connect/8493803454333002#/reservations/16696066130114?display=BSZW66SJ7&amp;reservation_id=16696066130114", "BSZW66SJ7")</f>
        <v>BSZW66SJ7</v>
      </c>
      <c r="D3044" t="s">
        <v>45</v>
      </c>
      <c r="E3044" t="s">
        <v>213</v>
      </c>
      <c r="F3044" t="s">
        <v>86</v>
      </c>
      <c r="G3044" t="s">
        <v>48</v>
      </c>
      <c r="H3044" t="s">
        <v>3957</v>
      </c>
      <c r="I3044" t="s">
        <v>3958</v>
      </c>
      <c r="J3044" t="s">
        <v>2412</v>
      </c>
      <c r="K3044" t="s">
        <v>2206</v>
      </c>
      <c r="L3044" t="s">
        <v>53</v>
      </c>
      <c r="P3044" t="s">
        <v>55</v>
      </c>
      <c r="R3044" t="s">
        <v>56</v>
      </c>
      <c r="T3044" t="s">
        <v>4937</v>
      </c>
      <c r="U3044" t="s">
        <v>58</v>
      </c>
      <c r="V3044">
        <v>1</v>
      </c>
      <c r="W3044">
        <v>1</v>
      </c>
      <c r="X3044">
        <v>1</v>
      </c>
      <c r="Y3044">
        <v>0</v>
      </c>
      <c r="Z3044">
        <v>1</v>
      </c>
      <c r="AA3044">
        <v>0</v>
      </c>
      <c r="AB3044">
        <v>175.03</v>
      </c>
      <c r="AC3044">
        <v>154</v>
      </c>
      <c r="AD3044">
        <v>0</v>
      </c>
      <c r="AE3044">
        <v>21.03</v>
      </c>
      <c r="AF3044">
        <v>0</v>
      </c>
      <c r="AG3044">
        <v>0</v>
      </c>
      <c r="AH3044">
        <v>0</v>
      </c>
      <c r="AI3044">
        <v>0</v>
      </c>
      <c r="AJ3044">
        <v>175.03</v>
      </c>
      <c r="AK3044">
        <v>0</v>
      </c>
      <c r="AL3044" t="s">
        <v>53</v>
      </c>
      <c r="AM3044" t="s">
        <v>53</v>
      </c>
      <c r="AN3044" t="s">
        <v>53</v>
      </c>
      <c r="AO3044" t="s">
        <v>53</v>
      </c>
      <c r="AP3044" t="s">
        <v>53</v>
      </c>
    </row>
    <row r="3045" spans="2:42" x14ac:dyDescent="0.2">
      <c r="B3045" t="s">
        <v>44</v>
      </c>
      <c r="C3045" t="str">
        <f>HYPERLINK("https://us2.cloudbeds.com/connect/8493803454333002#/reservations/16700801511560?display=BSSY66RXM&amp;reservation_id=16700801511560", "BSSY66RXM")</f>
        <v>BSSY66RXM</v>
      </c>
      <c r="D3045" t="s">
        <v>45</v>
      </c>
      <c r="E3045" t="s">
        <v>185</v>
      </c>
      <c r="F3045" t="s">
        <v>47</v>
      </c>
      <c r="G3045" t="s">
        <v>48</v>
      </c>
      <c r="H3045" t="s">
        <v>49</v>
      </c>
      <c r="I3045" t="s">
        <v>50</v>
      </c>
      <c r="J3045" t="s">
        <v>2062</v>
      </c>
      <c r="K3045" t="s">
        <v>1380</v>
      </c>
      <c r="L3045" t="s">
        <v>53</v>
      </c>
      <c r="N3045" t="s">
        <v>4938</v>
      </c>
      <c r="P3045" t="s">
        <v>55</v>
      </c>
      <c r="R3045" t="s">
        <v>53</v>
      </c>
      <c r="T3045" t="s">
        <v>4939</v>
      </c>
      <c r="U3045" t="s">
        <v>58</v>
      </c>
      <c r="V3045">
        <v>1</v>
      </c>
      <c r="W3045">
        <v>1</v>
      </c>
      <c r="X3045">
        <v>2</v>
      </c>
      <c r="Y3045">
        <v>0</v>
      </c>
      <c r="Z3045">
        <v>2</v>
      </c>
      <c r="AA3045">
        <v>0</v>
      </c>
      <c r="AB3045">
        <v>127.29</v>
      </c>
      <c r="AC3045">
        <v>112</v>
      </c>
      <c r="AD3045">
        <v>0</v>
      </c>
      <c r="AE3045">
        <v>15.29</v>
      </c>
      <c r="AF3045">
        <v>0</v>
      </c>
      <c r="AG3045">
        <v>0</v>
      </c>
      <c r="AH3045">
        <v>0</v>
      </c>
      <c r="AI3045">
        <v>22.91</v>
      </c>
      <c r="AJ3045">
        <v>127.29</v>
      </c>
      <c r="AK3045">
        <v>0</v>
      </c>
      <c r="AL3045" t="s">
        <v>53</v>
      </c>
      <c r="AM3045" t="s">
        <v>53</v>
      </c>
      <c r="AN3045" t="s">
        <v>53</v>
      </c>
      <c r="AO3045" t="s">
        <v>53</v>
      </c>
      <c r="AP3045" t="s">
        <v>53</v>
      </c>
    </row>
    <row r="3046" spans="2:42" x14ac:dyDescent="0.2">
      <c r="B3046" t="s">
        <v>44</v>
      </c>
      <c r="C3046" t="str">
        <f>HYPERLINK("https://us2.cloudbeds.com/connect/8493803454333002#/reservations/16978263027939?display=C2CFW3HNE&amp;reservation_id=16978263027939", "C2CFW3HNE")</f>
        <v>C2CFW3HNE</v>
      </c>
      <c r="D3046" t="s">
        <v>45</v>
      </c>
      <c r="E3046" t="s">
        <v>305</v>
      </c>
      <c r="F3046" t="s">
        <v>61</v>
      </c>
      <c r="G3046" t="s">
        <v>48</v>
      </c>
      <c r="H3046" t="s">
        <v>49</v>
      </c>
      <c r="I3046" t="s">
        <v>62</v>
      </c>
      <c r="J3046" t="s">
        <v>2412</v>
      </c>
      <c r="K3046" t="s">
        <v>2206</v>
      </c>
      <c r="L3046" t="s">
        <v>53</v>
      </c>
      <c r="N3046" t="s">
        <v>4940</v>
      </c>
      <c r="P3046" t="s">
        <v>55</v>
      </c>
      <c r="R3046" t="s">
        <v>56</v>
      </c>
      <c r="T3046" t="s">
        <v>4941</v>
      </c>
      <c r="U3046" t="s">
        <v>55</v>
      </c>
      <c r="V3046">
        <v>1</v>
      </c>
      <c r="W3046">
        <v>1</v>
      </c>
      <c r="X3046">
        <v>2</v>
      </c>
      <c r="Y3046">
        <v>0</v>
      </c>
      <c r="Z3046">
        <v>2</v>
      </c>
      <c r="AA3046">
        <v>0</v>
      </c>
      <c r="AB3046">
        <v>152.30000000000001</v>
      </c>
      <c r="AC3046">
        <v>134</v>
      </c>
      <c r="AD3046">
        <v>0</v>
      </c>
      <c r="AE3046">
        <v>18.3</v>
      </c>
      <c r="AF3046">
        <v>0</v>
      </c>
      <c r="AG3046">
        <v>0</v>
      </c>
      <c r="AH3046">
        <v>0</v>
      </c>
      <c r="AI3046">
        <v>22.85</v>
      </c>
      <c r="AJ3046">
        <v>152.30000000000001</v>
      </c>
      <c r="AK3046">
        <v>0</v>
      </c>
      <c r="AL3046" t="s">
        <v>53</v>
      </c>
      <c r="AM3046" t="s">
        <v>53</v>
      </c>
      <c r="AN3046" t="s">
        <v>53</v>
      </c>
      <c r="AO3046" t="s">
        <v>53</v>
      </c>
      <c r="AP3046" t="s">
        <v>53</v>
      </c>
    </row>
    <row r="3047" spans="2:42" x14ac:dyDescent="0.2">
      <c r="B3047" t="s">
        <v>44</v>
      </c>
      <c r="C3047" t="str">
        <f>HYPERLINK("https://us2.cloudbeds.com/connect/8493803454333002#/reservations/16985867133078?display=C2XC92W1T&amp;reservation_id=16985867133078", "C2XC92W1T")</f>
        <v>C2XC92W1T</v>
      </c>
      <c r="D3047" t="s">
        <v>45</v>
      </c>
      <c r="E3047" t="s">
        <v>305</v>
      </c>
      <c r="F3047" t="s">
        <v>61</v>
      </c>
      <c r="G3047" t="s">
        <v>48</v>
      </c>
      <c r="H3047" t="s">
        <v>49</v>
      </c>
      <c r="I3047" t="s">
        <v>62</v>
      </c>
      <c r="J3047" t="s">
        <v>2206</v>
      </c>
      <c r="K3047" t="s">
        <v>1903</v>
      </c>
      <c r="L3047" t="s">
        <v>53</v>
      </c>
      <c r="N3047" t="s">
        <v>4942</v>
      </c>
      <c r="P3047" t="s">
        <v>55</v>
      </c>
      <c r="R3047" t="s">
        <v>56</v>
      </c>
      <c r="T3047" t="s">
        <v>4943</v>
      </c>
      <c r="U3047" t="s">
        <v>55</v>
      </c>
      <c r="V3047">
        <v>2</v>
      </c>
      <c r="W3047">
        <v>1</v>
      </c>
      <c r="X3047">
        <v>2</v>
      </c>
      <c r="Y3047">
        <v>0</v>
      </c>
      <c r="Z3047">
        <v>2</v>
      </c>
      <c r="AA3047">
        <v>0</v>
      </c>
      <c r="AB3047">
        <v>290.95</v>
      </c>
      <c r="AC3047">
        <v>256</v>
      </c>
      <c r="AD3047">
        <v>0</v>
      </c>
      <c r="AE3047">
        <v>34.950000000000003</v>
      </c>
      <c r="AF3047">
        <v>0</v>
      </c>
      <c r="AG3047">
        <v>0</v>
      </c>
      <c r="AH3047">
        <v>0</v>
      </c>
      <c r="AI3047">
        <v>43.64</v>
      </c>
      <c r="AJ3047">
        <v>290.95</v>
      </c>
      <c r="AK3047">
        <v>0</v>
      </c>
      <c r="AL3047" t="s">
        <v>53</v>
      </c>
      <c r="AM3047" t="s">
        <v>53</v>
      </c>
      <c r="AN3047" t="s">
        <v>53</v>
      </c>
      <c r="AO3047" t="s">
        <v>53</v>
      </c>
      <c r="AP3047" t="s">
        <v>53</v>
      </c>
    </row>
    <row r="3048" spans="2:42" x14ac:dyDescent="0.2">
      <c r="B3048" t="s">
        <v>44</v>
      </c>
      <c r="C3048" t="str">
        <f>HYPERLINK("https://us2.cloudbeds.com/connect/8493803454333002#/reservations/16993704849571?display=C2ZEX1WX9&amp;reservation_id=16993704849571", "C2ZEX1WX9")</f>
        <v>C2ZEX1WX9</v>
      </c>
      <c r="D3048" t="s">
        <v>45</v>
      </c>
      <c r="E3048" t="s">
        <v>98</v>
      </c>
      <c r="F3048" t="s">
        <v>86</v>
      </c>
      <c r="G3048" t="s">
        <v>4520</v>
      </c>
      <c r="H3048" t="s">
        <v>3957</v>
      </c>
      <c r="I3048" t="s">
        <v>3989</v>
      </c>
      <c r="J3048" t="s">
        <v>2206</v>
      </c>
      <c r="K3048" t="s">
        <v>1903</v>
      </c>
      <c r="L3048" t="s">
        <v>53</v>
      </c>
      <c r="P3048" t="s">
        <v>55</v>
      </c>
      <c r="R3048" t="s">
        <v>56</v>
      </c>
      <c r="T3048" t="s">
        <v>4944</v>
      </c>
      <c r="U3048" t="s">
        <v>58</v>
      </c>
      <c r="V3048">
        <v>2</v>
      </c>
      <c r="W3048">
        <v>1</v>
      </c>
      <c r="X3048">
        <v>1</v>
      </c>
      <c r="Y3048">
        <v>0</v>
      </c>
      <c r="Z3048">
        <v>1</v>
      </c>
      <c r="AA3048">
        <v>0</v>
      </c>
      <c r="AB3048">
        <v>275.14</v>
      </c>
      <c r="AC3048">
        <v>242.1</v>
      </c>
      <c r="AD3048">
        <v>0</v>
      </c>
      <c r="AE3048">
        <v>33.04</v>
      </c>
      <c r="AF3048">
        <v>0</v>
      </c>
      <c r="AG3048">
        <v>0</v>
      </c>
      <c r="AH3048">
        <v>0</v>
      </c>
      <c r="AI3048">
        <v>0</v>
      </c>
      <c r="AJ3048">
        <v>275.14</v>
      </c>
      <c r="AK3048">
        <v>0</v>
      </c>
      <c r="AL3048" t="s">
        <v>53</v>
      </c>
      <c r="AM3048" t="s">
        <v>53</v>
      </c>
      <c r="AN3048" t="s">
        <v>53</v>
      </c>
      <c r="AO3048" t="s">
        <v>53</v>
      </c>
      <c r="AP3048" t="s">
        <v>53</v>
      </c>
    </row>
    <row r="3049" spans="2:42" x14ac:dyDescent="0.2">
      <c r="B3049" t="s">
        <v>44</v>
      </c>
      <c r="C3049" t="str">
        <f>HYPERLINK("https://us2.cloudbeds.com/connect/8493803454333002#/reservations/17022741061835?display=C3DUG5D1D&amp;reservation_id=17022741061835", "C3DUG5D1D")</f>
        <v>C3DUG5D1D</v>
      </c>
      <c r="D3049" t="s">
        <v>45</v>
      </c>
      <c r="E3049" t="s">
        <v>46</v>
      </c>
      <c r="F3049" t="s">
        <v>47</v>
      </c>
      <c r="G3049" t="s">
        <v>48</v>
      </c>
      <c r="H3049" t="s">
        <v>3957</v>
      </c>
      <c r="I3049" t="s">
        <v>3975</v>
      </c>
      <c r="J3049" t="s">
        <v>2206</v>
      </c>
      <c r="K3049" t="s">
        <v>1902</v>
      </c>
      <c r="L3049" t="s">
        <v>53</v>
      </c>
      <c r="P3049" t="s">
        <v>55</v>
      </c>
      <c r="R3049" t="s">
        <v>56</v>
      </c>
      <c r="T3049" t="s">
        <v>4945</v>
      </c>
      <c r="U3049" t="s">
        <v>58</v>
      </c>
      <c r="V3049">
        <v>1</v>
      </c>
      <c r="W3049">
        <v>1</v>
      </c>
      <c r="X3049">
        <v>2</v>
      </c>
      <c r="Y3049">
        <v>0</v>
      </c>
      <c r="Z3049">
        <v>2</v>
      </c>
      <c r="AA3049">
        <v>0</v>
      </c>
      <c r="AB3049">
        <v>142.07</v>
      </c>
      <c r="AC3049">
        <v>125</v>
      </c>
      <c r="AD3049">
        <v>0</v>
      </c>
      <c r="AE3049">
        <v>17.07</v>
      </c>
      <c r="AF3049">
        <v>0</v>
      </c>
      <c r="AG3049">
        <v>0</v>
      </c>
      <c r="AH3049">
        <v>0</v>
      </c>
      <c r="AI3049">
        <v>0</v>
      </c>
      <c r="AJ3049">
        <v>142.07</v>
      </c>
      <c r="AK3049">
        <v>0</v>
      </c>
      <c r="AL3049" t="s">
        <v>53</v>
      </c>
      <c r="AM3049" t="s">
        <v>53</v>
      </c>
      <c r="AN3049" t="s">
        <v>53</v>
      </c>
      <c r="AO3049" t="s">
        <v>53</v>
      </c>
      <c r="AP3049" t="s">
        <v>53</v>
      </c>
    </row>
    <row r="3050" spans="2:42" x14ac:dyDescent="0.2">
      <c r="B3050" t="s">
        <v>44</v>
      </c>
      <c r="C3050" t="str">
        <f>HYPERLINK("https://us2.cloudbeds.com/connect/8493803454333002#/reservations/17047940296845?display=C40ECR8EH&amp;reservation_id=17047940296845", "C40ECR8EH")</f>
        <v>C40ECR8EH</v>
      </c>
      <c r="D3050" t="s">
        <v>45</v>
      </c>
      <c r="E3050" t="s">
        <v>105</v>
      </c>
      <c r="F3050" t="s">
        <v>47</v>
      </c>
      <c r="G3050" t="s">
        <v>48</v>
      </c>
      <c r="H3050" t="s">
        <v>3957</v>
      </c>
      <c r="I3050" t="s">
        <v>3975</v>
      </c>
      <c r="J3050" t="s">
        <v>1523</v>
      </c>
      <c r="K3050" t="s">
        <v>1161</v>
      </c>
      <c r="L3050" t="s">
        <v>53</v>
      </c>
      <c r="P3050" t="s">
        <v>55</v>
      </c>
      <c r="R3050" t="s">
        <v>56</v>
      </c>
      <c r="T3050" t="s">
        <v>4946</v>
      </c>
      <c r="U3050" t="s">
        <v>58</v>
      </c>
      <c r="V3050">
        <v>2</v>
      </c>
      <c r="W3050">
        <v>1</v>
      </c>
      <c r="X3050">
        <v>2</v>
      </c>
      <c r="Y3050">
        <v>0</v>
      </c>
      <c r="Z3050">
        <v>2</v>
      </c>
      <c r="AA3050">
        <v>0</v>
      </c>
      <c r="AB3050">
        <v>384.14</v>
      </c>
      <c r="AC3050">
        <v>338</v>
      </c>
      <c r="AD3050">
        <v>0</v>
      </c>
      <c r="AE3050">
        <v>46.14</v>
      </c>
      <c r="AF3050">
        <v>0</v>
      </c>
      <c r="AG3050">
        <v>0</v>
      </c>
      <c r="AH3050">
        <v>0</v>
      </c>
      <c r="AI3050">
        <v>0</v>
      </c>
      <c r="AJ3050">
        <v>384.14</v>
      </c>
      <c r="AK3050">
        <v>0</v>
      </c>
      <c r="AL3050" t="s">
        <v>53</v>
      </c>
      <c r="AM3050" t="s">
        <v>53</v>
      </c>
      <c r="AN3050" t="s">
        <v>53</v>
      </c>
      <c r="AO3050" t="s">
        <v>53</v>
      </c>
      <c r="AP3050" t="s">
        <v>53</v>
      </c>
    </row>
    <row r="3051" spans="2:42" x14ac:dyDescent="0.2">
      <c r="B3051" t="s">
        <v>44</v>
      </c>
      <c r="C3051" t="str">
        <f>HYPERLINK("https://us2.cloudbeds.com/connect/8493803454333002#/reservations/17055703363724?display=C46EZS15D&amp;reservation_id=17055703363724", "C46EZS15D")</f>
        <v>C46EZS15D</v>
      </c>
      <c r="D3051" t="s">
        <v>45</v>
      </c>
      <c r="E3051" t="s">
        <v>113</v>
      </c>
      <c r="F3051" t="s">
        <v>61</v>
      </c>
      <c r="G3051" t="s">
        <v>48</v>
      </c>
      <c r="H3051" t="s">
        <v>3957</v>
      </c>
      <c r="I3051" t="s">
        <v>3975</v>
      </c>
      <c r="J3051" t="s">
        <v>2206</v>
      </c>
      <c r="K3051" t="s">
        <v>1902</v>
      </c>
      <c r="L3051" t="s">
        <v>53</v>
      </c>
      <c r="P3051" t="s">
        <v>55</v>
      </c>
      <c r="R3051" t="s">
        <v>56</v>
      </c>
      <c r="T3051" t="s">
        <v>4947</v>
      </c>
      <c r="U3051" t="s">
        <v>58</v>
      </c>
      <c r="V3051">
        <v>1</v>
      </c>
      <c r="W3051">
        <v>1</v>
      </c>
      <c r="X3051">
        <v>2</v>
      </c>
      <c r="Y3051">
        <v>0</v>
      </c>
      <c r="Z3051">
        <v>2</v>
      </c>
      <c r="AA3051">
        <v>0</v>
      </c>
      <c r="AB3051">
        <v>144.34</v>
      </c>
      <c r="AC3051">
        <v>127</v>
      </c>
      <c r="AD3051">
        <v>0</v>
      </c>
      <c r="AE3051">
        <v>17.34</v>
      </c>
      <c r="AF3051">
        <v>0</v>
      </c>
      <c r="AG3051">
        <v>0</v>
      </c>
      <c r="AH3051">
        <v>0</v>
      </c>
      <c r="AI3051">
        <v>0</v>
      </c>
      <c r="AJ3051">
        <v>144.34</v>
      </c>
      <c r="AK3051">
        <v>0</v>
      </c>
      <c r="AL3051" t="s">
        <v>53</v>
      </c>
      <c r="AM3051" t="s">
        <v>53</v>
      </c>
      <c r="AN3051" t="s">
        <v>53</v>
      </c>
      <c r="AO3051" t="s">
        <v>53</v>
      </c>
      <c r="AP3051" t="s">
        <v>53</v>
      </c>
    </row>
    <row r="3052" spans="2:42" x14ac:dyDescent="0.2">
      <c r="B3052" t="s">
        <v>44</v>
      </c>
      <c r="C3052" t="str">
        <f>HYPERLINK("https://us2.cloudbeds.com/connect/8493803454333002#/reservations/17060795683026?display=C4ACSRAPH&amp;reservation_id=17060795683026", "C4ACSRAPH")</f>
        <v>C4ACSRAPH</v>
      </c>
      <c r="D3052" t="s">
        <v>45</v>
      </c>
      <c r="E3052" t="s">
        <v>46</v>
      </c>
      <c r="F3052" t="s">
        <v>47</v>
      </c>
      <c r="G3052" t="s">
        <v>48</v>
      </c>
      <c r="H3052" t="s">
        <v>49</v>
      </c>
      <c r="I3052" t="s">
        <v>50</v>
      </c>
      <c r="J3052" t="s">
        <v>1902</v>
      </c>
      <c r="K3052" t="s">
        <v>1903</v>
      </c>
      <c r="L3052" t="s">
        <v>53</v>
      </c>
      <c r="N3052" t="s">
        <v>4948</v>
      </c>
      <c r="P3052" t="s">
        <v>55</v>
      </c>
      <c r="R3052" t="s">
        <v>53</v>
      </c>
      <c r="T3052" t="s">
        <v>4949</v>
      </c>
      <c r="U3052" t="s">
        <v>58</v>
      </c>
      <c r="V3052">
        <v>1</v>
      </c>
      <c r="W3052">
        <v>1</v>
      </c>
      <c r="X3052">
        <v>2</v>
      </c>
      <c r="Y3052">
        <v>0</v>
      </c>
      <c r="Z3052">
        <v>2</v>
      </c>
      <c r="AA3052">
        <v>0</v>
      </c>
      <c r="AB3052">
        <v>144.34</v>
      </c>
      <c r="AC3052">
        <v>127</v>
      </c>
      <c r="AD3052">
        <v>0</v>
      </c>
      <c r="AE3052">
        <v>17.34</v>
      </c>
      <c r="AF3052">
        <v>0</v>
      </c>
      <c r="AG3052">
        <v>0</v>
      </c>
      <c r="AH3052">
        <v>0</v>
      </c>
      <c r="AI3052">
        <v>25.98</v>
      </c>
      <c r="AJ3052">
        <v>144.34</v>
      </c>
      <c r="AK3052">
        <v>0</v>
      </c>
      <c r="AL3052" t="s">
        <v>53</v>
      </c>
      <c r="AM3052" t="s">
        <v>53</v>
      </c>
      <c r="AN3052" t="s">
        <v>53</v>
      </c>
      <c r="AO3052" t="s">
        <v>53</v>
      </c>
      <c r="AP3052" t="s">
        <v>53</v>
      </c>
    </row>
    <row r="3053" spans="2:42" x14ac:dyDescent="0.2">
      <c r="B3053" t="s">
        <v>44</v>
      </c>
      <c r="C3053" t="str">
        <f>HYPERLINK("https://us2.cloudbeds.com/connect/8493803454333002#/reservations/17072632438965?display=C4JXATGQE&amp;reservation_id=17072632438965", "C4JXATGQE")</f>
        <v>C4JXATGQE</v>
      </c>
      <c r="D3053" t="s">
        <v>45</v>
      </c>
      <c r="E3053" t="s">
        <v>381</v>
      </c>
      <c r="F3053" t="s">
        <v>47</v>
      </c>
      <c r="G3053" t="s">
        <v>48</v>
      </c>
      <c r="H3053" t="s">
        <v>49</v>
      </c>
      <c r="I3053" t="s">
        <v>62</v>
      </c>
      <c r="J3053" t="s">
        <v>2206</v>
      </c>
      <c r="K3053" t="s">
        <v>1903</v>
      </c>
      <c r="L3053" t="s">
        <v>53</v>
      </c>
      <c r="N3053" t="s">
        <v>4950</v>
      </c>
      <c r="P3053" t="s">
        <v>55</v>
      </c>
      <c r="R3053" t="s">
        <v>56</v>
      </c>
      <c r="T3053" t="s">
        <v>4951</v>
      </c>
      <c r="U3053" t="s">
        <v>55</v>
      </c>
      <c r="V3053">
        <v>2</v>
      </c>
      <c r="W3053">
        <v>1</v>
      </c>
      <c r="X3053">
        <v>2</v>
      </c>
      <c r="Y3053">
        <v>0</v>
      </c>
      <c r="Z3053">
        <v>2</v>
      </c>
      <c r="AA3053">
        <v>0</v>
      </c>
      <c r="AB3053">
        <v>286.41000000000003</v>
      </c>
      <c r="AC3053">
        <v>252</v>
      </c>
      <c r="AD3053">
        <v>0</v>
      </c>
      <c r="AE3053">
        <v>34.409999999999997</v>
      </c>
      <c r="AF3053">
        <v>0</v>
      </c>
      <c r="AG3053">
        <v>0</v>
      </c>
      <c r="AH3053">
        <v>0</v>
      </c>
      <c r="AI3053">
        <v>42.96</v>
      </c>
      <c r="AJ3053">
        <v>286.41000000000003</v>
      </c>
      <c r="AK3053">
        <v>0</v>
      </c>
      <c r="AL3053" t="s">
        <v>53</v>
      </c>
      <c r="AM3053" t="s">
        <v>53</v>
      </c>
      <c r="AN3053" t="s">
        <v>53</v>
      </c>
      <c r="AO3053" t="s">
        <v>53</v>
      </c>
      <c r="AP3053" t="s">
        <v>53</v>
      </c>
    </row>
    <row r="3054" spans="2:42" x14ac:dyDescent="0.2">
      <c r="B3054" t="s">
        <v>44</v>
      </c>
      <c r="C3054" t="str">
        <f>HYPERLINK("https://us2.cloudbeds.com/connect/8493803454333002#/reservations/17261374857421?display=C90N4GHFC&amp;reservation_id=17261374857421", "C90N4GHFC")</f>
        <v>C90N4GHFC</v>
      </c>
      <c r="D3054" t="s">
        <v>45</v>
      </c>
      <c r="E3054" t="s">
        <v>46</v>
      </c>
      <c r="F3054" t="s">
        <v>47</v>
      </c>
      <c r="G3054" t="s">
        <v>48</v>
      </c>
      <c r="H3054" t="s">
        <v>3957</v>
      </c>
      <c r="I3054" t="s">
        <v>3989</v>
      </c>
      <c r="J3054" t="s">
        <v>2314</v>
      </c>
      <c r="K3054" t="s">
        <v>1406</v>
      </c>
      <c r="L3054" t="s">
        <v>53</v>
      </c>
      <c r="P3054" t="s">
        <v>58</v>
      </c>
      <c r="R3054" t="s">
        <v>56</v>
      </c>
      <c r="T3054" t="s">
        <v>4952</v>
      </c>
      <c r="U3054" t="s">
        <v>58</v>
      </c>
      <c r="V3054">
        <v>2</v>
      </c>
      <c r="W3054">
        <v>1</v>
      </c>
      <c r="X3054">
        <v>1</v>
      </c>
      <c r="Y3054">
        <v>0</v>
      </c>
      <c r="Z3054">
        <v>1</v>
      </c>
      <c r="AA3054">
        <v>0</v>
      </c>
      <c r="AB3054">
        <v>295.5</v>
      </c>
      <c r="AC3054">
        <v>260</v>
      </c>
      <c r="AD3054">
        <v>0</v>
      </c>
      <c r="AE3054">
        <v>35.5</v>
      </c>
      <c r="AF3054">
        <v>0</v>
      </c>
      <c r="AG3054">
        <v>0</v>
      </c>
      <c r="AH3054">
        <v>0</v>
      </c>
      <c r="AI3054">
        <v>0</v>
      </c>
      <c r="AJ3054">
        <v>295.5</v>
      </c>
      <c r="AK3054">
        <v>0</v>
      </c>
      <c r="AL3054" t="s">
        <v>53</v>
      </c>
      <c r="AM3054" t="s">
        <v>53</v>
      </c>
      <c r="AN3054" t="s">
        <v>53</v>
      </c>
      <c r="AO3054" t="s">
        <v>53</v>
      </c>
      <c r="AP3054" t="s">
        <v>53</v>
      </c>
    </row>
    <row r="3055" spans="2:42" x14ac:dyDescent="0.2">
      <c r="B3055" t="s">
        <v>44</v>
      </c>
      <c r="C3055" t="str">
        <f>HYPERLINK("https://us2.cloudbeds.com/connect/8493803454333002#/reservations/17272520110285?display=C99AUFKEY&amp;reservation_id=17272520110285", "C99AUFKEY")</f>
        <v>C99AUFKEY</v>
      </c>
      <c r="D3055" t="s">
        <v>45</v>
      </c>
      <c r="E3055" t="s">
        <v>190</v>
      </c>
      <c r="F3055" t="s">
        <v>61</v>
      </c>
      <c r="G3055" t="s">
        <v>48</v>
      </c>
      <c r="H3055" t="s">
        <v>49</v>
      </c>
      <c r="I3055" t="s">
        <v>62</v>
      </c>
      <c r="J3055" t="s">
        <v>1556</v>
      </c>
      <c r="K3055" t="s">
        <v>2634</v>
      </c>
      <c r="L3055" t="s">
        <v>53</v>
      </c>
      <c r="N3055" t="s">
        <v>4953</v>
      </c>
      <c r="P3055" t="s">
        <v>55</v>
      </c>
      <c r="R3055" t="s">
        <v>56</v>
      </c>
      <c r="T3055" t="s">
        <v>4954</v>
      </c>
      <c r="U3055" t="s">
        <v>55</v>
      </c>
      <c r="V3055">
        <v>1</v>
      </c>
      <c r="W3055">
        <v>1</v>
      </c>
      <c r="X3055">
        <v>2</v>
      </c>
      <c r="Y3055">
        <v>0</v>
      </c>
      <c r="Z3055">
        <v>2</v>
      </c>
      <c r="AA3055">
        <v>0</v>
      </c>
      <c r="AB3055">
        <v>192.07</v>
      </c>
      <c r="AC3055">
        <v>169</v>
      </c>
      <c r="AD3055">
        <v>0</v>
      </c>
      <c r="AE3055">
        <v>23.07</v>
      </c>
      <c r="AF3055">
        <v>0</v>
      </c>
      <c r="AG3055">
        <v>0</v>
      </c>
      <c r="AH3055">
        <v>0</v>
      </c>
      <c r="AI3055">
        <v>28.81</v>
      </c>
      <c r="AJ3055">
        <v>192.07</v>
      </c>
      <c r="AK3055">
        <v>0</v>
      </c>
      <c r="AL3055" t="s">
        <v>53</v>
      </c>
      <c r="AM3055" t="s">
        <v>53</v>
      </c>
      <c r="AN3055" t="s">
        <v>53</v>
      </c>
      <c r="AO3055" t="s">
        <v>53</v>
      </c>
      <c r="AP3055" t="s">
        <v>53</v>
      </c>
    </row>
    <row r="3056" spans="2:42" x14ac:dyDescent="0.2">
      <c r="B3056" t="s">
        <v>44</v>
      </c>
      <c r="C3056" t="str">
        <f>HYPERLINK("https://us2.cloudbeds.com/connect/8493803454333002#/reservations/17297500696765?display=C9SM7P8YZ&amp;reservation_id=17297500696765", "C9SM7P8YZ")</f>
        <v>C9SM7P8YZ</v>
      </c>
      <c r="D3056" t="s">
        <v>45</v>
      </c>
      <c r="E3056" t="s">
        <v>113</v>
      </c>
      <c r="F3056" t="s">
        <v>61</v>
      </c>
      <c r="G3056" t="s">
        <v>48</v>
      </c>
      <c r="H3056" t="s">
        <v>49</v>
      </c>
      <c r="I3056" t="s">
        <v>50</v>
      </c>
      <c r="J3056" t="s">
        <v>1380</v>
      </c>
      <c r="K3056" t="s">
        <v>1381</v>
      </c>
      <c r="L3056" t="s">
        <v>53</v>
      </c>
      <c r="N3056" t="s">
        <v>4955</v>
      </c>
      <c r="P3056" t="s">
        <v>55</v>
      </c>
      <c r="R3056" t="s">
        <v>53</v>
      </c>
      <c r="T3056" t="s">
        <v>4956</v>
      </c>
      <c r="U3056" t="s">
        <v>58</v>
      </c>
      <c r="V3056">
        <v>2</v>
      </c>
      <c r="W3056">
        <v>1</v>
      </c>
      <c r="X3056">
        <v>2</v>
      </c>
      <c r="Y3056">
        <v>0</v>
      </c>
      <c r="Z3056">
        <v>2</v>
      </c>
      <c r="AA3056">
        <v>0</v>
      </c>
      <c r="AB3056">
        <v>311.97000000000003</v>
      </c>
      <c r="AC3056">
        <v>274.5</v>
      </c>
      <c r="AD3056">
        <v>0</v>
      </c>
      <c r="AE3056">
        <v>37.47</v>
      </c>
      <c r="AF3056">
        <v>0</v>
      </c>
      <c r="AG3056">
        <v>0</v>
      </c>
      <c r="AH3056">
        <v>0</v>
      </c>
      <c r="AI3056">
        <v>56.15</v>
      </c>
      <c r="AJ3056">
        <v>311.97000000000003</v>
      </c>
      <c r="AK3056">
        <v>0</v>
      </c>
      <c r="AL3056" t="s">
        <v>53</v>
      </c>
      <c r="AM3056" t="s">
        <v>53</v>
      </c>
      <c r="AN3056" t="s">
        <v>53</v>
      </c>
      <c r="AO3056" t="s">
        <v>53</v>
      </c>
      <c r="AP3056" t="s">
        <v>53</v>
      </c>
    </row>
    <row r="3057" spans="2:42" x14ac:dyDescent="0.2">
      <c r="B3057" t="s">
        <v>44</v>
      </c>
      <c r="C3057" t="str">
        <f>HYPERLINK("https://us2.cloudbeds.com/connect/8493803454333002#/reservations/17296494792855?display=C9RTHXGK2&amp;reservation_id=17296494792855", "C9RTHXGK2")</f>
        <v>C9RTHXGK2</v>
      </c>
      <c r="D3057" t="s">
        <v>45</v>
      </c>
      <c r="E3057" t="s">
        <v>121</v>
      </c>
      <c r="F3057" t="s">
        <v>86</v>
      </c>
      <c r="G3057" t="s">
        <v>48</v>
      </c>
      <c r="H3057" t="s">
        <v>3957</v>
      </c>
      <c r="I3057" t="s">
        <v>3975</v>
      </c>
      <c r="J3057" t="s">
        <v>2206</v>
      </c>
      <c r="K3057" t="s">
        <v>1902</v>
      </c>
      <c r="L3057" t="s">
        <v>53</v>
      </c>
      <c r="P3057" t="s">
        <v>55</v>
      </c>
      <c r="R3057" t="s">
        <v>56</v>
      </c>
      <c r="T3057" t="s">
        <v>4957</v>
      </c>
      <c r="U3057" t="s">
        <v>58</v>
      </c>
      <c r="V3057">
        <v>1</v>
      </c>
      <c r="W3057">
        <v>1</v>
      </c>
      <c r="X3057">
        <v>2</v>
      </c>
      <c r="Y3057">
        <v>0</v>
      </c>
      <c r="Z3057">
        <v>2</v>
      </c>
      <c r="AA3057">
        <v>0</v>
      </c>
      <c r="AB3057">
        <v>171.62</v>
      </c>
      <c r="AC3057">
        <v>151</v>
      </c>
      <c r="AD3057">
        <v>0</v>
      </c>
      <c r="AE3057">
        <v>20.62</v>
      </c>
      <c r="AF3057">
        <v>0</v>
      </c>
      <c r="AG3057">
        <v>0</v>
      </c>
      <c r="AH3057">
        <v>0</v>
      </c>
      <c r="AI3057">
        <v>0</v>
      </c>
      <c r="AJ3057">
        <v>171.62</v>
      </c>
      <c r="AK3057">
        <v>0</v>
      </c>
      <c r="AL3057" t="s">
        <v>53</v>
      </c>
      <c r="AM3057" t="s">
        <v>53</v>
      </c>
      <c r="AN3057" t="s">
        <v>53</v>
      </c>
      <c r="AO3057" t="s">
        <v>53</v>
      </c>
      <c r="AP3057" t="s">
        <v>53</v>
      </c>
    </row>
    <row r="3058" spans="2:42" x14ac:dyDescent="0.2">
      <c r="B3058" t="s">
        <v>44</v>
      </c>
      <c r="C3058" t="str">
        <f>HYPERLINK("https://us2.cloudbeds.com/connect/8493803454333002#/reservations/17346642936018?display=CB0NUQGRW&amp;reservation_id=17346642936018", "CB0NUQGRW")</f>
        <v>CB0NUQGRW</v>
      </c>
      <c r="D3058" t="s">
        <v>45</v>
      </c>
      <c r="E3058" t="s">
        <v>155</v>
      </c>
      <c r="F3058" t="s">
        <v>86</v>
      </c>
      <c r="G3058" t="s">
        <v>48</v>
      </c>
      <c r="H3058" t="s">
        <v>49</v>
      </c>
      <c r="I3058" t="s">
        <v>50</v>
      </c>
      <c r="J3058" t="s">
        <v>4958</v>
      </c>
      <c r="K3058" t="s">
        <v>4959</v>
      </c>
      <c r="L3058" t="s">
        <v>53</v>
      </c>
      <c r="N3058" t="s">
        <v>4960</v>
      </c>
      <c r="P3058" t="s">
        <v>55</v>
      </c>
      <c r="R3058" t="s">
        <v>53</v>
      </c>
      <c r="T3058" t="s">
        <v>4961</v>
      </c>
      <c r="U3058" t="s">
        <v>58</v>
      </c>
      <c r="V3058">
        <v>1</v>
      </c>
      <c r="W3058">
        <v>1</v>
      </c>
      <c r="X3058">
        <v>2</v>
      </c>
      <c r="Y3058">
        <v>1</v>
      </c>
      <c r="Z3058">
        <v>3</v>
      </c>
      <c r="AA3058">
        <v>0</v>
      </c>
      <c r="AB3058">
        <v>93.09</v>
      </c>
      <c r="AC3058">
        <v>81.900000000000006</v>
      </c>
      <c r="AD3058">
        <v>0</v>
      </c>
      <c r="AE3058">
        <v>11.19</v>
      </c>
      <c r="AF3058">
        <v>0</v>
      </c>
      <c r="AG3058">
        <v>0</v>
      </c>
      <c r="AH3058">
        <v>0</v>
      </c>
      <c r="AI3058">
        <v>16.760000000000002</v>
      </c>
      <c r="AJ3058">
        <v>93.09</v>
      </c>
      <c r="AK3058">
        <v>0</v>
      </c>
      <c r="AL3058" t="s">
        <v>53</v>
      </c>
      <c r="AM3058" t="s">
        <v>53</v>
      </c>
      <c r="AN3058" t="s">
        <v>53</v>
      </c>
      <c r="AO3058" t="s">
        <v>53</v>
      </c>
      <c r="AP3058" t="s">
        <v>53</v>
      </c>
    </row>
    <row r="3059" spans="2:42" x14ac:dyDescent="0.2">
      <c r="B3059" t="s">
        <v>44</v>
      </c>
      <c r="C3059" t="str">
        <f>HYPERLINK("https://us2.cloudbeds.com/connect/8493803454333002#/reservations/17369445667025?display=CBXCJM3PM&amp;reservation_id=17369445667025", "CBXCJM3PM")</f>
        <v>CBXCJM3PM</v>
      </c>
      <c r="D3059" t="s">
        <v>45</v>
      </c>
      <c r="E3059" t="s">
        <v>265</v>
      </c>
      <c r="F3059" t="s">
        <v>61</v>
      </c>
      <c r="G3059" t="s">
        <v>48</v>
      </c>
      <c r="H3059" t="s">
        <v>3957</v>
      </c>
      <c r="I3059" t="s">
        <v>3958</v>
      </c>
      <c r="J3059" t="s">
        <v>2206</v>
      </c>
      <c r="K3059" t="s">
        <v>1902</v>
      </c>
      <c r="L3059" t="s">
        <v>53</v>
      </c>
      <c r="P3059" t="s">
        <v>55</v>
      </c>
      <c r="R3059" t="s">
        <v>56</v>
      </c>
      <c r="T3059" t="s">
        <v>4962</v>
      </c>
      <c r="U3059" t="s">
        <v>58</v>
      </c>
      <c r="V3059">
        <v>1</v>
      </c>
      <c r="W3059">
        <v>1</v>
      </c>
      <c r="X3059">
        <v>1</v>
      </c>
      <c r="Y3059">
        <v>0</v>
      </c>
      <c r="Z3059">
        <v>1</v>
      </c>
      <c r="AA3059">
        <v>0</v>
      </c>
      <c r="AB3059">
        <v>163.66</v>
      </c>
      <c r="AC3059">
        <v>144</v>
      </c>
      <c r="AD3059">
        <v>0</v>
      </c>
      <c r="AE3059">
        <v>19.66</v>
      </c>
      <c r="AF3059">
        <v>0</v>
      </c>
      <c r="AG3059">
        <v>0</v>
      </c>
      <c r="AH3059">
        <v>0</v>
      </c>
      <c r="AI3059">
        <v>0</v>
      </c>
      <c r="AJ3059">
        <v>163.66</v>
      </c>
      <c r="AK3059">
        <v>0</v>
      </c>
      <c r="AL3059" t="s">
        <v>53</v>
      </c>
      <c r="AM3059" t="s">
        <v>53</v>
      </c>
      <c r="AN3059" t="s">
        <v>53</v>
      </c>
      <c r="AO3059" t="s">
        <v>53</v>
      </c>
      <c r="AP3059" t="s">
        <v>53</v>
      </c>
    </row>
    <row r="3060" spans="2:42" x14ac:dyDescent="0.2">
      <c r="B3060" t="s">
        <v>44</v>
      </c>
      <c r="C3060" t="str">
        <f>HYPERLINK("https://us2.cloudbeds.com/connect/8493803454333002#/reservations/17378473005209?display=CBPC8P3H7&amp;reservation_id=17378473005209", "CBPC8P3H7")</f>
        <v>CBPC8P3H7</v>
      </c>
      <c r="D3060" t="s">
        <v>45</v>
      </c>
      <c r="E3060" t="s">
        <v>98</v>
      </c>
      <c r="F3060" t="s">
        <v>86</v>
      </c>
      <c r="G3060" t="s">
        <v>3974</v>
      </c>
      <c r="H3060" t="s">
        <v>3957</v>
      </c>
      <c r="I3060" t="s">
        <v>3975</v>
      </c>
      <c r="J3060" t="s">
        <v>2314</v>
      </c>
      <c r="K3060" t="s">
        <v>1555</v>
      </c>
      <c r="L3060" t="s">
        <v>53</v>
      </c>
      <c r="P3060" t="s">
        <v>55</v>
      </c>
      <c r="R3060" t="s">
        <v>56</v>
      </c>
      <c r="T3060" t="s">
        <v>4963</v>
      </c>
      <c r="U3060" t="s">
        <v>58</v>
      </c>
      <c r="V3060">
        <v>1</v>
      </c>
      <c r="W3060">
        <v>1</v>
      </c>
      <c r="X3060">
        <v>3</v>
      </c>
      <c r="Y3060">
        <v>0</v>
      </c>
      <c r="Z3060">
        <v>3</v>
      </c>
      <c r="AA3060">
        <v>0</v>
      </c>
      <c r="AB3060">
        <v>184.12</v>
      </c>
      <c r="AC3060">
        <v>162</v>
      </c>
      <c r="AD3060">
        <v>0</v>
      </c>
      <c r="AE3060">
        <v>22.12</v>
      </c>
      <c r="AF3060">
        <v>0</v>
      </c>
      <c r="AG3060">
        <v>0</v>
      </c>
      <c r="AH3060">
        <v>0</v>
      </c>
      <c r="AI3060">
        <v>0</v>
      </c>
      <c r="AJ3060">
        <v>184.12</v>
      </c>
      <c r="AK3060">
        <v>0</v>
      </c>
      <c r="AL3060" t="s">
        <v>53</v>
      </c>
      <c r="AM3060" t="s">
        <v>53</v>
      </c>
      <c r="AN3060" t="s">
        <v>53</v>
      </c>
      <c r="AO3060" t="s">
        <v>53</v>
      </c>
      <c r="AP3060" t="s">
        <v>53</v>
      </c>
    </row>
    <row r="3061" spans="2:42" x14ac:dyDescent="0.2">
      <c r="B3061" t="s">
        <v>44</v>
      </c>
      <c r="C3061" t="str">
        <f>HYPERLINK("https://us2.cloudbeds.com/connect/8493803454333002#/reservations/17446912647396?display=CDCC1T18B&amp;reservation_id=17446912647396", "CDCC1T18B")</f>
        <v>CDCC1T18B</v>
      </c>
      <c r="D3061" t="s">
        <v>45</v>
      </c>
      <c r="E3061" t="s">
        <v>381</v>
      </c>
      <c r="F3061" t="s">
        <v>47</v>
      </c>
      <c r="G3061" t="s">
        <v>48</v>
      </c>
      <c r="H3061" t="s">
        <v>49</v>
      </c>
      <c r="I3061" t="s">
        <v>50</v>
      </c>
      <c r="J3061" t="s">
        <v>2545</v>
      </c>
      <c r="K3061" t="s">
        <v>1405</v>
      </c>
      <c r="L3061" t="s">
        <v>53</v>
      </c>
      <c r="N3061" t="s">
        <v>4964</v>
      </c>
      <c r="P3061" t="s">
        <v>55</v>
      </c>
      <c r="R3061" t="s">
        <v>53</v>
      </c>
      <c r="T3061" t="s">
        <v>4965</v>
      </c>
      <c r="U3061" t="s">
        <v>58</v>
      </c>
      <c r="V3061">
        <v>1</v>
      </c>
      <c r="W3061">
        <v>1</v>
      </c>
      <c r="X3061">
        <v>1</v>
      </c>
      <c r="Y3061">
        <v>0</v>
      </c>
      <c r="Z3061">
        <v>1</v>
      </c>
      <c r="AA3061">
        <v>0</v>
      </c>
      <c r="AB3061">
        <v>131.83000000000001</v>
      </c>
      <c r="AC3061">
        <v>116</v>
      </c>
      <c r="AD3061">
        <v>0</v>
      </c>
      <c r="AE3061">
        <v>15.83</v>
      </c>
      <c r="AF3061">
        <v>0</v>
      </c>
      <c r="AG3061">
        <v>0</v>
      </c>
      <c r="AH3061">
        <v>0</v>
      </c>
      <c r="AI3061">
        <v>23.73</v>
      </c>
      <c r="AJ3061">
        <v>131.83000000000001</v>
      </c>
      <c r="AK3061">
        <v>0</v>
      </c>
      <c r="AL3061" t="s">
        <v>53</v>
      </c>
      <c r="AM3061" t="s">
        <v>53</v>
      </c>
      <c r="AN3061" t="s">
        <v>53</v>
      </c>
      <c r="AO3061" t="s">
        <v>53</v>
      </c>
      <c r="AP3061" t="s">
        <v>53</v>
      </c>
    </row>
    <row r="3062" spans="2:42" x14ac:dyDescent="0.2">
      <c r="B3062" t="s">
        <v>44</v>
      </c>
      <c r="C3062" t="str">
        <f>HYPERLINK("https://us2.cloudbeds.com/connect/8493803454333002#/reservations/17564893884640?display=CG4NZPT2Z&amp;reservation_id=17564893884640", "CG4NZPT2Z")</f>
        <v>CG4NZPT2Z</v>
      </c>
      <c r="D3062" t="s">
        <v>45</v>
      </c>
      <c r="E3062" t="s">
        <v>213</v>
      </c>
      <c r="F3062" t="s">
        <v>86</v>
      </c>
      <c r="G3062" t="s">
        <v>48</v>
      </c>
      <c r="H3062" t="s">
        <v>3957</v>
      </c>
      <c r="I3062" t="s">
        <v>3975</v>
      </c>
      <c r="J3062" t="s">
        <v>1902</v>
      </c>
      <c r="K3062" t="s">
        <v>1903</v>
      </c>
      <c r="L3062" t="s">
        <v>53</v>
      </c>
      <c r="P3062" t="s">
        <v>55</v>
      </c>
      <c r="R3062" t="s">
        <v>56</v>
      </c>
      <c r="T3062" t="s">
        <v>4966</v>
      </c>
      <c r="U3062" t="s">
        <v>58</v>
      </c>
      <c r="V3062">
        <v>1</v>
      </c>
      <c r="W3062">
        <v>1</v>
      </c>
      <c r="X3062">
        <v>2</v>
      </c>
      <c r="Y3062">
        <v>0</v>
      </c>
      <c r="Z3062">
        <v>2</v>
      </c>
      <c r="AA3062">
        <v>0</v>
      </c>
      <c r="AB3062">
        <v>161.38999999999999</v>
      </c>
      <c r="AC3062">
        <v>142</v>
      </c>
      <c r="AD3062">
        <v>0</v>
      </c>
      <c r="AE3062">
        <v>19.39</v>
      </c>
      <c r="AF3062">
        <v>0</v>
      </c>
      <c r="AG3062">
        <v>0</v>
      </c>
      <c r="AH3062">
        <v>0</v>
      </c>
      <c r="AI3062">
        <v>0</v>
      </c>
      <c r="AJ3062">
        <v>161.38999999999999</v>
      </c>
      <c r="AK3062">
        <v>0</v>
      </c>
      <c r="AL3062" t="s">
        <v>53</v>
      </c>
      <c r="AM3062" t="s">
        <v>53</v>
      </c>
      <c r="AN3062" t="s">
        <v>53</v>
      </c>
      <c r="AO3062" t="s">
        <v>53</v>
      </c>
      <c r="AP3062" t="s">
        <v>53</v>
      </c>
    </row>
    <row r="3063" spans="2:42" x14ac:dyDescent="0.2">
      <c r="B3063" t="s">
        <v>44</v>
      </c>
      <c r="C3063" t="str">
        <f>HYPERLINK("https://us2.cloudbeds.com/connect/8493803454333002#/reservations/17568239988971?display=CG7A8A5GM&amp;reservation_id=17568239988971", "CG7A8A5GM")</f>
        <v>CG7A8A5GM</v>
      </c>
      <c r="D3063" t="s">
        <v>45</v>
      </c>
      <c r="E3063" t="s">
        <v>155</v>
      </c>
      <c r="F3063" t="s">
        <v>86</v>
      </c>
      <c r="G3063" t="s">
        <v>48</v>
      </c>
      <c r="H3063" t="s">
        <v>3957</v>
      </c>
      <c r="I3063" t="s">
        <v>3958</v>
      </c>
      <c r="J3063" t="s">
        <v>1902</v>
      </c>
      <c r="K3063" t="s">
        <v>1903</v>
      </c>
      <c r="L3063" t="s">
        <v>53</v>
      </c>
      <c r="P3063" t="s">
        <v>55</v>
      </c>
      <c r="R3063" t="s">
        <v>56</v>
      </c>
      <c r="T3063" t="s">
        <v>4967</v>
      </c>
      <c r="U3063" t="s">
        <v>58</v>
      </c>
      <c r="V3063">
        <v>1</v>
      </c>
      <c r="W3063">
        <v>1</v>
      </c>
      <c r="X3063">
        <v>1</v>
      </c>
      <c r="Y3063">
        <v>0</v>
      </c>
      <c r="Z3063">
        <v>1</v>
      </c>
      <c r="AA3063">
        <v>0</v>
      </c>
      <c r="AB3063">
        <v>85.25</v>
      </c>
      <c r="AC3063">
        <v>75</v>
      </c>
      <c r="AD3063">
        <v>0</v>
      </c>
      <c r="AE3063">
        <v>10.25</v>
      </c>
      <c r="AF3063">
        <v>0</v>
      </c>
      <c r="AG3063">
        <v>0</v>
      </c>
      <c r="AH3063">
        <v>0</v>
      </c>
      <c r="AI3063">
        <v>0</v>
      </c>
      <c r="AJ3063">
        <v>85.25</v>
      </c>
      <c r="AK3063">
        <v>0</v>
      </c>
      <c r="AL3063" t="s">
        <v>53</v>
      </c>
      <c r="AM3063" t="s">
        <v>53</v>
      </c>
      <c r="AN3063" t="s">
        <v>53</v>
      </c>
      <c r="AO3063" t="s">
        <v>53</v>
      </c>
      <c r="AP3063" t="s">
        <v>53</v>
      </c>
    </row>
    <row r="3064" spans="2:42" x14ac:dyDescent="0.2">
      <c r="B3064" t="s">
        <v>44</v>
      </c>
      <c r="C3064" t="str">
        <f>HYPERLINK("https://us2.cloudbeds.com/connect/8493803454333002#/reservations/17594745331934?display=CGRRHADDM&amp;reservation_id=17594745331934", "CGRRHADDM")</f>
        <v>CGRRHADDM</v>
      </c>
      <c r="D3064" t="s">
        <v>45</v>
      </c>
      <c r="E3064" t="s">
        <v>110</v>
      </c>
      <c r="F3064" t="s">
        <v>47</v>
      </c>
      <c r="G3064" t="s">
        <v>48</v>
      </c>
      <c r="H3064" t="s">
        <v>3957</v>
      </c>
      <c r="I3064" t="s">
        <v>3975</v>
      </c>
      <c r="J3064" t="s">
        <v>3906</v>
      </c>
      <c r="K3064" t="s">
        <v>4736</v>
      </c>
      <c r="L3064" t="s">
        <v>53</v>
      </c>
      <c r="P3064" t="s">
        <v>55</v>
      </c>
      <c r="R3064" t="s">
        <v>56</v>
      </c>
      <c r="T3064" t="s">
        <v>4968</v>
      </c>
      <c r="U3064" t="s">
        <v>58</v>
      </c>
      <c r="V3064">
        <v>2</v>
      </c>
      <c r="W3064">
        <v>1</v>
      </c>
      <c r="X3064">
        <v>2</v>
      </c>
      <c r="Y3064">
        <v>0</v>
      </c>
      <c r="Z3064">
        <v>2</v>
      </c>
      <c r="AA3064">
        <v>0</v>
      </c>
      <c r="AB3064">
        <v>327.31</v>
      </c>
      <c r="AC3064">
        <v>288</v>
      </c>
      <c r="AD3064">
        <v>0</v>
      </c>
      <c r="AE3064">
        <v>39.31</v>
      </c>
      <c r="AF3064">
        <v>0</v>
      </c>
      <c r="AG3064">
        <v>0</v>
      </c>
      <c r="AH3064">
        <v>0</v>
      </c>
      <c r="AI3064">
        <v>0</v>
      </c>
      <c r="AJ3064">
        <v>327.31</v>
      </c>
      <c r="AK3064">
        <v>0</v>
      </c>
      <c r="AL3064" t="s">
        <v>53</v>
      </c>
      <c r="AM3064" t="s">
        <v>53</v>
      </c>
      <c r="AN3064" t="s">
        <v>4969</v>
      </c>
      <c r="AO3064" t="s">
        <v>53</v>
      </c>
      <c r="AP3064" t="s">
        <v>53</v>
      </c>
    </row>
    <row r="3065" spans="2:42" x14ac:dyDescent="0.2">
      <c r="B3065" t="s">
        <v>44</v>
      </c>
      <c r="C3065" t="str">
        <f>HYPERLINK("https://us2.cloudbeds.com/connect/8493803454333002#/reservations/17627802919079?display=CHKE7BGFM&amp;reservation_id=17627802919079", "CHKE7BGFM")</f>
        <v>CHKE7BGFM</v>
      </c>
      <c r="D3065" t="s">
        <v>45</v>
      </c>
      <c r="E3065" t="s">
        <v>4970</v>
      </c>
      <c r="F3065" t="s">
        <v>86</v>
      </c>
      <c r="G3065" t="s">
        <v>48</v>
      </c>
      <c r="H3065" t="s">
        <v>49</v>
      </c>
      <c r="I3065" t="s">
        <v>62</v>
      </c>
      <c r="J3065" t="s">
        <v>1902</v>
      </c>
      <c r="K3065" t="s">
        <v>2058</v>
      </c>
      <c r="L3065" t="s">
        <v>53</v>
      </c>
      <c r="N3065" t="s">
        <v>4971</v>
      </c>
      <c r="P3065" t="s">
        <v>55</v>
      </c>
      <c r="R3065" t="s">
        <v>56</v>
      </c>
      <c r="T3065" t="s">
        <v>4972</v>
      </c>
      <c r="U3065" t="s">
        <v>55</v>
      </c>
      <c r="V3065">
        <v>4</v>
      </c>
      <c r="W3065">
        <v>2</v>
      </c>
      <c r="X3065">
        <v>4</v>
      </c>
      <c r="Y3065">
        <v>0</v>
      </c>
      <c r="Z3065">
        <v>4</v>
      </c>
      <c r="AA3065">
        <v>0</v>
      </c>
      <c r="AB3065">
        <v>731.92</v>
      </c>
      <c r="AC3065">
        <v>644</v>
      </c>
      <c r="AD3065">
        <v>0</v>
      </c>
      <c r="AE3065">
        <v>87.92</v>
      </c>
      <c r="AF3065">
        <v>0</v>
      </c>
      <c r="AG3065">
        <v>0</v>
      </c>
      <c r="AH3065">
        <v>0</v>
      </c>
      <c r="AI3065">
        <v>109.79</v>
      </c>
      <c r="AJ3065">
        <v>731.92</v>
      </c>
      <c r="AK3065">
        <v>0</v>
      </c>
      <c r="AL3065" t="s">
        <v>53</v>
      </c>
      <c r="AM3065" t="s">
        <v>53</v>
      </c>
      <c r="AN3065" t="s">
        <v>53</v>
      </c>
      <c r="AO3065" t="s">
        <v>53</v>
      </c>
      <c r="AP3065" t="s">
        <v>53</v>
      </c>
    </row>
    <row r="3066" spans="2:42" x14ac:dyDescent="0.2">
      <c r="B3066" t="s">
        <v>44</v>
      </c>
      <c r="C3066" t="str">
        <f>HYPERLINK("https://us2.cloudbeds.com/connect/8493803454333002#/reservations/17634091696325?display=CHP9U6WT4&amp;reservation_id=17634091696325", "CHP9U6WT4")</f>
        <v>CHP9U6WT4</v>
      </c>
      <c r="D3066" t="s">
        <v>45</v>
      </c>
      <c r="E3066" t="s">
        <v>138</v>
      </c>
      <c r="F3066" t="s">
        <v>70</v>
      </c>
      <c r="G3066" t="s">
        <v>48</v>
      </c>
      <c r="H3066" t="s">
        <v>3957</v>
      </c>
      <c r="I3066" t="s">
        <v>3975</v>
      </c>
      <c r="J3066" t="s">
        <v>3618</v>
      </c>
      <c r="K3066" t="s">
        <v>4973</v>
      </c>
      <c r="L3066" t="s">
        <v>53</v>
      </c>
      <c r="P3066" t="s">
        <v>55</v>
      </c>
      <c r="R3066" t="s">
        <v>56</v>
      </c>
      <c r="T3066" t="s">
        <v>4974</v>
      </c>
      <c r="U3066" t="s">
        <v>58</v>
      </c>
      <c r="V3066">
        <v>4</v>
      </c>
      <c r="W3066">
        <v>1</v>
      </c>
      <c r="X3066">
        <v>2</v>
      </c>
      <c r="Y3066">
        <v>0</v>
      </c>
      <c r="Z3066">
        <v>2</v>
      </c>
      <c r="AA3066">
        <v>0</v>
      </c>
      <c r="AB3066">
        <v>306.86</v>
      </c>
      <c r="AC3066">
        <v>270</v>
      </c>
      <c r="AD3066">
        <v>0</v>
      </c>
      <c r="AE3066">
        <v>36.86</v>
      </c>
      <c r="AF3066">
        <v>0</v>
      </c>
      <c r="AG3066">
        <v>0</v>
      </c>
      <c r="AH3066">
        <v>0</v>
      </c>
      <c r="AI3066">
        <v>0</v>
      </c>
      <c r="AJ3066">
        <v>306.86</v>
      </c>
      <c r="AK3066">
        <v>0</v>
      </c>
      <c r="AL3066" t="s">
        <v>53</v>
      </c>
      <c r="AM3066" t="s">
        <v>53</v>
      </c>
      <c r="AN3066" t="s">
        <v>4975</v>
      </c>
      <c r="AO3066" t="s">
        <v>53</v>
      </c>
      <c r="AP3066" t="s">
        <v>53</v>
      </c>
    </row>
    <row r="3067" spans="2:42" x14ac:dyDescent="0.2">
      <c r="B3067" t="s">
        <v>44</v>
      </c>
      <c r="C3067" t="str">
        <f>HYPERLINK("https://us2.cloudbeds.com/connect/8493803454333002#/reservations/17658737680546?display=CXBCMBRYR&amp;reservation_id=17658737680546", "CXBCMBRYR")</f>
        <v>CXBCMBRYR</v>
      </c>
      <c r="D3067" t="s">
        <v>45</v>
      </c>
      <c r="E3067" t="s">
        <v>223</v>
      </c>
      <c r="F3067" t="s">
        <v>47</v>
      </c>
      <c r="G3067" t="s">
        <v>48</v>
      </c>
      <c r="H3067" t="s">
        <v>3957</v>
      </c>
      <c r="I3067" t="s">
        <v>3975</v>
      </c>
      <c r="J3067" t="s">
        <v>2058</v>
      </c>
      <c r="K3067" t="s">
        <v>2494</v>
      </c>
      <c r="L3067" t="s">
        <v>53</v>
      </c>
      <c r="P3067" t="s">
        <v>55</v>
      </c>
      <c r="R3067" t="s">
        <v>56</v>
      </c>
      <c r="T3067" t="s">
        <v>4976</v>
      </c>
      <c r="U3067" t="s">
        <v>58</v>
      </c>
      <c r="V3067">
        <v>1</v>
      </c>
      <c r="W3067">
        <v>1</v>
      </c>
      <c r="X3067">
        <v>2</v>
      </c>
      <c r="Y3067">
        <v>0</v>
      </c>
      <c r="Z3067">
        <v>2</v>
      </c>
      <c r="AA3067">
        <v>0</v>
      </c>
      <c r="AB3067">
        <v>220.49</v>
      </c>
      <c r="AC3067">
        <v>194</v>
      </c>
      <c r="AD3067">
        <v>0</v>
      </c>
      <c r="AE3067">
        <v>26.49</v>
      </c>
      <c r="AF3067">
        <v>0</v>
      </c>
      <c r="AG3067">
        <v>0</v>
      </c>
      <c r="AH3067">
        <v>0</v>
      </c>
      <c r="AI3067">
        <v>0</v>
      </c>
      <c r="AJ3067">
        <v>220.49</v>
      </c>
      <c r="AK3067">
        <v>0</v>
      </c>
      <c r="AL3067" t="s">
        <v>53</v>
      </c>
      <c r="AM3067" t="s">
        <v>53</v>
      </c>
      <c r="AN3067" t="s">
        <v>53</v>
      </c>
      <c r="AO3067" t="s">
        <v>53</v>
      </c>
      <c r="AP3067" t="s">
        <v>53</v>
      </c>
    </row>
    <row r="3068" spans="2:42" x14ac:dyDescent="0.2">
      <c r="B3068" t="s">
        <v>44</v>
      </c>
      <c r="C3068" t="str">
        <f>HYPERLINK("https://us2.cloudbeds.com/connect/8493803454333002#/reservations/17723118125252?display=CJS7ZYKAM&amp;reservation_id=17723118125252", "CJS7ZYKAM")</f>
        <v>CJS7ZYKAM</v>
      </c>
      <c r="D3068" t="s">
        <v>45</v>
      </c>
      <c r="E3068" t="s">
        <v>78</v>
      </c>
      <c r="F3068" t="s">
        <v>61</v>
      </c>
      <c r="G3068" t="s">
        <v>3974</v>
      </c>
      <c r="H3068" t="s">
        <v>3957</v>
      </c>
      <c r="I3068" t="s">
        <v>3975</v>
      </c>
      <c r="J3068" t="s">
        <v>1556</v>
      </c>
      <c r="K3068" t="s">
        <v>2634</v>
      </c>
      <c r="L3068" t="s">
        <v>53</v>
      </c>
      <c r="P3068" t="s">
        <v>55</v>
      </c>
      <c r="R3068" t="s">
        <v>56</v>
      </c>
      <c r="T3068" t="s">
        <v>4977</v>
      </c>
      <c r="U3068" t="s">
        <v>58</v>
      </c>
      <c r="V3068">
        <v>1</v>
      </c>
      <c r="W3068">
        <v>1</v>
      </c>
      <c r="X3068">
        <v>1</v>
      </c>
      <c r="Y3068">
        <v>0</v>
      </c>
      <c r="Z3068">
        <v>1</v>
      </c>
      <c r="AA3068">
        <v>0</v>
      </c>
      <c r="AB3068">
        <v>176.95</v>
      </c>
      <c r="AC3068">
        <v>155.69999999999999</v>
      </c>
      <c r="AD3068">
        <v>0</v>
      </c>
      <c r="AE3068">
        <v>21.25</v>
      </c>
      <c r="AF3068">
        <v>0</v>
      </c>
      <c r="AG3068">
        <v>0</v>
      </c>
      <c r="AH3068">
        <v>0</v>
      </c>
      <c r="AI3068">
        <v>0</v>
      </c>
      <c r="AJ3068">
        <v>176.95</v>
      </c>
      <c r="AK3068">
        <v>0</v>
      </c>
      <c r="AL3068" t="s">
        <v>53</v>
      </c>
      <c r="AM3068" t="s">
        <v>53</v>
      </c>
      <c r="AN3068" t="s">
        <v>53</v>
      </c>
      <c r="AO3068" t="s">
        <v>53</v>
      </c>
      <c r="AP3068" t="s">
        <v>53</v>
      </c>
    </row>
    <row r="3069" spans="2:42" x14ac:dyDescent="0.2">
      <c r="B3069" t="s">
        <v>44</v>
      </c>
      <c r="C3069" t="str">
        <f>HYPERLINK("https://us2.cloudbeds.com/connect/8493803454333002#/reservations/17756122640588?display=CKKQ2UTV1&amp;reservation_id=17756122640588", "CKKQ2UTV1")</f>
        <v>CKKQ2UTV1</v>
      </c>
      <c r="D3069" t="s">
        <v>45</v>
      </c>
      <c r="E3069" t="s">
        <v>179</v>
      </c>
      <c r="F3069" t="s">
        <v>47</v>
      </c>
      <c r="G3069" t="s">
        <v>48</v>
      </c>
      <c r="H3069" t="s">
        <v>49</v>
      </c>
      <c r="I3069" t="s">
        <v>50</v>
      </c>
      <c r="J3069" t="s">
        <v>2013</v>
      </c>
      <c r="K3069" t="s">
        <v>1161</v>
      </c>
      <c r="L3069" t="s">
        <v>53</v>
      </c>
      <c r="N3069" t="s">
        <v>4978</v>
      </c>
      <c r="P3069" t="s">
        <v>55</v>
      </c>
      <c r="R3069" t="s">
        <v>53</v>
      </c>
      <c r="T3069" t="s">
        <v>4979</v>
      </c>
      <c r="U3069" t="s">
        <v>58</v>
      </c>
      <c r="V3069">
        <v>1</v>
      </c>
      <c r="W3069">
        <v>1</v>
      </c>
      <c r="X3069">
        <v>2</v>
      </c>
      <c r="Y3069">
        <v>0</v>
      </c>
      <c r="Z3069">
        <v>2</v>
      </c>
      <c r="AA3069">
        <v>0</v>
      </c>
      <c r="AB3069">
        <v>172.86</v>
      </c>
      <c r="AC3069">
        <v>152.1</v>
      </c>
      <c r="AD3069">
        <v>0</v>
      </c>
      <c r="AE3069">
        <v>20.76</v>
      </c>
      <c r="AF3069">
        <v>0</v>
      </c>
      <c r="AG3069">
        <v>0</v>
      </c>
      <c r="AH3069">
        <v>0</v>
      </c>
      <c r="AI3069">
        <v>31.11</v>
      </c>
      <c r="AJ3069">
        <v>172.86</v>
      </c>
      <c r="AK3069">
        <v>0</v>
      </c>
      <c r="AL3069" t="s">
        <v>53</v>
      </c>
      <c r="AM3069" t="s">
        <v>53</v>
      </c>
      <c r="AN3069" t="s">
        <v>53</v>
      </c>
      <c r="AO3069" t="s">
        <v>53</v>
      </c>
      <c r="AP3069" t="s">
        <v>53</v>
      </c>
    </row>
    <row r="3070" spans="2:42" x14ac:dyDescent="0.2">
      <c r="B3070" t="s">
        <v>44</v>
      </c>
      <c r="C3070" t="str">
        <f>HYPERLINK("https://us2.cloudbeds.com/connect/8493803454333002#/reservations/17934632636557?display=CZR0E9MN9&amp;reservation_id=17934632636557", "CZR0E9MN9")</f>
        <v>CZR0E9MN9</v>
      </c>
      <c r="D3070" t="s">
        <v>45</v>
      </c>
      <c r="E3070" t="s">
        <v>155</v>
      </c>
      <c r="F3070" t="s">
        <v>86</v>
      </c>
      <c r="G3070" t="s">
        <v>48</v>
      </c>
      <c r="H3070" t="s">
        <v>49</v>
      </c>
      <c r="I3070" t="s">
        <v>62</v>
      </c>
      <c r="J3070" t="s">
        <v>1556</v>
      </c>
      <c r="K3070" t="s">
        <v>2315</v>
      </c>
      <c r="L3070" t="s">
        <v>53</v>
      </c>
      <c r="N3070" t="s">
        <v>4980</v>
      </c>
      <c r="P3070" t="s">
        <v>55</v>
      </c>
      <c r="R3070" t="s">
        <v>56</v>
      </c>
      <c r="T3070" t="s">
        <v>4981</v>
      </c>
      <c r="U3070" t="s">
        <v>55</v>
      </c>
      <c r="V3070">
        <v>2</v>
      </c>
      <c r="W3070">
        <v>1</v>
      </c>
      <c r="X3070">
        <v>2</v>
      </c>
      <c r="Y3070">
        <v>0</v>
      </c>
      <c r="Z3070">
        <v>2</v>
      </c>
      <c r="AA3070">
        <v>0</v>
      </c>
      <c r="AB3070">
        <v>409.14</v>
      </c>
      <c r="AC3070">
        <v>360</v>
      </c>
      <c r="AD3070">
        <v>0</v>
      </c>
      <c r="AE3070">
        <v>49.14</v>
      </c>
      <c r="AF3070">
        <v>0</v>
      </c>
      <c r="AG3070">
        <v>0</v>
      </c>
      <c r="AH3070">
        <v>0</v>
      </c>
      <c r="AI3070">
        <v>61.37</v>
      </c>
      <c r="AJ3070">
        <v>409.14</v>
      </c>
      <c r="AK3070">
        <v>0</v>
      </c>
      <c r="AL3070" t="s">
        <v>53</v>
      </c>
      <c r="AM3070" t="s">
        <v>53</v>
      </c>
      <c r="AN3070" t="s">
        <v>53</v>
      </c>
      <c r="AO3070" t="s">
        <v>53</v>
      </c>
      <c r="AP3070" t="s">
        <v>53</v>
      </c>
    </row>
    <row r="3071" spans="2:42" x14ac:dyDescent="0.2">
      <c r="B3071" t="s">
        <v>44</v>
      </c>
      <c r="C3071" t="str">
        <f>HYPERLINK("https://us2.cloudbeds.com/connect/8493803454333002#/reservations/17945051734144?display=CP1M8AQED&amp;reservation_id=17945051734144", "CP1M8AQED")</f>
        <v>CP1M8AQED</v>
      </c>
      <c r="D3071" t="s">
        <v>45</v>
      </c>
      <c r="E3071" t="s">
        <v>78</v>
      </c>
      <c r="F3071" t="s">
        <v>61</v>
      </c>
      <c r="G3071" t="s">
        <v>48</v>
      </c>
      <c r="H3071" t="s">
        <v>49</v>
      </c>
      <c r="I3071" t="s">
        <v>62</v>
      </c>
      <c r="J3071" t="s">
        <v>2058</v>
      </c>
      <c r="K3071" t="s">
        <v>1405</v>
      </c>
      <c r="L3071" t="s">
        <v>53</v>
      </c>
      <c r="N3071" t="s">
        <v>4982</v>
      </c>
      <c r="P3071" t="s">
        <v>55</v>
      </c>
      <c r="R3071" t="s">
        <v>56</v>
      </c>
      <c r="T3071" t="s">
        <v>4983</v>
      </c>
      <c r="U3071" t="s">
        <v>55</v>
      </c>
      <c r="V3071">
        <v>3</v>
      </c>
      <c r="W3071">
        <v>1</v>
      </c>
      <c r="X3071">
        <v>2</v>
      </c>
      <c r="Y3071">
        <v>0</v>
      </c>
      <c r="Z3071">
        <v>2</v>
      </c>
      <c r="AA3071">
        <v>0</v>
      </c>
      <c r="AB3071">
        <v>598.95000000000005</v>
      </c>
      <c r="AC3071">
        <v>527</v>
      </c>
      <c r="AD3071">
        <v>0</v>
      </c>
      <c r="AE3071">
        <v>71.95</v>
      </c>
      <c r="AF3071">
        <v>0</v>
      </c>
      <c r="AG3071">
        <v>0</v>
      </c>
      <c r="AH3071">
        <v>0</v>
      </c>
      <c r="AI3071">
        <v>89.84</v>
      </c>
      <c r="AJ3071">
        <v>598.95000000000005</v>
      </c>
      <c r="AK3071">
        <v>0</v>
      </c>
      <c r="AL3071" t="s">
        <v>53</v>
      </c>
      <c r="AM3071" t="s">
        <v>53</v>
      </c>
      <c r="AN3071" t="s">
        <v>53</v>
      </c>
      <c r="AO3071" t="s">
        <v>53</v>
      </c>
      <c r="AP3071" t="s">
        <v>53</v>
      </c>
    </row>
    <row r="3072" spans="2:42" x14ac:dyDescent="0.2">
      <c r="B3072" t="s">
        <v>44</v>
      </c>
      <c r="C3072" t="str">
        <f>HYPERLINK("https://us2.cloudbeds.com/connect/8493803454333002#/reservations/18055722827991?display=CRYPXZP7N&amp;reservation_id=18055722827991", "CRYPXZP7N")</f>
        <v>CRYPXZP7N</v>
      </c>
      <c r="D3072" t="s">
        <v>45</v>
      </c>
      <c r="E3072" t="s">
        <v>69</v>
      </c>
      <c r="F3072" t="s">
        <v>70</v>
      </c>
      <c r="G3072" t="s">
        <v>48</v>
      </c>
      <c r="H3072" t="s">
        <v>3957</v>
      </c>
      <c r="I3072" t="s">
        <v>3958</v>
      </c>
      <c r="J3072" t="s">
        <v>1903</v>
      </c>
      <c r="K3072" t="s">
        <v>2058</v>
      </c>
      <c r="L3072" t="s">
        <v>53</v>
      </c>
      <c r="P3072" t="s">
        <v>55</v>
      </c>
      <c r="R3072" t="s">
        <v>56</v>
      </c>
      <c r="T3072" t="s">
        <v>4984</v>
      </c>
      <c r="U3072" t="s">
        <v>58</v>
      </c>
      <c r="V3072">
        <v>1</v>
      </c>
      <c r="W3072">
        <v>1</v>
      </c>
      <c r="X3072">
        <v>1</v>
      </c>
      <c r="Y3072">
        <v>0</v>
      </c>
      <c r="Z3072">
        <v>1</v>
      </c>
      <c r="AA3072">
        <v>0</v>
      </c>
      <c r="AB3072">
        <v>182.98</v>
      </c>
      <c r="AC3072">
        <v>161</v>
      </c>
      <c r="AD3072">
        <v>0</v>
      </c>
      <c r="AE3072">
        <v>21.98</v>
      </c>
      <c r="AF3072">
        <v>0</v>
      </c>
      <c r="AG3072">
        <v>0</v>
      </c>
      <c r="AH3072">
        <v>0</v>
      </c>
      <c r="AI3072">
        <v>0</v>
      </c>
      <c r="AJ3072">
        <v>182.98</v>
      </c>
      <c r="AK3072">
        <v>0</v>
      </c>
      <c r="AL3072" t="s">
        <v>53</v>
      </c>
      <c r="AM3072" t="s">
        <v>53</v>
      </c>
      <c r="AN3072" t="s">
        <v>53</v>
      </c>
      <c r="AO3072" t="s">
        <v>53</v>
      </c>
      <c r="AP3072" t="s">
        <v>53</v>
      </c>
    </row>
    <row r="3073" spans="2:42" x14ac:dyDescent="0.2">
      <c r="B3073" t="s">
        <v>44</v>
      </c>
      <c r="C3073" t="str">
        <f>HYPERLINK("https://us2.cloudbeds.com/connect/8493803454333002#/reservations/18061575516318?display=CRQA3TEME&amp;reservation_id=18061575516318", "CRQA3TEME")</f>
        <v>CRQA3TEME</v>
      </c>
      <c r="D3073" t="s">
        <v>45</v>
      </c>
      <c r="E3073" t="s">
        <v>78</v>
      </c>
      <c r="F3073" t="s">
        <v>61</v>
      </c>
      <c r="G3073" t="s">
        <v>48</v>
      </c>
      <c r="H3073" t="s">
        <v>3957</v>
      </c>
      <c r="I3073" t="s">
        <v>3958</v>
      </c>
      <c r="J3073" t="s">
        <v>1903</v>
      </c>
      <c r="K3073" t="s">
        <v>2058</v>
      </c>
      <c r="L3073" t="s">
        <v>53</v>
      </c>
      <c r="P3073" t="s">
        <v>55</v>
      </c>
      <c r="R3073" t="s">
        <v>56</v>
      </c>
      <c r="T3073" t="s">
        <v>4985</v>
      </c>
      <c r="U3073" t="s">
        <v>58</v>
      </c>
      <c r="V3073">
        <v>1</v>
      </c>
      <c r="W3073">
        <v>1</v>
      </c>
      <c r="X3073">
        <v>1</v>
      </c>
      <c r="Y3073">
        <v>0</v>
      </c>
      <c r="Z3073">
        <v>1</v>
      </c>
      <c r="AA3073">
        <v>0</v>
      </c>
      <c r="AB3073">
        <v>196.62</v>
      </c>
      <c r="AC3073">
        <v>173</v>
      </c>
      <c r="AD3073">
        <v>0</v>
      </c>
      <c r="AE3073">
        <v>23.62</v>
      </c>
      <c r="AF3073">
        <v>0</v>
      </c>
      <c r="AG3073">
        <v>0</v>
      </c>
      <c r="AH3073">
        <v>0</v>
      </c>
      <c r="AI3073">
        <v>0</v>
      </c>
      <c r="AJ3073">
        <v>196.62</v>
      </c>
      <c r="AK3073">
        <v>0</v>
      </c>
      <c r="AL3073" t="s">
        <v>53</v>
      </c>
      <c r="AM3073" t="s">
        <v>53</v>
      </c>
      <c r="AN3073" t="s">
        <v>53</v>
      </c>
      <c r="AO3073" t="s">
        <v>53</v>
      </c>
      <c r="AP3073" t="s">
        <v>53</v>
      </c>
    </row>
    <row r="3074" spans="2:42" x14ac:dyDescent="0.2">
      <c r="B3074" t="s">
        <v>44</v>
      </c>
      <c r="C3074" t="str">
        <f>HYPERLINK("https://us2.cloudbeds.com/connect/8493803454333002#/reservations/18064159076500?display=CRSA4DQTU&amp;reservation_id=18064159076500", "CRSA4DQTU")</f>
        <v>CRSA4DQTU</v>
      </c>
      <c r="D3074" t="s">
        <v>45</v>
      </c>
      <c r="E3074" t="s">
        <v>487</v>
      </c>
      <c r="F3074" t="s">
        <v>61</v>
      </c>
      <c r="G3074" t="s">
        <v>48</v>
      </c>
      <c r="H3074" t="s">
        <v>3957</v>
      </c>
      <c r="I3074" t="s">
        <v>3958</v>
      </c>
      <c r="J3074" t="s">
        <v>1903</v>
      </c>
      <c r="K3074" t="s">
        <v>2494</v>
      </c>
      <c r="L3074" t="s">
        <v>53</v>
      </c>
      <c r="P3074" t="s">
        <v>55</v>
      </c>
      <c r="R3074" t="s">
        <v>56</v>
      </c>
      <c r="T3074" t="s">
        <v>4986</v>
      </c>
      <c r="U3074" t="s">
        <v>58</v>
      </c>
      <c r="V3074">
        <v>2</v>
      </c>
      <c r="W3074">
        <v>1</v>
      </c>
      <c r="X3074">
        <v>1</v>
      </c>
      <c r="Y3074">
        <v>0</v>
      </c>
      <c r="Z3074">
        <v>1</v>
      </c>
      <c r="AA3074">
        <v>0</v>
      </c>
      <c r="AB3074">
        <v>422.79</v>
      </c>
      <c r="AC3074">
        <v>372</v>
      </c>
      <c r="AD3074">
        <v>0</v>
      </c>
      <c r="AE3074">
        <v>50.79</v>
      </c>
      <c r="AF3074">
        <v>0</v>
      </c>
      <c r="AG3074">
        <v>0</v>
      </c>
      <c r="AH3074">
        <v>0</v>
      </c>
      <c r="AI3074">
        <v>0</v>
      </c>
      <c r="AJ3074">
        <v>422.79</v>
      </c>
      <c r="AK3074">
        <v>0</v>
      </c>
      <c r="AL3074" t="s">
        <v>53</v>
      </c>
      <c r="AM3074" t="s">
        <v>53</v>
      </c>
      <c r="AN3074" t="s">
        <v>53</v>
      </c>
      <c r="AO3074" t="s">
        <v>53</v>
      </c>
      <c r="AP3074" t="s">
        <v>53</v>
      </c>
    </row>
    <row r="3075" spans="2:42" x14ac:dyDescent="0.2">
      <c r="B3075" t="s">
        <v>44</v>
      </c>
      <c r="C3075" t="str">
        <f>HYPERLINK("https://us2.cloudbeds.com/connect/8493803454333002#/reservations/18089531089145?display=CSEVEPFEV&amp;reservation_id=18089531089145", "CSEVEPFEV")</f>
        <v>CSEVEPFEV</v>
      </c>
      <c r="D3075" t="s">
        <v>45</v>
      </c>
      <c r="E3075" t="s">
        <v>185</v>
      </c>
      <c r="F3075" t="s">
        <v>47</v>
      </c>
      <c r="G3075" t="s">
        <v>48</v>
      </c>
      <c r="H3075" t="s">
        <v>49</v>
      </c>
      <c r="I3075" t="s">
        <v>50</v>
      </c>
      <c r="J3075" t="s">
        <v>2494</v>
      </c>
      <c r="K3075" t="s">
        <v>2545</v>
      </c>
      <c r="L3075" t="s">
        <v>53</v>
      </c>
      <c r="N3075" t="s">
        <v>4987</v>
      </c>
      <c r="P3075" t="s">
        <v>55</v>
      </c>
      <c r="R3075" t="s">
        <v>56</v>
      </c>
      <c r="T3075" t="s">
        <v>4988</v>
      </c>
      <c r="U3075" t="s">
        <v>58</v>
      </c>
      <c r="V3075">
        <v>1</v>
      </c>
      <c r="W3075">
        <v>1</v>
      </c>
      <c r="X3075">
        <v>2</v>
      </c>
      <c r="Y3075">
        <v>0</v>
      </c>
      <c r="Z3075">
        <v>2</v>
      </c>
      <c r="AA3075">
        <v>0</v>
      </c>
      <c r="AB3075">
        <v>220.49</v>
      </c>
      <c r="AC3075">
        <v>194</v>
      </c>
      <c r="AD3075">
        <v>0</v>
      </c>
      <c r="AE3075">
        <v>26.49</v>
      </c>
      <c r="AF3075">
        <v>0</v>
      </c>
      <c r="AG3075">
        <v>0</v>
      </c>
      <c r="AH3075">
        <v>0</v>
      </c>
      <c r="AI3075">
        <v>39.69</v>
      </c>
      <c r="AJ3075">
        <v>220.49</v>
      </c>
      <c r="AK3075">
        <v>0</v>
      </c>
      <c r="AL3075" t="s">
        <v>53</v>
      </c>
      <c r="AM3075" t="s">
        <v>53</v>
      </c>
      <c r="AN3075" t="s">
        <v>53</v>
      </c>
      <c r="AO3075" t="s">
        <v>53</v>
      </c>
      <c r="AP3075" t="s">
        <v>53</v>
      </c>
    </row>
    <row r="3076" spans="2:42" x14ac:dyDescent="0.2">
      <c r="B3076" t="s">
        <v>44</v>
      </c>
      <c r="C3076" t="str">
        <f>HYPERLINK("https://us2.cloudbeds.com/connect/8493803454333002#/reservations/18309158957208?display=D0K0EQYH8&amp;reservation_id=18309158957208", "D0K0EQYH8")</f>
        <v>D0K0EQYH8</v>
      </c>
      <c r="D3076" t="s">
        <v>45</v>
      </c>
      <c r="E3076" t="s">
        <v>381</v>
      </c>
      <c r="F3076" t="s">
        <v>47</v>
      </c>
      <c r="G3076" t="s">
        <v>48</v>
      </c>
      <c r="H3076" t="s">
        <v>3957</v>
      </c>
      <c r="I3076" t="s">
        <v>3975</v>
      </c>
      <c r="J3076" t="s">
        <v>4181</v>
      </c>
      <c r="K3076" t="s">
        <v>4989</v>
      </c>
      <c r="L3076" t="s">
        <v>53</v>
      </c>
      <c r="P3076" t="s">
        <v>58</v>
      </c>
      <c r="R3076" t="s">
        <v>56</v>
      </c>
      <c r="T3076" t="s">
        <v>4990</v>
      </c>
      <c r="U3076" t="s">
        <v>58</v>
      </c>
      <c r="V3076">
        <v>1</v>
      </c>
      <c r="W3076">
        <v>1</v>
      </c>
      <c r="X3076">
        <v>2</v>
      </c>
      <c r="Y3076">
        <v>0</v>
      </c>
      <c r="Z3076">
        <v>2</v>
      </c>
      <c r="AA3076">
        <v>0</v>
      </c>
      <c r="AB3076">
        <v>168.22</v>
      </c>
      <c r="AC3076">
        <v>74</v>
      </c>
      <c r="AD3076">
        <v>0</v>
      </c>
      <c r="AE3076">
        <v>10.11</v>
      </c>
      <c r="AF3076">
        <v>0</v>
      </c>
      <c r="AG3076">
        <v>0</v>
      </c>
      <c r="AH3076">
        <v>0</v>
      </c>
      <c r="AI3076">
        <v>0</v>
      </c>
      <c r="AJ3076">
        <v>84.11</v>
      </c>
      <c r="AK3076">
        <v>0</v>
      </c>
      <c r="AL3076" t="s">
        <v>53</v>
      </c>
      <c r="AM3076" t="s">
        <v>53</v>
      </c>
      <c r="AN3076" t="s">
        <v>53</v>
      </c>
      <c r="AO3076" t="s">
        <v>53</v>
      </c>
      <c r="AP3076" t="s">
        <v>53</v>
      </c>
    </row>
    <row r="3077" spans="2:42" x14ac:dyDescent="0.2">
      <c r="B3077" t="s">
        <v>44</v>
      </c>
      <c r="C3077" t="str">
        <f>HYPERLINK("https://us2.cloudbeds.com/connect/8493803454333002#/reservations/18326571782276?display=D10GCP5SV&amp;reservation_id=18326571782276", "D10GCP5SV")</f>
        <v>D10GCP5SV</v>
      </c>
      <c r="D3077" t="s">
        <v>45</v>
      </c>
      <c r="E3077" t="s">
        <v>190</v>
      </c>
      <c r="F3077" t="s">
        <v>61</v>
      </c>
      <c r="G3077" t="s">
        <v>48</v>
      </c>
      <c r="H3077" t="s">
        <v>49</v>
      </c>
      <c r="I3077" t="s">
        <v>62</v>
      </c>
      <c r="J3077" t="s">
        <v>1406</v>
      </c>
      <c r="K3077" t="s">
        <v>1556</v>
      </c>
      <c r="L3077" t="s">
        <v>53</v>
      </c>
      <c r="N3077" t="s">
        <v>4991</v>
      </c>
      <c r="P3077" t="s">
        <v>55</v>
      </c>
      <c r="R3077" t="s">
        <v>56</v>
      </c>
      <c r="T3077" t="s">
        <v>4992</v>
      </c>
      <c r="U3077" t="s">
        <v>55</v>
      </c>
      <c r="V3077">
        <v>1</v>
      </c>
      <c r="W3077">
        <v>1</v>
      </c>
      <c r="X3077">
        <v>2</v>
      </c>
      <c r="Y3077">
        <v>0</v>
      </c>
      <c r="Z3077">
        <v>2</v>
      </c>
      <c r="AA3077">
        <v>0</v>
      </c>
      <c r="AB3077">
        <v>196.62</v>
      </c>
      <c r="AC3077">
        <v>173</v>
      </c>
      <c r="AD3077">
        <v>0</v>
      </c>
      <c r="AE3077">
        <v>23.62</v>
      </c>
      <c r="AF3077">
        <v>0</v>
      </c>
      <c r="AG3077">
        <v>0</v>
      </c>
      <c r="AH3077">
        <v>0</v>
      </c>
      <c r="AI3077">
        <v>29.49</v>
      </c>
      <c r="AJ3077">
        <v>196.62</v>
      </c>
      <c r="AK3077">
        <v>0</v>
      </c>
      <c r="AL3077" t="s">
        <v>53</v>
      </c>
      <c r="AM3077" t="s">
        <v>53</v>
      </c>
      <c r="AN3077" t="s">
        <v>53</v>
      </c>
      <c r="AO3077" t="s">
        <v>53</v>
      </c>
      <c r="AP3077" t="s">
        <v>53</v>
      </c>
    </row>
    <row r="3078" spans="2:42" x14ac:dyDescent="0.2">
      <c r="B3078" t="s">
        <v>44</v>
      </c>
      <c r="C3078" t="str">
        <f>HYPERLINK("https://us2.cloudbeds.com/connect/8493803454333002#/reservations/18380534431948?display=D2998GEU6&amp;reservation_id=18380534431948", "D2998GEU6")</f>
        <v>D2998GEU6</v>
      </c>
      <c r="D3078" t="s">
        <v>45</v>
      </c>
      <c r="E3078" t="s">
        <v>121</v>
      </c>
      <c r="F3078" t="s">
        <v>86</v>
      </c>
      <c r="G3078" t="s">
        <v>48</v>
      </c>
      <c r="H3078" t="s">
        <v>49</v>
      </c>
      <c r="I3078" t="s">
        <v>62</v>
      </c>
      <c r="J3078" t="s">
        <v>3000</v>
      </c>
      <c r="K3078" t="s">
        <v>1458</v>
      </c>
      <c r="L3078" t="s">
        <v>53</v>
      </c>
      <c r="N3078" t="s">
        <v>4993</v>
      </c>
      <c r="P3078" t="s">
        <v>55</v>
      </c>
      <c r="R3078" t="s">
        <v>56</v>
      </c>
      <c r="T3078" t="s">
        <v>4994</v>
      </c>
      <c r="U3078" t="s">
        <v>55</v>
      </c>
      <c r="V3078">
        <v>2</v>
      </c>
      <c r="W3078">
        <v>1</v>
      </c>
      <c r="X3078">
        <v>1</v>
      </c>
      <c r="Y3078">
        <v>0</v>
      </c>
      <c r="Z3078">
        <v>1</v>
      </c>
      <c r="AA3078">
        <v>0</v>
      </c>
      <c r="AB3078">
        <v>358.01</v>
      </c>
      <c r="AC3078">
        <v>315</v>
      </c>
      <c r="AD3078">
        <v>0</v>
      </c>
      <c r="AE3078">
        <v>43.01</v>
      </c>
      <c r="AF3078">
        <v>0</v>
      </c>
      <c r="AG3078">
        <v>0</v>
      </c>
      <c r="AH3078">
        <v>0</v>
      </c>
      <c r="AI3078">
        <v>53.7</v>
      </c>
      <c r="AJ3078">
        <v>358.01</v>
      </c>
      <c r="AK3078">
        <v>0</v>
      </c>
      <c r="AL3078" t="s">
        <v>53</v>
      </c>
      <c r="AM3078" t="s">
        <v>53</v>
      </c>
      <c r="AN3078" t="s">
        <v>53</v>
      </c>
      <c r="AO3078" t="s">
        <v>53</v>
      </c>
      <c r="AP3078" t="s">
        <v>53</v>
      </c>
    </row>
    <row r="3079" spans="2:42" x14ac:dyDescent="0.2">
      <c r="B3079" t="s">
        <v>44</v>
      </c>
      <c r="C3079" t="str">
        <f>HYPERLINK("https://us2.cloudbeds.com/connect/8493803454333002#/reservations/18396807659762?display=D2YT2H04P&amp;reservation_id=18396807659762", "D2YT2H04P")</f>
        <v>D2YT2H04P</v>
      </c>
      <c r="D3079" t="s">
        <v>45</v>
      </c>
      <c r="E3079" t="s">
        <v>121</v>
      </c>
      <c r="F3079" t="s">
        <v>86</v>
      </c>
      <c r="G3079" t="s">
        <v>48</v>
      </c>
      <c r="H3079" t="s">
        <v>3957</v>
      </c>
      <c r="I3079" t="s">
        <v>3975</v>
      </c>
      <c r="J3079" t="s">
        <v>2058</v>
      </c>
      <c r="K3079" t="s">
        <v>2494</v>
      </c>
      <c r="L3079" t="s">
        <v>53</v>
      </c>
      <c r="P3079" t="s">
        <v>55</v>
      </c>
      <c r="R3079" t="s">
        <v>56</v>
      </c>
      <c r="T3079" t="s">
        <v>4995</v>
      </c>
      <c r="U3079" t="s">
        <v>58</v>
      </c>
      <c r="V3079">
        <v>1</v>
      </c>
      <c r="W3079">
        <v>1</v>
      </c>
      <c r="X3079">
        <v>2</v>
      </c>
      <c r="Y3079">
        <v>0</v>
      </c>
      <c r="Z3079">
        <v>2</v>
      </c>
      <c r="AA3079">
        <v>0</v>
      </c>
      <c r="AB3079">
        <v>235.26</v>
      </c>
      <c r="AC3079">
        <v>207</v>
      </c>
      <c r="AD3079">
        <v>0</v>
      </c>
      <c r="AE3079">
        <v>28.26</v>
      </c>
      <c r="AF3079">
        <v>0</v>
      </c>
      <c r="AG3079">
        <v>0</v>
      </c>
      <c r="AH3079">
        <v>0</v>
      </c>
      <c r="AI3079">
        <v>0</v>
      </c>
      <c r="AJ3079">
        <v>235.26</v>
      </c>
      <c r="AK3079">
        <v>0</v>
      </c>
      <c r="AL3079" t="s">
        <v>53</v>
      </c>
      <c r="AM3079" t="s">
        <v>53</v>
      </c>
      <c r="AN3079" t="s">
        <v>53</v>
      </c>
      <c r="AO3079" t="s">
        <v>53</v>
      </c>
      <c r="AP3079" t="s">
        <v>53</v>
      </c>
    </row>
    <row r="3080" spans="2:42" x14ac:dyDescent="0.2">
      <c r="B3080" t="s">
        <v>44</v>
      </c>
      <c r="C3080" t="str">
        <f>HYPERLINK("https://us2.cloudbeds.com/connect/8493803454333002#/reservations/18401088274672?display=D2P6F1E03&amp;reservation_id=18401088274672", "D2P6F1E03")</f>
        <v>D2P6F1E03</v>
      </c>
      <c r="D3080" t="s">
        <v>45</v>
      </c>
      <c r="E3080" t="s">
        <v>92</v>
      </c>
      <c r="F3080" t="s">
        <v>86</v>
      </c>
      <c r="G3080" t="s">
        <v>48</v>
      </c>
      <c r="H3080" t="s">
        <v>3957</v>
      </c>
      <c r="I3080" t="s">
        <v>3958</v>
      </c>
      <c r="J3080" t="s">
        <v>2058</v>
      </c>
      <c r="K3080" t="s">
        <v>2494</v>
      </c>
      <c r="L3080" t="s">
        <v>53</v>
      </c>
      <c r="P3080" t="s">
        <v>58</v>
      </c>
      <c r="R3080" t="s">
        <v>56</v>
      </c>
      <c r="T3080" t="s">
        <v>4996</v>
      </c>
      <c r="U3080" t="s">
        <v>58</v>
      </c>
      <c r="V3080">
        <v>1</v>
      </c>
      <c r="W3080">
        <v>1</v>
      </c>
      <c r="X3080">
        <v>1</v>
      </c>
      <c r="Y3080">
        <v>0</v>
      </c>
      <c r="Z3080">
        <v>1</v>
      </c>
      <c r="AA3080">
        <v>0</v>
      </c>
      <c r="AB3080">
        <v>235.26</v>
      </c>
      <c r="AC3080">
        <v>207</v>
      </c>
      <c r="AD3080">
        <v>0</v>
      </c>
      <c r="AE3080">
        <v>28.26</v>
      </c>
      <c r="AF3080">
        <v>0</v>
      </c>
      <c r="AG3080">
        <v>0</v>
      </c>
      <c r="AH3080">
        <v>0</v>
      </c>
      <c r="AI3080">
        <v>0</v>
      </c>
      <c r="AJ3080">
        <v>235.26</v>
      </c>
      <c r="AK3080">
        <v>0</v>
      </c>
      <c r="AL3080" t="s">
        <v>53</v>
      </c>
      <c r="AM3080" t="s">
        <v>53</v>
      </c>
      <c r="AN3080" t="s">
        <v>53</v>
      </c>
      <c r="AO3080" t="s">
        <v>53</v>
      </c>
      <c r="AP3080" t="s">
        <v>53</v>
      </c>
    </row>
    <row r="3081" spans="2:42" x14ac:dyDescent="0.2">
      <c r="B3081" t="s">
        <v>44</v>
      </c>
      <c r="C3081" t="str">
        <f>HYPERLINK("https://us2.cloudbeds.com/connect/8493803454333002#/reservations/18638371557589?display=D8AUJJX7Z&amp;reservation_id=18638371557589", "D8AUJJX7Z")</f>
        <v>D8AUJJX7Z</v>
      </c>
      <c r="D3081" t="s">
        <v>45</v>
      </c>
      <c r="E3081" t="s">
        <v>110</v>
      </c>
      <c r="F3081" t="s">
        <v>47</v>
      </c>
      <c r="G3081" t="s">
        <v>48</v>
      </c>
      <c r="H3081" t="s">
        <v>49</v>
      </c>
      <c r="I3081" t="s">
        <v>62</v>
      </c>
      <c r="J3081" t="s">
        <v>2545</v>
      </c>
      <c r="K3081" t="s">
        <v>1405</v>
      </c>
      <c r="L3081" t="s">
        <v>53</v>
      </c>
      <c r="N3081" t="s">
        <v>4997</v>
      </c>
      <c r="P3081" t="s">
        <v>55</v>
      </c>
      <c r="R3081" t="s">
        <v>125</v>
      </c>
      <c r="T3081" t="s">
        <v>4998</v>
      </c>
      <c r="U3081" t="s">
        <v>55</v>
      </c>
      <c r="V3081">
        <v>1</v>
      </c>
      <c r="W3081">
        <v>1</v>
      </c>
      <c r="X3081">
        <v>1</v>
      </c>
      <c r="Y3081">
        <v>0</v>
      </c>
      <c r="Z3081">
        <v>1</v>
      </c>
      <c r="AA3081">
        <v>0</v>
      </c>
      <c r="AB3081">
        <v>143.19999999999999</v>
      </c>
      <c r="AC3081">
        <v>126</v>
      </c>
      <c r="AD3081">
        <v>0</v>
      </c>
      <c r="AE3081">
        <v>17.2</v>
      </c>
      <c r="AF3081">
        <v>0</v>
      </c>
      <c r="AG3081">
        <v>0</v>
      </c>
      <c r="AH3081">
        <v>0</v>
      </c>
      <c r="AI3081">
        <v>21.48</v>
      </c>
      <c r="AJ3081">
        <v>143.19999999999999</v>
      </c>
      <c r="AK3081">
        <v>0</v>
      </c>
      <c r="AL3081" t="s">
        <v>53</v>
      </c>
      <c r="AM3081" t="s">
        <v>53</v>
      </c>
      <c r="AN3081" t="s">
        <v>53</v>
      </c>
      <c r="AO3081" t="s">
        <v>53</v>
      </c>
      <c r="AP3081" t="s">
        <v>53</v>
      </c>
    </row>
    <row r="3082" spans="2:42" x14ac:dyDescent="0.2">
      <c r="B3082" t="s">
        <v>44</v>
      </c>
      <c r="C3082" t="str">
        <f>HYPERLINK("https://us2.cloudbeds.com/connect/8493803454333002#/reservations/18663068061857?display=D8U1YB67V&amp;reservation_id=18663068061857", "D8U1YB67V")</f>
        <v>D8U1YB67V</v>
      </c>
      <c r="D3082" t="s">
        <v>45</v>
      </c>
      <c r="E3082" t="s">
        <v>190</v>
      </c>
      <c r="F3082" t="s">
        <v>61</v>
      </c>
      <c r="G3082" t="s">
        <v>48</v>
      </c>
      <c r="H3082" t="s">
        <v>49</v>
      </c>
      <c r="I3082" t="s">
        <v>62</v>
      </c>
      <c r="J3082" t="s">
        <v>1258</v>
      </c>
      <c r="K3082" t="s">
        <v>3882</v>
      </c>
      <c r="L3082" t="s">
        <v>53</v>
      </c>
      <c r="N3082" t="s">
        <v>4999</v>
      </c>
      <c r="P3082" t="s">
        <v>55</v>
      </c>
      <c r="R3082" t="s">
        <v>56</v>
      </c>
      <c r="T3082" t="s">
        <v>5000</v>
      </c>
      <c r="U3082" t="s">
        <v>55</v>
      </c>
      <c r="V3082">
        <v>1</v>
      </c>
      <c r="W3082">
        <v>1</v>
      </c>
      <c r="X3082">
        <v>2</v>
      </c>
      <c r="Y3082">
        <v>0</v>
      </c>
      <c r="Z3082">
        <v>2</v>
      </c>
      <c r="AA3082">
        <v>0</v>
      </c>
      <c r="AB3082">
        <v>163.66</v>
      </c>
      <c r="AC3082">
        <v>144</v>
      </c>
      <c r="AD3082">
        <v>0</v>
      </c>
      <c r="AE3082">
        <v>19.66</v>
      </c>
      <c r="AF3082">
        <v>0</v>
      </c>
      <c r="AG3082">
        <v>0</v>
      </c>
      <c r="AH3082">
        <v>0</v>
      </c>
      <c r="AI3082">
        <v>24.55</v>
      </c>
      <c r="AJ3082">
        <v>163.66</v>
      </c>
      <c r="AK3082">
        <v>0</v>
      </c>
      <c r="AL3082" t="s">
        <v>53</v>
      </c>
      <c r="AM3082" t="s">
        <v>53</v>
      </c>
      <c r="AN3082" t="s">
        <v>53</v>
      </c>
      <c r="AO3082" t="s">
        <v>53</v>
      </c>
      <c r="AP3082" t="s">
        <v>53</v>
      </c>
    </row>
    <row r="3083" spans="2:42" x14ac:dyDescent="0.2">
      <c r="B3083" t="s">
        <v>44</v>
      </c>
      <c r="C3083" t="str">
        <f>HYPERLINK("https://us2.cloudbeds.com/connect/8493803454333002#/reservations/18702438342866?display=D9RHYD9ND&amp;reservation_id=18702438342866", "D9RHYD9ND")</f>
        <v>D9RHYD9ND</v>
      </c>
      <c r="D3083" t="s">
        <v>45</v>
      </c>
      <c r="E3083" t="s">
        <v>92</v>
      </c>
      <c r="F3083" t="s">
        <v>86</v>
      </c>
      <c r="G3083" t="s">
        <v>48</v>
      </c>
      <c r="H3083" t="s">
        <v>49</v>
      </c>
      <c r="I3083" t="s">
        <v>50</v>
      </c>
      <c r="J3083" t="s">
        <v>1556</v>
      </c>
      <c r="K3083" t="s">
        <v>2315</v>
      </c>
      <c r="L3083" t="s">
        <v>53</v>
      </c>
      <c r="N3083" t="s">
        <v>5001</v>
      </c>
      <c r="P3083" t="s">
        <v>58</v>
      </c>
      <c r="R3083" t="s">
        <v>56</v>
      </c>
      <c r="T3083" t="s">
        <v>5002</v>
      </c>
      <c r="U3083" t="s">
        <v>58</v>
      </c>
      <c r="V3083">
        <v>2</v>
      </c>
      <c r="W3083">
        <v>1</v>
      </c>
      <c r="X3083">
        <v>2</v>
      </c>
      <c r="Y3083">
        <v>0</v>
      </c>
      <c r="Z3083">
        <v>2</v>
      </c>
      <c r="AA3083">
        <v>0</v>
      </c>
      <c r="AB3083">
        <v>409.14</v>
      </c>
      <c r="AC3083">
        <v>360</v>
      </c>
      <c r="AD3083">
        <v>0</v>
      </c>
      <c r="AE3083">
        <v>49.14</v>
      </c>
      <c r="AF3083">
        <v>0</v>
      </c>
      <c r="AG3083">
        <v>0</v>
      </c>
      <c r="AH3083">
        <v>0</v>
      </c>
      <c r="AI3083">
        <v>73.650000000000006</v>
      </c>
      <c r="AJ3083">
        <v>409.14</v>
      </c>
      <c r="AK3083">
        <v>0</v>
      </c>
      <c r="AL3083" t="s">
        <v>53</v>
      </c>
      <c r="AM3083" t="s">
        <v>53</v>
      </c>
      <c r="AN3083" t="s">
        <v>53</v>
      </c>
      <c r="AO3083" t="s">
        <v>53</v>
      </c>
      <c r="AP3083" t="s">
        <v>53</v>
      </c>
    </row>
    <row r="3084" spans="2:42" x14ac:dyDescent="0.2">
      <c r="B3084" t="s">
        <v>44</v>
      </c>
      <c r="C3084" t="str">
        <f>HYPERLINK("https://us2.cloudbeds.com/connect/8493803454333002#/reservations/18771750760672?display=DBF6ZFG9X&amp;reservation_id=18771750760672", "DBF6ZFG9X")</f>
        <v>DBF6ZFG9X</v>
      </c>
      <c r="D3084" t="s">
        <v>45</v>
      </c>
      <c r="E3084" t="s">
        <v>85</v>
      </c>
      <c r="F3084" t="s">
        <v>86</v>
      </c>
      <c r="G3084" t="s">
        <v>48</v>
      </c>
      <c r="H3084" t="s">
        <v>3957</v>
      </c>
      <c r="I3084" t="s">
        <v>3975</v>
      </c>
      <c r="J3084" t="s">
        <v>1405</v>
      </c>
      <c r="K3084" t="s">
        <v>2314</v>
      </c>
      <c r="L3084" t="s">
        <v>53</v>
      </c>
      <c r="P3084" t="s">
        <v>58</v>
      </c>
      <c r="R3084" t="s">
        <v>56</v>
      </c>
      <c r="T3084" t="s">
        <v>5003</v>
      </c>
      <c r="U3084" t="s">
        <v>58</v>
      </c>
      <c r="V3084">
        <v>1</v>
      </c>
      <c r="W3084">
        <v>1</v>
      </c>
      <c r="X3084">
        <v>2</v>
      </c>
      <c r="Y3084">
        <v>0</v>
      </c>
      <c r="Z3084">
        <v>2</v>
      </c>
      <c r="AA3084">
        <v>0</v>
      </c>
      <c r="AB3084">
        <v>190.93</v>
      </c>
      <c r="AC3084">
        <v>168</v>
      </c>
      <c r="AD3084">
        <v>0</v>
      </c>
      <c r="AE3084">
        <v>22.93</v>
      </c>
      <c r="AF3084">
        <v>0</v>
      </c>
      <c r="AG3084">
        <v>0</v>
      </c>
      <c r="AH3084">
        <v>0</v>
      </c>
      <c r="AI3084">
        <v>0</v>
      </c>
      <c r="AJ3084">
        <v>190.93</v>
      </c>
      <c r="AK3084">
        <v>0</v>
      </c>
      <c r="AL3084" t="s">
        <v>53</v>
      </c>
      <c r="AM3084" t="s">
        <v>53</v>
      </c>
      <c r="AN3084" t="s">
        <v>53</v>
      </c>
      <c r="AO3084" t="s">
        <v>53</v>
      </c>
      <c r="AP3084" t="s">
        <v>53</v>
      </c>
    </row>
    <row r="3085" spans="2:42" x14ac:dyDescent="0.2">
      <c r="B3085" t="s">
        <v>44</v>
      </c>
      <c r="C3085" t="str">
        <f>HYPERLINK("https://us2.cloudbeds.com/connect/8493803454333002#/reservations/18830827102364?display=DCRV96PV1&amp;reservation_id=18830827102364", "DCRV96PV1")</f>
        <v>DCRV96PV1</v>
      </c>
      <c r="D3085" t="s">
        <v>45</v>
      </c>
      <c r="E3085" t="s">
        <v>128</v>
      </c>
      <c r="F3085" t="s">
        <v>86</v>
      </c>
      <c r="G3085" t="s">
        <v>48</v>
      </c>
      <c r="H3085" t="s">
        <v>49</v>
      </c>
      <c r="I3085" t="s">
        <v>50</v>
      </c>
      <c r="J3085" t="s">
        <v>2545</v>
      </c>
      <c r="K3085" t="s">
        <v>1405</v>
      </c>
      <c r="L3085" t="s">
        <v>53</v>
      </c>
      <c r="N3085" t="s">
        <v>5004</v>
      </c>
      <c r="P3085" t="s">
        <v>55</v>
      </c>
      <c r="R3085" t="s">
        <v>53</v>
      </c>
      <c r="T3085" t="s">
        <v>5005</v>
      </c>
      <c r="U3085" t="s">
        <v>58</v>
      </c>
      <c r="V3085">
        <v>1</v>
      </c>
      <c r="W3085">
        <v>1</v>
      </c>
      <c r="X3085">
        <v>2</v>
      </c>
      <c r="Y3085">
        <v>0</v>
      </c>
      <c r="Z3085">
        <v>2</v>
      </c>
      <c r="AA3085">
        <v>0</v>
      </c>
      <c r="AB3085">
        <v>152.30000000000001</v>
      </c>
      <c r="AC3085">
        <v>134</v>
      </c>
      <c r="AD3085">
        <v>0</v>
      </c>
      <c r="AE3085">
        <v>18.3</v>
      </c>
      <c r="AF3085">
        <v>0</v>
      </c>
      <c r="AG3085">
        <v>0</v>
      </c>
      <c r="AH3085">
        <v>0</v>
      </c>
      <c r="AI3085">
        <v>27.41</v>
      </c>
      <c r="AJ3085">
        <v>152.30000000000001</v>
      </c>
      <c r="AK3085">
        <v>0</v>
      </c>
      <c r="AL3085" t="s">
        <v>53</v>
      </c>
      <c r="AM3085" t="s">
        <v>53</v>
      </c>
      <c r="AN3085" t="s">
        <v>53</v>
      </c>
      <c r="AO3085" t="s">
        <v>53</v>
      </c>
      <c r="AP3085" t="s">
        <v>53</v>
      </c>
    </row>
    <row r="3086" spans="2:42" x14ac:dyDescent="0.2">
      <c r="B3086" t="s">
        <v>44</v>
      </c>
      <c r="C3086" t="str">
        <f>HYPERLINK("https://us2.cloudbeds.com/connect/8493803454333002#/reservations/18890677235945?display=DE89JDW9J&amp;reservation_id=18890677235945", "DE89JDW9J")</f>
        <v>DE89JDW9J</v>
      </c>
      <c r="D3086" t="s">
        <v>45</v>
      </c>
      <c r="E3086" t="s">
        <v>78</v>
      </c>
      <c r="F3086" t="s">
        <v>61</v>
      </c>
      <c r="G3086" t="s">
        <v>48</v>
      </c>
      <c r="H3086" t="s">
        <v>49</v>
      </c>
      <c r="I3086" t="s">
        <v>62</v>
      </c>
      <c r="J3086" t="s">
        <v>1161</v>
      </c>
      <c r="K3086" t="s">
        <v>2449</v>
      </c>
      <c r="L3086" t="s">
        <v>53</v>
      </c>
      <c r="N3086" t="s">
        <v>5006</v>
      </c>
      <c r="P3086" t="s">
        <v>55</v>
      </c>
      <c r="R3086" t="s">
        <v>56</v>
      </c>
      <c r="T3086" t="s">
        <v>5007</v>
      </c>
      <c r="U3086" t="s">
        <v>55</v>
      </c>
      <c r="V3086">
        <v>3</v>
      </c>
      <c r="W3086">
        <v>1</v>
      </c>
      <c r="X3086">
        <v>2</v>
      </c>
      <c r="Y3086">
        <v>0</v>
      </c>
      <c r="Z3086">
        <v>2</v>
      </c>
      <c r="AA3086">
        <v>0</v>
      </c>
      <c r="AB3086">
        <v>477.66</v>
      </c>
      <c r="AC3086">
        <v>420.3</v>
      </c>
      <c r="AD3086">
        <v>0</v>
      </c>
      <c r="AE3086">
        <v>57.36</v>
      </c>
      <c r="AF3086">
        <v>0</v>
      </c>
      <c r="AG3086">
        <v>0</v>
      </c>
      <c r="AH3086">
        <v>0</v>
      </c>
      <c r="AI3086">
        <v>71.650000000000006</v>
      </c>
      <c r="AJ3086">
        <v>477.66</v>
      </c>
      <c r="AK3086">
        <v>0</v>
      </c>
      <c r="AL3086" t="s">
        <v>53</v>
      </c>
      <c r="AM3086" t="s">
        <v>53</v>
      </c>
      <c r="AN3086" t="s">
        <v>53</v>
      </c>
      <c r="AO3086" t="s">
        <v>53</v>
      </c>
      <c r="AP3086" t="s">
        <v>53</v>
      </c>
    </row>
    <row r="3087" spans="2:42" x14ac:dyDescent="0.2">
      <c r="B3087" t="s">
        <v>44</v>
      </c>
      <c r="C3087" t="str">
        <f>HYPERLINK("https://us2.cloudbeds.com/connect/8493803454333002#/reservations/18974734217360?display=DG7CEGD1J&amp;reservation_id=18974734217360", "DG7CEGD1J")</f>
        <v>DG7CEGD1J</v>
      </c>
      <c r="D3087" t="s">
        <v>45</v>
      </c>
      <c r="E3087" t="s">
        <v>487</v>
      </c>
      <c r="F3087" t="s">
        <v>61</v>
      </c>
      <c r="G3087" t="s">
        <v>48</v>
      </c>
      <c r="H3087" t="s">
        <v>49</v>
      </c>
      <c r="I3087" t="s">
        <v>62</v>
      </c>
      <c r="J3087" t="s">
        <v>2545</v>
      </c>
      <c r="K3087" t="s">
        <v>1405</v>
      </c>
      <c r="L3087" t="s">
        <v>53</v>
      </c>
      <c r="N3087" t="s">
        <v>5008</v>
      </c>
      <c r="P3087" t="s">
        <v>55</v>
      </c>
      <c r="R3087" t="s">
        <v>56</v>
      </c>
      <c r="T3087" t="s">
        <v>5009</v>
      </c>
      <c r="U3087" t="s">
        <v>55</v>
      </c>
      <c r="V3087">
        <v>1</v>
      </c>
      <c r="W3087">
        <v>1</v>
      </c>
      <c r="X3087">
        <v>2</v>
      </c>
      <c r="Y3087">
        <v>0</v>
      </c>
      <c r="Z3087">
        <v>2</v>
      </c>
      <c r="AA3087">
        <v>0</v>
      </c>
      <c r="AB3087">
        <v>302.32</v>
      </c>
      <c r="AC3087">
        <v>133</v>
      </c>
      <c r="AD3087">
        <v>0</v>
      </c>
      <c r="AE3087">
        <v>18.16</v>
      </c>
      <c r="AF3087">
        <v>0</v>
      </c>
      <c r="AG3087">
        <v>0</v>
      </c>
      <c r="AH3087">
        <v>0</v>
      </c>
      <c r="AI3087">
        <v>22.67</v>
      </c>
      <c r="AJ3087">
        <v>151.16</v>
      </c>
      <c r="AK3087">
        <v>0</v>
      </c>
      <c r="AL3087" t="s">
        <v>53</v>
      </c>
      <c r="AM3087" t="s">
        <v>53</v>
      </c>
      <c r="AN3087" t="s">
        <v>53</v>
      </c>
      <c r="AO3087" t="s">
        <v>53</v>
      </c>
      <c r="AP3087" t="s">
        <v>53</v>
      </c>
    </row>
    <row r="3088" spans="2:42" x14ac:dyDescent="0.2">
      <c r="B3088" t="s">
        <v>44</v>
      </c>
      <c r="C3088" t="str">
        <f>HYPERLINK("https://us2.cloudbeds.com/connect/8493803454333002#/reservations/18987856736434?display=DGHHZZRFZ&amp;reservation_id=18987856736434", "DGHHZZRFZ")</f>
        <v>DGHHZZRFZ</v>
      </c>
      <c r="D3088" t="s">
        <v>45</v>
      </c>
      <c r="E3088" t="s">
        <v>98</v>
      </c>
      <c r="F3088" t="s">
        <v>86</v>
      </c>
      <c r="G3088" t="s">
        <v>48</v>
      </c>
      <c r="H3088" t="s">
        <v>3957</v>
      </c>
      <c r="I3088" t="s">
        <v>3958</v>
      </c>
      <c r="J3088" t="s">
        <v>2545</v>
      </c>
      <c r="K3088" t="s">
        <v>1405</v>
      </c>
      <c r="L3088" t="s">
        <v>53</v>
      </c>
      <c r="P3088" t="s">
        <v>55</v>
      </c>
      <c r="R3088" t="s">
        <v>56</v>
      </c>
      <c r="T3088" t="s">
        <v>5010</v>
      </c>
      <c r="U3088" t="s">
        <v>58</v>
      </c>
      <c r="V3088">
        <v>1</v>
      </c>
      <c r="W3088">
        <v>1</v>
      </c>
      <c r="X3088">
        <v>1</v>
      </c>
      <c r="Y3088">
        <v>0</v>
      </c>
      <c r="Z3088">
        <v>1</v>
      </c>
      <c r="AA3088">
        <v>0</v>
      </c>
      <c r="AB3088">
        <v>154.56</v>
      </c>
      <c r="AC3088">
        <v>136</v>
      </c>
      <c r="AD3088">
        <v>0</v>
      </c>
      <c r="AE3088">
        <v>18.559999999999999</v>
      </c>
      <c r="AF3088">
        <v>0</v>
      </c>
      <c r="AG3088">
        <v>0</v>
      </c>
      <c r="AH3088">
        <v>0</v>
      </c>
      <c r="AI3088">
        <v>0</v>
      </c>
      <c r="AJ3088">
        <v>154.56</v>
      </c>
      <c r="AK3088">
        <v>0</v>
      </c>
      <c r="AL3088" t="s">
        <v>53</v>
      </c>
      <c r="AM3088" t="s">
        <v>53</v>
      </c>
      <c r="AN3088" t="s">
        <v>53</v>
      </c>
      <c r="AO3088" t="s">
        <v>53</v>
      </c>
      <c r="AP3088" t="s">
        <v>53</v>
      </c>
    </row>
    <row r="3089" spans="2:42" x14ac:dyDescent="0.2">
      <c r="B3089" t="s">
        <v>44</v>
      </c>
      <c r="C3089" t="str">
        <f>HYPERLINK("https://us2.cloudbeds.com/connect/8493803454333002#/reservations/19002315370704?display=DGSZ6YY95&amp;reservation_id=19002315370704", "DGSZ6YY95")</f>
        <v>DGSZ6YY95</v>
      </c>
      <c r="D3089" t="s">
        <v>45</v>
      </c>
      <c r="E3089" t="s">
        <v>305</v>
      </c>
      <c r="F3089" t="s">
        <v>61</v>
      </c>
      <c r="G3089" t="s">
        <v>48</v>
      </c>
      <c r="H3089" t="s">
        <v>49</v>
      </c>
      <c r="I3089" t="s">
        <v>50</v>
      </c>
      <c r="J3089" t="s">
        <v>1556</v>
      </c>
      <c r="K3089" t="s">
        <v>2315</v>
      </c>
      <c r="L3089" t="s">
        <v>53</v>
      </c>
      <c r="N3089" t="s">
        <v>5011</v>
      </c>
      <c r="P3089" t="s">
        <v>55</v>
      </c>
      <c r="R3089" t="s">
        <v>53</v>
      </c>
      <c r="T3089" t="s">
        <v>5012</v>
      </c>
      <c r="U3089" t="s">
        <v>58</v>
      </c>
      <c r="V3089">
        <v>2</v>
      </c>
      <c r="W3089">
        <v>1</v>
      </c>
      <c r="X3089">
        <v>1</v>
      </c>
      <c r="Y3089">
        <v>0</v>
      </c>
      <c r="Z3089">
        <v>1</v>
      </c>
      <c r="AA3089">
        <v>0</v>
      </c>
      <c r="AB3089">
        <v>393.24</v>
      </c>
      <c r="AC3089">
        <v>346</v>
      </c>
      <c r="AD3089">
        <v>0</v>
      </c>
      <c r="AE3089">
        <v>47.24</v>
      </c>
      <c r="AF3089">
        <v>0</v>
      </c>
      <c r="AG3089">
        <v>0</v>
      </c>
      <c r="AH3089">
        <v>0</v>
      </c>
      <c r="AI3089">
        <v>70.78</v>
      </c>
      <c r="AJ3089">
        <v>393.24</v>
      </c>
      <c r="AK3089">
        <v>0</v>
      </c>
      <c r="AL3089" t="s">
        <v>53</v>
      </c>
      <c r="AM3089" t="s">
        <v>53</v>
      </c>
      <c r="AN3089" t="s">
        <v>53</v>
      </c>
      <c r="AO3089" t="s">
        <v>53</v>
      </c>
      <c r="AP3089" t="s">
        <v>53</v>
      </c>
    </row>
    <row r="3090" spans="2:42" x14ac:dyDescent="0.2">
      <c r="B3090" t="s">
        <v>44</v>
      </c>
      <c r="C3090" t="str">
        <f>HYPERLINK("https://us2.cloudbeds.com/connect/8493803454333002#/reservations/19012320276707?display=DH3FS1TPV&amp;reservation_id=19012320276707", "DH3FS1TPV")</f>
        <v>DH3FS1TPV</v>
      </c>
      <c r="D3090" t="s">
        <v>45</v>
      </c>
      <c r="E3090" t="s">
        <v>105</v>
      </c>
      <c r="F3090" t="s">
        <v>47</v>
      </c>
      <c r="G3090" t="s">
        <v>48</v>
      </c>
      <c r="H3090" t="s">
        <v>49</v>
      </c>
      <c r="I3090" t="s">
        <v>62</v>
      </c>
      <c r="J3090" t="s">
        <v>1161</v>
      </c>
      <c r="K3090" t="s">
        <v>2449</v>
      </c>
      <c r="L3090" t="s">
        <v>53</v>
      </c>
      <c r="N3090" t="s">
        <v>5013</v>
      </c>
      <c r="P3090" t="s">
        <v>55</v>
      </c>
      <c r="R3090" t="s">
        <v>56</v>
      </c>
      <c r="T3090" t="s">
        <v>5014</v>
      </c>
      <c r="U3090" t="s">
        <v>55</v>
      </c>
      <c r="V3090">
        <v>3</v>
      </c>
      <c r="W3090">
        <v>1</v>
      </c>
      <c r="X3090">
        <v>1</v>
      </c>
      <c r="Y3090">
        <v>0</v>
      </c>
      <c r="Z3090">
        <v>1</v>
      </c>
      <c r="AA3090">
        <v>0</v>
      </c>
      <c r="AB3090">
        <v>452.11</v>
      </c>
      <c r="AC3090">
        <v>397.8</v>
      </c>
      <c r="AD3090">
        <v>0</v>
      </c>
      <c r="AE3090">
        <v>54.31</v>
      </c>
      <c r="AF3090">
        <v>0</v>
      </c>
      <c r="AG3090">
        <v>0</v>
      </c>
      <c r="AH3090">
        <v>0</v>
      </c>
      <c r="AI3090">
        <v>67.819999999999993</v>
      </c>
      <c r="AJ3090">
        <v>452.11</v>
      </c>
      <c r="AK3090">
        <v>0</v>
      </c>
      <c r="AL3090" t="s">
        <v>53</v>
      </c>
      <c r="AM3090" t="s">
        <v>53</v>
      </c>
      <c r="AN3090" t="s">
        <v>53</v>
      </c>
      <c r="AO3090" t="s">
        <v>53</v>
      </c>
      <c r="AP3090" t="s">
        <v>53</v>
      </c>
    </row>
    <row r="3091" spans="2:42" x14ac:dyDescent="0.2">
      <c r="B3091" t="s">
        <v>44</v>
      </c>
      <c r="C3091" t="str">
        <f>HYPERLINK("https://us2.cloudbeds.com/connect/8493803454333002#/reservations/19014915350767?display=DH5G59YTR&amp;reservation_id=19014915350767", "DH5G59YTR")</f>
        <v>DH5G59YTR</v>
      </c>
      <c r="D3091" t="s">
        <v>45</v>
      </c>
      <c r="E3091" t="s">
        <v>69</v>
      </c>
      <c r="F3091" t="s">
        <v>70</v>
      </c>
      <c r="G3091" t="s">
        <v>48</v>
      </c>
      <c r="H3091" t="s">
        <v>49</v>
      </c>
      <c r="I3091" t="s">
        <v>62</v>
      </c>
      <c r="J3091" t="s">
        <v>1405</v>
      </c>
      <c r="K3091" t="s">
        <v>2314</v>
      </c>
      <c r="L3091" t="s">
        <v>53</v>
      </c>
      <c r="N3091" t="s">
        <v>5015</v>
      </c>
      <c r="P3091" t="s">
        <v>55</v>
      </c>
      <c r="R3091" t="s">
        <v>56</v>
      </c>
      <c r="T3091" t="s">
        <v>5016</v>
      </c>
      <c r="U3091" t="s">
        <v>55</v>
      </c>
      <c r="V3091">
        <v>1</v>
      </c>
      <c r="W3091">
        <v>1</v>
      </c>
      <c r="X3091">
        <v>1</v>
      </c>
      <c r="Y3091">
        <v>0</v>
      </c>
      <c r="Z3091">
        <v>1</v>
      </c>
      <c r="AA3091">
        <v>0</v>
      </c>
      <c r="AB3091">
        <v>160.25</v>
      </c>
      <c r="AC3091">
        <v>141</v>
      </c>
      <c r="AD3091">
        <v>0</v>
      </c>
      <c r="AE3091">
        <v>19.25</v>
      </c>
      <c r="AF3091">
        <v>0</v>
      </c>
      <c r="AG3091">
        <v>0</v>
      </c>
      <c r="AH3091">
        <v>0</v>
      </c>
      <c r="AI3091">
        <v>24.04</v>
      </c>
      <c r="AJ3091">
        <v>160.25</v>
      </c>
      <c r="AK3091">
        <v>0</v>
      </c>
      <c r="AL3091" t="s">
        <v>53</v>
      </c>
      <c r="AM3091" t="s">
        <v>53</v>
      </c>
      <c r="AN3091" t="s">
        <v>53</v>
      </c>
      <c r="AO3091" t="s">
        <v>53</v>
      </c>
      <c r="AP3091" t="s">
        <v>53</v>
      </c>
    </row>
    <row r="3092" spans="2:42" x14ac:dyDescent="0.2">
      <c r="B3092" t="s">
        <v>44</v>
      </c>
      <c r="C3092" t="str">
        <f>HYPERLINK("https://us2.cloudbeds.com/connect/8493803454333002#/reservations/19023503900823?display=DHC4KCZ2E&amp;reservation_id=19023503900823", "DHC4KCZ2E")</f>
        <v>DHC4KCZ2E</v>
      </c>
      <c r="D3092" t="s">
        <v>45</v>
      </c>
      <c r="E3092" t="s">
        <v>406</v>
      </c>
      <c r="F3092" t="s">
        <v>61</v>
      </c>
      <c r="G3092" t="s">
        <v>48</v>
      </c>
      <c r="H3092" t="s">
        <v>49</v>
      </c>
      <c r="I3092" t="s">
        <v>62</v>
      </c>
      <c r="J3092" t="s">
        <v>2314</v>
      </c>
      <c r="K3092" t="s">
        <v>1556</v>
      </c>
      <c r="L3092" t="s">
        <v>53</v>
      </c>
      <c r="N3092" t="s">
        <v>5017</v>
      </c>
      <c r="P3092" t="s">
        <v>55</v>
      </c>
      <c r="R3092" t="s">
        <v>56</v>
      </c>
      <c r="T3092" t="s">
        <v>5018</v>
      </c>
      <c r="U3092" t="s">
        <v>55</v>
      </c>
      <c r="V3092">
        <v>3</v>
      </c>
      <c r="W3092">
        <v>1</v>
      </c>
      <c r="X3092">
        <v>2</v>
      </c>
      <c r="Y3092">
        <v>0</v>
      </c>
      <c r="Z3092">
        <v>2</v>
      </c>
      <c r="AA3092">
        <v>0</v>
      </c>
      <c r="AB3092">
        <v>589.86</v>
      </c>
      <c r="AC3092">
        <v>519</v>
      </c>
      <c r="AD3092">
        <v>0</v>
      </c>
      <c r="AE3092">
        <v>70.86</v>
      </c>
      <c r="AF3092">
        <v>0</v>
      </c>
      <c r="AG3092">
        <v>0</v>
      </c>
      <c r="AH3092">
        <v>0</v>
      </c>
      <c r="AI3092">
        <v>88.48</v>
      </c>
      <c r="AJ3092">
        <v>589.86</v>
      </c>
      <c r="AK3092">
        <v>0</v>
      </c>
      <c r="AL3092" t="s">
        <v>53</v>
      </c>
      <c r="AM3092" t="s">
        <v>53</v>
      </c>
      <c r="AN3092" t="s">
        <v>53</v>
      </c>
      <c r="AO3092" t="s">
        <v>53</v>
      </c>
      <c r="AP3092" t="s">
        <v>53</v>
      </c>
    </row>
    <row r="3093" spans="2:42" x14ac:dyDescent="0.2">
      <c r="B3093" t="s">
        <v>44</v>
      </c>
      <c r="C3093" t="str">
        <f>HYPERLINK("https://us2.cloudbeds.com/connect/8493803454333002#/reservations/19032457310410?display=DHJ2D4X4F&amp;reservation_id=19032457310410", "DHJ2D4X4F")</f>
        <v>DHJ2D4X4F</v>
      </c>
      <c r="D3093" t="s">
        <v>45</v>
      </c>
      <c r="E3093" t="s">
        <v>406</v>
      </c>
      <c r="F3093" t="s">
        <v>61</v>
      </c>
      <c r="G3093" t="s">
        <v>48</v>
      </c>
      <c r="H3093" t="s">
        <v>49</v>
      </c>
      <c r="I3093" t="s">
        <v>50</v>
      </c>
      <c r="J3093" t="s">
        <v>2545</v>
      </c>
      <c r="K3093" t="s">
        <v>1405</v>
      </c>
      <c r="L3093" t="s">
        <v>53</v>
      </c>
      <c r="N3093" t="s">
        <v>5019</v>
      </c>
      <c r="P3093" t="s">
        <v>55</v>
      </c>
      <c r="R3093" t="s">
        <v>53</v>
      </c>
      <c r="T3093" t="s">
        <v>5020</v>
      </c>
      <c r="U3093" t="s">
        <v>58</v>
      </c>
      <c r="V3093">
        <v>1</v>
      </c>
      <c r="W3093">
        <v>1</v>
      </c>
      <c r="X3093">
        <v>1</v>
      </c>
      <c r="Y3093">
        <v>0</v>
      </c>
      <c r="Z3093">
        <v>1</v>
      </c>
      <c r="AA3093">
        <v>0</v>
      </c>
      <c r="AB3093">
        <v>151.16</v>
      </c>
      <c r="AC3093">
        <v>133</v>
      </c>
      <c r="AD3093">
        <v>0</v>
      </c>
      <c r="AE3093">
        <v>18.16</v>
      </c>
      <c r="AF3093">
        <v>0</v>
      </c>
      <c r="AG3093">
        <v>0</v>
      </c>
      <c r="AH3093">
        <v>0</v>
      </c>
      <c r="AI3093">
        <v>27.21</v>
      </c>
      <c r="AJ3093">
        <v>151.16</v>
      </c>
      <c r="AK3093">
        <v>0</v>
      </c>
      <c r="AL3093" t="s">
        <v>53</v>
      </c>
      <c r="AM3093" t="s">
        <v>53</v>
      </c>
      <c r="AN3093" t="s">
        <v>53</v>
      </c>
      <c r="AO3093" t="s">
        <v>53</v>
      </c>
      <c r="AP3093" t="s">
        <v>53</v>
      </c>
    </row>
    <row r="3094" spans="2:42" x14ac:dyDescent="0.2">
      <c r="B3094" t="s">
        <v>44</v>
      </c>
      <c r="C3094" t="str">
        <f>HYPERLINK("https://us2.cloudbeds.com/connect/8493803454333002#/reservations/19057855324347?display=DX5ZCDNWE&amp;reservation_id=19057855324347", "DX5ZCDNWE")</f>
        <v>DX5ZCDNWE</v>
      </c>
      <c r="D3094" t="s">
        <v>45</v>
      </c>
      <c r="E3094" t="s">
        <v>105</v>
      </c>
      <c r="F3094" t="s">
        <v>47</v>
      </c>
      <c r="G3094" t="s">
        <v>48</v>
      </c>
      <c r="H3094" t="s">
        <v>49</v>
      </c>
      <c r="I3094" t="s">
        <v>62</v>
      </c>
      <c r="J3094" t="s">
        <v>2634</v>
      </c>
      <c r="K3094" t="s">
        <v>2315</v>
      </c>
      <c r="L3094" t="s">
        <v>53</v>
      </c>
      <c r="N3094" t="s">
        <v>5021</v>
      </c>
      <c r="P3094" t="s">
        <v>55</v>
      </c>
      <c r="R3094" t="s">
        <v>56</v>
      </c>
      <c r="T3094" t="s">
        <v>5022</v>
      </c>
      <c r="U3094" t="s">
        <v>55</v>
      </c>
      <c r="V3094">
        <v>1</v>
      </c>
      <c r="W3094">
        <v>1</v>
      </c>
      <c r="X3094">
        <v>2</v>
      </c>
      <c r="Y3094">
        <v>0</v>
      </c>
      <c r="Z3094">
        <v>2</v>
      </c>
      <c r="AA3094">
        <v>0</v>
      </c>
      <c r="AB3094">
        <v>192.07</v>
      </c>
      <c r="AC3094">
        <v>169</v>
      </c>
      <c r="AD3094">
        <v>0</v>
      </c>
      <c r="AE3094">
        <v>23.07</v>
      </c>
      <c r="AF3094">
        <v>0</v>
      </c>
      <c r="AG3094">
        <v>0</v>
      </c>
      <c r="AH3094">
        <v>0</v>
      </c>
      <c r="AI3094">
        <v>28.81</v>
      </c>
      <c r="AJ3094">
        <v>192.07</v>
      </c>
      <c r="AK3094">
        <v>0</v>
      </c>
      <c r="AL3094" t="s">
        <v>53</v>
      </c>
      <c r="AM3094" t="s">
        <v>53</v>
      </c>
      <c r="AN3094" t="s">
        <v>53</v>
      </c>
      <c r="AO3094" t="s">
        <v>53</v>
      </c>
      <c r="AP3094" t="s">
        <v>53</v>
      </c>
    </row>
    <row r="3095" spans="2:42" x14ac:dyDescent="0.2">
      <c r="B3095" t="s">
        <v>44</v>
      </c>
      <c r="C3095" t="str">
        <f>HYPERLINK("https://us2.cloudbeds.com/connect/8493803454333002#/reservations/19082226729199?display=DXZK40WP6&amp;reservation_id=19082226729199", "DXZK40WP6")</f>
        <v>DXZK40WP6</v>
      </c>
      <c r="D3095" t="s">
        <v>45</v>
      </c>
      <c r="E3095" t="s">
        <v>373</v>
      </c>
      <c r="F3095" t="s">
        <v>47</v>
      </c>
      <c r="G3095" t="s">
        <v>48</v>
      </c>
      <c r="H3095" t="s">
        <v>3957</v>
      </c>
      <c r="I3095" t="s">
        <v>3958</v>
      </c>
      <c r="J3095" t="s">
        <v>2545</v>
      </c>
      <c r="K3095" t="s">
        <v>1405</v>
      </c>
      <c r="L3095" t="s">
        <v>53</v>
      </c>
      <c r="P3095" t="s">
        <v>55</v>
      </c>
      <c r="R3095" t="s">
        <v>56</v>
      </c>
      <c r="T3095" t="s">
        <v>5023</v>
      </c>
      <c r="U3095" t="s">
        <v>58</v>
      </c>
      <c r="V3095">
        <v>1</v>
      </c>
      <c r="W3095">
        <v>1</v>
      </c>
      <c r="X3095">
        <v>1</v>
      </c>
      <c r="Y3095">
        <v>0</v>
      </c>
      <c r="Z3095">
        <v>1</v>
      </c>
      <c r="AA3095">
        <v>0</v>
      </c>
      <c r="AB3095">
        <v>148.88999999999999</v>
      </c>
      <c r="AC3095">
        <v>131</v>
      </c>
      <c r="AD3095">
        <v>0</v>
      </c>
      <c r="AE3095">
        <v>17.89</v>
      </c>
      <c r="AF3095">
        <v>0</v>
      </c>
      <c r="AG3095">
        <v>0</v>
      </c>
      <c r="AH3095">
        <v>0</v>
      </c>
      <c r="AI3095">
        <v>0</v>
      </c>
      <c r="AJ3095">
        <v>148.88999999999999</v>
      </c>
      <c r="AK3095">
        <v>0</v>
      </c>
      <c r="AL3095" t="s">
        <v>53</v>
      </c>
      <c r="AM3095" t="s">
        <v>53</v>
      </c>
      <c r="AN3095" t="s">
        <v>53</v>
      </c>
      <c r="AO3095" t="s">
        <v>53</v>
      </c>
      <c r="AP3095" t="s">
        <v>53</v>
      </c>
    </row>
    <row r="3096" spans="2:42" x14ac:dyDescent="0.2">
      <c r="B3096" t="s">
        <v>44</v>
      </c>
      <c r="C3096" t="str">
        <f>HYPERLINK("https://us2.cloudbeds.com/connect/8493803454333002#/reservations/19086698164438?display=DXS2CF8TZ&amp;reservation_id=19086698164438", "DXS2CF8TZ")</f>
        <v>DXS2CF8TZ</v>
      </c>
      <c r="D3096" t="s">
        <v>45</v>
      </c>
      <c r="E3096" t="s">
        <v>85</v>
      </c>
      <c r="F3096" t="s">
        <v>86</v>
      </c>
      <c r="G3096" t="s">
        <v>48</v>
      </c>
      <c r="H3096" t="s">
        <v>49</v>
      </c>
      <c r="I3096" t="s">
        <v>50</v>
      </c>
      <c r="J3096" t="s">
        <v>2545</v>
      </c>
      <c r="K3096" t="s">
        <v>1405</v>
      </c>
      <c r="L3096" t="s">
        <v>53</v>
      </c>
      <c r="N3096" t="s">
        <v>5024</v>
      </c>
      <c r="P3096" t="s">
        <v>55</v>
      </c>
      <c r="R3096" t="s">
        <v>53</v>
      </c>
      <c r="T3096" t="s">
        <v>5025</v>
      </c>
      <c r="U3096" t="s">
        <v>58</v>
      </c>
      <c r="V3096">
        <v>1</v>
      </c>
      <c r="W3096">
        <v>1</v>
      </c>
      <c r="X3096">
        <v>2</v>
      </c>
      <c r="Y3096">
        <v>0</v>
      </c>
      <c r="Z3096">
        <v>2</v>
      </c>
      <c r="AA3096">
        <v>0</v>
      </c>
      <c r="AB3096">
        <v>154.56</v>
      </c>
      <c r="AC3096">
        <v>136</v>
      </c>
      <c r="AD3096">
        <v>0</v>
      </c>
      <c r="AE3096">
        <v>18.559999999999999</v>
      </c>
      <c r="AF3096">
        <v>0</v>
      </c>
      <c r="AG3096">
        <v>0</v>
      </c>
      <c r="AH3096">
        <v>0</v>
      </c>
      <c r="AI3096">
        <v>27.82</v>
      </c>
      <c r="AJ3096">
        <v>154.56</v>
      </c>
      <c r="AK3096">
        <v>0</v>
      </c>
      <c r="AL3096" t="s">
        <v>53</v>
      </c>
      <c r="AM3096" t="s">
        <v>53</v>
      </c>
      <c r="AN3096" t="s">
        <v>53</v>
      </c>
      <c r="AO3096" t="s">
        <v>53</v>
      </c>
      <c r="AP3096" t="s">
        <v>53</v>
      </c>
    </row>
    <row r="3097" spans="2:42" x14ac:dyDescent="0.2">
      <c r="B3097" t="s">
        <v>44</v>
      </c>
      <c r="C3097" t="str">
        <f>HYPERLINK("https://us2.cloudbeds.com/connect/8493803454333002#/reservations/19086017929436?display=DXRHWSZ0S&amp;reservation_id=19086017929436", "DXRHWSZ0S")</f>
        <v>DXRHWSZ0S</v>
      </c>
      <c r="D3097" t="s">
        <v>45</v>
      </c>
      <c r="E3097" t="s">
        <v>105</v>
      </c>
      <c r="F3097" t="s">
        <v>47</v>
      </c>
      <c r="G3097" t="s">
        <v>48</v>
      </c>
      <c r="H3097" t="s">
        <v>3957</v>
      </c>
      <c r="I3097" t="s">
        <v>3989</v>
      </c>
      <c r="J3097" t="s">
        <v>2545</v>
      </c>
      <c r="K3097" t="s">
        <v>2314</v>
      </c>
      <c r="L3097" t="s">
        <v>53</v>
      </c>
      <c r="P3097" t="s">
        <v>55</v>
      </c>
      <c r="R3097" t="s">
        <v>56</v>
      </c>
      <c r="T3097" t="s">
        <v>5026</v>
      </c>
      <c r="U3097" t="s">
        <v>58</v>
      </c>
      <c r="V3097">
        <v>2</v>
      </c>
      <c r="W3097">
        <v>1</v>
      </c>
      <c r="X3097">
        <v>1</v>
      </c>
      <c r="Y3097">
        <v>0</v>
      </c>
      <c r="Z3097">
        <v>1</v>
      </c>
      <c r="AA3097">
        <v>0</v>
      </c>
      <c r="AB3097">
        <v>147.76</v>
      </c>
      <c r="AC3097">
        <v>130</v>
      </c>
      <c r="AD3097">
        <v>0</v>
      </c>
      <c r="AE3097">
        <v>17.760000000000002</v>
      </c>
      <c r="AF3097">
        <v>0</v>
      </c>
      <c r="AG3097">
        <v>0</v>
      </c>
      <c r="AH3097">
        <v>0</v>
      </c>
      <c r="AI3097">
        <v>0</v>
      </c>
      <c r="AJ3097">
        <v>147.76</v>
      </c>
      <c r="AK3097">
        <v>0</v>
      </c>
      <c r="AL3097" t="s">
        <v>53</v>
      </c>
      <c r="AM3097" t="s">
        <v>53</v>
      </c>
      <c r="AN3097" t="s">
        <v>53</v>
      </c>
      <c r="AO3097" t="s">
        <v>53</v>
      </c>
      <c r="AP3097" t="s">
        <v>53</v>
      </c>
    </row>
    <row r="3098" spans="2:42" x14ac:dyDescent="0.2">
      <c r="B3098" t="s">
        <v>44</v>
      </c>
      <c r="C3098" t="str">
        <f>HYPERLINK("https://us2.cloudbeds.com/connect/8493803454333002#/reservations/19102522360031?display=DJ7ANRRMA&amp;reservation_id=19102522360031", "DJ7ANRRMA")</f>
        <v>DJ7ANRRMA</v>
      </c>
      <c r="D3098" t="s">
        <v>45</v>
      </c>
      <c r="E3098" t="s">
        <v>213</v>
      </c>
      <c r="F3098" t="s">
        <v>86</v>
      </c>
      <c r="G3098" t="s">
        <v>48</v>
      </c>
      <c r="H3098" t="s">
        <v>49</v>
      </c>
      <c r="I3098" t="s">
        <v>50</v>
      </c>
      <c r="J3098" t="s">
        <v>2545</v>
      </c>
      <c r="K3098" t="s">
        <v>1405</v>
      </c>
      <c r="L3098" t="s">
        <v>53</v>
      </c>
      <c r="N3098" t="s">
        <v>5027</v>
      </c>
      <c r="P3098" t="s">
        <v>55</v>
      </c>
      <c r="R3098" t="s">
        <v>53</v>
      </c>
      <c r="T3098" t="s">
        <v>5028</v>
      </c>
      <c r="U3098" t="s">
        <v>58</v>
      </c>
      <c r="V3098">
        <v>1</v>
      </c>
      <c r="W3098">
        <v>1</v>
      </c>
      <c r="X3098">
        <v>1</v>
      </c>
      <c r="Y3098">
        <v>0</v>
      </c>
      <c r="Z3098">
        <v>1</v>
      </c>
      <c r="AA3098">
        <v>0</v>
      </c>
      <c r="AB3098">
        <v>154.56</v>
      </c>
      <c r="AC3098">
        <v>136</v>
      </c>
      <c r="AD3098">
        <v>0</v>
      </c>
      <c r="AE3098">
        <v>18.559999999999999</v>
      </c>
      <c r="AF3098">
        <v>0</v>
      </c>
      <c r="AG3098">
        <v>0</v>
      </c>
      <c r="AH3098">
        <v>0</v>
      </c>
      <c r="AI3098">
        <v>27.82</v>
      </c>
      <c r="AJ3098">
        <v>154.56</v>
      </c>
      <c r="AK3098">
        <v>0</v>
      </c>
      <c r="AL3098" t="s">
        <v>53</v>
      </c>
      <c r="AM3098" t="s">
        <v>53</v>
      </c>
      <c r="AN3098" t="s">
        <v>53</v>
      </c>
      <c r="AO3098" t="s">
        <v>53</v>
      </c>
      <c r="AP3098" t="s">
        <v>53</v>
      </c>
    </row>
    <row r="3099" spans="2:42" x14ac:dyDescent="0.2">
      <c r="B3099" t="s">
        <v>44</v>
      </c>
      <c r="C3099" t="str">
        <f>HYPERLINK("https://us2.cloudbeds.com/connect/8493803454333002#/reservations/19115981152411?display=DJHZKYJ0Y&amp;reservation_id=19115981152411", "DJHZKYJ0Y")</f>
        <v>DJHZKYJ0Y</v>
      </c>
      <c r="D3099" t="s">
        <v>45</v>
      </c>
      <c r="E3099" t="s">
        <v>265</v>
      </c>
      <c r="F3099" t="s">
        <v>61</v>
      </c>
      <c r="G3099" t="s">
        <v>48</v>
      </c>
      <c r="H3099" t="s">
        <v>49</v>
      </c>
      <c r="I3099" t="s">
        <v>50</v>
      </c>
      <c r="J3099" t="s">
        <v>2545</v>
      </c>
      <c r="K3099" t="s">
        <v>1405</v>
      </c>
      <c r="L3099" t="s">
        <v>53</v>
      </c>
      <c r="N3099" t="s">
        <v>5029</v>
      </c>
      <c r="P3099" t="s">
        <v>55</v>
      </c>
      <c r="R3099" t="s">
        <v>53</v>
      </c>
      <c r="T3099" t="s">
        <v>5030</v>
      </c>
      <c r="U3099" t="s">
        <v>58</v>
      </c>
      <c r="V3099">
        <v>1</v>
      </c>
      <c r="W3099">
        <v>1</v>
      </c>
      <c r="X3099">
        <v>2</v>
      </c>
      <c r="Y3099">
        <v>0</v>
      </c>
      <c r="Z3099">
        <v>2</v>
      </c>
      <c r="AA3099">
        <v>0</v>
      </c>
      <c r="AB3099">
        <v>151.16</v>
      </c>
      <c r="AC3099">
        <v>133</v>
      </c>
      <c r="AD3099">
        <v>0</v>
      </c>
      <c r="AE3099">
        <v>18.16</v>
      </c>
      <c r="AF3099">
        <v>0</v>
      </c>
      <c r="AG3099">
        <v>0</v>
      </c>
      <c r="AH3099">
        <v>0</v>
      </c>
      <c r="AI3099">
        <v>27.21</v>
      </c>
      <c r="AJ3099">
        <v>151.16</v>
      </c>
      <c r="AK3099">
        <v>0</v>
      </c>
      <c r="AL3099" t="s">
        <v>53</v>
      </c>
      <c r="AM3099" t="s">
        <v>53</v>
      </c>
      <c r="AN3099" t="s">
        <v>53</v>
      </c>
      <c r="AO3099" t="s">
        <v>53</v>
      </c>
      <c r="AP3099" t="s">
        <v>53</v>
      </c>
    </row>
    <row r="3100" spans="2:42" x14ac:dyDescent="0.2">
      <c r="B3100" t="s">
        <v>44</v>
      </c>
      <c r="C3100" t="str">
        <f>HYPERLINK("https://us2.cloudbeds.com/connect/8493803454333002#/reservations/19122524790978?display=DJMQRDVSE&amp;reservation_id=19122524790978", "DJMQRDVSE")</f>
        <v>DJMQRDVSE</v>
      </c>
      <c r="D3100" t="s">
        <v>45</v>
      </c>
      <c r="E3100" t="s">
        <v>185</v>
      </c>
      <c r="F3100" t="s">
        <v>47</v>
      </c>
      <c r="G3100" t="s">
        <v>48</v>
      </c>
      <c r="H3100" t="s">
        <v>3957</v>
      </c>
      <c r="I3100" t="s">
        <v>3958</v>
      </c>
      <c r="J3100" t="s">
        <v>2545</v>
      </c>
      <c r="K3100" t="s">
        <v>1405</v>
      </c>
      <c r="L3100" t="s">
        <v>53</v>
      </c>
      <c r="P3100" t="s">
        <v>55</v>
      </c>
      <c r="R3100" t="s">
        <v>56</v>
      </c>
      <c r="T3100" t="s">
        <v>5031</v>
      </c>
      <c r="U3100" t="s">
        <v>58</v>
      </c>
      <c r="V3100">
        <v>1</v>
      </c>
      <c r="W3100">
        <v>1</v>
      </c>
      <c r="X3100">
        <v>1</v>
      </c>
      <c r="Y3100">
        <v>0</v>
      </c>
      <c r="Z3100">
        <v>1</v>
      </c>
      <c r="AA3100">
        <v>0</v>
      </c>
      <c r="AB3100">
        <v>148.88999999999999</v>
      </c>
      <c r="AC3100">
        <v>131</v>
      </c>
      <c r="AD3100">
        <v>0</v>
      </c>
      <c r="AE3100">
        <v>17.89</v>
      </c>
      <c r="AF3100">
        <v>0</v>
      </c>
      <c r="AG3100">
        <v>0</v>
      </c>
      <c r="AH3100">
        <v>0</v>
      </c>
      <c r="AI3100">
        <v>0</v>
      </c>
      <c r="AJ3100">
        <v>148.88999999999999</v>
      </c>
      <c r="AK3100">
        <v>0</v>
      </c>
      <c r="AL3100" t="s">
        <v>53</v>
      </c>
      <c r="AM3100" t="s">
        <v>53</v>
      </c>
      <c r="AN3100" t="s">
        <v>53</v>
      </c>
      <c r="AO3100" t="s">
        <v>53</v>
      </c>
      <c r="AP3100" t="s">
        <v>53</v>
      </c>
    </row>
    <row r="3101" spans="2:42" x14ac:dyDescent="0.2">
      <c r="B3101" t="s">
        <v>44</v>
      </c>
      <c r="C3101" t="str">
        <f>HYPERLINK("https://us2.cloudbeds.com/connect/8493803454333002#/reservations/19145006534871?display=DK779KKPT&amp;reservation_id=19145006534871", "DK779KKPT")</f>
        <v>DK779KKPT</v>
      </c>
      <c r="D3101" t="s">
        <v>45</v>
      </c>
      <c r="E3101" t="s">
        <v>121</v>
      </c>
      <c r="F3101" t="s">
        <v>86</v>
      </c>
      <c r="G3101" t="s">
        <v>48</v>
      </c>
      <c r="H3101" t="s">
        <v>49</v>
      </c>
      <c r="I3101" t="s">
        <v>62</v>
      </c>
      <c r="J3101" t="s">
        <v>1555</v>
      </c>
      <c r="K3101" t="s">
        <v>1406</v>
      </c>
      <c r="L3101" t="s">
        <v>53</v>
      </c>
      <c r="N3101" t="s">
        <v>5032</v>
      </c>
      <c r="P3101" t="s">
        <v>55</v>
      </c>
      <c r="R3101" t="s">
        <v>329</v>
      </c>
      <c r="T3101" t="s">
        <v>5033</v>
      </c>
      <c r="U3101" t="s">
        <v>55</v>
      </c>
      <c r="V3101">
        <v>1</v>
      </c>
      <c r="W3101">
        <v>1</v>
      </c>
      <c r="X3101">
        <v>2</v>
      </c>
      <c r="Y3101">
        <v>0</v>
      </c>
      <c r="Z3101">
        <v>2</v>
      </c>
      <c r="AA3101">
        <v>0</v>
      </c>
      <c r="AB3101">
        <v>204.57</v>
      </c>
      <c r="AC3101">
        <v>180</v>
      </c>
      <c r="AD3101">
        <v>0</v>
      </c>
      <c r="AE3101">
        <v>24.57</v>
      </c>
      <c r="AF3101">
        <v>0</v>
      </c>
      <c r="AG3101">
        <v>0</v>
      </c>
      <c r="AH3101">
        <v>0</v>
      </c>
      <c r="AI3101">
        <v>30.69</v>
      </c>
      <c r="AJ3101">
        <v>204.57</v>
      </c>
      <c r="AK3101">
        <v>0</v>
      </c>
      <c r="AL3101" t="s">
        <v>53</v>
      </c>
      <c r="AM3101" t="s">
        <v>53</v>
      </c>
      <c r="AN3101" t="s">
        <v>53</v>
      </c>
      <c r="AO3101" t="s">
        <v>53</v>
      </c>
      <c r="AP3101" t="s">
        <v>53</v>
      </c>
    </row>
    <row r="3102" spans="2:42" x14ac:dyDescent="0.2">
      <c r="B3102" t="s">
        <v>44</v>
      </c>
      <c r="C3102" t="str">
        <f>HYPERLINK("https://us2.cloudbeds.com/connect/8493803454333002#/reservations/19149207888082?display=DKAFYAFNX&amp;reservation_id=19149207888082", "DKAFYAFNX")</f>
        <v>DKAFYAFNX</v>
      </c>
      <c r="D3102" t="s">
        <v>45</v>
      </c>
      <c r="E3102" t="s">
        <v>121</v>
      </c>
      <c r="F3102" t="s">
        <v>86</v>
      </c>
      <c r="G3102" t="s">
        <v>48</v>
      </c>
      <c r="H3102" t="s">
        <v>49</v>
      </c>
      <c r="I3102" t="s">
        <v>62</v>
      </c>
      <c r="J3102" t="s">
        <v>2545</v>
      </c>
      <c r="K3102" t="s">
        <v>1405</v>
      </c>
      <c r="L3102" t="s">
        <v>53</v>
      </c>
      <c r="N3102" t="s">
        <v>5034</v>
      </c>
      <c r="P3102" t="s">
        <v>55</v>
      </c>
      <c r="R3102" t="s">
        <v>56</v>
      </c>
      <c r="T3102" t="s">
        <v>5035</v>
      </c>
      <c r="U3102" t="s">
        <v>55</v>
      </c>
      <c r="V3102">
        <v>1</v>
      </c>
      <c r="W3102">
        <v>1</v>
      </c>
      <c r="X3102">
        <v>2</v>
      </c>
      <c r="Y3102">
        <v>0</v>
      </c>
      <c r="Z3102">
        <v>2</v>
      </c>
      <c r="AA3102">
        <v>0</v>
      </c>
      <c r="AB3102">
        <v>154.56</v>
      </c>
      <c r="AC3102">
        <v>136</v>
      </c>
      <c r="AD3102">
        <v>0</v>
      </c>
      <c r="AE3102">
        <v>18.559999999999999</v>
      </c>
      <c r="AF3102">
        <v>0</v>
      </c>
      <c r="AG3102">
        <v>0</v>
      </c>
      <c r="AH3102">
        <v>0</v>
      </c>
      <c r="AI3102">
        <v>23.18</v>
      </c>
      <c r="AJ3102">
        <v>154.56</v>
      </c>
      <c r="AK3102">
        <v>0</v>
      </c>
      <c r="AL3102" t="s">
        <v>53</v>
      </c>
      <c r="AM3102" t="s">
        <v>53</v>
      </c>
      <c r="AN3102" t="s">
        <v>53</v>
      </c>
      <c r="AO3102" t="s">
        <v>53</v>
      </c>
      <c r="AP3102" t="s">
        <v>53</v>
      </c>
    </row>
    <row r="3103" spans="2:42" x14ac:dyDescent="0.2">
      <c r="B3103" t="s">
        <v>44</v>
      </c>
      <c r="C3103" t="str">
        <f>HYPERLINK("https://us2.cloudbeds.com/connect/8493803454333002#/reservations/19170545033431?display=DKQWSBWVY&amp;reservation_id=19170545033431", "DKQWSBWVY")</f>
        <v>DKQWSBWVY</v>
      </c>
      <c r="D3103" t="s">
        <v>45</v>
      </c>
      <c r="E3103" t="s">
        <v>373</v>
      </c>
      <c r="F3103" t="s">
        <v>47</v>
      </c>
      <c r="G3103" t="s">
        <v>48</v>
      </c>
      <c r="H3103" t="s">
        <v>49</v>
      </c>
      <c r="I3103" t="s">
        <v>62</v>
      </c>
      <c r="J3103" t="s">
        <v>2314</v>
      </c>
      <c r="K3103" t="s">
        <v>1406</v>
      </c>
      <c r="L3103" t="s">
        <v>53</v>
      </c>
      <c r="N3103" t="s">
        <v>5036</v>
      </c>
      <c r="P3103" t="s">
        <v>55</v>
      </c>
      <c r="R3103" t="s">
        <v>56</v>
      </c>
      <c r="T3103" t="s">
        <v>5037</v>
      </c>
      <c r="U3103" t="s">
        <v>55</v>
      </c>
      <c r="V3103">
        <v>2</v>
      </c>
      <c r="W3103">
        <v>1</v>
      </c>
      <c r="X3103">
        <v>2</v>
      </c>
      <c r="Y3103">
        <v>0</v>
      </c>
      <c r="Z3103">
        <v>2</v>
      </c>
      <c r="AA3103">
        <v>0</v>
      </c>
      <c r="AB3103">
        <v>384.14</v>
      </c>
      <c r="AC3103">
        <v>338</v>
      </c>
      <c r="AD3103">
        <v>0</v>
      </c>
      <c r="AE3103">
        <v>46.14</v>
      </c>
      <c r="AF3103">
        <v>0</v>
      </c>
      <c r="AG3103">
        <v>0</v>
      </c>
      <c r="AH3103">
        <v>0</v>
      </c>
      <c r="AI3103">
        <v>57.62</v>
      </c>
      <c r="AJ3103">
        <v>384.14</v>
      </c>
      <c r="AK3103">
        <v>0</v>
      </c>
      <c r="AL3103" t="s">
        <v>53</v>
      </c>
      <c r="AM3103" t="s">
        <v>53</v>
      </c>
      <c r="AN3103" t="s">
        <v>53</v>
      </c>
      <c r="AO3103" t="s">
        <v>53</v>
      </c>
      <c r="AP3103" t="s">
        <v>53</v>
      </c>
    </row>
    <row r="3104" spans="2:42" x14ac:dyDescent="0.2">
      <c r="B3104" t="s">
        <v>44</v>
      </c>
      <c r="C3104" t="str">
        <f>HYPERLINK("https://us2.cloudbeds.com/connect/8493803454333002#/reservations/19188708094182?display=DY81VUUVW&amp;reservation_id=19188708094182", "DY81VUUVW")</f>
        <v>DY81VUUVW</v>
      </c>
      <c r="D3104" t="s">
        <v>45</v>
      </c>
      <c r="E3104" t="s">
        <v>223</v>
      </c>
      <c r="F3104" t="s">
        <v>47</v>
      </c>
      <c r="G3104" t="s">
        <v>48</v>
      </c>
      <c r="H3104" t="s">
        <v>3957</v>
      </c>
      <c r="I3104" t="s">
        <v>3975</v>
      </c>
      <c r="J3104" t="s">
        <v>2062</v>
      </c>
      <c r="K3104" t="s">
        <v>2960</v>
      </c>
      <c r="L3104" t="s">
        <v>53</v>
      </c>
      <c r="P3104" t="s">
        <v>55</v>
      </c>
      <c r="R3104" t="s">
        <v>56</v>
      </c>
      <c r="T3104" t="s">
        <v>5038</v>
      </c>
      <c r="U3104" t="s">
        <v>58</v>
      </c>
      <c r="V3104">
        <v>2</v>
      </c>
      <c r="W3104">
        <v>1</v>
      </c>
      <c r="X3104">
        <v>2</v>
      </c>
      <c r="Y3104">
        <v>0</v>
      </c>
      <c r="Z3104">
        <v>2</v>
      </c>
      <c r="AA3104">
        <v>0</v>
      </c>
      <c r="AB3104">
        <v>287.54000000000002</v>
      </c>
      <c r="AC3104">
        <v>253</v>
      </c>
      <c r="AD3104">
        <v>0</v>
      </c>
      <c r="AE3104">
        <v>34.54</v>
      </c>
      <c r="AF3104">
        <v>0</v>
      </c>
      <c r="AG3104">
        <v>0</v>
      </c>
      <c r="AH3104">
        <v>0</v>
      </c>
      <c r="AI3104">
        <v>0</v>
      </c>
      <c r="AJ3104">
        <v>287.54000000000002</v>
      </c>
      <c r="AK3104">
        <v>0</v>
      </c>
      <c r="AL3104" t="s">
        <v>53</v>
      </c>
      <c r="AM3104" t="s">
        <v>53</v>
      </c>
      <c r="AN3104" t="s">
        <v>53</v>
      </c>
      <c r="AO3104" t="s">
        <v>53</v>
      </c>
      <c r="AP3104" t="s">
        <v>53</v>
      </c>
    </row>
    <row r="3105" spans="2:42" x14ac:dyDescent="0.2">
      <c r="B3105" t="s">
        <v>44</v>
      </c>
      <c r="C3105" t="str">
        <f>HYPERLINK("https://us2.cloudbeds.com/connect/8493803454333002#/reservations/19355487744158?display=DP56XVX54&amp;reservation_id=19355487744158", "DP56XVX54")</f>
        <v>DP56XVX54</v>
      </c>
      <c r="D3105" t="s">
        <v>45</v>
      </c>
      <c r="E3105" t="s">
        <v>138</v>
      </c>
      <c r="F3105" t="s">
        <v>70</v>
      </c>
      <c r="G3105" t="s">
        <v>48</v>
      </c>
      <c r="H3105" t="s">
        <v>49</v>
      </c>
      <c r="I3105" t="s">
        <v>62</v>
      </c>
      <c r="J3105" t="s">
        <v>1405</v>
      </c>
      <c r="K3105" t="s">
        <v>2314</v>
      </c>
      <c r="L3105" t="s">
        <v>53</v>
      </c>
      <c r="N3105" t="s">
        <v>5039</v>
      </c>
      <c r="P3105" t="s">
        <v>55</v>
      </c>
      <c r="R3105" t="s">
        <v>2836</v>
      </c>
      <c r="T3105" t="s">
        <v>5040</v>
      </c>
      <c r="U3105" t="s">
        <v>55</v>
      </c>
      <c r="V3105">
        <v>1</v>
      </c>
      <c r="W3105">
        <v>1</v>
      </c>
      <c r="X3105">
        <v>2</v>
      </c>
      <c r="Y3105">
        <v>0</v>
      </c>
      <c r="Z3105">
        <v>2</v>
      </c>
      <c r="AA3105">
        <v>0</v>
      </c>
      <c r="AB3105">
        <v>137.52000000000001</v>
      </c>
      <c r="AC3105">
        <v>121</v>
      </c>
      <c r="AD3105">
        <v>0</v>
      </c>
      <c r="AE3105">
        <v>16.52</v>
      </c>
      <c r="AF3105">
        <v>0</v>
      </c>
      <c r="AG3105">
        <v>0</v>
      </c>
      <c r="AH3105">
        <v>0</v>
      </c>
      <c r="AI3105">
        <v>20.63</v>
      </c>
      <c r="AJ3105">
        <v>137.52000000000001</v>
      </c>
      <c r="AK3105">
        <v>0</v>
      </c>
      <c r="AL3105" t="s">
        <v>53</v>
      </c>
      <c r="AM3105" t="s">
        <v>53</v>
      </c>
      <c r="AN3105" t="s">
        <v>53</v>
      </c>
      <c r="AO3105" t="s">
        <v>53</v>
      </c>
      <c r="AP3105" t="s">
        <v>53</v>
      </c>
    </row>
    <row r="3106" spans="2:42" x14ac:dyDescent="0.2">
      <c r="B3106" t="s">
        <v>44</v>
      </c>
      <c r="C3106" t="str">
        <f>HYPERLINK("https://us2.cloudbeds.com/connect/8493803454333002#/reservations/19376269492361?display=DPY9JMARM&amp;reservation_id=19376269492361", "DPY9JMARM")</f>
        <v>DPY9JMARM</v>
      </c>
      <c r="D3106" t="s">
        <v>45</v>
      </c>
      <c r="E3106" t="s">
        <v>98</v>
      </c>
      <c r="F3106" t="s">
        <v>86</v>
      </c>
      <c r="G3106" t="s">
        <v>48</v>
      </c>
      <c r="H3106" t="s">
        <v>49</v>
      </c>
      <c r="I3106" t="s">
        <v>50</v>
      </c>
      <c r="J3106" t="s">
        <v>1405</v>
      </c>
      <c r="K3106" t="s">
        <v>2314</v>
      </c>
      <c r="L3106" t="s">
        <v>53</v>
      </c>
      <c r="N3106" t="s">
        <v>5041</v>
      </c>
      <c r="P3106" t="s">
        <v>55</v>
      </c>
      <c r="R3106" t="s">
        <v>53</v>
      </c>
      <c r="T3106" t="s">
        <v>5042</v>
      </c>
      <c r="U3106" t="s">
        <v>58</v>
      </c>
      <c r="V3106">
        <v>1</v>
      </c>
      <c r="W3106">
        <v>1</v>
      </c>
      <c r="X3106">
        <v>2</v>
      </c>
      <c r="Y3106">
        <v>0</v>
      </c>
      <c r="Z3106">
        <v>2</v>
      </c>
      <c r="AA3106">
        <v>0</v>
      </c>
      <c r="AB3106">
        <v>156.84</v>
      </c>
      <c r="AC3106">
        <v>138</v>
      </c>
      <c r="AD3106">
        <v>0</v>
      </c>
      <c r="AE3106">
        <v>18.84</v>
      </c>
      <c r="AF3106">
        <v>0</v>
      </c>
      <c r="AG3106">
        <v>0</v>
      </c>
      <c r="AH3106">
        <v>0</v>
      </c>
      <c r="AI3106">
        <v>28.23</v>
      </c>
      <c r="AJ3106">
        <v>156.84</v>
      </c>
      <c r="AK3106">
        <v>0</v>
      </c>
      <c r="AL3106" t="s">
        <v>53</v>
      </c>
      <c r="AM3106" t="s">
        <v>53</v>
      </c>
      <c r="AN3106" t="s">
        <v>53</v>
      </c>
      <c r="AO3106" t="s">
        <v>53</v>
      </c>
      <c r="AP3106" t="s">
        <v>53</v>
      </c>
    </row>
    <row r="3107" spans="2:42" x14ac:dyDescent="0.2">
      <c r="B3107" t="s">
        <v>44</v>
      </c>
      <c r="C3107" t="str">
        <f>HYPERLINK("https://us2.cloudbeds.com/connect/8493803454333002#/reservations/19381342294154?display=DPP776H14&amp;reservation_id=19381342294154", "DPP776H14")</f>
        <v>DPP776H14</v>
      </c>
      <c r="D3107" t="s">
        <v>45</v>
      </c>
      <c r="E3107" t="s">
        <v>138</v>
      </c>
      <c r="F3107" t="s">
        <v>70</v>
      </c>
      <c r="G3107" t="s">
        <v>48</v>
      </c>
      <c r="H3107" t="s">
        <v>49</v>
      </c>
      <c r="I3107" t="s">
        <v>50</v>
      </c>
      <c r="J3107" t="s">
        <v>3339</v>
      </c>
      <c r="K3107" t="s">
        <v>3232</v>
      </c>
      <c r="L3107" t="s">
        <v>53</v>
      </c>
      <c r="N3107" t="s">
        <v>5043</v>
      </c>
      <c r="P3107" t="s">
        <v>55</v>
      </c>
      <c r="R3107" t="s">
        <v>53</v>
      </c>
      <c r="T3107" t="s">
        <v>5044</v>
      </c>
      <c r="U3107" t="s">
        <v>58</v>
      </c>
      <c r="V3107">
        <v>1</v>
      </c>
      <c r="W3107">
        <v>1</v>
      </c>
      <c r="X3107">
        <v>1</v>
      </c>
      <c r="Y3107">
        <v>0</v>
      </c>
      <c r="Z3107">
        <v>1</v>
      </c>
      <c r="AA3107">
        <v>0</v>
      </c>
      <c r="AB3107">
        <v>117.07</v>
      </c>
      <c r="AC3107">
        <v>103</v>
      </c>
      <c r="AD3107">
        <v>0</v>
      </c>
      <c r="AE3107">
        <v>14.07</v>
      </c>
      <c r="AF3107">
        <v>0</v>
      </c>
      <c r="AG3107">
        <v>0</v>
      </c>
      <c r="AH3107">
        <v>0</v>
      </c>
      <c r="AI3107">
        <v>21.07</v>
      </c>
      <c r="AJ3107">
        <v>117.07</v>
      </c>
      <c r="AK3107">
        <v>0</v>
      </c>
      <c r="AL3107" t="s">
        <v>53</v>
      </c>
      <c r="AM3107" t="s">
        <v>53</v>
      </c>
      <c r="AN3107" t="s">
        <v>53</v>
      </c>
      <c r="AO3107" t="s">
        <v>53</v>
      </c>
      <c r="AP3107" t="s">
        <v>53</v>
      </c>
    </row>
    <row r="3108" spans="2:42" x14ac:dyDescent="0.2">
      <c r="B3108" t="s">
        <v>44</v>
      </c>
      <c r="C3108" t="str">
        <f>HYPERLINK("https://us2.cloudbeds.com/connect/8493803454333002#/reservations/19380391727284?display=DPZFUYJHF&amp;reservation_id=19380391727284", "DPZFUYJHF")</f>
        <v>DPZFUYJHF</v>
      </c>
      <c r="D3108" t="s">
        <v>45</v>
      </c>
      <c r="E3108" t="s">
        <v>128</v>
      </c>
      <c r="F3108" t="s">
        <v>86</v>
      </c>
      <c r="G3108" t="s">
        <v>48</v>
      </c>
      <c r="H3108" t="s">
        <v>49</v>
      </c>
      <c r="I3108" t="s">
        <v>62</v>
      </c>
      <c r="J3108" t="s">
        <v>1405</v>
      </c>
      <c r="K3108" t="s">
        <v>1555</v>
      </c>
      <c r="L3108" t="s">
        <v>53</v>
      </c>
      <c r="N3108" t="s">
        <v>5045</v>
      </c>
      <c r="P3108" t="s">
        <v>55</v>
      </c>
      <c r="R3108" t="s">
        <v>56</v>
      </c>
      <c r="T3108" t="s">
        <v>5046</v>
      </c>
      <c r="U3108" t="s">
        <v>55</v>
      </c>
      <c r="V3108">
        <v>2</v>
      </c>
      <c r="W3108">
        <v>1</v>
      </c>
      <c r="X3108">
        <v>2</v>
      </c>
      <c r="Y3108">
        <v>0</v>
      </c>
      <c r="Z3108">
        <v>2</v>
      </c>
      <c r="AA3108">
        <v>0</v>
      </c>
      <c r="AB3108">
        <v>361.41</v>
      </c>
      <c r="AC3108">
        <v>318</v>
      </c>
      <c r="AD3108">
        <v>0</v>
      </c>
      <c r="AE3108">
        <v>43.41</v>
      </c>
      <c r="AF3108">
        <v>0</v>
      </c>
      <c r="AG3108">
        <v>0</v>
      </c>
      <c r="AH3108">
        <v>0</v>
      </c>
      <c r="AI3108">
        <v>54.21</v>
      </c>
      <c r="AJ3108">
        <v>361.41</v>
      </c>
      <c r="AK3108">
        <v>0</v>
      </c>
      <c r="AL3108" t="s">
        <v>53</v>
      </c>
      <c r="AM3108" t="s">
        <v>53</v>
      </c>
      <c r="AN3108" t="s">
        <v>53</v>
      </c>
      <c r="AO3108" t="s">
        <v>53</v>
      </c>
      <c r="AP3108" t="s">
        <v>53</v>
      </c>
    </row>
    <row r="3109" spans="2:42" x14ac:dyDescent="0.2">
      <c r="B3109" t="s">
        <v>44</v>
      </c>
      <c r="C3109" t="str">
        <f>HYPERLINK("https://us2.cloudbeds.com/connect/8493803454333002#/reservations/19395042975873?display=DQ2R9W5WE&amp;reservation_id=19395042975873", "DQ2R9W5WE")</f>
        <v>DQ2R9W5WE</v>
      </c>
      <c r="D3109" t="s">
        <v>45</v>
      </c>
      <c r="E3109" t="s">
        <v>179</v>
      </c>
      <c r="F3109" t="s">
        <v>47</v>
      </c>
      <c r="G3109" t="s">
        <v>48</v>
      </c>
      <c r="H3109" t="s">
        <v>3957</v>
      </c>
      <c r="I3109" t="s">
        <v>3958</v>
      </c>
      <c r="J3109" t="s">
        <v>1405</v>
      </c>
      <c r="K3109" t="s">
        <v>2314</v>
      </c>
      <c r="L3109" t="s">
        <v>53</v>
      </c>
      <c r="P3109" t="s">
        <v>58</v>
      </c>
      <c r="R3109" t="s">
        <v>56</v>
      </c>
      <c r="T3109" t="s">
        <v>5047</v>
      </c>
      <c r="U3109" t="s">
        <v>58</v>
      </c>
      <c r="V3109">
        <v>1</v>
      </c>
      <c r="W3109">
        <v>1</v>
      </c>
      <c r="X3109">
        <v>1</v>
      </c>
      <c r="Y3109">
        <v>0</v>
      </c>
      <c r="Z3109">
        <v>1</v>
      </c>
      <c r="AA3109">
        <v>0</v>
      </c>
      <c r="AB3109">
        <v>147.75</v>
      </c>
      <c r="AC3109">
        <v>130</v>
      </c>
      <c r="AD3109">
        <v>0</v>
      </c>
      <c r="AE3109">
        <v>17.75</v>
      </c>
      <c r="AF3109">
        <v>0</v>
      </c>
      <c r="AG3109">
        <v>0</v>
      </c>
      <c r="AH3109">
        <v>0</v>
      </c>
      <c r="AI3109">
        <v>0</v>
      </c>
      <c r="AJ3109">
        <v>147.75</v>
      </c>
      <c r="AK3109">
        <v>0</v>
      </c>
      <c r="AL3109" t="s">
        <v>53</v>
      </c>
      <c r="AM3109" t="s">
        <v>53</v>
      </c>
      <c r="AN3109" t="s">
        <v>53</v>
      </c>
      <c r="AO3109" t="s">
        <v>53</v>
      </c>
      <c r="AP3109" t="s">
        <v>53</v>
      </c>
    </row>
    <row r="3110" spans="2:42" x14ac:dyDescent="0.2">
      <c r="B3110" t="s">
        <v>44</v>
      </c>
      <c r="C3110" t="str">
        <f>HYPERLINK("https://us2.cloudbeds.com/connect/8493803454333002#/reservations/19438451593458?display=DR3EG8VGH&amp;reservation_id=19438451593458", "DR3EG8VGH")</f>
        <v>DR3EG8VGH</v>
      </c>
      <c r="D3110" t="s">
        <v>45</v>
      </c>
      <c r="E3110" t="s">
        <v>69</v>
      </c>
      <c r="F3110" t="s">
        <v>70</v>
      </c>
      <c r="G3110" t="s">
        <v>48</v>
      </c>
      <c r="H3110" t="s">
        <v>49</v>
      </c>
      <c r="I3110" t="s">
        <v>62</v>
      </c>
      <c r="J3110" t="s">
        <v>1406</v>
      </c>
      <c r="K3110" t="s">
        <v>1556</v>
      </c>
      <c r="L3110" t="s">
        <v>53</v>
      </c>
      <c r="N3110" t="s">
        <v>5048</v>
      </c>
      <c r="P3110" t="s">
        <v>55</v>
      </c>
      <c r="R3110" t="s">
        <v>56</v>
      </c>
      <c r="T3110" t="s">
        <v>5049</v>
      </c>
      <c r="U3110" t="s">
        <v>55</v>
      </c>
      <c r="V3110">
        <v>1</v>
      </c>
      <c r="W3110">
        <v>1</v>
      </c>
      <c r="X3110">
        <v>2</v>
      </c>
      <c r="Y3110">
        <v>0</v>
      </c>
      <c r="Z3110">
        <v>2</v>
      </c>
      <c r="AA3110">
        <v>0</v>
      </c>
      <c r="AB3110">
        <v>182.98</v>
      </c>
      <c r="AC3110">
        <v>161</v>
      </c>
      <c r="AD3110">
        <v>0</v>
      </c>
      <c r="AE3110">
        <v>21.98</v>
      </c>
      <c r="AF3110">
        <v>0</v>
      </c>
      <c r="AG3110">
        <v>0</v>
      </c>
      <c r="AH3110">
        <v>0</v>
      </c>
      <c r="AI3110">
        <v>27.45</v>
      </c>
      <c r="AJ3110">
        <v>182.98</v>
      </c>
      <c r="AK3110">
        <v>0</v>
      </c>
      <c r="AL3110" t="s">
        <v>53</v>
      </c>
      <c r="AM3110" t="s">
        <v>53</v>
      </c>
      <c r="AN3110" t="s">
        <v>53</v>
      </c>
      <c r="AO3110" t="s">
        <v>53</v>
      </c>
      <c r="AP3110" t="s">
        <v>53</v>
      </c>
    </row>
    <row r="3111" spans="2:42" x14ac:dyDescent="0.2">
      <c r="B3111" t="s">
        <v>44</v>
      </c>
      <c r="C3111" t="str">
        <f>HYPERLINK("https://us2.cloudbeds.com/connect/8493803454333002#/reservations/19432834969831?display=DQW2W641X&amp;reservation_id=19432834969831", "DQW2W641X")</f>
        <v>DQW2W641X</v>
      </c>
      <c r="D3111" t="s">
        <v>45</v>
      </c>
      <c r="E3111" t="s">
        <v>190</v>
      </c>
      <c r="F3111" t="s">
        <v>61</v>
      </c>
      <c r="G3111" t="s">
        <v>48</v>
      </c>
      <c r="H3111" t="s">
        <v>3957</v>
      </c>
      <c r="I3111" t="s">
        <v>3975</v>
      </c>
      <c r="J3111" t="s">
        <v>1555</v>
      </c>
      <c r="K3111" t="s">
        <v>1406</v>
      </c>
      <c r="L3111" t="s">
        <v>53</v>
      </c>
      <c r="P3111" t="s">
        <v>58</v>
      </c>
      <c r="R3111" t="s">
        <v>56</v>
      </c>
      <c r="T3111" t="s">
        <v>5050</v>
      </c>
      <c r="U3111" t="s">
        <v>58</v>
      </c>
      <c r="V3111">
        <v>1</v>
      </c>
      <c r="W3111">
        <v>1</v>
      </c>
      <c r="X3111">
        <v>2</v>
      </c>
      <c r="Y3111">
        <v>0</v>
      </c>
      <c r="Z3111">
        <v>2</v>
      </c>
      <c r="AA3111">
        <v>0</v>
      </c>
      <c r="AB3111">
        <v>196.62</v>
      </c>
      <c r="AC3111">
        <v>173</v>
      </c>
      <c r="AD3111">
        <v>0</v>
      </c>
      <c r="AE3111">
        <v>23.62</v>
      </c>
      <c r="AF3111">
        <v>0</v>
      </c>
      <c r="AG3111">
        <v>0</v>
      </c>
      <c r="AH3111">
        <v>0</v>
      </c>
      <c r="AI3111">
        <v>0</v>
      </c>
      <c r="AJ3111">
        <v>196.62</v>
      </c>
      <c r="AK3111">
        <v>0</v>
      </c>
      <c r="AL3111" t="s">
        <v>53</v>
      </c>
      <c r="AM3111" t="s">
        <v>53</v>
      </c>
      <c r="AN3111" t="s">
        <v>53</v>
      </c>
      <c r="AO3111" t="s">
        <v>53</v>
      </c>
      <c r="AP3111" t="s">
        <v>53</v>
      </c>
    </row>
    <row r="3112" spans="2:42" x14ac:dyDescent="0.2">
      <c r="B3112" t="s">
        <v>44</v>
      </c>
      <c r="C3112" t="str">
        <f>HYPERLINK("https://us2.cloudbeds.com/connect/8493803454333002#/reservations/19443130650857?display=DR721PKJM&amp;reservation_id=19443130650857", "DR721PKJM")</f>
        <v>DR721PKJM</v>
      </c>
      <c r="D3112" t="s">
        <v>45</v>
      </c>
      <c r="E3112" t="s">
        <v>305</v>
      </c>
      <c r="F3112" t="s">
        <v>61</v>
      </c>
      <c r="G3112" t="s">
        <v>48</v>
      </c>
      <c r="H3112" t="s">
        <v>49</v>
      </c>
      <c r="I3112" t="s">
        <v>50</v>
      </c>
      <c r="J3112" t="s">
        <v>1555</v>
      </c>
      <c r="K3112" t="s">
        <v>1406</v>
      </c>
      <c r="L3112" t="s">
        <v>53</v>
      </c>
      <c r="N3112" t="s">
        <v>5051</v>
      </c>
      <c r="P3112" t="s">
        <v>55</v>
      </c>
      <c r="R3112" t="s">
        <v>56</v>
      </c>
      <c r="T3112" t="s">
        <v>5052</v>
      </c>
      <c r="U3112" t="s">
        <v>58</v>
      </c>
      <c r="V3112">
        <v>1</v>
      </c>
      <c r="W3112">
        <v>1</v>
      </c>
      <c r="X3112">
        <v>1</v>
      </c>
      <c r="Y3112">
        <v>0</v>
      </c>
      <c r="Z3112">
        <v>1</v>
      </c>
      <c r="AA3112">
        <v>0</v>
      </c>
      <c r="AB3112">
        <v>196.62</v>
      </c>
      <c r="AC3112">
        <v>173</v>
      </c>
      <c r="AD3112">
        <v>0</v>
      </c>
      <c r="AE3112">
        <v>23.62</v>
      </c>
      <c r="AF3112">
        <v>0</v>
      </c>
      <c r="AG3112">
        <v>0</v>
      </c>
      <c r="AH3112">
        <v>0</v>
      </c>
      <c r="AI3112">
        <v>35.39</v>
      </c>
      <c r="AJ3112">
        <v>196.62</v>
      </c>
      <c r="AK3112">
        <v>0</v>
      </c>
      <c r="AL3112" t="s">
        <v>53</v>
      </c>
      <c r="AM3112" t="s">
        <v>53</v>
      </c>
      <c r="AN3112" t="s">
        <v>53</v>
      </c>
      <c r="AO3112" t="s">
        <v>53</v>
      </c>
      <c r="AP3112" t="s">
        <v>53</v>
      </c>
    </row>
    <row r="3113" spans="2:42" x14ac:dyDescent="0.2">
      <c r="B3113" t="s">
        <v>44</v>
      </c>
      <c r="C3113" t="str">
        <f>HYPERLINK("https://us2.cloudbeds.com/connect/8493803454333002#/reservations/19457739104476?display=DRXCB0CXC&amp;reservation_id=19457739104476", "DRXCB0CXC")</f>
        <v>DRXCB0CXC</v>
      </c>
      <c r="D3113" t="s">
        <v>45</v>
      </c>
      <c r="E3113" t="s">
        <v>121</v>
      </c>
      <c r="F3113" t="s">
        <v>86</v>
      </c>
      <c r="G3113" t="s">
        <v>48</v>
      </c>
      <c r="H3113" t="s">
        <v>3957</v>
      </c>
      <c r="I3113" t="s">
        <v>3989</v>
      </c>
      <c r="J3113" t="s">
        <v>1405</v>
      </c>
      <c r="K3113" t="s">
        <v>2314</v>
      </c>
      <c r="L3113" t="s">
        <v>53</v>
      </c>
      <c r="P3113" t="s">
        <v>55</v>
      </c>
      <c r="R3113" t="s">
        <v>56</v>
      </c>
      <c r="T3113" t="s">
        <v>5053</v>
      </c>
      <c r="U3113" t="s">
        <v>58</v>
      </c>
      <c r="V3113">
        <v>1</v>
      </c>
      <c r="W3113">
        <v>1</v>
      </c>
      <c r="X3113">
        <v>1</v>
      </c>
      <c r="Y3113">
        <v>0</v>
      </c>
      <c r="Z3113">
        <v>1</v>
      </c>
      <c r="AA3113">
        <v>0</v>
      </c>
      <c r="AB3113">
        <v>156.84</v>
      </c>
      <c r="AC3113">
        <v>138</v>
      </c>
      <c r="AD3113">
        <v>0</v>
      </c>
      <c r="AE3113">
        <v>18.84</v>
      </c>
      <c r="AF3113">
        <v>0</v>
      </c>
      <c r="AG3113">
        <v>0</v>
      </c>
      <c r="AH3113">
        <v>0</v>
      </c>
      <c r="AI3113">
        <v>0</v>
      </c>
      <c r="AJ3113">
        <v>156.84</v>
      </c>
      <c r="AK3113">
        <v>0</v>
      </c>
      <c r="AL3113" t="s">
        <v>53</v>
      </c>
      <c r="AM3113" t="s">
        <v>53</v>
      </c>
      <c r="AN3113" t="s">
        <v>53</v>
      </c>
      <c r="AO3113" t="s">
        <v>53</v>
      </c>
      <c r="AP3113" t="s">
        <v>53</v>
      </c>
    </row>
    <row r="3114" spans="2:42" x14ac:dyDescent="0.2">
      <c r="B3114" t="s">
        <v>44</v>
      </c>
      <c r="C3114" t="str">
        <f>HYPERLINK("https://us2.cloudbeds.com/connect/8493803454333002#/reservations/19463301095578?display=DRMMF0WD9&amp;reservation_id=19463301095578", "DRMMF0WD9")</f>
        <v>DRMMF0WD9</v>
      </c>
      <c r="D3114" t="s">
        <v>45</v>
      </c>
      <c r="E3114" t="s">
        <v>373</v>
      </c>
      <c r="F3114" t="s">
        <v>47</v>
      </c>
      <c r="G3114" t="s">
        <v>4520</v>
      </c>
      <c r="H3114" t="s">
        <v>3957</v>
      </c>
      <c r="I3114" t="s">
        <v>3958</v>
      </c>
      <c r="J3114" t="s">
        <v>1405</v>
      </c>
      <c r="K3114" t="s">
        <v>2314</v>
      </c>
      <c r="L3114" t="s">
        <v>53</v>
      </c>
      <c r="P3114" t="s">
        <v>55</v>
      </c>
      <c r="R3114" t="s">
        <v>56</v>
      </c>
      <c r="T3114" t="s">
        <v>5054</v>
      </c>
      <c r="U3114" t="s">
        <v>58</v>
      </c>
      <c r="V3114">
        <v>1</v>
      </c>
      <c r="W3114">
        <v>1</v>
      </c>
      <c r="X3114">
        <v>1</v>
      </c>
      <c r="Y3114">
        <v>0</v>
      </c>
      <c r="Z3114">
        <v>1</v>
      </c>
      <c r="AA3114">
        <v>0</v>
      </c>
      <c r="AB3114">
        <v>149.34</v>
      </c>
      <c r="AC3114">
        <v>131.4</v>
      </c>
      <c r="AD3114">
        <v>0</v>
      </c>
      <c r="AE3114">
        <v>17.940000000000001</v>
      </c>
      <c r="AF3114">
        <v>0</v>
      </c>
      <c r="AG3114">
        <v>0</v>
      </c>
      <c r="AH3114">
        <v>0</v>
      </c>
      <c r="AI3114">
        <v>0</v>
      </c>
      <c r="AJ3114">
        <v>149.34</v>
      </c>
      <c r="AK3114">
        <v>0</v>
      </c>
      <c r="AL3114" t="s">
        <v>53</v>
      </c>
      <c r="AM3114" t="s">
        <v>53</v>
      </c>
      <c r="AN3114" t="s">
        <v>53</v>
      </c>
      <c r="AO3114" t="s">
        <v>53</v>
      </c>
      <c r="AP3114" t="s">
        <v>53</v>
      </c>
    </row>
    <row r="3115" spans="2:42" x14ac:dyDescent="0.2">
      <c r="B3115" t="s">
        <v>44</v>
      </c>
      <c r="C3115" t="str">
        <f>HYPERLINK("https://us2.cloudbeds.com/connect/8493803454333002#/reservations/19476618301586?display=DRWWZESNG&amp;reservation_id=19476618301586", "DRWWZESNG")</f>
        <v>DRWWZESNG</v>
      </c>
      <c r="D3115" t="s">
        <v>45</v>
      </c>
      <c r="E3115" t="s">
        <v>46</v>
      </c>
      <c r="F3115" t="s">
        <v>47</v>
      </c>
      <c r="G3115" t="s">
        <v>48</v>
      </c>
      <c r="H3115" t="s">
        <v>49</v>
      </c>
      <c r="I3115" t="s">
        <v>62</v>
      </c>
      <c r="J3115" t="s">
        <v>1405</v>
      </c>
      <c r="K3115" t="s">
        <v>2314</v>
      </c>
      <c r="L3115" t="s">
        <v>53</v>
      </c>
      <c r="N3115" t="s">
        <v>5055</v>
      </c>
      <c r="P3115" t="s">
        <v>55</v>
      </c>
      <c r="R3115" t="s">
        <v>56</v>
      </c>
      <c r="T3115" t="s">
        <v>5056</v>
      </c>
      <c r="U3115" t="s">
        <v>55</v>
      </c>
      <c r="V3115">
        <v>1</v>
      </c>
      <c r="W3115">
        <v>1</v>
      </c>
      <c r="X3115">
        <v>2</v>
      </c>
      <c r="Y3115">
        <v>0</v>
      </c>
      <c r="Z3115">
        <v>2</v>
      </c>
      <c r="AA3115">
        <v>0</v>
      </c>
      <c r="AB3115">
        <v>165.93</v>
      </c>
      <c r="AC3115">
        <v>146</v>
      </c>
      <c r="AD3115">
        <v>0</v>
      </c>
      <c r="AE3115">
        <v>19.93</v>
      </c>
      <c r="AF3115">
        <v>0</v>
      </c>
      <c r="AG3115">
        <v>0</v>
      </c>
      <c r="AH3115">
        <v>0</v>
      </c>
      <c r="AI3115">
        <v>24.89</v>
      </c>
      <c r="AJ3115">
        <v>165.93</v>
      </c>
      <c r="AK3115">
        <v>0</v>
      </c>
      <c r="AL3115" t="s">
        <v>53</v>
      </c>
      <c r="AM3115" t="s">
        <v>53</v>
      </c>
      <c r="AN3115" t="s">
        <v>53</v>
      </c>
      <c r="AO3115" t="s">
        <v>53</v>
      </c>
      <c r="AP3115" t="s">
        <v>53</v>
      </c>
    </row>
    <row r="3116" spans="2:42" x14ac:dyDescent="0.2">
      <c r="B3116" t="s">
        <v>44</v>
      </c>
      <c r="C3116" t="str">
        <f>HYPERLINK("https://us2.cloudbeds.com/connect/8493803454333002#/reservations/19481281093769?display=DS3JT7UTA&amp;reservation_id=19481281093769", "DS3JT7UTA")</f>
        <v>DS3JT7UTA</v>
      </c>
      <c r="D3116" t="s">
        <v>45</v>
      </c>
      <c r="E3116" t="s">
        <v>223</v>
      </c>
      <c r="F3116" t="s">
        <v>47</v>
      </c>
      <c r="G3116" t="s">
        <v>48</v>
      </c>
      <c r="H3116" t="s">
        <v>3957</v>
      </c>
      <c r="I3116" t="s">
        <v>3958</v>
      </c>
      <c r="J3116" t="s">
        <v>1405</v>
      </c>
      <c r="K3116" t="s">
        <v>2314</v>
      </c>
      <c r="L3116" t="s">
        <v>53</v>
      </c>
      <c r="P3116" t="s">
        <v>55</v>
      </c>
      <c r="R3116" t="s">
        <v>56</v>
      </c>
      <c r="T3116" t="s">
        <v>5057</v>
      </c>
      <c r="U3116" t="s">
        <v>58</v>
      </c>
      <c r="V3116">
        <v>1</v>
      </c>
      <c r="W3116">
        <v>1</v>
      </c>
      <c r="X3116">
        <v>1</v>
      </c>
      <c r="Y3116">
        <v>0</v>
      </c>
      <c r="Z3116">
        <v>1</v>
      </c>
      <c r="AA3116">
        <v>0</v>
      </c>
      <c r="AB3116">
        <v>165.93</v>
      </c>
      <c r="AC3116">
        <v>146</v>
      </c>
      <c r="AD3116">
        <v>0</v>
      </c>
      <c r="AE3116">
        <v>19.93</v>
      </c>
      <c r="AF3116">
        <v>0</v>
      </c>
      <c r="AG3116">
        <v>0</v>
      </c>
      <c r="AH3116">
        <v>0</v>
      </c>
      <c r="AI3116">
        <v>0</v>
      </c>
      <c r="AJ3116">
        <v>165.93</v>
      </c>
      <c r="AK3116">
        <v>0</v>
      </c>
      <c r="AL3116" t="s">
        <v>53</v>
      </c>
      <c r="AM3116" t="s">
        <v>53</v>
      </c>
      <c r="AN3116" t="s">
        <v>53</v>
      </c>
      <c r="AO3116" t="s">
        <v>53</v>
      </c>
      <c r="AP3116" t="s">
        <v>53</v>
      </c>
    </row>
    <row r="3117" spans="2:42" x14ac:dyDescent="0.2">
      <c r="B3117" t="s">
        <v>44</v>
      </c>
      <c r="C3117" t="str">
        <f>HYPERLINK("https://us2.cloudbeds.com/connect/8493803454333002#/reservations/19660398022830?display=DWA9ZCHAE&amp;reservation_id=19660398022830", "DWA9ZCHAE")</f>
        <v>DWA9ZCHAE</v>
      </c>
      <c r="D3117" t="s">
        <v>45</v>
      </c>
      <c r="E3117" t="s">
        <v>179</v>
      </c>
      <c r="F3117" t="s">
        <v>47</v>
      </c>
      <c r="G3117" t="s">
        <v>48</v>
      </c>
      <c r="H3117" t="s">
        <v>49</v>
      </c>
      <c r="I3117" t="s">
        <v>50</v>
      </c>
      <c r="J3117" t="s">
        <v>2314</v>
      </c>
      <c r="K3117" t="s">
        <v>1555</v>
      </c>
      <c r="L3117" t="s">
        <v>53</v>
      </c>
      <c r="N3117" t="s">
        <v>5058</v>
      </c>
      <c r="P3117" t="s">
        <v>55</v>
      </c>
      <c r="R3117" t="s">
        <v>53</v>
      </c>
      <c r="T3117" t="s">
        <v>5059</v>
      </c>
      <c r="U3117" t="s">
        <v>58</v>
      </c>
      <c r="V3117">
        <v>1</v>
      </c>
      <c r="W3117">
        <v>1</v>
      </c>
      <c r="X3117">
        <v>2</v>
      </c>
      <c r="Y3117">
        <v>0</v>
      </c>
      <c r="Z3117">
        <v>2</v>
      </c>
      <c r="AA3117">
        <v>0</v>
      </c>
      <c r="AB3117">
        <v>192.07</v>
      </c>
      <c r="AC3117">
        <v>169</v>
      </c>
      <c r="AD3117">
        <v>0</v>
      </c>
      <c r="AE3117">
        <v>23.07</v>
      </c>
      <c r="AF3117">
        <v>0</v>
      </c>
      <c r="AG3117">
        <v>0</v>
      </c>
      <c r="AH3117">
        <v>0</v>
      </c>
      <c r="AI3117">
        <v>34.57</v>
      </c>
      <c r="AJ3117">
        <v>192.07</v>
      </c>
      <c r="AK3117">
        <v>0</v>
      </c>
      <c r="AL3117" t="s">
        <v>53</v>
      </c>
      <c r="AM3117" t="s">
        <v>53</v>
      </c>
      <c r="AN3117" t="s">
        <v>53</v>
      </c>
      <c r="AO3117" t="s">
        <v>53</v>
      </c>
      <c r="AP3117" t="s">
        <v>53</v>
      </c>
    </row>
    <row r="3118" spans="2:42" x14ac:dyDescent="0.2">
      <c r="B3118" t="s">
        <v>44</v>
      </c>
      <c r="C3118" t="str">
        <f>HYPERLINK("https://us2.cloudbeds.com/connect/8493803454333002#/reservations/19728736792753?display=E0U6VEHN9&amp;reservation_id=19728736792753", "E0U6VEHN9")</f>
        <v>E0U6VEHN9</v>
      </c>
      <c r="D3118" t="s">
        <v>45</v>
      </c>
      <c r="E3118" t="s">
        <v>5060</v>
      </c>
      <c r="F3118" t="s">
        <v>86</v>
      </c>
      <c r="G3118" t="s">
        <v>48</v>
      </c>
      <c r="H3118" t="s">
        <v>3957</v>
      </c>
      <c r="I3118" t="s">
        <v>3989</v>
      </c>
      <c r="J3118" t="s">
        <v>1555</v>
      </c>
      <c r="K3118" t="s">
        <v>1406</v>
      </c>
      <c r="L3118" t="s">
        <v>53</v>
      </c>
      <c r="P3118" t="s">
        <v>55</v>
      </c>
      <c r="R3118" t="s">
        <v>56</v>
      </c>
      <c r="T3118" t="s">
        <v>5061</v>
      </c>
      <c r="U3118" t="s">
        <v>58</v>
      </c>
      <c r="V3118">
        <v>2</v>
      </c>
      <c r="W3118">
        <v>2</v>
      </c>
      <c r="X3118">
        <v>2</v>
      </c>
      <c r="Y3118">
        <v>0</v>
      </c>
      <c r="Z3118">
        <v>2</v>
      </c>
      <c r="AA3118">
        <v>0</v>
      </c>
      <c r="AB3118">
        <v>509.14</v>
      </c>
      <c r="AC3118">
        <v>460</v>
      </c>
      <c r="AD3118">
        <v>0</v>
      </c>
      <c r="AE3118">
        <v>49.14</v>
      </c>
      <c r="AF3118">
        <v>0</v>
      </c>
      <c r="AG3118">
        <v>0</v>
      </c>
      <c r="AH3118">
        <v>0</v>
      </c>
      <c r="AI3118">
        <v>0</v>
      </c>
      <c r="AJ3118">
        <v>509.14</v>
      </c>
      <c r="AK3118">
        <v>0</v>
      </c>
      <c r="AL3118" t="s">
        <v>53</v>
      </c>
      <c r="AM3118" t="s">
        <v>53</v>
      </c>
      <c r="AN3118" t="s">
        <v>53</v>
      </c>
      <c r="AO3118" t="s">
        <v>53</v>
      </c>
      <c r="AP3118" t="s">
        <v>53</v>
      </c>
    </row>
    <row r="3119" spans="2:42" x14ac:dyDescent="0.2">
      <c r="B3119" t="s">
        <v>44</v>
      </c>
      <c r="C3119" t="str">
        <f>HYPERLINK("https://us2.cloudbeds.com/connect/8493803454333002#/reservations/19914816991482?display=E599Z6C55&amp;reservation_id=19914816991482", "E599Z6C55")</f>
        <v>E599Z6C55</v>
      </c>
      <c r="D3119" t="s">
        <v>45</v>
      </c>
      <c r="E3119" t="s">
        <v>179</v>
      </c>
      <c r="F3119" t="s">
        <v>47</v>
      </c>
      <c r="G3119" t="s">
        <v>48</v>
      </c>
      <c r="H3119" t="s">
        <v>49</v>
      </c>
      <c r="I3119" t="s">
        <v>50</v>
      </c>
      <c r="J3119" t="s">
        <v>1556</v>
      </c>
      <c r="K3119" t="s">
        <v>2634</v>
      </c>
      <c r="L3119" t="s">
        <v>53</v>
      </c>
      <c r="N3119" t="s">
        <v>5062</v>
      </c>
      <c r="P3119" t="s">
        <v>55</v>
      </c>
      <c r="R3119" t="s">
        <v>53</v>
      </c>
      <c r="T3119" t="s">
        <v>5063</v>
      </c>
      <c r="U3119" t="s">
        <v>58</v>
      </c>
      <c r="V3119">
        <v>1</v>
      </c>
      <c r="W3119">
        <v>1</v>
      </c>
      <c r="X3119">
        <v>1</v>
      </c>
      <c r="Y3119">
        <v>1</v>
      </c>
      <c r="Z3119">
        <v>2</v>
      </c>
      <c r="AA3119">
        <v>0</v>
      </c>
      <c r="AB3119">
        <v>192.07</v>
      </c>
      <c r="AC3119">
        <v>169</v>
      </c>
      <c r="AD3119">
        <v>0</v>
      </c>
      <c r="AE3119">
        <v>23.07</v>
      </c>
      <c r="AF3119">
        <v>0</v>
      </c>
      <c r="AG3119">
        <v>0</v>
      </c>
      <c r="AH3119">
        <v>0</v>
      </c>
      <c r="AI3119">
        <v>34.57</v>
      </c>
      <c r="AJ3119">
        <v>192.07</v>
      </c>
      <c r="AK3119">
        <v>0</v>
      </c>
      <c r="AL3119" t="s">
        <v>53</v>
      </c>
      <c r="AM3119" t="s">
        <v>53</v>
      </c>
      <c r="AN3119" t="s">
        <v>53</v>
      </c>
      <c r="AO3119" t="s">
        <v>53</v>
      </c>
      <c r="AP3119" t="s">
        <v>53</v>
      </c>
    </row>
    <row r="3120" spans="2:42" x14ac:dyDescent="0.2">
      <c r="B3120" t="s">
        <v>44</v>
      </c>
      <c r="C3120" t="str">
        <f>HYPERLINK("https://us2.cloudbeds.com/connect/8493803454333002#/reservations/19914823958728?display=E599U27WR&amp;reservation_id=19914823958728", "E599U27WR")</f>
        <v>E599U27WR</v>
      </c>
      <c r="D3120" t="s">
        <v>45</v>
      </c>
      <c r="E3120" t="s">
        <v>373</v>
      </c>
      <c r="F3120" t="s">
        <v>47</v>
      </c>
      <c r="G3120" t="s">
        <v>48</v>
      </c>
      <c r="H3120" t="s">
        <v>49</v>
      </c>
      <c r="I3120" t="s">
        <v>50</v>
      </c>
      <c r="J3120" t="s">
        <v>1556</v>
      </c>
      <c r="K3120" t="s">
        <v>2634</v>
      </c>
      <c r="L3120" t="s">
        <v>53</v>
      </c>
      <c r="N3120" t="s">
        <v>5064</v>
      </c>
      <c r="P3120" t="s">
        <v>55</v>
      </c>
      <c r="R3120" t="s">
        <v>53</v>
      </c>
      <c r="T3120" t="s">
        <v>5065</v>
      </c>
      <c r="U3120" t="s">
        <v>58</v>
      </c>
      <c r="V3120">
        <v>1</v>
      </c>
      <c r="W3120">
        <v>1</v>
      </c>
      <c r="X3120">
        <v>1</v>
      </c>
      <c r="Y3120">
        <v>1</v>
      </c>
      <c r="Z3120">
        <v>2</v>
      </c>
      <c r="AA3120">
        <v>0</v>
      </c>
      <c r="AB3120">
        <v>192.07</v>
      </c>
      <c r="AC3120">
        <v>169</v>
      </c>
      <c r="AD3120">
        <v>0</v>
      </c>
      <c r="AE3120">
        <v>23.07</v>
      </c>
      <c r="AF3120">
        <v>0</v>
      </c>
      <c r="AG3120">
        <v>0</v>
      </c>
      <c r="AH3120">
        <v>0</v>
      </c>
      <c r="AI3120">
        <v>34.57</v>
      </c>
      <c r="AJ3120">
        <v>192.07</v>
      </c>
      <c r="AK3120">
        <v>0</v>
      </c>
      <c r="AL3120" t="s">
        <v>53</v>
      </c>
      <c r="AM3120" t="s">
        <v>53</v>
      </c>
      <c r="AN3120" t="s">
        <v>53</v>
      </c>
      <c r="AO3120" t="s">
        <v>53</v>
      </c>
      <c r="AP3120" t="s">
        <v>53</v>
      </c>
    </row>
    <row r="3121" spans="2:42" x14ac:dyDescent="0.2">
      <c r="B3121" t="s">
        <v>44</v>
      </c>
      <c r="C3121" t="str">
        <f>HYPERLINK("https://us2.cloudbeds.com/connect/8493803454333002#/reservations/20075519856820?display=E91Z23G59&amp;reservation_id=20075519856820", "E91Z23G59")</f>
        <v>E91Z23G59</v>
      </c>
      <c r="D3121" t="s">
        <v>45</v>
      </c>
      <c r="E3121" t="s">
        <v>69</v>
      </c>
      <c r="F3121" t="s">
        <v>70</v>
      </c>
      <c r="G3121" t="s">
        <v>48</v>
      </c>
      <c r="H3121" t="s">
        <v>49</v>
      </c>
      <c r="I3121" t="s">
        <v>62</v>
      </c>
      <c r="J3121" t="s">
        <v>1555</v>
      </c>
      <c r="K3121" t="s">
        <v>1406</v>
      </c>
      <c r="L3121" t="s">
        <v>53</v>
      </c>
      <c r="N3121" t="s">
        <v>5066</v>
      </c>
      <c r="P3121" t="s">
        <v>55</v>
      </c>
      <c r="R3121" t="s">
        <v>56</v>
      </c>
      <c r="T3121" t="s">
        <v>5067</v>
      </c>
      <c r="U3121" t="s">
        <v>55</v>
      </c>
      <c r="V3121">
        <v>1</v>
      </c>
      <c r="W3121">
        <v>1</v>
      </c>
      <c r="X3121">
        <v>1</v>
      </c>
      <c r="Y3121">
        <v>0</v>
      </c>
      <c r="Z3121">
        <v>1</v>
      </c>
      <c r="AA3121">
        <v>0</v>
      </c>
      <c r="AB3121">
        <v>182.98</v>
      </c>
      <c r="AC3121">
        <v>161</v>
      </c>
      <c r="AD3121">
        <v>0</v>
      </c>
      <c r="AE3121">
        <v>21.98</v>
      </c>
      <c r="AF3121">
        <v>0</v>
      </c>
      <c r="AG3121">
        <v>0</v>
      </c>
      <c r="AH3121">
        <v>0</v>
      </c>
      <c r="AI3121">
        <v>27.45</v>
      </c>
      <c r="AJ3121">
        <v>182.98</v>
      </c>
      <c r="AK3121">
        <v>0</v>
      </c>
      <c r="AL3121" t="s">
        <v>53</v>
      </c>
      <c r="AM3121" t="s">
        <v>53</v>
      </c>
      <c r="AN3121" t="s">
        <v>53</v>
      </c>
      <c r="AO3121" t="s">
        <v>53</v>
      </c>
      <c r="AP3121" t="s">
        <v>53</v>
      </c>
    </row>
    <row r="3122" spans="2:42" x14ac:dyDescent="0.2">
      <c r="B3122" t="s">
        <v>44</v>
      </c>
      <c r="C3122" t="str">
        <f>HYPERLINK("https://us2.cloudbeds.com/connect/8493803454333002#/reservations/20134028562636?display=EAE136FZK&amp;reservation_id=20134028562636", "EAE136FZK")</f>
        <v>EAE136FZK</v>
      </c>
      <c r="D3122" t="s">
        <v>45</v>
      </c>
      <c r="E3122" t="s">
        <v>381</v>
      </c>
      <c r="F3122" t="s">
        <v>47</v>
      </c>
      <c r="G3122" t="s">
        <v>48</v>
      </c>
      <c r="H3122" t="s">
        <v>49</v>
      </c>
      <c r="I3122" t="s">
        <v>50</v>
      </c>
      <c r="J3122" t="s">
        <v>1556</v>
      </c>
      <c r="K3122" t="s">
        <v>2315</v>
      </c>
      <c r="L3122" t="s">
        <v>53</v>
      </c>
      <c r="N3122" t="s">
        <v>5068</v>
      </c>
      <c r="P3122" t="s">
        <v>55</v>
      </c>
      <c r="R3122" t="s">
        <v>53</v>
      </c>
      <c r="T3122" t="s">
        <v>5069</v>
      </c>
      <c r="U3122" t="s">
        <v>58</v>
      </c>
      <c r="V3122">
        <v>2</v>
      </c>
      <c r="W3122">
        <v>1</v>
      </c>
      <c r="X3122">
        <v>2</v>
      </c>
      <c r="Y3122">
        <v>0</v>
      </c>
      <c r="Z3122">
        <v>2</v>
      </c>
      <c r="AA3122">
        <v>0</v>
      </c>
      <c r="AB3122">
        <v>384.14</v>
      </c>
      <c r="AC3122">
        <v>338</v>
      </c>
      <c r="AD3122">
        <v>0</v>
      </c>
      <c r="AE3122">
        <v>46.14</v>
      </c>
      <c r="AF3122">
        <v>0</v>
      </c>
      <c r="AG3122">
        <v>0</v>
      </c>
      <c r="AH3122">
        <v>0</v>
      </c>
      <c r="AI3122">
        <v>69.150000000000006</v>
      </c>
      <c r="AJ3122">
        <v>384.14</v>
      </c>
      <c r="AK3122">
        <v>0</v>
      </c>
      <c r="AL3122" t="s">
        <v>53</v>
      </c>
      <c r="AM3122" t="s">
        <v>53</v>
      </c>
      <c r="AN3122" t="s">
        <v>53</v>
      </c>
      <c r="AO3122" t="s">
        <v>53</v>
      </c>
      <c r="AP3122" t="s">
        <v>53</v>
      </c>
    </row>
    <row r="3123" spans="2:42" x14ac:dyDescent="0.2">
      <c r="B3123" t="s">
        <v>44</v>
      </c>
      <c r="C3123" t="str">
        <f>HYPERLINK("https://us2.cloudbeds.com/connect/8493803454333002#/reservations/20137967333521?display=EAH2ZFJ83&amp;reservation_id=20137967333521", "EAH2ZFJ83")</f>
        <v>EAH2ZFJ83</v>
      </c>
      <c r="D3123" t="s">
        <v>45</v>
      </c>
      <c r="E3123" t="s">
        <v>138</v>
      </c>
      <c r="F3123" t="s">
        <v>70</v>
      </c>
      <c r="G3123" t="s">
        <v>48</v>
      </c>
      <c r="H3123" t="s">
        <v>49</v>
      </c>
      <c r="I3123" t="s">
        <v>62</v>
      </c>
      <c r="J3123" t="s">
        <v>2315</v>
      </c>
      <c r="K3123" t="s">
        <v>3196</v>
      </c>
      <c r="L3123" t="s">
        <v>53</v>
      </c>
      <c r="N3123" t="s">
        <v>5070</v>
      </c>
      <c r="P3123" t="s">
        <v>55</v>
      </c>
      <c r="R3123" t="s">
        <v>205</v>
      </c>
      <c r="T3123" t="s">
        <v>5071</v>
      </c>
      <c r="U3123" t="s">
        <v>55</v>
      </c>
      <c r="V3123">
        <v>1</v>
      </c>
      <c r="W3123">
        <v>1</v>
      </c>
      <c r="X3123">
        <v>2</v>
      </c>
      <c r="Y3123">
        <v>0</v>
      </c>
      <c r="Z3123">
        <v>2</v>
      </c>
      <c r="AA3123">
        <v>0</v>
      </c>
      <c r="AB3123">
        <v>167.07</v>
      </c>
      <c r="AC3123">
        <v>147</v>
      </c>
      <c r="AD3123">
        <v>0</v>
      </c>
      <c r="AE3123">
        <v>20.07</v>
      </c>
      <c r="AF3123">
        <v>0</v>
      </c>
      <c r="AG3123">
        <v>0</v>
      </c>
      <c r="AH3123">
        <v>0</v>
      </c>
      <c r="AI3123">
        <v>25.06</v>
      </c>
      <c r="AJ3123">
        <v>167.07</v>
      </c>
      <c r="AK3123">
        <v>0</v>
      </c>
      <c r="AL3123" t="s">
        <v>53</v>
      </c>
      <c r="AM3123" t="s">
        <v>53</v>
      </c>
      <c r="AN3123" t="s">
        <v>53</v>
      </c>
      <c r="AO3123" t="s">
        <v>53</v>
      </c>
      <c r="AP3123" t="s">
        <v>53</v>
      </c>
    </row>
    <row r="3124" spans="2:42" x14ac:dyDescent="0.2">
      <c r="B3124" t="s">
        <v>44</v>
      </c>
      <c r="C3124" t="str">
        <f>HYPERLINK("https://us2.cloudbeds.com/connect/8493803454333002#/reservations/20151012438212?display=EAR62ES2S&amp;reservation_id=20151012438212", "EAR62ES2S")</f>
        <v>EAR62ES2S</v>
      </c>
      <c r="D3124" t="s">
        <v>45</v>
      </c>
      <c r="E3124" t="s">
        <v>78</v>
      </c>
      <c r="F3124" t="s">
        <v>61</v>
      </c>
      <c r="G3124" t="s">
        <v>48</v>
      </c>
      <c r="H3124" t="s">
        <v>49</v>
      </c>
      <c r="I3124" t="s">
        <v>50</v>
      </c>
      <c r="J3124" t="s">
        <v>2315</v>
      </c>
      <c r="K3124" t="s">
        <v>3196</v>
      </c>
      <c r="L3124" t="s">
        <v>53</v>
      </c>
      <c r="N3124" t="s">
        <v>5072</v>
      </c>
      <c r="P3124" t="s">
        <v>55</v>
      </c>
      <c r="R3124" t="s">
        <v>53</v>
      </c>
      <c r="T3124" t="s">
        <v>5073</v>
      </c>
      <c r="U3124" t="s">
        <v>58</v>
      </c>
      <c r="V3124">
        <v>1</v>
      </c>
      <c r="W3124">
        <v>1</v>
      </c>
      <c r="X3124">
        <v>2</v>
      </c>
      <c r="Y3124">
        <v>0</v>
      </c>
      <c r="Z3124">
        <v>2</v>
      </c>
      <c r="AA3124">
        <v>0</v>
      </c>
      <c r="AB3124">
        <v>181.84</v>
      </c>
      <c r="AC3124">
        <v>160</v>
      </c>
      <c r="AD3124">
        <v>0</v>
      </c>
      <c r="AE3124">
        <v>21.84</v>
      </c>
      <c r="AF3124">
        <v>0</v>
      </c>
      <c r="AG3124">
        <v>0</v>
      </c>
      <c r="AH3124">
        <v>0</v>
      </c>
      <c r="AI3124">
        <v>32.729999999999997</v>
      </c>
      <c r="AJ3124">
        <v>181.84</v>
      </c>
      <c r="AK3124">
        <v>0</v>
      </c>
      <c r="AL3124" t="s">
        <v>53</v>
      </c>
      <c r="AM3124" t="s">
        <v>53</v>
      </c>
      <c r="AN3124" t="s">
        <v>53</v>
      </c>
      <c r="AO3124" t="s">
        <v>53</v>
      </c>
      <c r="AP3124" t="s">
        <v>53</v>
      </c>
    </row>
    <row r="3125" spans="2:42" x14ac:dyDescent="0.2">
      <c r="B3125" t="s">
        <v>44</v>
      </c>
      <c r="C3125" t="str">
        <f>HYPERLINK("https://us2.cloudbeds.com/connect/8493803454333002#/reservations/20151573811377?display=EARKDQT8T&amp;reservation_id=20151573811377", "EARKDQT8T")</f>
        <v>EARKDQT8T</v>
      </c>
      <c r="D3125" t="s">
        <v>45</v>
      </c>
      <c r="E3125" t="s">
        <v>305</v>
      </c>
      <c r="F3125" t="s">
        <v>61</v>
      </c>
      <c r="G3125" t="s">
        <v>48</v>
      </c>
      <c r="H3125" t="s">
        <v>49</v>
      </c>
      <c r="I3125" t="s">
        <v>50</v>
      </c>
      <c r="J3125" t="s">
        <v>2315</v>
      </c>
      <c r="K3125" t="s">
        <v>3196</v>
      </c>
      <c r="L3125" t="s">
        <v>53</v>
      </c>
      <c r="N3125" t="s">
        <v>5074</v>
      </c>
      <c r="P3125" t="s">
        <v>55</v>
      </c>
      <c r="R3125" t="s">
        <v>53</v>
      </c>
      <c r="T3125" t="s">
        <v>5075</v>
      </c>
      <c r="U3125" t="s">
        <v>58</v>
      </c>
      <c r="V3125">
        <v>1</v>
      </c>
      <c r="W3125">
        <v>1</v>
      </c>
      <c r="X3125">
        <v>2</v>
      </c>
      <c r="Y3125">
        <v>0</v>
      </c>
      <c r="Z3125">
        <v>2</v>
      </c>
      <c r="AA3125">
        <v>0</v>
      </c>
      <c r="AB3125">
        <v>181.84</v>
      </c>
      <c r="AC3125">
        <v>160</v>
      </c>
      <c r="AD3125">
        <v>0</v>
      </c>
      <c r="AE3125">
        <v>21.84</v>
      </c>
      <c r="AF3125">
        <v>0</v>
      </c>
      <c r="AG3125">
        <v>0</v>
      </c>
      <c r="AH3125">
        <v>0</v>
      </c>
      <c r="AI3125">
        <v>32.729999999999997</v>
      </c>
      <c r="AJ3125">
        <v>181.84</v>
      </c>
      <c r="AK3125">
        <v>0</v>
      </c>
      <c r="AL3125" t="s">
        <v>53</v>
      </c>
      <c r="AM3125" t="s">
        <v>53</v>
      </c>
      <c r="AN3125" t="s">
        <v>53</v>
      </c>
      <c r="AO3125" t="s">
        <v>53</v>
      </c>
      <c r="AP3125" t="s">
        <v>53</v>
      </c>
    </row>
    <row r="3126" spans="2:42" x14ac:dyDescent="0.2">
      <c r="B3126" t="s">
        <v>44</v>
      </c>
      <c r="C3126" t="str">
        <f>HYPERLINK("https://us2.cloudbeds.com/connect/8493803454333002#/reservations/20149800575185?display=EAQ83XW6R&amp;reservation_id=20149800575185", "EAQ83XW6R")</f>
        <v>EAQ83XW6R</v>
      </c>
      <c r="D3126" t="s">
        <v>45</v>
      </c>
      <c r="E3126" t="s">
        <v>190</v>
      </c>
      <c r="F3126" t="s">
        <v>61</v>
      </c>
      <c r="G3126" t="s">
        <v>48</v>
      </c>
      <c r="H3126" t="s">
        <v>3957</v>
      </c>
      <c r="I3126" t="s">
        <v>3958</v>
      </c>
      <c r="J3126" t="s">
        <v>1381</v>
      </c>
      <c r="K3126" t="s">
        <v>1523</v>
      </c>
      <c r="L3126" t="s">
        <v>53</v>
      </c>
      <c r="P3126" t="s">
        <v>58</v>
      </c>
      <c r="R3126" t="s">
        <v>56</v>
      </c>
      <c r="T3126" t="s">
        <v>5076</v>
      </c>
      <c r="U3126" t="s">
        <v>58</v>
      </c>
      <c r="V3126">
        <v>1</v>
      </c>
      <c r="W3126">
        <v>1</v>
      </c>
      <c r="X3126">
        <v>1</v>
      </c>
      <c r="Y3126">
        <v>0</v>
      </c>
      <c r="Z3126">
        <v>1</v>
      </c>
      <c r="AA3126">
        <v>0</v>
      </c>
      <c r="AB3126">
        <v>178.43</v>
      </c>
      <c r="AC3126">
        <v>157</v>
      </c>
      <c r="AD3126">
        <v>0</v>
      </c>
      <c r="AE3126">
        <v>21.43</v>
      </c>
      <c r="AF3126">
        <v>0</v>
      </c>
      <c r="AG3126">
        <v>0</v>
      </c>
      <c r="AH3126">
        <v>0</v>
      </c>
      <c r="AI3126">
        <v>0</v>
      </c>
      <c r="AJ3126">
        <v>178.43</v>
      </c>
      <c r="AK3126">
        <v>0</v>
      </c>
      <c r="AL3126" t="s">
        <v>53</v>
      </c>
      <c r="AM3126" t="s">
        <v>53</v>
      </c>
      <c r="AN3126" t="s">
        <v>53</v>
      </c>
      <c r="AO3126" t="s">
        <v>53</v>
      </c>
      <c r="AP3126" t="s">
        <v>53</v>
      </c>
    </row>
    <row r="3127" spans="2:42" x14ac:dyDescent="0.2">
      <c r="B3127" t="s">
        <v>44</v>
      </c>
      <c r="C3127" t="str">
        <f>HYPERLINK("https://us2.cloudbeds.com/connect/8493803454333002#/reservations/20166016692394?display=EB5QFEB90&amp;reservation_id=20166016692394", "EB5QFEB90")</f>
        <v>EB5QFEB90</v>
      </c>
      <c r="D3127" t="s">
        <v>45</v>
      </c>
      <c r="E3127" t="s">
        <v>138</v>
      </c>
      <c r="F3127" t="s">
        <v>70</v>
      </c>
      <c r="G3127" t="s">
        <v>48</v>
      </c>
      <c r="H3127" t="s">
        <v>49</v>
      </c>
      <c r="I3127" t="s">
        <v>62</v>
      </c>
      <c r="J3127" t="s">
        <v>1556</v>
      </c>
      <c r="K3127" t="s">
        <v>2315</v>
      </c>
      <c r="L3127" t="s">
        <v>53</v>
      </c>
      <c r="N3127" t="s">
        <v>5077</v>
      </c>
      <c r="P3127" t="s">
        <v>55</v>
      </c>
      <c r="R3127" t="s">
        <v>56</v>
      </c>
      <c r="T3127" t="s">
        <v>5078</v>
      </c>
      <c r="U3127" t="s">
        <v>55</v>
      </c>
      <c r="V3127">
        <v>2</v>
      </c>
      <c r="W3127">
        <v>1</v>
      </c>
      <c r="X3127">
        <v>1</v>
      </c>
      <c r="Y3127">
        <v>0</v>
      </c>
      <c r="Z3127">
        <v>1</v>
      </c>
      <c r="AA3127">
        <v>0</v>
      </c>
      <c r="AB3127">
        <v>365.96</v>
      </c>
      <c r="AC3127">
        <v>322</v>
      </c>
      <c r="AD3127">
        <v>0</v>
      </c>
      <c r="AE3127">
        <v>43.96</v>
      </c>
      <c r="AF3127">
        <v>0</v>
      </c>
      <c r="AG3127">
        <v>0</v>
      </c>
      <c r="AH3127">
        <v>0</v>
      </c>
      <c r="AI3127">
        <v>54.89</v>
      </c>
      <c r="AJ3127">
        <v>365.96</v>
      </c>
      <c r="AK3127">
        <v>0</v>
      </c>
      <c r="AL3127" t="s">
        <v>53</v>
      </c>
      <c r="AM3127" t="s">
        <v>53</v>
      </c>
      <c r="AN3127" t="s">
        <v>53</v>
      </c>
      <c r="AO3127" t="s">
        <v>53</v>
      </c>
      <c r="AP3127" t="s">
        <v>53</v>
      </c>
    </row>
    <row r="3128" spans="2:42" x14ac:dyDescent="0.2">
      <c r="B3128" t="s">
        <v>44</v>
      </c>
      <c r="C3128" t="str">
        <f>HYPERLINK("https://us2.cloudbeds.com/connect/8493803454333002#/reservations/20167759835267?display=EB7509SEA&amp;reservation_id=20167759835267", "EB7509SEA")</f>
        <v>EB7509SEA</v>
      </c>
      <c r="D3128" t="s">
        <v>45</v>
      </c>
      <c r="E3128" t="s">
        <v>165</v>
      </c>
      <c r="F3128" t="s">
        <v>61</v>
      </c>
      <c r="G3128" t="s">
        <v>48</v>
      </c>
      <c r="H3128" t="s">
        <v>49</v>
      </c>
      <c r="I3128" t="s">
        <v>50</v>
      </c>
      <c r="J3128" t="s">
        <v>5079</v>
      </c>
      <c r="K3128" t="s">
        <v>3574</v>
      </c>
      <c r="L3128" t="s">
        <v>53</v>
      </c>
      <c r="N3128" t="s">
        <v>5080</v>
      </c>
      <c r="P3128" t="s">
        <v>55</v>
      </c>
      <c r="R3128" t="s">
        <v>53</v>
      </c>
      <c r="T3128" t="s">
        <v>5081</v>
      </c>
      <c r="U3128" t="s">
        <v>58</v>
      </c>
      <c r="V3128">
        <v>1</v>
      </c>
      <c r="W3128">
        <v>1</v>
      </c>
      <c r="X3128">
        <v>2</v>
      </c>
      <c r="Y3128">
        <v>0</v>
      </c>
      <c r="Z3128">
        <v>2</v>
      </c>
      <c r="AA3128">
        <v>0</v>
      </c>
      <c r="AB3128">
        <v>97.74</v>
      </c>
      <c r="AC3128">
        <v>86</v>
      </c>
      <c r="AD3128">
        <v>0</v>
      </c>
      <c r="AE3128">
        <v>11.74</v>
      </c>
      <c r="AF3128">
        <v>0</v>
      </c>
      <c r="AG3128">
        <v>0</v>
      </c>
      <c r="AH3128">
        <v>0</v>
      </c>
      <c r="AI3128">
        <v>17.59</v>
      </c>
      <c r="AJ3128">
        <v>97.74</v>
      </c>
      <c r="AK3128">
        <v>0</v>
      </c>
      <c r="AL3128" t="s">
        <v>53</v>
      </c>
      <c r="AM3128" t="s">
        <v>53</v>
      </c>
      <c r="AN3128" t="s">
        <v>53</v>
      </c>
      <c r="AO3128" t="s">
        <v>53</v>
      </c>
      <c r="AP3128" t="s">
        <v>53</v>
      </c>
    </row>
    <row r="3129" spans="2:42" x14ac:dyDescent="0.2">
      <c r="B3129" t="s">
        <v>44</v>
      </c>
      <c r="C3129" t="str">
        <f>HYPERLINK("https://us2.cloudbeds.com/connect/8493803454333002#/reservations/20221322666139?display=ECFKYTJDB&amp;reservation_id=20221322666139", "ECFKYTJDB")</f>
        <v>ECFKYTJDB</v>
      </c>
      <c r="D3129" t="s">
        <v>45</v>
      </c>
      <c r="E3129" t="s">
        <v>110</v>
      </c>
      <c r="F3129" t="s">
        <v>47</v>
      </c>
      <c r="G3129" t="s">
        <v>48</v>
      </c>
      <c r="H3129" t="s">
        <v>49</v>
      </c>
      <c r="I3129" t="s">
        <v>50</v>
      </c>
      <c r="J3129" t="s">
        <v>1555</v>
      </c>
      <c r="K3129" t="s">
        <v>1406</v>
      </c>
      <c r="L3129" t="s">
        <v>53</v>
      </c>
      <c r="N3129" t="s">
        <v>5082</v>
      </c>
      <c r="P3129" t="s">
        <v>55</v>
      </c>
      <c r="R3129" t="s">
        <v>53</v>
      </c>
      <c r="T3129" t="s">
        <v>5083</v>
      </c>
      <c r="U3129" t="s">
        <v>58</v>
      </c>
      <c r="V3129">
        <v>1</v>
      </c>
      <c r="W3129">
        <v>1</v>
      </c>
      <c r="X3129">
        <v>2</v>
      </c>
      <c r="Y3129">
        <v>0</v>
      </c>
      <c r="Z3129">
        <v>2</v>
      </c>
      <c r="AA3129">
        <v>0</v>
      </c>
      <c r="AB3129">
        <v>192.07</v>
      </c>
      <c r="AC3129">
        <v>169</v>
      </c>
      <c r="AD3129">
        <v>0</v>
      </c>
      <c r="AE3129">
        <v>23.07</v>
      </c>
      <c r="AF3129">
        <v>0</v>
      </c>
      <c r="AG3129">
        <v>0</v>
      </c>
      <c r="AH3129">
        <v>0</v>
      </c>
      <c r="AI3129">
        <v>34.57</v>
      </c>
      <c r="AJ3129">
        <v>192.07</v>
      </c>
      <c r="AK3129">
        <v>0</v>
      </c>
      <c r="AL3129" t="s">
        <v>53</v>
      </c>
      <c r="AM3129" t="s">
        <v>53</v>
      </c>
      <c r="AN3129" t="s">
        <v>53</v>
      </c>
      <c r="AO3129" t="s">
        <v>53</v>
      </c>
      <c r="AP3129" t="s">
        <v>53</v>
      </c>
    </row>
    <row r="3130" spans="2:42" x14ac:dyDescent="0.2">
      <c r="B3130" t="s">
        <v>44</v>
      </c>
      <c r="C3130" t="str">
        <f>HYPERLINK("https://us2.cloudbeds.com/connect/8493803454333002#/reservations/20236009369818?display=ECQWV3PAW&amp;reservation_id=20236009369818", "ECQWV3PAW")</f>
        <v>ECQWV3PAW</v>
      </c>
      <c r="D3130" t="s">
        <v>45</v>
      </c>
      <c r="E3130" t="s">
        <v>113</v>
      </c>
      <c r="F3130" t="s">
        <v>61</v>
      </c>
      <c r="G3130" t="s">
        <v>48</v>
      </c>
      <c r="H3130" t="s">
        <v>49</v>
      </c>
      <c r="I3130" t="s">
        <v>62</v>
      </c>
      <c r="J3130" t="s">
        <v>1162</v>
      </c>
      <c r="K3130" t="s">
        <v>1716</v>
      </c>
      <c r="L3130" t="s">
        <v>53</v>
      </c>
      <c r="N3130" t="s">
        <v>5084</v>
      </c>
      <c r="P3130" t="s">
        <v>55</v>
      </c>
      <c r="R3130" t="s">
        <v>56</v>
      </c>
      <c r="T3130" t="s">
        <v>5085</v>
      </c>
      <c r="U3130" t="s">
        <v>55</v>
      </c>
      <c r="V3130">
        <v>2</v>
      </c>
      <c r="W3130">
        <v>1</v>
      </c>
      <c r="X3130">
        <v>2</v>
      </c>
      <c r="Y3130">
        <v>0</v>
      </c>
      <c r="Z3130">
        <v>2</v>
      </c>
      <c r="AA3130">
        <v>0</v>
      </c>
      <c r="AB3130">
        <v>277.19</v>
      </c>
      <c r="AC3130">
        <v>243.9</v>
      </c>
      <c r="AD3130">
        <v>0</v>
      </c>
      <c r="AE3130">
        <v>33.29</v>
      </c>
      <c r="AF3130">
        <v>0</v>
      </c>
      <c r="AG3130">
        <v>0</v>
      </c>
      <c r="AH3130">
        <v>0</v>
      </c>
      <c r="AI3130">
        <v>41.58</v>
      </c>
      <c r="AJ3130">
        <v>277.19</v>
      </c>
      <c r="AK3130">
        <v>0</v>
      </c>
      <c r="AL3130" t="s">
        <v>53</v>
      </c>
      <c r="AM3130" t="s">
        <v>53</v>
      </c>
      <c r="AN3130" t="s">
        <v>53</v>
      </c>
      <c r="AO3130" t="s">
        <v>53</v>
      </c>
      <c r="AP3130" t="s">
        <v>53</v>
      </c>
    </row>
    <row r="3131" spans="2:42" x14ac:dyDescent="0.2">
      <c r="B3131" t="s">
        <v>44</v>
      </c>
      <c r="C3131" t="str">
        <f>HYPERLINK("https://us2.cloudbeds.com/connect/8493803454333002#/reservations/20412549169379?display=EGVMV4UYP&amp;reservation_id=20412549169379", "EGVMV4UYP")</f>
        <v>EGVMV4UYP</v>
      </c>
      <c r="D3131" t="s">
        <v>45</v>
      </c>
      <c r="E3131" t="s">
        <v>121</v>
      </c>
      <c r="F3131" t="s">
        <v>86</v>
      </c>
      <c r="G3131" t="s">
        <v>48</v>
      </c>
      <c r="H3131" t="s">
        <v>49</v>
      </c>
      <c r="I3131" t="s">
        <v>62</v>
      </c>
      <c r="J3131" t="s">
        <v>1556</v>
      </c>
      <c r="K3131" t="s">
        <v>2315</v>
      </c>
      <c r="L3131" t="s">
        <v>53</v>
      </c>
      <c r="N3131" t="s">
        <v>5086</v>
      </c>
      <c r="P3131" t="s">
        <v>55</v>
      </c>
      <c r="R3131" t="s">
        <v>56</v>
      </c>
      <c r="T3131" t="s">
        <v>5087</v>
      </c>
      <c r="U3131" t="s">
        <v>55</v>
      </c>
      <c r="V3131">
        <v>2</v>
      </c>
      <c r="W3131">
        <v>1</v>
      </c>
      <c r="X3131">
        <v>2</v>
      </c>
      <c r="Y3131">
        <v>0</v>
      </c>
      <c r="Z3131">
        <v>2</v>
      </c>
      <c r="AA3131">
        <v>0</v>
      </c>
      <c r="AB3131">
        <v>409.14</v>
      </c>
      <c r="AC3131">
        <v>360</v>
      </c>
      <c r="AD3131">
        <v>0</v>
      </c>
      <c r="AE3131">
        <v>49.14</v>
      </c>
      <c r="AF3131">
        <v>0</v>
      </c>
      <c r="AG3131">
        <v>0</v>
      </c>
      <c r="AH3131">
        <v>0</v>
      </c>
      <c r="AI3131">
        <v>61.37</v>
      </c>
      <c r="AJ3131">
        <v>409.14</v>
      </c>
      <c r="AK3131">
        <v>0</v>
      </c>
      <c r="AL3131" t="s">
        <v>53</v>
      </c>
      <c r="AM3131" t="s">
        <v>53</v>
      </c>
      <c r="AN3131" t="s">
        <v>53</v>
      </c>
      <c r="AO3131" t="s">
        <v>53</v>
      </c>
      <c r="AP3131" t="s">
        <v>53</v>
      </c>
    </row>
    <row r="3132" spans="2:42" x14ac:dyDescent="0.2">
      <c r="B3132" t="s">
        <v>44</v>
      </c>
      <c r="C3132" t="str">
        <f>HYPERLINK("https://us2.cloudbeds.com/connect/8493803454333002#/reservations/20501225963661?display=EJ1BRPER2&amp;reservation_id=20501225963661", "EJ1BRPER2")</f>
        <v>EJ1BRPER2</v>
      </c>
      <c r="D3132" t="s">
        <v>45</v>
      </c>
      <c r="E3132" t="s">
        <v>110</v>
      </c>
      <c r="F3132" t="s">
        <v>47</v>
      </c>
      <c r="G3132" t="s">
        <v>48</v>
      </c>
      <c r="H3132" t="s">
        <v>3957</v>
      </c>
      <c r="I3132" t="s">
        <v>3958</v>
      </c>
      <c r="J3132" t="s">
        <v>1406</v>
      </c>
      <c r="K3132" t="s">
        <v>1556</v>
      </c>
      <c r="L3132" t="s">
        <v>53</v>
      </c>
      <c r="P3132" t="s">
        <v>55</v>
      </c>
      <c r="R3132" t="s">
        <v>56</v>
      </c>
      <c r="T3132" t="s">
        <v>5088</v>
      </c>
      <c r="U3132" t="s">
        <v>58</v>
      </c>
      <c r="V3132">
        <v>1</v>
      </c>
      <c r="W3132">
        <v>1</v>
      </c>
      <c r="X3132">
        <v>1</v>
      </c>
      <c r="Y3132">
        <v>0</v>
      </c>
      <c r="Z3132">
        <v>1</v>
      </c>
      <c r="AA3132">
        <v>0</v>
      </c>
      <c r="AB3132">
        <v>192.07</v>
      </c>
      <c r="AC3132">
        <v>169</v>
      </c>
      <c r="AD3132">
        <v>0</v>
      </c>
      <c r="AE3132">
        <v>23.07</v>
      </c>
      <c r="AF3132">
        <v>0</v>
      </c>
      <c r="AG3132">
        <v>0</v>
      </c>
      <c r="AH3132">
        <v>0</v>
      </c>
      <c r="AI3132">
        <v>0</v>
      </c>
      <c r="AJ3132">
        <v>192.07</v>
      </c>
      <c r="AK3132">
        <v>0</v>
      </c>
      <c r="AL3132" t="s">
        <v>53</v>
      </c>
      <c r="AM3132" t="s">
        <v>53</v>
      </c>
      <c r="AN3132" t="s">
        <v>53</v>
      </c>
      <c r="AO3132" t="s">
        <v>53</v>
      </c>
      <c r="AP3132" t="s">
        <v>53</v>
      </c>
    </row>
    <row r="3133" spans="2:42" x14ac:dyDescent="0.2">
      <c r="B3133" t="s">
        <v>44</v>
      </c>
      <c r="C3133" t="str">
        <f>HYPERLINK("https://us2.cloudbeds.com/connect/8493803454333002#/reservations/20519419445394?display=EJFENWTKB&amp;reservation_id=20519419445394", "EJFENWTKB")</f>
        <v>EJFENWTKB</v>
      </c>
      <c r="D3133" t="s">
        <v>45</v>
      </c>
      <c r="E3133" t="s">
        <v>105</v>
      </c>
      <c r="F3133" t="s">
        <v>47</v>
      </c>
      <c r="G3133" t="s">
        <v>4520</v>
      </c>
      <c r="H3133" t="s">
        <v>3957</v>
      </c>
      <c r="I3133" t="s">
        <v>3958</v>
      </c>
      <c r="J3133" t="s">
        <v>1406</v>
      </c>
      <c r="K3133" t="s">
        <v>1556</v>
      </c>
      <c r="L3133" t="s">
        <v>53</v>
      </c>
      <c r="P3133" t="s">
        <v>58</v>
      </c>
      <c r="R3133" t="s">
        <v>56</v>
      </c>
      <c r="T3133" t="s">
        <v>5089</v>
      </c>
      <c r="U3133" t="s">
        <v>58</v>
      </c>
      <c r="V3133">
        <v>1</v>
      </c>
      <c r="W3133">
        <v>1</v>
      </c>
      <c r="X3133">
        <v>1</v>
      </c>
      <c r="Y3133">
        <v>0</v>
      </c>
      <c r="Z3133">
        <v>1</v>
      </c>
      <c r="AA3133">
        <v>0</v>
      </c>
      <c r="AB3133">
        <v>172.86</v>
      </c>
      <c r="AC3133">
        <v>152.1</v>
      </c>
      <c r="AD3133">
        <v>0</v>
      </c>
      <c r="AE3133">
        <v>20.76</v>
      </c>
      <c r="AF3133">
        <v>0</v>
      </c>
      <c r="AG3133">
        <v>0</v>
      </c>
      <c r="AH3133">
        <v>0</v>
      </c>
      <c r="AI3133">
        <v>0</v>
      </c>
      <c r="AJ3133">
        <v>172.86</v>
      </c>
      <c r="AK3133">
        <v>0</v>
      </c>
      <c r="AL3133" t="s">
        <v>53</v>
      </c>
      <c r="AM3133" t="s">
        <v>53</v>
      </c>
      <c r="AN3133" t="s">
        <v>53</v>
      </c>
      <c r="AO3133" t="s">
        <v>53</v>
      </c>
      <c r="AP3133" t="s">
        <v>53</v>
      </c>
    </row>
    <row r="3134" spans="2:42" x14ac:dyDescent="0.2">
      <c r="B3134" t="s">
        <v>44</v>
      </c>
      <c r="C3134" t="str">
        <f>HYPERLINK("https://us2.cloudbeds.com/connect/8493803454333002#/reservations/20520029774016?display=EJFUAY2JT&amp;reservation_id=20520029774016", "EJFUAY2JT")</f>
        <v>EJFUAY2JT</v>
      </c>
      <c r="D3134" t="s">
        <v>45</v>
      </c>
      <c r="E3134" t="s">
        <v>105</v>
      </c>
      <c r="F3134" t="s">
        <v>47</v>
      </c>
      <c r="G3134" t="s">
        <v>48</v>
      </c>
      <c r="H3134" t="s">
        <v>3957</v>
      </c>
      <c r="I3134" t="s">
        <v>3958</v>
      </c>
      <c r="J3134" t="s">
        <v>1556</v>
      </c>
      <c r="K3134" t="s">
        <v>2634</v>
      </c>
      <c r="L3134" t="s">
        <v>53</v>
      </c>
      <c r="P3134" t="s">
        <v>58</v>
      </c>
      <c r="R3134" t="s">
        <v>56</v>
      </c>
      <c r="T3134" t="s">
        <v>5090</v>
      </c>
      <c r="U3134" t="s">
        <v>58</v>
      </c>
      <c r="V3134">
        <v>1</v>
      </c>
      <c r="W3134">
        <v>1</v>
      </c>
      <c r="X3134">
        <v>1</v>
      </c>
      <c r="Y3134">
        <v>0</v>
      </c>
      <c r="Z3134">
        <v>1</v>
      </c>
      <c r="AA3134">
        <v>0</v>
      </c>
      <c r="AB3134">
        <v>176.95</v>
      </c>
      <c r="AC3134">
        <v>155.69999999999999</v>
      </c>
      <c r="AD3134">
        <v>0</v>
      </c>
      <c r="AE3134">
        <v>21.25</v>
      </c>
      <c r="AF3134">
        <v>0</v>
      </c>
      <c r="AG3134">
        <v>0</v>
      </c>
      <c r="AH3134">
        <v>0</v>
      </c>
      <c r="AI3134">
        <v>0</v>
      </c>
      <c r="AJ3134">
        <v>176.95</v>
      </c>
      <c r="AK3134">
        <v>0</v>
      </c>
      <c r="AL3134" t="s">
        <v>53</v>
      </c>
      <c r="AM3134" t="s">
        <v>53</v>
      </c>
      <c r="AN3134" t="s">
        <v>53</v>
      </c>
      <c r="AO3134" t="s">
        <v>53</v>
      </c>
      <c r="AP3134" t="s">
        <v>53</v>
      </c>
    </row>
    <row r="3135" spans="2:42" x14ac:dyDescent="0.2">
      <c r="B3135" t="s">
        <v>44</v>
      </c>
      <c r="C3135" t="str">
        <f>HYPERLINK("https://us2.cloudbeds.com/connect/8493803454333002#/reservations/20530876653821?display=EJZAG0K5G&amp;reservation_id=20530876653821", "EJZAG0K5G")</f>
        <v>EJZAG0K5G</v>
      </c>
      <c r="D3135" t="s">
        <v>45</v>
      </c>
      <c r="E3135" t="s">
        <v>213</v>
      </c>
      <c r="F3135" t="s">
        <v>86</v>
      </c>
      <c r="G3135" t="s">
        <v>48</v>
      </c>
      <c r="H3135" t="s">
        <v>49</v>
      </c>
      <c r="I3135" t="s">
        <v>50</v>
      </c>
      <c r="J3135" t="s">
        <v>1458</v>
      </c>
      <c r="K3135" t="s">
        <v>1336</v>
      </c>
      <c r="L3135" t="s">
        <v>53</v>
      </c>
      <c r="N3135" t="s">
        <v>5091</v>
      </c>
      <c r="P3135" t="s">
        <v>55</v>
      </c>
      <c r="R3135" t="s">
        <v>53</v>
      </c>
      <c r="T3135" t="s">
        <v>5092</v>
      </c>
      <c r="U3135" t="s">
        <v>58</v>
      </c>
      <c r="V3135">
        <v>1</v>
      </c>
      <c r="W3135">
        <v>1</v>
      </c>
      <c r="X3135">
        <v>2</v>
      </c>
      <c r="Y3135">
        <v>0</v>
      </c>
      <c r="Z3135">
        <v>2</v>
      </c>
      <c r="AA3135">
        <v>0</v>
      </c>
      <c r="AB3135">
        <v>184.12</v>
      </c>
      <c r="AC3135">
        <v>162</v>
      </c>
      <c r="AD3135">
        <v>0</v>
      </c>
      <c r="AE3135">
        <v>22.12</v>
      </c>
      <c r="AF3135">
        <v>0</v>
      </c>
      <c r="AG3135">
        <v>0</v>
      </c>
      <c r="AH3135">
        <v>0</v>
      </c>
      <c r="AI3135">
        <v>33.14</v>
      </c>
      <c r="AJ3135">
        <v>184.12</v>
      </c>
      <c r="AK3135">
        <v>0</v>
      </c>
      <c r="AL3135" t="s">
        <v>53</v>
      </c>
      <c r="AM3135" t="s">
        <v>53</v>
      </c>
      <c r="AN3135" t="s">
        <v>53</v>
      </c>
      <c r="AO3135" t="s">
        <v>53</v>
      </c>
      <c r="AP3135" t="s">
        <v>53</v>
      </c>
    </row>
    <row r="3136" spans="2:42" x14ac:dyDescent="0.2">
      <c r="B3136" t="s">
        <v>44</v>
      </c>
      <c r="C3136" t="str">
        <f>HYPERLINK("https://us2.cloudbeds.com/connect/8493803454333002#/reservations/20578615931059?display=EKS9B1CA9&amp;reservation_id=20578615931059", "EKS9B1CA9")</f>
        <v>EKS9B1CA9</v>
      </c>
      <c r="D3136" t="s">
        <v>45</v>
      </c>
      <c r="E3136" t="s">
        <v>5093</v>
      </c>
      <c r="F3136" t="s">
        <v>1472</v>
      </c>
      <c r="G3136" t="s">
        <v>3974</v>
      </c>
      <c r="H3136" t="s">
        <v>3957</v>
      </c>
      <c r="I3136" t="s">
        <v>3975</v>
      </c>
      <c r="J3136" t="s">
        <v>1380</v>
      </c>
      <c r="K3136" t="s">
        <v>2960</v>
      </c>
      <c r="L3136" t="s">
        <v>53</v>
      </c>
      <c r="P3136" t="s">
        <v>55</v>
      </c>
      <c r="R3136" t="s">
        <v>56</v>
      </c>
      <c r="T3136" t="s">
        <v>5094</v>
      </c>
      <c r="U3136" t="s">
        <v>58</v>
      </c>
      <c r="V3136">
        <v>2</v>
      </c>
      <c r="W3136">
        <v>2</v>
      </c>
      <c r="X3136">
        <v>3</v>
      </c>
      <c r="Y3136">
        <v>0</v>
      </c>
      <c r="Z3136">
        <v>3</v>
      </c>
      <c r="AA3136">
        <v>0</v>
      </c>
      <c r="AB3136">
        <v>338.56</v>
      </c>
      <c r="AC3136">
        <v>297.89999999999998</v>
      </c>
      <c r="AD3136">
        <v>0</v>
      </c>
      <c r="AE3136">
        <v>40.659999999999997</v>
      </c>
      <c r="AF3136">
        <v>0</v>
      </c>
      <c r="AG3136">
        <v>0</v>
      </c>
      <c r="AH3136">
        <v>0</v>
      </c>
      <c r="AI3136">
        <v>0</v>
      </c>
      <c r="AJ3136">
        <v>338.56</v>
      </c>
      <c r="AK3136">
        <v>0</v>
      </c>
      <c r="AL3136" t="s">
        <v>53</v>
      </c>
      <c r="AM3136" t="s">
        <v>53</v>
      </c>
      <c r="AN3136" t="s">
        <v>53</v>
      </c>
      <c r="AO3136" t="s">
        <v>53</v>
      </c>
      <c r="AP3136" t="s">
        <v>53</v>
      </c>
    </row>
    <row r="3137" spans="2:42" x14ac:dyDescent="0.2">
      <c r="B3137" t="s">
        <v>44</v>
      </c>
      <c r="C3137" t="str">
        <f>HYPERLINK("https://us2.cloudbeds.com/connect/8493803454333002#/reservations/20580535345402?display=EKTPCHTU9&amp;reservation_id=20580535345402", "EKTPCHTU9")</f>
        <v>EKTPCHTU9</v>
      </c>
      <c r="D3137" t="s">
        <v>45</v>
      </c>
      <c r="E3137" t="s">
        <v>92</v>
      </c>
      <c r="F3137" t="s">
        <v>86</v>
      </c>
      <c r="G3137" t="s">
        <v>48</v>
      </c>
      <c r="H3137" t="s">
        <v>49</v>
      </c>
      <c r="I3137" t="s">
        <v>62</v>
      </c>
      <c r="J3137" t="s">
        <v>1406</v>
      </c>
      <c r="K3137" t="s">
        <v>1556</v>
      </c>
      <c r="L3137" t="s">
        <v>53</v>
      </c>
      <c r="N3137" t="s">
        <v>5095</v>
      </c>
      <c r="P3137" t="s">
        <v>55</v>
      </c>
      <c r="R3137" t="s">
        <v>118</v>
      </c>
      <c r="T3137" t="s">
        <v>5096</v>
      </c>
      <c r="U3137" t="s">
        <v>55</v>
      </c>
      <c r="V3137">
        <v>1</v>
      </c>
      <c r="W3137">
        <v>1</v>
      </c>
      <c r="X3137">
        <v>4</v>
      </c>
      <c r="Y3137">
        <v>0</v>
      </c>
      <c r="Z3137">
        <v>4</v>
      </c>
      <c r="AA3137">
        <v>0</v>
      </c>
      <c r="AB3137">
        <v>204.57</v>
      </c>
      <c r="AC3137">
        <v>180</v>
      </c>
      <c r="AD3137">
        <v>0</v>
      </c>
      <c r="AE3137">
        <v>24.57</v>
      </c>
      <c r="AF3137">
        <v>0</v>
      </c>
      <c r="AG3137">
        <v>0</v>
      </c>
      <c r="AH3137">
        <v>0</v>
      </c>
      <c r="AI3137">
        <v>30.69</v>
      </c>
      <c r="AJ3137">
        <v>204.57</v>
      </c>
      <c r="AK3137">
        <v>0</v>
      </c>
      <c r="AL3137" t="s">
        <v>53</v>
      </c>
      <c r="AM3137" t="s">
        <v>53</v>
      </c>
      <c r="AN3137" t="s">
        <v>53</v>
      </c>
      <c r="AO3137" t="s">
        <v>53</v>
      </c>
      <c r="AP3137" t="s">
        <v>53</v>
      </c>
    </row>
    <row r="3138" spans="2:42" x14ac:dyDescent="0.2">
      <c r="B3138" t="s">
        <v>44</v>
      </c>
      <c r="C3138" t="str">
        <f>HYPERLINK("https://us2.cloudbeds.com/connect/8493803454333002#/reservations/20752839889078?display=EZV659RCY&amp;reservation_id=20752839889078", "EZV659RCY")</f>
        <v>EZV659RCY</v>
      </c>
      <c r="D3138" t="s">
        <v>45</v>
      </c>
      <c r="E3138" t="s">
        <v>92</v>
      </c>
      <c r="F3138" t="s">
        <v>86</v>
      </c>
      <c r="G3138" t="s">
        <v>48</v>
      </c>
      <c r="H3138" t="s">
        <v>49</v>
      </c>
      <c r="I3138" t="s">
        <v>50</v>
      </c>
      <c r="J3138" t="s">
        <v>3000</v>
      </c>
      <c r="K3138" t="s">
        <v>1898</v>
      </c>
      <c r="L3138" t="s">
        <v>53</v>
      </c>
      <c r="N3138" t="s">
        <v>5097</v>
      </c>
      <c r="P3138" t="s">
        <v>55</v>
      </c>
      <c r="R3138" t="s">
        <v>53</v>
      </c>
      <c r="T3138" t="s">
        <v>5098</v>
      </c>
      <c r="U3138" t="s">
        <v>58</v>
      </c>
      <c r="V3138">
        <v>1</v>
      </c>
      <c r="W3138">
        <v>1</v>
      </c>
      <c r="X3138">
        <v>2</v>
      </c>
      <c r="Y3138">
        <v>0</v>
      </c>
      <c r="Z3138">
        <v>2</v>
      </c>
      <c r="AA3138">
        <v>0</v>
      </c>
      <c r="AB3138">
        <v>201.16</v>
      </c>
      <c r="AC3138">
        <v>177</v>
      </c>
      <c r="AD3138">
        <v>0</v>
      </c>
      <c r="AE3138">
        <v>24.16</v>
      </c>
      <c r="AF3138">
        <v>0</v>
      </c>
      <c r="AG3138">
        <v>0</v>
      </c>
      <c r="AH3138">
        <v>0</v>
      </c>
      <c r="AI3138">
        <v>36.21</v>
      </c>
      <c r="AJ3138">
        <v>201.16</v>
      </c>
      <c r="AK3138">
        <v>0</v>
      </c>
      <c r="AL3138" t="s">
        <v>53</v>
      </c>
      <c r="AM3138" t="s">
        <v>53</v>
      </c>
      <c r="AN3138" t="s">
        <v>53</v>
      </c>
      <c r="AO3138" t="s">
        <v>53</v>
      </c>
      <c r="AP3138" t="s">
        <v>53</v>
      </c>
    </row>
    <row r="3139" spans="2:42" x14ac:dyDescent="0.2">
      <c r="B3139" t="s">
        <v>44</v>
      </c>
      <c r="C3139" t="str">
        <f>HYPERLINK("https://us2.cloudbeds.com/connect/8493803454333002#/reservations/20755487346904?display=EP07QN84C&amp;reservation_id=20755487346904", "EP07QN84C")</f>
        <v>EP07QN84C</v>
      </c>
      <c r="D3139" t="s">
        <v>45</v>
      </c>
      <c r="E3139" t="s">
        <v>190</v>
      </c>
      <c r="F3139" t="s">
        <v>61</v>
      </c>
      <c r="G3139" t="s">
        <v>48</v>
      </c>
      <c r="H3139" t="s">
        <v>3957</v>
      </c>
      <c r="I3139" t="s">
        <v>3958</v>
      </c>
      <c r="J3139" t="s">
        <v>2315</v>
      </c>
      <c r="K3139" t="s">
        <v>3000</v>
      </c>
      <c r="L3139" t="s">
        <v>53</v>
      </c>
      <c r="P3139" t="s">
        <v>55</v>
      </c>
      <c r="R3139" t="s">
        <v>56</v>
      </c>
      <c r="T3139" t="s">
        <v>5099</v>
      </c>
      <c r="U3139" t="s">
        <v>58</v>
      </c>
      <c r="V3139">
        <v>2</v>
      </c>
      <c r="W3139">
        <v>1</v>
      </c>
      <c r="X3139">
        <v>1</v>
      </c>
      <c r="Y3139">
        <v>0</v>
      </c>
      <c r="Z3139">
        <v>1</v>
      </c>
      <c r="AA3139">
        <v>0</v>
      </c>
      <c r="AB3139">
        <v>383.01</v>
      </c>
      <c r="AC3139">
        <v>337</v>
      </c>
      <c r="AD3139">
        <v>0</v>
      </c>
      <c r="AE3139">
        <v>46.01</v>
      </c>
      <c r="AF3139">
        <v>0</v>
      </c>
      <c r="AG3139">
        <v>0</v>
      </c>
      <c r="AH3139">
        <v>0</v>
      </c>
      <c r="AI3139">
        <v>0</v>
      </c>
      <c r="AJ3139">
        <v>383.01</v>
      </c>
      <c r="AK3139">
        <v>0</v>
      </c>
      <c r="AL3139" t="s">
        <v>53</v>
      </c>
      <c r="AM3139" t="s">
        <v>53</v>
      </c>
      <c r="AN3139" t="s">
        <v>53</v>
      </c>
      <c r="AO3139" t="s">
        <v>53</v>
      </c>
      <c r="AP3139" t="s">
        <v>53</v>
      </c>
    </row>
    <row r="3140" spans="2:42" x14ac:dyDescent="0.2">
      <c r="B3140" t="s">
        <v>44</v>
      </c>
      <c r="C3140" t="str">
        <f>HYPERLINK("https://us2.cloudbeds.com/connect/8493803454333002#/reservations/20760747458758?display=EP4A75K79&amp;reservation_id=20760747458758", "EP4A75K79")</f>
        <v>EP4A75K79</v>
      </c>
      <c r="D3140" t="s">
        <v>45</v>
      </c>
      <c r="E3140" t="s">
        <v>85</v>
      </c>
      <c r="F3140" t="s">
        <v>86</v>
      </c>
      <c r="G3140" t="s">
        <v>48</v>
      </c>
      <c r="H3140" t="s">
        <v>49</v>
      </c>
      <c r="I3140" t="s">
        <v>50</v>
      </c>
      <c r="J3140" t="s">
        <v>3196</v>
      </c>
      <c r="K3140" t="s">
        <v>1898</v>
      </c>
      <c r="L3140" t="s">
        <v>53</v>
      </c>
      <c r="N3140" t="s">
        <v>5100</v>
      </c>
      <c r="P3140" t="s">
        <v>55</v>
      </c>
      <c r="R3140" t="s">
        <v>53</v>
      </c>
      <c r="T3140" t="s">
        <v>5101</v>
      </c>
      <c r="U3140" t="s">
        <v>58</v>
      </c>
      <c r="V3140">
        <v>2</v>
      </c>
      <c r="W3140">
        <v>1</v>
      </c>
      <c r="X3140">
        <v>2</v>
      </c>
      <c r="Y3140">
        <v>0</v>
      </c>
      <c r="Z3140">
        <v>2</v>
      </c>
      <c r="AA3140">
        <v>0</v>
      </c>
      <c r="AB3140">
        <v>285.37</v>
      </c>
      <c r="AC3140">
        <v>251.1</v>
      </c>
      <c r="AD3140">
        <v>0</v>
      </c>
      <c r="AE3140">
        <v>34.270000000000003</v>
      </c>
      <c r="AF3140">
        <v>0</v>
      </c>
      <c r="AG3140">
        <v>0</v>
      </c>
      <c r="AH3140">
        <v>0</v>
      </c>
      <c r="AI3140">
        <v>51.37</v>
      </c>
      <c r="AJ3140">
        <v>285.37</v>
      </c>
      <c r="AK3140">
        <v>0</v>
      </c>
      <c r="AL3140" t="s">
        <v>53</v>
      </c>
      <c r="AM3140" t="s">
        <v>53</v>
      </c>
      <c r="AN3140" t="s">
        <v>53</v>
      </c>
      <c r="AO3140" t="s">
        <v>53</v>
      </c>
      <c r="AP3140" t="s">
        <v>53</v>
      </c>
    </row>
    <row r="3141" spans="2:42" x14ac:dyDescent="0.2">
      <c r="B3141" t="s">
        <v>44</v>
      </c>
      <c r="C3141" t="str">
        <f>HYPERLINK("https://us2.cloudbeds.com/connect/8493803454333002#/reservations/20820833034471?display=EQHRHUAST&amp;reservation_id=20820833034471", "EQHRHUAST")</f>
        <v>EQHRHUAST</v>
      </c>
      <c r="D3141" t="s">
        <v>45</v>
      </c>
      <c r="E3141" t="s">
        <v>373</v>
      </c>
      <c r="F3141" t="s">
        <v>47</v>
      </c>
      <c r="G3141" t="s">
        <v>48</v>
      </c>
      <c r="H3141" t="s">
        <v>49</v>
      </c>
      <c r="I3141" t="s">
        <v>62</v>
      </c>
      <c r="J3141" t="s">
        <v>2634</v>
      </c>
      <c r="K3141" t="s">
        <v>2315</v>
      </c>
      <c r="L3141" t="s">
        <v>53</v>
      </c>
      <c r="N3141" t="s">
        <v>5102</v>
      </c>
      <c r="P3141" t="s">
        <v>55</v>
      </c>
      <c r="R3141" t="s">
        <v>56</v>
      </c>
      <c r="T3141" t="s">
        <v>5103</v>
      </c>
      <c r="U3141" t="s">
        <v>55</v>
      </c>
      <c r="V3141">
        <v>1</v>
      </c>
      <c r="W3141">
        <v>1</v>
      </c>
      <c r="X3141">
        <v>2</v>
      </c>
      <c r="Y3141">
        <v>0</v>
      </c>
      <c r="Z3141">
        <v>2</v>
      </c>
      <c r="AA3141">
        <v>0</v>
      </c>
      <c r="AB3141">
        <v>192.07</v>
      </c>
      <c r="AC3141">
        <v>169</v>
      </c>
      <c r="AD3141">
        <v>0</v>
      </c>
      <c r="AE3141">
        <v>23.07</v>
      </c>
      <c r="AF3141">
        <v>0</v>
      </c>
      <c r="AG3141">
        <v>0</v>
      </c>
      <c r="AH3141">
        <v>0</v>
      </c>
      <c r="AI3141">
        <v>28.81</v>
      </c>
      <c r="AJ3141">
        <v>192.07</v>
      </c>
      <c r="AK3141">
        <v>0</v>
      </c>
      <c r="AL3141" t="s">
        <v>53</v>
      </c>
      <c r="AM3141" t="s">
        <v>53</v>
      </c>
      <c r="AN3141" t="s">
        <v>53</v>
      </c>
      <c r="AO3141" t="s">
        <v>53</v>
      </c>
      <c r="AP3141" t="s">
        <v>53</v>
      </c>
    </row>
    <row r="3142" spans="2:42" x14ac:dyDescent="0.2">
      <c r="B3142" t="s">
        <v>44</v>
      </c>
      <c r="C3142" t="str">
        <f>HYPERLINK("https://us2.cloudbeds.com/connect/8493803454333002#/reservations/20857606324445?display=ERDA64AUA&amp;reservation_id=20857606324445", "ERDA64AUA")</f>
        <v>ERDA64AUA</v>
      </c>
      <c r="D3142" t="s">
        <v>45</v>
      </c>
      <c r="E3142" t="s">
        <v>406</v>
      </c>
      <c r="F3142" t="s">
        <v>61</v>
      </c>
      <c r="G3142" t="s">
        <v>48</v>
      </c>
      <c r="H3142" t="s">
        <v>3957</v>
      </c>
      <c r="I3142" t="s">
        <v>3958</v>
      </c>
      <c r="J3142" t="s">
        <v>1336</v>
      </c>
      <c r="K3142" t="s">
        <v>2062</v>
      </c>
      <c r="L3142" t="s">
        <v>53</v>
      </c>
      <c r="P3142" t="s">
        <v>55</v>
      </c>
      <c r="R3142" t="s">
        <v>56</v>
      </c>
      <c r="T3142" t="s">
        <v>5104</v>
      </c>
      <c r="U3142" t="s">
        <v>58</v>
      </c>
      <c r="V3142">
        <v>2</v>
      </c>
      <c r="W3142">
        <v>1</v>
      </c>
      <c r="X3142">
        <v>1</v>
      </c>
      <c r="Y3142">
        <v>0</v>
      </c>
      <c r="Z3142">
        <v>1</v>
      </c>
      <c r="AA3142">
        <v>0</v>
      </c>
      <c r="AB3142">
        <v>452.34</v>
      </c>
      <c r="AC3142">
        <v>398</v>
      </c>
      <c r="AD3142">
        <v>0</v>
      </c>
      <c r="AE3142">
        <v>54.34</v>
      </c>
      <c r="AF3142">
        <v>0</v>
      </c>
      <c r="AG3142">
        <v>0</v>
      </c>
      <c r="AH3142">
        <v>0</v>
      </c>
      <c r="AI3142">
        <v>0</v>
      </c>
      <c r="AJ3142">
        <v>452.34</v>
      </c>
      <c r="AK3142">
        <v>0</v>
      </c>
      <c r="AL3142" t="s">
        <v>53</v>
      </c>
      <c r="AM3142" t="s">
        <v>53</v>
      </c>
      <c r="AN3142" t="s">
        <v>53</v>
      </c>
      <c r="AO3142" t="s">
        <v>53</v>
      </c>
      <c r="AP3142" t="s">
        <v>53</v>
      </c>
    </row>
    <row r="3143" spans="2:42" x14ac:dyDescent="0.2">
      <c r="B3143" t="s">
        <v>44</v>
      </c>
      <c r="C3143" t="str">
        <f>HYPERLINK("https://us2.cloudbeds.com/connect/8493803454333002#/reservations/21174623203555?display=F1RPN5A6X&amp;reservation_id=21174623203555", "F1RPN5A6X")</f>
        <v>F1RPN5A6X</v>
      </c>
      <c r="D3143" t="s">
        <v>45</v>
      </c>
      <c r="E3143" t="s">
        <v>128</v>
      </c>
      <c r="F3143" t="s">
        <v>86</v>
      </c>
      <c r="G3143" t="s">
        <v>48</v>
      </c>
      <c r="H3143" t="s">
        <v>49</v>
      </c>
      <c r="I3143" t="s">
        <v>50</v>
      </c>
      <c r="J3143" t="s">
        <v>5105</v>
      </c>
      <c r="K3143" t="s">
        <v>5106</v>
      </c>
      <c r="L3143" t="s">
        <v>53</v>
      </c>
      <c r="N3143" t="s">
        <v>5107</v>
      </c>
      <c r="P3143" t="s">
        <v>55</v>
      </c>
      <c r="R3143" t="s">
        <v>53</v>
      </c>
      <c r="T3143" t="s">
        <v>5108</v>
      </c>
      <c r="U3143" t="s">
        <v>58</v>
      </c>
      <c r="V3143">
        <v>1</v>
      </c>
      <c r="W3143">
        <v>1</v>
      </c>
      <c r="X3143">
        <v>2</v>
      </c>
      <c r="Y3143">
        <v>0</v>
      </c>
      <c r="Z3143">
        <v>2</v>
      </c>
      <c r="AA3143">
        <v>0</v>
      </c>
      <c r="AB3143">
        <v>103.43</v>
      </c>
      <c r="AC3143">
        <v>91</v>
      </c>
      <c r="AD3143">
        <v>0</v>
      </c>
      <c r="AE3143">
        <v>12.43</v>
      </c>
      <c r="AF3143">
        <v>0</v>
      </c>
      <c r="AG3143">
        <v>0</v>
      </c>
      <c r="AH3143">
        <v>0</v>
      </c>
      <c r="AI3143">
        <v>18.62</v>
      </c>
      <c r="AJ3143">
        <v>103.43</v>
      </c>
      <c r="AK3143">
        <v>0</v>
      </c>
      <c r="AL3143" t="s">
        <v>53</v>
      </c>
      <c r="AM3143" t="s">
        <v>53</v>
      </c>
      <c r="AN3143" t="s">
        <v>53</v>
      </c>
      <c r="AO3143" t="s">
        <v>53</v>
      </c>
      <c r="AP3143" t="s">
        <v>53</v>
      </c>
    </row>
    <row r="3144" spans="2:42" x14ac:dyDescent="0.2">
      <c r="B3144" t="s">
        <v>44</v>
      </c>
      <c r="C3144" t="str">
        <f>HYPERLINK("https://us2.cloudbeds.com/connect/8493803454333002#/reservations/21214752497915?display=F2PS382KJ&amp;reservation_id=21214752497915", "F2PS382KJ")</f>
        <v>F2PS382KJ</v>
      </c>
      <c r="D3144" t="s">
        <v>45</v>
      </c>
      <c r="E3144" t="s">
        <v>46</v>
      </c>
      <c r="F3144" t="s">
        <v>47</v>
      </c>
      <c r="G3144" t="s">
        <v>4520</v>
      </c>
      <c r="H3144" t="s">
        <v>3957</v>
      </c>
      <c r="I3144" t="s">
        <v>3958</v>
      </c>
      <c r="J3144" t="s">
        <v>1380</v>
      </c>
      <c r="K3144" t="s">
        <v>3232</v>
      </c>
      <c r="L3144" t="s">
        <v>53</v>
      </c>
      <c r="P3144" t="s">
        <v>58</v>
      </c>
      <c r="R3144" t="s">
        <v>56</v>
      </c>
      <c r="T3144" t="s">
        <v>5109</v>
      </c>
      <c r="U3144" t="s">
        <v>58</v>
      </c>
      <c r="V3144">
        <v>14</v>
      </c>
      <c r="W3144">
        <v>1</v>
      </c>
      <c r="X3144">
        <v>1</v>
      </c>
      <c r="Y3144">
        <v>0</v>
      </c>
      <c r="Z3144">
        <v>1</v>
      </c>
      <c r="AA3144">
        <v>0</v>
      </c>
      <c r="AB3144">
        <v>2064</v>
      </c>
      <c r="AC3144">
        <v>1816.1</v>
      </c>
      <c r="AD3144">
        <v>0</v>
      </c>
      <c r="AE3144">
        <v>247.9</v>
      </c>
      <c r="AF3144">
        <v>0</v>
      </c>
      <c r="AG3144">
        <v>0</v>
      </c>
      <c r="AH3144">
        <v>0</v>
      </c>
      <c r="AI3144">
        <v>0</v>
      </c>
      <c r="AJ3144">
        <v>2064</v>
      </c>
      <c r="AK3144">
        <v>0</v>
      </c>
      <c r="AL3144" t="s">
        <v>53</v>
      </c>
      <c r="AM3144" t="s">
        <v>53</v>
      </c>
      <c r="AN3144" t="s">
        <v>53</v>
      </c>
      <c r="AO3144" t="s">
        <v>53</v>
      </c>
      <c r="AP3144" t="s">
        <v>53</v>
      </c>
    </row>
    <row r="3145" spans="2:42" x14ac:dyDescent="0.2">
      <c r="B3145" t="s">
        <v>44</v>
      </c>
      <c r="C3145" t="str">
        <f>HYPERLINK("https://us2.cloudbeds.com/connect/8493803454333002#/reservations/21499713122517?display=F9FGGJH72&amp;reservation_id=21499713122517", "F9FGGJH72")</f>
        <v>F9FGGJH72</v>
      </c>
      <c r="D3145" t="s">
        <v>45</v>
      </c>
      <c r="E3145" t="s">
        <v>92</v>
      </c>
      <c r="F3145" t="s">
        <v>86</v>
      </c>
      <c r="G3145" t="s">
        <v>48</v>
      </c>
      <c r="H3145" t="s">
        <v>3957</v>
      </c>
      <c r="I3145" t="s">
        <v>3958</v>
      </c>
      <c r="J3145" t="s">
        <v>2315</v>
      </c>
      <c r="K3145" t="s">
        <v>3196</v>
      </c>
      <c r="L3145" t="s">
        <v>53</v>
      </c>
      <c r="P3145" t="s">
        <v>55</v>
      </c>
      <c r="R3145" t="s">
        <v>56</v>
      </c>
      <c r="T3145" t="s">
        <v>5110</v>
      </c>
      <c r="U3145" t="s">
        <v>58</v>
      </c>
      <c r="V3145">
        <v>1</v>
      </c>
      <c r="W3145">
        <v>1</v>
      </c>
      <c r="X3145">
        <v>1</v>
      </c>
      <c r="Y3145">
        <v>0</v>
      </c>
      <c r="Z3145">
        <v>1</v>
      </c>
      <c r="AA3145">
        <v>0</v>
      </c>
      <c r="AB3145">
        <v>147.75</v>
      </c>
      <c r="AC3145">
        <v>130</v>
      </c>
      <c r="AD3145">
        <v>0</v>
      </c>
      <c r="AE3145">
        <v>17.75</v>
      </c>
      <c r="AF3145">
        <v>0</v>
      </c>
      <c r="AG3145">
        <v>0</v>
      </c>
      <c r="AH3145">
        <v>0</v>
      </c>
      <c r="AI3145">
        <v>0</v>
      </c>
      <c r="AJ3145">
        <v>147.75</v>
      </c>
      <c r="AK3145">
        <v>0</v>
      </c>
      <c r="AL3145" t="s">
        <v>53</v>
      </c>
      <c r="AM3145" t="s">
        <v>53</v>
      </c>
      <c r="AN3145" t="s">
        <v>53</v>
      </c>
      <c r="AO3145" t="s">
        <v>53</v>
      </c>
      <c r="AP3145" t="s">
        <v>53</v>
      </c>
    </row>
    <row r="3146" spans="2:42" x14ac:dyDescent="0.2">
      <c r="B3146" t="s">
        <v>44</v>
      </c>
      <c r="C3146" t="str">
        <f>HYPERLINK("https://us2.cloudbeds.com/connect/8493803454333002#/reservations/21514946580663?display=F9R9ZRVBT&amp;reservation_id=21514946580663", "F9R9ZRVBT")</f>
        <v>F9R9ZRVBT</v>
      </c>
      <c r="D3146" t="s">
        <v>45</v>
      </c>
      <c r="E3146" t="s">
        <v>223</v>
      </c>
      <c r="F3146" t="s">
        <v>47</v>
      </c>
      <c r="G3146" t="s">
        <v>48</v>
      </c>
      <c r="H3146" t="s">
        <v>3957</v>
      </c>
      <c r="I3146" t="s">
        <v>3989</v>
      </c>
      <c r="J3146" t="s">
        <v>2014</v>
      </c>
      <c r="K3146" t="s">
        <v>1162</v>
      </c>
      <c r="L3146" t="s">
        <v>53</v>
      </c>
      <c r="P3146" t="s">
        <v>58</v>
      </c>
      <c r="R3146" t="s">
        <v>56</v>
      </c>
      <c r="T3146" t="s">
        <v>5111</v>
      </c>
      <c r="U3146" t="s">
        <v>58</v>
      </c>
      <c r="V3146">
        <v>1</v>
      </c>
      <c r="W3146">
        <v>1</v>
      </c>
      <c r="X3146">
        <v>1</v>
      </c>
      <c r="Y3146">
        <v>0</v>
      </c>
      <c r="Z3146">
        <v>1</v>
      </c>
      <c r="AA3146">
        <v>0</v>
      </c>
      <c r="AB3146">
        <v>153.44</v>
      </c>
      <c r="AC3146">
        <v>135</v>
      </c>
      <c r="AD3146">
        <v>0</v>
      </c>
      <c r="AE3146">
        <v>18.440000000000001</v>
      </c>
      <c r="AF3146">
        <v>0</v>
      </c>
      <c r="AG3146">
        <v>0</v>
      </c>
      <c r="AH3146">
        <v>0</v>
      </c>
      <c r="AI3146">
        <v>0</v>
      </c>
      <c r="AJ3146">
        <v>153.44</v>
      </c>
      <c r="AK3146">
        <v>0</v>
      </c>
      <c r="AL3146" t="s">
        <v>53</v>
      </c>
      <c r="AM3146" t="s">
        <v>53</v>
      </c>
      <c r="AN3146" t="s">
        <v>53</v>
      </c>
      <c r="AO3146" t="s">
        <v>53</v>
      </c>
      <c r="AP3146" t="s">
        <v>53</v>
      </c>
    </row>
    <row r="3147" spans="2:42" x14ac:dyDescent="0.2">
      <c r="B3147" t="s">
        <v>44</v>
      </c>
      <c r="C3147" t="str">
        <f>HYPERLINK("https://us2.cloudbeds.com/connect/8493803454333002#/reservations/21521016885418?display=F9VWSG47R&amp;reservation_id=21521016885418", "F9VWSG47R")</f>
        <v>F9VWSG47R</v>
      </c>
      <c r="D3147" t="s">
        <v>45</v>
      </c>
      <c r="E3147" t="s">
        <v>223</v>
      </c>
      <c r="F3147" t="s">
        <v>47</v>
      </c>
      <c r="G3147" t="s">
        <v>4520</v>
      </c>
      <c r="H3147" t="s">
        <v>3957</v>
      </c>
      <c r="I3147" t="s">
        <v>3958</v>
      </c>
      <c r="J3147" t="s">
        <v>2013</v>
      </c>
      <c r="K3147" t="s">
        <v>1161</v>
      </c>
      <c r="L3147" t="s">
        <v>53</v>
      </c>
      <c r="P3147" t="s">
        <v>58</v>
      </c>
      <c r="R3147" t="s">
        <v>56</v>
      </c>
      <c r="T3147" t="s">
        <v>5112</v>
      </c>
      <c r="U3147" t="s">
        <v>58</v>
      </c>
      <c r="V3147">
        <v>1</v>
      </c>
      <c r="W3147">
        <v>1</v>
      </c>
      <c r="X3147">
        <v>1</v>
      </c>
      <c r="Y3147">
        <v>0</v>
      </c>
      <c r="Z3147">
        <v>1</v>
      </c>
      <c r="AA3147">
        <v>0</v>
      </c>
      <c r="AB3147">
        <v>163.66</v>
      </c>
      <c r="AC3147">
        <v>144</v>
      </c>
      <c r="AD3147">
        <v>0</v>
      </c>
      <c r="AE3147">
        <v>19.66</v>
      </c>
      <c r="AF3147">
        <v>0</v>
      </c>
      <c r="AG3147">
        <v>0</v>
      </c>
      <c r="AH3147">
        <v>0</v>
      </c>
      <c r="AI3147">
        <v>0</v>
      </c>
      <c r="AJ3147">
        <v>163.66</v>
      </c>
      <c r="AK3147">
        <v>0</v>
      </c>
      <c r="AL3147" t="s">
        <v>53</v>
      </c>
      <c r="AM3147" t="s">
        <v>53</v>
      </c>
      <c r="AN3147" t="s">
        <v>53</v>
      </c>
      <c r="AO3147" t="s">
        <v>53</v>
      </c>
      <c r="AP3147" t="s">
        <v>53</v>
      </c>
    </row>
    <row r="3148" spans="2:42" x14ac:dyDescent="0.2">
      <c r="B3148" t="s">
        <v>44</v>
      </c>
      <c r="C3148" t="str">
        <f>HYPERLINK("https://us2.cloudbeds.com/connect/8493803454333002#/reservations/21527452770530?display=FA3WAD3UD&amp;reservation_id=21527452770530", "FA3WAD3UD")</f>
        <v>FA3WAD3UD</v>
      </c>
      <c r="D3148" t="s">
        <v>45</v>
      </c>
      <c r="E3148" t="s">
        <v>78</v>
      </c>
      <c r="F3148" t="s">
        <v>61</v>
      </c>
      <c r="G3148" t="s">
        <v>48</v>
      </c>
      <c r="H3148" t="s">
        <v>49</v>
      </c>
      <c r="I3148" t="s">
        <v>50</v>
      </c>
      <c r="J3148" t="s">
        <v>1381</v>
      </c>
      <c r="K3148" t="s">
        <v>1523</v>
      </c>
      <c r="L3148" t="s">
        <v>53</v>
      </c>
      <c r="N3148" t="s">
        <v>5113</v>
      </c>
      <c r="P3148" t="s">
        <v>55</v>
      </c>
      <c r="R3148" t="s">
        <v>53</v>
      </c>
      <c r="T3148" t="s">
        <v>5114</v>
      </c>
      <c r="U3148" t="s">
        <v>58</v>
      </c>
      <c r="V3148">
        <v>1</v>
      </c>
      <c r="W3148">
        <v>1</v>
      </c>
      <c r="X3148">
        <v>1</v>
      </c>
      <c r="Y3148">
        <v>0</v>
      </c>
      <c r="Z3148">
        <v>1</v>
      </c>
      <c r="AA3148">
        <v>0</v>
      </c>
      <c r="AB3148">
        <v>193.21</v>
      </c>
      <c r="AC3148">
        <v>170</v>
      </c>
      <c r="AD3148">
        <v>0</v>
      </c>
      <c r="AE3148">
        <v>23.21</v>
      </c>
      <c r="AF3148">
        <v>0</v>
      </c>
      <c r="AG3148">
        <v>0</v>
      </c>
      <c r="AH3148">
        <v>0</v>
      </c>
      <c r="AI3148">
        <v>34.78</v>
      </c>
      <c r="AJ3148">
        <v>193.21</v>
      </c>
      <c r="AK3148">
        <v>0</v>
      </c>
      <c r="AL3148" t="s">
        <v>53</v>
      </c>
      <c r="AM3148" t="s">
        <v>53</v>
      </c>
      <c r="AN3148" t="s">
        <v>53</v>
      </c>
      <c r="AO3148" t="s">
        <v>53</v>
      </c>
      <c r="AP3148" t="s">
        <v>53</v>
      </c>
    </row>
    <row r="3149" spans="2:42" x14ac:dyDescent="0.2">
      <c r="B3149" t="s">
        <v>44</v>
      </c>
      <c r="C3149" t="str">
        <f>HYPERLINK("https://us2.cloudbeds.com/connect/8493803454333002#/reservations/21527452774622?display=FA3WAD7MD&amp;reservation_id=21527452774622", "FA3WAD7MD")</f>
        <v>FA3WAD7MD</v>
      </c>
      <c r="D3149" t="s">
        <v>45</v>
      </c>
      <c r="E3149" t="s">
        <v>213</v>
      </c>
      <c r="F3149" t="s">
        <v>86</v>
      </c>
      <c r="G3149" t="s">
        <v>48</v>
      </c>
      <c r="H3149" t="s">
        <v>49</v>
      </c>
      <c r="I3149" t="s">
        <v>50</v>
      </c>
      <c r="J3149" t="s">
        <v>2315</v>
      </c>
      <c r="K3149" t="s">
        <v>3196</v>
      </c>
      <c r="L3149" t="s">
        <v>53</v>
      </c>
      <c r="N3149" t="s">
        <v>5115</v>
      </c>
      <c r="P3149" t="s">
        <v>55</v>
      </c>
      <c r="R3149" t="s">
        <v>53</v>
      </c>
      <c r="T3149" t="s">
        <v>5116</v>
      </c>
      <c r="U3149" t="s">
        <v>58</v>
      </c>
      <c r="V3149">
        <v>1</v>
      </c>
      <c r="W3149">
        <v>1</v>
      </c>
      <c r="X3149">
        <v>3</v>
      </c>
      <c r="Y3149">
        <v>0</v>
      </c>
      <c r="Z3149">
        <v>3</v>
      </c>
      <c r="AA3149">
        <v>0</v>
      </c>
      <c r="AB3149">
        <v>157.97999999999999</v>
      </c>
      <c r="AC3149">
        <v>139</v>
      </c>
      <c r="AD3149">
        <v>0</v>
      </c>
      <c r="AE3149">
        <v>18.98</v>
      </c>
      <c r="AF3149">
        <v>0</v>
      </c>
      <c r="AG3149">
        <v>0</v>
      </c>
      <c r="AH3149">
        <v>0</v>
      </c>
      <c r="AI3149">
        <v>28.44</v>
      </c>
      <c r="AJ3149">
        <v>157.97999999999999</v>
      </c>
      <c r="AK3149">
        <v>0</v>
      </c>
      <c r="AL3149" t="s">
        <v>53</v>
      </c>
      <c r="AM3149" t="s">
        <v>53</v>
      </c>
      <c r="AN3149" t="s">
        <v>53</v>
      </c>
      <c r="AO3149" t="s">
        <v>53</v>
      </c>
      <c r="AP3149" t="s">
        <v>53</v>
      </c>
    </row>
    <row r="3150" spans="2:42" x14ac:dyDescent="0.2">
      <c r="B3150" t="s">
        <v>44</v>
      </c>
      <c r="C3150" t="str">
        <f>HYPERLINK("https://us2.cloudbeds.com/connect/8493803454333002#/reservations/21560520384687?display=FATJ8T7H8&amp;reservation_id=21560520384687", "FATJ8T7H8")</f>
        <v>FATJ8T7H8</v>
      </c>
      <c r="D3150" t="s">
        <v>45</v>
      </c>
      <c r="E3150" t="s">
        <v>179</v>
      </c>
      <c r="F3150" t="s">
        <v>47</v>
      </c>
      <c r="G3150" t="s">
        <v>48</v>
      </c>
      <c r="H3150" t="s">
        <v>49</v>
      </c>
      <c r="I3150" t="s">
        <v>62</v>
      </c>
      <c r="J3150" t="s">
        <v>2315</v>
      </c>
      <c r="K3150" t="s">
        <v>3196</v>
      </c>
      <c r="L3150" t="s">
        <v>53</v>
      </c>
      <c r="N3150" t="s">
        <v>5117</v>
      </c>
      <c r="P3150" t="s">
        <v>55</v>
      </c>
      <c r="R3150" t="s">
        <v>56</v>
      </c>
      <c r="T3150" t="s">
        <v>5118</v>
      </c>
      <c r="U3150" t="s">
        <v>55</v>
      </c>
      <c r="V3150">
        <v>1</v>
      </c>
      <c r="W3150">
        <v>1</v>
      </c>
      <c r="X3150">
        <v>1</v>
      </c>
      <c r="Y3150">
        <v>0</v>
      </c>
      <c r="Z3150">
        <v>1</v>
      </c>
      <c r="AA3150">
        <v>0</v>
      </c>
      <c r="AB3150">
        <v>147.75</v>
      </c>
      <c r="AC3150">
        <v>130</v>
      </c>
      <c r="AD3150">
        <v>0</v>
      </c>
      <c r="AE3150">
        <v>17.75</v>
      </c>
      <c r="AF3150">
        <v>0</v>
      </c>
      <c r="AG3150">
        <v>0</v>
      </c>
      <c r="AH3150">
        <v>0</v>
      </c>
      <c r="AI3150">
        <v>22.16</v>
      </c>
      <c r="AJ3150">
        <v>147.75</v>
      </c>
      <c r="AK3150">
        <v>0</v>
      </c>
      <c r="AL3150" t="s">
        <v>53</v>
      </c>
      <c r="AM3150" t="s">
        <v>53</v>
      </c>
      <c r="AN3150" t="s">
        <v>53</v>
      </c>
      <c r="AO3150" t="s">
        <v>53</v>
      </c>
      <c r="AP3150" t="s">
        <v>53</v>
      </c>
    </row>
    <row r="3151" spans="2:42" x14ac:dyDescent="0.2">
      <c r="B3151" t="s">
        <v>44</v>
      </c>
      <c r="C3151" t="str">
        <f>HYPERLINK("https://us2.cloudbeds.com/connect/8493803454333002#/reservations/21587334787319?display=FBHBEGGPP&amp;reservation_id=21587334787319", "FBHBEGGPP")</f>
        <v>FBHBEGGPP</v>
      </c>
      <c r="D3151" t="s">
        <v>45</v>
      </c>
      <c r="E3151" t="s">
        <v>487</v>
      </c>
      <c r="F3151" t="s">
        <v>61</v>
      </c>
      <c r="G3151" t="s">
        <v>48</v>
      </c>
      <c r="H3151" t="s">
        <v>3957</v>
      </c>
      <c r="I3151" t="s">
        <v>3958</v>
      </c>
      <c r="J3151" t="s">
        <v>2315</v>
      </c>
      <c r="K3151" t="s">
        <v>3196</v>
      </c>
      <c r="L3151" t="s">
        <v>53</v>
      </c>
      <c r="P3151" t="s">
        <v>55</v>
      </c>
      <c r="R3151" t="s">
        <v>56</v>
      </c>
      <c r="T3151" t="s">
        <v>5119</v>
      </c>
      <c r="U3151" t="s">
        <v>58</v>
      </c>
      <c r="V3151">
        <v>1</v>
      </c>
      <c r="W3151">
        <v>1</v>
      </c>
      <c r="X3151">
        <v>1</v>
      </c>
      <c r="Y3151">
        <v>0</v>
      </c>
      <c r="Z3151">
        <v>1</v>
      </c>
      <c r="AA3151">
        <v>0</v>
      </c>
      <c r="AB3151">
        <v>150.02000000000001</v>
      </c>
      <c r="AC3151">
        <v>132</v>
      </c>
      <c r="AD3151">
        <v>0</v>
      </c>
      <c r="AE3151">
        <v>18.02</v>
      </c>
      <c r="AF3151">
        <v>0</v>
      </c>
      <c r="AG3151">
        <v>0</v>
      </c>
      <c r="AH3151">
        <v>0</v>
      </c>
      <c r="AI3151">
        <v>0</v>
      </c>
      <c r="AJ3151">
        <v>150.02000000000001</v>
      </c>
      <c r="AK3151">
        <v>0</v>
      </c>
      <c r="AL3151" t="s">
        <v>53</v>
      </c>
      <c r="AM3151" t="s">
        <v>53</v>
      </c>
      <c r="AN3151" t="s">
        <v>53</v>
      </c>
      <c r="AO3151" t="s">
        <v>53</v>
      </c>
      <c r="AP3151" t="s">
        <v>53</v>
      </c>
    </row>
    <row r="3152" spans="2:42" x14ac:dyDescent="0.2">
      <c r="B3152" t="s">
        <v>44</v>
      </c>
      <c r="C3152" t="str">
        <f>HYPERLINK("https://us2.cloudbeds.com/connect/8493803454333002#/reservations/21613563080913?display=FC4YKTEXB&amp;reservation_id=21613563080913", "FC4YKTEXB")</f>
        <v>FC4YKTEXB</v>
      </c>
      <c r="D3152" t="s">
        <v>45</v>
      </c>
      <c r="E3152" t="s">
        <v>155</v>
      </c>
      <c r="F3152" t="s">
        <v>86</v>
      </c>
      <c r="G3152" t="s">
        <v>48</v>
      </c>
      <c r="H3152" t="s">
        <v>49</v>
      </c>
      <c r="I3152" t="s">
        <v>62</v>
      </c>
      <c r="J3152" t="s">
        <v>3196</v>
      </c>
      <c r="K3152" t="s">
        <v>3000</v>
      </c>
      <c r="L3152" t="s">
        <v>53</v>
      </c>
      <c r="N3152" t="s">
        <v>5120</v>
      </c>
      <c r="P3152" t="s">
        <v>55</v>
      </c>
      <c r="R3152" t="s">
        <v>56</v>
      </c>
      <c r="T3152" t="s">
        <v>5121</v>
      </c>
      <c r="U3152" t="s">
        <v>55</v>
      </c>
      <c r="V3152">
        <v>1</v>
      </c>
      <c r="W3152">
        <v>1</v>
      </c>
      <c r="X3152">
        <v>2</v>
      </c>
      <c r="Y3152">
        <v>0</v>
      </c>
      <c r="Z3152">
        <v>2</v>
      </c>
      <c r="AA3152">
        <v>0</v>
      </c>
      <c r="AB3152">
        <v>144.34</v>
      </c>
      <c r="AC3152">
        <v>127</v>
      </c>
      <c r="AD3152">
        <v>0</v>
      </c>
      <c r="AE3152">
        <v>17.34</v>
      </c>
      <c r="AF3152">
        <v>0</v>
      </c>
      <c r="AG3152">
        <v>0</v>
      </c>
      <c r="AH3152">
        <v>0</v>
      </c>
      <c r="AI3152">
        <v>21.65</v>
      </c>
      <c r="AJ3152">
        <v>144.34</v>
      </c>
      <c r="AK3152">
        <v>0</v>
      </c>
      <c r="AL3152" t="s">
        <v>53</v>
      </c>
      <c r="AM3152" t="s">
        <v>53</v>
      </c>
      <c r="AN3152" t="s">
        <v>53</v>
      </c>
      <c r="AO3152" t="s">
        <v>53</v>
      </c>
      <c r="AP3152" t="s">
        <v>53</v>
      </c>
    </row>
    <row r="3153" spans="2:42" x14ac:dyDescent="0.2">
      <c r="B3153" t="s">
        <v>44</v>
      </c>
      <c r="C3153" t="str">
        <f>HYPERLINK("https://us2.cloudbeds.com/connect/8493803454333002#/reservations/21618142429387?display=FC86YAXXU&amp;reservation_id=21618142429387", "FC86YAXXU")</f>
        <v>FC86YAXXU</v>
      </c>
      <c r="D3153" t="s">
        <v>45</v>
      </c>
      <c r="E3153" t="s">
        <v>155</v>
      </c>
      <c r="F3153" t="s">
        <v>86</v>
      </c>
      <c r="G3153" t="s">
        <v>48</v>
      </c>
      <c r="H3153" t="s">
        <v>49</v>
      </c>
      <c r="I3153" t="s">
        <v>62</v>
      </c>
      <c r="J3153" t="s">
        <v>2315</v>
      </c>
      <c r="K3153" t="s">
        <v>3196</v>
      </c>
      <c r="L3153" t="s">
        <v>53</v>
      </c>
      <c r="N3153" t="s">
        <v>5122</v>
      </c>
      <c r="P3153" t="s">
        <v>55</v>
      </c>
      <c r="R3153" t="s">
        <v>56</v>
      </c>
      <c r="T3153" t="s">
        <v>5123</v>
      </c>
      <c r="U3153" t="s">
        <v>55</v>
      </c>
      <c r="V3153">
        <v>1</v>
      </c>
      <c r="W3153">
        <v>1</v>
      </c>
      <c r="X3153">
        <v>3</v>
      </c>
      <c r="Y3153">
        <v>0</v>
      </c>
      <c r="Z3153">
        <v>3</v>
      </c>
      <c r="AA3153">
        <v>0</v>
      </c>
      <c r="AB3153">
        <v>157.97999999999999</v>
      </c>
      <c r="AC3153">
        <v>139</v>
      </c>
      <c r="AD3153">
        <v>0</v>
      </c>
      <c r="AE3153">
        <v>18.98</v>
      </c>
      <c r="AF3153">
        <v>0</v>
      </c>
      <c r="AG3153">
        <v>0</v>
      </c>
      <c r="AH3153">
        <v>0</v>
      </c>
      <c r="AI3153">
        <v>23.7</v>
      </c>
      <c r="AJ3153">
        <v>157.97999999999999</v>
      </c>
      <c r="AK3153">
        <v>0</v>
      </c>
      <c r="AL3153" t="s">
        <v>53</v>
      </c>
      <c r="AM3153" t="s">
        <v>53</v>
      </c>
      <c r="AN3153" t="s">
        <v>53</v>
      </c>
      <c r="AO3153" t="s">
        <v>53</v>
      </c>
      <c r="AP3153" t="s">
        <v>53</v>
      </c>
    </row>
    <row r="3154" spans="2:42" x14ac:dyDescent="0.2">
      <c r="B3154" t="s">
        <v>44</v>
      </c>
      <c r="C3154" t="str">
        <f>HYPERLINK("https://us2.cloudbeds.com/connect/8493803454333002#/reservations/21621670392004?display=FCAUQ6AM0&amp;reservation_id=21621670392004", "FCAUQ6AM0")</f>
        <v>FCAUQ6AM0</v>
      </c>
      <c r="D3154" t="s">
        <v>45</v>
      </c>
      <c r="E3154" t="s">
        <v>121</v>
      </c>
      <c r="F3154" t="s">
        <v>86</v>
      </c>
      <c r="G3154" t="s">
        <v>48</v>
      </c>
      <c r="H3154" t="s">
        <v>3957</v>
      </c>
      <c r="I3154" t="s">
        <v>3958</v>
      </c>
      <c r="J3154" t="s">
        <v>2315</v>
      </c>
      <c r="K3154" t="s">
        <v>3196</v>
      </c>
      <c r="L3154" t="s">
        <v>53</v>
      </c>
      <c r="P3154" t="s">
        <v>55</v>
      </c>
      <c r="R3154" t="s">
        <v>56</v>
      </c>
      <c r="T3154" t="s">
        <v>5124</v>
      </c>
      <c r="U3154" t="s">
        <v>58</v>
      </c>
      <c r="V3154">
        <v>1</v>
      </c>
      <c r="W3154">
        <v>1</v>
      </c>
      <c r="X3154">
        <v>1</v>
      </c>
      <c r="Y3154">
        <v>0</v>
      </c>
      <c r="Z3154">
        <v>1</v>
      </c>
      <c r="AA3154">
        <v>0</v>
      </c>
      <c r="AB3154">
        <v>157.97999999999999</v>
      </c>
      <c r="AC3154">
        <v>139</v>
      </c>
      <c r="AD3154">
        <v>0</v>
      </c>
      <c r="AE3154">
        <v>18.98</v>
      </c>
      <c r="AF3154">
        <v>0</v>
      </c>
      <c r="AG3154">
        <v>0</v>
      </c>
      <c r="AH3154">
        <v>0</v>
      </c>
      <c r="AI3154">
        <v>0</v>
      </c>
      <c r="AJ3154">
        <v>157.97999999999999</v>
      </c>
      <c r="AK3154">
        <v>0</v>
      </c>
      <c r="AL3154" t="s">
        <v>53</v>
      </c>
      <c r="AM3154" t="s">
        <v>53</v>
      </c>
      <c r="AN3154" t="s">
        <v>53</v>
      </c>
      <c r="AO3154" t="s">
        <v>53</v>
      </c>
      <c r="AP3154" t="s">
        <v>53</v>
      </c>
    </row>
    <row r="3155" spans="2:42" x14ac:dyDescent="0.2">
      <c r="B3155" t="s">
        <v>44</v>
      </c>
      <c r="C3155" t="str">
        <f>HYPERLINK("https://us2.cloudbeds.com/connect/8493803454333002#/reservations/21611233325263?display=FC2S3CXB9&amp;reservation_id=21611233325263", "FC2S3CXB9")</f>
        <v>FC2S3CXB9</v>
      </c>
      <c r="D3155" t="s">
        <v>45</v>
      </c>
      <c r="E3155" t="s">
        <v>165</v>
      </c>
      <c r="F3155" t="s">
        <v>61</v>
      </c>
      <c r="G3155" t="s">
        <v>48</v>
      </c>
      <c r="H3155" t="s">
        <v>3957</v>
      </c>
      <c r="I3155" t="s">
        <v>3975</v>
      </c>
      <c r="J3155" t="s">
        <v>3000</v>
      </c>
      <c r="K3155" t="s">
        <v>1898</v>
      </c>
      <c r="L3155" t="s">
        <v>53</v>
      </c>
      <c r="P3155" t="s">
        <v>58</v>
      </c>
      <c r="R3155" t="s">
        <v>56</v>
      </c>
      <c r="T3155" t="s">
        <v>5125</v>
      </c>
      <c r="U3155" t="s">
        <v>58</v>
      </c>
      <c r="V3155">
        <v>1</v>
      </c>
      <c r="W3155">
        <v>1</v>
      </c>
      <c r="X3155">
        <v>2</v>
      </c>
      <c r="Y3155">
        <v>0</v>
      </c>
      <c r="Z3155">
        <v>2</v>
      </c>
      <c r="AA3155">
        <v>0</v>
      </c>
      <c r="AB3155">
        <v>196.62</v>
      </c>
      <c r="AC3155">
        <v>173</v>
      </c>
      <c r="AD3155">
        <v>0</v>
      </c>
      <c r="AE3155">
        <v>23.62</v>
      </c>
      <c r="AF3155">
        <v>0</v>
      </c>
      <c r="AG3155">
        <v>0</v>
      </c>
      <c r="AH3155">
        <v>0</v>
      </c>
      <c r="AI3155">
        <v>0</v>
      </c>
      <c r="AJ3155">
        <v>196.62</v>
      </c>
      <c r="AK3155">
        <v>0</v>
      </c>
      <c r="AL3155" t="s">
        <v>53</v>
      </c>
      <c r="AM3155" t="s">
        <v>53</v>
      </c>
      <c r="AN3155" t="s">
        <v>53</v>
      </c>
      <c r="AO3155" t="s">
        <v>53</v>
      </c>
      <c r="AP3155" t="s">
        <v>53</v>
      </c>
    </row>
    <row r="3156" spans="2:42" x14ac:dyDescent="0.2">
      <c r="B3156" t="s">
        <v>44</v>
      </c>
      <c r="C3156" t="str">
        <f>HYPERLINK("https://us2.cloudbeds.com/connect/8493803454333002#/reservations/21646242148577?display=FCTVYZM51&amp;reservation_id=21646242148577", "FCTVYZM51")</f>
        <v>FCTVYZM51</v>
      </c>
      <c r="D3156" t="s">
        <v>45</v>
      </c>
      <c r="E3156" t="s">
        <v>305</v>
      </c>
      <c r="F3156" t="s">
        <v>61</v>
      </c>
      <c r="G3156" t="s">
        <v>48</v>
      </c>
      <c r="H3156" t="s">
        <v>3957</v>
      </c>
      <c r="I3156" t="s">
        <v>3958</v>
      </c>
      <c r="J3156" t="s">
        <v>3196</v>
      </c>
      <c r="K3156" t="s">
        <v>3000</v>
      </c>
      <c r="L3156" t="s">
        <v>53</v>
      </c>
      <c r="P3156" t="s">
        <v>55</v>
      </c>
      <c r="R3156" t="s">
        <v>56</v>
      </c>
      <c r="T3156" t="s">
        <v>5126</v>
      </c>
      <c r="U3156" t="s">
        <v>58</v>
      </c>
      <c r="V3156">
        <v>1</v>
      </c>
      <c r="W3156">
        <v>1</v>
      </c>
      <c r="X3156">
        <v>1</v>
      </c>
      <c r="Y3156">
        <v>0</v>
      </c>
      <c r="Z3156">
        <v>1</v>
      </c>
      <c r="AA3156">
        <v>0</v>
      </c>
      <c r="AB3156">
        <v>126.16</v>
      </c>
      <c r="AC3156">
        <v>111</v>
      </c>
      <c r="AD3156">
        <v>0</v>
      </c>
      <c r="AE3156">
        <v>15.16</v>
      </c>
      <c r="AF3156">
        <v>0</v>
      </c>
      <c r="AG3156">
        <v>0</v>
      </c>
      <c r="AH3156">
        <v>0</v>
      </c>
      <c r="AI3156">
        <v>0</v>
      </c>
      <c r="AJ3156">
        <v>126.16</v>
      </c>
      <c r="AK3156">
        <v>0</v>
      </c>
      <c r="AL3156" t="s">
        <v>53</v>
      </c>
      <c r="AM3156" t="s">
        <v>53</v>
      </c>
      <c r="AN3156" t="s">
        <v>53</v>
      </c>
      <c r="AO3156" t="s">
        <v>53</v>
      </c>
      <c r="AP3156" t="s">
        <v>53</v>
      </c>
    </row>
    <row r="3157" spans="2:42" x14ac:dyDescent="0.2">
      <c r="B3157" t="s">
        <v>44</v>
      </c>
      <c r="C3157" t="str">
        <f>HYPERLINK("https://us2.cloudbeds.com/connect/8493803454333002#/reservations/21900595957970?display=FXSTWKBVP&amp;reservation_id=21900595957970", "FXSTWKBVP")</f>
        <v>FXSTWKBVP</v>
      </c>
      <c r="D3157" t="s">
        <v>45</v>
      </c>
      <c r="E3157" t="s">
        <v>128</v>
      </c>
      <c r="F3157" t="s">
        <v>86</v>
      </c>
      <c r="G3157" t="s">
        <v>48</v>
      </c>
      <c r="H3157" t="s">
        <v>3957</v>
      </c>
      <c r="I3157" t="s">
        <v>3958</v>
      </c>
      <c r="J3157" t="s">
        <v>3196</v>
      </c>
      <c r="K3157" t="s">
        <v>3000</v>
      </c>
      <c r="L3157" t="s">
        <v>53</v>
      </c>
      <c r="P3157" t="s">
        <v>55</v>
      </c>
      <c r="R3157" t="s">
        <v>56</v>
      </c>
      <c r="T3157" t="s">
        <v>5127</v>
      </c>
      <c r="U3157" t="s">
        <v>58</v>
      </c>
      <c r="V3157">
        <v>1</v>
      </c>
      <c r="W3157">
        <v>1</v>
      </c>
      <c r="X3157">
        <v>1</v>
      </c>
      <c r="Y3157">
        <v>0</v>
      </c>
      <c r="Z3157">
        <v>1</v>
      </c>
      <c r="AA3157">
        <v>0</v>
      </c>
      <c r="AB3157">
        <v>128.88</v>
      </c>
      <c r="AC3157">
        <v>113.4</v>
      </c>
      <c r="AD3157">
        <v>0</v>
      </c>
      <c r="AE3157">
        <v>15.48</v>
      </c>
      <c r="AF3157">
        <v>0</v>
      </c>
      <c r="AG3157">
        <v>0</v>
      </c>
      <c r="AH3157">
        <v>0</v>
      </c>
      <c r="AI3157">
        <v>0</v>
      </c>
      <c r="AJ3157">
        <v>128.88</v>
      </c>
      <c r="AK3157">
        <v>0</v>
      </c>
      <c r="AL3157" t="s">
        <v>53</v>
      </c>
      <c r="AM3157" t="s">
        <v>53</v>
      </c>
      <c r="AN3157" t="s">
        <v>53</v>
      </c>
      <c r="AO3157" t="s">
        <v>53</v>
      </c>
      <c r="AP3157" t="s">
        <v>53</v>
      </c>
    </row>
    <row r="3158" spans="2:42" x14ac:dyDescent="0.2">
      <c r="B3158" t="s">
        <v>44</v>
      </c>
      <c r="C3158" t="str">
        <f>HYPERLINK("https://us2.cloudbeds.com/connect/8493803454333002#/reservations/21916486643867?display=FJ8712411&amp;reservation_id=21916486643867", "FJ8712411")</f>
        <v>FJ8712411</v>
      </c>
      <c r="D3158" t="s">
        <v>45</v>
      </c>
      <c r="E3158" t="s">
        <v>223</v>
      </c>
      <c r="F3158" t="s">
        <v>47</v>
      </c>
      <c r="G3158" t="s">
        <v>4520</v>
      </c>
      <c r="H3158" t="s">
        <v>3957</v>
      </c>
      <c r="I3158" t="s">
        <v>3958</v>
      </c>
      <c r="J3158" t="s">
        <v>3196</v>
      </c>
      <c r="K3158" t="s">
        <v>1898</v>
      </c>
      <c r="L3158" t="s">
        <v>53</v>
      </c>
      <c r="P3158" t="s">
        <v>55</v>
      </c>
      <c r="R3158" t="s">
        <v>56</v>
      </c>
      <c r="T3158" t="s">
        <v>5128</v>
      </c>
      <c r="U3158" t="s">
        <v>58</v>
      </c>
      <c r="V3158">
        <v>2</v>
      </c>
      <c r="W3158">
        <v>1</v>
      </c>
      <c r="X3158">
        <v>1</v>
      </c>
      <c r="Y3158">
        <v>0</v>
      </c>
      <c r="Z3158">
        <v>1</v>
      </c>
      <c r="AA3158">
        <v>0</v>
      </c>
      <c r="AB3158">
        <v>239.23</v>
      </c>
      <c r="AC3158">
        <v>210.5</v>
      </c>
      <c r="AD3158">
        <v>0</v>
      </c>
      <c r="AE3158">
        <v>28.73</v>
      </c>
      <c r="AF3158">
        <v>0</v>
      </c>
      <c r="AG3158">
        <v>0</v>
      </c>
      <c r="AH3158">
        <v>0</v>
      </c>
      <c r="AI3158">
        <v>0</v>
      </c>
      <c r="AJ3158">
        <v>239.23</v>
      </c>
      <c r="AK3158">
        <v>0</v>
      </c>
      <c r="AL3158" t="s">
        <v>53</v>
      </c>
      <c r="AM3158" t="s">
        <v>53</v>
      </c>
      <c r="AN3158" t="s">
        <v>53</v>
      </c>
      <c r="AO3158" t="s">
        <v>53</v>
      </c>
      <c r="AP3158" t="s">
        <v>53</v>
      </c>
    </row>
    <row r="3159" spans="2:42" x14ac:dyDescent="0.2">
      <c r="B3159" t="s">
        <v>44</v>
      </c>
      <c r="C3159" t="str">
        <f>HYPERLINK("https://us2.cloudbeds.com/connect/8493803454333002#/reservations/21947815747836?display=FJWFXJKHW&amp;reservation_id=21947815747836", "FJWFXJKHW")</f>
        <v>FJWFXJKHW</v>
      </c>
      <c r="D3159" t="s">
        <v>45</v>
      </c>
      <c r="E3159" t="s">
        <v>165</v>
      </c>
      <c r="F3159" t="s">
        <v>61</v>
      </c>
      <c r="G3159" t="s">
        <v>48</v>
      </c>
      <c r="H3159" t="s">
        <v>49</v>
      </c>
      <c r="I3159" t="s">
        <v>62</v>
      </c>
      <c r="J3159" t="s">
        <v>3196</v>
      </c>
      <c r="K3159" t="s">
        <v>3000</v>
      </c>
      <c r="L3159" t="s">
        <v>53</v>
      </c>
      <c r="N3159" t="s">
        <v>5129</v>
      </c>
      <c r="P3159" t="s">
        <v>55</v>
      </c>
      <c r="R3159" t="s">
        <v>56</v>
      </c>
      <c r="T3159" t="s">
        <v>5130</v>
      </c>
      <c r="U3159" t="s">
        <v>55</v>
      </c>
      <c r="V3159">
        <v>1</v>
      </c>
      <c r="W3159">
        <v>1</v>
      </c>
      <c r="X3159">
        <v>2</v>
      </c>
      <c r="Y3159">
        <v>0</v>
      </c>
      <c r="Z3159">
        <v>2</v>
      </c>
      <c r="AA3159">
        <v>0</v>
      </c>
      <c r="AB3159">
        <v>136.38</v>
      </c>
      <c r="AC3159">
        <v>120</v>
      </c>
      <c r="AD3159">
        <v>0</v>
      </c>
      <c r="AE3159">
        <v>16.38</v>
      </c>
      <c r="AF3159">
        <v>0</v>
      </c>
      <c r="AG3159">
        <v>0</v>
      </c>
      <c r="AH3159">
        <v>0</v>
      </c>
      <c r="AI3159">
        <v>20.46</v>
      </c>
      <c r="AJ3159">
        <v>136.38</v>
      </c>
      <c r="AK3159">
        <v>0</v>
      </c>
      <c r="AL3159" t="s">
        <v>53</v>
      </c>
      <c r="AM3159" t="s">
        <v>53</v>
      </c>
      <c r="AN3159" t="s">
        <v>53</v>
      </c>
      <c r="AO3159" t="s">
        <v>53</v>
      </c>
      <c r="AP3159" t="s">
        <v>53</v>
      </c>
    </row>
    <row r="3160" spans="2:42" x14ac:dyDescent="0.2">
      <c r="B3160" t="s">
        <v>44</v>
      </c>
      <c r="C3160" t="str">
        <f>HYPERLINK("https://us2.cloudbeds.com/connect/8493803454333002#/reservations/21950503559326?display=FK1X80V00&amp;reservation_id=21950503559326", "FK1X80V00")</f>
        <v>FK1X80V00</v>
      </c>
      <c r="D3160" t="s">
        <v>45</v>
      </c>
      <c r="E3160" t="s">
        <v>138</v>
      </c>
      <c r="F3160" t="s">
        <v>70</v>
      </c>
      <c r="G3160" t="s">
        <v>48</v>
      </c>
      <c r="H3160" t="s">
        <v>49</v>
      </c>
      <c r="I3160" t="s">
        <v>50</v>
      </c>
      <c r="J3160" t="s">
        <v>3196</v>
      </c>
      <c r="K3160" t="s">
        <v>3000</v>
      </c>
      <c r="L3160" t="s">
        <v>53</v>
      </c>
      <c r="N3160" t="s">
        <v>5131</v>
      </c>
      <c r="P3160" t="s">
        <v>55</v>
      </c>
      <c r="R3160" t="s">
        <v>53</v>
      </c>
      <c r="T3160" t="s">
        <v>5132</v>
      </c>
      <c r="U3160" t="s">
        <v>58</v>
      </c>
      <c r="V3160">
        <v>1</v>
      </c>
      <c r="W3160">
        <v>1</v>
      </c>
      <c r="X3160">
        <v>2</v>
      </c>
      <c r="Y3160">
        <v>0</v>
      </c>
      <c r="Z3160">
        <v>2</v>
      </c>
      <c r="AA3160">
        <v>0</v>
      </c>
      <c r="AB3160">
        <v>127.29</v>
      </c>
      <c r="AC3160">
        <v>112</v>
      </c>
      <c r="AD3160">
        <v>0</v>
      </c>
      <c r="AE3160">
        <v>15.29</v>
      </c>
      <c r="AF3160">
        <v>0</v>
      </c>
      <c r="AG3160">
        <v>0</v>
      </c>
      <c r="AH3160">
        <v>0</v>
      </c>
      <c r="AI3160">
        <v>22.91</v>
      </c>
      <c r="AJ3160">
        <v>127.29</v>
      </c>
      <c r="AK3160">
        <v>0</v>
      </c>
      <c r="AL3160" t="s">
        <v>53</v>
      </c>
      <c r="AM3160" t="s">
        <v>53</v>
      </c>
      <c r="AN3160" t="s">
        <v>53</v>
      </c>
      <c r="AO3160" t="s">
        <v>53</v>
      </c>
      <c r="AP3160" t="s">
        <v>53</v>
      </c>
    </row>
    <row r="3161" spans="2:42" x14ac:dyDescent="0.2">
      <c r="B3161" t="s">
        <v>44</v>
      </c>
      <c r="C3161" t="str">
        <f>HYPERLINK("https://us2.cloudbeds.com/connect/8493803454333002#/reservations/22063457435818?display=FMN0FZ1V6&amp;reservation_id=22063457435818", "FMN0FZ1V6")</f>
        <v>FMN0FZ1V6</v>
      </c>
      <c r="D3161" t="s">
        <v>45</v>
      </c>
      <c r="E3161" t="s">
        <v>305</v>
      </c>
      <c r="F3161" t="s">
        <v>61</v>
      </c>
      <c r="G3161" t="s">
        <v>48</v>
      </c>
      <c r="H3161" t="s">
        <v>49</v>
      </c>
      <c r="I3161" t="s">
        <v>62</v>
      </c>
      <c r="J3161" t="s">
        <v>1337</v>
      </c>
      <c r="K3161" t="s">
        <v>2062</v>
      </c>
      <c r="L3161" t="s">
        <v>53</v>
      </c>
      <c r="N3161" t="s">
        <v>5133</v>
      </c>
      <c r="P3161" t="s">
        <v>55</v>
      </c>
      <c r="R3161" t="s">
        <v>56</v>
      </c>
      <c r="T3161" t="s">
        <v>5134</v>
      </c>
      <c r="U3161" t="s">
        <v>55</v>
      </c>
      <c r="V3161">
        <v>1</v>
      </c>
      <c r="W3161">
        <v>1</v>
      </c>
      <c r="X3161">
        <v>2</v>
      </c>
      <c r="Y3161">
        <v>0</v>
      </c>
      <c r="Z3161">
        <v>2</v>
      </c>
      <c r="AA3161">
        <v>0</v>
      </c>
      <c r="AB3161">
        <v>212.53</v>
      </c>
      <c r="AC3161">
        <v>187</v>
      </c>
      <c r="AD3161">
        <v>0</v>
      </c>
      <c r="AE3161">
        <v>25.53</v>
      </c>
      <c r="AF3161">
        <v>0</v>
      </c>
      <c r="AG3161">
        <v>0</v>
      </c>
      <c r="AH3161">
        <v>0</v>
      </c>
      <c r="AI3161">
        <v>31.88</v>
      </c>
      <c r="AJ3161">
        <v>212.53</v>
      </c>
      <c r="AK3161">
        <v>0</v>
      </c>
      <c r="AL3161" t="s">
        <v>53</v>
      </c>
      <c r="AM3161" t="s">
        <v>53</v>
      </c>
      <c r="AN3161" t="s">
        <v>53</v>
      </c>
      <c r="AO3161" t="s">
        <v>53</v>
      </c>
      <c r="AP3161" t="s">
        <v>53</v>
      </c>
    </row>
    <row r="3162" spans="2:42" x14ac:dyDescent="0.2">
      <c r="B3162" t="s">
        <v>44</v>
      </c>
      <c r="C3162" t="str">
        <f>HYPERLINK("https://us2.cloudbeds.com/connect/8493803454333002#/reservations/22110814343296?display=FNQMXANAC&amp;reservation_id=22110814343296", "FNQMXANAC")</f>
        <v>FNQMXANAC</v>
      </c>
      <c r="D3162" t="s">
        <v>45</v>
      </c>
      <c r="E3162" t="s">
        <v>138</v>
      </c>
      <c r="F3162" t="s">
        <v>70</v>
      </c>
      <c r="G3162" t="s">
        <v>48</v>
      </c>
      <c r="H3162" t="s">
        <v>49</v>
      </c>
      <c r="I3162" t="s">
        <v>62</v>
      </c>
      <c r="J3162" t="s">
        <v>1381</v>
      </c>
      <c r="K3162" t="s">
        <v>1523</v>
      </c>
      <c r="L3162" t="s">
        <v>53</v>
      </c>
      <c r="N3162" t="s">
        <v>5135</v>
      </c>
      <c r="P3162" t="s">
        <v>55</v>
      </c>
      <c r="R3162" t="s">
        <v>871</v>
      </c>
      <c r="T3162" t="s">
        <v>5136</v>
      </c>
      <c r="U3162" t="s">
        <v>55</v>
      </c>
      <c r="V3162">
        <v>1</v>
      </c>
      <c r="W3162">
        <v>1</v>
      </c>
      <c r="X3162">
        <v>1</v>
      </c>
      <c r="Y3162">
        <v>0</v>
      </c>
      <c r="Z3162">
        <v>1</v>
      </c>
      <c r="AA3162">
        <v>0</v>
      </c>
      <c r="AB3162">
        <v>142.18</v>
      </c>
      <c r="AC3162">
        <v>125.1</v>
      </c>
      <c r="AD3162">
        <v>0</v>
      </c>
      <c r="AE3162">
        <v>17.079999999999998</v>
      </c>
      <c r="AF3162">
        <v>0</v>
      </c>
      <c r="AG3162">
        <v>0</v>
      </c>
      <c r="AH3162">
        <v>0</v>
      </c>
      <c r="AI3162">
        <v>21.33</v>
      </c>
      <c r="AJ3162">
        <v>142.18</v>
      </c>
      <c r="AK3162">
        <v>0</v>
      </c>
      <c r="AL3162" t="s">
        <v>53</v>
      </c>
      <c r="AM3162" t="s">
        <v>53</v>
      </c>
      <c r="AN3162" t="s">
        <v>53</v>
      </c>
      <c r="AO3162" t="s">
        <v>53</v>
      </c>
      <c r="AP3162" t="s">
        <v>53</v>
      </c>
    </row>
    <row r="3163" spans="2:42" x14ac:dyDescent="0.2">
      <c r="B3163" t="s">
        <v>44</v>
      </c>
      <c r="C3163" t="str">
        <f>HYPERLINK("https://us2.cloudbeds.com/connect/8493803454333002#/reservations/22185545199778?display=FPXX3C213&amp;reservation_id=22185545199778", "FPXX3C213")</f>
        <v>FPXX3C213</v>
      </c>
      <c r="D3163" t="s">
        <v>45</v>
      </c>
      <c r="E3163" t="s">
        <v>190</v>
      </c>
      <c r="F3163" t="s">
        <v>61</v>
      </c>
      <c r="G3163" t="s">
        <v>48</v>
      </c>
      <c r="H3163" t="s">
        <v>49</v>
      </c>
      <c r="I3163" t="s">
        <v>62</v>
      </c>
      <c r="J3163" t="s">
        <v>3000</v>
      </c>
      <c r="K3163" t="s">
        <v>1898</v>
      </c>
      <c r="L3163" t="s">
        <v>53</v>
      </c>
      <c r="N3163" t="s">
        <v>5137</v>
      </c>
      <c r="P3163" t="s">
        <v>55</v>
      </c>
      <c r="R3163" t="s">
        <v>118</v>
      </c>
      <c r="T3163" t="s">
        <v>5138</v>
      </c>
      <c r="U3163" t="s">
        <v>55</v>
      </c>
      <c r="V3163">
        <v>1</v>
      </c>
      <c r="W3163">
        <v>1</v>
      </c>
      <c r="X3163">
        <v>2</v>
      </c>
      <c r="Y3163">
        <v>0</v>
      </c>
      <c r="Z3163">
        <v>2</v>
      </c>
      <c r="AA3163">
        <v>0</v>
      </c>
      <c r="AB3163">
        <v>185.26</v>
      </c>
      <c r="AC3163">
        <v>163</v>
      </c>
      <c r="AD3163">
        <v>0</v>
      </c>
      <c r="AE3163">
        <v>22.26</v>
      </c>
      <c r="AF3163">
        <v>0</v>
      </c>
      <c r="AG3163">
        <v>0</v>
      </c>
      <c r="AH3163">
        <v>0</v>
      </c>
      <c r="AI3163">
        <v>27.79</v>
      </c>
      <c r="AJ3163">
        <v>185.26</v>
      </c>
      <c r="AK3163">
        <v>0</v>
      </c>
      <c r="AL3163" t="s">
        <v>53</v>
      </c>
      <c r="AM3163" t="s">
        <v>53</v>
      </c>
      <c r="AN3163" t="s">
        <v>53</v>
      </c>
      <c r="AO3163" t="s">
        <v>53</v>
      </c>
      <c r="AP3163" t="s">
        <v>53</v>
      </c>
    </row>
    <row r="3164" spans="2:42" x14ac:dyDescent="0.2">
      <c r="B3164" t="s">
        <v>44</v>
      </c>
      <c r="C3164" t="str">
        <f>HYPERLINK("https://us2.cloudbeds.com/connect/8493803454333002#/reservations/22213706911957?display=FQ7BN274Y&amp;reservation_id=22213706911957", "FQ7BN274Y")</f>
        <v>FQ7BN274Y</v>
      </c>
      <c r="D3164" t="s">
        <v>45</v>
      </c>
      <c r="E3164" t="s">
        <v>305</v>
      </c>
      <c r="F3164" t="s">
        <v>61</v>
      </c>
      <c r="G3164" t="s">
        <v>48</v>
      </c>
      <c r="H3164" t="s">
        <v>3957</v>
      </c>
      <c r="I3164" t="s">
        <v>3958</v>
      </c>
      <c r="J3164" t="s">
        <v>1458</v>
      </c>
      <c r="K3164" t="s">
        <v>1337</v>
      </c>
      <c r="L3164" t="s">
        <v>53</v>
      </c>
      <c r="P3164" t="s">
        <v>55</v>
      </c>
      <c r="R3164" t="s">
        <v>56</v>
      </c>
      <c r="T3164" t="s">
        <v>5139</v>
      </c>
      <c r="U3164" t="s">
        <v>58</v>
      </c>
      <c r="V3164">
        <v>2</v>
      </c>
      <c r="W3164">
        <v>1</v>
      </c>
      <c r="X3164">
        <v>1</v>
      </c>
      <c r="Y3164">
        <v>0</v>
      </c>
      <c r="Z3164">
        <v>1</v>
      </c>
      <c r="AA3164">
        <v>0</v>
      </c>
      <c r="AB3164">
        <v>370.52</v>
      </c>
      <c r="AC3164">
        <v>326</v>
      </c>
      <c r="AD3164">
        <v>0</v>
      </c>
      <c r="AE3164">
        <v>44.52</v>
      </c>
      <c r="AF3164">
        <v>0</v>
      </c>
      <c r="AG3164">
        <v>0</v>
      </c>
      <c r="AH3164">
        <v>0</v>
      </c>
      <c r="AI3164">
        <v>0</v>
      </c>
      <c r="AJ3164">
        <v>370.52</v>
      </c>
      <c r="AK3164">
        <v>0</v>
      </c>
      <c r="AL3164" t="s">
        <v>53</v>
      </c>
      <c r="AM3164" t="s">
        <v>53</v>
      </c>
      <c r="AN3164" t="s">
        <v>53</v>
      </c>
      <c r="AO3164" t="s">
        <v>53</v>
      </c>
      <c r="AP3164" t="s">
        <v>53</v>
      </c>
    </row>
    <row r="3165" spans="2:42" x14ac:dyDescent="0.2">
      <c r="B3165" t="s">
        <v>44</v>
      </c>
      <c r="C3165" t="str">
        <f>HYPERLINK("https://us2.cloudbeds.com/connect/8493803454333002#/reservations/22210808357052?display=FQ53KUYXH&amp;reservation_id=22210808357052", "FQ53KUYXH")</f>
        <v>FQ53KUYXH</v>
      </c>
      <c r="D3165" t="s">
        <v>45</v>
      </c>
      <c r="E3165" t="s">
        <v>128</v>
      </c>
      <c r="F3165" t="s">
        <v>86</v>
      </c>
      <c r="G3165" t="s">
        <v>3974</v>
      </c>
      <c r="H3165" t="s">
        <v>3957</v>
      </c>
      <c r="I3165" t="s">
        <v>3975</v>
      </c>
      <c r="J3165" t="s">
        <v>1381</v>
      </c>
      <c r="K3165" t="s">
        <v>1523</v>
      </c>
      <c r="L3165" t="s">
        <v>53</v>
      </c>
      <c r="P3165" t="s">
        <v>55</v>
      </c>
      <c r="R3165" t="s">
        <v>56</v>
      </c>
      <c r="T3165" t="s">
        <v>5140</v>
      </c>
      <c r="U3165" t="s">
        <v>58</v>
      </c>
      <c r="V3165">
        <v>1</v>
      </c>
      <c r="W3165">
        <v>1</v>
      </c>
      <c r="X3165">
        <v>2</v>
      </c>
      <c r="Y3165">
        <v>0</v>
      </c>
      <c r="Z3165">
        <v>2</v>
      </c>
      <c r="AA3165">
        <v>0</v>
      </c>
      <c r="AB3165">
        <v>160.6</v>
      </c>
      <c r="AC3165">
        <v>141.30000000000001</v>
      </c>
      <c r="AD3165">
        <v>0</v>
      </c>
      <c r="AE3165">
        <v>19.3</v>
      </c>
      <c r="AF3165">
        <v>0</v>
      </c>
      <c r="AG3165">
        <v>0</v>
      </c>
      <c r="AH3165">
        <v>0</v>
      </c>
      <c r="AI3165">
        <v>0</v>
      </c>
      <c r="AJ3165">
        <v>160.6</v>
      </c>
      <c r="AK3165">
        <v>0</v>
      </c>
      <c r="AL3165" t="s">
        <v>53</v>
      </c>
      <c r="AM3165" t="s">
        <v>53</v>
      </c>
      <c r="AN3165" t="s">
        <v>53</v>
      </c>
      <c r="AO3165" t="s">
        <v>53</v>
      </c>
      <c r="AP3165" t="s">
        <v>53</v>
      </c>
    </row>
    <row r="3166" spans="2:42" x14ac:dyDescent="0.2">
      <c r="B3166" t="s">
        <v>44</v>
      </c>
      <c r="C3166" t="str">
        <f>HYPERLINK("https://us2.cloudbeds.com/connect/8493803454333002#/reservations/22296115368084?display=FS55E1WXT&amp;reservation_id=22296115368084", "FS55E1WXT")</f>
        <v>FS55E1WXT</v>
      </c>
      <c r="D3166" t="s">
        <v>45</v>
      </c>
      <c r="E3166" t="s">
        <v>305</v>
      </c>
      <c r="F3166" t="s">
        <v>61</v>
      </c>
      <c r="G3166" t="s">
        <v>48</v>
      </c>
      <c r="H3166" t="s">
        <v>3957</v>
      </c>
      <c r="I3166" t="s">
        <v>3958</v>
      </c>
      <c r="J3166" t="s">
        <v>3000</v>
      </c>
      <c r="K3166" t="s">
        <v>1898</v>
      </c>
      <c r="L3166" t="s">
        <v>53</v>
      </c>
      <c r="P3166" t="s">
        <v>58</v>
      </c>
      <c r="R3166" t="s">
        <v>56</v>
      </c>
      <c r="T3166" t="s">
        <v>5141</v>
      </c>
      <c r="U3166" t="s">
        <v>58</v>
      </c>
      <c r="V3166">
        <v>1</v>
      </c>
      <c r="W3166">
        <v>1</v>
      </c>
      <c r="X3166">
        <v>1</v>
      </c>
      <c r="Y3166">
        <v>0</v>
      </c>
      <c r="Z3166">
        <v>1</v>
      </c>
      <c r="AA3166">
        <v>0</v>
      </c>
      <c r="AB3166">
        <v>185.26</v>
      </c>
      <c r="AC3166">
        <v>163</v>
      </c>
      <c r="AD3166">
        <v>0</v>
      </c>
      <c r="AE3166">
        <v>22.26</v>
      </c>
      <c r="AF3166">
        <v>0</v>
      </c>
      <c r="AG3166">
        <v>0</v>
      </c>
      <c r="AH3166">
        <v>0</v>
      </c>
      <c r="AI3166">
        <v>0</v>
      </c>
      <c r="AJ3166">
        <v>185.26</v>
      </c>
      <c r="AK3166">
        <v>0</v>
      </c>
      <c r="AL3166" t="s">
        <v>53</v>
      </c>
      <c r="AM3166" t="s">
        <v>53</v>
      </c>
      <c r="AN3166" t="s">
        <v>53</v>
      </c>
      <c r="AO3166" t="s">
        <v>53</v>
      </c>
      <c r="AP3166" t="s">
        <v>53</v>
      </c>
    </row>
    <row r="3167" spans="2:42" x14ac:dyDescent="0.2">
      <c r="B3167" t="s">
        <v>44</v>
      </c>
      <c r="C3167" t="str">
        <f>HYPERLINK("https://us2.cloudbeds.com/connect/8493803454333002#/reservations/22296312279216?display=FS5AF3AST&amp;reservation_id=22296312279216", "FS5AF3AST")</f>
        <v>FS5AF3AST</v>
      </c>
      <c r="D3167" t="s">
        <v>45</v>
      </c>
      <c r="E3167" t="s">
        <v>487</v>
      </c>
      <c r="F3167" t="s">
        <v>61</v>
      </c>
      <c r="G3167" t="s">
        <v>48</v>
      </c>
      <c r="H3167" t="s">
        <v>3957</v>
      </c>
      <c r="I3167" t="s">
        <v>3958</v>
      </c>
      <c r="J3167" t="s">
        <v>3000</v>
      </c>
      <c r="K3167" t="s">
        <v>1898</v>
      </c>
      <c r="L3167" t="s">
        <v>53</v>
      </c>
      <c r="P3167" t="s">
        <v>58</v>
      </c>
      <c r="R3167" t="s">
        <v>56</v>
      </c>
      <c r="T3167" t="s">
        <v>5142</v>
      </c>
      <c r="U3167" t="s">
        <v>58</v>
      </c>
      <c r="V3167">
        <v>1</v>
      </c>
      <c r="W3167">
        <v>1</v>
      </c>
      <c r="X3167">
        <v>1</v>
      </c>
      <c r="Y3167">
        <v>0</v>
      </c>
      <c r="Z3167">
        <v>1</v>
      </c>
      <c r="AA3167">
        <v>0</v>
      </c>
      <c r="AB3167">
        <v>185.26</v>
      </c>
      <c r="AC3167">
        <v>163</v>
      </c>
      <c r="AD3167">
        <v>0</v>
      </c>
      <c r="AE3167">
        <v>22.26</v>
      </c>
      <c r="AF3167">
        <v>0</v>
      </c>
      <c r="AG3167">
        <v>0</v>
      </c>
      <c r="AH3167">
        <v>0</v>
      </c>
      <c r="AI3167">
        <v>0</v>
      </c>
      <c r="AJ3167">
        <v>185.26</v>
      </c>
      <c r="AK3167">
        <v>0</v>
      </c>
      <c r="AL3167" t="s">
        <v>53</v>
      </c>
      <c r="AM3167" t="s">
        <v>53</v>
      </c>
      <c r="AN3167" t="s">
        <v>53</v>
      </c>
      <c r="AO3167" t="s">
        <v>53</v>
      </c>
      <c r="AP3167" t="s">
        <v>53</v>
      </c>
    </row>
    <row r="3168" spans="2:42" x14ac:dyDescent="0.2">
      <c r="B3168" t="s">
        <v>44</v>
      </c>
      <c r="C3168" t="str">
        <f>HYPERLINK("https://us2.cloudbeds.com/connect/8493803454333002#/reservations/22335528206533?display=FT2MH0ADZ&amp;reservation_id=22335528206533", "FT2MH0ADZ")</f>
        <v>FT2MH0ADZ</v>
      </c>
      <c r="D3168" t="s">
        <v>45</v>
      </c>
      <c r="E3168" t="s">
        <v>138</v>
      </c>
      <c r="F3168" t="s">
        <v>70</v>
      </c>
      <c r="G3168" t="s">
        <v>48</v>
      </c>
      <c r="H3168" t="s">
        <v>3957</v>
      </c>
      <c r="I3168" t="s">
        <v>3958</v>
      </c>
      <c r="J3168" t="s">
        <v>3000</v>
      </c>
      <c r="K3168" t="s">
        <v>1898</v>
      </c>
      <c r="L3168" t="s">
        <v>53</v>
      </c>
      <c r="P3168" t="s">
        <v>55</v>
      </c>
      <c r="R3168" t="s">
        <v>56</v>
      </c>
      <c r="T3168" t="s">
        <v>5143</v>
      </c>
      <c r="U3168" t="s">
        <v>58</v>
      </c>
      <c r="V3168">
        <v>1</v>
      </c>
      <c r="W3168">
        <v>1</v>
      </c>
      <c r="X3168">
        <v>1</v>
      </c>
      <c r="Y3168">
        <v>0</v>
      </c>
      <c r="Z3168">
        <v>1</v>
      </c>
      <c r="AA3168">
        <v>0</v>
      </c>
      <c r="AB3168">
        <v>172.75</v>
      </c>
      <c r="AC3168">
        <v>152</v>
      </c>
      <c r="AD3168">
        <v>0</v>
      </c>
      <c r="AE3168">
        <v>20.75</v>
      </c>
      <c r="AF3168">
        <v>0</v>
      </c>
      <c r="AG3168">
        <v>0</v>
      </c>
      <c r="AH3168">
        <v>0</v>
      </c>
      <c r="AI3168">
        <v>0</v>
      </c>
      <c r="AJ3168">
        <v>172.75</v>
      </c>
      <c r="AK3168">
        <v>0</v>
      </c>
      <c r="AL3168" t="s">
        <v>53</v>
      </c>
      <c r="AM3168" t="s">
        <v>53</v>
      </c>
      <c r="AN3168" t="s">
        <v>53</v>
      </c>
      <c r="AO3168" t="s">
        <v>53</v>
      </c>
      <c r="AP3168" t="s">
        <v>53</v>
      </c>
    </row>
    <row r="3169" spans="2:42" x14ac:dyDescent="0.2">
      <c r="B3169" t="s">
        <v>44</v>
      </c>
      <c r="C3169" t="str">
        <f>HYPERLINK("https://us2.cloudbeds.com/connect/8493803454333002#/reservations/22365228114116?display=FTPMDP0R7&amp;reservation_id=22365228114116", "FTPMDP0R7")</f>
        <v>FTPMDP0R7</v>
      </c>
      <c r="D3169" t="s">
        <v>45</v>
      </c>
      <c r="E3169" t="s">
        <v>138</v>
      </c>
      <c r="F3169" t="s">
        <v>70</v>
      </c>
      <c r="G3169" t="s">
        <v>48</v>
      </c>
      <c r="H3169" t="s">
        <v>49</v>
      </c>
      <c r="I3169" t="s">
        <v>50</v>
      </c>
      <c r="J3169" t="s">
        <v>1337</v>
      </c>
      <c r="K3169" t="s">
        <v>2062</v>
      </c>
      <c r="L3169" t="s">
        <v>53</v>
      </c>
      <c r="N3169" t="s">
        <v>5144</v>
      </c>
      <c r="P3169" t="s">
        <v>55</v>
      </c>
      <c r="R3169" t="s">
        <v>53</v>
      </c>
      <c r="T3169" t="s">
        <v>5145</v>
      </c>
      <c r="U3169" t="s">
        <v>58</v>
      </c>
      <c r="V3169">
        <v>1</v>
      </c>
      <c r="W3169">
        <v>1</v>
      </c>
      <c r="X3169">
        <v>1</v>
      </c>
      <c r="Y3169">
        <v>0</v>
      </c>
      <c r="Z3169">
        <v>1</v>
      </c>
      <c r="AA3169">
        <v>0</v>
      </c>
      <c r="AB3169">
        <v>198.9</v>
      </c>
      <c r="AC3169">
        <v>175</v>
      </c>
      <c r="AD3169">
        <v>0</v>
      </c>
      <c r="AE3169">
        <v>23.9</v>
      </c>
      <c r="AF3169">
        <v>0</v>
      </c>
      <c r="AG3169">
        <v>0</v>
      </c>
      <c r="AH3169">
        <v>0</v>
      </c>
      <c r="AI3169">
        <v>35.799999999999997</v>
      </c>
      <c r="AJ3169">
        <v>198.9</v>
      </c>
      <c r="AK3169">
        <v>0</v>
      </c>
      <c r="AL3169" t="s">
        <v>53</v>
      </c>
      <c r="AM3169" t="s">
        <v>53</v>
      </c>
      <c r="AN3169" t="s">
        <v>53</v>
      </c>
      <c r="AO3169" t="s">
        <v>53</v>
      </c>
      <c r="AP3169" t="s">
        <v>53</v>
      </c>
    </row>
    <row r="3170" spans="2:42" x14ac:dyDescent="0.2">
      <c r="B3170" t="s">
        <v>44</v>
      </c>
      <c r="C3170" t="str">
        <f>HYPERLINK("https://us2.cloudbeds.com/connect/8493803454333002#/reservations/22377207361791?display=FU1VGW88H&amp;reservation_id=22377207361791", "FU1VGW88H")</f>
        <v>FU1VGW88H</v>
      </c>
      <c r="D3170" t="s">
        <v>45</v>
      </c>
      <c r="E3170" t="s">
        <v>121</v>
      </c>
      <c r="F3170" t="s">
        <v>86</v>
      </c>
      <c r="G3170" t="s">
        <v>48</v>
      </c>
      <c r="H3170" t="s">
        <v>49</v>
      </c>
      <c r="I3170" t="s">
        <v>62</v>
      </c>
      <c r="J3170" t="s">
        <v>2014</v>
      </c>
      <c r="K3170" t="s">
        <v>3882</v>
      </c>
      <c r="L3170" t="s">
        <v>53</v>
      </c>
      <c r="N3170" t="s">
        <v>5146</v>
      </c>
      <c r="P3170" t="s">
        <v>55</v>
      </c>
      <c r="R3170" t="s">
        <v>56</v>
      </c>
      <c r="T3170" t="s">
        <v>5147</v>
      </c>
      <c r="U3170" t="s">
        <v>55</v>
      </c>
      <c r="V3170">
        <v>5</v>
      </c>
      <c r="W3170">
        <v>1</v>
      </c>
      <c r="X3170">
        <v>2</v>
      </c>
      <c r="Y3170">
        <v>0</v>
      </c>
      <c r="Z3170">
        <v>2</v>
      </c>
      <c r="AA3170">
        <v>0</v>
      </c>
      <c r="AB3170">
        <v>811.5</v>
      </c>
      <c r="AC3170">
        <v>714</v>
      </c>
      <c r="AD3170">
        <v>0</v>
      </c>
      <c r="AE3170">
        <v>97.5</v>
      </c>
      <c r="AF3170">
        <v>0</v>
      </c>
      <c r="AG3170">
        <v>0</v>
      </c>
      <c r="AH3170">
        <v>0</v>
      </c>
      <c r="AI3170">
        <v>121.73</v>
      </c>
      <c r="AJ3170">
        <v>811.5</v>
      </c>
      <c r="AK3170">
        <v>0</v>
      </c>
      <c r="AL3170" t="s">
        <v>53</v>
      </c>
      <c r="AM3170" t="s">
        <v>53</v>
      </c>
      <c r="AN3170" t="s">
        <v>53</v>
      </c>
      <c r="AO3170" t="s">
        <v>53</v>
      </c>
      <c r="AP3170" t="s">
        <v>53</v>
      </c>
    </row>
    <row r="3171" spans="2:42" x14ac:dyDescent="0.2">
      <c r="B3171" t="s">
        <v>44</v>
      </c>
      <c r="C3171" t="str">
        <f>HYPERLINK("https://us2.cloudbeds.com/connect/8493803454333002#/reservations/22556831342769?display=G191AMA38&amp;reservation_id=22556831342769", "G191AMA38")</f>
        <v>G191AMA38</v>
      </c>
      <c r="D3171" t="s">
        <v>45</v>
      </c>
      <c r="E3171" t="s">
        <v>110</v>
      </c>
      <c r="F3171" t="s">
        <v>47</v>
      </c>
      <c r="G3171" t="s">
        <v>48</v>
      </c>
      <c r="H3171" t="s">
        <v>3957</v>
      </c>
      <c r="I3171" t="s">
        <v>3958</v>
      </c>
      <c r="J3171" t="s">
        <v>1380</v>
      </c>
      <c r="K3171" t="s">
        <v>1381</v>
      </c>
      <c r="L3171" t="s">
        <v>53</v>
      </c>
      <c r="P3171" t="s">
        <v>58</v>
      </c>
      <c r="R3171" t="s">
        <v>56</v>
      </c>
      <c r="T3171" t="s">
        <v>5148</v>
      </c>
      <c r="U3171" t="s">
        <v>58</v>
      </c>
      <c r="V3171">
        <v>2</v>
      </c>
      <c r="W3171">
        <v>1</v>
      </c>
      <c r="X3171">
        <v>1</v>
      </c>
      <c r="Y3171">
        <v>0</v>
      </c>
      <c r="Z3171">
        <v>1</v>
      </c>
      <c r="AA3171">
        <v>0</v>
      </c>
      <c r="AB3171">
        <v>318.22000000000003</v>
      </c>
      <c r="AC3171">
        <v>280</v>
      </c>
      <c r="AD3171">
        <v>0</v>
      </c>
      <c r="AE3171">
        <v>38.22</v>
      </c>
      <c r="AF3171">
        <v>0</v>
      </c>
      <c r="AG3171">
        <v>0</v>
      </c>
      <c r="AH3171">
        <v>0</v>
      </c>
      <c r="AI3171">
        <v>0</v>
      </c>
      <c r="AJ3171">
        <v>318.22000000000003</v>
      </c>
      <c r="AK3171">
        <v>0</v>
      </c>
      <c r="AL3171" t="s">
        <v>53</v>
      </c>
      <c r="AM3171" t="s">
        <v>53</v>
      </c>
      <c r="AN3171" t="s">
        <v>53</v>
      </c>
      <c r="AO3171" t="s">
        <v>53</v>
      </c>
      <c r="AP3171" t="s">
        <v>53</v>
      </c>
    </row>
    <row r="3172" spans="2:42" x14ac:dyDescent="0.2">
      <c r="B3172" t="s">
        <v>44</v>
      </c>
      <c r="C3172" t="str">
        <f>HYPERLINK("https://us2.cloudbeds.com/connect/8493803454333002#/reservations/22597238395030?display=G27AQW39C&amp;reservation_id=22597238395030", "G27AQW39C")</f>
        <v>G27AQW39C</v>
      </c>
      <c r="D3172" t="s">
        <v>45</v>
      </c>
      <c r="E3172" t="s">
        <v>373</v>
      </c>
      <c r="F3172" t="s">
        <v>47</v>
      </c>
      <c r="G3172" t="s">
        <v>48</v>
      </c>
      <c r="H3172" t="s">
        <v>49</v>
      </c>
      <c r="I3172" t="s">
        <v>50</v>
      </c>
      <c r="J3172" t="s">
        <v>1458</v>
      </c>
      <c r="K3172" t="s">
        <v>1337</v>
      </c>
      <c r="L3172" t="s">
        <v>53</v>
      </c>
      <c r="N3172" t="s">
        <v>5149</v>
      </c>
      <c r="P3172" t="s">
        <v>55</v>
      </c>
      <c r="R3172" t="s">
        <v>53</v>
      </c>
      <c r="T3172" t="s">
        <v>5150</v>
      </c>
      <c r="U3172" t="s">
        <v>58</v>
      </c>
      <c r="V3172">
        <v>2</v>
      </c>
      <c r="W3172">
        <v>1</v>
      </c>
      <c r="X3172">
        <v>2</v>
      </c>
      <c r="Y3172">
        <v>0</v>
      </c>
      <c r="Z3172">
        <v>2</v>
      </c>
      <c r="AA3172">
        <v>0</v>
      </c>
      <c r="AB3172">
        <v>390.96</v>
      </c>
      <c r="AC3172">
        <v>344</v>
      </c>
      <c r="AD3172">
        <v>0</v>
      </c>
      <c r="AE3172">
        <v>46.96</v>
      </c>
      <c r="AF3172">
        <v>0</v>
      </c>
      <c r="AG3172">
        <v>0</v>
      </c>
      <c r="AH3172">
        <v>0</v>
      </c>
      <c r="AI3172">
        <v>70.37</v>
      </c>
      <c r="AJ3172">
        <v>390.96</v>
      </c>
      <c r="AK3172">
        <v>0</v>
      </c>
      <c r="AL3172" t="s">
        <v>53</v>
      </c>
      <c r="AM3172" t="s">
        <v>53</v>
      </c>
      <c r="AN3172" t="s">
        <v>53</v>
      </c>
      <c r="AO3172" t="s">
        <v>53</v>
      </c>
      <c r="AP3172" t="s">
        <v>53</v>
      </c>
    </row>
    <row r="3173" spans="2:42" x14ac:dyDescent="0.2">
      <c r="B3173" t="s">
        <v>44</v>
      </c>
      <c r="C3173" t="str">
        <f>HYPERLINK("https://us2.cloudbeds.com/connect/8493803454333002#/reservations/22598133268681?display=G280MX95Z&amp;reservation_id=22598133268681", "G280MX95Z")</f>
        <v>G280MX95Z</v>
      </c>
      <c r="D3173" t="s">
        <v>45</v>
      </c>
      <c r="E3173" t="s">
        <v>113</v>
      </c>
      <c r="F3173" t="s">
        <v>61</v>
      </c>
      <c r="G3173" t="s">
        <v>48</v>
      </c>
      <c r="H3173" t="s">
        <v>49</v>
      </c>
      <c r="I3173" t="s">
        <v>50</v>
      </c>
      <c r="J3173" t="s">
        <v>1458</v>
      </c>
      <c r="K3173" t="s">
        <v>1337</v>
      </c>
      <c r="L3173" t="s">
        <v>53</v>
      </c>
      <c r="N3173" t="s">
        <v>5151</v>
      </c>
      <c r="P3173" t="s">
        <v>55</v>
      </c>
      <c r="R3173" t="s">
        <v>53</v>
      </c>
      <c r="T3173" t="s">
        <v>5152</v>
      </c>
      <c r="U3173" t="s">
        <v>58</v>
      </c>
      <c r="V3173">
        <v>2</v>
      </c>
      <c r="W3173">
        <v>1</v>
      </c>
      <c r="X3173">
        <v>2</v>
      </c>
      <c r="Y3173">
        <v>0</v>
      </c>
      <c r="Z3173">
        <v>2</v>
      </c>
      <c r="AA3173">
        <v>0</v>
      </c>
      <c r="AB3173">
        <v>397.79</v>
      </c>
      <c r="AC3173">
        <v>350</v>
      </c>
      <c r="AD3173">
        <v>0</v>
      </c>
      <c r="AE3173">
        <v>47.79</v>
      </c>
      <c r="AF3173">
        <v>0</v>
      </c>
      <c r="AG3173">
        <v>0</v>
      </c>
      <c r="AH3173">
        <v>0</v>
      </c>
      <c r="AI3173">
        <v>71.599999999999994</v>
      </c>
      <c r="AJ3173">
        <v>397.79</v>
      </c>
      <c r="AK3173">
        <v>0</v>
      </c>
      <c r="AL3173" t="s">
        <v>53</v>
      </c>
      <c r="AM3173" t="s">
        <v>53</v>
      </c>
      <c r="AN3173" t="s">
        <v>53</v>
      </c>
      <c r="AO3173" t="s">
        <v>53</v>
      </c>
      <c r="AP3173" t="s">
        <v>53</v>
      </c>
    </row>
    <row r="3174" spans="2:42" x14ac:dyDescent="0.2">
      <c r="B3174" t="s">
        <v>44</v>
      </c>
      <c r="C3174" t="str">
        <f>HYPERLINK("https://us2.cloudbeds.com/connect/8493803454333002#/reservations/22650307006684?display=G3FDRREPF&amp;reservation_id=22650307006684", "G3FDRREPF")</f>
        <v>G3FDRREPF</v>
      </c>
      <c r="D3174" t="s">
        <v>45</v>
      </c>
      <c r="E3174" t="s">
        <v>223</v>
      </c>
      <c r="F3174" t="s">
        <v>47</v>
      </c>
      <c r="G3174" t="s">
        <v>4520</v>
      </c>
      <c r="H3174" t="s">
        <v>3957</v>
      </c>
      <c r="I3174" t="s">
        <v>3958</v>
      </c>
      <c r="J3174" t="s">
        <v>1898</v>
      </c>
      <c r="K3174" t="s">
        <v>1336</v>
      </c>
      <c r="L3174" t="s">
        <v>53</v>
      </c>
      <c r="P3174" t="s">
        <v>55</v>
      </c>
      <c r="R3174" t="s">
        <v>56</v>
      </c>
      <c r="T3174" t="s">
        <v>5153</v>
      </c>
      <c r="U3174" t="s">
        <v>58</v>
      </c>
      <c r="V3174">
        <v>2</v>
      </c>
      <c r="W3174">
        <v>1</v>
      </c>
      <c r="X3174">
        <v>1</v>
      </c>
      <c r="Y3174">
        <v>0</v>
      </c>
      <c r="Z3174">
        <v>1</v>
      </c>
      <c r="AA3174">
        <v>0</v>
      </c>
      <c r="AB3174">
        <v>340.5</v>
      </c>
      <c r="AC3174">
        <v>299.60000000000002</v>
      </c>
      <c r="AD3174">
        <v>0</v>
      </c>
      <c r="AE3174">
        <v>40.9</v>
      </c>
      <c r="AF3174">
        <v>0</v>
      </c>
      <c r="AG3174">
        <v>0</v>
      </c>
      <c r="AH3174">
        <v>0</v>
      </c>
      <c r="AI3174">
        <v>0</v>
      </c>
      <c r="AJ3174">
        <v>340.5</v>
      </c>
      <c r="AK3174">
        <v>0</v>
      </c>
      <c r="AL3174" t="s">
        <v>53</v>
      </c>
      <c r="AM3174" t="s">
        <v>53</v>
      </c>
      <c r="AN3174" t="s">
        <v>53</v>
      </c>
      <c r="AO3174" t="s">
        <v>53</v>
      </c>
      <c r="AP3174" t="s">
        <v>53</v>
      </c>
    </row>
    <row r="3175" spans="2:42" x14ac:dyDescent="0.2">
      <c r="B3175" t="s">
        <v>44</v>
      </c>
      <c r="C3175" t="str">
        <f>HYPERLINK("https://us2.cloudbeds.com/connect/8493803454333002#/reservations/22649285877951?display=G3EKZQ15H&amp;reservation_id=22649285877951", "G3EKZQ15H")</f>
        <v>G3EKZQ15H</v>
      </c>
      <c r="D3175" t="s">
        <v>45</v>
      </c>
      <c r="E3175" t="s">
        <v>774</v>
      </c>
      <c r="F3175" t="s">
        <v>47</v>
      </c>
      <c r="G3175" t="s">
        <v>48</v>
      </c>
      <c r="H3175" t="s">
        <v>3957</v>
      </c>
      <c r="I3175" t="s">
        <v>3975</v>
      </c>
      <c r="J3175" t="s">
        <v>5154</v>
      </c>
      <c r="K3175" t="s">
        <v>5155</v>
      </c>
      <c r="L3175" t="s">
        <v>53</v>
      </c>
      <c r="P3175" t="s">
        <v>58</v>
      </c>
      <c r="R3175" t="s">
        <v>56</v>
      </c>
      <c r="T3175" t="s">
        <v>5156</v>
      </c>
      <c r="U3175" t="s">
        <v>58</v>
      </c>
      <c r="V3175">
        <v>6</v>
      </c>
      <c r="W3175">
        <v>2</v>
      </c>
      <c r="X3175">
        <v>4</v>
      </c>
      <c r="Y3175">
        <v>0</v>
      </c>
      <c r="Z3175">
        <v>4</v>
      </c>
      <c r="AA3175">
        <v>0</v>
      </c>
      <c r="AB3175">
        <v>716.04</v>
      </c>
      <c r="AC3175">
        <v>630</v>
      </c>
      <c r="AD3175">
        <v>0</v>
      </c>
      <c r="AE3175">
        <v>86.04</v>
      </c>
      <c r="AF3175">
        <v>0</v>
      </c>
      <c r="AG3175">
        <v>0</v>
      </c>
      <c r="AH3175">
        <v>0</v>
      </c>
      <c r="AI3175">
        <v>0</v>
      </c>
      <c r="AJ3175">
        <v>716.04</v>
      </c>
      <c r="AK3175">
        <v>0</v>
      </c>
      <c r="AL3175" t="s">
        <v>53</v>
      </c>
      <c r="AM3175" t="s">
        <v>53</v>
      </c>
      <c r="AN3175" t="s">
        <v>53</v>
      </c>
      <c r="AO3175" t="s">
        <v>53</v>
      </c>
      <c r="AP3175" t="s">
        <v>53</v>
      </c>
    </row>
    <row r="3176" spans="2:42" x14ac:dyDescent="0.2">
      <c r="B3176" t="s">
        <v>44</v>
      </c>
      <c r="C3176" t="str">
        <f>HYPERLINK("https://us2.cloudbeds.com/connect/8493803454333002#/reservations/22661623337156?display=G3Z6020QM&amp;reservation_id=22661623337156", "G3Z6020QM")</f>
        <v>G3Z6020QM</v>
      </c>
      <c r="D3176" t="s">
        <v>45</v>
      </c>
      <c r="E3176" t="s">
        <v>138</v>
      </c>
      <c r="F3176" t="s">
        <v>70</v>
      </c>
      <c r="G3176" t="s">
        <v>48</v>
      </c>
      <c r="H3176" t="s">
        <v>49</v>
      </c>
      <c r="I3176" t="s">
        <v>50</v>
      </c>
      <c r="J3176" t="s">
        <v>3232</v>
      </c>
      <c r="K3176" t="s">
        <v>3906</v>
      </c>
      <c r="L3176" t="s">
        <v>53</v>
      </c>
      <c r="N3176" t="s">
        <v>5157</v>
      </c>
      <c r="P3176" t="s">
        <v>55</v>
      </c>
      <c r="R3176" t="s">
        <v>53</v>
      </c>
      <c r="T3176" t="s">
        <v>5158</v>
      </c>
      <c r="U3176" t="s">
        <v>58</v>
      </c>
      <c r="V3176">
        <v>4</v>
      </c>
      <c r="W3176">
        <v>1</v>
      </c>
      <c r="X3176">
        <v>1</v>
      </c>
      <c r="Y3176">
        <v>0</v>
      </c>
      <c r="Z3176">
        <v>1</v>
      </c>
      <c r="AA3176">
        <v>0</v>
      </c>
      <c r="AB3176">
        <v>396.88</v>
      </c>
      <c r="AC3176">
        <v>349.2</v>
      </c>
      <c r="AD3176">
        <v>0</v>
      </c>
      <c r="AE3176">
        <v>47.68</v>
      </c>
      <c r="AF3176">
        <v>0</v>
      </c>
      <c r="AG3176">
        <v>0</v>
      </c>
      <c r="AH3176">
        <v>0</v>
      </c>
      <c r="AI3176">
        <v>71.44</v>
      </c>
      <c r="AJ3176">
        <v>396.88</v>
      </c>
      <c r="AK3176">
        <v>0</v>
      </c>
      <c r="AL3176" t="s">
        <v>53</v>
      </c>
      <c r="AM3176" t="s">
        <v>53</v>
      </c>
      <c r="AN3176" t="s">
        <v>53</v>
      </c>
      <c r="AO3176" t="s">
        <v>53</v>
      </c>
      <c r="AP3176" t="s">
        <v>53</v>
      </c>
    </row>
    <row r="3177" spans="2:42" x14ac:dyDescent="0.2">
      <c r="B3177" t="s">
        <v>44</v>
      </c>
      <c r="C3177" t="str">
        <f>HYPERLINK("https://us2.cloudbeds.com/connect/8493803454333002#/reservations/22672995647630?display=G3WWJGAQJ&amp;reservation_id=22672995647630", "G3WWJGAQJ")</f>
        <v>G3WWJGAQJ</v>
      </c>
      <c r="D3177" t="s">
        <v>45</v>
      </c>
      <c r="E3177" t="s">
        <v>121</v>
      </c>
      <c r="F3177" t="s">
        <v>86</v>
      </c>
      <c r="G3177" t="s">
        <v>48</v>
      </c>
      <c r="H3177" t="s">
        <v>3957</v>
      </c>
      <c r="I3177" t="s">
        <v>3975</v>
      </c>
      <c r="J3177" t="s">
        <v>1458</v>
      </c>
      <c r="K3177" t="s">
        <v>1336</v>
      </c>
      <c r="L3177" t="s">
        <v>53</v>
      </c>
      <c r="P3177" t="s">
        <v>55</v>
      </c>
      <c r="R3177" t="s">
        <v>56</v>
      </c>
      <c r="T3177" t="s">
        <v>5159</v>
      </c>
      <c r="U3177" t="s">
        <v>58</v>
      </c>
      <c r="V3177">
        <v>1</v>
      </c>
      <c r="W3177">
        <v>1</v>
      </c>
      <c r="X3177">
        <v>2</v>
      </c>
      <c r="Y3177">
        <v>1</v>
      </c>
      <c r="Z3177">
        <v>3</v>
      </c>
      <c r="AA3177">
        <v>0</v>
      </c>
      <c r="AB3177">
        <v>193.21</v>
      </c>
      <c r="AC3177">
        <v>170</v>
      </c>
      <c r="AD3177">
        <v>0</v>
      </c>
      <c r="AE3177">
        <v>23.21</v>
      </c>
      <c r="AF3177">
        <v>0</v>
      </c>
      <c r="AG3177">
        <v>0</v>
      </c>
      <c r="AH3177">
        <v>0</v>
      </c>
      <c r="AI3177">
        <v>0</v>
      </c>
      <c r="AJ3177">
        <v>193.21</v>
      </c>
      <c r="AK3177">
        <v>0</v>
      </c>
      <c r="AL3177" t="s">
        <v>53</v>
      </c>
      <c r="AM3177" t="s">
        <v>53</v>
      </c>
      <c r="AN3177" t="s">
        <v>53</v>
      </c>
      <c r="AO3177" t="s">
        <v>53</v>
      </c>
      <c r="AP3177" t="s">
        <v>53</v>
      </c>
    </row>
    <row r="3178" spans="2:42" x14ac:dyDescent="0.2">
      <c r="B3178" t="s">
        <v>44</v>
      </c>
      <c r="C3178" t="str">
        <f>HYPERLINK("https://us2.cloudbeds.com/connect/8493803454333002#/reservations/22675010777267?display=G41X2N981&amp;reservation_id=22675010777267", "G41X2N981")</f>
        <v>G41X2N981</v>
      </c>
      <c r="D3178" t="s">
        <v>45</v>
      </c>
      <c r="E3178" t="s">
        <v>121</v>
      </c>
      <c r="F3178" t="s">
        <v>86</v>
      </c>
      <c r="G3178" t="s">
        <v>48</v>
      </c>
      <c r="H3178" t="s">
        <v>3957</v>
      </c>
      <c r="I3178" t="s">
        <v>3975</v>
      </c>
      <c r="J3178" t="s">
        <v>1336</v>
      </c>
      <c r="K3178" t="s">
        <v>1337</v>
      </c>
      <c r="L3178" t="s">
        <v>53</v>
      </c>
      <c r="P3178" t="s">
        <v>55</v>
      </c>
      <c r="R3178" t="s">
        <v>56</v>
      </c>
      <c r="T3178" t="s">
        <v>5160</v>
      </c>
      <c r="U3178" t="s">
        <v>58</v>
      </c>
      <c r="V3178">
        <v>1</v>
      </c>
      <c r="W3178">
        <v>1</v>
      </c>
      <c r="X3178">
        <v>2</v>
      </c>
      <c r="Y3178">
        <v>0</v>
      </c>
      <c r="Z3178">
        <v>2</v>
      </c>
      <c r="AA3178">
        <v>0</v>
      </c>
      <c r="AB3178">
        <v>221.63</v>
      </c>
      <c r="AC3178">
        <v>195</v>
      </c>
      <c r="AD3178">
        <v>0</v>
      </c>
      <c r="AE3178">
        <v>26.63</v>
      </c>
      <c r="AF3178">
        <v>0</v>
      </c>
      <c r="AG3178">
        <v>0</v>
      </c>
      <c r="AH3178">
        <v>0</v>
      </c>
      <c r="AI3178">
        <v>0</v>
      </c>
      <c r="AJ3178">
        <v>221.63</v>
      </c>
      <c r="AK3178">
        <v>0</v>
      </c>
      <c r="AL3178" t="s">
        <v>53</v>
      </c>
      <c r="AM3178" t="s">
        <v>53</v>
      </c>
      <c r="AN3178" t="s">
        <v>53</v>
      </c>
      <c r="AO3178" t="s">
        <v>53</v>
      </c>
      <c r="AP3178" t="s">
        <v>53</v>
      </c>
    </row>
    <row r="3179" spans="2:42" x14ac:dyDescent="0.2">
      <c r="B3179" t="s">
        <v>44</v>
      </c>
      <c r="C3179" t="str">
        <f>HYPERLINK("https://us2.cloudbeds.com/connect/8493803454333002#/reservations/22686306115815?display=G4A9N7NVB&amp;reservation_id=22686306115815", "G4A9N7NVB")</f>
        <v>G4A9N7NVB</v>
      </c>
      <c r="D3179" t="s">
        <v>45</v>
      </c>
      <c r="E3179" t="s">
        <v>138</v>
      </c>
      <c r="F3179" t="s">
        <v>70</v>
      </c>
      <c r="G3179" t="s">
        <v>48</v>
      </c>
      <c r="H3179" t="s">
        <v>49</v>
      </c>
      <c r="I3179" t="s">
        <v>62</v>
      </c>
      <c r="J3179" t="s">
        <v>1898</v>
      </c>
      <c r="K3179" t="s">
        <v>1458</v>
      </c>
      <c r="L3179" t="s">
        <v>53</v>
      </c>
      <c r="N3179" t="s">
        <v>5161</v>
      </c>
      <c r="P3179" t="s">
        <v>55</v>
      </c>
      <c r="R3179" t="s">
        <v>56</v>
      </c>
      <c r="T3179" t="s">
        <v>5162</v>
      </c>
      <c r="U3179" t="s">
        <v>55</v>
      </c>
      <c r="V3179">
        <v>1</v>
      </c>
      <c r="W3179">
        <v>1</v>
      </c>
      <c r="X3179">
        <v>2</v>
      </c>
      <c r="Y3179">
        <v>0</v>
      </c>
      <c r="Z3179">
        <v>2</v>
      </c>
      <c r="AA3179">
        <v>0</v>
      </c>
      <c r="AB3179">
        <v>193.21</v>
      </c>
      <c r="AC3179">
        <v>170</v>
      </c>
      <c r="AD3179">
        <v>0</v>
      </c>
      <c r="AE3179">
        <v>23.21</v>
      </c>
      <c r="AF3179">
        <v>0</v>
      </c>
      <c r="AG3179">
        <v>0</v>
      </c>
      <c r="AH3179">
        <v>0</v>
      </c>
      <c r="AI3179">
        <v>28.98</v>
      </c>
      <c r="AJ3179">
        <v>193.21</v>
      </c>
      <c r="AK3179">
        <v>0</v>
      </c>
      <c r="AL3179" t="s">
        <v>53</v>
      </c>
      <c r="AM3179" t="s">
        <v>53</v>
      </c>
      <c r="AN3179" t="s">
        <v>53</v>
      </c>
      <c r="AO3179" t="s">
        <v>53</v>
      </c>
      <c r="AP3179" t="s">
        <v>53</v>
      </c>
    </row>
    <row r="3180" spans="2:42" x14ac:dyDescent="0.2">
      <c r="B3180" t="s">
        <v>44</v>
      </c>
      <c r="C3180" t="str">
        <f>HYPERLINK("https://us2.cloudbeds.com/connect/8493803454333002#/reservations/22695201943752?display=G4H60E89T&amp;reservation_id=22695201943752", "G4H60E89T")</f>
        <v>G4H60E89T</v>
      </c>
      <c r="D3180" t="s">
        <v>45</v>
      </c>
      <c r="E3180" t="s">
        <v>92</v>
      </c>
      <c r="F3180" t="s">
        <v>86</v>
      </c>
      <c r="G3180" t="s">
        <v>48</v>
      </c>
      <c r="H3180" t="s">
        <v>3957</v>
      </c>
      <c r="I3180" t="s">
        <v>3958</v>
      </c>
      <c r="J3180" t="s">
        <v>1336</v>
      </c>
      <c r="K3180" t="s">
        <v>1337</v>
      </c>
      <c r="L3180" t="s">
        <v>53</v>
      </c>
      <c r="P3180" t="s">
        <v>55</v>
      </c>
      <c r="R3180" t="s">
        <v>56</v>
      </c>
      <c r="T3180" t="s">
        <v>5163</v>
      </c>
      <c r="U3180" t="s">
        <v>58</v>
      </c>
      <c r="V3180">
        <v>1</v>
      </c>
      <c r="W3180">
        <v>1</v>
      </c>
      <c r="X3180">
        <v>1</v>
      </c>
      <c r="Y3180">
        <v>0</v>
      </c>
      <c r="Z3180">
        <v>1</v>
      </c>
      <c r="AA3180">
        <v>0</v>
      </c>
      <c r="AB3180">
        <v>221.63</v>
      </c>
      <c r="AC3180">
        <v>195</v>
      </c>
      <c r="AD3180">
        <v>0</v>
      </c>
      <c r="AE3180">
        <v>26.63</v>
      </c>
      <c r="AF3180">
        <v>0</v>
      </c>
      <c r="AG3180">
        <v>0</v>
      </c>
      <c r="AH3180">
        <v>0</v>
      </c>
      <c r="AI3180">
        <v>0</v>
      </c>
      <c r="AJ3180">
        <v>221.63</v>
      </c>
      <c r="AK3180">
        <v>0</v>
      </c>
      <c r="AL3180" t="s">
        <v>53</v>
      </c>
      <c r="AM3180" t="s">
        <v>53</v>
      </c>
      <c r="AN3180" t="s">
        <v>53</v>
      </c>
      <c r="AO3180" t="s">
        <v>53</v>
      </c>
      <c r="AP3180" t="s">
        <v>53</v>
      </c>
    </row>
    <row r="3181" spans="2:42" x14ac:dyDescent="0.2">
      <c r="B3181" t="s">
        <v>44</v>
      </c>
      <c r="C3181" t="str">
        <f>HYPERLINK("https://us2.cloudbeds.com/connect/8493803454333002#/reservations/22709779312880?display=G4SFGF16A&amp;reservation_id=22709779312880", "G4SFGF16A")</f>
        <v>G4SFGF16A</v>
      </c>
      <c r="D3181" t="s">
        <v>45</v>
      </c>
      <c r="E3181" t="s">
        <v>5164</v>
      </c>
      <c r="F3181" t="s">
        <v>47</v>
      </c>
      <c r="G3181" t="s">
        <v>4520</v>
      </c>
      <c r="H3181" t="s">
        <v>3957</v>
      </c>
      <c r="I3181" t="s">
        <v>3989</v>
      </c>
      <c r="J3181" t="s">
        <v>1458</v>
      </c>
      <c r="K3181" t="s">
        <v>1336</v>
      </c>
      <c r="L3181" t="s">
        <v>53</v>
      </c>
      <c r="P3181" t="s">
        <v>55</v>
      </c>
      <c r="R3181" t="s">
        <v>56</v>
      </c>
      <c r="T3181" t="s">
        <v>5165</v>
      </c>
      <c r="U3181" t="s">
        <v>58</v>
      </c>
      <c r="V3181">
        <v>2</v>
      </c>
      <c r="W3181">
        <v>2</v>
      </c>
      <c r="X3181">
        <v>2</v>
      </c>
      <c r="Y3181">
        <v>0</v>
      </c>
      <c r="Z3181">
        <v>2</v>
      </c>
      <c r="AA3181">
        <v>0</v>
      </c>
      <c r="AB3181">
        <v>327.32</v>
      </c>
      <c r="AC3181">
        <v>288</v>
      </c>
      <c r="AD3181">
        <v>0</v>
      </c>
      <c r="AE3181">
        <v>39.32</v>
      </c>
      <c r="AF3181">
        <v>0</v>
      </c>
      <c r="AG3181">
        <v>0</v>
      </c>
      <c r="AH3181">
        <v>0</v>
      </c>
      <c r="AI3181">
        <v>0</v>
      </c>
      <c r="AJ3181">
        <v>327.32</v>
      </c>
      <c r="AK3181">
        <v>0</v>
      </c>
      <c r="AL3181" t="s">
        <v>53</v>
      </c>
      <c r="AM3181" t="s">
        <v>53</v>
      </c>
      <c r="AN3181" t="s">
        <v>5166</v>
      </c>
      <c r="AO3181" t="s">
        <v>53</v>
      </c>
      <c r="AP3181" t="s">
        <v>53</v>
      </c>
    </row>
    <row r="3182" spans="2:42" x14ac:dyDescent="0.2">
      <c r="B3182" t="s">
        <v>44</v>
      </c>
      <c r="C3182" t="str">
        <f>HYPERLINK("https://us2.cloudbeds.com/connect/8493803454333002#/reservations/22901369893057?display=G9BR2NBN6&amp;reservation_id=22901369893057", "G9BR2NBN6")</f>
        <v>G9BR2NBN6</v>
      </c>
      <c r="D3182" t="s">
        <v>45</v>
      </c>
      <c r="E3182" t="s">
        <v>138</v>
      </c>
      <c r="F3182" t="s">
        <v>70</v>
      </c>
      <c r="G3182" t="s">
        <v>48</v>
      </c>
      <c r="H3182" t="s">
        <v>49</v>
      </c>
      <c r="I3182" t="s">
        <v>50</v>
      </c>
      <c r="J3182" t="s">
        <v>1458</v>
      </c>
      <c r="K3182" t="s">
        <v>1336</v>
      </c>
      <c r="L3182" t="s">
        <v>53</v>
      </c>
      <c r="N3182" t="s">
        <v>5167</v>
      </c>
      <c r="P3182" t="s">
        <v>55</v>
      </c>
      <c r="R3182" t="s">
        <v>53</v>
      </c>
      <c r="T3182" t="s">
        <v>5168</v>
      </c>
      <c r="U3182" t="s">
        <v>58</v>
      </c>
      <c r="V3182">
        <v>1</v>
      </c>
      <c r="W3182">
        <v>1</v>
      </c>
      <c r="X3182">
        <v>2</v>
      </c>
      <c r="Y3182">
        <v>0</v>
      </c>
      <c r="Z3182">
        <v>2</v>
      </c>
      <c r="AA3182">
        <v>0</v>
      </c>
      <c r="AB3182">
        <v>172.75</v>
      </c>
      <c r="AC3182">
        <v>152</v>
      </c>
      <c r="AD3182">
        <v>0</v>
      </c>
      <c r="AE3182">
        <v>20.75</v>
      </c>
      <c r="AF3182">
        <v>0</v>
      </c>
      <c r="AG3182">
        <v>0</v>
      </c>
      <c r="AH3182">
        <v>0</v>
      </c>
      <c r="AI3182">
        <v>31.1</v>
      </c>
      <c r="AJ3182">
        <v>172.75</v>
      </c>
      <c r="AK3182">
        <v>0</v>
      </c>
      <c r="AL3182" t="s">
        <v>53</v>
      </c>
      <c r="AM3182" t="s">
        <v>53</v>
      </c>
      <c r="AN3182" t="s">
        <v>53</v>
      </c>
      <c r="AO3182" t="s">
        <v>53</v>
      </c>
      <c r="AP3182" t="s">
        <v>53</v>
      </c>
    </row>
    <row r="3183" spans="2:42" x14ac:dyDescent="0.2">
      <c r="B3183" t="s">
        <v>44</v>
      </c>
      <c r="C3183" t="str">
        <f>HYPERLINK("https://us2.cloudbeds.com/connect/8493803454333002#/reservations/22909577785472?display=G9HQTGXHF&amp;reservation_id=22909577785472", "G9HQTGXHF")</f>
        <v>G9HQTGXHF</v>
      </c>
      <c r="D3183" t="s">
        <v>45</v>
      </c>
      <c r="E3183" t="s">
        <v>110</v>
      </c>
      <c r="F3183" t="s">
        <v>47</v>
      </c>
      <c r="G3183" t="s">
        <v>48</v>
      </c>
      <c r="H3183" t="s">
        <v>3957</v>
      </c>
      <c r="I3183" t="s">
        <v>3989</v>
      </c>
      <c r="J3183" t="s">
        <v>1381</v>
      </c>
      <c r="K3183" t="s">
        <v>1523</v>
      </c>
      <c r="L3183" t="s">
        <v>53</v>
      </c>
      <c r="P3183" t="s">
        <v>55</v>
      </c>
      <c r="R3183" t="s">
        <v>56</v>
      </c>
      <c r="T3183" t="s">
        <v>5169</v>
      </c>
      <c r="U3183" t="s">
        <v>58</v>
      </c>
      <c r="V3183">
        <v>1</v>
      </c>
      <c r="W3183">
        <v>1</v>
      </c>
      <c r="X3183">
        <v>1</v>
      </c>
      <c r="Y3183">
        <v>0</v>
      </c>
      <c r="Z3183">
        <v>1</v>
      </c>
      <c r="AA3183">
        <v>0</v>
      </c>
      <c r="AB3183">
        <v>169.34</v>
      </c>
      <c r="AC3183">
        <v>149</v>
      </c>
      <c r="AD3183">
        <v>0</v>
      </c>
      <c r="AE3183">
        <v>20.34</v>
      </c>
      <c r="AF3183">
        <v>0</v>
      </c>
      <c r="AG3183">
        <v>0</v>
      </c>
      <c r="AH3183">
        <v>0</v>
      </c>
      <c r="AI3183">
        <v>0</v>
      </c>
      <c r="AJ3183">
        <v>169.34</v>
      </c>
      <c r="AK3183">
        <v>0</v>
      </c>
      <c r="AL3183" t="s">
        <v>53</v>
      </c>
      <c r="AM3183" t="s">
        <v>53</v>
      </c>
      <c r="AN3183" t="s">
        <v>53</v>
      </c>
      <c r="AO3183" t="s">
        <v>53</v>
      </c>
      <c r="AP3183" t="s">
        <v>53</v>
      </c>
    </row>
    <row r="3184" spans="2:42" x14ac:dyDescent="0.2">
      <c r="B3184" t="s">
        <v>44</v>
      </c>
      <c r="C3184" t="str">
        <f>HYPERLINK("https://us2.cloudbeds.com/connect/8493803454333002#/reservations/23067054616757?display=GD83NF0V7&amp;reservation_id=23067054616757", "GD83NF0V7")</f>
        <v>GD83NF0V7</v>
      </c>
      <c r="D3184" t="s">
        <v>45</v>
      </c>
      <c r="E3184" t="s">
        <v>78</v>
      </c>
      <c r="F3184" t="s">
        <v>61</v>
      </c>
      <c r="G3184" t="s">
        <v>48</v>
      </c>
      <c r="H3184" t="s">
        <v>49</v>
      </c>
      <c r="I3184" t="s">
        <v>62</v>
      </c>
      <c r="J3184" t="s">
        <v>2449</v>
      </c>
      <c r="K3184" t="s">
        <v>1716</v>
      </c>
      <c r="L3184" t="s">
        <v>53</v>
      </c>
      <c r="N3184" t="s">
        <v>5170</v>
      </c>
      <c r="P3184" t="s">
        <v>55</v>
      </c>
      <c r="R3184" t="s">
        <v>56</v>
      </c>
      <c r="T3184" t="s">
        <v>5171</v>
      </c>
      <c r="U3184" t="s">
        <v>55</v>
      </c>
      <c r="V3184">
        <v>1</v>
      </c>
      <c r="W3184">
        <v>1</v>
      </c>
      <c r="X3184">
        <v>2</v>
      </c>
      <c r="Y3184">
        <v>0</v>
      </c>
      <c r="Z3184">
        <v>2</v>
      </c>
      <c r="AA3184">
        <v>0</v>
      </c>
      <c r="AB3184">
        <v>123.77</v>
      </c>
      <c r="AC3184">
        <v>108.9</v>
      </c>
      <c r="AD3184">
        <v>0</v>
      </c>
      <c r="AE3184">
        <v>14.87</v>
      </c>
      <c r="AF3184">
        <v>0</v>
      </c>
      <c r="AG3184">
        <v>0</v>
      </c>
      <c r="AH3184">
        <v>0</v>
      </c>
      <c r="AI3184">
        <v>18.57</v>
      </c>
      <c r="AJ3184">
        <v>123.77</v>
      </c>
      <c r="AK3184">
        <v>0</v>
      </c>
      <c r="AL3184" t="s">
        <v>53</v>
      </c>
      <c r="AM3184" t="s">
        <v>53</v>
      </c>
      <c r="AN3184" t="s">
        <v>53</v>
      </c>
      <c r="AO3184" t="s">
        <v>53</v>
      </c>
      <c r="AP3184" t="s">
        <v>53</v>
      </c>
    </row>
    <row r="3185" spans="2:42" x14ac:dyDescent="0.2">
      <c r="B3185" t="s">
        <v>44</v>
      </c>
      <c r="C3185" t="str">
        <f>HYPERLINK("https://us2.cloudbeds.com/connect/8493803454333002#/reservations/23086920982746?display=GDNGB9V8Q&amp;reservation_id=23086920982746", "GDNGB9V8Q")</f>
        <v>GDNGB9V8Q</v>
      </c>
      <c r="D3185" t="s">
        <v>45</v>
      </c>
      <c r="E3185" t="s">
        <v>155</v>
      </c>
      <c r="F3185" t="s">
        <v>86</v>
      </c>
      <c r="G3185" t="s">
        <v>48</v>
      </c>
      <c r="H3185" t="s">
        <v>49</v>
      </c>
      <c r="I3185" t="s">
        <v>62</v>
      </c>
      <c r="J3185" t="s">
        <v>3906</v>
      </c>
      <c r="K3185" t="s">
        <v>4194</v>
      </c>
      <c r="L3185" t="s">
        <v>53</v>
      </c>
      <c r="N3185" t="s">
        <v>5172</v>
      </c>
      <c r="P3185" t="s">
        <v>55</v>
      </c>
      <c r="R3185" t="s">
        <v>56</v>
      </c>
      <c r="T3185" t="s">
        <v>5173</v>
      </c>
      <c r="U3185" t="s">
        <v>55</v>
      </c>
      <c r="V3185">
        <v>1</v>
      </c>
      <c r="W3185">
        <v>1</v>
      </c>
      <c r="X3185">
        <v>1</v>
      </c>
      <c r="Y3185">
        <v>2</v>
      </c>
      <c r="Z3185">
        <v>3</v>
      </c>
      <c r="AA3185">
        <v>0</v>
      </c>
      <c r="AB3185">
        <v>134</v>
      </c>
      <c r="AC3185">
        <v>117.9</v>
      </c>
      <c r="AD3185">
        <v>0</v>
      </c>
      <c r="AE3185">
        <v>16.100000000000001</v>
      </c>
      <c r="AF3185">
        <v>0</v>
      </c>
      <c r="AG3185">
        <v>0</v>
      </c>
      <c r="AH3185">
        <v>0</v>
      </c>
      <c r="AI3185">
        <v>20.100000000000001</v>
      </c>
      <c r="AJ3185">
        <v>134</v>
      </c>
      <c r="AK3185">
        <v>0</v>
      </c>
      <c r="AL3185" t="s">
        <v>53</v>
      </c>
      <c r="AM3185" t="s">
        <v>53</v>
      </c>
      <c r="AN3185" t="s">
        <v>53</v>
      </c>
      <c r="AO3185" t="s">
        <v>53</v>
      </c>
      <c r="AP3185" t="s">
        <v>53</v>
      </c>
    </row>
    <row r="3186" spans="2:42" x14ac:dyDescent="0.2">
      <c r="B3186" t="s">
        <v>44</v>
      </c>
      <c r="C3186" t="str">
        <f>HYPERLINK("https://us2.cloudbeds.com/connect/8493803454333002#/reservations/23074568990905?display=GDDUNPXMZ&amp;reservation_id=23074568990905", "GDDUNPXMZ")</f>
        <v>GDDUNPXMZ</v>
      </c>
      <c r="D3186" t="s">
        <v>45</v>
      </c>
      <c r="E3186" t="s">
        <v>128</v>
      </c>
      <c r="F3186" t="s">
        <v>86</v>
      </c>
      <c r="G3186" t="s">
        <v>48</v>
      </c>
      <c r="H3186" t="s">
        <v>3957</v>
      </c>
      <c r="I3186" t="s">
        <v>3975</v>
      </c>
      <c r="J3186" t="s">
        <v>5106</v>
      </c>
      <c r="K3186" t="s">
        <v>3612</v>
      </c>
      <c r="L3186" t="s">
        <v>53</v>
      </c>
      <c r="P3186" t="s">
        <v>58</v>
      </c>
      <c r="R3186" t="s">
        <v>56</v>
      </c>
      <c r="T3186" t="s">
        <v>5174</v>
      </c>
      <c r="U3186" t="s">
        <v>58</v>
      </c>
      <c r="V3186">
        <v>2</v>
      </c>
      <c r="W3186">
        <v>1</v>
      </c>
      <c r="X3186">
        <v>2</v>
      </c>
      <c r="Y3186">
        <v>1</v>
      </c>
      <c r="Z3186">
        <v>3</v>
      </c>
      <c r="AA3186">
        <v>0</v>
      </c>
      <c r="AB3186">
        <v>206.86</v>
      </c>
      <c r="AC3186">
        <v>182</v>
      </c>
      <c r="AD3186">
        <v>0</v>
      </c>
      <c r="AE3186">
        <v>24.86</v>
      </c>
      <c r="AF3186">
        <v>0</v>
      </c>
      <c r="AG3186">
        <v>0</v>
      </c>
      <c r="AH3186">
        <v>0</v>
      </c>
      <c r="AI3186">
        <v>0</v>
      </c>
      <c r="AJ3186">
        <v>206.86</v>
      </c>
      <c r="AK3186">
        <v>0</v>
      </c>
      <c r="AL3186" t="s">
        <v>53</v>
      </c>
      <c r="AM3186" t="s">
        <v>53</v>
      </c>
      <c r="AN3186" t="s">
        <v>53</v>
      </c>
      <c r="AO3186" t="s">
        <v>53</v>
      </c>
      <c r="AP3186" t="s">
        <v>53</v>
      </c>
    </row>
    <row r="3187" spans="2:42" x14ac:dyDescent="0.2">
      <c r="B3187" t="s">
        <v>44</v>
      </c>
      <c r="C3187" t="str">
        <f>HYPERLINK("https://us2.cloudbeds.com/connect/8493803454333002#/reservations/23282316787925?display=GX9Q578K7&amp;reservation_id=23282316787925", "GX9Q578K7")</f>
        <v>GX9Q578K7</v>
      </c>
      <c r="D3187" t="s">
        <v>45</v>
      </c>
      <c r="E3187" t="s">
        <v>85</v>
      </c>
      <c r="F3187" t="s">
        <v>86</v>
      </c>
      <c r="G3187" t="s">
        <v>48</v>
      </c>
      <c r="H3187" t="s">
        <v>49</v>
      </c>
      <c r="I3187" t="s">
        <v>50</v>
      </c>
      <c r="J3187" t="s">
        <v>1161</v>
      </c>
      <c r="K3187" t="s">
        <v>2014</v>
      </c>
      <c r="L3187" t="s">
        <v>53</v>
      </c>
      <c r="N3187" t="s">
        <v>5175</v>
      </c>
      <c r="P3187" t="s">
        <v>55</v>
      </c>
      <c r="R3187" t="s">
        <v>53</v>
      </c>
      <c r="T3187" t="s">
        <v>5176</v>
      </c>
      <c r="U3187" t="s">
        <v>58</v>
      </c>
      <c r="V3187">
        <v>1</v>
      </c>
      <c r="W3187">
        <v>1</v>
      </c>
      <c r="X3187">
        <v>2</v>
      </c>
      <c r="Y3187">
        <v>2</v>
      </c>
      <c r="Z3187">
        <v>4</v>
      </c>
      <c r="AA3187">
        <v>0</v>
      </c>
      <c r="AB3187">
        <v>173.89</v>
      </c>
      <c r="AC3187">
        <v>153</v>
      </c>
      <c r="AD3187">
        <v>0</v>
      </c>
      <c r="AE3187">
        <v>20.89</v>
      </c>
      <c r="AF3187">
        <v>0</v>
      </c>
      <c r="AG3187">
        <v>0</v>
      </c>
      <c r="AH3187">
        <v>0</v>
      </c>
      <c r="AI3187">
        <v>31.3</v>
      </c>
      <c r="AJ3187">
        <v>173.89</v>
      </c>
      <c r="AK3187">
        <v>0</v>
      </c>
      <c r="AL3187" t="s">
        <v>53</v>
      </c>
      <c r="AM3187" t="s">
        <v>53</v>
      </c>
      <c r="AN3187" t="s">
        <v>53</v>
      </c>
      <c r="AO3187" t="s">
        <v>53</v>
      </c>
      <c r="AP3187" t="s">
        <v>53</v>
      </c>
    </row>
    <row r="3188" spans="2:42" x14ac:dyDescent="0.2">
      <c r="B3188" t="s">
        <v>44</v>
      </c>
      <c r="C3188" t="str">
        <f>HYPERLINK("https://us2.cloudbeds.com/connect/8493803454333002#/reservations/23320337870980?display=GJ67MJV56&amp;reservation_id=23320337870980", "GJ67MJV56")</f>
        <v>GJ67MJV56</v>
      </c>
      <c r="D3188" t="s">
        <v>45</v>
      </c>
      <c r="E3188" t="s">
        <v>223</v>
      </c>
      <c r="F3188" t="s">
        <v>47</v>
      </c>
      <c r="G3188" t="s">
        <v>48</v>
      </c>
      <c r="H3188" t="s">
        <v>49</v>
      </c>
      <c r="I3188" t="s">
        <v>62</v>
      </c>
      <c r="J3188" t="s">
        <v>2960</v>
      </c>
      <c r="K3188" t="s">
        <v>1523</v>
      </c>
      <c r="L3188" t="s">
        <v>53</v>
      </c>
      <c r="N3188" t="s">
        <v>5177</v>
      </c>
      <c r="P3188" t="s">
        <v>55</v>
      </c>
      <c r="R3188" t="s">
        <v>56</v>
      </c>
      <c r="T3188" t="s">
        <v>5178</v>
      </c>
      <c r="U3188" t="s">
        <v>55</v>
      </c>
      <c r="V3188">
        <v>2</v>
      </c>
      <c r="W3188">
        <v>1</v>
      </c>
      <c r="X3188">
        <v>1</v>
      </c>
      <c r="Y3188">
        <v>0</v>
      </c>
      <c r="Z3188">
        <v>1</v>
      </c>
      <c r="AA3188">
        <v>0</v>
      </c>
      <c r="AB3188">
        <v>352.32</v>
      </c>
      <c r="AC3188">
        <v>310</v>
      </c>
      <c r="AD3188">
        <v>0</v>
      </c>
      <c r="AE3188">
        <v>42.32</v>
      </c>
      <c r="AF3188">
        <v>0</v>
      </c>
      <c r="AG3188">
        <v>0</v>
      </c>
      <c r="AH3188">
        <v>0</v>
      </c>
      <c r="AI3188">
        <v>52.85</v>
      </c>
      <c r="AJ3188">
        <v>352.32</v>
      </c>
      <c r="AK3188">
        <v>0</v>
      </c>
      <c r="AL3188" t="s">
        <v>53</v>
      </c>
      <c r="AM3188" t="s">
        <v>53</v>
      </c>
      <c r="AN3188" t="s">
        <v>53</v>
      </c>
      <c r="AO3188" t="s">
        <v>53</v>
      </c>
      <c r="AP3188" t="s">
        <v>53</v>
      </c>
    </row>
    <row r="3189" spans="2:42" x14ac:dyDescent="0.2">
      <c r="B3189" t="s">
        <v>44</v>
      </c>
      <c r="C3189" t="str">
        <f>HYPERLINK("https://us2.cloudbeds.com/connect/8493803454333002#/reservations/23397730668754?display=GY0588KNC&amp;reservation_id=23397730668754", "GY0588KNC")</f>
        <v>GY0588KNC</v>
      </c>
      <c r="D3189" t="s">
        <v>45</v>
      </c>
      <c r="E3189" t="s">
        <v>138</v>
      </c>
      <c r="F3189" t="s">
        <v>70</v>
      </c>
      <c r="G3189" t="s">
        <v>48</v>
      </c>
      <c r="H3189" t="s">
        <v>49</v>
      </c>
      <c r="I3189" t="s">
        <v>50</v>
      </c>
      <c r="J3189" t="s">
        <v>1716</v>
      </c>
      <c r="K3189" t="s">
        <v>1258</v>
      </c>
      <c r="L3189" t="s">
        <v>53</v>
      </c>
      <c r="N3189" t="s">
        <v>5179</v>
      </c>
      <c r="P3189" t="s">
        <v>55</v>
      </c>
      <c r="R3189" t="s">
        <v>53</v>
      </c>
      <c r="T3189" t="s">
        <v>5180</v>
      </c>
      <c r="U3189" t="s">
        <v>58</v>
      </c>
      <c r="V3189">
        <v>1</v>
      </c>
      <c r="W3189">
        <v>1</v>
      </c>
      <c r="X3189">
        <v>2</v>
      </c>
      <c r="Y3189">
        <v>0</v>
      </c>
      <c r="Z3189">
        <v>2</v>
      </c>
      <c r="AA3189">
        <v>0</v>
      </c>
      <c r="AB3189">
        <v>128.43</v>
      </c>
      <c r="AC3189">
        <v>113</v>
      </c>
      <c r="AD3189">
        <v>0</v>
      </c>
      <c r="AE3189">
        <v>15.43</v>
      </c>
      <c r="AF3189">
        <v>0</v>
      </c>
      <c r="AG3189">
        <v>0</v>
      </c>
      <c r="AH3189">
        <v>0</v>
      </c>
      <c r="AI3189">
        <v>23.12</v>
      </c>
      <c r="AJ3189">
        <v>128.43</v>
      </c>
      <c r="AK3189">
        <v>0</v>
      </c>
      <c r="AL3189" t="s">
        <v>53</v>
      </c>
      <c r="AM3189" t="s">
        <v>53</v>
      </c>
      <c r="AN3189" t="s">
        <v>53</v>
      </c>
      <c r="AO3189" t="s">
        <v>53</v>
      </c>
      <c r="AP3189" t="s">
        <v>53</v>
      </c>
    </row>
    <row r="3190" spans="2:42" x14ac:dyDescent="0.2">
      <c r="B3190" t="s">
        <v>44</v>
      </c>
      <c r="C3190" t="str">
        <f>HYPERLINK("https://us2.cloudbeds.com/connect/8493803454333002#/reservations/23433809752279?display=GYS353A8Z&amp;reservation_id=23433809752279", "GYS353A8Z")</f>
        <v>GYS353A8Z</v>
      </c>
      <c r="D3190" t="s">
        <v>45</v>
      </c>
      <c r="E3190" t="s">
        <v>373</v>
      </c>
      <c r="F3190" t="s">
        <v>47</v>
      </c>
      <c r="G3190" t="s">
        <v>48</v>
      </c>
      <c r="H3190" t="s">
        <v>49</v>
      </c>
      <c r="I3190" t="s">
        <v>62</v>
      </c>
      <c r="J3190" t="s">
        <v>1337</v>
      </c>
      <c r="K3190" t="s">
        <v>2062</v>
      </c>
      <c r="L3190" t="s">
        <v>53</v>
      </c>
      <c r="N3190" t="s">
        <v>5181</v>
      </c>
      <c r="P3190" t="s">
        <v>55</v>
      </c>
      <c r="R3190" t="s">
        <v>56</v>
      </c>
      <c r="T3190" t="s">
        <v>5182</v>
      </c>
      <c r="U3190" t="s">
        <v>55</v>
      </c>
      <c r="V3190">
        <v>1</v>
      </c>
      <c r="W3190">
        <v>1</v>
      </c>
      <c r="X3190">
        <v>2</v>
      </c>
      <c r="Y3190">
        <v>0</v>
      </c>
      <c r="Z3190">
        <v>2</v>
      </c>
      <c r="AA3190">
        <v>0</v>
      </c>
      <c r="AB3190">
        <v>209.12</v>
      </c>
      <c r="AC3190">
        <v>184</v>
      </c>
      <c r="AD3190">
        <v>0</v>
      </c>
      <c r="AE3190">
        <v>25.12</v>
      </c>
      <c r="AF3190">
        <v>0</v>
      </c>
      <c r="AG3190">
        <v>0</v>
      </c>
      <c r="AH3190">
        <v>0</v>
      </c>
      <c r="AI3190">
        <v>31.37</v>
      </c>
      <c r="AJ3190">
        <v>209.12</v>
      </c>
      <c r="AK3190">
        <v>0</v>
      </c>
      <c r="AL3190" t="s">
        <v>53</v>
      </c>
      <c r="AM3190" t="s">
        <v>53</v>
      </c>
      <c r="AN3190" t="s">
        <v>53</v>
      </c>
      <c r="AO3190" t="s">
        <v>53</v>
      </c>
      <c r="AP3190" t="s">
        <v>53</v>
      </c>
    </row>
    <row r="3191" spans="2:42" x14ac:dyDescent="0.2">
      <c r="B3191" t="s">
        <v>44</v>
      </c>
      <c r="C3191" t="str">
        <f>HYPERLINK("https://us2.cloudbeds.com/connect/8493803454333002#/reservations/23432782885076?display=GYR9U775P&amp;reservation_id=23432782885076", "GYR9U775P")</f>
        <v>GYR9U775P</v>
      </c>
      <c r="D3191" t="s">
        <v>45</v>
      </c>
      <c r="E3191" t="s">
        <v>85</v>
      </c>
      <c r="F3191" t="s">
        <v>86</v>
      </c>
      <c r="G3191" t="s">
        <v>48</v>
      </c>
      <c r="H3191" t="s">
        <v>3957</v>
      </c>
      <c r="I3191" t="s">
        <v>3975</v>
      </c>
      <c r="J3191" t="s">
        <v>3574</v>
      </c>
      <c r="K3191" t="s">
        <v>3575</v>
      </c>
      <c r="L3191" t="s">
        <v>53</v>
      </c>
      <c r="P3191" t="s">
        <v>55</v>
      </c>
      <c r="R3191" t="s">
        <v>56</v>
      </c>
      <c r="T3191" t="s">
        <v>5183</v>
      </c>
      <c r="U3191" t="s">
        <v>58</v>
      </c>
      <c r="V3191">
        <v>1</v>
      </c>
      <c r="W3191">
        <v>1</v>
      </c>
      <c r="X3191">
        <v>1</v>
      </c>
      <c r="Y3191">
        <v>0</v>
      </c>
      <c r="Z3191">
        <v>1</v>
      </c>
      <c r="AA3191">
        <v>0</v>
      </c>
      <c r="AB3191">
        <v>103.43</v>
      </c>
      <c r="AC3191">
        <v>91</v>
      </c>
      <c r="AD3191">
        <v>0</v>
      </c>
      <c r="AE3191">
        <v>12.43</v>
      </c>
      <c r="AF3191">
        <v>0</v>
      </c>
      <c r="AG3191">
        <v>0</v>
      </c>
      <c r="AH3191">
        <v>0</v>
      </c>
      <c r="AI3191">
        <v>0</v>
      </c>
      <c r="AJ3191">
        <v>103.43</v>
      </c>
      <c r="AK3191">
        <v>0</v>
      </c>
      <c r="AL3191" t="s">
        <v>53</v>
      </c>
      <c r="AM3191" t="s">
        <v>53</v>
      </c>
      <c r="AN3191" t="s">
        <v>53</v>
      </c>
      <c r="AO3191" t="s">
        <v>53</v>
      </c>
      <c r="AP3191" t="s">
        <v>53</v>
      </c>
    </row>
    <row r="3192" spans="2:42" x14ac:dyDescent="0.2">
      <c r="B3192" t="s">
        <v>44</v>
      </c>
      <c r="C3192" t="str">
        <f>HYPERLINK("https://us2.cloudbeds.com/connect/8493803454333002#/reservations/23595120361601?display=GPY00FQX7&amp;reservation_id=23595120361601", "GPY00FQX7")</f>
        <v>GPY00FQX7</v>
      </c>
      <c r="D3192" t="s">
        <v>45</v>
      </c>
      <c r="E3192" t="s">
        <v>98</v>
      </c>
      <c r="F3192" t="s">
        <v>86</v>
      </c>
      <c r="G3192" t="s">
        <v>3974</v>
      </c>
      <c r="H3192" t="s">
        <v>3957</v>
      </c>
      <c r="I3192" t="s">
        <v>3975</v>
      </c>
      <c r="J3192" t="s">
        <v>1161</v>
      </c>
      <c r="K3192" t="s">
        <v>1162</v>
      </c>
      <c r="L3192" t="s">
        <v>53</v>
      </c>
      <c r="P3192" t="s">
        <v>55</v>
      </c>
      <c r="R3192" t="s">
        <v>56</v>
      </c>
      <c r="T3192" t="s">
        <v>5184</v>
      </c>
      <c r="U3192" t="s">
        <v>58</v>
      </c>
      <c r="V3192">
        <v>2</v>
      </c>
      <c r="W3192">
        <v>1</v>
      </c>
      <c r="X3192">
        <v>2</v>
      </c>
      <c r="Y3192">
        <v>2</v>
      </c>
      <c r="Z3192">
        <v>4</v>
      </c>
      <c r="AA3192">
        <v>0</v>
      </c>
      <c r="AB3192">
        <v>347.78</v>
      </c>
      <c r="AC3192">
        <v>306</v>
      </c>
      <c r="AD3192">
        <v>0</v>
      </c>
      <c r="AE3192">
        <v>41.78</v>
      </c>
      <c r="AF3192">
        <v>0</v>
      </c>
      <c r="AG3192">
        <v>0</v>
      </c>
      <c r="AH3192">
        <v>0</v>
      </c>
      <c r="AI3192">
        <v>0</v>
      </c>
      <c r="AJ3192">
        <v>347.78</v>
      </c>
      <c r="AK3192">
        <v>0</v>
      </c>
      <c r="AL3192" t="s">
        <v>53</v>
      </c>
      <c r="AM3192" t="s">
        <v>53</v>
      </c>
      <c r="AN3192" t="s">
        <v>53</v>
      </c>
      <c r="AO3192" t="s">
        <v>53</v>
      </c>
      <c r="AP3192" t="s">
        <v>53</v>
      </c>
    </row>
    <row r="3193" spans="2:42" x14ac:dyDescent="0.2">
      <c r="B3193" t="s">
        <v>44</v>
      </c>
      <c r="C3193" t="str">
        <f>HYPERLINK("https://us2.cloudbeds.com/connect/8493803454333002#/reservations/23598754734254?display=GPNQT2J5S&amp;reservation_id=23598754734254", "GPNQT2J5S")</f>
        <v>GPNQT2J5S</v>
      </c>
      <c r="D3193" t="s">
        <v>45</v>
      </c>
      <c r="E3193" t="s">
        <v>69</v>
      </c>
      <c r="F3193" t="s">
        <v>70</v>
      </c>
      <c r="G3193" t="s">
        <v>48</v>
      </c>
      <c r="H3193" t="s">
        <v>49</v>
      </c>
      <c r="I3193" t="s">
        <v>62</v>
      </c>
      <c r="J3193" t="s">
        <v>5185</v>
      </c>
      <c r="K3193" t="s">
        <v>5186</v>
      </c>
      <c r="L3193" t="s">
        <v>53</v>
      </c>
      <c r="N3193" t="s">
        <v>5187</v>
      </c>
      <c r="P3193" t="s">
        <v>55</v>
      </c>
      <c r="R3193" t="s">
        <v>56</v>
      </c>
      <c r="T3193" t="s">
        <v>5188</v>
      </c>
      <c r="U3193" t="s">
        <v>55</v>
      </c>
      <c r="V3193">
        <v>1</v>
      </c>
      <c r="W3193">
        <v>1</v>
      </c>
      <c r="X3193">
        <v>1</v>
      </c>
      <c r="Y3193">
        <v>0</v>
      </c>
      <c r="Z3193">
        <v>1</v>
      </c>
      <c r="AA3193">
        <v>0</v>
      </c>
      <c r="AB3193">
        <v>111.38</v>
      </c>
      <c r="AC3193">
        <v>98</v>
      </c>
      <c r="AD3193">
        <v>0</v>
      </c>
      <c r="AE3193">
        <v>13.38</v>
      </c>
      <c r="AF3193">
        <v>0</v>
      </c>
      <c r="AG3193">
        <v>0</v>
      </c>
      <c r="AH3193">
        <v>0</v>
      </c>
      <c r="AI3193">
        <v>16.71</v>
      </c>
      <c r="AJ3193">
        <v>111.38</v>
      </c>
      <c r="AK3193">
        <v>0</v>
      </c>
      <c r="AL3193" t="s">
        <v>53</v>
      </c>
      <c r="AM3193" t="s">
        <v>53</v>
      </c>
      <c r="AN3193" t="s">
        <v>53</v>
      </c>
      <c r="AO3193" t="s">
        <v>53</v>
      </c>
      <c r="AP3193" t="s">
        <v>53</v>
      </c>
    </row>
    <row r="3194" spans="2:42" x14ac:dyDescent="0.2">
      <c r="B3194" t="s">
        <v>44</v>
      </c>
      <c r="C3194" t="str">
        <f>HYPERLINK("https://us2.cloudbeds.com/connect/8493803454333002#/reservations/23604092928159?display=GPRV9CMVH&amp;reservation_id=23604092928159", "GPRV9CMVH")</f>
        <v>GPRV9CMVH</v>
      </c>
      <c r="D3194" t="s">
        <v>45</v>
      </c>
      <c r="E3194" t="s">
        <v>69</v>
      </c>
      <c r="F3194" t="s">
        <v>70</v>
      </c>
      <c r="G3194" t="s">
        <v>3974</v>
      </c>
      <c r="H3194" t="s">
        <v>3957</v>
      </c>
      <c r="I3194" t="s">
        <v>3975</v>
      </c>
      <c r="J3194" t="s">
        <v>1162</v>
      </c>
      <c r="K3194" t="s">
        <v>1716</v>
      </c>
      <c r="L3194" t="s">
        <v>53</v>
      </c>
      <c r="P3194" t="s">
        <v>55</v>
      </c>
      <c r="R3194" t="s">
        <v>56</v>
      </c>
      <c r="T3194" t="s">
        <v>5189</v>
      </c>
      <c r="U3194" t="s">
        <v>58</v>
      </c>
      <c r="V3194">
        <v>2</v>
      </c>
      <c r="W3194">
        <v>1</v>
      </c>
      <c r="X3194">
        <v>2</v>
      </c>
      <c r="Y3194">
        <v>0</v>
      </c>
      <c r="Z3194">
        <v>2</v>
      </c>
      <c r="AA3194">
        <v>0</v>
      </c>
      <c r="AB3194">
        <v>254.69</v>
      </c>
      <c r="AC3194">
        <v>224.1</v>
      </c>
      <c r="AD3194">
        <v>0</v>
      </c>
      <c r="AE3194">
        <v>30.59</v>
      </c>
      <c r="AF3194">
        <v>0</v>
      </c>
      <c r="AG3194">
        <v>0</v>
      </c>
      <c r="AH3194">
        <v>0</v>
      </c>
      <c r="AI3194">
        <v>0</v>
      </c>
      <c r="AJ3194">
        <v>254.69</v>
      </c>
      <c r="AK3194">
        <v>0</v>
      </c>
      <c r="AL3194" t="s">
        <v>53</v>
      </c>
      <c r="AM3194" t="s">
        <v>53</v>
      </c>
      <c r="AN3194" t="s">
        <v>53</v>
      </c>
      <c r="AO3194" t="s">
        <v>53</v>
      </c>
      <c r="AP3194" t="s">
        <v>53</v>
      </c>
    </row>
    <row r="3195" spans="2:42" x14ac:dyDescent="0.2">
      <c r="B3195" t="s">
        <v>44</v>
      </c>
      <c r="C3195" t="str">
        <f>HYPERLINK("https://us2.cloudbeds.com/connect/8493803454333002#/reservations/23659671765143?display=GR4WEUP6S&amp;reservation_id=23659671765143", "GR4WEUP6S")</f>
        <v>GR4WEUP6S</v>
      </c>
      <c r="D3195" t="s">
        <v>45</v>
      </c>
      <c r="E3195" t="s">
        <v>165</v>
      </c>
      <c r="F3195" t="s">
        <v>61</v>
      </c>
      <c r="G3195" t="s">
        <v>48</v>
      </c>
      <c r="H3195" t="s">
        <v>49</v>
      </c>
      <c r="I3195" t="s">
        <v>50</v>
      </c>
      <c r="J3195" t="s">
        <v>5190</v>
      </c>
      <c r="K3195" t="s">
        <v>2975</v>
      </c>
      <c r="L3195" t="s">
        <v>53</v>
      </c>
      <c r="N3195" t="s">
        <v>5191</v>
      </c>
      <c r="P3195" t="s">
        <v>55</v>
      </c>
      <c r="R3195" t="s">
        <v>53</v>
      </c>
      <c r="T3195" t="s">
        <v>5192</v>
      </c>
      <c r="U3195" t="s">
        <v>58</v>
      </c>
      <c r="V3195">
        <v>2</v>
      </c>
      <c r="W3195">
        <v>1</v>
      </c>
      <c r="X3195">
        <v>2</v>
      </c>
      <c r="Y3195">
        <v>0</v>
      </c>
      <c r="Z3195">
        <v>2</v>
      </c>
      <c r="AA3195">
        <v>0</v>
      </c>
      <c r="AB3195">
        <v>194.35</v>
      </c>
      <c r="AC3195">
        <v>171</v>
      </c>
      <c r="AD3195">
        <v>0</v>
      </c>
      <c r="AE3195">
        <v>23.35</v>
      </c>
      <c r="AF3195">
        <v>0</v>
      </c>
      <c r="AG3195">
        <v>0</v>
      </c>
      <c r="AH3195">
        <v>0</v>
      </c>
      <c r="AI3195">
        <v>34.979999999999997</v>
      </c>
      <c r="AJ3195">
        <v>194.35</v>
      </c>
      <c r="AK3195">
        <v>0</v>
      </c>
      <c r="AL3195" t="s">
        <v>53</v>
      </c>
      <c r="AM3195" t="s">
        <v>53</v>
      </c>
      <c r="AN3195" t="s">
        <v>53</v>
      </c>
      <c r="AO3195" t="s">
        <v>53</v>
      </c>
      <c r="AP3195" t="s">
        <v>53</v>
      </c>
    </row>
    <row r="3196" spans="2:42" x14ac:dyDescent="0.2">
      <c r="B3196" t="s">
        <v>44</v>
      </c>
      <c r="C3196" t="str">
        <f>HYPERLINK("https://us2.cloudbeds.com/connect/8493803454333002#/reservations/23796371587251?display=GUBRERR6K&amp;reservation_id=23796371587251", "GUBRERR6K")</f>
        <v>GUBRERR6K</v>
      </c>
      <c r="D3196" t="s">
        <v>45</v>
      </c>
      <c r="E3196" t="s">
        <v>373</v>
      </c>
      <c r="F3196" t="s">
        <v>47</v>
      </c>
      <c r="G3196" t="s">
        <v>48</v>
      </c>
      <c r="H3196" t="s">
        <v>49</v>
      </c>
      <c r="I3196" t="s">
        <v>50</v>
      </c>
      <c r="J3196" t="s">
        <v>3612</v>
      </c>
      <c r="K3196" t="s">
        <v>3613</v>
      </c>
      <c r="L3196" t="s">
        <v>53</v>
      </c>
      <c r="N3196" t="s">
        <v>5193</v>
      </c>
      <c r="P3196" t="s">
        <v>55</v>
      </c>
      <c r="R3196" t="s">
        <v>53</v>
      </c>
      <c r="T3196" t="s">
        <v>5194</v>
      </c>
      <c r="U3196" t="s">
        <v>58</v>
      </c>
      <c r="V3196">
        <v>1</v>
      </c>
      <c r="W3196">
        <v>1</v>
      </c>
      <c r="X3196">
        <v>1</v>
      </c>
      <c r="Y3196">
        <v>0</v>
      </c>
      <c r="Z3196">
        <v>1</v>
      </c>
      <c r="AA3196">
        <v>0</v>
      </c>
      <c r="AB3196">
        <v>75.69</v>
      </c>
      <c r="AC3196">
        <v>66.599999999999994</v>
      </c>
      <c r="AD3196">
        <v>0</v>
      </c>
      <c r="AE3196">
        <v>9.09</v>
      </c>
      <c r="AF3196">
        <v>0</v>
      </c>
      <c r="AG3196">
        <v>0</v>
      </c>
      <c r="AH3196">
        <v>0</v>
      </c>
      <c r="AI3196">
        <v>13.62</v>
      </c>
      <c r="AJ3196">
        <v>75.69</v>
      </c>
      <c r="AK3196">
        <v>0</v>
      </c>
      <c r="AL3196" t="s">
        <v>53</v>
      </c>
      <c r="AM3196" t="s">
        <v>53</v>
      </c>
      <c r="AN3196" t="s">
        <v>53</v>
      </c>
      <c r="AO3196" t="s">
        <v>53</v>
      </c>
      <c r="AP3196" t="s">
        <v>53</v>
      </c>
    </row>
    <row r="3197" spans="2:42" x14ac:dyDescent="0.2">
      <c r="B3197" t="s">
        <v>44</v>
      </c>
      <c r="C3197" t="str">
        <f>HYPERLINK("https://us2.cloudbeds.com/connect/8493803454333002#/reservations/23928858525852?display=H0FDQB69Q&amp;reservation_id=23928858525852", "H0FDQB69Q")</f>
        <v>H0FDQB69Q</v>
      </c>
      <c r="D3197" t="s">
        <v>45</v>
      </c>
      <c r="E3197" t="s">
        <v>85</v>
      </c>
      <c r="F3197" t="s">
        <v>86</v>
      </c>
      <c r="G3197" t="s">
        <v>48</v>
      </c>
      <c r="H3197" t="s">
        <v>49</v>
      </c>
      <c r="I3197" t="s">
        <v>50</v>
      </c>
      <c r="J3197" t="s">
        <v>2062</v>
      </c>
      <c r="K3197" t="s">
        <v>1380</v>
      </c>
      <c r="L3197" t="s">
        <v>53</v>
      </c>
      <c r="N3197" t="s">
        <v>5195</v>
      </c>
      <c r="P3197" t="s">
        <v>55</v>
      </c>
      <c r="R3197" t="s">
        <v>53</v>
      </c>
      <c r="T3197" t="s">
        <v>5196</v>
      </c>
      <c r="U3197" t="s">
        <v>58</v>
      </c>
      <c r="V3197">
        <v>1</v>
      </c>
      <c r="W3197">
        <v>1</v>
      </c>
      <c r="X3197">
        <v>2</v>
      </c>
      <c r="Y3197">
        <v>2</v>
      </c>
      <c r="Z3197">
        <v>4</v>
      </c>
      <c r="AA3197">
        <v>0</v>
      </c>
      <c r="AB3197">
        <v>177.29</v>
      </c>
      <c r="AC3197">
        <v>156</v>
      </c>
      <c r="AD3197">
        <v>0</v>
      </c>
      <c r="AE3197">
        <v>21.29</v>
      </c>
      <c r="AF3197">
        <v>0</v>
      </c>
      <c r="AG3197">
        <v>0</v>
      </c>
      <c r="AH3197">
        <v>0</v>
      </c>
      <c r="AI3197">
        <v>31.91</v>
      </c>
      <c r="AJ3197">
        <v>177.29</v>
      </c>
      <c r="AK3197">
        <v>0</v>
      </c>
      <c r="AL3197" t="s">
        <v>53</v>
      </c>
      <c r="AM3197" t="s">
        <v>53</v>
      </c>
      <c r="AN3197" t="s">
        <v>53</v>
      </c>
      <c r="AO3197" t="s">
        <v>53</v>
      </c>
      <c r="AP3197" t="s">
        <v>53</v>
      </c>
    </row>
    <row r="3198" spans="2:42" x14ac:dyDescent="0.2">
      <c r="B3198" t="s">
        <v>44</v>
      </c>
      <c r="C3198" t="str">
        <f>HYPERLINK("https://us2.cloudbeds.com/connect/8493803454333002#/reservations/24016462782699?display=H2H89XPJN&amp;reservation_id=24016462782699", "H2H89XPJN")</f>
        <v>H2H89XPJN</v>
      </c>
      <c r="D3198" t="s">
        <v>45</v>
      </c>
      <c r="E3198" t="s">
        <v>78</v>
      </c>
      <c r="F3198" t="s">
        <v>61</v>
      </c>
      <c r="G3198" t="s">
        <v>48</v>
      </c>
      <c r="H3198" t="s">
        <v>3957</v>
      </c>
      <c r="I3198" t="s">
        <v>3975</v>
      </c>
      <c r="J3198" t="s">
        <v>2062</v>
      </c>
      <c r="K3198" t="s">
        <v>1381</v>
      </c>
      <c r="L3198" t="s">
        <v>53</v>
      </c>
      <c r="P3198" t="s">
        <v>55</v>
      </c>
      <c r="R3198" t="s">
        <v>56</v>
      </c>
      <c r="T3198" t="s">
        <v>5197</v>
      </c>
      <c r="U3198" t="s">
        <v>58</v>
      </c>
      <c r="V3198">
        <v>3</v>
      </c>
      <c r="W3198">
        <v>1</v>
      </c>
      <c r="X3198">
        <v>1</v>
      </c>
      <c r="Y3198">
        <v>0</v>
      </c>
      <c r="Z3198">
        <v>1</v>
      </c>
      <c r="AA3198">
        <v>0</v>
      </c>
      <c r="AB3198">
        <v>497.8</v>
      </c>
      <c r="AC3198">
        <v>438</v>
      </c>
      <c r="AD3198">
        <v>0</v>
      </c>
      <c r="AE3198">
        <v>59.8</v>
      </c>
      <c r="AF3198">
        <v>0</v>
      </c>
      <c r="AG3198">
        <v>0</v>
      </c>
      <c r="AH3198">
        <v>0</v>
      </c>
      <c r="AI3198">
        <v>0</v>
      </c>
      <c r="AJ3198">
        <v>497.8</v>
      </c>
      <c r="AK3198">
        <v>0</v>
      </c>
      <c r="AL3198" t="s">
        <v>53</v>
      </c>
      <c r="AM3198" t="s">
        <v>53</v>
      </c>
      <c r="AN3198" t="s">
        <v>53</v>
      </c>
      <c r="AO3198" t="s">
        <v>53</v>
      </c>
      <c r="AP3198" t="s">
        <v>53</v>
      </c>
    </row>
    <row r="3199" spans="2:42" x14ac:dyDescent="0.2">
      <c r="B3199" t="s">
        <v>44</v>
      </c>
      <c r="C3199" t="str">
        <f>HYPERLINK("https://us2.cloudbeds.com/connect/8493803454333002#/reservations/24015206281399?display=H2G961PXZ&amp;reservation_id=24015206281399", "H2G961PXZ")</f>
        <v>H2G961PXZ</v>
      </c>
      <c r="D3199" t="s">
        <v>45</v>
      </c>
      <c r="E3199" t="s">
        <v>98</v>
      </c>
      <c r="F3199" t="s">
        <v>86</v>
      </c>
      <c r="G3199" t="s">
        <v>48</v>
      </c>
      <c r="H3199" t="s">
        <v>3957</v>
      </c>
      <c r="I3199" t="s">
        <v>3975</v>
      </c>
      <c r="J3199" t="s">
        <v>1380</v>
      </c>
      <c r="K3199" t="s">
        <v>1381</v>
      </c>
      <c r="L3199" t="s">
        <v>53</v>
      </c>
      <c r="P3199" t="s">
        <v>55</v>
      </c>
      <c r="R3199" t="s">
        <v>56</v>
      </c>
      <c r="T3199" t="s">
        <v>5198</v>
      </c>
      <c r="U3199" t="s">
        <v>58</v>
      </c>
      <c r="V3199">
        <v>2</v>
      </c>
      <c r="W3199">
        <v>1</v>
      </c>
      <c r="X3199">
        <v>2</v>
      </c>
      <c r="Y3199">
        <v>0</v>
      </c>
      <c r="Z3199">
        <v>2</v>
      </c>
      <c r="AA3199">
        <v>0</v>
      </c>
      <c r="AB3199">
        <v>369.37</v>
      </c>
      <c r="AC3199">
        <v>325</v>
      </c>
      <c r="AD3199">
        <v>0</v>
      </c>
      <c r="AE3199">
        <v>44.37</v>
      </c>
      <c r="AF3199">
        <v>0</v>
      </c>
      <c r="AG3199">
        <v>0</v>
      </c>
      <c r="AH3199">
        <v>0</v>
      </c>
      <c r="AI3199">
        <v>0</v>
      </c>
      <c r="AJ3199">
        <v>369.37</v>
      </c>
      <c r="AK3199">
        <v>0</v>
      </c>
      <c r="AL3199" t="s">
        <v>53</v>
      </c>
      <c r="AM3199" t="s">
        <v>53</v>
      </c>
      <c r="AN3199" t="s">
        <v>53</v>
      </c>
      <c r="AO3199" t="s">
        <v>53</v>
      </c>
      <c r="AP3199" t="s">
        <v>53</v>
      </c>
    </row>
    <row r="3200" spans="2:42" x14ac:dyDescent="0.2">
      <c r="B3200" t="s">
        <v>44</v>
      </c>
      <c r="C3200" t="str">
        <f>HYPERLINK("https://us2.cloudbeds.com/connect/8493803454333002#/reservations/24086574354648?display=H45HQGKC2&amp;reservation_id=24086574354648", "H45HQGKC2")</f>
        <v>H45HQGKC2</v>
      </c>
      <c r="D3200" t="s">
        <v>45</v>
      </c>
      <c r="E3200" t="s">
        <v>406</v>
      </c>
      <c r="F3200" t="s">
        <v>61</v>
      </c>
      <c r="G3200" t="s">
        <v>48</v>
      </c>
      <c r="H3200" t="s">
        <v>49</v>
      </c>
      <c r="I3200" t="s">
        <v>62</v>
      </c>
      <c r="J3200" t="s">
        <v>2062</v>
      </c>
      <c r="K3200" t="s">
        <v>1380</v>
      </c>
      <c r="L3200" t="s">
        <v>53</v>
      </c>
      <c r="N3200" t="s">
        <v>5199</v>
      </c>
      <c r="P3200" t="s">
        <v>55</v>
      </c>
      <c r="R3200" t="s">
        <v>56</v>
      </c>
      <c r="T3200" t="s">
        <v>5200</v>
      </c>
      <c r="U3200" t="s">
        <v>55</v>
      </c>
      <c r="V3200">
        <v>1</v>
      </c>
      <c r="W3200">
        <v>1</v>
      </c>
      <c r="X3200">
        <v>2</v>
      </c>
      <c r="Y3200">
        <v>0</v>
      </c>
      <c r="Z3200">
        <v>2</v>
      </c>
      <c r="AA3200">
        <v>160.25</v>
      </c>
      <c r="AB3200">
        <v>320.5</v>
      </c>
      <c r="AC3200">
        <v>282</v>
      </c>
      <c r="AD3200">
        <v>0</v>
      </c>
      <c r="AE3200">
        <v>38.5</v>
      </c>
      <c r="AF3200">
        <v>0</v>
      </c>
      <c r="AG3200">
        <v>0</v>
      </c>
      <c r="AH3200">
        <v>0</v>
      </c>
      <c r="AI3200">
        <v>57.69</v>
      </c>
      <c r="AJ3200">
        <v>320.5</v>
      </c>
      <c r="AK3200">
        <v>0</v>
      </c>
      <c r="AL3200" t="s">
        <v>53</v>
      </c>
      <c r="AM3200" t="s">
        <v>53</v>
      </c>
      <c r="AN3200" t="s">
        <v>53</v>
      </c>
      <c r="AO3200" t="s">
        <v>53</v>
      </c>
      <c r="AP3200" t="s">
        <v>53</v>
      </c>
    </row>
    <row r="3201" spans="2:42" x14ac:dyDescent="0.2">
      <c r="B3201" t="s">
        <v>44</v>
      </c>
      <c r="C3201" t="str">
        <f>HYPERLINK("https://us2.cloudbeds.com/connect/8493803454333002#/reservations/24089600528576?display=H46K7SPY3&amp;reservation_id=24089600528576", "H46K7SPY3")</f>
        <v>H46K7SPY3</v>
      </c>
      <c r="D3201" t="s">
        <v>45</v>
      </c>
      <c r="E3201" t="s">
        <v>98</v>
      </c>
      <c r="F3201" t="s">
        <v>86</v>
      </c>
      <c r="G3201" t="s">
        <v>48</v>
      </c>
      <c r="H3201" t="s">
        <v>3957</v>
      </c>
      <c r="I3201" t="s">
        <v>3958</v>
      </c>
      <c r="J3201" t="s">
        <v>2062</v>
      </c>
      <c r="K3201" t="s">
        <v>1380</v>
      </c>
      <c r="L3201" t="s">
        <v>53</v>
      </c>
      <c r="P3201" t="s">
        <v>55</v>
      </c>
      <c r="R3201" t="s">
        <v>56</v>
      </c>
      <c r="T3201" t="s">
        <v>5201</v>
      </c>
      <c r="U3201" t="s">
        <v>58</v>
      </c>
      <c r="V3201">
        <v>1</v>
      </c>
      <c r="W3201">
        <v>1</v>
      </c>
      <c r="X3201">
        <v>1</v>
      </c>
      <c r="Y3201">
        <v>0</v>
      </c>
      <c r="Z3201">
        <v>1</v>
      </c>
      <c r="AA3201">
        <v>0</v>
      </c>
      <c r="AB3201">
        <v>177.29</v>
      </c>
      <c r="AC3201">
        <v>156</v>
      </c>
      <c r="AD3201">
        <v>0</v>
      </c>
      <c r="AE3201">
        <v>21.29</v>
      </c>
      <c r="AF3201">
        <v>0</v>
      </c>
      <c r="AG3201">
        <v>0</v>
      </c>
      <c r="AH3201">
        <v>0</v>
      </c>
      <c r="AI3201">
        <v>0</v>
      </c>
      <c r="AJ3201">
        <v>177.29</v>
      </c>
      <c r="AK3201">
        <v>0</v>
      </c>
      <c r="AL3201" t="s">
        <v>53</v>
      </c>
      <c r="AM3201" t="s">
        <v>53</v>
      </c>
      <c r="AN3201" t="s">
        <v>53</v>
      </c>
      <c r="AO3201" t="s">
        <v>53</v>
      </c>
      <c r="AP3201" t="s">
        <v>53</v>
      </c>
    </row>
    <row r="3202" spans="2:42" x14ac:dyDescent="0.2">
      <c r="B3202" t="s">
        <v>44</v>
      </c>
      <c r="C3202" t="str">
        <f>HYPERLINK("https://us2.cloudbeds.com/connect/8493803454333002#/reservations/24406103609528?display=HBYVH153D&amp;reservation_id=24406103609528", "HBYVH153D")</f>
        <v>HBYVH153D</v>
      </c>
      <c r="D3202" t="s">
        <v>45</v>
      </c>
      <c r="E3202" t="s">
        <v>92</v>
      </c>
      <c r="F3202" t="s">
        <v>86</v>
      </c>
      <c r="G3202" t="s">
        <v>48</v>
      </c>
      <c r="H3202" t="s">
        <v>49</v>
      </c>
      <c r="I3202" t="s">
        <v>50</v>
      </c>
      <c r="J3202" t="s">
        <v>1380</v>
      </c>
      <c r="K3202" t="s">
        <v>2960</v>
      </c>
      <c r="L3202" t="s">
        <v>53</v>
      </c>
      <c r="N3202" t="s">
        <v>5202</v>
      </c>
      <c r="P3202" t="s">
        <v>55</v>
      </c>
      <c r="R3202" t="s">
        <v>53</v>
      </c>
      <c r="T3202" t="s">
        <v>5203</v>
      </c>
      <c r="U3202" t="s">
        <v>58</v>
      </c>
      <c r="V3202">
        <v>1</v>
      </c>
      <c r="W3202">
        <v>1</v>
      </c>
      <c r="X3202">
        <v>4</v>
      </c>
      <c r="Y3202">
        <v>0</v>
      </c>
      <c r="Z3202">
        <v>4</v>
      </c>
      <c r="AA3202">
        <v>0</v>
      </c>
      <c r="AB3202">
        <v>193.21</v>
      </c>
      <c r="AC3202">
        <v>170</v>
      </c>
      <c r="AD3202">
        <v>0</v>
      </c>
      <c r="AE3202">
        <v>23.21</v>
      </c>
      <c r="AF3202">
        <v>0</v>
      </c>
      <c r="AG3202">
        <v>0</v>
      </c>
      <c r="AH3202">
        <v>0</v>
      </c>
      <c r="AI3202">
        <v>34.78</v>
      </c>
      <c r="AJ3202">
        <v>193.21</v>
      </c>
      <c r="AK3202">
        <v>0</v>
      </c>
      <c r="AL3202" t="s">
        <v>53</v>
      </c>
      <c r="AM3202" t="s">
        <v>53</v>
      </c>
      <c r="AN3202" t="s">
        <v>53</v>
      </c>
      <c r="AO3202" t="s">
        <v>53</v>
      </c>
      <c r="AP3202" t="s">
        <v>53</v>
      </c>
    </row>
    <row r="3203" spans="2:42" x14ac:dyDescent="0.2">
      <c r="B3203" t="s">
        <v>44</v>
      </c>
      <c r="C3203" t="str">
        <f>HYPERLINK("https://us2.cloudbeds.com/connect/8493803454333002#/reservations/24638458556581?display=HH3SNT2D0&amp;reservation_id=24638458556581", "HH3SNT2D0")</f>
        <v>HH3SNT2D0</v>
      </c>
      <c r="D3203" t="s">
        <v>45</v>
      </c>
      <c r="E3203" t="s">
        <v>69</v>
      </c>
      <c r="F3203" t="s">
        <v>70</v>
      </c>
      <c r="G3203" t="s">
        <v>48</v>
      </c>
      <c r="H3203" t="s">
        <v>49</v>
      </c>
      <c r="I3203" t="s">
        <v>50</v>
      </c>
      <c r="J3203" t="s">
        <v>1381</v>
      </c>
      <c r="K3203" t="s">
        <v>1523</v>
      </c>
      <c r="L3203" t="s">
        <v>53</v>
      </c>
      <c r="N3203" t="s">
        <v>5204</v>
      </c>
      <c r="P3203" t="s">
        <v>55</v>
      </c>
      <c r="R3203" t="s">
        <v>53</v>
      </c>
      <c r="T3203" t="s">
        <v>5205</v>
      </c>
      <c r="U3203" t="s">
        <v>58</v>
      </c>
      <c r="V3203">
        <v>1</v>
      </c>
      <c r="W3203">
        <v>1</v>
      </c>
      <c r="X3203">
        <v>2</v>
      </c>
      <c r="Y3203">
        <v>0</v>
      </c>
      <c r="Z3203">
        <v>2</v>
      </c>
      <c r="AA3203">
        <v>0</v>
      </c>
      <c r="AB3203">
        <v>153.44</v>
      </c>
      <c r="AC3203">
        <v>135</v>
      </c>
      <c r="AD3203">
        <v>0</v>
      </c>
      <c r="AE3203">
        <v>18.440000000000001</v>
      </c>
      <c r="AF3203">
        <v>0</v>
      </c>
      <c r="AG3203">
        <v>0</v>
      </c>
      <c r="AH3203">
        <v>0</v>
      </c>
      <c r="AI3203">
        <v>27.62</v>
      </c>
      <c r="AJ3203">
        <v>153.44</v>
      </c>
      <c r="AK3203">
        <v>0</v>
      </c>
      <c r="AL3203" t="s">
        <v>53</v>
      </c>
      <c r="AM3203" t="s">
        <v>53</v>
      </c>
      <c r="AN3203" t="s">
        <v>53</v>
      </c>
      <c r="AO3203" t="s">
        <v>53</v>
      </c>
      <c r="AP3203" t="s">
        <v>53</v>
      </c>
    </row>
    <row r="3204" spans="2:42" x14ac:dyDescent="0.2">
      <c r="B3204" t="s">
        <v>44</v>
      </c>
      <c r="C3204" t="str">
        <f>HYPERLINK("https://us2.cloudbeds.com/connect/8493803454333002#/reservations/24662005240034?display=HHM3D2887&amp;reservation_id=24662005240034", "HHM3D2887")</f>
        <v>HHM3D2887</v>
      </c>
      <c r="D3204" t="s">
        <v>45</v>
      </c>
      <c r="E3204" t="s">
        <v>179</v>
      </c>
      <c r="F3204" t="s">
        <v>47</v>
      </c>
      <c r="G3204" t="s">
        <v>48</v>
      </c>
      <c r="H3204" t="s">
        <v>49</v>
      </c>
      <c r="I3204" t="s">
        <v>50</v>
      </c>
      <c r="J3204" t="s">
        <v>1381</v>
      </c>
      <c r="K3204" t="s">
        <v>2013</v>
      </c>
      <c r="L3204" t="s">
        <v>53</v>
      </c>
      <c r="N3204" t="s">
        <v>5206</v>
      </c>
      <c r="P3204" t="s">
        <v>55</v>
      </c>
      <c r="R3204" t="s">
        <v>53</v>
      </c>
      <c r="T3204" t="s">
        <v>5207</v>
      </c>
      <c r="U3204" t="s">
        <v>58</v>
      </c>
      <c r="V3204">
        <v>2</v>
      </c>
      <c r="W3204">
        <v>1</v>
      </c>
      <c r="X3204">
        <v>2</v>
      </c>
      <c r="Y3204">
        <v>0</v>
      </c>
      <c r="Z3204">
        <v>2</v>
      </c>
      <c r="AA3204">
        <v>0</v>
      </c>
      <c r="AB3204">
        <v>267.08999999999997</v>
      </c>
      <c r="AC3204">
        <v>235</v>
      </c>
      <c r="AD3204">
        <v>0</v>
      </c>
      <c r="AE3204">
        <v>32.090000000000003</v>
      </c>
      <c r="AF3204">
        <v>0</v>
      </c>
      <c r="AG3204">
        <v>0</v>
      </c>
      <c r="AH3204">
        <v>0</v>
      </c>
      <c r="AI3204">
        <v>48.08</v>
      </c>
      <c r="AJ3204">
        <v>267.08999999999997</v>
      </c>
      <c r="AK3204">
        <v>0</v>
      </c>
      <c r="AL3204" t="s">
        <v>53</v>
      </c>
      <c r="AM3204" t="s">
        <v>53</v>
      </c>
      <c r="AN3204" t="s">
        <v>53</v>
      </c>
      <c r="AO3204" t="s">
        <v>53</v>
      </c>
      <c r="AP3204" t="s">
        <v>53</v>
      </c>
    </row>
    <row r="3205" spans="2:42" x14ac:dyDescent="0.2">
      <c r="B3205" t="s">
        <v>44</v>
      </c>
      <c r="C3205" t="str">
        <f>HYPERLINK("https://us2.cloudbeds.com/connect/8493803454333002#/reservations/24665938587853?display=HHP4TPETC&amp;reservation_id=24665938587853", "HHP4TPETC")</f>
        <v>HHP4TPETC</v>
      </c>
      <c r="D3205" t="s">
        <v>45</v>
      </c>
      <c r="E3205" t="s">
        <v>190</v>
      </c>
      <c r="F3205" t="s">
        <v>61</v>
      </c>
      <c r="G3205" t="s">
        <v>48</v>
      </c>
      <c r="H3205" t="s">
        <v>49</v>
      </c>
      <c r="I3205" t="s">
        <v>50</v>
      </c>
      <c r="J3205" t="s">
        <v>2960</v>
      </c>
      <c r="K3205" t="s">
        <v>1381</v>
      </c>
      <c r="L3205" t="s">
        <v>53</v>
      </c>
      <c r="N3205" t="s">
        <v>5208</v>
      </c>
      <c r="P3205" t="s">
        <v>55</v>
      </c>
      <c r="R3205" t="s">
        <v>53</v>
      </c>
      <c r="T3205" t="s">
        <v>5209</v>
      </c>
      <c r="U3205" t="s">
        <v>58</v>
      </c>
      <c r="V3205">
        <v>1</v>
      </c>
      <c r="W3205">
        <v>1</v>
      </c>
      <c r="X3205">
        <v>2</v>
      </c>
      <c r="Y3205">
        <v>0</v>
      </c>
      <c r="Z3205">
        <v>2</v>
      </c>
      <c r="AA3205">
        <v>0</v>
      </c>
      <c r="AB3205">
        <v>155.69999999999999</v>
      </c>
      <c r="AC3205">
        <v>137</v>
      </c>
      <c r="AD3205">
        <v>0</v>
      </c>
      <c r="AE3205">
        <v>18.7</v>
      </c>
      <c r="AF3205">
        <v>0</v>
      </c>
      <c r="AG3205">
        <v>0</v>
      </c>
      <c r="AH3205">
        <v>0</v>
      </c>
      <c r="AI3205">
        <v>28.03</v>
      </c>
      <c r="AJ3205">
        <v>155.69999999999999</v>
      </c>
      <c r="AK3205">
        <v>0</v>
      </c>
      <c r="AL3205" t="s">
        <v>53</v>
      </c>
      <c r="AM3205" t="s">
        <v>53</v>
      </c>
      <c r="AN3205" t="s">
        <v>53</v>
      </c>
      <c r="AO3205" t="s">
        <v>53</v>
      </c>
      <c r="AP3205" t="s">
        <v>53</v>
      </c>
    </row>
    <row r="3206" spans="2:42" x14ac:dyDescent="0.2">
      <c r="B3206" t="s">
        <v>44</v>
      </c>
      <c r="C3206" t="str">
        <f>HYPERLINK("https://us2.cloudbeds.com/connect/8493803454333002#/reservations/24702504984745?display=HXKF8HBFF&amp;reservation_id=24702504984745", "HXKF8HBFF")</f>
        <v>HXKF8HBFF</v>
      </c>
      <c r="D3206" t="s">
        <v>45</v>
      </c>
      <c r="E3206" t="s">
        <v>223</v>
      </c>
      <c r="F3206" t="s">
        <v>47</v>
      </c>
      <c r="G3206" t="s">
        <v>48</v>
      </c>
      <c r="H3206" t="s">
        <v>3957</v>
      </c>
      <c r="I3206" t="s">
        <v>3975</v>
      </c>
      <c r="J3206" t="s">
        <v>1162</v>
      </c>
      <c r="K3206" t="s">
        <v>1258</v>
      </c>
      <c r="L3206" t="s">
        <v>53</v>
      </c>
      <c r="P3206" t="s">
        <v>55</v>
      </c>
      <c r="R3206" t="s">
        <v>56</v>
      </c>
      <c r="T3206" t="s">
        <v>5210</v>
      </c>
      <c r="U3206" t="s">
        <v>58</v>
      </c>
      <c r="V3206">
        <v>3</v>
      </c>
      <c r="W3206">
        <v>1</v>
      </c>
      <c r="X3206">
        <v>1</v>
      </c>
      <c r="Y3206">
        <v>0</v>
      </c>
      <c r="Z3206">
        <v>1</v>
      </c>
      <c r="AA3206">
        <v>0</v>
      </c>
      <c r="AB3206">
        <v>358.02</v>
      </c>
      <c r="AC3206">
        <v>315</v>
      </c>
      <c r="AD3206">
        <v>0</v>
      </c>
      <c r="AE3206">
        <v>43.02</v>
      </c>
      <c r="AF3206">
        <v>0</v>
      </c>
      <c r="AG3206">
        <v>0</v>
      </c>
      <c r="AH3206">
        <v>0</v>
      </c>
      <c r="AI3206">
        <v>0</v>
      </c>
      <c r="AJ3206">
        <v>358.02</v>
      </c>
      <c r="AK3206">
        <v>0</v>
      </c>
      <c r="AL3206" t="s">
        <v>53</v>
      </c>
      <c r="AM3206" t="s">
        <v>53</v>
      </c>
      <c r="AN3206" t="s">
        <v>53</v>
      </c>
      <c r="AO3206" t="s">
        <v>53</v>
      </c>
      <c r="AP3206" t="s">
        <v>53</v>
      </c>
    </row>
    <row r="3207" spans="2:42" x14ac:dyDescent="0.2">
      <c r="B3207" t="s">
        <v>44</v>
      </c>
      <c r="C3207" t="str">
        <f>HYPERLINK("https://us2.cloudbeds.com/connect/8493803454333002#/reservations/24742209630406?display=HJX6QHY63&amp;reservation_id=24742209630406", "HJX6QHY63")</f>
        <v>HJX6QHY63</v>
      </c>
      <c r="D3207" t="s">
        <v>45</v>
      </c>
      <c r="E3207" t="s">
        <v>213</v>
      </c>
      <c r="F3207" t="s">
        <v>86</v>
      </c>
      <c r="G3207" t="s">
        <v>48</v>
      </c>
      <c r="H3207" t="s">
        <v>3957</v>
      </c>
      <c r="I3207" t="s">
        <v>3958</v>
      </c>
      <c r="J3207" t="s">
        <v>2960</v>
      </c>
      <c r="K3207" t="s">
        <v>1381</v>
      </c>
      <c r="L3207" t="s">
        <v>53</v>
      </c>
      <c r="P3207" t="s">
        <v>55</v>
      </c>
      <c r="R3207" t="s">
        <v>56</v>
      </c>
      <c r="T3207" t="s">
        <v>5211</v>
      </c>
      <c r="U3207" t="s">
        <v>58</v>
      </c>
      <c r="V3207">
        <v>1</v>
      </c>
      <c r="W3207">
        <v>1</v>
      </c>
      <c r="X3207">
        <v>1</v>
      </c>
      <c r="Y3207">
        <v>0</v>
      </c>
      <c r="Z3207">
        <v>1</v>
      </c>
      <c r="AA3207">
        <v>0</v>
      </c>
      <c r="AB3207">
        <v>162.53</v>
      </c>
      <c r="AC3207">
        <v>143</v>
      </c>
      <c r="AD3207">
        <v>0</v>
      </c>
      <c r="AE3207">
        <v>19.53</v>
      </c>
      <c r="AF3207">
        <v>0</v>
      </c>
      <c r="AG3207">
        <v>0</v>
      </c>
      <c r="AH3207">
        <v>0</v>
      </c>
      <c r="AI3207">
        <v>0</v>
      </c>
      <c r="AJ3207">
        <v>162.53</v>
      </c>
      <c r="AK3207">
        <v>0</v>
      </c>
      <c r="AL3207" t="s">
        <v>53</v>
      </c>
      <c r="AM3207" t="s">
        <v>53</v>
      </c>
      <c r="AN3207" t="s">
        <v>53</v>
      </c>
      <c r="AO3207" t="s">
        <v>53</v>
      </c>
      <c r="AP3207" t="s">
        <v>53</v>
      </c>
    </row>
    <row r="3208" spans="2:42" x14ac:dyDescent="0.2">
      <c r="B3208" t="s">
        <v>44</v>
      </c>
      <c r="C3208" t="str">
        <f>HYPERLINK("https://us2.cloudbeds.com/connect/8493803454333002#/reservations/24753068454064?display=HJQK8WDPF&amp;reservation_id=24753068454064", "HJQK8WDPF")</f>
        <v>HJQK8WDPF</v>
      </c>
      <c r="D3208" t="s">
        <v>45</v>
      </c>
      <c r="E3208" t="s">
        <v>487</v>
      </c>
      <c r="F3208" t="s">
        <v>61</v>
      </c>
      <c r="G3208" t="s">
        <v>48</v>
      </c>
      <c r="H3208" t="s">
        <v>49</v>
      </c>
      <c r="I3208" t="s">
        <v>50</v>
      </c>
      <c r="J3208" t="s">
        <v>2960</v>
      </c>
      <c r="K3208" t="s">
        <v>1381</v>
      </c>
      <c r="L3208" t="s">
        <v>53</v>
      </c>
      <c r="N3208" t="s">
        <v>5212</v>
      </c>
      <c r="P3208" t="s">
        <v>55</v>
      </c>
      <c r="R3208" t="s">
        <v>53</v>
      </c>
      <c r="T3208" t="s">
        <v>5213</v>
      </c>
      <c r="U3208" t="s">
        <v>58</v>
      </c>
      <c r="V3208">
        <v>1</v>
      </c>
      <c r="W3208">
        <v>1</v>
      </c>
      <c r="X3208">
        <v>1</v>
      </c>
      <c r="Y3208">
        <v>0</v>
      </c>
      <c r="Z3208">
        <v>1</v>
      </c>
      <c r="AA3208">
        <v>0</v>
      </c>
      <c r="AB3208">
        <v>155.69999999999999</v>
      </c>
      <c r="AC3208">
        <v>137</v>
      </c>
      <c r="AD3208">
        <v>0</v>
      </c>
      <c r="AE3208">
        <v>18.7</v>
      </c>
      <c r="AF3208">
        <v>0</v>
      </c>
      <c r="AG3208">
        <v>0</v>
      </c>
      <c r="AH3208">
        <v>0</v>
      </c>
      <c r="AI3208">
        <v>28.03</v>
      </c>
      <c r="AJ3208">
        <v>155.69999999999999</v>
      </c>
      <c r="AK3208">
        <v>0</v>
      </c>
      <c r="AL3208" t="s">
        <v>53</v>
      </c>
      <c r="AM3208" t="s">
        <v>53</v>
      </c>
      <c r="AN3208" t="s">
        <v>53</v>
      </c>
      <c r="AO3208" t="s">
        <v>53</v>
      </c>
      <c r="AP3208" t="s">
        <v>53</v>
      </c>
    </row>
    <row r="3209" spans="2:42" x14ac:dyDescent="0.2">
      <c r="B3209" t="s">
        <v>44</v>
      </c>
      <c r="C3209" t="str">
        <f>HYPERLINK("https://us2.cloudbeds.com/connect/8493803454333002#/reservations/24757234929821?display=HJTRZ8ZYJ&amp;reservation_id=24757234929821", "HJTRZ8ZYJ")</f>
        <v>HJTRZ8ZYJ</v>
      </c>
      <c r="D3209" t="s">
        <v>45</v>
      </c>
      <c r="E3209" t="s">
        <v>138</v>
      </c>
      <c r="F3209" t="s">
        <v>70</v>
      </c>
      <c r="G3209" t="s">
        <v>48</v>
      </c>
      <c r="H3209" t="s">
        <v>49</v>
      </c>
      <c r="I3209" t="s">
        <v>62</v>
      </c>
      <c r="J3209" t="s">
        <v>2449</v>
      </c>
      <c r="K3209" t="s">
        <v>1716</v>
      </c>
      <c r="L3209" t="s">
        <v>53</v>
      </c>
      <c r="N3209" t="s">
        <v>5214</v>
      </c>
      <c r="P3209" t="s">
        <v>55</v>
      </c>
      <c r="R3209" t="s">
        <v>56</v>
      </c>
      <c r="T3209" t="s">
        <v>5215</v>
      </c>
      <c r="U3209" t="s">
        <v>55</v>
      </c>
      <c r="V3209">
        <v>1</v>
      </c>
      <c r="W3209">
        <v>1</v>
      </c>
      <c r="X3209">
        <v>2</v>
      </c>
      <c r="Y3209">
        <v>0</v>
      </c>
      <c r="Z3209">
        <v>2</v>
      </c>
      <c r="AA3209">
        <v>0</v>
      </c>
      <c r="AB3209">
        <v>99.22</v>
      </c>
      <c r="AC3209">
        <v>87.3</v>
      </c>
      <c r="AD3209">
        <v>0</v>
      </c>
      <c r="AE3209">
        <v>11.92</v>
      </c>
      <c r="AF3209">
        <v>0</v>
      </c>
      <c r="AG3209">
        <v>0</v>
      </c>
      <c r="AH3209">
        <v>0</v>
      </c>
      <c r="AI3209">
        <v>14.88</v>
      </c>
      <c r="AJ3209">
        <v>99.22</v>
      </c>
      <c r="AK3209">
        <v>0</v>
      </c>
      <c r="AL3209" t="s">
        <v>53</v>
      </c>
      <c r="AM3209" t="s">
        <v>53</v>
      </c>
      <c r="AN3209" t="s">
        <v>5216</v>
      </c>
      <c r="AO3209" t="s">
        <v>53</v>
      </c>
      <c r="AP3209" t="s">
        <v>53</v>
      </c>
    </row>
    <row r="3210" spans="2:42" x14ac:dyDescent="0.2">
      <c r="B3210" t="s">
        <v>44</v>
      </c>
      <c r="C3210" t="str">
        <f>HYPERLINK("https://us2.cloudbeds.com/connect/8493803454333002#/reservations/24757135532195?display=HJTP6ESEA&amp;reservation_id=24757135532195", "HJTP6ESEA")</f>
        <v>HJTP6ESEA</v>
      </c>
      <c r="D3210" t="s">
        <v>45</v>
      </c>
      <c r="E3210" t="s">
        <v>128</v>
      </c>
      <c r="F3210" t="s">
        <v>86</v>
      </c>
      <c r="G3210" t="s">
        <v>48</v>
      </c>
      <c r="H3210" t="s">
        <v>3957</v>
      </c>
      <c r="I3210" t="s">
        <v>3958</v>
      </c>
      <c r="J3210" t="s">
        <v>1523</v>
      </c>
      <c r="K3210" t="s">
        <v>2013</v>
      </c>
      <c r="L3210" t="s">
        <v>53</v>
      </c>
      <c r="P3210" t="s">
        <v>58</v>
      </c>
      <c r="R3210" t="s">
        <v>56</v>
      </c>
      <c r="T3210" t="s">
        <v>5217</v>
      </c>
      <c r="U3210" t="s">
        <v>58</v>
      </c>
      <c r="V3210">
        <v>1</v>
      </c>
      <c r="W3210">
        <v>1</v>
      </c>
      <c r="X3210">
        <v>1</v>
      </c>
      <c r="Y3210">
        <v>0</v>
      </c>
      <c r="Z3210">
        <v>1</v>
      </c>
      <c r="AA3210">
        <v>0</v>
      </c>
      <c r="AB3210">
        <v>138.66</v>
      </c>
      <c r="AC3210">
        <v>122</v>
      </c>
      <c r="AD3210">
        <v>0</v>
      </c>
      <c r="AE3210">
        <v>16.66</v>
      </c>
      <c r="AF3210">
        <v>0</v>
      </c>
      <c r="AG3210">
        <v>0</v>
      </c>
      <c r="AH3210">
        <v>0</v>
      </c>
      <c r="AI3210">
        <v>0</v>
      </c>
      <c r="AJ3210">
        <v>138.66</v>
      </c>
      <c r="AK3210">
        <v>0</v>
      </c>
      <c r="AL3210" t="s">
        <v>53</v>
      </c>
      <c r="AM3210" t="s">
        <v>53</v>
      </c>
      <c r="AN3210" t="s">
        <v>53</v>
      </c>
      <c r="AO3210" t="s">
        <v>53</v>
      </c>
      <c r="AP3210" t="s">
        <v>53</v>
      </c>
    </row>
    <row r="3211" spans="2:42" x14ac:dyDescent="0.2">
      <c r="B3211" t="s">
        <v>44</v>
      </c>
      <c r="C3211" t="str">
        <f>HYPERLINK("https://us2.cloudbeds.com/connect/8493803454333002#/reservations/24759155916994?display=HJVAR31X3&amp;reservation_id=24759155916994", "HJVAR31X3")</f>
        <v>HJVAR31X3</v>
      </c>
      <c r="D3211" t="s">
        <v>45</v>
      </c>
      <c r="E3211" t="s">
        <v>373</v>
      </c>
      <c r="F3211" t="s">
        <v>47</v>
      </c>
      <c r="G3211" t="s">
        <v>48</v>
      </c>
      <c r="H3211" t="s">
        <v>3957</v>
      </c>
      <c r="I3211" t="s">
        <v>3958</v>
      </c>
      <c r="J3211" t="s">
        <v>1523</v>
      </c>
      <c r="K3211" t="s">
        <v>2013</v>
      </c>
      <c r="L3211" t="s">
        <v>53</v>
      </c>
      <c r="P3211" t="s">
        <v>58</v>
      </c>
      <c r="R3211" t="s">
        <v>56</v>
      </c>
      <c r="T3211" t="s">
        <v>5218</v>
      </c>
      <c r="U3211" t="s">
        <v>58</v>
      </c>
      <c r="V3211">
        <v>1</v>
      </c>
      <c r="W3211">
        <v>1</v>
      </c>
      <c r="X3211">
        <v>1</v>
      </c>
      <c r="Y3211">
        <v>0</v>
      </c>
      <c r="Z3211">
        <v>1</v>
      </c>
      <c r="AA3211">
        <v>0</v>
      </c>
      <c r="AB3211">
        <v>129.57</v>
      </c>
      <c r="AC3211">
        <v>114</v>
      </c>
      <c r="AD3211">
        <v>0</v>
      </c>
      <c r="AE3211">
        <v>15.57</v>
      </c>
      <c r="AF3211">
        <v>0</v>
      </c>
      <c r="AG3211">
        <v>0</v>
      </c>
      <c r="AH3211">
        <v>0</v>
      </c>
      <c r="AI3211">
        <v>0</v>
      </c>
      <c r="AJ3211">
        <v>129.57</v>
      </c>
      <c r="AK3211">
        <v>0</v>
      </c>
      <c r="AL3211" t="s">
        <v>53</v>
      </c>
      <c r="AM3211" t="s">
        <v>53</v>
      </c>
      <c r="AN3211" t="s">
        <v>53</v>
      </c>
      <c r="AO3211" t="s">
        <v>53</v>
      </c>
      <c r="AP3211" t="s">
        <v>53</v>
      </c>
    </row>
    <row r="3212" spans="2:42" x14ac:dyDescent="0.2">
      <c r="B3212" t="s">
        <v>44</v>
      </c>
      <c r="C3212" t="str">
        <f>HYPERLINK("https://us2.cloudbeds.com/connect/8493803454333002#/reservations/24761249353875?display=HJWVAB0FB&amp;reservation_id=24761249353875", "HJWVAB0FB")</f>
        <v>HJWVAB0FB</v>
      </c>
      <c r="D3212" t="s">
        <v>45</v>
      </c>
      <c r="E3212" t="s">
        <v>121</v>
      </c>
      <c r="F3212" t="s">
        <v>86</v>
      </c>
      <c r="G3212" t="s">
        <v>48</v>
      </c>
      <c r="H3212" t="s">
        <v>49</v>
      </c>
      <c r="I3212" t="s">
        <v>62</v>
      </c>
      <c r="J3212" t="s">
        <v>2960</v>
      </c>
      <c r="K3212" t="s">
        <v>1381</v>
      </c>
      <c r="L3212" t="s">
        <v>53</v>
      </c>
      <c r="N3212" t="s">
        <v>5219</v>
      </c>
      <c r="P3212" t="s">
        <v>55</v>
      </c>
      <c r="R3212" t="s">
        <v>56</v>
      </c>
      <c r="T3212" t="s">
        <v>5220</v>
      </c>
      <c r="U3212" t="s">
        <v>55</v>
      </c>
      <c r="V3212">
        <v>1</v>
      </c>
      <c r="W3212">
        <v>1</v>
      </c>
      <c r="X3212">
        <v>2</v>
      </c>
      <c r="Y3212">
        <v>0</v>
      </c>
      <c r="Z3212">
        <v>2</v>
      </c>
      <c r="AA3212">
        <v>0</v>
      </c>
      <c r="AB3212">
        <v>162.53</v>
      </c>
      <c r="AC3212">
        <v>143</v>
      </c>
      <c r="AD3212">
        <v>0</v>
      </c>
      <c r="AE3212">
        <v>19.53</v>
      </c>
      <c r="AF3212">
        <v>0</v>
      </c>
      <c r="AG3212">
        <v>0</v>
      </c>
      <c r="AH3212">
        <v>0</v>
      </c>
      <c r="AI3212">
        <v>24.38</v>
      </c>
      <c r="AJ3212">
        <v>162.53</v>
      </c>
      <c r="AK3212">
        <v>0</v>
      </c>
      <c r="AL3212" t="s">
        <v>53</v>
      </c>
      <c r="AM3212" t="s">
        <v>53</v>
      </c>
      <c r="AN3212" t="s">
        <v>53</v>
      </c>
      <c r="AO3212" t="s">
        <v>53</v>
      </c>
      <c r="AP3212" t="s">
        <v>53</v>
      </c>
    </row>
    <row r="3213" spans="2:42" x14ac:dyDescent="0.2">
      <c r="B3213" t="s">
        <v>44</v>
      </c>
      <c r="C3213" t="str">
        <f>HYPERLINK("https://us2.cloudbeds.com/connect/8493803454333002#/reservations/24765721268368?display=HK3DJ5KMZ&amp;reservation_id=24765721268368", "HK3DJ5KMZ")</f>
        <v>HK3DJ5KMZ</v>
      </c>
      <c r="D3213" t="s">
        <v>45</v>
      </c>
      <c r="E3213" t="s">
        <v>406</v>
      </c>
      <c r="F3213" t="s">
        <v>61</v>
      </c>
      <c r="G3213" t="s">
        <v>48</v>
      </c>
      <c r="H3213" t="s">
        <v>3957</v>
      </c>
      <c r="I3213" t="s">
        <v>3958</v>
      </c>
      <c r="J3213" t="s">
        <v>2960</v>
      </c>
      <c r="K3213" t="s">
        <v>1381</v>
      </c>
      <c r="L3213" t="s">
        <v>53</v>
      </c>
      <c r="P3213" t="s">
        <v>55</v>
      </c>
      <c r="R3213" t="s">
        <v>56</v>
      </c>
      <c r="T3213" t="s">
        <v>5221</v>
      </c>
      <c r="U3213" t="s">
        <v>58</v>
      </c>
      <c r="V3213">
        <v>1</v>
      </c>
      <c r="W3213">
        <v>1</v>
      </c>
      <c r="X3213">
        <v>1</v>
      </c>
      <c r="Y3213">
        <v>0</v>
      </c>
      <c r="Z3213">
        <v>1</v>
      </c>
      <c r="AA3213">
        <v>0</v>
      </c>
      <c r="AB3213">
        <v>155.69999999999999</v>
      </c>
      <c r="AC3213">
        <v>137</v>
      </c>
      <c r="AD3213">
        <v>0</v>
      </c>
      <c r="AE3213">
        <v>18.7</v>
      </c>
      <c r="AF3213">
        <v>0</v>
      </c>
      <c r="AG3213">
        <v>0</v>
      </c>
      <c r="AH3213">
        <v>0</v>
      </c>
      <c r="AI3213">
        <v>0</v>
      </c>
      <c r="AJ3213">
        <v>155.69999999999999</v>
      </c>
      <c r="AK3213">
        <v>0</v>
      </c>
      <c r="AL3213" t="s">
        <v>53</v>
      </c>
      <c r="AM3213" t="s">
        <v>53</v>
      </c>
      <c r="AN3213" t="s">
        <v>53</v>
      </c>
      <c r="AO3213" t="s">
        <v>53</v>
      </c>
      <c r="AP3213" t="s">
        <v>53</v>
      </c>
    </row>
    <row r="3214" spans="2:42" x14ac:dyDescent="0.2">
      <c r="B3214" t="s">
        <v>44</v>
      </c>
      <c r="C3214" t="str">
        <f>HYPERLINK("https://us2.cloudbeds.com/connect/8493803454333002#/reservations/24768615862499?display=HK5YHVW6D&amp;reservation_id=24768615862499", "HK5YHVW6D")</f>
        <v>HK5YHVW6D</v>
      </c>
      <c r="D3214" t="s">
        <v>45</v>
      </c>
      <c r="E3214" t="s">
        <v>105</v>
      </c>
      <c r="F3214" t="s">
        <v>47</v>
      </c>
      <c r="G3214" t="s">
        <v>48</v>
      </c>
      <c r="H3214" t="s">
        <v>49</v>
      </c>
      <c r="I3214" t="s">
        <v>50</v>
      </c>
      <c r="J3214" t="s">
        <v>1381</v>
      </c>
      <c r="K3214" t="s">
        <v>1523</v>
      </c>
      <c r="L3214" t="s">
        <v>53</v>
      </c>
      <c r="N3214" t="s">
        <v>5222</v>
      </c>
      <c r="P3214" t="s">
        <v>55</v>
      </c>
      <c r="R3214" t="s">
        <v>53</v>
      </c>
      <c r="T3214" t="s">
        <v>5223</v>
      </c>
      <c r="U3214" t="s">
        <v>58</v>
      </c>
      <c r="V3214">
        <v>1</v>
      </c>
      <c r="W3214">
        <v>1</v>
      </c>
      <c r="X3214">
        <v>1</v>
      </c>
      <c r="Y3214">
        <v>0</v>
      </c>
      <c r="Z3214">
        <v>1</v>
      </c>
      <c r="AA3214">
        <v>0</v>
      </c>
      <c r="AB3214">
        <v>137.52000000000001</v>
      </c>
      <c r="AC3214">
        <v>121</v>
      </c>
      <c r="AD3214">
        <v>0</v>
      </c>
      <c r="AE3214">
        <v>16.52</v>
      </c>
      <c r="AF3214">
        <v>0</v>
      </c>
      <c r="AG3214">
        <v>0</v>
      </c>
      <c r="AH3214">
        <v>0</v>
      </c>
      <c r="AI3214">
        <v>24.75</v>
      </c>
      <c r="AJ3214">
        <v>137.52000000000001</v>
      </c>
      <c r="AK3214">
        <v>0</v>
      </c>
      <c r="AL3214" t="s">
        <v>53</v>
      </c>
      <c r="AM3214" t="s">
        <v>53</v>
      </c>
      <c r="AN3214" t="s">
        <v>53</v>
      </c>
      <c r="AO3214" t="s">
        <v>53</v>
      </c>
      <c r="AP3214" t="s">
        <v>53</v>
      </c>
    </row>
    <row r="3215" spans="2:42" x14ac:dyDescent="0.2">
      <c r="B3215" t="s">
        <v>44</v>
      </c>
      <c r="C3215" t="str">
        <f>HYPERLINK("https://us2.cloudbeds.com/connect/8493803454333002#/reservations/24770429149425?display=HK71SWBQ2&amp;reservation_id=24770429149425", "HK71SWBQ2")</f>
        <v>HK71SWBQ2</v>
      </c>
      <c r="D3215" t="s">
        <v>45</v>
      </c>
      <c r="E3215" t="s">
        <v>305</v>
      </c>
      <c r="F3215" t="s">
        <v>61</v>
      </c>
      <c r="G3215" t="s">
        <v>48</v>
      </c>
      <c r="H3215" t="s">
        <v>3957</v>
      </c>
      <c r="I3215" t="s">
        <v>3958</v>
      </c>
      <c r="J3215" t="s">
        <v>2960</v>
      </c>
      <c r="K3215" t="s">
        <v>1381</v>
      </c>
      <c r="L3215" t="s">
        <v>53</v>
      </c>
      <c r="P3215" t="s">
        <v>55</v>
      </c>
      <c r="R3215" t="s">
        <v>56</v>
      </c>
      <c r="T3215" t="s">
        <v>5224</v>
      </c>
      <c r="U3215" t="s">
        <v>58</v>
      </c>
      <c r="V3215">
        <v>1</v>
      </c>
      <c r="W3215">
        <v>1</v>
      </c>
      <c r="X3215">
        <v>1</v>
      </c>
      <c r="Y3215">
        <v>0</v>
      </c>
      <c r="Z3215">
        <v>1</v>
      </c>
      <c r="AA3215">
        <v>0</v>
      </c>
      <c r="AB3215">
        <v>155.69999999999999</v>
      </c>
      <c r="AC3215">
        <v>137</v>
      </c>
      <c r="AD3215">
        <v>0</v>
      </c>
      <c r="AE3215">
        <v>18.7</v>
      </c>
      <c r="AF3215">
        <v>0</v>
      </c>
      <c r="AG3215">
        <v>0</v>
      </c>
      <c r="AH3215">
        <v>0</v>
      </c>
      <c r="AI3215">
        <v>0</v>
      </c>
      <c r="AJ3215">
        <v>155.69999999999999</v>
      </c>
      <c r="AK3215">
        <v>0</v>
      </c>
      <c r="AL3215" t="s">
        <v>53</v>
      </c>
      <c r="AM3215" t="s">
        <v>53</v>
      </c>
      <c r="AN3215" t="s">
        <v>53</v>
      </c>
      <c r="AO3215" t="s">
        <v>53</v>
      </c>
      <c r="AP3215" t="s">
        <v>53</v>
      </c>
    </row>
    <row r="3216" spans="2:42" x14ac:dyDescent="0.2">
      <c r="B3216" t="s">
        <v>44</v>
      </c>
      <c r="C3216" t="str">
        <f>HYPERLINK("https://us2.cloudbeds.com/connect/8493803454333002#/reservations/24771305058521?display=HK7Z8XR0V&amp;reservation_id=24771305058521", "HK7Z8XR0V")</f>
        <v>HK7Z8XR0V</v>
      </c>
      <c r="D3216" t="s">
        <v>45</v>
      </c>
      <c r="E3216" t="s">
        <v>265</v>
      </c>
      <c r="F3216" t="s">
        <v>61</v>
      </c>
      <c r="G3216" t="s">
        <v>48</v>
      </c>
      <c r="H3216" t="s">
        <v>49</v>
      </c>
      <c r="I3216" t="s">
        <v>62</v>
      </c>
      <c r="J3216" t="s">
        <v>2960</v>
      </c>
      <c r="K3216" t="s">
        <v>1381</v>
      </c>
      <c r="L3216" t="s">
        <v>53</v>
      </c>
      <c r="N3216" t="s">
        <v>5225</v>
      </c>
      <c r="P3216" t="s">
        <v>55</v>
      </c>
      <c r="R3216" t="s">
        <v>56</v>
      </c>
      <c r="T3216" t="s">
        <v>5226</v>
      </c>
      <c r="U3216" t="s">
        <v>55</v>
      </c>
      <c r="V3216">
        <v>1</v>
      </c>
      <c r="W3216">
        <v>1</v>
      </c>
      <c r="X3216">
        <v>2</v>
      </c>
      <c r="Y3216">
        <v>0</v>
      </c>
      <c r="Z3216">
        <v>2</v>
      </c>
      <c r="AA3216">
        <v>0</v>
      </c>
      <c r="AB3216">
        <v>155.69999999999999</v>
      </c>
      <c r="AC3216">
        <v>137</v>
      </c>
      <c r="AD3216">
        <v>0</v>
      </c>
      <c r="AE3216">
        <v>18.7</v>
      </c>
      <c r="AF3216">
        <v>0</v>
      </c>
      <c r="AG3216">
        <v>0</v>
      </c>
      <c r="AH3216">
        <v>0</v>
      </c>
      <c r="AI3216">
        <v>23.36</v>
      </c>
      <c r="AJ3216">
        <v>155.69999999999999</v>
      </c>
      <c r="AK3216">
        <v>0</v>
      </c>
      <c r="AL3216" t="s">
        <v>53</v>
      </c>
      <c r="AM3216" t="s">
        <v>53</v>
      </c>
      <c r="AN3216" t="s">
        <v>53</v>
      </c>
      <c r="AO3216" t="s">
        <v>53</v>
      </c>
      <c r="AP3216" t="s">
        <v>53</v>
      </c>
    </row>
    <row r="3217" spans="2:42" x14ac:dyDescent="0.2">
      <c r="B3217" t="s">
        <v>44</v>
      </c>
      <c r="C3217" t="str">
        <f>HYPERLINK("https://us2.cloudbeds.com/connect/8493803454333002#/reservations/24794401718524?display=HKPKE9E6U&amp;reservation_id=24794401718524", "HKPKE9E6U")</f>
        <v>HKPKE9E6U</v>
      </c>
      <c r="D3217" t="s">
        <v>45</v>
      </c>
      <c r="E3217" t="s">
        <v>213</v>
      </c>
      <c r="F3217" t="s">
        <v>86</v>
      </c>
      <c r="G3217" t="s">
        <v>48</v>
      </c>
      <c r="H3217" t="s">
        <v>49</v>
      </c>
      <c r="I3217" t="s">
        <v>50</v>
      </c>
      <c r="J3217" t="s">
        <v>1381</v>
      </c>
      <c r="K3217" t="s">
        <v>2013</v>
      </c>
      <c r="L3217" t="s">
        <v>53</v>
      </c>
      <c r="N3217" t="s">
        <v>5227</v>
      </c>
      <c r="P3217" t="s">
        <v>55</v>
      </c>
      <c r="R3217" t="s">
        <v>53</v>
      </c>
      <c r="T3217" t="s">
        <v>5228</v>
      </c>
      <c r="U3217" t="s">
        <v>58</v>
      </c>
      <c r="V3217">
        <v>2</v>
      </c>
      <c r="W3217">
        <v>1</v>
      </c>
      <c r="X3217">
        <v>2</v>
      </c>
      <c r="Y3217">
        <v>0</v>
      </c>
      <c r="Z3217">
        <v>2</v>
      </c>
      <c r="AA3217">
        <v>0</v>
      </c>
      <c r="AB3217">
        <v>285.27</v>
      </c>
      <c r="AC3217">
        <v>251</v>
      </c>
      <c r="AD3217">
        <v>0</v>
      </c>
      <c r="AE3217">
        <v>34.270000000000003</v>
      </c>
      <c r="AF3217">
        <v>0</v>
      </c>
      <c r="AG3217">
        <v>0</v>
      </c>
      <c r="AH3217">
        <v>0</v>
      </c>
      <c r="AI3217">
        <v>51.35</v>
      </c>
      <c r="AJ3217">
        <v>285.27</v>
      </c>
      <c r="AK3217">
        <v>0</v>
      </c>
      <c r="AL3217" t="s">
        <v>53</v>
      </c>
      <c r="AM3217" t="s">
        <v>53</v>
      </c>
      <c r="AN3217" t="s">
        <v>53</v>
      </c>
      <c r="AO3217" t="s">
        <v>53</v>
      </c>
      <c r="AP3217" t="s">
        <v>53</v>
      </c>
    </row>
    <row r="3218" spans="2:42" x14ac:dyDescent="0.2">
      <c r="B3218" t="s">
        <v>44</v>
      </c>
      <c r="C3218" t="str">
        <f>HYPERLINK("https://us2.cloudbeds.com/connect/8493803454333002#/reservations/24801178419446?display=HKUSJJ42A&amp;reservation_id=24801178419446", "HKUSJJ42A")</f>
        <v>HKUSJJ42A</v>
      </c>
      <c r="D3218" t="s">
        <v>45</v>
      </c>
      <c r="E3218" t="s">
        <v>105</v>
      </c>
      <c r="F3218" t="s">
        <v>47</v>
      </c>
      <c r="G3218" t="s">
        <v>48</v>
      </c>
      <c r="H3218" t="s">
        <v>49</v>
      </c>
      <c r="I3218" t="s">
        <v>62</v>
      </c>
      <c r="J3218" t="s">
        <v>3768</v>
      </c>
      <c r="K3218" t="s">
        <v>5229</v>
      </c>
      <c r="L3218" t="s">
        <v>53</v>
      </c>
      <c r="N3218" t="s">
        <v>5230</v>
      </c>
      <c r="P3218" t="s">
        <v>55</v>
      </c>
      <c r="R3218" t="s">
        <v>56</v>
      </c>
      <c r="T3218" t="s">
        <v>5231</v>
      </c>
      <c r="U3218" t="s">
        <v>55</v>
      </c>
      <c r="V3218">
        <v>2</v>
      </c>
      <c r="W3218">
        <v>1</v>
      </c>
      <c r="X3218">
        <v>2</v>
      </c>
      <c r="Y3218">
        <v>0</v>
      </c>
      <c r="Z3218">
        <v>2</v>
      </c>
      <c r="AA3218">
        <v>0</v>
      </c>
      <c r="AB3218">
        <v>153.43</v>
      </c>
      <c r="AC3218">
        <v>135</v>
      </c>
      <c r="AD3218">
        <v>0</v>
      </c>
      <c r="AE3218">
        <v>18.440000000000001</v>
      </c>
      <c r="AF3218">
        <v>0</v>
      </c>
      <c r="AG3218">
        <v>0</v>
      </c>
      <c r="AH3218">
        <v>0</v>
      </c>
      <c r="AI3218">
        <v>27.62</v>
      </c>
      <c r="AJ3218">
        <v>153.44</v>
      </c>
      <c r="AK3218">
        <v>0.01</v>
      </c>
      <c r="AL3218" t="s">
        <v>53</v>
      </c>
      <c r="AM3218" t="s">
        <v>53</v>
      </c>
      <c r="AN3218" t="s">
        <v>53</v>
      </c>
      <c r="AO3218" t="s">
        <v>53</v>
      </c>
      <c r="AP3218" t="s">
        <v>53</v>
      </c>
    </row>
    <row r="3219" spans="2:42" x14ac:dyDescent="0.2">
      <c r="B3219" t="s">
        <v>44</v>
      </c>
      <c r="C3219" t="str">
        <f>HYPERLINK("https://us2.cloudbeds.com/connect/8493803454333002#/reservations/24807724474544?display=HY2USCZVA&amp;reservation_id=24807724474544", "HY2USCZVA")</f>
        <v>HY2USCZVA</v>
      </c>
      <c r="D3219" t="s">
        <v>45</v>
      </c>
      <c r="E3219" t="s">
        <v>185</v>
      </c>
      <c r="F3219" t="s">
        <v>47</v>
      </c>
      <c r="G3219" t="s">
        <v>48</v>
      </c>
      <c r="H3219" t="s">
        <v>49</v>
      </c>
      <c r="I3219" t="s">
        <v>50</v>
      </c>
      <c r="J3219" t="s">
        <v>2014</v>
      </c>
      <c r="K3219" t="s">
        <v>1716</v>
      </c>
      <c r="L3219" t="s">
        <v>53</v>
      </c>
      <c r="N3219" t="s">
        <v>5232</v>
      </c>
      <c r="P3219" t="s">
        <v>55</v>
      </c>
      <c r="R3219" t="s">
        <v>53</v>
      </c>
      <c r="T3219" t="s">
        <v>5233</v>
      </c>
      <c r="U3219" t="s">
        <v>58</v>
      </c>
      <c r="V3219">
        <v>3</v>
      </c>
      <c r="W3219">
        <v>1</v>
      </c>
      <c r="X3219">
        <v>1</v>
      </c>
      <c r="Y3219">
        <v>0</v>
      </c>
      <c r="Z3219">
        <v>1</v>
      </c>
      <c r="AA3219">
        <v>0</v>
      </c>
      <c r="AB3219">
        <v>406.88</v>
      </c>
      <c r="AC3219">
        <v>358</v>
      </c>
      <c r="AD3219">
        <v>0</v>
      </c>
      <c r="AE3219">
        <v>48.88</v>
      </c>
      <c r="AF3219">
        <v>0</v>
      </c>
      <c r="AG3219">
        <v>0</v>
      </c>
      <c r="AH3219">
        <v>0</v>
      </c>
      <c r="AI3219">
        <v>73.239999999999995</v>
      </c>
      <c r="AJ3219">
        <v>406.88</v>
      </c>
      <c r="AK3219">
        <v>0</v>
      </c>
      <c r="AL3219" t="s">
        <v>53</v>
      </c>
      <c r="AM3219" t="s">
        <v>53</v>
      </c>
      <c r="AN3219" t="s">
        <v>53</v>
      </c>
      <c r="AO3219" t="s">
        <v>53</v>
      </c>
      <c r="AP3219" t="s">
        <v>53</v>
      </c>
    </row>
    <row r="3220" spans="2:42" x14ac:dyDescent="0.2">
      <c r="B3220" t="s">
        <v>44</v>
      </c>
      <c r="C3220" t="str">
        <f>HYPERLINK("https://us2.cloudbeds.com/connect/8493803454333002#/reservations/24823799845084?display=HYFCKXY1U&amp;reservation_id=24823799845084", "HYFCKXY1U")</f>
        <v>HYFCKXY1U</v>
      </c>
      <c r="D3220" t="s">
        <v>45</v>
      </c>
      <c r="E3220" t="s">
        <v>381</v>
      </c>
      <c r="F3220" t="s">
        <v>47</v>
      </c>
      <c r="G3220" t="s">
        <v>48</v>
      </c>
      <c r="H3220" t="s">
        <v>49</v>
      </c>
      <c r="I3220" t="s">
        <v>62</v>
      </c>
      <c r="J3220" t="s">
        <v>1381</v>
      </c>
      <c r="K3220" t="s">
        <v>1523</v>
      </c>
      <c r="L3220" t="s">
        <v>53</v>
      </c>
      <c r="N3220" t="s">
        <v>5234</v>
      </c>
      <c r="P3220" t="s">
        <v>55</v>
      </c>
      <c r="R3220" t="s">
        <v>56</v>
      </c>
      <c r="T3220" t="s">
        <v>5235</v>
      </c>
      <c r="U3220" t="s">
        <v>55</v>
      </c>
      <c r="V3220">
        <v>1</v>
      </c>
      <c r="W3220">
        <v>1</v>
      </c>
      <c r="X3220">
        <v>2</v>
      </c>
      <c r="Y3220">
        <v>0</v>
      </c>
      <c r="Z3220">
        <v>2</v>
      </c>
      <c r="AA3220">
        <v>0</v>
      </c>
      <c r="AB3220">
        <v>137.52000000000001</v>
      </c>
      <c r="AC3220">
        <v>121</v>
      </c>
      <c r="AD3220">
        <v>0</v>
      </c>
      <c r="AE3220">
        <v>16.52</v>
      </c>
      <c r="AF3220">
        <v>0</v>
      </c>
      <c r="AG3220">
        <v>0</v>
      </c>
      <c r="AH3220">
        <v>0</v>
      </c>
      <c r="AI3220">
        <v>20.63</v>
      </c>
      <c r="AJ3220">
        <v>137.52000000000001</v>
      </c>
      <c r="AK3220">
        <v>0</v>
      </c>
      <c r="AL3220" t="s">
        <v>53</v>
      </c>
      <c r="AM3220" t="s">
        <v>53</v>
      </c>
      <c r="AN3220" t="s">
        <v>53</v>
      </c>
      <c r="AO3220" t="s">
        <v>53</v>
      </c>
      <c r="AP3220" t="s">
        <v>53</v>
      </c>
    </row>
    <row r="3221" spans="2:42" x14ac:dyDescent="0.2">
      <c r="B3221" t="s">
        <v>44</v>
      </c>
      <c r="C3221" t="str">
        <f>HYPERLINK("https://us2.cloudbeds.com/connect/8493803454333002#/reservations/24865925849250?display=HMF01AQFN&amp;reservation_id=24865925849250", "HMF01AQFN")</f>
        <v>HMF01AQFN</v>
      </c>
      <c r="D3221" t="s">
        <v>45</v>
      </c>
      <c r="E3221" t="s">
        <v>98</v>
      </c>
      <c r="F3221" t="s">
        <v>86</v>
      </c>
      <c r="G3221" t="s">
        <v>48</v>
      </c>
      <c r="H3221" t="s">
        <v>49</v>
      </c>
      <c r="I3221" t="s">
        <v>62</v>
      </c>
      <c r="J3221" t="s">
        <v>1381</v>
      </c>
      <c r="K3221" t="s">
        <v>1523</v>
      </c>
      <c r="L3221" t="s">
        <v>53</v>
      </c>
      <c r="N3221" t="s">
        <v>5236</v>
      </c>
      <c r="P3221" t="s">
        <v>55</v>
      </c>
      <c r="R3221" t="s">
        <v>118</v>
      </c>
      <c r="T3221" t="s">
        <v>5237</v>
      </c>
      <c r="U3221" t="s">
        <v>55</v>
      </c>
      <c r="V3221">
        <v>1</v>
      </c>
      <c r="W3221">
        <v>1</v>
      </c>
      <c r="X3221">
        <v>2</v>
      </c>
      <c r="Y3221">
        <v>0</v>
      </c>
      <c r="Z3221">
        <v>2</v>
      </c>
      <c r="AA3221">
        <v>0</v>
      </c>
      <c r="AB3221">
        <v>161.38999999999999</v>
      </c>
      <c r="AC3221">
        <v>142</v>
      </c>
      <c r="AD3221">
        <v>0</v>
      </c>
      <c r="AE3221">
        <v>19.39</v>
      </c>
      <c r="AF3221">
        <v>0</v>
      </c>
      <c r="AG3221">
        <v>0</v>
      </c>
      <c r="AH3221">
        <v>0</v>
      </c>
      <c r="AI3221">
        <v>24.21</v>
      </c>
      <c r="AJ3221">
        <v>161.38999999999999</v>
      </c>
      <c r="AK3221">
        <v>0</v>
      </c>
      <c r="AL3221" t="s">
        <v>53</v>
      </c>
      <c r="AM3221" t="s">
        <v>53</v>
      </c>
      <c r="AN3221" t="s">
        <v>53</v>
      </c>
      <c r="AO3221" t="s">
        <v>53</v>
      </c>
      <c r="AP3221" t="s">
        <v>53</v>
      </c>
    </row>
    <row r="3222" spans="2:42" x14ac:dyDescent="0.2">
      <c r="B3222" t="s">
        <v>44</v>
      </c>
      <c r="C3222" t="str">
        <f>HYPERLINK("https://us2.cloudbeds.com/connect/8493803454333002#/reservations/25001229312132?display=HPKPBQ3JH&amp;reservation_id=25001229312132", "HPKPBQ3JH")</f>
        <v>HPKPBQ3JH</v>
      </c>
      <c r="D3222" t="s">
        <v>45</v>
      </c>
      <c r="E3222" t="s">
        <v>121</v>
      </c>
      <c r="F3222" t="s">
        <v>86</v>
      </c>
      <c r="G3222" t="s">
        <v>48</v>
      </c>
      <c r="H3222" t="s">
        <v>49</v>
      </c>
      <c r="I3222" t="s">
        <v>62</v>
      </c>
      <c r="J3222" t="s">
        <v>1381</v>
      </c>
      <c r="K3222" t="s">
        <v>1523</v>
      </c>
      <c r="L3222" t="s">
        <v>53</v>
      </c>
      <c r="N3222" t="s">
        <v>5238</v>
      </c>
      <c r="P3222" t="s">
        <v>55</v>
      </c>
      <c r="R3222" t="s">
        <v>56</v>
      </c>
      <c r="T3222" t="s">
        <v>5239</v>
      </c>
      <c r="U3222" t="s">
        <v>55</v>
      </c>
      <c r="V3222">
        <v>1</v>
      </c>
      <c r="W3222">
        <v>1</v>
      </c>
      <c r="X3222">
        <v>3</v>
      </c>
      <c r="Y3222">
        <v>0</v>
      </c>
      <c r="Z3222">
        <v>3</v>
      </c>
      <c r="AA3222">
        <v>0</v>
      </c>
      <c r="AB3222">
        <v>161.38999999999999</v>
      </c>
      <c r="AC3222">
        <v>142</v>
      </c>
      <c r="AD3222">
        <v>0</v>
      </c>
      <c r="AE3222">
        <v>19.39</v>
      </c>
      <c r="AF3222">
        <v>0</v>
      </c>
      <c r="AG3222">
        <v>0</v>
      </c>
      <c r="AH3222">
        <v>0</v>
      </c>
      <c r="AI3222">
        <v>24.21</v>
      </c>
      <c r="AJ3222">
        <v>161.38999999999999</v>
      </c>
      <c r="AK3222">
        <v>0</v>
      </c>
      <c r="AL3222" t="s">
        <v>53</v>
      </c>
      <c r="AM3222" t="s">
        <v>53</v>
      </c>
      <c r="AN3222" t="s">
        <v>53</v>
      </c>
      <c r="AO3222" t="s">
        <v>53</v>
      </c>
      <c r="AP3222" t="s">
        <v>53</v>
      </c>
    </row>
    <row r="3223" spans="2:42" x14ac:dyDescent="0.2">
      <c r="B3223" t="s">
        <v>44</v>
      </c>
      <c r="C3223" t="str">
        <f>HYPERLINK("https://us2.cloudbeds.com/connect/8493803454333002#/reservations/25030452027625?display=HQAD2582Y&amp;reservation_id=25030452027625", "HQAD2582Y")</f>
        <v>HQAD2582Y</v>
      </c>
      <c r="D3223" t="s">
        <v>45</v>
      </c>
      <c r="E3223" t="s">
        <v>487</v>
      </c>
      <c r="F3223" t="s">
        <v>61</v>
      </c>
      <c r="G3223" t="s">
        <v>48</v>
      </c>
      <c r="H3223" t="s">
        <v>49</v>
      </c>
      <c r="I3223" t="s">
        <v>62</v>
      </c>
      <c r="J3223" t="s">
        <v>1381</v>
      </c>
      <c r="K3223" t="s">
        <v>1523</v>
      </c>
      <c r="L3223" t="s">
        <v>53</v>
      </c>
      <c r="N3223" t="s">
        <v>5240</v>
      </c>
      <c r="P3223" t="s">
        <v>55</v>
      </c>
      <c r="R3223" t="s">
        <v>56</v>
      </c>
      <c r="T3223" t="s">
        <v>5241</v>
      </c>
      <c r="U3223" t="s">
        <v>55</v>
      </c>
      <c r="V3223">
        <v>1</v>
      </c>
      <c r="W3223">
        <v>1</v>
      </c>
      <c r="X3223">
        <v>2</v>
      </c>
      <c r="Y3223">
        <v>0</v>
      </c>
      <c r="Z3223">
        <v>2</v>
      </c>
      <c r="AA3223">
        <v>0</v>
      </c>
      <c r="AB3223">
        <v>154.56</v>
      </c>
      <c r="AC3223">
        <v>136</v>
      </c>
      <c r="AD3223">
        <v>0</v>
      </c>
      <c r="AE3223">
        <v>18.559999999999999</v>
      </c>
      <c r="AF3223">
        <v>0</v>
      </c>
      <c r="AG3223">
        <v>0</v>
      </c>
      <c r="AH3223">
        <v>0</v>
      </c>
      <c r="AI3223">
        <v>23.18</v>
      </c>
      <c r="AJ3223">
        <v>154.56</v>
      </c>
      <c r="AK3223">
        <v>0</v>
      </c>
      <c r="AL3223" t="s">
        <v>53</v>
      </c>
      <c r="AM3223" t="s">
        <v>53</v>
      </c>
      <c r="AN3223" t="s">
        <v>53</v>
      </c>
      <c r="AO3223" t="s">
        <v>53</v>
      </c>
      <c r="AP3223" t="s">
        <v>53</v>
      </c>
    </row>
    <row r="3224" spans="2:42" x14ac:dyDescent="0.2">
      <c r="B3224" t="s">
        <v>44</v>
      </c>
      <c r="C3224" t="str">
        <f>HYPERLINK("https://us2.cloudbeds.com/connect/8493803454333002#/reservations/25054930260172?display=HQTBHS4U9&amp;reservation_id=25054930260172", "HQTBHS4U9")</f>
        <v>HQTBHS4U9</v>
      </c>
      <c r="D3224" t="s">
        <v>45</v>
      </c>
      <c r="E3224" t="s">
        <v>406</v>
      </c>
      <c r="F3224" t="s">
        <v>61</v>
      </c>
      <c r="G3224" t="s">
        <v>48</v>
      </c>
      <c r="H3224" t="s">
        <v>49</v>
      </c>
      <c r="I3224" t="s">
        <v>50</v>
      </c>
      <c r="J3224" t="s">
        <v>1381</v>
      </c>
      <c r="K3224" t="s">
        <v>1523</v>
      </c>
      <c r="L3224" t="s">
        <v>53</v>
      </c>
      <c r="N3224" t="s">
        <v>5242</v>
      </c>
      <c r="P3224" t="s">
        <v>55</v>
      </c>
      <c r="R3224" t="s">
        <v>53</v>
      </c>
      <c r="T3224" t="s">
        <v>5243</v>
      </c>
      <c r="U3224" t="s">
        <v>58</v>
      </c>
      <c r="V3224">
        <v>1</v>
      </c>
      <c r="W3224">
        <v>1</v>
      </c>
      <c r="X3224">
        <v>2</v>
      </c>
      <c r="Y3224">
        <v>0</v>
      </c>
      <c r="Z3224">
        <v>2</v>
      </c>
      <c r="AA3224">
        <v>0</v>
      </c>
      <c r="AB3224">
        <v>154.56</v>
      </c>
      <c r="AC3224">
        <v>136</v>
      </c>
      <c r="AD3224">
        <v>0</v>
      </c>
      <c r="AE3224">
        <v>18.559999999999999</v>
      </c>
      <c r="AF3224">
        <v>0</v>
      </c>
      <c r="AG3224">
        <v>0</v>
      </c>
      <c r="AH3224">
        <v>0</v>
      </c>
      <c r="AI3224">
        <v>27.82</v>
      </c>
      <c r="AJ3224">
        <v>154.56</v>
      </c>
      <c r="AK3224">
        <v>0</v>
      </c>
      <c r="AL3224" t="s">
        <v>53</v>
      </c>
      <c r="AM3224" t="s">
        <v>53</v>
      </c>
      <c r="AN3224" t="s">
        <v>53</v>
      </c>
      <c r="AO3224" t="s">
        <v>53</v>
      </c>
      <c r="AP3224" t="s">
        <v>53</v>
      </c>
    </row>
    <row r="3225" spans="2:42" x14ac:dyDescent="0.2">
      <c r="B3225" t="s">
        <v>44</v>
      </c>
      <c r="C3225" t="str">
        <f>HYPERLINK("https://us2.cloudbeds.com/connect/8493803454333002#/reservations/25058361397381?display=HQW072JQ3&amp;reservation_id=25058361397381", "HQW072JQ3")</f>
        <v>HQW072JQ3</v>
      </c>
      <c r="D3225" t="s">
        <v>45</v>
      </c>
      <c r="E3225" t="s">
        <v>305</v>
      </c>
      <c r="F3225" t="s">
        <v>61</v>
      </c>
      <c r="G3225" t="s">
        <v>48</v>
      </c>
      <c r="H3225" t="s">
        <v>49</v>
      </c>
      <c r="I3225" t="s">
        <v>50</v>
      </c>
      <c r="J3225" t="s">
        <v>1381</v>
      </c>
      <c r="K3225" t="s">
        <v>1523</v>
      </c>
      <c r="L3225" t="s">
        <v>53</v>
      </c>
      <c r="N3225" t="s">
        <v>5244</v>
      </c>
      <c r="P3225" t="s">
        <v>55</v>
      </c>
      <c r="R3225" t="s">
        <v>53</v>
      </c>
      <c r="T3225" t="s">
        <v>5245</v>
      </c>
      <c r="U3225" t="s">
        <v>58</v>
      </c>
      <c r="V3225">
        <v>1</v>
      </c>
      <c r="W3225">
        <v>1</v>
      </c>
      <c r="X3225">
        <v>2</v>
      </c>
      <c r="Y3225">
        <v>0</v>
      </c>
      <c r="Z3225">
        <v>2</v>
      </c>
      <c r="AA3225">
        <v>0</v>
      </c>
      <c r="AB3225">
        <v>154.56</v>
      </c>
      <c r="AC3225">
        <v>136</v>
      </c>
      <c r="AD3225">
        <v>0</v>
      </c>
      <c r="AE3225">
        <v>18.559999999999999</v>
      </c>
      <c r="AF3225">
        <v>0</v>
      </c>
      <c r="AG3225">
        <v>0</v>
      </c>
      <c r="AH3225">
        <v>0</v>
      </c>
      <c r="AI3225">
        <v>27.82</v>
      </c>
      <c r="AJ3225">
        <v>154.56</v>
      </c>
      <c r="AK3225">
        <v>0</v>
      </c>
      <c r="AL3225" t="s">
        <v>53</v>
      </c>
      <c r="AM3225" t="s">
        <v>53</v>
      </c>
      <c r="AN3225" t="s">
        <v>53</v>
      </c>
      <c r="AO3225" t="s">
        <v>53</v>
      </c>
      <c r="AP3225" t="s">
        <v>53</v>
      </c>
    </row>
    <row r="3226" spans="2:42" x14ac:dyDescent="0.2">
      <c r="B3226" t="s">
        <v>44</v>
      </c>
      <c r="C3226" t="str">
        <f>HYPERLINK("https://us2.cloudbeds.com/connect/8493803454333002#/reservations/25115258511608?display=HSA227M9M&amp;reservation_id=25115258511608", "HSA227M9M")</f>
        <v>HSA227M9M</v>
      </c>
      <c r="D3226" t="s">
        <v>45</v>
      </c>
      <c r="E3226" t="s">
        <v>165</v>
      </c>
      <c r="F3226" t="s">
        <v>61</v>
      </c>
      <c r="G3226" t="s">
        <v>48</v>
      </c>
      <c r="H3226" t="s">
        <v>49</v>
      </c>
      <c r="I3226" t="s">
        <v>50</v>
      </c>
      <c r="J3226" t="s">
        <v>3232</v>
      </c>
      <c r="K3226" t="s">
        <v>1778</v>
      </c>
      <c r="L3226" t="s">
        <v>53</v>
      </c>
      <c r="N3226" t="s">
        <v>5246</v>
      </c>
      <c r="P3226" t="s">
        <v>55</v>
      </c>
      <c r="R3226" t="s">
        <v>53</v>
      </c>
      <c r="T3226" t="s">
        <v>5247</v>
      </c>
      <c r="U3226" t="s">
        <v>58</v>
      </c>
      <c r="V3226">
        <v>1</v>
      </c>
      <c r="W3226">
        <v>1</v>
      </c>
      <c r="X3226">
        <v>2</v>
      </c>
      <c r="Y3226">
        <v>0</v>
      </c>
      <c r="Z3226">
        <v>2</v>
      </c>
      <c r="AA3226">
        <v>0</v>
      </c>
      <c r="AB3226">
        <v>114.56</v>
      </c>
      <c r="AC3226">
        <v>100.8</v>
      </c>
      <c r="AD3226">
        <v>0</v>
      </c>
      <c r="AE3226">
        <v>13.76</v>
      </c>
      <c r="AF3226">
        <v>0</v>
      </c>
      <c r="AG3226">
        <v>0</v>
      </c>
      <c r="AH3226">
        <v>0</v>
      </c>
      <c r="AI3226">
        <v>20.62</v>
      </c>
      <c r="AJ3226">
        <v>114.56</v>
      </c>
      <c r="AK3226">
        <v>0</v>
      </c>
      <c r="AL3226" t="s">
        <v>53</v>
      </c>
      <c r="AM3226" t="s">
        <v>53</v>
      </c>
      <c r="AN3226" t="s">
        <v>5248</v>
      </c>
      <c r="AO3226" t="s">
        <v>53</v>
      </c>
      <c r="AP3226" t="s">
        <v>53</v>
      </c>
    </row>
    <row r="3227" spans="2:42" x14ac:dyDescent="0.2">
      <c r="B3227" t="s">
        <v>44</v>
      </c>
      <c r="C3227" t="str">
        <f>HYPERLINK("https://us2.cloudbeds.com/connect/8493803454333002#/reservations/25118294286575?display=HSCDY2JEG&amp;reservation_id=25118294286575", "HSCDY2JEG")</f>
        <v>HSCDY2JEG</v>
      </c>
      <c r="D3227" t="s">
        <v>45</v>
      </c>
      <c r="E3227" t="s">
        <v>85</v>
      </c>
      <c r="F3227" t="s">
        <v>86</v>
      </c>
      <c r="G3227" t="s">
        <v>48</v>
      </c>
      <c r="H3227" t="s">
        <v>49</v>
      </c>
      <c r="I3227" t="s">
        <v>62</v>
      </c>
      <c r="J3227" t="s">
        <v>1162</v>
      </c>
      <c r="K3227" t="s">
        <v>2449</v>
      </c>
      <c r="L3227" t="s">
        <v>53</v>
      </c>
      <c r="N3227" t="s">
        <v>5249</v>
      </c>
      <c r="P3227" t="s">
        <v>55</v>
      </c>
      <c r="R3227" t="s">
        <v>56</v>
      </c>
      <c r="T3227" t="s">
        <v>5250</v>
      </c>
      <c r="U3227" t="s">
        <v>55</v>
      </c>
      <c r="V3227">
        <v>1</v>
      </c>
      <c r="W3227">
        <v>1</v>
      </c>
      <c r="X3227">
        <v>2</v>
      </c>
      <c r="Y3227">
        <v>0</v>
      </c>
      <c r="Z3227">
        <v>2</v>
      </c>
      <c r="AA3227">
        <v>0</v>
      </c>
      <c r="AB3227">
        <v>135.25</v>
      </c>
      <c r="AC3227">
        <v>119</v>
      </c>
      <c r="AD3227">
        <v>0</v>
      </c>
      <c r="AE3227">
        <v>16.25</v>
      </c>
      <c r="AF3227">
        <v>0</v>
      </c>
      <c r="AG3227">
        <v>0</v>
      </c>
      <c r="AH3227">
        <v>0</v>
      </c>
      <c r="AI3227">
        <v>20.29</v>
      </c>
      <c r="AJ3227">
        <v>135.25</v>
      </c>
      <c r="AK3227">
        <v>0</v>
      </c>
      <c r="AL3227" t="s">
        <v>53</v>
      </c>
      <c r="AM3227" t="s">
        <v>53</v>
      </c>
      <c r="AN3227" t="s">
        <v>53</v>
      </c>
      <c r="AO3227" t="s">
        <v>53</v>
      </c>
      <c r="AP3227" t="s">
        <v>53</v>
      </c>
    </row>
    <row r="3228" spans="2:42" x14ac:dyDescent="0.2">
      <c r="B3228" t="s">
        <v>44</v>
      </c>
      <c r="C3228" t="str">
        <f>HYPERLINK("https://us2.cloudbeds.com/connect/8493803454333002#/reservations/25169716191377?display=HTJ7JCTDV&amp;reservation_id=25169716191377", "HTJ7JCTDV")</f>
        <v>HTJ7JCTDV</v>
      </c>
      <c r="D3228" t="s">
        <v>45</v>
      </c>
      <c r="E3228" t="s">
        <v>265</v>
      </c>
      <c r="F3228" t="s">
        <v>61</v>
      </c>
      <c r="G3228" t="s">
        <v>4520</v>
      </c>
      <c r="H3228" t="s">
        <v>3957</v>
      </c>
      <c r="I3228" t="s">
        <v>3958</v>
      </c>
      <c r="J3228" t="s">
        <v>1381</v>
      </c>
      <c r="K3228" t="s">
        <v>1523</v>
      </c>
      <c r="L3228" t="s">
        <v>53</v>
      </c>
      <c r="P3228" t="s">
        <v>55</v>
      </c>
      <c r="R3228" t="s">
        <v>56</v>
      </c>
      <c r="T3228" t="s">
        <v>5251</v>
      </c>
      <c r="U3228" t="s">
        <v>58</v>
      </c>
      <c r="V3228">
        <v>1</v>
      </c>
      <c r="W3228">
        <v>1</v>
      </c>
      <c r="X3228">
        <v>1</v>
      </c>
      <c r="Y3228">
        <v>0</v>
      </c>
      <c r="Z3228">
        <v>1</v>
      </c>
      <c r="AA3228">
        <v>0</v>
      </c>
      <c r="AB3228">
        <v>139.11000000000001</v>
      </c>
      <c r="AC3228">
        <v>122.4</v>
      </c>
      <c r="AD3228">
        <v>0</v>
      </c>
      <c r="AE3228">
        <v>16.71</v>
      </c>
      <c r="AF3228">
        <v>0</v>
      </c>
      <c r="AG3228">
        <v>0</v>
      </c>
      <c r="AH3228">
        <v>0</v>
      </c>
      <c r="AI3228">
        <v>0</v>
      </c>
      <c r="AJ3228">
        <v>139.11000000000001</v>
      </c>
      <c r="AK3228">
        <v>0</v>
      </c>
      <c r="AL3228" t="s">
        <v>53</v>
      </c>
      <c r="AM3228" t="s">
        <v>53</v>
      </c>
      <c r="AN3228" t="s">
        <v>53</v>
      </c>
      <c r="AO3228" t="s">
        <v>53</v>
      </c>
      <c r="AP3228" t="s">
        <v>53</v>
      </c>
    </row>
    <row r="3229" spans="2:42" x14ac:dyDescent="0.2">
      <c r="B3229" t="s">
        <v>44</v>
      </c>
      <c r="C3229" t="str">
        <f>HYPERLINK("https://us2.cloudbeds.com/connect/8493803454333002#/reservations/25178365612226?display=HTPUJQPY1&amp;reservation_id=25178365612226", "HTPUJQPY1")</f>
        <v>HTPUJQPY1</v>
      </c>
      <c r="D3229" t="s">
        <v>45</v>
      </c>
      <c r="E3229" t="s">
        <v>85</v>
      </c>
      <c r="F3229" t="s">
        <v>86</v>
      </c>
      <c r="G3229" t="s">
        <v>48</v>
      </c>
      <c r="H3229" t="s">
        <v>49</v>
      </c>
      <c r="I3229" t="s">
        <v>50</v>
      </c>
      <c r="J3229" t="s">
        <v>1523</v>
      </c>
      <c r="K3229" t="s">
        <v>2013</v>
      </c>
      <c r="L3229" t="s">
        <v>53</v>
      </c>
      <c r="N3229" t="s">
        <v>5252</v>
      </c>
      <c r="P3229" t="s">
        <v>55</v>
      </c>
      <c r="R3229" t="s">
        <v>53</v>
      </c>
      <c r="T3229" t="s">
        <v>5253</v>
      </c>
      <c r="U3229" t="s">
        <v>58</v>
      </c>
      <c r="V3229">
        <v>1</v>
      </c>
      <c r="W3229">
        <v>1</v>
      </c>
      <c r="X3229">
        <v>2</v>
      </c>
      <c r="Y3229">
        <v>0</v>
      </c>
      <c r="Z3229">
        <v>2</v>
      </c>
      <c r="AA3229">
        <v>0</v>
      </c>
      <c r="AB3229">
        <v>154.56</v>
      </c>
      <c r="AC3229">
        <v>136</v>
      </c>
      <c r="AD3229">
        <v>0</v>
      </c>
      <c r="AE3229">
        <v>18.559999999999999</v>
      </c>
      <c r="AF3229">
        <v>0</v>
      </c>
      <c r="AG3229">
        <v>0</v>
      </c>
      <c r="AH3229">
        <v>0</v>
      </c>
      <c r="AI3229">
        <v>27.82</v>
      </c>
      <c r="AJ3229">
        <v>154.56</v>
      </c>
      <c r="AK3229">
        <v>0</v>
      </c>
      <c r="AL3229" t="s">
        <v>53</v>
      </c>
      <c r="AM3229" t="s">
        <v>53</v>
      </c>
      <c r="AN3229" t="s">
        <v>53</v>
      </c>
      <c r="AO3229" t="s">
        <v>53</v>
      </c>
      <c r="AP3229" t="s">
        <v>53</v>
      </c>
    </row>
    <row r="3230" spans="2:42" x14ac:dyDescent="0.2">
      <c r="B3230" t="s">
        <v>44</v>
      </c>
      <c r="C3230" t="str">
        <f>HYPERLINK("https://us2.cloudbeds.com/connect/8493803454333002#/reservations/25214335410365?display=HUKPNGEA1&amp;reservation_id=25214335410365", "HUKPNGEA1")</f>
        <v>HUKPNGEA1</v>
      </c>
      <c r="D3230" t="s">
        <v>45</v>
      </c>
      <c r="E3230" t="s">
        <v>105</v>
      </c>
      <c r="F3230" t="s">
        <v>47</v>
      </c>
      <c r="G3230" t="s">
        <v>48</v>
      </c>
      <c r="H3230" t="s">
        <v>49</v>
      </c>
      <c r="I3230" t="s">
        <v>62</v>
      </c>
      <c r="J3230" t="s">
        <v>2449</v>
      </c>
      <c r="K3230" t="s">
        <v>1716</v>
      </c>
      <c r="L3230" t="s">
        <v>53</v>
      </c>
      <c r="N3230" t="s">
        <v>5254</v>
      </c>
      <c r="P3230" t="s">
        <v>55</v>
      </c>
      <c r="R3230" t="s">
        <v>56</v>
      </c>
      <c r="T3230" t="s">
        <v>5255</v>
      </c>
      <c r="U3230" t="s">
        <v>55</v>
      </c>
      <c r="V3230">
        <v>1</v>
      </c>
      <c r="W3230">
        <v>1</v>
      </c>
      <c r="X3230">
        <v>2</v>
      </c>
      <c r="Y3230">
        <v>0</v>
      </c>
      <c r="Z3230">
        <v>2</v>
      </c>
      <c r="AA3230">
        <v>0</v>
      </c>
      <c r="AB3230">
        <v>119.34</v>
      </c>
      <c r="AC3230">
        <v>105</v>
      </c>
      <c r="AD3230">
        <v>0</v>
      </c>
      <c r="AE3230">
        <v>14.34</v>
      </c>
      <c r="AF3230">
        <v>0</v>
      </c>
      <c r="AG3230">
        <v>0</v>
      </c>
      <c r="AH3230">
        <v>0</v>
      </c>
      <c r="AI3230">
        <v>17.899999999999999</v>
      </c>
      <c r="AJ3230">
        <v>119.34</v>
      </c>
      <c r="AK3230">
        <v>0</v>
      </c>
      <c r="AL3230" t="s">
        <v>53</v>
      </c>
      <c r="AM3230" t="s">
        <v>53</v>
      </c>
      <c r="AN3230" t="s">
        <v>53</v>
      </c>
      <c r="AO3230" t="s">
        <v>53</v>
      </c>
      <c r="AP3230" t="s">
        <v>53</v>
      </c>
    </row>
    <row r="3231" spans="2:42" x14ac:dyDescent="0.2">
      <c r="B3231" t="s">
        <v>44</v>
      </c>
      <c r="C3231" t="str">
        <f>HYPERLINK("https://us2.cloudbeds.com/connect/8493803454333002#/reservations/25226756632780?display=HUUD3D8G9&amp;reservation_id=25226756632780", "HUUD3D8G9")</f>
        <v>HUUD3D8G9</v>
      </c>
      <c r="D3231" t="s">
        <v>45</v>
      </c>
      <c r="E3231" t="s">
        <v>5256</v>
      </c>
      <c r="F3231" t="s">
        <v>5257</v>
      </c>
      <c r="G3231" t="s">
        <v>48</v>
      </c>
      <c r="H3231" t="s">
        <v>49</v>
      </c>
      <c r="I3231" t="s">
        <v>62</v>
      </c>
      <c r="J3231" t="s">
        <v>5258</v>
      </c>
      <c r="K3231" t="s">
        <v>3414</v>
      </c>
      <c r="L3231" t="s">
        <v>53</v>
      </c>
      <c r="N3231" t="s">
        <v>5259</v>
      </c>
      <c r="P3231" t="s">
        <v>55</v>
      </c>
      <c r="R3231" t="s">
        <v>56</v>
      </c>
      <c r="T3231" t="s">
        <v>5260</v>
      </c>
      <c r="U3231" t="s">
        <v>55</v>
      </c>
      <c r="V3231">
        <v>2</v>
      </c>
      <c r="W3231">
        <v>2</v>
      </c>
      <c r="X3231">
        <v>4</v>
      </c>
      <c r="Y3231">
        <v>0</v>
      </c>
      <c r="Z3231">
        <v>4</v>
      </c>
      <c r="AA3231">
        <v>0</v>
      </c>
      <c r="AB3231">
        <v>201.17</v>
      </c>
      <c r="AC3231">
        <v>177</v>
      </c>
      <c r="AD3231">
        <v>0</v>
      </c>
      <c r="AE3231">
        <v>24.17</v>
      </c>
      <c r="AF3231">
        <v>0</v>
      </c>
      <c r="AG3231">
        <v>0</v>
      </c>
      <c r="AH3231">
        <v>0</v>
      </c>
      <c r="AI3231">
        <v>30.18</v>
      </c>
      <c r="AJ3231">
        <v>201.17</v>
      </c>
      <c r="AK3231">
        <v>0</v>
      </c>
      <c r="AL3231" t="s">
        <v>53</v>
      </c>
      <c r="AM3231" t="s">
        <v>53</v>
      </c>
      <c r="AN3231" t="s">
        <v>53</v>
      </c>
      <c r="AO3231" t="s">
        <v>53</v>
      </c>
      <c r="AP3231" t="s">
        <v>53</v>
      </c>
    </row>
    <row r="3232" spans="2:42" x14ac:dyDescent="0.2">
      <c r="B3232" t="s">
        <v>44</v>
      </c>
      <c r="C3232" t="str">
        <f>HYPERLINK("https://us2.cloudbeds.com/connect/8493803454333002#/reservations/25352030949559?display=X0SD50Q1R&amp;reservation_id=25352030949559", "X0SD50Q1R")</f>
        <v>X0SD50Q1R</v>
      </c>
      <c r="D3232" t="s">
        <v>45</v>
      </c>
      <c r="E3232" t="s">
        <v>98</v>
      </c>
      <c r="F3232" t="s">
        <v>86</v>
      </c>
      <c r="G3232" t="s">
        <v>48</v>
      </c>
      <c r="H3232" t="s">
        <v>49</v>
      </c>
      <c r="I3232" t="s">
        <v>62</v>
      </c>
      <c r="J3232" t="s">
        <v>1523</v>
      </c>
      <c r="K3232" t="s">
        <v>2013</v>
      </c>
      <c r="L3232" t="s">
        <v>53</v>
      </c>
      <c r="N3232" t="s">
        <v>5261</v>
      </c>
      <c r="P3232" t="s">
        <v>55</v>
      </c>
      <c r="R3232" t="s">
        <v>3018</v>
      </c>
      <c r="T3232" t="s">
        <v>5262</v>
      </c>
      <c r="U3232" t="s">
        <v>55</v>
      </c>
      <c r="V3232">
        <v>1</v>
      </c>
      <c r="W3232">
        <v>1</v>
      </c>
      <c r="X3232">
        <v>2</v>
      </c>
      <c r="Y3232">
        <v>2</v>
      </c>
      <c r="Z3232">
        <v>4</v>
      </c>
      <c r="AA3232">
        <v>0</v>
      </c>
      <c r="AB3232">
        <v>154.56</v>
      </c>
      <c r="AC3232">
        <v>136</v>
      </c>
      <c r="AD3232">
        <v>0</v>
      </c>
      <c r="AE3232">
        <v>18.559999999999999</v>
      </c>
      <c r="AF3232">
        <v>0</v>
      </c>
      <c r="AG3232">
        <v>0</v>
      </c>
      <c r="AH3232">
        <v>0</v>
      </c>
      <c r="AI3232">
        <v>23.18</v>
      </c>
      <c r="AJ3232">
        <v>154.56</v>
      </c>
      <c r="AK3232">
        <v>0</v>
      </c>
      <c r="AL3232" t="s">
        <v>53</v>
      </c>
      <c r="AM3232" t="s">
        <v>53</v>
      </c>
      <c r="AN3232" t="s">
        <v>53</v>
      </c>
      <c r="AO3232" t="s">
        <v>53</v>
      </c>
      <c r="AP3232" t="s">
        <v>53</v>
      </c>
    </row>
    <row r="3233" spans="2:42" x14ac:dyDescent="0.2">
      <c r="B3233" t="s">
        <v>44</v>
      </c>
      <c r="C3233" t="str">
        <f>HYPERLINK("https://us2.cloudbeds.com/connect/8493803454333002#/reservations/25402750881995?display=X21M5DMAD&amp;reservation_id=25402750881995", "X21M5DMAD")</f>
        <v>X21M5DMAD</v>
      </c>
      <c r="D3233" t="s">
        <v>45</v>
      </c>
      <c r="E3233" t="s">
        <v>78</v>
      </c>
      <c r="F3233" t="s">
        <v>61</v>
      </c>
      <c r="G3233" t="s">
        <v>48</v>
      </c>
      <c r="H3233" t="s">
        <v>3957</v>
      </c>
      <c r="I3233" t="s">
        <v>3989</v>
      </c>
      <c r="J3233" t="s">
        <v>1523</v>
      </c>
      <c r="K3233" t="s">
        <v>1161</v>
      </c>
      <c r="L3233" t="s">
        <v>53</v>
      </c>
      <c r="P3233" t="s">
        <v>55</v>
      </c>
      <c r="R3233" t="s">
        <v>56</v>
      </c>
      <c r="T3233" t="s">
        <v>5263</v>
      </c>
      <c r="U3233" t="s">
        <v>58</v>
      </c>
      <c r="V3233">
        <v>2</v>
      </c>
      <c r="W3233">
        <v>1</v>
      </c>
      <c r="X3233">
        <v>1</v>
      </c>
      <c r="Y3233">
        <v>0</v>
      </c>
      <c r="Z3233">
        <v>1</v>
      </c>
      <c r="AA3233">
        <v>0</v>
      </c>
      <c r="AB3233">
        <v>288.68</v>
      </c>
      <c r="AC3233">
        <v>254</v>
      </c>
      <c r="AD3233">
        <v>0</v>
      </c>
      <c r="AE3233">
        <v>34.68</v>
      </c>
      <c r="AF3233">
        <v>0</v>
      </c>
      <c r="AG3233">
        <v>0</v>
      </c>
      <c r="AH3233">
        <v>0</v>
      </c>
      <c r="AI3233">
        <v>0</v>
      </c>
      <c r="AJ3233">
        <v>288.68</v>
      </c>
      <c r="AK3233">
        <v>0</v>
      </c>
      <c r="AL3233" t="s">
        <v>53</v>
      </c>
      <c r="AM3233" t="s">
        <v>53</v>
      </c>
      <c r="AN3233" t="s">
        <v>53</v>
      </c>
      <c r="AO3233" t="s">
        <v>53</v>
      </c>
      <c r="AP3233" t="s">
        <v>53</v>
      </c>
    </row>
    <row r="3234" spans="2:42" x14ac:dyDescent="0.2">
      <c r="B3234" t="s">
        <v>44</v>
      </c>
      <c r="C3234" t="str">
        <f>HYPERLINK("https://us2.cloudbeds.com/connect/8493803454333002#/reservations/25432274354338?display=X2ZHXCQTF&amp;reservation_id=25432274354338", "X2ZHXCQTF")</f>
        <v>X2ZHXCQTF</v>
      </c>
      <c r="D3234" t="s">
        <v>45</v>
      </c>
      <c r="E3234" t="s">
        <v>92</v>
      </c>
      <c r="F3234" t="s">
        <v>86</v>
      </c>
      <c r="G3234" t="s">
        <v>48</v>
      </c>
      <c r="H3234" t="s">
        <v>3957</v>
      </c>
      <c r="I3234" t="s">
        <v>3958</v>
      </c>
      <c r="J3234" t="s">
        <v>1523</v>
      </c>
      <c r="K3234" t="s">
        <v>2013</v>
      </c>
      <c r="L3234" t="s">
        <v>53</v>
      </c>
      <c r="P3234" t="s">
        <v>55</v>
      </c>
      <c r="R3234" t="s">
        <v>56</v>
      </c>
      <c r="T3234" t="s">
        <v>5264</v>
      </c>
      <c r="U3234" t="s">
        <v>58</v>
      </c>
      <c r="V3234">
        <v>1</v>
      </c>
      <c r="W3234">
        <v>1</v>
      </c>
      <c r="X3234">
        <v>1</v>
      </c>
      <c r="Y3234">
        <v>0</v>
      </c>
      <c r="Z3234">
        <v>1</v>
      </c>
      <c r="AA3234">
        <v>0</v>
      </c>
      <c r="AB3234">
        <v>154.56</v>
      </c>
      <c r="AC3234">
        <v>136</v>
      </c>
      <c r="AD3234">
        <v>0</v>
      </c>
      <c r="AE3234">
        <v>18.559999999999999</v>
      </c>
      <c r="AF3234">
        <v>0</v>
      </c>
      <c r="AG3234">
        <v>0</v>
      </c>
      <c r="AH3234">
        <v>0</v>
      </c>
      <c r="AI3234">
        <v>0</v>
      </c>
      <c r="AJ3234">
        <v>154.56</v>
      </c>
      <c r="AK3234">
        <v>0</v>
      </c>
      <c r="AL3234" t="s">
        <v>53</v>
      </c>
      <c r="AM3234" t="s">
        <v>53</v>
      </c>
      <c r="AN3234" t="s">
        <v>53</v>
      </c>
      <c r="AO3234" t="s">
        <v>53</v>
      </c>
      <c r="AP3234" t="s">
        <v>53</v>
      </c>
    </row>
    <row r="3235" spans="2:42" x14ac:dyDescent="0.2">
      <c r="B3235" t="s">
        <v>44</v>
      </c>
      <c r="C3235" t="str">
        <f>HYPERLINK("https://us2.cloudbeds.com/connect/8493803454333002#/reservations/25453055787207?display=X37KXRR0E&amp;reservation_id=25453055787207", "X37KXRR0E")</f>
        <v>X37KXRR0E</v>
      </c>
      <c r="D3235" t="s">
        <v>45</v>
      </c>
      <c r="E3235" t="s">
        <v>110</v>
      </c>
      <c r="F3235" t="s">
        <v>47</v>
      </c>
      <c r="G3235" t="s">
        <v>48</v>
      </c>
      <c r="H3235" t="s">
        <v>49</v>
      </c>
      <c r="I3235" t="s">
        <v>62</v>
      </c>
      <c r="J3235" t="s">
        <v>1523</v>
      </c>
      <c r="K3235" t="s">
        <v>2013</v>
      </c>
      <c r="L3235" t="s">
        <v>53</v>
      </c>
      <c r="N3235" t="s">
        <v>5265</v>
      </c>
      <c r="P3235" t="s">
        <v>55</v>
      </c>
      <c r="R3235" t="s">
        <v>56</v>
      </c>
      <c r="T3235" t="s">
        <v>5266</v>
      </c>
      <c r="U3235" t="s">
        <v>55</v>
      </c>
      <c r="V3235">
        <v>1</v>
      </c>
      <c r="W3235">
        <v>1</v>
      </c>
      <c r="X3235">
        <v>2</v>
      </c>
      <c r="Y3235">
        <v>0</v>
      </c>
      <c r="Z3235">
        <v>2</v>
      </c>
      <c r="AA3235">
        <v>0</v>
      </c>
      <c r="AB3235">
        <v>144.34</v>
      </c>
      <c r="AC3235">
        <v>127</v>
      </c>
      <c r="AD3235">
        <v>0</v>
      </c>
      <c r="AE3235">
        <v>17.34</v>
      </c>
      <c r="AF3235">
        <v>0</v>
      </c>
      <c r="AG3235">
        <v>0</v>
      </c>
      <c r="AH3235">
        <v>0</v>
      </c>
      <c r="AI3235">
        <v>21.65</v>
      </c>
      <c r="AJ3235">
        <v>144.34</v>
      </c>
      <c r="AK3235">
        <v>0</v>
      </c>
      <c r="AL3235" t="s">
        <v>53</v>
      </c>
      <c r="AM3235" t="s">
        <v>53</v>
      </c>
      <c r="AN3235" t="s">
        <v>53</v>
      </c>
      <c r="AO3235" t="s">
        <v>53</v>
      </c>
      <c r="AP3235" t="s">
        <v>53</v>
      </c>
    </row>
    <row r="3236" spans="2:42" x14ac:dyDescent="0.2">
      <c r="B3236" t="s">
        <v>44</v>
      </c>
      <c r="C3236" t="str">
        <f>HYPERLINK("https://us2.cloudbeds.com/connect/8493803454333002#/reservations/25486066815104?display=X4062K77V&amp;reservation_id=25486066815104", "X4062K77V")</f>
        <v>X4062K77V</v>
      </c>
      <c r="D3236" t="s">
        <v>45</v>
      </c>
      <c r="E3236" t="s">
        <v>165</v>
      </c>
      <c r="F3236" t="s">
        <v>61</v>
      </c>
      <c r="G3236" t="s">
        <v>48</v>
      </c>
      <c r="H3236" t="s">
        <v>49</v>
      </c>
      <c r="I3236" t="s">
        <v>62</v>
      </c>
      <c r="J3236" t="s">
        <v>4959</v>
      </c>
      <c r="K3236" t="s">
        <v>4181</v>
      </c>
      <c r="L3236" t="s">
        <v>53</v>
      </c>
      <c r="N3236" t="s">
        <v>5267</v>
      </c>
      <c r="P3236" t="s">
        <v>55</v>
      </c>
      <c r="R3236" t="s">
        <v>56</v>
      </c>
      <c r="T3236" t="s">
        <v>5268</v>
      </c>
      <c r="U3236" t="s">
        <v>55</v>
      </c>
      <c r="V3236">
        <v>2</v>
      </c>
      <c r="W3236">
        <v>1</v>
      </c>
      <c r="X3236">
        <v>2</v>
      </c>
      <c r="Y3236">
        <v>0</v>
      </c>
      <c r="Z3236">
        <v>2</v>
      </c>
      <c r="AA3236">
        <v>0</v>
      </c>
      <c r="AB3236">
        <v>175.92</v>
      </c>
      <c r="AC3236">
        <v>154.80000000000001</v>
      </c>
      <c r="AD3236">
        <v>0</v>
      </c>
      <c r="AE3236">
        <v>21.12</v>
      </c>
      <c r="AF3236">
        <v>0</v>
      </c>
      <c r="AG3236">
        <v>0</v>
      </c>
      <c r="AH3236">
        <v>0</v>
      </c>
      <c r="AI3236">
        <v>26.39</v>
      </c>
      <c r="AJ3236">
        <v>175.92</v>
      </c>
      <c r="AK3236">
        <v>0</v>
      </c>
      <c r="AL3236" t="s">
        <v>53</v>
      </c>
      <c r="AM3236" t="s">
        <v>53</v>
      </c>
      <c r="AN3236" t="s">
        <v>53</v>
      </c>
      <c r="AO3236" t="s">
        <v>53</v>
      </c>
      <c r="AP3236" t="s">
        <v>53</v>
      </c>
    </row>
    <row r="3237" spans="2:42" x14ac:dyDescent="0.2">
      <c r="B3237" t="s">
        <v>44</v>
      </c>
      <c r="C3237" t="str">
        <f>HYPERLINK("https://us2.cloudbeds.com/connect/8493803454333002#/reservations/25488857395454?display=X42BCNBB1&amp;reservation_id=25488857395454", "X42BCNBB1")</f>
        <v>X42BCNBB1</v>
      </c>
      <c r="D3237" t="s">
        <v>45</v>
      </c>
      <c r="E3237" t="s">
        <v>190</v>
      </c>
      <c r="F3237" t="s">
        <v>61</v>
      </c>
      <c r="G3237" t="s">
        <v>48</v>
      </c>
      <c r="H3237" t="s">
        <v>49</v>
      </c>
      <c r="I3237" t="s">
        <v>50</v>
      </c>
      <c r="J3237" t="s">
        <v>1523</v>
      </c>
      <c r="K3237" t="s">
        <v>2013</v>
      </c>
      <c r="L3237" t="s">
        <v>53</v>
      </c>
      <c r="N3237" t="s">
        <v>5269</v>
      </c>
      <c r="P3237" t="s">
        <v>55</v>
      </c>
      <c r="R3237" t="s">
        <v>53</v>
      </c>
      <c r="T3237" t="s">
        <v>5270</v>
      </c>
      <c r="U3237" t="s">
        <v>58</v>
      </c>
      <c r="V3237">
        <v>1</v>
      </c>
      <c r="W3237">
        <v>1</v>
      </c>
      <c r="X3237">
        <v>1</v>
      </c>
      <c r="Y3237">
        <v>0</v>
      </c>
      <c r="Z3237">
        <v>1</v>
      </c>
      <c r="AA3237">
        <v>0</v>
      </c>
      <c r="AB3237">
        <v>140.93</v>
      </c>
      <c r="AC3237">
        <v>124</v>
      </c>
      <c r="AD3237">
        <v>0</v>
      </c>
      <c r="AE3237">
        <v>16.93</v>
      </c>
      <c r="AF3237">
        <v>0</v>
      </c>
      <c r="AG3237">
        <v>0</v>
      </c>
      <c r="AH3237">
        <v>0</v>
      </c>
      <c r="AI3237">
        <v>25.37</v>
      </c>
      <c r="AJ3237">
        <v>140.93</v>
      </c>
      <c r="AK3237">
        <v>0</v>
      </c>
      <c r="AL3237" t="s">
        <v>53</v>
      </c>
      <c r="AM3237" t="s">
        <v>53</v>
      </c>
      <c r="AN3237" t="s">
        <v>53</v>
      </c>
      <c r="AO3237" t="s">
        <v>53</v>
      </c>
      <c r="AP3237" t="s">
        <v>53</v>
      </c>
    </row>
    <row r="3238" spans="2:42" x14ac:dyDescent="0.2">
      <c r="B3238" t="s">
        <v>44</v>
      </c>
      <c r="C3238" t="str">
        <f>HYPERLINK("https://us2.cloudbeds.com/connect/8493803454333002#/reservations/25489440739511?display=X42Q9JZQM&amp;reservation_id=25489440739511", "X42Q9JZQM")</f>
        <v>X42Q9JZQM</v>
      </c>
      <c r="D3238" t="s">
        <v>45</v>
      </c>
      <c r="E3238" t="s">
        <v>487</v>
      </c>
      <c r="F3238" t="s">
        <v>61</v>
      </c>
      <c r="G3238" t="s">
        <v>48</v>
      </c>
      <c r="H3238" t="s">
        <v>49</v>
      </c>
      <c r="I3238" t="s">
        <v>50</v>
      </c>
      <c r="J3238" t="s">
        <v>1523</v>
      </c>
      <c r="K3238" t="s">
        <v>2013</v>
      </c>
      <c r="L3238" t="s">
        <v>53</v>
      </c>
      <c r="N3238" t="s">
        <v>5271</v>
      </c>
      <c r="P3238" t="s">
        <v>55</v>
      </c>
      <c r="R3238" t="s">
        <v>53</v>
      </c>
      <c r="T3238" t="s">
        <v>5272</v>
      </c>
      <c r="U3238" t="s">
        <v>58</v>
      </c>
      <c r="V3238">
        <v>1</v>
      </c>
      <c r="W3238">
        <v>1</v>
      </c>
      <c r="X3238">
        <v>1</v>
      </c>
      <c r="Y3238">
        <v>0</v>
      </c>
      <c r="Z3238">
        <v>1</v>
      </c>
      <c r="AA3238">
        <v>0</v>
      </c>
      <c r="AB3238">
        <v>140.93</v>
      </c>
      <c r="AC3238">
        <v>124</v>
      </c>
      <c r="AD3238">
        <v>0</v>
      </c>
      <c r="AE3238">
        <v>16.93</v>
      </c>
      <c r="AF3238">
        <v>0</v>
      </c>
      <c r="AG3238">
        <v>0</v>
      </c>
      <c r="AH3238">
        <v>0</v>
      </c>
      <c r="AI3238">
        <v>25.37</v>
      </c>
      <c r="AJ3238">
        <v>140.93</v>
      </c>
      <c r="AK3238">
        <v>0</v>
      </c>
      <c r="AL3238" t="s">
        <v>53</v>
      </c>
      <c r="AM3238" t="s">
        <v>53</v>
      </c>
      <c r="AN3238" t="s">
        <v>53</v>
      </c>
      <c r="AO3238" t="s">
        <v>53</v>
      </c>
      <c r="AP3238" t="s">
        <v>53</v>
      </c>
    </row>
    <row r="3239" spans="2:42" x14ac:dyDescent="0.2">
      <c r="B3239" t="s">
        <v>44</v>
      </c>
      <c r="C3239" t="str">
        <f>HYPERLINK("https://us2.cloudbeds.com/connect/8493803454333002#/reservations/25490363486348?display=X43GSMHU1&amp;reservation_id=25490363486348", "X43GSMHU1")</f>
        <v>X43GSMHU1</v>
      </c>
      <c r="D3239" t="s">
        <v>45</v>
      </c>
      <c r="E3239" t="s">
        <v>406</v>
      </c>
      <c r="F3239" t="s">
        <v>61</v>
      </c>
      <c r="G3239" t="s">
        <v>48</v>
      </c>
      <c r="H3239" t="s">
        <v>49</v>
      </c>
      <c r="I3239" t="s">
        <v>50</v>
      </c>
      <c r="J3239" t="s">
        <v>1523</v>
      </c>
      <c r="K3239" t="s">
        <v>2013</v>
      </c>
      <c r="L3239" t="s">
        <v>53</v>
      </c>
      <c r="N3239" t="s">
        <v>5273</v>
      </c>
      <c r="P3239" t="s">
        <v>55</v>
      </c>
      <c r="R3239" t="s">
        <v>53</v>
      </c>
      <c r="T3239" t="s">
        <v>5274</v>
      </c>
      <c r="U3239" t="s">
        <v>58</v>
      </c>
      <c r="V3239">
        <v>1</v>
      </c>
      <c r="W3239">
        <v>1</v>
      </c>
      <c r="X3239">
        <v>2</v>
      </c>
      <c r="Y3239">
        <v>0</v>
      </c>
      <c r="Z3239">
        <v>2</v>
      </c>
      <c r="AA3239">
        <v>0</v>
      </c>
      <c r="AB3239">
        <v>140.93</v>
      </c>
      <c r="AC3239">
        <v>124</v>
      </c>
      <c r="AD3239">
        <v>0</v>
      </c>
      <c r="AE3239">
        <v>16.93</v>
      </c>
      <c r="AF3239">
        <v>0</v>
      </c>
      <c r="AG3239">
        <v>0</v>
      </c>
      <c r="AH3239">
        <v>0</v>
      </c>
      <c r="AI3239">
        <v>25.37</v>
      </c>
      <c r="AJ3239">
        <v>140.93</v>
      </c>
      <c r="AK3239">
        <v>0</v>
      </c>
      <c r="AL3239" t="s">
        <v>53</v>
      </c>
      <c r="AM3239" t="s">
        <v>53</v>
      </c>
      <c r="AN3239" t="s">
        <v>53</v>
      </c>
      <c r="AO3239" t="s">
        <v>53</v>
      </c>
      <c r="AP3239" t="s">
        <v>53</v>
      </c>
    </row>
    <row r="3240" spans="2:42" x14ac:dyDescent="0.2">
      <c r="B3240" t="s">
        <v>44</v>
      </c>
      <c r="C3240" t="str">
        <f>HYPERLINK("https://us2.cloudbeds.com/connect/8493803454333002#/reservations/25492856144039?display=X45EXXDPJ&amp;reservation_id=25492856144039", "X45EXXDPJ")</f>
        <v>X45EXXDPJ</v>
      </c>
      <c r="D3240" t="s">
        <v>45</v>
      </c>
      <c r="E3240" t="s">
        <v>305</v>
      </c>
      <c r="F3240" t="s">
        <v>61</v>
      </c>
      <c r="G3240" t="s">
        <v>48</v>
      </c>
      <c r="H3240" t="s">
        <v>3957</v>
      </c>
      <c r="I3240" t="s">
        <v>3958</v>
      </c>
      <c r="J3240" t="s">
        <v>1523</v>
      </c>
      <c r="K3240" t="s">
        <v>2013</v>
      </c>
      <c r="L3240" t="s">
        <v>53</v>
      </c>
      <c r="P3240" t="s">
        <v>55</v>
      </c>
      <c r="R3240" t="s">
        <v>56</v>
      </c>
      <c r="T3240" t="s">
        <v>5275</v>
      </c>
      <c r="U3240" t="s">
        <v>58</v>
      </c>
      <c r="V3240">
        <v>1</v>
      </c>
      <c r="W3240">
        <v>1</v>
      </c>
      <c r="X3240">
        <v>1</v>
      </c>
      <c r="Y3240">
        <v>0</v>
      </c>
      <c r="Z3240">
        <v>1</v>
      </c>
      <c r="AA3240">
        <v>0</v>
      </c>
      <c r="AB3240">
        <v>140.93</v>
      </c>
      <c r="AC3240">
        <v>124</v>
      </c>
      <c r="AD3240">
        <v>0</v>
      </c>
      <c r="AE3240">
        <v>16.93</v>
      </c>
      <c r="AF3240">
        <v>0</v>
      </c>
      <c r="AG3240">
        <v>0</v>
      </c>
      <c r="AH3240">
        <v>0</v>
      </c>
      <c r="AI3240">
        <v>0</v>
      </c>
      <c r="AJ3240">
        <v>140.93</v>
      </c>
      <c r="AK3240">
        <v>0</v>
      </c>
      <c r="AL3240" t="s">
        <v>53</v>
      </c>
      <c r="AM3240" t="s">
        <v>53</v>
      </c>
      <c r="AN3240" t="s">
        <v>53</v>
      </c>
      <c r="AO3240" t="s">
        <v>53</v>
      </c>
      <c r="AP3240" t="s">
        <v>53</v>
      </c>
    </row>
    <row r="3241" spans="2:42" x14ac:dyDescent="0.2">
      <c r="B3241" t="s">
        <v>44</v>
      </c>
      <c r="C3241" t="str">
        <f>HYPERLINK("https://us2.cloudbeds.com/connect/8493803454333002#/reservations/25499540402411?display=X4AKBTP2J&amp;reservation_id=25499540402411", "X4AKBTP2J")</f>
        <v>X4AKBTP2J</v>
      </c>
      <c r="D3241" t="s">
        <v>45</v>
      </c>
      <c r="E3241" t="s">
        <v>265</v>
      </c>
      <c r="F3241" t="s">
        <v>61</v>
      </c>
      <c r="G3241" t="s">
        <v>48</v>
      </c>
      <c r="H3241" t="s">
        <v>3957</v>
      </c>
      <c r="I3241" t="s">
        <v>3958</v>
      </c>
      <c r="J3241" t="s">
        <v>1523</v>
      </c>
      <c r="K3241" t="s">
        <v>2013</v>
      </c>
      <c r="L3241" t="s">
        <v>53</v>
      </c>
      <c r="P3241" t="s">
        <v>58</v>
      </c>
      <c r="R3241" t="s">
        <v>56</v>
      </c>
      <c r="T3241" t="s">
        <v>5276</v>
      </c>
      <c r="U3241" t="s">
        <v>58</v>
      </c>
      <c r="V3241">
        <v>1</v>
      </c>
      <c r="W3241">
        <v>1</v>
      </c>
      <c r="X3241">
        <v>1</v>
      </c>
      <c r="Y3241">
        <v>0</v>
      </c>
      <c r="Z3241">
        <v>1</v>
      </c>
      <c r="AA3241">
        <v>0</v>
      </c>
      <c r="AB3241">
        <v>140.93</v>
      </c>
      <c r="AC3241">
        <v>124</v>
      </c>
      <c r="AD3241">
        <v>0</v>
      </c>
      <c r="AE3241">
        <v>16.93</v>
      </c>
      <c r="AF3241">
        <v>0</v>
      </c>
      <c r="AG3241">
        <v>0</v>
      </c>
      <c r="AH3241">
        <v>0</v>
      </c>
      <c r="AI3241">
        <v>0</v>
      </c>
      <c r="AJ3241">
        <v>140.93</v>
      </c>
      <c r="AK3241">
        <v>0</v>
      </c>
      <c r="AL3241" t="s">
        <v>53</v>
      </c>
      <c r="AM3241" t="s">
        <v>53</v>
      </c>
      <c r="AN3241" t="s">
        <v>53</v>
      </c>
      <c r="AO3241" t="s">
        <v>53</v>
      </c>
      <c r="AP3241" t="s">
        <v>53</v>
      </c>
    </row>
    <row r="3242" spans="2:42" x14ac:dyDescent="0.2">
      <c r="B3242" t="s">
        <v>44</v>
      </c>
      <c r="C3242" t="str">
        <f>HYPERLINK("https://us2.cloudbeds.com/connect/8493803454333002#/reservations/25500239249568?display=X4B576705&amp;reservation_id=25500239249568", "X4B576705")</f>
        <v>X4B576705</v>
      </c>
      <c r="D3242" t="s">
        <v>45</v>
      </c>
      <c r="E3242" t="s">
        <v>223</v>
      </c>
      <c r="F3242" t="s">
        <v>47</v>
      </c>
      <c r="G3242" t="s">
        <v>48</v>
      </c>
      <c r="H3242" t="s">
        <v>3957</v>
      </c>
      <c r="I3242" t="s">
        <v>3958</v>
      </c>
      <c r="J3242" t="s">
        <v>1523</v>
      </c>
      <c r="K3242" t="s">
        <v>2013</v>
      </c>
      <c r="L3242" t="s">
        <v>53</v>
      </c>
      <c r="P3242" t="s">
        <v>58</v>
      </c>
      <c r="R3242" t="s">
        <v>56</v>
      </c>
      <c r="T3242" t="s">
        <v>5277</v>
      </c>
      <c r="U3242" t="s">
        <v>58</v>
      </c>
      <c r="V3242">
        <v>1</v>
      </c>
      <c r="W3242">
        <v>1</v>
      </c>
      <c r="X3242">
        <v>1</v>
      </c>
      <c r="Y3242">
        <v>0</v>
      </c>
      <c r="Z3242">
        <v>1</v>
      </c>
      <c r="AA3242">
        <v>0</v>
      </c>
      <c r="AB3242">
        <v>144.34</v>
      </c>
      <c r="AC3242">
        <v>127</v>
      </c>
      <c r="AD3242">
        <v>0</v>
      </c>
      <c r="AE3242">
        <v>17.34</v>
      </c>
      <c r="AF3242">
        <v>0</v>
      </c>
      <c r="AG3242">
        <v>0</v>
      </c>
      <c r="AH3242">
        <v>0</v>
      </c>
      <c r="AI3242">
        <v>0</v>
      </c>
      <c r="AJ3242">
        <v>144.34</v>
      </c>
      <c r="AK3242">
        <v>0</v>
      </c>
      <c r="AL3242" t="s">
        <v>53</v>
      </c>
      <c r="AM3242" t="s">
        <v>53</v>
      </c>
      <c r="AN3242" t="s">
        <v>53</v>
      </c>
      <c r="AO3242" t="s">
        <v>53</v>
      </c>
      <c r="AP3242" t="s">
        <v>53</v>
      </c>
    </row>
    <row r="3243" spans="2:42" x14ac:dyDescent="0.2">
      <c r="B3243" t="s">
        <v>44</v>
      </c>
      <c r="C3243" t="str">
        <f>HYPERLINK("https://us2.cloudbeds.com/connect/8493803454333002#/reservations/25511138283696?display=X4JJNHTQK&amp;reservation_id=25511138283696", "X4JJNHTQK")</f>
        <v>X4JJNHTQK</v>
      </c>
      <c r="D3243" t="s">
        <v>45</v>
      </c>
      <c r="E3243" t="s">
        <v>381</v>
      </c>
      <c r="F3243" t="s">
        <v>47</v>
      </c>
      <c r="G3243" t="s">
        <v>48</v>
      </c>
      <c r="H3243" t="s">
        <v>49</v>
      </c>
      <c r="I3243" t="s">
        <v>50</v>
      </c>
      <c r="J3243" t="s">
        <v>1523</v>
      </c>
      <c r="K3243" t="s">
        <v>2013</v>
      </c>
      <c r="L3243" t="s">
        <v>53</v>
      </c>
      <c r="N3243" t="s">
        <v>5278</v>
      </c>
      <c r="P3243" t="s">
        <v>55</v>
      </c>
      <c r="R3243" t="s">
        <v>53</v>
      </c>
      <c r="T3243" t="s">
        <v>5279</v>
      </c>
      <c r="U3243" t="s">
        <v>58</v>
      </c>
      <c r="V3243">
        <v>1</v>
      </c>
      <c r="W3243">
        <v>1</v>
      </c>
      <c r="X3243">
        <v>2</v>
      </c>
      <c r="Y3243">
        <v>0</v>
      </c>
      <c r="Z3243">
        <v>2</v>
      </c>
      <c r="AA3243">
        <v>0</v>
      </c>
      <c r="AB3243">
        <v>144.34</v>
      </c>
      <c r="AC3243">
        <v>127</v>
      </c>
      <c r="AD3243">
        <v>0</v>
      </c>
      <c r="AE3243">
        <v>17.34</v>
      </c>
      <c r="AF3243">
        <v>0</v>
      </c>
      <c r="AG3243">
        <v>0</v>
      </c>
      <c r="AH3243">
        <v>0</v>
      </c>
      <c r="AI3243">
        <v>25.98</v>
      </c>
      <c r="AJ3243">
        <v>144.34</v>
      </c>
      <c r="AK3243">
        <v>0</v>
      </c>
      <c r="AL3243" t="s">
        <v>53</v>
      </c>
      <c r="AM3243" t="s">
        <v>53</v>
      </c>
      <c r="AN3243" t="s">
        <v>53</v>
      </c>
      <c r="AO3243" t="s">
        <v>53</v>
      </c>
      <c r="AP3243" t="s">
        <v>53</v>
      </c>
    </row>
    <row r="3244" spans="2:42" x14ac:dyDescent="0.2">
      <c r="B3244" t="s">
        <v>44</v>
      </c>
      <c r="C3244" t="str">
        <f>HYPERLINK("https://us2.cloudbeds.com/connect/8493803454333002#/reservations/25757091180724?display=XAC1CHR6C&amp;reservation_id=25757091180724", "XAC1CHR6C")</f>
        <v>XAC1CHR6C</v>
      </c>
      <c r="D3244" t="s">
        <v>45</v>
      </c>
      <c r="E3244" t="s">
        <v>165</v>
      </c>
      <c r="F3244" t="s">
        <v>61</v>
      </c>
      <c r="G3244" t="s">
        <v>48</v>
      </c>
      <c r="H3244" t="s">
        <v>49</v>
      </c>
      <c r="I3244" t="s">
        <v>50</v>
      </c>
      <c r="J3244" t="s">
        <v>1716</v>
      </c>
      <c r="K3244" t="s">
        <v>1258</v>
      </c>
      <c r="L3244" t="s">
        <v>53</v>
      </c>
      <c r="N3244" t="s">
        <v>5280</v>
      </c>
      <c r="P3244" t="s">
        <v>55</v>
      </c>
      <c r="R3244" t="s">
        <v>53</v>
      </c>
      <c r="T3244" t="s">
        <v>5281</v>
      </c>
      <c r="U3244" t="s">
        <v>58</v>
      </c>
      <c r="V3244">
        <v>1</v>
      </c>
      <c r="W3244">
        <v>1</v>
      </c>
      <c r="X3244">
        <v>2</v>
      </c>
      <c r="Y3244">
        <v>0</v>
      </c>
      <c r="Z3244">
        <v>2</v>
      </c>
      <c r="AA3244">
        <v>0</v>
      </c>
      <c r="AB3244">
        <v>127.29</v>
      </c>
      <c r="AC3244">
        <v>112</v>
      </c>
      <c r="AD3244">
        <v>0</v>
      </c>
      <c r="AE3244">
        <v>15.29</v>
      </c>
      <c r="AF3244">
        <v>0</v>
      </c>
      <c r="AG3244">
        <v>0</v>
      </c>
      <c r="AH3244">
        <v>0</v>
      </c>
      <c r="AI3244">
        <v>22.91</v>
      </c>
      <c r="AJ3244">
        <v>127.29</v>
      </c>
      <c r="AK3244">
        <v>0</v>
      </c>
      <c r="AL3244" t="s">
        <v>53</v>
      </c>
      <c r="AM3244" t="s">
        <v>53</v>
      </c>
      <c r="AN3244" t="s">
        <v>53</v>
      </c>
      <c r="AO3244" t="s">
        <v>53</v>
      </c>
      <c r="AP3244" t="s">
        <v>53</v>
      </c>
    </row>
    <row r="3245" spans="2:42" x14ac:dyDescent="0.2">
      <c r="B3245" t="s">
        <v>44</v>
      </c>
      <c r="C3245" t="str">
        <f>HYPERLINK("https://us2.cloudbeds.com/connect/8493803454333002#/reservations/25763789230279?display=XAH7HGUJ0&amp;reservation_id=25763789230279", "XAH7HGUJ0")</f>
        <v>XAH7HGUJ0</v>
      </c>
      <c r="D3245" t="s">
        <v>45</v>
      </c>
      <c r="E3245" t="s">
        <v>487</v>
      </c>
      <c r="F3245" t="s">
        <v>61</v>
      </c>
      <c r="G3245" t="s">
        <v>48</v>
      </c>
      <c r="H3245" t="s">
        <v>49</v>
      </c>
      <c r="I3245" t="s">
        <v>62</v>
      </c>
      <c r="J3245" t="s">
        <v>2013</v>
      </c>
      <c r="K3245" t="s">
        <v>1161</v>
      </c>
      <c r="L3245" t="s">
        <v>53</v>
      </c>
      <c r="N3245" t="s">
        <v>5282</v>
      </c>
      <c r="P3245" t="s">
        <v>55</v>
      </c>
      <c r="R3245" t="s">
        <v>56</v>
      </c>
      <c r="T3245" t="s">
        <v>5283</v>
      </c>
      <c r="U3245" t="s">
        <v>55</v>
      </c>
      <c r="V3245">
        <v>1</v>
      </c>
      <c r="W3245">
        <v>1</v>
      </c>
      <c r="X3245">
        <v>2</v>
      </c>
      <c r="Y3245">
        <v>0</v>
      </c>
      <c r="Z3245">
        <v>2</v>
      </c>
      <c r="AA3245">
        <v>0</v>
      </c>
      <c r="AB3245">
        <v>185.26</v>
      </c>
      <c r="AC3245">
        <v>163</v>
      </c>
      <c r="AD3245">
        <v>0</v>
      </c>
      <c r="AE3245">
        <v>22.26</v>
      </c>
      <c r="AF3245">
        <v>0</v>
      </c>
      <c r="AG3245">
        <v>0</v>
      </c>
      <c r="AH3245">
        <v>0</v>
      </c>
      <c r="AI3245">
        <v>27.79</v>
      </c>
      <c r="AJ3245">
        <v>185.26</v>
      </c>
      <c r="AK3245">
        <v>0</v>
      </c>
      <c r="AL3245" t="s">
        <v>53</v>
      </c>
      <c r="AM3245" t="s">
        <v>53</v>
      </c>
      <c r="AN3245" t="s">
        <v>53</v>
      </c>
      <c r="AO3245" t="s">
        <v>53</v>
      </c>
      <c r="AP3245" t="s">
        <v>53</v>
      </c>
    </row>
    <row r="3246" spans="2:42" x14ac:dyDescent="0.2">
      <c r="B3246" t="s">
        <v>44</v>
      </c>
      <c r="C3246" t="str">
        <f>HYPERLINK("https://us2.cloudbeds.com/connect/8493803454333002#/reservations/25768014880935?display=XAKGGMT6T&amp;reservation_id=25768014880935", "XAKGGMT6T")</f>
        <v>XAKGGMT6T</v>
      </c>
      <c r="D3246" t="s">
        <v>45</v>
      </c>
      <c r="E3246" t="s">
        <v>92</v>
      </c>
      <c r="F3246" t="s">
        <v>86</v>
      </c>
      <c r="G3246" t="s">
        <v>48</v>
      </c>
      <c r="H3246" t="s">
        <v>49</v>
      </c>
      <c r="I3246" t="s">
        <v>62</v>
      </c>
      <c r="J3246" t="s">
        <v>2013</v>
      </c>
      <c r="K3246" t="s">
        <v>1161</v>
      </c>
      <c r="L3246" t="s">
        <v>53</v>
      </c>
      <c r="N3246" t="s">
        <v>5284</v>
      </c>
      <c r="P3246" t="s">
        <v>55</v>
      </c>
      <c r="R3246" t="s">
        <v>56</v>
      </c>
      <c r="T3246" t="s">
        <v>5285</v>
      </c>
      <c r="U3246" t="s">
        <v>55</v>
      </c>
      <c r="V3246">
        <v>1</v>
      </c>
      <c r="W3246">
        <v>1</v>
      </c>
      <c r="X3246">
        <v>3</v>
      </c>
      <c r="Y3246">
        <v>1</v>
      </c>
      <c r="Z3246">
        <v>4</v>
      </c>
      <c r="AA3246">
        <v>0</v>
      </c>
      <c r="AB3246">
        <v>193.21</v>
      </c>
      <c r="AC3246">
        <v>170</v>
      </c>
      <c r="AD3246">
        <v>0</v>
      </c>
      <c r="AE3246">
        <v>23.21</v>
      </c>
      <c r="AF3246">
        <v>0</v>
      </c>
      <c r="AG3246">
        <v>0</v>
      </c>
      <c r="AH3246">
        <v>0</v>
      </c>
      <c r="AI3246">
        <v>28.98</v>
      </c>
      <c r="AJ3246">
        <v>193.21</v>
      </c>
      <c r="AK3246">
        <v>0</v>
      </c>
      <c r="AL3246" t="s">
        <v>53</v>
      </c>
      <c r="AM3246" t="s">
        <v>53</v>
      </c>
      <c r="AN3246" t="s">
        <v>53</v>
      </c>
      <c r="AO3246" t="s">
        <v>53</v>
      </c>
      <c r="AP3246" t="s">
        <v>53</v>
      </c>
    </row>
    <row r="3247" spans="2:42" x14ac:dyDescent="0.2">
      <c r="B3247" t="s">
        <v>44</v>
      </c>
      <c r="C3247" t="str">
        <f>HYPERLINK("https://us2.cloudbeds.com/connect/8493803454333002#/reservations/25791716131042?display=XB5S473X3&amp;reservation_id=25791716131042", "XB5S473X3")</f>
        <v>XB5S473X3</v>
      </c>
      <c r="D3247" t="s">
        <v>45</v>
      </c>
      <c r="E3247" t="s">
        <v>406</v>
      </c>
      <c r="F3247" t="s">
        <v>61</v>
      </c>
      <c r="G3247" t="s">
        <v>48</v>
      </c>
      <c r="H3247" t="s">
        <v>49</v>
      </c>
      <c r="I3247" t="s">
        <v>62</v>
      </c>
      <c r="J3247" t="s">
        <v>2013</v>
      </c>
      <c r="K3247" t="s">
        <v>1161</v>
      </c>
      <c r="L3247" t="s">
        <v>53</v>
      </c>
      <c r="N3247" t="s">
        <v>5286</v>
      </c>
      <c r="P3247" t="s">
        <v>55</v>
      </c>
      <c r="R3247" t="s">
        <v>56</v>
      </c>
      <c r="T3247" t="s">
        <v>5287</v>
      </c>
      <c r="U3247" t="s">
        <v>55</v>
      </c>
      <c r="V3247">
        <v>1</v>
      </c>
      <c r="W3247">
        <v>1</v>
      </c>
      <c r="X3247">
        <v>2</v>
      </c>
      <c r="Y3247">
        <v>0</v>
      </c>
      <c r="Z3247">
        <v>2</v>
      </c>
      <c r="AA3247">
        <v>0</v>
      </c>
      <c r="AB3247">
        <v>185.26</v>
      </c>
      <c r="AC3247">
        <v>163</v>
      </c>
      <c r="AD3247">
        <v>0</v>
      </c>
      <c r="AE3247">
        <v>22.26</v>
      </c>
      <c r="AF3247">
        <v>0</v>
      </c>
      <c r="AG3247">
        <v>0</v>
      </c>
      <c r="AH3247">
        <v>0</v>
      </c>
      <c r="AI3247">
        <v>27.79</v>
      </c>
      <c r="AJ3247">
        <v>185.26</v>
      </c>
      <c r="AK3247">
        <v>0</v>
      </c>
      <c r="AL3247" t="s">
        <v>53</v>
      </c>
      <c r="AM3247" t="s">
        <v>53</v>
      </c>
      <c r="AN3247" t="s">
        <v>53</v>
      </c>
      <c r="AO3247" t="s">
        <v>53</v>
      </c>
      <c r="AP3247" t="s">
        <v>53</v>
      </c>
    </row>
    <row r="3248" spans="2:42" x14ac:dyDescent="0.2">
      <c r="B3248" t="s">
        <v>44</v>
      </c>
      <c r="C3248" t="str">
        <f>HYPERLINK("https://us2.cloudbeds.com/connect/8493803454333002#/reservations/25796280832192?display=XB9CP9HK6&amp;reservation_id=25796280832192", "XB9CP9HK6")</f>
        <v>XB9CP9HK6</v>
      </c>
      <c r="D3248" t="s">
        <v>45</v>
      </c>
      <c r="E3248" t="s">
        <v>110</v>
      </c>
      <c r="F3248" t="s">
        <v>47</v>
      </c>
      <c r="G3248" t="s">
        <v>48</v>
      </c>
      <c r="H3248" t="s">
        <v>49</v>
      </c>
      <c r="I3248" t="s">
        <v>50</v>
      </c>
      <c r="J3248" t="s">
        <v>1162</v>
      </c>
      <c r="K3248" t="s">
        <v>1258</v>
      </c>
      <c r="L3248" t="s">
        <v>53</v>
      </c>
      <c r="N3248" t="s">
        <v>5288</v>
      </c>
      <c r="P3248" t="s">
        <v>55</v>
      </c>
      <c r="R3248" t="s">
        <v>53</v>
      </c>
      <c r="T3248" t="s">
        <v>5289</v>
      </c>
      <c r="U3248" t="s">
        <v>58</v>
      </c>
      <c r="V3248">
        <v>3</v>
      </c>
      <c r="W3248">
        <v>1</v>
      </c>
      <c r="X3248">
        <v>2</v>
      </c>
      <c r="Y3248">
        <v>0</v>
      </c>
      <c r="Z3248">
        <v>2</v>
      </c>
      <c r="AA3248">
        <v>0</v>
      </c>
      <c r="AB3248">
        <v>358.02</v>
      </c>
      <c r="AC3248">
        <v>315</v>
      </c>
      <c r="AD3248">
        <v>0</v>
      </c>
      <c r="AE3248">
        <v>43.02</v>
      </c>
      <c r="AF3248">
        <v>0</v>
      </c>
      <c r="AG3248">
        <v>0</v>
      </c>
      <c r="AH3248">
        <v>0</v>
      </c>
      <c r="AI3248">
        <v>64.44</v>
      </c>
      <c r="AJ3248">
        <v>358.02</v>
      </c>
      <c r="AK3248">
        <v>0</v>
      </c>
      <c r="AL3248" t="s">
        <v>53</v>
      </c>
      <c r="AM3248" t="s">
        <v>53</v>
      </c>
      <c r="AN3248" t="s">
        <v>53</v>
      </c>
      <c r="AO3248" t="s">
        <v>53</v>
      </c>
      <c r="AP3248" t="s">
        <v>53</v>
      </c>
    </row>
    <row r="3249" spans="2:42" x14ac:dyDescent="0.2">
      <c r="B3249" t="s">
        <v>44</v>
      </c>
      <c r="C3249" t="str">
        <f>HYPERLINK("https://us2.cloudbeds.com/connect/8493803454333002#/reservations/25804903088257?display=XBG22QKR6&amp;reservation_id=25804903088257", "XBG22QKR6")</f>
        <v>XBG22QKR6</v>
      </c>
      <c r="D3249" t="s">
        <v>45</v>
      </c>
      <c r="E3249" t="s">
        <v>305</v>
      </c>
      <c r="F3249" t="s">
        <v>61</v>
      </c>
      <c r="G3249" t="s">
        <v>48</v>
      </c>
      <c r="H3249" t="s">
        <v>49</v>
      </c>
      <c r="I3249" t="s">
        <v>62</v>
      </c>
      <c r="J3249" t="s">
        <v>2013</v>
      </c>
      <c r="K3249" t="s">
        <v>1161</v>
      </c>
      <c r="L3249" t="s">
        <v>53</v>
      </c>
      <c r="N3249" t="s">
        <v>5290</v>
      </c>
      <c r="P3249" t="s">
        <v>55</v>
      </c>
      <c r="R3249" t="s">
        <v>56</v>
      </c>
      <c r="T3249" t="s">
        <v>5291</v>
      </c>
      <c r="U3249" t="s">
        <v>55</v>
      </c>
      <c r="V3249">
        <v>1</v>
      </c>
      <c r="W3249">
        <v>1</v>
      </c>
      <c r="X3249">
        <v>2</v>
      </c>
      <c r="Y3249">
        <v>0</v>
      </c>
      <c r="Z3249">
        <v>2</v>
      </c>
      <c r="AA3249">
        <v>0</v>
      </c>
      <c r="AB3249">
        <v>185.26</v>
      </c>
      <c r="AC3249">
        <v>163</v>
      </c>
      <c r="AD3249">
        <v>0</v>
      </c>
      <c r="AE3249">
        <v>22.26</v>
      </c>
      <c r="AF3249">
        <v>0</v>
      </c>
      <c r="AG3249">
        <v>0</v>
      </c>
      <c r="AH3249">
        <v>0</v>
      </c>
      <c r="AI3249">
        <v>27.79</v>
      </c>
      <c r="AJ3249">
        <v>185.26</v>
      </c>
      <c r="AK3249">
        <v>0</v>
      </c>
      <c r="AL3249" t="s">
        <v>53</v>
      </c>
      <c r="AM3249" t="s">
        <v>53</v>
      </c>
      <c r="AN3249" t="s">
        <v>53</v>
      </c>
      <c r="AO3249" t="s">
        <v>53</v>
      </c>
      <c r="AP3249" t="s">
        <v>53</v>
      </c>
    </row>
    <row r="3250" spans="2:42" x14ac:dyDescent="0.2">
      <c r="B3250" t="s">
        <v>44</v>
      </c>
      <c r="C3250" t="str">
        <f>HYPERLINK("https://us2.cloudbeds.com/connect/8493803454333002#/reservations/25814364651722?display=XBNCS1J6J&amp;reservation_id=25814364651722", "XBNCS1J6J")</f>
        <v>XBNCS1J6J</v>
      </c>
      <c r="D3250" t="s">
        <v>45</v>
      </c>
      <c r="E3250" t="s">
        <v>265</v>
      </c>
      <c r="F3250" t="s">
        <v>61</v>
      </c>
      <c r="G3250" t="s">
        <v>48</v>
      </c>
      <c r="H3250" t="s">
        <v>49</v>
      </c>
      <c r="I3250" t="s">
        <v>62</v>
      </c>
      <c r="J3250" t="s">
        <v>2013</v>
      </c>
      <c r="K3250" t="s">
        <v>2014</v>
      </c>
      <c r="L3250" t="s">
        <v>53</v>
      </c>
      <c r="N3250" t="s">
        <v>5292</v>
      </c>
      <c r="P3250" t="s">
        <v>55</v>
      </c>
      <c r="R3250" t="s">
        <v>56</v>
      </c>
      <c r="T3250" t="s">
        <v>5293</v>
      </c>
      <c r="U3250" t="s">
        <v>55</v>
      </c>
      <c r="V3250">
        <v>2</v>
      </c>
      <c r="W3250">
        <v>1</v>
      </c>
      <c r="X3250">
        <v>1</v>
      </c>
      <c r="Y3250">
        <v>1</v>
      </c>
      <c r="Z3250">
        <v>2</v>
      </c>
      <c r="AA3250">
        <v>0</v>
      </c>
      <c r="AB3250">
        <v>370.52</v>
      </c>
      <c r="AC3250">
        <v>326</v>
      </c>
      <c r="AD3250">
        <v>0</v>
      </c>
      <c r="AE3250">
        <v>44.52</v>
      </c>
      <c r="AF3250">
        <v>0</v>
      </c>
      <c r="AG3250">
        <v>0</v>
      </c>
      <c r="AH3250">
        <v>0</v>
      </c>
      <c r="AI3250">
        <v>55.58</v>
      </c>
      <c r="AJ3250">
        <v>370.52</v>
      </c>
      <c r="AK3250">
        <v>0</v>
      </c>
      <c r="AL3250" t="s">
        <v>53</v>
      </c>
      <c r="AM3250" t="s">
        <v>53</v>
      </c>
      <c r="AN3250" t="s">
        <v>53</v>
      </c>
      <c r="AO3250" t="s">
        <v>53</v>
      </c>
      <c r="AP3250" t="s">
        <v>53</v>
      </c>
    </row>
    <row r="3251" spans="2:42" x14ac:dyDescent="0.2">
      <c r="B3251" t="s">
        <v>44</v>
      </c>
      <c r="C3251" t="str">
        <f>HYPERLINK("https://us2.cloudbeds.com/connect/8493803454333002#/reservations/25833035751616?display=XC4RV0BF9&amp;reservation_id=25833035751616", "XC4RV0BF9")</f>
        <v>XC4RV0BF9</v>
      </c>
      <c r="D3251" t="s">
        <v>45</v>
      </c>
      <c r="E3251" t="s">
        <v>113</v>
      </c>
      <c r="F3251" t="s">
        <v>61</v>
      </c>
      <c r="G3251" t="s">
        <v>48</v>
      </c>
      <c r="H3251" t="s">
        <v>49</v>
      </c>
      <c r="I3251" t="s">
        <v>50</v>
      </c>
      <c r="J3251" t="s">
        <v>1161</v>
      </c>
      <c r="K3251" t="s">
        <v>1162</v>
      </c>
      <c r="L3251" t="s">
        <v>53</v>
      </c>
      <c r="N3251" t="s">
        <v>5294</v>
      </c>
      <c r="P3251" t="s">
        <v>55</v>
      </c>
      <c r="R3251" t="s">
        <v>53</v>
      </c>
      <c r="T3251" t="s">
        <v>5295</v>
      </c>
      <c r="U3251" t="s">
        <v>58</v>
      </c>
      <c r="V3251">
        <v>2</v>
      </c>
      <c r="W3251">
        <v>1</v>
      </c>
      <c r="X3251">
        <v>2</v>
      </c>
      <c r="Y3251">
        <v>0</v>
      </c>
      <c r="Z3251">
        <v>2</v>
      </c>
      <c r="AA3251">
        <v>0</v>
      </c>
      <c r="AB3251">
        <v>343.24</v>
      </c>
      <c r="AC3251">
        <v>302</v>
      </c>
      <c r="AD3251">
        <v>0</v>
      </c>
      <c r="AE3251">
        <v>41.24</v>
      </c>
      <c r="AF3251">
        <v>0</v>
      </c>
      <c r="AG3251">
        <v>0</v>
      </c>
      <c r="AH3251">
        <v>0</v>
      </c>
      <c r="AI3251">
        <v>61.78</v>
      </c>
      <c r="AJ3251">
        <v>343.24</v>
      </c>
      <c r="AK3251">
        <v>0</v>
      </c>
      <c r="AL3251" t="s">
        <v>53</v>
      </c>
      <c r="AM3251" t="s">
        <v>53</v>
      </c>
      <c r="AN3251" t="s">
        <v>53</v>
      </c>
      <c r="AO3251" t="s">
        <v>53</v>
      </c>
      <c r="AP3251" t="s">
        <v>53</v>
      </c>
    </row>
    <row r="3252" spans="2:42" x14ac:dyDescent="0.2">
      <c r="B3252" t="s">
        <v>44</v>
      </c>
      <c r="C3252" t="str">
        <f>HYPERLINK("https://us2.cloudbeds.com/connect/8493803454333002#/reservations/25848020570331?display=XCGERK492&amp;reservation_id=25848020570331", "XCGERK492")</f>
        <v>XCGERK492</v>
      </c>
      <c r="D3252" t="s">
        <v>45</v>
      </c>
      <c r="E3252" t="s">
        <v>138</v>
      </c>
      <c r="F3252" t="s">
        <v>70</v>
      </c>
      <c r="G3252" t="s">
        <v>48</v>
      </c>
      <c r="H3252" t="s">
        <v>49</v>
      </c>
      <c r="I3252" t="s">
        <v>62</v>
      </c>
      <c r="J3252" t="s">
        <v>4194</v>
      </c>
      <c r="K3252" t="s">
        <v>4736</v>
      </c>
      <c r="L3252" t="s">
        <v>53</v>
      </c>
      <c r="N3252" t="s">
        <v>5296</v>
      </c>
      <c r="P3252" t="s">
        <v>55</v>
      </c>
      <c r="R3252" t="s">
        <v>56</v>
      </c>
      <c r="T3252" t="s">
        <v>5297</v>
      </c>
      <c r="U3252" t="s">
        <v>55</v>
      </c>
      <c r="V3252">
        <v>1</v>
      </c>
      <c r="W3252">
        <v>1</v>
      </c>
      <c r="X3252">
        <v>2</v>
      </c>
      <c r="Y3252">
        <v>0</v>
      </c>
      <c r="Z3252">
        <v>2</v>
      </c>
      <c r="AA3252">
        <v>0</v>
      </c>
      <c r="AB3252">
        <v>103.31</v>
      </c>
      <c r="AC3252">
        <v>90.9</v>
      </c>
      <c r="AD3252">
        <v>0</v>
      </c>
      <c r="AE3252">
        <v>12.41</v>
      </c>
      <c r="AF3252">
        <v>0</v>
      </c>
      <c r="AG3252">
        <v>0</v>
      </c>
      <c r="AH3252">
        <v>0</v>
      </c>
      <c r="AI3252">
        <v>15.5</v>
      </c>
      <c r="AJ3252">
        <v>103.31</v>
      </c>
      <c r="AK3252">
        <v>0</v>
      </c>
      <c r="AL3252" t="s">
        <v>53</v>
      </c>
      <c r="AM3252" t="s">
        <v>53</v>
      </c>
      <c r="AN3252" t="s">
        <v>53</v>
      </c>
      <c r="AO3252" t="s">
        <v>53</v>
      </c>
      <c r="AP3252" t="s">
        <v>53</v>
      </c>
    </row>
    <row r="3253" spans="2:42" x14ac:dyDescent="0.2">
      <c r="B3253" t="s">
        <v>44</v>
      </c>
      <c r="C3253" t="str">
        <f>HYPERLINK("https://us2.cloudbeds.com/connect/8493803454333002#/reservations/25890992263371?display=XDGNSFRGE&amp;reservation_id=25890992263371", "XDGNSFRGE")</f>
        <v>XDGNSFRGE</v>
      </c>
      <c r="D3253" t="s">
        <v>45</v>
      </c>
      <c r="E3253" t="s">
        <v>190</v>
      </c>
      <c r="F3253" t="s">
        <v>61</v>
      </c>
      <c r="G3253" t="s">
        <v>48</v>
      </c>
      <c r="H3253" t="s">
        <v>49</v>
      </c>
      <c r="I3253" t="s">
        <v>62</v>
      </c>
      <c r="J3253" t="s">
        <v>1161</v>
      </c>
      <c r="K3253" t="s">
        <v>1162</v>
      </c>
      <c r="L3253" t="s">
        <v>53</v>
      </c>
      <c r="N3253" t="s">
        <v>5298</v>
      </c>
      <c r="P3253" t="s">
        <v>55</v>
      </c>
      <c r="R3253" t="s">
        <v>56</v>
      </c>
      <c r="T3253" t="s">
        <v>5299</v>
      </c>
      <c r="U3253" t="s">
        <v>55</v>
      </c>
      <c r="V3253">
        <v>2</v>
      </c>
      <c r="W3253">
        <v>1</v>
      </c>
      <c r="X3253">
        <v>1</v>
      </c>
      <c r="Y3253">
        <v>0</v>
      </c>
      <c r="Z3253">
        <v>1</v>
      </c>
      <c r="AA3253">
        <v>0</v>
      </c>
      <c r="AB3253">
        <v>343.24</v>
      </c>
      <c r="AC3253">
        <v>302</v>
      </c>
      <c r="AD3253">
        <v>0</v>
      </c>
      <c r="AE3253">
        <v>41.24</v>
      </c>
      <c r="AF3253">
        <v>0</v>
      </c>
      <c r="AG3253">
        <v>0</v>
      </c>
      <c r="AH3253">
        <v>0</v>
      </c>
      <c r="AI3253">
        <v>51.49</v>
      </c>
      <c r="AJ3253">
        <v>343.24</v>
      </c>
      <c r="AK3253">
        <v>0</v>
      </c>
      <c r="AL3253" t="s">
        <v>53</v>
      </c>
      <c r="AM3253" t="s">
        <v>53</v>
      </c>
      <c r="AN3253" t="s">
        <v>53</v>
      </c>
      <c r="AO3253" t="s">
        <v>53</v>
      </c>
      <c r="AP3253" t="s">
        <v>53</v>
      </c>
    </row>
    <row r="3254" spans="2:42" x14ac:dyDescent="0.2">
      <c r="B3254" t="s">
        <v>44</v>
      </c>
      <c r="C3254" t="str">
        <f>HYPERLINK("https://us2.cloudbeds.com/connect/8493803454333002#/reservations/26044481130666?display=XH3XSBR78&amp;reservation_id=26044481130666", "XH3XSBR78")</f>
        <v>XH3XSBR78</v>
      </c>
      <c r="D3254" t="s">
        <v>45</v>
      </c>
      <c r="E3254" t="s">
        <v>487</v>
      </c>
      <c r="F3254" t="s">
        <v>61</v>
      </c>
      <c r="G3254" t="s">
        <v>48</v>
      </c>
      <c r="H3254" t="s">
        <v>49</v>
      </c>
      <c r="I3254" t="s">
        <v>50</v>
      </c>
      <c r="J3254" t="s">
        <v>1161</v>
      </c>
      <c r="K3254" t="s">
        <v>2014</v>
      </c>
      <c r="L3254" t="s">
        <v>53</v>
      </c>
      <c r="N3254" t="s">
        <v>5300</v>
      </c>
      <c r="P3254" t="s">
        <v>55</v>
      </c>
      <c r="R3254" t="s">
        <v>53</v>
      </c>
      <c r="T3254" t="s">
        <v>5301</v>
      </c>
      <c r="U3254" t="s">
        <v>58</v>
      </c>
      <c r="V3254">
        <v>1</v>
      </c>
      <c r="W3254">
        <v>1</v>
      </c>
      <c r="X3254">
        <v>2</v>
      </c>
      <c r="Y3254">
        <v>0</v>
      </c>
      <c r="Z3254">
        <v>2</v>
      </c>
      <c r="AA3254">
        <v>0</v>
      </c>
      <c r="AB3254">
        <v>185.26</v>
      </c>
      <c r="AC3254">
        <v>163</v>
      </c>
      <c r="AD3254">
        <v>0</v>
      </c>
      <c r="AE3254">
        <v>22.26</v>
      </c>
      <c r="AF3254">
        <v>0</v>
      </c>
      <c r="AG3254">
        <v>0</v>
      </c>
      <c r="AH3254">
        <v>0</v>
      </c>
      <c r="AI3254">
        <v>33.35</v>
      </c>
      <c r="AJ3254">
        <v>185.26</v>
      </c>
      <c r="AK3254">
        <v>0</v>
      </c>
      <c r="AL3254" t="s">
        <v>53</v>
      </c>
      <c r="AM3254" t="s">
        <v>53</v>
      </c>
      <c r="AN3254" t="s">
        <v>53</v>
      </c>
      <c r="AO3254" t="s">
        <v>53</v>
      </c>
      <c r="AP3254" t="s">
        <v>53</v>
      </c>
    </row>
    <row r="3255" spans="2:42" x14ac:dyDescent="0.2">
      <c r="B3255" t="s">
        <v>44</v>
      </c>
      <c r="C3255" t="str">
        <f>HYPERLINK("https://us2.cloudbeds.com/connect/8493803454333002#/reservations/26073516179689?display=XHQ1PFSHY&amp;reservation_id=26073516179689", "XHQ1PFSHY")</f>
        <v>XHQ1PFSHY</v>
      </c>
      <c r="D3255" t="s">
        <v>45</v>
      </c>
      <c r="E3255" t="s">
        <v>406</v>
      </c>
      <c r="F3255" t="s">
        <v>61</v>
      </c>
      <c r="G3255" t="s">
        <v>48</v>
      </c>
      <c r="H3255" t="s">
        <v>49</v>
      </c>
      <c r="I3255" t="s">
        <v>62</v>
      </c>
      <c r="J3255" t="s">
        <v>1161</v>
      </c>
      <c r="K3255" t="s">
        <v>2014</v>
      </c>
      <c r="L3255" t="s">
        <v>53</v>
      </c>
      <c r="N3255" t="s">
        <v>5302</v>
      </c>
      <c r="P3255" t="s">
        <v>55</v>
      </c>
      <c r="R3255" t="s">
        <v>329</v>
      </c>
      <c r="T3255" t="s">
        <v>5303</v>
      </c>
      <c r="U3255" t="s">
        <v>55</v>
      </c>
      <c r="V3255">
        <v>1</v>
      </c>
      <c r="W3255">
        <v>1</v>
      </c>
      <c r="X3255">
        <v>2</v>
      </c>
      <c r="Y3255">
        <v>0</v>
      </c>
      <c r="Z3255">
        <v>2</v>
      </c>
      <c r="AA3255">
        <v>0</v>
      </c>
      <c r="AB3255">
        <v>185.26</v>
      </c>
      <c r="AC3255">
        <v>163</v>
      </c>
      <c r="AD3255">
        <v>0</v>
      </c>
      <c r="AE3255">
        <v>22.26</v>
      </c>
      <c r="AF3255">
        <v>0</v>
      </c>
      <c r="AG3255">
        <v>0</v>
      </c>
      <c r="AH3255">
        <v>0</v>
      </c>
      <c r="AI3255">
        <v>27.79</v>
      </c>
      <c r="AJ3255">
        <v>185.26</v>
      </c>
      <c r="AK3255">
        <v>0</v>
      </c>
      <c r="AL3255" t="s">
        <v>53</v>
      </c>
      <c r="AM3255" t="s">
        <v>53</v>
      </c>
      <c r="AN3255" t="s">
        <v>53</v>
      </c>
      <c r="AO3255" t="s">
        <v>53</v>
      </c>
      <c r="AP3255" t="s">
        <v>53</v>
      </c>
    </row>
    <row r="3256" spans="2:42" x14ac:dyDescent="0.2">
      <c r="B3256" t="s">
        <v>44</v>
      </c>
      <c r="C3256" t="str">
        <f>HYPERLINK("https://us2.cloudbeds.com/connect/8493803454333002#/reservations/26080825081990?display=XHVNHHRTX&amp;reservation_id=26080825081990", "XHVNHHRTX")</f>
        <v>XHVNHHRTX</v>
      </c>
      <c r="D3256" t="s">
        <v>45</v>
      </c>
      <c r="E3256" t="s">
        <v>305</v>
      </c>
      <c r="F3256" t="s">
        <v>61</v>
      </c>
      <c r="G3256" t="s">
        <v>48</v>
      </c>
      <c r="H3256" t="s">
        <v>49</v>
      </c>
      <c r="I3256" t="s">
        <v>62</v>
      </c>
      <c r="J3256" t="s">
        <v>1161</v>
      </c>
      <c r="K3256" t="s">
        <v>2014</v>
      </c>
      <c r="L3256" t="s">
        <v>53</v>
      </c>
      <c r="N3256" t="s">
        <v>5304</v>
      </c>
      <c r="P3256" t="s">
        <v>55</v>
      </c>
      <c r="R3256" t="s">
        <v>56</v>
      </c>
      <c r="T3256" t="s">
        <v>5305</v>
      </c>
      <c r="U3256" t="s">
        <v>55</v>
      </c>
      <c r="V3256">
        <v>1</v>
      </c>
      <c r="W3256">
        <v>1</v>
      </c>
      <c r="X3256">
        <v>1</v>
      </c>
      <c r="Y3256">
        <v>0</v>
      </c>
      <c r="Z3256">
        <v>1</v>
      </c>
      <c r="AA3256">
        <v>0</v>
      </c>
      <c r="AB3256">
        <v>185.26</v>
      </c>
      <c r="AC3256">
        <v>163</v>
      </c>
      <c r="AD3256">
        <v>0</v>
      </c>
      <c r="AE3256">
        <v>22.26</v>
      </c>
      <c r="AF3256">
        <v>0</v>
      </c>
      <c r="AG3256">
        <v>0</v>
      </c>
      <c r="AH3256">
        <v>0</v>
      </c>
      <c r="AI3256">
        <v>27.79</v>
      </c>
      <c r="AJ3256">
        <v>185.26</v>
      </c>
      <c r="AK3256">
        <v>0</v>
      </c>
      <c r="AL3256" t="s">
        <v>53</v>
      </c>
      <c r="AM3256" t="s">
        <v>53</v>
      </c>
      <c r="AN3256" t="s">
        <v>53</v>
      </c>
      <c r="AO3256" t="s">
        <v>53</v>
      </c>
      <c r="AP3256" t="s">
        <v>53</v>
      </c>
    </row>
    <row r="3257" spans="2:42" x14ac:dyDescent="0.2">
      <c r="B3257" t="s">
        <v>44</v>
      </c>
      <c r="C3257" t="str">
        <f>HYPERLINK("https://us2.cloudbeds.com/connect/8493803454333002#/reservations/26088538575049?display=XX4MKP59F&amp;reservation_id=26088538575049", "XX4MKP59F")</f>
        <v>XX4MKP59F</v>
      </c>
      <c r="D3257" t="s">
        <v>45</v>
      </c>
      <c r="E3257" t="s">
        <v>92</v>
      </c>
      <c r="F3257" t="s">
        <v>86</v>
      </c>
      <c r="G3257" t="s">
        <v>48</v>
      </c>
      <c r="H3257" t="s">
        <v>49</v>
      </c>
      <c r="I3257" t="s">
        <v>62</v>
      </c>
      <c r="J3257" t="s">
        <v>1161</v>
      </c>
      <c r="K3257" t="s">
        <v>2014</v>
      </c>
      <c r="L3257" t="s">
        <v>53</v>
      </c>
      <c r="N3257" t="s">
        <v>5306</v>
      </c>
      <c r="P3257" t="s">
        <v>55</v>
      </c>
      <c r="R3257" t="s">
        <v>56</v>
      </c>
      <c r="T3257" t="s">
        <v>5307</v>
      </c>
      <c r="U3257" t="s">
        <v>55</v>
      </c>
      <c r="V3257">
        <v>1</v>
      </c>
      <c r="W3257">
        <v>1</v>
      </c>
      <c r="X3257">
        <v>2</v>
      </c>
      <c r="Y3257">
        <v>0</v>
      </c>
      <c r="Z3257">
        <v>2</v>
      </c>
      <c r="AA3257">
        <v>0</v>
      </c>
      <c r="AB3257">
        <v>193.21</v>
      </c>
      <c r="AC3257">
        <v>170</v>
      </c>
      <c r="AD3257">
        <v>0</v>
      </c>
      <c r="AE3257">
        <v>23.21</v>
      </c>
      <c r="AF3257">
        <v>0</v>
      </c>
      <c r="AG3257">
        <v>0</v>
      </c>
      <c r="AH3257">
        <v>0</v>
      </c>
      <c r="AI3257">
        <v>28.98</v>
      </c>
      <c r="AJ3257">
        <v>193.21</v>
      </c>
      <c r="AK3257">
        <v>0</v>
      </c>
      <c r="AL3257" t="s">
        <v>53</v>
      </c>
      <c r="AM3257" t="s">
        <v>53</v>
      </c>
      <c r="AN3257" t="s">
        <v>53</v>
      </c>
      <c r="AO3257" t="s">
        <v>53</v>
      </c>
      <c r="AP3257" t="s">
        <v>53</v>
      </c>
    </row>
    <row r="3258" spans="2:42" x14ac:dyDescent="0.2">
      <c r="B3258" t="s">
        <v>44</v>
      </c>
      <c r="C3258" t="str">
        <f>HYPERLINK("https://us2.cloudbeds.com/connect/8493803454333002#/reservations/26223615475844?display=XYA9561DG&amp;reservation_id=26223615475844", "XYA9561DG")</f>
        <v>XYA9561DG</v>
      </c>
      <c r="D3258" t="s">
        <v>45</v>
      </c>
      <c r="E3258" t="s">
        <v>110</v>
      </c>
      <c r="F3258" t="s">
        <v>47</v>
      </c>
      <c r="G3258" t="s">
        <v>48</v>
      </c>
      <c r="H3258" t="s">
        <v>49</v>
      </c>
      <c r="I3258" t="s">
        <v>50</v>
      </c>
      <c r="J3258" t="s">
        <v>3339</v>
      </c>
      <c r="K3258" t="s">
        <v>3232</v>
      </c>
      <c r="L3258" t="s">
        <v>53</v>
      </c>
      <c r="N3258" t="s">
        <v>5308</v>
      </c>
      <c r="P3258" t="s">
        <v>55</v>
      </c>
      <c r="R3258" t="s">
        <v>53</v>
      </c>
      <c r="T3258" t="s">
        <v>5309</v>
      </c>
      <c r="U3258" t="s">
        <v>58</v>
      </c>
      <c r="V3258">
        <v>1</v>
      </c>
      <c r="W3258">
        <v>1</v>
      </c>
      <c r="X3258">
        <v>1</v>
      </c>
      <c r="Y3258">
        <v>0</v>
      </c>
      <c r="Z3258">
        <v>1</v>
      </c>
      <c r="AA3258">
        <v>0</v>
      </c>
      <c r="AB3258">
        <v>119.34</v>
      </c>
      <c r="AC3258">
        <v>105</v>
      </c>
      <c r="AD3258">
        <v>0</v>
      </c>
      <c r="AE3258">
        <v>14.34</v>
      </c>
      <c r="AF3258">
        <v>0</v>
      </c>
      <c r="AG3258">
        <v>0</v>
      </c>
      <c r="AH3258">
        <v>0</v>
      </c>
      <c r="AI3258">
        <v>21.48</v>
      </c>
      <c r="AJ3258">
        <v>119.34</v>
      </c>
      <c r="AK3258">
        <v>0</v>
      </c>
      <c r="AL3258" t="s">
        <v>53</v>
      </c>
      <c r="AM3258" t="s">
        <v>53</v>
      </c>
      <c r="AN3258" t="s">
        <v>53</v>
      </c>
      <c r="AO3258" t="s">
        <v>53</v>
      </c>
      <c r="AP3258" t="s">
        <v>53</v>
      </c>
    </row>
    <row r="3259" spans="2:42" x14ac:dyDescent="0.2">
      <c r="B3259" t="s">
        <v>44</v>
      </c>
      <c r="C3259" t="str">
        <f>HYPERLINK("https://us2.cloudbeds.com/connect/8493803454333002#/reservations/26225928822953?display=XYC28SB31&amp;reservation_id=26225928822953", "XYC28SB31")</f>
        <v>XYC28SB31</v>
      </c>
      <c r="D3259" t="s">
        <v>45</v>
      </c>
      <c r="E3259" t="s">
        <v>110</v>
      </c>
      <c r="F3259" t="s">
        <v>47</v>
      </c>
      <c r="G3259" t="s">
        <v>48</v>
      </c>
      <c r="H3259" t="s">
        <v>49</v>
      </c>
      <c r="I3259" t="s">
        <v>62</v>
      </c>
      <c r="J3259" t="s">
        <v>2014</v>
      </c>
      <c r="K3259" t="s">
        <v>1162</v>
      </c>
      <c r="L3259" t="s">
        <v>53</v>
      </c>
      <c r="N3259" t="s">
        <v>5310</v>
      </c>
      <c r="P3259" t="s">
        <v>55</v>
      </c>
      <c r="R3259" t="s">
        <v>125</v>
      </c>
      <c r="T3259" t="s">
        <v>5311</v>
      </c>
      <c r="U3259" t="s">
        <v>55</v>
      </c>
      <c r="V3259">
        <v>1</v>
      </c>
      <c r="W3259">
        <v>1</v>
      </c>
      <c r="X3259">
        <v>1</v>
      </c>
      <c r="Y3259">
        <v>0</v>
      </c>
      <c r="Z3259">
        <v>1</v>
      </c>
      <c r="AA3259">
        <v>0</v>
      </c>
      <c r="AB3259">
        <v>160.25</v>
      </c>
      <c r="AC3259">
        <v>141</v>
      </c>
      <c r="AD3259">
        <v>0</v>
      </c>
      <c r="AE3259">
        <v>19.25</v>
      </c>
      <c r="AF3259">
        <v>0</v>
      </c>
      <c r="AG3259">
        <v>0</v>
      </c>
      <c r="AH3259">
        <v>0</v>
      </c>
      <c r="AI3259">
        <v>24.04</v>
      </c>
      <c r="AJ3259">
        <v>160.25</v>
      </c>
      <c r="AK3259">
        <v>0</v>
      </c>
      <c r="AL3259" t="s">
        <v>53</v>
      </c>
      <c r="AM3259" t="s">
        <v>53</v>
      </c>
      <c r="AN3259" t="s">
        <v>53</v>
      </c>
      <c r="AO3259" t="s">
        <v>53</v>
      </c>
      <c r="AP3259" t="s">
        <v>53</v>
      </c>
    </row>
    <row r="3260" spans="2:42" x14ac:dyDescent="0.2">
      <c r="B3260" t="s">
        <v>44</v>
      </c>
      <c r="C3260" t="str">
        <f>HYPERLINK("https://us2.cloudbeds.com/connect/8493803454333002#/reservations/26242959749329?display=XYP8EPVV3&amp;reservation_id=26242959749329", "XYP8EPVV3")</f>
        <v>XYP8EPVV3</v>
      </c>
      <c r="D3260" t="s">
        <v>45</v>
      </c>
      <c r="E3260" t="s">
        <v>487</v>
      </c>
      <c r="F3260" t="s">
        <v>61</v>
      </c>
      <c r="G3260" t="s">
        <v>48</v>
      </c>
      <c r="H3260" t="s">
        <v>49</v>
      </c>
      <c r="I3260" t="s">
        <v>62</v>
      </c>
      <c r="J3260" t="s">
        <v>2014</v>
      </c>
      <c r="K3260" t="s">
        <v>2449</v>
      </c>
      <c r="L3260" t="s">
        <v>53</v>
      </c>
      <c r="N3260" t="s">
        <v>5312</v>
      </c>
      <c r="P3260" t="s">
        <v>55</v>
      </c>
      <c r="R3260" t="s">
        <v>56</v>
      </c>
      <c r="T3260" t="s">
        <v>5313</v>
      </c>
      <c r="U3260" t="s">
        <v>55</v>
      </c>
      <c r="V3260">
        <v>2</v>
      </c>
      <c r="W3260">
        <v>1</v>
      </c>
      <c r="X3260">
        <v>2</v>
      </c>
      <c r="Y3260">
        <v>0</v>
      </c>
      <c r="Z3260">
        <v>2</v>
      </c>
      <c r="AA3260">
        <v>0</v>
      </c>
      <c r="AB3260">
        <v>290.95</v>
      </c>
      <c r="AC3260">
        <v>256</v>
      </c>
      <c r="AD3260">
        <v>0</v>
      </c>
      <c r="AE3260">
        <v>34.950000000000003</v>
      </c>
      <c r="AF3260">
        <v>0</v>
      </c>
      <c r="AG3260">
        <v>0</v>
      </c>
      <c r="AH3260">
        <v>0</v>
      </c>
      <c r="AI3260">
        <v>43.64</v>
      </c>
      <c r="AJ3260">
        <v>290.95</v>
      </c>
      <c r="AK3260">
        <v>0</v>
      </c>
      <c r="AL3260" t="s">
        <v>53</v>
      </c>
      <c r="AM3260" t="s">
        <v>53</v>
      </c>
      <c r="AN3260" t="s">
        <v>53</v>
      </c>
      <c r="AO3260" t="s">
        <v>53</v>
      </c>
      <c r="AP3260" t="s">
        <v>53</v>
      </c>
    </row>
    <row r="3261" spans="2:42" x14ac:dyDescent="0.2">
      <c r="B3261" t="s">
        <v>44</v>
      </c>
      <c r="C3261" t="str">
        <f>HYPERLINK("https://us2.cloudbeds.com/connect/8493803454333002#/reservations/26522752868490?display=XSATQZVFK&amp;reservation_id=26522752868490", "XSATQZVFK")</f>
        <v>XSATQZVFK</v>
      </c>
      <c r="D3261" t="s">
        <v>45</v>
      </c>
      <c r="E3261" t="s">
        <v>373</v>
      </c>
      <c r="F3261" t="s">
        <v>47</v>
      </c>
      <c r="G3261" t="s">
        <v>48</v>
      </c>
      <c r="H3261" t="s">
        <v>3957</v>
      </c>
      <c r="I3261" t="s">
        <v>3958</v>
      </c>
      <c r="J3261" t="s">
        <v>2014</v>
      </c>
      <c r="K3261" t="s">
        <v>1162</v>
      </c>
      <c r="L3261" t="s">
        <v>53</v>
      </c>
      <c r="P3261" t="s">
        <v>55</v>
      </c>
      <c r="R3261" t="s">
        <v>56</v>
      </c>
      <c r="T3261" t="s">
        <v>5314</v>
      </c>
      <c r="U3261" t="s">
        <v>58</v>
      </c>
      <c r="V3261">
        <v>1</v>
      </c>
      <c r="W3261">
        <v>1</v>
      </c>
      <c r="X3261">
        <v>1</v>
      </c>
      <c r="Y3261">
        <v>0</v>
      </c>
      <c r="Z3261">
        <v>1</v>
      </c>
      <c r="AA3261">
        <v>0</v>
      </c>
      <c r="AB3261">
        <v>129.57</v>
      </c>
      <c r="AC3261">
        <v>114</v>
      </c>
      <c r="AD3261">
        <v>0</v>
      </c>
      <c r="AE3261">
        <v>15.57</v>
      </c>
      <c r="AF3261">
        <v>0</v>
      </c>
      <c r="AG3261">
        <v>0</v>
      </c>
      <c r="AH3261">
        <v>0</v>
      </c>
      <c r="AI3261">
        <v>0</v>
      </c>
      <c r="AJ3261">
        <v>129.57</v>
      </c>
      <c r="AK3261">
        <v>0</v>
      </c>
      <c r="AL3261" t="s">
        <v>53</v>
      </c>
      <c r="AM3261" t="s">
        <v>53</v>
      </c>
      <c r="AN3261" t="s">
        <v>53</v>
      </c>
      <c r="AO3261" t="s">
        <v>53</v>
      </c>
      <c r="AP3261" t="s">
        <v>53</v>
      </c>
    </row>
    <row r="3262" spans="2:42" x14ac:dyDescent="0.2">
      <c r="B3262" t="s">
        <v>44</v>
      </c>
      <c r="C3262" t="str">
        <f>HYPERLINK("https://us2.cloudbeds.com/connect/8493803454333002#/reservations/26573987074294?display=XTHXVQ8DY&amp;reservation_id=26573987074294", "XTHXVQ8DY")</f>
        <v>XTHXVQ8DY</v>
      </c>
      <c r="D3262" t="s">
        <v>45</v>
      </c>
      <c r="E3262" t="s">
        <v>92</v>
      </c>
      <c r="F3262" t="s">
        <v>86</v>
      </c>
      <c r="G3262" t="s">
        <v>48</v>
      </c>
      <c r="H3262" t="s">
        <v>49</v>
      </c>
      <c r="I3262" t="s">
        <v>62</v>
      </c>
      <c r="J3262" t="s">
        <v>2014</v>
      </c>
      <c r="K3262" t="s">
        <v>1162</v>
      </c>
      <c r="L3262" t="s">
        <v>53</v>
      </c>
      <c r="N3262" t="s">
        <v>5315</v>
      </c>
      <c r="P3262" t="s">
        <v>55</v>
      </c>
      <c r="R3262" t="s">
        <v>56</v>
      </c>
      <c r="T3262" t="s">
        <v>5316</v>
      </c>
      <c r="U3262" t="s">
        <v>55</v>
      </c>
      <c r="V3262">
        <v>1</v>
      </c>
      <c r="W3262">
        <v>1</v>
      </c>
      <c r="X3262">
        <v>2</v>
      </c>
      <c r="Y3262">
        <v>1</v>
      </c>
      <c r="Z3262">
        <v>3</v>
      </c>
      <c r="AA3262">
        <v>0</v>
      </c>
      <c r="AB3262">
        <v>135.25</v>
      </c>
      <c r="AC3262">
        <v>119</v>
      </c>
      <c r="AD3262">
        <v>0</v>
      </c>
      <c r="AE3262">
        <v>16.25</v>
      </c>
      <c r="AF3262">
        <v>0</v>
      </c>
      <c r="AG3262">
        <v>0</v>
      </c>
      <c r="AH3262">
        <v>0</v>
      </c>
      <c r="AI3262">
        <v>20.29</v>
      </c>
      <c r="AJ3262">
        <v>135.25</v>
      </c>
      <c r="AK3262">
        <v>0</v>
      </c>
      <c r="AL3262" t="s">
        <v>53</v>
      </c>
      <c r="AM3262" t="s">
        <v>53</v>
      </c>
      <c r="AN3262" t="s">
        <v>53</v>
      </c>
      <c r="AO3262" t="s">
        <v>53</v>
      </c>
      <c r="AP3262" t="s">
        <v>53</v>
      </c>
    </row>
    <row r="3263" spans="2:42" x14ac:dyDescent="0.2">
      <c r="B3263" t="s">
        <v>44</v>
      </c>
      <c r="C3263" t="str">
        <f>HYPERLINK("https://us2.cloudbeds.com/connect/8493803454333002#/reservations/26589835489528?display=XTTRUJPEZ&amp;reservation_id=26589835489528", "XTTRUJPEZ")</f>
        <v>XTTRUJPEZ</v>
      </c>
      <c r="D3263" t="s">
        <v>45</v>
      </c>
      <c r="E3263" t="s">
        <v>381</v>
      </c>
      <c r="F3263" t="s">
        <v>47</v>
      </c>
      <c r="G3263" t="s">
        <v>48</v>
      </c>
      <c r="H3263" t="s">
        <v>3957</v>
      </c>
      <c r="I3263" t="s">
        <v>3958</v>
      </c>
      <c r="J3263" t="s">
        <v>2014</v>
      </c>
      <c r="K3263" t="s">
        <v>2449</v>
      </c>
      <c r="L3263" t="s">
        <v>53</v>
      </c>
      <c r="P3263" t="s">
        <v>55</v>
      </c>
      <c r="R3263" t="s">
        <v>56</v>
      </c>
      <c r="T3263" t="s">
        <v>5317</v>
      </c>
      <c r="U3263" t="s">
        <v>58</v>
      </c>
      <c r="V3263">
        <v>2</v>
      </c>
      <c r="W3263">
        <v>1</v>
      </c>
      <c r="X3263">
        <v>1</v>
      </c>
      <c r="Y3263">
        <v>0</v>
      </c>
      <c r="Z3263">
        <v>1</v>
      </c>
      <c r="AA3263">
        <v>0</v>
      </c>
      <c r="AB3263">
        <v>248.91</v>
      </c>
      <c r="AC3263">
        <v>219</v>
      </c>
      <c r="AD3263">
        <v>0</v>
      </c>
      <c r="AE3263">
        <v>29.91</v>
      </c>
      <c r="AF3263">
        <v>0</v>
      </c>
      <c r="AG3263">
        <v>0</v>
      </c>
      <c r="AH3263">
        <v>0</v>
      </c>
      <c r="AI3263">
        <v>0</v>
      </c>
      <c r="AJ3263">
        <v>248.91</v>
      </c>
      <c r="AK3263">
        <v>0</v>
      </c>
      <c r="AL3263" t="s">
        <v>53</v>
      </c>
      <c r="AM3263" t="s">
        <v>53</v>
      </c>
      <c r="AN3263" t="s">
        <v>53</v>
      </c>
      <c r="AO3263" t="s">
        <v>53</v>
      </c>
      <c r="AP3263" t="s">
        <v>53</v>
      </c>
    </row>
    <row r="3264" spans="2:42" x14ac:dyDescent="0.2">
      <c r="B3264" t="s">
        <v>44</v>
      </c>
      <c r="C3264" t="str">
        <f>HYPERLINK("https://us2.cloudbeds.com/connect/8493803454333002#/reservations/26593064120510?display=XTWBE2667&amp;reservation_id=26593064120510", "XTWBE2667")</f>
        <v>XTWBE2667</v>
      </c>
      <c r="D3264" t="s">
        <v>45</v>
      </c>
      <c r="E3264" t="s">
        <v>155</v>
      </c>
      <c r="F3264" t="s">
        <v>86</v>
      </c>
      <c r="G3264" t="s">
        <v>48</v>
      </c>
      <c r="H3264" t="s">
        <v>49</v>
      </c>
      <c r="I3264" t="s">
        <v>62</v>
      </c>
      <c r="J3264" t="s">
        <v>3882</v>
      </c>
      <c r="K3264" t="s">
        <v>3339</v>
      </c>
      <c r="L3264" t="s">
        <v>53</v>
      </c>
      <c r="N3264" t="s">
        <v>5318</v>
      </c>
      <c r="P3264" t="s">
        <v>55</v>
      </c>
      <c r="R3264" t="s">
        <v>56</v>
      </c>
      <c r="T3264" t="s">
        <v>5319</v>
      </c>
      <c r="U3264" t="s">
        <v>55</v>
      </c>
      <c r="V3264">
        <v>2</v>
      </c>
      <c r="W3264">
        <v>1</v>
      </c>
      <c r="X3264">
        <v>3</v>
      </c>
      <c r="Y3264">
        <v>0</v>
      </c>
      <c r="Z3264">
        <v>3</v>
      </c>
      <c r="AA3264">
        <v>0</v>
      </c>
      <c r="AB3264">
        <v>294.36</v>
      </c>
      <c r="AC3264">
        <v>259</v>
      </c>
      <c r="AD3264">
        <v>0</v>
      </c>
      <c r="AE3264">
        <v>35.36</v>
      </c>
      <c r="AF3264">
        <v>0</v>
      </c>
      <c r="AG3264">
        <v>0</v>
      </c>
      <c r="AH3264">
        <v>0</v>
      </c>
      <c r="AI3264">
        <v>44.15</v>
      </c>
      <c r="AJ3264">
        <v>294.36</v>
      </c>
      <c r="AK3264">
        <v>0</v>
      </c>
      <c r="AL3264" t="s">
        <v>53</v>
      </c>
      <c r="AM3264" t="s">
        <v>53</v>
      </c>
      <c r="AN3264" t="s">
        <v>53</v>
      </c>
      <c r="AO3264" t="s">
        <v>53</v>
      </c>
      <c r="AP3264" t="s">
        <v>53</v>
      </c>
    </row>
    <row r="3265" spans="2:42" x14ac:dyDescent="0.2">
      <c r="B3265" t="s">
        <v>44</v>
      </c>
      <c r="C3265" t="str">
        <f>HYPERLINK("https://us2.cloudbeds.com/connect/8493803454333002#/reservations/26600581316782?display=XU55GP8DY&amp;reservation_id=26600581316782", "XU55GP8DY")</f>
        <v>XU55GP8DY</v>
      </c>
      <c r="D3265" t="s">
        <v>45</v>
      </c>
      <c r="E3265" t="s">
        <v>85</v>
      </c>
      <c r="F3265" t="s">
        <v>86</v>
      </c>
      <c r="G3265" t="s">
        <v>5320</v>
      </c>
      <c r="H3265" t="s">
        <v>3957</v>
      </c>
      <c r="I3265" t="s">
        <v>3975</v>
      </c>
      <c r="J3265" t="s">
        <v>5321</v>
      </c>
      <c r="K3265" t="s">
        <v>5322</v>
      </c>
      <c r="L3265" t="s">
        <v>53</v>
      </c>
      <c r="P3265" t="s">
        <v>55</v>
      </c>
      <c r="R3265" t="s">
        <v>56</v>
      </c>
      <c r="T3265" t="s">
        <v>5323</v>
      </c>
      <c r="U3265" t="s">
        <v>58</v>
      </c>
      <c r="V3265">
        <v>4</v>
      </c>
      <c r="W3265">
        <v>1</v>
      </c>
      <c r="X3265">
        <v>2</v>
      </c>
      <c r="Y3265">
        <v>0</v>
      </c>
      <c r="Z3265">
        <v>2</v>
      </c>
      <c r="AA3265">
        <v>0</v>
      </c>
      <c r="AB3265">
        <v>262.52</v>
      </c>
      <c r="AC3265">
        <v>231</v>
      </c>
      <c r="AD3265">
        <v>0</v>
      </c>
      <c r="AE3265">
        <v>31.52</v>
      </c>
      <c r="AF3265">
        <v>0</v>
      </c>
      <c r="AG3265">
        <v>0</v>
      </c>
      <c r="AH3265">
        <v>0</v>
      </c>
      <c r="AI3265">
        <v>0</v>
      </c>
      <c r="AJ3265">
        <v>262.52</v>
      </c>
      <c r="AK3265">
        <v>0</v>
      </c>
      <c r="AL3265" t="s">
        <v>53</v>
      </c>
      <c r="AM3265" t="s">
        <v>53</v>
      </c>
      <c r="AN3265" t="s">
        <v>53</v>
      </c>
      <c r="AO3265" t="s">
        <v>53</v>
      </c>
      <c r="AP3265" t="s">
        <v>53</v>
      </c>
    </row>
    <row r="3266" spans="2:42" x14ac:dyDescent="0.2">
      <c r="B3266" t="s">
        <v>44</v>
      </c>
      <c r="C3266" t="str">
        <f>HYPERLINK("https://us2.cloudbeds.com/connect/8493803454333002#/reservations/26732798939333?display=J08HW5GMD&amp;reservation_id=26732798939333", "J08HW5GMD")</f>
        <v>J08HW5GMD</v>
      </c>
      <c r="D3266" t="s">
        <v>45</v>
      </c>
      <c r="E3266" t="s">
        <v>138</v>
      </c>
      <c r="F3266" t="s">
        <v>70</v>
      </c>
      <c r="G3266" t="s">
        <v>48</v>
      </c>
      <c r="H3266" t="s">
        <v>49</v>
      </c>
      <c r="I3266" t="s">
        <v>62</v>
      </c>
      <c r="J3266" t="s">
        <v>4989</v>
      </c>
      <c r="K3266" t="s">
        <v>3969</v>
      </c>
      <c r="L3266" t="s">
        <v>53</v>
      </c>
      <c r="N3266" t="s">
        <v>5324</v>
      </c>
      <c r="P3266" t="s">
        <v>55</v>
      </c>
      <c r="R3266" t="s">
        <v>871</v>
      </c>
      <c r="T3266" t="s">
        <v>5325</v>
      </c>
      <c r="U3266" t="s">
        <v>55</v>
      </c>
      <c r="V3266">
        <v>1</v>
      </c>
      <c r="W3266">
        <v>1</v>
      </c>
      <c r="X3266">
        <v>2</v>
      </c>
      <c r="Y3266">
        <v>0</v>
      </c>
      <c r="Z3266">
        <v>2</v>
      </c>
      <c r="AA3266">
        <v>0</v>
      </c>
      <c r="AB3266">
        <v>84.11</v>
      </c>
      <c r="AC3266">
        <v>74</v>
      </c>
      <c r="AD3266">
        <v>0</v>
      </c>
      <c r="AE3266">
        <v>10.11</v>
      </c>
      <c r="AF3266">
        <v>0</v>
      </c>
      <c r="AG3266">
        <v>0</v>
      </c>
      <c r="AH3266">
        <v>0</v>
      </c>
      <c r="AI3266">
        <v>12.62</v>
      </c>
      <c r="AJ3266">
        <v>84.11</v>
      </c>
      <c r="AK3266">
        <v>0</v>
      </c>
      <c r="AL3266" t="s">
        <v>53</v>
      </c>
      <c r="AM3266" t="s">
        <v>53</v>
      </c>
      <c r="AN3266" t="s">
        <v>53</v>
      </c>
      <c r="AO3266" t="s">
        <v>53</v>
      </c>
      <c r="AP3266" t="s">
        <v>53</v>
      </c>
    </row>
    <row r="3267" spans="2:42" x14ac:dyDescent="0.2">
      <c r="B3267" t="s">
        <v>44</v>
      </c>
      <c r="C3267" t="str">
        <f>HYPERLINK("https://us2.cloudbeds.com/connect/8493803454333002#/reservations/26762808561833?display=J0VPQ2G4D&amp;reservation_id=26762808561833", "J0VPQ2G4D")</f>
        <v>J0VPQ2G4D</v>
      </c>
      <c r="D3267" t="s">
        <v>45</v>
      </c>
      <c r="E3267" t="s">
        <v>128</v>
      </c>
      <c r="F3267" t="s">
        <v>86</v>
      </c>
      <c r="G3267" t="s">
        <v>48</v>
      </c>
      <c r="H3267" t="s">
        <v>3957</v>
      </c>
      <c r="I3267" t="s">
        <v>3975</v>
      </c>
      <c r="J3267" t="s">
        <v>5326</v>
      </c>
      <c r="K3267" t="s">
        <v>5327</v>
      </c>
      <c r="L3267" t="s">
        <v>53</v>
      </c>
      <c r="P3267" t="s">
        <v>55</v>
      </c>
      <c r="R3267" t="s">
        <v>56</v>
      </c>
      <c r="T3267" t="s">
        <v>5328</v>
      </c>
      <c r="U3267" t="s">
        <v>58</v>
      </c>
      <c r="V3267">
        <v>3</v>
      </c>
      <c r="W3267">
        <v>1</v>
      </c>
      <c r="X3267">
        <v>3</v>
      </c>
      <c r="Y3267">
        <v>0</v>
      </c>
      <c r="Z3267">
        <v>3</v>
      </c>
      <c r="AA3267">
        <v>0</v>
      </c>
      <c r="AB3267">
        <v>404.6</v>
      </c>
      <c r="AC3267">
        <v>356</v>
      </c>
      <c r="AD3267">
        <v>0</v>
      </c>
      <c r="AE3267">
        <v>48.6</v>
      </c>
      <c r="AF3267">
        <v>0</v>
      </c>
      <c r="AG3267">
        <v>0</v>
      </c>
      <c r="AH3267">
        <v>0</v>
      </c>
      <c r="AI3267">
        <v>0</v>
      </c>
      <c r="AJ3267">
        <v>404.6</v>
      </c>
      <c r="AK3267">
        <v>0</v>
      </c>
      <c r="AL3267" t="s">
        <v>53</v>
      </c>
      <c r="AM3267" t="s">
        <v>53</v>
      </c>
      <c r="AN3267" t="s">
        <v>53</v>
      </c>
      <c r="AO3267" t="s">
        <v>53</v>
      </c>
      <c r="AP3267" t="s">
        <v>53</v>
      </c>
    </row>
    <row r="3268" spans="2:42" x14ac:dyDescent="0.2">
      <c r="B3268" t="s">
        <v>44</v>
      </c>
      <c r="C3268" t="str">
        <f>HYPERLINK("https://us2.cloudbeds.com/connect/8493803454333002#/reservations/26766558060780?display=J11MJZR6K&amp;reservation_id=26766558060780", "J11MJZR6K")</f>
        <v>J11MJZR6K</v>
      </c>
      <c r="D3268" t="s">
        <v>45</v>
      </c>
      <c r="E3268" t="s">
        <v>190</v>
      </c>
      <c r="F3268" t="s">
        <v>61</v>
      </c>
      <c r="G3268" t="s">
        <v>48</v>
      </c>
      <c r="H3268" t="s">
        <v>3957</v>
      </c>
      <c r="I3268" t="s">
        <v>3975</v>
      </c>
      <c r="J3268" t="s">
        <v>1162</v>
      </c>
      <c r="K3268" t="s">
        <v>1716</v>
      </c>
      <c r="L3268" t="s">
        <v>53</v>
      </c>
      <c r="P3268" t="s">
        <v>55</v>
      </c>
      <c r="R3268" t="s">
        <v>56</v>
      </c>
      <c r="T3268" t="s">
        <v>5329</v>
      </c>
      <c r="U3268" t="s">
        <v>58</v>
      </c>
      <c r="V3268">
        <v>2</v>
      </c>
      <c r="W3268">
        <v>1</v>
      </c>
      <c r="X3268">
        <v>2</v>
      </c>
      <c r="Y3268">
        <v>0</v>
      </c>
      <c r="Z3268">
        <v>2</v>
      </c>
      <c r="AA3268">
        <v>0</v>
      </c>
      <c r="AB3268">
        <v>254.58</v>
      </c>
      <c r="AC3268">
        <v>224</v>
      </c>
      <c r="AD3268">
        <v>0</v>
      </c>
      <c r="AE3268">
        <v>30.58</v>
      </c>
      <c r="AF3268">
        <v>0</v>
      </c>
      <c r="AG3268">
        <v>0</v>
      </c>
      <c r="AH3268">
        <v>0</v>
      </c>
      <c r="AI3268">
        <v>0</v>
      </c>
      <c r="AJ3268">
        <v>254.58</v>
      </c>
      <c r="AK3268">
        <v>0</v>
      </c>
      <c r="AL3268" t="s">
        <v>53</v>
      </c>
      <c r="AM3268" t="s">
        <v>53</v>
      </c>
      <c r="AN3268" t="s">
        <v>53</v>
      </c>
      <c r="AO3268" t="s">
        <v>53</v>
      </c>
      <c r="AP3268" t="s">
        <v>53</v>
      </c>
    </row>
    <row r="3269" spans="2:42" x14ac:dyDescent="0.2">
      <c r="B3269" t="s">
        <v>44</v>
      </c>
      <c r="C3269" t="str">
        <f>HYPERLINK("https://us2.cloudbeds.com/connect/8493803454333002#/reservations/26788075270301?display=J1XBDKTKP&amp;reservation_id=26788075270301", "J1XBDKTKP")</f>
        <v>J1XBDKTKP</v>
      </c>
      <c r="D3269" t="s">
        <v>45</v>
      </c>
      <c r="E3269" t="s">
        <v>406</v>
      </c>
      <c r="F3269" t="s">
        <v>61</v>
      </c>
      <c r="G3269" t="s">
        <v>48</v>
      </c>
      <c r="H3269" t="s">
        <v>49</v>
      </c>
      <c r="I3269" t="s">
        <v>62</v>
      </c>
      <c r="J3269" t="s">
        <v>1162</v>
      </c>
      <c r="K3269" t="s">
        <v>1258</v>
      </c>
      <c r="L3269" t="s">
        <v>53</v>
      </c>
      <c r="N3269" t="s">
        <v>5330</v>
      </c>
      <c r="P3269" t="s">
        <v>58</v>
      </c>
      <c r="R3269" t="s">
        <v>118</v>
      </c>
      <c r="T3269" t="s">
        <v>5331</v>
      </c>
      <c r="U3269" t="s">
        <v>55</v>
      </c>
      <c r="V3269">
        <v>3</v>
      </c>
      <c r="W3269">
        <v>1</v>
      </c>
      <c r="X3269">
        <v>1</v>
      </c>
      <c r="Y3269">
        <v>0</v>
      </c>
      <c r="Z3269">
        <v>1</v>
      </c>
      <c r="AA3269">
        <v>0</v>
      </c>
      <c r="AB3269">
        <v>381.87</v>
      </c>
      <c r="AC3269">
        <v>336</v>
      </c>
      <c r="AD3269">
        <v>0</v>
      </c>
      <c r="AE3269">
        <v>45.87</v>
      </c>
      <c r="AF3269">
        <v>0</v>
      </c>
      <c r="AG3269">
        <v>0</v>
      </c>
      <c r="AH3269">
        <v>0</v>
      </c>
      <c r="AI3269">
        <v>57.28</v>
      </c>
      <c r="AJ3269">
        <v>381.87</v>
      </c>
      <c r="AK3269">
        <v>0</v>
      </c>
      <c r="AL3269" t="s">
        <v>53</v>
      </c>
      <c r="AM3269" t="s">
        <v>53</v>
      </c>
      <c r="AN3269" t="s">
        <v>53</v>
      </c>
      <c r="AO3269" t="s">
        <v>53</v>
      </c>
      <c r="AP3269" t="s">
        <v>53</v>
      </c>
    </row>
    <row r="3270" spans="2:42" x14ac:dyDescent="0.2">
      <c r="B3270" t="s">
        <v>44</v>
      </c>
      <c r="C3270" t="str">
        <f>HYPERLINK("https://us2.cloudbeds.com/connect/8493803454333002#/reservations/26810488877288?display=J22N4CX7G&amp;reservation_id=26810488877288", "J22N4CX7G")</f>
        <v>J22N4CX7G</v>
      </c>
      <c r="D3270" t="s">
        <v>45</v>
      </c>
      <c r="E3270" t="s">
        <v>373</v>
      </c>
      <c r="F3270" t="s">
        <v>47</v>
      </c>
      <c r="G3270" t="s">
        <v>48</v>
      </c>
      <c r="H3270" t="s">
        <v>49</v>
      </c>
      <c r="I3270" t="s">
        <v>62</v>
      </c>
      <c r="J3270" t="s">
        <v>1162</v>
      </c>
      <c r="K3270" t="s">
        <v>2449</v>
      </c>
      <c r="L3270" t="s">
        <v>53</v>
      </c>
      <c r="N3270" t="s">
        <v>5332</v>
      </c>
      <c r="P3270" t="s">
        <v>55</v>
      </c>
      <c r="R3270" t="s">
        <v>118</v>
      </c>
      <c r="T3270" t="s">
        <v>5333</v>
      </c>
      <c r="U3270" t="s">
        <v>55</v>
      </c>
      <c r="V3270">
        <v>1</v>
      </c>
      <c r="W3270">
        <v>1</v>
      </c>
      <c r="X3270">
        <v>2</v>
      </c>
      <c r="Y3270">
        <v>0</v>
      </c>
      <c r="Z3270">
        <v>2</v>
      </c>
      <c r="AA3270">
        <v>0</v>
      </c>
      <c r="AB3270">
        <v>119.34</v>
      </c>
      <c r="AC3270">
        <v>105</v>
      </c>
      <c r="AD3270">
        <v>0</v>
      </c>
      <c r="AE3270">
        <v>14.34</v>
      </c>
      <c r="AF3270">
        <v>0</v>
      </c>
      <c r="AG3270">
        <v>0</v>
      </c>
      <c r="AH3270">
        <v>0</v>
      </c>
      <c r="AI3270">
        <v>17.899999999999999</v>
      </c>
      <c r="AJ3270">
        <v>119.34</v>
      </c>
      <c r="AK3270">
        <v>0</v>
      </c>
      <c r="AL3270" t="s">
        <v>53</v>
      </c>
      <c r="AM3270" t="s">
        <v>53</v>
      </c>
      <c r="AN3270" t="s">
        <v>53</v>
      </c>
      <c r="AO3270" t="s">
        <v>53</v>
      </c>
      <c r="AP3270" t="s">
        <v>53</v>
      </c>
    </row>
    <row r="3271" spans="2:42" x14ac:dyDescent="0.2">
      <c r="B3271" t="s">
        <v>44</v>
      </c>
      <c r="C3271" t="str">
        <f>HYPERLINK("https://us2.cloudbeds.com/connect/8493803454333002#/reservations/26810488881378?display=J22N4CYWE&amp;reservation_id=26810488881378", "J22N4CYWE")</f>
        <v>J22N4CYWE</v>
      </c>
      <c r="D3271" t="s">
        <v>45</v>
      </c>
      <c r="E3271" t="s">
        <v>165</v>
      </c>
      <c r="F3271" t="s">
        <v>61</v>
      </c>
      <c r="G3271" t="s">
        <v>48</v>
      </c>
      <c r="H3271" t="s">
        <v>49</v>
      </c>
      <c r="I3271" t="s">
        <v>50</v>
      </c>
      <c r="J3271" t="s">
        <v>5155</v>
      </c>
      <c r="K3271" t="s">
        <v>5079</v>
      </c>
      <c r="L3271" t="s">
        <v>53</v>
      </c>
      <c r="N3271" t="s">
        <v>5334</v>
      </c>
      <c r="P3271" t="s">
        <v>55</v>
      </c>
      <c r="R3271" t="s">
        <v>53</v>
      </c>
      <c r="T3271" t="s">
        <v>5335</v>
      </c>
      <c r="U3271" t="s">
        <v>58</v>
      </c>
      <c r="V3271">
        <v>1</v>
      </c>
      <c r="W3271">
        <v>1</v>
      </c>
      <c r="X3271">
        <v>1</v>
      </c>
      <c r="Y3271">
        <v>0</v>
      </c>
      <c r="Z3271">
        <v>1</v>
      </c>
      <c r="AA3271">
        <v>0</v>
      </c>
      <c r="AB3271">
        <v>114.56</v>
      </c>
      <c r="AC3271">
        <v>100.8</v>
      </c>
      <c r="AD3271">
        <v>0</v>
      </c>
      <c r="AE3271">
        <v>13.76</v>
      </c>
      <c r="AF3271">
        <v>0</v>
      </c>
      <c r="AG3271">
        <v>0</v>
      </c>
      <c r="AH3271">
        <v>0</v>
      </c>
      <c r="AI3271">
        <v>20.62</v>
      </c>
      <c r="AJ3271">
        <v>114.56</v>
      </c>
      <c r="AK3271">
        <v>0</v>
      </c>
      <c r="AL3271" t="s">
        <v>53</v>
      </c>
      <c r="AM3271" t="s">
        <v>53</v>
      </c>
      <c r="AN3271" t="s">
        <v>5336</v>
      </c>
      <c r="AO3271" t="s">
        <v>53</v>
      </c>
      <c r="AP3271" t="s">
        <v>53</v>
      </c>
    </row>
    <row r="3272" spans="2:42" x14ac:dyDescent="0.2">
      <c r="B3272" t="s">
        <v>44</v>
      </c>
      <c r="C3272" t="str">
        <f>HYPERLINK("https://us2.cloudbeds.com/connect/8493803454333002#/reservations/26876466057393?display=J3KQ02RUH&amp;reservation_id=26876466057393", "J3KQ02RUH")</f>
        <v>J3KQ02RUH</v>
      </c>
      <c r="D3272" t="s">
        <v>45</v>
      </c>
      <c r="E3272" t="s">
        <v>373</v>
      </c>
      <c r="F3272" t="s">
        <v>47</v>
      </c>
      <c r="G3272" t="s">
        <v>48</v>
      </c>
      <c r="H3272" t="s">
        <v>49</v>
      </c>
      <c r="I3272" t="s">
        <v>62</v>
      </c>
      <c r="J3272" t="s">
        <v>3339</v>
      </c>
      <c r="K3272" t="s">
        <v>1778</v>
      </c>
      <c r="L3272" t="s">
        <v>53</v>
      </c>
      <c r="N3272" t="s">
        <v>5337</v>
      </c>
      <c r="P3272" t="s">
        <v>55</v>
      </c>
      <c r="R3272" t="s">
        <v>56</v>
      </c>
      <c r="T3272" t="s">
        <v>5338</v>
      </c>
      <c r="U3272" t="s">
        <v>55</v>
      </c>
      <c r="V3272">
        <v>2</v>
      </c>
      <c r="W3272">
        <v>1</v>
      </c>
      <c r="X3272">
        <v>2</v>
      </c>
      <c r="Y3272">
        <v>0</v>
      </c>
      <c r="Z3272">
        <v>2</v>
      </c>
      <c r="AA3272">
        <v>0</v>
      </c>
      <c r="AB3272">
        <v>238.68</v>
      </c>
      <c r="AC3272">
        <v>210</v>
      </c>
      <c r="AD3272">
        <v>0</v>
      </c>
      <c r="AE3272">
        <v>28.68</v>
      </c>
      <c r="AF3272">
        <v>0</v>
      </c>
      <c r="AG3272">
        <v>0</v>
      </c>
      <c r="AH3272">
        <v>0</v>
      </c>
      <c r="AI3272">
        <v>35.799999999999997</v>
      </c>
      <c r="AJ3272">
        <v>238.68</v>
      </c>
      <c r="AK3272">
        <v>0</v>
      </c>
      <c r="AL3272" t="s">
        <v>53</v>
      </c>
      <c r="AM3272" t="s">
        <v>53</v>
      </c>
      <c r="AN3272" t="s">
        <v>53</v>
      </c>
      <c r="AO3272" t="s">
        <v>53</v>
      </c>
      <c r="AP3272" t="s">
        <v>53</v>
      </c>
    </row>
    <row r="3273" spans="2:42" x14ac:dyDescent="0.2">
      <c r="B3273" t="s">
        <v>44</v>
      </c>
      <c r="C3273" t="str">
        <f>HYPERLINK("https://us2.cloudbeds.com/connect/8493803454333002#/reservations/26894713446566?display=J41U8PBGJ&amp;reservation_id=26894713446566", "J41U8PBGJ")</f>
        <v>J41U8PBGJ</v>
      </c>
      <c r="D3273" t="s">
        <v>45</v>
      </c>
      <c r="E3273" t="s">
        <v>305</v>
      </c>
      <c r="F3273" t="s">
        <v>61</v>
      </c>
      <c r="G3273" t="s">
        <v>48</v>
      </c>
      <c r="H3273" t="s">
        <v>49</v>
      </c>
      <c r="I3273" t="s">
        <v>50</v>
      </c>
      <c r="J3273" t="s">
        <v>1162</v>
      </c>
      <c r="K3273" t="s">
        <v>2449</v>
      </c>
      <c r="L3273" t="s">
        <v>53</v>
      </c>
      <c r="N3273" t="s">
        <v>5339</v>
      </c>
      <c r="P3273" t="s">
        <v>55</v>
      </c>
      <c r="R3273" t="s">
        <v>53</v>
      </c>
      <c r="T3273" t="s">
        <v>5340</v>
      </c>
      <c r="U3273" t="s">
        <v>58</v>
      </c>
      <c r="V3273">
        <v>1</v>
      </c>
      <c r="W3273">
        <v>1</v>
      </c>
      <c r="X3273">
        <v>2</v>
      </c>
      <c r="Y3273">
        <v>0</v>
      </c>
      <c r="Z3273">
        <v>2</v>
      </c>
      <c r="AA3273">
        <v>0</v>
      </c>
      <c r="AB3273">
        <v>127.29</v>
      </c>
      <c r="AC3273">
        <v>112</v>
      </c>
      <c r="AD3273">
        <v>0</v>
      </c>
      <c r="AE3273">
        <v>15.29</v>
      </c>
      <c r="AF3273">
        <v>0</v>
      </c>
      <c r="AG3273">
        <v>0</v>
      </c>
      <c r="AH3273">
        <v>0</v>
      </c>
      <c r="AI3273">
        <v>22.91</v>
      </c>
      <c r="AJ3273">
        <v>127.29</v>
      </c>
      <c r="AK3273">
        <v>0</v>
      </c>
      <c r="AL3273" t="s">
        <v>53</v>
      </c>
      <c r="AM3273" t="s">
        <v>53</v>
      </c>
      <c r="AN3273" t="s">
        <v>53</v>
      </c>
      <c r="AO3273" t="s">
        <v>53</v>
      </c>
      <c r="AP3273" t="s">
        <v>53</v>
      </c>
    </row>
    <row r="3274" spans="2:42" x14ac:dyDescent="0.2">
      <c r="B3274" t="s">
        <v>44</v>
      </c>
      <c r="C3274" t="str">
        <f>HYPERLINK("https://us2.cloudbeds.com/connect/8493803454333002#/reservations/26907007164587?display=J4BED55PA&amp;reservation_id=26907007164587", "J4BED55PA")</f>
        <v>J4BED55PA</v>
      </c>
      <c r="D3274" t="s">
        <v>45</v>
      </c>
      <c r="E3274" t="s">
        <v>373</v>
      </c>
      <c r="F3274" t="s">
        <v>47</v>
      </c>
      <c r="G3274" t="s">
        <v>48</v>
      </c>
      <c r="H3274" t="s">
        <v>3957</v>
      </c>
      <c r="I3274" t="s">
        <v>3975</v>
      </c>
      <c r="J3274" t="s">
        <v>2449</v>
      </c>
      <c r="K3274" t="s">
        <v>3882</v>
      </c>
      <c r="L3274" t="s">
        <v>53</v>
      </c>
      <c r="P3274" t="s">
        <v>55</v>
      </c>
      <c r="R3274" t="s">
        <v>56</v>
      </c>
      <c r="T3274" t="s">
        <v>5341</v>
      </c>
      <c r="U3274" t="s">
        <v>58</v>
      </c>
      <c r="V3274">
        <v>3</v>
      </c>
      <c r="W3274">
        <v>1</v>
      </c>
      <c r="X3274">
        <v>2</v>
      </c>
      <c r="Y3274">
        <v>0</v>
      </c>
      <c r="Z3274">
        <v>2</v>
      </c>
      <c r="AA3274">
        <v>0</v>
      </c>
      <c r="AB3274">
        <v>387.57</v>
      </c>
      <c r="AC3274">
        <v>341</v>
      </c>
      <c r="AD3274">
        <v>0</v>
      </c>
      <c r="AE3274">
        <v>46.57</v>
      </c>
      <c r="AF3274">
        <v>0</v>
      </c>
      <c r="AG3274">
        <v>0</v>
      </c>
      <c r="AH3274">
        <v>0</v>
      </c>
      <c r="AI3274">
        <v>0</v>
      </c>
      <c r="AJ3274">
        <v>387.57</v>
      </c>
      <c r="AK3274">
        <v>0</v>
      </c>
      <c r="AL3274" t="s">
        <v>53</v>
      </c>
      <c r="AM3274" t="s">
        <v>53</v>
      </c>
      <c r="AN3274" t="s">
        <v>53</v>
      </c>
      <c r="AO3274" t="s">
        <v>53</v>
      </c>
      <c r="AP3274" t="s">
        <v>53</v>
      </c>
    </row>
    <row r="3275" spans="2:42" x14ac:dyDescent="0.2">
      <c r="B3275" t="s">
        <v>44</v>
      </c>
      <c r="C3275" t="str">
        <f>HYPERLINK("https://us2.cloudbeds.com/connect/8493803454333002#/reservations/26914278322327?display=J4H26CS9Y&amp;reservation_id=26914278322327", "J4H26CS9Y")</f>
        <v>J4H26CS9Y</v>
      </c>
      <c r="D3275" t="s">
        <v>45</v>
      </c>
      <c r="E3275" t="s">
        <v>381</v>
      </c>
      <c r="F3275" t="s">
        <v>47</v>
      </c>
      <c r="G3275" t="s">
        <v>48</v>
      </c>
      <c r="H3275" t="s">
        <v>49</v>
      </c>
      <c r="I3275" t="s">
        <v>62</v>
      </c>
      <c r="J3275" t="s">
        <v>2449</v>
      </c>
      <c r="K3275" t="s">
        <v>1258</v>
      </c>
      <c r="L3275" t="s">
        <v>53</v>
      </c>
      <c r="N3275" t="s">
        <v>5342</v>
      </c>
      <c r="P3275" t="s">
        <v>55</v>
      </c>
      <c r="R3275" t="s">
        <v>56</v>
      </c>
      <c r="T3275" t="s">
        <v>5343</v>
      </c>
      <c r="U3275" t="s">
        <v>55</v>
      </c>
      <c r="V3275">
        <v>2</v>
      </c>
      <c r="W3275">
        <v>1</v>
      </c>
      <c r="X3275">
        <v>2</v>
      </c>
      <c r="Y3275">
        <v>0</v>
      </c>
      <c r="Z3275">
        <v>2</v>
      </c>
      <c r="AA3275">
        <v>0</v>
      </c>
      <c r="AB3275">
        <v>238.68</v>
      </c>
      <c r="AC3275">
        <v>210</v>
      </c>
      <c r="AD3275">
        <v>0</v>
      </c>
      <c r="AE3275">
        <v>28.68</v>
      </c>
      <c r="AF3275">
        <v>0</v>
      </c>
      <c r="AG3275">
        <v>0</v>
      </c>
      <c r="AH3275">
        <v>0</v>
      </c>
      <c r="AI3275">
        <v>35.799999999999997</v>
      </c>
      <c r="AJ3275">
        <v>238.68</v>
      </c>
      <c r="AK3275">
        <v>0</v>
      </c>
      <c r="AL3275" t="s">
        <v>53</v>
      </c>
      <c r="AM3275" t="s">
        <v>53</v>
      </c>
      <c r="AN3275" t="s">
        <v>5344</v>
      </c>
      <c r="AO3275" t="s">
        <v>53</v>
      </c>
      <c r="AP3275" t="s">
        <v>53</v>
      </c>
    </row>
    <row r="3276" spans="2:42" x14ac:dyDescent="0.2">
      <c r="B3276" t="s">
        <v>44</v>
      </c>
      <c r="C3276" t="str">
        <f>HYPERLINK("https://us2.cloudbeds.com/connect/8493803454333002#/reservations/26925844574366?display=J4Q0ZBSNM&amp;reservation_id=26925844574366", "J4Q0ZBSNM")</f>
        <v>J4Q0ZBSNM</v>
      </c>
      <c r="D3276" t="s">
        <v>45</v>
      </c>
      <c r="E3276" t="s">
        <v>78</v>
      </c>
      <c r="F3276" t="s">
        <v>61</v>
      </c>
      <c r="G3276" t="s">
        <v>48</v>
      </c>
      <c r="H3276" t="s">
        <v>49</v>
      </c>
      <c r="I3276" t="s">
        <v>62</v>
      </c>
      <c r="J3276" t="s">
        <v>1716</v>
      </c>
      <c r="K3276" t="s">
        <v>1258</v>
      </c>
      <c r="L3276" t="s">
        <v>53</v>
      </c>
      <c r="N3276" t="s">
        <v>5345</v>
      </c>
      <c r="P3276" t="s">
        <v>55</v>
      </c>
      <c r="R3276" t="s">
        <v>56</v>
      </c>
      <c r="T3276" t="s">
        <v>5346</v>
      </c>
      <c r="U3276" t="s">
        <v>55</v>
      </c>
      <c r="V3276">
        <v>1</v>
      </c>
      <c r="W3276">
        <v>1</v>
      </c>
      <c r="X3276">
        <v>2</v>
      </c>
      <c r="Y3276">
        <v>0</v>
      </c>
      <c r="Z3276">
        <v>2</v>
      </c>
      <c r="AA3276">
        <v>0</v>
      </c>
      <c r="AB3276">
        <v>127.29</v>
      </c>
      <c r="AC3276">
        <v>112</v>
      </c>
      <c r="AD3276">
        <v>0</v>
      </c>
      <c r="AE3276">
        <v>15.29</v>
      </c>
      <c r="AF3276">
        <v>0</v>
      </c>
      <c r="AG3276">
        <v>0</v>
      </c>
      <c r="AH3276">
        <v>0</v>
      </c>
      <c r="AI3276">
        <v>19.09</v>
      </c>
      <c r="AJ3276">
        <v>127.29</v>
      </c>
      <c r="AK3276">
        <v>0</v>
      </c>
      <c r="AL3276" t="s">
        <v>53</v>
      </c>
      <c r="AM3276" t="s">
        <v>53</v>
      </c>
      <c r="AN3276" t="s">
        <v>53</v>
      </c>
      <c r="AO3276" t="s">
        <v>53</v>
      </c>
      <c r="AP3276" t="s">
        <v>53</v>
      </c>
    </row>
    <row r="3277" spans="2:42" x14ac:dyDescent="0.2">
      <c r="B3277" t="s">
        <v>44</v>
      </c>
      <c r="C3277" t="str">
        <f>HYPERLINK("https://us2.cloudbeds.com/connect/8493803454333002#/reservations/26934339064006?display=J4WJQ4XMY&amp;reservation_id=26934339064006", "J4WJQ4XMY")</f>
        <v>J4WJQ4XMY</v>
      </c>
      <c r="D3277" t="s">
        <v>45</v>
      </c>
      <c r="E3277" t="s">
        <v>92</v>
      </c>
      <c r="F3277" t="s">
        <v>86</v>
      </c>
      <c r="G3277" t="s">
        <v>48</v>
      </c>
      <c r="H3277" t="s">
        <v>49</v>
      </c>
      <c r="I3277" t="s">
        <v>50</v>
      </c>
      <c r="J3277" t="s">
        <v>5347</v>
      </c>
      <c r="K3277" t="s">
        <v>5229</v>
      </c>
      <c r="L3277" t="s">
        <v>53</v>
      </c>
      <c r="N3277" t="s">
        <v>5348</v>
      </c>
      <c r="P3277" t="s">
        <v>55</v>
      </c>
      <c r="R3277" t="s">
        <v>53</v>
      </c>
      <c r="T3277" t="s">
        <v>5349</v>
      </c>
      <c r="U3277" t="s">
        <v>58</v>
      </c>
      <c r="V3277">
        <v>1</v>
      </c>
      <c r="W3277">
        <v>1</v>
      </c>
      <c r="X3277">
        <v>2</v>
      </c>
      <c r="Y3277">
        <v>0</v>
      </c>
      <c r="Z3277">
        <v>2</v>
      </c>
      <c r="AA3277">
        <v>0</v>
      </c>
      <c r="AB3277">
        <v>83.77</v>
      </c>
      <c r="AC3277">
        <v>73.709999999999994</v>
      </c>
      <c r="AD3277">
        <v>0</v>
      </c>
      <c r="AE3277">
        <v>10.06</v>
      </c>
      <c r="AF3277">
        <v>0</v>
      </c>
      <c r="AG3277">
        <v>0</v>
      </c>
      <c r="AH3277">
        <v>0</v>
      </c>
      <c r="AI3277">
        <v>15.08</v>
      </c>
      <c r="AJ3277">
        <v>83.77</v>
      </c>
      <c r="AK3277">
        <v>0</v>
      </c>
      <c r="AL3277" t="s">
        <v>53</v>
      </c>
      <c r="AM3277" t="s">
        <v>53</v>
      </c>
      <c r="AN3277" t="s">
        <v>53</v>
      </c>
      <c r="AO3277" t="s">
        <v>53</v>
      </c>
      <c r="AP3277" t="s">
        <v>53</v>
      </c>
    </row>
    <row r="3278" spans="2:42" x14ac:dyDescent="0.2">
      <c r="B3278" t="s">
        <v>44</v>
      </c>
      <c r="C3278" t="str">
        <f>HYPERLINK("https://us2.cloudbeds.com/connect/8493803454333002#/reservations/26947371569376?display=J59MQG7TQ&amp;reservation_id=26947371569376", "J59MQG7TQ")</f>
        <v>J59MQG7TQ</v>
      </c>
      <c r="D3278" t="s">
        <v>45</v>
      </c>
      <c r="E3278" t="s">
        <v>190</v>
      </c>
      <c r="F3278" t="s">
        <v>61</v>
      </c>
      <c r="G3278" t="s">
        <v>48</v>
      </c>
      <c r="H3278" t="s">
        <v>3957</v>
      </c>
      <c r="I3278" t="s">
        <v>3975</v>
      </c>
      <c r="J3278" t="s">
        <v>1259</v>
      </c>
      <c r="K3278" t="s">
        <v>3232</v>
      </c>
      <c r="L3278" t="s">
        <v>53</v>
      </c>
      <c r="P3278" t="s">
        <v>55</v>
      </c>
      <c r="R3278" t="s">
        <v>56</v>
      </c>
      <c r="T3278" t="s">
        <v>5350</v>
      </c>
      <c r="U3278" t="s">
        <v>58</v>
      </c>
      <c r="V3278">
        <v>2</v>
      </c>
      <c r="W3278">
        <v>1</v>
      </c>
      <c r="X3278">
        <v>2</v>
      </c>
      <c r="Y3278">
        <v>0</v>
      </c>
      <c r="Z3278">
        <v>2</v>
      </c>
      <c r="AA3278">
        <v>0</v>
      </c>
      <c r="AB3278">
        <v>254.58</v>
      </c>
      <c r="AC3278">
        <v>224</v>
      </c>
      <c r="AD3278">
        <v>0</v>
      </c>
      <c r="AE3278">
        <v>30.58</v>
      </c>
      <c r="AF3278">
        <v>0</v>
      </c>
      <c r="AG3278">
        <v>0</v>
      </c>
      <c r="AH3278">
        <v>0</v>
      </c>
      <c r="AI3278">
        <v>0</v>
      </c>
      <c r="AJ3278">
        <v>254.58</v>
      </c>
      <c r="AK3278">
        <v>0</v>
      </c>
      <c r="AL3278" t="s">
        <v>53</v>
      </c>
      <c r="AM3278" t="s">
        <v>53</v>
      </c>
      <c r="AN3278" t="s">
        <v>53</v>
      </c>
      <c r="AO3278" t="s">
        <v>53</v>
      </c>
      <c r="AP3278" t="s">
        <v>53</v>
      </c>
    </row>
    <row r="3279" spans="2:42" x14ac:dyDescent="0.2">
      <c r="B3279" t="s">
        <v>44</v>
      </c>
      <c r="C3279" t="str">
        <f>HYPERLINK("https://us2.cloudbeds.com/connect/8493803454333002#/reservations/26961194332366?display=J5KD06WSX&amp;reservation_id=26961194332366", "J5KD06WSX")</f>
        <v>J5KD06WSX</v>
      </c>
      <c r="D3279" t="s">
        <v>602</v>
      </c>
      <c r="E3279" t="s">
        <v>53</v>
      </c>
      <c r="F3279" t="s">
        <v>70</v>
      </c>
      <c r="G3279" t="s">
        <v>48</v>
      </c>
      <c r="H3279" t="s">
        <v>49</v>
      </c>
      <c r="I3279" t="s">
        <v>50</v>
      </c>
      <c r="J3279" t="s">
        <v>5351</v>
      </c>
      <c r="K3279" t="s">
        <v>5321</v>
      </c>
      <c r="L3279" t="s">
        <v>53</v>
      </c>
      <c r="N3279" t="s">
        <v>5352</v>
      </c>
      <c r="P3279" t="s">
        <v>55</v>
      </c>
      <c r="R3279" t="s">
        <v>53</v>
      </c>
      <c r="T3279" t="s">
        <v>5353</v>
      </c>
      <c r="U3279" t="s">
        <v>58</v>
      </c>
      <c r="V3279">
        <v>6</v>
      </c>
      <c r="W3279">
        <v>1</v>
      </c>
      <c r="X3279">
        <v>1</v>
      </c>
      <c r="Y3279">
        <v>0</v>
      </c>
      <c r="Z3279">
        <v>1</v>
      </c>
      <c r="AA3279">
        <v>0</v>
      </c>
      <c r="AB3279">
        <v>0</v>
      </c>
      <c r="AC3279">
        <v>0</v>
      </c>
      <c r="AD3279">
        <v>0</v>
      </c>
      <c r="AE3279">
        <v>0</v>
      </c>
      <c r="AF3279">
        <v>0</v>
      </c>
      <c r="AG3279">
        <v>0</v>
      </c>
      <c r="AH3279">
        <v>0</v>
      </c>
      <c r="AI3279">
        <v>90.47</v>
      </c>
      <c r="AJ3279">
        <v>0</v>
      </c>
      <c r="AK3279">
        <v>0</v>
      </c>
      <c r="AL3279">
        <v>442.26</v>
      </c>
      <c r="AM3279">
        <v>502.61</v>
      </c>
      <c r="AN3279" t="s">
        <v>53</v>
      </c>
      <c r="AO3279" t="s">
        <v>53</v>
      </c>
      <c r="AP3279" t="s">
        <v>53</v>
      </c>
    </row>
    <row r="3280" spans="2:42" x14ac:dyDescent="0.2">
      <c r="B3280" t="s">
        <v>44</v>
      </c>
      <c r="C3280" t="str">
        <f>HYPERLINK("https://us2.cloudbeds.com/connect/8493803454333002#/reservations/27047564845234?display=J7Y8W3RJ9&amp;reservation_id=27047564845234", "J7Y8W3RJ9")</f>
        <v>J7Y8W3RJ9</v>
      </c>
      <c r="D3280" t="s">
        <v>45</v>
      </c>
      <c r="E3280" t="s">
        <v>487</v>
      </c>
      <c r="F3280" t="s">
        <v>61</v>
      </c>
      <c r="G3280" t="s">
        <v>48</v>
      </c>
      <c r="H3280" t="s">
        <v>49</v>
      </c>
      <c r="I3280" t="s">
        <v>50</v>
      </c>
      <c r="J3280" t="s">
        <v>2449</v>
      </c>
      <c r="K3280" t="s">
        <v>1716</v>
      </c>
      <c r="L3280" t="s">
        <v>53</v>
      </c>
      <c r="N3280" t="s">
        <v>5354</v>
      </c>
      <c r="P3280" t="s">
        <v>55</v>
      </c>
      <c r="R3280" t="s">
        <v>53</v>
      </c>
      <c r="T3280" t="s">
        <v>5355</v>
      </c>
      <c r="U3280" t="s">
        <v>58</v>
      </c>
      <c r="V3280">
        <v>1</v>
      </c>
      <c r="W3280">
        <v>1</v>
      </c>
      <c r="X3280">
        <v>1</v>
      </c>
      <c r="Y3280">
        <v>0</v>
      </c>
      <c r="Z3280">
        <v>1</v>
      </c>
      <c r="AA3280">
        <v>0</v>
      </c>
      <c r="AB3280">
        <v>108.19</v>
      </c>
      <c r="AC3280">
        <v>95.2</v>
      </c>
      <c r="AD3280">
        <v>0</v>
      </c>
      <c r="AE3280">
        <v>12.99</v>
      </c>
      <c r="AF3280">
        <v>0</v>
      </c>
      <c r="AG3280">
        <v>0</v>
      </c>
      <c r="AH3280">
        <v>0</v>
      </c>
      <c r="AI3280">
        <v>19.47</v>
      </c>
      <c r="AJ3280">
        <v>108.19</v>
      </c>
      <c r="AK3280">
        <v>0</v>
      </c>
      <c r="AL3280" t="s">
        <v>53</v>
      </c>
      <c r="AM3280" t="s">
        <v>53</v>
      </c>
      <c r="AN3280" t="s">
        <v>53</v>
      </c>
      <c r="AO3280" t="s">
        <v>53</v>
      </c>
      <c r="AP3280" t="s">
        <v>53</v>
      </c>
    </row>
    <row r="3281" spans="2:42" x14ac:dyDescent="0.2">
      <c r="B3281" t="s">
        <v>44</v>
      </c>
      <c r="C3281" t="str">
        <f>HYPERLINK("https://us2.cloudbeds.com/connect/8493803454333002#/reservations/27081260060879?display=J8EBVQT31&amp;reservation_id=27081260060879", "J8EBVQT31")</f>
        <v>J8EBVQT31</v>
      </c>
      <c r="D3281" t="s">
        <v>45</v>
      </c>
      <c r="E3281" t="s">
        <v>105</v>
      </c>
      <c r="F3281" t="s">
        <v>47</v>
      </c>
      <c r="G3281" t="s">
        <v>48</v>
      </c>
      <c r="H3281" t="s">
        <v>49</v>
      </c>
      <c r="I3281" t="s">
        <v>62</v>
      </c>
      <c r="J3281" t="s">
        <v>1716</v>
      </c>
      <c r="K3281" t="s">
        <v>1258</v>
      </c>
      <c r="L3281" t="s">
        <v>53</v>
      </c>
      <c r="N3281" t="s">
        <v>5356</v>
      </c>
      <c r="P3281" t="s">
        <v>55</v>
      </c>
      <c r="R3281" t="s">
        <v>125</v>
      </c>
      <c r="T3281" t="s">
        <v>5357</v>
      </c>
      <c r="U3281" t="s">
        <v>55</v>
      </c>
      <c r="V3281">
        <v>1</v>
      </c>
      <c r="W3281">
        <v>1</v>
      </c>
      <c r="X3281">
        <v>2</v>
      </c>
      <c r="Y3281">
        <v>0</v>
      </c>
      <c r="Z3281">
        <v>2</v>
      </c>
      <c r="AA3281">
        <v>0</v>
      </c>
      <c r="AB3281">
        <v>119.34</v>
      </c>
      <c r="AC3281">
        <v>105</v>
      </c>
      <c r="AD3281">
        <v>0</v>
      </c>
      <c r="AE3281">
        <v>14.34</v>
      </c>
      <c r="AF3281">
        <v>0</v>
      </c>
      <c r="AG3281">
        <v>0</v>
      </c>
      <c r="AH3281">
        <v>0</v>
      </c>
      <c r="AI3281">
        <v>17.899999999999999</v>
      </c>
      <c r="AJ3281">
        <v>119.34</v>
      </c>
      <c r="AK3281">
        <v>0</v>
      </c>
      <c r="AL3281" t="s">
        <v>53</v>
      </c>
      <c r="AM3281" t="s">
        <v>53</v>
      </c>
      <c r="AN3281" t="s">
        <v>53</v>
      </c>
      <c r="AO3281" t="s">
        <v>53</v>
      </c>
      <c r="AP3281" t="s">
        <v>53</v>
      </c>
    </row>
    <row r="3282" spans="2:42" x14ac:dyDescent="0.2">
      <c r="B3282" t="s">
        <v>44</v>
      </c>
      <c r="C3282" t="str">
        <f>HYPERLINK("https://us2.cloudbeds.com/connect/8493803454333002#/reservations/27229998567677?display=JBUHJ22VP&amp;reservation_id=27229998567677", "JBUHJ22VP")</f>
        <v>JBUHJ22VP</v>
      </c>
      <c r="D3282" t="s">
        <v>45</v>
      </c>
      <c r="E3282" t="s">
        <v>113</v>
      </c>
      <c r="F3282" t="s">
        <v>61</v>
      </c>
      <c r="G3282" t="s">
        <v>48</v>
      </c>
      <c r="H3282" t="s">
        <v>3957</v>
      </c>
      <c r="I3282" t="s">
        <v>3975</v>
      </c>
      <c r="J3282" t="s">
        <v>4840</v>
      </c>
      <c r="K3282" t="s">
        <v>4841</v>
      </c>
      <c r="L3282" t="s">
        <v>53</v>
      </c>
      <c r="P3282" t="s">
        <v>58</v>
      </c>
      <c r="R3282" t="s">
        <v>56</v>
      </c>
      <c r="T3282" t="s">
        <v>5358</v>
      </c>
      <c r="U3282" t="s">
        <v>58</v>
      </c>
      <c r="V3282">
        <v>2</v>
      </c>
      <c r="W3282">
        <v>1</v>
      </c>
      <c r="X3282">
        <v>2</v>
      </c>
      <c r="Y3282">
        <v>0</v>
      </c>
      <c r="Z3282">
        <v>2</v>
      </c>
      <c r="AA3282">
        <v>0</v>
      </c>
      <c r="AB3282">
        <v>196.62</v>
      </c>
      <c r="AC3282">
        <v>173</v>
      </c>
      <c r="AD3282">
        <v>0</v>
      </c>
      <c r="AE3282">
        <v>23.62</v>
      </c>
      <c r="AF3282">
        <v>0</v>
      </c>
      <c r="AG3282">
        <v>0</v>
      </c>
      <c r="AH3282">
        <v>0</v>
      </c>
      <c r="AI3282">
        <v>0</v>
      </c>
      <c r="AJ3282">
        <v>196.62</v>
      </c>
      <c r="AK3282">
        <v>0</v>
      </c>
      <c r="AL3282" t="s">
        <v>53</v>
      </c>
      <c r="AM3282" t="s">
        <v>53</v>
      </c>
      <c r="AN3282" t="s">
        <v>53</v>
      </c>
      <c r="AO3282" t="s">
        <v>53</v>
      </c>
      <c r="AP3282" t="s">
        <v>53</v>
      </c>
    </row>
    <row r="3283" spans="2:42" x14ac:dyDescent="0.2">
      <c r="B3283" t="s">
        <v>44</v>
      </c>
      <c r="C3283" t="str">
        <f>HYPERLINK("https://us2.cloudbeds.com/connect/8493803454333002#/reservations/27231716966587?display=JBVSG22D0&amp;reservation_id=27231716966587", "JBVSG22D0")</f>
        <v>JBVSG22D0</v>
      </c>
      <c r="D3283" t="s">
        <v>45</v>
      </c>
      <c r="E3283" t="s">
        <v>305</v>
      </c>
      <c r="F3283" t="s">
        <v>61</v>
      </c>
      <c r="G3283" t="s">
        <v>48</v>
      </c>
      <c r="H3283" t="s">
        <v>49</v>
      </c>
      <c r="I3283" t="s">
        <v>50</v>
      </c>
      <c r="J3283" t="s">
        <v>2449</v>
      </c>
      <c r="K3283" t="s">
        <v>1716</v>
      </c>
      <c r="L3283" t="s">
        <v>53</v>
      </c>
      <c r="N3283" t="s">
        <v>5359</v>
      </c>
      <c r="P3283" t="s">
        <v>55</v>
      </c>
      <c r="R3283" t="s">
        <v>53</v>
      </c>
      <c r="T3283" t="s">
        <v>5360</v>
      </c>
      <c r="U3283" t="s">
        <v>58</v>
      </c>
      <c r="V3283">
        <v>1</v>
      </c>
      <c r="W3283">
        <v>1</v>
      </c>
      <c r="X3283">
        <v>2</v>
      </c>
      <c r="Y3283">
        <v>0</v>
      </c>
      <c r="Z3283">
        <v>2</v>
      </c>
      <c r="AA3283">
        <v>0</v>
      </c>
      <c r="AB3283">
        <v>108.19</v>
      </c>
      <c r="AC3283">
        <v>95.2</v>
      </c>
      <c r="AD3283">
        <v>0</v>
      </c>
      <c r="AE3283">
        <v>12.99</v>
      </c>
      <c r="AF3283">
        <v>0</v>
      </c>
      <c r="AG3283">
        <v>0</v>
      </c>
      <c r="AH3283">
        <v>0</v>
      </c>
      <c r="AI3283">
        <v>19.47</v>
      </c>
      <c r="AJ3283">
        <v>108.19</v>
      </c>
      <c r="AK3283">
        <v>0</v>
      </c>
      <c r="AL3283" t="s">
        <v>53</v>
      </c>
      <c r="AM3283" t="s">
        <v>53</v>
      </c>
      <c r="AN3283" t="s">
        <v>53</v>
      </c>
      <c r="AO3283" t="s">
        <v>53</v>
      </c>
      <c r="AP3283" t="s">
        <v>53</v>
      </c>
    </row>
    <row r="3284" spans="2:42" x14ac:dyDescent="0.2">
      <c r="B3284" t="s">
        <v>44</v>
      </c>
      <c r="C3284" t="str">
        <f>HYPERLINK("https://us2.cloudbeds.com/connect/8493803454333002#/reservations/27253799690466?display=JCFVZQDZT&amp;reservation_id=27253799690466", "JCFVZQDZT")</f>
        <v>JCFVZQDZT</v>
      </c>
      <c r="D3284" t="s">
        <v>45</v>
      </c>
      <c r="E3284" t="s">
        <v>155</v>
      </c>
      <c r="F3284" t="s">
        <v>86</v>
      </c>
      <c r="G3284" t="s">
        <v>48</v>
      </c>
      <c r="H3284" t="s">
        <v>3957</v>
      </c>
      <c r="I3284" t="s">
        <v>3975</v>
      </c>
      <c r="J3284" t="s">
        <v>1716</v>
      </c>
      <c r="K3284" t="s">
        <v>3882</v>
      </c>
      <c r="L3284" t="s">
        <v>53</v>
      </c>
      <c r="P3284" t="s">
        <v>55</v>
      </c>
      <c r="R3284" t="s">
        <v>56</v>
      </c>
      <c r="T3284" t="s">
        <v>5361</v>
      </c>
      <c r="U3284" t="s">
        <v>58</v>
      </c>
      <c r="V3284">
        <v>2</v>
      </c>
      <c r="W3284">
        <v>1</v>
      </c>
      <c r="X3284">
        <v>2</v>
      </c>
      <c r="Y3284">
        <v>0</v>
      </c>
      <c r="Z3284">
        <v>2</v>
      </c>
      <c r="AA3284">
        <v>0</v>
      </c>
      <c r="AB3284">
        <v>285.27</v>
      </c>
      <c r="AC3284">
        <v>251</v>
      </c>
      <c r="AD3284">
        <v>0</v>
      </c>
      <c r="AE3284">
        <v>34.270000000000003</v>
      </c>
      <c r="AF3284">
        <v>0</v>
      </c>
      <c r="AG3284">
        <v>0</v>
      </c>
      <c r="AH3284">
        <v>0</v>
      </c>
      <c r="AI3284">
        <v>0</v>
      </c>
      <c r="AJ3284">
        <v>285.27</v>
      </c>
      <c r="AK3284">
        <v>0</v>
      </c>
      <c r="AL3284" t="s">
        <v>53</v>
      </c>
      <c r="AM3284" t="s">
        <v>53</v>
      </c>
      <c r="AN3284" t="s">
        <v>53</v>
      </c>
      <c r="AO3284" t="s">
        <v>53</v>
      </c>
      <c r="AP3284" t="s">
        <v>53</v>
      </c>
    </row>
    <row r="3285" spans="2:42" x14ac:dyDescent="0.2">
      <c r="B3285" t="s">
        <v>44</v>
      </c>
      <c r="C3285" t="str">
        <f>HYPERLINK("https://us2.cloudbeds.com/connect/8493803454333002#/reservations/27265951305963?display=JCPC8C10H&amp;reservation_id=27265951305963", "JCPC8C10H")</f>
        <v>JCPC8C10H</v>
      </c>
      <c r="D3285" t="s">
        <v>45</v>
      </c>
      <c r="E3285" t="s">
        <v>265</v>
      </c>
      <c r="F3285" t="s">
        <v>61</v>
      </c>
      <c r="G3285" t="s">
        <v>48</v>
      </c>
      <c r="H3285" t="s">
        <v>3957</v>
      </c>
      <c r="I3285" t="s">
        <v>3958</v>
      </c>
      <c r="J3285" t="s">
        <v>2449</v>
      </c>
      <c r="K3285" t="s">
        <v>1716</v>
      </c>
      <c r="L3285" t="s">
        <v>53</v>
      </c>
      <c r="P3285" t="s">
        <v>55</v>
      </c>
      <c r="R3285" t="s">
        <v>56</v>
      </c>
      <c r="T3285" t="s">
        <v>5362</v>
      </c>
      <c r="U3285" t="s">
        <v>58</v>
      </c>
      <c r="V3285">
        <v>1</v>
      </c>
      <c r="W3285">
        <v>1</v>
      </c>
      <c r="X3285">
        <v>1</v>
      </c>
      <c r="Y3285">
        <v>0</v>
      </c>
      <c r="Z3285">
        <v>1</v>
      </c>
      <c r="AA3285">
        <v>0</v>
      </c>
      <c r="AB3285">
        <v>127.29</v>
      </c>
      <c r="AC3285">
        <v>112</v>
      </c>
      <c r="AD3285">
        <v>0</v>
      </c>
      <c r="AE3285">
        <v>15.29</v>
      </c>
      <c r="AF3285">
        <v>0</v>
      </c>
      <c r="AG3285">
        <v>0</v>
      </c>
      <c r="AH3285">
        <v>0</v>
      </c>
      <c r="AI3285">
        <v>0</v>
      </c>
      <c r="AJ3285">
        <v>127.29</v>
      </c>
      <c r="AK3285">
        <v>0</v>
      </c>
      <c r="AL3285" t="s">
        <v>53</v>
      </c>
      <c r="AM3285" t="s">
        <v>53</v>
      </c>
      <c r="AN3285" t="s">
        <v>53</v>
      </c>
      <c r="AO3285" t="s">
        <v>53</v>
      </c>
      <c r="AP3285" t="s">
        <v>53</v>
      </c>
    </row>
    <row r="3286" spans="2:42" x14ac:dyDescent="0.2">
      <c r="B3286" t="s">
        <v>44</v>
      </c>
      <c r="C3286" t="str">
        <f>HYPERLINK("https://us2.cloudbeds.com/connect/8493803454333002#/reservations/27298207801537?display=JDHBFTXQC&amp;reservation_id=27298207801537", "JDHBFTXQC")</f>
        <v>JDHBFTXQC</v>
      </c>
      <c r="D3286" t="s">
        <v>45</v>
      </c>
      <c r="E3286" t="s">
        <v>185</v>
      </c>
      <c r="F3286" t="s">
        <v>47</v>
      </c>
      <c r="G3286" t="s">
        <v>48</v>
      </c>
      <c r="H3286" t="s">
        <v>49</v>
      </c>
      <c r="I3286" t="s">
        <v>50</v>
      </c>
      <c r="J3286" t="s">
        <v>1716</v>
      </c>
      <c r="K3286" t="s">
        <v>1258</v>
      </c>
      <c r="L3286" t="s">
        <v>53</v>
      </c>
      <c r="N3286" t="s">
        <v>5363</v>
      </c>
      <c r="P3286" t="s">
        <v>55</v>
      </c>
      <c r="R3286" t="s">
        <v>53</v>
      </c>
      <c r="T3286" t="s">
        <v>5364</v>
      </c>
      <c r="U3286" t="s">
        <v>58</v>
      </c>
      <c r="V3286">
        <v>1</v>
      </c>
      <c r="W3286">
        <v>1</v>
      </c>
      <c r="X3286">
        <v>1</v>
      </c>
      <c r="Y3286">
        <v>0</v>
      </c>
      <c r="Z3286">
        <v>1</v>
      </c>
      <c r="AA3286">
        <v>0</v>
      </c>
      <c r="AB3286">
        <v>107.4</v>
      </c>
      <c r="AC3286">
        <v>94.5</v>
      </c>
      <c r="AD3286">
        <v>0</v>
      </c>
      <c r="AE3286">
        <v>12.9</v>
      </c>
      <c r="AF3286">
        <v>0</v>
      </c>
      <c r="AG3286">
        <v>0</v>
      </c>
      <c r="AH3286">
        <v>0</v>
      </c>
      <c r="AI3286">
        <v>19.329999999999998</v>
      </c>
      <c r="AJ3286">
        <v>107.4</v>
      </c>
      <c r="AK3286">
        <v>0</v>
      </c>
      <c r="AL3286" t="s">
        <v>53</v>
      </c>
      <c r="AM3286" t="s">
        <v>53</v>
      </c>
      <c r="AN3286" t="s">
        <v>53</v>
      </c>
      <c r="AO3286" t="s">
        <v>53</v>
      </c>
      <c r="AP3286" t="s">
        <v>53</v>
      </c>
    </row>
    <row r="3287" spans="2:42" x14ac:dyDescent="0.2">
      <c r="B3287" t="s">
        <v>44</v>
      </c>
      <c r="C3287" t="str">
        <f>HYPERLINK("https://us2.cloudbeds.com/connect/8493803454333002#/reservations/27486336835772?display=JHV0K98TM&amp;reservation_id=27486336835772", "JHV0K98TM")</f>
        <v>JHV0K98TM</v>
      </c>
      <c r="D3287" t="s">
        <v>45</v>
      </c>
      <c r="E3287" t="s">
        <v>5365</v>
      </c>
      <c r="F3287" t="s">
        <v>2145</v>
      </c>
      <c r="G3287" t="s">
        <v>48</v>
      </c>
      <c r="H3287" t="s">
        <v>3957</v>
      </c>
      <c r="I3287" t="s">
        <v>3958</v>
      </c>
      <c r="J3287" t="s">
        <v>1259</v>
      </c>
      <c r="K3287" t="s">
        <v>3232</v>
      </c>
      <c r="L3287" t="s">
        <v>53</v>
      </c>
      <c r="P3287" t="s">
        <v>58</v>
      </c>
      <c r="R3287" t="s">
        <v>56</v>
      </c>
      <c r="T3287" t="s">
        <v>5366</v>
      </c>
      <c r="U3287" t="s">
        <v>58</v>
      </c>
      <c r="V3287">
        <v>6</v>
      </c>
      <c r="W3287">
        <v>3</v>
      </c>
      <c r="X3287">
        <v>3</v>
      </c>
      <c r="Y3287">
        <v>0</v>
      </c>
      <c r="Z3287">
        <v>3</v>
      </c>
      <c r="AA3287">
        <v>0</v>
      </c>
      <c r="AB3287">
        <v>797.86</v>
      </c>
      <c r="AC3287">
        <v>702</v>
      </c>
      <c r="AD3287">
        <v>0</v>
      </c>
      <c r="AE3287">
        <v>95.86</v>
      </c>
      <c r="AF3287">
        <v>0</v>
      </c>
      <c r="AG3287">
        <v>0</v>
      </c>
      <c r="AH3287">
        <v>0</v>
      </c>
      <c r="AI3287">
        <v>0</v>
      </c>
      <c r="AJ3287">
        <v>797.86</v>
      </c>
      <c r="AK3287">
        <v>0</v>
      </c>
      <c r="AL3287" t="s">
        <v>53</v>
      </c>
      <c r="AM3287" t="s">
        <v>53</v>
      </c>
      <c r="AN3287" t="s">
        <v>53</v>
      </c>
      <c r="AO3287" t="s">
        <v>53</v>
      </c>
      <c r="AP3287" t="s">
        <v>53</v>
      </c>
    </row>
    <row r="3288" spans="2:42" x14ac:dyDescent="0.2">
      <c r="B3288" t="s">
        <v>44</v>
      </c>
      <c r="C3288" t="str">
        <f>HYPERLINK("https://us2.cloudbeds.com/connect/8493803454333002#/reservations/27573840097440?display=JJWPHBGWK&amp;reservation_id=27573840097440", "JJWPHBGWK")</f>
        <v>JJWPHBGWK</v>
      </c>
      <c r="D3288" t="s">
        <v>45</v>
      </c>
      <c r="E3288" t="s">
        <v>85</v>
      </c>
      <c r="F3288" t="s">
        <v>86</v>
      </c>
      <c r="G3288" t="s">
        <v>48</v>
      </c>
      <c r="H3288" t="s">
        <v>49</v>
      </c>
      <c r="I3288" t="s">
        <v>62</v>
      </c>
      <c r="J3288" t="s">
        <v>1716</v>
      </c>
      <c r="K3288" t="s">
        <v>1258</v>
      </c>
      <c r="L3288" t="s">
        <v>53</v>
      </c>
      <c r="N3288" t="s">
        <v>5367</v>
      </c>
      <c r="P3288" t="s">
        <v>55</v>
      </c>
      <c r="R3288" t="s">
        <v>56</v>
      </c>
      <c r="T3288" t="s">
        <v>5368</v>
      </c>
      <c r="U3288" t="s">
        <v>55</v>
      </c>
      <c r="V3288">
        <v>1</v>
      </c>
      <c r="W3288">
        <v>1</v>
      </c>
      <c r="X3288">
        <v>2</v>
      </c>
      <c r="Y3288">
        <v>0</v>
      </c>
      <c r="Z3288">
        <v>2</v>
      </c>
      <c r="AA3288">
        <v>0</v>
      </c>
      <c r="AB3288">
        <v>135.25</v>
      </c>
      <c r="AC3288">
        <v>119</v>
      </c>
      <c r="AD3288">
        <v>0</v>
      </c>
      <c r="AE3288">
        <v>16.25</v>
      </c>
      <c r="AF3288">
        <v>0</v>
      </c>
      <c r="AG3288">
        <v>0</v>
      </c>
      <c r="AH3288">
        <v>0</v>
      </c>
      <c r="AI3288">
        <v>20.29</v>
      </c>
      <c r="AJ3288">
        <v>135.25</v>
      </c>
      <c r="AK3288">
        <v>0</v>
      </c>
      <c r="AL3288" t="s">
        <v>53</v>
      </c>
      <c r="AM3288" t="s">
        <v>53</v>
      </c>
      <c r="AN3288" t="s">
        <v>5369</v>
      </c>
      <c r="AO3288" t="s">
        <v>53</v>
      </c>
      <c r="AP3288" t="s">
        <v>53</v>
      </c>
    </row>
    <row r="3289" spans="2:42" x14ac:dyDescent="0.2">
      <c r="B3289" t="s">
        <v>44</v>
      </c>
      <c r="C3289" t="str">
        <f>HYPERLINK("https://us2.cloudbeds.com/connect/8493803454333002#/reservations/27582744498309?display=JK6M1PJKW&amp;reservation_id=27582744498309", "JK6M1PJKW")</f>
        <v>JK6M1PJKW</v>
      </c>
      <c r="D3289" t="s">
        <v>45</v>
      </c>
      <c r="E3289" t="s">
        <v>265</v>
      </c>
      <c r="F3289" t="s">
        <v>61</v>
      </c>
      <c r="G3289" t="s">
        <v>48</v>
      </c>
      <c r="H3289" t="s">
        <v>3957</v>
      </c>
      <c r="I3289" t="s">
        <v>3958</v>
      </c>
      <c r="J3289" t="s">
        <v>1716</v>
      </c>
      <c r="K3289" t="s">
        <v>1258</v>
      </c>
      <c r="L3289" t="s">
        <v>53</v>
      </c>
      <c r="P3289" t="s">
        <v>55</v>
      </c>
      <c r="R3289" t="s">
        <v>56</v>
      </c>
      <c r="T3289" t="s">
        <v>5370</v>
      </c>
      <c r="U3289" t="s">
        <v>58</v>
      </c>
      <c r="V3289">
        <v>1</v>
      </c>
      <c r="W3289">
        <v>1</v>
      </c>
      <c r="X3289">
        <v>1</v>
      </c>
      <c r="Y3289">
        <v>0</v>
      </c>
      <c r="Z3289">
        <v>1</v>
      </c>
      <c r="AA3289">
        <v>0</v>
      </c>
      <c r="AB3289">
        <v>127.29</v>
      </c>
      <c r="AC3289">
        <v>112</v>
      </c>
      <c r="AD3289">
        <v>0</v>
      </c>
      <c r="AE3289">
        <v>15.29</v>
      </c>
      <c r="AF3289">
        <v>0</v>
      </c>
      <c r="AG3289">
        <v>0</v>
      </c>
      <c r="AH3289">
        <v>0</v>
      </c>
      <c r="AI3289">
        <v>0</v>
      </c>
      <c r="AJ3289">
        <v>127.29</v>
      </c>
      <c r="AK3289">
        <v>0</v>
      </c>
      <c r="AL3289" t="s">
        <v>53</v>
      </c>
      <c r="AM3289" t="s">
        <v>53</v>
      </c>
      <c r="AN3289" t="s">
        <v>53</v>
      </c>
      <c r="AO3289" t="s">
        <v>53</v>
      </c>
      <c r="AP3289" t="s">
        <v>53</v>
      </c>
    </row>
    <row r="3290" spans="2:42" x14ac:dyDescent="0.2">
      <c r="B3290" t="s">
        <v>44</v>
      </c>
      <c r="C3290" t="str">
        <f>HYPERLINK("https://us2.cloudbeds.com/connect/8493803454333002#/reservations/27586780541183?display=JK9Q62EEG&amp;reservation_id=27586780541183", "JK9Q62EEG")</f>
        <v>JK9Q62EEG</v>
      </c>
      <c r="D3290" t="s">
        <v>45</v>
      </c>
      <c r="E3290" t="s">
        <v>165</v>
      </c>
      <c r="F3290" t="s">
        <v>61</v>
      </c>
      <c r="G3290" t="s">
        <v>48</v>
      </c>
      <c r="H3290" t="s">
        <v>49</v>
      </c>
      <c r="I3290" t="s">
        <v>62</v>
      </c>
      <c r="J3290" t="s">
        <v>5371</v>
      </c>
      <c r="K3290" t="s">
        <v>5258</v>
      </c>
      <c r="L3290" t="s">
        <v>53</v>
      </c>
      <c r="N3290" t="s">
        <v>5372</v>
      </c>
      <c r="P3290" t="s">
        <v>55</v>
      </c>
      <c r="R3290" t="s">
        <v>56</v>
      </c>
      <c r="T3290" t="s">
        <v>5373</v>
      </c>
      <c r="U3290" t="s">
        <v>55</v>
      </c>
      <c r="V3290">
        <v>1</v>
      </c>
      <c r="W3290">
        <v>1</v>
      </c>
      <c r="X3290">
        <v>2</v>
      </c>
      <c r="Y3290">
        <v>0</v>
      </c>
      <c r="Z3290">
        <v>2</v>
      </c>
      <c r="AA3290">
        <v>0</v>
      </c>
      <c r="AB3290">
        <v>87.96</v>
      </c>
      <c r="AC3290">
        <v>77.400000000000006</v>
      </c>
      <c r="AD3290">
        <v>0</v>
      </c>
      <c r="AE3290">
        <v>10.56</v>
      </c>
      <c r="AF3290">
        <v>0</v>
      </c>
      <c r="AG3290">
        <v>0</v>
      </c>
      <c r="AH3290">
        <v>0</v>
      </c>
      <c r="AI3290">
        <v>13.19</v>
      </c>
      <c r="AJ3290">
        <v>87.96</v>
      </c>
      <c r="AK3290">
        <v>0</v>
      </c>
      <c r="AL3290" t="s">
        <v>53</v>
      </c>
      <c r="AM3290" t="s">
        <v>53</v>
      </c>
      <c r="AN3290" t="s">
        <v>5374</v>
      </c>
      <c r="AO3290" t="s">
        <v>53</v>
      </c>
      <c r="AP3290" t="s">
        <v>53</v>
      </c>
    </row>
    <row r="3291" spans="2:42" x14ac:dyDescent="0.2">
      <c r="B3291" t="s">
        <v>44</v>
      </c>
      <c r="C3291" t="str">
        <f>HYPERLINK("https://us2.cloudbeds.com/connect/8493803454333002#/reservations/27615406596265?display=JKVVYAKD3&amp;reservation_id=27615406596265", "JKVVYAKD3")</f>
        <v>JKVVYAKD3</v>
      </c>
      <c r="D3291" t="s">
        <v>45</v>
      </c>
      <c r="E3291" t="s">
        <v>305</v>
      </c>
      <c r="F3291" t="s">
        <v>61</v>
      </c>
      <c r="G3291" t="s">
        <v>48</v>
      </c>
      <c r="H3291" t="s">
        <v>3957</v>
      </c>
      <c r="I3291" t="s">
        <v>3958</v>
      </c>
      <c r="J3291" t="s">
        <v>1716</v>
      </c>
      <c r="K3291" t="s">
        <v>1258</v>
      </c>
      <c r="L3291" t="s">
        <v>53</v>
      </c>
      <c r="P3291" t="s">
        <v>58</v>
      </c>
      <c r="R3291" t="s">
        <v>56</v>
      </c>
      <c r="T3291" t="s">
        <v>5375</v>
      </c>
      <c r="U3291" t="s">
        <v>58</v>
      </c>
      <c r="V3291">
        <v>1</v>
      </c>
      <c r="W3291">
        <v>1</v>
      </c>
      <c r="X3291">
        <v>1</v>
      </c>
      <c r="Y3291">
        <v>0</v>
      </c>
      <c r="Z3291">
        <v>1</v>
      </c>
      <c r="AA3291">
        <v>0</v>
      </c>
      <c r="AB3291">
        <v>127.29</v>
      </c>
      <c r="AC3291">
        <v>112</v>
      </c>
      <c r="AD3291">
        <v>0</v>
      </c>
      <c r="AE3291">
        <v>15.29</v>
      </c>
      <c r="AF3291">
        <v>0</v>
      </c>
      <c r="AG3291">
        <v>0</v>
      </c>
      <c r="AH3291">
        <v>0</v>
      </c>
      <c r="AI3291">
        <v>0</v>
      </c>
      <c r="AJ3291">
        <v>127.29</v>
      </c>
      <c r="AK3291">
        <v>0</v>
      </c>
      <c r="AL3291" t="s">
        <v>53</v>
      </c>
      <c r="AM3291" t="s">
        <v>53</v>
      </c>
      <c r="AN3291" t="s">
        <v>53</v>
      </c>
      <c r="AO3291" t="s">
        <v>53</v>
      </c>
      <c r="AP3291" t="s">
        <v>53</v>
      </c>
    </row>
    <row r="3292" spans="2:42" x14ac:dyDescent="0.2">
      <c r="B3292" t="s">
        <v>44</v>
      </c>
      <c r="C3292" t="str">
        <f>HYPERLINK("https://us2.cloudbeds.com/connect/8493803454333002#/reservations/27625031319744?display=JY681CKQX&amp;reservation_id=27625031319744", "JY681CKQX")</f>
        <v>JY681CKQX</v>
      </c>
      <c r="D3292" t="s">
        <v>45</v>
      </c>
      <c r="E3292" t="s">
        <v>190</v>
      </c>
      <c r="F3292" t="s">
        <v>61</v>
      </c>
      <c r="G3292" t="s">
        <v>48</v>
      </c>
      <c r="H3292" t="s">
        <v>49</v>
      </c>
      <c r="I3292" t="s">
        <v>50</v>
      </c>
      <c r="J3292" t="s">
        <v>1716</v>
      </c>
      <c r="K3292" t="s">
        <v>1258</v>
      </c>
      <c r="L3292" t="s">
        <v>53</v>
      </c>
      <c r="N3292" t="s">
        <v>5376</v>
      </c>
      <c r="P3292" t="s">
        <v>55</v>
      </c>
      <c r="R3292" t="s">
        <v>53</v>
      </c>
      <c r="T3292" t="s">
        <v>5377</v>
      </c>
      <c r="U3292" t="s">
        <v>58</v>
      </c>
      <c r="V3292">
        <v>1</v>
      </c>
      <c r="W3292">
        <v>1</v>
      </c>
      <c r="X3292">
        <v>1</v>
      </c>
      <c r="Y3292">
        <v>0</v>
      </c>
      <c r="Z3292">
        <v>1</v>
      </c>
      <c r="AA3292">
        <v>0</v>
      </c>
      <c r="AB3292">
        <v>101.83</v>
      </c>
      <c r="AC3292">
        <v>89.6</v>
      </c>
      <c r="AD3292">
        <v>0</v>
      </c>
      <c r="AE3292">
        <v>12.23</v>
      </c>
      <c r="AF3292">
        <v>0</v>
      </c>
      <c r="AG3292">
        <v>0</v>
      </c>
      <c r="AH3292">
        <v>0</v>
      </c>
      <c r="AI3292">
        <v>18.329999999999998</v>
      </c>
      <c r="AJ3292">
        <v>101.83</v>
      </c>
      <c r="AK3292">
        <v>0</v>
      </c>
      <c r="AL3292" t="s">
        <v>53</v>
      </c>
      <c r="AM3292" t="s">
        <v>53</v>
      </c>
      <c r="AN3292" t="s">
        <v>53</v>
      </c>
      <c r="AO3292" t="s">
        <v>53</v>
      </c>
      <c r="AP3292" t="s">
        <v>53</v>
      </c>
    </row>
    <row r="3293" spans="2:42" x14ac:dyDescent="0.2">
      <c r="B3293" t="s">
        <v>44</v>
      </c>
      <c r="C3293" t="str">
        <f>HYPERLINK("https://us2.cloudbeds.com/connect/8493803454333002#/reservations/27630429159577?display=JYAJGZJCC&amp;reservation_id=27630429159577", "JYAJGZJCC")</f>
        <v>JYAJGZJCC</v>
      </c>
      <c r="D3293" t="s">
        <v>45</v>
      </c>
      <c r="E3293" t="s">
        <v>110</v>
      </c>
      <c r="F3293" t="s">
        <v>47</v>
      </c>
      <c r="G3293" t="s">
        <v>4520</v>
      </c>
      <c r="H3293" t="s">
        <v>3957</v>
      </c>
      <c r="I3293" t="s">
        <v>3958</v>
      </c>
      <c r="J3293" t="s">
        <v>5079</v>
      </c>
      <c r="K3293" t="s">
        <v>3574</v>
      </c>
      <c r="L3293" t="s">
        <v>53</v>
      </c>
      <c r="P3293" t="s">
        <v>55</v>
      </c>
      <c r="R3293" t="s">
        <v>56</v>
      </c>
      <c r="T3293" t="s">
        <v>5378</v>
      </c>
      <c r="U3293" t="s">
        <v>58</v>
      </c>
      <c r="V3293">
        <v>1</v>
      </c>
      <c r="W3293">
        <v>1</v>
      </c>
      <c r="X3293">
        <v>1</v>
      </c>
      <c r="Y3293">
        <v>0</v>
      </c>
      <c r="Z3293">
        <v>1</v>
      </c>
      <c r="AA3293">
        <v>0</v>
      </c>
      <c r="AB3293">
        <v>81.83</v>
      </c>
      <c r="AC3293">
        <v>72</v>
      </c>
      <c r="AD3293">
        <v>0</v>
      </c>
      <c r="AE3293">
        <v>9.83</v>
      </c>
      <c r="AF3293">
        <v>0</v>
      </c>
      <c r="AG3293">
        <v>0</v>
      </c>
      <c r="AH3293">
        <v>0</v>
      </c>
      <c r="AI3293">
        <v>0</v>
      </c>
      <c r="AJ3293">
        <v>81.83</v>
      </c>
      <c r="AK3293">
        <v>0</v>
      </c>
      <c r="AL3293" t="s">
        <v>53</v>
      </c>
      <c r="AM3293" t="s">
        <v>53</v>
      </c>
      <c r="AN3293" t="s">
        <v>53</v>
      </c>
      <c r="AO3293" t="s">
        <v>53</v>
      </c>
      <c r="AP3293" t="s">
        <v>53</v>
      </c>
    </row>
    <row r="3294" spans="2:42" x14ac:dyDescent="0.2">
      <c r="B3294" t="s">
        <v>44</v>
      </c>
      <c r="C3294" t="str">
        <f>HYPERLINK("https://us2.cloudbeds.com/connect/8493803454333002#/reservations/27649363271902?display=JYP8AG5NU&amp;reservation_id=27649363271902", "JYP8AG5NU")</f>
        <v>JYP8AG5NU</v>
      </c>
      <c r="D3294" t="s">
        <v>45</v>
      </c>
      <c r="E3294" t="s">
        <v>110</v>
      </c>
      <c r="F3294" t="s">
        <v>47</v>
      </c>
      <c r="G3294" t="s">
        <v>48</v>
      </c>
      <c r="H3294" t="s">
        <v>49</v>
      </c>
      <c r="I3294" t="s">
        <v>50</v>
      </c>
      <c r="J3294" t="s">
        <v>1258</v>
      </c>
      <c r="K3294" t="s">
        <v>3882</v>
      </c>
      <c r="L3294" t="s">
        <v>53</v>
      </c>
      <c r="N3294" t="s">
        <v>5379</v>
      </c>
      <c r="P3294" t="s">
        <v>55</v>
      </c>
      <c r="R3294" t="s">
        <v>53</v>
      </c>
      <c r="T3294" t="s">
        <v>5380</v>
      </c>
      <c r="U3294" t="s">
        <v>58</v>
      </c>
      <c r="V3294">
        <v>1</v>
      </c>
      <c r="W3294">
        <v>1</v>
      </c>
      <c r="X3294">
        <v>1</v>
      </c>
      <c r="Y3294">
        <v>0</v>
      </c>
      <c r="Z3294">
        <v>1</v>
      </c>
      <c r="AA3294">
        <v>0</v>
      </c>
      <c r="AB3294">
        <v>130.91999999999999</v>
      </c>
      <c r="AC3294">
        <v>115.2</v>
      </c>
      <c r="AD3294">
        <v>0</v>
      </c>
      <c r="AE3294">
        <v>15.72</v>
      </c>
      <c r="AF3294">
        <v>0</v>
      </c>
      <c r="AG3294">
        <v>0</v>
      </c>
      <c r="AH3294">
        <v>0</v>
      </c>
      <c r="AI3294">
        <v>23.57</v>
      </c>
      <c r="AJ3294">
        <v>130.91999999999999</v>
      </c>
      <c r="AK3294">
        <v>0</v>
      </c>
      <c r="AL3294" t="s">
        <v>53</v>
      </c>
      <c r="AM3294" t="s">
        <v>53</v>
      </c>
      <c r="AN3294" t="s">
        <v>53</v>
      </c>
      <c r="AO3294" t="s">
        <v>53</v>
      </c>
      <c r="AP3294" t="s">
        <v>53</v>
      </c>
    </row>
    <row r="3295" spans="2:42" x14ac:dyDescent="0.2">
      <c r="B3295" t="s">
        <v>44</v>
      </c>
      <c r="C3295" t="str">
        <f>HYPERLINK("https://us2.cloudbeds.com/connect/8493803454333002#/reservations/27652920152207?display=JYS06ZK5J&amp;reservation_id=27652920152207", "JYS06ZK5J")</f>
        <v>JYS06ZK5J</v>
      </c>
      <c r="D3295" t="s">
        <v>45</v>
      </c>
      <c r="E3295" t="s">
        <v>213</v>
      </c>
      <c r="F3295" t="s">
        <v>86</v>
      </c>
      <c r="G3295" t="s">
        <v>48</v>
      </c>
      <c r="H3295" t="s">
        <v>3957</v>
      </c>
      <c r="I3295" t="s">
        <v>3975</v>
      </c>
      <c r="J3295" t="s">
        <v>5381</v>
      </c>
      <c r="K3295" t="s">
        <v>5382</v>
      </c>
      <c r="L3295" t="s">
        <v>53</v>
      </c>
      <c r="P3295" t="s">
        <v>55</v>
      </c>
      <c r="R3295" t="s">
        <v>56</v>
      </c>
      <c r="T3295" t="s">
        <v>5383</v>
      </c>
      <c r="U3295" t="s">
        <v>58</v>
      </c>
      <c r="V3295">
        <v>3</v>
      </c>
      <c r="W3295">
        <v>1</v>
      </c>
      <c r="X3295">
        <v>3</v>
      </c>
      <c r="Y3295">
        <v>0</v>
      </c>
      <c r="Z3295">
        <v>3</v>
      </c>
      <c r="AA3295">
        <v>0</v>
      </c>
      <c r="AB3295">
        <v>278.45999999999998</v>
      </c>
      <c r="AC3295">
        <v>245</v>
      </c>
      <c r="AD3295">
        <v>0</v>
      </c>
      <c r="AE3295">
        <v>33.46</v>
      </c>
      <c r="AF3295">
        <v>0</v>
      </c>
      <c r="AG3295">
        <v>0</v>
      </c>
      <c r="AH3295">
        <v>0</v>
      </c>
      <c r="AI3295">
        <v>0</v>
      </c>
      <c r="AJ3295">
        <v>278.45999999999998</v>
      </c>
      <c r="AK3295">
        <v>0</v>
      </c>
      <c r="AL3295" t="s">
        <v>53</v>
      </c>
      <c r="AM3295" t="s">
        <v>53</v>
      </c>
      <c r="AN3295" t="s">
        <v>53</v>
      </c>
      <c r="AO3295" t="s">
        <v>53</v>
      </c>
      <c r="AP3295" t="s">
        <v>53</v>
      </c>
    </row>
    <row r="3296" spans="2:42" x14ac:dyDescent="0.2">
      <c r="B3296" t="s">
        <v>44</v>
      </c>
      <c r="C3296" t="str">
        <f>HYPERLINK("https://us2.cloudbeds.com/connect/8493803454333002#/reservations/27661023211775?display=JM198F677&amp;reservation_id=27661023211775", "JM198F677")</f>
        <v>JM198F677</v>
      </c>
      <c r="D3296" t="s">
        <v>45</v>
      </c>
      <c r="E3296" t="s">
        <v>78</v>
      </c>
      <c r="F3296" t="s">
        <v>61</v>
      </c>
      <c r="G3296" t="s">
        <v>48</v>
      </c>
      <c r="H3296" t="s">
        <v>49</v>
      </c>
      <c r="I3296" t="s">
        <v>62</v>
      </c>
      <c r="J3296" t="s">
        <v>1259</v>
      </c>
      <c r="K3296" t="s">
        <v>3339</v>
      </c>
      <c r="L3296" t="s">
        <v>53</v>
      </c>
      <c r="N3296" t="s">
        <v>5384</v>
      </c>
      <c r="P3296" t="s">
        <v>55</v>
      </c>
      <c r="R3296" t="s">
        <v>56</v>
      </c>
      <c r="T3296" t="s">
        <v>5385</v>
      </c>
      <c r="U3296" t="s">
        <v>55</v>
      </c>
      <c r="V3296">
        <v>1</v>
      </c>
      <c r="W3296">
        <v>1</v>
      </c>
      <c r="X3296">
        <v>2</v>
      </c>
      <c r="Y3296">
        <v>0</v>
      </c>
      <c r="Z3296">
        <v>2</v>
      </c>
      <c r="AA3296">
        <v>0</v>
      </c>
      <c r="AB3296">
        <v>129.57</v>
      </c>
      <c r="AC3296">
        <v>114</v>
      </c>
      <c r="AD3296">
        <v>0</v>
      </c>
      <c r="AE3296">
        <v>15.57</v>
      </c>
      <c r="AF3296">
        <v>0</v>
      </c>
      <c r="AG3296">
        <v>0</v>
      </c>
      <c r="AH3296">
        <v>0</v>
      </c>
      <c r="AI3296">
        <v>19.440000000000001</v>
      </c>
      <c r="AJ3296">
        <v>129.57</v>
      </c>
      <c r="AK3296">
        <v>0</v>
      </c>
      <c r="AL3296" t="s">
        <v>53</v>
      </c>
      <c r="AM3296" t="s">
        <v>53</v>
      </c>
      <c r="AN3296" t="s">
        <v>53</v>
      </c>
      <c r="AO3296" t="s">
        <v>53</v>
      </c>
      <c r="AP3296" t="s">
        <v>53</v>
      </c>
    </row>
    <row r="3297" spans="2:42" x14ac:dyDescent="0.2">
      <c r="B3297" t="s">
        <v>44</v>
      </c>
      <c r="C3297" t="str">
        <f>HYPERLINK("https://us2.cloudbeds.com/connect/8493803454333002#/reservations/27661340590237?display=JM1HC2NGC&amp;reservation_id=27661340590237", "JM1HC2NGC")</f>
        <v>JM1HC2NGC</v>
      </c>
      <c r="D3297" t="s">
        <v>45</v>
      </c>
      <c r="E3297" t="s">
        <v>92</v>
      </c>
      <c r="F3297" t="s">
        <v>86</v>
      </c>
      <c r="G3297" t="s">
        <v>48</v>
      </c>
      <c r="H3297" t="s">
        <v>49</v>
      </c>
      <c r="I3297" t="s">
        <v>62</v>
      </c>
      <c r="J3297" t="s">
        <v>1259</v>
      </c>
      <c r="K3297" t="s">
        <v>3339</v>
      </c>
      <c r="L3297" t="s">
        <v>53</v>
      </c>
      <c r="N3297" t="s">
        <v>5386</v>
      </c>
      <c r="P3297" t="s">
        <v>55</v>
      </c>
      <c r="R3297" t="s">
        <v>56</v>
      </c>
      <c r="T3297" t="s">
        <v>5387</v>
      </c>
      <c r="U3297" t="s">
        <v>55</v>
      </c>
      <c r="V3297">
        <v>1</v>
      </c>
      <c r="W3297">
        <v>1</v>
      </c>
      <c r="X3297">
        <v>2</v>
      </c>
      <c r="Y3297">
        <v>0</v>
      </c>
      <c r="Z3297">
        <v>2</v>
      </c>
      <c r="AA3297">
        <v>0</v>
      </c>
      <c r="AB3297">
        <v>135.25</v>
      </c>
      <c r="AC3297">
        <v>119</v>
      </c>
      <c r="AD3297">
        <v>0</v>
      </c>
      <c r="AE3297">
        <v>16.25</v>
      </c>
      <c r="AF3297">
        <v>0</v>
      </c>
      <c r="AG3297">
        <v>0</v>
      </c>
      <c r="AH3297">
        <v>0</v>
      </c>
      <c r="AI3297">
        <v>20.29</v>
      </c>
      <c r="AJ3297">
        <v>135.25</v>
      </c>
      <c r="AK3297">
        <v>0</v>
      </c>
      <c r="AL3297" t="s">
        <v>53</v>
      </c>
      <c r="AM3297" t="s">
        <v>53</v>
      </c>
      <c r="AN3297" t="s">
        <v>53</v>
      </c>
      <c r="AO3297" t="s">
        <v>53</v>
      </c>
      <c r="AP3297" t="s">
        <v>53</v>
      </c>
    </row>
    <row r="3298" spans="2:42" x14ac:dyDescent="0.2">
      <c r="B3298" t="s">
        <v>44</v>
      </c>
      <c r="C3298" t="str">
        <f>HYPERLINK("https://us2.cloudbeds.com/connect/8493803454333002#/reservations/27673265991891?display=JMAP2TJX2&amp;reservation_id=27673265991891", "JMAP2TJX2")</f>
        <v>JMAP2TJX2</v>
      </c>
      <c r="D3298" t="s">
        <v>45</v>
      </c>
      <c r="E3298" t="s">
        <v>110</v>
      </c>
      <c r="F3298" t="s">
        <v>47</v>
      </c>
      <c r="G3298" t="s">
        <v>48</v>
      </c>
      <c r="H3298" t="s">
        <v>49</v>
      </c>
      <c r="I3298" t="s">
        <v>50</v>
      </c>
      <c r="J3298" t="s">
        <v>3882</v>
      </c>
      <c r="K3298" t="s">
        <v>1259</v>
      </c>
      <c r="L3298" t="s">
        <v>53</v>
      </c>
      <c r="N3298" t="s">
        <v>5388</v>
      </c>
      <c r="P3298" t="s">
        <v>55</v>
      </c>
      <c r="R3298" t="s">
        <v>53</v>
      </c>
      <c r="T3298" t="s">
        <v>5389</v>
      </c>
      <c r="U3298" t="s">
        <v>58</v>
      </c>
      <c r="V3298">
        <v>1</v>
      </c>
      <c r="W3298">
        <v>1</v>
      </c>
      <c r="X3298">
        <v>2</v>
      </c>
      <c r="Y3298">
        <v>0</v>
      </c>
      <c r="Z3298">
        <v>2</v>
      </c>
      <c r="AA3298">
        <v>0</v>
      </c>
      <c r="AB3298">
        <v>129.44999999999999</v>
      </c>
      <c r="AC3298">
        <v>113.9</v>
      </c>
      <c r="AD3298">
        <v>0</v>
      </c>
      <c r="AE3298">
        <v>15.55</v>
      </c>
      <c r="AF3298">
        <v>0</v>
      </c>
      <c r="AG3298">
        <v>0</v>
      </c>
      <c r="AH3298">
        <v>0</v>
      </c>
      <c r="AI3298">
        <v>23.3</v>
      </c>
      <c r="AJ3298">
        <v>129.44999999999999</v>
      </c>
      <c r="AK3298">
        <v>0</v>
      </c>
      <c r="AL3298" t="s">
        <v>53</v>
      </c>
      <c r="AM3298" t="s">
        <v>53</v>
      </c>
      <c r="AN3298" t="s">
        <v>53</v>
      </c>
      <c r="AO3298" t="s">
        <v>53</v>
      </c>
      <c r="AP3298" t="s">
        <v>53</v>
      </c>
    </row>
    <row r="3299" spans="2:42" x14ac:dyDescent="0.2">
      <c r="B3299" t="s">
        <v>44</v>
      </c>
      <c r="C3299" t="str">
        <f>HYPERLINK("https://us2.cloudbeds.com/connect/8493803454333002#/reservations/27827410317479?display=JPV3RFMBD&amp;reservation_id=27827410317479", "JPV3RFMBD")</f>
        <v>JPV3RFMBD</v>
      </c>
      <c r="D3299" t="s">
        <v>45</v>
      </c>
      <c r="E3299" t="s">
        <v>155</v>
      </c>
      <c r="F3299" t="s">
        <v>86</v>
      </c>
      <c r="G3299" t="s">
        <v>48</v>
      </c>
      <c r="H3299" t="s">
        <v>3957</v>
      </c>
      <c r="I3299" t="s">
        <v>3975</v>
      </c>
      <c r="J3299" t="s">
        <v>5079</v>
      </c>
      <c r="K3299" t="s">
        <v>3575</v>
      </c>
      <c r="L3299" t="s">
        <v>53</v>
      </c>
      <c r="P3299" t="s">
        <v>58</v>
      </c>
      <c r="R3299" t="s">
        <v>56</v>
      </c>
      <c r="T3299" t="s">
        <v>5390</v>
      </c>
      <c r="U3299" t="s">
        <v>58</v>
      </c>
      <c r="V3299">
        <v>2</v>
      </c>
      <c r="W3299">
        <v>1</v>
      </c>
      <c r="X3299">
        <v>2</v>
      </c>
      <c r="Y3299">
        <v>0</v>
      </c>
      <c r="Z3299">
        <v>2</v>
      </c>
      <c r="AA3299">
        <v>0</v>
      </c>
      <c r="AB3299">
        <v>206.86</v>
      </c>
      <c r="AC3299">
        <v>182</v>
      </c>
      <c r="AD3299">
        <v>0</v>
      </c>
      <c r="AE3299">
        <v>24.86</v>
      </c>
      <c r="AF3299">
        <v>0</v>
      </c>
      <c r="AG3299">
        <v>0</v>
      </c>
      <c r="AH3299">
        <v>0</v>
      </c>
      <c r="AI3299">
        <v>0</v>
      </c>
      <c r="AJ3299">
        <v>206.86</v>
      </c>
      <c r="AK3299">
        <v>0</v>
      </c>
      <c r="AL3299" t="s">
        <v>53</v>
      </c>
      <c r="AM3299" t="s">
        <v>53</v>
      </c>
      <c r="AN3299" t="s">
        <v>53</v>
      </c>
      <c r="AO3299" t="s">
        <v>53</v>
      </c>
      <c r="AP3299" t="s">
        <v>53</v>
      </c>
    </row>
    <row r="3300" spans="2:42" x14ac:dyDescent="0.2">
      <c r="B3300" t="s">
        <v>44</v>
      </c>
      <c r="C3300" t="str">
        <f>HYPERLINK("https://us2.cloudbeds.com/connect/8493803454333002#/reservations/27863183818896?display=JQPQUY2TT&amp;reservation_id=27863183818896", "JQPQUY2TT")</f>
        <v>JQPQUY2TT</v>
      </c>
      <c r="D3300" t="s">
        <v>45</v>
      </c>
      <c r="E3300" t="s">
        <v>105</v>
      </c>
      <c r="F3300" t="s">
        <v>47</v>
      </c>
      <c r="G3300" t="s">
        <v>48</v>
      </c>
      <c r="H3300" t="s">
        <v>3957</v>
      </c>
      <c r="I3300" t="s">
        <v>3958</v>
      </c>
      <c r="J3300" t="s">
        <v>1258</v>
      </c>
      <c r="K3300" t="s">
        <v>5154</v>
      </c>
      <c r="L3300" t="s">
        <v>53</v>
      </c>
      <c r="P3300" t="s">
        <v>58</v>
      </c>
      <c r="R3300" t="s">
        <v>56</v>
      </c>
      <c r="T3300" t="s">
        <v>5391</v>
      </c>
      <c r="U3300" t="s">
        <v>58</v>
      </c>
      <c r="V3300">
        <v>11</v>
      </c>
      <c r="W3300">
        <v>1</v>
      </c>
      <c r="X3300">
        <v>1</v>
      </c>
      <c r="Y3300">
        <v>0</v>
      </c>
      <c r="Z3300">
        <v>1</v>
      </c>
      <c r="AA3300">
        <v>0</v>
      </c>
      <c r="AB3300">
        <v>1262.68</v>
      </c>
      <c r="AC3300">
        <v>1111</v>
      </c>
      <c r="AD3300">
        <v>0</v>
      </c>
      <c r="AE3300">
        <v>151.68</v>
      </c>
      <c r="AF3300">
        <v>0</v>
      </c>
      <c r="AG3300">
        <v>0</v>
      </c>
      <c r="AH3300">
        <v>0</v>
      </c>
      <c r="AI3300">
        <v>0</v>
      </c>
      <c r="AJ3300">
        <v>1262.68</v>
      </c>
      <c r="AK3300">
        <v>0</v>
      </c>
      <c r="AL3300" t="s">
        <v>53</v>
      </c>
      <c r="AM3300" t="s">
        <v>53</v>
      </c>
      <c r="AN3300" t="s">
        <v>53</v>
      </c>
      <c r="AO3300" t="s">
        <v>53</v>
      </c>
      <c r="AP3300" t="s">
        <v>53</v>
      </c>
    </row>
    <row r="3301" spans="2:42" x14ac:dyDescent="0.2">
      <c r="B3301" t="s">
        <v>44</v>
      </c>
      <c r="C3301" t="str">
        <f>HYPERLINK("https://us2.cloudbeds.com/connect/8493803454333002#/reservations/27916520308925?display=JS13QCX1G&amp;reservation_id=27916520308925", "JS13QCX1G")</f>
        <v>JS13QCX1G</v>
      </c>
      <c r="D3301" t="s">
        <v>45</v>
      </c>
      <c r="E3301" t="s">
        <v>46</v>
      </c>
      <c r="F3301" t="s">
        <v>47</v>
      </c>
      <c r="G3301" t="s">
        <v>48</v>
      </c>
      <c r="H3301" t="s">
        <v>3957</v>
      </c>
      <c r="I3301" t="s">
        <v>3958</v>
      </c>
      <c r="J3301" t="s">
        <v>3233</v>
      </c>
      <c r="K3301" t="s">
        <v>1779</v>
      </c>
      <c r="L3301" t="s">
        <v>53</v>
      </c>
      <c r="P3301" t="s">
        <v>58</v>
      </c>
      <c r="R3301" t="s">
        <v>56</v>
      </c>
      <c r="T3301" t="s">
        <v>5392</v>
      </c>
      <c r="U3301" t="s">
        <v>58</v>
      </c>
      <c r="V3301">
        <v>1</v>
      </c>
      <c r="W3301">
        <v>1</v>
      </c>
      <c r="X3301">
        <v>1</v>
      </c>
      <c r="Y3301">
        <v>0</v>
      </c>
      <c r="Z3301">
        <v>1</v>
      </c>
      <c r="AA3301">
        <v>0</v>
      </c>
      <c r="AB3301">
        <v>119.34</v>
      </c>
      <c r="AC3301">
        <v>105</v>
      </c>
      <c r="AD3301">
        <v>0</v>
      </c>
      <c r="AE3301">
        <v>14.34</v>
      </c>
      <c r="AF3301">
        <v>0</v>
      </c>
      <c r="AG3301">
        <v>0</v>
      </c>
      <c r="AH3301">
        <v>0</v>
      </c>
      <c r="AI3301">
        <v>0</v>
      </c>
      <c r="AJ3301">
        <v>119.34</v>
      </c>
      <c r="AK3301">
        <v>0</v>
      </c>
      <c r="AL3301" t="s">
        <v>53</v>
      </c>
      <c r="AM3301" t="s">
        <v>53</v>
      </c>
      <c r="AN3301" t="s">
        <v>53</v>
      </c>
      <c r="AO3301" t="s">
        <v>53</v>
      </c>
      <c r="AP3301" t="s">
        <v>53</v>
      </c>
    </row>
    <row r="3302" spans="2:42" x14ac:dyDescent="0.2">
      <c r="B3302" t="s">
        <v>44</v>
      </c>
      <c r="C3302" t="str">
        <f>HYPERLINK("https://us2.cloudbeds.com/connect/8493803454333002#/reservations/27941526032624?display=JSKFZSM3G&amp;reservation_id=27941526032624", "JSKFZSM3G")</f>
        <v>JSKFZSM3G</v>
      </c>
      <c r="D3302" t="s">
        <v>45</v>
      </c>
      <c r="E3302" t="s">
        <v>223</v>
      </c>
      <c r="F3302" t="s">
        <v>47</v>
      </c>
      <c r="G3302" t="s">
        <v>48</v>
      </c>
      <c r="H3302" t="s">
        <v>3957</v>
      </c>
      <c r="I3302" t="s">
        <v>3958</v>
      </c>
      <c r="J3302" t="s">
        <v>1258</v>
      </c>
      <c r="K3302" t="s">
        <v>3339</v>
      </c>
      <c r="L3302" t="s">
        <v>53</v>
      </c>
      <c r="P3302" t="s">
        <v>55</v>
      </c>
      <c r="R3302" t="s">
        <v>56</v>
      </c>
      <c r="T3302" t="s">
        <v>5393</v>
      </c>
      <c r="U3302" t="s">
        <v>58</v>
      </c>
      <c r="V3302">
        <v>3</v>
      </c>
      <c r="W3302">
        <v>1</v>
      </c>
      <c r="X3302">
        <v>1</v>
      </c>
      <c r="Y3302">
        <v>0</v>
      </c>
      <c r="Z3302">
        <v>1</v>
      </c>
      <c r="AA3302">
        <v>0</v>
      </c>
      <c r="AB3302">
        <v>437.55</v>
      </c>
      <c r="AC3302">
        <v>385</v>
      </c>
      <c r="AD3302">
        <v>0</v>
      </c>
      <c r="AE3302">
        <v>52.55</v>
      </c>
      <c r="AF3302">
        <v>0</v>
      </c>
      <c r="AG3302">
        <v>0</v>
      </c>
      <c r="AH3302">
        <v>0</v>
      </c>
      <c r="AI3302">
        <v>0</v>
      </c>
      <c r="AJ3302">
        <v>437.55</v>
      </c>
      <c r="AK3302">
        <v>0</v>
      </c>
      <c r="AL3302" t="s">
        <v>53</v>
      </c>
      <c r="AM3302" t="s">
        <v>53</v>
      </c>
      <c r="AN3302" t="s">
        <v>53</v>
      </c>
      <c r="AO3302" t="s">
        <v>53</v>
      </c>
      <c r="AP3302" t="s">
        <v>53</v>
      </c>
    </row>
    <row r="3303" spans="2:42" x14ac:dyDescent="0.2">
      <c r="B3303" t="s">
        <v>44</v>
      </c>
      <c r="C3303" t="str">
        <f>HYPERLINK("https://us2.cloudbeds.com/connect/8493803454333002#/reservations/27986290122969?display=JTM4J4FHN&amp;reservation_id=27986290122969", "JTM4J4FHN")</f>
        <v>JTM4J4FHN</v>
      </c>
      <c r="D3303" t="s">
        <v>45</v>
      </c>
      <c r="E3303" t="s">
        <v>179</v>
      </c>
      <c r="F3303" t="s">
        <v>47</v>
      </c>
      <c r="G3303" t="s">
        <v>48</v>
      </c>
      <c r="H3303" t="s">
        <v>3957</v>
      </c>
      <c r="I3303" t="s">
        <v>3958</v>
      </c>
      <c r="J3303" t="s">
        <v>1258</v>
      </c>
      <c r="K3303" t="s">
        <v>3882</v>
      </c>
      <c r="L3303" t="s">
        <v>53</v>
      </c>
      <c r="P3303" t="s">
        <v>58</v>
      </c>
      <c r="R3303" t="s">
        <v>118</v>
      </c>
      <c r="T3303" t="s">
        <v>5394</v>
      </c>
      <c r="U3303" t="s">
        <v>58</v>
      </c>
      <c r="V3303">
        <v>1</v>
      </c>
      <c r="W3303">
        <v>1</v>
      </c>
      <c r="X3303">
        <v>1</v>
      </c>
      <c r="Y3303">
        <v>0</v>
      </c>
      <c r="Z3303">
        <v>1</v>
      </c>
      <c r="AA3303">
        <v>0</v>
      </c>
      <c r="AB3303">
        <v>146.61000000000001</v>
      </c>
      <c r="AC3303">
        <v>129</v>
      </c>
      <c r="AD3303">
        <v>0</v>
      </c>
      <c r="AE3303">
        <v>17.61</v>
      </c>
      <c r="AF3303">
        <v>0</v>
      </c>
      <c r="AG3303">
        <v>0</v>
      </c>
      <c r="AH3303">
        <v>0</v>
      </c>
      <c r="AI3303">
        <v>0</v>
      </c>
      <c r="AJ3303">
        <v>146.61000000000001</v>
      </c>
      <c r="AK3303">
        <v>0</v>
      </c>
      <c r="AL3303" t="s">
        <v>53</v>
      </c>
      <c r="AM3303" t="s">
        <v>53</v>
      </c>
      <c r="AN3303" t="s">
        <v>53</v>
      </c>
      <c r="AO3303" t="s">
        <v>53</v>
      </c>
      <c r="AP3303" t="s">
        <v>53</v>
      </c>
    </row>
    <row r="3304" spans="2:42" x14ac:dyDescent="0.2">
      <c r="B3304" t="s">
        <v>44</v>
      </c>
      <c r="C3304" t="str">
        <f>HYPERLINK("https://us2.cloudbeds.com/connect/8493803454333002#/reservations/28018454106333?display=JUE1EYNQ8&amp;reservation_id=28018454106333", "JUE1EYNQ8")</f>
        <v>JUE1EYNQ8</v>
      </c>
      <c r="D3304" t="s">
        <v>45</v>
      </c>
      <c r="E3304" t="s">
        <v>69</v>
      </c>
      <c r="F3304" t="s">
        <v>70</v>
      </c>
      <c r="G3304" t="s">
        <v>48</v>
      </c>
      <c r="H3304" t="s">
        <v>49</v>
      </c>
      <c r="I3304" t="s">
        <v>62</v>
      </c>
      <c r="J3304" t="s">
        <v>3882</v>
      </c>
      <c r="K3304" t="s">
        <v>1259</v>
      </c>
      <c r="L3304" t="s">
        <v>53</v>
      </c>
      <c r="N3304" t="s">
        <v>5395</v>
      </c>
      <c r="P3304" t="s">
        <v>55</v>
      </c>
      <c r="R3304" t="s">
        <v>56</v>
      </c>
      <c r="T3304" t="s">
        <v>5396</v>
      </c>
      <c r="U3304" t="s">
        <v>55</v>
      </c>
      <c r="V3304">
        <v>1</v>
      </c>
      <c r="W3304">
        <v>1</v>
      </c>
      <c r="X3304">
        <v>2</v>
      </c>
      <c r="Y3304">
        <v>0</v>
      </c>
      <c r="Z3304">
        <v>2</v>
      </c>
      <c r="AA3304">
        <v>0</v>
      </c>
      <c r="AB3304">
        <v>151.16</v>
      </c>
      <c r="AC3304">
        <v>133</v>
      </c>
      <c r="AD3304">
        <v>0</v>
      </c>
      <c r="AE3304">
        <v>18.16</v>
      </c>
      <c r="AF3304">
        <v>0</v>
      </c>
      <c r="AG3304">
        <v>0</v>
      </c>
      <c r="AH3304">
        <v>0</v>
      </c>
      <c r="AI3304">
        <v>22.67</v>
      </c>
      <c r="AJ3304">
        <v>151.16</v>
      </c>
      <c r="AK3304">
        <v>0</v>
      </c>
      <c r="AL3304" t="s">
        <v>53</v>
      </c>
      <c r="AM3304" t="s">
        <v>53</v>
      </c>
      <c r="AN3304" t="s">
        <v>53</v>
      </c>
      <c r="AO3304" t="s">
        <v>53</v>
      </c>
      <c r="AP3304" t="s">
        <v>53</v>
      </c>
    </row>
    <row r="3305" spans="2:42" x14ac:dyDescent="0.2">
      <c r="B3305" t="s">
        <v>44</v>
      </c>
      <c r="C3305" t="str">
        <f>HYPERLINK("https://us2.cloudbeds.com/connect/8493803454333002#/reservations/28035460309129?display=JUR6WZCKU&amp;reservation_id=28035460309129", "JUR6WZCKU")</f>
        <v>JUR6WZCKU</v>
      </c>
      <c r="D3305" t="s">
        <v>45</v>
      </c>
      <c r="E3305" t="s">
        <v>165</v>
      </c>
      <c r="F3305" t="s">
        <v>61</v>
      </c>
      <c r="G3305" t="s">
        <v>48</v>
      </c>
      <c r="H3305" t="s">
        <v>49</v>
      </c>
      <c r="I3305" t="s">
        <v>50</v>
      </c>
      <c r="J3305" t="s">
        <v>4989</v>
      </c>
      <c r="K3305" t="s">
        <v>5371</v>
      </c>
      <c r="L3305" t="s">
        <v>53</v>
      </c>
      <c r="N3305" t="s">
        <v>5397</v>
      </c>
      <c r="P3305" t="s">
        <v>55</v>
      </c>
      <c r="R3305" t="s">
        <v>53</v>
      </c>
      <c r="T3305" t="s">
        <v>5398</v>
      </c>
      <c r="U3305" t="s">
        <v>58</v>
      </c>
      <c r="V3305">
        <v>3</v>
      </c>
      <c r="W3305">
        <v>1</v>
      </c>
      <c r="X3305">
        <v>2</v>
      </c>
      <c r="Y3305">
        <v>0</v>
      </c>
      <c r="Z3305">
        <v>2</v>
      </c>
      <c r="AA3305">
        <v>0</v>
      </c>
      <c r="AB3305">
        <v>263.88</v>
      </c>
      <c r="AC3305">
        <v>232.2</v>
      </c>
      <c r="AD3305">
        <v>0</v>
      </c>
      <c r="AE3305">
        <v>31.68</v>
      </c>
      <c r="AF3305">
        <v>0</v>
      </c>
      <c r="AG3305">
        <v>0</v>
      </c>
      <c r="AH3305">
        <v>0</v>
      </c>
      <c r="AI3305">
        <v>47.5</v>
      </c>
      <c r="AJ3305">
        <v>263.88</v>
      </c>
      <c r="AK3305">
        <v>0</v>
      </c>
      <c r="AL3305" t="s">
        <v>53</v>
      </c>
      <c r="AM3305" t="s">
        <v>53</v>
      </c>
      <c r="AN3305" t="s">
        <v>53</v>
      </c>
      <c r="AO3305" t="s">
        <v>53</v>
      </c>
      <c r="AP3305" t="s">
        <v>53</v>
      </c>
    </row>
    <row r="3306" spans="2:42" x14ac:dyDescent="0.2">
      <c r="B3306" t="s">
        <v>44</v>
      </c>
      <c r="C3306" t="str">
        <f>HYPERLINK("https://us2.cloudbeds.com/connect/8493803454333002#/reservations/28191568900323?display=K1G2UY1PE&amp;reservation_id=28191568900323", "K1G2UY1PE")</f>
        <v>K1G2UY1PE</v>
      </c>
      <c r="D3306" t="s">
        <v>45</v>
      </c>
      <c r="E3306" t="s">
        <v>138</v>
      </c>
      <c r="F3306" t="s">
        <v>70</v>
      </c>
      <c r="G3306" t="s">
        <v>48</v>
      </c>
      <c r="H3306" t="s">
        <v>49</v>
      </c>
      <c r="I3306" t="s">
        <v>50</v>
      </c>
      <c r="J3306" t="s">
        <v>1259</v>
      </c>
      <c r="K3306" t="s">
        <v>3339</v>
      </c>
      <c r="L3306" t="s">
        <v>53</v>
      </c>
      <c r="N3306" t="s">
        <v>5399</v>
      </c>
      <c r="P3306" t="s">
        <v>55</v>
      </c>
      <c r="R3306" t="s">
        <v>53</v>
      </c>
      <c r="T3306" t="s">
        <v>5400</v>
      </c>
      <c r="U3306" t="s">
        <v>58</v>
      </c>
      <c r="V3306">
        <v>1</v>
      </c>
      <c r="W3306">
        <v>1</v>
      </c>
      <c r="X3306">
        <v>2</v>
      </c>
      <c r="Y3306">
        <v>0</v>
      </c>
      <c r="Z3306">
        <v>2</v>
      </c>
      <c r="AA3306">
        <v>0</v>
      </c>
      <c r="AB3306">
        <v>118.82</v>
      </c>
      <c r="AC3306">
        <v>104.55</v>
      </c>
      <c r="AD3306">
        <v>0</v>
      </c>
      <c r="AE3306">
        <v>14.27</v>
      </c>
      <c r="AF3306">
        <v>0</v>
      </c>
      <c r="AG3306">
        <v>0</v>
      </c>
      <c r="AH3306">
        <v>0</v>
      </c>
      <c r="AI3306">
        <v>21.39</v>
      </c>
      <c r="AJ3306">
        <v>118.82</v>
      </c>
      <c r="AK3306">
        <v>0</v>
      </c>
      <c r="AL3306" t="s">
        <v>53</v>
      </c>
      <c r="AM3306" t="s">
        <v>53</v>
      </c>
      <c r="AN3306" t="s">
        <v>53</v>
      </c>
      <c r="AO3306" t="s">
        <v>53</v>
      </c>
      <c r="AP3306" t="s">
        <v>53</v>
      </c>
    </row>
    <row r="3307" spans="2:42" x14ac:dyDescent="0.2">
      <c r="B3307" t="s">
        <v>44</v>
      </c>
      <c r="C3307" t="str">
        <f>HYPERLINK("https://us2.cloudbeds.com/connect/8493803454333002#/reservations/28195579703431?display=K1J6DYXXX&amp;reservation_id=28195579703431", "K1J6DYXXX")</f>
        <v>K1J6DYXXX</v>
      </c>
      <c r="D3307" t="s">
        <v>45</v>
      </c>
      <c r="E3307" t="s">
        <v>128</v>
      </c>
      <c r="F3307" t="s">
        <v>86</v>
      </c>
      <c r="G3307" t="s">
        <v>48</v>
      </c>
      <c r="H3307" t="s">
        <v>3957</v>
      </c>
      <c r="I3307" t="s">
        <v>3975</v>
      </c>
      <c r="J3307" t="s">
        <v>3882</v>
      </c>
      <c r="K3307" t="s">
        <v>1259</v>
      </c>
      <c r="L3307" t="s">
        <v>53</v>
      </c>
      <c r="P3307" t="s">
        <v>55</v>
      </c>
      <c r="R3307" t="s">
        <v>56</v>
      </c>
      <c r="T3307" t="s">
        <v>5401</v>
      </c>
      <c r="U3307" t="s">
        <v>58</v>
      </c>
      <c r="V3307">
        <v>1</v>
      </c>
      <c r="W3307">
        <v>1</v>
      </c>
      <c r="X3307">
        <v>2</v>
      </c>
      <c r="Y3307">
        <v>0</v>
      </c>
      <c r="Z3307">
        <v>2</v>
      </c>
      <c r="AA3307">
        <v>0</v>
      </c>
      <c r="AB3307">
        <v>170.48</v>
      </c>
      <c r="AC3307">
        <v>150</v>
      </c>
      <c r="AD3307">
        <v>0</v>
      </c>
      <c r="AE3307">
        <v>20.48</v>
      </c>
      <c r="AF3307">
        <v>0</v>
      </c>
      <c r="AG3307">
        <v>0</v>
      </c>
      <c r="AH3307">
        <v>0</v>
      </c>
      <c r="AI3307">
        <v>0</v>
      </c>
      <c r="AJ3307">
        <v>170.48</v>
      </c>
      <c r="AK3307">
        <v>0</v>
      </c>
      <c r="AL3307" t="s">
        <v>53</v>
      </c>
      <c r="AM3307" t="s">
        <v>53</v>
      </c>
      <c r="AN3307" t="s">
        <v>53</v>
      </c>
      <c r="AO3307" t="s">
        <v>53</v>
      </c>
      <c r="AP3307" t="s">
        <v>53</v>
      </c>
    </row>
    <row r="3308" spans="2:42" x14ac:dyDescent="0.2">
      <c r="B3308" t="s">
        <v>44</v>
      </c>
      <c r="C3308" t="str">
        <f>HYPERLINK("https://us2.cloudbeds.com/connect/8493803454333002#/reservations/28220836118686?display=K25ZPHX2C&amp;reservation_id=28220836118686", "K25ZPHX2C")</f>
        <v>K25ZPHX2C</v>
      </c>
      <c r="D3308" t="s">
        <v>45</v>
      </c>
      <c r="E3308" t="s">
        <v>190</v>
      </c>
      <c r="F3308" t="s">
        <v>61</v>
      </c>
      <c r="G3308" t="s">
        <v>48</v>
      </c>
      <c r="H3308" t="s">
        <v>49</v>
      </c>
      <c r="I3308" t="s">
        <v>62</v>
      </c>
      <c r="J3308" t="s">
        <v>5402</v>
      </c>
      <c r="K3308" t="s">
        <v>5403</v>
      </c>
      <c r="L3308" t="s">
        <v>53</v>
      </c>
      <c r="N3308" t="s">
        <v>5404</v>
      </c>
      <c r="P3308" t="s">
        <v>55</v>
      </c>
      <c r="R3308" t="s">
        <v>56</v>
      </c>
      <c r="T3308" t="s">
        <v>5405</v>
      </c>
      <c r="U3308" t="s">
        <v>55</v>
      </c>
      <c r="V3308">
        <v>3</v>
      </c>
      <c r="W3308">
        <v>1</v>
      </c>
      <c r="X3308">
        <v>2</v>
      </c>
      <c r="Y3308">
        <v>0</v>
      </c>
      <c r="Z3308">
        <v>2</v>
      </c>
      <c r="AA3308">
        <v>0</v>
      </c>
      <c r="AB3308">
        <v>519</v>
      </c>
      <c r="AC3308">
        <v>519</v>
      </c>
      <c r="AD3308">
        <v>0</v>
      </c>
      <c r="AE3308">
        <v>0</v>
      </c>
      <c r="AF3308">
        <v>0</v>
      </c>
      <c r="AG3308">
        <v>0</v>
      </c>
      <c r="AH3308">
        <v>0</v>
      </c>
      <c r="AI3308">
        <v>77.849999999999994</v>
      </c>
      <c r="AJ3308">
        <v>519</v>
      </c>
      <c r="AK3308">
        <v>0</v>
      </c>
      <c r="AL3308" t="s">
        <v>53</v>
      </c>
      <c r="AM3308" t="s">
        <v>53</v>
      </c>
      <c r="AN3308" t="s">
        <v>53</v>
      </c>
      <c r="AO3308" t="s">
        <v>53</v>
      </c>
      <c r="AP3308" t="s">
        <v>53</v>
      </c>
    </row>
    <row r="3309" spans="2:42" x14ac:dyDescent="0.2">
      <c r="B3309" t="s">
        <v>44</v>
      </c>
      <c r="C3309" t="str">
        <f>HYPERLINK("https://us2.cloudbeds.com/connect/8493803454333002#/reservations/28229619298544?display=K2CX6ZFYP&amp;reservation_id=28229619298544", "K2CX6ZFYP")</f>
        <v>K2CX6ZFYP</v>
      </c>
      <c r="D3309" t="s">
        <v>45</v>
      </c>
      <c r="E3309" t="s">
        <v>92</v>
      </c>
      <c r="F3309" t="s">
        <v>86</v>
      </c>
      <c r="G3309" t="s">
        <v>48</v>
      </c>
      <c r="H3309" t="s">
        <v>49</v>
      </c>
      <c r="I3309" t="s">
        <v>50</v>
      </c>
      <c r="J3309" t="s">
        <v>3882</v>
      </c>
      <c r="K3309" t="s">
        <v>1259</v>
      </c>
      <c r="L3309" t="s">
        <v>53</v>
      </c>
      <c r="N3309" t="s">
        <v>5406</v>
      </c>
      <c r="P3309" t="s">
        <v>55</v>
      </c>
      <c r="R3309" t="s">
        <v>53</v>
      </c>
      <c r="T3309" t="s">
        <v>5407</v>
      </c>
      <c r="U3309" t="s">
        <v>58</v>
      </c>
      <c r="V3309">
        <v>1</v>
      </c>
      <c r="W3309">
        <v>1</v>
      </c>
      <c r="X3309">
        <v>2</v>
      </c>
      <c r="Y3309">
        <v>0</v>
      </c>
      <c r="Z3309">
        <v>2</v>
      </c>
      <c r="AA3309">
        <v>0</v>
      </c>
      <c r="AB3309">
        <v>144.9</v>
      </c>
      <c r="AC3309">
        <v>127.5</v>
      </c>
      <c r="AD3309">
        <v>0</v>
      </c>
      <c r="AE3309">
        <v>17.399999999999999</v>
      </c>
      <c r="AF3309">
        <v>0</v>
      </c>
      <c r="AG3309">
        <v>0</v>
      </c>
      <c r="AH3309">
        <v>0</v>
      </c>
      <c r="AI3309">
        <v>26.08</v>
      </c>
      <c r="AJ3309">
        <v>144.9</v>
      </c>
      <c r="AK3309">
        <v>0</v>
      </c>
      <c r="AL3309" t="s">
        <v>53</v>
      </c>
      <c r="AM3309" t="s">
        <v>53</v>
      </c>
      <c r="AN3309" t="s">
        <v>53</v>
      </c>
      <c r="AO3309" t="s">
        <v>53</v>
      </c>
      <c r="AP3309" t="s">
        <v>53</v>
      </c>
    </row>
    <row r="3310" spans="2:42" x14ac:dyDescent="0.2">
      <c r="B3310" t="s">
        <v>44</v>
      </c>
      <c r="C3310" t="str">
        <f>HYPERLINK("https://us2.cloudbeds.com/connect/8493803454333002#/reservations/28265682465009?display=K37FN57WW&amp;reservation_id=28265682465009", "K37FN57WW")</f>
        <v>K37FN57WW</v>
      </c>
      <c r="D3310" t="s">
        <v>45</v>
      </c>
      <c r="E3310" t="s">
        <v>373</v>
      </c>
      <c r="F3310" t="s">
        <v>47</v>
      </c>
      <c r="G3310" t="s">
        <v>48</v>
      </c>
      <c r="H3310" t="s">
        <v>49</v>
      </c>
      <c r="I3310" t="s">
        <v>62</v>
      </c>
      <c r="J3310" t="s">
        <v>3882</v>
      </c>
      <c r="K3310" t="s">
        <v>3339</v>
      </c>
      <c r="L3310" t="s">
        <v>53</v>
      </c>
      <c r="N3310" t="s">
        <v>5408</v>
      </c>
      <c r="P3310" t="s">
        <v>55</v>
      </c>
      <c r="R3310" t="s">
        <v>56</v>
      </c>
      <c r="T3310" t="s">
        <v>5409</v>
      </c>
      <c r="U3310" t="s">
        <v>55</v>
      </c>
      <c r="V3310">
        <v>2</v>
      </c>
      <c r="W3310">
        <v>1</v>
      </c>
      <c r="X3310">
        <v>2</v>
      </c>
      <c r="Y3310">
        <v>0</v>
      </c>
      <c r="Z3310">
        <v>2</v>
      </c>
      <c r="AA3310">
        <v>0</v>
      </c>
      <c r="AB3310">
        <v>300.05</v>
      </c>
      <c r="AC3310">
        <v>264</v>
      </c>
      <c r="AD3310">
        <v>0</v>
      </c>
      <c r="AE3310">
        <v>36.049999999999997</v>
      </c>
      <c r="AF3310">
        <v>0</v>
      </c>
      <c r="AG3310">
        <v>0</v>
      </c>
      <c r="AH3310">
        <v>0</v>
      </c>
      <c r="AI3310">
        <v>45.01</v>
      </c>
      <c r="AJ3310">
        <v>300.05</v>
      </c>
      <c r="AK3310">
        <v>0</v>
      </c>
      <c r="AL3310" t="s">
        <v>53</v>
      </c>
      <c r="AM3310" t="s">
        <v>53</v>
      </c>
      <c r="AN3310" t="s">
        <v>53</v>
      </c>
      <c r="AO3310" t="s">
        <v>53</v>
      </c>
      <c r="AP3310" t="s">
        <v>53</v>
      </c>
    </row>
    <row r="3311" spans="2:42" x14ac:dyDescent="0.2">
      <c r="B3311" t="s">
        <v>44</v>
      </c>
      <c r="C3311" t="str">
        <f>HYPERLINK("https://us2.cloudbeds.com/connect/8493803454333002#/reservations/28266785378527?display=K38AT5EDZ&amp;reservation_id=28266785378527", "K38AT5EDZ")</f>
        <v>K38AT5EDZ</v>
      </c>
      <c r="D3311" t="s">
        <v>45</v>
      </c>
      <c r="E3311" t="s">
        <v>185</v>
      </c>
      <c r="F3311" t="s">
        <v>47</v>
      </c>
      <c r="G3311" t="s">
        <v>48</v>
      </c>
      <c r="H3311" t="s">
        <v>49</v>
      </c>
      <c r="I3311" t="s">
        <v>62</v>
      </c>
      <c r="J3311" t="s">
        <v>3882</v>
      </c>
      <c r="K3311" t="s">
        <v>3339</v>
      </c>
      <c r="L3311" t="s">
        <v>53</v>
      </c>
      <c r="N3311" t="s">
        <v>5410</v>
      </c>
      <c r="P3311" t="s">
        <v>55</v>
      </c>
      <c r="R3311" t="s">
        <v>56</v>
      </c>
      <c r="T3311" t="s">
        <v>5411</v>
      </c>
      <c r="U3311" t="s">
        <v>55</v>
      </c>
      <c r="V3311">
        <v>2</v>
      </c>
      <c r="W3311">
        <v>1</v>
      </c>
      <c r="X3311">
        <v>2</v>
      </c>
      <c r="Y3311">
        <v>0</v>
      </c>
      <c r="Z3311">
        <v>2</v>
      </c>
      <c r="AA3311">
        <v>0</v>
      </c>
      <c r="AB3311">
        <v>300.05</v>
      </c>
      <c r="AC3311">
        <v>264</v>
      </c>
      <c r="AD3311">
        <v>0</v>
      </c>
      <c r="AE3311">
        <v>36.049999999999997</v>
      </c>
      <c r="AF3311">
        <v>0</v>
      </c>
      <c r="AG3311">
        <v>0</v>
      </c>
      <c r="AH3311">
        <v>0</v>
      </c>
      <c r="AI3311">
        <v>45.01</v>
      </c>
      <c r="AJ3311">
        <v>300.05</v>
      </c>
      <c r="AK3311">
        <v>0</v>
      </c>
      <c r="AL3311" t="s">
        <v>53</v>
      </c>
      <c r="AM3311" t="s">
        <v>53</v>
      </c>
      <c r="AN3311" t="s">
        <v>53</v>
      </c>
      <c r="AO3311" t="s">
        <v>53</v>
      </c>
      <c r="AP3311" t="s">
        <v>53</v>
      </c>
    </row>
    <row r="3312" spans="2:42" x14ac:dyDescent="0.2">
      <c r="B3312" t="s">
        <v>44</v>
      </c>
      <c r="C3312" t="str">
        <f>HYPERLINK("https://us2.cloudbeds.com/connect/8493803454333002#/reservations/28316399792265?display=K4DZYBKWN&amp;reservation_id=28316399792265", "K4DZYBKWN")</f>
        <v>K4DZYBKWN</v>
      </c>
      <c r="D3312" t="s">
        <v>45</v>
      </c>
      <c r="E3312" t="s">
        <v>179</v>
      </c>
      <c r="F3312" t="s">
        <v>47</v>
      </c>
      <c r="G3312" t="s">
        <v>48</v>
      </c>
      <c r="H3312" t="s">
        <v>3957</v>
      </c>
      <c r="I3312" t="s">
        <v>3958</v>
      </c>
      <c r="J3312" t="s">
        <v>1259</v>
      </c>
      <c r="K3312" t="s">
        <v>3339</v>
      </c>
      <c r="L3312" t="s">
        <v>53</v>
      </c>
      <c r="P3312" t="s">
        <v>58</v>
      </c>
      <c r="R3312" t="s">
        <v>56</v>
      </c>
      <c r="T3312" t="s">
        <v>5412</v>
      </c>
      <c r="U3312" t="s">
        <v>58</v>
      </c>
      <c r="V3312">
        <v>1</v>
      </c>
      <c r="W3312">
        <v>1</v>
      </c>
      <c r="X3312">
        <v>1</v>
      </c>
      <c r="Y3312">
        <v>0</v>
      </c>
      <c r="Z3312">
        <v>1</v>
      </c>
      <c r="AA3312">
        <v>0</v>
      </c>
      <c r="AB3312">
        <v>139.80000000000001</v>
      </c>
      <c r="AC3312">
        <v>123</v>
      </c>
      <c r="AD3312">
        <v>0</v>
      </c>
      <c r="AE3312">
        <v>16.8</v>
      </c>
      <c r="AF3312">
        <v>0</v>
      </c>
      <c r="AG3312">
        <v>0</v>
      </c>
      <c r="AH3312">
        <v>0</v>
      </c>
      <c r="AI3312">
        <v>0</v>
      </c>
      <c r="AJ3312">
        <v>139.80000000000001</v>
      </c>
      <c r="AK3312">
        <v>0</v>
      </c>
      <c r="AL3312" t="s">
        <v>53</v>
      </c>
      <c r="AM3312" t="s">
        <v>53</v>
      </c>
      <c r="AN3312" t="s">
        <v>53</v>
      </c>
      <c r="AO3312" t="s">
        <v>53</v>
      </c>
      <c r="AP3312" t="s">
        <v>53</v>
      </c>
    </row>
    <row r="3313" spans="2:42" x14ac:dyDescent="0.2">
      <c r="B3313" t="s">
        <v>44</v>
      </c>
      <c r="C3313" t="str">
        <f>HYPERLINK("https://us2.cloudbeds.com/connect/8493803454333002#/reservations/28407855132852?display=K6XXHU9WT&amp;reservation_id=28407855132852", "K6XXHU9WT")</f>
        <v>K6XXHU9WT</v>
      </c>
      <c r="D3313" t="s">
        <v>45</v>
      </c>
      <c r="E3313" t="s">
        <v>165</v>
      </c>
      <c r="F3313" t="s">
        <v>61</v>
      </c>
      <c r="G3313" t="s">
        <v>48</v>
      </c>
      <c r="H3313" t="s">
        <v>49</v>
      </c>
      <c r="I3313" t="s">
        <v>50</v>
      </c>
      <c r="J3313" t="s">
        <v>1259</v>
      </c>
      <c r="K3313" t="s">
        <v>3339</v>
      </c>
      <c r="L3313" t="s">
        <v>53</v>
      </c>
      <c r="N3313" t="s">
        <v>5413</v>
      </c>
      <c r="P3313" t="s">
        <v>55</v>
      </c>
      <c r="R3313" t="s">
        <v>53</v>
      </c>
      <c r="T3313" t="s">
        <v>5414</v>
      </c>
      <c r="U3313" t="s">
        <v>58</v>
      </c>
      <c r="V3313">
        <v>1</v>
      </c>
      <c r="W3313">
        <v>1</v>
      </c>
      <c r="X3313">
        <v>2</v>
      </c>
      <c r="Y3313">
        <v>0</v>
      </c>
      <c r="Z3313">
        <v>2</v>
      </c>
      <c r="AA3313">
        <v>0</v>
      </c>
      <c r="AB3313">
        <v>110.02</v>
      </c>
      <c r="AC3313">
        <v>96.8</v>
      </c>
      <c r="AD3313">
        <v>0</v>
      </c>
      <c r="AE3313">
        <v>13.22</v>
      </c>
      <c r="AF3313">
        <v>0</v>
      </c>
      <c r="AG3313">
        <v>0</v>
      </c>
      <c r="AH3313">
        <v>0</v>
      </c>
      <c r="AI3313">
        <v>19.8</v>
      </c>
      <c r="AJ3313">
        <v>110.02</v>
      </c>
      <c r="AK3313">
        <v>0</v>
      </c>
      <c r="AL3313" t="s">
        <v>53</v>
      </c>
      <c r="AM3313" t="s">
        <v>53</v>
      </c>
      <c r="AN3313" t="s">
        <v>53</v>
      </c>
      <c r="AO3313" t="s">
        <v>53</v>
      </c>
      <c r="AP3313" t="s">
        <v>53</v>
      </c>
    </row>
    <row r="3314" spans="2:42" x14ac:dyDescent="0.2">
      <c r="B3314" t="s">
        <v>44</v>
      </c>
      <c r="C3314" t="str">
        <f>HYPERLINK("https://us2.cloudbeds.com/connect/8493803454333002#/reservations/28653093376144?display=KCAEV9UMR&amp;reservation_id=28653093376144", "KCAEV9UMR")</f>
        <v>KCAEV9UMR</v>
      </c>
      <c r="D3314" t="s">
        <v>45</v>
      </c>
      <c r="E3314" t="s">
        <v>69</v>
      </c>
      <c r="F3314" t="s">
        <v>70</v>
      </c>
      <c r="G3314" t="s">
        <v>48</v>
      </c>
      <c r="H3314" t="s">
        <v>49</v>
      </c>
      <c r="I3314" t="s">
        <v>50</v>
      </c>
      <c r="J3314" t="s">
        <v>3232</v>
      </c>
      <c r="K3314" t="s">
        <v>3233</v>
      </c>
      <c r="L3314" t="s">
        <v>53</v>
      </c>
      <c r="N3314" t="s">
        <v>5415</v>
      </c>
      <c r="P3314" t="s">
        <v>55</v>
      </c>
      <c r="R3314" t="s">
        <v>53</v>
      </c>
      <c r="T3314" t="s">
        <v>5416</v>
      </c>
      <c r="U3314" t="s">
        <v>58</v>
      </c>
      <c r="V3314">
        <v>2</v>
      </c>
      <c r="W3314">
        <v>1</v>
      </c>
      <c r="X3314">
        <v>2</v>
      </c>
      <c r="Y3314">
        <v>0</v>
      </c>
      <c r="Z3314">
        <v>2</v>
      </c>
      <c r="AA3314">
        <v>0</v>
      </c>
      <c r="AB3314">
        <v>220.48</v>
      </c>
      <c r="AC3314">
        <v>194</v>
      </c>
      <c r="AD3314">
        <v>0</v>
      </c>
      <c r="AE3314">
        <v>26.48</v>
      </c>
      <c r="AF3314">
        <v>0</v>
      </c>
      <c r="AG3314">
        <v>0</v>
      </c>
      <c r="AH3314">
        <v>0</v>
      </c>
      <c r="AI3314">
        <v>39.69</v>
      </c>
      <c r="AJ3314">
        <v>220.48</v>
      </c>
      <c r="AK3314">
        <v>0</v>
      </c>
      <c r="AL3314" t="s">
        <v>53</v>
      </c>
      <c r="AM3314" t="s">
        <v>53</v>
      </c>
      <c r="AN3314" t="s">
        <v>53</v>
      </c>
      <c r="AO3314" t="s">
        <v>53</v>
      </c>
      <c r="AP3314" t="s">
        <v>53</v>
      </c>
    </row>
    <row r="3315" spans="2:42" x14ac:dyDescent="0.2">
      <c r="B3315" t="s">
        <v>44</v>
      </c>
      <c r="C3315" t="str">
        <f>HYPERLINK("https://us2.cloudbeds.com/connect/8493803454333002#/reservations/28711497289967?display=KDMMA0UX7&amp;reservation_id=28711497289967", "KDMMA0UX7")</f>
        <v>KDMMA0UX7</v>
      </c>
      <c r="D3315" t="s">
        <v>45</v>
      </c>
      <c r="E3315" t="s">
        <v>85</v>
      </c>
      <c r="F3315" t="s">
        <v>86</v>
      </c>
      <c r="G3315" t="s">
        <v>48</v>
      </c>
      <c r="H3315" t="s">
        <v>49</v>
      </c>
      <c r="I3315" t="s">
        <v>62</v>
      </c>
      <c r="J3315" t="s">
        <v>3906</v>
      </c>
      <c r="K3315" t="s">
        <v>4194</v>
      </c>
      <c r="L3315" t="s">
        <v>53</v>
      </c>
      <c r="N3315" t="s">
        <v>5417</v>
      </c>
      <c r="P3315" t="s">
        <v>55</v>
      </c>
      <c r="R3315" t="s">
        <v>56</v>
      </c>
      <c r="T3315" t="s">
        <v>5418</v>
      </c>
      <c r="U3315" t="s">
        <v>55</v>
      </c>
      <c r="V3315">
        <v>1</v>
      </c>
      <c r="W3315">
        <v>1</v>
      </c>
      <c r="X3315">
        <v>3</v>
      </c>
      <c r="Y3315">
        <v>0</v>
      </c>
      <c r="Z3315">
        <v>3</v>
      </c>
      <c r="AA3315">
        <v>0</v>
      </c>
      <c r="AB3315">
        <v>135.25</v>
      </c>
      <c r="AC3315">
        <v>119</v>
      </c>
      <c r="AD3315">
        <v>0</v>
      </c>
      <c r="AE3315">
        <v>16.25</v>
      </c>
      <c r="AF3315">
        <v>0</v>
      </c>
      <c r="AG3315">
        <v>0</v>
      </c>
      <c r="AH3315">
        <v>0</v>
      </c>
      <c r="AI3315">
        <v>20.29</v>
      </c>
      <c r="AJ3315">
        <v>135.25</v>
      </c>
      <c r="AK3315">
        <v>0</v>
      </c>
      <c r="AL3315" t="s">
        <v>53</v>
      </c>
      <c r="AM3315" t="s">
        <v>53</v>
      </c>
      <c r="AN3315" t="s">
        <v>53</v>
      </c>
      <c r="AO3315" t="s">
        <v>53</v>
      </c>
      <c r="AP3315" t="s">
        <v>53</v>
      </c>
    </row>
    <row r="3316" spans="2:42" x14ac:dyDescent="0.2">
      <c r="B3316" t="s">
        <v>44</v>
      </c>
      <c r="C3316" t="str">
        <f>HYPERLINK("https://us2.cloudbeds.com/connect/8493803454333002#/reservations/28772285350062?display=KF3ZJ4A3B&amp;reservation_id=28772285350062", "KF3ZJ4A3B")</f>
        <v>KF3ZJ4A3B</v>
      </c>
      <c r="D3316" t="s">
        <v>45</v>
      </c>
      <c r="E3316" t="s">
        <v>165</v>
      </c>
      <c r="F3316" t="s">
        <v>61</v>
      </c>
      <c r="G3316" t="s">
        <v>48</v>
      </c>
      <c r="H3316" t="s">
        <v>49</v>
      </c>
      <c r="I3316" t="s">
        <v>62</v>
      </c>
      <c r="J3316" t="s">
        <v>3339</v>
      </c>
      <c r="K3316" t="s">
        <v>3232</v>
      </c>
      <c r="L3316" t="s">
        <v>53</v>
      </c>
      <c r="N3316" t="s">
        <v>5419</v>
      </c>
      <c r="P3316" t="s">
        <v>55</v>
      </c>
      <c r="R3316" t="s">
        <v>56</v>
      </c>
      <c r="T3316" t="s">
        <v>5420</v>
      </c>
      <c r="U3316" t="s">
        <v>55</v>
      </c>
      <c r="V3316">
        <v>1</v>
      </c>
      <c r="W3316">
        <v>1</v>
      </c>
      <c r="X3316">
        <v>2</v>
      </c>
      <c r="Y3316">
        <v>0</v>
      </c>
      <c r="Z3316">
        <v>2</v>
      </c>
      <c r="AA3316">
        <v>0</v>
      </c>
      <c r="AB3316">
        <v>127.29</v>
      </c>
      <c r="AC3316">
        <v>112</v>
      </c>
      <c r="AD3316">
        <v>0</v>
      </c>
      <c r="AE3316">
        <v>15.29</v>
      </c>
      <c r="AF3316">
        <v>0</v>
      </c>
      <c r="AG3316">
        <v>0</v>
      </c>
      <c r="AH3316">
        <v>0</v>
      </c>
      <c r="AI3316">
        <v>19.09</v>
      </c>
      <c r="AJ3316">
        <v>127.29</v>
      </c>
      <c r="AK3316">
        <v>0</v>
      </c>
      <c r="AL3316" t="s">
        <v>53</v>
      </c>
      <c r="AM3316" t="s">
        <v>53</v>
      </c>
      <c r="AN3316" t="s">
        <v>53</v>
      </c>
      <c r="AO3316" t="s">
        <v>53</v>
      </c>
      <c r="AP3316" t="s">
        <v>53</v>
      </c>
    </row>
    <row r="3317" spans="2:42" x14ac:dyDescent="0.2">
      <c r="B3317" t="s">
        <v>44</v>
      </c>
      <c r="C3317" t="str">
        <f>HYPERLINK("https://us2.cloudbeds.com/connect/8493803454333002#/reservations/28933518639335?display=KXTJFA8E1&amp;reservation_id=28933518639335", "KXTJFA8E1")</f>
        <v>KXTJFA8E1</v>
      </c>
      <c r="D3317" t="s">
        <v>45</v>
      </c>
      <c r="E3317" t="s">
        <v>5421</v>
      </c>
      <c r="F3317" t="s">
        <v>86</v>
      </c>
      <c r="G3317" t="s">
        <v>48</v>
      </c>
      <c r="H3317" t="s">
        <v>49</v>
      </c>
      <c r="I3317" t="s">
        <v>62</v>
      </c>
      <c r="J3317" t="s">
        <v>5371</v>
      </c>
      <c r="K3317" t="s">
        <v>3414</v>
      </c>
      <c r="L3317" t="s">
        <v>53</v>
      </c>
      <c r="N3317" t="s">
        <v>5422</v>
      </c>
      <c r="P3317" t="s">
        <v>55</v>
      </c>
      <c r="R3317" t="s">
        <v>56</v>
      </c>
      <c r="T3317" t="s">
        <v>5423</v>
      </c>
      <c r="U3317" t="s">
        <v>55</v>
      </c>
      <c r="V3317">
        <v>6</v>
      </c>
      <c r="W3317">
        <v>3</v>
      </c>
      <c r="X3317">
        <v>8</v>
      </c>
      <c r="Y3317">
        <v>4</v>
      </c>
      <c r="Z3317">
        <v>12</v>
      </c>
      <c r="AA3317">
        <v>0</v>
      </c>
      <c r="AB3317">
        <v>558.48</v>
      </c>
      <c r="AC3317">
        <v>491.4</v>
      </c>
      <c r="AD3317">
        <v>0</v>
      </c>
      <c r="AE3317">
        <v>67.14</v>
      </c>
      <c r="AF3317">
        <v>0</v>
      </c>
      <c r="AG3317">
        <v>0</v>
      </c>
      <c r="AH3317">
        <v>0</v>
      </c>
      <c r="AI3317">
        <v>83.78</v>
      </c>
      <c r="AJ3317">
        <v>558.54</v>
      </c>
      <c r="AK3317">
        <v>0.06</v>
      </c>
      <c r="AL3317" t="s">
        <v>53</v>
      </c>
      <c r="AM3317" t="s">
        <v>53</v>
      </c>
      <c r="AN3317" t="s">
        <v>53</v>
      </c>
      <c r="AO3317" t="s">
        <v>53</v>
      </c>
      <c r="AP3317" t="s">
        <v>53</v>
      </c>
    </row>
    <row r="3318" spans="2:42" x14ac:dyDescent="0.2">
      <c r="B3318" t="s">
        <v>44</v>
      </c>
      <c r="C3318" t="str">
        <f>HYPERLINK("https://us2.cloudbeds.com/connect/8493803454333002#/reservations/28939214876853?display=KJ100HF75&amp;reservation_id=28939214876853", "KJ100HF75")</f>
        <v>KJ100HF75</v>
      </c>
      <c r="D3318" t="s">
        <v>45</v>
      </c>
      <c r="E3318" t="s">
        <v>85</v>
      </c>
      <c r="F3318" t="s">
        <v>86</v>
      </c>
      <c r="G3318" t="s">
        <v>48</v>
      </c>
      <c r="H3318" t="s">
        <v>49</v>
      </c>
      <c r="I3318" t="s">
        <v>50</v>
      </c>
      <c r="J3318" t="s">
        <v>5105</v>
      </c>
      <c r="K3318" t="s">
        <v>3613</v>
      </c>
      <c r="L3318" t="s">
        <v>53</v>
      </c>
      <c r="N3318" t="s">
        <v>5424</v>
      </c>
      <c r="P3318" t="s">
        <v>55</v>
      </c>
      <c r="R3318" t="s">
        <v>53</v>
      </c>
      <c r="T3318" t="s">
        <v>5425</v>
      </c>
      <c r="U3318" t="s">
        <v>58</v>
      </c>
      <c r="V3318">
        <v>4</v>
      </c>
      <c r="W3318">
        <v>1</v>
      </c>
      <c r="X3318">
        <v>2</v>
      </c>
      <c r="Y3318">
        <v>0</v>
      </c>
      <c r="Z3318">
        <v>2</v>
      </c>
      <c r="AA3318">
        <v>0</v>
      </c>
      <c r="AB3318">
        <v>297.83999999999997</v>
      </c>
      <c r="AC3318">
        <v>262.08</v>
      </c>
      <c r="AD3318">
        <v>0</v>
      </c>
      <c r="AE3318">
        <v>35.76</v>
      </c>
      <c r="AF3318">
        <v>0</v>
      </c>
      <c r="AG3318">
        <v>0</v>
      </c>
      <c r="AH3318">
        <v>0</v>
      </c>
      <c r="AI3318">
        <v>53.61</v>
      </c>
      <c r="AJ3318">
        <v>297.83999999999997</v>
      </c>
      <c r="AK3318">
        <v>0</v>
      </c>
      <c r="AL3318" t="s">
        <v>53</v>
      </c>
      <c r="AM3318" t="s">
        <v>53</v>
      </c>
      <c r="AN3318" t="s">
        <v>53</v>
      </c>
      <c r="AO3318" t="s">
        <v>53</v>
      </c>
      <c r="AP3318" t="s">
        <v>53</v>
      </c>
    </row>
    <row r="3319" spans="2:42" x14ac:dyDescent="0.2">
      <c r="B3319" t="s">
        <v>44</v>
      </c>
      <c r="C3319" t="str">
        <f>HYPERLINK("https://us2.cloudbeds.com/connect/8493803454333002#/reservations/28939038224536?display=KJ0SGXS1K&amp;reservation_id=28939038224536", "KJ0SGXS1K")</f>
        <v>KJ0SGXS1K</v>
      </c>
      <c r="D3319" t="s">
        <v>45</v>
      </c>
      <c r="E3319" t="s">
        <v>155</v>
      </c>
      <c r="F3319" t="s">
        <v>86</v>
      </c>
      <c r="G3319" t="s">
        <v>48</v>
      </c>
      <c r="H3319" t="s">
        <v>49</v>
      </c>
      <c r="I3319" t="s">
        <v>50</v>
      </c>
      <c r="J3319" t="s">
        <v>5105</v>
      </c>
      <c r="K3319" t="s">
        <v>3613</v>
      </c>
      <c r="L3319" t="s">
        <v>53</v>
      </c>
      <c r="N3319" t="s">
        <v>5426</v>
      </c>
      <c r="P3319" t="s">
        <v>55</v>
      </c>
      <c r="R3319" t="s">
        <v>56</v>
      </c>
      <c r="T3319" t="s">
        <v>5427</v>
      </c>
      <c r="U3319" t="s">
        <v>58</v>
      </c>
      <c r="V3319">
        <v>4</v>
      </c>
      <c r="W3319">
        <v>1</v>
      </c>
      <c r="X3319">
        <v>2</v>
      </c>
      <c r="Y3319">
        <v>0</v>
      </c>
      <c r="Z3319">
        <v>2</v>
      </c>
      <c r="AA3319">
        <v>0</v>
      </c>
      <c r="AB3319">
        <v>327.84</v>
      </c>
      <c r="AC3319">
        <v>292.08</v>
      </c>
      <c r="AD3319">
        <v>0</v>
      </c>
      <c r="AE3319">
        <v>35.76</v>
      </c>
      <c r="AF3319">
        <v>0</v>
      </c>
      <c r="AG3319">
        <v>0</v>
      </c>
      <c r="AH3319">
        <v>0</v>
      </c>
      <c r="AI3319">
        <v>59.01</v>
      </c>
      <c r="AJ3319">
        <v>327.84</v>
      </c>
      <c r="AK3319">
        <v>0</v>
      </c>
      <c r="AL3319" t="s">
        <v>53</v>
      </c>
      <c r="AM3319" t="s">
        <v>53</v>
      </c>
      <c r="AN3319" t="s">
        <v>53</v>
      </c>
      <c r="AO3319" t="s">
        <v>53</v>
      </c>
      <c r="AP3319" t="s">
        <v>53</v>
      </c>
    </row>
    <row r="3320" spans="2:42" x14ac:dyDescent="0.2">
      <c r="B3320" t="s">
        <v>44</v>
      </c>
      <c r="C3320" t="str">
        <f>HYPERLINK("https://us2.cloudbeds.com/connect/8493803454333002#/reservations/28939038224533?display=KJ0SGXS1X&amp;reservation_id=28939038224533", "KJ0SGXS1X")</f>
        <v>KJ0SGXS1X</v>
      </c>
      <c r="D3320" t="s">
        <v>45</v>
      </c>
      <c r="E3320" t="s">
        <v>213</v>
      </c>
      <c r="F3320" t="s">
        <v>86</v>
      </c>
      <c r="G3320" t="s">
        <v>48</v>
      </c>
      <c r="H3320" t="s">
        <v>49</v>
      </c>
      <c r="I3320" t="s">
        <v>50</v>
      </c>
      <c r="J3320" t="s">
        <v>5105</v>
      </c>
      <c r="K3320" t="s">
        <v>3613</v>
      </c>
      <c r="L3320" t="s">
        <v>53</v>
      </c>
      <c r="N3320" t="s">
        <v>5428</v>
      </c>
      <c r="P3320" t="s">
        <v>55</v>
      </c>
      <c r="R3320" t="s">
        <v>53</v>
      </c>
      <c r="T3320" t="s">
        <v>5429</v>
      </c>
      <c r="U3320" t="s">
        <v>58</v>
      </c>
      <c r="V3320">
        <v>4</v>
      </c>
      <c r="W3320">
        <v>1</v>
      </c>
      <c r="X3320">
        <v>2</v>
      </c>
      <c r="Y3320">
        <v>0</v>
      </c>
      <c r="Z3320">
        <v>2</v>
      </c>
      <c r="AA3320">
        <v>0</v>
      </c>
      <c r="AB3320">
        <v>297.83999999999997</v>
      </c>
      <c r="AC3320">
        <v>262.08</v>
      </c>
      <c r="AD3320">
        <v>0</v>
      </c>
      <c r="AE3320">
        <v>35.76</v>
      </c>
      <c r="AF3320">
        <v>0</v>
      </c>
      <c r="AG3320">
        <v>0</v>
      </c>
      <c r="AH3320">
        <v>0</v>
      </c>
      <c r="AI3320">
        <v>53.61</v>
      </c>
      <c r="AJ3320">
        <v>297.83999999999997</v>
      </c>
      <c r="AK3320">
        <v>0</v>
      </c>
      <c r="AL3320" t="s">
        <v>53</v>
      </c>
      <c r="AM3320" t="s">
        <v>53</v>
      </c>
      <c r="AN3320" t="s">
        <v>53</v>
      </c>
      <c r="AO3320" t="s">
        <v>53</v>
      </c>
      <c r="AP3320" t="s">
        <v>53</v>
      </c>
    </row>
    <row r="3321" spans="2:42" x14ac:dyDescent="0.2">
      <c r="B3321" t="s">
        <v>44</v>
      </c>
      <c r="C3321" t="str">
        <f>HYPERLINK("https://us2.cloudbeds.com/connect/8493803454333002#/reservations/28988399054979?display=KK62PUNPB&amp;reservation_id=28988399054979", "KK62PUNPB")</f>
        <v>KK62PUNPB</v>
      </c>
      <c r="D3321" t="s">
        <v>45</v>
      </c>
      <c r="E3321" t="s">
        <v>165</v>
      </c>
      <c r="F3321" t="s">
        <v>61</v>
      </c>
      <c r="G3321" t="s">
        <v>48</v>
      </c>
      <c r="H3321" t="s">
        <v>49</v>
      </c>
      <c r="I3321" t="s">
        <v>62</v>
      </c>
      <c r="J3321" t="s">
        <v>5430</v>
      </c>
      <c r="K3321" t="s">
        <v>5431</v>
      </c>
      <c r="L3321" t="s">
        <v>53</v>
      </c>
      <c r="N3321" t="s">
        <v>5432</v>
      </c>
      <c r="P3321" t="s">
        <v>55</v>
      </c>
      <c r="R3321" t="s">
        <v>201</v>
      </c>
      <c r="T3321" t="s">
        <v>5433</v>
      </c>
      <c r="U3321" t="s">
        <v>55</v>
      </c>
      <c r="V3321">
        <v>1</v>
      </c>
      <c r="W3321">
        <v>1</v>
      </c>
      <c r="X3321">
        <v>2</v>
      </c>
      <c r="Y3321">
        <v>0</v>
      </c>
      <c r="Z3321">
        <v>2</v>
      </c>
      <c r="AA3321">
        <v>176</v>
      </c>
      <c r="AB3321">
        <v>200.02</v>
      </c>
      <c r="AC3321">
        <v>176</v>
      </c>
      <c r="AD3321">
        <v>0</v>
      </c>
      <c r="AE3321">
        <v>24.02</v>
      </c>
      <c r="AF3321">
        <v>0</v>
      </c>
      <c r="AG3321">
        <v>0</v>
      </c>
      <c r="AH3321">
        <v>0</v>
      </c>
      <c r="AI3321">
        <v>36</v>
      </c>
      <c r="AJ3321">
        <v>200.02</v>
      </c>
      <c r="AK3321">
        <v>0</v>
      </c>
      <c r="AL3321" t="s">
        <v>53</v>
      </c>
      <c r="AM3321" t="s">
        <v>53</v>
      </c>
      <c r="AN3321" t="s">
        <v>53</v>
      </c>
      <c r="AO3321" t="s">
        <v>53</v>
      </c>
      <c r="AP3321" t="s">
        <v>53</v>
      </c>
    </row>
    <row r="3322" spans="2:42" x14ac:dyDescent="0.2">
      <c r="B3322" t="s">
        <v>44</v>
      </c>
      <c r="C3322" t="str">
        <f>HYPERLINK("https://us2.cloudbeds.com/connect/8493803454333002#/reservations/29305278386428?display=KRKEPW7YY&amp;reservation_id=29305278386428", "KRKEPW7YY")</f>
        <v>KRKEPW7YY</v>
      </c>
      <c r="D3322" t="s">
        <v>45</v>
      </c>
      <c r="E3322" t="s">
        <v>128</v>
      </c>
      <c r="F3322" t="s">
        <v>86</v>
      </c>
      <c r="G3322" t="s">
        <v>48</v>
      </c>
      <c r="H3322" t="s">
        <v>49</v>
      </c>
      <c r="I3322" t="s">
        <v>50</v>
      </c>
      <c r="J3322" t="s">
        <v>5434</v>
      </c>
      <c r="K3322" t="s">
        <v>2284</v>
      </c>
      <c r="L3322" t="s">
        <v>53</v>
      </c>
      <c r="N3322" t="s">
        <v>5435</v>
      </c>
      <c r="P3322" t="s">
        <v>55</v>
      </c>
      <c r="R3322" t="s">
        <v>53</v>
      </c>
      <c r="T3322" t="s">
        <v>5436</v>
      </c>
      <c r="U3322" t="s">
        <v>58</v>
      </c>
      <c r="V3322">
        <v>5</v>
      </c>
      <c r="W3322">
        <v>1</v>
      </c>
      <c r="X3322">
        <v>1</v>
      </c>
      <c r="Y3322">
        <v>1</v>
      </c>
      <c r="Z3322">
        <v>2</v>
      </c>
      <c r="AA3322">
        <v>0</v>
      </c>
      <c r="AB3322">
        <v>591</v>
      </c>
      <c r="AC3322">
        <v>520</v>
      </c>
      <c r="AD3322">
        <v>0</v>
      </c>
      <c r="AE3322">
        <v>71</v>
      </c>
      <c r="AF3322">
        <v>0</v>
      </c>
      <c r="AG3322">
        <v>0</v>
      </c>
      <c r="AH3322">
        <v>0</v>
      </c>
      <c r="AI3322">
        <v>106.38</v>
      </c>
      <c r="AJ3322">
        <v>591</v>
      </c>
      <c r="AK3322">
        <v>0</v>
      </c>
      <c r="AL3322" t="s">
        <v>53</v>
      </c>
      <c r="AM3322" t="s">
        <v>53</v>
      </c>
      <c r="AN3322" t="s">
        <v>53</v>
      </c>
      <c r="AO3322" t="s">
        <v>53</v>
      </c>
      <c r="AP3322" t="s">
        <v>53</v>
      </c>
    </row>
    <row r="3323" spans="2:42" x14ac:dyDescent="0.2">
      <c r="B3323" t="s">
        <v>44</v>
      </c>
      <c r="C3323" t="str">
        <f>HYPERLINK("https://us2.cloudbeds.com/connect/8493803454333002#/reservations/29305732788401?display=KRKQD4Y0D&amp;reservation_id=29305732788401", "KRKQD4Y0D")</f>
        <v>KRKQD4Y0D</v>
      </c>
      <c r="D3323" t="s">
        <v>45</v>
      </c>
      <c r="E3323" t="s">
        <v>85</v>
      </c>
      <c r="F3323" t="s">
        <v>86</v>
      </c>
      <c r="G3323" t="s">
        <v>48</v>
      </c>
      <c r="H3323" t="s">
        <v>49</v>
      </c>
      <c r="I3323" t="s">
        <v>50</v>
      </c>
      <c r="J3323" t="s">
        <v>5434</v>
      </c>
      <c r="K3323" t="s">
        <v>2284</v>
      </c>
      <c r="L3323" t="s">
        <v>53</v>
      </c>
      <c r="N3323" t="s">
        <v>5437</v>
      </c>
      <c r="P3323" t="s">
        <v>55</v>
      </c>
      <c r="R3323" t="s">
        <v>53</v>
      </c>
      <c r="T3323" t="s">
        <v>5438</v>
      </c>
      <c r="U3323" t="s">
        <v>58</v>
      </c>
      <c r="V3323">
        <v>5</v>
      </c>
      <c r="W3323">
        <v>1</v>
      </c>
      <c r="X3323">
        <v>1</v>
      </c>
      <c r="Y3323">
        <v>1</v>
      </c>
      <c r="Z3323">
        <v>2</v>
      </c>
      <c r="AA3323">
        <v>0</v>
      </c>
      <c r="AB3323">
        <v>591</v>
      </c>
      <c r="AC3323">
        <v>520</v>
      </c>
      <c r="AD3323">
        <v>0</v>
      </c>
      <c r="AE3323">
        <v>71</v>
      </c>
      <c r="AF3323">
        <v>0</v>
      </c>
      <c r="AG3323">
        <v>0</v>
      </c>
      <c r="AH3323">
        <v>0</v>
      </c>
      <c r="AI3323">
        <v>106.38</v>
      </c>
      <c r="AJ3323">
        <v>591</v>
      </c>
      <c r="AK3323">
        <v>0</v>
      </c>
      <c r="AL3323" t="s">
        <v>53</v>
      </c>
      <c r="AM3323" t="s">
        <v>53</v>
      </c>
      <c r="AN3323" t="s">
        <v>53</v>
      </c>
      <c r="AO3323" t="s">
        <v>53</v>
      </c>
      <c r="AP3323" t="s">
        <v>53</v>
      </c>
    </row>
    <row r="3324" spans="2:42" x14ac:dyDescent="0.2">
      <c r="B3324" t="s">
        <v>44</v>
      </c>
      <c r="C3324" t="str">
        <f>HYPERLINK("https://us2.cloudbeds.com/connect/8493803454333002#/reservations/29319844819150?display=KRVNWPMUR&amp;reservation_id=29319844819150", "KRVNWPMUR")</f>
        <v>KRVNWPMUR</v>
      </c>
      <c r="D3324" t="s">
        <v>45</v>
      </c>
      <c r="E3324" t="s">
        <v>138</v>
      </c>
      <c r="F3324" t="s">
        <v>70</v>
      </c>
      <c r="G3324" t="s">
        <v>48</v>
      </c>
      <c r="H3324" t="s">
        <v>49</v>
      </c>
      <c r="I3324" t="s">
        <v>50</v>
      </c>
      <c r="J3324" t="s">
        <v>5439</v>
      </c>
      <c r="K3324" t="s">
        <v>5440</v>
      </c>
      <c r="L3324" t="s">
        <v>53</v>
      </c>
      <c r="N3324" t="s">
        <v>5441</v>
      </c>
      <c r="P3324" t="s">
        <v>55</v>
      </c>
      <c r="R3324" t="s">
        <v>53</v>
      </c>
      <c r="T3324" t="s">
        <v>5442</v>
      </c>
      <c r="U3324" t="s">
        <v>58</v>
      </c>
      <c r="V3324">
        <v>1</v>
      </c>
      <c r="W3324">
        <v>1</v>
      </c>
      <c r="X3324">
        <v>2</v>
      </c>
      <c r="Y3324">
        <v>0</v>
      </c>
      <c r="Z3324">
        <v>2</v>
      </c>
      <c r="AA3324">
        <v>0</v>
      </c>
      <c r="AB3324">
        <v>64.33</v>
      </c>
      <c r="AC3324">
        <v>56.61</v>
      </c>
      <c r="AD3324">
        <v>0</v>
      </c>
      <c r="AE3324">
        <v>7.72</v>
      </c>
      <c r="AF3324">
        <v>0</v>
      </c>
      <c r="AG3324">
        <v>0</v>
      </c>
      <c r="AH3324">
        <v>0</v>
      </c>
      <c r="AI3324">
        <v>11.58</v>
      </c>
      <c r="AJ3324">
        <v>64.33</v>
      </c>
      <c r="AK3324">
        <v>0</v>
      </c>
      <c r="AL3324" t="s">
        <v>53</v>
      </c>
      <c r="AM3324" t="s">
        <v>53</v>
      </c>
      <c r="AN3324" t="s">
        <v>53</v>
      </c>
      <c r="AO3324" t="s">
        <v>53</v>
      </c>
      <c r="AP3324" t="s">
        <v>53</v>
      </c>
    </row>
    <row r="3325" spans="2:42" x14ac:dyDescent="0.2">
      <c r="B3325" t="s">
        <v>44</v>
      </c>
      <c r="C3325" t="str">
        <f>HYPERLINK("https://us2.cloudbeds.com/connect/8493803454333002#/reservations/29322211315877?display=KS0XF8VGS&amp;reservation_id=29322211315877", "KS0XF8VGS")</f>
        <v>KS0XF8VGS</v>
      </c>
      <c r="D3325" t="s">
        <v>45</v>
      </c>
      <c r="E3325" t="s">
        <v>5443</v>
      </c>
      <c r="F3325" t="s">
        <v>5444</v>
      </c>
      <c r="G3325" t="s">
        <v>48</v>
      </c>
      <c r="H3325" t="s">
        <v>49</v>
      </c>
      <c r="I3325" t="s">
        <v>62</v>
      </c>
      <c r="J3325" t="s">
        <v>5258</v>
      </c>
      <c r="K3325" t="s">
        <v>3414</v>
      </c>
      <c r="L3325" t="s">
        <v>53</v>
      </c>
      <c r="N3325" t="s">
        <v>5445</v>
      </c>
      <c r="P3325" t="s">
        <v>55</v>
      </c>
      <c r="R3325" t="s">
        <v>871</v>
      </c>
      <c r="T3325" t="s">
        <v>5446</v>
      </c>
      <c r="U3325" t="s">
        <v>55</v>
      </c>
      <c r="V3325">
        <v>3</v>
      </c>
      <c r="W3325">
        <v>3</v>
      </c>
      <c r="X3325">
        <v>5</v>
      </c>
      <c r="Y3325">
        <v>0</v>
      </c>
      <c r="Z3325">
        <v>5</v>
      </c>
      <c r="AA3325">
        <v>0</v>
      </c>
      <c r="AB3325">
        <v>303.44</v>
      </c>
      <c r="AC3325">
        <v>267</v>
      </c>
      <c r="AD3325">
        <v>0</v>
      </c>
      <c r="AE3325">
        <v>48.06</v>
      </c>
      <c r="AF3325">
        <v>0</v>
      </c>
      <c r="AG3325">
        <v>0</v>
      </c>
      <c r="AH3325">
        <v>0</v>
      </c>
      <c r="AI3325">
        <v>54.62</v>
      </c>
      <c r="AJ3325">
        <v>315.06</v>
      </c>
      <c r="AK3325">
        <v>11.62</v>
      </c>
      <c r="AL3325" t="s">
        <v>53</v>
      </c>
      <c r="AM3325" t="s">
        <v>53</v>
      </c>
      <c r="AN3325" t="s">
        <v>53</v>
      </c>
      <c r="AO3325" t="s">
        <v>53</v>
      </c>
      <c r="AP3325" t="s">
        <v>53</v>
      </c>
    </row>
    <row r="3326" spans="2:42" x14ac:dyDescent="0.2">
      <c r="B3326" t="s">
        <v>44</v>
      </c>
      <c r="C3326" t="str">
        <f>HYPERLINK("https://us2.cloudbeds.com/connect/8493803454333002#/reservations/29333385171088?display=KS96WBV8U&amp;reservation_id=29333385171088", "KS96WBV8U")</f>
        <v>KS96WBV8U</v>
      </c>
      <c r="D3326" t="s">
        <v>45</v>
      </c>
      <c r="E3326" t="s">
        <v>113</v>
      </c>
      <c r="F3326" t="s">
        <v>61</v>
      </c>
      <c r="G3326" t="s">
        <v>48</v>
      </c>
      <c r="H3326" t="s">
        <v>49</v>
      </c>
      <c r="I3326" t="s">
        <v>62</v>
      </c>
      <c r="J3326" t="s">
        <v>3232</v>
      </c>
      <c r="K3326" t="s">
        <v>3233</v>
      </c>
      <c r="L3326" t="s">
        <v>53</v>
      </c>
      <c r="N3326" t="s">
        <v>5447</v>
      </c>
      <c r="P3326" t="s">
        <v>55</v>
      </c>
      <c r="R3326" t="s">
        <v>56</v>
      </c>
      <c r="T3326" t="s">
        <v>5448</v>
      </c>
      <c r="U3326" t="s">
        <v>55</v>
      </c>
      <c r="V3326">
        <v>2</v>
      </c>
      <c r="W3326">
        <v>1</v>
      </c>
      <c r="X3326">
        <v>2</v>
      </c>
      <c r="Y3326">
        <v>0</v>
      </c>
      <c r="Z3326">
        <v>2</v>
      </c>
      <c r="AA3326">
        <v>0</v>
      </c>
      <c r="AB3326">
        <v>254.58</v>
      </c>
      <c r="AC3326">
        <v>224</v>
      </c>
      <c r="AD3326">
        <v>0</v>
      </c>
      <c r="AE3326">
        <v>30.58</v>
      </c>
      <c r="AF3326">
        <v>0</v>
      </c>
      <c r="AG3326">
        <v>0</v>
      </c>
      <c r="AH3326">
        <v>0</v>
      </c>
      <c r="AI3326">
        <v>38.19</v>
      </c>
      <c r="AJ3326">
        <v>254.58</v>
      </c>
      <c r="AK3326">
        <v>0</v>
      </c>
      <c r="AL3326" t="s">
        <v>53</v>
      </c>
      <c r="AM3326" t="s">
        <v>53</v>
      </c>
      <c r="AN3326" t="s">
        <v>53</v>
      </c>
      <c r="AO3326" t="s">
        <v>53</v>
      </c>
      <c r="AP3326" t="s">
        <v>53</v>
      </c>
    </row>
    <row r="3327" spans="2:42" x14ac:dyDescent="0.2">
      <c r="B3327" t="s">
        <v>44</v>
      </c>
      <c r="C3327" t="str">
        <f>HYPERLINK("https://us2.cloudbeds.com/connect/8493803454333002#/reservations/29350099910910?display=KSM52M7B8&amp;reservation_id=29350099910910", "KSM52M7B8")</f>
        <v>KSM52M7B8</v>
      </c>
      <c r="D3327" t="s">
        <v>45</v>
      </c>
      <c r="E3327" t="s">
        <v>185</v>
      </c>
      <c r="F3327" t="s">
        <v>47</v>
      </c>
      <c r="G3327" t="s">
        <v>48</v>
      </c>
      <c r="H3327" t="s">
        <v>49</v>
      </c>
      <c r="I3327" t="s">
        <v>50</v>
      </c>
      <c r="J3327" t="s">
        <v>3232</v>
      </c>
      <c r="K3327" t="s">
        <v>3233</v>
      </c>
      <c r="L3327" t="s">
        <v>53</v>
      </c>
      <c r="N3327" t="s">
        <v>5449</v>
      </c>
      <c r="P3327" t="s">
        <v>55</v>
      </c>
      <c r="R3327" t="s">
        <v>56</v>
      </c>
      <c r="T3327" t="s">
        <v>5450</v>
      </c>
      <c r="U3327" t="s">
        <v>58</v>
      </c>
      <c r="V3327">
        <v>2</v>
      </c>
      <c r="W3327">
        <v>1</v>
      </c>
      <c r="X3327">
        <v>2</v>
      </c>
      <c r="Y3327">
        <v>0</v>
      </c>
      <c r="Z3327">
        <v>2</v>
      </c>
      <c r="AA3327">
        <v>0</v>
      </c>
      <c r="AB3327">
        <v>202.88</v>
      </c>
      <c r="AC3327">
        <v>178.5</v>
      </c>
      <c r="AD3327">
        <v>0</v>
      </c>
      <c r="AE3327">
        <v>24.38</v>
      </c>
      <c r="AF3327">
        <v>0</v>
      </c>
      <c r="AG3327">
        <v>0</v>
      </c>
      <c r="AH3327">
        <v>0</v>
      </c>
      <c r="AI3327">
        <v>36.520000000000003</v>
      </c>
      <c r="AJ3327">
        <v>202.88</v>
      </c>
      <c r="AK3327">
        <v>0</v>
      </c>
      <c r="AL3327" t="s">
        <v>53</v>
      </c>
      <c r="AM3327" t="s">
        <v>53</v>
      </c>
      <c r="AN3327" t="s">
        <v>53</v>
      </c>
      <c r="AO3327" t="s">
        <v>53</v>
      </c>
      <c r="AP3327" t="s">
        <v>53</v>
      </c>
    </row>
    <row r="3328" spans="2:42" x14ac:dyDescent="0.2">
      <c r="B3328" t="s">
        <v>44</v>
      </c>
      <c r="C3328" t="str">
        <f>HYPERLINK("https://us2.cloudbeds.com/connect/8493803454333002#/reservations/29349554946208?display=KSYZ54PKC&amp;reservation_id=29349554946208", "KSYZ54PKC")</f>
        <v>KSYZ54PKC</v>
      </c>
      <c r="D3328" t="s">
        <v>45</v>
      </c>
      <c r="E3328" t="s">
        <v>190</v>
      </c>
      <c r="F3328" t="s">
        <v>61</v>
      </c>
      <c r="G3328" t="s">
        <v>48</v>
      </c>
      <c r="H3328" t="s">
        <v>49</v>
      </c>
      <c r="I3328" t="s">
        <v>50</v>
      </c>
      <c r="J3328" t="s">
        <v>3232</v>
      </c>
      <c r="K3328" t="s">
        <v>3233</v>
      </c>
      <c r="L3328" t="s">
        <v>53</v>
      </c>
      <c r="N3328" t="s">
        <v>5451</v>
      </c>
      <c r="P3328" t="s">
        <v>55</v>
      </c>
      <c r="R3328" t="s">
        <v>56</v>
      </c>
      <c r="T3328" t="s">
        <v>5452</v>
      </c>
      <c r="U3328" t="s">
        <v>58</v>
      </c>
      <c r="V3328">
        <v>2</v>
      </c>
      <c r="W3328">
        <v>1</v>
      </c>
      <c r="X3328">
        <v>2</v>
      </c>
      <c r="Y3328">
        <v>0</v>
      </c>
      <c r="Z3328">
        <v>2</v>
      </c>
      <c r="AA3328">
        <v>0</v>
      </c>
      <c r="AB3328">
        <v>202.88</v>
      </c>
      <c r="AC3328">
        <v>178.5</v>
      </c>
      <c r="AD3328">
        <v>0</v>
      </c>
      <c r="AE3328">
        <v>24.38</v>
      </c>
      <c r="AF3328">
        <v>0</v>
      </c>
      <c r="AG3328">
        <v>0</v>
      </c>
      <c r="AH3328">
        <v>0</v>
      </c>
      <c r="AI3328">
        <v>36.520000000000003</v>
      </c>
      <c r="AJ3328">
        <v>202.88</v>
      </c>
      <c r="AK3328">
        <v>0</v>
      </c>
      <c r="AL3328" t="s">
        <v>53</v>
      </c>
      <c r="AM3328" t="s">
        <v>53</v>
      </c>
      <c r="AN3328" t="s">
        <v>53</v>
      </c>
      <c r="AO3328" t="s">
        <v>53</v>
      </c>
      <c r="AP3328" t="s">
        <v>53</v>
      </c>
    </row>
    <row r="3329" spans="2:42" x14ac:dyDescent="0.2">
      <c r="B3329" t="s">
        <v>44</v>
      </c>
      <c r="C3329" t="str">
        <f>HYPERLINK("https://us2.cloudbeds.com/connect/8493803454333002#/reservations/29398607954089?display=KTQNXV0WY&amp;reservation_id=29398607954089", "KTQNXV0WY")</f>
        <v>KTQNXV0WY</v>
      </c>
      <c r="D3329" t="s">
        <v>45</v>
      </c>
      <c r="E3329" t="s">
        <v>128</v>
      </c>
      <c r="F3329" t="s">
        <v>86</v>
      </c>
      <c r="G3329" t="s">
        <v>48</v>
      </c>
      <c r="H3329" t="s">
        <v>49</v>
      </c>
      <c r="I3329" t="s">
        <v>50</v>
      </c>
      <c r="J3329" t="s">
        <v>1778</v>
      </c>
      <c r="K3329" t="s">
        <v>3233</v>
      </c>
      <c r="L3329" t="s">
        <v>53</v>
      </c>
      <c r="N3329" t="s">
        <v>5453</v>
      </c>
      <c r="P3329" t="s">
        <v>55</v>
      </c>
      <c r="R3329" t="s">
        <v>53</v>
      </c>
      <c r="T3329" t="s">
        <v>5454</v>
      </c>
      <c r="U3329" t="s">
        <v>58</v>
      </c>
      <c r="V3329">
        <v>1</v>
      </c>
      <c r="W3329">
        <v>1</v>
      </c>
      <c r="X3329">
        <v>2</v>
      </c>
      <c r="Y3329">
        <v>0</v>
      </c>
      <c r="Z3329">
        <v>2</v>
      </c>
      <c r="AA3329">
        <v>0</v>
      </c>
      <c r="AB3329">
        <v>114.95</v>
      </c>
      <c r="AC3329">
        <v>101.15</v>
      </c>
      <c r="AD3329">
        <v>0</v>
      </c>
      <c r="AE3329">
        <v>13.8</v>
      </c>
      <c r="AF3329">
        <v>0</v>
      </c>
      <c r="AG3329">
        <v>0</v>
      </c>
      <c r="AH3329">
        <v>0</v>
      </c>
      <c r="AI3329">
        <v>20.69</v>
      </c>
      <c r="AJ3329">
        <v>114.95</v>
      </c>
      <c r="AK3329">
        <v>0</v>
      </c>
      <c r="AL3329" t="s">
        <v>53</v>
      </c>
      <c r="AM3329" t="s">
        <v>53</v>
      </c>
      <c r="AN3329" t="s">
        <v>53</v>
      </c>
      <c r="AO3329" t="s">
        <v>53</v>
      </c>
      <c r="AP3329" t="s">
        <v>53</v>
      </c>
    </row>
    <row r="3330" spans="2:42" x14ac:dyDescent="0.2">
      <c r="B3330" t="s">
        <v>44</v>
      </c>
      <c r="C3330" t="str">
        <f>HYPERLINK("https://us2.cloudbeds.com/connect/8493803454333002#/reservations/29406581334261?display=KTWTAA2SK&amp;reservation_id=29406581334261", "KTWTAA2SK")</f>
        <v>KTWTAA2SK</v>
      </c>
      <c r="D3330" t="s">
        <v>45</v>
      </c>
      <c r="E3330" t="s">
        <v>98</v>
      </c>
      <c r="F3330" t="s">
        <v>86</v>
      </c>
      <c r="G3330" t="s">
        <v>48</v>
      </c>
      <c r="H3330" t="s">
        <v>49</v>
      </c>
      <c r="I3330" t="s">
        <v>50</v>
      </c>
      <c r="J3330" t="s">
        <v>3233</v>
      </c>
      <c r="K3330" t="s">
        <v>1779</v>
      </c>
      <c r="L3330" t="s">
        <v>53</v>
      </c>
      <c r="N3330" t="s">
        <v>5455</v>
      </c>
      <c r="P3330" t="s">
        <v>55</v>
      </c>
      <c r="R3330" t="s">
        <v>53</v>
      </c>
      <c r="T3330" t="s">
        <v>5456</v>
      </c>
      <c r="U3330" t="s">
        <v>58</v>
      </c>
      <c r="V3330">
        <v>1</v>
      </c>
      <c r="W3330">
        <v>1</v>
      </c>
      <c r="X3330">
        <v>2</v>
      </c>
      <c r="Y3330">
        <v>0</v>
      </c>
      <c r="Z3330">
        <v>2</v>
      </c>
      <c r="AA3330">
        <v>0</v>
      </c>
      <c r="AB3330">
        <v>121.72</v>
      </c>
      <c r="AC3330">
        <v>107.1</v>
      </c>
      <c r="AD3330">
        <v>0</v>
      </c>
      <c r="AE3330">
        <v>14.62</v>
      </c>
      <c r="AF3330">
        <v>0</v>
      </c>
      <c r="AG3330">
        <v>0</v>
      </c>
      <c r="AH3330">
        <v>0</v>
      </c>
      <c r="AI3330">
        <v>21.91</v>
      </c>
      <c r="AJ3330">
        <v>121.72</v>
      </c>
      <c r="AK3330">
        <v>0</v>
      </c>
      <c r="AL3330" t="s">
        <v>53</v>
      </c>
      <c r="AM3330" t="s">
        <v>53</v>
      </c>
      <c r="AN3330" t="s">
        <v>53</v>
      </c>
      <c r="AO3330" t="s">
        <v>53</v>
      </c>
      <c r="AP3330" t="s">
        <v>53</v>
      </c>
    </row>
    <row r="3331" spans="2:42" x14ac:dyDescent="0.2">
      <c r="B3331" t="s">
        <v>44</v>
      </c>
      <c r="C3331" t="str">
        <f>HYPERLINK("https://us2.cloudbeds.com/connect/8493803454333002#/reservations/29410360668315?display=KU2QT4KNW&amp;reservation_id=29410360668315", "KU2QT4KNW")</f>
        <v>KU2QT4KNW</v>
      </c>
      <c r="D3331" t="s">
        <v>45</v>
      </c>
      <c r="E3331" t="s">
        <v>110</v>
      </c>
      <c r="F3331" t="s">
        <v>47</v>
      </c>
      <c r="G3331" t="s">
        <v>48</v>
      </c>
      <c r="H3331" t="s">
        <v>49</v>
      </c>
      <c r="I3331" t="s">
        <v>50</v>
      </c>
      <c r="J3331" t="s">
        <v>3232</v>
      </c>
      <c r="K3331" t="s">
        <v>1778</v>
      </c>
      <c r="L3331" t="s">
        <v>53</v>
      </c>
      <c r="N3331" t="s">
        <v>5457</v>
      </c>
      <c r="P3331" t="s">
        <v>55</v>
      </c>
      <c r="R3331" t="s">
        <v>53</v>
      </c>
      <c r="T3331" t="s">
        <v>5458</v>
      </c>
      <c r="U3331" t="s">
        <v>58</v>
      </c>
      <c r="V3331">
        <v>1</v>
      </c>
      <c r="W3331">
        <v>1</v>
      </c>
      <c r="X3331">
        <v>1</v>
      </c>
      <c r="Y3331">
        <v>0</v>
      </c>
      <c r="Z3331">
        <v>1</v>
      </c>
      <c r="AA3331">
        <v>0</v>
      </c>
      <c r="AB3331">
        <v>107.4</v>
      </c>
      <c r="AC3331">
        <v>94.5</v>
      </c>
      <c r="AD3331">
        <v>0</v>
      </c>
      <c r="AE3331">
        <v>12.9</v>
      </c>
      <c r="AF3331">
        <v>0</v>
      </c>
      <c r="AG3331">
        <v>0</v>
      </c>
      <c r="AH3331">
        <v>0</v>
      </c>
      <c r="AI3331">
        <v>19.329999999999998</v>
      </c>
      <c r="AJ3331">
        <v>107.4</v>
      </c>
      <c r="AK3331">
        <v>0</v>
      </c>
      <c r="AL3331" t="s">
        <v>53</v>
      </c>
      <c r="AM3331" t="s">
        <v>53</v>
      </c>
      <c r="AN3331" t="s">
        <v>53</v>
      </c>
      <c r="AO3331" t="s">
        <v>53</v>
      </c>
      <c r="AP3331" t="s">
        <v>53</v>
      </c>
    </row>
    <row r="3332" spans="2:42" x14ac:dyDescent="0.2">
      <c r="B3332" t="s">
        <v>44</v>
      </c>
      <c r="C3332" t="str">
        <f>HYPERLINK("https://us2.cloudbeds.com/connect/8493803454333002#/reservations/29421238612152?display=KUB7RNESN&amp;reservation_id=29421238612152", "KUB7RNESN")</f>
        <v>KUB7RNESN</v>
      </c>
      <c r="D3332" t="s">
        <v>45</v>
      </c>
      <c r="E3332" t="s">
        <v>113</v>
      </c>
      <c r="F3332" t="s">
        <v>61</v>
      </c>
      <c r="G3332" t="s">
        <v>48</v>
      </c>
      <c r="H3332" t="s">
        <v>49</v>
      </c>
      <c r="I3332" t="s">
        <v>50</v>
      </c>
      <c r="J3332" t="s">
        <v>1779</v>
      </c>
      <c r="K3332" t="s">
        <v>4194</v>
      </c>
      <c r="L3332" t="s">
        <v>53</v>
      </c>
      <c r="N3332" t="s">
        <v>5459</v>
      </c>
      <c r="P3332" t="s">
        <v>55</v>
      </c>
      <c r="R3332" t="s">
        <v>53</v>
      </c>
      <c r="T3332" t="s">
        <v>5460</v>
      </c>
      <c r="U3332" t="s">
        <v>58</v>
      </c>
      <c r="V3332">
        <v>2</v>
      </c>
      <c r="W3332">
        <v>1</v>
      </c>
      <c r="X3332">
        <v>2</v>
      </c>
      <c r="Y3332">
        <v>0</v>
      </c>
      <c r="Z3332">
        <v>2</v>
      </c>
      <c r="AA3332">
        <v>0</v>
      </c>
      <c r="AB3332">
        <v>203.66</v>
      </c>
      <c r="AC3332">
        <v>179.2</v>
      </c>
      <c r="AD3332">
        <v>0</v>
      </c>
      <c r="AE3332">
        <v>24.46</v>
      </c>
      <c r="AF3332">
        <v>0</v>
      </c>
      <c r="AG3332">
        <v>0</v>
      </c>
      <c r="AH3332">
        <v>0</v>
      </c>
      <c r="AI3332">
        <v>36.659999999999997</v>
      </c>
      <c r="AJ3332">
        <v>203.66</v>
      </c>
      <c r="AK3332">
        <v>0</v>
      </c>
      <c r="AL3332" t="s">
        <v>53</v>
      </c>
      <c r="AM3332" t="s">
        <v>53</v>
      </c>
      <c r="AN3332" t="s">
        <v>53</v>
      </c>
      <c r="AO3332" t="s">
        <v>53</v>
      </c>
      <c r="AP3332" t="s">
        <v>53</v>
      </c>
    </row>
    <row r="3333" spans="2:42" x14ac:dyDescent="0.2">
      <c r="B3333" t="s">
        <v>44</v>
      </c>
      <c r="C3333" t="str">
        <f>HYPERLINK("https://us2.cloudbeds.com/connect/8493803454333002#/reservations/29676974370958?display=Y3B8FSUDC&amp;reservation_id=29676974370958", "Y3B8FSUDC")</f>
        <v>Y3B8FSUDC</v>
      </c>
      <c r="D3333" t="s">
        <v>45</v>
      </c>
      <c r="E3333" t="s">
        <v>78</v>
      </c>
      <c r="F3333" t="s">
        <v>61</v>
      </c>
      <c r="G3333" t="s">
        <v>48</v>
      </c>
      <c r="H3333" t="s">
        <v>49</v>
      </c>
      <c r="I3333" t="s">
        <v>50</v>
      </c>
      <c r="J3333" t="s">
        <v>3906</v>
      </c>
      <c r="K3333" t="s">
        <v>4736</v>
      </c>
      <c r="L3333" t="s">
        <v>53</v>
      </c>
      <c r="N3333" t="s">
        <v>5461</v>
      </c>
      <c r="P3333" t="s">
        <v>55</v>
      </c>
      <c r="R3333" t="s">
        <v>53</v>
      </c>
      <c r="T3333" t="s">
        <v>5462</v>
      </c>
      <c r="U3333" t="s">
        <v>58</v>
      </c>
      <c r="V3333">
        <v>2</v>
      </c>
      <c r="W3333">
        <v>1</v>
      </c>
      <c r="X3333">
        <v>2</v>
      </c>
      <c r="Y3333">
        <v>0</v>
      </c>
      <c r="Z3333">
        <v>2</v>
      </c>
      <c r="AA3333">
        <v>0</v>
      </c>
      <c r="AB3333">
        <v>229.12</v>
      </c>
      <c r="AC3333">
        <v>201.6</v>
      </c>
      <c r="AD3333">
        <v>0</v>
      </c>
      <c r="AE3333">
        <v>27.52</v>
      </c>
      <c r="AF3333">
        <v>0</v>
      </c>
      <c r="AG3333">
        <v>0</v>
      </c>
      <c r="AH3333">
        <v>0</v>
      </c>
      <c r="AI3333">
        <v>41.24</v>
      </c>
      <c r="AJ3333">
        <v>229.12</v>
      </c>
      <c r="AK3333">
        <v>0</v>
      </c>
      <c r="AL3333" t="s">
        <v>53</v>
      </c>
      <c r="AM3333" t="s">
        <v>53</v>
      </c>
      <c r="AN3333" t="s">
        <v>53</v>
      </c>
      <c r="AO3333" t="s">
        <v>53</v>
      </c>
      <c r="AP3333" t="s">
        <v>53</v>
      </c>
    </row>
    <row r="3334" spans="2:42" x14ac:dyDescent="0.2">
      <c r="B3334" t="s">
        <v>44</v>
      </c>
      <c r="C3334" t="str">
        <f>HYPERLINK("https://us2.cloudbeds.com/connect/8493803454333002#/reservations/29690331263193?display=Y3YJPP4HH&amp;reservation_id=29690331263193", "Y3YJPP4HH")</f>
        <v>Y3YJPP4HH</v>
      </c>
      <c r="D3334" t="s">
        <v>45</v>
      </c>
      <c r="E3334" t="s">
        <v>373</v>
      </c>
      <c r="F3334" t="s">
        <v>47</v>
      </c>
      <c r="G3334" t="s">
        <v>48</v>
      </c>
      <c r="H3334" t="s">
        <v>49</v>
      </c>
      <c r="I3334" t="s">
        <v>50</v>
      </c>
      <c r="J3334" t="s">
        <v>3233</v>
      </c>
      <c r="K3334" t="s">
        <v>1779</v>
      </c>
      <c r="L3334" t="s">
        <v>53</v>
      </c>
      <c r="N3334" t="s">
        <v>5463</v>
      </c>
      <c r="P3334" t="s">
        <v>55</v>
      </c>
      <c r="R3334" t="s">
        <v>53</v>
      </c>
      <c r="T3334" t="s">
        <v>5464</v>
      </c>
      <c r="U3334" t="s">
        <v>58</v>
      </c>
      <c r="V3334">
        <v>1</v>
      </c>
      <c r="W3334">
        <v>1</v>
      </c>
      <c r="X3334">
        <v>1</v>
      </c>
      <c r="Y3334">
        <v>0</v>
      </c>
      <c r="Z3334">
        <v>1</v>
      </c>
      <c r="AA3334">
        <v>0</v>
      </c>
      <c r="AB3334">
        <v>107.4</v>
      </c>
      <c r="AC3334">
        <v>94.5</v>
      </c>
      <c r="AD3334">
        <v>0</v>
      </c>
      <c r="AE3334">
        <v>12.9</v>
      </c>
      <c r="AF3334">
        <v>0</v>
      </c>
      <c r="AG3334">
        <v>0</v>
      </c>
      <c r="AH3334">
        <v>0</v>
      </c>
      <c r="AI3334">
        <v>19.329999999999998</v>
      </c>
      <c r="AJ3334">
        <v>107.4</v>
      </c>
      <c r="AK3334">
        <v>0</v>
      </c>
      <c r="AL3334" t="s">
        <v>53</v>
      </c>
      <c r="AM3334" t="s">
        <v>53</v>
      </c>
      <c r="AN3334" t="s">
        <v>53</v>
      </c>
      <c r="AO3334" t="s">
        <v>53</v>
      </c>
      <c r="AP3334" t="s">
        <v>53</v>
      </c>
    </row>
    <row r="3335" spans="2:42" x14ac:dyDescent="0.2">
      <c r="B3335" t="s">
        <v>44</v>
      </c>
      <c r="C3335" t="str">
        <f>HYPERLINK("https://us2.cloudbeds.com/connect/8493803454333002#/reservations/29697635147996?display=Y3R8DJGF1&amp;reservation_id=29697635147996", "Y3R8DJGF1")</f>
        <v>Y3R8DJGF1</v>
      </c>
      <c r="D3335" t="s">
        <v>45</v>
      </c>
      <c r="E3335" t="s">
        <v>69</v>
      </c>
      <c r="F3335" t="s">
        <v>70</v>
      </c>
      <c r="G3335" t="s">
        <v>48</v>
      </c>
      <c r="H3335" t="s">
        <v>49</v>
      </c>
      <c r="I3335" t="s">
        <v>62</v>
      </c>
      <c r="J3335" t="s">
        <v>3906</v>
      </c>
      <c r="K3335" t="s">
        <v>4736</v>
      </c>
      <c r="L3335" t="s">
        <v>53</v>
      </c>
      <c r="N3335" t="s">
        <v>5465</v>
      </c>
      <c r="P3335" t="s">
        <v>55</v>
      </c>
      <c r="R3335" t="s">
        <v>56</v>
      </c>
      <c r="T3335" t="s">
        <v>5466</v>
      </c>
      <c r="U3335" t="s">
        <v>55</v>
      </c>
      <c r="V3335">
        <v>2</v>
      </c>
      <c r="W3335">
        <v>1</v>
      </c>
      <c r="X3335">
        <v>2</v>
      </c>
      <c r="Y3335">
        <v>0</v>
      </c>
      <c r="Z3335">
        <v>2</v>
      </c>
      <c r="AA3335">
        <v>0</v>
      </c>
      <c r="AB3335">
        <v>220.48</v>
      </c>
      <c r="AC3335">
        <v>194</v>
      </c>
      <c r="AD3335">
        <v>0</v>
      </c>
      <c r="AE3335">
        <v>26.48</v>
      </c>
      <c r="AF3335">
        <v>0</v>
      </c>
      <c r="AG3335">
        <v>0</v>
      </c>
      <c r="AH3335">
        <v>0</v>
      </c>
      <c r="AI3335">
        <v>33.07</v>
      </c>
      <c r="AJ3335">
        <v>220.48</v>
      </c>
      <c r="AK3335">
        <v>0</v>
      </c>
      <c r="AL3335" t="s">
        <v>53</v>
      </c>
      <c r="AM3335" t="s">
        <v>53</v>
      </c>
      <c r="AN3335" t="s">
        <v>53</v>
      </c>
      <c r="AO3335" t="s">
        <v>53</v>
      </c>
      <c r="AP3335" t="s">
        <v>53</v>
      </c>
    </row>
    <row r="3336" spans="2:42" x14ac:dyDescent="0.2">
      <c r="B3336" t="s">
        <v>44</v>
      </c>
      <c r="C3336" t="str">
        <f>HYPERLINK("https://us2.cloudbeds.com/connect/8493803454333002#/reservations/29739898675436?display=Y4QWBAESP&amp;reservation_id=29739898675436", "Y4QWBAESP")</f>
        <v>Y4QWBAESP</v>
      </c>
      <c r="D3336" t="s">
        <v>45</v>
      </c>
      <c r="E3336" t="s">
        <v>113</v>
      </c>
      <c r="F3336" t="s">
        <v>61</v>
      </c>
      <c r="G3336" t="s">
        <v>48</v>
      </c>
      <c r="H3336" t="s">
        <v>49</v>
      </c>
      <c r="I3336" t="s">
        <v>62</v>
      </c>
      <c r="J3336" t="s">
        <v>5371</v>
      </c>
      <c r="K3336" t="s">
        <v>5258</v>
      </c>
      <c r="L3336" t="s">
        <v>53</v>
      </c>
      <c r="N3336" t="s">
        <v>5467</v>
      </c>
      <c r="P3336" t="s">
        <v>55</v>
      </c>
      <c r="R3336" t="s">
        <v>56</v>
      </c>
      <c r="T3336" t="s">
        <v>5468</v>
      </c>
      <c r="U3336" t="s">
        <v>55</v>
      </c>
      <c r="V3336">
        <v>1</v>
      </c>
      <c r="W3336">
        <v>1</v>
      </c>
      <c r="X3336">
        <v>2</v>
      </c>
      <c r="Y3336">
        <v>0</v>
      </c>
      <c r="Z3336">
        <v>2</v>
      </c>
      <c r="AA3336">
        <v>0</v>
      </c>
      <c r="AB3336">
        <v>104.56</v>
      </c>
      <c r="AC3336">
        <v>92</v>
      </c>
      <c r="AD3336">
        <v>0</v>
      </c>
      <c r="AE3336">
        <v>12.56</v>
      </c>
      <c r="AF3336">
        <v>0</v>
      </c>
      <c r="AG3336">
        <v>0</v>
      </c>
      <c r="AH3336">
        <v>0</v>
      </c>
      <c r="AI3336">
        <v>15.68</v>
      </c>
      <c r="AJ3336">
        <v>104.56</v>
      </c>
      <c r="AK3336">
        <v>0</v>
      </c>
      <c r="AL3336" t="s">
        <v>53</v>
      </c>
      <c r="AM3336" t="s">
        <v>53</v>
      </c>
      <c r="AN3336" t="s">
        <v>53</v>
      </c>
      <c r="AO3336" t="s">
        <v>53</v>
      </c>
      <c r="AP3336" t="s">
        <v>53</v>
      </c>
    </row>
    <row r="3337" spans="2:42" x14ac:dyDescent="0.2">
      <c r="B3337" t="s">
        <v>44</v>
      </c>
      <c r="C3337" t="str">
        <f>HYPERLINK("https://us2.cloudbeds.com/connect/8493803454333002#/reservations/29784871903443?display=Y5SQGUQTT&amp;reservation_id=29784871903443", "Y5SQGUQTT")</f>
        <v>Y5SQGUQTT</v>
      </c>
      <c r="D3337" t="s">
        <v>45</v>
      </c>
      <c r="E3337" t="s">
        <v>69</v>
      </c>
      <c r="F3337" t="s">
        <v>70</v>
      </c>
      <c r="G3337" t="s">
        <v>48</v>
      </c>
      <c r="H3337" t="s">
        <v>3957</v>
      </c>
      <c r="I3337" t="s">
        <v>3958</v>
      </c>
      <c r="J3337" t="s">
        <v>1779</v>
      </c>
      <c r="K3337" t="s">
        <v>3906</v>
      </c>
      <c r="L3337" t="s">
        <v>53</v>
      </c>
      <c r="P3337" t="s">
        <v>55</v>
      </c>
      <c r="R3337" t="s">
        <v>56</v>
      </c>
      <c r="T3337" t="s">
        <v>5469</v>
      </c>
      <c r="U3337" t="s">
        <v>58</v>
      </c>
      <c r="V3337">
        <v>1</v>
      </c>
      <c r="W3337">
        <v>1</v>
      </c>
      <c r="X3337">
        <v>1</v>
      </c>
      <c r="Y3337">
        <v>0</v>
      </c>
      <c r="Z3337">
        <v>1</v>
      </c>
      <c r="AA3337">
        <v>0</v>
      </c>
      <c r="AB3337">
        <v>110.24</v>
      </c>
      <c r="AC3337">
        <v>97</v>
      </c>
      <c r="AD3337">
        <v>0</v>
      </c>
      <c r="AE3337">
        <v>13.24</v>
      </c>
      <c r="AF3337">
        <v>0</v>
      </c>
      <c r="AG3337">
        <v>0</v>
      </c>
      <c r="AH3337">
        <v>0</v>
      </c>
      <c r="AI3337">
        <v>0</v>
      </c>
      <c r="AJ3337">
        <v>110.24</v>
      </c>
      <c r="AK3337">
        <v>0</v>
      </c>
      <c r="AL3337" t="s">
        <v>53</v>
      </c>
      <c r="AM3337" t="s">
        <v>53</v>
      </c>
      <c r="AN3337" t="s">
        <v>53</v>
      </c>
      <c r="AO3337" t="s">
        <v>53</v>
      </c>
      <c r="AP3337" t="s">
        <v>53</v>
      </c>
    </row>
    <row r="3338" spans="2:42" x14ac:dyDescent="0.2">
      <c r="B3338" t="s">
        <v>44</v>
      </c>
      <c r="C3338" t="str">
        <f>HYPERLINK("https://us2.cloudbeds.com/connect/8493803454333002#/reservations/29961672044702?display=YA0N5GC51&amp;reservation_id=29961672044702", "YA0N5GC51")</f>
        <v>YA0N5GC51</v>
      </c>
      <c r="D3338" t="s">
        <v>45</v>
      </c>
      <c r="E3338" t="s">
        <v>190</v>
      </c>
      <c r="F3338" t="s">
        <v>61</v>
      </c>
      <c r="G3338" t="s">
        <v>48</v>
      </c>
      <c r="H3338" t="s">
        <v>49</v>
      </c>
      <c r="I3338" t="s">
        <v>50</v>
      </c>
      <c r="J3338" t="s">
        <v>3233</v>
      </c>
      <c r="K3338" t="s">
        <v>1779</v>
      </c>
      <c r="L3338" t="s">
        <v>53</v>
      </c>
      <c r="N3338" t="s">
        <v>5470</v>
      </c>
      <c r="P3338" t="s">
        <v>55</v>
      </c>
      <c r="R3338" t="s">
        <v>53</v>
      </c>
      <c r="T3338" t="s">
        <v>5471</v>
      </c>
      <c r="U3338" t="s">
        <v>58</v>
      </c>
      <c r="V3338">
        <v>1</v>
      </c>
      <c r="W3338">
        <v>1</v>
      </c>
      <c r="X3338">
        <v>2</v>
      </c>
      <c r="Y3338">
        <v>0</v>
      </c>
      <c r="Z3338">
        <v>2</v>
      </c>
      <c r="AA3338">
        <v>0</v>
      </c>
      <c r="AB3338">
        <v>114.56</v>
      </c>
      <c r="AC3338">
        <v>100.8</v>
      </c>
      <c r="AD3338">
        <v>0</v>
      </c>
      <c r="AE3338">
        <v>13.76</v>
      </c>
      <c r="AF3338">
        <v>0</v>
      </c>
      <c r="AG3338">
        <v>0</v>
      </c>
      <c r="AH3338">
        <v>0</v>
      </c>
      <c r="AI3338">
        <v>20.62</v>
      </c>
      <c r="AJ3338">
        <v>114.56</v>
      </c>
      <c r="AK3338">
        <v>0</v>
      </c>
      <c r="AL3338" t="s">
        <v>53</v>
      </c>
      <c r="AM3338" t="s">
        <v>53</v>
      </c>
      <c r="AN3338" t="s">
        <v>53</v>
      </c>
      <c r="AO3338" t="s">
        <v>53</v>
      </c>
      <c r="AP3338" t="s">
        <v>53</v>
      </c>
    </row>
    <row r="3339" spans="2:42" x14ac:dyDescent="0.2">
      <c r="B3339" t="s">
        <v>44</v>
      </c>
      <c r="C3339" t="str">
        <f>HYPERLINK("https://us2.cloudbeds.com/connect/8493803454333002#/reservations/29974844977344?display=YAATP8HAT&amp;reservation_id=29974844977344", "YAATP8HAT")</f>
        <v>YAATP8HAT</v>
      </c>
      <c r="D3339" t="s">
        <v>45</v>
      </c>
      <c r="E3339" t="s">
        <v>213</v>
      </c>
      <c r="F3339" t="s">
        <v>86</v>
      </c>
      <c r="G3339" t="s">
        <v>48</v>
      </c>
      <c r="H3339" t="s">
        <v>3957</v>
      </c>
      <c r="I3339" t="s">
        <v>3989</v>
      </c>
      <c r="J3339" t="s">
        <v>2283</v>
      </c>
      <c r="K3339" t="s">
        <v>2284</v>
      </c>
      <c r="L3339" t="s">
        <v>53</v>
      </c>
      <c r="P3339" t="s">
        <v>58</v>
      </c>
      <c r="R3339" t="s">
        <v>56</v>
      </c>
      <c r="T3339" t="s">
        <v>5472</v>
      </c>
      <c r="U3339" t="s">
        <v>58</v>
      </c>
      <c r="V3339">
        <v>3</v>
      </c>
      <c r="W3339">
        <v>1</v>
      </c>
      <c r="X3339">
        <v>1</v>
      </c>
      <c r="Y3339">
        <v>0</v>
      </c>
      <c r="Z3339">
        <v>1</v>
      </c>
      <c r="AA3339">
        <v>0</v>
      </c>
      <c r="AB3339">
        <v>443.25</v>
      </c>
      <c r="AC3339">
        <v>390</v>
      </c>
      <c r="AD3339">
        <v>0</v>
      </c>
      <c r="AE3339">
        <v>53.25</v>
      </c>
      <c r="AF3339">
        <v>0</v>
      </c>
      <c r="AG3339">
        <v>0</v>
      </c>
      <c r="AH3339">
        <v>0</v>
      </c>
      <c r="AI3339">
        <v>0</v>
      </c>
      <c r="AJ3339">
        <v>443.25</v>
      </c>
      <c r="AK3339">
        <v>0</v>
      </c>
      <c r="AL3339" t="s">
        <v>53</v>
      </c>
      <c r="AM3339" t="s">
        <v>53</v>
      </c>
      <c r="AN3339" t="s">
        <v>53</v>
      </c>
      <c r="AO3339" t="s">
        <v>53</v>
      </c>
      <c r="AP3339" t="s">
        <v>53</v>
      </c>
    </row>
    <row r="3340" spans="2:42" x14ac:dyDescent="0.2">
      <c r="B3340" t="s">
        <v>44</v>
      </c>
      <c r="C3340" t="str">
        <f>HYPERLINK("https://us2.cloudbeds.com/connect/8493803454333002#/reservations/29997138161824?display=YAS5DFBQU&amp;reservation_id=29997138161824", "YAS5DFBQU")</f>
        <v>YAS5DFBQU</v>
      </c>
      <c r="D3340" t="s">
        <v>45</v>
      </c>
      <c r="E3340" t="s">
        <v>223</v>
      </c>
      <c r="F3340" t="s">
        <v>47</v>
      </c>
      <c r="G3340" t="s">
        <v>48</v>
      </c>
      <c r="H3340" t="s">
        <v>49</v>
      </c>
      <c r="I3340" t="s">
        <v>50</v>
      </c>
      <c r="J3340" t="s">
        <v>3233</v>
      </c>
      <c r="K3340" t="s">
        <v>1779</v>
      </c>
      <c r="L3340" t="s">
        <v>53</v>
      </c>
      <c r="N3340" t="s">
        <v>5473</v>
      </c>
      <c r="P3340" t="s">
        <v>58</v>
      </c>
      <c r="R3340" t="s">
        <v>56</v>
      </c>
      <c r="T3340" t="s">
        <v>5474</v>
      </c>
      <c r="U3340" t="s">
        <v>58</v>
      </c>
      <c r="V3340">
        <v>1</v>
      </c>
      <c r="W3340">
        <v>1</v>
      </c>
      <c r="X3340">
        <v>1</v>
      </c>
      <c r="Y3340">
        <v>0</v>
      </c>
      <c r="Z3340">
        <v>1</v>
      </c>
      <c r="AA3340">
        <v>0</v>
      </c>
      <c r="AB3340">
        <v>101.83</v>
      </c>
      <c r="AC3340">
        <v>89.6</v>
      </c>
      <c r="AD3340">
        <v>0</v>
      </c>
      <c r="AE3340">
        <v>12.23</v>
      </c>
      <c r="AF3340">
        <v>0</v>
      </c>
      <c r="AG3340">
        <v>0</v>
      </c>
      <c r="AH3340">
        <v>0</v>
      </c>
      <c r="AI3340">
        <v>18.329999999999998</v>
      </c>
      <c r="AJ3340">
        <v>101.83</v>
      </c>
      <c r="AK3340">
        <v>0</v>
      </c>
      <c r="AL3340" t="s">
        <v>53</v>
      </c>
      <c r="AM3340" t="s">
        <v>53</v>
      </c>
      <c r="AN3340" t="s">
        <v>53</v>
      </c>
      <c r="AO3340" t="s">
        <v>53</v>
      </c>
      <c r="AP3340" t="s">
        <v>53</v>
      </c>
    </row>
    <row r="3341" spans="2:42" x14ac:dyDescent="0.2">
      <c r="B3341" t="s">
        <v>44</v>
      </c>
      <c r="C3341" t="str">
        <f>HYPERLINK("https://us2.cloudbeds.com/connect/8493803454333002#/reservations/30048772747494?display=YC24Q3R15&amp;reservation_id=30048772747494", "YC24Q3R15")</f>
        <v>YC24Q3R15</v>
      </c>
      <c r="D3341" t="s">
        <v>45</v>
      </c>
      <c r="E3341" t="s">
        <v>138</v>
      </c>
      <c r="F3341" t="s">
        <v>70</v>
      </c>
      <c r="G3341" t="s">
        <v>48</v>
      </c>
      <c r="H3341" t="s">
        <v>3957</v>
      </c>
      <c r="I3341" t="s">
        <v>3975</v>
      </c>
      <c r="J3341" t="s">
        <v>3414</v>
      </c>
      <c r="K3341" t="s">
        <v>5475</v>
      </c>
      <c r="L3341" t="s">
        <v>53</v>
      </c>
      <c r="P3341" t="s">
        <v>58</v>
      </c>
      <c r="R3341" t="s">
        <v>56</v>
      </c>
      <c r="T3341" t="s">
        <v>5476</v>
      </c>
      <c r="U3341" t="s">
        <v>58</v>
      </c>
      <c r="V3341">
        <v>2</v>
      </c>
      <c r="W3341">
        <v>1</v>
      </c>
      <c r="X3341">
        <v>2</v>
      </c>
      <c r="Y3341">
        <v>0</v>
      </c>
      <c r="Z3341">
        <v>2</v>
      </c>
      <c r="AA3341">
        <v>0</v>
      </c>
      <c r="AB3341">
        <v>168.22</v>
      </c>
      <c r="AC3341">
        <v>148</v>
      </c>
      <c r="AD3341">
        <v>0</v>
      </c>
      <c r="AE3341">
        <v>20.22</v>
      </c>
      <c r="AF3341">
        <v>0</v>
      </c>
      <c r="AG3341">
        <v>0</v>
      </c>
      <c r="AH3341">
        <v>0</v>
      </c>
      <c r="AI3341">
        <v>0</v>
      </c>
      <c r="AJ3341">
        <v>168.22</v>
      </c>
      <c r="AK3341">
        <v>0</v>
      </c>
      <c r="AL3341" t="s">
        <v>53</v>
      </c>
      <c r="AM3341" t="s">
        <v>53</v>
      </c>
      <c r="AN3341" t="s">
        <v>53</v>
      </c>
      <c r="AO3341" t="s">
        <v>53</v>
      </c>
      <c r="AP3341" t="s">
        <v>53</v>
      </c>
    </row>
    <row r="3342" spans="2:42" x14ac:dyDescent="0.2">
      <c r="B3342" t="s">
        <v>44</v>
      </c>
      <c r="C3342" t="str">
        <f>HYPERLINK("https://us2.cloudbeds.com/connect/8493803454333002#/reservations/30077525528724?display=YCZDG7B92&amp;reservation_id=30077525528724", "YCZDG7B92")</f>
        <v>YCZDG7B92</v>
      </c>
      <c r="D3342" t="s">
        <v>45</v>
      </c>
      <c r="E3342" t="s">
        <v>185</v>
      </c>
      <c r="F3342" t="s">
        <v>47</v>
      </c>
      <c r="G3342" t="s">
        <v>48</v>
      </c>
      <c r="H3342" t="s">
        <v>49</v>
      </c>
      <c r="I3342" t="s">
        <v>62</v>
      </c>
      <c r="J3342" t="s">
        <v>3233</v>
      </c>
      <c r="K3342" t="s">
        <v>1779</v>
      </c>
      <c r="L3342" t="s">
        <v>53</v>
      </c>
      <c r="N3342" t="s">
        <v>5477</v>
      </c>
      <c r="P3342" t="s">
        <v>55</v>
      </c>
      <c r="R3342" t="s">
        <v>56</v>
      </c>
      <c r="T3342" t="s">
        <v>5478</v>
      </c>
      <c r="U3342" t="s">
        <v>55</v>
      </c>
      <c r="V3342">
        <v>1</v>
      </c>
      <c r="W3342">
        <v>1</v>
      </c>
      <c r="X3342">
        <v>2</v>
      </c>
      <c r="Y3342">
        <v>0</v>
      </c>
      <c r="Z3342">
        <v>2</v>
      </c>
      <c r="AA3342">
        <v>0</v>
      </c>
      <c r="AB3342">
        <v>110.24</v>
      </c>
      <c r="AC3342">
        <v>97</v>
      </c>
      <c r="AD3342">
        <v>0</v>
      </c>
      <c r="AE3342">
        <v>13.24</v>
      </c>
      <c r="AF3342">
        <v>0</v>
      </c>
      <c r="AG3342">
        <v>0</v>
      </c>
      <c r="AH3342">
        <v>0</v>
      </c>
      <c r="AI3342">
        <v>16.54</v>
      </c>
      <c r="AJ3342">
        <v>110.24</v>
      </c>
      <c r="AK3342">
        <v>0</v>
      </c>
      <c r="AL3342" t="s">
        <v>53</v>
      </c>
      <c r="AM3342" t="s">
        <v>53</v>
      </c>
      <c r="AN3342" t="s">
        <v>53</v>
      </c>
      <c r="AO3342" t="s">
        <v>53</v>
      </c>
      <c r="AP3342" t="s">
        <v>53</v>
      </c>
    </row>
    <row r="3343" spans="2:42" x14ac:dyDescent="0.2">
      <c r="B3343" t="s">
        <v>44</v>
      </c>
      <c r="C3343" t="str">
        <f>HYPERLINK("https://us2.cloudbeds.com/connect/8493803454333002#/reservations/30090957041861?display=YD1QN0WQM&amp;reservation_id=30090957041861", "YD1QN0WQM")</f>
        <v>YD1QN0WQM</v>
      </c>
      <c r="D3343" t="s">
        <v>45</v>
      </c>
      <c r="E3343" t="s">
        <v>487</v>
      </c>
      <c r="F3343" t="s">
        <v>61</v>
      </c>
      <c r="G3343" t="s">
        <v>4520</v>
      </c>
      <c r="H3343" t="s">
        <v>3957</v>
      </c>
      <c r="I3343" t="s">
        <v>3958</v>
      </c>
      <c r="J3343" t="s">
        <v>3233</v>
      </c>
      <c r="K3343" t="s">
        <v>1779</v>
      </c>
      <c r="L3343" t="s">
        <v>53</v>
      </c>
      <c r="P3343" t="s">
        <v>55</v>
      </c>
      <c r="R3343" t="s">
        <v>56</v>
      </c>
      <c r="T3343" t="s">
        <v>5479</v>
      </c>
      <c r="U3343" t="s">
        <v>58</v>
      </c>
      <c r="V3343">
        <v>1</v>
      </c>
      <c r="W3343">
        <v>1</v>
      </c>
      <c r="X3343">
        <v>1</v>
      </c>
      <c r="Y3343">
        <v>0</v>
      </c>
      <c r="Z3343">
        <v>1</v>
      </c>
      <c r="AA3343">
        <v>0</v>
      </c>
      <c r="AB3343">
        <v>114.56</v>
      </c>
      <c r="AC3343">
        <v>100.8</v>
      </c>
      <c r="AD3343">
        <v>0</v>
      </c>
      <c r="AE3343">
        <v>13.76</v>
      </c>
      <c r="AF3343">
        <v>0</v>
      </c>
      <c r="AG3343">
        <v>0</v>
      </c>
      <c r="AH3343">
        <v>0</v>
      </c>
      <c r="AI3343">
        <v>0</v>
      </c>
      <c r="AJ3343">
        <v>114.56</v>
      </c>
      <c r="AK3343">
        <v>0</v>
      </c>
      <c r="AL3343" t="s">
        <v>53</v>
      </c>
      <c r="AM3343" t="s">
        <v>53</v>
      </c>
      <c r="AN3343" t="s">
        <v>53</v>
      </c>
      <c r="AO3343" t="s">
        <v>53</v>
      </c>
      <c r="AP3343" t="s">
        <v>53</v>
      </c>
    </row>
    <row r="3344" spans="2:42" x14ac:dyDescent="0.2">
      <c r="B3344" t="s">
        <v>44</v>
      </c>
      <c r="C3344" t="str">
        <f>HYPERLINK("https://us2.cloudbeds.com/connect/8493803454333002#/reservations/30109462368502?display=YDG4X6WXY&amp;reservation_id=30109462368502", "YDG4X6WXY")</f>
        <v>YDG4X6WXY</v>
      </c>
      <c r="D3344" t="s">
        <v>45</v>
      </c>
      <c r="E3344" t="s">
        <v>406</v>
      </c>
      <c r="F3344" t="s">
        <v>61</v>
      </c>
      <c r="G3344" t="s">
        <v>48</v>
      </c>
      <c r="H3344" t="s">
        <v>49</v>
      </c>
      <c r="I3344" t="s">
        <v>50</v>
      </c>
      <c r="J3344" t="s">
        <v>3233</v>
      </c>
      <c r="K3344" t="s">
        <v>3906</v>
      </c>
      <c r="L3344" t="s">
        <v>53</v>
      </c>
      <c r="N3344" t="s">
        <v>5480</v>
      </c>
      <c r="P3344" t="s">
        <v>55</v>
      </c>
      <c r="R3344" t="s">
        <v>53</v>
      </c>
      <c r="T3344" t="s">
        <v>5481</v>
      </c>
      <c r="U3344" t="s">
        <v>58</v>
      </c>
      <c r="V3344">
        <v>2</v>
      </c>
      <c r="W3344">
        <v>1</v>
      </c>
      <c r="X3344">
        <v>1</v>
      </c>
      <c r="Y3344">
        <v>0</v>
      </c>
      <c r="Z3344">
        <v>1</v>
      </c>
      <c r="AA3344">
        <v>0</v>
      </c>
      <c r="AB3344">
        <v>216.38</v>
      </c>
      <c r="AC3344">
        <v>190.4</v>
      </c>
      <c r="AD3344">
        <v>0</v>
      </c>
      <c r="AE3344">
        <v>25.98</v>
      </c>
      <c r="AF3344">
        <v>0</v>
      </c>
      <c r="AG3344">
        <v>0</v>
      </c>
      <c r="AH3344">
        <v>0</v>
      </c>
      <c r="AI3344">
        <v>38.950000000000003</v>
      </c>
      <c r="AJ3344">
        <v>216.38</v>
      </c>
      <c r="AK3344">
        <v>0</v>
      </c>
      <c r="AL3344" t="s">
        <v>53</v>
      </c>
      <c r="AM3344" t="s">
        <v>53</v>
      </c>
      <c r="AN3344" t="s">
        <v>53</v>
      </c>
      <c r="AO3344" t="s">
        <v>53</v>
      </c>
      <c r="AP3344" t="s">
        <v>53</v>
      </c>
    </row>
    <row r="3345" spans="2:42" x14ac:dyDescent="0.2">
      <c r="B3345" t="s">
        <v>44</v>
      </c>
      <c r="C3345" t="str">
        <f>HYPERLINK("https://us2.cloudbeds.com/connect/8493803454333002#/reservations/30125253415105?display=YDSC1Y4GC&amp;reservation_id=30125253415105", "YDSC1Y4GC")</f>
        <v>YDSC1Y4GC</v>
      </c>
      <c r="D3345" t="s">
        <v>45</v>
      </c>
      <c r="E3345" t="s">
        <v>213</v>
      </c>
      <c r="F3345" t="s">
        <v>86</v>
      </c>
      <c r="G3345" t="s">
        <v>48</v>
      </c>
      <c r="H3345" t="s">
        <v>49</v>
      </c>
      <c r="I3345" t="s">
        <v>50</v>
      </c>
      <c r="J3345" t="s">
        <v>3906</v>
      </c>
      <c r="K3345" t="s">
        <v>4736</v>
      </c>
      <c r="L3345" t="s">
        <v>53</v>
      </c>
      <c r="N3345" t="s">
        <v>5482</v>
      </c>
      <c r="P3345" t="s">
        <v>55</v>
      </c>
      <c r="R3345" t="s">
        <v>53</v>
      </c>
      <c r="T3345" t="s">
        <v>5483</v>
      </c>
      <c r="U3345" t="s">
        <v>58</v>
      </c>
      <c r="V3345">
        <v>2</v>
      </c>
      <c r="W3345">
        <v>1</v>
      </c>
      <c r="X3345">
        <v>2</v>
      </c>
      <c r="Y3345">
        <v>1</v>
      </c>
      <c r="Z3345">
        <v>3</v>
      </c>
      <c r="AA3345">
        <v>0</v>
      </c>
      <c r="AB3345">
        <v>216.38</v>
      </c>
      <c r="AC3345">
        <v>190.4</v>
      </c>
      <c r="AD3345">
        <v>0</v>
      </c>
      <c r="AE3345">
        <v>25.98</v>
      </c>
      <c r="AF3345">
        <v>0</v>
      </c>
      <c r="AG3345">
        <v>0</v>
      </c>
      <c r="AH3345">
        <v>0</v>
      </c>
      <c r="AI3345">
        <v>38.950000000000003</v>
      </c>
      <c r="AJ3345">
        <v>216.38</v>
      </c>
      <c r="AK3345">
        <v>0</v>
      </c>
      <c r="AL3345" t="s">
        <v>53</v>
      </c>
      <c r="AM3345" t="s">
        <v>53</v>
      </c>
      <c r="AN3345" t="s">
        <v>53</v>
      </c>
      <c r="AO3345" t="s">
        <v>53</v>
      </c>
      <c r="AP3345" t="s">
        <v>53</v>
      </c>
    </row>
    <row r="3346" spans="2:42" x14ac:dyDescent="0.2">
      <c r="B3346" t="s">
        <v>44</v>
      </c>
      <c r="C3346" t="str">
        <f>HYPERLINK("https://us2.cloudbeds.com/connect/8493803454333002#/reservations/30125998583950?display=YDSV2WXDF&amp;reservation_id=30125998583950", "YDSV2WXDF")</f>
        <v>YDSV2WXDF</v>
      </c>
      <c r="D3346" t="s">
        <v>45</v>
      </c>
      <c r="E3346" t="s">
        <v>98</v>
      </c>
      <c r="F3346" t="s">
        <v>86</v>
      </c>
      <c r="G3346" t="s">
        <v>48</v>
      </c>
      <c r="H3346" t="s">
        <v>49</v>
      </c>
      <c r="I3346" t="s">
        <v>50</v>
      </c>
      <c r="J3346" t="s">
        <v>3906</v>
      </c>
      <c r="K3346" t="s">
        <v>4736</v>
      </c>
      <c r="L3346" t="s">
        <v>53</v>
      </c>
      <c r="N3346" t="s">
        <v>5484</v>
      </c>
      <c r="P3346" t="s">
        <v>55</v>
      </c>
      <c r="R3346" t="s">
        <v>53</v>
      </c>
      <c r="T3346" t="s">
        <v>5485</v>
      </c>
      <c r="U3346" t="s">
        <v>58</v>
      </c>
      <c r="V3346">
        <v>2</v>
      </c>
      <c r="W3346">
        <v>1</v>
      </c>
      <c r="X3346">
        <v>2</v>
      </c>
      <c r="Y3346">
        <v>0</v>
      </c>
      <c r="Z3346">
        <v>2</v>
      </c>
      <c r="AA3346">
        <v>0</v>
      </c>
      <c r="AB3346">
        <v>216.38</v>
      </c>
      <c r="AC3346">
        <v>190.4</v>
      </c>
      <c r="AD3346">
        <v>0</v>
      </c>
      <c r="AE3346">
        <v>25.98</v>
      </c>
      <c r="AF3346">
        <v>0</v>
      </c>
      <c r="AG3346">
        <v>0</v>
      </c>
      <c r="AH3346">
        <v>0</v>
      </c>
      <c r="AI3346">
        <v>38.950000000000003</v>
      </c>
      <c r="AJ3346">
        <v>216.38</v>
      </c>
      <c r="AK3346">
        <v>0</v>
      </c>
      <c r="AL3346" t="s">
        <v>53</v>
      </c>
      <c r="AM3346" t="s">
        <v>53</v>
      </c>
      <c r="AN3346" t="s">
        <v>53</v>
      </c>
      <c r="AO3346" t="s">
        <v>53</v>
      </c>
      <c r="AP3346" t="s">
        <v>53</v>
      </c>
    </row>
    <row r="3347" spans="2:42" x14ac:dyDescent="0.2">
      <c r="B3347" t="s">
        <v>44</v>
      </c>
      <c r="C3347" t="str">
        <f>HYPERLINK("https://us2.cloudbeds.com/connect/8493803454333002#/reservations/30126470283426?display=YDTA4Z9JW&amp;reservation_id=30126470283426", "YDTA4Z9JW")</f>
        <v>YDTA4Z9JW</v>
      </c>
      <c r="D3347" t="s">
        <v>45</v>
      </c>
      <c r="E3347" t="s">
        <v>110</v>
      </c>
      <c r="F3347" t="s">
        <v>47</v>
      </c>
      <c r="G3347" t="s">
        <v>48</v>
      </c>
      <c r="H3347" t="s">
        <v>49</v>
      </c>
      <c r="I3347" t="s">
        <v>50</v>
      </c>
      <c r="J3347" t="s">
        <v>1779</v>
      </c>
      <c r="K3347" t="s">
        <v>3906</v>
      </c>
      <c r="L3347" t="s">
        <v>53</v>
      </c>
      <c r="N3347" t="s">
        <v>5486</v>
      </c>
      <c r="P3347" t="s">
        <v>55</v>
      </c>
      <c r="R3347" t="s">
        <v>53</v>
      </c>
      <c r="T3347" t="s">
        <v>5487</v>
      </c>
      <c r="U3347" t="s">
        <v>58</v>
      </c>
      <c r="V3347">
        <v>1</v>
      </c>
      <c r="W3347">
        <v>1</v>
      </c>
      <c r="X3347">
        <v>1</v>
      </c>
      <c r="Y3347">
        <v>0</v>
      </c>
      <c r="Z3347">
        <v>1</v>
      </c>
      <c r="AA3347">
        <v>0</v>
      </c>
      <c r="AB3347">
        <v>107.4</v>
      </c>
      <c r="AC3347">
        <v>94.5</v>
      </c>
      <c r="AD3347">
        <v>0</v>
      </c>
      <c r="AE3347">
        <v>12.9</v>
      </c>
      <c r="AF3347">
        <v>0</v>
      </c>
      <c r="AG3347">
        <v>0</v>
      </c>
      <c r="AH3347">
        <v>0</v>
      </c>
      <c r="AI3347">
        <v>19.329999999999998</v>
      </c>
      <c r="AJ3347">
        <v>107.4</v>
      </c>
      <c r="AK3347">
        <v>0</v>
      </c>
      <c r="AL3347" t="s">
        <v>53</v>
      </c>
      <c r="AM3347" t="s">
        <v>53</v>
      </c>
      <c r="AN3347" t="s">
        <v>53</v>
      </c>
      <c r="AO3347" t="s">
        <v>53</v>
      </c>
      <c r="AP3347" t="s">
        <v>53</v>
      </c>
    </row>
    <row r="3348" spans="2:42" x14ac:dyDescent="0.2">
      <c r="B3348" t="s">
        <v>44</v>
      </c>
      <c r="C3348" t="str">
        <f>HYPERLINK("https://us2.cloudbeds.com/connect/8493803454333002#/reservations/30131751354505?display=YE0D2SSWU&amp;reservation_id=30131751354505", "YE0D2SSWU")</f>
        <v>YE0D2SSWU</v>
      </c>
      <c r="D3348" t="s">
        <v>45</v>
      </c>
      <c r="E3348" t="s">
        <v>165</v>
      </c>
      <c r="F3348" t="s">
        <v>61</v>
      </c>
      <c r="G3348" t="s">
        <v>48</v>
      </c>
      <c r="H3348" t="s">
        <v>49</v>
      </c>
      <c r="I3348" t="s">
        <v>50</v>
      </c>
      <c r="J3348" t="s">
        <v>1779</v>
      </c>
      <c r="K3348" t="s">
        <v>3906</v>
      </c>
      <c r="L3348" t="s">
        <v>53</v>
      </c>
      <c r="N3348" t="s">
        <v>5488</v>
      </c>
      <c r="P3348" t="s">
        <v>55</v>
      </c>
      <c r="R3348" t="s">
        <v>53</v>
      </c>
      <c r="T3348" t="s">
        <v>5489</v>
      </c>
      <c r="U3348" t="s">
        <v>58</v>
      </c>
      <c r="V3348">
        <v>1</v>
      </c>
      <c r="W3348">
        <v>1</v>
      </c>
      <c r="X3348">
        <v>1</v>
      </c>
      <c r="Y3348">
        <v>0</v>
      </c>
      <c r="Z3348">
        <v>1</v>
      </c>
      <c r="AA3348">
        <v>0</v>
      </c>
      <c r="AB3348">
        <v>114.56</v>
      </c>
      <c r="AC3348">
        <v>100.8</v>
      </c>
      <c r="AD3348">
        <v>0</v>
      </c>
      <c r="AE3348">
        <v>13.76</v>
      </c>
      <c r="AF3348">
        <v>0</v>
      </c>
      <c r="AG3348">
        <v>0</v>
      </c>
      <c r="AH3348">
        <v>0</v>
      </c>
      <c r="AI3348">
        <v>20.62</v>
      </c>
      <c r="AJ3348">
        <v>114.56</v>
      </c>
      <c r="AK3348">
        <v>0</v>
      </c>
      <c r="AL3348" t="s">
        <v>53</v>
      </c>
      <c r="AM3348" t="s">
        <v>53</v>
      </c>
      <c r="AN3348" t="s">
        <v>53</v>
      </c>
      <c r="AO3348" t="s">
        <v>53</v>
      </c>
      <c r="AP3348" t="s">
        <v>53</v>
      </c>
    </row>
    <row r="3349" spans="2:42" x14ac:dyDescent="0.2">
      <c r="B3349" t="s">
        <v>44</v>
      </c>
      <c r="C3349" t="str">
        <f>HYPERLINK("https://us2.cloudbeds.com/connect/8493803454333002#/reservations/30155473772730?display=YEXP884F8&amp;reservation_id=30155473772730", "YEXP884F8")</f>
        <v>YEXP884F8</v>
      </c>
      <c r="D3349" t="s">
        <v>45</v>
      </c>
      <c r="E3349" t="s">
        <v>138</v>
      </c>
      <c r="F3349" t="s">
        <v>70</v>
      </c>
      <c r="G3349" t="s">
        <v>48</v>
      </c>
      <c r="H3349" t="s">
        <v>49</v>
      </c>
      <c r="I3349" t="s">
        <v>50</v>
      </c>
      <c r="J3349" t="s">
        <v>3906</v>
      </c>
      <c r="K3349" t="s">
        <v>4194</v>
      </c>
      <c r="L3349" t="s">
        <v>53</v>
      </c>
      <c r="N3349" t="s">
        <v>5490</v>
      </c>
      <c r="P3349" t="s">
        <v>55</v>
      </c>
      <c r="R3349" t="s">
        <v>53</v>
      </c>
      <c r="T3349" t="s">
        <v>5491</v>
      </c>
      <c r="U3349" t="s">
        <v>58</v>
      </c>
      <c r="V3349">
        <v>1</v>
      </c>
      <c r="W3349">
        <v>1</v>
      </c>
      <c r="X3349">
        <v>2</v>
      </c>
      <c r="Y3349">
        <v>0</v>
      </c>
      <c r="Z3349">
        <v>2</v>
      </c>
      <c r="AA3349">
        <v>0</v>
      </c>
      <c r="AB3349">
        <v>93.71</v>
      </c>
      <c r="AC3349">
        <v>82.45</v>
      </c>
      <c r="AD3349">
        <v>0</v>
      </c>
      <c r="AE3349">
        <v>11.26</v>
      </c>
      <c r="AF3349">
        <v>0</v>
      </c>
      <c r="AG3349">
        <v>0</v>
      </c>
      <c r="AH3349">
        <v>0</v>
      </c>
      <c r="AI3349">
        <v>16.87</v>
      </c>
      <c r="AJ3349">
        <v>93.71</v>
      </c>
      <c r="AK3349">
        <v>0</v>
      </c>
      <c r="AL3349" t="s">
        <v>53</v>
      </c>
      <c r="AM3349" t="s">
        <v>53</v>
      </c>
      <c r="AN3349" t="s">
        <v>53</v>
      </c>
      <c r="AO3349" t="s">
        <v>53</v>
      </c>
      <c r="AP3349" t="s">
        <v>53</v>
      </c>
    </row>
    <row r="3350" spans="2:42" x14ac:dyDescent="0.2">
      <c r="B3350" t="s">
        <v>44</v>
      </c>
      <c r="C3350" t="str">
        <f>HYPERLINK("https://us2.cloudbeds.com/connect/8493803454333002#/reservations/30451854770391?display=YYH8FX9YK&amp;reservation_id=30451854770391", "YYH8FX9YK")</f>
        <v>YYH8FX9YK</v>
      </c>
      <c r="D3350" t="s">
        <v>45</v>
      </c>
      <c r="E3350" t="s">
        <v>179</v>
      </c>
      <c r="F3350" t="s">
        <v>47</v>
      </c>
      <c r="G3350" t="s">
        <v>48</v>
      </c>
      <c r="H3350" t="s">
        <v>49</v>
      </c>
      <c r="I3350" t="s">
        <v>50</v>
      </c>
      <c r="J3350" t="s">
        <v>1779</v>
      </c>
      <c r="K3350" t="s">
        <v>5492</v>
      </c>
      <c r="L3350" t="s">
        <v>53</v>
      </c>
      <c r="N3350" t="s">
        <v>5493</v>
      </c>
      <c r="P3350" t="s">
        <v>55</v>
      </c>
      <c r="R3350" t="s">
        <v>53</v>
      </c>
      <c r="T3350" t="s">
        <v>5494</v>
      </c>
      <c r="U3350" t="s">
        <v>58</v>
      </c>
      <c r="V3350">
        <v>5</v>
      </c>
      <c r="W3350">
        <v>1</v>
      </c>
      <c r="X3350">
        <v>1</v>
      </c>
      <c r="Y3350">
        <v>0</v>
      </c>
      <c r="Z3350">
        <v>1</v>
      </c>
      <c r="AA3350">
        <v>0</v>
      </c>
      <c r="AB3350">
        <v>507.2</v>
      </c>
      <c r="AC3350">
        <v>446.25</v>
      </c>
      <c r="AD3350">
        <v>0</v>
      </c>
      <c r="AE3350">
        <v>60.95</v>
      </c>
      <c r="AF3350">
        <v>0</v>
      </c>
      <c r="AG3350">
        <v>0</v>
      </c>
      <c r="AH3350">
        <v>0</v>
      </c>
      <c r="AI3350">
        <v>91.3</v>
      </c>
      <c r="AJ3350">
        <v>507.2</v>
      </c>
      <c r="AK3350">
        <v>0</v>
      </c>
      <c r="AL3350" t="s">
        <v>53</v>
      </c>
      <c r="AM3350" t="s">
        <v>53</v>
      </c>
      <c r="AN3350" t="s">
        <v>53</v>
      </c>
      <c r="AO3350" t="s">
        <v>53</v>
      </c>
      <c r="AP3350" t="s">
        <v>53</v>
      </c>
    </row>
    <row r="3351" spans="2:42" x14ac:dyDescent="0.2">
      <c r="B3351" t="s">
        <v>44</v>
      </c>
      <c r="C3351" t="str">
        <f>HYPERLINK("https://us2.cloudbeds.com/connect/8493803454333002#/reservations/30456134254732?display=YYKXR48B9&amp;reservation_id=30456134254732", "YYKXR48B9")</f>
        <v>YYKXR48B9</v>
      </c>
      <c r="D3351" t="s">
        <v>45</v>
      </c>
      <c r="E3351" t="s">
        <v>223</v>
      </c>
      <c r="F3351" t="s">
        <v>47</v>
      </c>
      <c r="G3351" t="s">
        <v>48</v>
      </c>
      <c r="H3351" t="s">
        <v>49</v>
      </c>
      <c r="I3351" t="s">
        <v>50</v>
      </c>
      <c r="J3351" t="s">
        <v>1779</v>
      </c>
      <c r="K3351" t="s">
        <v>3906</v>
      </c>
      <c r="L3351" t="s">
        <v>53</v>
      </c>
      <c r="N3351" t="s">
        <v>5495</v>
      </c>
      <c r="P3351" t="s">
        <v>55</v>
      </c>
      <c r="R3351" t="s">
        <v>53</v>
      </c>
      <c r="T3351" t="s">
        <v>5496</v>
      </c>
      <c r="U3351" t="s">
        <v>58</v>
      </c>
      <c r="V3351">
        <v>1</v>
      </c>
      <c r="W3351">
        <v>1</v>
      </c>
      <c r="X3351">
        <v>1</v>
      </c>
      <c r="Y3351">
        <v>0</v>
      </c>
      <c r="Z3351">
        <v>1</v>
      </c>
      <c r="AA3351">
        <v>0</v>
      </c>
      <c r="AB3351">
        <v>107.4</v>
      </c>
      <c r="AC3351">
        <v>94.5</v>
      </c>
      <c r="AD3351">
        <v>0</v>
      </c>
      <c r="AE3351">
        <v>12.9</v>
      </c>
      <c r="AF3351">
        <v>0</v>
      </c>
      <c r="AG3351">
        <v>0</v>
      </c>
      <c r="AH3351">
        <v>0</v>
      </c>
      <c r="AI3351">
        <v>19.329999999999998</v>
      </c>
      <c r="AJ3351">
        <v>107.4</v>
      </c>
      <c r="AK3351">
        <v>0</v>
      </c>
      <c r="AL3351" t="s">
        <v>53</v>
      </c>
      <c r="AM3351" t="s">
        <v>53</v>
      </c>
      <c r="AN3351" t="s">
        <v>53</v>
      </c>
      <c r="AO3351" t="s">
        <v>53</v>
      </c>
      <c r="AP3351" t="s">
        <v>53</v>
      </c>
    </row>
    <row r="3352" spans="2:42" x14ac:dyDescent="0.2">
      <c r="B3352" t="s">
        <v>44</v>
      </c>
      <c r="C3352" t="str">
        <f>HYPERLINK("https://us2.cloudbeds.com/connect/8493803454333002#/reservations/30491238137991?display=YMEZQYX6E&amp;reservation_id=30491238137991", "YMEZQYX6E")</f>
        <v>YMEZQYX6E</v>
      </c>
      <c r="D3352" t="s">
        <v>45</v>
      </c>
      <c r="E3352" t="s">
        <v>406</v>
      </c>
      <c r="F3352" t="s">
        <v>61</v>
      </c>
      <c r="G3352" t="s">
        <v>48</v>
      </c>
      <c r="H3352" t="s">
        <v>49</v>
      </c>
      <c r="I3352" t="s">
        <v>50</v>
      </c>
      <c r="J3352" t="s">
        <v>4841</v>
      </c>
      <c r="K3352" t="s">
        <v>5497</v>
      </c>
      <c r="L3352" t="s">
        <v>53</v>
      </c>
      <c r="N3352" t="s">
        <v>5498</v>
      </c>
      <c r="P3352" t="s">
        <v>55</v>
      </c>
      <c r="R3352" t="s">
        <v>53</v>
      </c>
      <c r="T3352" t="s">
        <v>5499</v>
      </c>
      <c r="U3352" t="s">
        <v>58</v>
      </c>
      <c r="V3352">
        <v>5</v>
      </c>
      <c r="W3352">
        <v>1</v>
      </c>
      <c r="X3352">
        <v>1</v>
      </c>
      <c r="Y3352">
        <v>0</v>
      </c>
      <c r="Z3352">
        <v>1</v>
      </c>
      <c r="AA3352">
        <v>0</v>
      </c>
      <c r="AB3352">
        <v>391.4</v>
      </c>
      <c r="AC3352">
        <v>345</v>
      </c>
      <c r="AD3352">
        <v>0</v>
      </c>
      <c r="AE3352">
        <v>46.4</v>
      </c>
      <c r="AF3352">
        <v>0</v>
      </c>
      <c r="AG3352">
        <v>0</v>
      </c>
      <c r="AH3352">
        <v>0</v>
      </c>
      <c r="AI3352">
        <v>70.45</v>
      </c>
      <c r="AJ3352">
        <v>391.4</v>
      </c>
      <c r="AK3352">
        <v>0</v>
      </c>
      <c r="AL3352" t="s">
        <v>53</v>
      </c>
      <c r="AM3352" t="s">
        <v>53</v>
      </c>
      <c r="AN3352" t="s">
        <v>5500</v>
      </c>
      <c r="AO3352" t="s">
        <v>53</v>
      </c>
      <c r="AP3352" t="s">
        <v>53</v>
      </c>
    </row>
    <row r="3353" spans="2:42" x14ac:dyDescent="0.2">
      <c r="B3353" t="s">
        <v>44</v>
      </c>
      <c r="C3353" t="str">
        <f>HYPERLINK("https://us2.cloudbeds.com/connect/8493803454333002#/reservations/30640945655940?display=YPVM5WUFE&amp;reservation_id=30640945655940", "YPVM5WUFE")</f>
        <v>YPVM5WUFE</v>
      </c>
      <c r="D3353" t="s">
        <v>45</v>
      </c>
      <c r="E3353" t="s">
        <v>223</v>
      </c>
      <c r="F3353" t="s">
        <v>47</v>
      </c>
      <c r="G3353" t="s">
        <v>48</v>
      </c>
      <c r="H3353" t="s">
        <v>49</v>
      </c>
      <c r="I3353" t="s">
        <v>50</v>
      </c>
      <c r="J3353" t="s">
        <v>3906</v>
      </c>
      <c r="K3353" t="s">
        <v>4194</v>
      </c>
      <c r="L3353" t="s">
        <v>53</v>
      </c>
      <c r="N3353" t="s">
        <v>5501</v>
      </c>
      <c r="P3353" t="s">
        <v>55</v>
      </c>
      <c r="R3353" t="s">
        <v>53</v>
      </c>
      <c r="T3353" t="s">
        <v>5502</v>
      </c>
      <c r="U3353" t="s">
        <v>58</v>
      </c>
      <c r="V3353">
        <v>1</v>
      </c>
      <c r="W3353">
        <v>1</v>
      </c>
      <c r="X3353">
        <v>2</v>
      </c>
      <c r="Y3353">
        <v>0</v>
      </c>
      <c r="Z3353">
        <v>2</v>
      </c>
      <c r="AA3353">
        <v>0</v>
      </c>
      <c r="AB3353">
        <v>107.4</v>
      </c>
      <c r="AC3353">
        <v>94.5</v>
      </c>
      <c r="AD3353">
        <v>0</v>
      </c>
      <c r="AE3353">
        <v>12.9</v>
      </c>
      <c r="AF3353">
        <v>0</v>
      </c>
      <c r="AG3353">
        <v>0</v>
      </c>
      <c r="AH3353">
        <v>0</v>
      </c>
      <c r="AI3353">
        <v>19.329999999999998</v>
      </c>
      <c r="AJ3353">
        <v>107.4</v>
      </c>
      <c r="AK3353">
        <v>0</v>
      </c>
      <c r="AL3353" t="s">
        <v>53</v>
      </c>
      <c r="AM3353" t="s">
        <v>53</v>
      </c>
      <c r="AN3353" t="s">
        <v>53</v>
      </c>
      <c r="AO3353" t="s">
        <v>53</v>
      </c>
      <c r="AP3353" t="s">
        <v>53</v>
      </c>
    </row>
    <row r="3354" spans="2:42" x14ac:dyDescent="0.2">
      <c r="B3354" t="s">
        <v>44</v>
      </c>
      <c r="C3354" t="str">
        <f>HYPERLINK("https://us2.cloudbeds.com/connect/8493803454333002#/reservations/30682817425640?display=YQV33CY2G&amp;reservation_id=30682817425640", "YQV33CY2G")</f>
        <v>YQV33CY2G</v>
      </c>
      <c r="D3354" t="s">
        <v>45</v>
      </c>
      <c r="E3354" t="s">
        <v>373</v>
      </c>
      <c r="F3354" t="s">
        <v>47</v>
      </c>
      <c r="G3354" t="s">
        <v>48</v>
      </c>
      <c r="H3354" t="s">
        <v>3957</v>
      </c>
      <c r="I3354" t="s">
        <v>3958</v>
      </c>
      <c r="J3354" t="s">
        <v>3906</v>
      </c>
      <c r="K3354" t="s">
        <v>4194</v>
      </c>
      <c r="L3354" t="s">
        <v>53</v>
      </c>
      <c r="P3354" t="s">
        <v>55</v>
      </c>
      <c r="R3354" t="s">
        <v>56</v>
      </c>
      <c r="T3354" t="s">
        <v>5503</v>
      </c>
      <c r="U3354" t="s">
        <v>58</v>
      </c>
      <c r="V3354">
        <v>1</v>
      </c>
      <c r="W3354">
        <v>1</v>
      </c>
      <c r="X3354">
        <v>1</v>
      </c>
      <c r="Y3354">
        <v>0</v>
      </c>
      <c r="Z3354">
        <v>1</v>
      </c>
      <c r="AA3354">
        <v>0</v>
      </c>
      <c r="AB3354">
        <v>119.34</v>
      </c>
      <c r="AC3354">
        <v>105</v>
      </c>
      <c r="AD3354">
        <v>0</v>
      </c>
      <c r="AE3354">
        <v>14.34</v>
      </c>
      <c r="AF3354">
        <v>0</v>
      </c>
      <c r="AG3354">
        <v>0</v>
      </c>
      <c r="AH3354">
        <v>0</v>
      </c>
      <c r="AI3354">
        <v>0</v>
      </c>
      <c r="AJ3354">
        <v>119.34</v>
      </c>
      <c r="AK3354">
        <v>0</v>
      </c>
      <c r="AL3354" t="s">
        <v>53</v>
      </c>
      <c r="AM3354" t="s">
        <v>53</v>
      </c>
      <c r="AN3354" t="s">
        <v>53</v>
      </c>
      <c r="AO3354" t="s">
        <v>53</v>
      </c>
      <c r="AP3354" t="s">
        <v>53</v>
      </c>
    </row>
    <row r="3355" spans="2:42" x14ac:dyDescent="0.2">
      <c r="B3355" t="s">
        <v>44</v>
      </c>
      <c r="C3355" t="str">
        <f>HYPERLINK("https://us2.cloudbeds.com/connect/8493803454333002#/reservations/30848743719131?display=YURXTRBG7&amp;reservation_id=30848743719131", "YURXTRBG7")</f>
        <v>YURXTRBG7</v>
      </c>
      <c r="D3355" t="s">
        <v>45</v>
      </c>
      <c r="E3355" t="s">
        <v>2050</v>
      </c>
      <c r="F3355" t="s">
        <v>61</v>
      </c>
      <c r="G3355" t="s">
        <v>48</v>
      </c>
      <c r="H3355" t="s">
        <v>49</v>
      </c>
      <c r="I3355" t="s">
        <v>62</v>
      </c>
      <c r="J3355" t="s">
        <v>3413</v>
      </c>
      <c r="K3355" t="s">
        <v>5258</v>
      </c>
      <c r="L3355" t="s">
        <v>53</v>
      </c>
      <c r="N3355" t="s">
        <v>5504</v>
      </c>
      <c r="P3355" t="s">
        <v>55</v>
      </c>
      <c r="R3355" t="s">
        <v>56</v>
      </c>
      <c r="T3355" t="s">
        <v>5505</v>
      </c>
      <c r="U3355" t="s">
        <v>55</v>
      </c>
      <c r="V3355">
        <v>4</v>
      </c>
      <c r="W3355">
        <v>2</v>
      </c>
      <c r="X3355">
        <v>4</v>
      </c>
      <c r="Y3355">
        <v>0</v>
      </c>
      <c r="Z3355">
        <v>4</v>
      </c>
      <c r="AA3355">
        <v>0</v>
      </c>
      <c r="AB3355">
        <v>409.16</v>
      </c>
      <c r="AC3355">
        <v>360</v>
      </c>
      <c r="AD3355">
        <v>0</v>
      </c>
      <c r="AE3355">
        <v>49.16</v>
      </c>
      <c r="AF3355">
        <v>0</v>
      </c>
      <c r="AG3355">
        <v>0</v>
      </c>
      <c r="AH3355">
        <v>0</v>
      </c>
      <c r="AI3355">
        <v>61.37</v>
      </c>
      <c r="AJ3355">
        <v>409.16</v>
      </c>
      <c r="AK3355">
        <v>0</v>
      </c>
      <c r="AL3355" t="s">
        <v>53</v>
      </c>
      <c r="AM3355" t="s">
        <v>53</v>
      </c>
      <c r="AN3355" t="s">
        <v>53</v>
      </c>
      <c r="AO3355" t="s">
        <v>53</v>
      </c>
      <c r="AP3355" t="s">
        <v>53</v>
      </c>
    </row>
    <row r="3356" spans="2:42" x14ac:dyDescent="0.2">
      <c r="B3356" t="s">
        <v>44</v>
      </c>
      <c r="C3356" t="str">
        <f>HYPERLINK("https://us2.cloudbeds.com/connect/8493803454333002#/reservations/31025587880089?display=M1WGMGQSY&amp;reservation_id=31025587880089", "M1WGMGQSY")</f>
        <v>M1WGMGQSY</v>
      </c>
      <c r="D3356" t="s">
        <v>45</v>
      </c>
      <c r="E3356" t="s">
        <v>5506</v>
      </c>
      <c r="F3356" t="s">
        <v>61</v>
      </c>
      <c r="G3356" t="s">
        <v>48</v>
      </c>
      <c r="H3356" t="s">
        <v>3957</v>
      </c>
      <c r="I3356" t="s">
        <v>3989</v>
      </c>
      <c r="J3356" t="s">
        <v>5507</v>
      </c>
      <c r="K3356" t="s">
        <v>5508</v>
      </c>
      <c r="L3356" t="s">
        <v>53</v>
      </c>
      <c r="P3356" t="s">
        <v>55</v>
      </c>
      <c r="R3356" t="s">
        <v>56</v>
      </c>
      <c r="T3356" t="s">
        <v>5509</v>
      </c>
      <c r="U3356" t="s">
        <v>58</v>
      </c>
      <c r="V3356">
        <v>4</v>
      </c>
      <c r="W3356">
        <v>2</v>
      </c>
      <c r="X3356">
        <v>2</v>
      </c>
      <c r="Y3356">
        <v>0</v>
      </c>
      <c r="Z3356">
        <v>2</v>
      </c>
      <c r="AA3356">
        <v>0</v>
      </c>
      <c r="AB3356">
        <v>745.56</v>
      </c>
      <c r="AC3356">
        <v>656</v>
      </c>
      <c r="AD3356">
        <v>0</v>
      </c>
      <c r="AE3356">
        <v>89.56</v>
      </c>
      <c r="AF3356">
        <v>0</v>
      </c>
      <c r="AG3356">
        <v>0</v>
      </c>
      <c r="AH3356">
        <v>0</v>
      </c>
      <c r="AI3356">
        <v>0</v>
      </c>
      <c r="AJ3356">
        <v>745.56</v>
      </c>
      <c r="AK3356">
        <v>0</v>
      </c>
      <c r="AL3356" t="s">
        <v>53</v>
      </c>
      <c r="AM3356" t="s">
        <v>53</v>
      </c>
      <c r="AN3356" t="s">
        <v>53</v>
      </c>
      <c r="AO3356" t="s">
        <v>53</v>
      </c>
      <c r="AP3356" t="s">
        <v>53</v>
      </c>
    </row>
    <row r="3357" spans="2:42" x14ac:dyDescent="0.2">
      <c r="B3357" t="s">
        <v>44</v>
      </c>
      <c r="C3357" t="str">
        <f>HYPERLINK("https://us2.cloudbeds.com/connect/8493803454333002#/reservations/31154092064907?display=M5008Y648&amp;reservation_id=31154092064907", "M5008Y648")</f>
        <v>M5008Y648</v>
      </c>
      <c r="D3357" t="s">
        <v>45</v>
      </c>
      <c r="E3357" t="s">
        <v>85</v>
      </c>
      <c r="F3357" t="s">
        <v>86</v>
      </c>
      <c r="G3357" t="s">
        <v>48</v>
      </c>
      <c r="H3357" t="s">
        <v>3957</v>
      </c>
      <c r="I3357" t="s">
        <v>3958</v>
      </c>
      <c r="J3357" t="s">
        <v>4194</v>
      </c>
      <c r="K3357" t="s">
        <v>4736</v>
      </c>
      <c r="L3357" t="s">
        <v>53</v>
      </c>
      <c r="P3357" t="s">
        <v>55</v>
      </c>
      <c r="R3357" t="s">
        <v>56</v>
      </c>
      <c r="T3357" t="s">
        <v>5510</v>
      </c>
      <c r="U3357" t="s">
        <v>58</v>
      </c>
      <c r="V3357">
        <v>1</v>
      </c>
      <c r="W3357">
        <v>1</v>
      </c>
      <c r="X3357">
        <v>1</v>
      </c>
      <c r="Y3357">
        <v>0</v>
      </c>
      <c r="Z3357">
        <v>1</v>
      </c>
      <c r="AA3357">
        <v>0</v>
      </c>
      <c r="AB3357">
        <v>135.25</v>
      </c>
      <c r="AC3357">
        <v>119</v>
      </c>
      <c r="AD3357">
        <v>0</v>
      </c>
      <c r="AE3357">
        <v>16.25</v>
      </c>
      <c r="AF3357">
        <v>0</v>
      </c>
      <c r="AG3357">
        <v>0</v>
      </c>
      <c r="AH3357">
        <v>0</v>
      </c>
      <c r="AI3357">
        <v>0</v>
      </c>
      <c r="AJ3357">
        <v>135.25</v>
      </c>
      <c r="AK3357">
        <v>0</v>
      </c>
      <c r="AL3357" t="s">
        <v>53</v>
      </c>
      <c r="AM3357" t="s">
        <v>53</v>
      </c>
      <c r="AN3357" t="s">
        <v>53</v>
      </c>
      <c r="AO3357" t="s">
        <v>53</v>
      </c>
      <c r="AP3357" t="s">
        <v>53</v>
      </c>
    </row>
    <row r="3358" spans="2:42" x14ac:dyDescent="0.2">
      <c r="B3358" t="s">
        <v>44</v>
      </c>
      <c r="C3358" t="str">
        <f>HYPERLINK("https://us2.cloudbeds.com/connect/8493803454333002#/reservations/31201178710227?display=M63FEBGJ8&amp;reservation_id=31201178710227", "M63FEBGJ8")</f>
        <v>M63FEBGJ8</v>
      </c>
      <c r="D3358" t="s">
        <v>45</v>
      </c>
      <c r="E3358" t="s">
        <v>165</v>
      </c>
      <c r="F3358" t="s">
        <v>61</v>
      </c>
      <c r="G3358" t="s">
        <v>48</v>
      </c>
      <c r="H3358" t="s">
        <v>49</v>
      </c>
      <c r="I3358" t="s">
        <v>50</v>
      </c>
      <c r="J3358" t="s">
        <v>3618</v>
      </c>
      <c r="K3358" t="s">
        <v>5511</v>
      </c>
      <c r="L3358" t="s">
        <v>53</v>
      </c>
      <c r="N3358" t="s">
        <v>5512</v>
      </c>
      <c r="P3358" t="s">
        <v>55</v>
      </c>
      <c r="R3358" t="s">
        <v>53</v>
      </c>
      <c r="T3358" t="s">
        <v>5513</v>
      </c>
      <c r="U3358" t="s">
        <v>58</v>
      </c>
      <c r="V3358">
        <v>1</v>
      </c>
      <c r="W3358">
        <v>1</v>
      </c>
      <c r="X3358">
        <v>2</v>
      </c>
      <c r="Y3358">
        <v>0</v>
      </c>
      <c r="Z3358">
        <v>2</v>
      </c>
      <c r="AA3358">
        <v>0</v>
      </c>
      <c r="AB3358">
        <v>87.96</v>
      </c>
      <c r="AC3358">
        <v>77.400000000000006</v>
      </c>
      <c r="AD3358">
        <v>0</v>
      </c>
      <c r="AE3358">
        <v>10.56</v>
      </c>
      <c r="AF3358">
        <v>0</v>
      </c>
      <c r="AG3358">
        <v>0</v>
      </c>
      <c r="AH3358">
        <v>0</v>
      </c>
      <c r="AI3358">
        <v>15.83</v>
      </c>
      <c r="AJ3358">
        <v>87.96</v>
      </c>
      <c r="AK3358">
        <v>0</v>
      </c>
      <c r="AL3358" t="s">
        <v>53</v>
      </c>
      <c r="AM3358" t="s">
        <v>53</v>
      </c>
      <c r="AN3358" t="s">
        <v>53</v>
      </c>
      <c r="AO3358" t="s">
        <v>53</v>
      </c>
      <c r="AP3358" t="s">
        <v>53</v>
      </c>
    </row>
    <row r="3359" spans="2:42" x14ac:dyDescent="0.2">
      <c r="B3359" t="s">
        <v>44</v>
      </c>
      <c r="C3359" t="str">
        <f>HYPERLINK("https://us2.cloudbeds.com/connect/8493803454333002#/reservations/31227722473624?display=M6Z0MZRVR&amp;reservation_id=31227722473624", "M6Z0MZRVR")</f>
        <v>M6Z0MZRVR</v>
      </c>
      <c r="D3359" t="s">
        <v>45</v>
      </c>
      <c r="E3359" t="s">
        <v>78</v>
      </c>
      <c r="F3359" t="s">
        <v>61</v>
      </c>
      <c r="G3359" t="s">
        <v>48</v>
      </c>
      <c r="H3359" t="s">
        <v>49</v>
      </c>
      <c r="I3359" t="s">
        <v>50</v>
      </c>
      <c r="J3359" t="s">
        <v>5371</v>
      </c>
      <c r="K3359" t="s">
        <v>3414</v>
      </c>
      <c r="L3359" t="s">
        <v>53</v>
      </c>
      <c r="N3359" t="s">
        <v>5514</v>
      </c>
      <c r="P3359" t="s">
        <v>55</v>
      </c>
      <c r="R3359" t="s">
        <v>53</v>
      </c>
      <c r="T3359" t="s">
        <v>5515</v>
      </c>
      <c r="U3359" t="s">
        <v>58</v>
      </c>
      <c r="V3359">
        <v>2</v>
      </c>
      <c r="W3359">
        <v>1</v>
      </c>
      <c r="X3359">
        <v>2</v>
      </c>
      <c r="Y3359">
        <v>0</v>
      </c>
      <c r="Z3359">
        <v>2</v>
      </c>
      <c r="AA3359">
        <v>0</v>
      </c>
      <c r="AB3359">
        <v>185.48</v>
      </c>
      <c r="AC3359">
        <v>163.19999999999999</v>
      </c>
      <c r="AD3359">
        <v>0</v>
      </c>
      <c r="AE3359">
        <v>22.28</v>
      </c>
      <c r="AF3359">
        <v>0</v>
      </c>
      <c r="AG3359">
        <v>0</v>
      </c>
      <c r="AH3359">
        <v>0</v>
      </c>
      <c r="AI3359">
        <v>33.39</v>
      </c>
      <c r="AJ3359">
        <v>185.48</v>
      </c>
      <c r="AK3359">
        <v>0</v>
      </c>
      <c r="AL3359" t="s">
        <v>53</v>
      </c>
      <c r="AM3359" t="s">
        <v>53</v>
      </c>
      <c r="AN3359" t="s">
        <v>53</v>
      </c>
      <c r="AO3359" t="s">
        <v>53</v>
      </c>
      <c r="AP3359" t="s">
        <v>53</v>
      </c>
    </row>
    <row r="3360" spans="2:42" x14ac:dyDescent="0.2">
      <c r="B3360" t="s">
        <v>44</v>
      </c>
      <c r="C3360" t="str">
        <f>HYPERLINK("https://us2.cloudbeds.com/connect/8493803454333002#/reservations/31386140336350?display=MAEMKTD9X&amp;reservation_id=31386140336350", "MAEMKTD9X")</f>
        <v>MAEMKTD9X</v>
      </c>
      <c r="D3360" t="s">
        <v>45</v>
      </c>
      <c r="E3360" t="s">
        <v>110</v>
      </c>
      <c r="F3360" t="s">
        <v>47</v>
      </c>
      <c r="G3360" t="s">
        <v>48</v>
      </c>
      <c r="H3360" t="s">
        <v>49</v>
      </c>
      <c r="I3360" t="s">
        <v>50</v>
      </c>
      <c r="J3360" t="s">
        <v>4959</v>
      </c>
      <c r="K3360" t="s">
        <v>4180</v>
      </c>
      <c r="L3360" t="s">
        <v>53</v>
      </c>
      <c r="N3360" t="s">
        <v>5516</v>
      </c>
      <c r="P3360" t="s">
        <v>55</v>
      </c>
      <c r="R3360" t="s">
        <v>53</v>
      </c>
      <c r="T3360" t="s">
        <v>5517</v>
      </c>
      <c r="U3360" t="s">
        <v>58</v>
      </c>
      <c r="V3360">
        <v>1</v>
      </c>
      <c r="W3360">
        <v>1</v>
      </c>
      <c r="X3360">
        <v>1</v>
      </c>
      <c r="Y3360">
        <v>0</v>
      </c>
      <c r="Z3360">
        <v>1</v>
      </c>
      <c r="AA3360">
        <v>0</v>
      </c>
      <c r="AB3360">
        <v>65.459999999999994</v>
      </c>
      <c r="AC3360">
        <v>57.6</v>
      </c>
      <c r="AD3360">
        <v>0</v>
      </c>
      <c r="AE3360">
        <v>7.86</v>
      </c>
      <c r="AF3360">
        <v>0</v>
      </c>
      <c r="AG3360">
        <v>0</v>
      </c>
      <c r="AH3360">
        <v>0</v>
      </c>
      <c r="AI3360">
        <v>11.78</v>
      </c>
      <c r="AJ3360">
        <v>65.459999999999994</v>
      </c>
      <c r="AK3360">
        <v>0</v>
      </c>
      <c r="AL3360" t="s">
        <v>53</v>
      </c>
      <c r="AM3360" t="s">
        <v>53</v>
      </c>
      <c r="AN3360" t="s">
        <v>53</v>
      </c>
      <c r="AO3360" t="s">
        <v>53</v>
      </c>
      <c r="AP3360" t="s">
        <v>53</v>
      </c>
    </row>
    <row r="3361" spans="2:42" x14ac:dyDescent="0.2">
      <c r="B3361" t="s">
        <v>44</v>
      </c>
      <c r="C3361" t="str">
        <f>HYPERLINK("https://us2.cloudbeds.com/connect/8493803454333002#/reservations/31424952262881?display=MBBZC4FXB&amp;reservation_id=31424952262881", "MBBZC4FXB")</f>
        <v>MBBZC4FXB</v>
      </c>
      <c r="D3361" t="s">
        <v>45</v>
      </c>
      <c r="E3361" t="s">
        <v>98</v>
      </c>
      <c r="F3361" t="s">
        <v>86</v>
      </c>
      <c r="G3361" t="s">
        <v>48</v>
      </c>
      <c r="H3361" t="s">
        <v>49</v>
      </c>
      <c r="I3361" t="s">
        <v>62</v>
      </c>
      <c r="J3361" t="s">
        <v>5518</v>
      </c>
      <c r="K3361" t="s">
        <v>5519</v>
      </c>
      <c r="L3361" t="s">
        <v>53</v>
      </c>
      <c r="N3361" t="s">
        <v>5520</v>
      </c>
      <c r="P3361" t="s">
        <v>55</v>
      </c>
      <c r="R3361" t="s">
        <v>1475</v>
      </c>
      <c r="T3361" t="s">
        <v>5521</v>
      </c>
      <c r="U3361" t="s">
        <v>55</v>
      </c>
      <c r="V3361">
        <v>2</v>
      </c>
      <c r="W3361">
        <v>1</v>
      </c>
      <c r="X3361">
        <v>2</v>
      </c>
      <c r="Y3361">
        <v>0</v>
      </c>
      <c r="Z3361">
        <v>2</v>
      </c>
      <c r="AA3361">
        <v>224</v>
      </c>
      <c r="AB3361">
        <v>254.58</v>
      </c>
      <c r="AC3361">
        <v>224</v>
      </c>
      <c r="AD3361">
        <v>0</v>
      </c>
      <c r="AE3361">
        <v>30.58</v>
      </c>
      <c r="AF3361">
        <v>0</v>
      </c>
      <c r="AG3361">
        <v>0</v>
      </c>
      <c r="AH3361">
        <v>0</v>
      </c>
      <c r="AI3361">
        <v>45.82</v>
      </c>
      <c r="AJ3361">
        <v>254.58</v>
      </c>
      <c r="AK3361">
        <v>0</v>
      </c>
      <c r="AL3361" t="s">
        <v>53</v>
      </c>
      <c r="AM3361" t="s">
        <v>53</v>
      </c>
      <c r="AN3361" t="s">
        <v>53</v>
      </c>
      <c r="AO3361" t="s">
        <v>53</v>
      </c>
      <c r="AP3361" t="s">
        <v>53</v>
      </c>
    </row>
    <row r="3362" spans="2:42" x14ac:dyDescent="0.2">
      <c r="B3362" t="s">
        <v>44</v>
      </c>
      <c r="C3362" t="str">
        <f>HYPERLINK("https://us2.cloudbeds.com/connect/8493803454333002#/reservations/31726273511579?display=MXE1R6D2J&amp;reservation_id=31726273511579", "MXE1R6D2J")</f>
        <v>MXE1R6D2J</v>
      </c>
      <c r="D3362" t="s">
        <v>45</v>
      </c>
      <c r="E3362" t="s">
        <v>381</v>
      </c>
      <c r="F3362" t="s">
        <v>47</v>
      </c>
      <c r="G3362" t="s">
        <v>3974</v>
      </c>
      <c r="H3362" t="s">
        <v>3957</v>
      </c>
      <c r="I3362" t="s">
        <v>3975</v>
      </c>
      <c r="J3362" t="s">
        <v>5154</v>
      </c>
      <c r="K3362" t="s">
        <v>3574</v>
      </c>
      <c r="L3362" t="s">
        <v>53</v>
      </c>
      <c r="P3362" t="s">
        <v>55</v>
      </c>
      <c r="R3362" t="s">
        <v>56</v>
      </c>
      <c r="T3362" t="s">
        <v>5522</v>
      </c>
      <c r="U3362" t="s">
        <v>58</v>
      </c>
      <c r="V3362">
        <v>5</v>
      </c>
      <c r="W3362">
        <v>1</v>
      </c>
      <c r="X3362">
        <v>1</v>
      </c>
      <c r="Y3362">
        <v>0</v>
      </c>
      <c r="Z3362">
        <v>1</v>
      </c>
      <c r="AA3362">
        <v>0</v>
      </c>
      <c r="AB3362">
        <v>511.43</v>
      </c>
      <c r="AC3362">
        <v>450</v>
      </c>
      <c r="AD3362">
        <v>0</v>
      </c>
      <c r="AE3362">
        <v>61.43</v>
      </c>
      <c r="AF3362">
        <v>0</v>
      </c>
      <c r="AG3362">
        <v>0</v>
      </c>
      <c r="AH3362">
        <v>0</v>
      </c>
      <c r="AI3362">
        <v>0</v>
      </c>
      <c r="AJ3362">
        <v>511.43</v>
      </c>
      <c r="AK3362">
        <v>0</v>
      </c>
      <c r="AL3362" t="s">
        <v>53</v>
      </c>
      <c r="AM3362" t="s">
        <v>53</v>
      </c>
      <c r="AN3362" t="s">
        <v>53</v>
      </c>
      <c r="AO3362" t="s">
        <v>53</v>
      </c>
      <c r="AP3362" t="s">
        <v>53</v>
      </c>
    </row>
    <row r="3363" spans="2:42" x14ac:dyDescent="0.2">
      <c r="B3363" t="s">
        <v>44</v>
      </c>
      <c r="C3363" t="str">
        <f>HYPERLINK("https://us2.cloudbeds.com/connect/8493803454333002#/reservations/31871640850584?display=MYRK9PTDH&amp;reservation_id=31871640850584", "MYRK9PTDH")</f>
        <v>MYRK9PTDH</v>
      </c>
      <c r="D3363" t="s">
        <v>45</v>
      </c>
      <c r="E3363" t="s">
        <v>185</v>
      </c>
      <c r="F3363" t="s">
        <v>47</v>
      </c>
      <c r="G3363" t="s">
        <v>48</v>
      </c>
      <c r="H3363" t="s">
        <v>3957</v>
      </c>
      <c r="I3363" t="s">
        <v>3958</v>
      </c>
      <c r="J3363" t="s">
        <v>5154</v>
      </c>
      <c r="K3363" t="s">
        <v>5492</v>
      </c>
      <c r="L3363" t="s">
        <v>53</v>
      </c>
      <c r="P3363" t="s">
        <v>58</v>
      </c>
      <c r="R3363" t="s">
        <v>56</v>
      </c>
      <c r="T3363" t="s">
        <v>5523</v>
      </c>
      <c r="U3363" t="s">
        <v>58</v>
      </c>
      <c r="V3363">
        <v>1</v>
      </c>
      <c r="W3363">
        <v>1</v>
      </c>
      <c r="X3363">
        <v>1</v>
      </c>
      <c r="Y3363">
        <v>0</v>
      </c>
      <c r="Z3363">
        <v>1</v>
      </c>
      <c r="AA3363">
        <v>0</v>
      </c>
      <c r="AB3363">
        <v>107.98</v>
      </c>
      <c r="AC3363">
        <v>95</v>
      </c>
      <c r="AD3363">
        <v>0</v>
      </c>
      <c r="AE3363">
        <v>12.98</v>
      </c>
      <c r="AF3363">
        <v>0</v>
      </c>
      <c r="AG3363">
        <v>0</v>
      </c>
      <c r="AH3363">
        <v>0</v>
      </c>
      <c r="AI3363">
        <v>0</v>
      </c>
      <c r="AJ3363">
        <v>107.98</v>
      </c>
      <c r="AK3363">
        <v>0</v>
      </c>
      <c r="AL3363" t="s">
        <v>53</v>
      </c>
      <c r="AM3363" t="s">
        <v>53</v>
      </c>
      <c r="AN3363" t="s">
        <v>53</v>
      </c>
      <c r="AO3363" t="s">
        <v>53</v>
      </c>
      <c r="AP3363" t="s">
        <v>53</v>
      </c>
    </row>
    <row r="3364" spans="2:42" x14ac:dyDescent="0.2">
      <c r="B3364" t="s">
        <v>44</v>
      </c>
      <c r="C3364" t="str">
        <f>HYPERLINK("https://us2.cloudbeds.com/connect/8493803454333002#/reservations/31878003437808?display=MYWHST8XW&amp;reservation_id=31878003437808", "MYWHST8XW")</f>
        <v>MYWHST8XW</v>
      </c>
      <c r="D3364" t="s">
        <v>45</v>
      </c>
      <c r="E3364" t="s">
        <v>128</v>
      </c>
      <c r="F3364" t="s">
        <v>86</v>
      </c>
      <c r="G3364" t="s">
        <v>48</v>
      </c>
      <c r="H3364" t="s">
        <v>49</v>
      </c>
      <c r="I3364" t="s">
        <v>50</v>
      </c>
      <c r="J3364" t="s">
        <v>4989</v>
      </c>
      <c r="K3364" t="s">
        <v>3969</v>
      </c>
      <c r="L3364" t="s">
        <v>53</v>
      </c>
      <c r="N3364" t="s">
        <v>5524</v>
      </c>
      <c r="P3364" t="s">
        <v>55</v>
      </c>
      <c r="R3364" t="s">
        <v>53</v>
      </c>
      <c r="T3364" t="s">
        <v>5525</v>
      </c>
      <c r="U3364" t="s">
        <v>58</v>
      </c>
      <c r="V3364">
        <v>1</v>
      </c>
      <c r="W3364">
        <v>1</v>
      </c>
      <c r="X3364">
        <v>2</v>
      </c>
      <c r="Y3364">
        <v>1</v>
      </c>
      <c r="Z3364">
        <v>3</v>
      </c>
      <c r="AA3364">
        <v>0</v>
      </c>
      <c r="AB3364">
        <v>93.09</v>
      </c>
      <c r="AC3364">
        <v>81.900000000000006</v>
      </c>
      <c r="AD3364">
        <v>0</v>
      </c>
      <c r="AE3364">
        <v>11.19</v>
      </c>
      <c r="AF3364">
        <v>0</v>
      </c>
      <c r="AG3364">
        <v>0</v>
      </c>
      <c r="AH3364">
        <v>0</v>
      </c>
      <c r="AI3364">
        <v>16.760000000000002</v>
      </c>
      <c r="AJ3364">
        <v>93.09</v>
      </c>
      <c r="AK3364">
        <v>0</v>
      </c>
      <c r="AL3364" t="s">
        <v>53</v>
      </c>
      <c r="AM3364" t="s">
        <v>53</v>
      </c>
      <c r="AN3364" t="s">
        <v>5526</v>
      </c>
      <c r="AO3364" t="s">
        <v>53</v>
      </c>
      <c r="AP3364" t="s">
        <v>53</v>
      </c>
    </row>
    <row r="3365" spans="2:42" x14ac:dyDescent="0.2">
      <c r="B3365" t="s">
        <v>44</v>
      </c>
      <c r="C3365" t="str">
        <f>HYPERLINK("https://us2.cloudbeds.com/connect/8493803454333002#/reservations/31910079799457?display=MMZCGHA41&amp;reservation_id=31910079799457", "MMZCGHA41")</f>
        <v>MMZCGHA41</v>
      </c>
      <c r="D3365" t="s">
        <v>45</v>
      </c>
      <c r="E3365" t="s">
        <v>5527</v>
      </c>
      <c r="F3365" t="s">
        <v>86</v>
      </c>
      <c r="G3365" t="s">
        <v>3974</v>
      </c>
      <c r="H3365" t="s">
        <v>3957</v>
      </c>
      <c r="I3365" t="s">
        <v>3975</v>
      </c>
      <c r="J3365" t="s">
        <v>4840</v>
      </c>
      <c r="K3365" t="s">
        <v>4841</v>
      </c>
      <c r="L3365" t="s">
        <v>53</v>
      </c>
      <c r="P3365" t="s">
        <v>55</v>
      </c>
      <c r="R3365" t="s">
        <v>56</v>
      </c>
      <c r="T3365" t="s">
        <v>5528</v>
      </c>
      <c r="U3365" t="s">
        <v>58</v>
      </c>
      <c r="V3365">
        <v>4</v>
      </c>
      <c r="W3365">
        <v>2</v>
      </c>
      <c r="X3365">
        <v>6</v>
      </c>
      <c r="Y3365">
        <v>0</v>
      </c>
      <c r="Z3365">
        <v>6</v>
      </c>
      <c r="AA3365">
        <v>0</v>
      </c>
      <c r="AB3365">
        <v>388.7</v>
      </c>
      <c r="AC3365">
        <v>342</v>
      </c>
      <c r="AD3365">
        <v>0</v>
      </c>
      <c r="AE3365">
        <v>46.7</v>
      </c>
      <c r="AF3365">
        <v>0</v>
      </c>
      <c r="AG3365">
        <v>0</v>
      </c>
      <c r="AH3365">
        <v>0</v>
      </c>
      <c r="AI3365">
        <v>0</v>
      </c>
      <c r="AJ3365">
        <v>388.7</v>
      </c>
      <c r="AK3365">
        <v>0</v>
      </c>
      <c r="AL3365" t="s">
        <v>53</v>
      </c>
      <c r="AM3365" t="s">
        <v>53</v>
      </c>
      <c r="AN3365" t="s">
        <v>53</v>
      </c>
      <c r="AO3365" t="s">
        <v>53</v>
      </c>
      <c r="AP3365" t="s">
        <v>53</v>
      </c>
    </row>
    <row r="3366" spans="2:42" x14ac:dyDescent="0.2">
      <c r="B3366" t="s">
        <v>44</v>
      </c>
      <c r="C3366" t="str">
        <f>HYPERLINK("https://us2.cloudbeds.com/connect/8493803454333002#/reservations/31915421171871?display=MMSGWGSY5&amp;reservation_id=31915421171871", "MMSGWGSY5")</f>
        <v>MMSGWGSY5</v>
      </c>
      <c r="D3366" t="s">
        <v>45</v>
      </c>
      <c r="E3366" t="s">
        <v>98</v>
      </c>
      <c r="F3366" t="s">
        <v>86</v>
      </c>
      <c r="G3366" t="s">
        <v>48</v>
      </c>
      <c r="H3366" t="s">
        <v>49</v>
      </c>
      <c r="I3366" t="s">
        <v>62</v>
      </c>
      <c r="J3366" t="s">
        <v>4958</v>
      </c>
      <c r="K3366" t="s">
        <v>4180</v>
      </c>
      <c r="L3366" t="s">
        <v>53</v>
      </c>
      <c r="N3366" t="s">
        <v>5529</v>
      </c>
      <c r="P3366" t="s">
        <v>55</v>
      </c>
      <c r="R3366" t="s">
        <v>56</v>
      </c>
      <c r="T3366" t="s">
        <v>5530</v>
      </c>
      <c r="U3366" t="s">
        <v>55</v>
      </c>
      <c r="V3366">
        <v>2</v>
      </c>
      <c r="W3366">
        <v>1</v>
      </c>
      <c r="X3366">
        <v>2</v>
      </c>
      <c r="Y3366">
        <v>0</v>
      </c>
      <c r="Z3366">
        <v>2</v>
      </c>
      <c r="AA3366">
        <v>0</v>
      </c>
      <c r="AB3366">
        <v>206.86</v>
      </c>
      <c r="AC3366">
        <v>182</v>
      </c>
      <c r="AD3366">
        <v>0</v>
      </c>
      <c r="AE3366">
        <v>24.86</v>
      </c>
      <c r="AF3366">
        <v>0</v>
      </c>
      <c r="AG3366">
        <v>0</v>
      </c>
      <c r="AH3366">
        <v>0</v>
      </c>
      <c r="AI3366">
        <v>31.03</v>
      </c>
      <c r="AJ3366">
        <v>206.86</v>
      </c>
      <c r="AK3366">
        <v>0</v>
      </c>
      <c r="AL3366" t="s">
        <v>53</v>
      </c>
      <c r="AM3366" t="s">
        <v>53</v>
      </c>
      <c r="AN3366" t="s">
        <v>53</v>
      </c>
      <c r="AO3366" t="s">
        <v>53</v>
      </c>
      <c r="AP3366" t="s">
        <v>53</v>
      </c>
    </row>
    <row r="3367" spans="2:42" x14ac:dyDescent="0.2">
      <c r="B3367" t="s">
        <v>44</v>
      </c>
      <c r="C3367" t="str">
        <f>HYPERLINK("https://us2.cloudbeds.com/connect/8493803454333002#/reservations/32176267141369?display=MSWG6ZFW9&amp;reservation_id=32176267141369", "MSWG6ZFW9")</f>
        <v>MSWG6ZFW9</v>
      </c>
      <c r="D3367" t="s">
        <v>45</v>
      </c>
      <c r="E3367" t="s">
        <v>128</v>
      </c>
      <c r="F3367" t="s">
        <v>86</v>
      </c>
      <c r="G3367" t="s">
        <v>48</v>
      </c>
      <c r="H3367" t="s">
        <v>49</v>
      </c>
      <c r="I3367" t="s">
        <v>62</v>
      </c>
      <c r="J3367" t="s">
        <v>5531</v>
      </c>
      <c r="K3367" t="s">
        <v>5532</v>
      </c>
      <c r="L3367" t="s">
        <v>53</v>
      </c>
      <c r="N3367" t="s">
        <v>5533</v>
      </c>
      <c r="P3367" t="s">
        <v>55</v>
      </c>
      <c r="R3367" t="s">
        <v>56</v>
      </c>
      <c r="T3367" t="s">
        <v>5534</v>
      </c>
      <c r="U3367" t="s">
        <v>55</v>
      </c>
      <c r="V3367">
        <v>1</v>
      </c>
      <c r="W3367">
        <v>1</v>
      </c>
      <c r="X3367">
        <v>2</v>
      </c>
      <c r="Y3367">
        <v>0</v>
      </c>
      <c r="Z3367">
        <v>2</v>
      </c>
      <c r="AA3367">
        <v>69.3</v>
      </c>
      <c r="AB3367">
        <v>78.760000000000005</v>
      </c>
      <c r="AC3367">
        <v>69.3</v>
      </c>
      <c r="AD3367">
        <v>0</v>
      </c>
      <c r="AE3367">
        <v>9.4600000000000009</v>
      </c>
      <c r="AF3367">
        <v>0</v>
      </c>
      <c r="AG3367">
        <v>0</v>
      </c>
      <c r="AH3367">
        <v>0</v>
      </c>
      <c r="AI3367">
        <v>14.18</v>
      </c>
      <c r="AJ3367">
        <v>78.760000000000005</v>
      </c>
      <c r="AK3367">
        <v>0</v>
      </c>
      <c r="AL3367" t="s">
        <v>53</v>
      </c>
      <c r="AM3367" t="s">
        <v>53</v>
      </c>
      <c r="AN3367" t="s">
        <v>53</v>
      </c>
      <c r="AO3367" t="s">
        <v>53</v>
      </c>
      <c r="AP3367" t="s">
        <v>53</v>
      </c>
    </row>
    <row r="3368" spans="2:42" x14ac:dyDescent="0.2">
      <c r="B3368" t="s">
        <v>44</v>
      </c>
      <c r="C3368" t="str">
        <f>HYPERLINK("https://us2.cloudbeds.com/connect/8493803454333002#/reservations/32206078804204?display=MTMXVNV9X&amp;reservation_id=32206078804204", "MTMXVNV9X")</f>
        <v>MTMXVNV9X</v>
      </c>
      <c r="D3368" t="s">
        <v>45</v>
      </c>
      <c r="E3368" t="s">
        <v>165</v>
      </c>
      <c r="F3368" t="s">
        <v>61</v>
      </c>
      <c r="G3368" t="s">
        <v>48</v>
      </c>
      <c r="H3368" t="s">
        <v>3957</v>
      </c>
      <c r="I3368" t="s">
        <v>3958</v>
      </c>
      <c r="J3368" t="s">
        <v>5492</v>
      </c>
      <c r="K3368" t="s">
        <v>5535</v>
      </c>
      <c r="L3368" t="s">
        <v>53</v>
      </c>
      <c r="P3368" t="s">
        <v>55</v>
      </c>
      <c r="R3368" t="s">
        <v>56</v>
      </c>
      <c r="T3368" t="s">
        <v>5536</v>
      </c>
      <c r="U3368" t="s">
        <v>58</v>
      </c>
      <c r="V3368">
        <v>1</v>
      </c>
      <c r="W3368">
        <v>1</v>
      </c>
      <c r="X3368">
        <v>1</v>
      </c>
      <c r="Y3368">
        <v>0</v>
      </c>
      <c r="Z3368">
        <v>1</v>
      </c>
      <c r="AA3368">
        <v>0</v>
      </c>
      <c r="AB3368">
        <v>127.29</v>
      </c>
      <c r="AC3368">
        <v>112</v>
      </c>
      <c r="AD3368">
        <v>0</v>
      </c>
      <c r="AE3368">
        <v>15.29</v>
      </c>
      <c r="AF3368">
        <v>0</v>
      </c>
      <c r="AG3368">
        <v>0</v>
      </c>
      <c r="AH3368">
        <v>0</v>
      </c>
      <c r="AI3368">
        <v>0</v>
      </c>
      <c r="AJ3368">
        <v>127.29</v>
      </c>
      <c r="AK3368">
        <v>0</v>
      </c>
      <c r="AL3368" t="s">
        <v>53</v>
      </c>
      <c r="AM3368" t="s">
        <v>53</v>
      </c>
      <c r="AN3368" t="s">
        <v>53</v>
      </c>
      <c r="AO3368" t="s">
        <v>53</v>
      </c>
      <c r="AP3368" t="s">
        <v>53</v>
      </c>
    </row>
    <row r="3369" spans="2:42" x14ac:dyDescent="0.2">
      <c r="B3369" t="s">
        <v>44</v>
      </c>
      <c r="C3369" t="str">
        <f>HYPERLINK("https://us2.cloudbeds.com/connect/8493803454333002#/reservations/32227846947018?display=MU6E66K4T&amp;reservation_id=32227846947018", "MU6E66K4T")</f>
        <v>MU6E66K4T</v>
      </c>
      <c r="D3369" t="s">
        <v>45</v>
      </c>
      <c r="E3369" t="s">
        <v>138</v>
      </c>
      <c r="F3369" t="s">
        <v>70</v>
      </c>
      <c r="G3369" t="s">
        <v>48</v>
      </c>
      <c r="H3369" t="s">
        <v>3957</v>
      </c>
      <c r="I3369" t="s">
        <v>3958</v>
      </c>
      <c r="J3369" t="s">
        <v>5492</v>
      </c>
      <c r="K3369" t="s">
        <v>5535</v>
      </c>
      <c r="L3369" t="s">
        <v>53</v>
      </c>
      <c r="P3369" t="s">
        <v>58</v>
      </c>
      <c r="R3369" t="s">
        <v>56</v>
      </c>
      <c r="T3369" t="s">
        <v>5537</v>
      </c>
      <c r="U3369" t="s">
        <v>58</v>
      </c>
      <c r="V3369">
        <v>1</v>
      </c>
      <c r="W3369">
        <v>1</v>
      </c>
      <c r="X3369">
        <v>1</v>
      </c>
      <c r="Y3369">
        <v>0</v>
      </c>
      <c r="Z3369">
        <v>1</v>
      </c>
      <c r="AA3369">
        <v>0</v>
      </c>
      <c r="AB3369">
        <v>110.24</v>
      </c>
      <c r="AC3369">
        <v>97</v>
      </c>
      <c r="AD3369">
        <v>0</v>
      </c>
      <c r="AE3369">
        <v>13.24</v>
      </c>
      <c r="AF3369">
        <v>0</v>
      </c>
      <c r="AG3369">
        <v>0</v>
      </c>
      <c r="AH3369">
        <v>0</v>
      </c>
      <c r="AI3369">
        <v>0</v>
      </c>
      <c r="AJ3369">
        <v>110.24</v>
      </c>
      <c r="AK3369">
        <v>0</v>
      </c>
      <c r="AL3369" t="s">
        <v>53</v>
      </c>
      <c r="AM3369" t="s">
        <v>53</v>
      </c>
      <c r="AN3369" t="s">
        <v>53</v>
      </c>
      <c r="AO3369" t="s">
        <v>53</v>
      </c>
      <c r="AP3369" t="s">
        <v>53</v>
      </c>
    </row>
    <row r="3370" spans="2:42" x14ac:dyDescent="0.2">
      <c r="B3370" t="s">
        <v>44</v>
      </c>
      <c r="C3370" t="str">
        <f>HYPERLINK("https://us2.cloudbeds.com/connect/8493803454333002#/reservations/32235393679554?display=MUC90QXZK&amp;reservation_id=32235393679554", "MUC90QXZK")</f>
        <v>MUC90QXZK</v>
      </c>
      <c r="D3370" t="s">
        <v>602</v>
      </c>
      <c r="E3370" t="s">
        <v>53</v>
      </c>
      <c r="F3370" t="s">
        <v>70</v>
      </c>
      <c r="G3370" t="s">
        <v>48</v>
      </c>
      <c r="H3370" t="s">
        <v>49</v>
      </c>
      <c r="I3370" t="s">
        <v>50</v>
      </c>
      <c r="J3370" t="s">
        <v>5106</v>
      </c>
      <c r="K3370" t="s">
        <v>5538</v>
      </c>
      <c r="L3370" t="s">
        <v>53</v>
      </c>
      <c r="N3370" t="s">
        <v>5539</v>
      </c>
      <c r="P3370" t="s">
        <v>55</v>
      </c>
      <c r="R3370" t="s">
        <v>53</v>
      </c>
      <c r="T3370" t="s">
        <v>5540</v>
      </c>
      <c r="U3370" t="s">
        <v>58</v>
      </c>
      <c r="V3370">
        <v>1</v>
      </c>
      <c r="W3370">
        <v>1</v>
      </c>
      <c r="X3370">
        <v>2</v>
      </c>
      <c r="Y3370">
        <v>0</v>
      </c>
      <c r="Z3370">
        <v>2</v>
      </c>
      <c r="AA3370">
        <v>0</v>
      </c>
      <c r="AB3370">
        <v>0</v>
      </c>
      <c r="AC3370">
        <v>0</v>
      </c>
      <c r="AD3370">
        <v>0</v>
      </c>
      <c r="AE3370">
        <v>0</v>
      </c>
      <c r="AF3370">
        <v>0</v>
      </c>
      <c r="AG3370">
        <v>0</v>
      </c>
      <c r="AH3370">
        <v>0</v>
      </c>
      <c r="AI3370">
        <v>0</v>
      </c>
      <c r="AJ3370">
        <v>0</v>
      </c>
      <c r="AK3370">
        <v>0</v>
      </c>
      <c r="AL3370">
        <v>59.94</v>
      </c>
      <c r="AM3370">
        <v>0</v>
      </c>
      <c r="AN3370" t="s">
        <v>5541</v>
      </c>
      <c r="AO3370" t="s">
        <v>53</v>
      </c>
      <c r="AP3370" t="s">
        <v>53</v>
      </c>
    </row>
    <row r="3371" spans="2:42" x14ac:dyDescent="0.2">
      <c r="B3371" t="s">
        <v>44</v>
      </c>
      <c r="C3371" t="str">
        <f>HYPERLINK("https://us2.cloudbeds.com/connect/8493803454333002#/reservations/32532221149347?display=N4B3YJFHH&amp;reservation_id=32532221149347", "N4B3YJFHH")</f>
        <v>N4B3YJFHH</v>
      </c>
      <c r="D3371" t="s">
        <v>45</v>
      </c>
      <c r="E3371" t="s">
        <v>223</v>
      </c>
      <c r="F3371" t="s">
        <v>47</v>
      </c>
      <c r="G3371" t="s">
        <v>48</v>
      </c>
      <c r="H3371" t="s">
        <v>3957</v>
      </c>
      <c r="I3371" t="s">
        <v>3958</v>
      </c>
      <c r="J3371" t="s">
        <v>5535</v>
      </c>
      <c r="K3371" t="s">
        <v>5155</v>
      </c>
      <c r="L3371" t="s">
        <v>53</v>
      </c>
      <c r="P3371" t="s">
        <v>55</v>
      </c>
      <c r="R3371" t="s">
        <v>56</v>
      </c>
      <c r="T3371" t="s">
        <v>5542</v>
      </c>
      <c r="U3371" t="s">
        <v>58</v>
      </c>
      <c r="V3371">
        <v>1</v>
      </c>
      <c r="W3371">
        <v>1</v>
      </c>
      <c r="X3371">
        <v>1</v>
      </c>
      <c r="Y3371">
        <v>0</v>
      </c>
      <c r="Z3371">
        <v>1</v>
      </c>
      <c r="AA3371">
        <v>0</v>
      </c>
      <c r="AB3371">
        <v>119.34</v>
      </c>
      <c r="AC3371">
        <v>105</v>
      </c>
      <c r="AD3371">
        <v>0</v>
      </c>
      <c r="AE3371">
        <v>14.34</v>
      </c>
      <c r="AF3371">
        <v>0</v>
      </c>
      <c r="AG3371">
        <v>0</v>
      </c>
      <c r="AH3371">
        <v>0</v>
      </c>
      <c r="AI3371">
        <v>0</v>
      </c>
      <c r="AJ3371">
        <v>119.34</v>
      </c>
      <c r="AK3371">
        <v>0</v>
      </c>
      <c r="AL3371" t="s">
        <v>53</v>
      </c>
      <c r="AM3371" t="s">
        <v>53</v>
      </c>
      <c r="AN3371" t="s">
        <v>53</v>
      </c>
      <c r="AO3371" t="s">
        <v>53</v>
      </c>
      <c r="AP3371" t="s">
        <v>53</v>
      </c>
    </row>
    <row r="3372" spans="2:42" x14ac:dyDescent="0.2">
      <c r="B3372" t="s">
        <v>44</v>
      </c>
      <c r="C3372" t="str">
        <f>HYPERLINK("https://us2.cloudbeds.com/connect/8493803454333002#/reservations/32807853797621?display=NAQHNB79M&amp;reservation_id=32807853797621", "NAQHNB79M")</f>
        <v>NAQHNB79M</v>
      </c>
      <c r="D3372" t="s">
        <v>45</v>
      </c>
      <c r="E3372" t="s">
        <v>98</v>
      </c>
      <c r="F3372" t="s">
        <v>86</v>
      </c>
      <c r="G3372" t="s">
        <v>48</v>
      </c>
      <c r="H3372" t="s">
        <v>49</v>
      </c>
      <c r="I3372" t="s">
        <v>62</v>
      </c>
      <c r="J3372" t="s">
        <v>5079</v>
      </c>
      <c r="K3372" t="s">
        <v>3574</v>
      </c>
      <c r="L3372" t="s">
        <v>53</v>
      </c>
      <c r="N3372" t="s">
        <v>5543</v>
      </c>
      <c r="P3372" t="s">
        <v>55</v>
      </c>
      <c r="R3372" t="s">
        <v>56</v>
      </c>
      <c r="T3372" t="s">
        <v>5544</v>
      </c>
      <c r="U3372" t="s">
        <v>55</v>
      </c>
      <c r="V3372">
        <v>1</v>
      </c>
      <c r="W3372">
        <v>1</v>
      </c>
      <c r="X3372">
        <v>1</v>
      </c>
      <c r="Y3372">
        <v>0</v>
      </c>
      <c r="Z3372">
        <v>1</v>
      </c>
      <c r="AA3372">
        <v>0</v>
      </c>
      <c r="AB3372">
        <v>103.43</v>
      </c>
      <c r="AC3372">
        <v>91</v>
      </c>
      <c r="AD3372">
        <v>0</v>
      </c>
      <c r="AE3372">
        <v>12.43</v>
      </c>
      <c r="AF3372">
        <v>0</v>
      </c>
      <c r="AG3372">
        <v>0</v>
      </c>
      <c r="AH3372">
        <v>0</v>
      </c>
      <c r="AI3372">
        <v>15.51</v>
      </c>
      <c r="AJ3372">
        <v>103.43</v>
      </c>
      <c r="AK3372">
        <v>0</v>
      </c>
      <c r="AL3372" t="s">
        <v>53</v>
      </c>
      <c r="AM3372" t="s">
        <v>53</v>
      </c>
      <c r="AN3372" t="s">
        <v>53</v>
      </c>
      <c r="AO3372" t="s">
        <v>53</v>
      </c>
      <c r="AP3372" t="s">
        <v>53</v>
      </c>
    </row>
    <row r="3373" spans="2:42" x14ac:dyDescent="0.2">
      <c r="B3373" t="s">
        <v>44</v>
      </c>
      <c r="C3373" t="str">
        <f>HYPERLINK("https://us2.cloudbeds.com/connect/8493803454333002#/reservations/32925124882604?display=NDXB8E10J&amp;reservation_id=32925124882604", "NDXB8E10J")</f>
        <v>NDXB8E10J</v>
      </c>
      <c r="D3373" t="s">
        <v>45</v>
      </c>
      <c r="E3373" t="s">
        <v>113</v>
      </c>
      <c r="F3373" t="s">
        <v>61</v>
      </c>
      <c r="G3373" t="s">
        <v>48</v>
      </c>
      <c r="H3373" t="s">
        <v>49</v>
      </c>
      <c r="I3373" t="s">
        <v>62</v>
      </c>
      <c r="J3373" t="s">
        <v>5079</v>
      </c>
      <c r="K3373" t="s">
        <v>4910</v>
      </c>
      <c r="L3373" t="s">
        <v>53</v>
      </c>
      <c r="N3373" t="s">
        <v>5545</v>
      </c>
      <c r="P3373" t="s">
        <v>55</v>
      </c>
      <c r="R3373" t="s">
        <v>56</v>
      </c>
      <c r="T3373" t="s">
        <v>5546</v>
      </c>
      <c r="U3373" t="s">
        <v>55</v>
      </c>
      <c r="V3373">
        <v>3</v>
      </c>
      <c r="W3373">
        <v>1</v>
      </c>
      <c r="X3373">
        <v>2</v>
      </c>
      <c r="Y3373">
        <v>0</v>
      </c>
      <c r="Z3373">
        <v>2</v>
      </c>
      <c r="AA3373">
        <v>0</v>
      </c>
      <c r="AB3373">
        <v>293.22000000000003</v>
      </c>
      <c r="AC3373">
        <v>258</v>
      </c>
      <c r="AD3373">
        <v>0</v>
      </c>
      <c r="AE3373">
        <v>35.22</v>
      </c>
      <c r="AF3373">
        <v>0</v>
      </c>
      <c r="AG3373">
        <v>0</v>
      </c>
      <c r="AH3373">
        <v>0</v>
      </c>
      <c r="AI3373">
        <v>43.98</v>
      </c>
      <c r="AJ3373">
        <v>293.22000000000003</v>
      </c>
      <c r="AK3373">
        <v>0</v>
      </c>
      <c r="AL3373" t="s">
        <v>53</v>
      </c>
      <c r="AM3373" t="s">
        <v>53</v>
      </c>
      <c r="AN3373" t="s">
        <v>53</v>
      </c>
      <c r="AO3373" t="s">
        <v>53</v>
      </c>
      <c r="AP3373" t="s">
        <v>53</v>
      </c>
    </row>
    <row r="3374" spans="2:42" x14ac:dyDescent="0.2">
      <c r="B3374" t="s">
        <v>44</v>
      </c>
      <c r="C3374" t="str">
        <f>HYPERLINK("https://us2.cloudbeds.com/connect/8493803454333002#/reservations/32931769454740?display=NDNG1A1GC&amp;reservation_id=32931769454740", "NDNG1A1GC")</f>
        <v>NDNG1A1GC</v>
      </c>
      <c r="D3374" t="s">
        <v>45</v>
      </c>
      <c r="E3374" t="s">
        <v>223</v>
      </c>
      <c r="F3374" t="s">
        <v>47</v>
      </c>
      <c r="G3374" t="s">
        <v>48</v>
      </c>
      <c r="H3374" t="s">
        <v>49</v>
      </c>
      <c r="I3374" t="s">
        <v>50</v>
      </c>
      <c r="J3374" t="s">
        <v>5155</v>
      </c>
      <c r="K3374" t="s">
        <v>5079</v>
      </c>
      <c r="L3374" t="s">
        <v>53</v>
      </c>
      <c r="N3374" t="s">
        <v>5547</v>
      </c>
      <c r="P3374" t="s">
        <v>55</v>
      </c>
      <c r="R3374" t="s">
        <v>53</v>
      </c>
      <c r="T3374" t="s">
        <v>5548</v>
      </c>
      <c r="U3374" t="s">
        <v>58</v>
      </c>
      <c r="V3374">
        <v>1</v>
      </c>
      <c r="W3374">
        <v>1</v>
      </c>
      <c r="X3374">
        <v>2</v>
      </c>
      <c r="Y3374">
        <v>0</v>
      </c>
      <c r="Z3374">
        <v>2</v>
      </c>
      <c r="AA3374">
        <v>0</v>
      </c>
      <c r="AB3374">
        <v>93.71</v>
      </c>
      <c r="AC3374">
        <v>82.45</v>
      </c>
      <c r="AD3374">
        <v>0</v>
      </c>
      <c r="AE3374">
        <v>11.26</v>
      </c>
      <c r="AF3374">
        <v>0</v>
      </c>
      <c r="AG3374">
        <v>0</v>
      </c>
      <c r="AH3374">
        <v>0</v>
      </c>
      <c r="AI3374">
        <v>16.87</v>
      </c>
      <c r="AJ3374">
        <v>93.71</v>
      </c>
      <c r="AK3374">
        <v>0</v>
      </c>
      <c r="AL3374" t="s">
        <v>53</v>
      </c>
      <c r="AM3374" t="s">
        <v>53</v>
      </c>
      <c r="AN3374" t="s">
        <v>53</v>
      </c>
      <c r="AO3374" t="s">
        <v>53</v>
      </c>
      <c r="AP3374" t="s">
        <v>53</v>
      </c>
    </row>
    <row r="3375" spans="2:42" x14ac:dyDescent="0.2">
      <c r="B3375" t="s">
        <v>44</v>
      </c>
      <c r="C3375" t="str">
        <f>HYPERLINK("https://us2.cloudbeds.com/connect/8493803454333002#/reservations/32952630603949?display=NE6Y2W910&amp;reservation_id=32952630603949", "NE6Y2W910")</f>
        <v>NE6Y2W910</v>
      </c>
      <c r="D3375" t="s">
        <v>45</v>
      </c>
      <c r="E3375" t="s">
        <v>85</v>
      </c>
      <c r="F3375" t="s">
        <v>86</v>
      </c>
      <c r="G3375" t="s">
        <v>48</v>
      </c>
      <c r="H3375" t="s">
        <v>3957</v>
      </c>
      <c r="I3375" t="s">
        <v>3958</v>
      </c>
      <c r="J3375" t="s">
        <v>5155</v>
      </c>
      <c r="K3375" t="s">
        <v>5079</v>
      </c>
      <c r="L3375" t="s">
        <v>53</v>
      </c>
      <c r="P3375" t="s">
        <v>55</v>
      </c>
      <c r="R3375" t="s">
        <v>56</v>
      </c>
      <c r="T3375" t="s">
        <v>5549</v>
      </c>
      <c r="U3375" t="s">
        <v>58</v>
      </c>
      <c r="V3375">
        <v>1</v>
      </c>
      <c r="W3375">
        <v>1</v>
      </c>
      <c r="X3375">
        <v>1</v>
      </c>
      <c r="Y3375">
        <v>0</v>
      </c>
      <c r="Z3375">
        <v>1</v>
      </c>
      <c r="AA3375">
        <v>0</v>
      </c>
      <c r="AB3375">
        <v>135.25</v>
      </c>
      <c r="AC3375">
        <v>119</v>
      </c>
      <c r="AD3375">
        <v>0</v>
      </c>
      <c r="AE3375">
        <v>16.25</v>
      </c>
      <c r="AF3375">
        <v>0</v>
      </c>
      <c r="AG3375">
        <v>0</v>
      </c>
      <c r="AH3375">
        <v>0</v>
      </c>
      <c r="AI3375">
        <v>0</v>
      </c>
      <c r="AJ3375">
        <v>135.25</v>
      </c>
      <c r="AK3375">
        <v>0</v>
      </c>
      <c r="AL3375" t="s">
        <v>53</v>
      </c>
      <c r="AM3375" t="s">
        <v>53</v>
      </c>
      <c r="AN3375" t="s">
        <v>53</v>
      </c>
      <c r="AO3375" t="s">
        <v>53</v>
      </c>
      <c r="AP3375" t="s">
        <v>53</v>
      </c>
    </row>
    <row r="3376" spans="2:42" x14ac:dyDescent="0.2">
      <c r="B3376" t="s">
        <v>44</v>
      </c>
      <c r="C3376" t="str">
        <f>HYPERLINK("https://us2.cloudbeds.com/connect/8493803454333002#/reservations/33168951845095?display=NJ94JPMZY&amp;reservation_id=33168951845095", "NJ94JPMZY")</f>
        <v>NJ94JPMZY</v>
      </c>
      <c r="D3376" t="s">
        <v>45</v>
      </c>
      <c r="E3376" t="s">
        <v>155</v>
      </c>
      <c r="F3376" t="s">
        <v>86</v>
      </c>
      <c r="G3376" t="s">
        <v>48</v>
      </c>
      <c r="H3376" t="s">
        <v>49</v>
      </c>
      <c r="I3376" t="s">
        <v>62</v>
      </c>
      <c r="J3376" t="s">
        <v>5190</v>
      </c>
      <c r="K3376" t="s">
        <v>4841</v>
      </c>
      <c r="L3376" t="s">
        <v>53</v>
      </c>
      <c r="N3376" t="s">
        <v>5550</v>
      </c>
      <c r="P3376" t="s">
        <v>55</v>
      </c>
      <c r="R3376" t="s">
        <v>56</v>
      </c>
      <c r="T3376" t="s">
        <v>5551</v>
      </c>
      <c r="U3376" t="s">
        <v>55</v>
      </c>
      <c r="V3376">
        <v>1</v>
      </c>
      <c r="W3376">
        <v>1</v>
      </c>
      <c r="X3376">
        <v>2</v>
      </c>
      <c r="Y3376">
        <v>1</v>
      </c>
      <c r="Z3376">
        <v>3</v>
      </c>
      <c r="AA3376">
        <v>0</v>
      </c>
      <c r="AB3376">
        <v>102.29</v>
      </c>
      <c r="AC3376">
        <v>90</v>
      </c>
      <c r="AD3376">
        <v>0</v>
      </c>
      <c r="AE3376">
        <v>12.29</v>
      </c>
      <c r="AF3376">
        <v>0</v>
      </c>
      <c r="AG3376">
        <v>0</v>
      </c>
      <c r="AH3376">
        <v>0</v>
      </c>
      <c r="AI3376">
        <v>15.34</v>
      </c>
      <c r="AJ3376">
        <v>102.29</v>
      </c>
      <c r="AK3376">
        <v>0</v>
      </c>
      <c r="AL3376" t="s">
        <v>53</v>
      </c>
      <c r="AM3376" t="s">
        <v>53</v>
      </c>
      <c r="AN3376" t="s">
        <v>53</v>
      </c>
      <c r="AO3376" t="s">
        <v>53</v>
      </c>
      <c r="AP3376" t="s">
        <v>53</v>
      </c>
    </row>
    <row r="3377" spans="2:42" x14ac:dyDescent="0.2">
      <c r="B3377" t="s">
        <v>44</v>
      </c>
      <c r="C3377" t="str">
        <f>HYPERLINK("https://us2.cloudbeds.com/connect/8493803454333002#/reservations/33550433943767?display=NS7HBJE6P&amp;reservation_id=33550433943767", "NS7HBJE6P")</f>
        <v>NS7HBJE6P</v>
      </c>
      <c r="D3377" t="s">
        <v>45</v>
      </c>
      <c r="E3377" t="s">
        <v>138</v>
      </c>
      <c r="F3377" t="s">
        <v>70</v>
      </c>
      <c r="G3377" t="s">
        <v>48</v>
      </c>
      <c r="H3377" t="s">
        <v>49</v>
      </c>
      <c r="I3377" t="s">
        <v>50</v>
      </c>
      <c r="J3377" t="s">
        <v>3574</v>
      </c>
      <c r="K3377" t="s">
        <v>3575</v>
      </c>
      <c r="L3377" t="s">
        <v>53</v>
      </c>
      <c r="N3377" t="s">
        <v>5552</v>
      </c>
      <c r="P3377" t="s">
        <v>55</v>
      </c>
      <c r="R3377" t="s">
        <v>53</v>
      </c>
      <c r="T3377" t="s">
        <v>5553</v>
      </c>
      <c r="U3377" t="s">
        <v>58</v>
      </c>
      <c r="V3377">
        <v>1</v>
      </c>
      <c r="W3377">
        <v>1</v>
      </c>
      <c r="X3377">
        <v>2</v>
      </c>
      <c r="Y3377">
        <v>0</v>
      </c>
      <c r="Z3377">
        <v>2</v>
      </c>
      <c r="AA3377">
        <v>0</v>
      </c>
      <c r="AB3377">
        <v>67.28</v>
      </c>
      <c r="AC3377">
        <v>59.2</v>
      </c>
      <c r="AD3377">
        <v>0</v>
      </c>
      <c r="AE3377">
        <v>8.08</v>
      </c>
      <c r="AF3377">
        <v>0</v>
      </c>
      <c r="AG3377">
        <v>0</v>
      </c>
      <c r="AH3377">
        <v>0</v>
      </c>
      <c r="AI3377">
        <v>12.11</v>
      </c>
      <c r="AJ3377">
        <v>67.28</v>
      </c>
      <c r="AK3377">
        <v>0</v>
      </c>
      <c r="AL3377" t="s">
        <v>53</v>
      </c>
      <c r="AM3377" t="s">
        <v>53</v>
      </c>
      <c r="AN3377" t="s">
        <v>53</v>
      </c>
      <c r="AO3377" t="s">
        <v>53</v>
      </c>
      <c r="AP3377" t="s">
        <v>53</v>
      </c>
    </row>
    <row r="3378" spans="2:42" x14ac:dyDescent="0.2">
      <c r="B3378" t="s">
        <v>44</v>
      </c>
      <c r="C3378" t="str">
        <f>HYPERLINK("https://us2.cloudbeds.com/connect/8493803454333002#/reservations/33563805069512?display=NSHT0FNJD&amp;reservation_id=33563805069512", "NSHT0FNJD")</f>
        <v>NSHT0FNJD</v>
      </c>
      <c r="D3378" t="s">
        <v>45</v>
      </c>
      <c r="E3378" t="s">
        <v>138</v>
      </c>
      <c r="F3378" t="s">
        <v>70</v>
      </c>
      <c r="G3378" t="s">
        <v>3974</v>
      </c>
      <c r="H3378" t="s">
        <v>3957</v>
      </c>
      <c r="I3378" t="s">
        <v>3975</v>
      </c>
      <c r="J3378" t="s">
        <v>5554</v>
      </c>
      <c r="K3378" t="s">
        <v>5555</v>
      </c>
      <c r="L3378" t="s">
        <v>53</v>
      </c>
      <c r="P3378" t="s">
        <v>55</v>
      </c>
      <c r="R3378" t="s">
        <v>56</v>
      </c>
      <c r="T3378" t="s">
        <v>5556</v>
      </c>
      <c r="U3378" t="s">
        <v>58</v>
      </c>
      <c r="V3378">
        <v>2</v>
      </c>
      <c r="W3378">
        <v>1</v>
      </c>
      <c r="X3378">
        <v>2</v>
      </c>
      <c r="Y3378">
        <v>0</v>
      </c>
      <c r="Z3378">
        <v>2</v>
      </c>
      <c r="AA3378">
        <v>0</v>
      </c>
      <c r="AB3378">
        <v>129.88999999999999</v>
      </c>
      <c r="AC3378">
        <v>114.3</v>
      </c>
      <c r="AD3378">
        <v>0</v>
      </c>
      <c r="AE3378">
        <v>15.59</v>
      </c>
      <c r="AF3378">
        <v>0</v>
      </c>
      <c r="AG3378">
        <v>0</v>
      </c>
      <c r="AH3378">
        <v>0</v>
      </c>
      <c r="AI3378">
        <v>0</v>
      </c>
      <c r="AJ3378">
        <v>129.88999999999999</v>
      </c>
      <c r="AK3378">
        <v>0</v>
      </c>
      <c r="AL3378" t="s">
        <v>53</v>
      </c>
      <c r="AM3378" t="s">
        <v>53</v>
      </c>
      <c r="AN3378" t="s">
        <v>53</v>
      </c>
      <c r="AO3378" t="s">
        <v>53</v>
      </c>
      <c r="AP3378" t="s">
        <v>53</v>
      </c>
    </row>
    <row r="3379" spans="2:42" x14ac:dyDescent="0.2">
      <c r="B3379" t="s">
        <v>44</v>
      </c>
      <c r="C3379" t="str">
        <f>HYPERLINK("https://us2.cloudbeds.com/connect/8493803454333002#/reservations/33574515822807?display=NSQ5N2722&amp;reservation_id=33574515822807", "NSQ5N2722")</f>
        <v>NSQ5N2722</v>
      </c>
      <c r="D3379" t="s">
        <v>45</v>
      </c>
      <c r="E3379" t="s">
        <v>185</v>
      </c>
      <c r="F3379" t="s">
        <v>47</v>
      </c>
      <c r="G3379" t="s">
        <v>48</v>
      </c>
      <c r="H3379" t="s">
        <v>3957</v>
      </c>
      <c r="I3379" t="s">
        <v>3975</v>
      </c>
      <c r="J3379" t="s">
        <v>3574</v>
      </c>
      <c r="K3379" t="s">
        <v>3575</v>
      </c>
      <c r="L3379" t="s">
        <v>53</v>
      </c>
      <c r="P3379" t="s">
        <v>55</v>
      </c>
      <c r="R3379" t="s">
        <v>56</v>
      </c>
      <c r="T3379" t="s">
        <v>5557</v>
      </c>
      <c r="U3379" t="s">
        <v>58</v>
      </c>
      <c r="V3379">
        <v>1</v>
      </c>
      <c r="W3379">
        <v>1</v>
      </c>
      <c r="X3379">
        <v>2</v>
      </c>
      <c r="Y3379">
        <v>0</v>
      </c>
      <c r="Z3379">
        <v>2</v>
      </c>
      <c r="AA3379">
        <v>0</v>
      </c>
      <c r="AB3379">
        <v>90.92</v>
      </c>
      <c r="AC3379">
        <v>80</v>
      </c>
      <c r="AD3379">
        <v>0</v>
      </c>
      <c r="AE3379">
        <v>10.92</v>
      </c>
      <c r="AF3379">
        <v>0</v>
      </c>
      <c r="AG3379">
        <v>0</v>
      </c>
      <c r="AH3379">
        <v>0</v>
      </c>
      <c r="AI3379">
        <v>0</v>
      </c>
      <c r="AJ3379">
        <v>90.92</v>
      </c>
      <c r="AK3379">
        <v>0</v>
      </c>
      <c r="AL3379" t="s">
        <v>53</v>
      </c>
      <c r="AM3379" t="s">
        <v>53</v>
      </c>
      <c r="AN3379" t="s">
        <v>53</v>
      </c>
      <c r="AO3379" t="s">
        <v>53</v>
      </c>
      <c r="AP3379" t="s">
        <v>53</v>
      </c>
    </row>
    <row r="3380" spans="2:42" x14ac:dyDescent="0.2">
      <c r="B3380" t="s">
        <v>44</v>
      </c>
      <c r="C3380" t="str">
        <f>HYPERLINK("https://us2.cloudbeds.com/connect/8493803454333002#/reservations/33666546417793?display=NUVE9N60Z&amp;reservation_id=33666546417793", "NUVE9N60Z")</f>
        <v>NUVE9N60Z</v>
      </c>
      <c r="D3380" t="s">
        <v>45</v>
      </c>
      <c r="E3380" t="s">
        <v>223</v>
      </c>
      <c r="F3380" t="s">
        <v>47</v>
      </c>
      <c r="G3380" t="s">
        <v>48</v>
      </c>
      <c r="H3380" t="s">
        <v>3957</v>
      </c>
      <c r="I3380" t="s">
        <v>3958</v>
      </c>
      <c r="J3380" t="s">
        <v>3574</v>
      </c>
      <c r="K3380" t="s">
        <v>3575</v>
      </c>
      <c r="L3380" t="s">
        <v>53</v>
      </c>
      <c r="P3380" t="s">
        <v>55</v>
      </c>
      <c r="R3380" t="s">
        <v>56</v>
      </c>
      <c r="T3380" t="s">
        <v>5558</v>
      </c>
      <c r="U3380" t="s">
        <v>58</v>
      </c>
      <c r="V3380">
        <v>1</v>
      </c>
      <c r="W3380">
        <v>1</v>
      </c>
      <c r="X3380">
        <v>1</v>
      </c>
      <c r="Y3380">
        <v>0</v>
      </c>
      <c r="Z3380">
        <v>1</v>
      </c>
      <c r="AA3380">
        <v>0</v>
      </c>
      <c r="AB3380">
        <v>90.92</v>
      </c>
      <c r="AC3380">
        <v>80</v>
      </c>
      <c r="AD3380">
        <v>0</v>
      </c>
      <c r="AE3380">
        <v>10.92</v>
      </c>
      <c r="AF3380">
        <v>0</v>
      </c>
      <c r="AG3380">
        <v>0</v>
      </c>
      <c r="AH3380">
        <v>0</v>
      </c>
      <c r="AI3380">
        <v>0</v>
      </c>
      <c r="AJ3380">
        <v>90.92</v>
      </c>
      <c r="AK3380">
        <v>0</v>
      </c>
      <c r="AL3380" t="s">
        <v>53</v>
      </c>
      <c r="AM3380" t="s">
        <v>53</v>
      </c>
      <c r="AN3380" t="s">
        <v>53</v>
      </c>
      <c r="AO3380" t="s">
        <v>53</v>
      </c>
      <c r="AP3380" t="s">
        <v>53</v>
      </c>
    </row>
    <row r="3381" spans="2:42" x14ac:dyDescent="0.2">
      <c r="B3381" t="s">
        <v>44</v>
      </c>
      <c r="C3381" t="str">
        <f>HYPERLINK("https://us2.cloudbeds.com/connect/8493803454333002#/reservations/33838241308864?display=Z1WCGCGSX&amp;reservation_id=33838241308864", "Z1WCGCGSX")</f>
        <v>Z1WCGCGSX</v>
      </c>
      <c r="D3381" t="s">
        <v>45</v>
      </c>
      <c r="E3381" t="s">
        <v>138</v>
      </c>
      <c r="F3381" t="s">
        <v>70</v>
      </c>
      <c r="G3381" t="s">
        <v>48</v>
      </c>
      <c r="H3381" t="s">
        <v>49</v>
      </c>
      <c r="I3381" t="s">
        <v>50</v>
      </c>
      <c r="J3381" t="s">
        <v>3575</v>
      </c>
      <c r="K3381" t="s">
        <v>4910</v>
      </c>
      <c r="L3381" t="s">
        <v>53</v>
      </c>
      <c r="N3381" t="s">
        <v>5559</v>
      </c>
      <c r="P3381" t="s">
        <v>55</v>
      </c>
      <c r="R3381" t="s">
        <v>53</v>
      </c>
      <c r="T3381" t="s">
        <v>5560</v>
      </c>
      <c r="U3381" t="s">
        <v>58</v>
      </c>
      <c r="V3381">
        <v>1</v>
      </c>
      <c r="W3381">
        <v>1</v>
      </c>
      <c r="X3381">
        <v>1</v>
      </c>
      <c r="Y3381">
        <v>0</v>
      </c>
      <c r="Z3381">
        <v>1</v>
      </c>
      <c r="AA3381">
        <v>0</v>
      </c>
      <c r="AB3381">
        <v>75.69</v>
      </c>
      <c r="AC3381">
        <v>66.599999999999994</v>
      </c>
      <c r="AD3381">
        <v>0</v>
      </c>
      <c r="AE3381">
        <v>9.09</v>
      </c>
      <c r="AF3381">
        <v>0</v>
      </c>
      <c r="AG3381">
        <v>0</v>
      </c>
      <c r="AH3381">
        <v>0</v>
      </c>
      <c r="AI3381">
        <v>13.62</v>
      </c>
      <c r="AJ3381">
        <v>75.69</v>
      </c>
      <c r="AK3381">
        <v>0</v>
      </c>
      <c r="AL3381" t="s">
        <v>53</v>
      </c>
      <c r="AM3381" t="s">
        <v>53</v>
      </c>
      <c r="AN3381" t="s">
        <v>53</v>
      </c>
      <c r="AO3381" t="s">
        <v>53</v>
      </c>
      <c r="AP3381" t="s">
        <v>53</v>
      </c>
    </row>
    <row r="3382" spans="2:42" x14ac:dyDescent="0.2">
      <c r="B3382" t="s">
        <v>44</v>
      </c>
      <c r="C3382" t="str">
        <f>HYPERLINK("https://us2.cloudbeds.com/connect/8493803454333002#/reservations/33910243299505?display=Z3M4AC500&amp;reservation_id=33910243299505", "Z3M4AC500")</f>
        <v>Z3M4AC500</v>
      </c>
      <c r="D3382" t="s">
        <v>45</v>
      </c>
      <c r="E3382" t="s">
        <v>113</v>
      </c>
      <c r="F3382" t="s">
        <v>61</v>
      </c>
      <c r="G3382" t="s">
        <v>48</v>
      </c>
      <c r="H3382" t="s">
        <v>49</v>
      </c>
      <c r="I3382" t="s">
        <v>62</v>
      </c>
      <c r="J3382" t="s">
        <v>4959</v>
      </c>
      <c r="K3382" t="s">
        <v>4989</v>
      </c>
      <c r="L3382" t="s">
        <v>53</v>
      </c>
      <c r="N3382" t="s">
        <v>5561</v>
      </c>
      <c r="P3382" t="s">
        <v>55</v>
      </c>
      <c r="R3382" t="s">
        <v>56</v>
      </c>
      <c r="T3382" t="s">
        <v>5562</v>
      </c>
      <c r="U3382" t="s">
        <v>55</v>
      </c>
      <c r="V3382">
        <v>3</v>
      </c>
      <c r="W3382">
        <v>1</v>
      </c>
      <c r="X3382">
        <v>2</v>
      </c>
      <c r="Y3382">
        <v>0</v>
      </c>
      <c r="Z3382">
        <v>2</v>
      </c>
      <c r="AA3382">
        <v>0</v>
      </c>
      <c r="AB3382">
        <v>293.22000000000003</v>
      </c>
      <c r="AC3382">
        <v>258</v>
      </c>
      <c r="AD3382">
        <v>0</v>
      </c>
      <c r="AE3382">
        <v>35.22</v>
      </c>
      <c r="AF3382">
        <v>0</v>
      </c>
      <c r="AG3382">
        <v>0</v>
      </c>
      <c r="AH3382">
        <v>0</v>
      </c>
      <c r="AI3382">
        <v>43.98</v>
      </c>
      <c r="AJ3382">
        <v>293.22000000000003</v>
      </c>
      <c r="AK3382">
        <v>0</v>
      </c>
      <c r="AL3382" t="s">
        <v>53</v>
      </c>
      <c r="AM3382" t="s">
        <v>53</v>
      </c>
      <c r="AN3382" t="s">
        <v>53</v>
      </c>
      <c r="AO3382" t="s">
        <v>53</v>
      </c>
      <c r="AP3382" t="s">
        <v>53</v>
      </c>
    </row>
    <row r="3383" spans="2:42" x14ac:dyDescent="0.2">
      <c r="B3383" t="s">
        <v>44</v>
      </c>
      <c r="C3383" t="str">
        <f>HYPERLINK("https://us2.cloudbeds.com/connect/8493803454333002#/reservations/34007418138826?display=Z5VCBP9VY&amp;reservation_id=34007418138826", "Z5VCBP9VY")</f>
        <v>Z5VCBP9VY</v>
      </c>
      <c r="D3383" t="s">
        <v>45</v>
      </c>
      <c r="E3383" t="s">
        <v>381</v>
      </c>
      <c r="F3383" t="s">
        <v>47</v>
      </c>
      <c r="G3383" t="s">
        <v>48</v>
      </c>
      <c r="H3383" t="s">
        <v>3957</v>
      </c>
      <c r="I3383" t="s">
        <v>3958</v>
      </c>
      <c r="J3383" t="s">
        <v>3575</v>
      </c>
      <c r="K3383" t="s">
        <v>4910</v>
      </c>
      <c r="L3383" t="s">
        <v>53</v>
      </c>
      <c r="P3383" t="s">
        <v>55</v>
      </c>
      <c r="R3383" t="s">
        <v>56</v>
      </c>
      <c r="T3383" t="s">
        <v>5563</v>
      </c>
      <c r="U3383" t="s">
        <v>58</v>
      </c>
      <c r="V3383">
        <v>1</v>
      </c>
      <c r="W3383">
        <v>1</v>
      </c>
      <c r="X3383">
        <v>1</v>
      </c>
      <c r="Y3383">
        <v>0</v>
      </c>
      <c r="Z3383">
        <v>1</v>
      </c>
      <c r="AA3383">
        <v>0</v>
      </c>
      <c r="AB3383">
        <v>90.92</v>
      </c>
      <c r="AC3383">
        <v>80</v>
      </c>
      <c r="AD3383">
        <v>0</v>
      </c>
      <c r="AE3383">
        <v>10.92</v>
      </c>
      <c r="AF3383">
        <v>0</v>
      </c>
      <c r="AG3383">
        <v>0</v>
      </c>
      <c r="AH3383">
        <v>0</v>
      </c>
      <c r="AI3383">
        <v>0</v>
      </c>
      <c r="AJ3383">
        <v>90.92</v>
      </c>
      <c r="AK3383">
        <v>0</v>
      </c>
      <c r="AL3383" t="s">
        <v>53</v>
      </c>
      <c r="AM3383" t="s">
        <v>53</v>
      </c>
      <c r="AN3383" t="s">
        <v>53</v>
      </c>
      <c r="AO3383" t="s">
        <v>53</v>
      </c>
      <c r="AP3383" t="s">
        <v>53</v>
      </c>
    </row>
    <row r="3384" spans="2:42" x14ac:dyDescent="0.2">
      <c r="B3384" t="s">
        <v>44</v>
      </c>
      <c r="C3384" t="str">
        <f>HYPERLINK("https://us2.cloudbeds.com/connect/8493803454333002#/reservations/34328060084414?display=ZDFYGX387&amp;reservation_id=34328060084414", "ZDFYGX387")</f>
        <v>ZDFYGX387</v>
      </c>
      <c r="D3384" t="s">
        <v>45</v>
      </c>
      <c r="E3384" t="s">
        <v>98</v>
      </c>
      <c r="F3384" t="s">
        <v>86</v>
      </c>
      <c r="G3384" t="s">
        <v>48</v>
      </c>
      <c r="H3384" t="s">
        <v>49</v>
      </c>
      <c r="I3384" t="s">
        <v>50</v>
      </c>
      <c r="J3384" t="s">
        <v>5371</v>
      </c>
      <c r="K3384" t="s">
        <v>3414</v>
      </c>
      <c r="L3384" t="s">
        <v>53</v>
      </c>
      <c r="N3384" t="s">
        <v>5564</v>
      </c>
      <c r="P3384" t="s">
        <v>55</v>
      </c>
      <c r="R3384" t="s">
        <v>53</v>
      </c>
      <c r="T3384" t="s">
        <v>5565</v>
      </c>
      <c r="U3384" t="s">
        <v>58</v>
      </c>
      <c r="V3384">
        <v>2</v>
      </c>
      <c r="W3384">
        <v>1</v>
      </c>
      <c r="X3384">
        <v>4</v>
      </c>
      <c r="Y3384">
        <v>0</v>
      </c>
      <c r="Z3384">
        <v>4</v>
      </c>
      <c r="AA3384">
        <v>0</v>
      </c>
      <c r="AB3384">
        <v>158.22</v>
      </c>
      <c r="AC3384">
        <v>139.22</v>
      </c>
      <c r="AD3384">
        <v>0</v>
      </c>
      <c r="AE3384">
        <v>19</v>
      </c>
      <c r="AF3384">
        <v>0</v>
      </c>
      <c r="AG3384">
        <v>0</v>
      </c>
      <c r="AH3384">
        <v>0</v>
      </c>
      <c r="AI3384">
        <v>28.48</v>
      </c>
      <c r="AJ3384">
        <v>158.22</v>
      </c>
      <c r="AK3384">
        <v>0</v>
      </c>
      <c r="AL3384" t="s">
        <v>53</v>
      </c>
      <c r="AM3384" t="s">
        <v>53</v>
      </c>
      <c r="AN3384" t="s">
        <v>53</v>
      </c>
      <c r="AO3384" t="s">
        <v>53</v>
      </c>
      <c r="AP3384" t="s">
        <v>53</v>
      </c>
    </row>
    <row r="3385" spans="2:42" x14ac:dyDescent="0.2">
      <c r="B3385" t="s">
        <v>44</v>
      </c>
      <c r="C3385" t="str">
        <f>HYPERLINK("https://us2.cloudbeds.com/connect/8493803454333002#/reservations/34364646899966?display=ZEAWCH5ZJ&amp;reservation_id=34364646899966", "ZEAWCH5ZJ")</f>
        <v>ZEAWCH5ZJ</v>
      </c>
      <c r="D3385" t="s">
        <v>45</v>
      </c>
      <c r="E3385" t="s">
        <v>98</v>
      </c>
      <c r="F3385" t="s">
        <v>86</v>
      </c>
      <c r="G3385" t="s">
        <v>48</v>
      </c>
      <c r="H3385" t="s">
        <v>3957</v>
      </c>
      <c r="I3385" t="s">
        <v>3958</v>
      </c>
      <c r="J3385" t="s">
        <v>4910</v>
      </c>
      <c r="K3385" t="s">
        <v>5105</v>
      </c>
      <c r="L3385" t="s">
        <v>53</v>
      </c>
      <c r="P3385" t="s">
        <v>55</v>
      </c>
      <c r="R3385" t="s">
        <v>56</v>
      </c>
      <c r="T3385" t="s">
        <v>5566</v>
      </c>
      <c r="U3385" t="s">
        <v>58</v>
      </c>
      <c r="V3385">
        <v>3</v>
      </c>
      <c r="W3385">
        <v>1</v>
      </c>
      <c r="X3385">
        <v>1</v>
      </c>
      <c r="Y3385">
        <v>0</v>
      </c>
      <c r="Z3385">
        <v>1</v>
      </c>
      <c r="AA3385">
        <v>0</v>
      </c>
      <c r="AB3385">
        <v>310.29000000000002</v>
      </c>
      <c r="AC3385">
        <v>273</v>
      </c>
      <c r="AD3385">
        <v>0</v>
      </c>
      <c r="AE3385">
        <v>37.29</v>
      </c>
      <c r="AF3385">
        <v>0</v>
      </c>
      <c r="AG3385">
        <v>0</v>
      </c>
      <c r="AH3385">
        <v>0</v>
      </c>
      <c r="AI3385">
        <v>0</v>
      </c>
      <c r="AJ3385">
        <v>310.29000000000002</v>
      </c>
      <c r="AK3385">
        <v>0</v>
      </c>
      <c r="AL3385" t="s">
        <v>53</v>
      </c>
      <c r="AM3385" t="s">
        <v>53</v>
      </c>
      <c r="AN3385" t="s">
        <v>53</v>
      </c>
      <c r="AO3385" t="s">
        <v>53</v>
      </c>
      <c r="AP3385" t="s">
        <v>53</v>
      </c>
    </row>
    <row r="3386" spans="2:42" x14ac:dyDescent="0.2">
      <c r="B3386" t="s">
        <v>44</v>
      </c>
      <c r="C3386" t="str">
        <f>HYPERLINK("https://us2.cloudbeds.com/connect/8493803454333002#/reservations/34584812789907?display=ZJGF47K45&amp;reservation_id=34584812789907", "ZJGF47K45")</f>
        <v>ZJGF47K45</v>
      </c>
      <c r="D3386" t="s">
        <v>45</v>
      </c>
      <c r="E3386" t="s">
        <v>138</v>
      </c>
      <c r="F3386" t="s">
        <v>70</v>
      </c>
      <c r="G3386" t="s">
        <v>48</v>
      </c>
      <c r="H3386" t="s">
        <v>49</v>
      </c>
      <c r="I3386" t="s">
        <v>62</v>
      </c>
      <c r="J3386" t="s">
        <v>5567</v>
      </c>
      <c r="K3386" t="s">
        <v>4911</v>
      </c>
      <c r="L3386" t="s">
        <v>53</v>
      </c>
      <c r="N3386" t="s">
        <v>5568</v>
      </c>
      <c r="P3386" t="s">
        <v>55</v>
      </c>
      <c r="R3386" t="s">
        <v>56</v>
      </c>
      <c r="T3386" t="s">
        <v>5569</v>
      </c>
      <c r="U3386" t="s">
        <v>55</v>
      </c>
      <c r="V3386">
        <v>1</v>
      </c>
      <c r="W3386">
        <v>1</v>
      </c>
      <c r="X3386">
        <v>1</v>
      </c>
      <c r="Y3386">
        <v>0</v>
      </c>
      <c r="Z3386">
        <v>1</v>
      </c>
      <c r="AA3386">
        <v>0</v>
      </c>
      <c r="AB3386">
        <v>84.11</v>
      </c>
      <c r="AC3386">
        <v>74</v>
      </c>
      <c r="AD3386">
        <v>0</v>
      </c>
      <c r="AE3386">
        <v>10.11</v>
      </c>
      <c r="AF3386">
        <v>0</v>
      </c>
      <c r="AG3386">
        <v>0</v>
      </c>
      <c r="AH3386">
        <v>0</v>
      </c>
      <c r="AI3386">
        <v>12.62</v>
      </c>
      <c r="AJ3386">
        <v>84.11</v>
      </c>
      <c r="AK3386">
        <v>0</v>
      </c>
      <c r="AL3386" t="s">
        <v>53</v>
      </c>
      <c r="AM3386" t="s">
        <v>53</v>
      </c>
      <c r="AN3386" t="s">
        <v>53</v>
      </c>
      <c r="AO3386" t="s">
        <v>53</v>
      </c>
      <c r="AP3386" t="s">
        <v>53</v>
      </c>
    </row>
    <row r="3387" spans="2:42" x14ac:dyDescent="0.2">
      <c r="B3387" t="s">
        <v>44</v>
      </c>
      <c r="C3387" t="str">
        <f>HYPERLINK("https://us2.cloudbeds.com/connect/8493803454333002#/reservations/34617995518084?display=ZK950PUTY&amp;reservation_id=34617995518084", "ZK950PUTY")</f>
        <v>ZK950PUTY</v>
      </c>
      <c r="D3387" t="s">
        <v>45</v>
      </c>
      <c r="E3387" t="s">
        <v>165</v>
      </c>
      <c r="F3387" t="s">
        <v>61</v>
      </c>
      <c r="G3387" t="s">
        <v>48</v>
      </c>
      <c r="H3387" t="s">
        <v>49</v>
      </c>
      <c r="I3387" t="s">
        <v>62</v>
      </c>
      <c r="J3387" t="s">
        <v>5570</v>
      </c>
      <c r="K3387" t="s">
        <v>5571</v>
      </c>
      <c r="L3387" t="s">
        <v>53</v>
      </c>
      <c r="N3387" t="s">
        <v>5572</v>
      </c>
      <c r="P3387" t="s">
        <v>55</v>
      </c>
      <c r="R3387" t="s">
        <v>56</v>
      </c>
      <c r="T3387" t="s">
        <v>5573</v>
      </c>
      <c r="U3387" t="s">
        <v>55</v>
      </c>
      <c r="V3387">
        <v>1</v>
      </c>
      <c r="W3387">
        <v>1</v>
      </c>
      <c r="X3387">
        <v>2</v>
      </c>
      <c r="Y3387">
        <v>0</v>
      </c>
      <c r="Z3387">
        <v>2</v>
      </c>
      <c r="AA3387">
        <v>0</v>
      </c>
      <c r="AB3387">
        <v>74.67</v>
      </c>
      <c r="AC3387">
        <v>65.7</v>
      </c>
      <c r="AD3387">
        <v>0</v>
      </c>
      <c r="AE3387">
        <v>8.9700000000000006</v>
      </c>
      <c r="AF3387">
        <v>0</v>
      </c>
      <c r="AG3387">
        <v>0</v>
      </c>
      <c r="AH3387">
        <v>0</v>
      </c>
      <c r="AI3387">
        <v>11.2</v>
      </c>
      <c r="AJ3387">
        <v>74.67</v>
      </c>
      <c r="AK3387">
        <v>0</v>
      </c>
      <c r="AL3387" t="s">
        <v>53</v>
      </c>
      <c r="AM3387" t="s">
        <v>53</v>
      </c>
      <c r="AN3387" t="s">
        <v>53</v>
      </c>
      <c r="AO3387" t="s">
        <v>53</v>
      </c>
      <c r="AP3387" t="s">
        <v>53</v>
      </c>
    </row>
    <row r="3388" spans="2:42" x14ac:dyDescent="0.2">
      <c r="B3388" t="s">
        <v>44</v>
      </c>
      <c r="C3388" t="str">
        <f>HYPERLINK("https://us2.cloudbeds.com/connect/8493803454333002#/reservations/34692303970484?display=ZM0MPY5CG&amp;reservation_id=34692303970484", "ZM0MPY5CG")</f>
        <v>ZM0MPY5CG</v>
      </c>
      <c r="D3388" t="s">
        <v>45</v>
      </c>
      <c r="E3388" t="s">
        <v>373</v>
      </c>
      <c r="F3388" t="s">
        <v>47</v>
      </c>
      <c r="G3388" t="s">
        <v>48</v>
      </c>
      <c r="H3388" t="s">
        <v>3957</v>
      </c>
      <c r="I3388" t="s">
        <v>3958</v>
      </c>
      <c r="J3388" t="s">
        <v>5574</v>
      </c>
      <c r="K3388" t="s">
        <v>3617</v>
      </c>
      <c r="L3388" t="s">
        <v>53</v>
      </c>
      <c r="P3388" t="s">
        <v>58</v>
      </c>
      <c r="R3388" t="s">
        <v>56</v>
      </c>
      <c r="T3388" t="s">
        <v>5575</v>
      </c>
      <c r="U3388" t="s">
        <v>58</v>
      </c>
      <c r="V3388">
        <v>1</v>
      </c>
      <c r="W3388">
        <v>1</v>
      </c>
      <c r="X3388">
        <v>1</v>
      </c>
      <c r="Y3388">
        <v>0</v>
      </c>
      <c r="Z3388">
        <v>1</v>
      </c>
      <c r="AA3388">
        <v>0</v>
      </c>
      <c r="AB3388">
        <v>90.92</v>
      </c>
      <c r="AC3388">
        <v>80</v>
      </c>
      <c r="AD3388">
        <v>0</v>
      </c>
      <c r="AE3388">
        <v>10.92</v>
      </c>
      <c r="AF3388">
        <v>0</v>
      </c>
      <c r="AG3388">
        <v>0</v>
      </c>
      <c r="AH3388">
        <v>0</v>
      </c>
      <c r="AI3388">
        <v>0</v>
      </c>
      <c r="AJ3388">
        <v>90.92</v>
      </c>
      <c r="AK3388">
        <v>0</v>
      </c>
      <c r="AL3388" t="s">
        <v>53</v>
      </c>
      <c r="AM3388" t="s">
        <v>53</v>
      </c>
      <c r="AN3388" t="s">
        <v>53</v>
      </c>
      <c r="AO3388" t="s">
        <v>53</v>
      </c>
      <c r="AP3388" t="s">
        <v>53</v>
      </c>
    </row>
    <row r="3389" spans="2:42" x14ac:dyDescent="0.2">
      <c r="B3389" t="s">
        <v>44</v>
      </c>
      <c r="C3389" t="str">
        <f>HYPERLINK("https://us2.cloudbeds.com/connect/8493803454333002#/reservations/34905421070495?display=ZR0NDKKZ7&amp;reservation_id=34905421070495", "ZR0NDKKZ7")</f>
        <v>ZR0NDKKZ7</v>
      </c>
      <c r="D3389" t="s">
        <v>45</v>
      </c>
      <c r="E3389" t="s">
        <v>185</v>
      </c>
      <c r="F3389" t="s">
        <v>47</v>
      </c>
      <c r="G3389" t="s">
        <v>48</v>
      </c>
      <c r="H3389" t="s">
        <v>49</v>
      </c>
      <c r="I3389" t="s">
        <v>50</v>
      </c>
      <c r="J3389" t="s">
        <v>4911</v>
      </c>
      <c r="K3389" t="s">
        <v>5538</v>
      </c>
      <c r="L3389" t="s">
        <v>53</v>
      </c>
      <c r="N3389" t="s">
        <v>5576</v>
      </c>
      <c r="P3389" t="s">
        <v>58</v>
      </c>
      <c r="R3389" t="s">
        <v>56</v>
      </c>
      <c r="T3389" t="s">
        <v>5577</v>
      </c>
      <c r="U3389" t="s">
        <v>58</v>
      </c>
      <c r="V3389">
        <v>3</v>
      </c>
      <c r="W3389">
        <v>1</v>
      </c>
      <c r="X3389">
        <v>1</v>
      </c>
      <c r="Y3389">
        <v>0</v>
      </c>
      <c r="Z3389">
        <v>1</v>
      </c>
      <c r="AA3389">
        <v>0</v>
      </c>
      <c r="AB3389">
        <v>218.22</v>
      </c>
      <c r="AC3389">
        <v>192</v>
      </c>
      <c r="AD3389">
        <v>0</v>
      </c>
      <c r="AE3389">
        <v>26.22</v>
      </c>
      <c r="AF3389">
        <v>0</v>
      </c>
      <c r="AG3389">
        <v>0</v>
      </c>
      <c r="AH3389">
        <v>0</v>
      </c>
      <c r="AI3389">
        <v>39.28</v>
      </c>
      <c r="AJ3389">
        <v>218.22</v>
      </c>
      <c r="AK3389">
        <v>0</v>
      </c>
      <c r="AL3389" t="s">
        <v>53</v>
      </c>
      <c r="AM3389" t="s">
        <v>53</v>
      </c>
      <c r="AN3389" t="s">
        <v>53</v>
      </c>
      <c r="AO3389" t="s">
        <v>53</v>
      </c>
      <c r="AP3389" t="s">
        <v>53</v>
      </c>
    </row>
    <row r="3390" spans="2:42" x14ac:dyDescent="0.2">
      <c r="B3390" t="s">
        <v>44</v>
      </c>
      <c r="C3390" t="str">
        <f>HYPERLINK("https://us2.cloudbeds.com/connect/8493803454333002#/reservations/34995546091714?display=ZT4GAE6H9&amp;reservation_id=34995546091714", "ZT4GAE6H9")</f>
        <v>ZT4GAE6H9</v>
      </c>
      <c r="D3390" t="s">
        <v>45</v>
      </c>
      <c r="E3390" t="s">
        <v>138</v>
      </c>
      <c r="F3390" t="s">
        <v>70</v>
      </c>
      <c r="G3390" t="s">
        <v>48</v>
      </c>
      <c r="H3390" t="s">
        <v>49</v>
      </c>
      <c r="I3390" t="s">
        <v>62</v>
      </c>
      <c r="J3390" t="s">
        <v>4911</v>
      </c>
      <c r="K3390" t="s">
        <v>5106</v>
      </c>
      <c r="L3390" t="s">
        <v>53</v>
      </c>
      <c r="N3390" t="s">
        <v>5578</v>
      </c>
      <c r="P3390" t="s">
        <v>55</v>
      </c>
      <c r="R3390" t="s">
        <v>56</v>
      </c>
      <c r="T3390" t="s">
        <v>5579</v>
      </c>
      <c r="U3390" t="s">
        <v>55</v>
      </c>
      <c r="V3390">
        <v>2</v>
      </c>
      <c r="W3390">
        <v>1</v>
      </c>
      <c r="X3390">
        <v>1</v>
      </c>
      <c r="Y3390">
        <v>0</v>
      </c>
      <c r="Z3390">
        <v>1</v>
      </c>
      <c r="AA3390">
        <v>0</v>
      </c>
      <c r="AB3390">
        <v>168.22</v>
      </c>
      <c r="AC3390">
        <v>148</v>
      </c>
      <c r="AD3390">
        <v>0</v>
      </c>
      <c r="AE3390">
        <v>20.22</v>
      </c>
      <c r="AF3390">
        <v>0</v>
      </c>
      <c r="AG3390">
        <v>0</v>
      </c>
      <c r="AH3390">
        <v>0</v>
      </c>
      <c r="AI3390">
        <v>25.23</v>
      </c>
      <c r="AJ3390">
        <v>168.22</v>
      </c>
      <c r="AK3390">
        <v>0</v>
      </c>
      <c r="AL3390" t="s">
        <v>53</v>
      </c>
      <c r="AM3390" t="s">
        <v>53</v>
      </c>
      <c r="AN3390" t="s">
        <v>53</v>
      </c>
      <c r="AO3390" t="s">
        <v>53</v>
      </c>
      <c r="AP3390" t="s">
        <v>53</v>
      </c>
    </row>
    <row r="3391" spans="2:42" x14ac:dyDescent="0.2">
      <c r="B3391" t="s">
        <v>44</v>
      </c>
      <c r="C3391" t="str">
        <f>HYPERLINK("https://us2.cloudbeds.com/connect/8493803454333002#/reservations/35016227479707?display=ZTKGPHA2B&amp;reservation_id=35016227479707", "ZTKGPHA2B")</f>
        <v>ZTKGPHA2B</v>
      </c>
      <c r="D3391" t="s">
        <v>45</v>
      </c>
      <c r="E3391" t="s">
        <v>113</v>
      </c>
      <c r="F3391" t="s">
        <v>61</v>
      </c>
      <c r="G3391" t="s">
        <v>48</v>
      </c>
      <c r="H3391" t="s">
        <v>49</v>
      </c>
      <c r="I3391" t="s">
        <v>62</v>
      </c>
      <c r="J3391" t="s">
        <v>5554</v>
      </c>
      <c r="K3391" t="s">
        <v>5555</v>
      </c>
      <c r="L3391" t="s">
        <v>53</v>
      </c>
      <c r="N3391" t="s">
        <v>5580</v>
      </c>
      <c r="P3391" t="s">
        <v>55</v>
      </c>
      <c r="R3391" t="s">
        <v>56</v>
      </c>
      <c r="T3391" t="s">
        <v>5581</v>
      </c>
      <c r="U3391" t="s">
        <v>55</v>
      </c>
      <c r="V3391">
        <v>2</v>
      </c>
      <c r="W3391">
        <v>1</v>
      </c>
      <c r="X3391">
        <v>2</v>
      </c>
      <c r="Y3391">
        <v>0</v>
      </c>
      <c r="Z3391">
        <v>2</v>
      </c>
      <c r="AA3391">
        <v>0</v>
      </c>
      <c r="AB3391">
        <v>146</v>
      </c>
      <c r="AC3391">
        <v>146</v>
      </c>
      <c r="AD3391">
        <v>0</v>
      </c>
      <c r="AE3391">
        <v>0</v>
      </c>
      <c r="AF3391">
        <v>0</v>
      </c>
      <c r="AG3391">
        <v>0</v>
      </c>
      <c r="AH3391">
        <v>0</v>
      </c>
      <c r="AI3391">
        <v>26.28</v>
      </c>
      <c r="AJ3391">
        <v>146</v>
      </c>
      <c r="AK3391">
        <v>0</v>
      </c>
      <c r="AL3391" t="s">
        <v>53</v>
      </c>
      <c r="AM3391" t="s">
        <v>53</v>
      </c>
      <c r="AN3391" t="s">
        <v>53</v>
      </c>
      <c r="AO3391" t="s">
        <v>53</v>
      </c>
      <c r="AP3391" t="s">
        <v>53</v>
      </c>
    </row>
    <row r="3392" spans="2:42" x14ac:dyDescent="0.2">
      <c r="B3392" t="s">
        <v>44</v>
      </c>
      <c r="C3392" t="str">
        <f>HYPERLINK("https://us2.cloudbeds.com/connect/8493803454333002#/reservations/35354819993777?display=P4XMJN4AJ&amp;reservation_id=35354819993777", "P4XMJN4AJ")</f>
        <v>P4XMJN4AJ</v>
      </c>
      <c r="D3392" t="s">
        <v>45</v>
      </c>
      <c r="E3392" t="s">
        <v>121</v>
      </c>
      <c r="F3392" t="s">
        <v>86</v>
      </c>
      <c r="G3392" t="s">
        <v>48</v>
      </c>
      <c r="H3392" t="s">
        <v>3957</v>
      </c>
      <c r="I3392" t="s">
        <v>3975</v>
      </c>
      <c r="J3392" t="s">
        <v>5105</v>
      </c>
      <c r="K3392" t="s">
        <v>5106</v>
      </c>
      <c r="L3392" t="s">
        <v>53</v>
      </c>
      <c r="P3392" t="s">
        <v>55</v>
      </c>
      <c r="R3392" t="s">
        <v>56</v>
      </c>
      <c r="T3392" t="s">
        <v>5582</v>
      </c>
      <c r="U3392" t="s">
        <v>58</v>
      </c>
      <c r="V3392">
        <v>1</v>
      </c>
      <c r="W3392">
        <v>1</v>
      </c>
      <c r="X3392">
        <v>2</v>
      </c>
      <c r="Y3392">
        <v>0</v>
      </c>
      <c r="Z3392">
        <v>2</v>
      </c>
      <c r="AA3392">
        <v>0</v>
      </c>
      <c r="AB3392">
        <v>103.43</v>
      </c>
      <c r="AC3392">
        <v>91</v>
      </c>
      <c r="AD3392">
        <v>0</v>
      </c>
      <c r="AE3392">
        <v>12.43</v>
      </c>
      <c r="AF3392">
        <v>0</v>
      </c>
      <c r="AG3392">
        <v>0</v>
      </c>
      <c r="AH3392">
        <v>0</v>
      </c>
      <c r="AI3392">
        <v>0</v>
      </c>
      <c r="AJ3392">
        <v>103.43</v>
      </c>
      <c r="AK3392">
        <v>0</v>
      </c>
      <c r="AL3392" t="s">
        <v>53</v>
      </c>
      <c r="AM3392" t="s">
        <v>53</v>
      </c>
      <c r="AN3392" t="s">
        <v>53</v>
      </c>
      <c r="AO3392" t="s">
        <v>53</v>
      </c>
      <c r="AP3392" t="s">
        <v>53</v>
      </c>
    </row>
    <row r="3393" spans="2:42" x14ac:dyDescent="0.2">
      <c r="B3393" t="s">
        <v>44</v>
      </c>
      <c r="C3393" t="str">
        <f>HYPERLINK("https://us2.cloudbeds.com/connect/8493803454333002#/reservations/35403445670098?display=P5NB358CY&amp;reservation_id=35403445670098", "P5NB358CY")</f>
        <v>P5NB358CY</v>
      </c>
      <c r="D3393" t="s">
        <v>45</v>
      </c>
      <c r="E3393" t="s">
        <v>5583</v>
      </c>
      <c r="F3393" t="s">
        <v>2145</v>
      </c>
      <c r="G3393" t="s">
        <v>48</v>
      </c>
      <c r="H3393" t="s">
        <v>49</v>
      </c>
      <c r="I3393" t="s">
        <v>62</v>
      </c>
      <c r="J3393" t="s">
        <v>5584</v>
      </c>
      <c r="K3393" t="s">
        <v>2284</v>
      </c>
      <c r="L3393" t="s">
        <v>53</v>
      </c>
      <c r="N3393" t="s">
        <v>5585</v>
      </c>
      <c r="P3393" t="s">
        <v>58</v>
      </c>
      <c r="R3393" t="s">
        <v>56</v>
      </c>
      <c r="T3393" t="s">
        <v>5586</v>
      </c>
      <c r="U3393" t="s">
        <v>55</v>
      </c>
      <c r="V3393">
        <v>3</v>
      </c>
      <c r="W3393">
        <v>3</v>
      </c>
      <c r="X3393">
        <v>12</v>
      </c>
      <c r="Y3393">
        <v>0</v>
      </c>
      <c r="Z3393">
        <v>12</v>
      </c>
      <c r="AA3393">
        <v>0</v>
      </c>
      <c r="AB3393">
        <v>398.91</v>
      </c>
      <c r="AC3393">
        <v>351</v>
      </c>
      <c r="AD3393">
        <v>0</v>
      </c>
      <c r="AE3393">
        <v>95.83</v>
      </c>
      <c r="AF3393">
        <v>0</v>
      </c>
      <c r="AG3393">
        <v>0</v>
      </c>
      <c r="AH3393">
        <v>0</v>
      </c>
      <c r="AI3393">
        <v>71.81</v>
      </c>
      <c r="AJ3393">
        <v>446.83</v>
      </c>
      <c r="AK3393">
        <v>47.92</v>
      </c>
      <c r="AL3393" t="s">
        <v>53</v>
      </c>
      <c r="AM3393" t="s">
        <v>53</v>
      </c>
      <c r="AN3393" t="s">
        <v>53</v>
      </c>
      <c r="AO3393" t="s">
        <v>53</v>
      </c>
      <c r="AP3393" t="s">
        <v>53</v>
      </c>
    </row>
    <row r="3394" spans="2:42" x14ac:dyDescent="0.2">
      <c r="B3394" t="s">
        <v>44</v>
      </c>
      <c r="C3394" t="str">
        <f>HYPERLINK("https://us2.cloudbeds.com/connect/8493803454333002#/reservations/35427581014243?display=P690QNPRY&amp;reservation_id=35427581014243", "P690QNPRY")</f>
        <v>P690QNPRY</v>
      </c>
      <c r="D3394" t="s">
        <v>45</v>
      </c>
      <c r="E3394" t="s">
        <v>190</v>
      </c>
      <c r="F3394" t="s">
        <v>61</v>
      </c>
      <c r="G3394" t="s">
        <v>48</v>
      </c>
      <c r="H3394" t="s">
        <v>49</v>
      </c>
      <c r="I3394" t="s">
        <v>50</v>
      </c>
      <c r="J3394" t="s">
        <v>5105</v>
      </c>
      <c r="K3394" t="s">
        <v>5106</v>
      </c>
      <c r="L3394" t="s">
        <v>53</v>
      </c>
      <c r="N3394" t="s">
        <v>5587</v>
      </c>
      <c r="P3394" t="s">
        <v>55</v>
      </c>
      <c r="R3394" t="s">
        <v>53</v>
      </c>
      <c r="T3394" t="s">
        <v>5588</v>
      </c>
      <c r="U3394" t="s">
        <v>58</v>
      </c>
      <c r="V3394">
        <v>1</v>
      </c>
      <c r="W3394">
        <v>1</v>
      </c>
      <c r="X3394">
        <v>2</v>
      </c>
      <c r="Y3394">
        <v>0</v>
      </c>
      <c r="Z3394">
        <v>2</v>
      </c>
      <c r="AA3394">
        <v>0</v>
      </c>
      <c r="AB3394">
        <v>78.2</v>
      </c>
      <c r="AC3394">
        <v>68.8</v>
      </c>
      <c r="AD3394">
        <v>0</v>
      </c>
      <c r="AE3394">
        <v>9.4</v>
      </c>
      <c r="AF3394">
        <v>0</v>
      </c>
      <c r="AG3394">
        <v>0</v>
      </c>
      <c r="AH3394">
        <v>0</v>
      </c>
      <c r="AI3394">
        <v>14.08</v>
      </c>
      <c r="AJ3394">
        <v>78.2</v>
      </c>
      <c r="AK3394">
        <v>0</v>
      </c>
      <c r="AL3394" t="s">
        <v>53</v>
      </c>
      <c r="AM3394" t="s">
        <v>53</v>
      </c>
      <c r="AN3394" t="s">
        <v>53</v>
      </c>
      <c r="AO3394" t="s">
        <v>53</v>
      </c>
      <c r="AP3394" t="s">
        <v>53</v>
      </c>
    </row>
    <row r="3395" spans="2:42" x14ac:dyDescent="0.2">
      <c r="B3395" t="s">
        <v>44</v>
      </c>
      <c r="C3395" t="str">
        <f>HYPERLINK("https://us2.cloudbeds.com/connect/8493803454333002#/reservations/35453737529495?display=P6T95JCEV&amp;reservation_id=35453737529495", "P6T95JCEV")</f>
        <v>P6T95JCEV</v>
      </c>
      <c r="D3395" t="s">
        <v>45</v>
      </c>
      <c r="E3395" t="s">
        <v>110</v>
      </c>
      <c r="F3395" t="s">
        <v>47</v>
      </c>
      <c r="G3395" t="s">
        <v>48</v>
      </c>
      <c r="H3395" t="s">
        <v>49</v>
      </c>
      <c r="I3395" t="s">
        <v>50</v>
      </c>
      <c r="J3395" t="s">
        <v>3618</v>
      </c>
      <c r="K3395" t="s">
        <v>5511</v>
      </c>
      <c r="L3395" t="s">
        <v>53</v>
      </c>
      <c r="N3395" t="s">
        <v>5589</v>
      </c>
      <c r="P3395" t="s">
        <v>55</v>
      </c>
      <c r="R3395" t="s">
        <v>53</v>
      </c>
      <c r="T3395" t="s">
        <v>5590</v>
      </c>
      <c r="U3395" t="s">
        <v>58</v>
      </c>
      <c r="V3395">
        <v>1</v>
      </c>
      <c r="W3395">
        <v>1</v>
      </c>
      <c r="X3395">
        <v>2</v>
      </c>
      <c r="Y3395">
        <v>0</v>
      </c>
      <c r="Z3395">
        <v>2</v>
      </c>
      <c r="AA3395">
        <v>0</v>
      </c>
      <c r="AB3395">
        <v>71.48</v>
      </c>
      <c r="AC3395">
        <v>62.9</v>
      </c>
      <c r="AD3395">
        <v>0</v>
      </c>
      <c r="AE3395">
        <v>8.58</v>
      </c>
      <c r="AF3395">
        <v>0</v>
      </c>
      <c r="AG3395">
        <v>0</v>
      </c>
      <c r="AH3395">
        <v>0</v>
      </c>
      <c r="AI3395">
        <v>12.87</v>
      </c>
      <c r="AJ3395">
        <v>71.48</v>
      </c>
      <c r="AK3395">
        <v>0</v>
      </c>
      <c r="AL3395" t="s">
        <v>53</v>
      </c>
      <c r="AM3395" t="s">
        <v>53</v>
      </c>
      <c r="AN3395" t="s">
        <v>53</v>
      </c>
      <c r="AO3395" t="s">
        <v>53</v>
      </c>
      <c r="AP3395" t="s">
        <v>53</v>
      </c>
    </row>
    <row r="3396" spans="2:42" x14ac:dyDescent="0.2">
      <c r="B3396" t="s">
        <v>44</v>
      </c>
      <c r="C3396" t="str">
        <f>HYPERLINK("https://us2.cloudbeds.com/connect/8493803454333002#/reservations/35463889801442?display=P744J8A7D&amp;reservation_id=35463889801442", "P744J8A7D")</f>
        <v>P744J8A7D</v>
      </c>
      <c r="D3396" t="s">
        <v>45</v>
      </c>
      <c r="E3396" t="s">
        <v>110</v>
      </c>
      <c r="F3396" t="s">
        <v>47</v>
      </c>
      <c r="G3396" t="s">
        <v>48</v>
      </c>
      <c r="H3396" t="s">
        <v>49</v>
      </c>
      <c r="I3396" t="s">
        <v>62</v>
      </c>
      <c r="J3396" t="s">
        <v>5106</v>
      </c>
      <c r="K3396" t="s">
        <v>5538</v>
      </c>
      <c r="L3396" t="s">
        <v>53</v>
      </c>
      <c r="N3396" t="s">
        <v>5591</v>
      </c>
      <c r="P3396" t="s">
        <v>55</v>
      </c>
      <c r="R3396" t="s">
        <v>329</v>
      </c>
      <c r="T3396" t="s">
        <v>5592</v>
      </c>
      <c r="U3396" t="s">
        <v>55</v>
      </c>
      <c r="V3396">
        <v>1</v>
      </c>
      <c r="W3396">
        <v>1</v>
      </c>
      <c r="X3396">
        <v>2</v>
      </c>
      <c r="Y3396">
        <v>0</v>
      </c>
      <c r="Z3396">
        <v>2</v>
      </c>
      <c r="AA3396">
        <v>0</v>
      </c>
      <c r="AB3396">
        <v>90.92</v>
      </c>
      <c r="AC3396">
        <v>80</v>
      </c>
      <c r="AD3396">
        <v>0</v>
      </c>
      <c r="AE3396">
        <v>10.92</v>
      </c>
      <c r="AF3396">
        <v>0</v>
      </c>
      <c r="AG3396">
        <v>0</v>
      </c>
      <c r="AH3396">
        <v>0</v>
      </c>
      <c r="AI3396">
        <v>13.64</v>
      </c>
      <c r="AJ3396">
        <v>90.92</v>
      </c>
      <c r="AK3396">
        <v>0</v>
      </c>
      <c r="AL3396" t="s">
        <v>53</v>
      </c>
      <c r="AM3396" t="s">
        <v>53</v>
      </c>
      <c r="AN3396" t="s">
        <v>53</v>
      </c>
      <c r="AO3396" t="s">
        <v>53</v>
      </c>
      <c r="AP3396" t="s">
        <v>53</v>
      </c>
    </row>
    <row r="3397" spans="2:42" x14ac:dyDescent="0.2">
      <c r="B3397" t="s">
        <v>44</v>
      </c>
      <c r="C3397" t="str">
        <f>HYPERLINK("https://us2.cloudbeds.com/connect/8493803454333002#/reservations/35653877960910?display=PBJ879U0W&amp;reservation_id=35653877960910", "PBJ879U0W")</f>
        <v>PBJ879U0W</v>
      </c>
      <c r="D3397" t="s">
        <v>45</v>
      </c>
      <c r="E3397" t="s">
        <v>92</v>
      </c>
      <c r="F3397" t="s">
        <v>86</v>
      </c>
      <c r="G3397" t="s">
        <v>48</v>
      </c>
      <c r="H3397" t="s">
        <v>49</v>
      </c>
      <c r="I3397" t="s">
        <v>62</v>
      </c>
      <c r="J3397" t="s">
        <v>5593</v>
      </c>
      <c r="K3397" t="s">
        <v>5594</v>
      </c>
      <c r="L3397" t="s">
        <v>53</v>
      </c>
      <c r="N3397" t="s">
        <v>5595</v>
      </c>
      <c r="P3397" t="s">
        <v>55</v>
      </c>
      <c r="R3397" t="s">
        <v>56</v>
      </c>
      <c r="T3397" t="s">
        <v>5596</v>
      </c>
      <c r="U3397" t="s">
        <v>55</v>
      </c>
      <c r="V3397">
        <v>1</v>
      </c>
      <c r="W3397">
        <v>1</v>
      </c>
      <c r="X3397">
        <v>4</v>
      </c>
      <c r="Y3397">
        <v>0</v>
      </c>
      <c r="Z3397">
        <v>4</v>
      </c>
      <c r="AA3397">
        <v>0</v>
      </c>
      <c r="AB3397">
        <v>225</v>
      </c>
      <c r="AC3397">
        <v>225</v>
      </c>
      <c r="AD3397">
        <v>0</v>
      </c>
      <c r="AE3397">
        <v>0</v>
      </c>
      <c r="AF3397">
        <v>0</v>
      </c>
      <c r="AG3397">
        <v>0</v>
      </c>
      <c r="AH3397">
        <v>0</v>
      </c>
      <c r="AI3397">
        <v>33.75</v>
      </c>
      <c r="AJ3397">
        <v>225</v>
      </c>
      <c r="AK3397">
        <v>0</v>
      </c>
      <c r="AL3397" t="s">
        <v>53</v>
      </c>
      <c r="AM3397" t="s">
        <v>53</v>
      </c>
      <c r="AN3397" t="s">
        <v>53</v>
      </c>
      <c r="AO3397" t="s">
        <v>53</v>
      </c>
      <c r="AP3397" t="s">
        <v>53</v>
      </c>
    </row>
    <row r="3398" spans="2:42" x14ac:dyDescent="0.2">
      <c r="B3398" t="s">
        <v>44</v>
      </c>
      <c r="C3398" t="str">
        <f>HYPERLINK("https://us2.cloudbeds.com/connect/8493803454333002#/reservations/35660957687947?display=PBZZ43ZPU&amp;reservation_id=35660957687947", "PBZZ43ZPU")</f>
        <v>PBZZ43ZPU</v>
      </c>
      <c r="D3398" t="s">
        <v>45</v>
      </c>
      <c r="E3398" t="s">
        <v>138</v>
      </c>
      <c r="F3398" t="s">
        <v>70</v>
      </c>
      <c r="G3398" t="s">
        <v>48</v>
      </c>
      <c r="H3398" t="s">
        <v>49</v>
      </c>
      <c r="I3398" t="s">
        <v>62</v>
      </c>
      <c r="J3398" t="s">
        <v>4841</v>
      </c>
      <c r="K3398" t="s">
        <v>2975</v>
      </c>
      <c r="L3398" t="s">
        <v>53</v>
      </c>
      <c r="N3398" t="s">
        <v>5597</v>
      </c>
      <c r="P3398" t="s">
        <v>55</v>
      </c>
      <c r="R3398" t="s">
        <v>56</v>
      </c>
      <c r="T3398" t="s">
        <v>5598</v>
      </c>
      <c r="U3398" t="s">
        <v>55</v>
      </c>
      <c r="V3398">
        <v>1</v>
      </c>
      <c r="W3398">
        <v>1</v>
      </c>
      <c r="X3398">
        <v>2</v>
      </c>
      <c r="Y3398">
        <v>0</v>
      </c>
      <c r="Z3398">
        <v>2</v>
      </c>
      <c r="AA3398">
        <v>0</v>
      </c>
      <c r="AB3398">
        <v>170.49</v>
      </c>
      <c r="AC3398">
        <v>75</v>
      </c>
      <c r="AD3398">
        <v>0</v>
      </c>
      <c r="AE3398">
        <v>10.25</v>
      </c>
      <c r="AF3398">
        <v>0</v>
      </c>
      <c r="AG3398">
        <v>0</v>
      </c>
      <c r="AH3398">
        <v>0</v>
      </c>
      <c r="AI3398">
        <v>12.79</v>
      </c>
      <c r="AJ3398">
        <v>85.25</v>
      </c>
      <c r="AK3398">
        <v>0.01</v>
      </c>
      <c r="AL3398" t="s">
        <v>53</v>
      </c>
      <c r="AM3398" t="s">
        <v>53</v>
      </c>
      <c r="AN3398" t="s">
        <v>5599</v>
      </c>
      <c r="AO3398" t="s">
        <v>53</v>
      </c>
      <c r="AP3398" t="s">
        <v>53</v>
      </c>
    </row>
    <row r="3399" spans="2:42" x14ac:dyDescent="0.2">
      <c r="B3399" t="s">
        <v>44</v>
      </c>
      <c r="C3399" t="str">
        <f>HYPERLINK("https://us2.cloudbeds.com/connect/8493803454333002#/reservations/35687207137408?display=PCC1SB8Z6&amp;reservation_id=35687207137408", "PCC1SB8Z6")</f>
        <v>PCC1SB8Z6</v>
      </c>
      <c r="D3399" t="s">
        <v>45</v>
      </c>
      <c r="E3399" t="s">
        <v>190</v>
      </c>
      <c r="F3399" t="s">
        <v>61</v>
      </c>
      <c r="G3399" t="s">
        <v>48</v>
      </c>
      <c r="H3399" t="s">
        <v>49</v>
      </c>
      <c r="I3399" t="s">
        <v>50</v>
      </c>
      <c r="J3399" t="s">
        <v>5106</v>
      </c>
      <c r="K3399" t="s">
        <v>5538</v>
      </c>
      <c r="L3399" t="s">
        <v>53</v>
      </c>
      <c r="N3399" t="s">
        <v>5600</v>
      </c>
      <c r="P3399" t="s">
        <v>55</v>
      </c>
      <c r="R3399" t="s">
        <v>53</v>
      </c>
      <c r="T3399" t="s">
        <v>5601</v>
      </c>
      <c r="U3399" t="s">
        <v>58</v>
      </c>
      <c r="V3399">
        <v>1</v>
      </c>
      <c r="W3399">
        <v>1</v>
      </c>
      <c r="X3399">
        <v>2</v>
      </c>
      <c r="Y3399">
        <v>0</v>
      </c>
      <c r="Z3399">
        <v>2</v>
      </c>
      <c r="AA3399">
        <v>0</v>
      </c>
      <c r="AB3399">
        <v>78.2</v>
      </c>
      <c r="AC3399">
        <v>68.8</v>
      </c>
      <c r="AD3399">
        <v>0</v>
      </c>
      <c r="AE3399">
        <v>9.4</v>
      </c>
      <c r="AF3399">
        <v>0</v>
      </c>
      <c r="AG3399">
        <v>0</v>
      </c>
      <c r="AH3399">
        <v>0</v>
      </c>
      <c r="AI3399">
        <v>14.08</v>
      </c>
      <c r="AJ3399">
        <v>78.2</v>
      </c>
      <c r="AK3399">
        <v>0</v>
      </c>
      <c r="AL3399" t="s">
        <v>53</v>
      </c>
      <c r="AM3399" t="s">
        <v>53</v>
      </c>
      <c r="AN3399" t="s">
        <v>53</v>
      </c>
      <c r="AO3399" t="s">
        <v>53</v>
      </c>
      <c r="AP3399" t="s">
        <v>53</v>
      </c>
    </row>
    <row r="3400" spans="2:42" x14ac:dyDescent="0.2">
      <c r="B3400" t="s">
        <v>44</v>
      </c>
      <c r="C3400" t="str">
        <f>HYPERLINK("https://us2.cloudbeds.com/connect/8493803454333002#/reservations/35747399479529?display=PDPYU40SM&amp;reservation_id=35747399479529", "PDPYU40SM")</f>
        <v>PDPYU40SM</v>
      </c>
      <c r="D3400" t="s">
        <v>45</v>
      </c>
      <c r="E3400" t="s">
        <v>105</v>
      </c>
      <c r="F3400" t="s">
        <v>47</v>
      </c>
      <c r="G3400" t="s">
        <v>48</v>
      </c>
      <c r="H3400" t="s">
        <v>49</v>
      </c>
      <c r="I3400" t="s">
        <v>50</v>
      </c>
      <c r="J3400" t="s">
        <v>5106</v>
      </c>
      <c r="K3400" t="s">
        <v>5538</v>
      </c>
      <c r="L3400" t="s">
        <v>53</v>
      </c>
      <c r="N3400" t="s">
        <v>5602</v>
      </c>
      <c r="P3400" t="s">
        <v>55</v>
      </c>
      <c r="R3400" t="s">
        <v>53</v>
      </c>
      <c r="T3400" t="s">
        <v>5603</v>
      </c>
      <c r="U3400" t="s">
        <v>58</v>
      </c>
      <c r="V3400">
        <v>1</v>
      </c>
      <c r="W3400">
        <v>1</v>
      </c>
      <c r="X3400">
        <v>1</v>
      </c>
      <c r="Y3400">
        <v>0</v>
      </c>
      <c r="Z3400">
        <v>1</v>
      </c>
      <c r="AA3400">
        <v>0</v>
      </c>
      <c r="AB3400">
        <v>81.83</v>
      </c>
      <c r="AC3400">
        <v>72</v>
      </c>
      <c r="AD3400">
        <v>0</v>
      </c>
      <c r="AE3400">
        <v>9.83</v>
      </c>
      <c r="AF3400">
        <v>0</v>
      </c>
      <c r="AG3400">
        <v>0</v>
      </c>
      <c r="AH3400">
        <v>0</v>
      </c>
      <c r="AI3400">
        <v>14.73</v>
      </c>
      <c r="AJ3400">
        <v>81.83</v>
      </c>
      <c r="AK3400">
        <v>0</v>
      </c>
      <c r="AL3400" t="s">
        <v>53</v>
      </c>
      <c r="AM3400" t="s">
        <v>53</v>
      </c>
      <c r="AN3400" t="s">
        <v>53</v>
      </c>
      <c r="AO3400" t="s">
        <v>53</v>
      </c>
      <c r="AP3400" t="s">
        <v>53</v>
      </c>
    </row>
    <row r="3401" spans="2:42" x14ac:dyDescent="0.2">
      <c r="B3401" t="s">
        <v>44</v>
      </c>
      <c r="C3401" t="str">
        <f>HYPERLINK("https://us2.cloudbeds.com/connect/8493803454333002#/reservations/35794863411360?display=PETDNVTJ8&amp;reservation_id=35794863411360", "PETDNVTJ8")</f>
        <v>PETDNVTJ8</v>
      </c>
      <c r="D3401" t="s">
        <v>45</v>
      </c>
      <c r="E3401" t="s">
        <v>165</v>
      </c>
      <c r="F3401" t="s">
        <v>61</v>
      </c>
      <c r="G3401" t="s">
        <v>48</v>
      </c>
      <c r="H3401" t="s">
        <v>49</v>
      </c>
      <c r="I3401" t="s">
        <v>62</v>
      </c>
      <c r="J3401" t="s">
        <v>5106</v>
      </c>
      <c r="K3401" t="s">
        <v>3612</v>
      </c>
      <c r="L3401" t="s">
        <v>53</v>
      </c>
      <c r="N3401" t="s">
        <v>5604</v>
      </c>
      <c r="P3401" t="s">
        <v>55</v>
      </c>
      <c r="R3401" t="s">
        <v>56</v>
      </c>
      <c r="T3401" t="s">
        <v>5605</v>
      </c>
      <c r="U3401" t="s">
        <v>55</v>
      </c>
      <c r="V3401">
        <v>2</v>
      </c>
      <c r="W3401">
        <v>1</v>
      </c>
      <c r="X3401">
        <v>2</v>
      </c>
      <c r="Y3401">
        <v>0</v>
      </c>
      <c r="Z3401">
        <v>2</v>
      </c>
      <c r="AA3401">
        <v>0</v>
      </c>
      <c r="AB3401">
        <v>195.48</v>
      </c>
      <c r="AC3401">
        <v>172</v>
      </c>
      <c r="AD3401">
        <v>0</v>
      </c>
      <c r="AE3401">
        <v>23.48</v>
      </c>
      <c r="AF3401">
        <v>0</v>
      </c>
      <c r="AG3401">
        <v>0</v>
      </c>
      <c r="AH3401">
        <v>0</v>
      </c>
      <c r="AI3401">
        <v>29.32</v>
      </c>
      <c r="AJ3401">
        <v>195.48</v>
      </c>
      <c r="AK3401">
        <v>0</v>
      </c>
      <c r="AL3401" t="s">
        <v>53</v>
      </c>
      <c r="AM3401" t="s">
        <v>53</v>
      </c>
      <c r="AN3401" t="s">
        <v>53</v>
      </c>
      <c r="AO3401" t="s">
        <v>53</v>
      </c>
      <c r="AP3401" t="s">
        <v>53</v>
      </c>
    </row>
    <row r="3402" spans="2:42" x14ac:dyDescent="0.2">
      <c r="B3402" t="s">
        <v>44</v>
      </c>
      <c r="C3402" t="str">
        <f>HYPERLINK("https://us2.cloudbeds.com/connect/8493803454333002#/reservations/35987693641894?display=PJDNWHABF&amp;reservation_id=35987693641894", "PJDNWHABF")</f>
        <v>PJDNWHABF</v>
      </c>
      <c r="D3402" t="s">
        <v>45</v>
      </c>
      <c r="E3402" t="s">
        <v>381</v>
      </c>
      <c r="F3402" t="s">
        <v>47</v>
      </c>
      <c r="G3402" t="s">
        <v>4520</v>
      </c>
      <c r="H3402" t="s">
        <v>3957</v>
      </c>
      <c r="I3402" t="s">
        <v>3958</v>
      </c>
      <c r="J3402" t="s">
        <v>5538</v>
      </c>
      <c r="K3402" t="s">
        <v>5574</v>
      </c>
      <c r="L3402" t="s">
        <v>53</v>
      </c>
      <c r="P3402" t="s">
        <v>55</v>
      </c>
      <c r="R3402" t="s">
        <v>56</v>
      </c>
      <c r="T3402" t="s">
        <v>5606</v>
      </c>
      <c r="U3402" t="s">
        <v>58</v>
      </c>
      <c r="V3402">
        <v>3</v>
      </c>
      <c r="W3402">
        <v>1</v>
      </c>
      <c r="X3402">
        <v>1</v>
      </c>
      <c r="Y3402">
        <v>0</v>
      </c>
      <c r="Z3402">
        <v>1</v>
      </c>
      <c r="AA3402">
        <v>0</v>
      </c>
      <c r="AB3402">
        <v>245.49</v>
      </c>
      <c r="AC3402">
        <v>216</v>
      </c>
      <c r="AD3402">
        <v>0</v>
      </c>
      <c r="AE3402">
        <v>29.49</v>
      </c>
      <c r="AF3402">
        <v>0</v>
      </c>
      <c r="AG3402">
        <v>0</v>
      </c>
      <c r="AH3402">
        <v>0</v>
      </c>
      <c r="AI3402">
        <v>0</v>
      </c>
      <c r="AJ3402">
        <v>245.49</v>
      </c>
      <c r="AK3402">
        <v>0</v>
      </c>
      <c r="AL3402" t="s">
        <v>53</v>
      </c>
      <c r="AM3402" t="s">
        <v>53</v>
      </c>
      <c r="AN3402" t="s">
        <v>53</v>
      </c>
      <c r="AO3402" t="s">
        <v>53</v>
      </c>
      <c r="AP3402" t="s">
        <v>53</v>
      </c>
    </row>
    <row r="3403" spans="2:42" x14ac:dyDescent="0.2">
      <c r="B3403" t="s">
        <v>44</v>
      </c>
      <c r="C3403" t="str">
        <f>HYPERLINK("https://us2.cloudbeds.com/connect/8493803454333002#/reservations/36012397498614?display=PJWS7FHU8&amp;reservation_id=36012397498614", "PJWS7FHU8")</f>
        <v>PJWS7FHU8</v>
      </c>
      <c r="D3403" t="s">
        <v>45</v>
      </c>
      <c r="E3403" t="s">
        <v>110</v>
      </c>
      <c r="F3403" t="s">
        <v>47</v>
      </c>
      <c r="G3403" t="s">
        <v>48</v>
      </c>
      <c r="H3403" t="s">
        <v>49</v>
      </c>
      <c r="I3403" t="s">
        <v>62</v>
      </c>
      <c r="J3403" t="s">
        <v>5538</v>
      </c>
      <c r="K3403" t="s">
        <v>3612</v>
      </c>
      <c r="L3403" t="s">
        <v>53</v>
      </c>
      <c r="N3403" t="s">
        <v>5607</v>
      </c>
      <c r="P3403" t="s">
        <v>55</v>
      </c>
      <c r="R3403" t="s">
        <v>56</v>
      </c>
      <c r="T3403" t="s">
        <v>5608</v>
      </c>
      <c r="U3403" t="s">
        <v>55</v>
      </c>
      <c r="V3403">
        <v>1</v>
      </c>
      <c r="W3403">
        <v>1</v>
      </c>
      <c r="X3403">
        <v>1</v>
      </c>
      <c r="Y3403">
        <v>0</v>
      </c>
      <c r="Z3403">
        <v>1</v>
      </c>
      <c r="AA3403">
        <v>0</v>
      </c>
      <c r="AB3403">
        <v>84.11</v>
      </c>
      <c r="AC3403">
        <v>74</v>
      </c>
      <c r="AD3403">
        <v>0</v>
      </c>
      <c r="AE3403">
        <v>10.11</v>
      </c>
      <c r="AF3403">
        <v>0</v>
      </c>
      <c r="AG3403">
        <v>0</v>
      </c>
      <c r="AH3403">
        <v>0</v>
      </c>
      <c r="AI3403">
        <v>12.62</v>
      </c>
      <c r="AJ3403">
        <v>84.11</v>
      </c>
      <c r="AK3403">
        <v>0</v>
      </c>
      <c r="AL3403" t="s">
        <v>53</v>
      </c>
      <c r="AM3403" t="s">
        <v>53</v>
      </c>
      <c r="AN3403" t="s">
        <v>5609</v>
      </c>
      <c r="AO3403" t="s">
        <v>53</v>
      </c>
      <c r="AP3403" t="s">
        <v>53</v>
      </c>
    </row>
    <row r="3404" spans="2:42" x14ac:dyDescent="0.2">
      <c r="B3404" t="s">
        <v>44</v>
      </c>
      <c r="C3404" t="str">
        <f>HYPERLINK("https://us2.cloudbeds.com/connect/8493803454333002#/reservations/36101029621965?display=PM2FWE0UW&amp;reservation_id=36101029621965", "PM2FWE0UW")</f>
        <v>PM2FWE0UW</v>
      </c>
      <c r="D3404" t="s">
        <v>45</v>
      </c>
      <c r="E3404" t="s">
        <v>128</v>
      </c>
      <c r="F3404" t="s">
        <v>86</v>
      </c>
      <c r="G3404" t="s">
        <v>48</v>
      </c>
      <c r="H3404" t="s">
        <v>49</v>
      </c>
      <c r="I3404" t="s">
        <v>50</v>
      </c>
      <c r="J3404" t="s">
        <v>2284</v>
      </c>
      <c r="K3404" t="s">
        <v>5610</v>
      </c>
      <c r="L3404" t="s">
        <v>53</v>
      </c>
      <c r="N3404" t="s">
        <v>5611</v>
      </c>
      <c r="P3404" t="s">
        <v>55</v>
      </c>
      <c r="R3404" t="s">
        <v>53</v>
      </c>
      <c r="T3404" t="s">
        <v>5612</v>
      </c>
      <c r="U3404" t="s">
        <v>58</v>
      </c>
      <c r="V3404">
        <v>2</v>
      </c>
      <c r="W3404">
        <v>1</v>
      </c>
      <c r="X3404">
        <v>4</v>
      </c>
      <c r="Y3404">
        <v>0</v>
      </c>
      <c r="Z3404">
        <v>4</v>
      </c>
      <c r="AA3404">
        <v>0</v>
      </c>
      <c r="AB3404">
        <v>212.74</v>
      </c>
      <c r="AC3404">
        <v>187.2</v>
      </c>
      <c r="AD3404">
        <v>0</v>
      </c>
      <c r="AE3404">
        <v>25.54</v>
      </c>
      <c r="AF3404">
        <v>0</v>
      </c>
      <c r="AG3404">
        <v>0</v>
      </c>
      <c r="AH3404">
        <v>0</v>
      </c>
      <c r="AI3404">
        <v>38.29</v>
      </c>
      <c r="AJ3404">
        <v>212.74</v>
      </c>
      <c r="AK3404">
        <v>0</v>
      </c>
      <c r="AL3404" t="s">
        <v>53</v>
      </c>
      <c r="AM3404" t="s">
        <v>53</v>
      </c>
      <c r="AN3404" t="s">
        <v>53</v>
      </c>
      <c r="AO3404" t="s">
        <v>53</v>
      </c>
      <c r="AP3404" t="s">
        <v>53</v>
      </c>
    </row>
    <row r="3405" spans="2:42" x14ac:dyDescent="0.2">
      <c r="B3405" t="s">
        <v>44</v>
      </c>
      <c r="C3405" t="str">
        <f>HYPERLINK("https://us2.cloudbeds.com/connect/8493803454333002#/reservations/36117743485103?display=PMFE1WTW4&amp;reservation_id=36117743485103", "PMFE1WTW4")</f>
        <v>PMFE1WTW4</v>
      </c>
      <c r="D3405" t="s">
        <v>45</v>
      </c>
      <c r="E3405" t="s">
        <v>487</v>
      </c>
      <c r="F3405" t="s">
        <v>61</v>
      </c>
      <c r="G3405" t="s">
        <v>48</v>
      </c>
      <c r="H3405" t="s">
        <v>49</v>
      </c>
      <c r="I3405" t="s">
        <v>50</v>
      </c>
      <c r="J3405" t="s">
        <v>5381</v>
      </c>
      <c r="K3405" t="s">
        <v>5321</v>
      </c>
      <c r="L3405" t="s">
        <v>53</v>
      </c>
      <c r="N3405" t="s">
        <v>5613</v>
      </c>
      <c r="P3405" t="s">
        <v>55</v>
      </c>
      <c r="R3405" t="s">
        <v>53</v>
      </c>
      <c r="T3405" t="s">
        <v>5614</v>
      </c>
      <c r="U3405" t="s">
        <v>58</v>
      </c>
      <c r="V3405">
        <v>2</v>
      </c>
      <c r="W3405">
        <v>1</v>
      </c>
      <c r="X3405">
        <v>2</v>
      </c>
      <c r="Y3405">
        <v>0</v>
      </c>
      <c r="Z3405">
        <v>2</v>
      </c>
      <c r="AA3405">
        <v>0</v>
      </c>
      <c r="AB3405">
        <v>169.34</v>
      </c>
      <c r="AC3405">
        <v>149</v>
      </c>
      <c r="AD3405">
        <v>0</v>
      </c>
      <c r="AE3405">
        <v>20.34</v>
      </c>
      <c r="AF3405">
        <v>0</v>
      </c>
      <c r="AG3405">
        <v>0</v>
      </c>
      <c r="AH3405">
        <v>0</v>
      </c>
      <c r="AI3405">
        <v>30.48</v>
      </c>
      <c r="AJ3405">
        <v>169.34</v>
      </c>
      <c r="AK3405">
        <v>0</v>
      </c>
      <c r="AL3405" t="s">
        <v>53</v>
      </c>
      <c r="AM3405" t="s">
        <v>53</v>
      </c>
      <c r="AN3405" t="s">
        <v>53</v>
      </c>
      <c r="AO3405" t="s">
        <v>53</v>
      </c>
      <c r="AP3405" t="s">
        <v>53</v>
      </c>
    </row>
    <row r="3406" spans="2:42" x14ac:dyDescent="0.2">
      <c r="B3406" t="s">
        <v>44</v>
      </c>
      <c r="C3406" t="str">
        <f>HYPERLINK("https://us2.cloudbeds.com/connect/8493803454333002#/reservations/36137289806050?display=PMUXGW3C3&amp;reservation_id=36137289806050", "PMUXGW3C3")</f>
        <v>PMUXGW3C3</v>
      </c>
      <c r="D3406" t="s">
        <v>45</v>
      </c>
      <c r="E3406" t="s">
        <v>46</v>
      </c>
      <c r="F3406" t="s">
        <v>47</v>
      </c>
      <c r="G3406" t="s">
        <v>48</v>
      </c>
      <c r="H3406" t="s">
        <v>3957</v>
      </c>
      <c r="I3406" t="s">
        <v>3958</v>
      </c>
      <c r="J3406" t="s">
        <v>5538</v>
      </c>
      <c r="K3406" t="s">
        <v>3612</v>
      </c>
      <c r="L3406" t="s">
        <v>53</v>
      </c>
      <c r="P3406" t="s">
        <v>55</v>
      </c>
      <c r="R3406" t="s">
        <v>56</v>
      </c>
      <c r="T3406" t="s">
        <v>5615</v>
      </c>
      <c r="U3406" t="s">
        <v>58</v>
      </c>
      <c r="V3406">
        <v>1</v>
      </c>
      <c r="W3406">
        <v>1</v>
      </c>
      <c r="X3406">
        <v>1</v>
      </c>
      <c r="Y3406">
        <v>0</v>
      </c>
      <c r="Z3406">
        <v>1</v>
      </c>
      <c r="AA3406">
        <v>0</v>
      </c>
      <c r="AB3406">
        <v>90.92</v>
      </c>
      <c r="AC3406">
        <v>80</v>
      </c>
      <c r="AD3406">
        <v>0</v>
      </c>
      <c r="AE3406">
        <v>10.92</v>
      </c>
      <c r="AF3406">
        <v>0</v>
      </c>
      <c r="AG3406">
        <v>0</v>
      </c>
      <c r="AH3406">
        <v>0</v>
      </c>
      <c r="AI3406">
        <v>0</v>
      </c>
      <c r="AJ3406">
        <v>90.92</v>
      </c>
      <c r="AK3406">
        <v>0</v>
      </c>
      <c r="AL3406" t="s">
        <v>53</v>
      </c>
      <c r="AM3406" t="s">
        <v>53</v>
      </c>
      <c r="AN3406" t="s">
        <v>53</v>
      </c>
      <c r="AO3406" t="s">
        <v>53</v>
      </c>
      <c r="AP3406" t="s">
        <v>53</v>
      </c>
    </row>
    <row r="3407" spans="2:42" x14ac:dyDescent="0.2">
      <c r="B3407" t="s">
        <v>44</v>
      </c>
      <c r="C3407" t="str">
        <f>HYPERLINK("https://us2.cloudbeds.com/connect/8493803454333002#/reservations/36183053213893?display=PNWWSTCNZ&amp;reservation_id=36183053213893", "PNWWSTCNZ")</f>
        <v>PNWWSTCNZ</v>
      </c>
      <c r="D3407" t="s">
        <v>45</v>
      </c>
      <c r="E3407" t="s">
        <v>165</v>
      </c>
      <c r="F3407" t="s">
        <v>61</v>
      </c>
      <c r="G3407" t="s">
        <v>48</v>
      </c>
      <c r="H3407" t="s">
        <v>3957</v>
      </c>
      <c r="I3407" t="s">
        <v>3975</v>
      </c>
      <c r="J3407" t="s">
        <v>3612</v>
      </c>
      <c r="K3407" t="s">
        <v>5574</v>
      </c>
      <c r="L3407" t="s">
        <v>53</v>
      </c>
      <c r="P3407" t="s">
        <v>55</v>
      </c>
      <c r="R3407" t="s">
        <v>56</v>
      </c>
      <c r="T3407" t="s">
        <v>5616</v>
      </c>
      <c r="U3407" t="s">
        <v>58</v>
      </c>
      <c r="V3407">
        <v>2</v>
      </c>
      <c r="W3407">
        <v>1</v>
      </c>
      <c r="X3407">
        <v>2</v>
      </c>
      <c r="Y3407">
        <v>0</v>
      </c>
      <c r="Z3407">
        <v>2</v>
      </c>
      <c r="AA3407">
        <v>0</v>
      </c>
      <c r="AB3407">
        <v>195.48</v>
      </c>
      <c r="AC3407">
        <v>172</v>
      </c>
      <c r="AD3407">
        <v>0</v>
      </c>
      <c r="AE3407">
        <v>23.48</v>
      </c>
      <c r="AF3407">
        <v>0</v>
      </c>
      <c r="AG3407">
        <v>0</v>
      </c>
      <c r="AH3407">
        <v>0</v>
      </c>
      <c r="AI3407">
        <v>0</v>
      </c>
      <c r="AJ3407">
        <v>195.48</v>
      </c>
      <c r="AK3407">
        <v>0</v>
      </c>
      <c r="AL3407" t="s">
        <v>53</v>
      </c>
      <c r="AM3407" t="s">
        <v>53</v>
      </c>
      <c r="AN3407" t="s">
        <v>53</v>
      </c>
      <c r="AO3407" t="s">
        <v>53</v>
      </c>
      <c r="AP3407" t="s">
        <v>53</v>
      </c>
    </row>
    <row r="3408" spans="2:42" x14ac:dyDescent="0.2">
      <c r="B3408" t="s">
        <v>44</v>
      </c>
      <c r="C3408" t="str">
        <f>HYPERLINK("https://us2.cloudbeds.com/connect/8493803454333002#/reservations/36396812189853?display=PT0GU3WRQ&amp;reservation_id=36396812189853", "PT0GU3WRQ")</f>
        <v>PT0GU3WRQ</v>
      </c>
      <c r="D3408" t="s">
        <v>45</v>
      </c>
      <c r="E3408" t="s">
        <v>110</v>
      </c>
      <c r="F3408" t="s">
        <v>47</v>
      </c>
      <c r="G3408" t="s">
        <v>48</v>
      </c>
      <c r="H3408" t="s">
        <v>49</v>
      </c>
      <c r="I3408" t="s">
        <v>50</v>
      </c>
      <c r="J3408" t="s">
        <v>3612</v>
      </c>
      <c r="K3408" t="s">
        <v>3613</v>
      </c>
      <c r="L3408" t="s">
        <v>53</v>
      </c>
      <c r="N3408" t="s">
        <v>5617</v>
      </c>
      <c r="P3408" t="s">
        <v>55</v>
      </c>
      <c r="R3408" t="s">
        <v>53</v>
      </c>
      <c r="T3408" t="s">
        <v>5618</v>
      </c>
      <c r="U3408" t="s">
        <v>58</v>
      </c>
      <c r="V3408">
        <v>1</v>
      </c>
      <c r="W3408">
        <v>1</v>
      </c>
      <c r="X3408">
        <v>1</v>
      </c>
      <c r="Y3408">
        <v>0</v>
      </c>
      <c r="Z3408">
        <v>1</v>
      </c>
      <c r="AA3408">
        <v>0</v>
      </c>
      <c r="AB3408">
        <v>77.28</v>
      </c>
      <c r="AC3408">
        <v>68</v>
      </c>
      <c r="AD3408">
        <v>0</v>
      </c>
      <c r="AE3408">
        <v>9.2799999999999994</v>
      </c>
      <c r="AF3408">
        <v>0</v>
      </c>
      <c r="AG3408">
        <v>0</v>
      </c>
      <c r="AH3408">
        <v>0</v>
      </c>
      <c r="AI3408">
        <v>13.91</v>
      </c>
      <c r="AJ3408">
        <v>77.28</v>
      </c>
      <c r="AK3408">
        <v>0</v>
      </c>
      <c r="AL3408" t="s">
        <v>53</v>
      </c>
      <c r="AM3408" t="s">
        <v>53</v>
      </c>
      <c r="AN3408" t="s">
        <v>53</v>
      </c>
      <c r="AO3408" t="s">
        <v>53</v>
      </c>
      <c r="AP3408" t="s">
        <v>53</v>
      </c>
    </row>
    <row r="3409" spans="2:42" x14ac:dyDescent="0.2">
      <c r="B3409" t="s">
        <v>44</v>
      </c>
      <c r="C3409" t="str">
        <f>HYPERLINK("https://us2.cloudbeds.com/connect/8493803454333002#/reservations/36783495991496?display=Q52UJ4Q1M&amp;reservation_id=36783495991496", "Q52UJ4Q1M")</f>
        <v>Q52UJ4Q1M</v>
      </c>
      <c r="D3409" t="s">
        <v>45</v>
      </c>
      <c r="E3409" t="s">
        <v>138</v>
      </c>
      <c r="F3409" t="s">
        <v>70</v>
      </c>
      <c r="G3409" t="s">
        <v>48</v>
      </c>
      <c r="H3409" t="s">
        <v>3957</v>
      </c>
      <c r="I3409" t="s">
        <v>3975</v>
      </c>
      <c r="J3409" t="s">
        <v>5571</v>
      </c>
      <c r="K3409" t="s">
        <v>5619</v>
      </c>
      <c r="L3409" t="s">
        <v>53</v>
      </c>
      <c r="P3409" t="s">
        <v>55</v>
      </c>
      <c r="R3409" t="s">
        <v>56</v>
      </c>
      <c r="T3409" t="s">
        <v>5620</v>
      </c>
      <c r="U3409" t="s">
        <v>58</v>
      </c>
      <c r="V3409">
        <v>2</v>
      </c>
      <c r="W3409">
        <v>1</v>
      </c>
      <c r="X3409">
        <v>1</v>
      </c>
      <c r="Y3409">
        <v>0</v>
      </c>
      <c r="Z3409">
        <v>1</v>
      </c>
      <c r="AA3409">
        <v>0</v>
      </c>
      <c r="AB3409">
        <v>143.22</v>
      </c>
      <c r="AC3409">
        <v>126</v>
      </c>
      <c r="AD3409">
        <v>0</v>
      </c>
      <c r="AE3409">
        <v>17.22</v>
      </c>
      <c r="AF3409">
        <v>0</v>
      </c>
      <c r="AG3409">
        <v>0</v>
      </c>
      <c r="AH3409">
        <v>0</v>
      </c>
      <c r="AI3409">
        <v>0</v>
      </c>
      <c r="AJ3409">
        <v>143.22</v>
      </c>
      <c r="AK3409">
        <v>0</v>
      </c>
      <c r="AL3409" t="s">
        <v>53</v>
      </c>
      <c r="AM3409" t="s">
        <v>53</v>
      </c>
      <c r="AN3409" t="s">
        <v>53</v>
      </c>
      <c r="AO3409" t="s">
        <v>53</v>
      </c>
      <c r="AP3409" t="s">
        <v>53</v>
      </c>
    </row>
    <row r="3410" spans="2:42" x14ac:dyDescent="0.2">
      <c r="B3410" t="s">
        <v>44</v>
      </c>
      <c r="C3410" t="str">
        <f>HYPERLINK("https://us2.cloudbeds.com/connect/8493803454333002#/reservations/36857526800526?display=Q6R87T5V2&amp;reservation_id=36857526800526", "Q6R87T5V2")</f>
        <v>Q6R87T5V2</v>
      </c>
      <c r="D3410" t="s">
        <v>45</v>
      </c>
      <c r="E3410" t="s">
        <v>190</v>
      </c>
      <c r="F3410" t="s">
        <v>61</v>
      </c>
      <c r="G3410" t="s">
        <v>48</v>
      </c>
      <c r="H3410" t="s">
        <v>3957</v>
      </c>
      <c r="I3410" t="s">
        <v>3958</v>
      </c>
      <c r="J3410" t="s">
        <v>3613</v>
      </c>
      <c r="K3410" t="s">
        <v>3618</v>
      </c>
      <c r="L3410" t="s">
        <v>53</v>
      </c>
      <c r="P3410" t="s">
        <v>55</v>
      </c>
      <c r="R3410" t="s">
        <v>56</v>
      </c>
      <c r="T3410" t="s">
        <v>5621</v>
      </c>
      <c r="U3410" t="s">
        <v>58</v>
      </c>
      <c r="V3410">
        <v>3</v>
      </c>
      <c r="W3410">
        <v>1</v>
      </c>
      <c r="X3410">
        <v>1</v>
      </c>
      <c r="Y3410">
        <v>0</v>
      </c>
      <c r="Z3410">
        <v>1</v>
      </c>
      <c r="AA3410">
        <v>0</v>
      </c>
      <c r="AB3410">
        <v>238.68</v>
      </c>
      <c r="AC3410">
        <v>210</v>
      </c>
      <c r="AD3410">
        <v>0</v>
      </c>
      <c r="AE3410">
        <v>28.68</v>
      </c>
      <c r="AF3410">
        <v>0</v>
      </c>
      <c r="AG3410">
        <v>0</v>
      </c>
      <c r="AH3410">
        <v>0</v>
      </c>
      <c r="AI3410">
        <v>0</v>
      </c>
      <c r="AJ3410">
        <v>238.68</v>
      </c>
      <c r="AK3410">
        <v>0</v>
      </c>
      <c r="AL3410" t="s">
        <v>53</v>
      </c>
      <c r="AM3410" t="s">
        <v>53</v>
      </c>
      <c r="AN3410" t="s">
        <v>53</v>
      </c>
      <c r="AO3410" t="s">
        <v>53</v>
      </c>
      <c r="AP3410" t="s">
        <v>53</v>
      </c>
    </row>
    <row r="3411" spans="2:42" x14ac:dyDescent="0.2">
      <c r="B3411" t="s">
        <v>44</v>
      </c>
      <c r="C3411" t="str">
        <f>HYPERLINK("https://us2.cloudbeds.com/connect/8493803454333002#/reservations/37042626863327?display=QB5XW59D7&amp;reservation_id=37042626863327", "QB5XW59D7")</f>
        <v>QB5XW59D7</v>
      </c>
      <c r="D3411" t="s">
        <v>45</v>
      </c>
      <c r="E3411" t="s">
        <v>305</v>
      </c>
      <c r="F3411" t="s">
        <v>61</v>
      </c>
      <c r="G3411" t="s">
        <v>48</v>
      </c>
      <c r="H3411" t="s">
        <v>49</v>
      </c>
      <c r="I3411" t="s">
        <v>50</v>
      </c>
      <c r="J3411" t="s">
        <v>5622</v>
      </c>
      <c r="K3411" t="s">
        <v>5623</v>
      </c>
      <c r="L3411" t="s">
        <v>53</v>
      </c>
      <c r="N3411" t="s">
        <v>5624</v>
      </c>
      <c r="P3411" t="s">
        <v>55</v>
      </c>
      <c r="R3411" t="s">
        <v>53</v>
      </c>
      <c r="T3411" t="s">
        <v>5625</v>
      </c>
      <c r="U3411" t="s">
        <v>58</v>
      </c>
      <c r="V3411">
        <v>1</v>
      </c>
      <c r="W3411">
        <v>1</v>
      </c>
      <c r="X3411">
        <v>2</v>
      </c>
      <c r="Y3411">
        <v>0</v>
      </c>
      <c r="Z3411">
        <v>2</v>
      </c>
      <c r="AA3411">
        <v>0</v>
      </c>
      <c r="AB3411">
        <v>174.56</v>
      </c>
      <c r="AC3411">
        <v>153.6</v>
      </c>
      <c r="AD3411">
        <v>0</v>
      </c>
      <c r="AE3411">
        <v>20.96</v>
      </c>
      <c r="AF3411">
        <v>0</v>
      </c>
      <c r="AG3411">
        <v>0</v>
      </c>
      <c r="AH3411">
        <v>0</v>
      </c>
      <c r="AI3411">
        <v>31.42</v>
      </c>
      <c r="AJ3411">
        <v>174.56</v>
      </c>
      <c r="AK3411">
        <v>0</v>
      </c>
      <c r="AL3411" t="s">
        <v>53</v>
      </c>
      <c r="AM3411" t="s">
        <v>53</v>
      </c>
      <c r="AN3411" t="s">
        <v>53</v>
      </c>
      <c r="AO3411" t="s">
        <v>53</v>
      </c>
      <c r="AP3411" t="s">
        <v>53</v>
      </c>
    </row>
    <row r="3412" spans="2:42" x14ac:dyDescent="0.2">
      <c r="B3412" t="s">
        <v>44</v>
      </c>
      <c r="C3412" t="str">
        <f>HYPERLINK("https://us2.cloudbeds.com/connect/8493803454333002#/reservations/37051481612440?display=QBCE7NZ4U&amp;reservation_id=37051481612440", "QBCE7NZ4U")</f>
        <v>QBCE7NZ4U</v>
      </c>
      <c r="D3412" t="s">
        <v>45</v>
      </c>
      <c r="E3412" t="s">
        <v>78</v>
      </c>
      <c r="F3412" t="s">
        <v>61</v>
      </c>
      <c r="G3412" t="s">
        <v>48</v>
      </c>
      <c r="H3412" t="s">
        <v>49</v>
      </c>
      <c r="I3412" t="s">
        <v>50</v>
      </c>
      <c r="J3412" t="s">
        <v>3617</v>
      </c>
      <c r="K3412" t="s">
        <v>3618</v>
      </c>
      <c r="L3412" t="s">
        <v>53</v>
      </c>
      <c r="N3412" t="s">
        <v>5626</v>
      </c>
      <c r="P3412" t="s">
        <v>58</v>
      </c>
      <c r="R3412" t="s">
        <v>56</v>
      </c>
      <c r="T3412" t="s">
        <v>5627</v>
      </c>
      <c r="U3412" t="s">
        <v>58</v>
      </c>
      <c r="V3412">
        <v>1</v>
      </c>
      <c r="W3412">
        <v>1</v>
      </c>
      <c r="X3412">
        <v>1</v>
      </c>
      <c r="Y3412">
        <v>0</v>
      </c>
      <c r="Z3412">
        <v>1</v>
      </c>
      <c r="AA3412">
        <v>0</v>
      </c>
      <c r="AB3412">
        <v>78.2</v>
      </c>
      <c r="AC3412">
        <v>68.8</v>
      </c>
      <c r="AD3412">
        <v>0</v>
      </c>
      <c r="AE3412">
        <v>9.4</v>
      </c>
      <c r="AF3412">
        <v>0</v>
      </c>
      <c r="AG3412">
        <v>0</v>
      </c>
      <c r="AH3412">
        <v>0</v>
      </c>
      <c r="AI3412">
        <v>14.08</v>
      </c>
      <c r="AJ3412">
        <v>78.2</v>
      </c>
      <c r="AK3412">
        <v>0</v>
      </c>
      <c r="AL3412" t="s">
        <v>53</v>
      </c>
      <c r="AM3412" t="s">
        <v>53</v>
      </c>
      <c r="AN3412" t="s">
        <v>53</v>
      </c>
      <c r="AO3412" t="s">
        <v>53</v>
      </c>
      <c r="AP3412" t="s">
        <v>53</v>
      </c>
    </row>
    <row r="3413" spans="2:42" x14ac:dyDescent="0.2">
      <c r="B3413" t="s">
        <v>44</v>
      </c>
      <c r="C3413" t="str">
        <f>HYPERLINK("https://us2.cloudbeds.com/connect/8493803454333002#/reservations/37080990978181?display=QC298QB06&amp;reservation_id=37080990978181", "QC298QB06")</f>
        <v>QC298QB06</v>
      </c>
      <c r="D3413" t="s">
        <v>45</v>
      </c>
      <c r="E3413" t="s">
        <v>128</v>
      </c>
      <c r="F3413" t="s">
        <v>86</v>
      </c>
      <c r="G3413" t="s">
        <v>48</v>
      </c>
      <c r="H3413" t="s">
        <v>3957</v>
      </c>
      <c r="I3413" t="s">
        <v>3975</v>
      </c>
      <c r="J3413" t="s">
        <v>5622</v>
      </c>
      <c r="K3413" t="s">
        <v>5623</v>
      </c>
      <c r="L3413" t="s">
        <v>53</v>
      </c>
      <c r="P3413" t="s">
        <v>55</v>
      </c>
      <c r="R3413" t="s">
        <v>56</v>
      </c>
      <c r="T3413" t="s">
        <v>5628</v>
      </c>
      <c r="U3413" t="s">
        <v>58</v>
      </c>
      <c r="V3413">
        <v>1</v>
      </c>
      <c r="W3413">
        <v>1</v>
      </c>
      <c r="X3413">
        <v>2</v>
      </c>
      <c r="Y3413">
        <v>0</v>
      </c>
      <c r="Z3413">
        <v>2</v>
      </c>
      <c r="AA3413">
        <v>0</v>
      </c>
      <c r="AB3413">
        <v>227.3</v>
      </c>
      <c r="AC3413">
        <v>200</v>
      </c>
      <c r="AD3413">
        <v>0</v>
      </c>
      <c r="AE3413">
        <v>27.3</v>
      </c>
      <c r="AF3413">
        <v>0</v>
      </c>
      <c r="AG3413">
        <v>0</v>
      </c>
      <c r="AH3413">
        <v>0</v>
      </c>
      <c r="AI3413">
        <v>0</v>
      </c>
      <c r="AJ3413">
        <v>227.3</v>
      </c>
      <c r="AK3413">
        <v>0</v>
      </c>
      <c r="AL3413" t="s">
        <v>53</v>
      </c>
      <c r="AM3413" t="s">
        <v>53</v>
      </c>
      <c r="AN3413" t="s">
        <v>53</v>
      </c>
      <c r="AO3413" t="s">
        <v>53</v>
      </c>
      <c r="AP3413" t="s">
        <v>53</v>
      </c>
    </row>
    <row r="3414" spans="2:42" x14ac:dyDescent="0.2">
      <c r="B3414" t="s">
        <v>44</v>
      </c>
      <c r="C3414" t="str">
        <f>HYPERLINK("https://us2.cloudbeds.com/connect/8493803454333002#/reservations/37082469511373?display=QC3E1HN2A&amp;reservation_id=37082469511373", "QC3E1HN2A")</f>
        <v>QC3E1HN2A</v>
      </c>
      <c r="D3414" t="s">
        <v>45</v>
      </c>
      <c r="E3414" t="s">
        <v>85</v>
      </c>
      <c r="F3414" t="s">
        <v>86</v>
      </c>
      <c r="G3414" t="s">
        <v>48</v>
      </c>
      <c r="H3414" t="s">
        <v>49</v>
      </c>
      <c r="I3414" t="s">
        <v>50</v>
      </c>
      <c r="J3414" t="s">
        <v>5622</v>
      </c>
      <c r="K3414" t="s">
        <v>5623</v>
      </c>
      <c r="L3414" t="s">
        <v>53</v>
      </c>
      <c r="N3414" t="s">
        <v>5629</v>
      </c>
      <c r="P3414" t="s">
        <v>55</v>
      </c>
      <c r="R3414" t="s">
        <v>53</v>
      </c>
      <c r="T3414" t="s">
        <v>5630</v>
      </c>
      <c r="U3414" t="s">
        <v>58</v>
      </c>
      <c r="V3414">
        <v>1</v>
      </c>
      <c r="W3414">
        <v>1</v>
      </c>
      <c r="X3414">
        <v>2</v>
      </c>
      <c r="Y3414">
        <v>0</v>
      </c>
      <c r="Z3414">
        <v>2</v>
      </c>
      <c r="AA3414">
        <v>0</v>
      </c>
      <c r="AB3414">
        <v>181.84</v>
      </c>
      <c r="AC3414">
        <v>160</v>
      </c>
      <c r="AD3414">
        <v>0</v>
      </c>
      <c r="AE3414">
        <v>21.84</v>
      </c>
      <c r="AF3414">
        <v>0</v>
      </c>
      <c r="AG3414">
        <v>0</v>
      </c>
      <c r="AH3414">
        <v>0</v>
      </c>
      <c r="AI3414">
        <v>32.729999999999997</v>
      </c>
      <c r="AJ3414">
        <v>181.84</v>
      </c>
      <c r="AK3414">
        <v>0</v>
      </c>
      <c r="AL3414" t="s">
        <v>53</v>
      </c>
      <c r="AM3414" t="s">
        <v>53</v>
      </c>
      <c r="AN3414" t="s">
        <v>53</v>
      </c>
      <c r="AO3414" t="s">
        <v>53</v>
      </c>
      <c r="AP3414" t="s">
        <v>53</v>
      </c>
    </row>
    <row r="3415" spans="2:42" x14ac:dyDescent="0.2">
      <c r="B3415" t="s">
        <v>44</v>
      </c>
      <c r="C3415" t="str">
        <f>HYPERLINK("https://us2.cloudbeds.com/connect/8493803454333002#/reservations/37091615174787?display=QCAGZD8ZT&amp;reservation_id=37091615174787", "QCAGZD8ZT")</f>
        <v>QCAGZD8ZT</v>
      </c>
      <c r="D3415" t="s">
        <v>45</v>
      </c>
      <c r="E3415" t="s">
        <v>213</v>
      </c>
      <c r="F3415" t="s">
        <v>86</v>
      </c>
      <c r="G3415" t="s">
        <v>48</v>
      </c>
      <c r="H3415" t="s">
        <v>3957</v>
      </c>
      <c r="I3415" t="s">
        <v>3975</v>
      </c>
      <c r="J3415" t="s">
        <v>5622</v>
      </c>
      <c r="K3415" t="s">
        <v>5623</v>
      </c>
      <c r="L3415" t="s">
        <v>53</v>
      </c>
      <c r="P3415" t="s">
        <v>55</v>
      </c>
      <c r="R3415" t="s">
        <v>56</v>
      </c>
      <c r="T3415" t="s">
        <v>5631</v>
      </c>
      <c r="U3415" t="s">
        <v>58</v>
      </c>
      <c r="V3415">
        <v>1</v>
      </c>
      <c r="W3415">
        <v>1</v>
      </c>
      <c r="X3415">
        <v>2</v>
      </c>
      <c r="Y3415">
        <v>0</v>
      </c>
      <c r="Z3415">
        <v>2</v>
      </c>
      <c r="AA3415">
        <v>0</v>
      </c>
      <c r="AB3415">
        <v>227.3</v>
      </c>
      <c r="AC3415">
        <v>200</v>
      </c>
      <c r="AD3415">
        <v>0</v>
      </c>
      <c r="AE3415">
        <v>27.3</v>
      </c>
      <c r="AF3415">
        <v>0</v>
      </c>
      <c r="AG3415">
        <v>0</v>
      </c>
      <c r="AH3415">
        <v>0</v>
      </c>
      <c r="AI3415">
        <v>0</v>
      </c>
      <c r="AJ3415">
        <v>227.3</v>
      </c>
      <c r="AK3415">
        <v>0</v>
      </c>
      <c r="AL3415" t="s">
        <v>53</v>
      </c>
      <c r="AM3415" t="s">
        <v>53</v>
      </c>
      <c r="AN3415" t="s">
        <v>53</v>
      </c>
      <c r="AO3415" t="s">
        <v>53</v>
      </c>
      <c r="AP3415" t="s">
        <v>53</v>
      </c>
    </row>
    <row r="3416" spans="2:42" x14ac:dyDescent="0.2">
      <c r="B3416" t="s">
        <v>44</v>
      </c>
      <c r="C3416" t="str">
        <f>HYPERLINK("https://us2.cloudbeds.com/connect/8493803454333002#/reservations/37164407914633?display=QE0SP5XB9&amp;reservation_id=37164407914633", "QE0SP5XB9")</f>
        <v>QE0SP5XB9</v>
      </c>
      <c r="D3416" t="s">
        <v>45</v>
      </c>
      <c r="E3416" t="s">
        <v>165</v>
      </c>
      <c r="F3416" t="s">
        <v>61</v>
      </c>
      <c r="G3416" t="s">
        <v>48</v>
      </c>
      <c r="H3416" t="s">
        <v>3957</v>
      </c>
      <c r="I3416" t="s">
        <v>3958</v>
      </c>
      <c r="J3416" t="s">
        <v>5574</v>
      </c>
      <c r="K3416" t="s">
        <v>3617</v>
      </c>
      <c r="L3416" t="s">
        <v>53</v>
      </c>
      <c r="P3416" t="s">
        <v>55</v>
      </c>
      <c r="R3416" t="s">
        <v>56</v>
      </c>
      <c r="T3416" t="s">
        <v>5632</v>
      </c>
      <c r="U3416" t="s">
        <v>58</v>
      </c>
      <c r="V3416">
        <v>1</v>
      </c>
      <c r="W3416">
        <v>1</v>
      </c>
      <c r="X3416">
        <v>1</v>
      </c>
      <c r="Y3416">
        <v>0</v>
      </c>
      <c r="Z3416">
        <v>1</v>
      </c>
      <c r="AA3416">
        <v>0</v>
      </c>
      <c r="AB3416">
        <v>97.74</v>
      </c>
      <c r="AC3416">
        <v>86</v>
      </c>
      <c r="AD3416">
        <v>0</v>
      </c>
      <c r="AE3416">
        <v>11.74</v>
      </c>
      <c r="AF3416">
        <v>0</v>
      </c>
      <c r="AG3416">
        <v>0</v>
      </c>
      <c r="AH3416">
        <v>0</v>
      </c>
      <c r="AI3416">
        <v>0</v>
      </c>
      <c r="AJ3416">
        <v>97.74</v>
      </c>
      <c r="AK3416">
        <v>0</v>
      </c>
      <c r="AL3416" t="s">
        <v>53</v>
      </c>
      <c r="AM3416" t="s">
        <v>53</v>
      </c>
      <c r="AN3416" t="s">
        <v>53</v>
      </c>
      <c r="AO3416" t="s">
        <v>53</v>
      </c>
      <c r="AP3416" t="s">
        <v>53</v>
      </c>
    </row>
    <row r="3417" spans="2:42" x14ac:dyDescent="0.2">
      <c r="B3417" t="s">
        <v>44</v>
      </c>
      <c r="C3417" t="str">
        <f>HYPERLINK("https://us2.cloudbeds.com/connect/8493803454333002#/reservations/37196184838331?display=QEPFZA9U1&amp;reservation_id=37196184838331", "QEPFZA9U1")</f>
        <v>QEPFZA9U1</v>
      </c>
      <c r="D3417" t="s">
        <v>45</v>
      </c>
      <c r="E3417" t="s">
        <v>138</v>
      </c>
      <c r="F3417" t="s">
        <v>70</v>
      </c>
      <c r="G3417" t="s">
        <v>48</v>
      </c>
      <c r="H3417" t="s">
        <v>49</v>
      </c>
      <c r="I3417" t="s">
        <v>62</v>
      </c>
      <c r="J3417" t="s">
        <v>5574</v>
      </c>
      <c r="K3417" t="s">
        <v>3617</v>
      </c>
      <c r="L3417" t="s">
        <v>53</v>
      </c>
      <c r="N3417" t="s">
        <v>5633</v>
      </c>
      <c r="P3417" t="s">
        <v>55</v>
      </c>
      <c r="R3417" t="s">
        <v>56</v>
      </c>
      <c r="T3417" t="s">
        <v>5634</v>
      </c>
      <c r="U3417" t="s">
        <v>55</v>
      </c>
      <c r="V3417">
        <v>1</v>
      </c>
      <c r="W3417">
        <v>1</v>
      </c>
      <c r="X3417">
        <v>1</v>
      </c>
      <c r="Y3417">
        <v>0</v>
      </c>
      <c r="Z3417">
        <v>1</v>
      </c>
      <c r="AA3417">
        <v>0</v>
      </c>
      <c r="AB3417">
        <v>84.11</v>
      </c>
      <c r="AC3417">
        <v>74</v>
      </c>
      <c r="AD3417">
        <v>0</v>
      </c>
      <c r="AE3417">
        <v>10.11</v>
      </c>
      <c r="AF3417">
        <v>0</v>
      </c>
      <c r="AG3417">
        <v>0</v>
      </c>
      <c r="AH3417">
        <v>0</v>
      </c>
      <c r="AI3417">
        <v>12.62</v>
      </c>
      <c r="AJ3417">
        <v>84.11</v>
      </c>
      <c r="AK3417">
        <v>0</v>
      </c>
      <c r="AL3417" t="s">
        <v>53</v>
      </c>
      <c r="AM3417" t="s">
        <v>53</v>
      </c>
      <c r="AN3417" t="s">
        <v>53</v>
      </c>
      <c r="AO3417" t="s">
        <v>53</v>
      </c>
      <c r="AP3417" t="s">
        <v>53</v>
      </c>
    </row>
    <row r="3418" spans="2:42" x14ac:dyDescent="0.2">
      <c r="B3418" t="s">
        <v>44</v>
      </c>
      <c r="C3418" t="str">
        <f>HYPERLINK("https://us2.cloudbeds.com/connect/8493803454333002#/reservations/37441019928735?display=QKH1RZJUQ&amp;reservation_id=37441019928735", "QKH1RZJUQ")</f>
        <v>QKH1RZJUQ</v>
      </c>
      <c r="D3418" t="s">
        <v>45</v>
      </c>
      <c r="E3418" t="s">
        <v>155</v>
      </c>
      <c r="F3418" t="s">
        <v>86</v>
      </c>
      <c r="G3418" t="s">
        <v>48</v>
      </c>
      <c r="H3418" t="s">
        <v>49</v>
      </c>
      <c r="I3418" t="s">
        <v>50</v>
      </c>
      <c r="J3418" t="s">
        <v>5622</v>
      </c>
      <c r="K3418" t="s">
        <v>5623</v>
      </c>
      <c r="L3418" t="s">
        <v>53</v>
      </c>
      <c r="N3418" t="s">
        <v>5635</v>
      </c>
      <c r="P3418" t="s">
        <v>55</v>
      </c>
      <c r="R3418" t="s">
        <v>53</v>
      </c>
      <c r="T3418" t="s">
        <v>5636</v>
      </c>
      <c r="U3418" t="s">
        <v>58</v>
      </c>
      <c r="V3418">
        <v>1</v>
      </c>
      <c r="W3418">
        <v>1</v>
      </c>
      <c r="X3418">
        <v>3</v>
      </c>
      <c r="Y3418">
        <v>0</v>
      </c>
      <c r="Z3418">
        <v>3</v>
      </c>
      <c r="AA3418">
        <v>0</v>
      </c>
      <c r="AB3418">
        <v>181.84</v>
      </c>
      <c r="AC3418">
        <v>160</v>
      </c>
      <c r="AD3418">
        <v>0</v>
      </c>
      <c r="AE3418">
        <v>21.84</v>
      </c>
      <c r="AF3418">
        <v>0</v>
      </c>
      <c r="AG3418">
        <v>0</v>
      </c>
      <c r="AH3418">
        <v>0</v>
      </c>
      <c r="AI3418">
        <v>32.729999999999997</v>
      </c>
      <c r="AJ3418">
        <v>181.84</v>
      </c>
      <c r="AK3418">
        <v>0</v>
      </c>
      <c r="AL3418" t="s">
        <v>53</v>
      </c>
      <c r="AM3418" t="s">
        <v>53</v>
      </c>
      <c r="AN3418" t="s">
        <v>53</v>
      </c>
      <c r="AO3418" t="s">
        <v>53</v>
      </c>
      <c r="AP3418" t="s">
        <v>53</v>
      </c>
    </row>
    <row r="3419" spans="2:42" x14ac:dyDescent="0.2">
      <c r="B3419" t="s">
        <v>44</v>
      </c>
      <c r="C3419" t="str">
        <f>HYPERLINK("https://us2.cloudbeds.com/connect/8493803454333002#/reservations/37546848936137?display=QN000XZC1&amp;reservation_id=37546848936137", "QN000XZC1")</f>
        <v>QN000XZC1</v>
      </c>
      <c r="D3419" t="s">
        <v>45</v>
      </c>
      <c r="E3419" t="s">
        <v>185</v>
      </c>
      <c r="F3419" t="s">
        <v>47</v>
      </c>
      <c r="G3419" t="s">
        <v>48</v>
      </c>
      <c r="H3419" t="s">
        <v>49</v>
      </c>
      <c r="I3419" t="s">
        <v>50</v>
      </c>
      <c r="J3419" t="s">
        <v>3617</v>
      </c>
      <c r="K3419" t="s">
        <v>5511</v>
      </c>
      <c r="L3419" t="s">
        <v>53</v>
      </c>
      <c r="N3419" t="s">
        <v>5637</v>
      </c>
      <c r="P3419" t="s">
        <v>55</v>
      </c>
      <c r="R3419" t="s">
        <v>53</v>
      </c>
      <c r="T3419" t="s">
        <v>5638</v>
      </c>
      <c r="U3419" t="s">
        <v>58</v>
      </c>
      <c r="V3419">
        <v>2</v>
      </c>
      <c r="W3419">
        <v>1</v>
      </c>
      <c r="X3419">
        <v>1</v>
      </c>
      <c r="Y3419">
        <v>0</v>
      </c>
      <c r="Z3419">
        <v>1</v>
      </c>
      <c r="AA3419">
        <v>0</v>
      </c>
      <c r="AB3419">
        <v>154.56</v>
      </c>
      <c r="AC3419">
        <v>136</v>
      </c>
      <c r="AD3419">
        <v>0</v>
      </c>
      <c r="AE3419">
        <v>18.559999999999999</v>
      </c>
      <c r="AF3419">
        <v>0</v>
      </c>
      <c r="AG3419">
        <v>0</v>
      </c>
      <c r="AH3419">
        <v>0</v>
      </c>
      <c r="AI3419">
        <v>27.82</v>
      </c>
      <c r="AJ3419">
        <v>154.56</v>
      </c>
      <c r="AK3419">
        <v>0</v>
      </c>
      <c r="AL3419" t="s">
        <v>53</v>
      </c>
      <c r="AM3419" t="s">
        <v>53</v>
      </c>
      <c r="AN3419" t="s">
        <v>53</v>
      </c>
      <c r="AO3419" t="s">
        <v>53</v>
      </c>
      <c r="AP3419" t="s">
        <v>53</v>
      </c>
    </row>
    <row r="3420" spans="2:42" x14ac:dyDescent="0.2">
      <c r="B3420" t="s">
        <v>44</v>
      </c>
      <c r="C3420" t="str">
        <f>HYPERLINK("https://us2.cloudbeds.com/connect/8493803454333002#/reservations/37826697023639?display=QTXMPT9SS&amp;reservation_id=37826697023639", "QTXMPT9SS")</f>
        <v>QTXMPT9SS</v>
      </c>
      <c r="D3420" t="s">
        <v>45</v>
      </c>
      <c r="E3420" t="s">
        <v>105</v>
      </c>
      <c r="F3420" t="s">
        <v>47</v>
      </c>
      <c r="G3420" t="s">
        <v>48</v>
      </c>
      <c r="H3420" t="s">
        <v>3957</v>
      </c>
      <c r="I3420" t="s">
        <v>3958</v>
      </c>
      <c r="J3420" t="s">
        <v>3618</v>
      </c>
      <c r="K3420" t="s">
        <v>5511</v>
      </c>
      <c r="L3420" t="s">
        <v>53</v>
      </c>
      <c r="P3420" t="s">
        <v>58</v>
      </c>
      <c r="R3420" t="s">
        <v>56</v>
      </c>
      <c r="T3420" t="s">
        <v>5639</v>
      </c>
      <c r="U3420" t="s">
        <v>58</v>
      </c>
      <c r="V3420">
        <v>1</v>
      </c>
      <c r="W3420">
        <v>1</v>
      </c>
      <c r="X3420">
        <v>1</v>
      </c>
      <c r="Y3420">
        <v>0</v>
      </c>
      <c r="Z3420">
        <v>1</v>
      </c>
      <c r="AA3420">
        <v>0</v>
      </c>
      <c r="AB3420">
        <v>90.92</v>
      </c>
      <c r="AC3420">
        <v>80</v>
      </c>
      <c r="AD3420">
        <v>0</v>
      </c>
      <c r="AE3420">
        <v>10.92</v>
      </c>
      <c r="AF3420">
        <v>0</v>
      </c>
      <c r="AG3420">
        <v>0</v>
      </c>
      <c r="AH3420">
        <v>0</v>
      </c>
      <c r="AI3420">
        <v>0</v>
      </c>
      <c r="AJ3420">
        <v>90.92</v>
      </c>
      <c r="AK3420">
        <v>0</v>
      </c>
      <c r="AL3420" t="s">
        <v>53</v>
      </c>
      <c r="AM3420" t="s">
        <v>53</v>
      </c>
      <c r="AN3420" t="s">
        <v>53</v>
      </c>
      <c r="AO3420" t="s">
        <v>53</v>
      </c>
      <c r="AP3420" t="s">
        <v>53</v>
      </c>
    </row>
    <row r="3421" spans="2:42" x14ac:dyDescent="0.2">
      <c r="B3421" t="s">
        <v>44</v>
      </c>
      <c r="C3421" t="str">
        <f>HYPERLINK("https://us2.cloudbeds.com/connect/8493803454333002#/reservations/38134255755516?display=R3PRKXCQT&amp;reservation_id=38134255755516", "R3PRKXCQT")</f>
        <v>R3PRKXCQT</v>
      </c>
      <c r="D3421" t="s">
        <v>45</v>
      </c>
      <c r="E3421" t="s">
        <v>105</v>
      </c>
      <c r="F3421" t="s">
        <v>47</v>
      </c>
      <c r="G3421" t="s">
        <v>48</v>
      </c>
      <c r="H3421" t="s">
        <v>49</v>
      </c>
      <c r="I3421" t="s">
        <v>62</v>
      </c>
      <c r="J3421" t="s">
        <v>5511</v>
      </c>
      <c r="K3421" t="s">
        <v>5640</v>
      </c>
      <c r="L3421" t="s">
        <v>53</v>
      </c>
      <c r="N3421" t="s">
        <v>5641</v>
      </c>
      <c r="P3421" t="s">
        <v>55</v>
      </c>
      <c r="R3421" t="s">
        <v>56</v>
      </c>
      <c r="T3421" t="s">
        <v>5642</v>
      </c>
      <c r="U3421" t="s">
        <v>55</v>
      </c>
      <c r="V3421">
        <v>1</v>
      </c>
      <c r="W3421">
        <v>1</v>
      </c>
      <c r="X3421">
        <v>1</v>
      </c>
      <c r="Y3421">
        <v>0</v>
      </c>
      <c r="Z3421">
        <v>1</v>
      </c>
      <c r="AA3421">
        <v>0</v>
      </c>
      <c r="AB3421">
        <v>90.92</v>
      </c>
      <c r="AC3421">
        <v>80</v>
      </c>
      <c r="AD3421">
        <v>0</v>
      </c>
      <c r="AE3421">
        <v>10.92</v>
      </c>
      <c r="AF3421">
        <v>0</v>
      </c>
      <c r="AG3421">
        <v>0</v>
      </c>
      <c r="AH3421">
        <v>0</v>
      </c>
      <c r="AI3421">
        <v>13.64</v>
      </c>
      <c r="AJ3421">
        <v>90.92</v>
      </c>
      <c r="AK3421">
        <v>0</v>
      </c>
      <c r="AL3421" t="s">
        <v>53</v>
      </c>
      <c r="AM3421" t="s">
        <v>53</v>
      </c>
      <c r="AN3421" t="s">
        <v>53</v>
      </c>
      <c r="AO3421" t="s">
        <v>53</v>
      </c>
      <c r="AP3421" t="s">
        <v>53</v>
      </c>
    </row>
    <row r="3422" spans="2:42" x14ac:dyDescent="0.2">
      <c r="B3422" t="s">
        <v>44</v>
      </c>
      <c r="C3422" t="str">
        <f>HYPERLINK("https://us2.cloudbeds.com/connect/8493803454333002#/reservations/38136752246922?display=R3RPDYV2K&amp;reservation_id=38136752246922", "R3RPDYV2K")</f>
        <v>R3RPDYV2K</v>
      </c>
      <c r="D3422" t="s">
        <v>45</v>
      </c>
      <c r="E3422" t="s">
        <v>165</v>
      </c>
      <c r="F3422" t="s">
        <v>61</v>
      </c>
      <c r="G3422" t="s">
        <v>48</v>
      </c>
      <c r="H3422" t="s">
        <v>49</v>
      </c>
      <c r="I3422" t="s">
        <v>50</v>
      </c>
      <c r="J3422" t="s">
        <v>5643</v>
      </c>
      <c r="K3422" t="s">
        <v>5644</v>
      </c>
      <c r="L3422" t="s">
        <v>53</v>
      </c>
      <c r="N3422" t="s">
        <v>5645</v>
      </c>
      <c r="P3422" t="s">
        <v>55</v>
      </c>
      <c r="R3422" t="s">
        <v>53</v>
      </c>
      <c r="T3422" t="s">
        <v>5646</v>
      </c>
      <c r="U3422" t="s">
        <v>58</v>
      </c>
      <c r="V3422">
        <v>2</v>
      </c>
      <c r="W3422">
        <v>1</v>
      </c>
      <c r="X3422">
        <v>2</v>
      </c>
      <c r="Y3422">
        <v>0</v>
      </c>
      <c r="Z3422">
        <v>2</v>
      </c>
      <c r="AA3422">
        <v>0</v>
      </c>
      <c r="AB3422">
        <v>132.74</v>
      </c>
      <c r="AC3422">
        <v>116.8</v>
      </c>
      <c r="AD3422">
        <v>0</v>
      </c>
      <c r="AE3422">
        <v>15.94</v>
      </c>
      <c r="AF3422">
        <v>0</v>
      </c>
      <c r="AG3422">
        <v>0</v>
      </c>
      <c r="AH3422">
        <v>0</v>
      </c>
      <c r="AI3422">
        <v>23.89</v>
      </c>
      <c r="AJ3422">
        <v>132.74</v>
      </c>
      <c r="AK3422">
        <v>0</v>
      </c>
      <c r="AL3422" t="s">
        <v>53</v>
      </c>
      <c r="AM3422" t="s">
        <v>53</v>
      </c>
      <c r="AN3422" t="s">
        <v>53</v>
      </c>
      <c r="AO3422" t="s">
        <v>53</v>
      </c>
      <c r="AP3422" t="s">
        <v>53</v>
      </c>
    </row>
    <row r="3423" spans="2:42" x14ac:dyDescent="0.2">
      <c r="B3423" t="s">
        <v>44</v>
      </c>
      <c r="C3423" t="str">
        <f>HYPERLINK("https://us2.cloudbeds.com/connect/8493803454333002#/reservations/38170625478784?display=R4KWVFEG0&amp;reservation_id=38170625478784", "R4KWVFEG0")</f>
        <v>R4KWVFEG0</v>
      </c>
      <c r="D3423" t="s">
        <v>45</v>
      </c>
      <c r="E3423" t="s">
        <v>5647</v>
      </c>
      <c r="F3423" t="s">
        <v>3979</v>
      </c>
      <c r="G3423" t="s">
        <v>48</v>
      </c>
      <c r="H3423" t="s">
        <v>49</v>
      </c>
      <c r="I3423" t="s">
        <v>62</v>
      </c>
      <c r="J3423" t="s">
        <v>5648</v>
      </c>
      <c r="K3423" t="s">
        <v>4724</v>
      </c>
      <c r="L3423" t="s">
        <v>53</v>
      </c>
      <c r="N3423" t="s">
        <v>5649</v>
      </c>
      <c r="P3423" t="s">
        <v>55</v>
      </c>
      <c r="R3423" t="s">
        <v>56</v>
      </c>
      <c r="T3423" t="s">
        <v>5650</v>
      </c>
      <c r="U3423" t="s">
        <v>55</v>
      </c>
      <c r="V3423">
        <v>4</v>
      </c>
      <c r="W3423">
        <v>2</v>
      </c>
      <c r="X3423">
        <v>3</v>
      </c>
      <c r="Y3423">
        <v>0</v>
      </c>
      <c r="Z3423">
        <v>3</v>
      </c>
      <c r="AA3423">
        <v>0</v>
      </c>
      <c r="AB3423">
        <v>333.44</v>
      </c>
      <c r="AC3423">
        <v>293.39999999999998</v>
      </c>
      <c r="AD3423">
        <v>0</v>
      </c>
      <c r="AE3423">
        <v>40.04</v>
      </c>
      <c r="AF3423">
        <v>0</v>
      </c>
      <c r="AG3423">
        <v>0</v>
      </c>
      <c r="AH3423">
        <v>0</v>
      </c>
      <c r="AI3423">
        <v>50.02</v>
      </c>
      <c r="AJ3423">
        <v>333.44</v>
      </c>
      <c r="AK3423">
        <v>0</v>
      </c>
      <c r="AL3423" t="s">
        <v>53</v>
      </c>
      <c r="AM3423" t="s">
        <v>53</v>
      </c>
      <c r="AN3423" t="s">
        <v>53</v>
      </c>
      <c r="AO3423" t="s">
        <v>53</v>
      </c>
      <c r="AP3423" t="s">
        <v>53</v>
      </c>
    </row>
    <row r="3424" spans="2:42" x14ac:dyDescent="0.2">
      <c r="B3424" t="s">
        <v>44</v>
      </c>
      <c r="C3424" t="str">
        <f>HYPERLINK("https://us2.cloudbeds.com/connect/8493803454333002#/reservations/38173314547899?display=R4N2YVSG2&amp;reservation_id=38173314547899", "R4N2YVSG2")</f>
        <v>R4N2YVSG2</v>
      </c>
      <c r="D3424" t="s">
        <v>45</v>
      </c>
      <c r="E3424" t="s">
        <v>113</v>
      </c>
      <c r="F3424" t="s">
        <v>61</v>
      </c>
      <c r="G3424" t="s">
        <v>48</v>
      </c>
      <c r="H3424" t="s">
        <v>49</v>
      </c>
      <c r="I3424" t="s">
        <v>62</v>
      </c>
      <c r="J3424" t="s">
        <v>5511</v>
      </c>
      <c r="K3424" t="s">
        <v>5640</v>
      </c>
      <c r="L3424" t="s">
        <v>53</v>
      </c>
      <c r="N3424" t="s">
        <v>5651</v>
      </c>
      <c r="P3424" t="s">
        <v>55</v>
      </c>
      <c r="R3424" t="s">
        <v>56</v>
      </c>
      <c r="T3424" t="s">
        <v>5652</v>
      </c>
      <c r="U3424" t="s">
        <v>55</v>
      </c>
      <c r="V3424">
        <v>1</v>
      </c>
      <c r="W3424">
        <v>1</v>
      </c>
      <c r="X3424">
        <v>2</v>
      </c>
      <c r="Y3424">
        <v>0</v>
      </c>
      <c r="Z3424">
        <v>2</v>
      </c>
      <c r="AA3424">
        <v>0</v>
      </c>
      <c r="AB3424">
        <v>97.74</v>
      </c>
      <c r="AC3424">
        <v>86</v>
      </c>
      <c r="AD3424">
        <v>0</v>
      </c>
      <c r="AE3424">
        <v>11.74</v>
      </c>
      <c r="AF3424">
        <v>0</v>
      </c>
      <c r="AG3424">
        <v>0</v>
      </c>
      <c r="AH3424">
        <v>0</v>
      </c>
      <c r="AI3424">
        <v>14.66</v>
      </c>
      <c r="AJ3424">
        <v>97.74</v>
      </c>
      <c r="AK3424">
        <v>0</v>
      </c>
      <c r="AL3424" t="s">
        <v>53</v>
      </c>
      <c r="AM3424" t="s">
        <v>53</v>
      </c>
      <c r="AN3424" t="s">
        <v>53</v>
      </c>
      <c r="AO3424" t="s">
        <v>53</v>
      </c>
      <c r="AP3424" t="s">
        <v>53</v>
      </c>
    </row>
    <row r="3425" spans="2:42" x14ac:dyDescent="0.2">
      <c r="B3425" t="s">
        <v>44</v>
      </c>
      <c r="C3425" t="str">
        <f>HYPERLINK("https://us2.cloudbeds.com/connect/8493803454333002#/reservations/38232417005787?display=R62RSNSVE&amp;reservation_id=38232417005787", "R62RSNSVE")</f>
        <v>R62RSNSVE</v>
      </c>
      <c r="D3425" t="s">
        <v>45</v>
      </c>
      <c r="E3425" t="s">
        <v>185</v>
      </c>
      <c r="F3425" t="s">
        <v>47</v>
      </c>
      <c r="G3425" t="s">
        <v>48</v>
      </c>
      <c r="H3425" t="s">
        <v>49</v>
      </c>
      <c r="I3425" t="s">
        <v>50</v>
      </c>
      <c r="J3425" t="s">
        <v>5511</v>
      </c>
      <c r="K3425" t="s">
        <v>5640</v>
      </c>
      <c r="L3425" t="s">
        <v>53</v>
      </c>
      <c r="N3425" t="s">
        <v>5653</v>
      </c>
      <c r="P3425" t="s">
        <v>55</v>
      </c>
      <c r="R3425" t="s">
        <v>53</v>
      </c>
      <c r="T3425" t="s">
        <v>5654</v>
      </c>
      <c r="U3425" t="s">
        <v>58</v>
      </c>
      <c r="V3425">
        <v>1</v>
      </c>
      <c r="W3425">
        <v>1</v>
      </c>
      <c r="X3425">
        <v>1</v>
      </c>
      <c r="Y3425">
        <v>0</v>
      </c>
      <c r="Z3425">
        <v>1</v>
      </c>
      <c r="AA3425">
        <v>0</v>
      </c>
      <c r="AB3425">
        <v>81.83</v>
      </c>
      <c r="AC3425">
        <v>72</v>
      </c>
      <c r="AD3425">
        <v>0</v>
      </c>
      <c r="AE3425">
        <v>9.83</v>
      </c>
      <c r="AF3425">
        <v>0</v>
      </c>
      <c r="AG3425">
        <v>0</v>
      </c>
      <c r="AH3425">
        <v>0</v>
      </c>
      <c r="AI3425">
        <v>14.73</v>
      </c>
      <c r="AJ3425">
        <v>81.83</v>
      </c>
      <c r="AK3425">
        <v>0</v>
      </c>
      <c r="AL3425" t="s">
        <v>53</v>
      </c>
      <c r="AM3425" t="s">
        <v>53</v>
      </c>
      <c r="AN3425" t="s">
        <v>53</v>
      </c>
      <c r="AO3425" t="s">
        <v>53</v>
      </c>
      <c r="AP3425" t="s">
        <v>53</v>
      </c>
    </row>
    <row r="3426" spans="2:42" x14ac:dyDescent="0.2">
      <c r="B3426" t="s">
        <v>44</v>
      </c>
      <c r="C3426" t="str">
        <f>HYPERLINK("https://us2.cloudbeds.com/connect/8493803454333002#/reservations/38268353593555?display=R6UM4DDDX&amp;reservation_id=38268353593555", "R6UM4DDDX")</f>
        <v>R6UM4DDDX</v>
      </c>
      <c r="D3426" t="s">
        <v>45</v>
      </c>
      <c r="E3426" t="s">
        <v>165</v>
      </c>
      <c r="F3426" t="s">
        <v>61</v>
      </c>
      <c r="G3426" t="s">
        <v>48</v>
      </c>
      <c r="H3426" t="s">
        <v>49</v>
      </c>
      <c r="I3426" t="s">
        <v>62</v>
      </c>
      <c r="J3426" t="s">
        <v>4958</v>
      </c>
      <c r="K3426" t="s">
        <v>4959</v>
      </c>
      <c r="L3426" t="s">
        <v>53</v>
      </c>
      <c r="N3426" t="s">
        <v>5655</v>
      </c>
      <c r="P3426" t="s">
        <v>55</v>
      </c>
      <c r="R3426" t="s">
        <v>56</v>
      </c>
      <c r="T3426" t="s">
        <v>5656</v>
      </c>
      <c r="U3426" t="s">
        <v>55</v>
      </c>
      <c r="V3426">
        <v>1</v>
      </c>
      <c r="W3426">
        <v>1</v>
      </c>
      <c r="X3426">
        <v>2</v>
      </c>
      <c r="Y3426">
        <v>0</v>
      </c>
      <c r="Z3426">
        <v>2</v>
      </c>
      <c r="AA3426">
        <v>0</v>
      </c>
      <c r="AB3426">
        <v>87.96</v>
      </c>
      <c r="AC3426">
        <v>77.400000000000006</v>
      </c>
      <c r="AD3426">
        <v>0</v>
      </c>
      <c r="AE3426">
        <v>10.56</v>
      </c>
      <c r="AF3426">
        <v>0</v>
      </c>
      <c r="AG3426">
        <v>0</v>
      </c>
      <c r="AH3426">
        <v>0</v>
      </c>
      <c r="AI3426">
        <v>13.19</v>
      </c>
      <c r="AJ3426">
        <v>87.96</v>
      </c>
      <c r="AK3426">
        <v>0</v>
      </c>
      <c r="AL3426" t="s">
        <v>53</v>
      </c>
      <c r="AM3426" t="s">
        <v>53</v>
      </c>
      <c r="AN3426" t="s">
        <v>53</v>
      </c>
      <c r="AO3426" t="s">
        <v>53</v>
      </c>
      <c r="AP3426" t="s">
        <v>53</v>
      </c>
    </row>
    <row r="3427" spans="2:42" x14ac:dyDescent="0.2">
      <c r="B3427" t="s">
        <v>44</v>
      </c>
      <c r="C3427" t="str">
        <f>HYPERLINK("https://us2.cloudbeds.com/connect/8493803454333002#/reservations/38585928253585?display=RECXTPF6U&amp;reservation_id=38585928253585", "RECXTPF6U")</f>
        <v>RECXTPF6U</v>
      </c>
      <c r="D3427" t="s">
        <v>45</v>
      </c>
      <c r="E3427" t="s">
        <v>190</v>
      </c>
      <c r="F3427" t="s">
        <v>61</v>
      </c>
      <c r="G3427" t="s">
        <v>48</v>
      </c>
      <c r="H3427" t="s">
        <v>49</v>
      </c>
      <c r="I3427" t="s">
        <v>50</v>
      </c>
      <c r="J3427" t="s">
        <v>5657</v>
      </c>
      <c r="K3427" t="s">
        <v>4959</v>
      </c>
      <c r="L3427" t="s">
        <v>53</v>
      </c>
      <c r="N3427" t="s">
        <v>5658</v>
      </c>
      <c r="P3427" t="s">
        <v>55</v>
      </c>
      <c r="R3427" t="s">
        <v>53</v>
      </c>
      <c r="T3427" t="s">
        <v>5659</v>
      </c>
      <c r="U3427" t="s">
        <v>58</v>
      </c>
      <c r="V3427">
        <v>2</v>
      </c>
      <c r="W3427">
        <v>1</v>
      </c>
      <c r="X3427">
        <v>1</v>
      </c>
      <c r="Y3427">
        <v>0</v>
      </c>
      <c r="Z3427">
        <v>1</v>
      </c>
      <c r="AA3427">
        <v>0</v>
      </c>
      <c r="AB3427">
        <v>151.38</v>
      </c>
      <c r="AC3427">
        <v>133.19999999999999</v>
      </c>
      <c r="AD3427">
        <v>0</v>
      </c>
      <c r="AE3427">
        <v>18.18</v>
      </c>
      <c r="AF3427">
        <v>0</v>
      </c>
      <c r="AG3427">
        <v>0</v>
      </c>
      <c r="AH3427">
        <v>0</v>
      </c>
      <c r="AI3427">
        <v>27.25</v>
      </c>
      <c r="AJ3427">
        <v>151.38</v>
      </c>
      <c r="AK3427">
        <v>0</v>
      </c>
      <c r="AL3427" t="s">
        <v>53</v>
      </c>
      <c r="AM3427" t="s">
        <v>53</v>
      </c>
      <c r="AN3427" t="s">
        <v>53</v>
      </c>
      <c r="AO3427" t="s">
        <v>53</v>
      </c>
      <c r="AP3427" t="s">
        <v>53</v>
      </c>
    </row>
    <row r="3428" spans="2:42" x14ac:dyDescent="0.2">
      <c r="B3428" t="s">
        <v>44</v>
      </c>
      <c r="C3428" t="str">
        <f>HYPERLINK("https://us2.cloudbeds.com/connect/8493803454333002#/reservations/38813128294530?display=RJNGCSH2H&amp;reservation_id=38813128294530", "RJNGCSH2H")</f>
        <v>RJNGCSH2H</v>
      </c>
      <c r="D3428" t="s">
        <v>45</v>
      </c>
      <c r="E3428" t="s">
        <v>213</v>
      </c>
      <c r="F3428" t="s">
        <v>86</v>
      </c>
      <c r="G3428" t="s">
        <v>48</v>
      </c>
      <c r="H3428" t="s">
        <v>49</v>
      </c>
      <c r="I3428" t="s">
        <v>62</v>
      </c>
      <c r="J3428" t="s">
        <v>4180</v>
      </c>
      <c r="K3428" t="s">
        <v>4989</v>
      </c>
      <c r="L3428" t="s">
        <v>53</v>
      </c>
      <c r="N3428" t="s">
        <v>5660</v>
      </c>
      <c r="P3428" t="s">
        <v>55</v>
      </c>
      <c r="R3428" t="s">
        <v>56</v>
      </c>
      <c r="T3428" t="s">
        <v>5661</v>
      </c>
      <c r="U3428" t="s">
        <v>55</v>
      </c>
      <c r="V3428">
        <v>2</v>
      </c>
      <c r="W3428">
        <v>1</v>
      </c>
      <c r="X3428">
        <v>2</v>
      </c>
      <c r="Y3428">
        <v>0</v>
      </c>
      <c r="Z3428">
        <v>2</v>
      </c>
      <c r="AA3428">
        <v>0</v>
      </c>
      <c r="AB3428">
        <v>186.18</v>
      </c>
      <c r="AC3428">
        <v>163.80000000000001</v>
      </c>
      <c r="AD3428">
        <v>0</v>
      </c>
      <c r="AE3428">
        <v>22.38</v>
      </c>
      <c r="AF3428">
        <v>0</v>
      </c>
      <c r="AG3428">
        <v>0</v>
      </c>
      <c r="AH3428">
        <v>0</v>
      </c>
      <c r="AI3428">
        <v>27.93</v>
      </c>
      <c r="AJ3428">
        <v>186.18</v>
      </c>
      <c r="AK3428">
        <v>0</v>
      </c>
      <c r="AL3428" t="s">
        <v>53</v>
      </c>
      <c r="AM3428" t="s">
        <v>53</v>
      </c>
      <c r="AN3428" t="s">
        <v>53</v>
      </c>
      <c r="AO3428" t="s">
        <v>53</v>
      </c>
      <c r="AP3428" t="s">
        <v>53</v>
      </c>
    </row>
    <row r="3429" spans="2:42" x14ac:dyDescent="0.2">
      <c r="B3429" t="s">
        <v>44</v>
      </c>
      <c r="C3429" t="str">
        <f>HYPERLINK("https://us2.cloudbeds.com/connect/8493803454333002#/reservations/38817148608660?display=RJQK3TMJE&amp;reservation_id=38817148608660", "RJQK3TMJE")</f>
        <v>RJQK3TMJE</v>
      </c>
      <c r="D3429" t="s">
        <v>45</v>
      </c>
      <c r="E3429" t="s">
        <v>155</v>
      </c>
      <c r="F3429" t="s">
        <v>86</v>
      </c>
      <c r="G3429" t="s">
        <v>48</v>
      </c>
      <c r="H3429" t="s">
        <v>49</v>
      </c>
      <c r="I3429" t="s">
        <v>62</v>
      </c>
      <c r="J3429" t="s">
        <v>4180</v>
      </c>
      <c r="K3429" t="s">
        <v>4989</v>
      </c>
      <c r="L3429" t="s">
        <v>53</v>
      </c>
      <c r="N3429" t="s">
        <v>5662</v>
      </c>
      <c r="P3429" t="s">
        <v>55</v>
      </c>
      <c r="R3429" t="s">
        <v>56</v>
      </c>
      <c r="T3429" t="s">
        <v>5663</v>
      </c>
      <c r="U3429" t="s">
        <v>55</v>
      </c>
      <c r="V3429">
        <v>2</v>
      </c>
      <c r="W3429">
        <v>1</v>
      </c>
      <c r="X3429">
        <v>4</v>
      </c>
      <c r="Y3429">
        <v>0</v>
      </c>
      <c r="Z3429">
        <v>4</v>
      </c>
      <c r="AA3429">
        <v>0</v>
      </c>
      <c r="AB3429">
        <v>186.18</v>
      </c>
      <c r="AC3429">
        <v>163.80000000000001</v>
      </c>
      <c r="AD3429">
        <v>0</v>
      </c>
      <c r="AE3429">
        <v>22.38</v>
      </c>
      <c r="AF3429">
        <v>0</v>
      </c>
      <c r="AG3429">
        <v>0</v>
      </c>
      <c r="AH3429">
        <v>0</v>
      </c>
      <c r="AI3429">
        <v>27.93</v>
      </c>
      <c r="AJ3429">
        <v>186.18</v>
      </c>
      <c r="AK3429">
        <v>0</v>
      </c>
      <c r="AL3429" t="s">
        <v>53</v>
      </c>
      <c r="AM3429" t="s">
        <v>53</v>
      </c>
      <c r="AN3429" t="s">
        <v>53</v>
      </c>
      <c r="AO3429" t="s">
        <v>53</v>
      </c>
      <c r="AP3429" t="s">
        <v>53</v>
      </c>
    </row>
    <row r="3430" spans="2:42" x14ac:dyDescent="0.2">
      <c r="B3430" t="s">
        <v>44</v>
      </c>
      <c r="C3430" t="str">
        <f>HYPERLINK("https://us2.cloudbeds.com/connect/8493803454333002#/reservations/38991551783112?display=RNTYH93CQ&amp;reservation_id=38991551783112", "RNTYH93CQ")</f>
        <v>RNTYH93CQ</v>
      </c>
      <c r="D3430" t="s">
        <v>45</v>
      </c>
      <c r="E3430" t="s">
        <v>85</v>
      </c>
      <c r="F3430" t="s">
        <v>86</v>
      </c>
      <c r="G3430" t="s">
        <v>48</v>
      </c>
      <c r="H3430" t="s">
        <v>49</v>
      </c>
      <c r="I3430" t="s">
        <v>62</v>
      </c>
      <c r="J3430" t="s">
        <v>4180</v>
      </c>
      <c r="K3430" t="s">
        <v>4989</v>
      </c>
      <c r="L3430" t="s">
        <v>53</v>
      </c>
      <c r="N3430" t="s">
        <v>5664</v>
      </c>
      <c r="P3430" t="s">
        <v>55</v>
      </c>
      <c r="R3430" t="s">
        <v>56</v>
      </c>
      <c r="T3430" t="s">
        <v>5665</v>
      </c>
      <c r="U3430" t="s">
        <v>55</v>
      </c>
      <c r="V3430">
        <v>2</v>
      </c>
      <c r="W3430">
        <v>1</v>
      </c>
      <c r="X3430">
        <v>4</v>
      </c>
      <c r="Y3430">
        <v>0</v>
      </c>
      <c r="Z3430">
        <v>4</v>
      </c>
      <c r="AA3430">
        <v>0</v>
      </c>
      <c r="AB3430">
        <v>186.18</v>
      </c>
      <c r="AC3430">
        <v>163.80000000000001</v>
      </c>
      <c r="AD3430">
        <v>0</v>
      </c>
      <c r="AE3430">
        <v>22.38</v>
      </c>
      <c r="AF3430">
        <v>0</v>
      </c>
      <c r="AG3430">
        <v>0</v>
      </c>
      <c r="AH3430">
        <v>0</v>
      </c>
      <c r="AI3430">
        <v>27.93</v>
      </c>
      <c r="AJ3430">
        <v>186.18</v>
      </c>
      <c r="AK3430">
        <v>0</v>
      </c>
      <c r="AL3430" t="s">
        <v>53</v>
      </c>
      <c r="AM3430" t="s">
        <v>53</v>
      </c>
      <c r="AN3430" t="s">
        <v>53</v>
      </c>
      <c r="AO3430" t="s">
        <v>53</v>
      </c>
      <c r="AP3430" t="s">
        <v>53</v>
      </c>
    </row>
    <row r="3431" spans="2:42" x14ac:dyDescent="0.2">
      <c r="B3431" t="s">
        <v>44</v>
      </c>
      <c r="C3431" t="str">
        <f>HYPERLINK("https://us2.cloudbeds.com/connect/8493803454333002#/reservations/39038364815575?display=RZWTN8ZC3&amp;reservation_id=39038364815575", "RZWTN8ZC3")</f>
        <v>RZWTN8ZC3</v>
      </c>
      <c r="D3431" t="s">
        <v>45</v>
      </c>
      <c r="E3431" t="s">
        <v>85</v>
      </c>
      <c r="F3431" t="s">
        <v>86</v>
      </c>
      <c r="G3431" t="s">
        <v>48</v>
      </c>
      <c r="H3431" t="s">
        <v>49</v>
      </c>
      <c r="I3431" t="s">
        <v>50</v>
      </c>
      <c r="J3431" t="s">
        <v>5666</v>
      </c>
      <c r="K3431" t="s">
        <v>5667</v>
      </c>
      <c r="L3431" t="s">
        <v>53</v>
      </c>
      <c r="N3431" t="s">
        <v>5668</v>
      </c>
      <c r="P3431" t="s">
        <v>55</v>
      </c>
      <c r="R3431" t="s">
        <v>53</v>
      </c>
      <c r="T3431" t="s">
        <v>5669</v>
      </c>
      <c r="U3431" t="s">
        <v>58</v>
      </c>
      <c r="V3431">
        <v>1</v>
      </c>
      <c r="W3431">
        <v>1</v>
      </c>
      <c r="X3431">
        <v>2</v>
      </c>
      <c r="Y3431">
        <v>0</v>
      </c>
      <c r="Z3431">
        <v>2</v>
      </c>
      <c r="AA3431">
        <v>0</v>
      </c>
      <c r="AB3431">
        <v>61.26</v>
      </c>
      <c r="AC3431">
        <v>53.9</v>
      </c>
      <c r="AD3431">
        <v>0</v>
      </c>
      <c r="AE3431">
        <v>7.36</v>
      </c>
      <c r="AF3431">
        <v>0</v>
      </c>
      <c r="AG3431">
        <v>0</v>
      </c>
      <c r="AH3431">
        <v>0</v>
      </c>
      <c r="AI3431">
        <v>11.03</v>
      </c>
      <c r="AJ3431">
        <v>61.26</v>
      </c>
      <c r="AK3431">
        <v>0</v>
      </c>
      <c r="AL3431" t="s">
        <v>53</v>
      </c>
      <c r="AM3431" t="s">
        <v>53</v>
      </c>
      <c r="AN3431" t="s">
        <v>53</v>
      </c>
      <c r="AO3431" t="s">
        <v>53</v>
      </c>
      <c r="AP3431" t="s">
        <v>53</v>
      </c>
    </row>
    <row r="3432" spans="2:42" x14ac:dyDescent="0.2">
      <c r="B3432" t="s">
        <v>44</v>
      </c>
      <c r="C3432" t="str">
        <f>HYPERLINK("https://us2.cloudbeds.com/connect/8493803454333002#/reservations/39172139344031?display=RS4FVG69M&amp;reservation_id=39172139344031", "RS4FVG69M")</f>
        <v>RS4FVG69M</v>
      </c>
      <c r="D3432" t="s">
        <v>45</v>
      </c>
      <c r="E3432" t="s">
        <v>98</v>
      </c>
      <c r="F3432" t="s">
        <v>86</v>
      </c>
      <c r="G3432" t="s">
        <v>48</v>
      </c>
      <c r="H3432" t="s">
        <v>49</v>
      </c>
      <c r="I3432" t="s">
        <v>62</v>
      </c>
      <c r="J3432" t="s">
        <v>5622</v>
      </c>
      <c r="K3432" t="s">
        <v>5623</v>
      </c>
      <c r="L3432" t="s">
        <v>53</v>
      </c>
      <c r="N3432" t="s">
        <v>5670</v>
      </c>
      <c r="P3432" t="s">
        <v>55</v>
      </c>
      <c r="R3432" t="s">
        <v>56</v>
      </c>
      <c r="T3432" t="s">
        <v>5671</v>
      </c>
      <c r="U3432" t="s">
        <v>55</v>
      </c>
      <c r="V3432">
        <v>1</v>
      </c>
      <c r="W3432">
        <v>1</v>
      </c>
      <c r="X3432">
        <v>2</v>
      </c>
      <c r="Y3432">
        <v>0</v>
      </c>
      <c r="Z3432">
        <v>2</v>
      </c>
      <c r="AA3432">
        <v>0</v>
      </c>
      <c r="AB3432">
        <v>200</v>
      </c>
      <c r="AC3432">
        <v>200</v>
      </c>
      <c r="AD3432">
        <v>0</v>
      </c>
      <c r="AE3432">
        <v>0</v>
      </c>
      <c r="AF3432">
        <v>0</v>
      </c>
      <c r="AG3432">
        <v>0</v>
      </c>
      <c r="AH3432">
        <v>0</v>
      </c>
      <c r="AI3432">
        <v>36</v>
      </c>
      <c r="AJ3432">
        <v>200</v>
      </c>
      <c r="AK3432">
        <v>0</v>
      </c>
      <c r="AL3432" t="s">
        <v>53</v>
      </c>
      <c r="AM3432" t="s">
        <v>53</v>
      </c>
      <c r="AN3432" t="s">
        <v>53</v>
      </c>
      <c r="AO3432" t="s">
        <v>53</v>
      </c>
      <c r="AP3432" t="s">
        <v>53</v>
      </c>
    </row>
    <row r="3433" spans="2:42" x14ac:dyDescent="0.2">
      <c r="B3433" t="s">
        <v>44</v>
      </c>
      <c r="C3433" t="str">
        <f>HYPERLINK("https://us2.cloudbeds.com/connect/8493803454333002#/reservations/39232959848694?display=RTXJ1VCRH&amp;reservation_id=39232959848694", "RTXJ1VCRH")</f>
        <v>RTXJ1VCRH</v>
      </c>
      <c r="D3433" t="s">
        <v>45</v>
      </c>
      <c r="E3433" t="s">
        <v>69</v>
      </c>
      <c r="F3433" t="s">
        <v>70</v>
      </c>
      <c r="G3433" t="s">
        <v>48</v>
      </c>
      <c r="H3433" t="s">
        <v>49</v>
      </c>
      <c r="I3433" t="s">
        <v>62</v>
      </c>
      <c r="J3433" t="s">
        <v>5672</v>
      </c>
      <c r="K3433" t="s">
        <v>5570</v>
      </c>
      <c r="L3433" t="s">
        <v>53</v>
      </c>
      <c r="N3433" t="s">
        <v>5673</v>
      </c>
      <c r="P3433" t="s">
        <v>55</v>
      </c>
      <c r="R3433" t="s">
        <v>56</v>
      </c>
      <c r="T3433" t="s">
        <v>5674</v>
      </c>
      <c r="U3433" t="s">
        <v>55</v>
      </c>
      <c r="V3433">
        <v>1</v>
      </c>
      <c r="W3433">
        <v>1</v>
      </c>
      <c r="X3433">
        <v>1</v>
      </c>
      <c r="Y3433">
        <v>0</v>
      </c>
      <c r="Z3433">
        <v>1</v>
      </c>
      <c r="AA3433">
        <v>0</v>
      </c>
      <c r="AB3433">
        <v>57.96</v>
      </c>
      <c r="AC3433">
        <v>57.96</v>
      </c>
      <c r="AD3433">
        <v>0</v>
      </c>
      <c r="AE3433">
        <v>0</v>
      </c>
      <c r="AF3433">
        <v>0</v>
      </c>
      <c r="AG3433">
        <v>0</v>
      </c>
      <c r="AH3433">
        <v>0</v>
      </c>
      <c r="AI3433">
        <v>10.43</v>
      </c>
      <c r="AJ3433">
        <v>57.96</v>
      </c>
      <c r="AK3433">
        <v>0</v>
      </c>
      <c r="AL3433" t="s">
        <v>53</v>
      </c>
      <c r="AM3433" t="s">
        <v>53</v>
      </c>
      <c r="AN3433" t="s">
        <v>53</v>
      </c>
      <c r="AO3433" t="s">
        <v>53</v>
      </c>
      <c r="AP3433" t="s">
        <v>53</v>
      </c>
    </row>
    <row r="3434" spans="2:42" x14ac:dyDescent="0.2">
      <c r="B3434" t="s">
        <v>44</v>
      </c>
      <c r="C3434" t="str">
        <f>HYPERLINK("https://us2.cloudbeds.com/connect/8493803454333002#/reservations/39330485977232?display=RVS32XMDV&amp;reservation_id=39330485977232", "RVS32XMDV")</f>
        <v>RVS32XMDV</v>
      </c>
      <c r="D3434" t="s">
        <v>45</v>
      </c>
      <c r="E3434" t="s">
        <v>121</v>
      </c>
      <c r="F3434" t="s">
        <v>86</v>
      </c>
      <c r="G3434" t="s">
        <v>48</v>
      </c>
      <c r="H3434" t="s">
        <v>49</v>
      </c>
      <c r="I3434" t="s">
        <v>50</v>
      </c>
      <c r="J3434" t="s">
        <v>5258</v>
      </c>
      <c r="K3434" t="s">
        <v>3414</v>
      </c>
      <c r="L3434" t="s">
        <v>53</v>
      </c>
      <c r="N3434" t="s">
        <v>5675</v>
      </c>
      <c r="P3434" t="s">
        <v>55</v>
      </c>
      <c r="R3434" t="s">
        <v>53</v>
      </c>
      <c r="T3434" t="s">
        <v>5676</v>
      </c>
      <c r="U3434" t="s">
        <v>58</v>
      </c>
      <c r="V3434">
        <v>1</v>
      </c>
      <c r="W3434">
        <v>1</v>
      </c>
      <c r="X3434">
        <v>1</v>
      </c>
      <c r="Y3434">
        <v>0</v>
      </c>
      <c r="Z3434">
        <v>1</v>
      </c>
      <c r="AA3434">
        <v>0</v>
      </c>
      <c r="AB3434">
        <v>74.459999999999994</v>
      </c>
      <c r="AC3434">
        <v>65.52</v>
      </c>
      <c r="AD3434">
        <v>0</v>
      </c>
      <c r="AE3434">
        <v>8.94</v>
      </c>
      <c r="AF3434">
        <v>0</v>
      </c>
      <c r="AG3434">
        <v>0</v>
      </c>
      <c r="AH3434">
        <v>0</v>
      </c>
      <c r="AI3434">
        <v>13.4</v>
      </c>
      <c r="AJ3434">
        <v>74.459999999999994</v>
      </c>
      <c r="AK3434">
        <v>0</v>
      </c>
      <c r="AL3434" t="s">
        <v>53</v>
      </c>
      <c r="AM3434" t="s">
        <v>53</v>
      </c>
      <c r="AN3434" t="s">
        <v>53</v>
      </c>
      <c r="AO3434" t="s">
        <v>53</v>
      </c>
      <c r="AP3434" t="s">
        <v>53</v>
      </c>
    </row>
    <row r="3435" spans="2:42" x14ac:dyDescent="0.2">
      <c r="B3435" t="s">
        <v>44</v>
      </c>
      <c r="C3435" t="str">
        <f>HYPERLINK("https://us2.cloudbeds.com/connect/8493803454333002#/reservations/39567633158305?display=S4DNZBXU9&amp;reservation_id=39567633158305", "S4DNZBXU9")</f>
        <v>S4DNZBXU9</v>
      </c>
      <c r="D3435" t="s">
        <v>45</v>
      </c>
      <c r="E3435" t="s">
        <v>110</v>
      </c>
      <c r="F3435" t="s">
        <v>47</v>
      </c>
      <c r="G3435" t="s">
        <v>48</v>
      </c>
      <c r="H3435" t="s">
        <v>49</v>
      </c>
      <c r="I3435" t="s">
        <v>50</v>
      </c>
      <c r="J3435" t="s">
        <v>5677</v>
      </c>
      <c r="K3435" t="s">
        <v>5678</v>
      </c>
      <c r="L3435" t="s">
        <v>53</v>
      </c>
      <c r="N3435" t="s">
        <v>5679</v>
      </c>
      <c r="P3435" t="s">
        <v>55</v>
      </c>
      <c r="R3435" t="s">
        <v>53</v>
      </c>
      <c r="T3435" t="s">
        <v>5680</v>
      </c>
      <c r="U3435" t="s">
        <v>58</v>
      </c>
      <c r="V3435">
        <v>3</v>
      </c>
      <c r="W3435">
        <v>1</v>
      </c>
      <c r="X3435">
        <v>2</v>
      </c>
      <c r="Y3435">
        <v>0</v>
      </c>
      <c r="Z3435">
        <v>2</v>
      </c>
      <c r="AA3435">
        <v>0</v>
      </c>
      <c r="AB3435">
        <v>146.07</v>
      </c>
      <c r="AC3435">
        <v>128.52000000000001</v>
      </c>
      <c r="AD3435">
        <v>0</v>
      </c>
      <c r="AE3435">
        <v>17.55</v>
      </c>
      <c r="AF3435">
        <v>0</v>
      </c>
      <c r="AG3435">
        <v>0</v>
      </c>
      <c r="AH3435">
        <v>0</v>
      </c>
      <c r="AI3435">
        <v>26.29</v>
      </c>
      <c r="AJ3435">
        <v>146.07</v>
      </c>
      <c r="AK3435">
        <v>0</v>
      </c>
      <c r="AL3435" t="s">
        <v>53</v>
      </c>
      <c r="AM3435" t="s">
        <v>53</v>
      </c>
      <c r="AN3435" t="s">
        <v>53</v>
      </c>
      <c r="AO3435" t="s">
        <v>53</v>
      </c>
      <c r="AP3435" t="s">
        <v>53</v>
      </c>
    </row>
    <row r="3436" spans="2:42" x14ac:dyDescent="0.2">
      <c r="B3436" t="s">
        <v>44</v>
      </c>
      <c r="C3436" t="str">
        <f>HYPERLINK("https://us2.cloudbeds.com/connect/8493803454333002#/reservations/39651245232379?display=S6CF78PWY&amp;reservation_id=39651245232379", "S6CF78PWY")</f>
        <v>S6CF78PWY</v>
      </c>
      <c r="D3436" t="s">
        <v>45</v>
      </c>
      <c r="E3436" t="s">
        <v>92</v>
      </c>
      <c r="F3436" t="s">
        <v>86</v>
      </c>
      <c r="G3436" t="s">
        <v>48</v>
      </c>
      <c r="H3436" t="s">
        <v>49</v>
      </c>
      <c r="I3436" t="s">
        <v>50</v>
      </c>
      <c r="J3436" t="s">
        <v>5258</v>
      </c>
      <c r="K3436" t="s">
        <v>3414</v>
      </c>
      <c r="L3436" t="s">
        <v>53</v>
      </c>
      <c r="N3436" t="s">
        <v>5681</v>
      </c>
      <c r="P3436" t="s">
        <v>55</v>
      </c>
      <c r="R3436" t="s">
        <v>53</v>
      </c>
      <c r="T3436" t="s">
        <v>5682</v>
      </c>
      <c r="U3436" t="s">
        <v>58</v>
      </c>
      <c r="V3436">
        <v>1</v>
      </c>
      <c r="W3436">
        <v>1</v>
      </c>
      <c r="X3436">
        <v>3</v>
      </c>
      <c r="Y3436">
        <v>0</v>
      </c>
      <c r="Z3436">
        <v>3</v>
      </c>
      <c r="AA3436">
        <v>0</v>
      </c>
      <c r="AB3436">
        <v>65.16</v>
      </c>
      <c r="AC3436">
        <v>57.33</v>
      </c>
      <c r="AD3436">
        <v>0</v>
      </c>
      <c r="AE3436">
        <v>7.83</v>
      </c>
      <c r="AF3436">
        <v>0</v>
      </c>
      <c r="AG3436">
        <v>0</v>
      </c>
      <c r="AH3436">
        <v>0</v>
      </c>
      <c r="AI3436">
        <v>11.73</v>
      </c>
      <c r="AJ3436">
        <v>65.16</v>
      </c>
      <c r="AK3436">
        <v>0</v>
      </c>
      <c r="AL3436" t="s">
        <v>53</v>
      </c>
      <c r="AM3436" t="s">
        <v>53</v>
      </c>
      <c r="AN3436" t="s">
        <v>53</v>
      </c>
      <c r="AO3436" t="s">
        <v>53</v>
      </c>
      <c r="AP3436" t="s">
        <v>53</v>
      </c>
    </row>
    <row r="3437" spans="2:42" x14ac:dyDescent="0.2">
      <c r="B3437" t="s">
        <v>44</v>
      </c>
      <c r="C3437" t="str">
        <f>HYPERLINK("https://us2.cloudbeds.com/connect/8493803454333002#/reservations/39694320181437?display=S7CQT6ZG8&amp;reservation_id=39694320181437", "S7CQT6ZG8")</f>
        <v>S7CQT6ZG8</v>
      </c>
      <c r="D3437" t="s">
        <v>45</v>
      </c>
      <c r="E3437" t="s">
        <v>128</v>
      </c>
      <c r="F3437" t="s">
        <v>86</v>
      </c>
      <c r="G3437" t="s">
        <v>48</v>
      </c>
      <c r="H3437" t="s">
        <v>49</v>
      </c>
      <c r="I3437" t="s">
        <v>50</v>
      </c>
      <c r="J3437" t="s">
        <v>5683</v>
      </c>
      <c r="K3437" t="s">
        <v>5434</v>
      </c>
      <c r="L3437" t="s">
        <v>53</v>
      </c>
      <c r="N3437" t="s">
        <v>5684</v>
      </c>
      <c r="P3437" t="s">
        <v>55</v>
      </c>
      <c r="R3437" t="s">
        <v>53</v>
      </c>
      <c r="T3437" t="s">
        <v>5685</v>
      </c>
      <c r="U3437" t="s">
        <v>58</v>
      </c>
      <c r="V3437">
        <v>2</v>
      </c>
      <c r="W3437">
        <v>1</v>
      </c>
      <c r="X3437">
        <v>2</v>
      </c>
      <c r="Y3437">
        <v>2</v>
      </c>
      <c r="Z3437">
        <v>4</v>
      </c>
      <c r="AA3437">
        <v>0</v>
      </c>
      <c r="AB3437">
        <v>176.85</v>
      </c>
      <c r="AC3437">
        <v>155.61000000000001</v>
      </c>
      <c r="AD3437">
        <v>0</v>
      </c>
      <c r="AE3437">
        <v>21.24</v>
      </c>
      <c r="AF3437">
        <v>0</v>
      </c>
      <c r="AG3437">
        <v>0</v>
      </c>
      <c r="AH3437">
        <v>0</v>
      </c>
      <c r="AI3437">
        <v>31.83</v>
      </c>
      <c r="AJ3437">
        <v>176.85</v>
      </c>
      <c r="AK3437">
        <v>0</v>
      </c>
      <c r="AL3437" t="s">
        <v>53</v>
      </c>
      <c r="AM3437" t="s">
        <v>53</v>
      </c>
      <c r="AN3437" t="s">
        <v>53</v>
      </c>
      <c r="AO3437" t="s">
        <v>53</v>
      </c>
      <c r="AP3437" t="s">
        <v>53</v>
      </c>
    </row>
    <row r="3438" spans="2:42" x14ac:dyDescent="0.2">
      <c r="B3438" t="s">
        <v>44</v>
      </c>
      <c r="C3438" t="str">
        <f>HYPERLINK("https://us2.cloudbeds.com/connect/8493803454333002#/reservations/39694475145424?display=S7CURSRRY&amp;reservation_id=39694475145424", "S7CURSRRY")</f>
        <v>S7CURSRRY</v>
      </c>
      <c r="D3438" t="s">
        <v>45</v>
      </c>
      <c r="E3438" t="s">
        <v>85</v>
      </c>
      <c r="F3438" t="s">
        <v>86</v>
      </c>
      <c r="G3438" t="s">
        <v>48</v>
      </c>
      <c r="H3438" t="s">
        <v>49</v>
      </c>
      <c r="I3438" t="s">
        <v>50</v>
      </c>
      <c r="J3438" t="s">
        <v>5683</v>
      </c>
      <c r="K3438" t="s">
        <v>5434</v>
      </c>
      <c r="L3438" t="s">
        <v>53</v>
      </c>
      <c r="N3438" t="s">
        <v>5686</v>
      </c>
      <c r="P3438" t="s">
        <v>55</v>
      </c>
      <c r="R3438" t="s">
        <v>53</v>
      </c>
      <c r="T3438" t="s">
        <v>5687</v>
      </c>
      <c r="U3438" t="s">
        <v>58</v>
      </c>
      <c r="V3438">
        <v>2</v>
      </c>
      <c r="W3438">
        <v>1</v>
      </c>
      <c r="X3438">
        <v>2</v>
      </c>
      <c r="Y3438">
        <v>2</v>
      </c>
      <c r="Z3438">
        <v>4</v>
      </c>
      <c r="AA3438">
        <v>0</v>
      </c>
      <c r="AB3438">
        <v>176.85</v>
      </c>
      <c r="AC3438">
        <v>155.61000000000001</v>
      </c>
      <c r="AD3438">
        <v>0</v>
      </c>
      <c r="AE3438">
        <v>21.24</v>
      </c>
      <c r="AF3438">
        <v>0</v>
      </c>
      <c r="AG3438">
        <v>0</v>
      </c>
      <c r="AH3438">
        <v>0</v>
      </c>
      <c r="AI3438">
        <v>31.83</v>
      </c>
      <c r="AJ3438">
        <v>176.85</v>
      </c>
      <c r="AK3438">
        <v>0</v>
      </c>
      <c r="AL3438" t="s">
        <v>53</v>
      </c>
      <c r="AM3438" t="s">
        <v>53</v>
      </c>
      <c r="AN3438" t="s">
        <v>53</v>
      </c>
      <c r="AO3438" t="s">
        <v>53</v>
      </c>
      <c r="AP3438" t="s">
        <v>53</v>
      </c>
    </row>
    <row r="3439" spans="2:42" x14ac:dyDescent="0.2">
      <c r="B3439" t="s">
        <v>44</v>
      </c>
      <c r="C3439" t="str">
        <f>HYPERLINK("https://us2.cloudbeds.com/connect/8493803454333002#/reservations/40053667868803?display=SFR21MSCR&amp;reservation_id=40053667868803", "SFR21MSCR")</f>
        <v>SFR21MSCR</v>
      </c>
      <c r="D3439" t="s">
        <v>45</v>
      </c>
      <c r="E3439" t="s">
        <v>85</v>
      </c>
      <c r="F3439" t="s">
        <v>86</v>
      </c>
      <c r="G3439" t="s">
        <v>4520</v>
      </c>
      <c r="H3439" t="s">
        <v>3957</v>
      </c>
      <c r="I3439" t="s">
        <v>3958</v>
      </c>
      <c r="J3439" t="s">
        <v>5440</v>
      </c>
      <c r="K3439" t="s">
        <v>5657</v>
      </c>
      <c r="L3439" t="s">
        <v>53</v>
      </c>
      <c r="P3439" t="s">
        <v>55</v>
      </c>
      <c r="R3439" t="s">
        <v>56</v>
      </c>
      <c r="T3439" t="s">
        <v>5688</v>
      </c>
      <c r="U3439" t="s">
        <v>58</v>
      </c>
      <c r="V3439">
        <v>1</v>
      </c>
      <c r="W3439">
        <v>1</v>
      </c>
      <c r="X3439">
        <v>1</v>
      </c>
      <c r="Y3439">
        <v>0</v>
      </c>
      <c r="Z3439">
        <v>1</v>
      </c>
      <c r="AA3439">
        <v>0</v>
      </c>
      <c r="AB3439">
        <v>93.09</v>
      </c>
      <c r="AC3439">
        <v>81.900000000000006</v>
      </c>
      <c r="AD3439">
        <v>0</v>
      </c>
      <c r="AE3439">
        <v>11.19</v>
      </c>
      <c r="AF3439">
        <v>0</v>
      </c>
      <c r="AG3439">
        <v>0</v>
      </c>
      <c r="AH3439">
        <v>0</v>
      </c>
      <c r="AI3439">
        <v>0</v>
      </c>
      <c r="AJ3439">
        <v>93.09</v>
      </c>
      <c r="AK3439">
        <v>0</v>
      </c>
      <c r="AL3439" t="s">
        <v>53</v>
      </c>
      <c r="AM3439" t="s">
        <v>53</v>
      </c>
      <c r="AN3439" t="s">
        <v>53</v>
      </c>
      <c r="AO3439" t="s">
        <v>53</v>
      </c>
      <c r="AP3439" t="s">
        <v>53</v>
      </c>
    </row>
    <row r="3440" spans="2:42" x14ac:dyDescent="0.2">
      <c r="B3440" t="s">
        <v>44</v>
      </c>
      <c r="C3440" t="str">
        <f>HYPERLINK("https://us2.cloudbeds.com/connect/8493803454333002#/reservations/40069606457578?display=SG6DAHJDF&amp;reservation_id=40069606457578", "SG6DAHJDF")</f>
        <v>SG6DAHJDF</v>
      </c>
      <c r="D3440" t="s">
        <v>45</v>
      </c>
      <c r="E3440" t="s">
        <v>406</v>
      </c>
      <c r="F3440" t="s">
        <v>61</v>
      </c>
      <c r="G3440" t="s">
        <v>48</v>
      </c>
      <c r="H3440" t="s">
        <v>49</v>
      </c>
      <c r="I3440" t="s">
        <v>50</v>
      </c>
      <c r="J3440" t="s">
        <v>3767</v>
      </c>
      <c r="K3440" t="s">
        <v>5347</v>
      </c>
      <c r="L3440" t="s">
        <v>53</v>
      </c>
      <c r="N3440" t="s">
        <v>5689</v>
      </c>
      <c r="P3440" t="s">
        <v>55</v>
      </c>
      <c r="R3440" t="s">
        <v>53</v>
      </c>
      <c r="T3440" t="s">
        <v>5690</v>
      </c>
      <c r="U3440" t="s">
        <v>58</v>
      </c>
      <c r="V3440">
        <v>3</v>
      </c>
      <c r="W3440">
        <v>1</v>
      </c>
      <c r="X3440">
        <v>2</v>
      </c>
      <c r="Y3440">
        <v>0</v>
      </c>
      <c r="Z3440">
        <v>2</v>
      </c>
      <c r="AA3440">
        <v>0</v>
      </c>
      <c r="AB3440">
        <v>211.14</v>
      </c>
      <c r="AC3440">
        <v>185.76</v>
      </c>
      <c r="AD3440">
        <v>0</v>
      </c>
      <c r="AE3440">
        <v>25.38</v>
      </c>
      <c r="AF3440">
        <v>0</v>
      </c>
      <c r="AG3440">
        <v>0</v>
      </c>
      <c r="AH3440">
        <v>0</v>
      </c>
      <c r="AI3440">
        <v>38.01</v>
      </c>
      <c r="AJ3440">
        <v>211.14</v>
      </c>
      <c r="AK3440">
        <v>0</v>
      </c>
      <c r="AL3440" t="s">
        <v>53</v>
      </c>
      <c r="AM3440" t="s">
        <v>53</v>
      </c>
      <c r="AN3440" t="s">
        <v>53</v>
      </c>
      <c r="AO3440" t="s">
        <v>53</v>
      </c>
      <c r="AP3440" t="s">
        <v>53</v>
      </c>
    </row>
    <row r="3441" spans="2:42" x14ac:dyDescent="0.2">
      <c r="B3441" t="s">
        <v>44</v>
      </c>
      <c r="C3441" t="str">
        <f>HYPERLINK("https://us2.cloudbeds.com/connect/8493803454333002#/reservations/40078853902497?display=SGDXK7CC2&amp;reservation_id=40078853902497", "SGDXK7CC2")</f>
        <v>SGDXK7CC2</v>
      </c>
      <c r="D3441" t="s">
        <v>45</v>
      </c>
      <c r="E3441" t="s">
        <v>69</v>
      </c>
      <c r="F3441" t="s">
        <v>70</v>
      </c>
      <c r="G3441" t="s">
        <v>48</v>
      </c>
      <c r="H3441" t="s">
        <v>49</v>
      </c>
      <c r="I3441" t="s">
        <v>50</v>
      </c>
      <c r="J3441" t="s">
        <v>4841</v>
      </c>
      <c r="K3441" t="s">
        <v>2975</v>
      </c>
      <c r="L3441" t="s">
        <v>53</v>
      </c>
      <c r="N3441" t="s">
        <v>5691</v>
      </c>
      <c r="P3441" t="s">
        <v>55</v>
      </c>
      <c r="R3441" t="s">
        <v>53</v>
      </c>
      <c r="T3441" t="s">
        <v>5692</v>
      </c>
      <c r="U3441" t="s">
        <v>58</v>
      </c>
      <c r="V3441">
        <v>1</v>
      </c>
      <c r="W3441">
        <v>1</v>
      </c>
      <c r="X3441">
        <v>2</v>
      </c>
      <c r="Y3441">
        <v>0</v>
      </c>
      <c r="Z3441">
        <v>2</v>
      </c>
      <c r="AA3441">
        <v>0</v>
      </c>
      <c r="AB3441">
        <v>56.56</v>
      </c>
      <c r="AC3441">
        <v>49.77</v>
      </c>
      <c r="AD3441">
        <v>0</v>
      </c>
      <c r="AE3441">
        <v>6.79</v>
      </c>
      <c r="AF3441">
        <v>0</v>
      </c>
      <c r="AG3441">
        <v>0</v>
      </c>
      <c r="AH3441">
        <v>0</v>
      </c>
      <c r="AI3441">
        <v>10.18</v>
      </c>
      <c r="AJ3441">
        <v>56.56</v>
      </c>
      <c r="AK3441">
        <v>0</v>
      </c>
      <c r="AL3441" t="s">
        <v>53</v>
      </c>
      <c r="AM3441" t="s">
        <v>53</v>
      </c>
      <c r="AN3441" t="s">
        <v>53</v>
      </c>
      <c r="AO3441" t="s">
        <v>53</v>
      </c>
      <c r="AP3441" t="s">
        <v>53</v>
      </c>
    </row>
    <row r="3442" spans="2:42" x14ac:dyDescent="0.2">
      <c r="B3442" t="s">
        <v>44</v>
      </c>
      <c r="C3442" t="str">
        <f>HYPERLINK("https://us2.cloudbeds.com/connect/8493803454333002#/reservations/40079552692370?display=SGE3FF7MP&amp;reservation_id=40079552692370", "SGE3FF7MP")</f>
        <v>SGE3FF7MP</v>
      </c>
      <c r="D3442" t="s">
        <v>45</v>
      </c>
      <c r="E3442" t="s">
        <v>113</v>
      </c>
      <c r="F3442" t="s">
        <v>61</v>
      </c>
      <c r="G3442" t="s">
        <v>48</v>
      </c>
      <c r="H3442" t="s">
        <v>49</v>
      </c>
      <c r="I3442" t="s">
        <v>50</v>
      </c>
      <c r="J3442" t="s">
        <v>4841</v>
      </c>
      <c r="K3442" t="s">
        <v>5693</v>
      </c>
      <c r="L3442" t="s">
        <v>53</v>
      </c>
      <c r="N3442" t="s">
        <v>5694</v>
      </c>
      <c r="P3442" t="s">
        <v>55</v>
      </c>
      <c r="R3442" t="s">
        <v>53</v>
      </c>
      <c r="T3442" t="s">
        <v>5695</v>
      </c>
      <c r="U3442" t="s">
        <v>58</v>
      </c>
      <c r="V3442">
        <v>2</v>
      </c>
      <c r="W3442">
        <v>1</v>
      </c>
      <c r="X3442">
        <v>2</v>
      </c>
      <c r="Y3442">
        <v>0</v>
      </c>
      <c r="Z3442">
        <v>2</v>
      </c>
      <c r="AA3442">
        <v>0</v>
      </c>
      <c r="AB3442">
        <v>140.76</v>
      </c>
      <c r="AC3442">
        <v>123.84</v>
      </c>
      <c r="AD3442">
        <v>0</v>
      </c>
      <c r="AE3442">
        <v>16.920000000000002</v>
      </c>
      <c r="AF3442">
        <v>0</v>
      </c>
      <c r="AG3442">
        <v>0</v>
      </c>
      <c r="AH3442">
        <v>0</v>
      </c>
      <c r="AI3442">
        <v>25.34</v>
      </c>
      <c r="AJ3442">
        <v>140.76</v>
      </c>
      <c r="AK3442">
        <v>0</v>
      </c>
      <c r="AL3442" t="s">
        <v>53</v>
      </c>
      <c r="AM3442" t="s">
        <v>53</v>
      </c>
      <c r="AN3442" t="s">
        <v>53</v>
      </c>
      <c r="AO3442" t="s">
        <v>53</v>
      </c>
      <c r="AP3442" t="s">
        <v>53</v>
      </c>
    </row>
    <row r="3443" spans="2:42" x14ac:dyDescent="0.2">
      <c r="B3443" t="s">
        <v>44</v>
      </c>
      <c r="C3443" t="str">
        <f>HYPERLINK("https://us2.cloudbeds.com/connect/8493803454333002#/reservations/40104354013315?display=SH0A6JX2U&amp;reservation_id=40104354013315", "SH0A6JX2U")</f>
        <v>SH0A6JX2U</v>
      </c>
      <c r="D3443" t="s">
        <v>602</v>
      </c>
      <c r="E3443" t="s">
        <v>53</v>
      </c>
      <c r="F3443" t="s">
        <v>47</v>
      </c>
      <c r="G3443" t="s">
        <v>48</v>
      </c>
      <c r="H3443" t="s">
        <v>49</v>
      </c>
      <c r="I3443" t="s">
        <v>50</v>
      </c>
      <c r="J3443" t="s">
        <v>4989</v>
      </c>
      <c r="K3443" t="s">
        <v>3969</v>
      </c>
      <c r="L3443" t="s">
        <v>53</v>
      </c>
      <c r="N3443" t="s">
        <v>5696</v>
      </c>
      <c r="P3443" t="s">
        <v>55</v>
      </c>
      <c r="R3443" t="s">
        <v>53</v>
      </c>
      <c r="T3443" t="s">
        <v>5697</v>
      </c>
      <c r="U3443" t="s">
        <v>58</v>
      </c>
      <c r="V3443">
        <v>1</v>
      </c>
      <c r="W3443">
        <v>1</v>
      </c>
      <c r="X3443">
        <v>1</v>
      </c>
      <c r="Y3443">
        <v>0</v>
      </c>
      <c r="Z3443">
        <v>1</v>
      </c>
      <c r="AA3443">
        <v>0</v>
      </c>
      <c r="AB3443">
        <v>63.64</v>
      </c>
      <c r="AC3443">
        <v>56</v>
      </c>
      <c r="AD3443">
        <v>0</v>
      </c>
      <c r="AE3443">
        <v>7.64</v>
      </c>
      <c r="AF3443">
        <v>0</v>
      </c>
      <c r="AG3443">
        <v>0</v>
      </c>
      <c r="AH3443">
        <v>0</v>
      </c>
      <c r="AI3443">
        <v>11.46</v>
      </c>
      <c r="AJ3443">
        <v>63.64</v>
      </c>
      <c r="AK3443">
        <v>0</v>
      </c>
      <c r="AL3443">
        <v>56</v>
      </c>
      <c r="AM3443">
        <v>63.64</v>
      </c>
      <c r="AN3443" t="s">
        <v>53</v>
      </c>
      <c r="AO3443" t="s">
        <v>53</v>
      </c>
      <c r="AP3443" t="s">
        <v>53</v>
      </c>
    </row>
    <row r="3444" spans="2:42" x14ac:dyDescent="0.2">
      <c r="B3444" t="s">
        <v>44</v>
      </c>
      <c r="C3444" t="str">
        <f>HYPERLINK("https://us2.cloudbeds.com/connect/8493803454333002#/reservations/40110282477800?display=SH4TMKQPS&amp;reservation_id=40110282477800", "SH4TMKQPS")</f>
        <v>SH4TMKQPS</v>
      </c>
      <c r="D3444" t="s">
        <v>45</v>
      </c>
      <c r="E3444" t="s">
        <v>138</v>
      </c>
      <c r="F3444" t="s">
        <v>70</v>
      </c>
      <c r="G3444" t="s">
        <v>48</v>
      </c>
      <c r="H3444" t="s">
        <v>49</v>
      </c>
      <c r="I3444" t="s">
        <v>50</v>
      </c>
      <c r="J3444" t="s">
        <v>4959</v>
      </c>
      <c r="K3444" t="s">
        <v>4180</v>
      </c>
      <c r="L3444" t="s">
        <v>53</v>
      </c>
      <c r="N3444" t="s">
        <v>5698</v>
      </c>
      <c r="P3444" t="s">
        <v>55</v>
      </c>
      <c r="R3444" t="s">
        <v>53</v>
      </c>
      <c r="T3444" t="s">
        <v>5699</v>
      </c>
      <c r="U3444" t="s">
        <v>58</v>
      </c>
      <c r="V3444">
        <v>1</v>
      </c>
      <c r="W3444">
        <v>1</v>
      </c>
      <c r="X3444">
        <v>2</v>
      </c>
      <c r="Y3444">
        <v>0</v>
      </c>
      <c r="Z3444">
        <v>2</v>
      </c>
      <c r="AA3444">
        <v>0</v>
      </c>
      <c r="AB3444">
        <v>58.87</v>
      </c>
      <c r="AC3444">
        <v>51.8</v>
      </c>
      <c r="AD3444">
        <v>0</v>
      </c>
      <c r="AE3444">
        <v>7.07</v>
      </c>
      <c r="AF3444">
        <v>0</v>
      </c>
      <c r="AG3444">
        <v>0</v>
      </c>
      <c r="AH3444">
        <v>0</v>
      </c>
      <c r="AI3444">
        <v>10.6</v>
      </c>
      <c r="AJ3444">
        <v>58.87</v>
      </c>
      <c r="AK3444">
        <v>0</v>
      </c>
      <c r="AL3444" t="s">
        <v>53</v>
      </c>
      <c r="AM3444" t="s">
        <v>53</v>
      </c>
      <c r="AN3444" t="s">
        <v>53</v>
      </c>
      <c r="AO3444" t="s">
        <v>53</v>
      </c>
      <c r="AP3444" t="s">
        <v>53</v>
      </c>
    </row>
    <row r="3445" spans="2:42" x14ac:dyDescent="0.2">
      <c r="B3445" t="s">
        <v>44</v>
      </c>
      <c r="C3445" t="str">
        <f>HYPERLINK("https://us2.cloudbeds.com/connect/8493803454333002#/reservations/40193559036058?display=SJ3CJKQH9&amp;reservation_id=40193559036058", "SJ3CJKQH9")</f>
        <v>SJ3CJKQH9</v>
      </c>
      <c r="D3445" t="s">
        <v>45</v>
      </c>
      <c r="E3445" t="s">
        <v>138</v>
      </c>
      <c r="F3445" t="s">
        <v>70</v>
      </c>
      <c r="G3445" t="s">
        <v>48</v>
      </c>
      <c r="H3445" t="s">
        <v>49</v>
      </c>
      <c r="I3445" t="s">
        <v>50</v>
      </c>
      <c r="J3445" t="s">
        <v>5700</v>
      </c>
      <c r="K3445" t="s">
        <v>4840</v>
      </c>
      <c r="L3445" t="s">
        <v>53</v>
      </c>
      <c r="N3445" t="s">
        <v>5701</v>
      </c>
      <c r="P3445" t="s">
        <v>55</v>
      </c>
      <c r="R3445" t="s">
        <v>53</v>
      </c>
      <c r="T3445" t="s">
        <v>5702</v>
      </c>
      <c r="U3445" t="s">
        <v>58</v>
      </c>
      <c r="V3445">
        <v>1</v>
      </c>
      <c r="W3445">
        <v>1</v>
      </c>
      <c r="X3445">
        <v>1</v>
      </c>
      <c r="Y3445">
        <v>0</v>
      </c>
      <c r="Z3445">
        <v>1</v>
      </c>
      <c r="AA3445">
        <v>0</v>
      </c>
      <c r="AB3445">
        <v>58.87</v>
      </c>
      <c r="AC3445">
        <v>51.8</v>
      </c>
      <c r="AD3445">
        <v>0</v>
      </c>
      <c r="AE3445">
        <v>7.07</v>
      </c>
      <c r="AF3445">
        <v>0</v>
      </c>
      <c r="AG3445">
        <v>0</v>
      </c>
      <c r="AH3445">
        <v>0</v>
      </c>
      <c r="AI3445">
        <v>10.6</v>
      </c>
      <c r="AJ3445">
        <v>58.87</v>
      </c>
      <c r="AK3445">
        <v>0</v>
      </c>
      <c r="AL3445" t="s">
        <v>53</v>
      </c>
      <c r="AM3445" t="s">
        <v>53</v>
      </c>
      <c r="AN3445" t="s">
        <v>53</v>
      </c>
      <c r="AO3445" t="s">
        <v>53</v>
      </c>
      <c r="AP3445" t="s">
        <v>53</v>
      </c>
    </row>
    <row r="3446" spans="2:42" x14ac:dyDescent="0.2">
      <c r="B3446" t="s">
        <v>44</v>
      </c>
      <c r="C3446" t="str">
        <f>HYPERLINK("https://us2.cloudbeds.com/connect/8493803454333002#/reservations/40234797482129?display=SK2AAWBZ7&amp;reservation_id=40234797482129", "SK2AAWBZ7")</f>
        <v>SK2AAWBZ7</v>
      </c>
      <c r="D3446" t="s">
        <v>45</v>
      </c>
      <c r="E3446" t="s">
        <v>98</v>
      </c>
      <c r="F3446" t="s">
        <v>86</v>
      </c>
      <c r="G3446" t="s">
        <v>48</v>
      </c>
      <c r="H3446" t="s">
        <v>49</v>
      </c>
      <c r="I3446" t="s">
        <v>50</v>
      </c>
      <c r="J3446" t="s">
        <v>4180</v>
      </c>
      <c r="K3446" t="s">
        <v>4181</v>
      </c>
      <c r="L3446" t="s">
        <v>53</v>
      </c>
      <c r="N3446" t="s">
        <v>5703</v>
      </c>
      <c r="P3446" t="s">
        <v>55</v>
      </c>
      <c r="R3446" t="s">
        <v>53</v>
      </c>
      <c r="T3446" t="s">
        <v>5704</v>
      </c>
      <c r="U3446" t="s">
        <v>58</v>
      </c>
      <c r="V3446">
        <v>1</v>
      </c>
      <c r="W3446">
        <v>1</v>
      </c>
      <c r="X3446">
        <v>1</v>
      </c>
      <c r="Y3446">
        <v>0</v>
      </c>
      <c r="Z3446">
        <v>1</v>
      </c>
      <c r="AA3446">
        <v>0</v>
      </c>
      <c r="AB3446">
        <v>72.39</v>
      </c>
      <c r="AC3446">
        <v>63.7</v>
      </c>
      <c r="AD3446">
        <v>0</v>
      </c>
      <c r="AE3446">
        <v>8.69</v>
      </c>
      <c r="AF3446">
        <v>0</v>
      </c>
      <c r="AG3446">
        <v>0</v>
      </c>
      <c r="AH3446">
        <v>0</v>
      </c>
      <c r="AI3446">
        <v>13.03</v>
      </c>
      <c r="AJ3446">
        <v>72.39</v>
      </c>
      <c r="AK3446">
        <v>0</v>
      </c>
      <c r="AL3446" t="s">
        <v>53</v>
      </c>
      <c r="AM3446" t="s">
        <v>53</v>
      </c>
      <c r="AN3446" t="s">
        <v>53</v>
      </c>
      <c r="AO3446" t="s">
        <v>53</v>
      </c>
      <c r="AP3446" t="s">
        <v>53</v>
      </c>
    </row>
    <row r="3447" spans="2:42" x14ac:dyDescent="0.2">
      <c r="B3447" t="s">
        <v>44</v>
      </c>
      <c r="C3447" t="str">
        <f>HYPERLINK("https://us2.cloudbeds.com/connect/8493803454333002#/reservations/40235118534876?display=SK2XHN40B&amp;reservation_id=40235118534876", "SK2XHN40B")</f>
        <v>SK2XHN40B</v>
      </c>
      <c r="D3447" t="s">
        <v>45</v>
      </c>
      <c r="E3447" t="s">
        <v>121</v>
      </c>
      <c r="F3447" t="s">
        <v>86</v>
      </c>
      <c r="G3447" t="s">
        <v>48</v>
      </c>
      <c r="H3447" t="s">
        <v>49</v>
      </c>
      <c r="I3447" t="s">
        <v>50</v>
      </c>
      <c r="J3447" t="s">
        <v>4180</v>
      </c>
      <c r="K3447" t="s">
        <v>4181</v>
      </c>
      <c r="L3447" t="s">
        <v>53</v>
      </c>
      <c r="N3447" t="s">
        <v>5705</v>
      </c>
      <c r="P3447" t="s">
        <v>55</v>
      </c>
      <c r="R3447" t="s">
        <v>53</v>
      </c>
      <c r="T3447" t="s">
        <v>5706</v>
      </c>
      <c r="U3447" t="s">
        <v>58</v>
      </c>
      <c r="V3447">
        <v>1</v>
      </c>
      <c r="W3447">
        <v>1</v>
      </c>
      <c r="X3447">
        <v>2</v>
      </c>
      <c r="Y3447">
        <v>1</v>
      </c>
      <c r="Z3447">
        <v>3</v>
      </c>
      <c r="AA3447">
        <v>0</v>
      </c>
      <c r="AB3447">
        <v>72.39</v>
      </c>
      <c r="AC3447">
        <v>63.7</v>
      </c>
      <c r="AD3447">
        <v>0</v>
      </c>
      <c r="AE3447">
        <v>8.69</v>
      </c>
      <c r="AF3447">
        <v>0</v>
      </c>
      <c r="AG3447">
        <v>0</v>
      </c>
      <c r="AH3447">
        <v>0</v>
      </c>
      <c r="AI3447">
        <v>13.03</v>
      </c>
      <c r="AJ3447">
        <v>72.39</v>
      </c>
      <c r="AK3447">
        <v>0</v>
      </c>
      <c r="AL3447" t="s">
        <v>53</v>
      </c>
      <c r="AM3447" t="s">
        <v>53</v>
      </c>
      <c r="AN3447" t="s">
        <v>53</v>
      </c>
      <c r="AO3447" t="s">
        <v>53</v>
      </c>
      <c r="AP3447" t="s">
        <v>53</v>
      </c>
    </row>
    <row r="3448" spans="2:42" x14ac:dyDescent="0.2">
      <c r="B3448" t="s">
        <v>44</v>
      </c>
      <c r="C3448" t="str">
        <f>HYPERLINK("https://us2.cloudbeds.com/connect/8493803454333002#/reservations/40330859683984?display=SMAMV5Z10&amp;reservation_id=40330859683984", "SMAMV5Z10")</f>
        <v>SMAMV5Z10</v>
      </c>
      <c r="D3448" t="s">
        <v>45</v>
      </c>
      <c r="E3448" t="s">
        <v>69</v>
      </c>
      <c r="F3448" t="s">
        <v>70</v>
      </c>
      <c r="G3448" t="s">
        <v>48</v>
      </c>
      <c r="H3448" t="s">
        <v>49</v>
      </c>
      <c r="I3448" t="s">
        <v>50</v>
      </c>
      <c r="J3448" t="s">
        <v>5322</v>
      </c>
      <c r="K3448" t="s">
        <v>5555</v>
      </c>
      <c r="L3448" t="s">
        <v>53</v>
      </c>
      <c r="N3448" t="s">
        <v>5707</v>
      </c>
      <c r="P3448" t="s">
        <v>55</v>
      </c>
      <c r="R3448" t="s">
        <v>53</v>
      </c>
      <c r="T3448" t="s">
        <v>5708</v>
      </c>
      <c r="U3448" t="s">
        <v>58</v>
      </c>
      <c r="V3448">
        <v>3</v>
      </c>
      <c r="W3448">
        <v>1</v>
      </c>
      <c r="X3448">
        <v>2</v>
      </c>
      <c r="Y3448">
        <v>0</v>
      </c>
      <c r="Z3448">
        <v>2</v>
      </c>
      <c r="AA3448">
        <v>0</v>
      </c>
      <c r="AB3448">
        <v>135.30000000000001</v>
      </c>
      <c r="AC3448">
        <v>119.07</v>
      </c>
      <c r="AD3448">
        <v>0</v>
      </c>
      <c r="AE3448">
        <v>16.23</v>
      </c>
      <c r="AF3448">
        <v>0</v>
      </c>
      <c r="AG3448">
        <v>0</v>
      </c>
      <c r="AH3448">
        <v>0</v>
      </c>
      <c r="AI3448">
        <v>24.35</v>
      </c>
      <c r="AJ3448">
        <v>135.30000000000001</v>
      </c>
      <c r="AK3448">
        <v>0</v>
      </c>
      <c r="AL3448" t="s">
        <v>53</v>
      </c>
      <c r="AM3448" t="s">
        <v>53</v>
      </c>
      <c r="AN3448" t="s">
        <v>53</v>
      </c>
      <c r="AO3448" t="s">
        <v>53</v>
      </c>
      <c r="AP3448" t="s">
        <v>53</v>
      </c>
    </row>
    <row r="3449" spans="2:42" x14ac:dyDescent="0.2">
      <c r="B3449" t="s">
        <v>44</v>
      </c>
      <c r="C3449" t="str">
        <f>HYPERLINK("https://us2.cloudbeds.com/connect/8493803454333002#/reservations/40355765493975?display=SMTWBDJVT&amp;reservation_id=40355765493975", "SMTWBDJVT")</f>
        <v>SMTWBDJVT</v>
      </c>
      <c r="D3449" t="s">
        <v>45</v>
      </c>
      <c r="E3449" t="s">
        <v>128</v>
      </c>
      <c r="F3449" t="s">
        <v>86</v>
      </c>
      <c r="G3449" t="s">
        <v>48</v>
      </c>
      <c r="H3449" t="s">
        <v>49</v>
      </c>
      <c r="I3449" t="s">
        <v>50</v>
      </c>
      <c r="J3449" t="s">
        <v>3768</v>
      </c>
      <c r="K3449" t="s">
        <v>5347</v>
      </c>
      <c r="L3449" t="s">
        <v>53</v>
      </c>
      <c r="N3449" t="s">
        <v>5709</v>
      </c>
      <c r="P3449" t="s">
        <v>55</v>
      </c>
      <c r="R3449" t="s">
        <v>53</v>
      </c>
      <c r="T3449" t="s">
        <v>5710</v>
      </c>
      <c r="U3449" t="s">
        <v>58</v>
      </c>
      <c r="V3449">
        <v>1</v>
      </c>
      <c r="W3449">
        <v>1</v>
      </c>
      <c r="X3449">
        <v>2</v>
      </c>
      <c r="Y3449">
        <v>0</v>
      </c>
      <c r="Z3449">
        <v>2</v>
      </c>
      <c r="AA3449">
        <v>0</v>
      </c>
      <c r="AB3449">
        <v>65.16</v>
      </c>
      <c r="AC3449">
        <v>57.33</v>
      </c>
      <c r="AD3449">
        <v>0</v>
      </c>
      <c r="AE3449">
        <v>7.83</v>
      </c>
      <c r="AF3449">
        <v>0</v>
      </c>
      <c r="AG3449">
        <v>0</v>
      </c>
      <c r="AH3449">
        <v>0</v>
      </c>
      <c r="AI3449">
        <v>11.73</v>
      </c>
      <c r="AJ3449">
        <v>65.16</v>
      </c>
      <c r="AK3449">
        <v>0</v>
      </c>
      <c r="AL3449" t="s">
        <v>53</v>
      </c>
      <c r="AM3449" t="s">
        <v>53</v>
      </c>
      <c r="AN3449" t="s">
        <v>53</v>
      </c>
      <c r="AO3449" t="s">
        <v>53</v>
      </c>
      <c r="AP3449" t="s">
        <v>53</v>
      </c>
    </row>
    <row r="3450" spans="2:42" x14ac:dyDescent="0.2">
      <c r="B3450" t="s">
        <v>44</v>
      </c>
      <c r="C3450" t="str">
        <f>HYPERLINK("https://us2.cloudbeds.com/connect/8493803454333002#/reservations/40406457651407?display=SZ37YCK5M&amp;reservation_id=40406457651407", "SZ37YCK5M")</f>
        <v>SZ37YCK5M</v>
      </c>
      <c r="D3450" t="s">
        <v>45</v>
      </c>
      <c r="E3450" t="s">
        <v>185</v>
      </c>
      <c r="F3450" t="s">
        <v>47</v>
      </c>
      <c r="G3450" t="s">
        <v>48</v>
      </c>
      <c r="H3450" t="s">
        <v>49</v>
      </c>
      <c r="I3450" t="s">
        <v>62</v>
      </c>
      <c r="J3450" t="s">
        <v>5672</v>
      </c>
      <c r="K3450" t="s">
        <v>5711</v>
      </c>
      <c r="L3450" t="s">
        <v>53</v>
      </c>
      <c r="N3450" t="s">
        <v>5712</v>
      </c>
      <c r="P3450" t="s">
        <v>55</v>
      </c>
      <c r="R3450" t="s">
        <v>56</v>
      </c>
      <c r="T3450" t="s">
        <v>5713</v>
      </c>
      <c r="U3450" t="s">
        <v>55</v>
      </c>
      <c r="V3450">
        <v>3</v>
      </c>
      <c r="W3450">
        <v>1</v>
      </c>
      <c r="X3450">
        <v>2</v>
      </c>
      <c r="Y3450">
        <v>0</v>
      </c>
      <c r="Z3450">
        <v>2</v>
      </c>
      <c r="AA3450">
        <v>0</v>
      </c>
      <c r="AB3450">
        <v>183.6</v>
      </c>
      <c r="AC3450">
        <v>183.6</v>
      </c>
      <c r="AD3450">
        <v>0</v>
      </c>
      <c r="AE3450">
        <v>0</v>
      </c>
      <c r="AF3450">
        <v>0</v>
      </c>
      <c r="AG3450">
        <v>0</v>
      </c>
      <c r="AH3450">
        <v>0</v>
      </c>
      <c r="AI3450">
        <v>33.049999999999997</v>
      </c>
      <c r="AJ3450">
        <v>183.6</v>
      </c>
      <c r="AK3450">
        <v>0</v>
      </c>
      <c r="AL3450" t="s">
        <v>53</v>
      </c>
      <c r="AM3450" t="s">
        <v>53</v>
      </c>
      <c r="AN3450" t="s">
        <v>53</v>
      </c>
      <c r="AO3450" t="s">
        <v>53</v>
      </c>
      <c r="AP3450" t="s">
        <v>53</v>
      </c>
    </row>
    <row r="3451" spans="2:42" x14ac:dyDescent="0.2">
      <c r="B3451" t="s">
        <v>44</v>
      </c>
      <c r="C3451" t="str">
        <f>HYPERLINK("https://us2.cloudbeds.com/connect/8493803454333002#/reservations/40591218073763?display=SSE9N8NP4&amp;reservation_id=40591218073763", "SSE9N8NP4")</f>
        <v>SSE9N8NP4</v>
      </c>
      <c r="D3451" t="s">
        <v>45</v>
      </c>
      <c r="E3451" t="s">
        <v>213</v>
      </c>
      <c r="F3451" t="s">
        <v>86</v>
      </c>
      <c r="G3451" t="s">
        <v>48</v>
      </c>
      <c r="H3451" t="s">
        <v>49</v>
      </c>
      <c r="I3451" t="s">
        <v>50</v>
      </c>
      <c r="J3451" t="s">
        <v>3125</v>
      </c>
      <c r="K3451" t="s">
        <v>5434</v>
      </c>
      <c r="L3451" t="s">
        <v>53</v>
      </c>
      <c r="N3451" t="s">
        <v>5714</v>
      </c>
      <c r="P3451" t="s">
        <v>55</v>
      </c>
      <c r="R3451" t="s">
        <v>53</v>
      </c>
      <c r="T3451" t="s">
        <v>5715</v>
      </c>
      <c r="U3451" t="s">
        <v>58</v>
      </c>
      <c r="V3451">
        <v>1</v>
      </c>
      <c r="W3451">
        <v>1</v>
      </c>
      <c r="X3451">
        <v>4</v>
      </c>
      <c r="Y3451">
        <v>0</v>
      </c>
      <c r="Z3451">
        <v>4</v>
      </c>
      <c r="AA3451">
        <v>0</v>
      </c>
      <c r="AB3451">
        <v>93.09</v>
      </c>
      <c r="AC3451">
        <v>81.900000000000006</v>
      </c>
      <c r="AD3451">
        <v>0</v>
      </c>
      <c r="AE3451">
        <v>11.19</v>
      </c>
      <c r="AF3451">
        <v>0</v>
      </c>
      <c r="AG3451">
        <v>0</v>
      </c>
      <c r="AH3451">
        <v>0</v>
      </c>
      <c r="AI3451">
        <v>16.760000000000002</v>
      </c>
      <c r="AJ3451">
        <v>93.09</v>
      </c>
      <c r="AK3451">
        <v>0</v>
      </c>
      <c r="AL3451" t="s">
        <v>53</v>
      </c>
      <c r="AM3451" t="s">
        <v>53</v>
      </c>
      <c r="AN3451" t="s">
        <v>53</v>
      </c>
      <c r="AO3451" t="s">
        <v>53</v>
      </c>
      <c r="AP3451" t="s">
        <v>53</v>
      </c>
    </row>
    <row r="3452" spans="2:42" x14ac:dyDescent="0.2">
      <c r="B3452" t="s">
        <v>44</v>
      </c>
      <c r="C3452" t="str">
        <f>HYPERLINK("https://us2.cloudbeds.com/connect/8493803454333002#/reservations/40669286342792?display=SU8ZHGCP7&amp;reservation_id=40669286342792", "SU8ZHGCP7")</f>
        <v>SU8ZHGCP7</v>
      </c>
      <c r="D3452" t="s">
        <v>45</v>
      </c>
      <c r="E3452" t="s">
        <v>305</v>
      </c>
      <c r="F3452" t="s">
        <v>61</v>
      </c>
      <c r="G3452" t="s">
        <v>48</v>
      </c>
      <c r="H3452" t="s">
        <v>49</v>
      </c>
      <c r="I3452" t="s">
        <v>50</v>
      </c>
      <c r="J3452" t="s">
        <v>5371</v>
      </c>
      <c r="K3452" t="s">
        <v>3414</v>
      </c>
      <c r="L3452" t="s">
        <v>53</v>
      </c>
      <c r="N3452" t="s">
        <v>5716</v>
      </c>
      <c r="P3452" t="s">
        <v>55</v>
      </c>
      <c r="R3452" t="s">
        <v>53</v>
      </c>
      <c r="T3452" t="s">
        <v>5717</v>
      </c>
      <c r="U3452" t="s">
        <v>58</v>
      </c>
      <c r="V3452">
        <v>2</v>
      </c>
      <c r="W3452">
        <v>1</v>
      </c>
      <c r="X3452">
        <v>2</v>
      </c>
      <c r="Y3452">
        <v>0</v>
      </c>
      <c r="Z3452">
        <v>2</v>
      </c>
      <c r="AA3452">
        <v>0</v>
      </c>
      <c r="AB3452">
        <v>125.29</v>
      </c>
      <c r="AC3452">
        <v>110.25</v>
      </c>
      <c r="AD3452">
        <v>0</v>
      </c>
      <c r="AE3452">
        <v>15.04</v>
      </c>
      <c r="AF3452">
        <v>0</v>
      </c>
      <c r="AG3452">
        <v>0</v>
      </c>
      <c r="AH3452">
        <v>0</v>
      </c>
      <c r="AI3452">
        <v>22.55</v>
      </c>
      <c r="AJ3452">
        <v>125.29</v>
      </c>
      <c r="AK3452">
        <v>0</v>
      </c>
      <c r="AL3452" t="s">
        <v>53</v>
      </c>
      <c r="AM3452" t="s">
        <v>53</v>
      </c>
      <c r="AN3452" t="s">
        <v>53</v>
      </c>
      <c r="AO3452" t="s">
        <v>53</v>
      </c>
      <c r="AP3452" t="s">
        <v>53</v>
      </c>
    </row>
    <row r="3453" spans="2:42" x14ac:dyDescent="0.2">
      <c r="B3453" t="s">
        <v>44</v>
      </c>
      <c r="C3453" t="str">
        <f>HYPERLINK("https://us2.cloudbeds.com/connect/8493803454333002#/reservations/40694995439776?display=SUSYF2TW6&amp;reservation_id=40694995439776", "SUSYF2TW6")</f>
        <v>SUSYF2TW6</v>
      </c>
      <c r="D3453" t="s">
        <v>45</v>
      </c>
      <c r="E3453" t="s">
        <v>128</v>
      </c>
      <c r="F3453" t="s">
        <v>86</v>
      </c>
      <c r="G3453" t="s">
        <v>48</v>
      </c>
      <c r="H3453" t="s">
        <v>49</v>
      </c>
      <c r="I3453" t="s">
        <v>50</v>
      </c>
      <c r="J3453" t="s">
        <v>4958</v>
      </c>
      <c r="K3453" t="s">
        <v>4959</v>
      </c>
      <c r="L3453" t="s">
        <v>53</v>
      </c>
      <c r="N3453" t="s">
        <v>5718</v>
      </c>
      <c r="P3453" t="s">
        <v>55</v>
      </c>
      <c r="R3453" t="s">
        <v>53</v>
      </c>
      <c r="T3453" t="s">
        <v>5719</v>
      </c>
      <c r="U3453" t="s">
        <v>58</v>
      </c>
      <c r="V3453">
        <v>1</v>
      </c>
      <c r="W3453">
        <v>1</v>
      </c>
      <c r="X3453">
        <v>1</v>
      </c>
      <c r="Y3453">
        <v>0</v>
      </c>
      <c r="Z3453">
        <v>1</v>
      </c>
      <c r="AA3453">
        <v>0</v>
      </c>
      <c r="AB3453">
        <v>72.39</v>
      </c>
      <c r="AC3453">
        <v>63.7</v>
      </c>
      <c r="AD3453">
        <v>0</v>
      </c>
      <c r="AE3453">
        <v>8.69</v>
      </c>
      <c r="AF3453">
        <v>0</v>
      </c>
      <c r="AG3453">
        <v>0</v>
      </c>
      <c r="AH3453">
        <v>0</v>
      </c>
      <c r="AI3453">
        <v>13.03</v>
      </c>
      <c r="AJ3453">
        <v>72.39</v>
      </c>
      <c r="AK3453">
        <v>0</v>
      </c>
      <c r="AL3453" t="s">
        <v>53</v>
      </c>
      <c r="AM3453" t="s">
        <v>53</v>
      </c>
      <c r="AN3453" t="s">
        <v>53</v>
      </c>
      <c r="AO3453" t="s">
        <v>53</v>
      </c>
      <c r="AP3453" t="s">
        <v>53</v>
      </c>
    </row>
    <row r="3454" spans="2:42" x14ac:dyDescent="0.2">
      <c r="B3454" t="s">
        <v>44</v>
      </c>
      <c r="C3454" t="str">
        <f>HYPERLINK("https://us2.cloudbeds.com/connect/8493803454333002#/reservations/40704700666056?display=SV35EQ4G8&amp;reservation_id=40704700666056", "SV35EQ4G8")</f>
        <v>SV35EQ4G8</v>
      </c>
      <c r="D3454" t="s">
        <v>45</v>
      </c>
      <c r="E3454" t="s">
        <v>85</v>
      </c>
      <c r="F3454" t="s">
        <v>86</v>
      </c>
      <c r="G3454" t="s">
        <v>48</v>
      </c>
      <c r="H3454" t="s">
        <v>49</v>
      </c>
      <c r="I3454" t="s">
        <v>50</v>
      </c>
      <c r="J3454" t="s">
        <v>4958</v>
      </c>
      <c r="K3454" t="s">
        <v>4959</v>
      </c>
      <c r="L3454" t="s">
        <v>53</v>
      </c>
      <c r="N3454" t="s">
        <v>5720</v>
      </c>
      <c r="P3454" t="s">
        <v>55</v>
      </c>
      <c r="R3454" t="s">
        <v>53</v>
      </c>
      <c r="T3454" t="s">
        <v>5721</v>
      </c>
      <c r="U3454" t="s">
        <v>58</v>
      </c>
      <c r="V3454">
        <v>1</v>
      </c>
      <c r="W3454">
        <v>1</v>
      </c>
      <c r="X3454">
        <v>4</v>
      </c>
      <c r="Y3454">
        <v>0</v>
      </c>
      <c r="Z3454">
        <v>4</v>
      </c>
      <c r="AA3454">
        <v>0</v>
      </c>
      <c r="AB3454">
        <v>72.39</v>
      </c>
      <c r="AC3454">
        <v>63.7</v>
      </c>
      <c r="AD3454">
        <v>0</v>
      </c>
      <c r="AE3454">
        <v>8.69</v>
      </c>
      <c r="AF3454">
        <v>0</v>
      </c>
      <c r="AG3454">
        <v>0</v>
      </c>
      <c r="AH3454">
        <v>0</v>
      </c>
      <c r="AI3454">
        <v>13.03</v>
      </c>
      <c r="AJ3454">
        <v>72.39</v>
      </c>
      <c r="AK3454">
        <v>0</v>
      </c>
      <c r="AL3454" t="s">
        <v>53</v>
      </c>
      <c r="AM3454" t="s">
        <v>53</v>
      </c>
      <c r="AN3454" t="s">
        <v>53</v>
      </c>
      <c r="AO3454" t="s">
        <v>53</v>
      </c>
      <c r="AP3454" t="s">
        <v>53</v>
      </c>
    </row>
    <row r="3455" spans="2:42" x14ac:dyDescent="0.2">
      <c r="B3455" t="s">
        <v>44</v>
      </c>
      <c r="C3455" t="str">
        <f>HYPERLINK("https://us2.cloudbeds.com/connect/8493803454333002#/reservations/40708376789201?display=SV60CJMGA&amp;reservation_id=40708376789201", "SV60CJMGA")</f>
        <v>SV60CJMGA</v>
      </c>
      <c r="D3455" t="s">
        <v>45</v>
      </c>
      <c r="E3455" t="s">
        <v>110</v>
      </c>
      <c r="F3455" t="s">
        <v>47</v>
      </c>
      <c r="G3455" t="s">
        <v>48</v>
      </c>
      <c r="H3455" t="s">
        <v>49</v>
      </c>
      <c r="I3455" t="s">
        <v>50</v>
      </c>
      <c r="J3455" t="s">
        <v>4181</v>
      </c>
      <c r="K3455" t="s">
        <v>4989</v>
      </c>
      <c r="L3455" t="s">
        <v>53</v>
      </c>
      <c r="N3455" t="s">
        <v>5722</v>
      </c>
      <c r="P3455" t="s">
        <v>55</v>
      </c>
      <c r="R3455" t="s">
        <v>53</v>
      </c>
      <c r="T3455" t="s">
        <v>5723</v>
      </c>
      <c r="U3455" t="s">
        <v>58</v>
      </c>
      <c r="V3455">
        <v>1</v>
      </c>
      <c r="W3455">
        <v>1</v>
      </c>
      <c r="X3455">
        <v>2</v>
      </c>
      <c r="Y3455">
        <v>0</v>
      </c>
      <c r="Z3455">
        <v>2</v>
      </c>
      <c r="AA3455">
        <v>0</v>
      </c>
      <c r="AB3455">
        <v>72.739999999999995</v>
      </c>
      <c r="AC3455">
        <v>64</v>
      </c>
      <c r="AD3455">
        <v>0</v>
      </c>
      <c r="AE3455">
        <v>8.74</v>
      </c>
      <c r="AF3455">
        <v>0</v>
      </c>
      <c r="AG3455">
        <v>0</v>
      </c>
      <c r="AH3455">
        <v>0</v>
      </c>
      <c r="AI3455">
        <v>13.09</v>
      </c>
      <c r="AJ3455">
        <v>72.739999999999995</v>
      </c>
      <c r="AK3455">
        <v>0</v>
      </c>
      <c r="AL3455" t="s">
        <v>53</v>
      </c>
      <c r="AM3455" t="s">
        <v>53</v>
      </c>
      <c r="AN3455" t="s">
        <v>53</v>
      </c>
      <c r="AO3455" t="s">
        <v>53</v>
      </c>
      <c r="AP3455" t="s">
        <v>53</v>
      </c>
    </row>
    <row r="3456" spans="2:42" x14ac:dyDescent="0.2">
      <c r="B3456" t="s">
        <v>44</v>
      </c>
      <c r="C3456" t="str">
        <f>HYPERLINK("https://us2.cloudbeds.com/connect/8493803454333002#/reservations/40715000647867?display=SVB4Y0AB6&amp;reservation_id=40715000647867", "SVB4Y0AB6")</f>
        <v>SVB4Y0AB6</v>
      </c>
      <c r="D3456" t="s">
        <v>45</v>
      </c>
      <c r="E3456" t="s">
        <v>265</v>
      </c>
      <c r="F3456" t="s">
        <v>61</v>
      </c>
      <c r="G3456" t="s">
        <v>48</v>
      </c>
      <c r="H3456" t="s">
        <v>49</v>
      </c>
      <c r="I3456" t="s">
        <v>50</v>
      </c>
      <c r="J3456" t="s">
        <v>3413</v>
      </c>
      <c r="K3456" t="s">
        <v>5258</v>
      </c>
      <c r="L3456" t="s">
        <v>53</v>
      </c>
      <c r="N3456" t="s">
        <v>5724</v>
      </c>
      <c r="P3456" t="s">
        <v>55</v>
      </c>
      <c r="R3456" t="s">
        <v>53</v>
      </c>
      <c r="T3456" t="s">
        <v>5725</v>
      </c>
      <c r="U3456" t="s">
        <v>58</v>
      </c>
      <c r="V3456">
        <v>2</v>
      </c>
      <c r="W3456">
        <v>1</v>
      </c>
      <c r="X3456">
        <v>2</v>
      </c>
      <c r="Y3456">
        <v>0</v>
      </c>
      <c r="Z3456">
        <v>2</v>
      </c>
      <c r="AA3456">
        <v>0</v>
      </c>
      <c r="AB3456">
        <v>139.22999999999999</v>
      </c>
      <c r="AC3456">
        <v>122.5</v>
      </c>
      <c r="AD3456">
        <v>0</v>
      </c>
      <c r="AE3456">
        <v>16.73</v>
      </c>
      <c r="AF3456">
        <v>0</v>
      </c>
      <c r="AG3456">
        <v>0</v>
      </c>
      <c r="AH3456">
        <v>0</v>
      </c>
      <c r="AI3456">
        <v>25.06</v>
      </c>
      <c r="AJ3456">
        <v>139.22999999999999</v>
      </c>
      <c r="AK3456">
        <v>0</v>
      </c>
      <c r="AL3456" t="s">
        <v>53</v>
      </c>
      <c r="AM3456" t="s">
        <v>53</v>
      </c>
      <c r="AN3456" t="s">
        <v>53</v>
      </c>
      <c r="AO3456" t="s">
        <v>53</v>
      </c>
      <c r="AP3456" t="s">
        <v>53</v>
      </c>
    </row>
    <row r="3457" spans="2:42" x14ac:dyDescent="0.2">
      <c r="B3457" t="s">
        <v>44</v>
      </c>
      <c r="C3457" t="str">
        <f>HYPERLINK("https://us2.cloudbeds.com/connect/8493803454333002#/reservations/40760732582023?display=SWDX6CQ7Z&amp;reservation_id=40760732582023", "SWDX6CQ7Z")</f>
        <v>SWDX6CQ7Z</v>
      </c>
      <c r="D3457" t="s">
        <v>45</v>
      </c>
      <c r="E3457" t="s">
        <v>105</v>
      </c>
      <c r="F3457" t="s">
        <v>47</v>
      </c>
      <c r="G3457" t="s">
        <v>48</v>
      </c>
      <c r="H3457" t="s">
        <v>49</v>
      </c>
      <c r="I3457" t="s">
        <v>50</v>
      </c>
      <c r="J3457" t="s">
        <v>4959</v>
      </c>
      <c r="K3457" t="s">
        <v>4180</v>
      </c>
      <c r="L3457" t="s">
        <v>53</v>
      </c>
      <c r="N3457" t="s">
        <v>5726</v>
      </c>
      <c r="P3457" t="s">
        <v>55</v>
      </c>
      <c r="R3457" t="s">
        <v>53</v>
      </c>
      <c r="T3457" t="s">
        <v>5727</v>
      </c>
      <c r="U3457" t="s">
        <v>58</v>
      </c>
      <c r="V3457">
        <v>1</v>
      </c>
      <c r="W3457">
        <v>1</v>
      </c>
      <c r="X3457">
        <v>1</v>
      </c>
      <c r="Y3457">
        <v>0</v>
      </c>
      <c r="Z3457">
        <v>1</v>
      </c>
      <c r="AA3457">
        <v>0</v>
      </c>
      <c r="AB3457">
        <v>63.64</v>
      </c>
      <c r="AC3457">
        <v>56</v>
      </c>
      <c r="AD3457">
        <v>0</v>
      </c>
      <c r="AE3457">
        <v>7.64</v>
      </c>
      <c r="AF3457">
        <v>0</v>
      </c>
      <c r="AG3457">
        <v>0</v>
      </c>
      <c r="AH3457">
        <v>0</v>
      </c>
      <c r="AI3457">
        <v>11.46</v>
      </c>
      <c r="AJ3457">
        <v>63.64</v>
      </c>
      <c r="AK3457">
        <v>0</v>
      </c>
      <c r="AL3457" t="s">
        <v>53</v>
      </c>
      <c r="AM3457" t="s">
        <v>53</v>
      </c>
      <c r="AN3457" t="s">
        <v>53</v>
      </c>
      <c r="AO3457" t="s">
        <v>53</v>
      </c>
      <c r="AP3457" t="s">
        <v>53</v>
      </c>
    </row>
    <row r="3458" spans="2:42" x14ac:dyDescent="0.2">
      <c r="B3458" t="s">
        <v>44</v>
      </c>
      <c r="C3458" t="str">
        <f>HYPERLINK("https://us2.cloudbeds.com/connect/8493803454333002#/reservations/40775723372721?display=SWP580Y8H&amp;reservation_id=40775723372721", "SWP580Y8H")</f>
        <v>SWP580Y8H</v>
      </c>
      <c r="D3458" t="s">
        <v>45</v>
      </c>
      <c r="E3458" t="s">
        <v>487</v>
      </c>
      <c r="F3458" t="s">
        <v>61</v>
      </c>
      <c r="G3458" t="s">
        <v>48</v>
      </c>
      <c r="H3458" t="s">
        <v>49</v>
      </c>
      <c r="I3458" t="s">
        <v>50</v>
      </c>
      <c r="J3458" t="s">
        <v>3125</v>
      </c>
      <c r="K3458" t="s">
        <v>2664</v>
      </c>
      <c r="L3458" t="s">
        <v>53</v>
      </c>
      <c r="N3458" t="s">
        <v>5728</v>
      </c>
      <c r="P3458" t="s">
        <v>55</v>
      </c>
      <c r="R3458" t="s">
        <v>53</v>
      </c>
      <c r="T3458" t="s">
        <v>5729</v>
      </c>
      <c r="U3458" t="s">
        <v>58</v>
      </c>
      <c r="V3458">
        <v>4</v>
      </c>
      <c r="W3458">
        <v>1</v>
      </c>
      <c r="X3458">
        <v>1</v>
      </c>
      <c r="Y3458">
        <v>0</v>
      </c>
      <c r="Z3458">
        <v>1</v>
      </c>
      <c r="AA3458">
        <v>0</v>
      </c>
      <c r="AB3458">
        <v>365.17</v>
      </c>
      <c r="AC3458">
        <v>321.29000000000002</v>
      </c>
      <c r="AD3458">
        <v>0</v>
      </c>
      <c r="AE3458">
        <v>43.88</v>
      </c>
      <c r="AF3458">
        <v>0</v>
      </c>
      <c r="AG3458">
        <v>0</v>
      </c>
      <c r="AH3458">
        <v>0</v>
      </c>
      <c r="AI3458">
        <v>65.73</v>
      </c>
      <c r="AJ3458">
        <v>365.17</v>
      </c>
      <c r="AK3458">
        <v>0</v>
      </c>
      <c r="AL3458" t="s">
        <v>53</v>
      </c>
      <c r="AM3458" t="s">
        <v>53</v>
      </c>
      <c r="AN3458" t="s">
        <v>5730</v>
      </c>
      <c r="AO3458" t="s">
        <v>53</v>
      </c>
      <c r="AP3458" t="s">
        <v>53</v>
      </c>
    </row>
    <row r="3459" spans="2:42" x14ac:dyDescent="0.2">
      <c r="B3459" t="s">
        <v>44</v>
      </c>
      <c r="C3459" t="str">
        <f>HYPERLINK("https://us2.cloudbeds.com/connect/8493803454333002#/reservations/40774996553974?display=SWZJM4RP0&amp;reservation_id=40774996553974", "SWZJM4RP0")</f>
        <v>SWZJM4RP0</v>
      </c>
      <c r="D3459" t="s">
        <v>45</v>
      </c>
      <c r="E3459" t="s">
        <v>121</v>
      </c>
      <c r="F3459" t="s">
        <v>86</v>
      </c>
      <c r="G3459" t="s">
        <v>48</v>
      </c>
      <c r="H3459" t="s">
        <v>49</v>
      </c>
      <c r="I3459" t="s">
        <v>50</v>
      </c>
      <c r="J3459" t="s">
        <v>3125</v>
      </c>
      <c r="K3459" t="s">
        <v>2283</v>
      </c>
      <c r="L3459" t="s">
        <v>53</v>
      </c>
      <c r="N3459" t="s">
        <v>5731</v>
      </c>
      <c r="P3459" t="s">
        <v>55</v>
      </c>
      <c r="R3459" t="s">
        <v>53</v>
      </c>
      <c r="T3459" t="s">
        <v>5732</v>
      </c>
      <c r="U3459" t="s">
        <v>58</v>
      </c>
      <c r="V3459">
        <v>3</v>
      </c>
      <c r="W3459">
        <v>1</v>
      </c>
      <c r="X3459">
        <v>2</v>
      </c>
      <c r="Y3459">
        <v>0</v>
      </c>
      <c r="Z3459">
        <v>2</v>
      </c>
      <c r="AA3459">
        <v>0</v>
      </c>
      <c r="AB3459">
        <v>274.25</v>
      </c>
      <c r="AC3459">
        <v>241.29</v>
      </c>
      <c r="AD3459">
        <v>0</v>
      </c>
      <c r="AE3459">
        <v>32.96</v>
      </c>
      <c r="AF3459">
        <v>0</v>
      </c>
      <c r="AG3459">
        <v>0</v>
      </c>
      <c r="AH3459">
        <v>0</v>
      </c>
      <c r="AI3459">
        <v>49.37</v>
      </c>
      <c r="AJ3459">
        <v>274.25</v>
      </c>
      <c r="AK3459">
        <v>0</v>
      </c>
      <c r="AL3459" t="s">
        <v>53</v>
      </c>
      <c r="AM3459" t="s">
        <v>53</v>
      </c>
      <c r="AN3459" t="s">
        <v>53</v>
      </c>
      <c r="AO3459" t="s">
        <v>53</v>
      </c>
      <c r="AP3459" t="s">
        <v>53</v>
      </c>
    </row>
    <row r="3460" spans="2:42" x14ac:dyDescent="0.2">
      <c r="B3460" t="s">
        <v>44</v>
      </c>
      <c r="C3460" t="str">
        <f>HYPERLINK("https://us2.cloudbeds.com/connect/8493803454333002#/reservations/40802624061596?display=T0CWKCVTM&amp;reservation_id=40802624061596", "T0CWKCVTM")</f>
        <v>T0CWKCVTM</v>
      </c>
      <c r="D3460" t="s">
        <v>45</v>
      </c>
      <c r="E3460" t="s">
        <v>85</v>
      </c>
      <c r="F3460" t="s">
        <v>86</v>
      </c>
      <c r="G3460" t="s">
        <v>48</v>
      </c>
      <c r="H3460" t="s">
        <v>49</v>
      </c>
      <c r="I3460" t="s">
        <v>50</v>
      </c>
      <c r="J3460" t="s">
        <v>3768</v>
      </c>
      <c r="K3460" t="s">
        <v>5347</v>
      </c>
      <c r="L3460" t="s">
        <v>53</v>
      </c>
      <c r="N3460" t="s">
        <v>5733</v>
      </c>
      <c r="P3460" t="s">
        <v>55</v>
      </c>
      <c r="R3460" t="s">
        <v>53</v>
      </c>
      <c r="T3460" t="s">
        <v>5734</v>
      </c>
      <c r="U3460" t="s">
        <v>58</v>
      </c>
      <c r="V3460">
        <v>1</v>
      </c>
      <c r="W3460">
        <v>1</v>
      </c>
      <c r="X3460">
        <v>4</v>
      </c>
      <c r="Y3460">
        <v>0</v>
      </c>
      <c r="Z3460">
        <v>4</v>
      </c>
      <c r="AA3460">
        <v>0</v>
      </c>
      <c r="AB3460">
        <v>65.16</v>
      </c>
      <c r="AC3460">
        <v>57.33</v>
      </c>
      <c r="AD3460">
        <v>0</v>
      </c>
      <c r="AE3460">
        <v>7.83</v>
      </c>
      <c r="AF3460">
        <v>0</v>
      </c>
      <c r="AG3460">
        <v>0</v>
      </c>
      <c r="AH3460">
        <v>0</v>
      </c>
      <c r="AI3460">
        <v>11.73</v>
      </c>
      <c r="AJ3460">
        <v>65.16</v>
      </c>
      <c r="AK3460">
        <v>0</v>
      </c>
      <c r="AL3460" t="s">
        <v>53</v>
      </c>
      <c r="AM3460" t="s">
        <v>53</v>
      </c>
      <c r="AN3460" t="s">
        <v>53</v>
      </c>
      <c r="AO3460" t="s">
        <v>53</v>
      </c>
      <c r="AP3460" t="s">
        <v>53</v>
      </c>
    </row>
    <row r="3461" spans="2:42" x14ac:dyDescent="0.2">
      <c r="B3461" t="s">
        <v>44</v>
      </c>
      <c r="C3461" t="str">
        <f>HYPERLINK("https://us2.cloudbeds.com/connect/8493803454333002#/reservations/40805685792957?display=T0FBS453T&amp;reservation_id=40805685792957", "T0FBS453T")</f>
        <v>T0FBS453T</v>
      </c>
      <c r="D3461" t="s">
        <v>45</v>
      </c>
      <c r="E3461" t="s">
        <v>121</v>
      </c>
      <c r="F3461" t="s">
        <v>86</v>
      </c>
      <c r="G3461" t="s">
        <v>48</v>
      </c>
      <c r="H3461" t="s">
        <v>49</v>
      </c>
      <c r="I3461" t="s">
        <v>50</v>
      </c>
      <c r="J3461" t="s">
        <v>3413</v>
      </c>
      <c r="K3461" t="s">
        <v>5258</v>
      </c>
      <c r="L3461" t="s">
        <v>53</v>
      </c>
      <c r="N3461" t="s">
        <v>5735</v>
      </c>
      <c r="P3461" t="s">
        <v>55</v>
      </c>
      <c r="R3461" t="s">
        <v>53</v>
      </c>
      <c r="T3461" t="s">
        <v>5736</v>
      </c>
      <c r="U3461" t="s">
        <v>58</v>
      </c>
      <c r="V3461">
        <v>2</v>
      </c>
      <c r="W3461">
        <v>1</v>
      </c>
      <c r="X3461">
        <v>3</v>
      </c>
      <c r="Y3461">
        <v>0</v>
      </c>
      <c r="Z3461">
        <v>3</v>
      </c>
      <c r="AA3461">
        <v>0</v>
      </c>
      <c r="AB3461">
        <v>144.78</v>
      </c>
      <c r="AC3461">
        <v>127.4</v>
      </c>
      <c r="AD3461">
        <v>0</v>
      </c>
      <c r="AE3461">
        <v>17.38</v>
      </c>
      <c r="AF3461">
        <v>0</v>
      </c>
      <c r="AG3461">
        <v>0</v>
      </c>
      <c r="AH3461">
        <v>0</v>
      </c>
      <c r="AI3461">
        <v>26.06</v>
      </c>
      <c r="AJ3461">
        <v>144.78</v>
      </c>
      <c r="AK3461">
        <v>0</v>
      </c>
      <c r="AL3461" t="s">
        <v>53</v>
      </c>
      <c r="AM3461" t="s">
        <v>53</v>
      </c>
      <c r="AN3461" t="s">
        <v>53</v>
      </c>
      <c r="AO3461" t="s">
        <v>53</v>
      </c>
      <c r="AP3461" t="s">
        <v>53</v>
      </c>
    </row>
    <row r="3462" spans="2:42" x14ac:dyDescent="0.2">
      <c r="B3462" t="s">
        <v>44</v>
      </c>
      <c r="C3462" t="str">
        <f>HYPERLINK("https://us2.cloudbeds.com/connect/8493803454333002#/reservations/40873321660645?display=T21Z3FSU0&amp;reservation_id=40873321660645", "T21Z3FSU0")</f>
        <v>T21Z3FSU0</v>
      </c>
      <c r="D3462" t="s">
        <v>45</v>
      </c>
      <c r="E3462" t="s">
        <v>78</v>
      </c>
      <c r="F3462" t="s">
        <v>61</v>
      </c>
      <c r="G3462" t="s">
        <v>48</v>
      </c>
      <c r="H3462" t="s">
        <v>49</v>
      </c>
      <c r="I3462" t="s">
        <v>50</v>
      </c>
      <c r="J3462" t="s">
        <v>4840</v>
      </c>
      <c r="K3462" t="s">
        <v>2975</v>
      </c>
      <c r="L3462" t="s">
        <v>53</v>
      </c>
      <c r="N3462" t="s">
        <v>5737</v>
      </c>
      <c r="P3462" t="s">
        <v>58</v>
      </c>
      <c r="R3462" t="s">
        <v>56</v>
      </c>
      <c r="T3462" t="s">
        <v>5738</v>
      </c>
      <c r="U3462" t="s">
        <v>58</v>
      </c>
      <c r="V3462">
        <v>3</v>
      </c>
      <c r="W3462">
        <v>1</v>
      </c>
      <c r="X3462">
        <v>1</v>
      </c>
      <c r="Y3462">
        <v>0</v>
      </c>
      <c r="Z3462">
        <v>1</v>
      </c>
      <c r="AA3462">
        <v>0</v>
      </c>
      <c r="AB3462">
        <v>204.08</v>
      </c>
      <c r="AC3462">
        <v>179.55</v>
      </c>
      <c r="AD3462">
        <v>0</v>
      </c>
      <c r="AE3462">
        <v>24.53</v>
      </c>
      <c r="AF3462">
        <v>0</v>
      </c>
      <c r="AG3462">
        <v>0</v>
      </c>
      <c r="AH3462">
        <v>0</v>
      </c>
      <c r="AI3462">
        <v>36.729999999999997</v>
      </c>
      <c r="AJ3462">
        <v>204.08</v>
      </c>
      <c r="AK3462">
        <v>0</v>
      </c>
      <c r="AL3462" t="s">
        <v>53</v>
      </c>
      <c r="AM3462" t="s">
        <v>53</v>
      </c>
      <c r="AN3462" t="s">
        <v>53</v>
      </c>
      <c r="AO3462" t="s">
        <v>53</v>
      </c>
      <c r="AP3462" t="s">
        <v>53</v>
      </c>
    </row>
    <row r="3463" spans="2:42" x14ac:dyDescent="0.2">
      <c r="B3463" t="s">
        <v>44</v>
      </c>
      <c r="C3463" t="str">
        <f>HYPERLINK("https://us2.cloudbeds.com/connect/8493803454333002#/reservations/40873744425126?display=T221TVUCT&amp;reservation_id=40873744425126", "T221TVUCT")</f>
        <v>T221TVUCT</v>
      </c>
      <c r="D3463" t="s">
        <v>45</v>
      </c>
      <c r="E3463" t="s">
        <v>121</v>
      </c>
      <c r="F3463" t="s">
        <v>86</v>
      </c>
      <c r="G3463" t="s">
        <v>48</v>
      </c>
      <c r="H3463" t="s">
        <v>49</v>
      </c>
      <c r="I3463" t="s">
        <v>50</v>
      </c>
      <c r="J3463" t="s">
        <v>2284</v>
      </c>
      <c r="K3463" t="s">
        <v>5351</v>
      </c>
      <c r="L3463" t="s">
        <v>53</v>
      </c>
      <c r="N3463" t="s">
        <v>5739</v>
      </c>
      <c r="P3463" t="s">
        <v>55</v>
      </c>
      <c r="R3463" t="s">
        <v>53</v>
      </c>
      <c r="T3463" t="s">
        <v>5740</v>
      </c>
      <c r="U3463" t="s">
        <v>58</v>
      </c>
      <c r="V3463">
        <v>3</v>
      </c>
      <c r="W3463">
        <v>1</v>
      </c>
      <c r="X3463">
        <v>2</v>
      </c>
      <c r="Y3463">
        <v>1</v>
      </c>
      <c r="Z3463">
        <v>3</v>
      </c>
      <c r="AA3463">
        <v>0</v>
      </c>
      <c r="AB3463">
        <v>279.27</v>
      </c>
      <c r="AC3463">
        <v>245.7</v>
      </c>
      <c r="AD3463">
        <v>0</v>
      </c>
      <c r="AE3463">
        <v>33.57</v>
      </c>
      <c r="AF3463">
        <v>0</v>
      </c>
      <c r="AG3463">
        <v>0</v>
      </c>
      <c r="AH3463">
        <v>0</v>
      </c>
      <c r="AI3463">
        <v>50.27</v>
      </c>
      <c r="AJ3463">
        <v>279.27</v>
      </c>
      <c r="AK3463">
        <v>0</v>
      </c>
      <c r="AL3463" t="s">
        <v>53</v>
      </c>
      <c r="AM3463" t="s">
        <v>53</v>
      </c>
      <c r="AN3463" t="s">
        <v>53</v>
      </c>
      <c r="AO3463" t="s">
        <v>53</v>
      </c>
      <c r="AP3463" t="s">
        <v>53</v>
      </c>
    </row>
    <row r="3464" spans="2:42" x14ac:dyDescent="0.2">
      <c r="B3464" t="s">
        <v>44</v>
      </c>
      <c r="C3464" t="str">
        <f>HYPERLINK("https://us2.cloudbeds.com/connect/8493803454333002#/reservations/40938363814033?display=T3J32ZM73&amp;reservation_id=40938363814033", "T3J32ZM73")</f>
        <v>T3J32ZM73</v>
      </c>
      <c r="D3464" t="s">
        <v>45</v>
      </c>
      <c r="E3464" t="s">
        <v>78</v>
      </c>
      <c r="F3464" t="s">
        <v>61</v>
      </c>
      <c r="G3464" t="s">
        <v>48</v>
      </c>
      <c r="H3464" t="s">
        <v>49</v>
      </c>
      <c r="I3464" t="s">
        <v>50</v>
      </c>
      <c r="J3464" t="s">
        <v>3413</v>
      </c>
      <c r="K3464" t="s">
        <v>5371</v>
      </c>
      <c r="L3464" t="s">
        <v>53</v>
      </c>
      <c r="N3464" t="s">
        <v>5741</v>
      </c>
      <c r="P3464" t="s">
        <v>55</v>
      </c>
      <c r="R3464" t="s">
        <v>53</v>
      </c>
      <c r="T3464" t="s">
        <v>5742</v>
      </c>
      <c r="U3464" t="s">
        <v>58</v>
      </c>
      <c r="V3464">
        <v>1</v>
      </c>
      <c r="W3464">
        <v>1</v>
      </c>
      <c r="X3464">
        <v>2</v>
      </c>
      <c r="Y3464">
        <v>0</v>
      </c>
      <c r="Z3464">
        <v>2</v>
      </c>
      <c r="AA3464">
        <v>0</v>
      </c>
      <c r="AB3464">
        <v>68.42</v>
      </c>
      <c r="AC3464">
        <v>60.2</v>
      </c>
      <c r="AD3464">
        <v>0</v>
      </c>
      <c r="AE3464">
        <v>8.2200000000000006</v>
      </c>
      <c r="AF3464">
        <v>0</v>
      </c>
      <c r="AG3464">
        <v>0</v>
      </c>
      <c r="AH3464">
        <v>0</v>
      </c>
      <c r="AI3464">
        <v>12.32</v>
      </c>
      <c r="AJ3464">
        <v>68.42</v>
      </c>
      <c r="AK3464">
        <v>0</v>
      </c>
      <c r="AL3464" t="s">
        <v>53</v>
      </c>
      <c r="AM3464" t="s">
        <v>53</v>
      </c>
      <c r="AN3464" t="s">
        <v>53</v>
      </c>
      <c r="AO3464" t="s">
        <v>53</v>
      </c>
      <c r="AP3464" t="s">
        <v>53</v>
      </c>
    </row>
    <row r="3465" spans="2:42" x14ac:dyDescent="0.2">
      <c r="B3465" t="s">
        <v>44</v>
      </c>
      <c r="C3465" t="str">
        <f>HYPERLINK("https://us2.cloudbeds.com/connect/8493803454333002#/reservations/40968565076209?display=T49FQ8AB0&amp;reservation_id=40968565076209", "T49FQ8AB0")</f>
        <v>T49FQ8AB0</v>
      </c>
      <c r="D3465" t="s">
        <v>45</v>
      </c>
      <c r="E3465" t="s">
        <v>305</v>
      </c>
      <c r="F3465" t="s">
        <v>61</v>
      </c>
      <c r="G3465" t="s">
        <v>48</v>
      </c>
      <c r="H3465" t="s">
        <v>49</v>
      </c>
      <c r="I3465" t="s">
        <v>50</v>
      </c>
      <c r="J3465" t="s">
        <v>5743</v>
      </c>
      <c r="K3465" t="s">
        <v>5744</v>
      </c>
      <c r="L3465" t="s">
        <v>53</v>
      </c>
      <c r="N3465" t="s">
        <v>5745</v>
      </c>
      <c r="P3465" t="s">
        <v>55</v>
      </c>
      <c r="R3465" t="s">
        <v>53</v>
      </c>
      <c r="T3465" t="s">
        <v>5746</v>
      </c>
      <c r="U3465" t="s">
        <v>58</v>
      </c>
      <c r="V3465">
        <v>2</v>
      </c>
      <c r="W3465">
        <v>1</v>
      </c>
      <c r="X3465">
        <v>2</v>
      </c>
      <c r="Y3465">
        <v>0</v>
      </c>
      <c r="Z3465">
        <v>2</v>
      </c>
      <c r="AA3465">
        <v>0</v>
      </c>
      <c r="AB3465">
        <v>343.66</v>
      </c>
      <c r="AC3465">
        <v>302.39999999999998</v>
      </c>
      <c r="AD3465">
        <v>0</v>
      </c>
      <c r="AE3465">
        <v>41.26</v>
      </c>
      <c r="AF3465">
        <v>0</v>
      </c>
      <c r="AG3465">
        <v>0</v>
      </c>
      <c r="AH3465">
        <v>0</v>
      </c>
      <c r="AI3465">
        <v>61.86</v>
      </c>
      <c r="AJ3465">
        <v>343.66</v>
      </c>
      <c r="AK3465">
        <v>0</v>
      </c>
      <c r="AL3465" t="s">
        <v>53</v>
      </c>
      <c r="AM3465" t="s">
        <v>53</v>
      </c>
      <c r="AN3465" t="s">
        <v>53</v>
      </c>
      <c r="AO3465" t="s">
        <v>53</v>
      </c>
      <c r="AP3465" t="s">
        <v>53</v>
      </c>
    </row>
    <row r="3466" spans="2:42" x14ac:dyDescent="0.2">
      <c r="B3466" t="s">
        <v>44</v>
      </c>
      <c r="C3466" t="str">
        <f>HYPERLINK("https://us2.cloudbeds.com/connect/8493803454333002#/reservations/41032508776648?display=T5PWN9183&amp;reservation_id=41032508776648", "T5PWN9183")</f>
        <v>T5PWN9183</v>
      </c>
      <c r="D3466" t="s">
        <v>45</v>
      </c>
      <c r="E3466" t="s">
        <v>78</v>
      </c>
      <c r="F3466" t="s">
        <v>61</v>
      </c>
      <c r="G3466" t="s">
        <v>48</v>
      </c>
      <c r="H3466" t="s">
        <v>49</v>
      </c>
      <c r="I3466" t="s">
        <v>50</v>
      </c>
      <c r="J3466" t="s">
        <v>4959</v>
      </c>
      <c r="K3466" t="s">
        <v>4180</v>
      </c>
      <c r="L3466" t="s">
        <v>53</v>
      </c>
      <c r="N3466" t="s">
        <v>5747</v>
      </c>
      <c r="P3466" t="s">
        <v>55</v>
      </c>
      <c r="R3466" t="s">
        <v>53</v>
      </c>
      <c r="T3466" t="s">
        <v>5748</v>
      </c>
      <c r="U3466" t="s">
        <v>58</v>
      </c>
      <c r="V3466">
        <v>1</v>
      </c>
      <c r="W3466">
        <v>1</v>
      </c>
      <c r="X3466">
        <v>2</v>
      </c>
      <c r="Y3466">
        <v>0</v>
      </c>
      <c r="Z3466">
        <v>2</v>
      </c>
      <c r="AA3466">
        <v>0</v>
      </c>
      <c r="AB3466">
        <v>78.2</v>
      </c>
      <c r="AC3466">
        <v>68.8</v>
      </c>
      <c r="AD3466">
        <v>0</v>
      </c>
      <c r="AE3466">
        <v>9.4</v>
      </c>
      <c r="AF3466">
        <v>0</v>
      </c>
      <c r="AG3466">
        <v>0</v>
      </c>
      <c r="AH3466">
        <v>0</v>
      </c>
      <c r="AI3466">
        <v>14.08</v>
      </c>
      <c r="AJ3466">
        <v>78.2</v>
      </c>
      <c r="AK3466">
        <v>0</v>
      </c>
      <c r="AL3466" t="s">
        <v>53</v>
      </c>
      <c r="AM3466" t="s">
        <v>53</v>
      </c>
      <c r="AN3466" t="s">
        <v>53</v>
      </c>
      <c r="AO3466" t="s">
        <v>53</v>
      </c>
      <c r="AP3466" t="s">
        <v>53</v>
      </c>
    </row>
    <row r="3467" spans="2:42" x14ac:dyDescent="0.2">
      <c r="B3467" t="s">
        <v>44</v>
      </c>
      <c r="C3467" t="str">
        <f>HYPERLINK("https://us2.cloudbeds.com/connect/8493803454333002#/reservations/41046313406659?display=T63MEN75Y&amp;reservation_id=41046313406659", "T63MEN75Y")</f>
        <v>T63MEN75Y</v>
      </c>
      <c r="D3467" t="s">
        <v>602</v>
      </c>
      <c r="E3467" t="s">
        <v>53</v>
      </c>
      <c r="F3467" t="s">
        <v>70</v>
      </c>
      <c r="G3467" t="s">
        <v>48</v>
      </c>
      <c r="H3467" t="s">
        <v>49</v>
      </c>
      <c r="I3467" t="s">
        <v>50</v>
      </c>
      <c r="J3467" t="s">
        <v>5749</v>
      </c>
      <c r="K3467" t="s">
        <v>5347</v>
      </c>
      <c r="L3467" t="s">
        <v>53</v>
      </c>
      <c r="N3467" t="s">
        <v>5750</v>
      </c>
      <c r="P3467" t="s">
        <v>55</v>
      </c>
      <c r="R3467" t="s">
        <v>53</v>
      </c>
      <c r="T3467" t="s">
        <v>5751</v>
      </c>
      <c r="U3467" t="s">
        <v>58</v>
      </c>
      <c r="V3467">
        <v>2</v>
      </c>
      <c r="W3467">
        <v>1</v>
      </c>
      <c r="X3467">
        <v>2</v>
      </c>
      <c r="Y3467">
        <v>0</v>
      </c>
      <c r="Z3467">
        <v>2</v>
      </c>
      <c r="AA3467">
        <v>0</v>
      </c>
      <c r="AB3467">
        <v>0</v>
      </c>
      <c r="AC3467">
        <v>0</v>
      </c>
      <c r="AD3467">
        <v>0</v>
      </c>
      <c r="AE3467">
        <v>0.01</v>
      </c>
      <c r="AF3467">
        <v>0</v>
      </c>
      <c r="AG3467">
        <v>0</v>
      </c>
      <c r="AH3467">
        <v>0</v>
      </c>
      <c r="AI3467">
        <v>0</v>
      </c>
      <c r="AJ3467">
        <v>0.01</v>
      </c>
      <c r="AK3467">
        <v>0.01</v>
      </c>
      <c r="AL3467">
        <v>113.76</v>
      </c>
      <c r="AM3467">
        <v>0.01</v>
      </c>
      <c r="AN3467" t="s">
        <v>53</v>
      </c>
      <c r="AO3467" t="s">
        <v>53</v>
      </c>
      <c r="AP3467" t="s">
        <v>53</v>
      </c>
    </row>
    <row r="3468" spans="2:42" x14ac:dyDescent="0.2">
      <c r="B3468" t="s">
        <v>44</v>
      </c>
      <c r="C3468" t="str">
        <f>HYPERLINK("https://us2.cloudbeds.com/connect/8493803454333002#/reservations/41047139504381?display=T64AX9JUV&amp;reservation_id=41047139504381", "T64AX9JUV")</f>
        <v>T64AX9JUV</v>
      </c>
      <c r="D3468" t="s">
        <v>45</v>
      </c>
      <c r="E3468" t="s">
        <v>190</v>
      </c>
      <c r="F3468" t="s">
        <v>61</v>
      </c>
      <c r="G3468" t="s">
        <v>48</v>
      </c>
      <c r="H3468" t="s">
        <v>3957</v>
      </c>
      <c r="I3468" t="s">
        <v>3958</v>
      </c>
      <c r="J3468" t="s">
        <v>4959</v>
      </c>
      <c r="K3468" t="s">
        <v>4180</v>
      </c>
      <c r="L3468" t="s">
        <v>53</v>
      </c>
      <c r="P3468" t="s">
        <v>55</v>
      </c>
      <c r="R3468" t="s">
        <v>56</v>
      </c>
      <c r="T3468" t="s">
        <v>5752</v>
      </c>
      <c r="U3468" t="s">
        <v>58</v>
      </c>
      <c r="V3468">
        <v>1</v>
      </c>
      <c r="W3468">
        <v>1</v>
      </c>
      <c r="X3468">
        <v>1</v>
      </c>
      <c r="Y3468">
        <v>0</v>
      </c>
      <c r="Z3468">
        <v>1</v>
      </c>
      <c r="AA3468">
        <v>0</v>
      </c>
      <c r="AB3468">
        <v>97.74</v>
      </c>
      <c r="AC3468">
        <v>86</v>
      </c>
      <c r="AD3468">
        <v>0</v>
      </c>
      <c r="AE3468">
        <v>11.74</v>
      </c>
      <c r="AF3468">
        <v>0</v>
      </c>
      <c r="AG3468">
        <v>0</v>
      </c>
      <c r="AH3468">
        <v>0</v>
      </c>
      <c r="AI3468">
        <v>0</v>
      </c>
      <c r="AJ3468">
        <v>97.74</v>
      </c>
      <c r="AK3468">
        <v>0</v>
      </c>
      <c r="AL3468" t="s">
        <v>53</v>
      </c>
      <c r="AM3468" t="s">
        <v>53</v>
      </c>
      <c r="AN3468" t="s">
        <v>53</v>
      </c>
      <c r="AO3468" t="s">
        <v>53</v>
      </c>
      <c r="AP3468" t="s">
        <v>53</v>
      </c>
    </row>
    <row r="3469" spans="2:42" x14ac:dyDescent="0.2">
      <c r="B3469" t="s">
        <v>44</v>
      </c>
      <c r="C3469" t="str">
        <f>HYPERLINK("https://us2.cloudbeds.com/connect/8493803454333002#/reservations/41054841888952?display=T6A9C4QN0&amp;reservation_id=41054841888952", "T6A9C4QN0")</f>
        <v>T6A9C4QN0</v>
      </c>
      <c r="D3469" t="s">
        <v>45</v>
      </c>
      <c r="E3469" t="s">
        <v>185</v>
      </c>
      <c r="F3469" t="s">
        <v>47</v>
      </c>
      <c r="G3469" t="s">
        <v>48</v>
      </c>
      <c r="H3469" t="s">
        <v>49</v>
      </c>
      <c r="I3469" t="s">
        <v>50</v>
      </c>
      <c r="J3469" t="s">
        <v>4959</v>
      </c>
      <c r="K3469" t="s">
        <v>4180</v>
      </c>
      <c r="L3469" t="s">
        <v>53</v>
      </c>
      <c r="N3469" t="s">
        <v>5753</v>
      </c>
      <c r="P3469" t="s">
        <v>55</v>
      </c>
      <c r="R3469" t="s">
        <v>53</v>
      </c>
      <c r="T3469" t="s">
        <v>5754</v>
      </c>
      <c r="U3469" t="s">
        <v>58</v>
      </c>
      <c r="V3469">
        <v>1</v>
      </c>
      <c r="W3469">
        <v>1</v>
      </c>
      <c r="X3469">
        <v>2</v>
      </c>
      <c r="Y3469">
        <v>0</v>
      </c>
      <c r="Z3469">
        <v>2</v>
      </c>
      <c r="AA3469">
        <v>0</v>
      </c>
      <c r="AB3469">
        <v>63.64</v>
      </c>
      <c r="AC3469">
        <v>56</v>
      </c>
      <c r="AD3469">
        <v>0</v>
      </c>
      <c r="AE3469">
        <v>7.64</v>
      </c>
      <c r="AF3469">
        <v>0</v>
      </c>
      <c r="AG3469">
        <v>0</v>
      </c>
      <c r="AH3469">
        <v>0</v>
      </c>
      <c r="AI3469">
        <v>11.46</v>
      </c>
      <c r="AJ3469">
        <v>63.64</v>
      </c>
      <c r="AK3469">
        <v>0</v>
      </c>
      <c r="AL3469" t="s">
        <v>53</v>
      </c>
      <c r="AM3469" t="s">
        <v>53</v>
      </c>
      <c r="AN3469" t="s">
        <v>53</v>
      </c>
      <c r="AO3469" t="s">
        <v>53</v>
      </c>
      <c r="AP3469" t="s">
        <v>53</v>
      </c>
    </row>
    <row r="3470" spans="2:42" x14ac:dyDescent="0.2">
      <c r="B3470" t="s">
        <v>44</v>
      </c>
      <c r="C3470" t="str">
        <f>HYPERLINK("https://us2.cloudbeds.com/connect/8493803454333002#/reservations/41083290046630?display=T6WA9CZ56&amp;reservation_id=41083290046630", "T6WA9CZ56")</f>
        <v>T6WA9CZ56</v>
      </c>
      <c r="D3470" t="s">
        <v>45</v>
      </c>
      <c r="E3470" t="s">
        <v>165</v>
      </c>
      <c r="F3470" t="s">
        <v>61</v>
      </c>
      <c r="G3470" t="s">
        <v>48</v>
      </c>
      <c r="H3470" t="s">
        <v>49</v>
      </c>
      <c r="I3470" t="s">
        <v>50</v>
      </c>
      <c r="J3470" t="s">
        <v>5666</v>
      </c>
      <c r="K3470" t="s">
        <v>5667</v>
      </c>
      <c r="L3470" t="s">
        <v>53</v>
      </c>
      <c r="N3470" t="s">
        <v>5755</v>
      </c>
      <c r="P3470" t="s">
        <v>55</v>
      </c>
      <c r="R3470" t="s">
        <v>53</v>
      </c>
      <c r="T3470" t="s">
        <v>5756</v>
      </c>
      <c r="U3470" t="s">
        <v>58</v>
      </c>
      <c r="V3470">
        <v>1</v>
      </c>
      <c r="W3470">
        <v>1</v>
      </c>
      <c r="X3470">
        <v>2</v>
      </c>
      <c r="Y3470">
        <v>0</v>
      </c>
      <c r="Z3470">
        <v>2</v>
      </c>
      <c r="AA3470">
        <v>0</v>
      </c>
      <c r="AB3470">
        <v>74.67</v>
      </c>
      <c r="AC3470">
        <v>65.7</v>
      </c>
      <c r="AD3470">
        <v>0</v>
      </c>
      <c r="AE3470">
        <v>8.9700000000000006</v>
      </c>
      <c r="AF3470">
        <v>0</v>
      </c>
      <c r="AG3470">
        <v>0</v>
      </c>
      <c r="AH3470">
        <v>0</v>
      </c>
      <c r="AI3470">
        <v>13.44</v>
      </c>
      <c r="AJ3470">
        <v>74.67</v>
      </c>
      <c r="AK3470">
        <v>0</v>
      </c>
      <c r="AL3470" t="s">
        <v>53</v>
      </c>
      <c r="AM3470" t="s">
        <v>53</v>
      </c>
      <c r="AN3470" t="s">
        <v>53</v>
      </c>
      <c r="AO3470" t="s">
        <v>53</v>
      </c>
      <c r="AP3470" t="s">
        <v>53</v>
      </c>
    </row>
    <row r="3471" spans="2:42" x14ac:dyDescent="0.2">
      <c r="B3471" t="s">
        <v>44</v>
      </c>
      <c r="C3471" t="str">
        <f>HYPERLINK("https://us2.cloudbeds.com/connect/8493803454333002#/reservations/41171952808077?display=T91VR5PB2&amp;reservation_id=41171952808077", "T91VR5PB2")</f>
        <v>T91VR5PB2</v>
      </c>
      <c r="D3471" t="s">
        <v>45</v>
      </c>
      <c r="E3471" t="s">
        <v>105</v>
      </c>
      <c r="F3471" t="s">
        <v>47</v>
      </c>
      <c r="G3471" t="s">
        <v>48</v>
      </c>
      <c r="H3471" t="s">
        <v>49</v>
      </c>
      <c r="I3471" t="s">
        <v>50</v>
      </c>
      <c r="J3471" t="s">
        <v>5371</v>
      </c>
      <c r="K3471" t="s">
        <v>3414</v>
      </c>
      <c r="L3471" t="s">
        <v>53</v>
      </c>
      <c r="N3471" t="s">
        <v>5757</v>
      </c>
      <c r="P3471" t="s">
        <v>55</v>
      </c>
      <c r="R3471" t="s">
        <v>53</v>
      </c>
      <c r="T3471" t="s">
        <v>5758</v>
      </c>
      <c r="U3471" t="s">
        <v>58</v>
      </c>
      <c r="V3471">
        <v>2</v>
      </c>
      <c r="W3471">
        <v>1</v>
      </c>
      <c r="X3471">
        <v>2</v>
      </c>
      <c r="Y3471">
        <v>0</v>
      </c>
      <c r="Z3471">
        <v>2</v>
      </c>
      <c r="AA3471">
        <v>0</v>
      </c>
      <c r="AB3471">
        <v>127.28</v>
      </c>
      <c r="AC3471">
        <v>112</v>
      </c>
      <c r="AD3471">
        <v>0</v>
      </c>
      <c r="AE3471">
        <v>15.28</v>
      </c>
      <c r="AF3471">
        <v>0</v>
      </c>
      <c r="AG3471">
        <v>0</v>
      </c>
      <c r="AH3471">
        <v>0</v>
      </c>
      <c r="AI3471">
        <v>22.91</v>
      </c>
      <c r="AJ3471">
        <v>127.28</v>
      </c>
      <c r="AK3471">
        <v>0</v>
      </c>
      <c r="AL3471" t="s">
        <v>53</v>
      </c>
      <c r="AM3471" t="s">
        <v>53</v>
      </c>
      <c r="AN3471" t="s">
        <v>53</v>
      </c>
      <c r="AO3471" t="s">
        <v>53</v>
      </c>
      <c r="AP3471" t="s">
        <v>53</v>
      </c>
    </row>
    <row r="3472" spans="2:42" x14ac:dyDescent="0.2">
      <c r="B3472" t="s">
        <v>44</v>
      </c>
      <c r="C3472" t="str">
        <f>HYPERLINK("https://us2.cloudbeds.com/connect/8493803454333002#/reservations/41302687842446?display=TC46DDQV7&amp;reservation_id=41302687842446", "TC46DDQV7")</f>
        <v>TC46DDQV7</v>
      </c>
      <c r="D3472" t="s">
        <v>45</v>
      </c>
      <c r="E3472" t="s">
        <v>113</v>
      </c>
      <c r="F3472" t="s">
        <v>61</v>
      </c>
      <c r="G3472" t="s">
        <v>48</v>
      </c>
      <c r="H3472" t="s">
        <v>3957</v>
      </c>
      <c r="I3472" t="s">
        <v>3975</v>
      </c>
      <c r="J3472" t="s">
        <v>3413</v>
      </c>
      <c r="K3472" t="s">
        <v>5371</v>
      </c>
      <c r="L3472" t="s">
        <v>53</v>
      </c>
      <c r="P3472" t="s">
        <v>58</v>
      </c>
      <c r="R3472" t="s">
        <v>1445</v>
      </c>
      <c r="T3472" t="s">
        <v>5759</v>
      </c>
      <c r="U3472" t="s">
        <v>58</v>
      </c>
      <c r="V3472">
        <v>1</v>
      </c>
      <c r="W3472">
        <v>1</v>
      </c>
      <c r="X3472">
        <v>1</v>
      </c>
      <c r="Y3472">
        <v>0</v>
      </c>
      <c r="Z3472">
        <v>1</v>
      </c>
      <c r="AA3472">
        <v>0</v>
      </c>
      <c r="AB3472">
        <v>64.430000000000007</v>
      </c>
      <c r="AC3472">
        <v>56.7</v>
      </c>
      <c r="AD3472">
        <v>0</v>
      </c>
      <c r="AE3472">
        <v>7.73</v>
      </c>
      <c r="AF3472">
        <v>0</v>
      </c>
      <c r="AG3472">
        <v>0</v>
      </c>
      <c r="AH3472">
        <v>0</v>
      </c>
      <c r="AI3472">
        <v>0</v>
      </c>
      <c r="AJ3472">
        <v>64.430000000000007</v>
      </c>
      <c r="AK3472">
        <v>0</v>
      </c>
      <c r="AL3472" t="s">
        <v>53</v>
      </c>
      <c r="AM3472" t="s">
        <v>53</v>
      </c>
      <c r="AN3472" t="s">
        <v>5760</v>
      </c>
      <c r="AO3472" t="s">
        <v>53</v>
      </c>
      <c r="AP3472" t="s">
        <v>53</v>
      </c>
    </row>
    <row r="3473" spans="2:42" x14ac:dyDescent="0.2">
      <c r="B3473" t="s">
        <v>44</v>
      </c>
      <c r="C3473" t="str">
        <f>HYPERLINK("https://us2.cloudbeds.com/connect/8493803454333002#/reservations/41320778788999?display=TCX6M62CR&amp;reservation_id=41320778788999", "TCX6M62CR")</f>
        <v>TCX6M62CR</v>
      </c>
      <c r="D3473" t="s">
        <v>45</v>
      </c>
      <c r="E3473" t="s">
        <v>78</v>
      </c>
      <c r="F3473" t="s">
        <v>61</v>
      </c>
      <c r="G3473" t="s">
        <v>48</v>
      </c>
      <c r="H3473" t="s">
        <v>49</v>
      </c>
      <c r="I3473" t="s">
        <v>50</v>
      </c>
      <c r="J3473" t="s">
        <v>4180</v>
      </c>
      <c r="K3473" t="s">
        <v>4181</v>
      </c>
      <c r="L3473" t="s">
        <v>53</v>
      </c>
      <c r="N3473" t="s">
        <v>5761</v>
      </c>
      <c r="P3473" t="s">
        <v>55</v>
      </c>
      <c r="R3473" t="s">
        <v>53</v>
      </c>
      <c r="T3473" t="s">
        <v>5762</v>
      </c>
      <c r="U3473" t="s">
        <v>58</v>
      </c>
      <c r="V3473">
        <v>1</v>
      </c>
      <c r="W3473">
        <v>1</v>
      </c>
      <c r="X3473">
        <v>2</v>
      </c>
      <c r="Y3473">
        <v>0</v>
      </c>
      <c r="Z3473">
        <v>2</v>
      </c>
      <c r="AA3473">
        <v>0</v>
      </c>
      <c r="AB3473">
        <v>53.64</v>
      </c>
      <c r="AC3473">
        <v>47.2</v>
      </c>
      <c r="AD3473">
        <v>0</v>
      </c>
      <c r="AE3473">
        <v>6.44</v>
      </c>
      <c r="AF3473">
        <v>0</v>
      </c>
      <c r="AG3473">
        <v>0</v>
      </c>
      <c r="AH3473">
        <v>0</v>
      </c>
      <c r="AI3473">
        <v>9.66</v>
      </c>
      <c r="AJ3473">
        <v>53.64</v>
      </c>
      <c r="AK3473">
        <v>0</v>
      </c>
      <c r="AL3473" t="s">
        <v>53</v>
      </c>
      <c r="AM3473" t="s">
        <v>53</v>
      </c>
      <c r="AN3473" t="s">
        <v>53</v>
      </c>
      <c r="AO3473" t="s">
        <v>53</v>
      </c>
      <c r="AP3473" t="s">
        <v>53</v>
      </c>
    </row>
    <row r="3474" spans="2:42" x14ac:dyDescent="0.2">
      <c r="B3474" t="s">
        <v>44</v>
      </c>
      <c r="C3474" t="str">
        <f>HYPERLINK("https://us2.cloudbeds.com/connect/8493803454333002#/reservations/41373620457694?display=TDQ3TMD4X&amp;reservation_id=41373620457694", "TDQ3TMD4X")</f>
        <v>TDQ3TMD4X</v>
      </c>
      <c r="D3474" t="s">
        <v>45</v>
      </c>
      <c r="E3474" t="s">
        <v>223</v>
      </c>
      <c r="F3474" t="s">
        <v>47</v>
      </c>
      <c r="G3474" t="s">
        <v>48</v>
      </c>
      <c r="H3474" t="s">
        <v>3957</v>
      </c>
      <c r="I3474" t="s">
        <v>3958</v>
      </c>
      <c r="J3474" t="s">
        <v>4180</v>
      </c>
      <c r="K3474" t="s">
        <v>3414</v>
      </c>
      <c r="L3474" t="s">
        <v>53</v>
      </c>
      <c r="P3474" t="s">
        <v>58</v>
      </c>
      <c r="R3474" t="s">
        <v>56</v>
      </c>
      <c r="T3474" t="s">
        <v>5763</v>
      </c>
      <c r="U3474" t="s">
        <v>58</v>
      </c>
      <c r="V3474">
        <v>7</v>
      </c>
      <c r="W3474">
        <v>1</v>
      </c>
      <c r="X3474">
        <v>1</v>
      </c>
      <c r="Y3474">
        <v>0</v>
      </c>
      <c r="Z3474">
        <v>1</v>
      </c>
      <c r="AA3474">
        <v>0</v>
      </c>
      <c r="AB3474">
        <v>403.02</v>
      </c>
      <c r="AC3474">
        <v>354.6</v>
      </c>
      <c r="AD3474">
        <v>0</v>
      </c>
      <c r="AE3474">
        <v>48.42</v>
      </c>
      <c r="AF3474">
        <v>0</v>
      </c>
      <c r="AG3474">
        <v>0</v>
      </c>
      <c r="AH3474">
        <v>0</v>
      </c>
      <c r="AI3474">
        <v>0</v>
      </c>
      <c r="AJ3474">
        <v>403.02</v>
      </c>
      <c r="AK3474">
        <v>0</v>
      </c>
      <c r="AL3474" t="s">
        <v>53</v>
      </c>
      <c r="AM3474" t="s">
        <v>53</v>
      </c>
      <c r="AN3474" t="s">
        <v>53</v>
      </c>
      <c r="AO3474" t="s">
        <v>53</v>
      </c>
      <c r="AP3474" t="s">
        <v>53</v>
      </c>
    </row>
    <row r="3475" spans="2:42" x14ac:dyDescent="0.2">
      <c r="B3475" t="s">
        <v>44</v>
      </c>
      <c r="C3475" t="str">
        <f>HYPERLINK("https://us2.cloudbeds.com/connect/8493803454333002#/reservations/41380084961441?display=TDV42NZXG&amp;reservation_id=41380084961441", "TDV42NZXG")</f>
        <v>TDV42NZXG</v>
      </c>
      <c r="D3475" t="s">
        <v>45</v>
      </c>
      <c r="E3475" t="s">
        <v>190</v>
      </c>
      <c r="F3475" t="s">
        <v>61</v>
      </c>
      <c r="G3475" t="s">
        <v>48</v>
      </c>
      <c r="H3475" t="s">
        <v>49</v>
      </c>
      <c r="I3475" t="s">
        <v>50</v>
      </c>
      <c r="J3475" t="s">
        <v>4180</v>
      </c>
      <c r="K3475" t="s">
        <v>4181</v>
      </c>
      <c r="L3475" t="s">
        <v>53</v>
      </c>
      <c r="N3475" t="s">
        <v>5764</v>
      </c>
      <c r="P3475" t="s">
        <v>55</v>
      </c>
      <c r="R3475" t="s">
        <v>53</v>
      </c>
      <c r="T3475" t="s">
        <v>5765</v>
      </c>
      <c r="U3475" t="s">
        <v>58</v>
      </c>
      <c r="V3475">
        <v>1</v>
      </c>
      <c r="W3475">
        <v>1</v>
      </c>
      <c r="X3475">
        <v>1</v>
      </c>
      <c r="Y3475">
        <v>0</v>
      </c>
      <c r="Z3475">
        <v>1</v>
      </c>
      <c r="AA3475">
        <v>0</v>
      </c>
      <c r="AB3475">
        <v>46.95</v>
      </c>
      <c r="AC3475">
        <v>41.3</v>
      </c>
      <c r="AD3475">
        <v>0</v>
      </c>
      <c r="AE3475">
        <v>5.65</v>
      </c>
      <c r="AF3475">
        <v>0</v>
      </c>
      <c r="AG3475">
        <v>0</v>
      </c>
      <c r="AH3475">
        <v>0</v>
      </c>
      <c r="AI3475">
        <v>8.4499999999999993</v>
      </c>
      <c r="AJ3475">
        <v>46.95</v>
      </c>
      <c r="AK3475">
        <v>0</v>
      </c>
      <c r="AL3475" t="s">
        <v>53</v>
      </c>
      <c r="AM3475" t="s">
        <v>53</v>
      </c>
      <c r="AN3475" t="s">
        <v>53</v>
      </c>
      <c r="AO3475" t="s">
        <v>53</v>
      </c>
      <c r="AP3475" t="s">
        <v>53</v>
      </c>
    </row>
    <row r="3476" spans="2:42" x14ac:dyDescent="0.2">
      <c r="B3476" t="s">
        <v>44</v>
      </c>
      <c r="C3476" t="str">
        <f>HYPERLINK("https://us2.cloudbeds.com/connect/8493803454333002#/reservations/41382945845453?display=TE0B631VD&amp;reservation_id=41382945845453", "TE0B631VD")</f>
        <v>TE0B631VD</v>
      </c>
      <c r="D3476" t="s">
        <v>45</v>
      </c>
      <c r="E3476" t="s">
        <v>92</v>
      </c>
      <c r="F3476" t="s">
        <v>86</v>
      </c>
      <c r="G3476" t="s">
        <v>48</v>
      </c>
      <c r="H3476" t="s">
        <v>3957</v>
      </c>
      <c r="I3476" t="s">
        <v>3958</v>
      </c>
      <c r="J3476" t="s">
        <v>4180</v>
      </c>
      <c r="K3476" t="s">
        <v>4989</v>
      </c>
      <c r="L3476" t="s">
        <v>53</v>
      </c>
      <c r="P3476" t="s">
        <v>55</v>
      </c>
      <c r="R3476" t="s">
        <v>56</v>
      </c>
      <c r="T3476" t="s">
        <v>5766</v>
      </c>
      <c r="U3476" t="s">
        <v>58</v>
      </c>
      <c r="V3476">
        <v>2</v>
      </c>
      <c r="W3476">
        <v>1</v>
      </c>
      <c r="X3476">
        <v>1</v>
      </c>
      <c r="Y3476">
        <v>0</v>
      </c>
      <c r="Z3476">
        <v>1</v>
      </c>
      <c r="AA3476">
        <v>0</v>
      </c>
      <c r="AB3476">
        <v>146.62</v>
      </c>
      <c r="AC3476">
        <v>129</v>
      </c>
      <c r="AD3476">
        <v>0</v>
      </c>
      <c r="AE3476">
        <v>17.62</v>
      </c>
      <c r="AF3476">
        <v>0</v>
      </c>
      <c r="AG3476">
        <v>0</v>
      </c>
      <c r="AH3476">
        <v>0</v>
      </c>
      <c r="AI3476">
        <v>0</v>
      </c>
      <c r="AJ3476">
        <v>146.62</v>
      </c>
      <c r="AK3476">
        <v>0</v>
      </c>
      <c r="AL3476" t="s">
        <v>53</v>
      </c>
      <c r="AM3476" t="s">
        <v>53</v>
      </c>
      <c r="AN3476" t="s">
        <v>53</v>
      </c>
      <c r="AO3476" t="s">
        <v>53</v>
      </c>
      <c r="AP3476" t="s">
        <v>53</v>
      </c>
    </row>
    <row r="3477" spans="2:42" x14ac:dyDescent="0.2">
      <c r="B3477" t="s">
        <v>44</v>
      </c>
      <c r="C3477" t="str">
        <f>HYPERLINK("https://us2.cloudbeds.com/connect/8493803454333002#/reservations/41401566265545?display=TEEZWAMWN&amp;reservation_id=41401566265545", "TEEZWAMWN")</f>
        <v>TEEZWAMWN</v>
      </c>
      <c r="D3477" t="s">
        <v>45</v>
      </c>
      <c r="E3477" t="s">
        <v>406</v>
      </c>
      <c r="F3477" t="s">
        <v>61</v>
      </c>
      <c r="G3477" t="s">
        <v>48</v>
      </c>
      <c r="H3477" t="s">
        <v>3957</v>
      </c>
      <c r="I3477" t="s">
        <v>3975</v>
      </c>
      <c r="J3477" t="s">
        <v>4180</v>
      </c>
      <c r="K3477" t="s">
        <v>4181</v>
      </c>
      <c r="L3477" t="s">
        <v>53</v>
      </c>
      <c r="P3477" t="s">
        <v>55</v>
      </c>
      <c r="R3477" t="s">
        <v>56</v>
      </c>
      <c r="T3477" t="s">
        <v>5767</v>
      </c>
      <c r="U3477" t="s">
        <v>58</v>
      </c>
      <c r="V3477">
        <v>1</v>
      </c>
      <c r="W3477">
        <v>1</v>
      </c>
      <c r="X3477">
        <v>1</v>
      </c>
      <c r="Y3477">
        <v>0</v>
      </c>
      <c r="Z3477">
        <v>1</v>
      </c>
      <c r="AA3477">
        <v>0</v>
      </c>
      <c r="AB3477">
        <v>67.06</v>
      </c>
      <c r="AC3477">
        <v>59</v>
      </c>
      <c r="AD3477">
        <v>0</v>
      </c>
      <c r="AE3477">
        <v>8.06</v>
      </c>
      <c r="AF3477">
        <v>0</v>
      </c>
      <c r="AG3477">
        <v>0</v>
      </c>
      <c r="AH3477">
        <v>0</v>
      </c>
      <c r="AI3477">
        <v>0</v>
      </c>
      <c r="AJ3477">
        <v>67.06</v>
      </c>
      <c r="AK3477">
        <v>0</v>
      </c>
      <c r="AL3477" t="s">
        <v>53</v>
      </c>
      <c r="AM3477" t="s">
        <v>53</v>
      </c>
      <c r="AN3477" t="s">
        <v>53</v>
      </c>
      <c r="AO3477" t="s">
        <v>53</v>
      </c>
      <c r="AP3477" t="s">
        <v>53</v>
      </c>
    </row>
    <row r="3478" spans="2:42" x14ac:dyDescent="0.2">
      <c r="B3478" t="s">
        <v>44</v>
      </c>
      <c r="C3478" t="str">
        <f>HYPERLINK("https://us2.cloudbeds.com/connect/8493803454333002#/reservations/41421016867026?display=TETQWJBNQ&amp;reservation_id=41421016867026", "TETQWJBNQ")</f>
        <v>TETQWJBNQ</v>
      </c>
      <c r="D3478" t="s">
        <v>45</v>
      </c>
      <c r="E3478" t="s">
        <v>110</v>
      </c>
      <c r="F3478" t="s">
        <v>47</v>
      </c>
      <c r="G3478" t="s">
        <v>48</v>
      </c>
      <c r="H3478" t="s">
        <v>49</v>
      </c>
      <c r="I3478" t="s">
        <v>50</v>
      </c>
      <c r="J3478" t="s">
        <v>4180</v>
      </c>
      <c r="K3478" t="s">
        <v>4181</v>
      </c>
      <c r="L3478" t="s">
        <v>53</v>
      </c>
      <c r="N3478" t="s">
        <v>5768</v>
      </c>
      <c r="P3478" t="s">
        <v>55</v>
      </c>
      <c r="R3478" t="s">
        <v>53</v>
      </c>
      <c r="T3478" t="s">
        <v>5769</v>
      </c>
      <c r="U3478" t="s">
        <v>58</v>
      </c>
      <c r="V3478">
        <v>1</v>
      </c>
      <c r="W3478">
        <v>1</v>
      </c>
      <c r="X3478">
        <v>2</v>
      </c>
      <c r="Y3478">
        <v>0</v>
      </c>
      <c r="Z3478">
        <v>2</v>
      </c>
      <c r="AA3478">
        <v>0</v>
      </c>
      <c r="AB3478">
        <v>56.37</v>
      </c>
      <c r="AC3478">
        <v>49.6</v>
      </c>
      <c r="AD3478">
        <v>0</v>
      </c>
      <c r="AE3478">
        <v>6.77</v>
      </c>
      <c r="AF3478">
        <v>0</v>
      </c>
      <c r="AG3478">
        <v>0</v>
      </c>
      <c r="AH3478">
        <v>0</v>
      </c>
      <c r="AI3478">
        <v>10.15</v>
      </c>
      <c r="AJ3478">
        <v>56.37</v>
      </c>
      <c r="AK3478">
        <v>0</v>
      </c>
      <c r="AL3478" t="s">
        <v>53</v>
      </c>
      <c r="AM3478" t="s">
        <v>53</v>
      </c>
      <c r="AN3478" t="s">
        <v>53</v>
      </c>
      <c r="AO3478" t="s">
        <v>53</v>
      </c>
      <c r="AP3478" t="s">
        <v>53</v>
      </c>
    </row>
    <row r="3479" spans="2:42" x14ac:dyDescent="0.2">
      <c r="B3479" t="s">
        <v>44</v>
      </c>
      <c r="C3479" t="str">
        <f>HYPERLINK("https://us2.cloudbeds.com/connect/8493803454333002#/reservations/41475208687871?display=TG5PNXYK1&amp;reservation_id=41475208687871", "TG5PNXYK1")</f>
        <v>TG5PNXYK1</v>
      </c>
      <c r="D3479" t="s">
        <v>45</v>
      </c>
      <c r="E3479" t="s">
        <v>85</v>
      </c>
      <c r="F3479" t="s">
        <v>86</v>
      </c>
      <c r="G3479" t="s">
        <v>48</v>
      </c>
      <c r="H3479" t="s">
        <v>49</v>
      </c>
      <c r="I3479" t="s">
        <v>50</v>
      </c>
      <c r="J3479" t="s">
        <v>4989</v>
      </c>
      <c r="K3479" t="s">
        <v>5371</v>
      </c>
      <c r="L3479" t="s">
        <v>53</v>
      </c>
      <c r="N3479" t="s">
        <v>5770</v>
      </c>
      <c r="P3479" t="s">
        <v>55</v>
      </c>
      <c r="R3479" t="s">
        <v>53</v>
      </c>
      <c r="T3479" t="s">
        <v>5771</v>
      </c>
      <c r="U3479" t="s">
        <v>58</v>
      </c>
      <c r="V3479">
        <v>3</v>
      </c>
      <c r="W3479">
        <v>1</v>
      </c>
      <c r="X3479">
        <v>2</v>
      </c>
      <c r="Y3479">
        <v>0</v>
      </c>
      <c r="Z3479">
        <v>2</v>
      </c>
      <c r="AA3479">
        <v>0</v>
      </c>
      <c r="AB3479">
        <v>176.39</v>
      </c>
      <c r="AC3479">
        <v>155.19999999999999</v>
      </c>
      <c r="AD3479">
        <v>0</v>
      </c>
      <c r="AE3479">
        <v>21.19</v>
      </c>
      <c r="AF3479">
        <v>0</v>
      </c>
      <c r="AG3479">
        <v>0</v>
      </c>
      <c r="AH3479">
        <v>0</v>
      </c>
      <c r="AI3479">
        <v>31.75</v>
      </c>
      <c r="AJ3479">
        <v>176.39</v>
      </c>
      <c r="AK3479">
        <v>0</v>
      </c>
      <c r="AL3479" t="s">
        <v>53</v>
      </c>
      <c r="AM3479" t="s">
        <v>53</v>
      </c>
      <c r="AN3479" t="s">
        <v>53</v>
      </c>
      <c r="AO3479" t="s">
        <v>53</v>
      </c>
      <c r="AP3479" t="s">
        <v>53</v>
      </c>
    </row>
    <row r="3480" spans="2:42" x14ac:dyDescent="0.2">
      <c r="B3480" t="s">
        <v>44</v>
      </c>
      <c r="C3480" t="str">
        <f>HYPERLINK("https://us2.cloudbeds.com/connect/8493803454333002#/reservations/41489520251098?display=TGGSDEWV6&amp;reservation_id=41489520251098", "TGGSDEWV6")</f>
        <v>TGGSDEWV6</v>
      </c>
      <c r="D3480" t="s">
        <v>602</v>
      </c>
      <c r="E3480" t="s">
        <v>53</v>
      </c>
      <c r="F3480" t="s">
        <v>61</v>
      </c>
      <c r="G3480" t="s">
        <v>48</v>
      </c>
      <c r="H3480" t="s">
        <v>49</v>
      </c>
      <c r="I3480" t="s">
        <v>50</v>
      </c>
      <c r="J3480" t="s">
        <v>4181</v>
      </c>
      <c r="K3480" t="s">
        <v>4989</v>
      </c>
      <c r="L3480" t="s">
        <v>53</v>
      </c>
      <c r="N3480" t="s">
        <v>5772</v>
      </c>
      <c r="P3480" t="s">
        <v>55</v>
      </c>
      <c r="R3480" t="s">
        <v>53</v>
      </c>
      <c r="T3480" t="s">
        <v>5773</v>
      </c>
      <c r="U3480" t="s">
        <v>58</v>
      </c>
      <c r="V3480">
        <v>1</v>
      </c>
      <c r="W3480">
        <v>1</v>
      </c>
      <c r="X3480">
        <v>2</v>
      </c>
      <c r="Y3480">
        <v>0</v>
      </c>
      <c r="Z3480">
        <v>2</v>
      </c>
      <c r="AA3480">
        <v>0</v>
      </c>
      <c r="AB3480">
        <v>0</v>
      </c>
      <c r="AC3480">
        <v>0</v>
      </c>
      <c r="AD3480">
        <v>0</v>
      </c>
      <c r="AE3480">
        <v>0</v>
      </c>
      <c r="AF3480">
        <v>0</v>
      </c>
      <c r="AG3480">
        <v>0</v>
      </c>
      <c r="AH3480">
        <v>0</v>
      </c>
      <c r="AI3480">
        <v>0</v>
      </c>
      <c r="AJ3480">
        <v>0</v>
      </c>
      <c r="AK3480">
        <v>0</v>
      </c>
      <c r="AL3480">
        <v>41.3</v>
      </c>
      <c r="AM3480">
        <v>0</v>
      </c>
      <c r="AN3480" t="s">
        <v>5774</v>
      </c>
      <c r="AO3480" t="s">
        <v>53</v>
      </c>
      <c r="AP3480" t="s">
        <v>53</v>
      </c>
    </row>
    <row r="3481" spans="2:42" x14ac:dyDescent="0.2">
      <c r="B3481" t="s">
        <v>44</v>
      </c>
      <c r="C3481" t="str">
        <f>HYPERLINK("https://us2.cloudbeds.com/connect/8493803454333002#/reservations/41646811074705?display=TK6YX80VB&amp;reservation_id=41646811074705", "TK6YX80VB")</f>
        <v>TK6YX80VB</v>
      </c>
      <c r="D3481" t="s">
        <v>45</v>
      </c>
      <c r="E3481" t="s">
        <v>190</v>
      </c>
      <c r="F3481" t="s">
        <v>61</v>
      </c>
      <c r="G3481" t="s">
        <v>48</v>
      </c>
      <c r="H3481" t="s">
        <v>49</v>
      </c>
      <c r="I3481" t="s">
        <v>50</v>
      </c>
      <c r="J3481" t="s">
        <v>4181</v>
      </c>
      <c r="K3481" t="s">
        <v>4989</v>
      </c>
      <c r="L3481" t="s">
        <v>53</v>
      </c>
      <c r="N3481" t="s">
        <v>5775</v>
      </c>
      <c r="P3481" t="s">
        <v>55</v>
      </c>
      <c r="R3481" t="s">
        <v>53</v>
      </c>
      <c r="T3481" t="s">
        <v>5776</v>
      </c>
      <c r="U3481" t="s">
        <v>58</v>
      </c>
      <c r="V3481">
        <v>1</v>
      </c>
      <c r="W3481">
        <v>1</v>
      </c>
      <c r="X3481">
        <v>1</v>
      </c>
      <c r="Y3481">
        <v>0</v>
      </c>
      <c r="Z3481">
        <v>1</v>
      </c>
      <c r="AA3481">
        <v>0</v>
      </c>
      <c r="AB3481">
        <v>46.95</v>
      </c>
      <c r="AC3481">
        <v>41.3</v>
      </c>
      <c r="AD3481">
        <v>0</v>
      </c>
      <c r="AE3481">
        <v>5.65</v>
      </c>
      <c r="AF3481">
        <v>0</v>
      </c>
      <c r="AG3481">
        <v>0</v>
      </c>
      <c r="AH3481">
        <v>0</v>
      </c>
      <c r="AI3481">
        <v>8.4499999999999993</v>
      </c>
      <c r="AJ3481">
        <v>46.95</v>
      </c>
      <c r="AK3481">
        <v>0</v>
      </c>
      <c r="AL3481" t="s">
        <v>53</v>
      </c>
      <c r="AM3481" t="s">
        <v>53</v>
      </c>
      <c r="AN3481" t="s">
        <v>53</v>
      </c>
      <c r="AO3481" t="s">
        <v>53</v>
      </c>
      <c r="AP3481" t="s">
        <v>53</v>
      </c>
    </row>
    <row r="3482" spans="2:42" x14ac:dyDescent="0.2">
      <c r="B3482" t="s">
        <v>44</v>
      </c>
      <c r="C3482" t="str">
        <f>HYPERLINK("https://us2.cloudbeds.com/connect/8493803454333002#/reservations/41650743156976?display=TK9N0T0FX&amp;reservation_id=41650743156976", "TK9N0T0FX")</f>
        <v>TK9N0T0FX</v>
      </c>
      <c r="D3482" t="s">
        <v>45</v>
      </c>
      <c r="E3482" t="s">
        <v>113</v>
      </c>
      <c r="F3482" t="s">
        <v>61</v>
      </c>
      <c r="G3482" t="s">
        <v>48</v>
      </c>
      <c r="H3482" t="s">
        <v>3957</v>
      </c>
      <c r="I3482" t="s">
        <v>3975</v>
      </c>
      <c r="J3482" t="s">
        <v>4989</v>
      </c>
      <c r="K3482" t="s">
        <v>3969</v>
      </c>
      <c r="L3482" t="s">
        <v>53</v>
      </c>
      <c r="P3482" t="s">
        <v>55</v>
      </c>
      <c r="R3482" t="s">
        <v>56</v>
      </c>
      <c r="T3482" t="s">
        <v>5777</v>
      </c>
      <c r="U3482" t="s">
        <v>58</v>
      </c>
      <c r="V3482">
        <v>1</v>
      </c>
      <c r="W3482">
        <v>1</v>
      </c>
      <c r="X3482">
        <v>2</v>
      </c>
      <c r="Y3482">
        <v>0</v>
      </c>
      <c r="Z3482">
        <v>2</v>
      </c>
      <c r="AA3482">
        <v>0</v>
      </c>
      <c r="AB3482">
        <v>68.19</v>
      </c>
      <c r="AC3482">
        <v>60</v>
      </c>
      <c r="AD3482">
        <v>0</v>
      </c>
      <c r="AE3482">
        <v>8.19</v>
      </c>
      <c r="AF3482">
        <v>0</v>
      </c>
      <c r="AG3482">
        <v>0</v>
      </c>
      <c r="AH3482">
        <v>0</v>
      </c>
      <c r="AI3482">
        <v>0</v>
      </c>
      <c r="AJ3482">
        <v>68.19</v>
      </c>
      <c r="AK3482">
        <v>0</v>
      </c>
      <c r="AL3482" t="s">
        <v>53</v>
      </c>
      <c r="AM3482" t="s">
        <v>53</v>
      </c>
      <c r="AN3482" t="s">
        <v>53</v>
      </c>
      <c r="AO3482" t="s">
        <v>53</v>
      </c>
      <c r="AP3482" t="s">
        <v>53</v>
      </c>
    </row>
    <row r="3483" spans="2:42" x14ac:dyDescent="0.2">
      <c r="B3483" t="s">
        <v>44</v>
      </c>
      <c r="C3483" t="str">
        <f>HYPERLINK("https://us2.cloudbeds.com/connect/8493803454333002#/reservations/41676629184709?display=TKTZFYTHC&amp;reservation_id=41676629184709", "TKTZFYTHC")</f>
        <v>TKTZFYTHC</v>
      </c>
      <c r="D3483" t="s">
        <v>45</v>
      </c>
      <c r="E3483" t="s">
        <v>128</v>
      </c>
      <c r="F3483" t="s">
        <v>86</v>
      </c>
      <c r="G3483" t="s">
        <v>48</v>
      </c>
      <c r="H3483" t="s">
        <v>49</v>
      </c>
      <c r="I3483" t="s">
        <v>50</v>
      </c>
      <c r="J3483" t="s">
        <v>4181</v>
      </c>
      <c r="K3483" t="s">
        <v>4989</v>
      </c>
      <c r="L3483" t="s">
        <v>53</v>
      </c>
      <c r="N3483" t="s">
        <v>5778</v>
      </c>
      <c r="P3483" t="s">
        <v>55</v>
      </c>
      <c r="R3483" t="s">
        <v>53</v>
      </c>
      <c r="T3483" t="s">
        <v>5779</v>
      </c>
      <c r="U3483" t="s">
        <v>58</v>
      </c>
      <c r="V3483">
        <v>1</v>
      </c>
      <c r="W3483">
        <v>1</v>
      </c>
      <c r="X3483">
        <v>2</v>
      </c>
      <c r="Y3483">
        <v>0</v>
      </c>
      <c r="Z3483">
        <v>2</v>
      </c>
      <c r="AA3483">
        <v>0</v>
      </c>
      <c r="AB3483">
        <v>60.01</v>
      </c>
      <c r="AC3483">
        <v>52.8</v>
      </c>
      <c r="AD3483">
        <v>0</v>
      </c>
      <c r="AE3483">
        <v>7.21</v>
      </c>
      <c r="AF3483">
        <v>0</v>
      </c>
      <c r="AG3483">
        <v>0</v>
      </c>
      <c r="AH3483">
        <v>0</v>
      </c>
      <c r="AI3483">
        <v>10.8</v>
      </c>
      <c r="AJ3483">
        <v>60.01</v>
      </c>
      <c r="AK3483">
        <v>0</v>
      </c>
      <c r="AL3483" t="s">
        <v>53</v>
      </c>
      <c r="AM3483" t="s">
        <v>53</v>
      </c>
      <c r="AN3483" t="s">
        <v>53</v>
      </c>
      <c r="AO3483" t="s">
        <v>53</v>
      </c>
      <c r="AP3483" t="s">
        <v>53</v>
      </c>
    </row>
    <row r="3484" spans="2:42" x14ac:dyDescent="0.2">
      <c r="B3484" t="s">
        <v>44</v>
      </c>
      <c r="C3484" t="str">
        <f>HYPERLINK("https://us2.cloudbeds.com/connect/8493803454333002#/reservations/41689776267483?display=TY6UDKS52&amp;reservation_id=41689776267483", "TY6UDKS52")</f>
        <v>TY6UDKS52</v>
      </c>
      <c r="D3484" t="s">
        <v>45</v>
      </c>
      <c r="E3484" t="s">
        <v>128</v>
      </c>
      <c r="F3484" t="s">
        <v>86</v>
      </c>
      <c r="G3484" t="s">
        <v>48</v>
      </c>
      <c r="H3484" t="s">
        <v>49</v>
      </c>
      <c r="I3484" t="s">
        <v>50</v>
      </c>
      <c r="J3484" t="s">
        <v>5570</v>
      </c>
      <c r="K3484" t="s">
        <v>5711</v>
      </c>
      <c r="L3484" t="s">
        <v>53</v>
      </c>
      <c r="N3484" t="s">
        <v>5780</v>
      </c>
      <c r="P3484" t="s">
        <v>55</v>
      </c>
      <c r="R3484" t="s">
        <v>53</v>
      </c>
      <c r="T3484" t="s">
        <v>5781</v>
      </c>
      <c r="U3484" t="s">
        <v>58</v>
      </c>
      <c r="V3484">
        <v>2</v>
      </c>
      <c r="W3484">
        <v>1</v>
      </c>
      <c r="X3484">
        <v>2</v>
      </c>
      <c r="Y3484">
        <v>0</v>
      </c>
      <c r="Z3484">
        <v>2</v>
      </c>
      <c r="AA3484">
        <v>0</v>
      </c>
      <c r="AB3484">
        <v>126.02</v>
      </c>
      <c r="AC3484">
        <v>110.88</v>
      </c>
      <c r="AD3484">
        <v>0</v>
      </c>
      <c r="AE3484">
        <v>15.14</v>
      </c>
      <c r="AF3484">
        <v>0</v>
      </c>
      <c r="AG3484">
        <v>0</v>
      </c>
      <c r="AH3484">
        <v>0</v>
      </c>
      <c r="AI3484">
        <v>22.68</v>
      </c>
      <c r="AJ3484">
        <v>126.02</v>
      </c>
      <c r="AK3484">
        <v>0</v>
      </c>
      <c r="AL3484" t="s">
        <v>53</v>
      </c>
      <c r="AM3484" t="s">
        <v>53</v>
      </c>
      <c r="AN3484" t="s">
        <v>53</v>
      </c>
      <c r="AO3484" t="s">
        <v>53</v>
      </c>
      <c r="AP3484" t="s">
        <v>53</v>
      </c>
    </row>
    <row r="3485" spans="2:42" x14ac:dyDescent="0.2">
      <c r="B3485" t="s">
        <v>44</v>
      </c>
      <c r="C3485" t="str">
        <f>HYPERLINK("https://us2.cloudbeds.com/connect/8493803454333002#/reservations/41685742219399?display=TY3QB0H3Z&amp;reservation_id=41685742219399", "TY3QB0H3Z")</f>
        <v>TY3QB0H3Z</v>
      </c>
      <c r="D3485" t="s">
        <v>45</v>
      </c>
      <c r="E3485" t="s">
        <v>185</v>
      </c>
      <c r="F3485" t="s">
        <v>47</v>
      </c>
      <c r="G3485" t="s">
        <v>48</v>
      </c>
      <c r="H3485" t="s">
        <v>3957</v>
      </c>
      <c r="I3485" t="s">
        <v>3975</v>
      </c>
      <c r="J3485" t="s">
        <v>3413</v>
      </c>
      <c r="K3485" t="s">
        <v>3414</v>
      </c>
      <c r="L3485" t="s">
        <v>53</v>
      </c>
      <c r="P3485" t="s">
        <v>55</v>
      </c>
      <c r="R3485" t="s">
        <v>56</v>
      </c>
      <c r="T3485" t="s">
        <v>5782</v>
      </c>
      <c r="U3485" t="s">
        <v>58</v>
      </c>
      <c r="V3485">
        <v>3</v>
      </c>
      <c r="W3485">
        <v>1</v>
      </c>
      <c r="X3485">
        <v>2</v>
      </c>
      <c r="Y3485">
        <v>0</v>
      </c>
      <c r="Z3485">
        <v>2</v>
      </c>
      <c r="AA3485">
        <v>0</v>
      </c>
      <c r="AB3485">
        <v>256.85000000000002</v>
      </c>
      <c r="AC3485">
        <v>226</v>
      </c>
      <c r="AD3485">
        <v>0</v>
      </c>
      <c r="AE3485">
        <v>30.85</v>
      </c>
      <c r="AF3485">
        <v>0</v>
      </c>
      <c r="AG3485">
        <v>0</v>
      </c>
      <c r="AH3485">
        <v>0</v>
      </c>
      <c r="AI3485">
        <v>0</v>
      </c>
      <c r="AJ3485">
        <v>256.85000000000002</v>
      </c>
      <c r="AK3485">
        <v>0</v>
      </c>
      <c r="AL3485" t="s">
        <v>53</v>
      </c>
      <c r="AM3485" t="s">
        <v>53</v>
      </c>
      <c r="AN3485" t="s">
        <v>53</v>
      </c>
      <c r="AO3485" t="s">
        <v>53</v>
      </c>
      <c r="AP3485" t="s">
        <v>53</v>
      </c>
    </row>
    <row r="3486" spans="2:42" x14ac:dyDescent="0.2">
      <c r="B3486" t="s">
        <v>44</v>
      </c>
      <c r="C3486" t="str">
        <f>HYPERLINK("https://us2.cloudbeds.com/connect/8493803454333002#/reservations/41709867909333?display=TYMFQEDBT&amp;reservation_id=41709867909333", "TYMFQEDBT")</f>
        <v>TYMFQEDBT</v>
      </c>
      <c r="D3486" t="s">
        <v>45</v>
      </c>
      <c r="E3486" t="s">
        <v>185</v>
      </c>
      <c r="F3486" t="s">
        <v>47</v>
      </c>
      <c r="G3486" t="s">
        <v>48</v>
      </c>
      <c r="H3486" t="s">
        <v>3957</v>
      </c>
      <c r="I3486" t="s">
        <v>3975</v>
      </c>
      <c r="J3486" t="s">
        <v>4181</v>
      </c>
      <c r="K3486" t="s">
        <v>4989</v>
      </c>
      <c r="L3486" t="s">
        <v>53</v>
      </c>
      <c r="P3486" t="s">
        <v>55</v>
      </c>
      <c r="R3486" t="s">
        <v>56</v>
      </c>
      <c r="T3486" t="s">
        <v>5783</v>
      </c>
      <c r="U3486" t="s">
        <v>58</v>
      </c>
      <c r="V3486">
        <v>1</v>
      </c>
      <c r="W3486">
        <v>1</v>
      </c>
      <c r="X3486">
        <v>1</v>
      </c>
      <c r="Y3486">
        <v>0</v>
      </c>
      <c r="Z3486">
        <v>1</v>
      </c>
      <c r="AA3486">
        <v>0</v>
      </c>
      <c r="AB3486">
        <v>70.47</v>
      </c>
      <c r="AC3486">
        <v>62</v>
      </c>
      <c r="AD3486">
        <v>0</v>
      </c>
      <c r="AE3486">
        <v>8.4700000000000006</v>
      </c>
      <c r="AF3486">
        <v>0</v>
      </c>
      <c r="AG3486">
        <v>0</v>
      </c>
      <c r="AH3486">
        <v>0</v>
      </c>
      <c r="AI3486">
        <v>0</v>
      </c>
      <c r="AJ3486">
        <v>70.47</v>
      </c>
      <c r="AK3486">
        <v>0</v>
      </c>
      <c r="AL3486" t="s">
        <v>53</v>
      </c>
      <c r="AM3486" t="s">
        <v>53</v>
      </c>
      <c r="AN3486" t="s">
        <v>53</v>
      </c>
      <c r="AO3486" t="s">
        <v>53</v>
      </c>
      <c r="AP3486" t="s">
        <v>53</v>
      </c>
    </row>
    <row r="3487" spans="2:42" x14ac:dyDescent="0.2">
      <c r="B3487" t="s">
        <v>44</v>
      </c>
      <c r="C3487" t="str">
        <f>HYPERLINK("https://us2.cloudbeds.com/connect/8493803454333002#/reservations/41767110381718?display=TN0QFQJ56&amp;reservation_id=41767110381718", "TN0QFQJ56")</f>
        <v>TN0QFQJ56</v>
      </c>
      <c r="D3487" t="s">
        <v>45</v>
      </c>
      <c r="E3487" t="s">
        <v>78</v>
      </c>
      <c r="F3487" t="s">
        <v>61</v>
      </c>
      <c r="G3487" t="s">
        <v>48</v>
      </c>
      <c r="H3487" t="s">
        <v>49</v>
      </c>
      <c r="I3487" t="s">
        <v>50</v>
      </c>
      <c r="J3487" t="s">
        <v>4181</v>
      </c>
      <c r="K3487" t="s">
        <v>4989</v>
      </c>
      <c r="L3487" t="s">
        <v>53</v>
      </c>
      <c r="N3487" t="s">
        <v>5784</v>
      </c>
      <c r="P3487" t="s">
        <v>55</v>
      </c>
      <c r="R3487" t="s">
        <v>53</v>
      </c>
      <c r="T3487" t="s">
        <v>5785</v>
      </c>
      <c r="U3487" t="s">
        <v>58</v>
      </c>
      <c r="V3487">
        <v>1</v>
      </c>
      <c r="W3487">
        <v>1</v>
      </c>
      <c r="X3487">
        <v>2</v>
      </c>
      <c r="Y3487">
        <v>0</v>
      </c>
      <c r="Z3487">
        <v>2</v>
      </c>
      <c r="AA3487">
        <v>0</v>
      </c>
      <c r="AB3487">
        <v>46.95</v>
      </c>
      <c r="AC3487">
        <v>41.3</v>
      </c>
      <c r="AD3487">
        <v>0</v>
      </c>
      <c r="AE3487">
        <v>5.65</v>
      </c>
      <c r="AF3487">
        <v>0</v>
      </c>
      <c r="AG3487">
        <v>0</v>
      </c>
      <c r="AH3487">
        <v>0</v>
      </c>
      <c r="AI3487">
        <v>8.4499999999999993</v>
      </c>
      <c r="AJ3487">
        <v>46.95</v>
      </c>
      <c r="AK3487">
        <v>0</v>
      </c>
      <c r="AL3487" t="s">
        <v>53</v>
      </c>
      <c r="AM3487" t="s">
        <v>53</v>
      </c>
      <c r="AN3487" t="s">
        <v>53</v>
      </c>
      <c r="AO3487" t="s">
        <v>53</v>
      </c>
      <c r="AP3487" t="s">
        <v>53</v>
      </c>
    </row>
    <row r="3488" spans="2:42" x14ac:dyDescent="0.2">
      <c r="B3488" t="s">
        <v>44</v>
      </c>
      <c r="C3488" t="str">
        <f>HYPERLINK("https://us2.cloudbeds.com/connect/8493803454333002#/reservations/41773623337152?display=TN5M64UDV&amp;reservation_id=41773623337152", "TN5M64UDV")</f>
        <v>TN5M64UDV</v>
      </c>
      <c r="D3488" t="s">
        <v>45</v>
      </c>
      <c r="E3488" t="s">
        <v>213</v>
      </c>
      <c r="F3488" t="s">
        <v>86</v>
      </c>
      <c r="G3488" t="s">
        <v>48</v>
      </c>
      <c r="H3488" t="s">
        <v>49</v>
      </c>
      <c r="I3488" t="s">
        <v>50</v>
      </c>
      <c r="J3488" t="s">
        <v>4989</v>
      </c>
      <c r="K3488" t="s">
        <v>3969</v>
      </c>
      <c r="L3488" t="s">
        <v>53</v>
      </c>
      <c r="N3488" t="s">
        <v>5786</v>
      </c>
      <c r="P3488" t="s">
        <v>55</v>
      </c>
      <c r="R3488" t="s">
        <v>53</v>
      </c>
      <c r="T3488" t="s">
        <v>5787</v>
      </c>
      <c r="U3488" t="s">
        <v>58</v>
      </c>
      <c r="V3488">
        <v>1</v>
      </c>
      <c r="W3488">
        <v>1</v>
      </c>
      <c r="X3488">
        <v>2</v>
      </c>
      <c r="Y3488">
        <v>2</v>
      </c>
      <c r="Z3488">
        <v>4</v>
      </c>
      <c r="AA3488">
        <v>0</v>
      </c>
      <c r="AB3488">
        <v>60.01</v>
      </c>
      <c r="AC3488">
        <v>52.8</v>
      </c>
      <c r="AD3488">
        <v>0</v>
      </c>
      <c r="AE3488">
        <v>7.21</v>
      </c>
      <c r="AF3488">
        <v>0</v>
      </c>
      <c r="AG3488">
        <v>0</v>
      </c>
      <c r="AH3488">
        <v>0</v>
      </c>
      <c r="AI3488">
        <v>10.8</v>
      </c>
      <c r="AJ3488">
        <v>60.01</v>
      </c>
      <c r="AK3488">
        <v>0</v>
      </c>
      <c r="AL3488" t="s">
        <v>53</v>
      </c>
      <c r="AM3488" t="s">
        <v>53</v>
      </c>
      <c r="AN3488" t="s">
        <v>53</v>
      </c>
      <c r="AO3488" t="s">
        <v>53</v>
      </c>
      <c r="AP3488" t="s">
        <v>53</v>
      </c>
    </row>
    <row r="3489" spans="2:42" x14ac:dyDescent="0.2">
      <c r="B3489" t="s">
        <v>44</v>
      </c>
      <c r="C3489" t="str">
        <f>HYPERLINK("https://us2.cloudbeds.com/connect/8493803454333002#/reservations/41773026488526?display=TN5CYDW42&amp;reservation_id=41773026488526", "TN5CYDW42")</f>
        <v>TN5CYDW42</v>
      </c>
      <c r="D3489" t="s">
        <v>45</v>
      </c>
      <c r="E3489" t="s">
        <v>155</v>
      </c>
      <c r="F3489" t="s">
        <v>86</v>
      </c>
      <c r="G3489" t="s">
        <v>48</v>
      </c>
      <c r="H3489" t="s">
        <v>49</v>
      </c>
      <c r="I3489" t="s">
        <v>50</v>
      </c>
      <c r="J3489" t="s">
        <v>4989</v>
      </c>
      <c r="K3489" t="s">
        <v>3969</v>
      </c>
      <c r="L3489" t="s">
        <v>53</v>
      </c>
      <c r="N3489" t="s">
        <v>5788</v>
      </c>
      <c r="P3489" t="s">
        <v>55</v>
      </c>
      <c r="R3489" t="s">
        <v>53</v>
      </c>
      <c r="T3489" t="s">
        <v>5789</v>
      </c>
      <c r="U3489" t="s">
        <v>58</v>
      </c>
      <c r="V3489">
        <v>1</v>
      </c>
      <c r="W3489">
        <v>1</v>
      </c>
      <c r="X3489">
        <v>1</v>
      </c>
      <c r="Y3489">
        <v>3</v>
      </c>
      <c r="Z3489">
        <v>4</v>
      </c>
      <c r="AA3489">
        <v>0</v>
      </c>
      <c r="AB3489">
        <v>60.01</v>
      </c>
      <c r="AC3489">
        <v>52.8</v>
      </c>
      <c r="AD3489">
        <v>0</v>
      </c>
      <c r="AE3489">
        <v>7.21</v>
      </c>
      <c r="AF3489">
        <v>0</v>
      </c>
      <c r="AG3489">
        <v>0</v>
      </c>
      <c r="AH3489">
        <v>0</v>
      </c>
      <c r="AI3489">
        <v>10.8</v>
      </c>
      <c r="AJ3489">
        <v>60.01</v>
      </c>
      <c r="AK3489">
        <v>0</v>
      </c>
      <c r="AL3489" t="s">
        <v>53</v>
      </c>
      <c r="AM3489" t="s">
        <v>53</v>
      </c>
      <c r="AN3489" t="s">
        <v>53</v>
      </c>
      <c r="AO3489" t="s">
        <v>53</v>
      </c>
      <c r="AP3489" t="s">
        <v>53</v>
      </c>
    </row>
    <row r="3490" spans="2:42" x14ac:dyDescent="0.2">
      <c r="B3490" t="s">
        <v>44</v>
      </c>
      <c r="C3490" t="str">
        <f>HYPERLINK("https://us2.cloudbeds.com/connect/8493803454333002#/reservations/41775389905030?display=TN771AH70&amp;reservation_id=41775389905030", "TN771AH70")</f>
        <v>TN771AH70</v>
      </c>
      <c r="D3490" t="s">
        <v>45</v>
      </c>
      <c r="E3490" t="s">
        <v>98</v>
      </c>
      <c r="F3490" t="s">
        <v>86</v>
      </c>
      <c r="G3490" t="s">
        <v>48</v>
      </c>
      <c r="H3490" t="s">
        <v>49</v>
      </c>
      <c r="I3490" t="s">
        <v>62</v>
      </c>
      <c r="J3490" t="s">
        <v>4181</v>
      </c>
      <c r="K3490" t="s">
        <v>3969</v>
      </c>
      <c r="L3490" t="s">
        <v>53</v>
      </c>
      <c r="N3490" t="s">
        <v>5790</v>
      </c>
      <c r="P3490" t="s">
        <v>55</v>
      </c>
      <c r="R3490" t="s">
        <v>2595</v>
      </c>
      <c r="T3490" t="s">
        <v>5791</v>
      </c>
      <c r="U3490" t="s">
        <v>55</v>
      </c>
      <c r="V3490">
        <v>2</v>
      </c>
      <c r="W3490">
        <v>1</v>
      </c>
      <c r="X3490">
        <v>2</v>
      </c>
      <c r="Y3490">
        <v>1</v>
      </c>
      <c r="Z3490">
        <v>3</v>
      </c>
      <c r="AA3490">
        <v>0</v>
      </c>
      <c r="AB3490">
        <v>141</v>
      </c>
      <c r="AC3490">
        <v>141</v>
      </c>
      <c r="AD3490">
        <v>0</v>
      </c>
      <c r="AE3490">
        <v>0</v>
      </c>
      <c r="AF3490">
        <v>0</v>
      </c>
      <c r="AG3490">
        <v>0</v>
      </c>
      <c r="AH3490">
        <v>0</v>
      </c>
      <c r="AI3490">
        <v>25.38</v>
      </c>
      <c r="AJ3490">
        <v>141</v>
      </c>
      <c r="AK3490">
        <v>0</v>
      </c>
      <c r="AL3490" t="s">
        <v>53</v>
      </c>
      <c r="AM3490" t="s">
        <v>53</v>
      </c>
      <c r="AN3490" t="s">
        <v>5792</v>
      </c>
      <c r="AO3490" t="s">
        <v>53</v>
      </c>
      <c r="AP3490" t="s">
        <v>53</v>
      </c>
    </row>
    <row r="3491" spans="2:42" x14ac:dyDescent="0.2">
      <c r="B3491" t="s">
        <v>44</v>
      </c>
      <c r="C3491" t="str">
        <f>HYPERLINK("https://us2.cloudbeds.com/connect/8493803454333002#/reservations/41785236750533?display=TNERYEGUM&amp;reservation_id=41785236750533", "TNERYEGUM")</f>
        <v>TNERYEGUM</v>
      </c>
      <c r="D3491" t="s">
        <v>45</v>
      </c>
      <c r="E3491" t="s">
        <v>487</v>
      </c>
      <c r="F3491" t="s">
        <v>61</v>
      </c>
      <c r="G3491" t="s">
        <v>48</v>
      </c>
      <c r="H3491" t="s">
        <v>49</v>
      </c>
      <c r="I3491" t="s">
        <v>62</v>
      </c>
      <c r="J3491" t="s">
        <v>4181</v>
      </c>
      <c r="K3491" t="s">
        <v>4989</v>
      </c>
      <c r="L3491" t="s">
        <v>53</v>
      </c>
      <c r="N3491" t="s">
        <v>5793</v>
      </c>
      <c r="P3491" t="s">
        <v>55</v>
      </c>
      <c r="R3491" t="s">
        <v>56</v>
      </c>
      <c r="T3491" t="s">
        <v>5794</v>
      </c>
      <c r="U3491" t="s">
        <v>55</v>
      </c>
      <c r="V3491">
        <v>1</v>
      </c>
      <c r="W3491">
        <v>1</v>
      </c>
      <c r="X3491">
        <v>1</v>
      </c>
      <c r="Y3491">
        <v>0</v>
      </c>
      <c r="Z3491">
        <v>1</v>
      </c>
      <c r="AA3491">
        <v>0</v>
      </c>
      <c r="AB3491">
        <v>59</v>
      </c>
      <c r="AC3491">
        <v>59</v>
      </c>
      <c r="AD3491">
        <v>0</v>
      </c>
      <c r="AE3491">
        <v>0</v>
      </c>
      <c r="AF3491">
        <v>0</v>
      </c>
      <c r="AG3491">
        <v>0</v>
      </c>
      <c r="AH3491">
        <v>0</v>
      </c>
      <c r="AI3491">
        <v>10.62</v>
      </c>
      <c r="AJ3491">
        <v>59</v>
      </c>
      <c r="AK3491">
        <v>0</v>
      </c>
      <c r="AL3491" t="s">
        <v>53</v>
      </c>
      <c r="AM3491" t="s">
        <v>53</v>
      </c>
      <c r="AN3491" t="s">
        <v>53</v>
      </c>
      <c r="AO3491" t="s">
        <v>53</v>
      </c>
      <c r="AP3491" t="s">
        <v>53</v>
      </c>
    </row>
    <row r="3492" spans="2:42" x14ac:dyDescent="0.2">
      <c r="B3492" t="s">
        <v>44</v>
      </c>
      <c r="C3492" t="str">
        <f>HYPERLINK("https://us2.cloudbeds.com/connect/8493803454333002#/reservations/41788664238245?display=TNHG7JDXM&amp;reservation_id=41788664238245", "TNHG7JDXM")</f>
        <v>TNHG7JDXM</v>
      </c>
      <c r="D3492" t="s">
        <v>45</v>
      </c>
      <c r="E3492" t="s">
        <v>305</v>
      </c>
      <c r="F3492" t="s">
        <v>61</v>
      </c>
      <c r="G3492" t="s">
        <v>48</v>
      </c>
      <c r="H3492" t="s">
        <v>49</v>
      </c>
      <c r="I3492" t="s">
        <v>50</v>
      </c>
      <c r="J3492" t="s">
        <v>4181</v>
      </c>
      <c r="K3492" t="s">
        <v>4989</v>
      </c>
      <c r="L3492" t="s">
        <v>53</v>
      </c>
      <c r="N3492" t="s">
        <v>5795</v>
      </c>
      <c r="P3492" t="s">
        <v>55</v>
      </c>
      <c r="R3492" t="s">
        <v>53</v>
      </c>
      <c r="T3492" t="s">
        <v>5796</v>
      </c>
      <c r="U3492" t="s">
        <v>58</v>
      </c>
      <c r="V3492">
        <v>1</v>
      </c>
      <c r="W3492">
        <v>1</v>
      </c>
      <c r="X3492">
        <v>2</v>
      </c>
      <c r="Y3492">
        <v>0</v>
      </c>
      <c r="Z3492">
        <v>2</v>
      </c>
      <c r="AA3492">
        <v>0</v>
      </c>
      <c r="AB3492">
        <v>54.55</v>
      </c>
      <c r="AC3492">
        <v>48</v>
      </c>
      <c r="AD3492">
        <v>0</v>
      </c>
      <c r="AE3492">
        <v>6.55</v>
      </c>
      <c r="AF3492">
        <v>0</v>
      </c>
      <c r="AG3492">
        <v>0</v>
      </c>
      <c r="AH3492">
        <v>0</v>
      </c>
      <c r="AI3492">
        <v>9.82</v>
      </c>
      <c r="AJ3492">
        <v>54.55</v>
      </c>
      <c r="AK3492">
        <v>0</v>
      </c>
      <c r="AL3492" t="s">
        <v>53</v>
      </c>
      <c r="AM3492" t="s">
        <v>53</v>
      </c>
      <c r="AN3492" t="s">
        <v>53</v>
      </c>
      <c r="AO3492" t="s">
        <v>53</v>
      </c>
      <c r="AP3492" t="s">
        <v>53</v>
      </c>
    </row>
    <row r="3493" spans="2:42" x14ac:dyDescent="0.2">
      <c r="B3493" t="s">
        <v>44</v>
      </c>
      <c r="C3493" t="str">
        <f>HYPERLINK("https://us2.cloudbeds.com/connect/8493803454333002#/reservations/41795645632729?display=TNMTKG049&amp;reservation_id=41795645632729", "TNMTKG049")</f>
        <v>TNMTKG049</v>
      </c>
      <c r="D3493" t="s">
        <v>45</v>
      </c>
      <c r="E3493" t="s">
        <v>190</v>
      </c>
      <c r="F3493" t="s">
        <v>61</v>
      </c>
      <c r="G3493" t="s">
        <v>48</v>
      </c>
      <c r="H3493" t="s">
        <v>49</v>
      </c>
      <c r="I3493" t="s">
        <v>50</v>
      </c>
      <c r="J3493" t="s">
        <v>3767</v>
      </c>
      <c r="K3493" t="s">
        <v>3124</v>
      </c>
      <c r="L3493" t="s">
        <v>53</v>
      </c>
      <c r="N3493" t="s">
        <v>5797</v>
      </c>
      <c r="P3493" t="s">
        <v>55</v>
      </c>
      <c r="R3493" t="s">
        <v>53</v>
      </c>
      <c r="T3493" t="s">
        <v>5798</v>
      </c>
      <c r="U3493" t="s">
        <v>58</v>
      </c>
      <c r="V3493">
        <v>16</v>
      </c>
      <c r="W3493">
        <v>1</v>
      </c>
      <c r="X3493">
        <v>1</v>
      </c>
      <c r="Y3493">
        <v>0</v>
      </c>
      <c r="Z3493">
        <v>1</v>
      </c>
      <c r="AA3493">
        <v>0</v>
      </c>
      <c r="AB3493">
        <v>836.25</v>
      </c>
      <c r="AC3493">
        <v>735.84</v>
      </c>
      <c r="AD3493">
        <v>0</v>
      </c>
      <c r="AE3493">
        <v>100.41</v>
      </c>
      <c r="AF3493">
        <v>0</v>
      </c>
      <c r="AG3493">
        <v>0</v>
      </c>
      <c r="AH3493">
        <v>0</v>
      </c>
      <c r="AI3493">
        <v>150.53</v>
      </c>
      <c r="AJ3493">
        <v>836.25</v>
      </c>
      <c r="AK3493">
        <v>0</v>
      </c>
      <c r="AL3493" t="s">
        <v>53</v>
      </c>
      <c r="AM3493" t="s">
        <v>53</v>
      </c>
      <c r="AN3493" t="s">
        <v>53</v>
      </c>
      <c r="AO3493" t="s">
        <v>53</v>
      </c>
      <c r="AP3493" t="s">
        <v>53</v>
      </c>
    </row>
    <row r="3494" spans="2:42" x14ac:dyDescent="0.2">
      <c r="B3494" t="s">
        <v>44</v>
      </c>
      <c r="C3494" t="str">
        <f>HYPERLINK("https://us2.cloudbeds.com/connect/8493803454333002#/reservations/41798201008353?display=TNZSU8378&amp;reservation_id=41798201008353", "TNZSU8378")</f>
        <v>TNZSU8378</v>
      </c>
      <c r="D3494" t="s">
        <v>45</v>
      </c>
      <c r="E3494" t="s">
        <v>85</v>
      </c>
      <c r="F3494" t="s">
        <v>86</v>
      </c>
      <c r="G3494" t="s">
        <v>48</v>
      </c>
      <c r="H3494" t="s">
        <v>49</v>
      </c>
      <c r="I3494" t="s">
        <v>50</v>
      </c>
      <c r="J3494" t="s">
        <v>2284</v>
      </c>
      <c r="K3494" t="s">
        <v>5185</v>
      </c>
      <c r="L3494" t="s">
        <v>53</v>
      </c>
      <c r="N3494" t="s">
        <v>5799</v>
      </c>
      <c r="P3494" t="s">
        <v>55</v>
      </c>
      <c r="R3494" t="s">
        <v>53</v>
      </c>
      <c r="T3494" t="s">
        <v>5800</v>
      </c>
      <c r="U3494" t="s">
        <v>58</v>
      </c>
      <c r="V3494">
        <v>4</v>
      </c>
      <c r="W3494">
        <v>1</v>
      </c>
      <c r="X3494">
        <v>2</v>
      </c>
      <c r="Y3494">
        <v>1</v>
      </c>
      <c r="Z3494">
        <v>3</v>
      </c>
      <c r="AA3494">
        <v>0</v>
      </c>
      <c r="AB3494">
        <v>410.53</v>
      </c>
      <c r="AC3494">
        <v>361.2</v>
      </c>
      <c r="AD3494">
        <v>0</v>
      </c>
      <c r="AE3494">
        <v>49.33</v>
      </c>
      <c r="AF3494">
        <v>0</v>
      </c>
      <c r="AG3494">
        <v>0</v>
      </c>
      <c r="AH3494">
        <v>0</v>
      </c>
      <c r="AI3494">
        <v>73.900000000000006</v>
      </c>
      <c r="AJ3494">
        <v>410.53</v>
      </c>
      <c r="AK3494">
        <v>0</v>
      </c>
      <c r="AL3494" t="s">
        <v>53</v>
      </c>
      <c r="AM3494" t="s">
        <v>53</v>
      </c>
      <c r="AN3494" t="s">
        <v>53</v>
      </c>
      <c r="AO3494" t="s">
        <v>53</v>
      </c>
      <c r="AP3494" t="s">
        <v>53</v>
      </c>
    </row>
    <row r="3495" spans="2:42" x14ac:dyDescent="0.2">
      <c r="B3495" t="s">
        <v>44</v>
      </c>
      <c r="C3495" t="str">
        <f>HYPERLINK("https://us2.cloudbeds.com/connect/8493803454333002#/reservations/41799833567451?display=TNQ4KSF72&amp;reservation_id=41799833567451", "TNQ4KSF72")</f>
        <v>TNQ4KSF72</v>
      </c>
      <c r="D3495" t="s">
        <v>45</v>
      </c>
      <c r="E3495" t="s">
        <v>406</v>
      </c>
      <c r="F3495" t="s">
        <v>61</v>
      </c>
      <c r="G3495" t="s">
        <v>48</v>
      </c>
      <c r="H3495" t="s">
        <v>49</v>
      </c>
      <c r="I3495" t="s">
        <v>50</v>
      </c>
      <c r="J3495" t="s">
        <v>4181</v>
      </c>
      <c r="K3495" t="s">
        <v>4989</v>
      </c>
      <c r="L3495" t="s">
        <v>53</v>
      </c>
      <c r="N3495" t="s">
        <v>5801</v>
      </c>
      <c r="P3495" t="s">
        <v>55</v>
      </c>
      <c r="R3495" t="s">
        <v>53</v>
      </c>
      <c r="T3495" t="s">
        <v>5802</v>
      </c>
      <c r="U3495" t="s">
        <v>58</v>
      </c>
      <c r="V3495">
        <v>1</v>
      </c>
      <c r="W3495">
        <v>1</v>
      </c>
      <c r="X3495">
        <v>2</v>
      </c>
      <c r="Y3495">
        <v>0</v>
      </c>
      <c r="Z3495">
        <v>2</v>
      </c>
      <c r="AA3495">
        <v>0</v>
      </c>
      <c r="AB3495">
        <v>53.64</v>
      </c>
      <c r="AC3495">
        <v>47.2</v>
      </c>
      <c r="AD3495">
        <v>0</v>
      </c>
      <c r="AE3495">
        <v>6.44</v>
      </c>
      <c r="AF3495">
        <v>0</v>
      </c>
      <c r="AG3495">
        <v>0</v>
      </c>
      <c r="AH3495">
        <v>0</v>
      </c>
      <c r="AI3495">
        <v>9.66</v>
      </c>
      <c r="AJ3495">
        <v>53.64</v>
      </c>
      <c r="AK3495">
        <v>0</v>
      </c>
      <c r="AL3495" t="s">
        <v>53</v>
      </c>
      <c r="AM3495" t="s">
        <v>53</v>
      </c>
      <c r="AN3495" t="s">
        <v>53</v>
      </c>
      <c r="AO3495" t="s">
        <v>53</v>
      </c>
      <c r="AP3495" t="s">
        <v>53</v>
      </c>
    </row>
    <row r="3496" spans="2:42" x14ac:dyDescent="0.2">
      <c r="B3496" t="s">
        <v>44</v>
      </c>
      <c r="C3496" t="str">
        <f>HYPERLINK("https://us2.cloudbeds.com/connect/8493803454333002#/reservations/41812139270352?display=TZ2M2BPSW&amp;reservation_id=41812139270352", "TZ2M2BPSW")</f>
        <v>TZ2M2BPSW</v>
      </c>
      <c r="D3496" t="s">
        <v>45</v>
      </c>
      <c r="E3496" t="s">
        <v>105</v>
      </c>
      <c r="F3496" t="s">
        <v>47</v>
      </c>
      <c r="G3496" t="s">
        <v>48</v>
      </c>
      <c r="H3496" t="s">
        <v>49</v>
      </c>
      <c r="I3496" t="s">
        <v>50</v>
      </c>
      <c r="J3496" t="s">
        <v>4181</v>
      </c>
      <c r="K3496" t="s">
        <v>4989</v>
      </c>
      <c r="L3496" t="s">
        <v>53</v>
      </c>
      <c r="N3496" t="s">
        <v>5803</v>
      </c>
      <c r="P3496" t="s">
        <v>55</v>
      </c>
      <c r="R3496" t="s">
        <v>53</v>
      </c>
      <c r="T3496" t="s">
        <v>5804</v>
      </c>
      <c r="U3496" t="s">
        <v>58</v>
      </c>
      <c r="V3496">
        <v>1</v>
      </c>
      <c r="W3496">
        <v>1</v>
      </c>
      <c r="X3496">
        <v>2</v>
      </c>
      <c r="Y3496">
        <v>0</v>
      </c>
      <c r="Z3496">
        <v>2</v>
      </c>
      <c r="AA3496">
        <v>0</v>
      </c>
      <c r="AB3496">
        <v>56.37</v>
      </c>
      <c r="AC3496">
        <v>49.6</v>
      </c>
      <c r="AD3496">
        <v>0</v>
      </c>
      <c r="AE3496">
        <v>6.77</v>
      </c>
      <c r="AF3496">
        <v>0</v>
      </c>
      <c r="AG3496">
        <v>0</v>
      </c>
      <c r="AH3496">
        <v>0</v>
      </c>
      <c r="AI3496">
        <v>10.15</v>
      </c>
      <c r="AJ3496">
        <v>56.37</v>
      </c>
      <c r="AK3496">
        <v>0</v>
      </c>
      <c r="AL3496" t="s">
        <v>53</v>
      </c>
      <c r="AM3496" t="s">
        <v>53</v>
      </c>
      <c r="AN3496" t="s">
        <v>53</v>
      </c>
      <c r="AO3496" t="s">
        <v>53</v>
      </c>
      <c r="AP3496" t="s">
        <v>53</v>
      </c>
    </row>
    <row r="3497" spans="2:42" x14ac:dyDescent="0.2">
      <c r="B3497" t="s">
        <v>44</v>
      </c>
      <c r="C3497" t="str">
        <f>HYPERLINK("https://us2.cloudbeds.com/connect/8493803454333002#/reservations/41820633350299?display=TZ983Q2Y0&amp;reservation_id=41820633350299", "TZ983Q2Y0")</f>
        <v>TZ983Q2Y0</v>
      </c>
      <c r="D3497" t="s">
        <v>45</v>
      </c>
      <c r="E3497" t="s">
        <v>128</v>
      </c>
      <c r="F3497" t="s">
        <v>86</v>
      </c>
      <c r="G3497" t="s">
        <v>48</v>
      </c>
      <c r="H3497" t="s">
        <v>3957</v>
      </c>
      <c r="I3497" t="s">
        <v>3975</v>
      </c>
      <c r="J3497" t="s">
        <v>5805</v>
      </c>
      <c r="K3497" t="s">
        <v>5806</v>
      </c>
      <c r="L3497" t="s">
        <v>53</v>
      </c>
      <c r="P3497" t="s">
        <v>55</v>
      </c>
      <c r="R3497" t="s">
        <v>56</v>
      </c>
      <c r="T3497" t="s">
        <v>5807</v>
      </c>
      <c r="U3497" t="s">
        <v>58</v>
      </c>
      <c r="V3497">
        <v>3</v>
      </c>
      <c r="W3497">
        <v>1</v>
      </c>
      <c r="X3497">
        <v>2</v>
      </c>
      <c r="Y3497">
        <v>0</v>
      </c>
      <c r="Z3497">
        <v>2</v>
      </c>
      <c r="AA3497">
        <v>0</v>
      </c>
      <c r="AB3497">
        <v>262.52999999999997</v>
      </c>
      <c r="AC3497">
        <v>231</v>
      </c>
      <c r="AD3497">
        <v>0</v>
      </c>
      <c r="AE3497">
        <v>31.53</v>
      </c>
      <c r="AF3497">
        <v>0</v>
      </c>
      <c r="AG3497">
        <v>0</v>
      </c>
      <c r="AH3497">
        <v>0</v>
      </c>
      <c r="AI3497">
        <v>0</v>
      </c>
      <c r="AJ3497">
        <v>262.52999999999997</v>
      </c>
      <c r="AK3497">
        <v>0</v>
      </c>
      <c r="AL3497" t="s">
        <v>53</v>
      </c>
      <c r="AM3497" t="s">
        <v>53</v>
      </c>
      <c r="AN3497" t="s">
        <v>53</v>
      </c>
      <c r="AO3497" t="s">
        <v>53</v>
      </c>
      <c r="AP3497" t="s">
        <v>53</v>
      </c>
    </row>
    <row r="3498" spans="2:42" x14ac:dyDescent="0.2">
      <c r="B3498" t="s">
        <v>44</v>
      </c>
      <c r="C3498" t="str">
        <f>HYPERLINK("https://us2.cloudbeds.com/connect/8493803454333002#/reservations/41836787294438?display=TZYZT7CQP&amp;reservation_id=41836787294438", "TZYZT7CQP")</f>
        <v>TZYZT7CQP</v>
      </c>
      <c r="D3498" t="s">
        <v>45</v>
      </c>
      <c r="E3498" t="s">
        <v>5808</v>
      </c>
      <c r="F3498" t="s">
        <v>5257</v>
      </c>
      <c r="G3498" t="s">
        <v>48</v>
      </c>
      <c r="H3498" t="s">
        <v>49</v>
      </c>
      <c r="I3498" t="s">
        <v>62</v>
      </c>
      <c r="J3498" t="s">
        <v>4989</v>
      </c>
      <c r="K3498" t="s">
        <v>3969</v>
      </c>
      <c r="L3498" t="s">
        <v>53</v>
      </c>
      <c r="N3498" t="s">
        <v>5809</v>
      </c>
      <c r="P3498" t="s">
        <v>55</v>
      </c>
      <c r="R3498" t="s">
        <v>56</v>
      </c>
      <c r="T3498" t="s">
        <v>5810</v>
      </c>
      <c r="U3498" t="s">
        <v>55</v>
      </c>
      <c r="V3498">
        <v>2</v>
      </c>
      <c r="W3498">
        <v>2</v>
      </c>
      <c r="X3498">
        <v>4</v>
      </c>
      <c r="Y3498">
        <v>1</v>
      </c>
      <c r="Z3498">
        <v>5</v>
      </c>
      <c r="AA3498">
        <v>0</v>
      </c>
      <c r="AB3498">
        <v>147</v>
      </c>
      <c r="AC3498">
        <v>147</v>
      </c>
      <c r="AD3498">
        <v>0</v>
      </c>
      <c r="AE3498">
        <v>0</v>
      </c>
      <c r="AF3498">
        <v>0</v>
      </c>
      <c r="AG3498">
        <v>0</v>
      </c>
      <c r="AH3498">
        <v>0</v>
      </c>
      <c r="AI3498">
        <v>26.46</v>
      </c>
      <c r="AJ3498">
        <v>147</v>
      </c>
      <c r="AK3498">
        <v>0</v>
      </c>
      <c r="AL3498" t="s">
        <v>53</v>
      </c>
      <c r="AM3498" t="s">
        <v>53</v>
      </c>
      <c r="AN3498" t="s">
        <v>53</v>
      </c>
      <c r="AO3498" t="s">
        <v>53</v>
      </c>
      <c r="AP3498" t="s">
        <v>53</v>
      </c>
    </row>
    <row r="3499" spans="2:42" x14ac:dyDescent="0.2">
      <c r="B3499" t="s">
        <v>44</v>
      </c>
      <c r="C3499" t="str">
        <f>HYPERLINK("https://us2.cloudbeds.com/connect/8493803454333002#/reservations/42004912484483?display=TSJUSRKWD&amp;reservation_id=42004912484483", "TSJUSRKWD")</f>
        <v>TSJUSRKWD</v>
      </c>
      <c r="D3499" t="s">
        <v>45</v>
      </c>
      <c r="E3499" t="s">
        <v>121</v>
      </c>
      <c r="F3499" t="s">
        <v>86</v>
      </c>
      <c r="G3499" t="s">
        <v>48</v>
      </c>
      <c r="H3499" t="s">
        <v>49</v>
      </c>
      <c r="I3499" t="s">
        <v>50</v>
      </c>
      <c r="J3499" t="s">
        <v>4989</v>
      </c>
      <c r="K3499" t="s">
        <v>3969</v>
      </c>
      <c r="L3499" t="s">
        <v>53</v>
      </c>
      <c r="N3499" t="s">
        <v>5811</v>
      </c>
      <c r="P3499" t="s">
        <v>55</v>
      </c>
      <c r="R3499" t="s">
        <v>53</v>
      </c>
      <c r="T3499" t="s">
        <v>5812</v>
      </c>
      <c r="U3499" t="s">
        <v>58</v>
      </c>
      <c r="V3499">
        <v>1</v>
      </c>
      <c r="W3499">
        <v>1</v>
      </c>
      <c r="X3499">
        <v>2</v>
      </c>
      <c r="Y3499">
        <v>0</v>
      </c>
      <c r="Z3499">
        <v>2</v>
      </c>
      <c r="AA3499">
        <v>0</v>
      </c>
      <c r="AB3499">
        <v>68.19</v>
      </c>
      <c r="AC3499">
        <v>60</v>
      </c>
      <c r="AD3499">
        <v>0</v>
      </c>
      <c r="AE3499">
        <v>8.19</v>
      </c>
      <c r="AF3499">
        <v>0</v>
      </c>
      <c r="AG3499">
        <v>0</v>
      </c>
      <c r="AH3499">
        <v>0</v>
      </c>
      <c r="AI3499">
        <v>12.27</v>
      </c>
      <c r="AJ3499">
        <v>68.19</v>
      </c>
      <c r="AK3499">
        <v>0</v>
      </c>
      <c r="AL3499" t="s">
        <v>53</v>
      </c>
      <c r="AM3499" t="s">
        <v>53</v>
      </c>
      <c r="AN3499" t="s">
        <v>53</v>
      </c>
      <c r="AO3499" t="s">
        <v>53</v>
      </c>
      <c r="AP3499" t="s">
        <v>53</v>
      </c>
    </row>
    <row r="3500" spans="2:42" x14ac:dyDescent="0.2">
      <c r="B3500" t="s">
        <v>44</v>
      </c>
      <c r="C3500" t="str">
        <f>HYPERLINK("https://us2.cloudbeds.com/connect/8493803454333002#/reservations/42022514233508?display=TT0XY387G&amp;reservation_id=42022514233508", "TT0XY387G")</f>
        <v>TT0XY387G</v>
      </c>
      <c r="D3500" t="s">
        <v>45</v>
      </c>
      <c r="E3500" t="s">
        <v>190</v>
      </c>
      <c r="F3500" t="s">
        <v>61</v>
      </c>
      <c r="G3500" t="s">
        <v>48</v>
      </c>
      <c r="H3500" t="s">
        <v>49</v>
      </c>
      <c r="I3500" t="s">
        <v>50</v>
      </c>
      <c r="J3500" t="s">
        <v>4989</v>
      </c>
      <c r="K3500" t="s">
        <v>3969</v>
      </c>
      <c r="L3500" t="s">
        <v>53</v>
      </c>
      <c r="N3500" t="s">
        <v>5813</v>
      </c>
      <c r="P3500" t="s">
        <v>55</v>
      </c>
      <c r="R3500" t="s">
        <v>53</v>
      </c>
      <c r="T3500" t="s">
        <v>5814</v>
      </c>
      <c r="U3500" t="s">
        <v>58</v>
      </c>
      <c r="V3500">
        <v>1</v>
      </c>
      <c r="W3500">
        <v>1</v>
      </c>
      <c r="X3500">
        <v>2</v>
      </c>
      <c r="Y3500">
        <v>0</v>
      </c>
      <c r="Z3500">
        <v>2</v>
      </c>
      <c r="AA3500">
        <v>0</v>
      </c>
      <c r="AB3500">
        <v>57.28</v>
      </c>
      <c r="AC3500">
        <v>50.4</v>
      </c>
      <c r="AD3500">
        <v>0</v>
      </c>
      <c r="AE3500">
        <v>6.88</v>
      </c>
      <c r="AF3500">
        <v>0</v>
      </c>
      <c r="AG3500">
        <v>0</v>
      </c>
      <c r="AH3500">
        <v>0</v>
      </c>
      <c r="AI3500">
        <v>10.31</v>
      </c>
      <c r="AJ3500">
        <v>57.28</v>
      </c>
      <c r="AK3500">
        <v>0</v>
      </c>
      <c r="AL3500" t="s">
        <v>53</v>
      </c>
      <c r="AM3500" t="s">
        <v>53</v>
      </c>
      <c r="AN3500" t="s">
        <v>53</v>
      </c>
      <c r="AO3500" t="s">
        <v>53</v>
      </c>
      <c r="AP3500" t="s">
        <v>53</v>
      </c>
    </row>
    <row r="3501" spans="2:42" x14ac:dyDescent="0.2">
      <c r="B3501" t="s">
        <v>44</v>
      </c>
      <c r="C3501" t="str">
        <f>HYPERLINK("https://us2.cloudbeds.com/connect/8493803454333002#/reservations/42089192288448?display=TUJ6DQA3N&amp;reservation_id=42089192288448", "TUJ6DQA3N")</f>
        <v>TUJ6DQA3N</v>
      </c>
      <c r="D3501" t="s">
        <v>45</v>
      </c>
      <c r="E3501" t="s">
        <v>373</v>
      </c>
      <c r="F3501" t="s">
        <v>47</v>
      </c>
      <c r="G3501" t="s">
        <v>48</v>
      </c>
      <c r="H3501" t="s">
        <v>3957</v>
      </c>
      <c r="I3501" t="s">
        <v>3958</v>
      </c>
      <c r="J3501" t="s">
        <v>4989</v>
      </c>
      <c r="K3501" t="s">
        <v>3969</v>
      </c>
      <c r="L3501" t="s">
        <v>53</v>
      </c>
      <c r="P3501" t="s">
        <v>58</v>
      </c>
      <c r="R3501" t="s">
        <v>56</v>
      </c>
      <c r="T3501" t="s">
        <v>5815</v>
      </c>
      <c r="U3501" t="s">
        <v>58</v>
      </c>
      <c r="V3501">
        <v>1</v>
      </c>
      <c r="W3501">
        <v>1</v>
      </c>
      <c r="X3501">
        <v>1</v>
      </c>
      <c r="Y3501">
        <v>0</v>
      </c>
      <c r="Z3501">
        <v>1</v>
      </c>
      <c r="AA3501">
        <v>0</v>
      </c>
      <c r="AB3501">
        <v>85.25</v>
      </c>
      <c r="AC3501">
        <v>75</v>
      </c>
      <c r="AD3501">
        <v>0</v>
      </c>
      <c r="AE3501">
        <v>10.25</v>
      </c>
      <c r="AF3501">
        <v>0</v>
      </c>
      <c r="AG3501">
        <v>0</v>
      </c>
      <c r="AH3501">
        <v>0</v>
      </c>
      <c r="AI3501">
        <v>0</v>
      </c>
      <c r="AJ3501">
        <v>85.25</v>
      </c>
      <c r="AK3501">
        <v>0</v>
      </c>
      <c r="AL3501" t="s">
        <v>53</v>
      </c>
      <c r="AM3501" t="s">
        <v>53</v>
      </c>
      <c r="AN3501" t="s">
        <v>53</v>
      </c>
      <c r="AO3501" t="s">
        <v>53</v>
      </c>
      <c r="AP3501" t="s">
        <v>53</v>
      </c>
    </row>
    <row r="3502" spans="2:42" x14ac:dyDescent="0.2">
      <c r="B3502" t="s">
        <v>44</v>
      </c>
      <c r="C3502" t="str">
        <f>HYPERLINK("https://us2.cloudbeds.com/connect/8493803454333002#/reservations/42088685678738?display=TUXQFK8FG&amp;reservation_id=42088685678738", "TUXQFK8FG")</f>
        <v>TUXQFK8FG</v>
      </c>
      <c r="D3502" t="s">
        <v>45</v>
      </c>
      <c r="E3502" t="s">
        <v>487</v>
      </c>
      <c r="F3502" t="s">
        <v>61</v>
      </c>
      <c r="G3502" t="s">
        <v>48</v>
      </c>
      <c r="H3502" t="s">
        <v>49</v>
      </c>
      <c r="I3502" t="s">
        <v>50</v>
      </c>
      <c r="J3502" t="s">
        <v>4989</v>
      </c>
      <c r="K3502" t="s">
        <v>3969</v>
      </c>
      <c r="L3502" t="s">
        <v>53</v>
      </c>
      <c r="N3502" t="s">
        <v>5816</v>
      </c>
      <c r="P3502" t="s">
        <v>55</v>
      </c>
      <c r="R3502" t="s">
        <v>53</v>
      </c>
      <c r="T3502" t="s">
        <v>5817</v>
      </c>
      <c r="U3502" t="s">
        <v>58</v>
      </c>
      <c r="V3502">
        <v>1</v>
      </c>
      <c r="W3502">
        <v>1</v>
      </c>
      <c r="X3502">
        <v>2</v>
      </c>
      <c r="Y3502">
        <v>0</v>
      </c>
      <c r="Z3502">
        <v>2</v>
      </c>
      <c r="AA3502">
        <v>0</v>
      </c>
      <c r="AB3502">
        <v>57.28</v>
      </c>
      <c r="AC3502">
        <v>50.4</v>
      </c>
      <c r="AD3502">
        <v>0</v>
      </c>
      <c r="AE3502">
        <v>6.88</v>
      </c>
      <c r="AF3502">
        <v>0</v>
      </c>
      <c r="AG3502">
        <v>0</v>
      </c>
      <c r="AH3502">
        <v>0</v>
      </c>
      <c r="AI3502">
        <v>10.31</v>
      </c>
      <c r="AJ3502">
        <v>57.28</v>
      </c>
      <c r="AK3502">
        <v>0</v>
      </c>
      <c r="AL3502" t="s">
        <v>53</v>
      </c>
      <c r="AM3502" t="s">
        <v>53</v>
      </c>
      <c r="AN3502" t="s">
        <v>53</v>
      </c>
      <c r="AO3502" t="s">
        <v>53</v>
      </c>
      <c r="AP3502" t="s">
        <v>53</v>
      </c>
    </row>
    <row r="3503" spans="2:42" x14ac:dyDescent="0.2">
      <c r="B3503" t="s">
        <v>44</v>
      </c>
      <c r="C3503" t="str">
        <f>HYPERLINK("https://us2.cloudbeds.com/connect/8493803454333002#/reservations/42091914584243?display=TUY9WAA9S&amp;reservation_id=42091914584243", "TUY9WAA9S")</f>
        <v>TUY9WAA9S</v>
      </c>
      <c r="D3503" t="s">
        <v>45</v>
      </c>
      <c r="E3503" t="s">
        <v>165</v>
      </c>
      <c r="F3503" t="s">
        <v>61</v>
      </c>
      <c r="G3503" t="s">
        <v>48</v>
      </c>
      <c r="H3503" t="s">
        <v>49</v>
      </c>
      <c r="I3503" t="s">
        <v>50</v>
      </c>
      <c r="J3503" t="s">
        <v>5683</v>
      </c>
      <c r="K3503" t="s">
        <v>3125</v>
      </c>
      <c r="L3503" t="s">
        <v>53</v>
      </c>
      <c r="N3503" t="s">
        <v>5818</v>
      </c>
      <c r="P3503" t="s">
        <v>55</v>
      </c>
      <c r="R3503" t="s">
        <v>53</v>
      </c>
      <c r="T3503" t="s">
        <v>5819</v>
      </c>
      <c r="U3503" t="s">
        <v>58</v>
      </c>
      <c r="V3503">
        <v>1</v>
      </c>
      <c r="W3503">
        <v>1</v>
      </c>
      <c r="X3503">
        <v>2</v>
      </c>
      <c r="Y3503">
        <v>0</v>
      </c>
      <c r="Z3503">
        <v>2</v>
      </c>
      <c r="AA3503">
        <v>0</v>
      </c>
      <c r="AB3503">
        <v>77.319999999999993</v>
      </c>
      <c r="AC3503">
        <v>68.040000000000006</v>
      </c>
      <c r="AD3503">
        <v>0</v>
      </c>
      <c r="AE3503">
        <v>9.2799999999999994</v>
      </c>
      <c r="AF3503">
        <v>0</v>
      </c>
      <c r="AG3503">
        <v>0</v>
      </c>
      <c r="AH3503">
        <v>0</v>
      </c>
      <c r="AI3503">
        <v>13.92</v>
      </c>
      <c r="AJ3503">
        <v>77.319999999999993</v>
      </c>
      <c r="AK3503">
        <v>0</v>
      </c>
      <c r="AL3503" t="s">
        <v>53</v>
      </c>
      <c r="AM3503" t="s">
        <v>53</v>
      </c>
      <c r="AN3503" t="s">
        <v>53</v>
      </c>
      <c r="AO3503" t="s">
        <v>53</v>
      </c>
      <c r="AP3503" t="s">
        <v>53</v>
      </c>
    </row>
    <row r="3504" spans="2:42" x14ac:dyDescent="0.2">
      <c r="B3504" t="s">
        <v>44</v>
      </c>
      <c r="C3504" t="str">
        <f>HYPERLINK("https://us2.cloudbeds.com/connect/8493803454333002#/reservations/42092932337799?display=TUM2WGQXN&amp;reservation_id=42092932337799", "TUM2WGQXN")</f>
        <v>TUM2WGQXN</v>
      </c>
      <c r="D3504" t="s">
        <v>45</v>
      </c>
      <c r="E3504" t="s">
        <v>92</v>
      </c>
      <c r="F3504" t="s">
        <v>86</v>
      </c>
      <c r="G3504" t="s">
        <v>48</v>
      </c>
      <c r="H3504" t="s">
        <v>49</v>
      </c>
      <c r="I3504" t="s">
        <v>50</v>
      </c>
      <c r="J3504" t="s">
        <v>3413</v>
      </c>
      <c r="K3504" t="s">
        <v>5258</v>
      </c>
      <c r="L3504" t="s">
        <v>53</v>
      </c>
      <c r="N3504" t="s">
        <v>5820</v>
      </c>
      <c r="P3504" t="s">
        <v>55</v>
      </c>
      <c r="R3504" t="s">
        <v>53</v>
      </c>
      <c r="T3504" t="s">
        <v>5821</v>
      </c>
      <c r="U3504" t="s">
        <v>58</v>
      </c>
      <c r="V3504">
        <v>2</v>
      </c>
      <c r="W3504">
        <v>1</v>
      </c>
      <c r="X3504">
        <v>2</v>
      </c>
      <c r="Y3504">
        <v>0</v>
      </c>
      <c r="Z3504">
        <v>2</v>
      </c>
      <c r="AA3504">
        <v>0</v>
      </c>
      <c r="AB3504">
        <v>140.01</v>
      </c>
      <c r="AC3504">
        <v>61.51</v>
      </c>
      <c r="AD3504">
        <v>0</v>
      </c>
      <c r="AE3504">
        <v>8.39</v>
      </c>
      <c r="AF3504">
        <v>0</v>
      </c>
      <c r="AG3504">
        <v>0</v>
      </c>
      <c r="AH3504">
        <v>0</v>
      </c>
      <c r="AI3504">
        <v>12.58</v>
      </c>
      <c r="AJ3504">
        <v>69.900000000000006</v>
      </c>
      <c r="AK3504">
        <v>-0.1</v>
      </c>
      <c r="AL3504" t="s">
        <v>53</v>
      </c>
      <c r="AM3504" t="s">
        <v>53</v>
      </c>
      <c r="AN3504" t="s">
        <v>5822</v>
      </c>
      <c r="AO3504" t="s">
        <v>53</v>
      </c>
      <c r="AP3504" t="s">
        <v>53</v>
      </c>
    </row>
    <row r="3505" spans="2:42" x14ac:dyDescent="0.2">
      <c r="B3505" t="s">
        <v>44</v>
      </c>
      <c r="C3505" t="str">
        <f>HYPERLINK("https://us2.cloudbeds.com/connect/8493803454333002#/reservations/42140122669245?display=TVPKQYB8H&amp;reservation_id=42140122669245", "TVPKQYB8H")</f>
        <v>TVPKQYB8H</v>
      </c>
      <c r="D3505" t="s">
        <v>45</v>
      </c>
      <c r="E3505" t="s">
        <v>406</v>
      </c>
      <c r="F3505" t="s">
        <v>61</v>
      </c>
      <c r="G3505" t="s">
        <v>48</v>
      </c>
      <c r="H3505" t="s">
        <v>3957</v>
      </c>
      <c r="I3505" t="s">
        <v>3958</v>
      </c>
      <c r="J3505" t="s">
        <v>4989</v>
      </c>
      <c r="K3505" t="s">
        <v>3969</v>
      </c>
      <c r="L3505" t="s">
        <v>53</v>
      </c>
      <c r="P3505" t="s">
        <v>55</v>
      </c>
      <c r="R3505" t="s">
        <v>56</v>
      </c>
      <c r="T3505" t="s">
        <v>5823</v>
      </c>
      <c r="U3505" t="s">
        <v>58</v>
      </c>
      <c r="V3505">
        <v>1</v>
      </c>
      <c r="W3505">
        <v>1</v>
      </c>
      <c r="X3505">
        <v>1</v>
      </c>
      <c r="Y3505">
        <v>0</v>
      </c>
      <c r="Z3505">
        <v>1</v>
      </c>
      <c r="AA3505">
        <v>0</v>
      </c>
      <c r="AB3505">
        <v>81.83</v>
      </c>
      <c r="AC3505">
        <v>72</v>
      </c>
      <c r="AD3505">
        <v>0</v>
      </c>
      <c r="AE3505">
        <v>9.83</v>
      </c>
      <c r="AF3505">
        <v>0</v>
      </c>
      <c r="AG3505">
        <v>0</v>
      </c>
      <c r="AH3505">
        <v>0</v>
      </c>
      <c r="AI3505">
        <v>0</v>
      </c>
      <c r="AJ3505">
        <v>81.83</v>
      </c>
      <c r="AK3505">
        <v>0</v>
      </c>
      <c r="AL3505" t="s">
        <v>53</v>
      </c>
      <c r="AM3505" t="s">
        <v>53</v>
      </c>
      <c r="AN3505" t="s">
        <v>53</v>
      </c>
      <c r="AO3505" t="s">
        <v>53</v>
      </c>
      <c r="AP3505" t="s">
        <v>53</v>
      </c>
    </row>
    <row r="3506" spans="2:42" x14ac:dyDescent="0.2">
      <c r="B3506" t="s">
        <v>44</v>
      </c>
      <c r="C3506" t="str">
        <f>HYPERLINK("https://us2.cloudbeds.com/connect/8493803454333002#/reservations/42159799926930?display=TW7SK11DE&amp;reservation_id=42159799926930", "TW7SK11DE")</f>
        <v>TW7SK11DE</v>
      </c>
      <c r="D3506" t="s">
        <v>45</v>
      </c>
      <c r="E3506" t="s">
        <v>113</v>
      </c>
      <c r="F3506" t="s">
        <v>61</v>
      </c>
      <c r="G3506" t="s">
        <v>3974</v>
      </c>
      <c r="H3506" t="s">
        <v>3957</v>
      </c>
      <c r="I3506" t="s">
        <v>3975</v>
      </c>
      <c r="J3506" t="s">
        <v>3124</v>
      </c>
      <c r="K3506" t="s">
        <v>5683</v>
      </c>
      <c r="L3506" t="s">
        <v>53</v>
      </c>
      <c r="P3506" t="s">
        <v>58</v>
      </c>
      <c r="R3506" t="s">
        <v>56</v>
      </c>
      <c r="T3506" t="s">
        <v>5824</v>
      </c>
      <c r="U3506" t="s">
        <v>58</v>
      </c>
      <c r="V3506">
        <v>1</v>
      </c>
      <c r="W3506">
        <v>1</v>
      </c>
      <c r="X3506">
        <v>2</v>
      </c>
      <c r="Y3506">
        <v>0</v>
      </c>
      <c r="Z3506">
        <v>2</v>
      </c>
      <c r="AA3506">
        <v>0</v>
      </c>
      <c r="AB3506">
        <v>112.52</v>
      </c>
      <c r="AC3506">
        <v>99</v>
      </c>
      <c r="AD3506">
        <v>0</v>
      </c>
      <c r="AE3506">
        <v>13.52</v>
      </c>
      <c r="AF3506">
        <v>0</v>
      </c>
      <c r="AG3506">
        <v>0</v>
      </c>
      <c r="AH3506">
        <v>0</v>
      </c>
      <c r="AI3506">
        <v>0</v>
      </c>
      <c r="AJ3506">
        <v>112.52</v>
      </c>
      <c r="AK3506">
        <v>0</v>
      </c>
      <c r="AL3506" t="s">
        <v>53</v>
      </c>
      <c r="AM3506" t="s">
        <v>53</v>
      </c>
      <c r="AN3506" t="s">
        <v>53</v>
      </c>
      <c r="AO3506" t="s">
        <v>53</v>
      </c>
      <c r="AP3506" t="s">
        <v>53</v>
      </c>
    </row>
    <row r="3507" spans="2:42" x14ac:dyDescent="0.2">
      <c r="B3507" t="s">
        <v>44</v>
      </c>
      <c r="C3507" t="str">
        <f>HYPERLINK("https://us2.cloudbeds.com/connect/8493803454333002#/reservations/42183214768314?display=TWPWU1H5E&amp;reservation_id=42183214768314", "TWPWU1H5E")</f>
        <v>TWPWU1H5E</v>
      </c>
      <c r="D3507" t="s">
        <v>45</v>
      </c>
      <c r="E3507" t="s">
        <v>92</v>
      </c>
      <c r="F3507" t="s">
        <v>86</v>
      </c>
      <c r="G3507" t="s">
        <v>48</v>
      </c>
      <c r="H3507" t="s">
        <v>49</v>
      </c>
      <c r="I3507" t="s">
        <v>50</v>
      </c>
      <c r="J3507" t="s">
        <v>5825</v>
      </c>
      <c r="K3507" t="s">
        <v>5610</v>
      </c>
      <c r="L3507" t="s">
        <v>53</v>
      </c>
      <c r="N3507" t="s">
        <v>5826</v>
      </c>
      <c r="P3507" t="s">
        <v>55</v>
      </c>
      <c r="R3507" t="s">
        <v>53</v>
      </c>
      <c r="T3507" t="s">
        <v>5827</v>
      </c>
      <c r="U3507" t="s">
        <v>58</v>
      </c>
      <c r="V3507">
        <v>1</v>
      </c>
      <c r="W3507">
        <v>1</v>
      </c>
      <c r="X3507">
        <v>3</v>
      </c>
      <c r="Y3507">
        <v>1</v>
      </c>
      <c r="Z3507">
        <v>4</v>
      </c>
      <c r="AA3507">
        <v>0</v>
      </c>
      <c r="AB3507">
        <v>103.43</v>
      </c>
      <c r="AC3507">
        <v>91</v>
      </c>
      <c r="AD3507">
        <v>0</v>
      </c>
      <c r="AE3507">
        <v>12.43</v>
      </c>
      <c r="AF3507">
        <v>0</v>
      </c>
      <c r="AG3507">
        <v>0</v>
      </c>
      <c r="AH3507">
        <v>0</v>
      </c>
      <c r="AI3507">
        <v>18.62</v>
      </c>
      <c r="AJ3507">
        <v>103.43</v>
      </c>
      <c r="AK3507">
        <v>0</v>
      </c>
      <c r="AL3507" t="s">
        <v>53</v>
      </c>
      <c r="AM3507" t="s">
        <v>53</v>
      </c>
      <c r="AN3507" t="s">
        <v>53</v>
      </c>
      <c r="AO3507" t="s">
        <v>53</v>
      </c>
      <c r="AP3507" t="s">
        <v>53</v>
      </c>
    </row>
    <row r="3508" spans="2:42" x14ac:dyDescent="0.2">
      <c r="B3508" t="s">
        <v>44</v>
      </c>
      <c r="C3508" t="str">
        <f>HYPERLINK("https://us2.cloudbeds.com/connect/8493803454333002#/reservations/42182284107950?display=TWP949H97&amp;reservation_id=42182284107950", "TWP949H97")</f>
        <v>TWP949H97</v>
      </c>
      <c r="D3508" t="s">
        <v>45</v>
      </c>
      <c r="E3508" t="s">
        <v>213</v>
      </c>
      <c r="F3508" t="s">
        <v>86</v>
      </c>
      <c r="G3508" t="s">
        <v>48</v>
      </c>
      <c r="H3508" t="s">
        <v>49</v>
      </c>
      <c r="I3508" t="s">
        <v>50</v>
      </c>
      <c r="J3508" t="s">
        <v>5825</v>
      </c>
      <c r="K3508" t="s">
        <v>5610</v>
      </c>
      <c r="L3508" t="s">
        <v>53</v>
      </c>
      <c r="N3508" t="s">
        <v>5828</v>
      </c>
      <c r="P3508" t="s">
        <v>55</v>
      </c>
      <c r="R3508" t="s">
        <v>53</v>
      </c>
      <c r="T3508" t="s">
        <v>5829</v>
      </c>
      <c r="U3508" t="s">
        <v>58</v>
      </c>
      <c r="V3508">
        <v>1</v>
      </c>
      <c r="W3508">
        <v>1</v>
      </c>
      <c r="X3508">
        <v>2</v>
      </c>
      <c r="Y3508">
        <v>1</v>
      </c>
      <c r="Z3508">
        <v>3</v>
      </c>
      <c r="AA3508">
        <v>0</v>
      </c>
      <c r="AB3508">
        <v>103.43</v>
      </c>
      <c r="AC3508">
        <v>91</v>
      </c>
      <c r="AD3508">
        <v>0</v>
      </c>
      <c r="AE3508">
        <v>12.43</v>
      </c>
      <c r="AF3508">
        <v>0</v>
      </c>
      <c r="AG3508">
        <v>0</v>
      </c>
      <c r="AH3508">
        <v>0</v>
      </c>
      <c r="AI3508">
        <v>18.62</v>
      </c>
      <c r="AJ3508">
        <v>103.43</v>
      </c>
      <c r="AK3508">
        <v>0</v>
      </c>
      <c r="AL3508" t="s">
        <v>53</v>
      </c>
      <c r="AM3508" t="s">
        <v>53</v>
      </c>
      <c r="AN3508" t="s">
        <v>53</v>
      </c>
      <c r="AO3508" t="s">
        <v>53</v>
      </c>
      <c r="AP3508" t="s">
        <v>53</v>
      </c>
    </row>
    <row r="3509" spans="2:42" x14ac:dyDescent="0.2">
      <c r="B3509" t="s">
        <v>44</v>
      </c>
      <c r="C3509" t="str">
        <f>HYPERLINK("https://us2.cloudbeds.com/connect/8493803454333002#/reservations/42182284107948?display=TWP949H95&amp;reservation_id=42182284107948", "TWP949H95")</f>
        <v>TWP949H95</v>
      </c>
      <c r="D3509" t="s">
        <v>45</v>
      </c>
      <c r="E3509" t="s">
        <v>155</v>
      </c>
      <c r="F3509" t="s">
        <v>86</v>
      </c>
      <c r="G3509" t="s">
        <v>48</v>
      </c>
      <c r="H3509" t="s">
        <v>49</v>
      </c>
      <c r="I3509" t="s">
        <v>50</v>
      </c>
      <c r="J3509" t="s">
        <v>5825</v>
      </c>
      <c r="K3509" t="s">
        <v>5610</v>
      </c>
      <c r="L3509" t="s">
        <v>53</v>
      </c>
      <c r="N3509" t="s">
        <v>5830</v>
      </c>
      <c r="P3509" t="s">
        <v>55</v>
      </c>
      <c r="R3509" t="s">
        <v>53</v>
      </c>
      <c r="T3509" t="s">
        <v>5831</v>
      </c>
      <c r="U3509" t="s">
        <v>58</v>
      </c>
      <c r="V3509">
        <v>1</v>
      </c>
      <c r="W3509">
        <v>1</v>
      </c>
      <c r="X3509">
        <v>3</v>
      </c>
      <c r="Y3509">
        <v>1</v>
      </c>
      <c r="Z3509">
        <v>4</v>
      </c>
      <c r="AA3509">
        <v>0</v>
      </c>
      <c r="AB3509">
        <v>103.43</v>
      </c>
      <c r="AC3509">
        <v>91</v>
      </c>
      <c r="AD3509">
        <v>0</v>
      </c>
      <c r="AE3509">
        <v>12.43</v>
      </c>
      <c r="AF3509">
        <v>0</v>
      </c>
      <c r="AG3509">
        <v>0</v>
      </c>
      <c r="AH3509">
        <v>0</v>
      </c>
      <c r="AI3509">
        <v>18.62</v>
      </c>
      <c r="AJ3509">
        <v>103.43</v>
      </c>
      <c r="AK3509">
        <v>0</v>
      </c>
      <c r="AL3509" t="s">
        <v>53</v>
      </c>
      <c r="AM3509" t="s">
        <v>53</v>
      </c>
      <c r="AN3509" t="s">
        <v>53</v>
      </c>
      <c r="AO3509" t="s">
        <v>53</v>
      </c>
      <c r="AP3509" t="s">
        <v>53</v>
      </c>
    </row>
    <row r="3510" spans="2:42" x14ac:dyDescent="0.2">
      <c r="B3510" t="s">
        <v>44</v>
      </c>
      <c r="C3510" t="str">
        <f>HYPERLINK("https://us2.cloudbeds.com/connect/8493803454333002#/reservations/42234918953167?display=U1012CMFR&amp;reservation_id=42234918953167", "U1012CMFR")</f>
        <v>U1012CMFR</v>
      </c>
      <c r="D3510" t="s">
        <v>45</v>
      </c>
      <c r="E3510" t="s">
        <v>110</v>
      </c>
      <c r="F3510" t="s">
        <v>47</v>
      </c>
      <c r="G3510" t="s">
        <v>48</v>
      </c>
      <c r="H3510" t="s">
        <v>49</v>
      </c>
      <c r="I3510" t="s">
        <v>50</v>
      </c>
      <c r="J3510" t="s">
        <v>3414</v>
      </c>
      <c r="K3510" t="s">
        <v>5749</v>
      </c>
      <c r="L3510" t="s">
        <v>53</v>
      </c>
      <c r="N3510" t="s">
        <v>5832</v>
      </c>
      <c r="P3510" t="s">
        <v>55</v>
      </c>
      <c r="R3510" t="s">
        <v>53</v>
      </c>
      <c r="T3510" t="s">
        <v>5833</v>
      </c>
      <c r="U3510" t="s">
        <v>58</v>
      </c>
      <c r="V3510">
        <v>4</v>
      </c>
      <c r="W3510">
        <v>1</v>
      </c>
      <c r="X3510">
        <v>1</v>
      </c>
      <c r="Y3510">
        <v>0</v>
      </c>
      <c r="Z3510">
        <v>1</v>
      </c>
      <c r="AA3510">
        <v>0</v>
      </c>
      <c r="AB3510">
        <v>206.97</v>
      </c>
      <c r="AC3510">
        <v>182.1</v>
      </c>
      <c r="AD3510">
        <v>0</v>
      </c>
      <c r="AE3510">
        <v>24.87</v>
      </c>
      <c r="AF3510">
        <v>0</v>
      </c>
      <c r="AG3510">
        <v>0</v>
      </c>
      <c r="AH3510">
        <v>0</v>
      </c>
      <c r="AI3510">
        <v>37.25</v>
      </c>
      <c r="AJ3510">
        <v>206.97</v>
      </c>
      <c r="AK3510">
        <v>0</v>
      </c>
      <c r="AL3510" t="s">
        <v>53</v>
      </c>
      <c r="AM3510" t="s">
        <v>53</v>
      </c>
      <c r="AN3510" t="s">
        <v>53</v>
      </c>
      <c r="AO3510" t="s">
        <v>53</v>
      </c>
      <c r="AP3510" t="s">
        <v>53</v>
      </c>
    </row>
    <row r="3511" spans="2:42" x14ac:dyDescent="0.2">
      <c r="B3511" t="s">
        <v>44</v>
      </c>
      <c r="C3511" t="str">
        <f>HYPERLINK("https://us2.cloudbeds.com/connect/8493803454333002#/reservations/42341957714133?display=U3GU59WNW&amp;reservation_id=42341957714133", "U3GU59WNW")</f>
        <v>U3GU59WNW</v>
      </c>
      <c r="D3511" t="s">
        <v>45</v>
      </c>
      <c r="E3511" t="s">
        <v>128</v>
      </c>
      <c r="F3511" t="s">
        <v>86</v>
      </c>
      <c r="G3511" t="s">
        <v>48</v>
      </c>
      <c r="H3511" t="s">
        <v>49</v>
      </c>
      <c r="I3511" t="s">
        <v>50</v>
      </c>
      <c r="J3511" t="s">
        <v>5693</v>
      </c>
      <c r="K3511" t="s">
        <v>5683</v>
      </c>
      <c r="L3511" t="s">
        <v>53</v>
      </c>
      <c r="N3511" t="s">
        <v>5834</v>
      </c>
      <c r="P3511" t="s">
        <v>55</v>
      </c>
      <c r="R3511" t="s">
        <v>53</v>
      </c>
      <c r="T3511" t="s">
        <v>5835</v>
      </c>
      <c r="U3511" t="s">
        <v>58</v>
      </c>
      <c r="V3511">
        <v>5</v>
      </c>
      <c r="W3511">
        <v>1</v>
      </c>
      <c r="X3511">
        <v>2</v>
      </c>
      <c r="Y3511">
        <v>1</v>
      </c>
      <c r="Z3511">
        <v>3</v>
      </c>
      <c r="AA3511">
        <v>0</v>
      </c>
      <c r="AB3511">
        <v>384.26</v>
      </c>
      <c r="AC3511">
        <v>338.1</v>
      </c>
      <c r="AD3511">
        <v>0</v>
      </c>
      <c r="AE3511">
        <v>46.16</v>
      </c>
      <c r="AF3511">
        <v>0</v>
      </c>
      <c r="AG3511">
        <v>0</v>
      </c>
      <c r="AH3511">
        <v>0</v>
      </c>
      <c r="AI3511">
        <v>69.17</v>
      </c>
      <c r="AJ3511">
        <v>384.26</v>
      </c>
      <c r="AK3511">
        <v>0</v>
      </c>
      <c r="AL3511" t="s">
        <v>53</v>
      </c>
      <c r="AM3511" t="s">
        <v>53</v>
      </c>
      <c r="AN3511" t="s">
        <v>53</v>
      </c>
      <c r="AO3511" t="s">
        <v>53</v>
      </c>
      <c r="AP3511" t="s">
        <v>53</v>
      </c>
    </row>
    <row r="3512" spans="2:42" x14ac:dyDescent="0.2">
      <c r="B3512" t="s">
        <v>44</v>
      </c>
      <c r="C3512" t="str">
        <f>HYPERLINK("https://us2.cloudbeds.com/connect/8493803454333002#/reservations/42404074537164?display=U4W0CS58K&amp;reservation_id=42404074537164", "U4W0CS58K")</f>
        <v>U4W0CS58K</v>
      </c>
      <c r="D3512" t="s">
        <v>45</v>
      </c>
      <c r="E3512" t="s">
        <v>165</v>
      </c>
      <c r="F3512" t="s">
        <v>61</v>
      </c>
      <c r="G3512" t="s">
        <v>48</v>
      </c>
      <c r="H3512" t="s">
        <v>3957</v>
      </c>
      <c r="I3512" t="s">
        <v>3958</v>
      </c>
      <c r="J3512" t="s">
        <v>3414</v>
      </c>
      <c r="K3512" t="s">
        <v>5836</v>
      </c>
      <c r="L3512" t="s">
        <v>53</v>
      </c>
      <c r="P3512" t="s">
        <v>58</v>
      </c>
      <c r="R3512" t="s">
        <v>56</v>
      </c>
      <c r="T3512" t="s">
        <v>5837</v>
      </c>
      <c r="U3512" t="s">
        <v>58</v>
      </c>
      <c r="V3512">
        <v>1</v>
      </c>
      <c r="W3512">
        <v>1</v>
      </c>
      <c r="X3512">
        <v>1</v>
      </c>
      <c r="Y3512">
        <v>0</v>
      </c>
      <c r="Z3512">
        <v>1</v>
      </c>
      <c r="AA3512">
        <v>0</v>
      </c>
      <c r="AB3512">
        <v>63.42</v>
      </c>
      <c r="AC3512">
        <v>55.8</v>
      </c>
      <c r="AD3512">
        <v>0</v>
      </c>
      <c r="AE3512">
        <v>7.62</v>
      </c>
      <c r="AF3512">
        <v>0</v>
      </c>
      <c r="AG3512">
        <v>0</v>
      </c>
      <c r="AH3512">
        <v>0</v>
      </c>
      <c r="AI3512">
        <v>0</v>
      </c>
      <c r="AJ3512">
        <v>63.42</v>
      </c>
      <c r="AK3512">
        <v>0</v>
      </c>
      <c r="AL3512" t="s">
        <v>53</v>
      </c>
      <c r="AM3512" t="s">
        <v>53</v>
      </c>
      <c r="AN3512" t="s">
        <v>53</v>
      </c>
      <c r="AO3512" t="s">
        <v>53</v>
      </c>
      <c r="AP3512" t="s">
        <v>53</v>
      </c>
    </row>
    <row r="3513" spans="2:42" x14ac:dyDescent="0.2">
      <c r="B3513" t="s">
        <v>44</v>
      </c>
      <c r="C3513" t="str">
        <f>HYPERLINK("https://us2.cloudbeds.com/connect/8493803454333002#/reservations/42488975646851?display=U6VZQNMP7&amp;reservation_id=42488975646851", "U6VZQNMP7")</f>
        <v>U6VZQNMP7</v>
      </c>
      <c r="D3513" t="s">
        <v>45</v>
      </c>
      <c r="E3513" t="s">
        <v>265</v>
      </c>
      <c r="F3513" t="s">
        <v>61</v>
      </c>
      <c r="G3513" t="s">
        <v>48</v>
      </c>
      <c r="H3513" t="s">
        <v>49</v>
      </c>
      <c r="I3513" t="s">
        <v>50</v>
      </c>
      <c r="J3513" t="s">
        <v>3969</v>
      </c>
      <c r="K3513" t="s">
        <v>3413</v>
      </c>
      <c r="L3513" t="s">
        <v>53</v>
      </c>
      <c r="N3513" t="s">
        <v>5838</v>
      </c>
      <c r="P3513" t="s">
        <v>55</v>
      </c>
      <c r="R3513" t="s">
        <v>53</v>
      </c>
      <c r="T3513" t="s">
        <v>5839</v>
      </c>
      <c r="U3513" t="s">
        <v>58</v>
      </c>
      <c r="V3513">
        <v>1</v>
      </c>
      <c r="W3513">
        <v>1</v>
      </c>
      <c r="X3513">
        <v>2</v>
      </c>
      <c r="Y3513">
        <v>0</v>
      </c>
      <c r="Z3513">
        <v>2</v>
      </c>
      <c r="AA3513">
        <v>0</v>
      </c>
      <c r="AB3513">
        <v>50.92</v>
      </c>
      <c r="AC3513">
        <v>44.8</v>
      </c>
      <c r="AD3513">
        <v>0</v>
      </c>
      <c r="AE3513">
        <v>6.12</v>
      </c>
      <c r="AF3513">
        <v>0</v>
      </c>
      <c r="AG3513">
        <v>0</v>
      </c>
      <c r="AH3513">
        <v>0</v>
      </c>
      <c r="AI3513">
        <v>9.17</v>
      </c>
      <c r="AJ3513">
        <v>50.92</v>
      </c>
      <c r="AK3513">
        <v>0</v>
      </c>
      <c r="AL3513" t="s">
        <v>53</v>
      </c>
      <c r="AM3513" t="s">
        <v>53</v>
      </c>
      <c r="AN3513" t="s">
        <v>5840</v>
      </c>
      <c r="AO3513" t="s">
        <v>53</v>
      </c>
      <c r="AP3513" t="s">
        <v>53</v>
      </c>
    </row>
    <row r="3514" spans="2:42" x14ac:dyDescent="0.2">
      <c r="B3514" t="s">
        <v>44</v>
      </c>
      <c r="C3514" t="str">
        <f>HYPERLINK("https://us2.cloudbeds.com/connect/8493803454333002#/reservations/42495270920372?display=U73KM1VHG&amp;reservation_id=42495270920372", "U73KM1VHG")</f>
        <v>U73KM1VHG</v>
      </c>
      <c r="D3514" t="s">
        <v>45</v>
      </c>
      <c r="E3514" t="s">
        <v>113</v>
      </c>
      <c r="F3514" t="s">
        <v>61</v>
      </c>
      <c r="G3514" t="s">
        <v>48</v>
      </c>
      <c r="H3514" t="s">
        <v>49</v>
      </c>
      <c r="I3514" t="s">
        <v>62</v>
      </c>
      <c r="J3514" t="s">
        <v>3969</v>
      </c>
      <c r="K3514" t="s">
        <v>3413</v>
      </c>
      <c r="L3514" t="s">
        <v>53</v>
      </c>
      <c r="N3514" t="s">
        <v>5841</v>
      </c>
      <c r="P3514" t="s">
        <v>55</v>
      </c>
      <c r="R3514" t="s">
        <v>56</v>
      </c>
      <c r="T3514" t="s">
        <v>5842</v>
      </c>
      <c r="U3514" t="s">
        <v>55</v>
      </c>
      <c r="V3514">
        <v>1</v>
      </c>
      <c r="W3514">
        <v>1</v>
      </c>
      <c r="X3514">
        <v>2</v>
      </c>
      <c r="Y3514">
        <v>0</v>
      </c>
      <c r="Z3514">
        <v>2</v>
      </c>
      <c r="AA3514">
        <v>0</v>
      </c>
      <c r="AB3514">
        <v>69.33</v>
      </c>
      <c r="AC3514">
        <v>61</v>
      </c>
      <c r="AD3514">
        <v>0</v>
      </c>
      <c r="AE3514">
        <v>8.33</v>
      </c>
      <c r="AF3514">
        <v>0</v>
      </c>
      <c r="AG3514">
        <v>0</v>
      </c>
      <c r="AH3514">
        <v>0</v>
      </c>
      <c r="AI3514">
        <v>12.48</v>
      </c>
      <c r="AJ3514">
        <v>69.33</v>
      </c>
      <c r="AK3514">
        <v>0</v>
      </c>
      <c r="AL3514" t="s">
        <v>53</v>
      </c>
      <c r="AM3514" t="s">
        <v>53</v>
      </c>
      <c r="AN3514" t="s">
        <v>53</v>
      </c>
      <c r="AO3514" t="s">
        <v>53</v>
      </c>
      <c r="AP3514" t="s">
        <v>53</v>
      </c>
    </row>
    <row r="3515" spans="2:42" x14ac:dyDescent="0.2">
      <c r="B3515" t="s">
        <v>44</v>
      </c>
      <c r="C3515" t="str">
        <f>HYPERLINK("https://us2.cloudbeds.com/connect/8493803454333002#/reservations/42508683276456?display=U7E0CNHYB&amp;reservation_id=42508683276456", "U7E0CNHYB")</f>
        <v>U7E0CNHYB</v>
      </c>
      <c r="D3515" t="s">
        <v>45</v>
      </c>
      <c r="E3515" t="s">
        <v>213</v>
      </c>
      <c r="F3515" t="s">
        <v>86</v>
      </c>
      <c r="G3515" t="s">
        <v>48</v>
      </c>
      <c r="H3515" t="s">
        <v>49</v>
      </c>
      <c r="I3515" t="s">
        <v>50</v>
      </c>
      <c r="J3515" t="s">
        <v>3969</v>
      </c>
      <c r="K3515" t="s">
        <v>3413</v>
      </c>
      <c r="L3515" t="s">
        <v>53</v>
      </c>
      <c r="N3515" t="s">
        <v>5843</v>
      </c>
      <c r="P3515" t="s">
        <v>55</v>
      </c>
      <c r="R3515" t="s">
        <v>53</v>
      </c>
      <c r="T3515" t="s">
        <v>5844</v>
      </c>
      <c r="U3515" t="s">
        <v>58</v>
      </c>
      <c r="V3515">
        <v>1</v>
      </c>
      <c r="W3515">
        <v>1</v>
      </c>
      <c r="X3515">
        <v>4</v>
      </c>
      <c r="Y3515">
        <v>0</v>
      </c>
      <c r="Z3515">
        <v>4</v>
      </c>
      <c r="AA3515">
        <v>0</v>
      </c>
      <c r="AB3515">
        <v>59.1</v>
      </c>
      <c r="AC3515">
        <v>52</v>
      </c>
      <c r="AD3515">
        <v>0</v>
      </c>
      <c r="AE3515">
        <v>7.1</v>
      </c>
      <c r="AF3515">
        <v>0</v>
      </c>
      <c r="AG3515">
        <v>0</v>
      </c>
      <c r="AH3515">
        <v>0</v>
      </c>
      <c r="AI3515">
        <v>10.64</v>
      </c>
      <c r="AJ3515">
        <v>59.1</v>
      </c>
      <c r="AK3515">
        <v>0</v>
      </c>
      <c r="AL3515" t="s">
        <v>53</v>
      </c>
      <c r="AM3515" t="s">
        <v>53</v>
      </c>
      <c r="AN3515" t="s">
        <v>53</v>
      </c>
      <c r="AO3515" t="s">
        <v>53</v>
      </c>
      <c r="AP3515" t="s">
        <v>53</v>
      </c>
    </row>
    <row r="3516" spans="2:42" x14ac:dyDescent="0.2">
      <c r="B3516" t="s">
        <v>44</v>
      </c>
      <c r="C3516" t="str">
        <f>HYPERLINK("https://us2.cloudbeds.com/connect/8493803454333002#/reservations/42568242667730?display=U8R48PCWV&amp;reservation_id=42568242667730", "U8R48PCWV")</f>
        <v>U8R48PCWV</v>
      </c>
      <c r="D3516" t="s">
        <v>45</v>
      </c>
      <c r="E3516" t="s">
        <v>85</v>
      </c>
      <c r="F3516" t="s">
        <v>86</v>
      </c>
      <c r="G3516" t="s">
        <v>48</v>
      </c>
      <c r="H3516" t="s">
        <v>49</v>
      </c>
      <c r="I3516" t="s">
        <v>50</v>
      </c>
      <c r="J3516" t="s">
        <v>5648</v>
      </c>
      <c r="K3516" t="s">
        <v>5321</v>
      </c>
      <c r="L3516" t="s">
        <v>53</v>
      </c>
      <c r="N3516" t="s">
        <v>5845</v>
      </c>
      <c r="P3516" t="s">
        <v>55</v>
      </c>
      <c r="R3516" t="s">
        <v>53</v>
      </c>
      <c r="T3516" t="s">
        <v>5846</v>
      </c>
      <c r="U3516" t="s">
        <v>58</v>
      </c>
      <c r="V3516">
        <v>3</v>
      </c>
      <c r="W3516">
        <v>1</v>
      </c>
      <c r="X3516">
        <v>3</v>
      </c>
      <c r="Y3516">
        <v>1</v>
      </c>
      <c r="Z3516">
        <v>4</v>
      </c>
      <c r="AA3516">
        <v>0</v>
      </c>
      <c r="AB3516">
        <v>194.91</v>
      </c>
      <c r="AC3516">
        <v>171.5</v>
      </c>
      <c r="AD3516">
        <v>0</v>
      </c>
      <c r="AE3516">
        <v>23.41</v>
      </c>
      <c r="AF3516">
        <v>0</v>
      </c>
      <c r="AG3516">
        <v>0</v>
      </c>
      <c r="AH3516">
        <v>0</v>
      </c>
      <c r="AI3516">
        <v>35.08</v>
      </c>
      <c r="AJ3516">
        <v>194.91</v>
      </c>
      <c r="AK3516">
        <v>0</v>
      </c>
      <c r="AL3516" t="s">
        <v>53</v>
      </c>
      <c r="AM3516" t="s">
        <v>53</v>
      </c>
      <c r="AN3516" t="s">
        <v>53</v>
      </c>
      <c r="AO3516" t="s">
        <v>53</v>
      </c>
      <c r="AP3516" t="s">
        <v>53</v>
      </c>
    </row>
    <row r="3517" spans="2:42" x14ac:dyDescent="0.2">
      <c r="B3517" t="s">
        <v>44</v>
      </c>
      <c r="C3517" t="str">
        <f>HYPERLINK("https://us2.cloudbeds.com/connect/8493803454333002#/reservations/42755951464596?display=UD7FYQC6H&amp;reservation_id=42755951464596", "UD7FYQC6H")</f>
        <v>UD7FYQC6H</v>
      </c>
      <c r="D3517" t="s">
        <v>45</v>
      </c>
      <c r="E3517" t="s">
        <v>110</v>
      </c>
      <c r="F3517" t="s">
        <v>47</v>
      </c>
      <c r="G3517" t="s">
        <v>48</v>
      </c>
      <c r="H3517" t="s">
        <v>49</v>
      </c>
      <c r="I3517" t="s">
        <v>50</v>
      </c>
      <c r="J3517" t="s">
        <v>5258</v>
      </c>
      <c r="K3517" t="s">
        <v>3414</v>
      </c>
      <c r="L3517" t="s">
        <v>53</v>
      </c>
      <c r="N3517" t="s">
        <v>5847</v>
      </c>
      <c r="P3517" t="s">
        <v>55</v>
      </c>
      <c r="R3517" t="s">
        <v>53</v>
      </c>
      <c r="T3517" t="s">
        <v>5848</v>
      </c>
      <c r="U3517" t="s">
        <v>58</v>
      </c>
      <c r="V3517">
        <v>1</v>
      </c>
      <c r="W3517">
        <v>1</v>
      </c>
      <c r="X3517">
        <v>1</v>
      </c>
      <c r="Y3517">
        <v>0</v>
      </c>
      <c r="Z3517">
        <v>1</v>
      </c>
      <c r="AA3517">
        <v>0</v>
      </c>
      <c r="AB3517">
        <v>70.010000000000005</v>
      </c>
      <c r="AC3517">
        <v>61.6</v>
      </c>
      <c r="AD3517">
        <v>0</v>
      </c>
      <c r="AE3517">
        <v>8.41</v>
      </c>
      <c r="AF3517">
        <v>0</v>
      </c>
      <c r="AG3517">
        <v>0</v>
      </c>
      <c r="AH3517">
        <v>0</v>
      </c>
      <c r="AI3517">
        <v>12.6</v>
      </c>
      <c r="AJ3517">
        <v>70.010000000000005</v>
      </c>
      <c r="AK3517">
        <v>0</v>
      </c>
      <c r="AL3517" t="s">
        <v>53</v>
      </c>
      <c r="AM3517" t="s">
        <v>53</v>
      </c>
      <c r="AN3517" t="s">
        <v>53</v>
      </c>
      <c r="AO3517" t="s">
        <v>53</v>
      </c>
      <c r="AP3517" t="s">
        <v>53</v>
      </c>
    </row>
    <row r="3518" spans="2:42" x14ac:dyDescent="0.2">
      <c r="B3518" t="s">
        <v>44</v>
      </c>
      <c r="C3518" t="str">
        <f>HYPERLINK("https://us2.cloudbeds.com/connect/8493803454333002#/reservations/42775289073801?display=UDMEPPS38&amp;reservation_id=42775289073801", "UDMEPPS38")</f>
        <v>UDMEPPS38</v>
      </c>
      <c r="D3518" t="s">
        <v>45</v>
      </c>
      <c r="E3518" t="s">
        <v>113</v>
      </c>
      <c r="F3518" t="s">
        <v>61</v>
      </c>
      <c r="G3518" t="s">
        <v>4520</v>
      </c>
      <c r="H3518" t="s">
        <v>3957</v>
      </c>
      <c r="I3518" t="s">
        <v>3958</v>
      </c>
      <c r="J3518" t="s">
        <v>5258</v>
      </c>
      <c r="K3518" t="s">
        <v>3414</v>
      </c>
      <c r="L3518" t="s">
        <v>53</v>
      </c>
      <c r="P3518" t="s">
        <v>55</v>
      </c>
      <c r="R3518" t="s">
        <v>56</v>
      </c>
      <c r="T3518" t="s">
        <v>5849</v>
      </c>
      <c r="U3518" t="s">
        <v>58</v>
      </c>
      <c r="V3518">
        <v>1</v>
      </c>
      <c r="W3518">
        <v>1</v>
      </c>
      <c r="X3518">
        <v>1</v>
      </c>
      <c r="Y3518">
        <v>0</v>
      </c>
      <c r="Z3518">
        <v>1</v>
      </c>
      <c r="AA3518">
        <v>0</v>
      </c>
      <c r="AB3518">
        <v>91.03</v>
      </c>
      <c r="AC3518">
        <v>80.099999999999994</v>
      </c>
      <c r="AD3518">
        <v>0</v>
      </c>
      <c r="AE3518">
        <v>10.93</v>
      </c>
      <c r="AF3518">
        <v>0</v>
      </c>
      <c r="AG3518">
        <v>0</v>
      </c>
      <c r="AH3518">
        <v>0</v>
      </c>
      <c r="AI3518">
        <v>0</v>
      </c>
      <c r="AJ3518">
        <v>91.03</v>
      </c>
      <c r="AK3518">
        <v>0</v>
      </c>
      <c r="AL3518" t="s">
        <v>53</v>
      </c>
      <c r="AM3518" t="s">
        <v>53</v>
      </c>
      <c r="AN3518" t="s">
        <v>53</v>
      </c>
      <c r="AO3518" t="s">
        <v>53</v>
      </c>
      <c r="AP3518" t="s">
        <v>53</v>
      </c>
    </row>
    <row r="3519" spans="2:42" x14ac:dyDescent="0.2">
      <c r="B3519" t="s">
        <v>44</v>
      </c>
      <c r="C3519" t="str">
        <f>HYPERLINK("https://us2.cloudbeds.com/connect/8493803454333002#/reservations/42822201757908?display=UEPPGQEXB&amp;reservation_id=42822201757908", "UEPPGQEXB")</f>
        <v>UEPPGQEXB</v>
      </c>
      <c r="D3519" t="s">
        <v>45</v>
      </c>
      <c r="E3519" t="s">
        <v>213</v>
      </c>
      <c r="F3519" t="s">
        <v>86</v>
      </c>
      <c r="G3519" t="s">
        <v>48</v>
      </c>
      <c r="H3519" t="s">
        <v>49</v>
      </c>
      <c r="I3519" t="s">
        <v>62</v>
      </c>
      <c r="J3519" t="s">
        <v>4725</v>
      </c>
      <c r="K3519" t="s">
        <v>5850</v>
      </c>
      <c r="L3519" t="s">
        <v>53</v>
      </c>
      <c r="N3519" t="s">
        <v>5851</v>
      </c>
      <c r="P3519" t="s">
        <v>55</v>
      </c>
      <c r="R3519" t="s">
        <v>56</v>
      </c>
      <c r="T3519" t="s">
        <v>5852</v>
      </c>
      <c r="U3519" t="s">
        <v>55</v>
      </c>
      <c r="V3519">
        <v>4</v>
      </c>
      <c r="W3519">
        <v>1</v>
      </c>
      <c r="X3519">
        <v>4</v>
      </c>
      <c r="Y3519">
        <v>0</v>
      </c>
      <c r="Z3519">
        <v>4</v>
      </c>
      <c r="AA3519">
        <v>0</v>
      </c>
      <c r="AB3519">
        <v>350.04</v>
      </c>
      <c r="AC3519">
        <v>308</v>
      </c>
      <c r="AD3519">
        <v>0</v>
      </c>
      <c r="AE3519">
        <v>42.04</v>
      </c>
      <c r="AF3519">
        <v>0</v>
      </c>
      <c r="AG3519">
        <v>0</v>
      </c>
      <c r="AH3519">
        <v>0</v>
      </c>
      <c r="AI3519">
        <v>63.01</v>
      </c>
      <c r="AJ3519">
        <v>350.04</v>
      </c>
      <c r="AK3519">
        <v>0</v>
      </c>
      <c r="AL3519" t="s">
        <v>53</v>
      </c>
      <c r="AM3519" t="s">
        <v>53</v>
      </c>
      <c r="AN3519" t="s">
        <v>53</v>
      </c>
      <c r="AO3519" t="s">
        <v>53</v>
      </c>
      <c r="AP3519" t="s">
        <v>53</v>
      </c>
    </row>
    <row r="3520" spans="2:42" x14ac:dyDescent="0.2">
      <c r="B3520" t="s">
        <v>44</v>
      </c>
      <c r="C3520" t="str">
        <f>HYPERLINK("https://us2.cloudbeds.com/connect/8493803454333002#/reservations/42841842692274?display=UF7WCXCVK&amp;reservation_id=42841842692274", "UF7WCXCVK")</f>
        <v>UF7WCXCVK</v>
      </c>
      <c r="D3520" t="s">
        <v>45</v>
      </c>
      <c r="E3520" t="s">
        <v>1419</v>
      </c>
      <c r="F3520" t="s">
        <v>86</v>
      </c>
      <c r="G3520" t="s">
        <v>48</v>
      </c>
      <c r="H3520" t="s">
        <v>49</v>
      </c>
      <c r="I3520" t="s">
        <v>62</v>
      </c>
      <c r="J3520" t="s">
        <v>3414</v>
      </c>
      <c r="K3520" t="s">
        <v>5836</v>
      </c>
      <c r="L3520" t="s">
        <v>53</v>
      </c>
      <c r="N3520" t="s">
        <v>5853</v>
      </c>
      <c r="P3520" t="s">
        <v>55</v>
      </c>
      <c r="R3520" t="s">
        <v>56</v>
      </c>
      <c r="T3520" t="s">
        <v>5854</v>
      </c>
      <c r="U3520" t="s">
        <v>55</v>
      </c>
      <c r="V3520">
        <v>2</v>
      </c>
      <c r="W3520">
        <v>2</v>
      </c>
      <c r="X3520">
        <v>8</v>
      </c>
      <c r="Y3520">
        <v>0</v>
      </c>
      <c r="Z3520">
        <v>8</v>
      </c>
      <c r="AA3520">
        <v>0</v>
      </c>
      <c r="AB3520">
        <v>154.56</v>
      </c>
      <c r="AC3520">
        <v>136</v>
      </c>
      <c r="AD3520">
        <v>0</v>
      </c>
      <c r="AE3520">
        <v>18.559999999999999</v>
      </c>
      <c r="AF3520">
        <v>0</v>
      </c>
      <c r="AG3520">
        <v>0</v>
      </c>
      <c r="AH3520">
        <v>0</v>
      </c>
      <c r="AI3520">
        <v>27.82</v>
      </c>
      <c r="AJ3520">
        <v>154.56</v>
      </c>
      <c r="AK3520">
        <v>0</v>
      </c>
      <c r="AL3520" t="s">
        <v>53</v>
      </c>
      <c r="AM3520" t="s">
        <v>53</v>
      </c>
      <c r="AN3520" t="s">
        <v>53</v>
      </c>
      <c r="AO3520" t="s">
        <v>53</v>
      </c>
      <c r="AP3520" t="s">
        <v>53</v>
      </c>
    </row>
    <row r="3521" spans="2:42" x14ac:dyDescent="0.2">
      <c r="B3521" t="s">
        <v>44</v>
      </c>
      <c r="C3521" t="str">
        <f>HYPERLINK("https://us2.cloudbeds.com/connect/8493803454333002#/reservations/42897659265245?display=UGX6KXQTP&amp;reservation_id=42897659265245", "UGX6KXQTP")</f>
        <v>UGX6KXQTP</v>
      </c>
      <c r="D3521" t="s">
        <v>45</v>
      </c>
      <c r="E3521" t="s">
        <v>179</v>
      </c>
      <c r="F3521" t="s">
        <v>47</v>
      </c>
      <c r="G3521" t="s">
        <v>48</v>
      </c>
      <c r="H3521" t="s">
        <v>49</v>
      </c>
      <c r="I3521" t="s">
        <v>50</v>
      </c>
      <c r="J3521" t="s">
        <v>5258</v>
      </c>
      <c r="K3521" t="s">
        <v>3414</v>
      </c>
      <c r="L3521" t="s">
        <v>53</v>
      </c>
      <c r="N3521" t="s">
        <v>5855</v>
      </c>
      <c r="P3521" t="s">
        <v>55</v>
      </c>
      <c r="R3521" t="s">
        <v>53</v>
      </c>
      <c r="T3521" t="s">
        <v>5856</v>
      </c>
      <c r="U3521" t="s">
        <v>58</v>
      </c>
      <c r="V3521">
        <v>1</v>
      </c>
      <c r="W3521">
        <v>1</v>
      </c>
      <c r="X3521">
        <v>2</v>
      </c>
      <c r="Y3521">
        <v>0</v>
      </c>
      <c r="Z3521">
        <v>2</v>
      </c>
      <c r="AA3521">
        <v>0</v>
      </c>
      <c r="AB3521">
        <v>83.64</v>
      </c>
      <c r="AC3521">
        <v>73.599999999999994</v>
      </c>
      <c r="AD3521">
        <v>0</v>
      </c>
      <c r="AE3521">
        <v>10.039999999999999</v>
      </c>
      <c r="AF3521">
        <v>0</v>
      </c>
      <c r="AG3521">
        <v>0</v>
      </c>
      <c r="AH3521">
        <v>0</v>
      </c>
      <c r="AI3521">
        <v>15.06</v>
      </c>
      <c r="AJ3521">
        <v>83.64</v>
      </c>
      <c r="AK3521">
        <v>0</v>
      </c>
      <c r="AL3521" t="s">
        <v>53</v>
      </c>
      <c r="AM3521" t="s">
        <v>53</v>
      </c>
      <c r="AN3521" t="s">
        <v>53</v>
      </c>
      <c r="AO3521" t="s">
        <v>53</v>
      </c>
      <c r="AP3521" t="s">
        <v>53</v>
      </c>
    </row>
    <row r="3522" spans="2:42" x14ac:dyDescent="0.2">
      <c r="B3522" t="s">
        <v>44</v>
      </c>
      <c r="C3522" t="str">
        <f>HYPERLINK("https://us2.cloudbeds.com/connect/8493803454333002#/reservations/42915330228426?display=UGVT56DMH&amp;reservation_id=42915330228426", "UGVT56DMH")</f>
        <v>UGVT56DMH</v>
      </c>
      <c r="D3522" t="s">
        <v>45</v>
      </c>
      <c r="E3522" t="s">
        <v>213</v>
      </c>
      <c r="F3522" t="s">
        <v>86</v>
      </c>
      <c r="G3522" t="s">
        <v>48</v>
      </c>
      <c r="H3522" t="s">
        <v>49</v>
      </c>
      <c r="I3522" t="s">
        <v>62</v>
      </c>
      <c r="J3522" t="s">
        <v>3768</v>
      </c>
      <c r="K3522" t="s">
        <v>5229</v>
      </c>
      <c r="L3522" t="s">
        <v>53</v>
      </c>
      <c r="N3522" t="s">
        <v>5857</v>
      </c>
      <c r="P3522" t="s">
        <v>55</v>
      </c>
      <c r="R3522" t="s">
        <v>56</v>
      </c>
      <c r="T3522" t="s">
        <v>5858</v>
      </c>
      <c r="U3522" t="s">
        <v>55</v>
      </c>
      <c r="V3522">
        <v>2</v>
      </c>
      <c r="W3522">
        <v>1</v>
      </c>
      <c r="X3522">
        <v>2</v>
      </c>
      <c r="Y3522">
        <v>1</v>
      </c>
      <c r="Z3522">
        <v>3</v>
      </c>
      <c r="AA3522">
        <v>0</v>
      </c>
      <c r="AB3522">
        <v>193.21</v>
      </c>
      <c r="AC3522">
        <v>170</v>
      </c>
      <c r="AD3522">
        <v>0</v>
      </c>
      <c r="AE3522">
        <v>23.2</v>
      </c>
      <c r="AF3522">
        <v>0</v>
      </c>
      <c r="AG3522">
        <v>0</v>
      </c>
      <c r="AH3522">
        <v>0</v>
      </c>
      <c r="AI3522">
        <v>34.78</v>
      </c>
      <c r="AJ3522">
        <v>193.2</v>
      </c>
      <c r="AK3522">
        <v>-0.01</v>
      </c>
      <c r="AL3522" t="s">
        <v>53</v>
      </c>
      <c r="AM3522" t="s">
        <v>53</v>
      </c>
      <c r="AN3522" t="s">
        <v>53</v>
      </c>
      <c r="AO3522" t="s">
        <v>53</v>
      </c>
      <c r="AP3522" t="s">
        <v>53</v>
      </c>
    </row>
    <row r="3523" spans="2:42" x14ac:dyDescent="0.2">
      <c r="B3523" t="s">
        <v>44</v>
      </c>
      <c r="C3523" t="str">
        <f>HYPERLINK("https://us2.cloudbeds.com/connect/8493803454333002#/reservations/43082619232404?display=UKTDPNX7E&amp;reservation_id=43082619232404", "UKTDPNX7E")</f>
        <v>UKTDPNX7E</v>
      </c>
      <c r="D3523" t="s">
        <v>45</v>
      </c>
      <c r="E3523" t="s">
        <v>406</v>
      </c>
      <c r="F3523" t="s">
        <v>61</v>
      </c>
      <c r="G3523" t="s">
        <v>48</v>
      </c>
      <c r="H3523" t="s">
        <v>49</v>
      </c>
      <c r="I3523" t="s">
        <v>50</v>
      </c>
      <c r="J3523" t="s">
        <v>5371</v>
      </c>
      <c r="K3523" t="s">
        <v>3414</v>
      </c>
      <c r="L3523" t="s">
        <v>53</v>
      </c>
      <c r="N3523" t="s">
        <v>5859</v>
      </c>
      <c r="P3523" t="s">
        <v>55</v>
      </c>
      <c r="R3523" t="s">
        <v>53</v>
      </c>
      <c r="T3523" t="s">
        <v>5860</v>
      </c>
      <c r="U3523" t="s">
        <v>58</v>
      </c>
      <c r="V3523">
        <v>2</v>
      </c>
      <c r="W3523">
        <v>1</v>
      </c>
      <c r="X3523">
        <v>2</v>
      </c>
      <c r="Y3523">
        <v>0</v>
      </c>
      <c r="Z3523">
        <v>2</v>
      </c>
      <c r="AA3523">
        <v>0</v>
      </c>
      <c r="AB3523">
        <v>169.1</v>
      </c>
      <c r="AC3523">
        <v>148.80000000000001</v>
      </c>
      <c r="AD3523">
        <v>0</v>
      </c>
      <c r="AE3523">
        <v>20.3</v>
      </c>
      <c r="AF3523">
        <v>0</v>
      </c>
      <c r="AG3523">
        <v>0</v>
      </c>
      <c r="AH3523">
        <v>0</v>
      </c>
      <c r="AI3523">
        <v>30.44</v>
      </c>
      <c r="AJ3523">
        <v>169.1</v>
      </c>
      <c r="AK3523">
        <v>0</v>
      </c>
      <c r="AL3523" t="s">
        <v>53</v>
      </c>
      <c r="AM3523" t="s">
        <v>53</v>
      </c>
      <c r="AN3523" t="s">
        <v>53</v>
      </c>
      <c r="AO3523" t="s">
        <v>53</v>
      </c>
      <c r="AP3523" t="s">
        <v>53</v>
      </c>
    </row>
    <row r="3524" spans="2:42" x14ac:dyDescent="0.2">
      <c r="B3524" t="s">
        <v>44</v>
      </c>
      <c r="C3524" t="str">
        <f>HYPERLINK("https://us2.cloudbeds.com/connect/8493803454333002#/reservations/43089516425466?display=UY1P0K3RQ&amp;reservation_id=43089516425466", "UY1P0K3RQ")</f>
        <v>UY1P0K3RQ</v>
      </c>
      <c r="D3524" t="s">
        <v>45</v>
      </c>
      <c r="E3524" t="s">
        <v>110</v>
      </c>
      <c r="F3524" t="s">
        <v>47</v>
      </c>
      <c r="G3524" t="s">
        <v>48</v>
      </c>
      <c r="H3524" t="s">
        <v>49</v>
      </c>
      <c r="I3524" t="s">
        <v>62</v>
      </c>
      <c r="J3524" t="s">
        <v>5371</v>
      </c>
      <c r="K3524" t="s">
        <v>5258</v>
      </c>
      <c r="L3524" t="s">
        <v>53</v>
      </c>
      <c r="N3524" t="s">
        <v>5861</v>
      </c>
      <c r="P3524" t="s">
        <v>55</v>
      </c>
      <c r="R3524" t="s">
        <v>56</v>
      </c>
      <c r="T3524" t="s">
        <v>5862</v>
      </c>
      <c r="U3524" t="s">
        <v>55</v>
      </c>
      <c r="V3524">
        <v>1</v>
      </c>
      <c r="W3524">
        <v>1</v>
      </c>
      <c r="X3524">
        <v>2</v>
      </c>
      <c r="Y3524">
        <v>0</v>
      </c>
      <c r="Z3524">
        <v>2</v>
      </c>
      <c r="AA3524">
        <v>0</v>
      </c>
      <c r="AB3524">
        <v>107.97</v>
      </c>
      <c r="AC3524">
        <v>95</v>
      </c>
      <c r="AD3524">
        <v>0</v>
      </c>
      <c r="AE3524">
        <v>12.97</v>
      </c>
      <c r="AF3524">
        <v>0</v>
      </c>
      <c r="AG3524">
        <v>0</v>
      </c>
      <c r="AH3524">
        <v>0</v>
      </c>
      <c r="AI3524">
        <v>19.43</v>
      </c>
      <c r="AJ3524">
        <v>107.97</v>
      </c>
      <c r="AK3524">
        <v>0</v>
      </c>
      <c r="AL3524" t="s">
        <v>53</v>
      </c>
      <c r="AM3524" t="s">
        <v>53</v>
      </c>
      <c r="AN3524" t="s">
        <v>53</v>
      </c>
      <c r="AO3524" t="s">
        <v>53</v>
      </c>
      <c r="AP3524" t="s">
        <v>53</v>
      </c>
    </row>
    <row r="3525" spans="2:42" x14ac:dyDescent="0.2">
      <c r="B3525" t="s">
        <v>44</v>
      </c>
      <c r="C3525" t="str">
        <f>HYPERLINK("https://us2.cloudbeds.com/connect/8493803454333002#/reservations/43091739181258?display=UY3FQTXTU&amp;reservation_id=43091739181258", "UY3FQTXTU")</f>
        <v>UY3FQTXTU</v>
      </c>
      <c r="D3525" t="s">
        <v>45</v>
      </c>
      <c r="E3525" t="s">
        <v>128</v>
      </c>
      <c r="F3525" t="s">
        <v>86</v>
      </c>
      <c r="G3525" t="s">
        <v>48</v>
      </c>
      <c r="H3525" t="s">
        <v>49</v>
      </c>
      <c r="I3525" t="s">
        <v>50</v>
      </c>
      <c r="J3525" t="s">
        <v>5371</v>
      </c>
      <c r="K3525" t="s">
        <v>5258</v>
      </c>
      <c r="L3525" t="s">
        <v>53</v>
      </c>
      <c r="N3525" t="s">
        <v>5863</v>
      </c>
      <c r="P3525" t="s">
        <v>55</v>
      </c>
      <c r="R3525" t="s">
        <v>53</v>
      </c>
      <c r="T3525" t="s">
        <v>5864</v>
      </c>
      <c r="U3525" t="s">
        <v>58</v>
      </c>
      <c r="V3525">
        <v>1</v>
      </c>
      <c r="W3525">
        <v>1</v>
      </c>
      <c r="X3525">
        <v>1</v>
      </c>
      <c r="Y3525">
        <v>0</v>
      </c>
      <c r="Z3525">
        <v>1</v>
      </c>
      <c r="AA3525">
        <v>0</v>
      </c>
      <c r="AB3525">
        <v>77.17</v>
      </c>
      <c r="AC3525">
        <v>67.900000000000006</v>
      </c>
      <c r="AD3525">
        <v>0</v>
      </c>
      <c r="AE3525">
        <v>9.27</v>
      </c>
      <c r="AF3525">
        <v>0</v>
      </c>
      <c r="AG3525">
        <v>0</v>
      </c>
      <c r="AH3525">
        <v>0</v>
      </c>
      <c r="AI3525">
        <v>13.89</v>
      </c>
      <c r="AJ3525">
        <v>77.17</v>
      </c>
      <c r="AK3525">
        <v>0</v>
      </c>
      <c r="AL3525" t="s">
        <v>53</v>
      </c>
      <c r="AM3525" t="s">
        <v>53</v>
      </c>
      <c r="AN3525" t="s">
        <v>53</v>
      </c>
      <c r="AO3525" t="s">
        <v>53</v>
      </c>
      <c r="AP3525" t="s">
        <v>53</v>
      </c>
    </row>
    <row r="3526" spans="2:42" x14ac:dyDescent="0.2">
      <c r="B3526" t="s">
        <v>44</v>
      </c>
      <c r="C3526" t="str">
        <f>HYPERLINK("https://us2.cloudbeds.com/connect/8493803454333002#/reservations/43093419188436?display=UY4PZH87B&amp;reservation_id=43093419188436", "UY4PZH87B")</f>
        <v>UY4PZH87B</v>
      </c>
      <c r="D3526" t="s">
        <v>45</v>
      </c>
      <c r="E3526" t="s">
        <v>78</v>
      </c>
      <c r="F3526" t="s">
        <v>61</v>
      </c>
      <c r="G3526" t="s">
        <v>48</v>
      </c>
      <c r="H3526" t="s">
        <v>49</v>
      </c>
      <c r="I3526" t="s">
        <v>50</v>
      </c>
      <c r="J3526" t="s">
        <v>5584</v>
      </c>
      <c r="K3526" t="s">
        <v>5825</v>
      </c>
      <c r="L3526" t="s">
        <v>53</v>
      </c>
      <c r="N3526" t="s">
        <v>5865</v>
      </c>
      <c r="P3526" t="s">
        <v>55</v>
      </c>
      <c r="R3526" t="s">
        <v>53</v>
      </c>
      <c r="T3526" t="s">
        <v>5866</v>
      </c>
      <c r="U3526" t="s">
        <v>58</v>
      </c>
      <c r="V3526">
        <v>2</v>
      </c>
      <c r="W3526">
        <v>1</v>
      </c>
      <c r="X3526">
        <v>2</v>
      </c>
      <c r="Y3526">
        <v>0</v>
      </c>
      <c r="Z3526">
        <v>2</v>
      </c>
      <c r="AA3526">
        <v>0</v>
      </c>
      <c r="AB3526">
        <v>179</v>
      </c>
      <c r="AC3526">
        <v>157.5</v>
      </c>
      <c r="AD3526">
        <v>0</v>
      </c>
      <c r="AE3526">
        <v>21.5</v>
      </c>
      <c r="AF3526">
        <v>0</v>
      </c>
      <c r="AG3526">
        <v>0</v>
      </c>
      <c r="AH3526">
        <v>0</v>
      </c>
      <c r="AI3526">
        <v>32.22</v>
      </c>
      <c r="AJ3526">
        <v>179</v>
      </c>
      <c r="AK3526">
        <v>0</v>
      </c>
      <c r="AL3526" t="s">
        <v>53</v>
      </c>
      <c r="AM3526" t="s">
        <v>53</v>
      </c>
      <c r="AN3526" t="s">
        <v>53</v>
      </c>
      <c r="AO3526" t="s">
        <v>53</v>
      </c>
      <c r="AP3526" t="s">
        <v>53</v>
      </c>
    </row>
    <row r="3527" spans="2:42" x14ac:dyDescent="0.2">
      <c r="B3527" t="s">
        <v>44</v>
      </c>
      <c r="C3527" t="str">
        <f>HYPERLINK("https://us2.cloudbeds.com/connect/8493803454333002#/reservations/43094406074531?display=UY5HVMQNJ&amp;reservation_id=43094406074531", "UY5HVMQNJ")</f>
        <v>UY5HVMQNJ</v>
      </c>
      <c r="D3527" t="s">
        <v>45</v>
      </c>
      <c r="E3527" t="s">
        <v>179</v>
      </c>
      <c r="F3527" t="s">
        <v>47</v>
      </c>
      <c r="G3527" t="s">
        <v>48</v>
      </c>
      <c r="H3527" t="s">
        <v>49</v>
      </c>
      <c r="I3527" t="s">
        <v>62</v>
      </c>
      <c r="J3527" t="s">
        <v>5371</v>
      </c>
      <c r="K3527" t="s">
        <v>5258</v>
      </c>
      <c r="L3527" t="s">
        <v>53</v>
      </c>
      <c r="N3527" t="s">
        <v>5867</v>
      </c>
      <c r="P3527" t="s">
        <v>55</v>
      </c>
      <c r="R3527" t="s">
        <v>56</v>
      </c>
      <c r="T3527" t="s">
        <v>5868</v>
      </c>
      <c r="U3527" t="s">
        <v>55</v>
      </c>
      <c r="V3527">
        <v>1</v>
      </c>
      <c r="W3527">
        <v>1</v>
      </c>
      <c r="X3527">
        <v>2</v>
      </c>
      <c r="Y3527">
        <v>0</v>
      </c>
      <c r="Z3527">
        <v>2</v>
      </c>
      <c r="AA3527">
        <v>0</v>
      </c>
      <c r="AB3527">
        <v>107.97</v>
      </c>
      <c r="AC3527">
        <v>95</v>
      </c>
      <c r="AD3527">
        <v>0</v>
      </c>
      <c r="AE3527">
        <v>12.97</v>
      </c>
      <c r="AF3527">
        <v>0</v>
      </c>
      <c r="AG3527">
        <v>0</v>
      </c>
      <c r="AH3527">
        <v>0</v>
      </c>
      <c r="AI3527">
        <v>19.43</v>
      </c>
      <c r="AJ3527">
        <v>107.97</v>
      </c>
      <c r="AK3527">
        <v>0</v>
      </c>
      <c r="AL3527" t="s">
        <v>53</v>
      </c>
      <c r="AM3527" t="s">
        <v>53</v>
      </c>
      <c r="AN3527" t="s">
        <v>53</v>
      </c>
      <c r="AO3527" t="s">
        <v>53</v>
      </c>
      <c r="AP3527" t="s">
        <v>53</v>
      </c>
    </row>
    <row r="3528" spans="2:42" x14ac:dyDescent="0.2">
      <c r="B3528" t="s">
        <v>44</v>
      </c>
      <c r="C3528" t="str">
        <f>HYPERLINK("https://us2.cloudbeds.com/connect/8493803454333002#/reservations/43094596645074?display=UY5MRCNKH&amp;reservation_id=43094596645074", "UY5MRCNKH")</f>
        <v>UY5MRCNKH</v>
      </c>
      <c r="D3528" t="s">
        <v>45</v>
      </c>
      <c r="E3528" t="s">
        <v>69</v>
      </c>
      <c r="F3528" t="s">
        <v>70</v>
      </c>
      <c r="G3528" t="s">
        <v>3974</v>
      </c>
      <c r="H3528" t="s">
        <v>3957</v>
      </c>
      <c r="I3528" t="s">
        <v>3975</v>
      </c>
      <c r="J3528" t="s">
        <v>2975</v>
      </c>
      <c r="K3528" t="s">
        <v>5497</v>
      </c>
      <c r="L3528" t="s">
        <v>53</v>
      </c>
      <c r="P3528" t="s">
        <v>55</v>
      </c>
      <c r="R3528" t="s">
        <v>56</v>
      </c>
      <c r="T3528" t="s">
        <v>5869</v>
      </c>
      <c r="U3528" t="s">
        <v>58</v>
      </c>
      <c r="V3528">
        <v>4</v>
      </c>
      <c r="W3528">
        <v>1</v>
      </c>
      <c r="X3528">
        <v>1</v>
      </c>
      <c r="Y3528">
        <v>0</v>
      </c>
      <c r="Z3528">
        <v>1</v>
      </c>
      <c r="AA3528">
        <v>0</v>
      </c>
      <c r="AB3528">
        <v>289.44</v>
      </c>
      <c r="AC3528">
        <v>254.7</v>
      </c>
      <c r="AD3528">
        <v>0</v>
      </c>
      <c r="AE3528">
        <v>34.74</v>
      </c>
      <c r="AF3528">
        <v>0</v>
      </c>
      <c r="AG3528">
        <v>0</v>
      </c>
      <c r="AH3528">
        <v>0</v>
      </c>
      <c r="AI3528">
        <v>0</v>
      </c>
      <c r="AJ3528">
        <v>289.44</v>
      </c>
      <c r="AK3528">
        <v>0</v>
      </c>
      <c r="AL3528" t="s">
        <v>53</v>
      </c>
      <c r="AM3528" t="s">
        <v>53</v>
      </c>
      <c r="AN3528" t="s">
        <v>53</v>
      </c>
      <c r="AO3528" t="s">
        <v>53</v>
      </c>
      <c r="AP3528" t="s">
        <v>53</v>
      </c>
    </row>
    <row r="3529" spans="2:42" x14ac:dyDescent="0.2">
      <c r="B3529" t="s">
        <v>44</v>
      </c>
      <c r="C3529" t="str">
        <f>HYPERLINK("https://us2.cloudbeds.com/connect/8493803454333002#/reservations/43113322217693?display=UYK6A9CF1&amp;reservation_id=43113322217693", "UYK6A9CF1")</f>
        <v>UYK6A9CF1</v>
      </c>
      <c r="D3529" t="s">
        <v>45</v>
      </c>
      <c r="E3529" t="s">
        <v>165</v>
      </c>
      <c r="F3529" t="s">
        <v>61</v>
      </c>
      <c r="G3529" t="s">
        <v>48</v>
      </c>
      <c r="H3529" t="s">
        <v>49</v>
      </c>
      <c r="I3529" t="s">
        <v>50</v>
      </c>
      <c r="J3529" t="s">
        <v>5667</v>
      </c>
      <c r="K3529" t="s">
        <v>5678</v>
      </c>
      <c r="L3529" t="s">
        <v>53</v>
      </c>
      <c r="N3529" t="s">
        <v>5870</v>
      </c>
      <c r="P3529" t="s">
        <v>55</v>
      </c>
      <c r="R3529" t="s">
        <v>53</v>
      </c>
      <c r="T3529" t="s">
        <v>5871</v>
      </c>
      <c r="U3529" t="s">
        <v>58</v>
      </c>
      <c r="V3529">
        <v>7</v>
      </c>
      <c r="W3529">
        <v>1</v>
      </c>
      <c r="X3529">
        <v>2</v>
      </c>
      <c r="Y3529">
        <v>0</v>
      </c>
      <c r="Z3529">
        <v>2</v>
      </c>
      <c r="AA3529">
        <v>0</v>
      </c>
      <c r="AB3529">
        <v>406.49</v>
      </c>
      <c r="AC3529">
        <v>357.7</v>
      </c>
      <c r="AD3529">
        <v>0</v>
      </c>
      <c r="AE3529">
        <v>48.79</v>
      </c>
      <c r="AF3529">
        <v>0</v>
      </c>
      <c r="AG3529">
        <v>0</v>
      </c>
      <c r="AH3529">
        <v>0</v>
      </c>
      <c r="AI3529">
        <v>73.17</v>
      </c>
      <c r="AJ3529">
        <v>406.49</v>
      </c>
      <c r="AK3529">
        <v>0</v>
      </c>
      <c r="AL3529" t="s">
        <v>53</v>
      </c>
      <c r="AM3529" t="s">
        <v>53</v>
      </c>
      <c r="AN3529" t="s">
        <v>53</v>
      </c>
      <c r="AO3529" t="s">
        <v>53</v>
      </c>
      <c r="AP3529" t="s">
        <v>53</v>
      </c>
    </row>
    <row r="3530" spans="2:42" x14ac:dyDescent="0.2">
      <c r="B3530" t="s">
        <v>44</v>
      </c>
      <c r="C3530" t="str">
        <f>HYPERLINK("https://us2.cloudbeds.com/connect/8493803454333002#/reservations/43122126581897?display=UYR09BQ2A&amp;reservation_id=43122126581897", "UYR09BQ2A")</f>
        <v>UYR09BQ2A</v>
      </c>
      <c r="D3530" t="s">
        <v>45</v>
      </c>
      <c r="E3530" t="s">
        <v>46</v>
      </c>
      <c r="F3530" t="s">
        <v>47</v>
      </c>
      <c r="G3530" t="s">
        <v>48</v>
      </c>
      <c r="H3530" t="s">
        <v>49</v>
      </c>
      <c r="I3530" t="s">
        <v>62</v>
      </c>
      <c r="J3530" t="s">
        <v>5371</v>
      </c>
      <c r="K3530" t="s">
        <v>5258</v>
      </c>
      <c r="L3530" t="s">
        <v>53</v>
      </c>
      <c r="N3530" t="s">
        <v>5872</v>
      </c>
      <c r="P3530" t="s">
        <v>55</v>
      </c>
      <c r="R3530" t="s">
        <v>56</v>
      </c>
      <c r="T3530" t="s">
        <v>5873</v>
      </c>
      <c r="U3530" t="s">
        <v>55</v>
      </c>
      <c r="V3530">
        <v>1</v>
      </c>
      <c r="W3530">
        <v>1</v>
      </c>
      <c r="X3530">
        <v>1</v>
      </c>
      <c r="Y3530">
        <v>0</v>
      </c>
      <c r="Z3530">
        <v>1</v>
      </c>
      <c r="AA3530">
        <v>0</v>
      </c>
      <c r="AB3530">
        <v>107.97</v>
      </c>
      <c r="AC3530">
        <v>95</v>
      </c>
      <c r="AD3530">
        <v>0</v>
      </c>
      <c r="AE3530">
        <v>12.97</v>
      </c>
      <c r="AF3530">
        <v>0</v>
      </c>
      <c r="AG3530">
        <v>0</v>
      </c>
      <c r="AH3530">
        <v>0</v>
      </c>
      <c r="AI3530">
        <v>19.43</v>
      </c>
      <c r="AJ3530">
        <v>107.97</v>
      </c>
      <c r="AK3530">
        <v>0</v>
      </c>
      <c r="AL3530" t="s">
        <v>53</v>
      </c>
      <c r="AM3530" t="s">
        <v>53</v>
      </c>
      <c r="AN3530" t="s">
        <v>53</v>
      </c>
      <c r="AO3530" t="s">
        <v>53</v>
      </c>
      <c r="AP3530" t="s">
        <v>53</v>
      </c>
    </row>
    <row r="3531" spans="2:42" x14ac:dyDescent="0.2">
      <c r="B3531" t="s">
        <v>44</v>
      </c>
      <c r="C3531" t="str">
        <f>HYPERLINK("https://us2.cloudbeds.com/connect/8493803454333002#/reservations/43142090928339?display=UM9FDR58H&amp;reservation_id=43142090928339", "UM9FDR58H")</f>
        <v>UM9FDR58H</v>
      </c>
      <c r="D3531" t="s">
        <v>45</v>
      </c>
      <c r="E3531" t="s">
        <v>373</v>
      </c>
      <c r="F3531" t="s">
        <v>47</v>
      </c>
      <c r="G3531" t="s">
        <v>48</v>
      </c>
      <c r="H3531" t="s">
        <v>49</v>
      </c>
      <c r="I3531" t="s">
        <v>62</v>
      </c>
      <c r="J3531" t="s">
        <v>5371</v>
      </c>
      <c r="K3531" t="s">
        <v>5258</v>
      </c>
      <c r="L3531" t="s">
        <v>53</v>
      </c>
      <c r="N3531" t="s">
        <v>5874</v>
      </c>
      <c r="P3531" t="s">
        <v>55</v>
      </c>
      <c r="R3531" t="s">
        <v>56</v>
      </c>
      <c r="T3531" t="s">
        <v>5875</v>
      </c>
      <c r="U3531" t="s">
        <v>55</v>
      </c>
      <c r="V3531">
        <v>1</v>
      </c>
      <c r="W3531">
        <v>1</v>
      </c>
      <c r="X3531">
        <v>2</v>
      </c>
      <c r="Y3531">
        <v>0</v>
      </c>
      <c r="Z3531">
        <v>2</v>
      </c>
      <c r="AA3531">
        <v>0</v>
      </c>
      <c r="AB3531">
        <v>107.97</v>
      </c>
      <c r="AC3531">
        <v>95</v>
      </c>
      <c r="AD3531">
        <v>0</v>
      </c>
      <c r="AE3531">
        <v>12.98</v>
      </c>
      <c r="AF3531">
        <v>0</v>
      </c>
      <c r="AG3531">
        <v>0</v>
      </c>
      <c r="AH3531">
        <v>0</v>
      </c>
      <c r="AI3531">
        <v>19.440000000000001</v>
      </c>
      <c r="AJ3531">
        <v>107.98</v>
      </c>
      <c r="AK3531">
        <v>0.01</v>
      </c>
      <c r="AL3531" t="s">
        <v>53</v>
      </c>
      <c r="AM3531" t="s">
        <v>53</v>
      </c>
      <c r="AN3531" t="s">
        <v>53</v>
      </c>
      <c r="AO3531" t="s">
        <v>53</v>
      </c>
      <c r="AP3531" t="s">
        <v>53</v>
      </c>
    </row>
    <row r="3532" spans="2:42" x14ac:dyDescent="0.2">
      <c r="B3532" t="s">
        <v>44</v>
      </c>
      <c r="C3532" t="str">
        <f>HYPERLINK("https://us2.cloudbeds.com/connect/8493803454333002#/reservations/43160948056279?display=UMZ28YHSU&amp;reservation_id=43160948056279", "UMZ28YHSU")</f>
        <v>UMZ28YHSU</v>
      </c>
      <c r="D3532" t="s">
        <v>45</v>
      </c>
      <c r="E3532" t="s">
        <v>113</v>
      </c>
      <c r="F3532" t="s">
        <v>61</v>
      </c>
      <c r="G3532" t="s">
        <v>48</v>
      </c>
      <c r="H3532" t="s">
        <v>49</v>
      </c>
      <c r="I3532" t="s">
        <v>50</v>
      </c>
      <c r="J3532" t="s">
        <v>5667</v>
      </c>
      <c r="K3532" t="s">
        <v>5677</v>
      </c>
      <c r="L3532" t="s">
        <v>53</v>
      </c>
      <c r="N3532" t="s">
        <v>5876</v>
      </c>
      <c r="P3532" t="s">
        <v>55</v>
      </c>
      <c r="R3532" t="s">
        <v>53</v>
      </c>
      <c r="T3532" t="s">
        <v>5877</v>
      </c>
      <c r="U3532" t="s">
        <v>58</v>
      </c>
      <c r="V3532">
        <v>4</v>
      </c>
      <c r="W3532">
        <v>1</v>
      </c>
      <c r="X3532">
        <v>2</v>
      </c>
      <c r="Y3532">
        <v>0</v>
      </c>
      <c r="Z3532">
        <v>2</v>
      </c>
      <c r="AA3532">
        <v>0</v>
      </c>
      <c r="AB3532">
        <v>232.28</v>
      </c>
      <c r="AC3532">
        <v>204.4</v>
      </c>
      <c r="AD3532">
        <v>0</v>
      </c>
      <c r="AE3532">
        <v>27.88</v>
      </c>
      <c r="AF3532">
        <v>0</v>
      </c>
      <c r="AG3532">
        <v>0</v>
      </c>
      <c r="AH3532">
        <v>0</v>
      </c>
      <c r="AI3532">
        <v>41.81</v>
      </c>
      <c r="AJ3532">
        <v>232.28</v>
      </c>
      <c r="AK3532">
        <v>0</v>
      </c>
      <c r="AL3532" t="s">
        <v>53</v>
      </c>
      <c r="AM3532" t="s">
        <v>53</v>
      </c>
      <c r="AN3532" t="s">
        <v>53</v>
      </c>
      <c r="AO3532" t="s">
        <v>53</v>
      </c>
      <c r="AP3532" t="s">
        <v>53</v>
      </c>
    </row>
    <row r="3533" spans="2:42" x14ac:dyDescent="0.2">
      <c r="B3533" t="s">
        <v>44</v>
      </c>
      <c r="C3533" t="str">
        <f>HYPERLINK("https://us2.cloudbeds.com/connect/8493803454333002#/reservations/43178058977523?display=UN4AG14TT&amp;reservation_id=43178058977523", "UN4AG14TT")</f>
        <v>UN4AG14TT</v>
      </c>
      <c r="D3533" t="s">
        <v>45</v>
      </c>
      <c r="E3533" t="s">
        <v>138</v>
      </c>
      <c r="F3533" t="s">
        <v>70</v>
      </c>
      <c r="G3533" t="s">
        <v>48</v>
      </c>
      <c r="H3533" t="s">
        <v>49</v>
      </c>
      <c r="I3533" t="s">
        <v>50</v>
      </c>
      <c r="J3533" t="s">
        <v>2664</v>
      </c>
      <c r="K3533" t="s">
        <v>2284</v>
      </c>
      <c r="L3533" t="s">
        <v>53</v>
      </c>
      <c r="N3533" t="s">
        <v>5878</v>
      </c>
      <c r="P3533" t="s">
        <v>55</v>
      </c>
      <c r="R3533" t="s">
        <v>53</v>
      </c>
      <c r="T3533" t="s">
        <v>5879</v>
      </c>
      <c r="U3533" t="s">
        <v>58</v>
      </c>
      <c r="V3533">
        <v>2</v>
      </c>
      <c r="W3533">
        <v>1</v>
      </c>
      <c r="X3533">
        <v>1</v>
      </c>
      <c r="Y3533">
        <v>0</v>
      </c>
      <c r="Z3533">
        <v>1</v>
      </c>
      <c r="AA3533">
        <v>0</v>
      </c>
      <c r="AB3533">
        <v>184.54</v>
      </c>
      <c r="AC3533">
        <v>162.4</v>
      </c>
      <c r="AD3533">
        <v>0</v>
      </c>
      <c r="AE3533">
        <v>22.14</v>
      </c>
      <c r="AF3533">
        <v>0</v>
      </c>
      <c r="AG3533">
        <v>0</v>
      </c>
      <c r="AH3533">
        <v>0</v>
      </c>
      <c r="AI3533">
        <v>33.22</v>
      </c>
      <c r="AJ3533">
        <v>184.54</v>
      </c>
      <c r="AK3533">
        <v>0</v>
      </c>
      <c r="AL3533" t="s">
        <v>53</v>
      </c>
      <c r="AM3533" t="s">
        <v>53</v>
      </c>
      <c r="AN3533" t="s">
        <v>53</v>
      </c>
      <c r="AO3533" t="s">
        <v>53</v>
      </c>
      <c r="AP3533" t="s">
        <v>53</v>
      </c>
    </row>
    <row r="3534" spans="2:42" x14ac:dyDescent="0.2">
      <c r="B3534" t="s">
        <v>44</v>
      </c>
      <c r="C3534" t="str">
        <f>HYPERLINK("https://us2.cloudbeds.com/connect/8493803454333002#/reservations/43187513471147?display=UNBY2AC7M&amp;reservation_id=43187513471147", "UNBY2AC7M")</f>
        <v>UNBY2AC7M</v>
      </c>
      <c r="D3534" t="s">
        <v>45</v>
      </c>
      <c r="E3534" t="s">
        <v>381</v>
      </c>
      <c r="F3534" t="s">
        <v>47</v>
      </c>
      <c r="G3534" t="s">
        <v>48</v>
      </c>
      <c r="H3534" t="s">
        <v>49</v>
      </c>
      <c r="I3534" t="s">
        <v>50</v>
      </c>
      <c r="J3534" t="s">
        <v>5371</v>
      </c>
      <c r="K3534" t="s">
        <v>5258</v>
      </c>
      <c r="L3534" t="s">
        <v>53</v>
      </c>
      <c r="N3534" t="s">
        <v>5880</v>
      </c>
      <c r="P3534" t="s">
        <v>55</v>
      </c>
      <c r="R3534" t="s">
        <v>53</v>
      </c>
      <c r="T3534" t="s">
        <v>5881</v>
      </c>
      <c r="U3534" t="s">
        <v>58</v>
      </c>
      <c r="V3534">
        <v>1</v>
      </c>
      <c r="W3534">
        <v>1</v>
      </c>
      <c r="X3534">
        <v>2</v>
      </c>
      <c r="Y3534">
        <v>0</v>
      </c>
      <c r="Z3534">
        <v>2</v>
      </c>
      <c r="AA3534">
        <v>0</v>
      </c>
      <c r="AB3534">
        <v>86.37</v>
      </c>
      <c r="AC3534">
        <v>76</v>
      </c>
      <c r="AD3534">
        <v>0</v>
      </c>
      <c r="AE3534">
        <v>10.37</v>
      </c>
      <c r="AF3534">
        <v>0</v>
      </c>
      <c r="AG3534">
        <v>0</v>
      </c>
      <c r="AH3534">
        <v>0</v>
      </c>
      <c r="AI3534">
        <v>15.55</v>
      </c>
      <c r="AJ3534">
        <v>86.37</v>
      </c>
      <c r="AK3534">
        <v>0</v>
      </c>
      <c r="AL3534" t="s">
        <v>53</v>
      </c>
      <c r="AM3534" t="s">
        <v>53</v>
      </c>
      <c r="AN3534" t="s">
        <v>53</v>
      </c>
      <c r="AO3534" t="s">
        <v>53</v>
      </c>
      <c r="AP3534" t="s">
        <v>53</v>
      </c>
    </row>
    <row r="3535" spans="2:42" x14ac:dyDescent="0.2">
      <c r="B3535" t="s">
        <v>44</v>
      </c>
      <c r="C3535" t="str">
        <f>HYPERLINK("https://us2.cloudbeds.com/connect/8493803454333002#/reservations/43203906322654?display=UNZAV6KZY&amp;reservation_id=43203906322654", "UNZAV6KZY")</f>
        <v>UNZAV6KZY</v>
      </c>
      <c r="D3535" t="s">
        <v>45</v>
      </c>
      <c r="E3535" t="s">
        <v>190</v>
      </c>
      <c r="F3535" t="s">
        <v>61</v>
      </c>
      <c r="G3535" t="s">
        <v>48</v>
      </c>
      <c r="H3535" t="s">
        <v>49</v>
      </c>
      <c r="I3535" t="s">
        <v>50</v>
      </c>
      <c r="J3535" t="s">
        <v>5258</v>
      </c>
      <c r="K3535" t="s">
        <v>3414</v>
      </c>
      <c r="L3535" t="s">
        <v>53</v>
      </c>
      <c r="N3535" t="s">
        <v>5882</v>
      </c>
      <c r="P3535" t="s">
        <v>55</v>
      </c>
      <c r="R3535" t="s">
        <v>53</v>
      </c>
      <c r="T3535" t="s">
        <v>5883</v>
      </c>
      <c r="U3535" t="s">
        <v>58</v>
      </c>
      <c r="V3535">
        <v>1</v>
      </c>
      <c r="W3535">
        <v>1</v>
      </c>
      <c r="X3535">
        <v>2</v>
      </c>
      <c r="Y3535">
        <v>0</v>
      </c>
      <c r="Z3535">
        <v>2</v>
      </c>
      <c r="AA3535">
        <v>0</v>
      </c>
      <c r="AB3535">
        <v>74.78</v>
      </c>
      <c r="AC3535">
        <v>65.8</v>
      </c>
      <c r="AD3535">
        <v>0</v>
      </c>
      <c r="AE3535">
        <v>8.98</v>
      </c>
      <c r="AF3535">
        <v>0</v>
      </c>
      <c r="AG3535">
        <v>0</v>
      </c>
      <c r="AH3535">
        <v>0</v>
      </c>
      <c r="AI3535">
        <v>13.46</v>
      </c>
      <c r="AJ3535">
        <v>74.78</v>
      </c>
      <c r="AK3535">
        <v>0</v>
      </c>
      <c r="AL3535" t="s">
        <v>53</v>
      </c>
      <c r="AM3535" t="s">
        <v>53</v>
      </c>
      <c r="AN3535" t="s">
        <v>53</v>
      </c>
      <c r="AO3535" t="s">
        <v>53</v>
      </c>
      <c r="AP3535" t="s">
        <v>53</v>
      </c>
    </row>
    <row r="3536" spans="2:42" x14ac:dyDescent="0.2">
      <c r="B3536" t="s">
        <v>44</v>
      </c>
      <c r="C3536" t="str">
        <f>HYPERLINK("https://us2.cloudbeds.com/connect/8493803454333002#/reservations/43209938591943?display=UNT02PDYN&amp;reservation_id=43209938591943", "UNT02PDYN")</f>
        <v>UNT02PDYN</v>
      </c>
      <c r="D3536" t="s">
        <v>45</v>
      </c>
      <c r="E3536" t="s">
        <v>78</v>
      </c>
      <c r="F3536" t="s">
        <v>61</v>
      </c>
      <c r="G3536" t="s">
        <v>48</v>
      </c>
      <c r="H3536" t="s">
        <v>49</v>
      </c>
      <c r="I3536" t="s">
        <v>50</v>
      </c>
      <c r="J3536" t="s">
        <v>5475</v>
      </c>
      <c r="K3536" t="s">
        <v>5749</v>
      </c>
      <c r="L3536" t="s">
        <v>53</v>
      </c>
      <c r="N3536" t="s">
        <v>5884</v>
      </c>
      <c r="P3536" t="s">
        <v>55</v>
      </c>
      <c r="R3536" t="s">
        <v>53</v>
      </c>
      <c r="T3536" t="s">
        <v>5885</v>
      </c>
      <c r="U3536" t="s">
        <v>58</v>
      </c>
      <c r="V3536">
        <v>2</v>
      </c>
      <c r="W3536">
        <v>1</v>
      </c>
      <c r="X3536">
        <v>2</v>
      </c>
      <c r="Y3536">
        <v>0</v>
      </c>
      <c r="Z3536">
        <v>2</v>
      </c>
      <c r="AA3536">
        <v>0</v>
      </c>
      <c r="AB3536">
        <v>104.22</v>
      </c>
      <c r="AC3536">
        <v>91.7</v>
      </c>
      <c r="AD3536">
        <v>0</v>
      </c>
      <c r="AE3536">
        <v>12.52</v>
      </c>
      <c r="AF3536">
        <v>0</v>
      </c>
      <c r="AG3536">
        <v>0</v>
      </c>
      <c r="AH3536">
        <v>0</v>
      </c>
      <c r="AI3536">
        <v>18.760000000000002</v>
      </c>
      <c r="AJ3536">
        <v>104.22</v>
      </c>
      <c r="AK3536">
        <v>0</v>
      </c>
      <c r="AL3536" t="s">
        <v>53</v>
      </c>
      <c r="AM3536" t="s">
        <v>53</v>
      </c>
      <c r="AN3536" t="s">
        <v>53</v>
      </c>
      <c r="AO3536" t="s">
        <v>53</v>
      </c>
      <c r="AP3536" t="s">
        <v>53</v>
      </c>
    </row>
    <row r="3537" spans="2:42" x14ac:dyDescent="0.2">
      <c r="B3537" t="s">
        <v>44</v>
      </c>
      <c r="C3537" t="str">
        <f>HYPERLINK("https://us2.cloudbeds.com/connect/8493803454333002#/reservations/43313343922400?display=UQA2AT5E1&amp;reservation_id=43313343922400", "UQA2AT5E1")</f>
        <v>UQA2AT5E1</v>
      </c>
      <c r="D3537" t="s">
        <v>602</v>
      </c>
      <c r="E3537" t="s">
        <v>53</v>
      </c>
      <c r="F3537" t="s">
        <v>86</v>
      </c>
      <c r="G3537" t="s">
        <v>48</v>
      </c>
      <c r="H3537" t="s">
        <v>49</v>
      </c>
      <c r="I3537" t="s">
        <v>50</v>
      </c>
      <c r="J3537" t="s">
        <v>3125</v>
      </c>
      <c r="K3537" t="s">
        <v>2283</v>
      </c>
      <c r="L3537" t="s">
        <v>53</v>
      </c>
      <c r="N3537" t="s">
        <v>5886</v>
      </c>
      <c r="P3537" t="s">
        <v>55</v>
      </c>
      <c r="R3537" t="s">
        <v>53</v>
      </c>
      <c r="T3537" t="s">
        <v>5887</v>
      </c>
      <c r="U3537" t="s">
        <v>58</v>
      </c>
      <c r="V3537">
        <v>3</v>
      </c>
      <c r="W3537">
        <v>1</v>
      </c>
      <c r="X3537">
        <v>2</v>
      </c>
      <c r="Y3537">
        <v>2</v>
      </c>
      <c r="Z3537">
        <v>4</v>
      </c>
      <c r="AA3537">
        <v>0</v>
      </c>
      <c r="AB3537">
        <v>0</v>
      </c>
      <c r="AC3537">
        <v>0</v>
      </c>
      <c r="AD3537">
        <v>0</v>
      </c>
      <c r="AE3537">
        <v>0</v>
      </c>
      <c r="AF3537">
        <v>0</v>
      </c>
      <c r="AG3537">
        <v>0</v>
      </c>
      <c r="AH3537">
        <v>0</v>
      </c>
      <c r="AI3537">
        <v>33.51</v>
      </c>
      <c r="AJ3537">
        <v>0</v>
      </c>
      <c r="AK3537">
        <v>0</v>
      </c>
      <c r="AL3537">
        <v>245.7</v>
      </c>
      <c r="AM3537">
        <v>186.18</v>
      </c>
      <c r="AN3537" t="s">
        <v>5888</v>
      </c>
      <c r="AO3537" t="s">
        <v>53</v>
      </c>
      <c r="AP3537" t="s">
        <v>53</v>
      </c>
    </row>
    <row r="3538" spans="2:42" x14ac:dyDescent="0.2">
      <c r="B3538" t="s">
        <v>44</v>
      </c>
      <c r="C3538" t="str">
        <f>HYPERLINK("https://us2.cloudbeds.com/connect/8493803454333002#/reservations/43365679571138?display=URHJKMZCM&amp;reservation_id=43365679571138", "URHJKMZCM")</f>
        <v>URHJKMZCM</v>
      </c>
      <c r="D3538" t="s">
        <v>45</v>
      </c>
      <c r="E3538" t="s">
        <v>165</v>
      </c>
      <c r="F3538" t="s">
        <v>61</v>
      </c>
      <c r="G3538" t="s">
        <v>48</v>
      </c>
      <c r="H3538" t="s">
        <v>49</v>
      </c>
      <c r="I3538" t="s">
        <v>50</v>
      </c>
      <c r="J3538" t="s">
        <v>5584</v>
      </c>
      <c r="K3538" t="s">
        <v>2284</v>
      </c>
      <c r="L3538" t="s">
        <v>53</v>
      </c>
      <c r="N3538" t="s">
        <v>5889</v>
      </c>
      <c r="P3538" t="s">
        <v>55</v>
      </c>
      <c r="R3538" t="s">
        <v>53</v>
      </c>
      <c r="T3538" t="s">
        <v>5890</v>
      </c>
      <c r="U3538" t="s">
        <v>58</v>
      </c>
      <c r="V3538">
        <v>1</v>
      </c>
      <c r="W3538">
        <v>1</v>
      </c>
      <c r="X3538">
        <v>2</v>
      </c>
      <c r="Y3538">
        <v>0</v>
      </c>
      <c r="Z3538">
        <v>2</v>
      </c>
      <c r="AA3538">
        <v>0</v>
      </c>
      <c r="AB3538">
        <v>99.44</v>
      </c>
      <c r="AC3538">
        <v>87.5</v>
      </c>
      <c r="AD3538">
        <v>0</v>
      </c>
      <c r="AE3538">
        <v>11.94</v>
      </c>
      <c r="AF3538">
        <v>0</v>
      </c>
      <c r="AG3538">
        <v>0</v>
      </c>
      <c r="AH3538">
        <v>0</v>
      </c>
      <c r="AI3538">
        <v>17.899999999999999</v>
      </c>
      <c r="AJ3538">
        <v>99.44</v>
      </c>
      <c r="AK3538">
        <v>0</v>
      </c>
      <c r="AL3538" t="s">
        <v>53</v>
      </c>
      <c r="AM3538" t="s">
        <v>53</v>
      </c>
      <c r="AN3538" t="s">
        <v>53</v>
      </c>
      <c r="AO3538" t="s">
        <v>53</v>
      </c>
      <c r="AP3538" t="s">
        <v>53</v>
      </c>
    </row>
    <row r="3539" spans="2:42" x14ac:dyDescent="0.2">
      <c r="B3539" t="s">
        <v>44</v>
      </c>
      <c r="C3539" t="str">
        <f>HYPERLINK("https://us2.cloudbeds.com/connect/8493803454333002#/reservations/43436522156195?display=UT6ER137D&amp;reservation_id=43436522156195", "UT6ER137D")</f>
        <v>UT6ER137D</v>
      </c>
      <c r="D3539" t="s">
        <v>45</v>
      </c>
      <c r="E3539" t="s">
        <v>98</v>
      </c>
      <c r="F3539" t="s">
        <v>86</v>
      </c>
      <c r="G3539" t="s">
        <v>48</v>
      </c>
      <c r="H3539" t="s">
        <v>49</v>
      </c>
      <c r="I3539" t="s">
        <v>50</v>
      </c>
      <c r="J3539" t="s">
        <v>5891</v>
      </c>
      <c r="K3539" t="s">
        <v>5892</v>
      </c>
      <c r="L3539" t="s">
        <v>53</v>
      </c>
      <c r="N3539" t="s">
        <v>5893</v>
      </c>
      <c r="P3539" t="s">
        <v>55</v>
      </c>
      <c r="R3539" t="s">
        <v>53</v>
      </c>
      <c r="T3539" t="s">
        <v>5894</v>
      </c>
      <c r="U3539" t="s">
        <v>58</v>
      </c>
      <c r="V3539">
        <v>1</v>
      </c>
      <c r="W3539">
        <v>1</v>
      </c>
      <c r="X3539">
        <v>2</v>
      </c>
      <c r="Y3539">
        <v>0</v>
      </c>
      <c r="Z3539">
        <v>2</v>
      </c>
      <c r="AA3539">
        <v>0</v>
      </c>
      <c r="AB3539">
        <v>97.85</v>
      </c>
      <c r="AC3539">
        <v>86.1</v>
      </c>
      <c r="AD3539">
        <v>0</v>
      </c>
      <c r="AE3539">
        <v>11.75</v>
      </c>
      <c r="AF3539">
        <v>0</v>
      </c>
      <c r="AG3539">
        <v>0</v>
      </c>
      <c r="AH3539">
        <v>0</v>
      </c>
      <c r="AI3539">
        <v>17.61</v>
      </c>
      <c r="AJ3539">
        <v>97.85</v>
      </c>
      <c r="AK3539">
        <v>0</v>
      </c>
      <c r="AL3539" t="s">
        <v>53</v>
      </c>
      <c r="AM3539" t="s">
        <v>53</v>
      </c>
      <c r="AN3539" t="s">
        <v>53</v>
      </c>
      <c r="AO3539" t="s">
        <v>53</v>
      </c>
      <c r="AP3539" t="s">
        <v>53</v>
      </c>
    </row>
    <row r="3540" spans="2:42" x14ac:dyDescent="0.2">
      <c r="B3540" t="s">
        <v>44</v>
      </c>
      <c r="C3540" t="str">
        <f>HYPERLINK("https://us2.cloudbeds.com/connect/8493803454333002#/reservations/43534759182489?display=UVGH035G2&amp;reservation_id=43534759182489", "UVGH035G2")</f>
        <v>UVGH035G2</v>
      </c>
      <c r="D3540" t="s">
        <v>45</v>
      </c>
      <c r="E3540" t="s">
        <v>98</v>
      </c>
      <c r="F3540" t="s">
        <v>86</v>
      </c>
      <c r="G3540" t="s">
        <v>48</v>
      </c>
      <c r="H3540" t="s">
        <v>49</v>
      </c>
      <c r="I3540" t="s">
        <v>50</v>
      </c>
      <c r="J3540" t="s">
        <v>5892</v>
      </c>
      <c r="K3540" t="s">
        <v>5895</v>
      </c>
      <c r="L3540" t="s">
        <v>53</v>
      </c>
      <c r="N3540" t="s">
        <v>5896</v>
      </c>
      <c r="P3540" t="s">
        <v>55</v>
      </c>
      <c r="R3540" t="s">
        <v>53</v>
      </c>
      <c r="T3540" t="s">
        <v>5897</v>
      </c>
      <c r="U3540" t="s">
        <v>58</v>
      </c>
      <c r="V3540">
        <v>1</v>
      </c>
      <c r="W3540">
        <v>1</v>
      </c>
      <c r="X3540">
        <v>2</v>
      </c>
      <c r="Y3540">
        <v>0</v>
      </c>
      <c r="Z3540">
        <v>2</v>
      </c>
      <c r="AA3540">
        <v>0</v>
      </c>
      <c r="AB3540">
        <v>80.19</v>
      </c>
      <c r="AC3540">
        <v>70.56</v>
      </c>
      <c r="AD3540">
        <v>0</v>
      </c>
      <c r="AE3540">
        <v>9.6300000000000008</v>
      </c>
      <c r="AF3540">
        <v>0</v>
      </c>
      <c r="AG3540">
        <v>0</v>
      </c>
      <c r="AH3540">
        <v>0</v>
      </c>
      <c r="AI3540">
        <v>14.43</v>
      </c>
      <c r="AJ3540">
        <v>80.19</v>
      </c>
      <c r="AK3540">
        <v>0</v>
      </c>
      <c r="AL3540" t="s">
        <v>53</v>
      </c>
      <c r="AM3540" t="s">
        <v>53</v>
      </c>
      <c r="AN3540" t="s">
        <v>53</v>
      </c>
      <c r="AO3540" t="s">
        <v>53</v>
      </c>
      <c r="AP3540" t="s">
        <v>53</v>
      </c>
    </row>
    <row r="3541" spans="2:42" x14ac:dyDescent="0.2">
      <c r="B3541" t="s">
        <v>44</v>
      </c>
      <c r="C3541" t="str">
        <f>HYPERLINK("https://us2.cloudbeds.com/connect/8493803454333002#/reservations/43537007489202?display=UVX8EUK9H&amp;reservation_id=43537007489202", "UVX8EUK9H")</f>
        <v>UVX8EUK9H</v>
      </c>
      <c r="D3541" t="s">
        <v>45</v>
      </c>
      <c r="E3541" t="s">
        <v>121</v>
      </c>
      <c r="F3541" t="s">
        <v>86</v>
      </c>
      <c r="G3541" t="s">
        <v>48</v>
      </c>
      <c r="H3541" t="s">
        <v>49</v>
      </c>
      <c r="I3541" t="s">
        <v>50</v>
      </c>
      <c r="J3541" t="s">
        <v>5190</v>
      </c>
      <c r="K3541" t="s">
        <v>5693</v>
      </c>
      <c r="L3541" t="s">
        <v>53</v>
      </c>
      <c r="N3541" t="s">
        <v>5898</v>
      </c>
      <c r="P3541" t="s">
        <v>55</v>
      </c>
      <c r="R3541" t="s">
        <v>53</v>
      </c>
      <c r="T3541" t="s">
        <v>5899</v>
      </c>
      <c r="U3541" t="s">
        <v>58</v>
      </c>
      <c r="V3541">
        <v>3</v>
      </c>
      <c r="W3541">
        <v>1</v>
      </c>
      <c r="X3541">
        <v>2</v>
      </c>
      <c r="Y3541">
        <v>0</v>
      </c>
      <c r="Z3541">
        <v>2</v>
      </c>
      <c r="AA3541">
        <v>0</v>
      </c>
      <c r="AB3541">
        <v>238.67</v>
      </c>
      <c r="AC3541">
        <v>210</v>
      </c>
      <c r="AD3541">
        <v>0</v>
      </c>
      <c r="AE3541">
        <v>28.67</v>
      </c>
      <c r="AF3541">
        <v>0</v>
      </c>
      <c r="AG3541">
        <v>0</v>
      </c>
      <c r="AH3541">
        <v>0</v>
      </c>
      <c r="AI3541">
        <v>42.96</v>
      </c>
      <c r="AJ3541">
        <v>238.67</v>
      </c>
      <c r="AK3541">
        <v>0</v>
      </c>
      <c r="AL3541" t="s">
        <v>53</v>
      </c>
      <c r="AM3541" t="s">
        <v>53</v>
      </c>
      <c r="AN3541" t="s">
        <v>53</v>
      </c>
      <c r="AO3541" t="s">
        <v>53</v>
      </c>
      <c r="AP3541" t="s">
        <v>53</v>
      </c>
    </row>
    <row r="3542" spans="2:42" x14ac:dyDescent="0.2">
      <c r="B3542" t="s">
        <v>44</v>
      </c>
      <c r="C3542" t="str">
        <f>HYPERLINK("https://us2.cloudbeds.com/connect/8493803454333002#/reservations/43592146493643?display=UWRVCJMTW&amp;reservation_id=43592146493643", "UWRVCJMTW")</f>
        <v>UWRVCJMTW</v>
      </c>
      <c r="D3542" t="s">
        <v>45</v>
      </c>
      <c r="E3542" t="s">
        <v>110</v>
      </c>
      <c r="F3542" t="s">
        <v>47</v>
      </c>
      <c r="G3542" t="s">
        <v>48</v>
      </c>
      <c r="H3542" t="s">
        <v>49</v>
      </c>
      <c r="I3542" t="s">
        <v>62</v>
      </c>
      <c r="J3542" t="s">
        <v>5900</v>
      </c>
      <c r="K3542" t="s">
        <v>5901</v>
      </c>
      <c r="L3542" t="s">
        <v>53</v>
      </c>
      <c r="N3542" t="s">
        <v>5902</v>
      </c>
      <c r="P3542" t="s">
        <v>55</v>
      </c>
      <c r="R3542" t="s">
        <v>1445</v>
      </c>
      <c r="T3542" t="s">
        <v>5903</v>
      </c>
      <c r="U3542" t="s">
        <v>55</v>
      </c>
      <c r="V3542">
        <v>1</v>
      </c>
      <c r="W3542">
        <v>1</v>
      </c>
      <c r="X3542">
        <v>2</v>
      </c>
      <c r="Y3542">
        <v>0</v>
      </c>
      <c r="Z3542">
        <v>2</v>
      </c>
      <c r="AA3542">
        <v>0</v>
      </c>
      <c r="AB3542">
        <v>71.599999999999994</v>
      </c>
      <c r="AC3542">
        <v>63</v>
      </c>
      <c r="AD3542">
        <v>0</v>
      </c>
      <c r="AE3542">
        <v>8.61</v>
      </c>
      <c r="AF3542">
        <v>0</v>
      </c>
      <c r="AG3542">
        <v>0</v>
      </c>
      <c r="AH3542">
        <v>0</v>
      </c>
      <c r="AI3542">
        <v>12.89</v>
      </c>
      <c r="AJ3542">
        <v>71.61</v>
      </c>
      <c r="AK3542">
        <v>0.01</v>
      </c>
      <c r="AL3542" t="s">
        <v>53</v>
      </c>
      <c r="AM3542" t="s">
        <v>53</v>
      </c>
      <c r="AN3542" t="s">
        <v>53</v>
      </c>
      <c r="AO3542" t="s">
        <v>53</v>
      </c>
      <c r="AP3542" t="s">
        <v>53</v>
      </c>
    </row>
    <row r="3543" spans="2:42" x14ac:dyDescent="0.2">
      <c r="B3543" t="s">
        <v>44</v>
      </c>
      <c r="C3543" t="str">
        <f>HYPERLINK("https://us2.cloudbeds.com/connect/8493803454333002#/reservations/43825373806810?display=V5AHT1G0C&amp;reservation_id=43825373806810", "V5AHT1G0C")</f>
        <v>V5AHT1G0C</v>
      </c>
      <c r="D3543" t="s">
        <v>45</v>
      </c>
      <c r="E3543" t="s">
        <v>113</v>
      </c>
      <c r="F3543" t="s">
        <v>61</v>
      </c>
      <c r="G3543" t="s">
        <v>48</v>
      </c>
      <c r="H3543" t="s">
        <v>49</v>
      </c>
      <c r="I3543" t="s">
        <v>50</v>
      </c>
      <c r="J3543" t="s">
        <v>5904</v>
      </c>
      <c r="K3543" t="s">
        <v>5905</v>
      </c>
      <c r="L3543" t="s">
        <v>53</v>
      </c>
      <c r="N3543" t="s">
        <v>5906</v>
      </c>
      <c r="P3543" t="s">
        <v>55</v>
      </c>
      <c r="R3543" t="s">
        <v>53</v>
      </c>
      <c r="T3543" t="s">
        <v>5907</v>
      </c>
      <c r="U3543" t="s">
        <v>58</v>
      </c>
      <c r="V3543">
        <v>2</v>
      </c>
      <c r="W3543">
        <v>1</v>
      </c>
      <c r="X3543">
        <v>2</v>
      </c>
      <c r="Y3543">
        <v>0</v>
      </c>
      <c r="Z3543">
        <v>2</v>
      </c>
      <c r="AA3543">
        <v>335.71</v>
      </c>
      <c r="AB3543">
        <v>338.42</v>
      </c>
      <c r="AC3543">
        <v>295.39999999999998</v>
      </c>
      <c r="AD3543">
        <v>2.5</v>
      </c>
      <c r="AE3543">
        <v>40.520000000000003</v>
      </c>
      <c r="AF3543">
        <v>0</v>
      </c>
      <c r="AG3543">
        <v>0</v>
      </c>
      <c r="AH3543">
        <v>0</v>
      </c>
      <c r="AI3543">
        <v>60.92</v>
      </c>
      <c r="AJ3543">
        <v>338.42</v>
      </c>
      <c r="AK3543">
        <v>0</v>
      </c>
      <c r="AL3543" t="s">
        <v>53</v>
      </c>
      <c r="AM3543" t="s">
        <v>53</v>
      </c>
      <c r="AN3543" t="s">
        <v>53</v>
      </c>
      <c r="AO3543" t="s">
        <v>53</v>
      </c>
      <c r="AP3543" t="s">
        <v>53</v>
      </c>
    </row>
    <row r="3544" spans="2:42" x14ac:dyDescent="0.2">
      <c r="B3544" t="s">
        <v>44</v>
      </c>
      <c r="C3544" t="str">
        <f>HYPERLINK("https://us2.cloudbeds.com/connect/8493803454333002#/reservations/43870382379228?display=V6CCVFBT8&amp;reservation_id=43870382379228", "V6CCVFBT8")</f>
        <v>V6CCVFBT8</v>
      </c>
      <c r="D3544" t="s">
        <v>45</v>
      </c>
      <c r="E3544" t="s">
        <v>105</v>
      </c>
      <c r="F3544" t="s">
        <v>47</v>
      </c>
      <c r="G3544" t="s">
        <v>48</v>
      </c>
      <c r="H3544" t="s">
        <v>3957</v>
      </c>
      <c r="I3544" t="s">
        <v>3958</v>
      </c>
      <c r="J3544" t="s">
        <v>3414</v>
      </c>
      <c r="K3544" t="s">
        <v>5475</v>
      </c>
      <c r="L3544" t="s">
        <v>53</v>
      </c>
      <c r="P3544" t="s">
        <v>58</v>
      </c>
      <c r="R3544" t="s">
        <v>56</v>
      </c>
      <c r="T3544" t="s">
        <v>5908</v>
      </c>
      <c r="U3544" t="s">
        <v>58</v>
      </c>
      <c r="V3544">
        <v>2</v>
      </c>
      <c r="W3544">
        <v>1</v>
      </c>
      <c r="X3544">
        <v>1</v>
      </c>
      <c r="Y3544">
        <v>0</v>
      </c>
      <c r="Z3544">
        <v>1</v>
      </c>
      <c r="AA3544">
        <v>0</v>
      </c>
      <c r="AB3544">
        <v>136.38</v>
      </c>
      <c r="AC3544">
        <v>120</v>
      </c>
      <c r="AD3544">
        <v>0</v>
      </c>
      <c r="AE3544">
        <v>16.38</v>
      </c>
      <c r="AF3544">
        <v>0</v>
      </c>
      <c r="AG3544">
        <v>0</v>
      </c>
      <c r="AH3544">
        <v>0</v>
      </c>
      <c r="AI3544">
        <v>0</v>
      </c>
      <c r="AJ3544">
        <v>136.38</v>
      </c>
      <c r="AK3544">
        <v>0</v>
      </c>
      <c r="AL3544" t="s">
        <v>53</v>
      </c>
      <c r="AM3544" t="s">
        <v>53</v>
      </c>
      <c r="AN3544" t="s">
        <v>53</v>
      </c>
      <c r="AO3544" t="s">
        <v>53</v>
      </c>
      <c r="AP3544" t="s">
        <v>53</v>
      </c>
    </row>
    <row r="3545" spans="2:42" x14ac:dyDescent="0.2">
      <c r="B3545" t="s">
        <v>44</v>
      </c>
      <c r="C3545" t="str">
        <f>HYPERLINK("https://us2.cloudbeds.com/connect/8493803454333002#/reservations/43893929730263?display=V6UKY73P7&amp;reservation_id=43893929730263", "V6UKY73P7")</f>
        <v>V6UKY73P7</v>
      </c>
      <c r="D3545" t="s">
        <v>45</v>
      </c>
      <c r="E3545" t="s">
        <v>190</v>
      </c>
      <c r="F3545" t="s">
        <v>61</v>
      </c>
      <c r="G3545" t="s">
        <v>48</v>
      </c>
      <c r="H3545" t="s">
        <v>49</v>
      </c>
      <c r="I3545" t="s">
        <v>50</v>
      </c>
      <c r="J3545" t="s">
        <v>3414</v>
      </c>
      <c r="K3545" t="s">
        <v>5836</v>
      </c>
      <c r="L3545" t="s">
        <v>53</v>
      </c>
      <c r="N3545" t="s">
        <v>5909</v>
      </c>
      <c r="P3545" t="s">
        <v>55</v>
      </c>
      <c r="R3545" t="s">
        <v>53</v>
      </c>
      <c r="T3545" t="s">
        <v>5910</v>
      </c>
      <c r="U3545" t="s">
        <v>58</v>
      </c>
      <c r="V3545">
        <v>1</v>
      </c>
      <c r="W3545">
        <v>1</v>
      </c>
      <c r="X3545">
        <v>1</v>
      </c>
      <c r="Y3545">
        <v>0</v>
      </c>
      <c r="Z3545">
        <v>1</v>
      </c>
      <c r="AA3545">
        <v>0</v>
      </c>
      <c r="AB3545">
        <v>70.47</v>
      </c>
      <c r="AC3545">
        <v>62</v>
      </c>
      <c r="AD3545">
        <v>0</v>
      </c>
      <c r="AE3545">
        <v>8.4700000000000006</v>
      </c>
      <c r="AF3545">
        <v>0</v>
      </c>
      <c r="AG3545">
        <v>0</v>
      </c>
      <c r="AH3545">
        <v>0</v>
      </c>
      <c r="AI3545">
        <v>12.68</v>
      </c>
      <c r="AJ3545">
        <v>70.47</v>
      </c>
      <c r="AK3545">
        <v>0</v>
      </c>
      <c r="AL3545" t="s">
        <v>53</v>
      </c>
      <c r="AM3545" t="s">
        <v>53</v>
      </c>
      <c r="AN3545" t="s">
        <v>53</v>
      </c>
      <c r="AO3545" t="s">
        <v>53</v>
      </c>
      <c r="AP3545" t="s">
        <v>53</v>
      </c>
    </row>
    <row r="3546" spans="2:42" x14ac:dyDescent="0.2">
      <c r="B3546" t="s">
        <v>44</v>
      </c>
      <c r="C3546" t="str">
        <f>HYPERLINK("https://us2.cloudbeds.com/connect/8493803454333002#/reservations/43906353676505?display=V7783DZ5M&amp;reservation_id=43906353676505", "V7783DZ5M")</f>
        <v>V7783DZ5M</v>
      </c>
      <c r="D3546" t="s">
        <v>45</v>
      </c>
      <c r="E3546" t="s">
        <v>113</v>
      </c>
      <c r="F3546" t="s">
        <v>61</v>
      </c>
      <c r="G3546" t="s">
        <v>48</v>
      </c>
      <c r="H3546" t="s">
        <v>3957</v>
      </c>
      <c r="I3546" t="s">
        <v>3975</v>
      </c>
      <c r="J3546" t="s">
        <v>3414</v>
      </c>
      <c r="K3546" t="s">
        <v>5836</v>
      </c>
      <c r="L3546" t="s">
        <v>53</v>
      </c>
      <c r="P3546" t="s">
        <v>55</v>
      </c>
      <c r="R3546" t="s">
        <v>56</v>
      </c>
      <c r="T3546" t="s">
        <v>5911</v>
      </c>
      <c r="U3546" t="s">
        <v>58</v>
      </c>
      <c r="V3546">
        <v>1</v>
      </c>
      <c r="W3546">
        <v>1</v>
      </c>
      <c r="X3546">
        <v>1</v>
      </c>
      <c r="Y3546">
        <v>0</v>
      </c>
      <c r="Z3546">
        <v>1</v>
      </c>
      <c r="AA3546">
        <v>0</v>
      </c>
      <c r="AB3546">
        <v>70.47</v>
      </c>
      <c r="AC3546">
        <v>62</v>
      </c>
      <c r="AD3546">
        <v>0</v>
      </c>
      <c r="AE3546">
        <v>8.4700000000000006</v>
      </c>
      <c r="AF3546">
        <v>0</v>
      </c>
      <c r="AG3546">
        <v>0</v>
      </c>
      <c r="AH3546">
        <v>0</v>
      </c>
      <c r="AI3546">
        <v>0</v>
      </c>
      <c r="AJ3546">
        <v>70.47</v>
      </c>
      <c r="AK3546">
        <v>0</v>
      </c>
      <c r="AL3546" t="s">
        <v>53</v>
      </c>
      <c r="AM3546" t="s">
        <v>53</v>
      </c>
      <c r="AN3546" t="s">
        <v>53</v>
      </c>
      <c r="AO3546" t="s">
        <v>53</v>
      </c>
      <c r="AP3546" t="s">
        <v>53</v>
      </c>
    </row>
    <row r="3547" spans="2:42" x14ac:dyDescent="0.2">
      <c r="B3547" t="s">
        <v>44</v>
      </c>
      <c r="C3547" t="str">
        <f>HYPERLINK("https://us2.cloudbeds.com/connect/8493803454333002#/reservations/43933938741393?display=V7SJVSR8T&amp;reservation_id=43933938741393", "V7SJVSR8T")</f>
        <v>V7SJVSR8T</v>
      </c>
      <c r="D3547" t="s">
        <v>45</v>
      </c>
      <c r="E3547" t="s">
        <v>78</v>
      </c>
      <c r="F3547" t="s">
        <v>61</v>
      </c>
      <c r="G3547" t="s">
        <v>48</v>
      </c>
      <c r="H3547" t="s">
        <v>49</v>
      </c>
      <c r="I3547" t="s">
        <v>50</v>
      </c>
      <c r="J3547" t="s">
        <v>3414</v>
      </c>
      <c r="K3547" t="s">
        <v>5836</v>
      </c>
      <c r="L3547" t="s">
        <v>53</v>
      </c>
      <c r="N3547" t="s">
        <v>5912</v>
      </c>
      <c r="P3547" t="s">
        <v>55</v>
      </c>
      <c r="R3547" t="s">
        <v>53</v>
      </c>
      <c r="T3547" t="s">
        <v>5913</v>
      </c>
      <c r="U3547" t="s">
        <v>58</v>
      </c>
      <c r="V3547">
        <v>1</v>
      </c>
      <c r="W3547">
        <v>1</v>
      </c>
      <c r="X3547">
        <v>2</v>
      </c>
      <c r="Y3547">
        <v>0</v>
      </c>
      <c r="Z3547">
        <v>2</v>
      </c>
      <c r="AA3547">
        <v>0</v>
      </c>
      <c r="AB3547">
        <v>56.37</v>
      </c>
      <c r="AC3547">
        <v>49.6</v>
      </c>
      <c r="AD3547">
        <v>0</v>
      </c>
      <c r="AE3547">
        <v>6.77</v>
      </c>
      <c r="AF3547">
        <v>0</v>
      </c>
      <c r="AG3547">
        <v>0</v>
      </c>
      <c r="AH3547">
        <v>0</v>
      </c>
      <c r="AI3547">
        <v>10.15</v>
      </c>
      <c r="AJ3547">
        <v>56.37</v>
      </c>
      <c r="AK3547">
        <v>0</v>
      </c>
      <c r="AL3547" t="s">
        <v>53</v>
      </c>
      <c r="AM3547" t="s">
        <v>53</v>
      </c>
      <c r="AN3547" t="s">
        <v>53</v>
      </c>
      <c r="AO3547" t="s">
        <v>53</v>
      </c>
      <c r="AP3547" t="s">
        <v>53</v>
      </c>
    </row>
    <row r="3548" spans="2:42" x14ac:dyDescent="0.2">
      <c r="B3548" t="s">
        <v>44</v>
      </c>
      <c r="C3548" t="str">
        <f>HYPERLINK("https://us2.cloudbeds.com/connect/8493803454333002#/reservations/43936668881094?display=V7UNNWWJW&amp;reservation_id=43936668881094", "V7UNNWWJW")</f>
        <v>V7UNNWWJW</v>
      </c>
      <c r="D3548" t="s">
        <v>45</v>
      </c>
      <c r="E3548" t="s">
        <v>487</v>
      </c>
      <c r="F3548" t="s">
        <v>61</v>
      </c>
      <c r="G3548" t="s">
        <v>48</v>
      </c>
      <c r="H3548" t="s">
        <v>3957</v>
      </c>
      <c r="I3548" t="s">
        <v>3958</v>
      </c>
      <c r="J3548" t="s">
        <v>3414</v>
      </c>
      <c r="K3548" t="s">
        <v>5836</v>
      </c>
      <c r="L3548" t="s">
        <v>53</v>
      </c>
      <c r="P3548" t="s">
        <v>58</v>
      </c>
      <c r="R3548" t="s">
        <v>56</v>
      </c>
      <c r="T3548" t="s">
        <v>5914</v>
      </c>
      <c r="U3548" t="s">
        <v>58</v>
      </c>
      <c r="V3548">
        <v>1</v>
      </c>
      <c r="W3548">
        <v>1</v>
      </c>
      <c r="X3548">
        <v>1</v>
      </c>
      <c r="Y3548">
        <v>0</v>
      </c>
      <c r="Z3548">
        <v>1</v>
      </c>
      <c r="AA3548">
        <v>0</v>
      </c>
      <c r="AB3548">
        <v>70.47</v>
      </c>
      <c r="AC3548">
        <v>62</v>
      </c>
      <c r="AD3548">
        <v>0</v>
      </c>
      <c r="AE3548">
        <v>8.4700000000000006</v>
      </c>
      <c r="AF3548">
        <v>0</v>
      </c>
      <c r="AG3548">
        <v>0</v>
      </c>
      <c r="AH3548">
        <v>0</v>
      </c>
      <c r="AI3548">
        <v>0</v>
      </c>
      <c r="AJ3548">
        <v>70.47</v>
      </c>
      <c r="AK3548">
        <v>0</v>
      </c>
      <c r="AL3548" t="s">
        <v>53</v>
      </c>
      <c r="AM3548" t="s">
        <v>53</v>
      </c>
      <c r="AN3548" t="s">
        <v>53</v>
      </c>
      <c r="AO3548" t="s">
        <v>53</v>
      </c>
      <c r="AP3548" t="s">
        <v>53</v>
      </c>
    </row>
    <row r="3549" spans="2:42" x14ac:dyDescent="0.2">
      <c r="B3549" t="s">
        <v>44</v>
      </c>
      <c r="C3549" t="str">
        <f>HYPERLINK("https://us2.cloudbeds.com/connect/8493803454333002#/reservations/43956214038751?display=V8CS4WQPZ&amp;reservation_id=43956214038751", "V8CS4WQPZ")</f>
        <v>V8CS4WQPZ</v>
      </c>
      <c r="D3549" t="s">
        <v>45</v>
      </c>
      <c r="E3549" t="s">
        <v>113</v>
      </c>
      <c r="F3549" t="s">
        <v>61</v>
      </c>
      <c r="G3549" t="s">
        <v>48</v>
      </c>
      <c r="H3549" t="s">
        <v>49</v>
      </c>
      <c r="I3549" t="s">
        <v>50</v>
      </c>
      <c r="J3549" t="s">
        <v>5584</v>
      </c>
      <c r="K3549" t="s">
        <v>2284</v>
      </c>
      <c r="L3549" t="s">
        <v>53</v>
      </c>
      <c r="N3549" t="s">
        <v>5915</v>
      </c>
      <c r="P3549" t="s">
        <v>55</v>
      </c>
      <c r="R3549" t="s">
        <v>53</v>
      </c>
      <c r="T3549" t="s">
        <v>5916</v>
      </c>
      <c r="U3549" t="s">
        <v>58</v>
      </c>
      <c r="V3549">
        <v>1</v>
      </c>
      <c r="W3549">
        <v>1</v>
      </c>
      <c r="X3549">
        <v>2</v>
      </c>
      <c r="Y3549">
        <v>0</v>
      </c>
      <c r="Z3549">
        <v>2</v>
      </c>
      <c r="AA3549">
        <v>0</v>
      </c>
      <c r="AB3549">
        <v>99.44</v>
      </c>
      <c r="AC3549">
        <v>87.5</v>
      </c>
      <c r="AD3549">
        <v>0</v>
      </c>
      <c r="AE3549">
        <v>11.94</v>
      </c>
      <c r="AF3549">
        <v>0</v>
      </c>
      <c r="AG3549">
        <v>0</v>
      </c>
      <c r="AH3549">
        <v>0</v>
      </c>
      <c r="AI3549">
        <v>17.899999999999999</v>
      </c>
      <c r="AJ3549">
        <v>99.44</v>
      </c>
      <c r="AK3549">
        <v>0</v>
      </c>
      <c r="AL3549" t="s">
        <v>53</v>
      </c>
      <c r="AM3549" t="s">
        <v>53</v>
      </c>
      <c r="AN3549" t="s">
        <v>53</v>
      </c>
      <c r="AO3549" t="s">
        <v>53</v>
      </c>
      <c r="AP3549" t="s">
        <v>53</v>
      </c>
    </row>
    <row r="3550" spans="2:42" x14ac:dyDescent="0.2">
      <c r="B3550" t="s">
        <v>44</v>
      </c>
      <c r="C3550" t="str">
        <f>HYPERLINK("https://us2.cloudbeds.com/connect/8493803454333002#/reservations/44142164476101?display=VCZRKARPK&amp;reservation_id=44142164476101", "VCZRKARPK")</f>
        <v>VCZRKARPK</v>
      </c>
      <c r="D3550" t="s">
        <v>45</v>
      </c>
      <c r="E3550" t="s">
        <v>92</v>
      </c>
      <c r="F3550" t="s">
        <v>86</v>
      </c>
      <c r="G3550" t="s">
        <v>48</v>
      </c>
      <c r="H3550" t="s">
        <v>49</v>
      </c>
      <c r="I3550" t="s">
        <v>50</v>
      </c>
      <c r="J3550" t="s">
        <v>5190</v>
      </c>
      <c r="K3550" t="s">
        <v>2975</v>
      </c>
      <c r="L3550" t="s">
        <v>53</v>
      </c>
      <c r="N3550" t="s">
        <v>5917</v>
      </c>
      <c r="P3550" t="s">
        <v>55</v>
      </c>
      <c r="R3550" t="s">
        <v>53</v>
      </c>
      <c r="T3550" t="s">
        <v>5918</v>
      </c>
      <c r="U3550" t="s">
        <v>58</v>
      </c>
      <c r="V3550">
        <v>2</v>
      </c>
      <c r="W3550">
        <v>1</v>
      </c>
      <c r="X3550">
        <v>3</v>
      </c>
      <c r="Y3550">
        <v>0</v>
      </c>
      <c r="Z3550">
        <v>3</v>
      </c>
      <c r="AA3550">
        <v>0</v>
      </c>
      <c r="AB3550">
        <v>156.09</v>
      </c>
      <c r="AC3550">
        <v>137.34</v>
      </c>
      <c r="AD3550">
        <v>0</v>
      </c>
      <c r="AE3550">
        <v>18.75</v>
      </c>
      <c r="AF3550">
        <v>0</v>
      </c>
      <c r="AG3550">
        <v>0</v>
      </c>
      <c r="AH3550">
        <v>0</v>
      </c>
      <c r="AI3550">
        <v>28.1</v>
      </c>
      <c r="AJ3550">
        <v>156.09</v>
      </c>
      <c r="AK3550">
        <v>0</v>
      </c>
      <c r="AL3550" t="s">
        <v>53</v>
      </c>
      <c r="AM3550" t="s">
        <v>53</v>
      </c>
      <c r="AN3550" t="s">
        <v>53</v>
      </c>
      <c r="AO3550" t="s">
        <v>53</v>
      </c>
      <c r="AP3550" t="s">
        <v>53</v>
      </c>
    </row>
    <row r="3551" spans="2:42" x14ac:dyDescent="0.2">
      <c r="B3551" t="s">
        <v>44</v>
      </c>
      <c r="C3551" t="str">
        <f>HYPERLINK("https://us2.cloudbeds.com/connect/8493803454333002#/reservations/44154269712524?display=VD16UPTBP&amp;reservation_id=44154269712524", "VD16UPTBP")</f>
        <v>VD16UPTBP</v>
      </c>
      <c r="D3551" t="s">
        <v>45</v>
      </c>
      <c r="E3551" t="s">
        <v>128</v>
      </c>
      <c r="F3551" t="s">
        <v>86</v>
      </c>
      <c r="G3551" t="s">
        <v>48</v>
      </c>
      <c r="H3551" t="s">
        <v>49</v>
      </c>
      <c r="I3551" t="s">
        <v>50</v>
      </c>
      <c r="J3551" t="s">
        <v>5475</v>
      </c>
      <c r="K3551" t="s">
        <v>3767</v>
      </c>
      <c r="L3551" t="s">
        <v>53</v>
      </c>
      <c r="N3551" t="s">
        <v>5919</v>
      </c>
      <c r="P3551" t="s">
        <v>55</v>
      </c>
      <c r="R3551" t="s">
        <v>53</v>
      </c>
      <c r="T3551" t="s">
        <v>5920</v>
      </c>
      <c r="U3551" t="s">
        <v>58</v>
      </c>
      <c r="V3551">
        <v>1</v>
      </c>
      <c r="W3551">
        <v>1</v>
      </c>
      <c r="X3551">
        <v>2</v>
      </c>
      <c r="Y3551">
        <v>0</v>
      </c>
      <c r="Z3551">
        <v>2</v>
      </c>
      <c r="AA3551">
        <v>0</v>
      </c>
      <c r="AB3551">
        <v>51.71</v>
      </c>
      <c r="AC3551">
        <v>45.5</v>
      </c>
      <c r="AD3551">
        <v>0</v>
      </c>
      <c r="AE3551">
        <v>6.21</v>
      </c>
      <c r="AF3551">
        <v>0</v>
      </c>
      <c r="AG3551">
        <v>0</v>
      </c>
      <c r="AH3551">
        <v>0</v>
      </c>
      <c r="AI3551">
        <v>9.31</v>
      </c>
      <c r="AJ3551">
        <v>51.71</v>
      </c>
      <c r="AK3551">
        <v>0</v>
      </c>
      <c r="AL3551" t="s">
        <v>53</v>
      </c>
      <c r="AM3551" t="s">
        <v>53</v>
      </c>
      <c r="AN3551" t="s">
        <v>53</v>
      </c>
      <c r="AO3551" t="s">
        <v>53</v>
      </c>
      <c r="AP3551" t="s">
        <v>53</v>
      </c>
    </row>
    <row r="3552" spans="2:42" x14ac:dyDescent="0.2">
      <c r="B3552" t="s">
        <v>44</v>
      </c>
      <c r="C3552" t="str">
        <f>HYPERLINK("https://us2.cloudbeds.com/connect/8493803454333002#/reservations/44177951920290?display=VDJX287KB&amp;reservation_id=44177951920290", "VDJX287KB")</f>
        <v>VDJX287KB</v>
      </c>
      <c r="D3552" t="s">
        <v>45</v>
      </c>
      <c r="E3552" t="s">
        <v>406</v>
      </c>
      <c r="F3552" t="s">
        <v>61</v>
      </c>
      <c r="G3552" t="s">
        <v>48</v>
      </c>
      <c r="H3552" t="s">
        <v>49</v>
      </c>
      <c r="I3552" t="s">
        <v>50</v>
      </c>
      <c r="J3552" t="s">
        <v>5921</v>
      </c>
      <c r="K3552" t="s">
        <v>5666</v>
      </c>
      <c r="L3552" t="s">
        <v>53</v>
      </c>
      <c r="N3552" t="s">
        <v>5922</v>
      </c>
      <c r="P3552" t="s">
        <v>55</v>
      </c>
      <c r="R3552" t="s">
        <v>56</v>
      </c>
      <c r="T3552" t="s">
        <v>5923</v>
      </c>
      <c r="U3552" t="s">
        <v>58</v>
      </c>
      <c r="V3552">
        <v>2</v>
      </c>
      <c r="W3552">
        <v>1</v>
      </c>
      <c r="X3552">
        <v>1</v>
      </c>
      <c r="Y3552">
        <v>0</v>
      </c>
      <c r="Z3552">
        <v>1</v>
      </c>
      <c r="AA3552">
        <v>0</v>
      </c>
      <c r="AB3552">
        <v>116.14</v>
      </c>
      <c r="AC3552">
        <v>102.2</v>
      </c>
      <c r="AD3552">
        <v>0</v>
      </c>
      <c r="AE3552">
        <v>13.94</v>
      </c>
      <c r="AF3552">
        <v>0</v>
      </c>
      <c r="AG3552">
        <v>0</v>
      </c>
      <c r="AH3552">
        <v>0</v>
      </c>
      <c r="AI3552">
        <v>20.91</v>
      </c>
      <c r="AJ3552">
        <v>116.14</v>
      </c>
      <c r="AK3552">
        <v>0</v>
      </c>
      <c r="AL3552" t="s">
        <v>53</v>
      </c>
      <c r="AM3552" t="s">
        <v>53</v>
      </c>
      <c r="AN3552" t="s">
        <v>53</v>
      </c>
      <c r="AO3552" t="s">
        <v>53</v>
      </c>
      <c r="AP3552" t="s">
        <v>53</v>
      </c>
    </row>
    <row r="3553" spans="2:42" x14ac:dyDescent="0.2">
      <c r="B3553" t="s">
        <v>44</v>
      </c>
      <c r="C3553" t="str">
        <f>HYPERLINK("https://us2.cloudbeds.com/connect/8493803454333002#/reservations/44179549573267?display=VDKPTE97U&amp;reservation_id=44179549573267", "VDKPTE97U")</f>
        <v>VDKPTE97U</v>
      </c>
      <c r="D3553" t="s">
        <v>45</v>
      </c>
      <c r="E3553" t="s">
        <v>165</v>
      </c>
      <c r="F3553" t="s">
        <v>61</v>
      </c>
      <c r="G3553" t="s">
        <v>48</v>
      </c>
      <c r="H3553" t="s">
        <v>49</v>
      </c>
      <c r="I3553" t="s">
        <v>50</v>
      </c>
      <c r="J3553" t="s">
        <v>5475</v>
      </c>
      <c r="K3553" t="s">
        <v>3767</v>
      </c>
      <c r="L3553" t="s">
        <v>53</v>
      </c>
      <c r="N3553" t="s">
        <v>5924</v>
      </c>
      <c r="P3553" t="s">
        <v>55</v>
      </c>
      <c r="R3553" t="s">
        <v>53</v>
      </c>
      <c r="T3553" t="s">
        <v>5925</v>
      </c>
      <c r="U3553" t="s">
        <v>58</v>
      </c>
      <c r="V3553">
        <v>1</v>
      </c>
      <c r="W3553">
        <v>1</v>
      </c>
      <c r="X3553">
        <v>2</v>
      </c>
      <c r="Y3553">
        <v>0</v>
      </c>
      <c r="Z3553">
        <v>2</v>
      </c>
      <c r="AA3553">
        <v>0</v>
      </c>
      <c r="AB3553">
        <v>53.64</v>
      </c>
      <c r="AC3553">
        <v>47.2</v>
      </c>
      <c r="AD3553">
        <v>0</v>
      </c>
      <c r="AE3553">
        <v>6.44</v>
      </c>
      <c r="AF3553">
        <v>0</v>
      </c>
      <c r="AG3553">
        <v>0</v>
      </c>
      <c r="AH3553">
        <v>0</v>
      </c>
      <c r="AI3553">
        <v>9.66</v>
      </c>
      <c r="AJ3553">
        <v>53.64</v>
      </c>
      <c r="AK3553">
        <v>0</v>
      </c>
      <c r="AL3553" t="s">
        <v>53</v>
      </c>
      <c r="AM3553" t="s">
        <v>53</v>
      </c>
      <c r="AN3553" t="s">
        <v>53</v>
      </c>
      <c r="AO3553" t="s">
        <v>53</v>
      </c>
      <c r="AP3553" t="s">
        <v>53</v>
      </c>
    </row>
    <row r="3554" spans="2:42" x14ac:dyDescent="0.2">
      <c r="B3554" t="s">
        <v>44</v>
      </c>
      <c r="C3554" t="str">
        <f>HYPERLINK("https://us2.cloudbeds.com/connect/8493803454333002#/reservations/44220475515130?display=VEJFY8V2C&amp;reservation_id=44220475515130", "VEJFY8V2C")</f>
        <v>VEJFY8V2C</v>
      </c>
      <c r="D3554" t="s">
        <v>45</v>
      </c>
      <c r="E3554" t="s">
        <v>185</v>
      </c>
      <c r="F3554" t="s">
        <v>47</v>
      </c>
      <c r="G3554" t="s">
        <v>4520</v>
      </c>
      <c r="H3554" t="s">
        <v>3957</v>
      </c>
      <c r="I3554" t="s">
        <v>3958</v>
      </c>
      <c r="J3554" t="s">
        <v>5836</v>
      </c>
      <c r="K3554" t="s">
        <v>5322</v>
      </c>
      <c r="L3554" t="s">
        <v>53</v>
      </c>
      <c r="P3554" t="s">
        <v>58</v>
      </c>
      <c r="R3554" t="s">
        <v>56</v>
      </c>
      <c r="T3554" t="s">
        <v>5926</v>
      </c>
      <c r="U3554" t="s">
        <v>58</v>
      </c>
      <c r="V3554">
        <v>39</v>
      </c>
      <c r="W3554">
        <v>1</v>
      </c>
      <c r="X3554">
        <v>1</v>
      </c>
      <c r="Y3554">
        <v>0</v>
      </c>
      <c r="Z3554">
        <v>1</v>
      </c>
      <c r="AA3554">
        <v>0</v>
      </c>
      <c r="AB3554">
        <v>3563.22</v>
      </c>
      <c r="AC3554">
        <v>3135.3</v>
      </c>
      <c r="AD3554">
        <v>0</v>
      </c>
      <c r="AE3554">
        <v>427.92</v>
      </c>
      <c r="AF3554">
        <v>0</v>
      </c>
      <c r="AG3554">
        <v>0</v>
      </c>
      <c r="AH3554">
        <v>0</v>
      </c>
      <c r="AI3554">
        <v>0</v>
      </c>
      <c r="AJ3554">
        <v>3563.22</v>
      </c>
      <c r="AK3554">
        <v>0</v>
      </c>
      <c r="AL3554" t="s">
        <v>53</v>
      </c>
      <c r="AM3554" t="s">
        <v>53</v>
      </c>
      <c r="AN3554" t="s">
        <v>53</v>
      </c>
      <c r="AO3554" t="s">
        <v>53</v>
      </c>
      <c r="AP3554" t="s">
        <v>53</v>
      </c>
    </row>
    <row r="3555" spans="2:42" x14ac:dyDescent="0.2">
      <c r="B3555" t="s">
        <v>44</v>
      </c>
      <c r="C3555" t="str">
        <f>HYPERLINK("https://us2.cloudbeds.com/connect/8493803454333002#/reservations/44222777450727?display=VEY8FAMSH&amp;reservation_id=44222777450727", "VEY8FAMSH")</f>
        <v>VEY8FAMSH</v>
      </c>
      <c r="D3555" t="s">
        <v>45</v>
      </c>
      <c r="E3555" t="s">
        <v>113</v>
      </c>
      <c r="F3555" t="s">
        <v>61</v>
      </c>
      <c r="G3555" t="s">
        <v>48</v>
      </c>
      <c r="H3555" t="s">
        <v>49</v>
      </c>
      <c r="I3555" t="s">
        <v>50</v>
      </c>
      <c r="J3555" t="s">
        <v>5836</v>
      </c>
      <c r="K3555" t="s">
        <v>3767</v>
      </c>
      <c r="L3555" t="s">
        <v>53</v>
      </c>
      <c r="N3555" t="s">
        <v>5927</v>
      </c>
      <c r="P3555" t="s">
        <v>55</v>
      </c>
      <c r="R3555" t="s">
        <v>53</v>
      </c>
      <c r="T3555" t="s">
        <v>5928</v>
      </c>
      <c r="U3555" t="s">
        <v>58</v>
      </c>
      <c r="V3555">
        <v>2</v>
      </c>
      <c r="W3555">
        <v>1</v>
      </c>
      <c r="X3555">
        <v>1</v>
      </c>
      <c r="Y3555">
        <v>0</v>
      </c>
      <c r="Z3555">
        <v>1</v>
      </c>
      <c r="AA3555">
        <v>94.69</v>
      </c>
      <c r="AB3555">
        <v>94.69</v>
      </c>
      <c r="AC3555">
        <v>83.3</v>
      </c>
      <c r="AD3555">
        <v>0</v>
      </c>
      <c r="AE3555">
        <v>11.39</v>
      </c>
      <c r="AF3555">
        <v>0</v>
      </c>
      <c r="AG3555">
        <v>0</v>
      </c>
      <c r="AH3555">
        <v>0</v>
      </c>
      <c r="AI3555">
        <v>17.04</v>
      </c>
      <c r="AJ3555">
        <v>94.69</v>
      </c>
      <c r="AK3555">
        <v>0</v>
      </c>
      <c r="AL3555" t="s">
        <v>53</v>
      </c>
      <c r="AM3555" t="s">
        <v>53</v>
      </c>
      <c r="AN3555" t="s">
        <v>53</v>
      </c>
      <c r="AO3555" t="s">
        <v>53</v>
      </c>
      <c r="AP3555" t="s">
        <v>53</v>
      </c>
    </row>
    <row r="3556" spans="2:42" x14ac:dyDescent="0.2">
      <c r="B3556" t="s">
        <v>44</v>
      </c>
      <c r="C3556" t="str">
        <f>HYPERLINK("https://us2.cloudbeds.com/connect/8493803454333002#/reservations/44257757581479?display=VFFB9GD1N&amp;reservation_id=44257757581479", "VFFB9GD1N")</f>
        <v>VFFB9GD1N</v>
      </c>
      <c r="D3556" t="s">
        <v>45</v>
      </c>
      <c r="E3556" t="s">
        <v>110</v>
      </c>
      <c r="F3556" t="s">
        <v>47</v>
      </c>
      <c r="G3556" t="s">
        <v>48</v>
      </c>
      <c r="H3556" t="s">
        <v>49</v>
      </c>
      <c r="I3556" t="s">
        <v>62</v>
      </c>
      <c r="J3556" t="s">
        <v>5929</v>
      </c>
      <c r="K3556" t="s">
        <v>5672</v>
      </c>
      <c r="L3556" t="s">
        <v>53</v>
      </c>
      <c r="N3556" t="s">
        <v>5930</v>
      </c>
      <c r="P3556" t="s">
        <v>55</v>
      </c>
      <c r="R3556" t="s">
        <v>56</v>
      </c>
      <c r="T3556" t="s">
        <v>5931</v>
      </c>
      <c r="U3556" t="s">
        <v>55</v>
      </c>
      <c r="V3556">
        <v>1</v>
      </c>
      <c r="W3556">
        <v>1</v>
      </c>
      <c r="X3556">
        <v>1</v>
      </c>
      <c r="Y3556">
        <v>0</v>
      </c>
      <c r="Z3556">
        <v>1</v>
      </c>
      <c r="AA3556">
        <v>0</v>
      </c>
      <c r="AB3556">
        <v>77.28</v>
      </c>
      <c r="AC3556">
        <v>68</v>
      </c>
      <c r="AD3556">
        <v>0</v>
      </c>
      <c r="AE3556">
        <v>9.2799999999999994</v>
      </c>
      <c r="AF3556">
        <v>0</v>
      </c>
      <c r="AG3556">
        <v>0</v>
      </c>
      <c r="AH3556">
        <v>0</v>
      </c>
      <c r="AI3556">
        <v>13.91</v>
      </c>
      <c r="AJ3556">
        <v>77.28</v>
      </c>
      <c r="AK3556">
        <v>0</v>
      </c>
      <c r="AL3556" t="s">
        <v>53</v>
      </c>
      <c r="AM3556" t="s">
        <v>53</v>
      </c>
      <c r="AN3556" t="s">
        <v>53</v>
      </c>
      <c r="AO3556" t="s">
        <v>53</v>
      </c>
      <c r="AP3556" t="s">
        <v>53</v>
      </c>
    </row>
    <row r="3557" spans="2:42" x14ac:dyDescent="0.2">
      <c r="B3557" t="s">
        <v>44</v>
      </c>
      <c r="C3557" t="str">
        <f>HYPERLINK("https://us2.cloudbeds.com/connect/8493803454333002#/reservations/44311312634017?display=VGNQZHMCY&amp;reservation_id=44311312634017", "VGNQZHMCY")</f>
        <v>VGNQZHMCY</v>
      </c>
      <c r="D3557" t="s">
        <v>45</v>
      </c>
      <c r="E3557" t="s">
        <v>110</v>
      </c>
      <c r="F3557" t="s">
        <v>47</v>
      </c>
      <c r="G3557" t="s">
        <v>48</v>
      </c>
      <c r="H3557" t="s">
        <v>49</v>
      </c>
      <c r="I3557" t="s">
        <v>50</v>
      </c>
      <c r="J3557" t="s">
        <v>5700</v>
      </c>
      <c r="K3557" t="s">
        <v>4840</v>
      </c>
      <c r="L3557" t="s">
        <v>53</v>
      </c>
      <c r="N3557" t="s">
        <v>5932</v>
      </c>
      <c r="P3557" t="s">
        <v>55</v>
      </c>
      <c r="R3557" t="s">
        <v>53</v>
      </c>
      <c r="T3557" t="s">
        <v>5933</v>
      </c>
      <c r="U3557" t="s">
        <v>58</v>
      </c>
      <c r="V3557">
        <v>1</v>
      </c>
      <c r="W3557">
        <v>1</v>
      </c>
      <c r="X3557">
        <v>1</v>
      </c>
      <c r="Y3557">
        <v>0</v>
      </c>
      <c r="Z3557">
        <v>1</v>
      </c>
      <c r="AA3557">
        <v>0</v>
      </c>
      <c r="AB3557">
        <v>51.71</v>
      </c>
      <c r="AC3557">
        <v>45.5</v>
      </c>
      <c r="AD3557">
        <v>0</v>
      </c>
      <c r="AE3557">
        <v>6.21</v>
      </c>
      <c r="AF3557">
        <v>0</v>
      </c>
      <c r="AG3557">
        <v>0</v>
      </c>
      <c r="AH3557">
        <v>0</v>
      </c>
      <c r="AI3557">
        <v>9.31</v>
      </c>
      <c r="AJ3557">
        <v>51.71</v>
      </c>
      <c r="AK3557">
        <v>0</v>
      </c>
      <c r="AL3557" t="s">
        <v>53</v>
      </c>
      <c r="AM3557" t="s">
        <v>53</v>
      </c>
      <c r="AN3557" t="s">
        <v>53</v>
      </c>
      <c r="AO3557" t="s">
        <v>53</v>
      </c>
      <c r="AP3557" t="s">
        <v>53</v>
      </c>
    </row>
    <row r="3558" spans="2:42" x14ac:dyDescent="0.2">
      <c r="B3558" t="s">
        <v>44</v>
      </c>
      <c r="C3558" t="str">
        <f>HYPERLINK("https://us2.cloudbeds.com/connect/8493803454333002#/reservations/44500581167273?display=VY5BWPKDA&amp;reservation_id=44500581167273", "VY5BWPKDA")</f>
        <v>VY5BWPKDA</v>
      </c>
      <c r="D3558" t="s">
        <v>45</v>
      </c>
      <c r="E3558" t="s">
        <v>487</v>
      </c>
      <c r="F3558" t="s">
        <v>61</v>
      </c>
      <c r="G3558" t="s">
        <v>48</v>
      </c>
      <c r="H3558" t="s">
        <v>49</v>
      </c>
      <c r="I3558" t="s">
        <v>50</v>
      </c>
      <c r="J3558" t="s">
        <v>5475</v>
      </c>
      <c r="K3558" t="s">
        <v>5749</v>
      </c>
      <c r="L3558" t="s">
        <v>53</v>
      </c>
      <c r="N3558" t="s">
        <v>5934</v>
      </c>
      <c r="P3558" t="s">
        <v>55</v>
      </c>
      <c r="R3558" t="s">
        <v>53</v>
      </c>
      <c r="T3558" t="s">
        <v>5935</v>
      </c>
      <c r="U3558" t="s">
        <v>58</v>
      </c>
      <c r="V3558">
        <v>2</v>
      </c>
      <c r="W3558">
        <v>1</v>
      </c>
      <c r="X3558">
        <v>1</v>
      </c>
      <c r="Y3558">
        <v>0</v>
      </c>
      <c r="Z3558">
        <v>1</v>
      </c>
      <c r="AA3558">
        <v>0</v>
      </c>
      <c r="AB3558">
        <v>98.64</v>
      </c>
      <c r="AC3558">
        <v>86.8</v>
      </c>
      <c r="AD3558">
        <v>0</v>
      </c>
      <c r="AE3558">
        <v>11.84</v>
      </c>
      <c r="AF3558">
        <v>0</v>
      </c>
      <c r="AG3558">
        <v>0</v>
      </c>
      <c r="AH3558">
        <v>0</v>
      </c>
      <c r="AI3558">
        <v>17.760000000000002</v>
      </c>
      <c r="AJ3558">
        <v>98.64</v>
      </c>
      <c r="AK3558">
        <v>0</v>
      </c>
      <c r="AL3558" t="s">
        <v>53</v>
      </c>
      <c r="AM3558" t="s">
        <v>53</v>
      </c>
      <c r="AN3558" t="s">
        <v>53</v>
      </c>
      <c r="AO3558" t="s">
        <v>53</v>
      </c>
      <c r="AP3558" t="s">
        <v>53</v>
      </c>
    </row>
    <row r="3559" spans="2:42" x14ac:dyDescent="0.2">
      <c r="B3559" t="s">
        <v>44</v>
      </c>
      <c r="C3559" t="str">
        <f>HYPERLINK("https://us2.cloudbeds.com/connect/8493803454333002#/reservations/44515814699203?display=VYH5833A0&amp;reservation_id=44515814699203", "VYH5833A0")</f>
        <v>VYH5833A0</v>
      </c>
      <c r="D3559" t="s">
        <v>45</v>
      </c>
      <c r="E3559" t="s">
        <v>165</v>
      </c>
      <c r="F3559" t="s">
        <v>61</v>
      </c>
      <c r="G3559" t="s">
        <v>48</v>
      </c>
      <c r="H3559" t="s">
        <v>49</v>
      </c>
      <c r="I3559" t="s">
        <v>50</v>
      </c>
      <c r="J3559" t="s">
        <v>5936</v>
      </c>
      <c r="K3559" t="s">
        <v>5190</v>
      </c>
      <c r="L3559" t="s">
        <v>53</v>
      </c>
      <c r="N3559" t="s">
        <v>5937</v>
      </c>
      <c r="P3559" t="s">
        <v>55</v>
      </c>
      <c r="R3559" t="s">
        <v>53</v>
      </c>
      <c r="T3559" t="s">
        <v>5938</v>
      </c>
      <c r="U3559" t="s">
        <v>58</v>
      </c>
      <c r="V3559">
        <v>3</v>
      </c>
      <c r="W3559">
        <v>1</v>
      </c>
      <c r="X3559">
        <v>1</v>
      </c>
      <c r="Y3559">
        <v>0</v>
      </c>
      <c r="Z3559">
        <v>1</v>
      </c>
      <c r="AA3559">
        <v>0</v>
      </c>
      <c r="AB3559">
        <v>157.52000000000001</v>
      </c>
      <c r="AC3559">
        <v>138.6</v>
      </c>
      <c r="AD3559">
        <v>0</v>
      </c>
      <c r="AE3559">
        <v>18.920000000000002</v>
      </c>
      <c r="AF3559">
        <v>0</v>
      </c>
      <c r="AG3559">
        <v>0</v>
      </c>
      <c r="AH3559">
        <v>0</v>
      </c>
      <c r="AI3559">
        <v>28.35</v>
      </c>
      <c r="AJ3559">
        <v>157.52000000000001</v>
      </c>
      <c r="AK3559">
        <v>0</v>
      </c>
      <c r="AL3559" t="s">
        <v>53</v>
      </c>
      <c r="AM3559" t="s">
        <v>53</v>
      </c>
      <c r="AN3559" t="s">
        <v>53</v>
      </c>
      <c r="AO3559" t="s">
        <v>53</v>
      </c>
      <c r="AP3559" t="s">
        <v>53</v>
      </c>
    </row>
    <row r="3560" spans="2:42" x14ac:dyDescent="0.2">
      <c r="B3560" t="s">
        <v>44</v>
      </c>
      <c r="C3560" t="str">
        <f>HYPERLINK("https://us2.cloudbeds.com/connect/8493803454333002#/reservations/44523180454041?display=VYMSF32S2&amp;reservation_id=44523180454041", "VYMSF32S2")</f>
        <v>VYMSF32S2</v>
      </c>
      <c r="D3560" t="s">
        <v>45</v>
      </c>
      <c r="E3560" t="s">
        <v>121</v>
      </c>
      <c r="F3560" t="s">
        <v>86</v>
      </c>
      <c r="G3560" t="s">
        <v>48</v>
      </c>
      <c r="H3560" t="s">
        <v>49</v>
      </c>
      <c r="I3560" t="s">
        <v>50</v>
      </c>
      <c r="J3560" t="s">
        <v>5622</v>
      </c>
      <c r="K3560" t="s">
        <v>5623</v>
      </c>
      <c r="L3560" t="s">
        <v>53</v>
      </c>
      <c r="N3560" t="s">
        <v>5939</v>
      </c>
      <c r="P3560" t="s">
        <v>55</v>
      </c>
      <c r="R3560" t="s">
        <v>53</v>
      </c>
      <c r="T3560" t="s">
        <v>5940</v>
      </c>
      <c r="U3560" t="s">
        <v>58</v>
      </c>
      <c r="V3560">
        <v>1</v>
      </c>
      <c r="W3560">
        <v>1</v>
      </c>
      <c r="X3560">
        <v>2</v>
      </c>
      <c r="Y3560">
        <v>0</v>
      </c>
      <c r="Z3560">
        <v>2</v>
      </c>
      <c r="AA3560">
        <v>0</v>
      </c>
      <c r="AB3560">
        <v>181.84</v>
      </c>
      <c r="AC3560">
        <v>160</v>
      </c>
      <c r="AD3560">
        <v>0</v>
      </c>
      <c r="AE3560">
        <v>21.84</v>
      </c>
      <c r="AF3560">
        <v>0</v>
      </c>
      <c r="AG3560">
        <v>0</v>
      </c>
      <c r="AH3560">
        <v>0</v>
      </c>
      <c r="AI3560">
        <v>32.729999999999997</v>
      </c>
      <c r="AJ3560">
        <v>181.84</v>
      </c>
      <c r="AK3560">
        <v>0</v>
      </c>
      <c r="AL3560" t="s">
        <v>53</v>
      </c>
      <c r="AM3560" t="s">
        <v>53</v>
      </c>
      <c r="AN3560" t="s">
        <v>53</v>
      </c>
      <c r="AO3560" t="s">
        <v>53</v>
      </c>
      <c r="AP3560" t="s">
        <v>53</v>
      </c>
    </row>
    <row r="3561" spans="2:42" x14ac:dyDescent="0.2">
      <c r="B3561" t="s">
        <v>44</v>
      </c>
      <c r="C3561" t="str">
        <f>HYPERLINK("https://us2.cloudbeds.com/connect/8493803454333002#/reservations/44541638869203?display=VM453NN12&amp;reservation_id=44541638869203", "VM453NN12")</f>
        <v>VM453NN12</v>
      </c>
      <c r="D3561" t="s">
        <v>45</v>
      </c>
      <c r="E3561" t="s">
        <v>85</v>
      </c>
      <c r="F3561" t="s">
        <v>86</v>
      </c>
      <c r="G3561" t="s">
        <v>48</v>
      </c>
      <c r="H3561" t="s">
        <v>49</v>
      </c>
      <c r="I3561" t="s">
        <v>62</v>
      </c>
      <c r="J3561" t="s">
        <v>5475</v>
      </c>
      <c r="K3561" t="s">
        <v>3767</v>
      </c>
      <c r="L3561" t="s">
        <v>53</v>
      </c>
      <c r="N3561" t="s">
        <v>5941</v>
      </c>
      <c r="P3561" t="s">
        <v>55</v>
      </c>
      <c r="R3561" t="s">
        <v>56</v>
      </c>
      <c r="T3561" t="s">
        <v>5942</v>
      </c>
      <c r="U3561" t="s">
        <v>55</v>
      </c>
      <c r="V3561">
        <v>1</v>
      </c>
      <c r="W3561">
        <v>1</v>
      </c>
      <c r="X3561">
        <v>2</v>
      </c>
      <c r="Y3561">
        <v>0</v>
      </c>
      <c r="Z3561">
        <v>2</v>
      </c>
      <c r="AA3561">
        <v>0</v>
      </c>
      <c r="AB3561">
        <v>64</v>
      </c>
      <c r="AC3561">
        <v>64</v>
      </c>
      <c r="AD3561">
        <v>0</v>
      </c>
      <c r="AE3561">
        <v>0</v>
      </c>
      <c r="AF3561">
        <v>0</v>
      </c>
      <c r="AG3561">
        <v>0</v>
      </c>
      <c r="AH3561">
        <v>0</v>
      </c>
      <c r="AI3561">
        <v>11.52</v>
      </c>
      <c r="AJ3561">
        <v>64</v>
      </c>
      <c r="AK3561">
        <v>0</v>
      </c>
      <c r="AL3561" t="s">
        <v>53</v>
      </c>
      <c r="AM3561" t="s">
        <v>53</v>
      </c>
      <c r="AN3561" t="s">
        <v>53</v>
      </c>
      <c r="AO3561" t="s">
        <v>53</v>
      </c>
      <c r="AP3561" t="s">
        <v>53</v>
      </c>
    </row>
    <row r="3562" spans="2:42" x14ac:dyDescent="0.2">
      <c r="B3562" t="s">
        <v>44</v>
      </c>
      <c r="C3562" t="str">
        <f>HYPERLINK("https://us2.cloudbeds.com/connect/8493803454333002#/reservations/44548304359646?display=VM9AE7Q7V&amp;reservation_id=44548304359646", "VM9AE7Q7V")</f>
        <v>VM9AE7Q7V</v>
      </c>
      <c r="D3562" t="s">
        <v>45</v>
      </c>
      <c r="E3562" t="s">
        <v>85</v>
      </c>
      <c r="F3562" t="s">
        <v>86</v>
      </c>
      <c r="G3562" t="s">
        <v>48</v>
      </c>
      <c r="H3562" t="s">
        <v>49</v>
      </c>
      <c r="I3562" t="s">
        <v>50</v>
      </c>
      <c r="J3562" t="s">
        <v>5672</v>
      </c>
      <c r="K3562" t="s">
        <v>5711</v>
      </c>
      <c r="L3562" t="s">
        <v>53</v>
      </c>
      <c r="N3562" t="s">
        <v>5943</v>
      </c>
      <c r="P3562" t="s">
        <v>55</v>
      </c>
      <c r="R3562" t="s">
        <v>53</v>
      </c>
      <c r="T3562" t="s">
        <v>5944</v>
      </c>
      <c r="U3562" t="s">
        <v>58</v>
      </c>
      <c r="V3562">
        <v>3</v>
      </c>
      <c r="W3562">
        <v>1</v>
      </c>
      <c r="X3562">
        <v>2</v>
      </c>
      <c r="Y3562">
        <v>0</v>
      </c>
      <c r="Z3562">
        <v>2</v>
      </c>
      <c r="AA3562">
        <v>0</v>
      </c>
      <c r="AB3562">
        <v>183.78</v>
      </c>
      <c r="AC3562">
        <v>161.69999999999999</v>
      </c>
      <c r="AD3562">
        <v>0</v>
      </c>
      <c r="AE3562">
        <v>22.08</v>
      </c>
      <c r="AF3562">
        <v>0</v>
      </c>
      <c r="AG3562">
        <v>0</v>
      </c>
      <c r="AH3562">
        <v>0</v>
      </c>
      <c r="AI3562">
        <v>33.08</v>
      </c>
      <c r="AJ3562">
        <v>183.78</v>
      </c>
      <c r="AK3562">
        <v>0</v>
      </c>
      <c r="AL3562" t="s">
        <v>53</v>
      </c>
      <c r="AM3562" t="s">
        <v>53</v>
      </c>
      <c r="AN3562" t="s">
        <v>53</v>
      </c>
      <c r="AO3562" t="s">
        <v>53</v>
      </c>
      <c r="AP3562" t="s">
        <v>53</v>
      </c>
    </row>
    <row r="3563" spans="2:42" x14ac:dyDescent="0.2">
      <c r="B3563" t="s">
        <v>44</v>
      </c>
      <c r="C3563" t="str">
        <f>HYPERLINK("https://us2.cloudbeds.com/connect/8493803454333002#/reservations/44549260001518?display=VMA1S1UWX&amp;reservation_id=44549260001518", "VMA1S1UWX")</f>
        <v>VMA1S1UWX</v>
      </c>
      <c r="D3563" t="s">
        <v>45</v>
      </c>
      <c r="E3563" t="s">
        <v>78</v>
      </c>
      <c r="F3563" t="s">
        <v>61</v>
      </c>
      <c r="G3563" t="s">
        <v>48</v>
      </c>
      <c r="H3563" t="s">
        <v>49</v>
      </c>
      <c r="I3563" t="s">
        <v>50</v>
      </c>
      <c r="J3563" t="s">
        <v>5347</v>
      </c>
      <c r="K3563" t="s">
        <v>5229</v>
      </c>
      <c r="L3563" t="s">
        <v>53</v>
      </c>
      <c r="N3563" t="s">
        <v>5945</v>
      </c>
      <c r="P3563" t="s">
        <v>55</v>
      </c>
      <c r="R3563" t="s">
        <v>53</v>
      </c>
      <c r="T3563" t="s">
        <v>5946</v>
      </c>
      <c r="U3563" t="s">
        <v>58</v>
      </c>
      <c r="V3563">
        <v>1</v>
      </c>
      <c r="W3563">
        <v>1</v>
      </c>
      <c r="X3563">
        <v>2</v>
      </c>
      <c r="Y3563">
        <v>0</v>
      </c>
      <c r="Z3563">
        <v>2</v>
      </c>
      <c r="AA3563">
        <v>0</v>
      </c>
      <c r="AB3563">
        <v>54.1</v>
      </c>
      <c r="AC3563">
        <v>47.6</v>
      </c>
      <c r="AD3563">
        <v>0</v>
      </c>
      <c r="AE3563">
        <v>6.5</v>
      </c>
      <c r="AF3563">
        <v>0</v>
      </c>
      <c r="AG3563">
        <v>0</v>
      </c>
      <c r="AH3563">
        <v>0</v>
      </c>
      <c r="AI3563">
        <v>9.74</v>
      </c>
      <c r="AJ3563">
        <v>54.1</v>
      </c>
      <c r="AK3563">
        <v>0</v>
      </c>
      <c r="AL3563" t="s">
        <v>53</v>
      </c>
      <c r="AM3563" t="s">
        <v>53</v>
      </c>
      <c r="AN3563" t="s">
        <v>53</v>
      </c>
      <c r="AO3563" t="s">
        <v>53</v>
      </c>
      <c r="AP3563" t="s">
        <v>53</v>
      </c>
    </row>
    <row r="3564" spans="2:42" x14ac:dyDescent="0.2">
      <c r="B3564" t="s">
        <v>44</v>
      </c>
      <c r="C3564" t="str">
        <f>HYPERLINK("https://us2.cloudbeds.com/connect/8493803454333002#/reservations/44552352911528?display=VMCET2NZA&amp;reservation_id=44552352911528", "VMCET2NZA")</f>
        <v>VMCET2NZA</v>
      </c>
      <c r="D3564" t="s">
        <v>45</v>
      </c>
      <c r="E3564" t="s">
        <v>190</v>
      </c>
      <c r="F3564" t="s">
        <v>61</v>
      </c>
      <c r="G3564" t="s">
        <v>48</v>
      </c>
      <c r="H3564" t="s">
        <v>49</v>
      </c>
      <c r="I3564" t="s">
        <v>50</v>
      </c>
      <c r="J3564" t="s">
        <v>5475</v>
      </c>
      <c r="K3564" t="s">
        <v>3767</v>
      </c>
      <c r="L3564" t="s">
        <v>53</v>
      </c>
      <c r="N3564" t="s">
        <v>5947</v>
      </c>
      <c r="P3564" t="s">
        <v>55</v>
      </c>
      <c r="R3564" t="s">
        <v>53</v>
      </c>
      <c r="T3564" t="s">
        <v>5948</v>
      </c>
      <c r="U3564" t="s">
        <v>58</v>
      </c>
      <c r="V3564">
        <v>1</v>
      </c>
      <c r="W3564">
        <v>1</v>
      </c>
      <c r="X3564">
        <v>2</v>
      </c>
      <c r="Y3564">
        <v>0</v>
      </c>
      <c r="Z3564">
        <v>2</v>
      </c>
      <c r="AA3564">
        <v>0</v>
      </c>
      <c r="AB3564">
        <v>48.52</v>
      </c>
      <c r="AC3564">
        <v>42.7</v>
      </c>
      <c r="AD3564">
        <v>0</v>
      </c>
      <c r="AE3564">
        <v>5.82</v>
      </c>
      <c r="AF3564">
        <v>0</v>
      </c>
      <c r="AG3564">
        <v>0</v>
      </c>
      <c r="AH3564">
        <v>0</v>
      </c>
      <c r="AI3564">
        <v>8.73</v>
      </c>
      <c r="AJ3564">
        <v>48.52</v>
      </c>
      <c r="AK3564">
        <v>0</v>
      </c>
      <c r="AL3564" t="s">
        <v>53</v>
      </c>
      <c r="AM3564" t="s">
        <v>53</v>
      </c>
      <c r="AN3564" t="s">
        <v>53</v>
      </c>
      <c r="AO3564" t="s">
        <v>53</v>
      </c>
      <c r="AP3564" t="s">
        <v>53</v>
      </c>
    </row>
    <row r="3565" spans="2:42" x14ac:dyDescent="0.2">
      <c r="B3565" t="s">
        <v>44</v>
      </c>
      <c r="C3565" t="str">
        <f>HYPERLINK("https://us2.cloudbeds.com/connect/8493803454333002#/reservations/44576723214490?display=VMVAJPAMF&amp;reservation_id=44576723214490", "VMVAJPAMF")</f>
        <v>VMVAJPAMF</v>
      </c>
      <c r="D3565" t="s">
        <v>45</v>
      </c>
      <c r="E3565" t="s">
        <v>305</v>
      </c>
      <c r="F3565" t="s">
        <v>61</v>
      </c>
      <c r="G3565" t="s">
        <v>48</v>
      </c>
      <c r="H3565" t="s">
        <v>49</v>
      </c>
      <c r="I3565" t="s">
        <v>50</v>
      </c>
      <c r="J3565" t="s">
        <v>3767</v>
      </c>
      <c r="K3565" t="s">
        <v>5749</v>
      </c>
      <c r="L3565" t="s">
        <v>53</v>
      </c>
      <c r="N3565" t="s">
        <v>5949</v>
      </c>
      <c r="P3565" t="s">
        <v>55</v>
      </c>
      <c r="R3565" t="s">
        <v>53</v>
      </c>
      <c r="T3565" t="s">
        <v>5950</v>
      </c>
      <c r="U3565" t="s">
        <v>58</v>
      </c>
      <c r="V3565">
        <v>1</v>
      </c>
      <c r="W3565">
        <v>1</v>
      </c>
      <c r="X3565">
        <v>2</v>
      </c>
      <c r="Y3565">
        <v>0</v>
      </c>
      <c r="Z3565">
        <v>2</v>
      </c>
      <c r="AA3565">
        <v>0</v>
      </c>
      <c r="AB3565">
        <v>57.28</v>
      </c>
      <c r="AC3565">
        <v>50.4</v>
      </c>
      <c r="AD3565">
        <v>0</v>
      </c>
      <c r="AE3565">
        <v>6.88</v>
      </c>
      <c r="AF3565">
        <v>0</v>
      </c>
      <c r="AG3565">
        <v>0</v>
      </c>
      <c r="AH3565">
        <v>0</v>
      </c>
      <c r="AI3565">
        <v>10.31</v>
      </c>
      <c r="AJ3565">
        <v>57.28</v>
      </c>
      <c r="AK3565">
        <v>0</v>
      </c>
      <c r="AL3565" t="s">
        <v>53</v>
      </c>
      <c r="AM3565" t="s">
        <v>53</v>
      </c>
      <c r="AN3565" t="s">
        <v>53</v>
      </c>
      <c r="AO3565" t="s">
        <v>53</v>
      </c>
      <c r="AP3565" t="s">
        <v>53</v>
      </c>
    </row>
    <row r="3566" spans="2:42" x14ac:dyDescent="0.2">
      <c r="B3566" t="s">
        <v>44</v>
      </c>
      <c r="C3566" t="str">
        <f>HYPERLINK("https://us2.cloudbeds.com/connect/8493803454333002#/reservations/44654972625105?display=VZPU1ZH7H&amp;reservation_id=44654972625105", "VZPU1ZH7H")</f>
        <v>VZPU1ZH7H</v>
      </c>
      <c r="D3566" t="s">
        <v>45</v>
      </c>
      <c r="E3566" t="s">
        <v>213</v>
      </c>
      <c r="F3566" t="s">
        <v>86</v>
      </c>
      <c r="G3566" t="s">
        <v>48</v>
      </c>
      <c r="H3566" t="s">
        <v>49</v>
      </c>
      <c r="I3566" t="s">
        <v>62</v>
      </c>
      <c r="J3566" t="s">
        <v>5475</v>
      </c>
      <c r="K3566" t="s">
        <v>3767</v>
      </c>
      <c r="L3566" t="s">
        <v>53</v>
      </c>
      <c r="N3566" t="s">
        <v>5951</v>
      </c>
      <c r="P3566" t="s">
        <v>55</v>
      </c>
      <c r="R3566" t="s">
        <v>56</v>
      </c>
      <c r="T3566" t="s">
        <v>5952</v>
      </c>
      <c r="U3566" t="s">
        <v>55</v>
      </c>
      <c r="V3566">
        <v>1</v>
      </c>
      <c r="W3566">
        <v>1</v>
      </c>
      <c r="X3566">
        <v>3</v>
      </c>
      <c r="Y3566">
        <v>1</v>
      </c>
      <c r="Z3566">
        <v>4</v>
      </c>
      <c r="AA3566">
        <v>0</v>
      </c>
      <c r="AB3566">
        <v>64</v>
      </c>
      <c r="AC3566">
        <v>64</v>
      </c>
      <c r="AD3566">
        <v>0</v>
      </c>
      <c r="AE3566">
        <v>0</v>
      </c>
      <c r="AF3566">
        <v>0</v>
      </c>
      <c r="AG3566">
        <v>0</v>
      </c>
      <c r="AH3566">
        <v>0</v>
      </c>
      <c r="AI3566">
        <v>11.52</v>
      </c>
      <c r="AJ3566">
        <v>64</v>
      </c>
      <c r="AK3566">
        <v>0</v>
      </c>
      <c r="AL3566" t="s">
        <v>53</v>
      </c>
      <c r="AM3566" t="s">
        <v>53</v>
      </c>
      <c r="AN3566" t="s">
        <v>53</v>
      </c>
      <c r="AO3566" t="s">
        <v>53</v>
      </c>
      <c r="AP3566" t="s">
        <v>53</v>
      </c>
    </row>
    <row r="3567" spans="2:42" x14ac:dyDescent="0.2">
      <c r="B3567" t="s">
        <v>44</v>
      </c>
      <c r="C3567" t="str">
        <f>HYPERLINK("https://us2.cloudbeds.com/connect/8493803454333002#/reservations/44659965862089?display=VZTPY5N55&amp;reservation_id=44659965862089", "VZTPY5N55")</f>
        <v>VZTPY5N55</v>
      </c>
      <c r="D3567" t="s">
        <v>45</v>
      </c>
      <c r="E3567" t="s">
        <v>138</v>
      </c>
      <c r="F3567" t="s">
        <v>70</v>
      </c>
      <c r="G3567" t="s">
        <v>48</v>
      </c>
      <c r="H3567" t="s">
        <v>49</v>
      </c>
      <c r="I3567" t="s">
        <v>50</v>
      </c>
      <c r="J3567" t="s">
        <v>5347</v>
      </c>
      <c r="K3567" t="s">
        <v>5229</v>
      </c>
      <c r="L3567" t="s">
        <v>53</v>
      </c>
      <c r="N3567" t="s">
        <v>5953</v>
      </c>
      <c r="P3567" t="s">
        <v>55</v>
      </c>
      <c r="R3567" t="s">
        <v>53</v>
      </c>
      <c r="T3567" t="s">
        <v>5954</v>
      </c>
      <c r="U3567" t="s">
        <v>58</v>
      </c>
      <c r="V3567">
        <v>1</v>
      </c>
      <c r="W3567">
        <v>1</v>
      </c>
      <c r="X3567">
        <v>1</v>
      </c>
      <c r="Y3567">
        <v>0</v>
      </c>
      <c r="Z3567">
        <v>1</v>
      </c>
      <c r="AA3567">
        <v>0</v>
      </c>
      <c r="AB3567">
        <v>52.51</v>
      </c>
      <c r="AC3567">
        <v>46.2</v>
      </c>
      <c r="AD3567">
        <v>0</v>
      </c>
      <c r="AE3567">
        <v>6.31</v>
      </c>
      <c r="AF3567">
        <v>0</v>
      </c>
      <c r="AG3567">
        <v>0</v>
      </c>
      <c r="AH3567">
        <v>0</v>
      </c>
      <c r="AI3567">
        <v>9.4499999999999993</v>
      </c>
      <c r="AJ3567">
        <v>52.51</v>
      </c>
      <c r="AK3567">
        <v>0</v>
      </c>
      <c r="AL3567" t="s">
        <v>53</v>
      </c>
      <c r="AM3567" t="s">
        <v>53</v>
      </c>
      <c r="AN3567" t="s">
        <v>53</v>
      </c>
      <c r="AO3567" t="s">
        <v>53</v>
      </c>
      <c r="AP3567" t="s">
        <v>53</v>
      </c>
    </row>
    <row r="3568" spans="2:42" x14ac:dyDescent="0.2">
      <c r="B3568" t="s">
        <v>44</v>
      </c>
      <c r="C3568" t="str">
        <f>HYPERLINK("https://us2.cloudbeds.com/connect/8493803454333002#/reservations/44672347791585?display=VP6C0V4MT&amp;reservation_id=44672347791585", "VP6C0V4MT")</f>
        <v>VP6C0V4MT</v>
      </c>
      <c r="D3568" t="s">
        <v>45</v>
      </c>
      <c r="E3568" t="s">
        <v>78</v>
      </c>
      <c r="F3568" t="s">
        <v>61</v>
      </c>
      <c r="G3568" t="s">
        <v>48</v>
      </c>
      <c r="H3568" t="s">
        <v>49</v>
      </c>
      <c r="I3568" t="s">
        <v>62</v>
      </c>
      <c r="J3568" t="s">
        <v>3124</v>
      </c>
      <c r="K3568" t="s">
        <v>5434</v>
      </c>
      <c r="L3568" t="s">
        <v>53</v>
      </c>
      <c r="N3568" t="s">
        <v>5955</v>
      </c>
      <c r="P3568" t="s">
        <v>55</v>
      </c>
      <c r="R3568" t="s">
        <v>56</v>
      </c>
      <c r="T3568" t="s">
        <v>5956</v>
      </c>
      <c r="U3568" t="s">
        <v>55</v>
      </c>
      <c r="V3568">
        <v>3</v>
      </c>
      <c r="W3568">
        <v>1</v>
      </c>
      <c r="X3568">
        <v>2</v>
      </c>
      <c r="Y3568">
        <v>0</v>
      </c>
      <c r="Z3568">
        <v>2</v>
      </c>
      <c r="AA3568">
        <v>0</v>
      </c>
      <c r="AB3568">
        <v>310.5</v>
      </c>
      <c r="AC3568">
        <v>310.5</v>
      </c>
      <c r="AD3568">
        <v>0</v>
      </c>
      <c r="AE3568">
        <v>0</v>
      </c>
      <c r="AF3568">
        <v>0</v>
      </c>
      <c r="AG3568">
        <v>0</v>
      </c>
      <c r="AH3568">
        <v>0</v>
      </c>
      <c r="AI3568">
        <v>55.89</v>
      </c>
      <c r="AJ3568">
        <v>310.5</v>
      </c>
      <c r="AK3568">
        <v>0</v>
      </c>
      <c r="AL3568" t="s">
        <v>53</v>
      </c>
      <c r="AM3568" t="s">
        <v>53</v>
      </c>
      <c r="AN3568" t="s">
        <v>53</v>
      </c>
      <c r="AO3568" t="s">
        <v>53</v>
      </c>
      <c r="AP3568" t="s">
        <v>53</v>
      </c>
    </row>
    <row r="3569" spans="2:42" x14ac:dyDescent="0.2">
      <c r="B3569" t="s">
        <v>44</v>
      </c>
      <c r="C3569" t="str">
        <f>HYPERLINK("https://us2.cloudbeds.com/connect/8493803454333002#/reservations/44690032373893?display=VPK1U1NXF&amp;reservation_id=44690032373893", "VPK1U1NXF")</f>
        <v>VPK1U1NXF</v>
      </c>
      <c r="D3569" t="s">
        <v>45</v>
      </c>
      <c r="E3569" t="s">
        <v>110</v>
      </c>
      <c r="F3569" t="s">
        <v>47</v>
      </c>
      <c r="G3569" t="s">
        <v>48</v>
      </c>
      <c r="H3569" t="s">
        <v>49</v>
      </c>
      <c r="I3569" t="s">
        <v>62</v>
      </c>
      <c r="J3569" t="s">
        <v>4638</v>
      </c>
      <c r="K3569" t="s">
        <v>5957</v>
      </c>
      <c r="L3569" t="s">
        <v>53</v>
      </c>
      <c r="N3569" t="s">
        <v>5958</v>
      </c>
      <c r="P3569" t="s">
        <v>55</v>
      </c>
      <c r="R3569" t="s">
        <v>56</v>
      </c>
      <c r="T3569" t="s">
        <v>5959</v>
      </c>
      <c r="U3569" t="s">
        <v>55</v>
      </c>
      <c r="V3569">
        <v>2</v>
      </c>
      <c r="W3569">
        <v>1</v>
      </c>
      <c r="X3569">
        <v>2</v>
      </c>
      <c r="Y3569">
        <v>0</v>
      </c>
      <c r="Z3569">
        <v>2</v>
      </c>
      <c r="AA3569">
        <v>0</v>
      </c>
      <c r="AB3569">
        <v>113.4</v>
      </c>
      <c r="AC3569">
        <v>113.4</v>
      </c>
      <c r="AD3569">
        <v>0</v>
      </c>
      <c r="AE3569">
        <v>0</v>
      </c>
      <c r="AF3569">
        <v>0</v>
      </c>
      <c r="AG3569">
        <v>0</v>
      </c>
      <c r="AH3569">
        <v>0</v>
      </c>
      <c r="AI3569">
        <v>20.41</v>
      </c>
      <c r="AJ3569">
        <v>113.4</v>
      </c>
      <c r="AK3569">
        <v>0</v>
      </c>
      <c r="AL3569" t="s">
        <v>53</v>
      </c>
      <c r="AM3569" t="s">
        <v>53</v>
      </c>
      <c r="AN3569" t="s">
        <v>53</v>
      </c>
      <c r="AO3569" t="s">
        <v>53</v>
      </c>
      <c r="AP3569" t="s">
        <v>53</v>
      </c>
    </row>
    <row r="3570" spans="2:42" x14ac:dyDescent="0.2">
      <c r="B3570" t="s">
        <v>44</v>
      </c>
      <c r="C3570" t="str">
        <f>HYPERLINK("https://us2.cloudbeds.com/connect/8493803454333002#/reservations/44792798052567?display=VS0KQQ6VE&amp;reservation_id=44792798052567", "VS0KQQ6VE")</f>
        <v>VS0KQQ6VE</v>
      </c>
      <c r="D3570" t="s">
        <v>45</v>
      </c>
      <c r="E3570" t="s">
        <v>113</v>
      </c>
      <c r="F3570" t="s">
        <v>61</v>
      </c>
      <c r="G3570" t="s">
        <v>48</v>
      </c>
      <c r="H3570" t="s">
        <v>49</v>
      </c>
      <c r="I3570" t="s">
        <v>50</v>
      </c>
      <c r="J3570" t="s">
        <v>3767</v>
      </c>
      <c r="K3570" t="s">
        <v>5749</v>
      </c>
      <c r="L3570" t="s">
        <v>53</v>
      </c>
      <c r="N3570" t="s">
        <v>5960</v>
      </c>
      <c r="P3570" t="s">
        <v>55</v>
      </c>
      <c r="R3570" t="s">
        <v>53</v>
      </c>
      <c r="T3570" t="s">
        <v>5961</v>
      </c>
      <c r="U3570" t="s">
        <v>58</v>
      </c>
      <c r="V3570">
        <v>1</v>
      </c>
      <c r="W3570">
        <v>1</v>
      </c>
      <c r="X3570">
        <v>2</v>
      </c>
      <c r="Y3570">
        <v>0</v>
      </c>
      <c r="Z3570">
        <v>2</v>
      </c>
      <c r="AA3570">
        <v>0</v>
      </c>
      <c r="AB3570">
        <v>28</v>
      </c>
      <c r="AC3570">
        <v>28</v>
      </c>
      <c r="AD3570">
        <v>0</v>
      </c>
      <c r="AE3570">
        <v>3.82</v>
      </c>
      <c r="AF3570">
        <v>0</v>
      </c>
      <c r="AG3570">
        <v>0</v>
      </c>
      <c r="AH3570">
        <v>0</v>
      </c>
      <c r="AI3570">
        <v>5.73</v>
      </c>
      <c r="AJ3570">
        <v>31.82</v>
      </c>
      <c r="AK3570">
        <v>3.82</v>
      </c>
      <c r="AL3570" t="s">
        <v>53</v>
      </c>
      <c r="AM3570" t="s">
        <v>53</v>
      </c>
      <c r="AN3570" t="s">
        <v>5962</v>
      </c>
      <c r="AO3570" t="s">
        <v>53</v>
      </c>
      <c r="AP3570" t="s">
        <v>53</v>
      </c>
    </row>
    <row r="3571" spans="2:42" x14ac:dyDescent="0.2">
      <c r="B3571" t="s">
        <v>44</v>
      </c>
      <c r="C3571" t="str">
        <f>HYPERLINK("https://us2.cloudbeds.com/connect/8493803454333002#/reservations/44861476020475?display=VTKQMSTU3&amp;reservation_id=44861476020475", "VTKQMSTU3")</f>
        <v>VTKQMSTU3</v>
      </c>
      <c r="D3571" t="s">
        <v>45</v>
      </c>
      <c r="E3571" t="s">
        <v>265</v>
      </c>
      <c r="F3571" t="s">
        <v>61</v>
      </c>
      <c r="G3571" t="s">
        <v>48</v>
      </c>
      <c r="H3571" t="s">
        <v>49</v>
      </c>
      <c r="I3571" t="s">
        <v>50</v>
      </c>
      <c r="J3571" t="s">
        <v>5963</v>
      </c>
      <c r="K3571" t="s">
        <v>4767</v>
      </c>
      <c r="L3571" t="s">
        <v>53</v>
      </c>
      <c r="N3571" t="s">
        <v>5964</v>
      </c>
      <c r="P3571" t="s">
        <v>55</v>
      </c>
      <c r="R3571" t="s">
        <v>53</v>
      </c>
      <c r="T3571" t="s">
        <v>5965</v>
      </c>
      <c r="U3571" t="s">
        <v>58</v>
      </c>
      <c r="V3571">
        <v>4</v>
      </c>
      <c r="W3571">
        <v>1</v>
      </c>
      <c r="X3571">
        <v>2</v>
      </c>
      <c r="Y3571">
        <v>0</v>
      </c>
      <c r="Z3571">
        <v>2</v>
      </c>
      <c r="AA3571">
        <v>0</v>
      </c>
      <c r="AB3571">
        <v>547.73</v>
      </c>
      <c r="AC3571">
        <v>481.95</v>
      </c>
      <c r="AD3571">
        <v>0</v>
      </c>
      <c r="AE3571">
        <v>65.78</v>
      </c>
      <c r="AF3571">
        <v>0</v>
      </c>
      <c r="AG3571">
        <v>0</v>
      </c>
      <c r="AH3571">
        <v>0</v>
      </c>
      <c r="AI3571">
        <v>98.59</v>
      </c>
      <c r="AJ3571">
        <v>547.73</v>
      </c>
      <c r="AK3571">
        <v>0</v>
      </c>
      <c r="AL3571" t="s">
        <v>53</v>
      </c>
      <c r="AM3571" t="s">
        <v>53</v>
      </c>
      <c r="AN3571" t="s">
        <v>53</v>
      </c>
      <c r="AO3571" t="s">
        <v>53</v>
      </c>
      <c r="AP3571" t="s">
        <v>53</v>
      </c>
    </row>
    <row r="3572" spans="2:42" x14ac:dyDescent="0.2">
      <c r="B3572" t="s">
        <v>44</v>
      </c>
      <c r="C3572" t="str">
        <f>HYPERLINK("https://us2.cloudbeds.com/connect/8493803454333002#/reservations/44868987707587?display=VTQKKUM79&amp;reservation_id=44868987707587", "VTQKKUM79")</f>
        <v>VTQKKUM79</v>
      </c>
      <c r="D3572" t="s">
        <v>45</v>
      </c>
      <c r="E3572" t="s">
        <v>92</v>
      </c>
      <c r="F3572" t="s">
        <v>86</v>
      </c>
      <c r="G3572" t="s">
        <v>5966</v>
      </c>
      <c r="H3572" t="s">
        <v>3957</v>
      </c>
      <c r="I3572" t="s">
        <v>3989</v>
      </c>
      <c r="J3572" t="s">
        <v>5963</v>
      </c>
      <c r="K3572" t="s">
        <v>5967</v>
      </c>
      <c r="L3572" t="s">
        <v>53</v>
      </c>
      <c r="P3572" t="s">
        <v>55</v>
      </c>
      <c r="R3572" t="s">
        <v>56</v>
      </c>
      <c r="T3572" t="s">
        <v>5968</v>
      </c>
      <c r="U3572" t="s">
        <v>58</v>
      </c>
      <c r="V3572">
        <v>7</v>
      </c>
      <c r="W3572">
        <v>1</v>
      </c>
      <c r="X3572">
        <v>1</v>
      </c>
      <c r="Y3572">
        <v>0</v>
      </c>
      <c r="Z3572">
        <v>1</v>
      </c>
      <c r="AA3572">
        <v>887.86</v>
      </c>
      <c r="AB3572">
        <v>887.86</v>
      </c>
      <c r="AC3572">
        <v>781.2</v>
      </c>
      <c r="AD3572">
        <v>0</v>
      </c>
      <c r="AE3572">
        <v>106.66</v>
      </c>
      <c r="AF3572">
        <v>0</v>
      </c>
      <c r="AG3572">
        <v>0</v>
      </c>
      <c r="AH3572">
        <v>0</v>
      </c>
      <c r="AI3572">
        <v>0</v>
      </c>
      <c r="AJ3572">
        <v>887.86</v>
      </c>
      <c r="AK3572">
        <v>0</v>
      </c>
      <c r="AL3572" t="s">
        <v>53</v>
      </c>
      <c r="AM3572" t="s">
        <v>53</v>
      </c>
      <c r="AN3572" t="s">
        <v>53</v>
      </c>
      <c r="AO3572" t="s">
        <v>53</v>
      </c>
      <c r="AP3572" t="s">
        <v>53</v>
      </c>
    </row>
    <row r="3573" spans="2:42" x14ac:dyDescent="0.2">
      <c r="B3573" t="s">
        <v>44</v>
      </c>
      <c r="C3573" t="str">
        <f>HYPERLINK("https://us2.cloudbeds.com/connect/8493803454333002#/reservations/44918516887807?display=VUVW7843C&amp;reservation_id=44918516887807", "VUVW7843C")</f>
        <v>VUVW7843C</v>
      </c>
      <c r="D3573" t="s">
        <v>45</v>
      </c>
      <c r="E3573" t="s">
        <v>105</v>
      </c>
      <c r="F3573" t="s">
        <v>47</v>
      </c>
      <c r="G3573" t="s">
        <v>48</v>
      </c>
      <c r="H3573" t="s">
        <v>49</v>
      </c>
      <c r="I3573" t="s">
        <v>50</v>
      </c>
      <c r="J3573" t="s">
        <v>3767</v>
      </c>
      <c r="K3573" t="s">
        <v>5749</v>
      </c>
      <c r="L3573" t="s">
        <v>53</v>
      </c>
      <c r="N3573" t="s">
        <v>5969</v>
      </c>
      <c r="P3573" t="s">
        <v>55</v>
      </c>
      <c r="R3573" t="s">
        <v>53</v>
      </c>
      <c r="T3573" t="s">
        <v>5970</v>
      </c>
      <c r="U3573" t="s">
        <v>58</v>
      </c>
      <c r="V3573">
        <v>1</v>
      </c>
      <c r="W3573">
        <v>1</v>
      </c>
      <c r="X3573">
        <v>2</v>
      </c>
      <c r="Y3573">
        <v>0</v>
      </c>
      <c r="Z3573">
        <v>2</v>
      </c>
      <c r="AA3573">
        <v>0</v>
      </c>
      <c r="AB3573">
        <v>65.69</v>
      </c>
      <c r="AC3573">
        <v>57.8</v>
      </c>
      <c r="AD3573">
        <v>0</v>
      </c>
      <c r="AE3573">
        <v>7.89</v>
      </c>
      <c r="AF3573">
        <v>0</v>
      </c>
      <c r="AG3573">
        <v>0</v>
      </c>
      <c r="AH3573">
        <v>0</v>
      </c>
      <c r="AI3573">
        <v>11.82</v>
      </c>
      <c r="AJ3573">
        <v>65.69</v>
      </c>
      <c r="AK3573">
        <v>0</v>
      </c>
      <c r="AL3573" t="s">
        <v>53</v>
      </c>
      <c r="AM3573" t="s">
        <v>53</v>
      </c>
      <c r="AN3573" t="s">
        <v>53</v>
      </c>
      <c r="AO3573" t="s">
        <v>53</v>
      </c>
      <c r="AP3573" t="s">
        <v>53</v>
      </c>
    </row>
    <row r="3574" spans="2:42" x14ac:dyDescent="0.2">
      <c r="B3574" t="s">
        <v>44</v>
      </c>
      <c r="C3574" t="str">
        <f>HYPERLINK("https://us2.cloudbeds.com/connect/8493803454333002#/reservations/45002719223966?display=VWV5PT89J&amp;reservation_id=45002719223966", "VWV5PT89J")</f>
        <v>VWV5PT89J</v>
      </c>
      <c r="D3574" t="s">
        <v>45</v>
      </c>
      <c r="E3574" t="s">
        <v>265</v>
      </c>
      <c r="F3574" t="s">
        <v>61</v>
      </c>
      <c r="G3574" t="s">
        <v>48</v>
      </c>
      <c r="H3574" t="s">
        <v>49</v>
      </c>
      <c r="I3574" t="s">
        <v>62</v>
      </c>
      <c r="J3574" t="s">
        <v>3767</v>
      </c>
      <c r="K3574" t="s">
        <v>5749</v>
      </c>
      <c r="L3574" t="s">
        <v>53</v>
      </c>
      <c r="N3574" t="s">
        <v>5971</v>
      </c>
      <c r="P3574" t="s">
        <v>55</v>
      </c>
      <c r="R3574" t="s">
        <v>56</v>
      </c>
      <c r="T3574" t="s">
        <v>5972</v>
      </c>
      <c r="U3574" t="s">
        <v>55</v>
      </c>
      <c r="V3574">
        <v>1</v>
      </c>
      <c r="W3574">
        <v>1</v>
      </c>
      <c r="X3574">
        <v>1</v>
      </c>
      <c r="Y3574">
        <v>0</v>
      </c>
      <c r="Z3574">
        <v>1</v>
      </c>
      <c r="AA3574">
        <v>0</v>
      </c>
      <c r="AB3574">
        <v>66</v>
      </c>
      <c r="AC3574">
        <v>66</v>
      </c>
      <c r="AD3574">
        <v>0</v>
      </c>
      <c r="AE3574">
        <v>0</v>
      </c>
      <c r="AF3574">
        <v>0</v>
      </c>
      <c r="AG3574">
        <v>0</v>
      </c>
      <c r="AH3574">
        <v>0</v>
      </c>
      <c r="AI3574">
        <v>11.88</v>
      </c>
      <c r="AJ3574">
        <v>66</v>
      </c>
      <c r="AK3574">
        <v>0</v>
      </c>
      <c r="AL3574" t="s">
        <v>53</v>
      </c>
      <c r="AM3574" t="s">
        <v>53</v>
      </c>
      <c r="AN3574" t="s">
        <v>53</v>
      </c>
      <c r="AO3574" t="s">
        <v>53</v>
      </c>
      <c r="AP3574" t="s">
        <v>53</v>
      </c>
    </row>
    <row r="3575" spans="2:42" x14ac:dyDescent="0.2">
      <c r="B3575" t="s">
        <v>44</v>
      </c>
      <c r="C3575" t="str">
        <f>HYPERLINK("https://us2.cloudbeds.com/connect/8493803454333002#/reservations/45198705950851?display=W4HUN2RFC&amp;reservation_id=45198705950851", "W4HUN2RFC")</f>
        <v>W4HUN2RFC</v>
      </c>
      <c r="D3575" t="s">
        <v>45</v>
      </c>
      <c r="E3575" t="s">
        <v>487</v>
      </c>
      <c r="F3575" t="s">
        <v>61</v>
      </c>
      <c r="G3575" t="s">
        <v>48</v>
      </c>
      <c r="H3575" t="s">
        <v>49</v>
      </c>
      <c r="I3575" t="s">
        <v>50</v>
      </c>
      <c r="J3575" t="s">
        <v>5749</v>
      </c>
      <c r="K3575" t="s">
        <v>5229</v>
      </c>
      <c r="L3575" t="s">
        <v>53</v>
      </c>
      <c r="N3575" t="s">
        <v>5973</v>
      </c>
      <c r="P3575" t="s">
        <v>55</v>
      </c>
      <c r="R3575" t="s">
        <v>53</v>
      </c>
      <c r="T3575" t="s">
        <v>5974</v>
      </c>
      <c r="U3575" t="s">
        <v>58</v>
      </c>
      <c r="V3575">
        <v>3</v>
      </c>
      <c r="W3575">
        <v>1</v>
      </c>
      <c r="X3575">
        <v>1</v>
      </c>
      <c r="Y3575">
        <v>0</v>
      </c>
      <c r="Z3575">
        <v>1</v>
      </c>
      <c r="AA3575">
        <v>0</v>
      </c>
      <c r="AB3575">
        <v>201.84</v>
      </c>
      <c r="AC3575">
        <v>177.6</v>
      </c>
      <c r="AD3575">
        <v>0</v>
      </c>
      <c r="AE3575">
        <v>24.24</v>
      </c>
      <c r="AF3575">
        <v>0</v>
      </c>
      <c r="AG3575">
        <v>0</v>
      </c>
      <c r="AH3575">
        <v>0</v>
      </c>
      <c r="AI3575">
        <v>36.33</v>
      </c>
      <c r="AJ3575">
        <v>201.84</v>
      </c>
      <c r="AK3575">
        <v>0</v>
      </c>
      <c r="AL3575" t="s">
        <v>53</v>
      </c>
      <c r="AM3575" t="s">
        <v>53</v>
      </c>
      <c r="AN3575" t="s">
        <v>53</v>
      </c>
      <c r="AO3575" t="s">
        <v>53</v>
      </c>
      <c r="AP3575" t="s">
        <v>53</v>
      </c>
    </row>
    <row r="3576" spans="2:42" x14ac:dyDescent="0.2">
      <c r="B3576" t="s">
        <v>44</v>
      </c>
      <c r="C3576" t="str">
        <f>HYPERLINK("https://us2.cloudbeds.com/connect/8493803454333002#/reservations/45200408539294?display=W4J86ZSXX&amp;reservation_id=45200408539294", "W4J86ZSXX")</f>
        <v>W4J86ZSXX</v>
      </c>
      <c r="D3576" t="s">
        <v>45</v>
      </c>
      <c r="E3576" t="s">
        <v>155</v>
      </c>
      <c r="F3576" t="s">
        <v>86</v>
      </c>
      <c r="G3576" t="s">
        <v>48</v>
      </c>
      <c r="H3576" t="s">
        <v>3957</v>
      </c>
      <c r="I3576" t="s">
        <v>3975</v>
      </c>
      <c r="J3576" t="s">
        <v>3768</v>
      </c>
      <c r="K3576" t="s">
        <v>5229</v>
      </c>
      <c r="L3576" t="s">
        <v>53</v>
      </c>
      <c r="P3576" t="s">
        <v>55</v>
      </c>
      <c r="R3576" t="s">
        <v>56</v>
      </c>
      <c r="T3576" t="s">
        <v>5975</v>
      </c>
      <c r="U3576" t="s">
        <v>58</v>
      </c>
      <c r="V3576">
        <v>2</v>
      </c>
      <c r="W3576">
        <v>1</v>
      </c>
      <c r="X3576">
        <v>2</v>
      </c>
      <c r="Y3576">
        <v>0</v>
      </c>
      <c r="Z3576">
        <v>2</v>
      </c>
      <c r="AA3576">
        <v>0</v>
      </c>
      <c r="AB3576">
        <v>181.85</v>
      </c>
      <c r="AC3576">
        <v>160</v>
      </c>
      <c r="AD3576">
        <v>0</v>
      </c>
      <c r="AE3576">
        <v>21.85</v>
      </c>
      <c r="AF3576">
        <v>0</v>
      </c>
      <c r="AG3576">
        <v>0</v>
      </c>
      <c r="AH3576">
        <v>0</v>
      </c>
      <c r="AI3576">
        <v>0</v>
      </c>
      <c r="AJ3576">
        <v>181.85</v>
      </c>
      <c r="AK3576">
        <v>0</v>
      </c>
      <c r="AL3576" t="s">
        <v>53</v>
      </c>
      <c r="AM3576" t="s">
        <v>53</v>
      </c>
      <c r="AN3576" t="s">
        <v>53</v>
      </c>
      <c r="AO3576" t="s">
        <v>53</v>
      </c>
      <c r="AP3576" t="s">
        <v>53</v>
      </c>
    </row>
    <row r="3577" spans="2:42" x14ac:dyDescent="0.2">
      <c r="B3577" t="s">
        <v>44</v>
      </c>
      <c r="C3577" t="str">
        <f>HYPERLINK("https://us2.cloudbeds.com/connect/8493803454333002#/reservations/45245049229444?display=W5KQSVSRU&amp;reservation_id=45245049229444", "W5KQSVSRU")</f>
        <v>W5KQSVSRU</v>
      </c>
      <c r="D3577" t="s">
        <v>45</v>
      </c>
      <c r="E3577" t="s">
        <v>105</v>
      </c>
      <c r="F3577" t="s">
        <v>47</v>
      </c>
      <c r="G3577" t="s">
        <v>48</v>
      </c>
      <c r="H3577" t="s">
        <v>3957</v>
      </c>
      <c r="I3577" t="s">
        <v>3989</v>
      </c>
      <c r="J3577" t="s">
        <v>5749</v>
      </c>
      <c r="K3577" t="s">
        <v>3768</v>
      </c>
      <c r="L3577" t="s">
        <v>53</v>
      </c>
      <c r="P3577" t="s">
        <v>58</v>
      </c>
      <c r="R3577" t="s">
        <v>56</v>
      </c>
      <c r="T3577" t="s">
        <v>5976</v>
      </c>
      <c r="U3577" t="s">
        <v>58</v>
      </c>
      <c r="V3577">
        <v>1</v>
      </c>
      <c r="W3577">
        <v>1</v>
      </c>
      <c r="X3577">
        <v>1</v>
      </c>
      <c r="Y3577">
        <v>0</v>
      </c>
      <c r="Z3577">
        <v>1</v>
      </c>
      <c r="AA3577">
        <v>0</v>
      </c>
      <c r="AB3577">
        <v>73.88</v>
      </c>
      <c r="AC3577">
        <v>65</v>
      </c>
      <c r="AD3577">
        <v>0</v>
      </c>
      <c r="AE3577">
        <v>8.8800000000000008</v>
      </c>
      <c r="AF3577">
        <v>0</v>
      </c>
      <c r="AG3577">
        <v>0</v>
      </c>
      <c r="AH3577">
        <v>0</v>
      </c>
      <c r="AI3577">
        <v>0</v>
      </c>
      <c r="AJ3577">
        <v>73.88</v>
      </c>
      <c r="AK3577">
        <v>0</v>
      </c>
      <c r="AL3577" t="s">
        <v>53</v>
      </c>
      <c r="AM3577" t="s">
        <v>53</v>
      </c>
      <c r="AN3577" t="s">
        <v>53</v>
      </c>
      <c r="AO3577" t="s">
        <v>53</v>
      </c>
      <c r="AP3577" t="s">
        <v>53</v>
      </c>
    </row>
    <row r="3578" spans="2:42" x14ac:dyDescent="0.2">
      <c r="B3578" t="s">
        <v>44</v>
      </c>
      <c r="C3578" t="str">
        <f>HYPERLINK("https://us2.cloudbeds.com/connect/8493803454333002#/reservations/45561175871697?display=WD1JYAN2N&amp;reservation_id=45561175871697", "WD1JYAN2N")</f>
        <v>WD1JYAN2N</v>
      </c>
      <c r="D3578" t="s">
        <v>45</v>
      </c>
      <c r="E3578" t="s">
        <v>110</v>
      </c>
      <c r="F3578" t="s">
        <v>47</v>
      </c>
      <c r="G3578" t="s">
        <v>48</v>
      </c>
      <c r="H3578" t="s">
        <v>3957</v>
      </c>
      <c r="I3578" t="s">
        <v>3975</v>
      </c>
      <c r="J3578" t="s">
        <v>3768</v>
      </c>
      <c r="K3578" t="s">
        <v>5229</v>
      </c>
      <c r="L3578" t="s">
        <v>53</v>
      </c>
      <c r="P3578" t="s">
        <v>55</v>
      </c>
      <c r="R3578" t="s">
        <v>56</v>
      </c>
      <c r="T3578" t="s">
        <v>5977</v>
      </c>
      <c r="U3578" t="s">
        <v>58</v>
      </c>
      <c r="V3578">
        <v>2</v>
      </c>
      <c r="W3578">
        <v>1</v>
      </c>
      <c r="X3578">
        <v>2</v>
      </c>
      <c r="Y3578">
        <v>0</v>
      </c>
      <c r="Z3578">
        <v>2</v>
      </c>
      <c r="AA3578">
        <v>0</v>
      </c>
      <c r="AB3578">
        <v>194.35</v>
      </c>
      <c r="AC3578">
        <v>171</v>
      </c>
      <c r="AD3578">
        <v>0</v>
      </c>
      <c r="AE3578">
        <v>23.35</v>
      </c>
      <c r="AF3578">
        <v>0</v>
      </c>
      <c r="AG3578">
        <v>0</v>
      </c>
      <c r="AH3578">
        <v>0</v>
      </c>
      <c r="AI3578">
        <v>0</v>
      </c>
      <c r="AJ3578">
        <v>194.35</v>
      </c>
      <c r="AK3578">
        <v>0</v>
      </c>
      <c r="AL3578" t="s">
        <v>53</v>
      </c>
      <c r="AM3578" t="s">
        <v>53</v>
      </c>
      <c r="AN3578" t="s">
        <v>53</v>
      </c>
      <c r="AO3578" t="s">
        <v>53</v>
      </c>
      <c r="AP3578" t="s">
        <v>53</v>
      </c>
    </row>
    <row r="3579" spans="2:42" x14ac:dyDescent="0.2">
      <c r="B3579" t="s">
        <v>44</v>
      </c>
      <c r="C3579" t="str">
        <f>HYPERLINK("https://us2.cloudbeds.com/connect/8493803454333002#/reservations/45668796235948?display=WFXUJYW9R&amp;reservation_id=45668796235948", "WFXUJYW9R")</f>
        <v>WFXUJYW9R</v>
      </c>
      <c r="D3579" t="s">
        <v>45</v>
      </c>
      <c r="E3579" t="s">
        <v>165</v>
      </c>
      <c r="F3579" t="s">
        <v>61</v>
      </c>
      <c r="G3579" t="s">
        <v>48</v>
      </c>
      <c r="H3579" t="s">
        <v>49</v>
      </c>
      <c r="I3579" t="s">
        <v>50</v>
      </c>
      <c r="J3579" t="s">
        <v>3768</v>
      </c>
      <c r="K3579" t="s">
        <v>5347</v>
      </c>
      <c r="L3579" t="s">
        <v>53</v>
      </c>
      <c r="N3579" t="s">
        <v>5978</v>
      </c>
      <c r="P3579" t="s">
        <v>55</v>
      </c>
      <c r="R3579" t="s">
        <v>53</v>
      </c>
      <c r="T3579" t="s">
        <v>5979</v>
      </c>
      <c r="U3579" t="s">
        <v>58</v>
      </c>
      <c r="V3579">
        <v>1</v>
      </c>
      <c r="W3579">
        <v>1</v>
      </c>
      <c r="X3579">
        <v>2</v>
      </c>
      <c r="Y3579">
        <v>0</v>
      </c>
      <c r="Z3579">
        <v>2</v>
      </c>
      <c r="AA3579">
        <v>0</v>
      </c>
      <c r="AB3579">
        <v>79.790000000000006</v>
      </c>
      <c r="AC3579">
        <v>70.2</v>
      </c>
      <c r="AD3579">
        <v>0</v>
      </c>
      <c r="AE3579">
        <v>9.59</v>
      </c>
      <c r="AF3579">
        <v>0</v>
      </c>
      <c r="AG3579">
        <v>0</v>
      </c>
      <c r="AH3579">
        <v>0</v>
      </c>
      <c r="AI3579">
        <v>14.36</v>
      </c>
      <c r="AJ3579">
        <v>79.790000000000006</v>
      </c>
      <c r="AK3579">
        <v>0</v>
      </c>
      <c r="AL3579" t="s">
        <v>53</v>
      </c>
      <c r="AM3579" t="s">
        <v>53</v>
      </c>
      <c r="AN3579" t="s">
        <v>53</v>
      </c>
      <c r="AO3579" t="s">
        <v>53</v>
      </c>
      <c r="AP3579" t="s">
        <v>53</v>
      </c>
    </row>
    <row r="3580" spans="2:42" x14ac:dyDescent="0.2">
      <c r="B3580" t="s">
        <v>44</v>
      </c>
      <c r="C3580" t="str">
        <f>HYPERLINK("https://us2.cloudbeds.com/connect/8493803454333002#/reservations/45668118687963?display=WFXD9B6RN&amp;reservation_id=45668118687963", "WFXD9B6RN")</f>
        <v>WFXD9B6RN</v>
      </c>
      <c r="D3580" t="s">
        <v>45</v>
      </c>
      <c r="E3580" t="s">
        <v>78</v>
      </c>
      <c r="F3580" t="s">
        <v>61</v>
      </c>
      <c r="G3580" t="s">
        <v>48</v>
      </c>
      <c r="H3580" t="s">
        <v>49</v>
      </c>
      <c r="I3580" t="s">
        <v>50</v>
      </c>
      <c r="J3580" t="s">
        <v>3768</v>
      </c>
      <c r="K3580" t="s">
        <v>5347</v>
      </c>
      <c r="L3580" t="s">
        <v>53</v>
      </c>
      <c r="N3580" t="s">
        <v>5980</v>
      </c>
      <c r="P3580" t="s">
        <v>55</v>
      </c>
      <c r="R3580" t="s">
        <v>53</v>
      </c>
      <c r="T3580" t="s">
        <v>5981</v>
      </c>
      <c r="U3580" t="s">
        <v>58</v>
      </c>
      <c r="V3580">
        <v>1</v>
      </c>
      <c r="W3580">
        <v>1</v>
      </c>
      <c r="X3580">
        <v>2</v>
      </c>
      <c r="Y3580">
        <v>0</v>
      </c>
      <c r="Z3580">
        <v>2</v>
      </c>
      <c r="AA3580">
        <v>0</v>
      </c>
      <c r="AB3580">
        <v>79.790000000000006</v>
      </c>
      <c r="AC3580">
        <v>70.2</v>
      </c>
      <c r="AD3580">
        <v>0</v>
      </c>
      <c r="AE3580">
        <v>9.59</v>
      </c>
      <c r="AF3580">
        <v>0</v>
      </c>
      <c r="AG3580">
        <v>0</v>
      </c>
      <c r="AH3580">
        <v>0</v>
      </c>
      <c r="AI3580">
        <v>14.36</v>
      </c>
      <c r="AJ3580">
        <v>79.790000000000006</v>
      </c>
      <c r="AK3580">
        <v>0</v>
      </c>
      <c r="AL3580" t="s">
        <v>53</v>
      </c>
      <c r="AM3580" t="s">
        <v>53</v>
      </c>
      <c r="AN3580" t="s">
        <v>53</v>
      </c>
      <c r="AO3580" t="s">
        <v>53</v>
      </c>
      <c r="AP3580" t="s">
        <v>53</v>
      </c>
    </row>
    <row r="3581" spans="2:42" x14ac:dyDescent="0.2">
      <c r="B3581" t="s">
        <v>44</v>
      </c>
      <c r="C3581" t="str">
        <f>HYPERLINK("https://us2.cloudbeds.com/connect/8493803454333002#/reservations/45679898742926?display=WFRH9JJS7&amp;reservation_id=45679898742926", "WFRH9JJS7")</f>
        <v>WFRH9JJS7</v>
      </c>
      <c r="D3581" t="s">
        <v>602</v>
      </c>
      <c r="E3581" t="s">
        <v>53</v>
      </c>
      <c r="F3581" t="s">
        <v>61</v>
      </c>
      <c r="G3581" t="s">
        <v>48</v>
      </c>
      <c r="H3581" t="s">
        <v>49</v>
      </c>
      <c r="I3581" t="s">
        <v>50</v>
      </c>
      <c r="J3581" t="s">
        <v>5229</v>
      </c>
      <c r="K3581" t="s">
        <v>5982</v>
      </c>
      <c r="L3581" t="s">
        <v>53</v>
      </c>
      <c r="N3581" t="s">
        <v>5983</v>
      </c>
      <c r="P3581" t="s">
        <v>55</v>
      </c>
      <c r="R3581" t="s">
        <v>53</v>
      </c>
      <c r="T3581" t="s">
        <v>5984</v>
      </c>
      <c r="U3581" t="s">
        <v>58</v>
      </c>
      <c r="V3581">
        <v>1</v>
      </c>
      <c r="W3581">
        <v>1</v>
      </c>
      <c r="X3581">
        <v>2</v>
      </c>
      <c r="Y3581">
        <v>0</v>
      </c>
      <c r="Z3581">
        <v>2</v>
      </c>
      <c r="AA3581">
        <v>0</v>
      </c>
      <c r="AB3581">
        <v>0</v>
      </c>
      <c r="AC3581">
        <v>0</v>
      </c>
      <c r="AD3581">
        <v>0</v>
      </c>
      <c r="AE3581">
        <v>0</v>
      </c>
      <c r="AF3581">
        <v>0</v>
      </c>
      <c r="AG3581">
        <v>0</v>
      </c>
      <c r="AH3581">
        <v>0</v>
      </c>
      <c r="AI3581">
        <v>0</v>
      </c>
      <c r="AJ3581">
        <v>0</v>
      </c>
      <c r="AK3581">
        <v>0</v>
      </c>
      <c r="AL3581">
        <v>58.5</v>
      </c>
      <c r="AM3581">
        <v>0</v>
      </c>
      <c r="AN3581" t="s">
        <v>5985</v>
      </c>
      <c r="AO3581" t="s">
        <v>53</v>
      </c>
      <c r="AP3581" t="s">
        <v>53</v>
      </c>
    </row>
    <row r="3582" spans="2:42" x14ac:dyDescent="0.2">
      <c r="B3582" t="s">
        <v>44</v>
      </c>
      <c r="C3582" t="str">
        <f>HYPERLINK("https://us2.cloudbeds.com/connect/8493803454333002#/reservations/45906581717151?display=WY51XMGWB&amp;reservation_id=45906581717151", "WY51XMGWB")</f>
        <v>WY51XMGWB</v>
      </c>
      <c r="D3582" t="s">
        <v>45</v>
      </c>
      <c r="E3582" t="s">
        <v>110</v>
      </c>
      <c r="F3582" t="s">
        <v>47</v>
      </c>
      <c r="G3582" t="s">
        <v>48</v>
      </c>
      <c r="H3582" t="s">
        <v>49</v>
      </c>
      <c r="I3582" t="s">
        <v>62</v>
      </c>
      <c r="J3582" t="s">
        <v>5321</v>
      </c>
      <c r="K3582" t="s">
        <v>5322</v>
      </c>
      <c r="L3582" t="s">
        <v>53</v>
      </c>
      <c r="N3582" t="s">
        <v>5986</v>
      </c>
      <c r="P3582" t="s">
        <v>55</v>
      </c>
      <c r="R3582" t="s">
        <v>56</v>
      </c>
      <c r="T3582" t="s">
        <v>5987</v>
      </c>
      <c r="U3582" t="s">
        <v>55</v>
      </c>
      <c r="V3582">
        <v>4</v>
      </c>
      <c r="W3582">
        <v>1</v>
      </c>
      <c r="X3582">
        <v>2</v>
      </c>
      <c r="Y3582">
        <v>0</v>
      </c>
      <c r="Z3582">
        <v>2</v>
      </c>
      <c r="AA3582">
        <v>0</v>
      </c>
      <c r="AB3582">
        <v>244.8</v>
      </c>
      <c r="AC3582">
        <v>244.8</v>
      </c>
      <c r="AD3582">
        <v>0</v>
      </c>
      <c r="AE3582">
        <v>0</v>
      </c>
      <c r="AF3582">
        <v>0</v>
      </c>
      <c r="AG3582">
        <v>0</v>
      </c>
      <c r="AH3582">
        <v>0</v>
      </c>
      <c r="AI3582">
        <v>44.06</v>
      </c>
      <c r="AJ3582">
        <v>244.8</v>
      </c>
      <c r="AK3582">
        <v>0</v>
      </c>
      <c r="AL3582" t="s">
        <v>53</v>
      </c>
      <c r="AM3582" t="s">
        <v>53</v>
      </c>
      <c r="AN3582" t="s">
        <v>53</v>
      </c>
      <c r="AO3582" t="s">
        <v>53</v>
      </c>
      <c r="AP3582" t="s">
        <v>53</v>
      </c>
    </row>
    <row r="3583" spans="2:42" x14ac:dyDescent="0.2">
      <c r="B3583" t="s">
        <v>44</v>
      </c>
      <c r="C3583" t="str">
        <f>HYPERLINK("https://us2.cloudbeds.com/connect/8493803454333002#/reservations/45980625973495?display=WMTCXP363&amp;reservation_id=45980625973495", "WMTCXP363")</f>
        <v>WMTCXP363</v>
      </c>
      <c r="D3583" t="s">
        <v>45</v>
      </c>
      <c r="E3583" t="s">
        <v>487</v>
      </c>
      <c r="F3583" t="s">
        <v>61</v>
      </c>
      <c r="G3583" t="s">
        <v>48</v>
      </c>
      <c r="H3583" t="s">
        <v>49</v>
      </c>
      <c r="I3583" t="s">
        <v>50</v>
      </c>
      <c r="J3583" t="s">
        <v>5584</v>
      </c>
      <c r="K3583" t="s">
        <v>5825</v>
      </c>
      <c r="L3583" t="s">
        <v>53</v>
      </c>
      <c r="N3583" t="s">
        <v>5988</v>
      </c>
      <c r="P3583" t="s">
        <v>55</v>
      </c>
      <c r="R3583" t="s">
        <v>53</v>
      </c>
      <c r="T3583" t="s">
        <v>5989</v>
      </c>
      <c r="U3583" t="s">
        <v>58</v>
      </c>
      <c r="V3583">
        <v>2</v>
      </c>
      <c r="W3583">
        <v>1</v>
      </c>
      <c r="X3583">
        <v>1</v>
      </c>
      <c r="Y3583">
        <v>0</v>
      </c>
      <c r="Z3583">
        <v>1</v>
      </c>
      <c r="AA3583">
        <v>0</v>
      </c>
      <c r="AB3583">
        <v>230.16</v>
      </c>
      <c r="AC3583">
        <v>202.5</v>
      </c>
      <c r="AD3583">
        <v>0</v>
      </c>
      <c r="AE3583">
        <v>27.66</v>
      </c>
      <c r="AF3583">
        <v>0</v>
      </c>
      <c r="AG3583">
        <v>0</v>
      </c>
      <c r="AH3583">
        <v>0</v>
      </c>
      <c r="AI3583">
        <v>41.43</v>
      </c>
      <c r="AJ3583">
        <v>230.16</v>
      </c>
      <c r="AK3583">
        <v>0</v>
      </c>
      <c r="AL3583" t="s">
        <v>53</v>
      </c>
      <c r="AM3583" t="s">
        <v>53</v>
      </c>
      <c r="AN3583" t="s">
        <v>53</v>
      </c>
      <c r="AO3583" t="s">
        <v>53</v>
      </c>
      <c r="AP3583" t="s">
        <v>53</v>
      </c>
    </row>
    <row r="3584" spans="2:42" x14ac:dyDescent="0.2">
      <c r="B3584" t="s">
        <v>44</v>
      </c>
      <c r="C3584" t="str">
        <f>HYPERLINK("https://us2.cloudbeds.com/connect/8493803454333002#/reservations/46015038226656?display=WNN0T2PBE&amp;reservation_id=46015038226656", "WNN0T2PBE")</f>
        <v>WNN0T2PBE</v>
      </c>
      <c r="D3584" t="s">
        <v>602</v>
      </c>
      <c r="E3584" t="s">
        <v>53</v>
      </c>
      <c r="F3584" t="s">
        <v>61</v>
      </c>
      <c r="G3584" t="s">
        <v>48</v>
      </c>
      <c r="H3584" t="s">
        <v>49</v>
      </c>
      <c r="I3584" t="s">
        <v>50</v>
      </c>
      <c r="J3584" t="s">
        <v>5229</v>
      </c>
      <c r="K3584" t="s">
        <v>4840</v>
      </c>
      <c r="L3584" t="s">
        <v>53</v>
      </c>
      <c r="N3584" t="s">
        <v>5990</v>
      </c>
      <c r="P3584" t="s">
        <v>55</v>
      </c>
      <c r="R3584" t="s">
        <v>53</v>
      </c>
      <c r="T3584" t="s">
        <v>5991</v>
      </c>
      <c r="U3584" t="s">
        <v>58</v>
      </c>
      <c r="V3584">
        <v>4</v>
      </c>
      <c r="W3584">
        <v>1</v>
      </c>
      <c r="X3584">
        <v>1</v>
      </c>
      <c r="Y3584">
        <v>0</v>
      </c>
      <c r="Z3584">
        <v>1</v>
      </c>
      <c r="AA3584">
        <v>0</v>
      </c>
      <c r="AB3584">
        <v>0</v>
      </c>
      <c r="AC3584">
        <v>0</v>
      </c>
      <c r="AD3584">
        <v>0</v>
      </c>
      <c r="AE3584">
        <v>0</v>
      </c>
      <c r="AF3584">
        <v>0</v>
      </c>
      <c r="AG3584">
        <v>0</v>
      </c>
      <c r="AH3584">
        <v>0</v>
      </c>
      <c r="AI3584">
        <v>33.380000000000003</v>
      </c>
      <c r="AJ3584">
        <v>0</v>
      </c>
      <c r="AK3584">
        <v>0</v>
      </c>
      <c r="AL3584">
        <v>219.2</v>
      </c>
      <c r="AM3584">
        <v>185.47</v>
      </c>
      <c r="AN3584" t="s">
        <v>5992</v>
      </c>
      <c r="AO3584" t="s">
        <v>53</v>
      </c>
      <c r="AP3584" t="s">
        <v>53</v>
      </c>
    </row>
    <row r="3585" spans="2:42" x14ac:dyDescent="0.2">
      <c r="B3585" t="s">
        <v>44</v>
      </c>
      <c r="C3585" t="str">
        <f>HYPERLINK("https://us2.cloudbeds.com/connect/8493803454333002#/reservations/46257760305350?display=WTCVWPDDA&amp;reservation_id=46257760305350", "WTCVWPDDA")</f>
        <v>WTCVWPDDA</v>
      </c>
      <c r="D3585" t="s">
        <v>45</v>
      </c>
      <c r="E3585" t="s">
        <v>105</v>
      </c>
      <c r="F3585" t="s">
        <v>47</v>
      </c>
      <c r="G3585" t="s">
        <v>48</v>
      </c>
      <c r="H3585" t="s">
        <v>49</v>
      </c>
      <c r="I3585" t="s">
        <v>50</v>
      </c>
      <c r="J3585" t="s">
        <v>5229</v>
      </c>
      <c r="K3585" t="s">
        <v>5982</v>
      </c>
      <c r="L3585" t="s">
        <v>53</v>
      </c>
      <c r="N3585" t="s">
        <v>5993</v>
      </c>
      <c r="P3585" t="s">
        <v>55</v>
      </c>
      <c r="R3585" t="s">
        <v>53</v>
      </c>
      <c r="T3585" t="s">
        <v>5994</v>
      </c>
      <c r="U3585" t="s">
        <v>58</v>
      </c>
      <c r="V3585">
        <v>1</v>
      </c>
      <c r="W3585">
        <v>1</v>
      </c>
      <c r="X3585">
        <v>1</v>
      </c>
      <c r="Y3585">
        <v>0</v>
      </c>
      <c r="Z3585">
        <v>1</v>
      </c>
      <c r="AA3585">
        <v>0</v>
      </c>
      <c r="AB3585">
        <v>61.83</v>
      </c>
      <c r="AC3585">
        <v>54.4</v>
      </c>
      <c r="AD3585">
        <v>0</v>
      </c>
      <c r="AE3585">
        <v>7.43</v>
      </c>
      <c r="AF3585">
        <v>0</v>
      </c>
      <c r="AG3585">
        <v>0</v>
      </c>
      <c r="AH3585">
        <v>0</v>
      </c>
      <c r="AI3585">
        <v>11.13</v>
      </c>
      <c r="AJ3585">
        <v>61.83</v>
      </c>
      <c r="AK3585">
        <v>0</v>
      </c>
      <c r="AL3585" t="s">
        <v>53</v>
      </c>
      <c r="AM3585" t="s">
        <v>53</v>
      </c>
      <c r="AN3585" t="s">
        <v>53</v>
      </c>
      <c r="AO3585" t="s">
        <v>53</v>
      </c>
      <c r="AP3585" t="s">
        <v>53</v>
      </c>
    </row>
    <row r="3586" spans="2:42" x14ac:dyDescent="0.2">
      <c r="B3586" t="s">
        <v>44</v>
      </c>
      <c r="C3586" t="str">
        <f>HYPERLINK("https://us2.cloudbeds.com/connect/8493803454333002#/reservations/46298461175992?display=WUBFWR48Z&amp;reservation_id=46298461175992", "WUBFWR48Z")</f>
        <v>WUBFWR48Z</v>
      </c>
      <c r="D3586" t="s">
        <v>45</v>
      </c>
      <c r="E3586" t="s">
        <v>138</v>
      </c>
      <c r="F3586" t="s">
        <v>70</v>
      </c>
      <c r="G3586" t="s">
        <v>48</v>
      </c>
      <c r="H3586" t="s">
        <v>49</v>
      </c>
      <c r="I3586" t="s">
        <v>50</v>
      </c>
      <c r="J3586" t="s">
        <v>5229</v>
      </c>
      <c r="K3586" t="s">
        <v>5982</v>
      </c>
      <c r="L3586" t="s">
        <v>53</v>
      </c>
      <c r="N3586" t="s">
        <v>5995</v>
      </c>
      <c r="P3586" t="s">
        <v>55</v>
      </c>
      <c r="R3586" t="s">
        <v>53</v>
      </c>
      <c r="T3586" t="s">
        <v>5996</v>
      </c>
      <c r="U3586" t="s">
        <v>58</v>
      </c>
      <c r="V3586">
        <v>1</v>
      </c>
      <c r="W3586">
        <v>1</v>
      </c>
      <c r="X3586">
        <v>1</v>
      </c>
      <c r="Y3586">
        <v>0</v>
      </c>
      <c r="Z3586">
        <v>1</v>
      </c>
      <c r="AA3586">
        <v>0</v>
      </c>
      <c r="AB3586">
        <v>63.42</v>
      </c>
      <c r="AC3586">
        <v>55.8</v>
      </c>
      <c r="AD3586">
        <v>0</v>
      </c>
      <c r="AE3586">
        <v>7.62</v>
      </c>
      <c r="AF3586">
        <v>0</v>
      </c>
      <c r="AG3586">
        <v>0</v>
      </c>
      <c r="AH3586">
        <v>0</v>
      </c>
      <c r="AI3586">
        <v>11.42</v>
      </c>
      <c r="AJ3586">
        <v>63.42</v>
      </c>
      <c r="AK3586">
        <v>0</v>
      </c>
      <c r="AL3586" t="s">
        <v>53</v>
      </c>
      <c r="AM3586" t="s">
        <v>53</v>
      </c>
      <c r="AN3586" t="s">
        <v>53</v>
      </c>
      <c r="AO3586" t="s">
        <v>53</v>
      </c>
      <c r="AP3586" t="s">
        <v>53</v>
      </c>
    </row>
    <row r="3587" spans="2:42" x14ac:dyDescent="0.2">
      <c r="B3587" t="s">
        <v>44</v>
      </c>
      <c r="C3587" t="str">
        <f>HYPERLINK("https://us2.cloudbeds.com/connect/8493803454333002#/reservations/46457487802588?display=1012KG9EDF&amp;reservation_id=46457487802588", "1012KG9EDF")</f>
        <v>1012KG9EDF</v>
      </c>
      <c r="D3587" t="s">
        <v>45</v>
      </c>
      <c r="E3587" t="s">
        <v>138</v>
      </c>
      <c r="F3587" t="s">
        <v>70</v>
      </c>
      <c r="G3587" t="s">
        <v>48</v>
      </c>
      <c r="H3587" t="s">
        <v>49</v>
      </c>
      <c r="I3587" t="s">
        <v>50</v>
      </c>
      <c r="J3587" t="s">
        <v>5982</v>
      </c>
      <c r="K3587" t="s">
        <v>5936</v>
      </c>
      <c r="L3587" t="s">
        <v>53</v>
      </c>
      <c r="N3587" t="s">
        <v>5997</v>
      </c>
      <c r="P3587" t="s">
        <v>55</v>
      </c>
      <c r="R3587" t="s">
        <v>53</v>
      </c>
      <c r="T3587" t="s">
        <v>5998</v>
      </c>
      <c r="U3587" t="s">
        <v>58</v>
      </c>
      <c r="V3587">
        <v>1</v>
      </c>
      <c r="W3587">
        <v>1</v>
      </c>
      <c r="X3587">
        <v>1</v>
      </c>
      <c r="Y3587">
        <v>0</v>
      </c>
      <c r="Z3587">
        <v>1</v>
      </c>
      <c r="AA3587">
        <v>0</v>
      </c>
      <c r="AB3587">
        <v>62.39</v>
      </c>
      <c r="AC3587">
        <v>54.9</v>
      </c>
      <c r="AD3587">
        <v>0</v>
      </c>
      <c r="AE3587">
        <v>7.49</v>
      </c>
      <c r="AF3587">
        <v>0</v>
      </c>
      <c r="AG3587">
        <v>0</v>
      </c>
      <c r="AH3587">
        <v>0</v>
      </c>
      <c r="AI3587">
        <v>11.23</v>
      </c>
      <c r="AJ3587">
        <v>62.39</v>
      </c>
      <c r="AK3587">
        <v>0</v>
      </c>
      <c r="AL3587" t="s">
        <v>53</v>
      </c>
      <c r="AM3587" t="s">
        <v>53</v>
      </c>
      <c r="AN3587" t="s">
        <v>53</v>
      </c>
      <c r="AO3587" t="s">
        <v>53</v>
      </c>
      <c r="AP3587" t="s">
        <v>53</v>
      </c>
    </row>
    <row r="3588" spans="2:42" x14ac:dyDescent="0.2">
      <c r="B3588" t="s">
        <v>44</v>
      </c>
      <c r="C3588" t="str">
        <f>HYPERLINK("https://us2.cloudbeds.com/connect/8493803454333002#/reservations/46617538027726?display=104RX4ST3R&amp;reservation_id=46617538027726", "104RX4ST3R")</f>
        <v>104RX4ST3R</v>
      </c>
      <c r="D3588" t="s">
        <v>45</v>
      </c>
      <c r="E3588" t="s">
        <v>165</v>
      </c>
      <c r="F3588" t="s">
        <v>61</v>
      </c>
      <c r="G3588" t="s">
        <v>48</v>
      </c>
      <c r="H3588" t="s">
        <v>49</v>
      </c>
      <c r="I3588" t="s">
        <v>50</v>
      </c>
      <c r="J3588" t="s">
        <v>2975</v>
      </c>
      <c r="K3588" t="s">
        <v>5693</v>
      </c>
      <c r="L3588" t="s">
        <v>53</v>
      </c>
      <c r="N3588" t="s">
        <v>5999</v>
      </c>
      <c r="P3588" t="s">
        <v>55</v>
      </c>
      <c r="R3588" t="s">
        <v>53</v>
      </c>
      <c r="T3588" t="s">
        <v>6000</v>
      </c>
      <c r="U3588" t="s">
        <v>58</v>
      </c>
      <c r="V3588">
        <v>1</v>
      </c>
      <c r="W3588">
        <v>1</v>
      </c>
      <c r="X3588">
        <v>2</v>
      </c>
      <c r="Y3588">
        <v>0</v>
      </c>
      <c r="Z3588">
        <v>2</v>
      </c>
      <c r="AA3588">
        <v>0</v>
      </c>
      <c r="AB3588">
        <v>84.89</v>
      </c>
      <c r="AC3588">
        <v>74.7</v>
      </c>
      <c r="AD3588">
        <v>0</v>
      </c>
      <c r="AE3588">
        <v>10.19</v>
      </c>
      <c r="AF3588">
        <v>0</v>
      </c>
      <c r="AG3588">
        <v>0</v>
      </c>
      <c r="AH3588">
        <v>0</v>
      </c>
      <c r="AI3588">
        <v>15.28</v>
      </c>
      <c r="AJ3588">
        <v>84.89</v>
      </c>
      <c r="AK3588">
        <v>0</v>
      </c>
      <c r="AL3588" t="s">
        <v>53</v>
      </c>
      <c r="AM3588" t="s">
        <v>53</v>
      </c>
      <c r="AN3588" t="s">
        <v>53</v>
      </c>
      <c r="AO3588" t="s">
        <v>53</v>
      </c>
      <c r="AP3588" t="s">
        <v>53</v>
      </c>
    </row>
    <row r="3589" spans="2:42" x14ac:dyDescent="0.2">
      <c r="B3589" t="s">
        <v>44</v>
      </c>
      <c r="C3589" t="str">
        <f>HYPERLINK("https://us2.cloudbeds.com/connect/8493803454333002#/reservations/46623347970176?display=104W1JVWEP&amp;reservation_id=46623347970176", "104W1JVWEP")</f>
        <v>104W1JVWEP</v>
      </c>
      <c r="D3589" t="s">
        <v>45</v>
      </c>
      <c r="E3589" t="s">
        <v>78</v>
      </c>
      <c r="F3589" t="s">
        <v>61</v>
      </c>
      <c r="G3589" t="s">
        <v>48</v>
      </c>
      <c r="H3589" t="s">
        <v>3957</v>
      </c>
      <c r="I3589" t="s">
        <v>3958</v>
      </c>
      <c r="J3589" t="s">
        <v>5186</v>
      </c>
      <c r="K3589" t="s">
        <v>4724</v>
      </c>
      <c r="L3589" t="s">
        <v>53</v>
      </c>
      <c r="P3589" t="s">
        <v>58</v>
      </c>
      <c r="R3589" t="s">
        <v>56</v>
      </c>
      <c r="T3589" t="s">
        <v>6001</v>
      </c>
      <c r="U3589" t="s">
        <v>58</v>
      </c>
      <c r="V3589">
        <v>3</v>
      </c>
      <c r="W3589">
        <v>1</v>
      </c>
      <c r="X3589">
        <v>1</v>
      </c>
      <c r="Y3589">
        <v>0</v>
      </c>
      <c r="Z3589">
        <v>1</v>
      </c>
      <c r="AA3589">
        <v>0</v>
      </c>
      <c r="AB3589">
        <v>279.58999999999997</v>
      </c>
      <c r="AC3589">
        <v>246</v>
      </c>
      <c r="AD3589">
        <v>0</v>
      </c>
      <c r="AE3589">
        <v>33.590000000000003</v>
      </c>
      <c r="AF3589">
        <v>0</v>
      </c>
      <c r="AG3589">
        <v>0</v>
      </c>
      <c r="AH3589">
        <v>0</v>
      </c>
      <c r="AI3589">
        <v>0</v>
      </c>
      <c r="AJ3589">
        <v>279.58999999999997</v>
      </c>
      <c r="AK3589">
        <v>0</v>
      </c>
      <c r="AL3589" t="s">
        <v>53</v>
      </c>
      <c r="AM3589" t="s">
        <v>53</v>
      </c>
      <c r="AN3589" t="s">
        <v>53</v>
      </c>
      <c r="AO3589" t="s">
        <v>53</v>
      </c>
      <c r="AP3589" t="s">
        <v>53</v>
      </c>
    </row>
    <row r="3590" spans="2:42" x14ac:dyDescent="0.2">
      <c r="B3590" t="s">
        <v>44</v>
      </c>
      <c r="C3590" t="str">
        <f>HYPERLINK("https://us2.cloudbeds.com/connect/8493803454333002#/reservations/46629286543602?display=1053YBHYKE&amp;reservation_id=46629286543602", "1053YBHYKE")</f>
        <v>1053YBHYKE</v>
      </c>
      <c r="D3590" t="s">
        <v>45</v>
      </c>
      <c r="E3590" t="s">
        <v>105</v>
      </c>
      <c r="F3590" t="s">
        <v>47</v>
      </c>
      <c r="G3590" t="s">
        <v>48</v>
      </c>
      <c r="H3590" t="s">
        <v>49</v>
      </c>
      <c r="I3590" t="s">
        <v>50</v>
      </c>
      <c r="J3590" t="s">
        <v>5982</v>
      </c>
      <c r="K3590" t="s">
        <v>5936</v>
      </c>
      <c r="L3590" t="s">
        <v>53</v>
      </c>
      <c r="N3590" t="s">
        <v>6002</v>
      </c>
      <c r="P3590" t="s">
        <v>55</v>
      </c>
      <c r="R3590" t="s">
        <v>53</v>
      </c>
      <c r="T3590" t="s">
        <v>6003</v>
      </c>
      <c r="U3590" t="s">
        <v>58</v>
      </c>
      <c r="V3590">
        <v>1</v>
      </c>
      <c r="W3590">
        <v>1</v>
      </c>
      <c r="X3590">
        <v>1</v>
      </c>
      <c r="Y3590">
        <v>0</v>
      </c>
      <c r="Z3590">
        <v>1</v>
      </c>
      <c r="AA3590">
        <v>0</v>
      </c>
      <c r="AB3590">
        <v>61.83</v>
      </c>
      <c r="AC3590">
        <v>54.4</v>
      </c>
      <c r="AD3590">
        <v>0</v>
      </c>
      <c r="AE3590">
        <v>7.43</v>
      </c>
      <c r="AF3590">
        <v>0</v>
      </c>
      <c r="AG3590">
        <v>0</v>
      </c>
      <c r="AH3590">
        <v>0</v>
      </c>
      <c r="AI3590">
        <v>11.13</v>
      </c>
      <c r="AJ3590">
        <v>61.83</v>
      </c>
      <c r="AK3590">
        <v>0</v>
      </c>
      <c r="AL3590" t="s">
        <v>53</v>
      </c>
      <c r="AM3590" t="s">
        <v>53</v>
      </c>
      <c r="AN3590" t="s">
        <v>53</v>
      </c>
      <c r="AO3590" t="s">
        <v>53</v>
      </c>
      <c r="AP3590" t="s">
        <v>53</v>
      </c>
    </row>
    <row r="3591" spans="2:42" x14ac:dyDescent="0.2">
      <c r="B3591" t="s">
        <v>44</v>
      </c>
      <c r="C3591" t="str">
        <f>HYPERLINK("https://us2.cloudbeds.com/connect/8493803454333002#/reservations/46670966132869?display=1062UBSM00&amp;reservation_id=46670966132869", "1062UBSM00")</f>
        <v>1062UBSM00</v>
      </c>
      <c r="D3591" t="s">
        <v>45</v>
      </c>
      <c r="E3591" t="s">
        <v>6004</v>
      </c>
      <c r="F3591" t="s">
        <v>6005</v>
      </c>
      <c r="G3591" t="s">
        <v>48</v>
      </c>
      <c r="H3591" t="s">
        <v>49</v>
      </c>
      <c r="I3591" t="s">
        <v>62</v>
      </c>
      <c r="J3591" t="s">
        <v>2284</v>
      </c>
      <c r="K3591" t="s">
        <v>5825</v>
      </c>
      <c r="L3591" t="s">
        <v>53</v>
      </c>
      <c r="N3591" t="s">
        <v>6006</v>
      </c>
      <c r="P3591" t="s">
        <v>55</v>
      </c>
      <c r="R3591" t="s">
        <v>66</v>
      </c>
      <c r="T3591" t="s">
        <v>6007</v>
      </c>
      <c r="U3591" t="s">
        <v>55</v>
      </c>
      <c r="V3591">
        <v>3</v>
      </c>
      <c r="W3591">
        <v>3</v>
      </c>
      <c r="X3591">
        <v>6</v>
      </c>
      <c r="Y3591">
        <v>0</v>
      </c>
      <c r="Z3591">
        <v>6</v>
      </c>
      <c r="AA3591">
        <v>0</v>
      </c>
      <c r="AB3591">
        <v>326.7</v>
      </c>
      <c r="AC3591">
        <v>326.7</v>
      </c>
      <c r="AD3591">
        <v>0</v>
      </c>
      <c r="AE3591">
        <v>0</v>
      </c>
      <c r="AF3591">
        <v>0</v>
      </c>
      <c r="AG3591">
        <v>0</v>
      </c>
      <c r="AH3591">
        <v>0</v>
      </c>
      <c r="AI3591">
        <v>58.81</v>
      </c>
      <c r="AJ3591">
        <v>326.7</v>
      </c>
      <c r="AK3591">
        <v>0</v>
      </c>
      <c r="AL3591" t="s">
        <v>53</v>
      </c>
      <c r="AM3591" t="s">
        <v>53</v>
      </c>
      <c r="AN3591" t="s">
        <v>53</v>
      </c>
      <c r="AO3591" t="s">
        <v>53</v>
      </c>
      <c r="AP3591" t="s">
        <v>53</v>
      </c>
    </row>
    <row r="3592" spans="2:42" x14ac:dyDescent="0.2">
      <c r="B3592" t="s">
        <v>44</v>
      </c>
      <c r="C3592" t="str">
        <f>HYPERLINK("https://us2.cloudbeds.com/connect/8493803454333002#/reservations/46670599770345?display=1062KWV2VB&amp;reservation_id=46670599770345", "1062KWV2VB")</f>
        <v>1062KWV2VB</v>
      </c>
      <c r="D3592" t="s">
        <v>45</v>
      </c>
      <c r="E3592" t="s">
        <v>165</v>
      </c>
      <c r="F3592" t="s">
        <v>61</v>
      </c>
      <c r="G3592" t="s">
        <v>48</v>
      </c>
      <c r="H3592" t="s">
        <v>49</v>
      </c>
      <c r="I3592" t="s">
        <v>50</v>
      </c>
      <c r="J3592" t="s">
        <v>6008</v>
      </c>
      <c r="K3592" t="s">
        <v>2976</v>
      </c>
      <c r="L3592" t="s">
        <v>53</v>
      </c>
      <c r="N3592" t="s">
        <v>6009</v>
      </c>
      <c r="P3592" t="s">
        <v>55</v>
      </c>
      <c r="R3592" t="s">
        <v>53</v>
      </c>
      <c r="T3592" t="s">
        <v>6010</v>
      </c>
      <c r="U3592" t="s">
        <v>58</v>
      </c>
      <c r="V3592">
        <v>1</v>
      </c>
      <c r="W3592">
        <v>1</v>
      </c>
      <c r="X3592">
        <v>2</v>
      </c>
      <c r="Y3592">
        <v>0</v>
      </c>
      <c r="Z3592">
        <v>2</v>
      </c>
      <c r="AA3592">
        <v>0</v>
      </c>
      <c r="AB3592">
        <v>72.459999999999994</v>
      </c>
      <c r="AC3592">
        <v>63.75</v>
      </c>
      <c r="AD3592">
        <v>0</v>
      </c>
      <c r="AE3592">
        <v>8.7100000000000009</v>
      </c>
      <c r="AF3592">
        <v>0</v>
      </c>
      <c r="AG3592">
        <v>0</v>
      </c>
      <c r="AH3592">
        <v>0</v>
      </c>
      <c r="AI3592">
        <v>13.04</v>
      </c>
      <c r="AJ3592">
        <v>72.459999999999994</v>
      </c>
      <c r="AK3592">
        <v>0</v>
      </c>
      <c r="AL3592" t="s">
        <v>53</v>
      </c>
      <c r="AM3592" t="s">
        <v>53</v>
      </c>
      <c r="AN3592" t="s">
        <v>53</v>
      </c>
      <c r="AO3592" t="s">
        <v>53</v>
      </c>
      <c r="AP3592" t="s">
        <v>53</v>
      </c>
    </row>
    <row r="3593" spans="2:42" x14ac:dyDescent="0.2">
      <c r="B3593" t="s">
        <v>44</v>
      </c>
      <c r="C3593" t="str">
        <f>HYPERLINK("https://us2.cloudbeds.com/connect/8493803454333002#/reservations/46753731653829?display=108106V9YN&amp;reservation_id=46753731653829", "108106V9YN")</f>
        <v>108106V9YN</v>
      </c>
      <c r="D3593" t="s">
        <v>45</v>
      </c>
      <c r="E3593" t="s">
        <v>78</v>
      </c>
      <c r="F3593" t="s">
        <v>61</v>
      </c>
      <c r="G3593" t="s">
        <v>48</v>
      </c>
      <c r="H3593" t="s">
        <v>3957</v>
      </c>
      <c r="I3593" t="s">
        <v>3958</v>
      </c>
      <c r="J3593" t="s">
        <v>5982</v>
      </c>
      <c r="K3593" t="s">
        <v>5936</v>
      </c>
      <c r="L3593" t="s">
        <v>53</v>
      </c>
      <c r="P3593" t="s">
        <v>58</v>
      </c>
      <c r="R3593" t="s">
        <v>56</v>
      </c>
      <c r="T3593" t="s">
        <v>6011</v>
      </c>
      <c r="U3593" t="s">
        <v>58</v>
      </c>
      <c r="V3593">
        <v>1</v>
      </c>
      <c r="W3593">
        <v>1</v>
      </c>
      <c r="X3593">
        <v>1</v>
      </c>
      <c r="Y3593">
        <v>0</v>
      </c>
      <c r="Z3593">
        <v>1</v>
      </c>
      <c r="AA3593">
        <v>0</v>
      </c>
      <c r="AB3593">
        <v>56.83</v>
      </c>
      <c r="AC3593">
        <v>50</v>
      </c>
      <c r="AD3593">
        <v>0</v>
      </c>
      <c r="AE3593">
        <v>6.83</v>
      </c>
      <c r="AF3593">
        <v>0</v>
      </c>
      <c r="AG3593">
        <v>0</v>
      </c>
      <c r="AH3593">
        <v>0</v>
      </c>
      <c r="AI3593">
        <v>0</v>
      </c>
      <c r="AJ3593">
        <v>56.83</v>
      </c>
      <c r="AK3593">
        <v>0</v>
      </c>
      <c r="AL3593" t="s">
        <v>53</v>
      </c>
      <c r="AM3593" t="s">
        <v>53</v>
      </c>
      <c r="AN3593" t="s">
        <v>53</v>
      </c>
      <c r="AO3593" t="s">
        <v>53</v>
      </c>
      <c r="AP3593" t="s">
        <v>53</v>
      </c>
    </row>
    <row r="3594" spans="2:42" x14ac:dyDescent="0.2">
      <c r="B3594" t="s">
        <v>44</v>
      </c>
      <c r="C3594" t="str">
        <f>HYPERLINK("https://us2.cloudbeds.com/connect/8493803454333002#/reservations/46958805971179?display=10CRQB1FYZ&amp;reservation_id=46958805971179", "10CRQB1FYZ")</f>
        <v>10CRQB1FYZ</v>
      </c>
      <c r="D3594" t="s">
        <v>45</v>
      </c>
      <c r="E3594" t="s">
        <v>113</v>
      </c>
      <c r="F3594" t="s">
        <v>61</v>
      </c>
      <c r="G3594" t="s">
        <v>48</v>
      </c>
      <c r="H3594" t="s">
        <v>49</v>
      </c>
      <c r="I3594" t="s">
        <v>50</v>
      </c>
      <c r="J3594" t="s">
        <v>5936</v>
      </c>
      <c r="K3594" t="s">
        <v>5700</v>
      </c>
      <c r="L3594" t="s">
        <v>53</v>
      </c>
      <c r="N3594" t="s">
        <v>6012</v>
      </c>
      <c r="P3594" t="s">
        <v>55</v>
      </c>
      <c r="R3594" t="s">
        <v>53</v>
      </c>
      <c r="T3594" t="s">
        <v>6013</v>
      </c>
      <c r="U3594" t="s">
        <v>58</v>
      </c>
      <c r="V3594">
        <v>1</v>
      </c>
      <c r="W3594">
        <v>1</v>
      </c>
      <c r="X3594">
        <v>1</v>
      </c>
      <c r="Y3594">
        <v>0</v>
      </c>
      <c r="Z3594">
        <v>1</v>
      </c>
      <c r="AA3594">
        <v>0</v>
      </c>
      <c r="AB3594">
        <v>62.79</v>
      </c>
      <c r="AC3594">
        <v>55.25</v>
      </c>
      <c r="AD3594">
        <v>0</v>
      </c>
      <c r="AE3594">
        <v>7.54</v>
      </c>
      <c r="AF3594">
        <v>0</v>
      </c>
      <c r="AG3594">
        <v>0</v>
      </c>
      <c r="AH3594">
        <v>0</v>
      </c>
      <c r="AI3594">
        <v>11.3</v>
      </c>
      <c r="AJ3594">
        <v>62.79</v>
      </c>
      <c r="AK3594">
        <v>0</v>
      </c>
      <c r="AL3594" t="s">
        <v>53</v>
      </c>
      <c r="AM3594" t="s">
        <v>53</v>
      </c>
      <c r="AN3594" t="s">
        <v>53</v>
      </c>
      <c r="AO3594" t="s">
        <v>53</v>
      </c>
      <c r="AP3594" t="s">
        <v>53</v>
      </c>
    </row>
    <row r="3595" spans="2:42" x14ac:dyDescent="0.2">
      <c r="B3595" t="s">
        <v>44</v>
      </c>
      <c r="C3595" t="str">
        <f>HYPERLINK("https://us2.cloudbeds.com/connect/8493803454333002#/reservations/46969145847962?display=10D2QHTQ07&amp;reservation_id=46969145847962", "10D2QHTQ07")</f>
        <v>10D2QHTQ07</v>
      </c>
      <c r="D3595" t="s">
        <v>45</v>
      </c>
      <c r="E3595" t="s">
        <v>105</v>
      </c>
      <c r="F3595" t="s">
        <v>47</v>
      </c>
      <c r="G3595" t="s">
        <v>4520</v>
      </c>
      <c r="H3595" t="s">
        <v>3957</v>
      </c>
      <c r="I3595" t="s">
        <v>3958</v>
      </c>
      <c r="J3595" t="s">
        <v>5936</v>
      </c>
      <c r="K3595" t="s">
        <v>5693</v>
      </c>
      <c r="L3595" t="s">
        <v>53</v>
      </c>
      <c r="P3595" t="s">
        <v>58</v>
      </c>
      <c r="R3595" t="s">
        <v>56</v>
      </c>
      <c r="T3595" t="s">
        <v>6014</v>
      </c>
      <c r="U3595" t="s">
        <v>58</v>
      </c>
      <c r="V3595">
        <v>6</v>
      </c>
      <c r="W3595">
        <v>1</v>
      </c>
      <c r="X3595">
        <v>1</v>
      </c>
      <c r="Y3595">
        <v>0</v>
      </c>
      <c r="Z3595">
        <v>1</v>
      </c>
      <c r="AA3595">
        <v>0</v>
      </c>
      <c r="AB3595">
        <v>547.24</v>
      </c>
      <c r="AC3595">
        <v>481.5</v>
      </c>
      <c r="AD3595">
        <v>0</v>
      </c>
      <c r="AE3595">
        <v>65.739999999999995</v>
      </c>
      <c r="AF3595">
        <v>0</v>
      </c>
      <c r="AG3595">
        <v>0</v>
      </c>
      <c r="AH3595">
        <v>0</v>
      </c>
      <c r="AI3595">
        <v>0</v>
      </c>
      <c r="AJ3595">
        <v>547.24</v>
      </c>
      <c r="AK3595">
        <v>0</v>
      </c>
      <c r="AL3595" t="s">
        <v>53</v>
      </c>
      <c r="AM3595" t="s">
        <v>53</v>
      </c>
      <c r="AN3595" t="s">
        <v>53</v>
      </c>
      <c r="AO3595" t="s">
        <v>53</v>
      </c>
      <c r="AP3595" t="s">
        <v>53</v>
      </c>
    </row>
    <row r="3596" spans="2:42" x14ac:dyDescent="0.2">
      <c r="B3596" t="s">
        <v>44</v>
      </c>
      <c r="C3596" t="str">
        <f>HYPERLINK("https://us2.cloudbeds.com/connect/8493803454333002#/reservations/47044770828457?display=10ESBUTBHR&amp;reservation_id=47044770828457", "10ESBUTBHR")</f>
        <v>10ESBUTBHR</v>
      </c>
      <c r="D3596" t="s">
        <v>45</v>
      </c>
      <c r="E3596" t="s">
        <v>92</v>
      </c>
      <c r="F3596" t="s">
        <v>86</v>
      </c>
      <c r="G3596" t="s">
        <v>48</v>
      </c>
      <c r="H3596" t="s">
        <v>49</v>
      </c>
      <c r="I3596" t="s">
        <v>62</v>
      </c>
      <c r="J3596" t="s">
        <v>2284</v>
      </c>
      <c r="K3596" t="s">
        <v>5825</v>
      </c>
      <c r="L3596" t="s">
        <v>53</v>
      </c>
      <c r="N3596" t="s">
        <v>6015</v>
      </c>
      <c r="P3596" t="s">
        <v>55</v>
      </c>
      <c r="R3596" t="s">
        <v>66</v>
      </c>
      <c r="T3596" t="s">
        <v>6016</v>
      </c>
      <c r="U3596" t="s">
        <v>55</v>
      </c>
      <c r="V3596">
        <v>1</v>
      </c>
      <c r="W3596">
        <v>1</v>
      </c>
      <c r="X3596">
        <v>4</v>
      </c>
      <c r="Y3596">
        <v>0</v>
      </c>
      <c r="Z3596">
        <v>4</v>
      </c>
      <c r="AA3596">
        <v>0</v>
      </c>
      <c r="AB3596">
        <v>117</v>
      </c>
      <c r="AC3596">
        <v>117</v>
      </c>
      <c r="AD3596">
        <v>0</v>
      </c>
      <c r="AE3596">
        <v>0</v>
      </c>
      <c r="AF3596">
        <v>0</v>
      </c>
      <c r="AG3596">
        <v>0</v>
      </c>
      <c r="AH3596">
        <v>0</v>
      </c>
      <c r="AI3596">
        <v>21.06</v>
      </c>
      <c r="AJ3596">
        <v>117</v>
      </c>
      <c r="AK3596">
        <v>0</v>
      </c>
      <c r="AL3596" t="s">
        <v>53</v>
      </c>
      <c r="AM3596" t="s">
        <v>53</v>
      </c>
      <c r="AN3596" t="s">
        <v>53</v>
      </c>
      <c r="AO3596" t="s">
        <v>53</v>
      </c>
      <c r="AP3596" t="s">
        <v>53</v>
      </c>
    </row>
    <row r="3597" spans="2:42" x14ac:dyDescent="0.2">
      <c r="B3597" t="s">
        <v>44</v>
      </c>
      <c r="C3597" t="str">
        <f>HYPERLINK("https://us2.cloudbeds.com/connect/8493803454333002#/reservations/47059469451400?display=10F6ZH56K9&amp;reservation_id=47059469451400", "10F6ZH56K9")</f>
        <v>10F6ZH56K9</v>
      </c>
      <c r="D3597" t="s">
        <v>45</v>
      </c>
      <c r="E3597" t="s">
        <v>113</v>
      </c>
      <c r="F3597" t="s">
        <v>61</v>
      </c>
      <c r="G3597" t="s">
        <v>48</v>
      </c>
      <c r="H3597" t="s">
        <v>49</v>
      </c>
      <c r="I3597" t="s">
        <v>50</v>
      </c>
      <c r="J3597" t="s">
        <v>5700</v>
      </c>
      <c r="K3597" t="s">
        <v>4840</v>
      </c>
      <c r="L3597" t="s">
        <v>53</v>
      </c>
      <c r="N3597" t="s">
        <v>6017</v>
      </c>
      <c r="P3597" t="s">
        <v>55</v>
      </c>
      <c r="R3597" t="s">
        <v>53</v>
      </c>
      <c r="T3597" t="s">
        <v>6018</v>
      </c>
      <c r="U3597" t="s">
        <v>58</v>
      </c>
      <c r="V3597">
        <v>1</v>
      </c>
      <c r="W3597">
        <v>1</v>
      </c>
      <c r="X3597">
        <v>2</v>
      </c>
      <c r="Y3597">
        <v>0</v>
      </c>
      <c r="Z3597">
        <v>2</v>
      </c>
      <c r="AA3597">
        <v>0</v>
      </c>
      <c r="AB3597">
        <v>0</v>
      </c>
      <c r="AC3597">
        <v>0</v>
      </c>
      <c r="AD3597">
        <v>0</v>
      </c>
      <c r="AE3597">
        <v>0</v>
      </c>
      <c r="AF3597">
        <v>0</v>
      </c>
      <c r="AG3597">
        <v>0</v>
      </c>
      <c r="AH3597">
        <v>0</v>
      </c>
      <c r="AI3597">
        <v>0</v>
      </c>
      <c r="AJ3597">
        <v>0</v>
      </c>
      <c r="AK3597">
        <v>0</v>
      </c>
      <c r="AL3597" t="s">
        <v>53</v>
      </c>
      <c r="AM3597" t="s">
        <v>53</v>
      </c>
      <c r="AN3597" t="s">
        <v>53</v>
      </c>
      <c r="AO3597" t="s">
        <v>53</v>
      </c>
      <c r="AP3597" t="s">
        <v>53</v>
      </c>
    </row>
    <row r="3598" spans="2:42" x14ac:dyDescent="0.2">
      <c r="B3598" t="s">
        <v>44</v>
      </c>
      <c r="C3598" t="str">
        <f>HYPERLINK("https://us2.cloudbeds.com/connect/8493803454333002#/reservations/47065824858299?display=10FBYU6P94&amp;reservation_id=47065824858299", "10FBYU6P94")</f>
        <v>10FBYU6P94</v>
      </c>
      <c r="D3598" t="s">
        <v>45</v>
      </c>
      <c r="E3598" t="s">
        <v>138</v>
      </c>
      <c r="F3598" t="s">
        <v>70</v>
      </c>
      <c r="G3598" t="s">
        <v>48</v>
      </c>
      <c r="H3598" t="s">
        <v>49</v>
      </c>
      <c r="I3598" t="s">
        <v>50</v>
      </c>
      <c r="J3598" t="s">
        <v>5321</v>
      </c>
      <c r="K3598" t="s">
        <v>6019</v>
      </c>
      <c r="L3598" t="s">
        <v>53</v>
      </c>
      <c r="N3598" t="s">
        <v>6020</v>
      </c>
      <c r="P3598" t="s">
        <v>55</v>
      </c>
      <c r="R3598" t="s">
        <v>53</v>
      </c>
      <c r="T3598" t="s">
        <v>6021</v>
      </c>
      <c r="U3598" t="s">
        <v>58</v>
      </c>
      <c r="V3598">
        <v>3</v>
      </c>
      <c r="W3598">
        <v>1</v>
      </c>
      <c r="X3598">
        <v>2</v>
      </c>
      <c r="Y3598">
        <v>0</v>
      </c>
      <c r="Z3598">
        <v>2</v>
      </c>
      <c r="AA3598">
        <v>0</v>
      </c>
      <c r="AB3598">
        <v>182.55</v>
      </c>
      <c r="AC3598">
        <v>160.65</v>
      </c>
      <c r="AD3598">
        <v>0</v>
      </c>
      <c r="AE3598">
        <v>21.9</v>
      </c>
      <c r="AF3598">
        <v>0</v>
      </c>
      <c r="AG3598">
        <v>0</v>
      </c>
      <c r="AH3598">
        <v>0</v>
      </c>
      <c r="AI3598">
        <v>32.86</v>
      </c>
      <c r="AJ3598">
        <v>182.55</v>
      </c>
      <c r="AK3598">
        <v>0</v>
      </c>
      <c r="AL3598" t="s">
        <v>53</v>
      </c>
      <c r="AM3598" t="s">
        <v>53</v>
      </c>
      <c r="AN3598" t="s">
        <v>53</v>
      </c>
      <c r="AO3598" t="s">
        <v>53</v>
      </c>
      <c r="AP3598" t="s">
        <v>53</v>
      </c>
    </row>
    <row r="3599" spans="2:42" x14ac:dyDescent="0.2">
      <c r="B3599" t="s">
        <v>44</v>
      </c>
      <c r="C3599" t="str">
        <f>HYPERLINK("https://us2.cloudbeds.com/connect/8493803454333002#/reservations/47079828197531?display=10FMGZ6AY7&amp;reservation_id=47079828197531", "10FMGZ6AY7")</f>
        <v>10FMGZ6AY7</v>
      </c>
      <c r="D3599" t="s">
        <v>45</v>
      </c>
      <c r="E3599" t="s">
        <v>406</v>
      </c>
      <c r="F3599" t="s">
        <v>61</v>
      </c>
      <c r="G3599" t="s">
        <v>48</v>
      </c>
      <c r="H3599" t="s">
        <v>49</v>
      </c>
      <c r="I3599" t="s">
        <v>62</v>
      </c>
      <c r="J3599" t="s">
        <v>5936</v>
      </c>
      <c r="K3599" t="s">
        <v>5700</v>
      </c>
      <c r="L3599" t="s">
        <v>53</v>
      </c>
      <c r="N3599" t="s">
        <v>6022</v>
      </c>
      <c r="P3599" t="s">
        <v>55</v>
      </c>
      <c r="R3599" t="s">
        <v>56</v>
      </c>
      <c r="T3599" t="s">
        <v>6023</v>
      </c>
      <c r="U3599" t="s">
        <v>55</v>
      </c>
      <c r="V3599">
        <v>1</v>
      </c>
      <c r="W3599">
        <v>1</v>
      </c>
      <c r="X3599">
        <v>2</v>
      </c>
      <c r="Y3599">
        <v>0</v>
      </c>
      <c r="Z3599">
        <v>2</v>
      </c>
      <c r="AA3599">
        <v>0</v>
      </c>
      <c r="AB3599">
        <v>65</v>
      </c>
      <c r="AC3599">
        <v>65</v>
      </c>
      <c r="AD3599">
        <v>0</v>
      </c>
      <c r="AE3599">
        <v>0</v>
      </c>
      <c r="AF3599">
        <v>0</v>
      </c>
      <c r="AG3599">
        <v>0</v>
      </c>
      <c r="AH3599">
        <v>0</v>
      </c>
      <c r="AI3599">
        <v>11.7</v>
      </c>
      <c r="AJ3599">
        <v>65</v>
      </c>
      <c r="AK3599">
        <v>0</v>
      </c>
      <c r="AL3599" t="s">
        <v>53</v>
      </c>
      <c r="AM3599" t="s">
        <v>53</v>
      </c>
      <c r="AN3599" t="s">
        <v>53</v>
      </c>
      <c r="AO3599" t="s">
        <v>53</v>
      </c>
      <c r="AP3599" t="s">
        <v>53</v>
      </c>
    </row>
    <row r="3600" spans="2:42" x14ac:dyDescent="0.2">
      <c r="B3600" t="s">
        <v>44</v>
      </c>
      <c r="C3600" t="str">
        <f>HYPERLINK("https://us2.cloudbeds.com/connect/8493803454333002#/reservations/47084509872345?display=10FQ4BTR7W&amp;reservation_id=47084509872345", "10FQ4BTR7W")</f>
        <v>10FQ4BTR7W</v>
      </c>
      <c r="D3600" t="s">
        <v>45</v>
      </c>
      <c r="E3600" t="s">
        <v>6024</v>
      </c>
      <c r="F3600" t="s">
        <v>5257</v>
      </c>
      <c r="G3600" t="s">
        <v>48</v>
      </c>
      <c r="H3600" t="s">
        <v>49</v>
      </c>
      <c r="I3600" t="s">
        <v>62</v>
      </c>
      <c r="J3600" t="s">
        <v>2284</v>
      </c>
      <c r="K3600" t="s">
        <v>5825</v>
      </c>
      <c r="L3600" t="s">
        <v>53</v>
      </c>
      <c r="N3600" t="s">
        <v>6025</v>
      </c>
      <c r="P3600" t="s">
        <v>58</v>
      </c>
      <c r="R3600" t="s">
        <v>56</v>
      </c>
      <c r="T3600" t="s">
        <v>6026</v>
      </c>
      <c r="U3600" t="s">
        <v>55</v>
      </c>
      <c r="V3600">
        <v>3</v>
      </c>
      <c r="W3600">
        <v>3</v>
      </c>
      <c r="X3600">
        <v>4</v>
      </c>
      <c r="Y3600">
        <v>2</v>
      </c>
      <c r="Z3600">
        <v>6</v>
      </c>
      <c r="AA3600">
        <v>0</v>
      </c>
      <c r="AB3600">
        <v>351</v>
      </c>
      <c r="AC3600">
        <v>351</v>
      </c>
      <c r="AD3600">
        <v>0</v>
      </c>
      <c r="AE3600">
        <v>0</v>
      </c>
      <c r="AF3600">
        <v>0</v>
      </c>
      <c r="AG3600">
        <v>0</v>
      </c>
      <c r="AH3600">
        <v>0</v>
      </c>
      <c r="AI3600">
        <v>63.18</v>
      </c>
      <c r="AJ3600">
        <v>351</v>
      </c>
      <c r="AK3600">
        <v>0</v>
      </c>
      <c r="AL3600" t="s">
        <v>53</v>
      </c>
      <c r="AM3600" t="s">
        <v>53</v>
      </c>
      <c r="AN3600" t="s">
        <v>53</v>
      </c>
      <c r="AO3600" t="s">
        <v>53</v>
      </c>
      <c r="AP3600" t="s">
        <v>53</v>
      </c>
    </row>
    <row r="3601" spans="2:42" x14ac:dyDescent="0.2">
      <c r="B3601" t="s">
        <v>44</v>
      </c>
      <c r="C3601" t="str">
        <f>HYPERLINK("https://us2.cloudbeds.com/connect/8493803454333002#/reservations/47121437348049?display=10GYNV48W8&amp;reservation_id=47121437348049", "10GYNV48W8")</f>
        <v>10GYNV48W8</v>
      </c>
      <c r="D3601" t="s">
        <v>45</v>
      </c>
      <c r="E3601" t="s">
        <v>155</v>
      </c>
      <c r="F3601" t="s">
        <v>86</v>
      </c>
      <c r="G3601" t="s">
        <v>48</v>
      </c>
      <c r="H3601" t="s">
        <v>49</v>
      </c>
      <c r="I3601" t="s">
        <v>50</v>
      </c>
      <c r="J3601" t="s">
        <v>5700</v>
      </c>
      <c r="K3601" t="s">
        <v>5190</v>
      </c>
      <c r="L3601" t="s">
        <v>53</v>
      </c>
      <c r="N3601" t="s">
        <v>6027</v>
      </c>
      <c r="P3601" t="s">
        <v>55</v>
      </c>
      <c r="R3601" t="s">
        <v>53</v>
      </c>
      <c r="T3601" t="s">
        <v>6028</v>
      </c>
      <c r="U3601" t="s">
        <v>58</v>
      </c>
      <c r="V3601">
        <v>2</v>
      </c>
      <c r="W3601">
        <v>1</v>
      </c>
      <c r="X3601">
        <v>2</v>
      </c>
      <c r="Y3601">
        <v>0</v>
      </c>
      <c r="Z3601">
        <v>2</v>
      </c>
      <c r="AA3601">
        <v>0</v>
      </c>
      <c r="AB3601">
        <v>155.46</v>
      </c>
      <c r="AC3601">
        <v>136.80000000000001</v>
      </c>
      <c r="AD3601">
        <v>0</v>
      </c>
      <c r="AE3601">
        <v>18.66</v>
      </c>
      <c r="AF3601">
        <v>0</v>
      </c>
      <c r="AG3601">
        <v>0</v>
      </c>
      <c r="AH3601">
        <v>0</v>
      </c>
      <c r="AI3601">
        <v>27.98</v>
      </c>
      <c r="AJ3601">
        <v>155.46</v>
      </c>
      <c r="AK3601">
        <v>0</v>
      </c>
      <c r="AL3601" t="s">
        <v>53</v>
      </c>
      <c r="AM3601" t="s">
        <v>53</v>
      </c>
      <c r="AN3601" t="s">
        <v>53</v>
      </c>
      <c r="AO3601" t="s">
        <v>53</v>
      </c>
      <c r="AP3601" t="s">
        <v>53</v>
      </c>
    </row>
    <row r="3602" spans="2:42" x14ac:dyDescent="0.2">
      <c r="B3602" t="s">
        <v>44</v>
      </c>
      <c r="C3602" t="str">
        <f>HYPERLINK("https://us2.cloudbeds.com/connect/8493803454333002#/reservations/47178034618578?display=10HWX4EZU5&amp;reservation_id=47178034618578", "10HWX4EZU5")</f>
        <v>10HWX4EZU5</v>
      </c>
      <c r="D3602" t="s">
        <v>45</v>
      </c>
      <c r="E3602" t="s">
        <v>78</v>
      </c>
      <c r="F3602" t="s">
        <v>61</v>
      </c>
      <c r="G3602" t="s">
        <v>48</v>
      </c>
      <c r="H3602" t="s">
        <v>49</v>
      </c>
      <c r="I3602" t="s">
        <v>50</v>
      </c>
      <c r="J3602" t="s">
        <v>5700</v>
      </c>
      <c r="K3602" t="s">
        <v>4840</v>
      </c>
      <c r="L3602" t="s">
        <v>53</v>
      </c>
      <c r="N3602" t="s">
        <v>6029</v>
      </c>
      <c r="P3602" t="s">
        <v>55</v>
      </c>
      <c r="R3602" t="s">
        <v>53</v>
      </c>
      <c r="T3602" t="s">
        <v>6030</v>
      </c>
      <c r="U3602" t="s">
        <v>58</v>
      </c>
      <c r="V3602">
        <v>1</v>
      </c>
      <c r="W3602">
        <v>1</v>
      </c>
      <c r="X3602">
        <v>2</v>
      </c>
      <c r="Y3602">
        <v>0</v>
      </c>
      <c r="Z3602">
        <v>2</v>
      </c>
      <c r="AA3602">
        <v>0</v>
      </c>
      <c r="AB3602">
        <v>75.349999999999994</v>
      </c>
      <c r="AC3602">
        <v>66.3</v>
      </c>
      <c r="AD3602">
        <v>0</v>
      </c>
      <c r="AE3602">
        <v>9.0500000000000007</v>
      </c>
      <c r="AF3602">
        <v>0</v>
      </c>
      <c r="AG3602">
        <v>0</v>
      </c>
      <c r="AH3602">
        <v>0</v>
      </c>
      <c r="AI3602">
        <v>13.56</v>
      </c>
      <c r="AJ3602">
        <v>75.349999999999994</v>
      </c>
      <c r="AK3602">
        <v>0</v>
      </c>
      <c r="AL3602" t="s">
        <v>53</v>
      </c>
      <c r="AM3602" t="s">
        <v>53</v>
      </c>
      <c r="AN3602" t="s">
        <v>53</v>
      </c>
      <c r="AO3602" t="s">
        <v>53</v>
      </c>
      <c r="AP3602" t="s">
        <v>53</v>
      </c>
    </row>
    <row r="3603" spans="2:42" x14ac:dyDescent="0.2">
      <c r="B3603" t="s">
        <v>44</v>
      </c>
      <c r="C3603" t="str">
        <f>HYPERLINK("https://us2.cloudbeds.com/connect/8493803454333002#/reservations/47365335412934?display=10MCJ3EF5A&amp;reservation_id=47365335412934", "10MCJ3EF5A")</f>
        <v>10MCJ3EF5A</v>
      </c>
      <c r="D3603" t="s">
        <v>45</v>
      </c>
      <c r="E3603" t="s">
        <v>138</v>
      </c>
      <c r="F3603" t="s">
        <v>70</v>
      </c>
      <c r="G3603" t="s">
        <v>48</v>
      </c>
      <c r="H3603" t="s">
        <v>49</v>
      </c>
      <c r="I3603" t="s">
        <v>62</v>
      </c>
      <c r="J3603" t="s">
        <v>5619</v>
      </c>
      <c r="K3603" t="s">
        <v>6031</v>
      </c>
      <c r="L3603" t="s">
        <v>53</v>
      </c>
      <c r="N3603" t="s">
        <v>6032</v>
      </c>
      <c r="P3603" t="s">
        <v>55</v>
      </c>
      <c r="R3603" t="s">
        <v>56</v>
      </c>
      <c r="T3603" t="s">
        <v>6033</v>
      </c>
      <c r="U3603" t="s">
        <v>55</v>
      </c>
      <c r="V3603">
        <v>2</v>
      </c>
      <c r="W3603">
        <v>1</v>
      </c>
      <c r="X3603">
        <v>1</v>
      </c>
      <c r="Y3603">
        <v>0</v>
      </c>
      <c r="Z3603">
        <v>1</v>
      </c>
      <c r="AA3603">
        <v>0</v>
      </c>
      <c r="AB3603">
        <v>126</v>
      </c>
      <c r="AC3603">
        <v>126</v>
      </c>
      <c r="AD3603">
        <v>0</v>
      </c>
      <c r="AE3603">
        <v>0</v>
      </c>
      <c r="AF3603">
        <v>0</v>
      </c>
      <c r="AG3603">
        <v>0</v>
      </c>
      <c r="AH3603">
        <v>0</v>
      </c>
      <c r="AI3603">
        <v>22.68</v>
      </c>
      <c r="AJ3603">
        <v>126</v>
      </c>
      <c r="AK3603">
        <v>0</v>
      </c>
      <c r="AL3603" t="s">
        <v>53</v>
      </c>
      <c r="AM3603" t="s">
        <v>53</v>
      </c>
      <c r="AN3603" t="s">
        <v>53</v>
      </c>
      <c r="AO3603" t="s">
        <v>53</v>
      </c>
      <c r="AP3603" t="s">
        <v>53</v>
      </c>
    </row>
    <row r="3604" spans="2:42" x14ac:dyDescent="0.2">
      <c r="B3604" t="s">
        <v>44</v>
      </c>
      <c r="C3604" t="str">
        <f>HYPERLINK("https://us2.cloudbeds.com/connect/8493803454333002#/reservations/47422584094955?display=10NNTV1E3D&amp;reservation_id=47422584094955", "10NNTV1E3D")</f>
        <v>10NNTV1E3D</v>
      </c>
      <c r="D3604" t="s">
        <v>45</v>
      </c>
      <c r="E3604" t="s">
        <v>487</v>
      </c>
      <c r="F3604" t="s">
        <v>61</v>
      </c>
      <c r="G3604" t="s">
        <v>48</v>
      </c>
      <c r="H3604" t="s">
        <v>3957</v>
      </c>
      <c r="I3604" t="s">
        <v>3958</v>
      </c>
      <c r="J3604" t="s">
        <v>5700</v>
      </c>
      <c r="K3604" t="s">
        <v>4840</v>
      </c>
      <c r="L3604" t="s">
        <v>53</v>
      </c>
      <c r="P3604" t="s">
        <v>58</v>
      </c>
      <c r="R3604" t="s">
        <v>56</v>
      </c>
      <c r="T3604" t="s">
        <v>6034</v>
      </c>
      <c r="U3604" t="s">
        <v>58</v>
      </c>
      <c r="V3604">
        <v>1</v>
      </c>
      <c r="W3604">
        <v>1</v>
      </c>
      <c r="X3604">
        <v>1</v>
      </c>
      <c r="Y3604">
        <v>0</v>
      </c>
      <c r="Z3604">
        <v>1</v>
      </c>
      <c r="AA3604">
        <v>0</v>
      </c>
      <c r="AB3604">
        <v>177.1</v>
      </c>
      <c r="AC3604">
        <v>38</v>
      </c>
      <c r="AD3604">
        <v>0</v>
      </c>
      <c r="AE3604">
        <v>5.19</v>
      </c>
      <c r="AF3604">
        <v>0</v>
      </c>
      <c r="AG3604">
        <v>0</v>
      </c>
      <c r="AH3604">
        <v>0</v>
      </c>
      <c r="AI3604">
        <v>0</v>
      </c>
      <c r="AJ3604">
        <v>43.19</v>
      </c>
      <c r="AK3604">
        <v>0</v>
      </c>
      <c r="AL3604" t="s">
        <v>53</v>
      </c>
      <c r="AM3604" t="s">
        <v>53</v>
      </c>
      <c r="AN3604" t="s">
        <v>53</v>
      </c>
      <c r="AO3604" t="s">
        <v>53</v>
      </c>
      <c r="AP3604" t="s">
        <v>53</v>
      </c>
    </row>
    <row r="3605" spans="2:42" x14ac:dyDescent="0.2">
      <c r="B3605" t="s">
        <v>44</v>
      </c>
      <c r="C3605" t="str">
        <f>HYPERLINK("https://us2.cloudbeds.com/connect/8493803454333002#/reservations/47429716783341?display=10NTE6GWSN&amp;reservation_id=47429716783341", "10NTE6GWSN")</f>
        <v>10NTE6GWSN</v>
      </c>
      <c r="D3605" t="s">
        <v>45</v>
      </c>
      <c r="E3605" t="s">
        <v>6035</v>
      </c>
      <c r="F3605" t="s">
        <v>5257</v>
      </c>
      <c r="G3605" t="s">
        <v>48</v>
      </c>
      <c r="H3605" t="s">
        <v>49</v>
      </c>
      <c r="I3605" t="s">
        <v>62</v>
      </c>
      <c r="J3605" t="s">
        <v>5186</v>
      </c>
      <c r="K3605" t="s">
        <v>5381</v>
      </c>
      <c r="L3605" t="s">
        <v>53</v>
      </c>
      <c r="N3605" t="s">
        <v>6036</v>
      </c>
      <c r="P3605" t="s">
        <v>55</v>
      </c>
      <c r="R3605" t="s">
        <v>56</v>
      </c>
      <c r="T3605" t="s">
        <v>6037</v>
      </c>
      <c r="U3605" t="s">
        <v>55</v>
      </c>
      <c r="V3605">
        <v>4</v>
      </c>
      <c r="W3605">
        <v>2</v>
      </c>
      <c r="X3605">
        <v>3</v>
      </c>
      <c r="Y3605">
        <v>3</v>
      </c>
      <c r="Z3605">
        <v>6</v>
      </c>
      <c r="AA3605">
        <v>0</v>
      </c>
      <c r="AB3605">
        <v>327.60000000000002</v>
      </c>
      <c r="AC3605">
        <v>327.60000000000002</v>
      </c>
      <c r="AD3605">
        <v>0</v>
      </c>
      <c r="AE3605">
        <v>0</v>
      </c>
      <c r="AF3605">
        <v>0</v>
      </c>
      <c r="AG3605">
        <v>0</v>
      </c>
      <c r="AH3605">
        <v>0</v>
      </c>
      <c r="AI3605">
        <v>58.97</v>
      </c>
      <c r="AJ3605">
        <v>327.60000000000002</v>
      </c>
      <c r="AK3605">
        <v>0</v>
      </c>
      <c r="AL3605" t="s">
        <v>53</v>
      </c>
      <c r="AM3605" t="s">
        <v>53</v>
      </c>
      <c r="AN3605" t="s">
        <v>53</v>
      </c>
      <c r="AO3605" t="s">
        <v>53</v>
      </c>
      <c r="AP3605" t="s">
        <v>53</v>
      </c>
    </row>
    <row r="3606" spans="2:42" x14ac:dyDescent="0.2">
      <c r="B3606" t="s">
        <v>44</v>
      </c>
      <c r="C3606" t="str">
        <f>HYPERLINK("https://us2.cloudbeds.com/connect/8493803454333002#/reservations/47789347598559?display=10WATJZXK5&amp;reservation_id=47789347598559", "10WATJZXK5")</f>
        <v>10WATJZXK5</v>
      </c>
      <c r="D3606" t="s">
        <v>45</v>
      </c>
      <c r="E3606" t="s">
        <v>165</v>
      </c>
      <c r="F3606" t="s">
        <v>61</v>
      </c>
      <c r="G3606" t="s">
        <v>48</v>
      </c>
      <c r="H3606" t="s">
        <v>49</v>
      </c>
      <c r="I3606" t="s">
        <v>62</v>
      </c>
      <c r="J3606" t="s">
        <v>5434</v>
      </c>
      <c r="K3606" t="s">
        <v>3133</v>
      </c>
      <c r="L3606" t="s">
        <v>53</v>
      </c>
      <c r="N3606" t="s">
        <v>6038</v>
      </c>
      <c r="P3606" t="s">
        <v>55</v>
      </c>
      <c r="R3606" t="s">
        <v>56</v>
      </c>
      <c r="T3606" t="s">
        <v>6039</v>
      </c>
      <c r="U3606" t="s">
        <v>55</v>
      </c>
      <c r="V3606">
        <v>1</v>
      </c>
      <c r="W3606">
        <v>1</v>
      </c>
      <c r="X3606">
        <v>2</v>
      </c>
      <c r="Y3606">
        <v>0</v>
      </c>
      <c r="Z3606">
        <v>2</v>
      </c>
      <c r="AA3606">
        <v>0</v>
      </c>
      <c r="AB3606">
        <v>112.5</v>
      </c>
      <c r="AC3606">
        <v>112.5</v>
      </c>
      <c r="AD3606">
        <v>0</v>
      </c>
      <c r="AE3606">
        <v>0</v>
      </c>
      <c r="AF3606">
        <v>0</v>
      </c>
      <c r="AG3606">
        <v>0</v>
      </c>
      <c r="AH3606">
        <v>0</v>
      </c>
      <c r="AI3606">
        <v>20.25</v>
      </c>
      <c r="AJ3606">
        <v>112.5</v>
      </c>
      <c r="AK3606">
        <v>0</v>
      </c>
      <c r="AL3606" t="s">
        <v>53</v>
      </c>
      <c r="AM3606" t="s">
        <v>53</v>
      </c>
      <c r="AN3606" t="s">
        <v>53</v>
      </c>
      <c r="AO3606" t="s">
        <v>53</v>
      </c>
      <c r="AP3606" t="s">
        <v>53</v>
      </c>
    </row>
    <row r="3607" spans="2:42" x14ac:dyDescent="0.2">
      <c r="B3607" t="s">
        <v>44</v>
      </c>
      <c r="C3607" t="str">
        <f>HYPERLINK("https://us2.cloudbeds.com/connect/8493803454333002#/reservations/47792433987731?display=10WD9F8TEP&amp;reservation_id=47792433987731", "10WD9F8TEP")</f>
        <v>10WD9F8TEP</v>
      </c>
      <c r="D3607" t="s">
        <v>45</v>
      </c>
      <c r="E3607" t="s">
        <v>165</v>
      </c>
      <c r="F3607" t="s">
        <v>61</v>
      </c>
      <c r="G3607" t="s">
        <v>48</v>
      </c>
      <c r="H3607" t="s">
        <v>49</v>
      </c>
      <c r="I3607" t="s">
        <v>62</v>
      </c>
      <c r="J3607" t="s">
        <v>2664</v>
      </c>
      <c r="K3607" t="s">
        <v>5584</v>
      </c>
      <c r="L3607" t="s">
        <v>53</v>
      </c>
      <c r="N3607" t="s">
        <v>6040</v>
      </c>
      <c r="P3607" t="s">
        <v>55</v>
      </c>
      <c r="R3607" t="s">
        <v>56</v>
      </c>
      <c r="T3607" t="s">
        <v>6041</v>
      </c>
      <c r="U3607" t="s">
        <v>55</v>
      </c>
      <c r="V3607">
        <v>1</v>
      </c>
      <c r="W3607">
        <v>1</v>
      </c>
      <c r="X3607">
        <v>2</v>
      </c>
      <c r="Y3607">
        <v>0</v>
      </c>
      <c r="Z3607">
        <v>2</v>
      </c>
      <c r="AA3607">
        <v>0</v>
      </c>
      <c r="AB3607">
        <v>112.5</v>
      </c>
      <c r="AC3607">
        <v>112.5</v>
      </c>
      <c r="AD3607">
        <v>0</v>
      </c>
      <c r="AE3607">
        <v>0</v>
      </c>
      <c r="AF3607">
        <v>0</v>
      </c>
      <c r="AG3607">
        <v>0</v>
      </c>
      <c r="AH3607">
        <v>0</v>
      </c>
      <c r="AI3607">
        <v>20.25</v>
      </c>
      <c r="AJ3607">
        <v>112.5</v>
      </c>
      <c r="AK3607">
        <v>0</v>
      </c>
      <c r="AL3607" t="s">
        <v>53</v>
      </c>
      <c r="AM3607" t="s">
        <v>53</v>
      </c>
      <c r="AN3607" t="s">
        <v>53</v>
      </c>
      <c r="AO3607" t="s">
        <v>53</v>
      </c>
      <c r="AP3607" t="s">
        <v>53</v>
      </c>
    </row>
    <row r="3608" spans="2:42" x14ac:dyDescent="0.2">
      <c r="B3608" t="s">
        <v>44</v>
      </c>
      <c r="C3608" t="str">
        <f>HYPERLINK("https://us2.cloudbeds.com/connect/8493803454333002#/reservations/47837139288258?display=110ETPVPZB&amp;reservation_id=47837139288258", "110ETPVPZB")</f>
        <v>110ETPVPZB</v>
      </c>
      <c r="D3608" t="s">
        <v>602</v>
      </c>
      <c r="E3608" t="s">
        <v>53</v>
      </c>
      <c r="F3608" t="s">
        <v>70</v>
      </c>
      <c r="G3608" t="s">
        <v>48</v>
      </c>
      <c r="H3608" t="s">
        <v>49</v>
      </c>
      <c r="I3608" t="s">
        <v>50</v>
      </c>
      <c r="J3608" t="s">
        <v>5186</v>
      </c>
      <c r="K3608" t="s">
        <v>5648</v>
      </c>
      <c r="L3608" t="s">
        <v>53</v>
      </c>
      <c r="N3608" t="s">
        <v>6042</v>
      </c>
      <c r="P3608" t="s">
        <v>55</v>
      </c>
      <c r="R3608" t="s">
        <v>53</v>
      </c>
      <c r="T3608" t="s">
        <v>6043</v>
      </c>
      <c r="U3608" t="s">
        <v>58</v>
      </c>
      <c r="V3608">
        <v>1</v>
      </c>
      <c r="W3608">
        <v>1</v>
      </c>
      <c r="X3608">
        <v>2</v>
      </c>
      <c r="Y3608">
        <v>0</v>
      </c>
      <c r="Z3608">
        <v>2</v>
      </c>
      <c r="AA3608">
        <v>0</v>
      </c>
      <c r="AB3608">
        <v>0</v>
      </c>
      <c r="AC3608">
        <v>0</v>
      </c>
      <c r="AD3608">
        <v>0</v>
      </c>
      <c r="AE3608">
        <v>0</v>
      </c>
      <c r="AF3608">
        <v>0</v>
      </c>
      <c r="AG3608">
        <v>0</v>
      </c>
      <c r="AH3608">
        <v>0</v>
      </c>
      <c r="AI3608">
        <v>0</v>
      </c>
      <c r="AJ3608">
        <v>0</v>
      </c>
      <c r="AK3608">
        <v>0</v>
      </c>
      <c r="AL3608">
        <v>73.8</v>
      </c>
      <c r="AM3608">
        <v>0</v>
      </c>
      <c r="AN3608" t="s">
        <v>53</v>
      </c>
      <c r="AO3608" t="s">
        <v>53</v>
      </c>
      <c r="AP3608" t="s">
        <v>53</v>
      </c>
    </row>
    <row r="3609" spans="2:42" x14ac:dyDescent="0.2">
      <c r="B3609" t="s">
        <v>44</v>
      </c>
      <c r="C3609" t="str">
        <f>HYPERLINK("https://us2.cloudbeds.com/connect/8493803454333002#/reservations/48040807047360?display=1156NJQXQ6&amp;reservation_id=48040807047360", "1156NJQXQ6")</f>
        <v>1156NJQXQ6</v>
      </c>
      <c r="D3609" t="s">
        <v>45</v>
      </c>
      <c r="E3609" t="s">
        <v>138</v>
      </c>
      <c r="F3609" t="s">
        <v>70</v>
      </c>
      <c r="G3609" t="s">
        <v>48</v>
      </c>
      <c r="H3609" t="s">
        <v>49</v>
      </c>
      <c r="I3609" t="s">
        <v>50</v>
      </c>
      <c r="J3609" t="s">
        <v>5825</v>
      </c>
      <c r="K3609" t="s">
        <v>5610</v>
      </c>
      <c r="L3609" t="s">
        <v>53</v>
      </c>
      <c r="N3609" t="s">
        <v>6044</v>
      </c>
      <c r="P3609" t="s">
        <v>55</v>
      </c>
      <c r="R3609" t="s">
        <v>53</v>
      </c>
      <c r="T3609" t="s">
        <v>6045</v>
      </c>
      <c r="U3609" t="s">
        <v>58</v>
      </c>
      <c r="V3609">
        <v>1</v>
      </c>
      <c r="W3609">
        <v>1</v>
      </c>
      <c r="X3609">
        <v>2</v>
      </c>
      <c r="Y3609">
        <v>0</v>
      </c>
      <c r="Z3609">
        <v>2</v>
      </c>
      <c r="AA3609">
        <v>0</v>
      </c>
      <c r="AB3609">
        <v>106.78</v>
      </c>
      <c r="AC3609">
        <v>93.96</v>
      </c>
      <c r="AD3609">
        <v>0</v>
      </c>
      <c r="AE3609">
        <v>12.82</v>
      </c>
      <c r="AF3609">
        <v>0</v>
      </c>
      <c r="AG3609">
        <v>0</v>
      </c>
      <c r="AH3609">
        <v>0</v>
      </c>
      <c r="AI3609">
        <v>19.22</v>
      </c>
      <c r="AJ3609">
        <v>106.78</v>
      </c>
      <c r="AK3609">
        <v>0</v>
      </c>
      <c r="AL3609" t="s">
        <v>53</v>
      </c>
      <c r="AM3609" t="s">
        <v>53</v>
      </c>
      <c r="AN3609" t="s">
        <v>53</v>
      </c>
      <c r="AO3609" t="s">
        <v>53</v>
      </c>
      <c r="AP3609" t="s">
        <v>53</v>
      </c>
    </row>
    <row r="3610" spans="2:42" x14ac:dyDescent="0.2">
      <c r="B3610" t="s">
        <v>44</v>
      </c>
      <c r="C3610" t="str">
        <f>HYPERLINK("https://us2.cloudbeds.com/connect/8493803454333002#/reservations/48096014676176?display=116HBYX1V4&amp;reservation_id=48096014676176", "116HBYX1V4")</f>
        <v>116HBYX1V4</v>
      </c>
      <c r="D3610" t="s">
        <v>45</v>
      </c>
      <c r="E3610" t="s">
        <v>406</v>
      </c>
      <c r="F3610" t="s">
        <v>61</v>
      </c>
      <c r="G3610" t="s">
        <v>48</v>
      </c>
      <c r="H3610" t="s">
        <v>49</v>
      </c>
      <c r="I3610" t="s">
        <v>50</v>
      </c>
      <c r="J3610" t="s">
        <v>2284</v>
      </c>
      <c r="K3610" t="s">
        <v>5825</v>
      </c>
      <c r="L3610" t="s">
        <v>53</v>
      </c>
      <c r="N3610" t="s">
        <v>6046</v>
      </c>
      <c r="P3610" t="s">
        <v>55</v>
      </c>
      <c r="R3610" t="s">
        <v>53</v>
      </c>
      <c r="T3610" t="s">
        <v>6047</v>
      </c>
      <c r="U3610" t="s">
        <v>58</v>
      </c>
      <c r="V3610">
        <v>1</v>
      </c>
      <c r="W3610">
        <v>1</v>
      </c>
      <c r="X3610">
        <v>2</v>
      </c>
      <c r="Y3610">
        <v>0</v>
      </c>
      <c r="Z3610">
        <v>2</v>
      </c>
      <c r="AA3610">
        <v>0</v>
      </c>
      <c r="AB3610">
        <v>115.08</v>
      </c>
      <c r="AC3610">
        <v>101.25</v>
      </c>
      <c r="AD3610">
        <v>0</v>
      </c>
      <c r="AE3610">
        <v>13.83</v>
      </c>
      <c r="AF3610">
        <v>0</v>
      </c>
      <c r="AG3610">
        <v>0</v>
      </c>
      <c r="AH3610">
        <v>0</v>
      </c>
      <c r="AI3610">
        <v>20.71</v>
      </c>
      <c r="AJ3610">
        <v>115.08</v>
      </c>
      <c r="AK3610">
        <v>0</v>
      </c>
      <c r="AL3610" t="s">
        <v>53</v>
      </c>
      <c r="AM3610" t="s">
        <v>53</v>
      </c>
      <c r="AN3610" t="s">
        <v>53</v>
      </c>
      <c r="AO3610" t="s">
        <v>53</v>
      </c>
      <c r="AP3610" t="s">
        <v>53</v>
      </c>
    </row>
    <row r="3611" spans="2:42" x14ac:dyDescent="0.2">
      <c r="B3611" t="s">
        <v>44</v>
      </c>
      <c r="C3611" t="str">
        <f>HYPERLINK("https://us2.cloudbeds.com/connect/8493803454333002#/reservations/48153628815583?display=117SVRADPF&amp;reservation_id=48153628815583", "117SVRADPF")</f>
        <v>117SVRADPF</v>
      </c>
      <c r="D3611" t="s">
        <v>45</v>
      </c>
      <c r="E3611" t="s">
        <v>487</v>
      </c>
      <c r="F3611" t="s">
        <v>61</v>
      </c>
      <c r="G3611" t="s">
        <v>48</v>
      </c>
      <c r="H3611" t="s">
        <v>49</v>
      </c>
      <c r="I3611" t="s">
        <v>62</v>
      </c>
      <c r="J3611" t="s">
        <v>4841</v>
      </c>
      <c r="K3611" t="s">
        <v>5693</v>
      </c>
      <c r="L3611" t="s">
        <v>53</v>
      </c>
      <c r="N3611" t="s">
        <v>6048</v>
      </c>
      <c r="P3611" t="s">
        <v>55</v>
      </c>
      <c r="R3611" t="s">
        <v>56</v>
      </c>
      <c r="T3611" t="s">
        <v>6049</v>
      </c>
      <c r="U3611" t="s">
        <v>55</v>
      </c>
      <c r="V3611">
        <v>2</v>
      </c>
      <c r="W3611">
        <v>1</v>
      </c>
      <c r="X3611">
        <v>2</v>
      </c>
      <c r="Y3611">
        <v>0</v>
      </c>
      <c r="Z3611">
        <v>2</v>
      </c>
      <c r="AA3611">
        <v>0</v>
      </c>
      <c r="AB3611">
        <v>208</v>
      </c>
      <c r="AC3611">
        <v>208</v>
      </c>
      <c r="AD3611">
        <v>0</v>
      </c>
      <c r="AE3611">
        <v>0</v>
      </c>
      <c r="AF3611">
        <v>0</v>
      </c>
      <c r="AG3611">
        <v>0</v>
      </c>
      <c r="AH3611">
        <v>0</v>
      </c>
      <c r="AI3611">
        <v>37.44</v>
      </c>
      <c r="AJ3611">
        <v>208</v>
      </c>
      <c r="AK3611">
        <v>0</v>
      </c>
      <c r="AL3611" t="s">
        <v>53</v>
      </c>
      <c r="AM3611" t="s">
        <v>53</v>
      </c>
      <c r="AN3611" t="s">
        <v>53</v>
      </c>
      <c r="AO3611" t="s">
        <v>53</v>
      </c>
      <c r="AP3611" t="s">
        <v>53</v>
      </c>
    </row>
    <row r="3612" spans="2:42" x14ac:dyDescent="0.2">
      <c r="B3612" t="s">
        <v>44</v>
      </c>
      <c r="C3612" t="str">
        <f>HYPERLINK("https://us2.cloudbeds.com/connect/8493803454333002#/reservations/48468866363599?display=11F91SVT6Y&amp;reservation_id=48468866363599", "11F91SVT6Y")</f>
        <v>11F91SVT6Y</v>
      </c>
      <c r="D3612" t="s">
        <v>45</v>
      </c>
      <c r="E3612" t="s">
        <v>128</v>
      </c>
      <c r="F3612" t="s">
        <v>86</v>
      </c>
      <c r="G3612" t="s">
        <v>48</v>
      </c>
      <c r="H3612" t="s">
        <v>49</v>
      </c>
      <c r="I3612" t="s">
        <v>50</v>
      </c>
      <c r="J3612" t="s">
        <v>6050</v>
      </c>
      <c r="K3612" t="s">
        <v>6051</v>
      </c>
      <c r="L3612" t="s">
        <v>53</v>
      </c>
      <c r="N3612" t="s">
        <v>6052</v>
      </c>
      <c r="P3612" t="s">
        <v>55</v>
      </c>
      <c r="R3612" t="s">
        <v>53</v>
      </c>
      <c r="T3612" t="s">
        <v>6053</v>
      </c>
      <c r="U3612" t="s">
        <v>58</v>
      </c>
      <c r="V3612">
        <v>1</v>
      </c>
      <c r="W3612">
        <v>1</v>
      </c>
      <c r="X3612">
        <v>2</v>
      </c>
      <c r="Y3612">
        <v>2</v>
      </c>
      <c r="Z3612">
        <v>4</v>
      </c>
      <c r="AA3612">
        <v>0</v>
      </c>
      <c r="AB3612">
        <v>108.19</v>
      </c>
      <c r="AC3612">
        <v>95.2</v>
      </c>
      <c r="AD3612">
        <v>0</v>
      </c>
      <c r="AE3612">
        <v>12.99</v>
      </c>
      <c r="AF3612">
        <v>0</v>
      </c>
      <c r="AG3612">
        <v>0</v>
      </c>
      <c r="AH3612">
        <v>0</v>
      </c>
      <c r="AI3612">
        <v>19.47</v>
      </c>
      <c r="AJ3612">
        <v>108.19</v>
      </c>
      <c r="AK3612">
        <v>0</v>
      </c>
      <c r="AL3612" t="s">
        <v>53</v>
      </c>
      <c r="AM3612" t="s">
        <v>53</v>
      </c>
      <c r="AN3612" t="s">
        <v>53</v>
      </c>
      <c r="AO3612" t="s">
        <v>53</v>
      </c>
      <c r="AP3612" t="s">
        <v>53</v>
      </c>
    </row>
    <row r="3613" spans="2:42" x14ac:dyDescent="0.2">
      <c r="B3613" t="s">
        <v>44</v>
      </c>
      <c r="C3613" t="str">
        <f>HYPERLINK("https://us2.cloudbeds.com/connect/8493803454333002#/reservations/48595546194070?display=11X84RZTV6&amp;reservation_id=48595546194070", "11X84RZTV6")</f>
        <v>11X84RZTV6</v>
      </c>
      <c r="D3613" t="s">
        <v>45</v>
      </c>
      <c r="E3613" t="s">
        <v>69</v>
      </c>
      <c r="F3613" t="s">
        <v>70</v>
      </c>
      <c r="G3613" t="s">
        <v>48</v>
      </c>
      <c r="H3613" t="s">
        <v>49</v>
      </c>
      <c r="I3613" t="s">
        <v>62</v>
      </c>
      <c r="J3613" t="s">
        <v>2664</v>
      </c>
      <c r="K3613" t="s">
        <v>5584</v>
      </c>
      <c r="L3613" t="s">
        <v>53</v>
      </c>
      <c r="N3613" t="s">
        <v>6054</v>
      </c>
      <c r="P3613" t="s">
        <v>55</v>
      </c>
      <c r="R3613" t="s">
        <v>56</v>
      </c>
      <c r="T3613" t="s">
        <v>6055</v>
      </c>
      <c r="U3613" t="s">
        <v>55</v>
      </c>
      <c r="V3613">
        <v>1</v>
      </c>
      <c r="W3613">
        <v>1</v>
      </c>
      <c r="X3613">
        <v>2</v>
      </c>
      <c r="Y3613">
        <v>0</v>
      </c>
      <c r="Z3613">
        <v>2</v>
      </c>
      <c r="AA3613">
        <v>0</v>
      </c>
      <c r="AB3613">
        <v>104.4</v>
      </c>
      <c r="AC3613">
        <v>104.4</v>
      </c>
      <c r="AD3613">
        <v>0</v>
      </c>
      <c r="AE3613">
        <v>0</v>
      </c>
      <c r="AF3613">
        <v>0</v>
      </c>
      <c r="AG3613">
        <v>0</v>
      </c>
      <c r="AH3613">
        <v>0</v>
      </c>
      <c r="AI3613">
        <v>18.79</v>
      </c>
      <c r="AJ3613">
        <v>104.4</v>
      </c>
      <c r="AK3613">
        <v>0</v>
      </c>
      <c r="AL3613" t="s">
        <v>53</v>
      </c>
      <c r="AM3613" t="s">
        <v>53</v>
      </c>
      <c r="AN3613" t="s">
        <v>53</v>
      </c>
      <c r="AO3613" t="s">
        <v>53</v>
      </c>
      <c r="AP3613" t="s">
        <v>53</v>
      </c>
    </row>
    <row r="3614" spans="2:42" x14ac:dyDescent="0.2">
      <c r="B3614" t="s">
        <v>44</v>
      </c>
      <c r="C3614" t="str">
        <f>HYPERLINK("https://us2.cloudbeds.com/connect/8493803454333002#/reservations/48774316605575?display=11MEXRN4EA&amp;reservation_id=48774316605575", "11MEXRN4EA")</f>
        <v>11MEXRN4EA</v>
      </c>
      <c r="D3614" t="s">
        <v>45</v>
      </c>
      <c r="E3614" t="s">
        <v>110</v>
      </c>
      <c r="F3614" t="s">
        <v>47</v>
      </c>
      <c r="G3614" t="s">
        <v>48</v>
      </c>
      <c r="H3614" t="s">
        <v>3957</v>
      </c>
      <c r="I3614" t="s">
        <v>3958</v>
      </c>
      <c r="J3614" t="s">
        <v>5497</v>
      </c>
      <c r="K3614" t="s">
        <v>3124</v>
      </c>
      <c r="L3614" t="s">
        <v>53</v>
      </c>
      <c r="O3614" t="s">
        <v>6056</v>
      </c>
      <c r="P3614" t="s">
        <v>58</v>
      </c>
      <c r="R3614" t="s">
        <v>56</v>
      </c>
      <c r="T3614" t="s">
        <v>6057</v>
      </c>
      <c r="U3614" t="s">
        <v>58</v>
      </c>
      <c r="V3614">
        <v>1</v>
      </c>
      <c r="W3614">
        <v>1</v>
      </c>
      <c r="X3614">
        <v>1</v>
      </c>
      <c r="Y3614">
        <v>0</v>
      </c>
      <c r="Z3614">
        <v>1</v>
      </c>
      <c r="AA3614">
        <v>0</v>
      </c>
      <c r="AB3614">
        <v>0</v>
      </c>
      <c r="AC3614">
        <v>0</v>
      </c>
      <c r="AD3614">
        <v>0</v>
      </c>
      <c r="AE3614">
        <v>0</v>
      </c>
      <c r="AF3614">
        <v>0</v>
      </c>
      <c r="AG3614">
        <v>0</v>
      </c>
      <c r="AH3614">
        <v>0</v>
      </c>
      <c r="AI3614">
        <v>0</v>
      </c>
      <c r="AJ3614">
        <v>0</v>
      </c>
      <c r="AK3614">
        <v>0</v>
      </c>
      <c r="AL3614" t="s">
        <v>53</v>
      </c>
      <c r="AM3614" t="s">
        <v>53</v>
      </c>
      <c r="AN3614" t="s">
        <v>6058</v>
      </c>
      <c r="AO3614" t="s">
        <v>53</v>
      </c>
      <c r="AP3614" t="s">
        <v>53</v>
      </c>
    </row>
    <row r="3615" spans="2:42" x14ac:dyDescent="0.2">
      <c r="B3615" t="s">
        <v>44</v>
      </c>
      <c r="C3615" t="str">
        <f>HYPERLINK("https://us2.cloudbeds.com/connect/8493803454333002#/reservations/48824575291584?display=11NJTH50R9&amp;reservation_id=48824575291584", "11NJTH50R9")</f>
        <v>11NJTH50R9</v>
      </c>
      <c r="D3615" t="s">
        <v>45</v>
      </c>
      <c r="E3615" t="s">
        <v>128</v>
      </c>
      <c r="F3615" t="s">
        <v>86</v>
      </c>
      <c r="G3615" t="s">
        <v>48</v>
      </c>
      <c r="H3615" t="s">
        <v>49</v>
      </c>
      <c r="I3615" t="s">
        <v>50</v>
      </c>
      <c r="J3615" t="s">
        <v>5555</v>
      </c>
      <c r="K3615" t="s">
        <v>6059</v>
      </c>
      <c r="L3615" t="s">
        <v>53</v>
      </c>
      <c r="N3615" t="s">
        <v>6060</v>
      </c>
      <c r="P3615" t="s">
        <v>55</v>
      </c>
      <c r="R3615" t="s">
        <v>53</v>
      </c>
      <c r="T3615" t="s">
        <v>6061</v>
      </c>
      <c r="U3615" t="s">
        <v>58</v>
      </c>
      <c r="V3615">
        <v>1</v>
      </c>
      <c r="W3615">
        <v>1</v>
      </c>
      <c r="X3615">
        <v>4</v>
      </c>
      <c r="Y3615">
        <v>0</v>
      </c>
      <c r="Z3615">
        <v>4</v>
      </c>
      <c r="AA3615">
        <v>0</v>
      </c>
      <c r="AB3615">
        <v>70.88</v>
      </c>
      <c r="AC3615">
        <v>62.37</v>
      </c>
      <c r="AD3615">
        <v>0</v>
      </c>
      <c r="AE3615">
        <v>8.51</v>
      </c>
      <c r="AF3615">
        <v>0</v>
      </c>
      <c r="AG3615">
        <v>0</v>
      </c>
      <c r="AH3615">
        <v>0</v>
      </c>
      <c r="AI3615">
        <v>12.76</v>
      </c>
      <c r="AJ3615">
        <v>70.88</v>
      </c>
      <c r="AK3615">
        <v>0</v>
      </c>
      <c r="AL3615" t="s">
        <v>53</v>
      </c>
      <c r="AM3615" t="s">
        <v>53</v>
      </c>
      <c r="AN3615" t="s">
        <v>6062</v>
      </c>
      <c r="AO3615" t="s">
        <v>53</v>
      </c>
      <c r="AP3615" t="s">
        <v>53</v>
      </c>
    </row>
    <row r="3616" spans="2:42" x14ac:dyDescent="0.2">
      <c r="B3616" t="s">
        <v>44</v>
      </c>
      <c r="C3616" t="str">
        <f>HYPERLINK("https://us2.cloudbeds.com/connect/8493803454333002#/reservations/49113444942013?display=11UD5BN080&amp;reservation_id=49113444942013", "11UD5BN080")</f>
        <v>11UD5BN080</v>
      </c>
      <c r="D3616" t="s">
        <v>45</v>
      </c>
      <c r="E3616" t="s">
        <v>305</v>
      </c>
      <c r="F3616" t="s">
        <v>61</v>
      </c>
      <c r="G3616" t="s">
        <v>48</v>
      </c>
      <c r="H3616" t="s">
        <v>3957</v>
      </c>
      <c r="I3616" t="s">
        <v>3958</v>
      </c>
      <c r="J3616" t="s">
        <v>5584</v>
      </c>
      <c r="K3616" t="s">
        <v>2284</v>
      </c>
      <c r="L3616" t="s">
        <v>53</v>
      </c>
      <c r="P3616" t="s">
        <v>58</v>
      </c>
      <c r="R3616" t="s">
        <v>56</v>
      </c>
      <c r="T3616" t="s">
        <v>6063</v>
      </c>
      <c r="U3616" t="s">
        <v>58</v>
      </c>
      <c r="V3616">
        <v>1</v>
      </c>
      <c r="W3616">
        <v>1</v>
      </c>
      <c r="X3616">
        <v>1</v>
      </c>
      <c r="Y3616">
        <v>0</v>
      </c>
      <c r="Z3616">
        <v>1</v>
      </c>
      <c r="AA3616">
        <v>0</v>
      </c>
      <c r="AB3616">
        <v>0</v>
      </c>
      <c r="AC3616">
        <v>0</v>
      </c>
      <c r="AD3616">
        <v>0</v>
      </c>
      <c r="AE3616">
        <v>0</v>
      </c>
      <c r="AF3616">
        <v>0</v>
      </c>
      <c r="AG3616">
        <v>0</v>
      </c>
      <c r="AH3616">
        <v>0</v>
      </c>
      <c r="AI3616">
        <v>0</v>
      </c>
      <c r="AJ3616">
        <v>0</v>
      </c>
      <c r="AK3616">
        <v>0</v>
      </c>
      <c r="AL3616" t="s">
        <v>53</v>
      </c>
      <c r="AM3616" t="s">
        <v>53</v>
      </c>
      <c r="AN3616" t="s">
        <v>6064</v>
      </c>
      <c r="AO3616" t="s">
        <v>53</v>
      </c>
      <c r="AP3616" t="s">
        <v>53</v>
      </c>
    </row>
    <row r="3617" spans="2:42" x14ac:dyDescent="0.2">
      <c r="B3617" t="s">
        <v>44</v>
      </c>
      <c r="C3617" t="str">
        <f>HYPERLINK("https://us2.cloudbeds.com/connect/8493803454333002#/reservations/49114913947845?display=11UE9TD8J8&amp;reservation_id=49114913947845", "11UE9TD8J8")</f>
        <v>11UE9TD8J8</v>
      </c>
      <c r="D3617" t="s">
        <v>45</v>
      </c>
      <c r="E3617" t="s">
        <v>305</v>
      </c>
      <c r="F3617" t="s">
        <v>61</v>
      </c>
      <c r="G3617" t="s">
        <v>48</v>
      </c>
      <c r="H3617" t="s">
        <v>3957</v>
      </c>
      <c r="I3617" t="s">
        <v>3958</v>
      </c>
      <c r="J3617" t="s">
        <v>2284</v>
      </c>
      <c r="K3617" t="s">
        <v>5825</v>
      </c>
      <c r="L3617" t="s">
        <v>53</v>
      </c>
      <c r="P3617" t="s">
        <v>58</v>
      </c>
      <c r="R3617" t="s">
        <v>56</v>
      </c>
      <c r="T3617" t="s">
        <v>6065</v>
      </c>
      <c r="U3617" t="s">
        <v>58</v>
      </c>
      <c r="V3617">
        <v>1</v>
      </c>
      <c r="W3617">
        <v>1</v>
      </c>
      <c r="X3617">
        <v>1</v>
      </c>
      <c r="Y3617">
        <v>0</v>
      </c>
      <c r="Z3617">
        <v>1</v>
      </c>
      <c r="AA3617">
        <v>0</v>
      </c>
      <c r="AB3617">
        <v>0</v>
      </c>
      <c r="AC3617">
        <v>0</v>
      </c>
      <c r="AD3617">
        <v>0</v>
      </c>
      <c r="AE3617">
        <v>0</v>
      </c>
      <c r="AF3617">
        <v>0</v>
      </c>
      <c r="AG3617">
        <v>0</v>
      </c>
      <c r="AH3617">
        <v>0</v>
      </c>
      <c r="AI3617">
        <v>0</v>
      </c>
      <c r="AJ3617">
        <v>0</v>
      </c>
      <c r="AK3617">
        <v>0</v>
      </c>
      <c r="AL3617" t="s">
        <v>53</v>
      </c>
      <c r="AM3617" t="s">
        <v>53</v>
      </c>
      <c r="AN3617" t="s">
        <v>6066</v>
      </c>
      <c r="AO3617" t="s">
        <v>53</v>
      </c>
      <c r="AP3617" t="s">
        <v>53</v>
      </c>
    </row>
    <row r="3618" spans="2:42" x14ac:dyDescent="0.2">
      <c r="B3618" t="s">
        <v>44</v>
      </c>
      <c r="C3618" t="str">
        <f>HYPERLINK("https://us2.cloudbeds.com/connect/8493803454333002#/reservations/49120359878800?display=11UXH1XAF0&amp;reservation_id=49120359878800", "11UXH1XAF0")</f>
        <v>11UXH1XAF0</v>
      </c>
      <c r="D3618" t="s">
        <v>45</v>
      </c>
      <c r="E3618" t="s">
        <v>105</v>
      </c>
      <c r="F3618" t="s">
        <v>47</v>
      </c>
      <c r="G3618" t="s">
        <v>48</v>
      </c>
      <c r="H3618" t="s">
        <v>3957</v>
      </c>
      <c r="I3618" t="s">
        <v>3958</v>
      </c>
      <c r="J3618" t="s">
        <v>2976</v>
      </c>
      <c r="K3618" t="s">
        <v>5497</v>
      </c>
      <c r="L3618" t="s">
        <v>53</v>
      </c>
      <c r="P3618" t="s">
        <v>58</v>
      </c>
      <c r="R3618" t="s">
        <v>56</v>
      </c>
      <c r="T3618" t="s">
        <v>6067</v>
      </c>
      <c r="U3618" t="s">
        <v>58</v>
      </c>
      <c r="V3618">
        <v>1</v>
      </c>
      <c r="W3618">
        <v>1</v>
      </c>
      <c r="X3618">
        <v>1</v>
      </c>
      <c r="Y3618">
        <v>0</v>
      </c>
      <c r="Z3618">
        <v>1</v>
      </c>
      <c r="AA3618">
        <v>0</v>
      </c>
      <c r="AB3618">
        <v>90.92</v>
      </c>
      <c r="AC3618">
        <v>80</v>
      </c>
      <c r="AD3618">
        <v>0</v>
      </c>
      <c r="AE3618">
        <v>10.92</v>
      </c>
      <c r="AF3618">
        <v>0</v>
      </c>
      <c r="AG3618">
        <v>0</v>
      </c>
      <c r="AH3618">
        <v>0</v>
      </c>
      <c r="AI3618">
        <v>0</v>
      </c>
      <c r="AJ3618">
        <v>90.92</v>
      </c>
      <c r="AK3618">
        <v>0</v>
      </c>
      <c r="AL3618" t="s">
        <v>53</v>
      </c>
      <c r="AM3618" t="s">
        <v>53</v>
      </c>
      <c r="AN3618" t="s">
        <v>53</v>
      </c>
      <c r="AO3618" t="s">
        <v>53</v>
      </c>
      <c r="AP3618" t="s">
        <v>53</v>
      </c>
    </row>
    <row r="3619" spans="2:42" x14ac:dyDescent="0.2">
      <c r="B3619" t="s">
        <v>44</v>
      </c>
      <c r="C3619" t="str">
        <f>HYPERLINK("https://us2.cloudbeds.com/connect/8493803454333002#/reservations/49152425369814?display=11VABD0SPT&amp;reservation_id=49152425369814", "11VABD0SPT")</f>
        <v>11VABD0SPT</v>
      </c>
      <c r="D3619" t="s">
        <v>45</v>
      </c>
      <c r="E3619" t="s">
        <v>113</v>
      </c>
      <c r="F3619" t="s">
        <v>61</v>
      </c>
      <c r="G3619" t="s">
        <v>48</v>
      </c>
      <c r="H3619" t="s">
        <v>49</v>
      </c>
      <c r="I3619" t="s">
        <v>62</v>
      </c>
      <c r="J3619" t="s">
        <v>5570</v>
      </c>
      <c r="K3619" t="s">
        <v>5711</v>
      </c>
      <c r="L3619" t="s">
        <v>53</v>
      </c>
      <c r="N3619" t="s">
        <v>6068</v>
      </c>
      <c r="P3619" t="s">
        <v>55</v>
      </c>
      <c r="R3619" t="s">
        <v>56</v>
      </c>
      <c r="T3619" t="s">
        <v>6069</v>
      </c>
      <c r="U3619" t="s">
        <v>55</v>
      </c>
      <c r="V3619">
        <v>2</v>
      </c>
      <c r="W3619">
        <v>1</v>
      </c>
      <c r="X3619">
        <v>2</v>
      </c>
      <c r="Y3619">
        <v>0</v>
      </c>
      <c r="Z3619">
        <v>2</v>
      </c>
      <c r="AA3619">
        <v>0</v>
      </c>
      <c r="AB3619">
        <v>139.5</v>
      </c>
      <c r="AC3619">
        <v>139.5</v>
      </c>
      <c r="AD3619">
        <v>0</v>
      </c>
      <c r="AE3619">
        <v>0</v>
      </c>
      <c r="AF3619">
        <v>0</v>
      </c>
      <c r="AG3619">
        <v>0</v>
      </c>
      <c r="AH3619">
        <v>0</v>
      </c>
      <c r="AI3619">
        <v>25.11</v>
      </c>
      <c r="AJ3619">
        <v>139.5</v>
      </c>
      <c r="AK3619">
        <v>0</v>
      </c>
      <c r="AL3619" t="s">
        <v>53</v>
      </c>
      <c r="AM3619" t="s">
        <v>53</v>
      </c>
      <c r="AN3619" t="s">
        <v>53</v>
      </c>
      <c r="AO3619" t="s">
        <v>53</v>
      </c>
      <c r="AP3619" t="s">
        <v>53</v>
      </c>
    </row>
    <row r="3620" spans="2:42" x14ac:dyDescent="0.2">
      <c r="B3620" t="s">
        <v>44</v>
      </c>
      <c r="C3620" t="str">
        <f>HYPERLINK("https://us2.cloudbeds.com/connect/8493803454333002#/reservations/49276330774666?display=12179FBDJR&amp;reservation_id=49276330774666", "12179FBDJR")</f>
        <v>12179FBDJR</v>
      </c>
      <c r="D3620" t="s">
        <v>45</v>
      </c>
      <c r="E3620" t="s">
        <v>165</v>
      </c>
      <c r="F3620" t="s">
        <v>61</v>
      </c>
      <c r="G3620" t="s">
        <v>48</v>
      </c>
      <c r="H3620" t="s">
        <v>49</v>
      </c>
      <c r="I3620" t="s">
        <v>50</v>
      </c>
      <c r="J3620" t="s">
        <v>3133</v>
      </c>
      <c r="K3620" t="s">
        <v>2664</v>
      </c>
      <c r="L3620" t="s">
        <v>53</v>
      </c>
      <c r="N3620" t="s">
        <v>6070</v>
      </c>
      <c r="P3620" t="s">
        <v>55</v>
      </c>
      <c r="R3620" t="s">
        <v>53</v>
      </c>
      <c r="T3620" t="s">
        <v>6071</v>
      </c>
      <c r="U3620" t="s">
        <v>58</v>
      </c>
      <c r="V3620">
        <v>2</v>
      </c>
      <c r="W3620">
        <v>1</v>
      </c>
      <c r="X3620">
        <v>2</v>
      </c>
      <c r="Y3620">
        <v>0</v>
      </c>
      <c r="Z3620">
        <v>2</v>
      </c>
      <c r="AA3620">
        <v>0</v>
      </c>
      <c r="AB3620">
        <v>208.07</v>
      </c>
      <c r="AC3620">
        <v>183.06</v>
      </c>
      <c r="AD3620">
        <v>0</v>
      </c>
      <c r="AE3620">
        <v>25.01</v>
      </c>
      <c r="AF3620">
        <v>0</v>
      </c>
      <c r="AG3620">
        <v>0</v>
      </c>
      <c r="AH3620">
        <v>0</v>
      </c>
      <c r="AI3620">
        <v>37.450000000000003</v>
      </c>
      <c r="AJ3620">
        <v>208.07</v>
      </c>
      <c r="AK3620">
        <v>0</v>
      </c>
      <c r="AL3620" t="s">
        <v>53</v>
      </c>
      <c r="AM3620" t="s">
        <v>53</v>
      </c>
      <c r="AN3620" t="s">
        <v>53</v>
      </c>
      <c r="AO3620" t="s">
        <v>53</v>
      </c>
      <c r="AP3620" t="s">
        <v>53</v>
      </c>
    </row>
    <row r="3621" spans="2:42" x14ac:dyDescent="0.2">
      <c r="B3621" t="s">
        <v>44</v>
      </c>
      <c r="C3621" t="str">
        <f>HYPERLINK("https://us2.cloudbeds.com/connect/8493803454333002#/reservations/49290332672207?display=121X483S3A&amp;reservation_id=49290332672207", "121X483S3A")</f>
        <v>121X483S3A</v>
      </c>
      <c r="D3621" t="s">
        <v>45</v>
      </c>
      <c r="E3621" t="s">
        <v>165</v>
      </c>
      <c r="F3621" t="s">
        <v>61</v>
      </c>
      <c r="G3621" t="s">
        <v>48</v>
      </c>
      <c r="H3621" t="s">
        <v>49</v>
      </c>
      <c r="I3621" t="s">
        <v>50</v>
      </c>
      <c r="J3621" t="s">
        <v>5825</v>
      </c>
      <c r="K3621" t="s">
        <v>5610</v>
      </c>
      <c r="L3621" t="s">
        <v>53</v>
      </c>
      <c r="N3621" t="s">
        <v>6072</v>
      </c>
      <c r="P3621" t="s">
        <v>55</v>
      </c>
      <c r="R3621" t="s">
        <v>53</v>
      </c>
      <c r="T3621" t="s">
        <v>6073</v>
      </c>
      <c r="U3621" t="s">
        <v>58</v>
      </c>
      <c r="V3621">
        <v>1</v>
      </c>
      <c r="W3621">
        <v>1</v>
      </c>
      <c r="X3621">
        <v>2</v>
      </c>
      <c r="Y3621">
        <v>0</v>
      </c>
      <c r="Z3621">
        <v>2</v>
      </c>
      <c r="AA3621">
        <v>0</v>
      </c>
      <c r="AB3621">
        <v>120.76</v>
      </c>
      <c r="AC3621">
        <v>106.25</v>
      </c>
      <c r="AD3621">
        <v>0</v>
      </c>
      <c r="AE3621">
        <v>14.51</v>
      </c>
      <c r="AF3621">
        <v>0</v>
      </c>
      <c r="AG3621">
        <v>0</v>
      </c>
      <c r="AH3621">
        <v>0</v>
      </c>
      <c r="AI3621">
        <v>21.74</v>
      </c>
      <c r="AJ3621">
        <v>120.76</v>
      </c>
      <c r="AK3621">
        <v>0</v>
      </c>
      <c r="AL3621" t="s">
        <v>53</v>
      </c>
      <c r="AM3621" t="s">
        <v>53</v>
      </c>
      <c r="AN3621" t="s">
        <v>53</v>
      </c>
      <c r="AO3621" t="s">
        <v>53</v>
      </c>
      <c r="AP3621" t="s">
        <v>53</v>
      </c>
    </row>
    <row r="3622" spans="2:42" x14ac:dyDescent="0.2">
      <c r="B3622" t="s">
        <v>44</v>
      </c>
      <c r="C3622" t="str">
        <f>HYPERLINK("https://us2.cloudbeds.com/connect/8493803454333002#/reservations/49294257959119?display=121Y5X0ZKX&amp;reservation_id=49294257959119", "121Y5X0ZKX")</f>
        <v>121Y5X0ZKX</v>
      </c>
      <c r="D3622" t="s">
        <v>45</v>
      </c>
      <c r="E3622" t="s">
        <v>165</v>
      </c>
      <c r="F3622" t="s">
        <v>61</v>
      </c>
      <c r="G3622" t="s">
        <v>48</v>
      </c>
      <c r="H3622" t="s">
        <v>49</v>
      </c>
      <c r="I3622" t="s">
        <v>50</v>
      </c>
      <c r="J3622" t="s">
        <v>5322</v>
      </c>
      <c r="K3622" t="s">
        <v>5850</v>
      </c>
      <c r="L3622" t="s">
        <v>53</v>
      </c>
      <c r="N3622" t="s">
        <v>6074</v>
      </c>
      <c r="P3622" t="s">
        <v>55</v>
      </c>
      <c r="R3622" t="s">
        <v>53</v>
      </c>
      <c r="T3622" t="s">
        <v>6075</v>
      </c>
      <c r="U3622" t="s">
        <v>58</v>
      </c>
      <c r="V3622">
        <v>2</v>
      </c>
      <c r="W3622">
        <v>1</v>
      </c>
      <c r="X3622">
        <v>2</v>
      </c>
      <c r="Y3622">
        <v>0</v>
      </c>
      <c r="Z3622">
        <v>2</v>
      </c>
      <c r="AA3622">
        <v>0</v>
      </c>
      <c r="AB3622">
        <v>126.92</v>
      </c>
      <c r="AC3622">
        <v>111.68</v>
      </c>
      <c r="AD3622">
        <v>0</v>
      </c>
      <c r="AE3622">
        <v>15.24</v>
      </c>
      <c r="AF3622">
        <v>0</v>
      </c>
      <c r="AG3622">
        <v>0</v>
      </c>
      <c r="AH3622">
        <v>0</v>
      </c>
      <c r="AI3622">
        <v>22.85</v>
      </c>
      <c r="AJ3622">
        <v>126.92</v>
      </c>
      <c r="AK3622">
        <v>0</v>
      </c>
      <c r="AL3622" t="s">
        <v>53</v>
      </c>
      <c r="AM3622" t="s">
        <v>53</v>
      </c>
      <c r="AN3622" t="s">
        <v>6076</v>
      </c>
      <c r="AO3622" t="s">
        <v>53</v>
      </c>
      <c r="AP3622" t="s">
        <v>53</v>
      </c>
    </row>
    <row r="3623" spans="2:42" x14ac:dyDescent="0.2">
      <c r="B3623" t="s">
        <v>44</v>
      </c>
      <c r="C3623" t="str">
        <f>HYPERLINK("https://us2.cloudbeds.com/connect/8493803454333002#/reservations/49499719712948?display=126F8XQUAV&amp;reservation_id=49499719712948", "126F8XQUAV")</f>
        <v>126F8XQUAV</v>
      </c>
      <c r="D3623" t="s">
        <v>45</v>
      </c>
      <c r="E3623" t="s">
        <v>487</v>
      </c>
      <c r="F3623" t="s">
        <v>61</v>
      </c>
      <c r="G3623" t="s">
        <v>48</v>
      </c>
      <c r="H3623" t="s">
        <v>3957</v>
      </c>
      <c r="I3623" t="s">
        <v>3989</v>
      </c>
      <c r="J3623" t="s">
        <v>6077</v>
      </c>
      <c r="K3623" t="s">
        <v>6078</v>
      </c>
      <c r="L3623" t="s">
        <v>53</v>
      </c>
      <c r="P3623" t="s">
        <v>55</v>
      </c>
      <c r="R3623" t="s">
        <v>56</v>
      </c>
      <c r="T3623" t="s">
        <v>6079</v>
      </c>
      <c r="U3623" t="s">
        <v>58</v>
      </c>
      <c r="V3623">
        <v>3</v>
      </c>
      <c r="W3623">
        <v>1</v>
      </c>
      <c r="X3623">
        <v>1</v>
      </c>
      <c r="Y3623">
        <v>0</v>
      </c>
      <c r="Z3623">
        <v>1</v>
      </c>
      <c r="AA3623">
        <v>0</v>
      </c>
      <c r="AB3623">
        <v>221.64</v>
      </c>
      <c r="AC3623">
        <v>195</v>
      </c>
      <c r="AD3623">
        <v>0</v>
      </c>
      <c r="AE3623">
        <v>26.64</v>
      </c>
      <c r="AF3623">
        <v>0</v>
      </c>
      <c r="AG3623">
        <v>0</v>
      </c>
      <c r="AH3623">
        <v>0</v>
      </c>
      <c r="AI3623">
        <v>0</v>
      </c>
      <c r="AJ3623">
        <v>221.64</v>
      </c>
      <c r="AK3623">
        <v>0</v>
      </c>
      <c r="AL3623" t="s">
        <v>53</v>
      </c>
      <c r="AM3623" t="s">
        <v>53</v>
      </c>
      <c r="AN3623" t="s">
        <v>53</v>
      </c>
      <c r="AO3623" t="s">
        <v>53</v>
      </c>
      <c r="AP3623" t="s">
        <v>53</v>
      </c>
    </row>
    <row r="3624" spans="2:42" x14ac:dyDescent="0.2">
      <c r="B3624" t="s">
        <v>44</v>
      </c>
      <c r="C3624" t="str">
        <f>HYPERLINK("https://us2.cloudbeds.com/connect/8493803454333002#/reservations/49525063348426?display=1271T57USR&amp;reservation_id=49525063348426", "1271T57USR")</f>
        <v>1271T57USR</v>
      </c>
      <c r="D3624" t="s">
        <v>45</v>
      </c>
      <c r="E3624" t="s">
        <v>105</v>
      </c>
      <c r="F3624" t="s">
        <v>47</v>
      </c>
      <c r="G3624" t="s">
        <v>48</v>
      </c>
      <c r="H3624" t="s">
        <v>49</v>
      </c>
      <c r="I3624" t="s">
        <v>62</v>
      </c>
      <c r="J3624" t="s">
        <v>4724</v>
      </c>
      <c r="K3624" t="s">
        <v>4725</v>
      </c>
      <c r="L3624" t="s">
        <v>53</v>
      </c>
      <c r="N3624" t="s">
        <v>6080</v>
      </c>
      <c r="P3624" t="s">
        <v>55</v>
      </c>
      <c r="R3624" t="s">
        <v>56</v>
      </c>
      <c r="T3624" t="s">
        <v>6081</v>
      </c>
      <c r="U3624" t="s">
        <v>55</v>
      </c>
      <c r="V3624">
        <v>3</v>
      </c>
      <c r="W3624">
        <v>1</v>
      </c>
      <c r="X3624">
        <v>2</v>
      </c>
      <c r="Y3624">
        <v>0</v>
      </c>
      <c r="Z3624">
        <v>2</v>
      </c>
      <c r="AA3624">
        <v>0</v>
      </c>
      <c r="AB3624">
        <v>255</v>
      </c>
      <c r="AC3624">
        <v>255</v>
      </c>
      <c r="AD3624">
        <v>0</v>
      </c>
      <c r="AE3624">
        <v>0</v>
      </c>
      <c r="AF3624">
        <v>0</v>
      </c>
      <c r="AG3624">
        <v>0</v>
      </c>
      <c r="AH3624">
        <v>0</v>
      </c>
      <c r="AI3624">
        <v>45.9</v>
      </c>
      <c r="AJ3624">
        <v>255</v>
      </c>
      <c r="AK3624">
        <v>0</v>
      </c>
      <c r="AL3624" t="s">
        <v>53</v>
      </c>
      <c r="AM3624" t="s">
        <v>53</v>
      </c>
      <c r="AN3624" t="s">
        <v>53</v>
      </c>
      <c r="AO3624" t="s">
        <v>53</v>
      </c>
      <c r="AP3624" t="s">
        <v>53</v>
      </c>
    </row>
    <row r="3625" spans="2:42" x14ac:dyDescent="0.2">
      <c r="B3625" t="s">
        <v>44</v>
      </c>
      <c r="C3625" t="str">
        <f>HYPERLINK("https://us2.cloudbeds.com/connect/8493803454333002#/reservations/49837770617045?display=12ED0X9YDP&amp;reservation_id=49837770617045", "12ED0X9YDP")</f>
        <v>12ED0X9YDP</v>
      </c>
      <c r="D3625" t="s">
        <v>45</v>
      </c>
      <c r="E3625" t="s">
        <v>213</v>
      </c>
      <c r="F3625" t="s">
        <v>86</v>
      </c>
      <c r="G3625" t="s">
        <v>48</v>
      </c>
      <c r="H3625" t="s">
        <v>3957</v>
      </c>
      <c r="I3625" t="s">
        <v>3958</v>
      </c>
      <c r="J3625" t="s">
        <v>5683</v>
      </c>
      <c r="K3625" t="s">
        <v>3125</v>
      </c>
      <c r="L3625" t="s">
        <v>53</v>
      </c>
      <c r="P3625" t="s">
        <v>55</v>
      </c>
      <c r="R3625" t="s">
        <v>56</v>
      </c>
      <c r="T3625" t="s">
        <v>6082</v>
      </c>
      <c r="U3625" t="s">
        <v>58</v>
      </c>
      <c r="V3625">
        <v>1</v>
      </c>
      <c r="W3625">
        <v>1</v>
      </c>
      <c r="X3625">
        <v>1</v>
      </c>
      <c r="Y3625">
        <v>0</v>
      </c>
      <c r="Z3625">
        <v>1</v>
      </c>
      <c r="AA3625">
        <v>0</v>
      </c>
      <c r="AB3625">
        <v>127.29</v>
      </c>
      <c r="AC3625">
        <v>112</v>
      </c>
      <c r="AD3625">
        <v>0</v>
      </c>
      <c r="AE3625">
        <v>15.29</v>
      </c>
      <c r="AF3625">
        <v>0</v>
      </c>
      <c r="AG3625">
        <v>0</v>
      </c>
      <c r="AH3625">
        <v>0</v>
      </c>
      <c r="AI3625">
        <v>0</v>
      </c>
      <c r="AJ3625">
        <v>127.29</v>
      </c>
      <c r="AK3625">
        <v>0</v>
      </c>
      <c r="AL3625" t="s">
        <v>53</v>
      </c>
      <c r="AM3625" t="s">
        <v>53</v>
      </c>
      <c r="AN3625" t="s">
        <v>53</v>
      </c>
      <c r="AO3625" t="s">
        <v>53</v>
      </c>
      <c r="AP3625" t="s">
        <v>53</v>
      </c>
    </row>
    <row r="3626" spans="2:42" x14ac:dyDescent="0.2">
      <c r="B3626" t="s">
        <v>44</v>
      </c>
      <c r="C3626" t="str">
        <f>HYPERLINK("https://us2.cloudbeds.com/connect/8493803454333002#/reservations/49853522186461?display=12EP71E9G3&amp;reservation_id=49853522186461", "12EP71E9G3")</f>
        <v>12EP71E9G3</v>
      </c>
      <c r="D3626" t="s">
        <v>45</v>
      </c>
      <c r="E3626" t="s">
        <v>113</v>
      </c>
      <c r="F3626" t="s">
        <v>61</v>
      </c>
      <c r="G3626" t="s">
        <v>48</v>
      </c>
      <c r="H3626" t="s">
        <v>3957</v>
      </c>
      <c r="I3626" t="s">
        <v>3958</v>
      </c>
      <c r="J3626" t="s">
        <v>3125</v>
      </c>
      <c r="K3626" t="s">
        <v>5434</v>
      </c>
      <c r="L3626" t="s">
        <v>53</v>
      </c>
      <c r="P3626" t="s">
        <v>55</v>
      </c>
      <c r="R3626" t="s">
        <v>56</v>
      </c>
      <c r="T3626" t="s">
        <v>6083</v>
      </c>
      <c r="U3626" t="s">
        <v>58</v>
      </c>
      <c r="V3626">
        <v>1</v>
      </c>
      <c r="W3626">
        <v>1</v>
      </c>
      <c r="X3626">
        <v>1</v>
      </c>
      <c r="Y3626">
        <v>0</v>
      </c>
      <c r="Z3626">
        <v>1</v>
      </c>
      <c r="AA3626">
        <v>0</v>
      </c>
      <c r="AB3626">
        <v>113.65</v>
      </c>
      <c r="AC3626">
        <v>100</v>
      </c>
      <c r="AD3626">
        <v>0</v>
      </c>
      <c r="AE3626">
        <v>13.65</v>
      </c>
      <c r="AF3626">
        <v>0</v>
      </c>
      <c r="AG3626">
        <v>0</v>
      </c>
      <c r="AH3626">
        <v>0</v>
      </c>
      <c r="AI3626">
        <v>0</v>
      </c>
      <c r="AJ3626">
        <v>113.65</v>
      </c>
      <c r="AK3626">
        <v>0</v>
      </c>
      <c r="AL3626" t="s">
        <v>53</v>
      </c>
      <c r="AM3626" t="s">
        <v>53</v>
      </c>
      <c r="AN3626" t="s">
        <v>6084</v>
      </c>
      <c r="AO3626" t="s">
        <v>53</v>
      </c>
      <c r="AP3626" t="s">
        <v>53</v>
      </c>
    </row>
    <row r="3627" spans="2:42" x14ac:dyDescent="0.2">
      <c r="B3627" t="s">
        <v>44</v>
      </c>
      <c r="C3627" t="str">
        <f>HYPERLINK("https://us2.cloudbeds.com/connect/8493803454333002#/reservations/49946049536198?display=12GUSAV681&amp;reservation_id=49946049536198", "12GUSAV681")</f>
        <v>12GUSAV681</v>
      </c>
      <c r="D3627" t="s">
        <v>45</v>
      </c>
      <c r="E3627" t="s">
        <v>190</v>
      </c>
      <c r="F3627" t="s">
        <v>61</v>
      </c>
      <c r="G3627" t="s">
        <v>48</v>
      </c>
      <c r="H3627" t="s">
        <v>3957</v>
      </c>
      <c r="I3627" t="s">
        <v>3975</v>
      </c>
      <c r="J3627" t="s">
        <v>3124</v>
      </c>
      <c r="K3627" t="s">
        <v>5434</v>
      </c>
      <c r="L3627" t="s">
        <v>53</v>
      </c>
      <c r="P3627" t="s">
        <v>55</v>
      </c>
      <c r="R3627" t="s">
        <v>56</v>
      </c>
      <c r="T3627" t="s">
        <v>6085</v>
      </c>
      <c r="U3627" t="s">
        <v>58</v>
      </c>
      <c r="V3627">
        <v>3</v>
      </c>
      <c r="W3627">
        <v>1</v>
      </c>
      <c r="X3627">
        <v>2</v>
      </c>
      <c r="Y3627">
        <v>0</v>
      </c>
      <c r="Z3627">
        <v>2</v>
      </c>
      <c r="AA3627">
        <v>0</v>
      </c>
      <c r="AB3627">
        <v>328.45</v>
      </c>
      <c r="AC3627">
        <v>289</v>
      </c>
      <c r="AD3627">
        <v>0</v>
      </c>
      <c r="AE3627">
        <v>39.450000000000003</v>
      </c>
      <c r="AF3627">
        <v>0</v>
      </c>
      <c r="AG3627">
        <v>0</v>
      </c>
      <c r="AH3627">
        <v>0</v>
      </c>
      <c r="AI3627">
        <v>0</v>
      </c>
      <c r="AJ3627">
        <v>328.45</v>
      </c>
      <c r="AK3627">
        <v>0</v>
      </c>
      <c r="AL3627" t="s">
        <v>53</v>
      </c>
      <c r="AM3627" t="s">
        <v>53</v>
      </c>
      <c r="AN3627" t="s">
        <v>53</v>
      </c>
      <c r="AO3627" t="s">
        <v>53</v>
      </c>
      <c r="AP3627" t="s">
        <v>53</v>
      </c>
    </row>
    <row r="3628" spans="2:42" x14ac:dyDescent="0.2">
      <c r="B3628" t="s">
        <v>44</v>
      </c>
      <c r="C3628" t="str">
        <f>HYPERLINK("https://us2.cloudbeds.com/connect/8493803454333002#/reservations/50142177616096?display=12YHNSB45F&amp;reservation_id=50142177616096", "12YHNSB45F")</f>
        <v>12YHNSB45F</v>
      </c>
      <c r="D3628" t="s">
        <v>45</v>
      </c>
      <c r="E3628" t="s">
        <v>105</v>
      </c>
      <c r="F3628" t="s">
        <v>47</v>
      </c>
      <c r="G3628" t="s">
        <v>48</v>
      </c>
      <c r="H3628" t="s">
        <v>3957</v>
      </c>
      <c r="I3628" t="s">
        <v>3958</v>
      </c>
      <c r="J3628" t="s">
        <v>5584</v>
      </c>
      <c r="K3628" t="s">
        <v>2284</v>
      </c>
      <c r="L3628" t="s">
        <v>53</v>
      </c>
      <c r="P3628" t="s">
        <v>58</v>
      </c>
      <c r="R3628" t="s">
        <v>56</v>
      </c>
      <c r="T3628" t="s">
        <v>6086</v>
      </c>
      <c r="U3628" t="s">
        <v>58</v>
      </c>
      <c r="V3628">
        <v>1</v>
      </c>
      <c r="W3628">
        <v>1</v>
      </c>
      <c r="X3628">
        <v>1</v>
      </c>
      <c r="Y3628">
        <v>0</v>
      </c>
      <c r="Z3628">
        <v>1</v>
      </c>
      <c r="AA3628">
        <v>0</v>
      </c>
      <c r="AB3628">
        <v>90.92</v>
      </c>
      <c r="AC3628">
        <v>80</v>
      </c>
      <c r="AD3628">
        <v>0</v>
      </c>
      <c r="AE3628">
        <v>10.92</v>
      </c>
      <c r="AF3628">
        <v>0</v>
      </c>
      <c r="AG3628">
        <v>0</v>
      </c>
      <c r="AH3628">
        <v>0</v>
      </c>
      <c r="AI3628">
        <v>0</v>
      </c>
      <c r="AJ3628">
        <v>90.92</v>
      </c>
      <c r="AK3628">
        <v>0</v>
      </c>
      <c r="AL3628" t="s">
        <v>53</v>
      </c>
      <c r="AM3628" t="s">
        <v>53</v>
      </c>
      <c r="AN3628" t="s">
        <v>53</v>
      </c>
      <c r="AO3628" t="s">
        <v>53</v>
      </c>
      <c r="AP3628" t="s">
        <v>53</v>
      </c>
    </row>
    <row r="3629" spans="2:42" x14ac:dyDescent="0.2">
      <c r="B3629" t="s">
        <v>44</v>
      </c>
      <c r="C3629" t="str">
        <f>HYPERLINK("https://us2.cloudbeds.com/connect/8493803454333002#/reservations/50184775712984?display=12MHNB5VTA&amp;reservation_id=50184775712984", "12MHNB5VTA")</f>
        <v>12MHNB5VTA</v>
      </c>
      <c r="D3629" t="s">
        <v>45</v>
      </c>
      <c r="E3629" t="s">
        <v>165</v>
      </c>
      <c r="F3629" t="s">
        <v>61</v>
      </c>
      <c r="G3629" t="s">
        <v>48</v>
      </c>
      <c r="H3629" t="s">
        <v>49</v>
      </c>
      <c r="I3629" t="s">
        <v>50</v>
      </c>
      <c r="J3629" t="s">
        <v>5497</v>
      </c>
      <c r="K3629" t="s">
        <v>3124</v>
      </c>
      <c r="L3629" t="s">
        <v>53</v>
      </c>
      <c r="N3629" t="s">
        <v>6087</v>
      </c>
      <c r="P3629" t="s">
        <v>55</v>
      </c>
      <c r="R3629" t="s">
        <v>53</v>
      </c>
      <c r="T3629" t="s">
        <v>6088</v>
      </c>
      <c r="U3629" t="s">
        <v>58</v>
      </c>
      <c r="V3629">
        <v>1</v>
      </c>
      <c r="W3629">
        <v>1</v>
      </c>
      <c r="X3629">
        <v>1</v>
      </c>
      <c r="Y3629">
        <v>0</v>
      </c>
      <c r="Z3629">
        <v>1</v>
      </c>
      <c r="AA3629">
        <v>0</v>
      </c>
      <c r="AB3629">
        <v>91.03</v>
      </c>
      <c r="AC3629">
        <v>80.099999999999994</v>
      </c>
      <c r="AD3629">
        <v>0</v>
      </c>
      <c r="AE3629">
        <v>10.93</v>
      </c>
      <c r="AF3629">
        <v>0</v>
      </c>
      <c r="AG3629">
        <v>0</v>
      </c>
      <c r="AH3629">
        <v>0</v>
      </c>
      <c r="AI3629">
        <v>16.39</v>
      </c>
      <c r="AJ3629">
        <v>91.03</v>
      </c>
      <c r="AK3629">
        <v>0</v>
      </c>
      <c r="AL3629" t="s">
        <v>53</v>
      </c>
      <c r="AM3629" t="s">
        <v>53</v>
      </c>
      <c r="AN3629" t="s">
        <v>53</v>
      </c>
      <c r="AO3629" t="s">
        <v>53</v>
      </c>
      <c r="AP3629" t="s">
        <v>53</v>
      </c>
    </row>
    <row r="3630" spans="2:42" x14ac:dyDescent="0.2">
      <c r="B3630" t="s">
        <v>44</v>
      </c>
      <c r="C3630" t="str">
        <f>HYPERLINK("https://us2.cloudbeds.com/connect/8493803454333002#/reservations/50212322992303?display=12N617PKG9&amp;reservation_id=50212322992303", "12N617PKG9")</f>
        <v>12N617PKG9</v>
      </c>
      <c r="D3630" t="s">
        <v>45</v>
      </c>
      <c r="E3630" t="s">
        <v>46</v>
      </c>
      <c r="F3630" t="s">
        <v>47</v>
      </c>
      <c r="G3630" t="s">
        <v>48</v>
      </c>
      <c r="H3630" t="s">
        <v>49</v>
      </c>
      <c r="I3630" t="s">
        <v>50</v>
      </c>
      <c r="J3630" t="s">
        <v>5805</v>
      </c>
      <c r="K3630" t="s">
        <v>6089</v>
      </c>
      <c r="L3630" t="s">
        <v>53</v>
      </c>
      <c r="N3630" t="s">
        <v>6090</v>
      </c>
      <c r="P3630" t="s">
        <v>55</v>
      </c>
      <c r="R3630" t="s">
        <v>53</v>
      </c>
      <c r="T3630" t="s">
        <v>6091</v>
      </c>
      <c r="U3630" t="s">
        <v>58</v>
      </c>
      <c r="V3630">
        <v>12</v>
      </c>
      <c r="W3630">
        <v>1</v>
      </c>
      <c r="X3630">
        <v>2</v>
      </c>
      <c r="Y3630">
        <v>0</v>
      </c>
      <c r="Z3630">
        <v>2</v>
      </c>
      <c r="AA3630">
        <v>0</v>
      </c>
      <c r="AB3630">
        <v>918.91</v>
      </c>
      <c r="AC3630">
        <v>808.56</v>
      </c>
      <c r="AD3630">
        <v>0</v>
      </c>
      <c r="AE3630">
        <v>110.35</v>
      </c>
      <c r="AF3630">
        <v>0</v>
      </c>
      <c r="AG3630">
        <v>0</v>
      </c>
      <c r="AH3630">
        <v>0</v>
      </c>
      <c r="AI3630">
        <v>165.4</v>
      </c>
      <c r="AJ3630">
        <v>918.91</v>
      </c>
      <c r="AK3630">
        <v>0</v>
      </c>
      <c r="AL3630" t="s">
        <v>53</v>
      </c>
      <c r="AM3630" t="s">
        <v>53</v>
      </c>
      <c r="AN3630" t="s">
        <v>53</v>
      </c>
      <c r="AO3630" t="s">
        <v>53</v>
      </c>
      <c r="AP3630" t="s">
        <v>53</v>
      </c>
    </row>
    <row r="3631" spans="2:42" x14ac:dyDescent="0.2">
      <c r="B3631" t="s">
        <v>44</v>
      </c>
      <c r="C3631" t="str">
        <f>HYPERLINK("https://us2.cloudbeds.com/connect/8493803454333002#/reservations/50247978512529?display=12Z0YAF115&amp;reservation_id=50247978512529", "12Z0YAF115")</f>
        <v>12Z0YAF115</v>
      </c>
      <c r="D3631" t="s">
        <v>45</v>
      </c>
      <c r="E3631" t="s">
        <v>113</v>
      </c>
      <c r="F3631" t="s">
        <v>61</v>
      </c>
      <c r="G3631" t="s">
        <v>48</v>
      </c>
      <c r="H3631" t="s">
        <v>49</v>
      </c>
      <c r="I3631" t="s">
        <v>62</v>
      </c>
      <c r="J3631" t="s">
        <v>5497</v>
      </c>
      <c r="K3631" t="s">
        <v>3124</v>
      </c>
      <c r="L3631" t="s">
        <v>53</v>
      </c>
      <c r="N3631" t="s">
        <v>6092</v>
      </c>
      <c r="P3631" t="s">
        <v>55</v>
      </c>
      <c r="R3631" t="s">
        <v>764</v>
      </c>
      <c r="T3631" t="s">
        <v>6093</v>
      </c>
      <c r="U3631" t="s">
        <v>55</v>
      </c>
      <c r="V3631">
        <v>1</v>
      </c>
      <c r="W3631">
        <v>1</v>
      </c>
      <c r="X3631">
        <v>2</v>
      </c>
      <c r="Y3631">
        <v>0</v>
      </c>
      <c r="Z3631">
        <v>2</v>
      </c>
      <c r="AA3631">
        <v>0</v>
      </c>
      <c r="AB3631">
        <v>89</v>
      </c>
      <c r="AC3631">
        <v>89</v>
      </c>
      <c r="AD3631">
        <v>0</v>
      </c>
      <c r="AE3631">
        <v>0</v>
      </c>
      <c r="AF3631">
        <v>0</v>
      </c>
      <c r="AG3631">
        <v>0</v>
      </c>
      <c r="AH3631">
        <v>0</v>
      </c>
      <c r="AI3631">
        <v>16.02</v>
      </c>
      <c r="AJ3631">
        <v>89</v>
      </c>
      <c r="AK3631">
        <v>0</v>
      </c>
      <c r="AL3631" t="s">
        <v>53</v>
      </c>
      <c r="AM3631" t="s">
        <v>53</v>
      </c>
      <c r="AN3631" t="s">
        <v>53</v>
      </c>
      <c r="AO3631" t="s">
        <v>53</v>
      </c>
      <c r="AP3631" t="s">
        <v>53</v>
      </c>
    </row>
    <row r="3632" spans="2:42" x14ac:dyDescent="0.2">
      <c r="B3632" t="s">
        <v>44</v>
      </c>
      <c r="C3632" t="str">
        <f>HYPERLINK("https://us2.cloudbeds.com/connect/8493803454333002#/reservations/50248342921433?display=12Z0UKZ847&amp;reservation_id=50248342921433", "12Z0UKZ847")</f>
        <v>12Z0UKZ847</v>
      </c>
      <c r="D3632" t="s">
        <v>45</v>
      </c>
      <c r="E3632" t="s">
        <v>138</v>
      </c>
      <c r="F3632" t="s">
        <v>70</v>
      </c>
      <c r="G3632" t="s">
        <v>48</v>
      </c>
      <c r="H3632" t="s">
        <v>49</v>
      </c>
      <c r="I3632" t="s">
        <v>62</v>
      </c>
      <c r="J3632" t="s">
        <v>5497</v>
      </c>
      <c r="K3632" t="s">
        <v>3124</v>
      </c>
      <c r="L3632" t="s">
        <v>53</v>
      </c>
      <c r="N3632" t="s">
        <v>6094</v>
      </c>
      <c r="P3632" t="s">
        <v>55</v>
      </c>
      <c r="R3632" t="s">
        <v>764</v>
      </c>
      <c r="T3632" t="s">
        <v>6095</v>
      </c>
      <c r="U3632" t="s">
        <v>55</v>
      </c>
      <c r="V3632">
        <v>1</v>
      </c>
      <c r="W3632">
        <v>1</v>
      </c>
      <c r="X3632">
        <v>2</v>
      </c>
      <c r="Y3632">
        <v>0</v>
      </c>
      <c r="Z3632">
        <v>2</v>
      </c>
      <c r="AA3632">
        <v>0</v>
      </c>
      <c r="AB3632">
        <v>89</v>
      </c>
      <c r="AC3632">
        <v>89</v>
      </c>
      <c r="AD3632">
        <v>0</v>
      </c>
      <c r="AE3632">
        <v>0</v>
      </c>
      <c r="AF3632">
        <v>0</v>
      </c>
      <c r="AG3632">
        <v>0</v>
      </c>
      <c r="AH3632">
        <v>0</v>
      </c>
      <c r="AI3632">
        <v>16.02</v>
      </c>
      <c r="AJ3632">
        <v>89</v>
      </c>
      <c r="AK3632">
        <v>0</v>
      </c>
      <c r="AL3632" t="s">
        <v>53</v>
      </c>
      <c r="AM3632" t="s">
        <v>53</v>
      </c>
      <c r="AN3632" t="s">
        <v>53</v>
      </c>
      <c r="AO3632" t="s">
        <v>53</v>
      </c>
      <c r="AP3632" t="s">
        <v>53</v>
      </c>
    </row>
    <row r="3633" spans="2:42" x14ac:dyDescent="0.2">
      <c r="B3633" t="s">
        <v>44</v>
      </c>
      <c r="C3633" t="str">
        <f>HYPERLINK("https://us2.cloudbeds.com/connect/8493803454333002#/reservations/50270712856805?display=12ZX87YM7M&amp;reservation_id=50270712856805", "12ZX87YM7M")</f>
        <v>12ZX87YM7M</v>
      </c>
      <c r="D3633" t="s">
        <v>45</v>
      </c>
      <c r="E3633" t="s">
        <v>78</v>
      </c>
      <c r="F3633" t="s">
        <v>61</v>
      </c>
      <c r="G3633" t="s">
        <v>48</v>
      </c>
      <c r="H3633" t="s">
        <v>49</v>
      </c>
      <c r="I3633" t="s">
        <v>50</v>
      </c>
      <c r="J3633" t="s">
        <v>5497</v>
      </c>
      <c r="K3633" t="s">
        <v>3124</v>
      </c>
      <c r="L3633" t="s">
        <v>53</v>
      </c>
      <c r="N3633" t="s">
        <v>6096</v>
      </c>
      <c r="P3633" t="s">
        <v>55</v>
      </c>
      <c r="R3633" t="s">
        <v>53</v>
      </c>
      <c r="T3633" t="s">
        <v>6097</v>
      </c>
      <c r="U3633" t="s">
        <v>58</v>
      </c>
      <c r="V3633">
        <v>1</v>
      </c>
      <c r="W3633">
        <v>1</v>
      </c>
      <c r="X3633">
        <v>2</v>
      </c>
      <c r="Y3633">
        <v>0</v>
      </c>
      <c r="Z3633">
        <v>2</v>
      </c>
      <c r="AA3633">
        <v>0</v>
      </c>
      <c r="AB3633">
        <v>91.03</v>
      </c>
      <c r="AC3633">
        <v>80.099999999999994</v>
      </c>
      <c r="AD3633">
        <v>0</v>
      </c>
      <c r="AE3633">
        <v>10.93</v>
      </c>
      <c r="AF3633">
        <v>0</v>
      </c>
      <c r="AG3633">
        <v>0</v>
      </c>
      <c r="AH3633">
        <v>0</v>
      </c>
      <c r="AI3633">
        <v>16.39</v>
      </c>
      <c r="AJ3633">
        <v>91.03</v>
      </c>
      <c r="AK3633">
        <v>0</v>
      </c>
      <c r="AL3633" t="s">
        <v>53</v>
      </c>
      <c r="AM3633" t="s">
        <v>53</v>
      </c>
      <c r="AN3633" t="s">
        <v>53</v>
      </c>
      <c r="AO3633" t="s">
        <v>53</v>
      </c>
      <c r="AP3633" t="s">
        <v>53</v>
      </c>
    </row>
    <row r="3634" spans="2:42" x14ac:dyDescent="0.2">
      <c r="B3634" t="s">
        <v>44</v>
      </c>
      <c r="C3634" t="str">
        <f>HYPERLINK("https://us2.cloudbeds.com/connect/8493803454333002#/reservations/50283510874352?display=12ZS589CF7&amp;reservation_id=50283510874352", "12ZS589CF7")</f>
        <v>12ZS589CF7</v>
      </c>
      <c r="D3634" t="s">
        <v>45</v>
      </c>
      <c r="E3634" t="s">
        <v>105</v>
      </c>
      <c r="F3634" t="s">
        <v>47</v>
      </c>
      <c r="G3634" t="s">
        <v>48</v>
      </c>
      <c r="H3634" t="s">
        <v>3957</v>
      </c>
      <c r="I3634" t="s">
        <v>3958</v>
      </c>
      <c r="J3634" t="s">
        <v>5497</v>
      </c>
      <c r="K3634" t="s">
        <v>3124</v>
      </c>
      <c r="L3634" t="s">
        <v>53</v>
      </c>
      <c r="P3634" t="s">
        <v>58</v>
      </c>
      <c r="R3634" t="s">
        <v>56</v>
      </c>
      <c r="T3634" t="s">
        <v>6098</v>
      </c>
      <c r="U3634" t="s">
        <v>58</v>
      </c>
      <c r="V3634">
        <v>1</v>
      </c>
      <c r="W3634">
        <v>1</v>
      </c>
      <c r="X3634">
        <v>1</v>
      </c>
      <c r="Y3634">
        <v>0</v>
      </c>
      <c r="Z3634">
        <v>1</v>
      </c>
      <c r="AA3634">
        <v>0</v>
      </c>
      <c r="AB3634">
        <v>110.24</v>
      </c>
      <c r="AC3634">
        <v>97</v>
      </c>
      <c r="AD3634">
        <v>0</v>
      </c>
      <c r="AE3634">
        <v>13.24</v>
      </c>
      <c r="AF3634">
        <v>0</v>
      </c>
      <c r="AG3634">
        <v>0</v>
      </c>
      <c r="AH3634">
        <v>0</v>
      </c>
      <c r="AI3634">
        <v>0</v>
      </c>
      <c r="AJ3634">
        <v>110.24</v>
      </c>
      <c r="AK3634">
        <v>0</v>
      </c>
      <c r="AL3634" t="s">
        <v>53</v>
      </c>
      <c r="AM3634" t="s">
        <v>53</v>
      </c>
      <c r="AN3634" t="s">
        <v>53</v>
      </c>
      <c r="AO3634" t="s">
        <v>53</v>
      </c>
      <c r="AP3634" t="s">
        <v>53</v>
      </c>
    </row>
    <row r="3635" spans="2:42" x14ac:dyDescent="0.2">
      <c r="B3635" t="s">
        <v>44</v>
      </c>
      <c r="C3635" t="str">
        <f>HYPERLINK("https://us2.cloudbeds.com/connect/8493803454333002#/reservations/50314205630715?display=12PXUXU79E&amp;reservation_id=50314205630715", "12PXUXU79E")</f>
        <v>12PXUXU79E</v>
      </c>
      <c r="D3635" t="s">
        <v>45</v>
      </c>
      <c r="E3635" t="s">
        <v>265</v>
      </c>
      <c r="F3635" t="s">
        <v>61</v>
      </c>
      <c r="G3635" t="s">
        <v>48</v>
      </c>
      <c r="H3635" t="s">
        <v>49</v>
      </c>
      <c r="I3635" t="s">
        <v>62</v>
      </c>
      <c r="J3635" t="s">
        <v>2664</v>
      </c>
      <c r="K3635" t="s">
        <v>5584</v>
      </c>
      <c r="L3635" t="s">
        <v>53</v>
      </c>
      <c r="N3635" t="s">
        <v>6099</v>
      </c>
      <c r="P3635" t="s">
        <v>55</v>
      </c>
      <c r="R3635" t="s">
        <v>56</v>
      </c>
      <c r="T3635" t="s">
        <v>6100</v>
      </c>
      <c r="U3635" t="s">
        <v>55</v>
      </c>
      <c r="V3635">
        <v>1</v>
      </c>
      <c r="W3635">
        <v>1</v>
      </c>
      <c r="X3635">
        <v>2</v>
      </c>
      <c r="Y3635">
        <v>0</v>
      </c>
      <c r="Z3635">
        <v>2</v>
      </c>
      <c r="AA3635">
        <v>0</v>
      </c>
      <c r="AB3635">
        <v>112.5</v>
      </c>
      <c r="AC3635">
        <v>112.5</v>
      </c>
      <c r="AD3635">
        <v>0</v>
      </c>
      <c r="AE3635">
        <v>0</v>
      </c>
      <c r="AF3635">
        <v>0</v>
      </c>
      <c r="AG3635">
        <v>0</v>
      </c>
      <c r="AH3635">
        <v>0</v>
      </c>
      <c r="AI3635">
        <v>20.25</v>
      </c>
      <c r="AJ3635">
        <v>112.5</v>
      </c>
      <c r="AK3635">
        <v>0</v>
      </c>
      <c r="AL3635" t="s">
        <v>53</v>
      </c>
      <c r="AM3635" t="s">
        <v>53</v>
      </c>
      <c r="AN3635" t="s">
        <v>53</v>
      </c>
      <c r="AO3635" t="s">
        <v>53</v>
      </c>
      <c r="AP3635" t="s">
        <v>53</v>
      </c>
    </row>
    <row r="3636" spans="2:42" x14ac:dyDescent="0.2">
      <c r="B3636" t="s">
        <v>44</v>
      </c>
      <c r="C3636" t="str">
        <f>HYPERLINK("https://us2.cloudbeds.com/connect/8493803454333002#/reservations/50411884798111?display=12RSXGJ1E0&amp;reservation_id=50411884798111", "12RSXGJ1E0")</f>
        <v>12RSXGJ1E0</v>
      </c>
      <c r="D3636" t="s">
        <v>45</v>
      </c>
      <c r="E3636" t="s">
        <v>128</v>
      </c>
      <c r="F3636" t="s">
        <v>86</v>
      </c>
      <c r="G3636" t="s">
        <v>5320</v>
      </c>
      <c r="H3636" t="s">
        <v>3957</v>
      </c>
      <c r="I3636" t="s">
        <v>3975</v>
      </c>
      <c r="J3636" t="s">
        <v>5610</v>
      </c>
      <c r="K3636" t="s">
        <v>5185</v>
      </c>
      <c r="L3636" t="s">
        <v>53</v>
      </c>
      <c r="P3636" t="s">
        <v>55</v>
      </c>
      <c r="R3636" t="s">
        <v>56</v>
      </c>
      <c r="T3636" t="s">
        <v>6101</v>
      </c>
      <c r="U3636" t="s">
        <v>58</v>
      </c>
      <c r="V3636">
        <v>2</v>
      </c>
      <c r="W3636">
        <v>1</v>
      </c>
      <c r="X3636">
        <v>2</v>
      </c>
      <c r="Y3636">
        <v>0</v>
      </c>
      <c r="Z3636">
        <v>2</v>
      </c>
      <c r="AA3636">
        <v>0</v>
      </c>
      <c r="AB3636">
        <v>307.72000000000003</v>
      </c>
      <c r="AC3636">
        <v>195</v>
      </c>
      <c r="AD3636">
        <v>0</v>
      </c>
      <c r="AE3636">
        <v>26.62</v>
      </c>
      <c r="AF3636">
        <v>0</v>
      </c>
      <c r="AG3636">
        <v>0</v>
      </c>
      <c r="AH3636">
        <v>0</v>
      </c>
      <c r="AI3636">
        <v>0</v>
      </c>
      <c r="AJ3636">
        <v>221.62</v>
      </c>
      <c r="AK3636">
        <v>0</v>
      </c>
      <c r="AL3636" t="s">
        <v>53</v>
      </c>
      <c r="AM3636" t="s">
        <v>53</v>
      </c>
      <c r="AN3636" t="s">
        <v>6102</v>
      </c>
      <c r="AO3636" t="s">
        <v>53</v>
      </c>
      <c r="AP3636" t="s">
        <v>53</v>
      </c>
    </row>
    <row r="3637" spans="2:42" x14ac:dyDescent="0.2">
      <c r="B3637" t="s">
        <v>44</v>
      </c>
      <c r="C3637" t="str">
        <f>HYPERLINK("https://us2.cloudbeds.com/connect/8493803454333002#/reservations/50520283750638?display=12UDGBEMZ8&amp;reservation_id=50520283750638", "12UDGBEMZ8")</f>
        <v>12UDGBEMZ8</v>
      </c>
      <c r="D3637" t="s">
        <v>45</v>
      </c>
      <c r="E3637" t="s">
        <v>110</v>
      </c>
      <c r="F3637" t="s">
        <v>47</v>
      </c>
      <c r="G3637" t="s">
        <v>48</v>
      </c>
      <c r="H3637" t="s">
        <v>49</v>
      </c>
      <c r="I3637" t="s">
        <v>62</v>
      </c>
      <c r="J3637" t="s">
        <v>5584</v>
      </c>
      <c r="K3637" t="s">
        <v>5825</v>
      </c>
      <c r="L3637" t="s">
        <v>53</v>
      </c>
      <c r="N3637" t="s">
        <v>6103</v>
      </c>
      <c r="P3637" t="s">
        <v>55</v>
      </c>
      <c r="R3637" t="s">
        <v>56</v>
      </c>
      <c r="T3637" t="s">
        <v>6104</v>
      </c>
      <c r="U3637" t="s">
        <v>55</v>
      </c>
      <c r="V3637">
        <v>2</v>
      </c>
      <c r="W3637">
        <v>1</v>
      </c>
      <c r="X3637">
        <v>2</v>
      </c>
      <c r="Y3637">
        <v>0</v>
      </c>
      <c r="Z3637">
        <v>2</v>
      </c>
      <c r="AA3637">
        <v>0</v>
      </c>
      <c r="AB3637">
        <v>219.6</v>
      </c>
      <c r="AC3637">
        <v>219.6</v>
      </c>
      <c r="AD3637">
        <v>0</v>
      </c>
      <c r="AE3637">
        <v>0</v>
      </c>
      <c r="AF3637">
        <v>0</v>
      </c>
      <c r="AG3637">
        <v>0</v>
      </c>
      <c r="AH3637">
        <v>0</v>
      </c>
      <c r="AI3637">
        <v>39.53</v>
      </c>
      <c r="AJ3637">
        <v>219.6</v>
      </c>
      <c r="AK3637">
        <v>0</v>
      </c>
      <c r="AL3637" t="s">
        <v>53</v>
      </c>
      <c r="AM3637" t="s">
        <v>53</v>
      </c>
      <c r="AN3637" t="s">
        <v>53</v>
      </c>
      <c r="AO3637" t="s">
        <v>53</v>
      </c>
      <c r="AP3637" t="s">
        <v>53</v>
      </c>
    </row>
    <row r="3638" spans="2:42" x14ac:dyDescent="0.2">
      <c r="B3638" t="s">
        <v>44</v>
      </c>
      <c r="C3638" t="str">
        <f>HYPERLINK("https://us2.cloudbeds.com/connect/8493803454333002#/reservations/50543933825152?display=12UVQYQP5Z&amp;reservation_id=50543933825152", "12UVQYQP5Z")</f>
        <v>12UVQYQP5Z</v>
      </c>
      <c r="D3638" t="s">
        <v>45</v>
      </c>
      <c r="E3638" t="s">
        <v>155</v>
      </c>
      <c r="F3638" t="s">
        <v>86</v>
      </c>
      <c r="G3638" t="s">
        <v>48</v>
      </c>
      <c r="H3638" t="s">
        <v>3957</v>
      </c>
      <c r="I3638" t="s">
        <v>3975</v>
      </c>
      <c r="J3638" t="s">
        <v>5610</v>
      </c>
      <c r="K3638" t="s">
        <v>5351</v>
      </c>
      <c r="L3638" t="s">
        <v>53</v>
      </c>
      <c r="P3638" t="s">
        <v>55</v>
      </c>
      <c r="R3638" t="s">
        <v>56</v>
      </c>
      <c r="T3638" t="s">
        <v>6105</v>
      </c>
      <c r="U3638" t="s">
        <v>58</v>
      </c>
      <c r="V3638">
        <v>1</v>
      </c>
      <c r="W3638">
        <v>1</v>
      </c>
      <c r="X3638">
        <v>2</v>
      </c>
      <c r="Y3638">
        <v>1</v>
      </c>
      <c r="Z3638">
        <v>3</v>
      </c>
      <c r="AA3638">
        <v>0</v>
      </c>
      <c r="AB3638">
        <v>147.75</v>
      </c>
      <c r="AC3638">
        <v>130</v>
      </c>
      <c r="AD3638">
        <v>0</v>
      </c>
      <c r="AE3638">
        <v>17.75</v>
      </c>
      <c r="AF3638">
        <v>0</v>
      </c>
      <c r="AG3638">
        <v>0</v>
      </c>
      <c r="AH3638">
        <v>0</v>
      </c>
      <c r="AI3638">
        <v>0</v>
      </c>
      <c r="AJ3638">
        <v>147.75</v>
      </c>
      <c r="AK3638">
        <v>0</v>
      </c>
      <c r="AL3638" t="s">
        <v>53</v>
      </c>
      <c r="AM3638" t="s">
        <v>53</v>
      </c>
      <c r="AN3638" t="s">
        <v>53</v>
      </c>
      <c r="AO3638" t="s">
        <v>53</v>
      </c>
      <c r="AP3638" t="s">
        <v>53</v>
      </c>
    </row>
    <row r="3639" spans="2:42" x14ac:dyDescent="0.2">
      <c r="B3639" t="s">
        <v>44</v>
      </c>
      <c r="C3639" t="str">
        <f>HYPERLINK("https://us2.cloudbeds.com/connect/8493803454333002#/reservations/50563791229142?display=12VE623DKP&amp;reservation_id=50563791229142", "12VE623DKP")</f>
        <v>12VE623DKP</v>
      </c>
      <c r="D3639" t="s">
        <v>45</v>
      </c>
      <c r="E3639" t="s">
        <v>138</v>
      </c>
      <c r="F3639" t="s">
        <v>70</v>
      </c>
      <c r="G3639" t="s">
        <v>48</v>
      </c>
      <c r="H3639" t="s">
        <v>49</v>
      </c>
      <c r="I3639" t="s">
        <v>62</v>
      </c>
      <c r="J3639" t="s">
        <v>5610</v>
      </c>
      <c r="K3639" t="s">
        <v>5351</v>
      </c>
      <c r="L3639" t="s">
        <v>53</v>
      </c>
      <c r="N3639" t="s">
        <v>6106</v>
      </c>
      <c r="P3639" t="s">
        <v>55</v>
      </c>
      <c r="R3639" t="s">
        <v>56</v>
      </c>
      <c r="T3639" t="s">
        <v>6107</v>
      </c>
      <c r="U3639" t="s">
        <v>55</v>
      </c>
      <c r="V3639">
        <v>1</v>
      </c>
      <c r="W3639">
        <v>1</v>
      </c>
      <c r="X3639">
        <v>2</v>
      </c>
      <c r="Y3639">
        <v>0</v>
      </c>
      <c r="Z3639">
        <v>2</v>
      </c>
      <c r="AA3639">
        <v>0</v>
      </c>
      <c r="AB3639">
        <v>116</v>
      </c>
      <c r="AC3639">
        <v>116</v>
      </c>
      <c r="AD3639">
        <v>0</v>
      </c>
      <c r="AE3639">
        <v>0</v>
      </c>
      <c r="AF3639">
        <v>0</v>
      </c>
      <c r="AG3639">
        <v>0</v>
      </c>
      <c r="AH3639">
        <v>0</v>
      </c>
      <c r="AI3639">
        <v>20.88</v>
      </c>
      <c r="AJ3639">
        <v>116</v>
      </c>
      <c r="AK3639">
        <v>0</v>
      </c>
      <c r="AL3639" t="s">
        <v>53</v>
      </c>
      <c r="AM3639" t="s">
        <v>53</v>
      </c>
      <c r="AN3639" t="s">
        <v>53</v>
      </c>
      <c r="AO3639" t="s">
        <v>53</v>
      </c>
      <c r="AP3639" t="s">
        <v>53</v>
      </c>
    </row>
    <row r="3640" spans="2:42" x14ac:dyDescent="0.2">
      <c r="B3640" t="s">
        <v>44</v>
      </c>
      <c r="C3640" t="str">
        <f>HYPERLINK("https://us2.cloudbeds.com/connect/8493803454333002#/reservations/50570041958600?display=12VJ0PT5ZV&amp;reservation_id=50570041958600", "12VJ0PT5ZV")</f>
        <v>12VJ0PT5ZV</v>
      </c>
      <c r="D3640" t="s">
        <v>45</v>
      </c>
      <c r="E3640" t="s">
        <v>113</v>
      </c>
      <c r="F3640" t="s">
        <v>61</v>
      </c>
      <c r="G3640" t="s">
        <v>48</v>
      </c>
      <c r="H3640" t="s">
        <v>49</v>
      </c>
      <c r="I3640" t="s">
        <v>50</v>
      </c>
      <c r="J3640" t="s">
        <v>5825</v>
      </c>
      <c r="K3640" t="s">
        <v>5610</v>
      </c>
      <c r="L3640" t="s">
        <v>53</v>
      </c>
      <c r="N3640" t="s">
        <v>6108</v>
      </c>
      <c r="P3640" t="s">
        <v>55</v>
      </c>
      <c r="R3640" t="s">
        <v>53</v>
      </c>
      <c r="T3640" t="s">
        <v>6109</v>
      </c>
      <c r="U3640" t="s">
        <v>58</v>
      </c>
      <c r="V3640">
        <v>1</v>
      </c>
      <c r="W3640">
        <v>1</v>
      </c>
      <c r="X3640">
        <v>2</v>
      </c>
      <c r="Y3640">
        <v>0</v>
      </c>
      <c r="Z3640">
        <v>2</v>
      </c>
      <c r="AA3640">
        <v>0</v>
      </c>
      <c r="AB3640">
        <v>127.86</v>
      </c>
      <c r="AC3640">
        <v>112.5</v>
      </c>
      <c r="AD3640">
        <v>0</v>
      </c>
      <c r="AE3640">
        <v>15.36</v>
      </c>
      <c r="AF3640">
        <v>0</v>
      </c>
      <c r="AG3640">
        <v>0</v>
      </c>
      <c r="AH3640">
        <v>0</v>
      </c>
      <c r="AI3640">
        <v>23.01</v>
      </c>
      <c r="AJ3640">
        <v>127.86</v>
      </c>
      <c r="AK3640">
        <v>0</v>
      </c>
      <c r="AL3640" t="s">
        <v>53</v>
      </c>
      <c r="AM3640" t="s">
        <v>53</v>
      </c>
      <c r="AN3640" t="s">
        <v>53</v>
      </c>
      <c r="AO3640" t="s">
        <v>53</v>
      </c>
      <c r="AP3640" t="s">
        <v>53</v>
      </c>
    </row>
    <row r="3641" spans="2:42" x14ac:dyDescent="0.2">
      <c r="B3641" t="s">
        <v>44</v>
      </c>
      <c r="C3641" t="str">
        <f>HYPERLINK("https://us2.cloudbeds.com/connect/8493803454333002#/reservations/50666842333395?display=130RW8H9QN&amp;reservation_id=50666842333395", "130RW8H9QN")</f>
        <v>130RW8H9QN</v>
      </c>
      <c r="D3641" t="s">
        <v>45</v>
      </c>
      <c r="E3641" t="s">
        <v>213</v>
      </c>
      <c r="F3641" t="s">
        <v>86</v>
      </c>
      <c r="G3641" t="s">
        <v>3974</v>
      </c>
      <c r="H3641" t="s">
        <v>3957</v>
      </c>
      <c r="I3641" t="s">
        <v>3975</v>
      </c>
      <c r="J3641" t="s">
        <v>5570</v>
      </c>
      <c r="K3641" t="s">
        <v>5619</v>
      </c>
      <c r="L3641" t="s">
        <v>53</v>
      </c>
      <c r="P3641" t="s">
        <v>58</v>
      </c>
      <c r="R3641" t="s">
        <v>56</v>
      </c>
      <c r="T3641" t="s">
        <v>6110</v>
      </c>
      <c r="U3641" t="s">
        <v>58</v>
      </c>
      <c r="V3641">
        <v>3</v>
      </c>
      <c r="W3641">
        <v>1</v>
      </c>
      <c r="X3641">
        <v>2</v>
      </c>
      <c r="Y3641">
        <v>0</v>
      </c>
      <c r="Z3641">
        <v>2</v>
      </c>
      <c r="AA3641">
        <v>0</v>
      </c>
      <c r="AB3641">
        <v>260.85000000000002</v>
      </c>
      <c r="AC3641">
        <v>229.5</v>
      </c>
      <c r="AD3641">
        <v>0</v>
      </c>
      <c r="AE3641">
        <v>31.35</v>
      </c>
      <c r="AF3641">
        <v>0</v>
      </c>
      <c r="AG3641">
        <v>0</v>
      </c>
      <c r="AH3641">
        <v>0</v>
      </c>
      <c r="AI3641">
        <v>0</v>
      </c>
      <c r="AJ3641">
        <v>260.85000000000002</v>
      </c>
      <c r="AK3641">
        <v>0</v>
      </c>
      <c r="AL3641" t="s">
        <v>53</v>
      </c>
      <c r="AM3641" t="s">
        <v>53</v>
      </c>
      <c r="AN3641" t="s">
        <v>53</v>
      </c>
      <c r="AO3641" t="s">
        <v>53</v>
      </c>
      <c r="AP3641" t="s">
        <v>53</v>
      </c>
    </row>
    <row r="3642" spans="2:42" x14ac:dyDescent="0.2">
      <c r="B3642" t="s">
        <v>44</v>
      </c>
      <c r="C3642" t="str">
        <f>HYPERLINK("https://us2.cloudbeds.com/connect/8493803454333002#/reservations/50691077771500?display=131DZHG2U0&amp;reservation_id=50691077771500", "131DZHG2U0")</f>
        <v>131DZHG2U0</v>
      </c>
      <c r="D3642" t="s">
        <v>45</v>
      </c>
      <c r="E3642" t="s">
        <v>85</v>
      </c>
      <c r="F3642" t="s">
        <v>86</v>
      </c>
      <c r="G3642" t="s">
        <v>48</v>
      </c>
      <c r="H3642" t="s">
        <v>49</v>
      </c>
      <c r="I3642" t="s">
        <v>50</v>
      </c>
      <c r="J3642" t="s">
        <v>5322</v>
      </c>
      <c r="K3642" t="s">
        <v>5555</v>
      </c>
      <c r="L3642" t="s">
        <v>53</v>
      </c>
      <c r="N3642" t="s">
        <v>6111</v>
      </c>
      <c r="P3642" t="s">
        <v>55</v>
      </c>
      <c r="R3642" t="s">
        <v>53</v>
      </c>
      <c r="T3642" t="s">
        <v>6112</v>
      </c>
      <c r="U3642" t="s">
        <v>58</v>
      </c>
      <c r="V3642">
        <v>3</v>
      </c>
      <c r="W3642">
        <v>1</v>
      </c>
      <c r="X3642">
        <v>2</v>
      </c>
      <c r="Y3642">
        <v>0</v>
      </c>
      <c r="Z3642">
        <v>2</v>
      </c>
      <c r="AA3642">
        <v>0</v>
      </c>
      <c r="AB3642">
        <v>245.49</v>
      </c>
      <c r="AC3642">
        <v>216</v>
      </c>
      <c r="AD3642">
        <v>0</v>
      </c>
      <c r="AE3642">
        <v>29.49</v>
      </c>
      <c r="AF3642">
        <v>0</v>
      </c>
      <c r="AG3642">
        <v>0</v>
      </c>
      <c r="AH3642">
        <v>0</v>
      </c>
      <c r="AI3642">
        <v>44.19</v>
      </c>
      <c r="AJ3642">
        <v>245.49</v>
      </c>
      <c r="AK3642">
        <v>0</v>
      </c>
      <c r="AL3642" t="s">
        <v>53</v>
      </c>
      <c r="AM3642" t="s">
        <v>53</v>
      </c>
      <c r="AN3642" t="s">
        <v>53</v>
      </c>
      <c r="AO3642" t="s">
        <v>53</v>
      </c>
      <c r="AP3642" t="s">
        <v>53</v>
      </c>
    </row>
    <row r="3643" spans="2:42" x14ac:dyDescent="0.2">
      <c r="B3643" t="s">
        <v>44</v>
      </c>
      <c r="C3643" t="str">
        <f>HYPERLINK("https://us2.cloudbeds.com/connect/8493803454333002#/reservations/50795086463225?display=133S96C8E4&amp;reservation_id=50795086463225", "133S96C8E4")</f>
        <v>133S96C8E4</v>
      </c>
      <c r="D3643" t="s">
        <v>45</v>
      </c>
      <c r="E3643" t="s">
        <v>185</v>
      </c>
      <c r="F3643" t="s">
        <v>47</v>
      </c>
      <c r="G3643" t="s">
        <v>48</v>
      </c>
      <c r="H3643" t="s">
        <v>49</v>
      </c>
      <c r="I3643" t="s">
        <v>62</v>
      </c>
      <c r="J3643" t="s">
        <v>5518</v>
      </c>
      <c r="K3643" t="s">
        <v>5519</v>
      </c>
      <c r="L3643" t="s">
        <v>53</v>
      </c>
      <c r="N3643" t="s">
        <v>6113</v>
      </c>
      <c r="P3643" t="s">
        <v>55</v>
      </c>
      <c r="R3643" t="s">
        <v>1475</v>
      </c>
      <c r="T3643" t="s">
        <v>6114</v>
      </c>
      <c r="U3643" t="s">
        <v>55</v>
      </c>
      <c r="V3643">
        <v>2</v>
      </c>
      <c r="W3643">
        <v>1</v>
      </c>
      <c r="X3643">
        <v>2</v>
      </c>
      <c r="Y3643">
        <v>0</v>
      </c>
      <c r="Z3643">
        <v>2</v>
      </c>
      <c r="AA3643">
        <v>247</v>
      </c>
      <c r="AB3643">
        <v>247</v>
      </c>
      <c r="AC3643">
        <v>247</v>
      </c>
      <c r="AD3643">
        <v>0</v>
      </c>
      <c r="AE3643">
        <v>0</v>
      </c>
      <c r="AF3643">
        <v>0</v>
      </c>
      <c r="AG3643">
        <v>0</v>
      </c>
      <c r="AH3643">
        <v>0</v>
      </c>
      <c r="AI3643">
        <v>44.46</v>
      </c>
      <c r="AJ3643">
        <v>247</v>
      </c>
      <c r="AK3643">
        <v>0</v>
      </c>
      <c r="AL3643" t="s">
        <v>53</v>
      </c>
      <c r="AM3643" t="s">
        <v>53</v>
      </c>
      <c r="AN3643" t="s">
        <v>53</v>
      </c>
      <c r="AO3643" t="s">
        <v>53</v>
      </c>
      <c r="AP3643" t="s">
        <v>53</v>
      </c>
    </row>
    <row r="3644" spans="2:42" x14ac:dyDescent="0.2">
      <c r="B3644" t="s">
        <v>44</v>
      </c>
      <c r="C3644" t="str">
        <f>HYPERLINK("https://us2.cloudbeds.com/connect/8493803454333002#/reservations/50876082823311?display=135ZWRYC98&amp;reservation_id=50876082823311", "135ZWRYC98")</f>
        <v>135ZWRYC98</v>
      </c>
      <c r="D3644" t="s">
        <v>45</v>
      </c>
      <c r="E3644" t="s">
        <v>92</v>
      </c>
      <c r="F3644" t="s">
        <v>86</v>
      </c>
      <c r="G3644" t="s">
        <v>48</v>
      </c>
      <c r="H3644" t="s">
        <v>49</v>
      </c>
      <c r="I3644" t="s">
        <v>62</v>
      </c>
      <c r="J3644" t="s">
        <v>5683</v>
      </c>
      <c r="K3644" t="s">
        <v>3125</v>
      </c>
      <c r="L3644" t="s">
        <v>53</v>
      </c>
      <c r="N3644" t="s">
        <v>6115</v>
      </c>
      <c r="P3644" t="s">
        <v>55</v>
      </c>
      <c r="R3644" t="s">
        <v>56</v>
      </c>
      <c r="T3644" t="s">
        <v>6116</v>
      </c>
      <c r="U3644" t="s">
        <v>55</v>
      </c>
      <c r="V3644">
        <v>1</v>
      </c>
      <c r="W3644">
        <v>1</v>
      </c>
      <c r="X3644">
        <v>2</v>
      </c>
      <c r="Y3644">
        <v>2</v>
      </c>
      <c r="Z3644">
        <v>4</v>
      </c>
      <c r="AA3644">
        <v>0</v>
      </c>
      <c r="AB3644">
        <v>124</v>
      </c>
      <c r="AC3644">
        <v>124</v>
      </c>
      <c r="AD3644">
        <v>0</v>
      </c>
      <c r="AE3644">
        <v>0</v>
      </c>
      <c r="AF3644">
        <v>0</v>
      </c>
      <c r="AG3644">
        <v>0</v>
      </c>
      <c r="AH3644">
        <v>0</v>
      </c>
      <c r="AI3644">
        <v>22.32</v>
      </c>
      <c r="AJ3644">
        <v>124</v>
      </c>
      <c r="AK3644">
        <v>0</v>
      </c>
      <c r="AL3644" t="s">
        <v>53</v>
      </c>
      <c r="AM3644" t="s">
        <v>53</v>
      </c>
      <c r="AN3644" t="s">
        <v>53</v>
      </c>
      <c r="AO3644" t="s">
        <v>53</v>
      </c>
      <c r="AP3644" t="s">
        <v>53</v>
      </c>
    </row>
    <row r="3645" spans="2:42" x14ac:dyDescent="0.2">
      <c r="B3645" t="s">
        <v>44</v>
      </c>
      <c r="C3645" t="str">
        <f>HYPERLINK("https://us2.cloudbeds.com/connect/8493803454333002#/reservations/50956211298553?display=137Y1A3ABY&amp;reservation_id=50956211298553", "137Y1A3ABY")</f>
        <v>137Y1A3ABY</v>
      </c>
      <c r="D3645" t="s">
        <v>45</v>
      </c>
      <c r="E3645" t="s">
        <v>113</v>
      </c>
      <c r="F3645" t="s">
        <v>61</v>
      </c>
      <c r="G3645" t="s">
        <v>48</v>
      </c>
      <c r="H3645" t="s">
        <v>49</v>
      </c>
      <c r="I3645" t="s">
        <v>50</v>
      </c>
      <c r="J3645" t="s">
        <v>5683</v>
      </c>
      <c r="K3645" t="s">
        <v>3125</v>
      </c>
      <c r="L3645" t="s">
        <v>53</v>
      </c>
      <c r="N3645" t="s">
        <v>6117</v>
      </c>
      <c r="P3645" t="s">
        <v>55</v>
      </c>
      <c r="R3645" t="s">
        <v>53</v>
      </c>
      <c r="T3645" t="s">
        <v>6118</v>
      </c>
      <c r="U3645" t="s">
        <v>58</v>
      </c>
      <c r="V3645">
        <v>1</v>
      </c>
      <c r="W3645">
        <v>1</v>
      </c>
      <c r="X3645">
        <v>1</v>
      </c>
      <c r="Y3645">
        <v>0</v>
      </c>
      <c r="Z3645">
        <v>1</v>
      </c>
      <c r="AA3645">
        <v>0</v>
      </c>
      <c r="AB3645">
        <v>115.58</v>
      </c>
      <c r="AC3645">
        <v>101.7</v>
      </c>
      <c r="AD3645">
        <v>0</v>
      </c>
      <c r="AE3645">
        <v>13.88</v>
      </c>
      <c r="AF3645">
        <v>0</v>
      </c>
      <c r="AG3645">
        <v>0</v>
      </c>
      <c r="AH3645">
        <v>0</v>
      </c>
      <c r="AI3645">
        <v>20.8</v>
      </c>
      <c r="AJ3645">
        <v>115.58</v>
      </c>
      <c r="AK3645">
        <v>0</v>
      </c>
      <c r="AL3645" t="s">
        <v>53</v>
      </c>
      <c r="AM3645" t="s">
        <v>53</v>
      </c>
      <c r="AN3645" t="s">
        <v>53</v>
      </c>
      <c r="AO3645" t="s">
        <v>53</v>
      </c>
      <c r="AP3645" t="s">
        <v>53</v>
      </c>
    </row>
    <row r="3646" spans="2:42" x14ac:dyDescent="0.2">
      <c r="B3646" t="s">
        <v>44</v>
      </c>
      <c r="C3646" t="str">
        <f>HYPERLINK("https://us2.cloudbeds.com/connect/8493803454333002#/reservations/50986777747597?display=138BNBHQV9&amp;reservation_id=50986777747597", "138BNBHQV9")</f>
        <v>138BNBHQV9</v>
      </c>
      <c r="D3646" t="s">
        <v>45</v>
      </c>
      <c r="E3646" t="s">
        <v>110</v>
      </c>
      <c r="F3646" t="s">
        <v>47</v>
      </c>
      <c r="G3646" t="s">
        <v>48</v>
      </c>
      <c r="H3646" t="s">
        <v>49</v>
      </c>
      <c r="I3646" t="s">
        <v>62</v>
      </c>
      <c r="J3646" t="s">
        <v>5711</v>
      </c>
      <c r="K3646" t="s">
        <v>5619</v>
      </c>
      <c r="L3646" t="s">
        <v>53</v>
      </c>
      <c r="N3646" t="s">
        <v>6119</v>
      </c>
      <c r="P3646" t="s">
        <v>55</v>
      </c>
      <c r="R3646" t="s">
        <v>56</v>
      </c>
      <c r="T3646" t="s">
        <v>6120</v>
      </c>
      <c r="U3646" t="s">
        <v>55</v>
      </c>
      <c r="V3646">
        <v>1</v>
      </c>
      <c r="W3646">
        <v>1</v>
      </c>
      <c r="X3646">
        <v>1</v>
      </c>
      <c r="Y3646">
        <v>0</v>
      </c>
      <c r="Z3646">
        <v>1</v>
      </c>
      <c r="AA3646">
        <v>0</v>
      </c>
      <c r="AB3646">
        <v>71</v>
      </c>
      <c r="AC3646">
        <v>71</v>
      </c>
      <c r="AD3646">
        <v>0</v>
      </c>
      <c r="AE3646">
        <v>0</v>
      </c>
      <c r="AF3646">
        <v>0</v>
      </c>
      <c r="AG3646">
        <v>0</v>
      </c>
      <c r="AH3646">
        <v>0</v>
      </c>
      <c r="AI3646">
        <v>12.78</v>
      </c>
      <c r="AJ3646">
        <v>71</v>
      </c>
      <c r="AK3646">
        <v>0</v>
      </c>
      <c r="AL3646" t="s">
        <v>53</v>
      </c>
      <c r="AM3646" t="s">
        <v>53</v>
      </c>
      <c r="AN3646" t="s">
        <v>53</v>
      </c>
      <c r="AO3646" t="s">
        <v>53</v>
      </c>
      <c r="AP3646" t="s">
        <v>53</v>
      </c>
    </row>
    <row r="3647" spans="2:42" x14ac:dyDescent="0.2">
      <c r="B3647" t="s">
        <v>44</v>
      </c>
      <c r="C3647" t="str">
        <f>HYPERLINK("https://us2.cloudbeds.com/connect/8493803454333002#/reservations/51302355468496?display=13FP23135Y&amp;reservation_id=51302355468496", "13FP23135Y")</f>
        <v>13FP23135Y</v>
      </c>
      <c r="D3647" t="s">
        <v>45</v>
      </c>
      <c r="E3647" t="s">
        <v>155</v>
      </c>
      <c r="F3647" t="s">
        <v>86</v>
      </c>
      <c r="G3647" t="s">
        <v>48</v>
      </c>
      <c r="H3647" t="s">
        <v>49</v>
      </c>
      <c r="I3647" t="s">
        <v>50</v>
      </c>
      <c r="J3647" t="s">
        <v>2283</v>
      </c>
      <c r="K3647" t="s">
        <v>5584</v>
      </c>
      <c r="L3647" t="s">
        <v>53</v>
      </c>
      <c r="N3647" t="s">
        <v>6121</v>
      </c>
      <c r="P3647" t="s">
        <v>55</v>
      </c>
      <c r="R3647" t="s">
        <v>53</v>
      </c>
      <c r="T3647" t="s">
        <v>6122</v>
      </c>
      <c r="U3647" t="s">
        <v>58</v>
      </c>
      <c r="V3647">
        <v>2</v>
      </c>
      <c r="W3647">
        <v>1</v>
      </c>
      <c r="X3647">
        <v>3</v>
      </c>
      <c r="Y3647">
        <v>0</v>
      </c>
      <c r="Z3647">
        <v>3</v>
      </c>
      <c r="AA3647">
        <v>0</v>
      </c>
      <c r="AB3647">
        <v>229.12</v>
      </c>
      <c r="AC3647">
        <v>201.6</v>
      </c>
      <c r="AD3647">
        <v>0</v>
      </c>
      <c r="AE3647">
        <v>27.52</v>
      </c>
      <c r="AF3647">
        <v>0</v>
      </c>
      <c r="AG3647">
        <v>0</v>
      </c>
      <c r="AH3647">
        <v>0</v>
      </c>
      <c r="AI3647">
        <v>41.24</v>
      </c>
      <c r="AJ3647">
        <v>229.12</v>
      </c>
      <c r="AK3647">
        <v>0</v>
      </c>
      <c r="AL3647" t="s">
        <v>53</v>
      </c>
      <c r="AM3647" t="s">
        <v>53</v>
      </c>
      <c r="AN3647" t="s">
        <v>53</v>
      </c>
      <c r="AO3647" t="s">
        <v>53</v>
      </c>
      <c r="AP3647" t="s">
        <v>53</v>
      </c>
    </row>
    <row r="3648" spans="2:42" x14ac:dyDescent="0.2">
      <c r="B3648" t="s">
        <v>44</v>
      </c>
      <c r="C3648" t="str">
        <f>HYPERLINK("https://us2.cloudbeds.com/connect/8493803454333002#/reservations/51302607458558?display=13FP8HH304&amp;reservation_id=51302607458558", "13FP8HH304")</f>
        <v>13FP8HH304</v>
      </c>
      <c r="D3648" t="s">
        <v>45</v>
      </c>
      <c r="E3648" t="s">
        <v>121</v>
      </c>
      <c r="F3648" t="s">
        <v>86</v>
      </c>
      <c r="G3648" t="s">
        <v>48</v>
      </c>
      <c r="H3648" t="s">
        <v>49</v>
      </c>
      <c r="I3648" t="s">
        <v>50</v>
      </c>
      <c r="J3648" t="s">
        <v>2283</v>
      </c>
      <c r="K3648" t="s">
        <v>5584</v>
      </c>
      <c r="L3648" t="s">
        <v>53</v>
      </c>
      <c r="N3648" t="s">
        <v>6123</v>
      </c>
      <c r="P3648" t="s">
        <v>55</v>
      </c>
      <c r="R3648" t="s">
        <v>53</v>
      </c>
      <c r="T3648" t="s">
        <v>6124</v>
      </c>
      <c r="U3648" t="s">
        <v>58</v>
      </c>
      <c r="V3648">
        <v>2</v>
      </c>
      <c r="W3648">
        <v>1</v>
      </c>
      <c r="X3648">
        <v>4</v>
      </c>
      <c r="Y3648">
        <v>0</v>
      </c>
      <c r="Z3648">
        <v>4</v>
      </c>
      <c r="AA3648">
        <v>0</v>
      </c>
      <c r="AB3648">
        <v>229.12</v>
      </c>
      <c r="AC3648">
        <v>201.6</v>
      </c>
      <c r="AD3648">
        <v>0</v>
      </c>
      <c r="AE3648">
        <v>27.52</v>
      </c>
      <c r="AF3648">
        <v>0</v>
      </c>
      <c r="AG3648">
        <v>0</v>
      </c>
      <c r="AH3648">
        <v>0</v>
      </c>
      <c r="AI3648">
        <v>41.24</v>
      </c>
      <c r="AJ3648">
        <v>229.12</v>
      </c>
      <c r="AK3648">
        <v>0</v>
      </c>
      <c r="AL3648" t="s">
        <v>53</v>
      </c>
      <c r="AM3648" t="s">
        <v>53</v>
      </c>
      <c r="AN3648" t="s">
        <v>53</v>
      </c>
      <c r="AO3648" t="s">
        <v>53</v>
      </c>
      <c r="AP3648" t="s">
        <v>53</v>
      </c>
    </row>
    <row r="3649" spans="2:42" x14ac:dyDescent="0.2">
      <c r="B3649" t="s">
        <v>44</v>
      </c>
      <c r="C3649" t="str">
        <f>HYPERLINK("https://us2.cloudbeds.com/connect/8493803454333002#/reservations/51330103898335?display=13GDX481WU&amp;reservation_id=51330103898335", "13GDX481WU")</f>
        <v>13GDX481WU</v>
      </c>
      <c r="D3649" t="s">
        <v>45</v>
      </c>
      <c r="E3649" t="s">
        <v>265</v>
      </c>
      <c r="F3649" t="s">
        <v>61</v>
      </c>
      <c r="G3649" t="s">
        <v>48</v>
      </c>
      <c r="H3649" t="s">
        <v>49</v>
      </c>
      <c r="I3649" t="s">
        <v>62</v>
      </c>
      <c r="J3649" t="s">
        <v>5584</v>
      </c>
      <c r="K3649" t="s">
        <v>2284</v>
      </c>
      <c r="L3649" t="s">
        <v>53</v>
      </c>
      <c r="N3649" t="s">
        <v>6125</v>
      </c>
      <c r="P3649" t="s">
        <v>55</v>
      </c>
      <c r="R3649" t="s">
        <v>56</v>
      </c>
      <c r="T3649" t="s">
        <v>6126</v>
      </c>
      <c r="U3649" t="s">
        <v>55</v>
      </c>
      <c r="V3649">
        <v>1</v>
      </c>
      <c r="W3649">
        <v>1</v>
      </c>
      <c r="X3649">
        <v>2</v>
      </c>
      <c r="Y3649">
        <v>0</v>
      </c>
      <c r="Z3649">
        <v>2</v>
      </c>
      <c r="AA3649">
        <v>0</v>
      </c>
      <c r="AB3649">
        <v>125</v>
      </c>
      <c r="AC3649">
        <v>125</v>
      </c>
      <c r="AD3649">
        <v>0</v>
      </c>
      <c r="AE3649">
        <v>0</v>
      </c>
      <c r="AF3649">
        <v>0</v>
      </c>
      <c r="AG3649">
        <v>0</v>
      </c>
      <c r="AH3649">
        <v>0</v>
      </c>
      <c r="AI3649">
        <v>22.5</v>
      </c>
      <c r="AJ3649">
        <v>125</v>
      </c>
      <c r="AK3649">
        <v>0</v>
      </c>
      <c r="AL3649" t="s">
        <v>53</v>
      </c>
      <c r="AM3649" t="s">
        <v>53</v>
      </c>
      <c r="AN3649" t="s">
        <v>53</v>
      </c>
      <c r="AO3649" t="s">
        <v>53</v>
      </c>
      <c r="AP3649" t="s">
        <v>53</v>
      </c>
    </row>
    <row r="3650" spans="2:42" x14ac:dyDescent="0.2">
      <c r="B3650" t="s">
        <v>44</v>
      </c>
      <c r="C3650" t="str">
        <f>HYPERLINK("https://us2.cloudbeds.com/connect/8493803454333002#/reservations/51602184167587?display=13MQ7DHKNU&amp;reservation_id=51602184167587", "13MQ7DHKNU")</f>
        <v>13MQ7DHKNU</v>
      </c>
      <c r="D3650" t="s">
        <v>45</v>
      </c>
      <c r="E3650" t="s">
        <v>113</v>
      </c>
      <c r="F3650" t="s">
        <v>61</v>
      </c>
      <c r="G3650" t="s">
        <v>48</v>
      </c>
      <c r="H3650" t="s">
        <v>49</v>
      </c>
      <c r="I3650" t="s">
        <v>50</v>
      </c>
      <c r="J3650" t="s">
        <v>5434</v>
      </c>
      <c r="K3650" t="s">
        <v>3133</v>
      </c>
      <c r="L3650" t="s">
        <v>53</v>
      </c>
      <c r="N3650" t="s">
        <v>6127</v>
      </c>
      <c r="P3650" t="s">
        <v>55</v>
      </c>
      <c r="R3650" t="s">
        <v>53</v>
      </c>
      <c r="T3650" t="s">
        <v>6128</v>
      </c>
      <c r="U3650" t="s">
        <v>58</v>
      </c>
      <c r="V3650">
        <v>1</v>
      </c>
      <c r="W3650">
        <v>1</v>
      </c>
      <c r="X3650">
        <v>2</v>
      </c>
      <c r="Y3650">
        <v>0</v>
      </c>
      <c r="Z3650">
        <v>2</v>
      </c>
      <c r="AA3650">
        <v>0</v>
      </c>
      <c r="AB3650">
        <v>118.65</v>
      </c>
      <c r="AC3650">
        <v>104.4</v>
      </c>
      <c r="AD3650">
        <v>0</v>
      </c>
      <c r="AE3650">
        <v>14.25</v>
      </c>
      <c r="AF3650">
        <v>0</v>
      </c>
      <c r="AG3650">
        <v>0</v>
      </c>
      <c r="AH3650">
        <v>0</v>
      </c>
      <c r="AI3650">
        <v>21.36</v>
      </c>
      <c r="AJ3650">
        <v>118.65</v>
      </c>
      <c r="AK3650">
        <v>0</v>
      </c>
      <c r="AL3650" t="s">
        <v>53</v>
      </c>
      <c r="AM3650" t="s">
        <v>53</v>
      </c>
      <c r="AN3650" t="s">
        <v>53</v>
      </c>
      <c r="AO3650" t="s">
        <v>53</v>
      </c>
      <c r="AP3650" t="s">
        <v>53</v>
      </c>
    </row>
    <row r="3651" spans="2:42" x14ac:dyDescent="0.2">
      <c r="B3651" t="s">
        <v>44</v>
      </c>
      <c r="C3651" t="str">
        <f>HYPERLINK("https://us2.cloudbeds.com/connect/8493803454333002#/reservations/51665328898192?display=13Z93TRRMU&amp;reservation_id=51665328898192", "13Z93TRRMU")</f>
        <v>13Z93TRRMU</v>
      </c>
      <c r="D3651" t="s">
        <v>45</v>
      </c>
      <c r="E3651" t="s">
        <v>265</v>
      </c>
      <c r="F3651" t="s">
        <v>61</v>
      </c>
      <c r="G3651" t="s">
        <v>48</v>
      </c>
      <c r="H3651" t="s">
        <v>49</v>
      </c>
      <c r="I3651" t="s">
        <v>62</v>
      </c>
      <c r="J3651" t="s">
        <v>2284</v>
      </c>
      <c r="K3651" t="s">
        <v>5825</v>
      </c>
      <c r="L3651" t="s">
        <v>53</v>
      </c>
      <c r="N3651" t="s">
        <v>6129</v>
      </c>
      <c r="P3651" t="s">
        <v>55</v>
      </c>
      <c r="R3651" t="s">
        <v>56</v>
      </c>
      <c r="T3651" t="s">
        <v>6130</v>
      </c>
      <c r="U3651" t="s">
        <v>55</v>
      </c>
      <c r="V3651">
        <v>1</v>
      </c>
      <c r="W3651">
        <v>1</v>
      </c>
      <c r="X3651">
        <v>1</v>
      </c>
      <c r="Y3651">
        <v>0</v>
      </c>
      <c r="Z3651">
        <v>1</v>
      </c>
      <c r="AA3651">
        <v>0</v>
      </c>
      <c r="AB3651">
        <v>125</v>
      </c>
      <c r="AC3651">
        <v>125</v>
      </c>
      <c r="AD3651">
        <v>0</v>
      </c>
      <c r="AE3651">
        <v>0</v>
      </c>
      <c r="AF3651">
        <v>0</v>
      </c>
      <c r="AG3651">
        <v>0</v>
      </c>
      <c r="AH3651">
        <v>0</v>
      </c>
      <c r="AI3651">
        <v>22.5</v>
      </c>
      <c r="AJ3651">
        <v>125</v>
      </c>
      <c r="AK3651">
        <v>0</v>
      </c>
      <c r="AL3651" t="s">
        <v>53</v>
      </c>
      <c r="AM3651" t="s">
        <v>53</v>
      </c>
      <c r="AN3651" t="s">
        <v>53</v>
      </c>
      <c r="AO3651" t="s">
        <v>53</v>
      </c>
      <c r="AP3651" t="s">
        <v>53</v>
      </c>
    </row>
    <row r="3652" spans="2:42" x14ac:dyDescent="0.2">
      <c r="B3652" t="s">
        <v>44</v>
      </c>
      <c r="C3652" t="str">
        <f>HYPERLINK("https://us2.cloudbeds.com/connect/8493803454333002#/reservations/51692608618659?display=13ZU7VR91T&amp;reservation_id=51692608618659", "13ZU7VR91T")</f>
        <v>13ZU7VR91T</v>
      </c>
      <c r="D3652" t="s">
        <v>45</v>
      </c>
      <c r="E3652" t="s">
        <v>406</v>
      </c>
      <c r="F3652" t="s">
        <v>61</v>
      </c>
      <c r="G3652" t="s">
        <v>48</v>
      </c>
      <c r="H3652" t="s">
        <v>3957</v>
      </c>
      <c r="I3652" t="s">
        <v>3958</v>
      </c>
      <c r="J3652" t="s">
        <v>2283</v>
      </c>
      <c r="K3652" t="s">
        <v>2664</v>
      </c>
      <c r="L3652" t="s">
        <v>53</v>
      </c>
      <c r="P3652" t="s">
        <v>55</v>
      </c>
      <c r="R3652" t="s">
        <v>56</v>
      </c>
      <c r="T3652" t="s">
        <v>6131</v>
      </c>
      <c r="U3652" t="s">
        <v>58</v>
      </c>
      <c r="V3652">
        <v>1</v>
      </c>
      <c r="W3652">
        <v>1</v>
      </c>
      <c r="X3652">
        <v>1</v>
      </c>
      <c r="Y3652">
        <v>0</v>
      </c>
      <c r="Z3652">
        <v>1</v>
      </c>
      <c r="AA3652">
        <v>0</v>
      </c>
      <c r="AB3652">
        <v>90.92</v>
      </c>
      <c r="AC3652">
        <v>80</v>
      </c>
      <c r="AD3652">
        <v>0</v>
      </c>
      <c r="AE3652">
        <v>10.92</v>
      </c>
      <c r="AF3652">
        <v>0</v>
      </c>
      <c r="AG3652">
        <v>0</v>
      </c>
      <c r="AH3652">
        <v>0</v>
      </c>
      <c r="AI3652">
        <v>0</v>
      </c>
      <c r="AJ3652">
        <v>90.92</v>
      </c>
      <c r="AK3652">
        <v>0</v>
      </c>
      <c r="AL3652" t="s">
        <v>53</v>
      </c>
      <c r="AM3652" t="s">
        <v>53</v>
      </c>
      <c r="AN3652" t="s">
        <v>53</v>
      </c>
      <c r="AO3652" t="s">
        <v>53</v>
      </c>
      <c r="AP3652" t="s">
        <v>53</v>
      </c>
    </row>
    <row r="3653" spans="2:42" x14ac:dyDescent="0.2">
      <c r="B3653" t="s">
        <v>44</v>
      </c>
      <c r="C3653" t="str">
        <f>HYPERLINK("https://us2.cloudbeds.com/connect/8493803454333002#/reservations/51990365270216?display=13VTQB40VV&amp;reservation_id=51990365270216", "13VTQB40VV")</f>
        <v>13VTQB40VV</v>
      </c>
      <c r="D3653" t="s">
        <v>45</v>
      </c>
      <c r="E3653" t="s">
        <v>78</v>
      </c>
      <c r="F3653" t="s">
        <v>61</v>
      </c>
      <c r="G3653" t="s">
        <v>48</v>
      </c>
      <c r="H3653" t="s">
        <v>49</v>
      </c>
      <c r="I3653" t="s">
        <v>50</v>
      </c>
      <c r="J3653" t="s">
        <v>5825</v>
      </c>
      <c r="K3653" t="s">
        <v>5185</v>
      </c>
      <c r="L3653" t="s">
        <v>53</v>
      </c>
      <c r="N3653" t="s">
        <v>6132</v>
      </c>
      <c r="P3653" t="s">
        <v>55</v>
      </c>
      <c r="R3653" t="s">
        <v>53</v>
      </c>
      <c r="T3653" t="s">
        <v>6133</v>
      </c>
      <c r="U3653" t="s">
        <v>58</v>
      </c>
      <c r="V3653">
        <v>3</v>
      </c>
      <c r="W3653">
        <v>1</v>
      </c>
      <c r="X3653">
        <v>1</v>
      </c>
      <c r="Y3653">
        <v>0</v>
      </c>
      <c r="Z3653">
        <v>1</v>
      </c>
      <c r="AA3653">
        <v>0</v>
      </c>
      <c r="AB3653">
        <v>378.92</v>
      </c>
      <c r="AC3653">
        <v>333.4</v>
      </c>
      <c r="AD3653">
        <v>0</v>
      </c>
      <c r="AE3653">
        <v>45.52</v>
      </c>
      <c r="AF3653">
        <v>0</v>
      </c>
      <c r="AG3653">
        <v>0</v>
      </c>
      <c r="AH3653">
        <v>0</v>
      </c>
      <c r="AI3653">
        <v>68.209999999999994</v>
      </c>
      <c r="AJ3653">
        <v>378.92</v>
      </c>
      <c r="AK3653">
        <v>0</v>
      </c>
      <c r="AL3653" t="s">
        <v>53</v>
      </c>
      <c r="AM3653" t="s">
        <v>53</v>
      </c>
      <c r="AN3653" t="s">
        <v>53</v>
      </c>
      <c r="AO3653" t="s">
        <v>53</v>
      </c>
      <c r="AP3653" t="s">
        <v>53</v>
      </c>
    </row>
    <row r="3654" spans="2:42" x14ac:dyDescent="0.2">
      <c r="B3654" t="s">
        <v>44</v>
      </c>
      <c r="C3654" t="str">
        <f>HYPERLINK("https://us2.cloudbeds.com/connect/8493803454333002#/reservations/52022195790029?display=13WYEMF5ED&amp;reservation_id=52022195790029", "13WYEMF5ED")</f>
        <v>13WYEMF5ED</v>
      </c>
      <c r="D3654" t="s">
        <v>45</v>
      </c>
      <c r="E3654" t="s">
        <v>165</v>
      </c>
      <c r="F3654" t="s">
        <v>61</v>
      </c>
      <c r="G3654" t="s">
        <v>48</v>
      </c>
      <c r="H3654" t="s">
        <v>49</v>
      </c>
      <c r="I3654" t="s">
        <v>50</v>
      </c>
      <c r="J3654" t="s">
        <v>5321</v>
      </c>
      <c r="K3654" t="s">
        <v>6019</v>
      </c>
      <c r="L3654" t="s">
        <v>53</v>
      </c>
      <c r="N3654" t="s">
        <v>6134</v>
      </c>
      <c r="P3654" t="s">
        <v>55</v>
      </c>
      <c r="R3654" t="s">
        <v>53</v>
      </c>
      <c r="T3654" t="s">
        <v>6135</v>
      </c>
      <c r="U3654" t="s">
        <v>58</v>
      </c>
      <c r="V3654">
        <v>3</v>
      </c>
      <c r="W3654">
        <v>1</v>
      </c>
      <c r="X3654">
        <v>2</v>
      </c>
      <c r="Y3654">
        <v>0</v>
      </c>
      <c r="Z3654">
        <v>2</v>
      </c>
      <c r="AA3654">
        <v>0</v>
      </c>
      <c r="AB3654">
        <v>201.57</v>
      </c>
      <c r="AC3654">
        <v>177.39</v>
      </c>
      <c r="AD3654">
        <v>0</v>
      </c>
      <c r="AE3654">
        <v>24.18</v>
      </c>
      <c r="AF3654">
        <v>0</v>
      </c>
      <c r="AG3654">
        <v>0</v>
      </c>
      <c r="AH3654">
        <v>0</v>
      </c>
      <c r="AI3654">
        <v>36.28</v>
      </c>
      <c r="AJ3654">
        <v>201.57</v>
      </c>
      <c r="AK3654">
        <v>0</v>
      </c>
      <c r="AL3654" t="s">
        <v>53</v>
      </c>
      <c r="AM3654" t="s">
        <v>53</v>
      </c>
      <c r="AN3654" t="s">
        <v>53</v>
      </c>
      <c r="AO3654" t="s">
        <v>53</v>
      </c>
      <c r="AP3654" t="s">
        <v>53</v>
      </c>
    </row>
    <row r="3655" spans="2:42" x14ac:dyDescent="0.2">
      <c r="B3655" t="s">
        <v>44</v>
      </c>
      <c r="C3655" t="str">
        <f>HYPERLINK("https://us2.cloudbeds.com/connect/8493803454333002#/reservations/52048073121954?display=1408FTU2BT&amp;reservation_id=52048073121954", "1408FTU2BT")</f>
        <v>1408FTU2BT</v>
      </c>
      <c r="D3655" t="s">
        <v>45</v>
      </c>
      <c r="E3655" t="s">
        <v>113</v>
      </c>
      <c r="F3655" t="s">
        <v>61</v>
      </c>
      <c r="G3655" t="s">
        <v>48</v>
      </c>
      <c r="H3655" t="s">
        <v>49</v>
      </c>
      <c r="I3655" t="s">
        <v>50</v>
      </c>
      <c r="J3655" t="s">
        <v>5382</v>
      </c>
      <c r="K3655" t="s">
        <v>5322</v>
      </c>
      <c r="L3655" t="s">
        <v>53</v>
      </c>
      <c r="N3655" t="s">
        <v>6136</v>
      </c>
      <c r="P3655" t="s">
        <v>55</v>
      </c>
      <c r="R3655" t="s">
        <v>53</v>
      </c>
      <c r="T3655" t="s">
        <v>6137</v>
      </c>
      <c r="U3655" t="s">
        <v>58</v>
      </c>
      <c r="V3655">
        <v>3</v>
      </c>
      <c r="W3655">
        <v>1</v>
      </c>
      <c r="X3655">
        <v>2</v>
      </c>
      <c r="Y3655">
        <v>0</v>
      </c>
      <c r="Z3655">
        <v>2</v>
      </c>
      <c r="AA3655">
        <v>0</v>
      </c>
      <c r="AB3655">
        <v>197.92</v>
      </c>
      <c r="AC3655">
        <v>174.15</v>
      </c>
      <c r="AD3655">
        <v>0</v>
      </c>
      <c r="AE3655">
        <v>23.77</v>
      </c>
      <c r="AF3655">
        <v>0</v>
      </c>
      <c r="AG3655">
        <v>0</v>
      </c>
      <c r="AH3655">
        <v>0</v>
      </c>
      <c r="AI3655">
        <v>35.630000000000003</v>
      </c>
      <c r="AJ3655">
        <v>197.92</v>
      </c>
      <c r="AK3655">
        <v>0</v>
      </c>
      <c r="AL3655" t="s">
        <v>53</v>
      </c>
      <c r="AM3655" t="s">
        <v>53</v>
      </c>
      <c r="AN3655" t="s">
        <v>53</v>
      </c>
      <c r="AO3655" t="s">
        <v>53</v>
      </c>
      <c r="AP3655" t="s">
        <v>53</v>
      </c>
    </row>
    <row r="3656" spans="2:42" x14ac:dyDescent="0.2">
      <c r="B3656" t="s">
        <v>44</v>
      </c>
      <c r="C3656" t="str">
        <f>HYPERLINK("https://us2.cloudbeds.com/connect/8493803454333002#/reservations/52058622165133?display=140GYF4ZN0&amp;reservation_id=52058622165133", "140GYF4ZN0")</f>
        <v>140GYF4ZN0</v>
      </c>
      <c r="D3656" t="s">
        <v>45</v>
      </c>
      <c r="E3656" t="s">
        <v>69</v>
      </c>
      <c r="F3656" t="s">
        <v>70</v>
      </c>
      <c r="G3656" t="s">
        <v>48</v>
      </c>
      <c r="H3656" t="s">
        <v>3957</v>
      </c>
      <c r="I3656" t="s">
        <v>3958</v>
      </c>
      <c r="J3656" t="s">
        <v>3133</v>
      </c>
      <c r="K3656" t="s">
        <v>2283</v>
      </c>
      <c r="L3656" t="s">
        <v>53</v>
      </c>
      <c r="P3656" t="s">
        <v>55</v>
      </c>
      <c r="R3656" t="s">
        <v>56</v>
      </c>
      <c r="T3656" t="s">
        <v>6138</v>
      </c>
      <c r="U3656" t="s">
        <v>58</v>
      </c>
      <c r="V3656">
        <v>1</v>
      </c>
      <c r="W3656">
        <v>1</v>
      </c>
      <c r="X3656">
        <v>1</v>
      </c>
      <c r="Y3656">
        <v>0</v>
      </c>
      <c r="Z3656">
        <v>1</v>
      </c>
      <c r="AA3656">
        <v>0</v>
      </c>
      <c r="AB3656">
        <v>131.83000000000001</v>
      </c>
      <c r="AC3656">
        <v>116</v>
      </c>
      <c r="AD3656">
        <v>0</v>
      </c>
      <c r="AE3656">
        <v>15.83</v>
      </c>
      <c r="AF3656">
        <v>0</v>
      </c>
      <c r="AG3656">
        <v>0</v>
      </c>
      <c r="AH3656">
        <v>0</v>
      </c>
      <c r="AI3656">
        <v>0</v>
      </c>
      <c r="AJ3656">
        <v>131.83000000000001</v>
      </c>
      <c r="AK3656">
        <v>0</v>
      </c>
      <c r="AL3656" t="s">
        <v>53</v>
      </c>
      <c r="AM3656" t="s">
        <v>53</v>
      </c>
      <c r="AN3656" t="s">
        <v>53</v>
      </c>
      <c r="AO3656" t="s">
        <v>53</v>
      </c>
      <c r="AP3656" t="s">
        <v>53</v>
      </c>
    </row>
    <row r="3657" spans="2:42" x14ac:dyDescent="0.2">
      <c r="B3657" t="s">
        <v>44</v>
      </c>
      <c r="C3657" t="str">
        <f>HYPERLINK("https://us2.cloudbeds.com/connect/8493803454333002#/reservations/52084152336584?display=1413DQSDA4&amp;reservation_id=52084152336584", "1413DQSDA4")</f>
        <v>1413DQSDA4</v>
      </c>
      <c r="D3657" t="s">
        <v>45</v>
      </c>
      <c r="E3657" t="s">
        <v>406</v>
      </c>
      <c r="F3657" t="s">
        <v>61</v>
      </c>
      <c r="G3657" t="s">
        <v>48</v>
      </c>
      <c r="H3657" t="s">
        <v>3957</v>
      </c>
      <c r="I3657" t="s">
        <v>3975</v>
      </c>
      <c r="J3657" t="s">
        <v>6139</v>
      </c>
      <c r="K3657" t="s">
        <v>5644</v>
      </c>
      <c r="L3657" t="s">
        <v>53</v>
      </c>
      <c r="P3657" t="s">
        <v>55</v>
      </c>
      <c r="R3657" t="s">
        <v>56</v>
      </c>
      <c r="T3657" t="s">
        <v>6140</v>
      </c>
      <c r="U3657" t="s">
        <v>58</v>
      </c>
      <c r="V3657">
        <v>1</v>
      </c>
      <c r="W3657">
        <v>1</v>
      </c>
      <c r="X3657">
        <v>2</v>
      </c>
      <c r="Y3657">
        <v>0</v>
      </c>
      <c r="Z3657">
        <v>2</v>
      </c>
      <c r="AA3657">
        <v>0</v>
      </c>
      <c r="AB3657">
        <v>84.11</v>
      </c>
      <c r="AC3657">
        <v>74</v>
      </c>
      <c r="AD3657">
        <v>0</v>
      </c>
      <c r="AE3657">
        <v>10.11</v>
      </c>
      <c r="AF3657">
        <v>0</v>
      </c>
      <c r="AG3657">
        <v>0</v>
      </c>
      <c r="AH3657">
        <v>0</v>
      </c>
      <c r="AI3657">
        <v>0</v>
      </c>
      <c r="AJ3657">
        <v>84.11</v>
      </c>
      <c r="AK3657">
        <v>0</v>
      </c>
      <c r="AL3657" t="s">
        <v>53</v>
      </c>
      <c r="AM3657" t="s">
        <v>53</v>
      </c>
      <c r="AN3657" t="s">
        <v>53</v>
      </c>
      <c r="AO3657" t="s">
        <v>53</v>
      </c>
      <c r="AP3657" t="s">
        <v>53</v>
      </c>
    </row>
    <row r="3658" spans="2:42" x14ac:dyDescent="0.2">
      <c r="B3658" t="s">
        <v>44</v>
      </c>
      <c r="C3658" t="str">
        <f>HYPERLINK("https://us2.cloudbeds.com/connect/8493803454333002#/reservations/52105651691654?display=141K25MYFA&amp;reservation_id=52105651691654", "141K25MYFA")</f>
        <v>141K25MYFA</v>
      </c>
      <c r="D3658" t="s">
        <v>45</v>
      </c>
      <c r="E3658" t="s">
        <v>213</v>
      </c>
      <c r="F3658" t="s">
        <v>86</v>
      </c>
      <c r="G3658" t="s">
        <v>48</v>
      </c>
      <c r="H3658" t="s">
        <v>49</v>
      </c>
      <c r="I3658" t="s">
        <v>50</v>
      </c>
      <c r="J3658" t="s">
        <v>5610</v>
      </c>
      <c r="K3658" t="s">
        <v>5185</v>
      </c>
      <c r="L3658" t="s">
        <v>53</v>
      </c>
      <c r="N3658" t="s">
        <v>6141</v>
      </c>
      <c r="P3658" t="s">
        <v>55</v>
      </c>
      <c r="R3658" t="s">
        <v>53</v>
      </c>
      <c r="T3658" t="s">
        <v>6142</v>
      </c>
      <c r="U3658" t="s">
        <v>58</v>
      </c>
      <c r="V3658">
        <v>2</v>
      </c>
      <c r="W3658">
        <v>1</v>
      </c>
      <c r="X3658">
        <v>2</v>
      </c>
      <c r="Y3658">
        <v>2</v>
      </c>
      <c r="Z3658">
        <v>4</v>
      </c>
      <c r="AA3658">
        <v>0</v>
      </c>
      <c r="AB3658">
        <v>219.12</v>
      </c>
      <c r="AC3658">
        <v>192.8</v>
      </c>
      <c r="AD3658">
        <v>0</v>
      </c>
      <c r="AE3658">
        <v>26.32</v>
      </c>
      <c r="AF3658">
        <v>0</v>
      </c>
      <c r="AG3658">
        <v>0</v>
      </c>
      <c r="AH3658">
        <v>0</v>
      </c>
      <c r="AI3658">
        <v>39.44</v>
      </c>
      <c r="AJ3658">
        <v>219.12</v>
      </c>
      <c r="AK3658">
        <v>0</v>
      </c>
      <c r="AL3658" t="s">
        <v>53</v>
      </c>
      <c r="AM3658" t="s">
        <v>53</v>
      </c>
      <c r="AN3658" t="s">
        <v>53</v>
      </c>
      <c r="AO3658" t="s">
        <v>53</v>
      </c>
      <c r="AP3658" t="s">
        <v>53</v>
      </c>
    </row>
    <row r="3659" spans="2:42" x14ac:dyDescent="0.2">
      <c r="B3659" t="s">
        <v>44</v>
      </c>
      <c r="C3659" t="str">
        <f>HYPERLINK("https://us2.cloudbeds.com/connect/8493803454333002#/reservations/52636155895994?display=14E1RPT55A&amp;reservation_id=52636155895994", "14E1RPT55A")</f>
        <v>14E1RPT55A</v>
      </c>
      <c r="D3659" t="s">
        <v>45</v>
      </c>
      <c r="E3659" t="s">
        <v>487</v>
      </c>
      <c r="F3659" t="s">
        <v>61</v>
      </c>
      <c r="G3659" t="s">
        <v>48</v>
      </c>
      <c r="H3659" t="s">
        <v>3957</v>
      </c>
      <c r="I3659" t="s">
        <v>3958</v>
      </c>
      <c r="J3659" t="s">
        <v>5825</v>
      </c>
      <c r="K3659" t="s">
        <v>5610</v>
      </c>
      <c r="L3659" t="s">
        <v>53</v>
      </c>
      <c r="P3659" t="s">
        <v>55</v>
      </c>
      <c r="R3659" t="s">
        <v>56</v>
      </c>
      <c r="T3659" t="s">
        <v>6143</v>
      </c>
      <c r="U3659" t="s">
        <v>58</v>
      </c>
      <c r="V3659">
        <v>1</v>
      </c>
      <c r="W3659">
        <v>1</v>
      </c>
      <c r="X3659">
        <v>1</v>
      </c>
      <c r="Y3659">
        <v>0</v>
      </c>
      <c r="Z3659">
        <v>1</v>
      </c>
      <c r="AA3659">
        <v>0</v>
      </c>
      <c r="AB3659">
        <v>127.86</v>
      </c>
      <c r="AC3659">
        <v>112.5</v>
      </c>
      <c r="AD3659">
        <v>0</v>
      </c>
      <c r="AE3659">
        <v>15.36</v>
      </c>
      <c r="AF3659">
        <v>0</v>
      </c>
      <c r="AG3659">
        <v>0</v>
      </c>
      <c r="AH3659">
        <v>0</v>
      </c>
      <c r="AI3659">
        <v>0</v>
      </c>
      <c r="AJ3659">
        <v>127.86</v>
      </c>
      <c r="AK3659">
        <v>0</v>
      </c>
      <c r="AL3659" t="s">
        <v>53</v>
      </c>
      <c r="AM3659" t="s">
        <v>53</v>
      </c>
      <c r="AN3659" t="s">
        <v>53</v>
      </c>
      <c r="AO3659" t="s">
        <v>53</v>
      </c>
      <c r="AP3659" t="s">
        <v>53</v>
      </c>
    </row>
    <row r="3660" spans="2:42" x14ac:dyDescent="0.2">
      <c r="B3660" t="s">
        <v>44</v>
      </c>
      <c r="C3660" t="str">
        <f>HYPERLINK("https://us2.cloudbeds.com/connect/8493803454333002#/reservations/52659751268603?display=14EK3N45WG&amp;reservation_id=52659751268603", "14EK3N45WG")</f>
        <v>14EK3N45WG</v>
      </c>
      <c r="D3660" t="s">
        <v>45</v>
      </c>
      <c r="E3660" t="s">
        <v>190</v>
      </c>
      <c r="F3660" t="s">
        <v>61</v>
      </c>
      <c r="G3660" t="s">
        <v>48</v>
      </c>
      <c r="H3660" t="s">
        <v>49</v>
      </c>
      <c r="I3660" t="s">
        <v>62</v>
      </c>
      <c r="J3660" t="s">
        <v>5584</v>
      </c>
      <c r="K3660" t="s">
        <v>5825</v>
      </c>
      <c r="L3660" t="s">
        <v>53</v>
      </c>
      <c r="N3660" t="s">
        <v>6144</v>
      </c>
      <c r="P3660" t="s">
        <v>58</v>
      </c>
      <c r="R3660" t="s">
        <v>56</v>
      </c>
      <c r="T3660" t="s">
        <v>6145</v>
      </c>
      <c r="U3660" t="s">
        <v>55</v>
      </c>
      <c r="V3660">
        <v>2</v>
      </c>
      <c r="W3660">
        <v>1</v>
      </c>
      <c r="X3660">
        <v>2</v>
      </c>
      <c r="Y3660">
        <v>0</v>
      </c>
      <c r="Z3660">
        <v>2</v>
      </c>
      <c r="AA3660">
        <v>0</v>
      </c>
      <c r="AB3660">
        <v>250</v>
      </c>
      <c r="AC3660">
        <v>250</v>
      </c>
      <c r="AD3660">
        <v>0</v>
      </c>
      <c r="AE3660">
        <v>0</v>
      </c>
      <c r="AF3660">
        <v>0</v>
      </c>
      <c r="AG3660">
        <v>0</v>
      </c>
      <c r="AH3660">
        <v>0</v>
      </c>
      <c r="AI3660">
        <v>45</v>
      </c>
      <c r="AJ3660">
        <v>250</v>
      </c>
      <c r="AK3660">
        <v>0</v>
      </c>
      <c r="AL3660" t="s">
        <v>53</v>
      </c>
      <c r="AM3660" t="s">
        <v>53</v>
      </c>
      <c r="AN3660" t="s">
        <v>53</v>
      </c>
      <c r="AO3660" t="s">
        <v>53</v>
      </c>
      <c r="AP3660" t="s">
        <v>53</v>
      </c>
    </row>
    <row r="3661" spans="2:42" x14ac:dyDescent="0.2">
      <c r="B3661" t="s">
        <v>44</v>
      </c>
      <c r="C3661" t="str">
        <f>HYPERLINK("https://us2.cloudbeds.com/connect/8493803454333002#/reservations/52673123246235?display=14EUFCZ5KT&amp;reservation_id=52673123246235", "14EUFCZ5KT")</f>
        <v>14EUFCZ5KT</v>
      </c>
      <c r="D3661" t="s">
        <v>45</v>
      </c>
      <c r="E3661" t="s">
        <v>305</v>
      </c>
      <c r="F3661" t="s">
        <v>61</v>
      </c>
      <c r="G3661" t="s">
        <v>48</v>
      </c>
      <c r="H3661" t="s">
        <v>49</v>
      </c>
      <c r="I3661" t="s">
        <v>50</v>
      </c>
      <c r="J3661" t="s">
        <v>5805</v>
      </c>
      <c r="K3661" t="s">
        <v>6146</v>
      </c>
      <c r="L3661" t="s">
        <v>53</v>
      </c>
      <c r="N3661" t="s">
        <v>6147</v>
      </c>
      <c r="P3661" t="s">
        <v>55</v>
      </c>
      <c r="R3661" t="s">
        <v>53</v>
      </c>
      <c r="T3661" t="s">
        <v>6148</v>
      </c>
      <c r="U3661" t="s">
        <v>58</v>
      </c>
      <c r="V3661">
        <v>1</v>
      </c>
      <c r="W3661">
        <v>1</v>
      </c>
      <c r="X3661">
        <v>2</v>
      </c>
      <c r="Y3661">
        <v>0</v>
      </c>
      <c r="Z3661">
        <v>2</v>
      </c>
      <c r="AA3661">
        <v>0</v>
      </c>
      <c r="AB3661">
        <v>77.73</v>
      </c>
      <c r="AC3661">
        <v>68.400000000000006</v>
      </c>
      <c r="AD3661">
        <v>0</v>
      </c>
      <c r="AE3661">
        <v>9.33</v>
      </c>
      <c r="AF3661">
        <v>0</v>
      </c>
      <c r="AG3661">
        <v>0</v>
      </c>
      <c r="AH3661">
        <v>0</v>
      </c>
      <c r="AI3661">
        <v>13.99</v>
      </c>
      <c r="AJ3661">
        <v>77.73</v>
      </c>
      <c r="AK3661">
        <v>0</v>
      </c>
      <c r="AL3661" t="s">
        <v>53</v>
      </c>
      <c r="AM3661" t="s">
        <v>53</v>
      </c>
      <c r="AN3661" t="s">
        <v>53</v>
      </c>
      <c r="AO3661" t="s">
        <v>53</v>
      </c>
      <c r="AP3661" t="s">
        <v>53</v>
      </c>
    </row>
    <row r="3662" spans="2:42" x14ac:dyDescent="0.2">
      <c r="B3662" t="s">
        <v>44</v>
      </c>
      <c r="C3662" t="str">
        <f>HYPERLINK("https://us2.cloudbeds.com/connect/8493803454333002#/reservations/52688313712770?display=14F97HZ9NK&amp;reservation_id=52688313712770", "14F97HZ9NK")</f>
        <v>14F97HZ9NK</v>
      </c>
      <c r="D3662" t="s">
        <v>45</v>
      </c>
      <c r="E3662" t="s">
        <v>113</v>
      </c>
      <c r="F3662" t="s">
        <v>61</v>
      </c>
      <c r="G3662" t="s">
        <v>48</v>
      </c>
      <c r="H3662" t="s">
        <v>49</v>
      </c>
      <c r="I3662" t="s">
        <v>50</v>
      </c>
      <c r="J3662" t="s">
        <v>2664</v>
      </c>
      <c r="K3662" t="s">
        <v>5584</v>
      </c>
      <c r="L3662" t="s">
        <v>53</v>
      </c>
      <c r="N3662" t="s">
        <v>6149</v>
      </c>
      <c r="P3662" t="s">
        <v>55</v>
      </c>
      <c r="R3662" t="s">
        <v>53</v>
      </c>
      <c r="T3662" t="s">
        <v>6150</v>
      </c>
      <c r="U3662" t="s">
        <v>58</v>
      </c>
      <c r="V3662">
        <v>1</v>
      </c>
      <c r="W3662">
        <v>1</v>
      </c>
      <c r="X3662">
        <v>1</v>
      </c>
      <c r="Y3662">
        <v>0</v>
      </c>
      <c r="Z3662">
        <v>1</v>
      </c>
      <c r="AA3662">
        <v>0</v>
      </c>
      <c r="AB3662">
        <v>113.65</v>
      </c>
      <c r="AC3662">
        <v>100</v>
      </c>
      <c r="AD3662">
        <v>0</v>
      </c>
      <c r="AE3662">
        <v>13.65</v>
      </c>
      <c r="AF3662">
        <v>0</v>
      </c>
      <c r="AG3662">
        <v>0</v>
      </c>
      <c r="AH3662">
        <v>0</v>
      </c>
      <c r="AI3662">
        <v>20.46</v>
      </c>
      <c r="AJ3662">
        <v>113.65</v>
      </c>
      <c r="AK3662">
        <v>0</v>
      </c>
      <c r="AL3662" t="s">
        <v>53</v>
      </c>
      <c r="AM3662" t="s">
        <v>53</v>
      </c>
      <c r="AN3662" t="s">
        <v>53</v>
      </c>
      <c r="AO3662" t="s">
        <v>53</v>
      </c>
      <c r="AP3662" t="s">
        <v>53</v>
      </c>
    </row>
    <row r="3663" spans="2:42" x14ac:dyDescent="0.2">
      <c r="B3663" t="s">
        <v>44</v>
      </c>
      <c r="C3663" t="str">
        <f>HYPERLINK("https://us2.cloudbeds.com/connect/8493803454333002#/reservations/52691931033747?display=14FC0VVJ7Q&amp;reservation_id=52691931033747", "14FC0VVJ7Q")</f>
        <v>14FC0VVJ7Q</v>
      </c>
      <c r="D3663" t="s">
        <v>45</v>
      </c>
      <c r="E3663" t="s">
        <v>190</v>
      </c>
      <c r="F3663" t="s">
        <v>61</v>
      </c>
      <c r="G3663" t="s">
        <v>48</v>
      </c>
      <c r="H3663" t="s">
        <v>3957</v>
      </c>
      <c r="I3663" t="s">
        <v>3975</v>
      </c>
      <c r="J3663" t="s">
        <v>2664</v>
      </c>
      <c r="K3663" t="s">
        <v>5584</v>
      </c>
      <c r="L3663" t="s">
        <v>53</v>
      </c>
      <c r="P3663" t="s">
        <v>55</v>
      </c>
      <c r="R3663" t="s">
        <v>56</v>
      </c>
      <c r="T3663" t="s">
        <v>6151</v>
      </c>
      <c r="U3663" t="s">
        <v>58</v>
      </c>
      <c r="V3663">
        <v>1</v>
      </c>
      <c r="W3663">
        <v>1</v>
      </c>
      <c r="X3663">
        <v>2</v>
      </c>
      <c r="Y3663">
        <v>0</v>
      </c>
      <c r="Z3663">
        <v>2</v>
      </c>
      <c r="AA3663">
        <v>0</v>
      </c>
      <c r="AB3663">
        <v>142.07</v>
      </c>
      <c r="AC3663">
        <v>125</v>
      </c>
      <c r="AD3663">
        <v>0</v>
      </c>
      <c r="AE3663">
        <v>17.07</v>
      </c>
      <c r="AF3663">
        <v>0</v>
      </c>
      <c r="AG3663">
        <v>0</v>
      </c>
      <c r="AH3663">
        <v>0</v>
      </c>
      <c r="AI3663">
        <v>0</v>
      </c>
      <c r="AJ3663">
        <v>142.07</v>
      </c>
      <c r="AK3663">
        <v>0</v>
      </c>
      <c r="AL3663" t="s">
        <v>53</v>
      </c>
      <c r="AM3663" t="s">
        <v>53</v>
      </c>
      <c r="AN3663" t="s">
        <v>53</v>
      </c>
      <c r="AO3663" t="s">
        <v>53</v>
      </c>
      <c r="AP3663" t="s">
        <v>53</v>
      </c>
    </row>
    <row r="3664" spans="2:42" x14ac:dyDescent="0.2">
      <c r="B3664" t="s">
        <v>44</v>
      </c>
      <c r="C3664" t="str">
        <f>HYPERLINK("https://us2.cloudbeds.com/connect/8493803454333002#/reservations/52705531273389?display=14FMXG19SQ&amp;reservation_id=52705531273389", "14FMXG19SQ")</f>
        <v>14FMXG19SQ</v>
      </c>
      <c r="D3664" t="s">
        <v>45</v>
      </c>
      <c r="E3664" t="s">
        <v>155</v>
      </c>
      <c r="F3664" t="s">
        <v>86</v>
      </c>
      <c r="G3664" t="s">
        <v>48</v>
      </c>
      <c r="H3664" t="s">
        <v>3957</v>
      </c>
      <c r="I3664" t="s">
        <v>3975</v>
      </c>
      <c r="J3664" t="s">
        <v>5351</v>
      </c>
      <c r="K3664" t="s">
        <v>5321</v>
      </c>
      <c r="L3664" t="s">
        <v>53</v>
      </c>
      <c r="P3664" t="s">
        <v>55</v>
      </c>
      <c r="R3664" t="s">
        <v>56</v>
      </c>
      <c r="T3664" t="s">
        <v>6152</v>
      </c>
      <c r="U3664" t="s">
        <v>58</v>
      </c>
      <c r="V3664">
        <v>6</v>
      </c>
      <c r="W3664">
        <v>1</v>
      </c>
      <c r="X3664">
        <v>3</v>
      </c>
      <c r="Y3664">
        <v>0</v>
      </c>
      <c r="Z3664">
        <v>3</v>
      </c>
      <c r="AA3664">
        <v>0</v>
      </c>
      <c r="AB3664">
        <v>613.95000000000005</v>
      </c>
      <c r="AC3664">
        <v>540.5</v>
      </c>
      <c r="AD3664">
        <v>0</v>
      </c>
      <c r="AE3664">
        <v>73.45</v>
      </c>
      <c r="AF3664">
        <v>0</v>
      </c>
      <c r="AG3664">
        <v>2.5</v>
      </c>
      <c r="AH3664">
        <v>0</v>
      </c>
      <c r="AI3664">
        <v>0</v>
      </c>
      <c r="AJ3664">
        <v>613.95000000000005</v>
      </c>
      <c r="AK3664">
        <v>0</v>
      </c>
      <c r="AL3664" t="s">
        <v>53</v>
      </c>
      <c r="AM3664" t="s">
        <v>53</v>
      </c>
      <c r="AN3664" t="s">
        <v>53</v>
      </c>
      <c r="AO3664" t="s">
        <v>53</v>
      </c>
      <c r="AP3664" t="s">
        <v>53</v>
      </c>
    </row>
    <row r="3665" spans="2:42" x14ac:dyDescent="0.2">
      <c r="B3665" t="s">
        <v>44</v>
      </c>
      <c r="C3665" t="str">
        <f>HYPERLINK("https://us2.cloudbeds.com/connect/8493803454333002#/reservations/52762951352473?display=14H10N5Y79&amp;reservation_id=52762951352473", "14H10N5Y79")</f>
        <v>14H10N5Y79</v>
      </c>
      <c r="D3665" t="s">
        <v>45</v>
      </c>
      <c r="E3665" t="s">
        <v>305</v>
      </c>
      <c r="F3665" t="s">
        <v>61</v>
      </c>
      <c r="G3665" t="s">
        <v>48</v>
      </c>
      <c r="H3665" t="s">
        <v>49</v>
      </c>
      <c r="I3665" t="s">
        <v>50</v>
      </c>
      <c r="J3665" t="s">
        <v>5351</v>
      </c>
      <c r="K3665" t="s">
        <v>5648</v>
      </c>
      <c r="L3665" t="s">
        <v>53</v>
      </c>
      <c r="N3665" t="s">
        <v>6153</v>
      </c>
      <c r="P3665" t="s">
        <v>55</v>
      </c>
      <c r="R3665" t="s">
        <v>53</v>
      </c>
      <c r="T3665" t="s">
        <v>6154</v>
      </c>
      <c r="U3665" t="s">
        <v>58</v>
      </c>
      <c r="V3665">
        <v>3</v>
      </c>
      <c r="W3665">
        <v>1</v>
      </c>
      <c r="X3665">
        <v>1</v>
      </c>
      <c r="Y3665">
        <v>0</v>
      </c>
      <c r="Z3665">
        <v>1</v>
      </c>
      <c r="AA3665">
        <v>0</v>
      </c>
      <c r="AB3665">
        <v>256.39999999999998</v>
      </c>
      <c r="AC3665">
        <v>225.6</v>
      </c>
      <c r="AD3665">
        <v>0</v>
      </c>
      <c r="AE3665">
        <v>30.8</v>
      </c>
      <c r="AF3665">
        <v>0</v>
      </c>
      <c r="AG3665">
        <v>0</v>
      </c>
      <c r="AH3665">
        <v>0</v>
      </c>
      <c r="AI3665">
        <v>46.15</v>
      </c>
      <c r="AJ3665">
        <v>256.39999999999998</v>
      </c>
      <c r="AK3665">
        <v>0</v>
      </c>
      <c r="AL3665" t="s">
        <v>53</v>
      </c>
      <c r="AM3665" t="s">
        <v>53</v>
      </c>
      <c r="AN3665" t="s">
        <v>53</v>
      </c>
      <c r="AO3665" t="s">
        <v>53</v>
      </c>
      <c r="AP3665" t="s">
        <v>53</v>
      </c>
    </row>
    <row r="3666" spans="2:42" x14ac:dyDescent="0.2">
      <c r="B3666" t="s">
        <v>44</v>
      </c>
      <c r="C3666" t="str">
        <f>HYPERLINK("https://us2.cloudbeds.com/connect/8493803454333002#/reservations/52778805751977?display=14HD9R0MET&amp;reservation_id=52778805751977", "14HD9R0MET")</f>
        <v>14HD9R0MET</v>
      </c>
      <c r="D3666" t="s">
        <v>45</v>
      </c>
      <c r="E3666" t="s">
        <v>69</v>
      </c>
      <c r="F3666" t="s">
        <v>70</v>
      </c>
      <c r="G3666" t="s">
        <v>48</v>
      </c>
      <c r="H3666" t="s">
        <v>49</v>
      </c>
      <c r="I3666" t="s">
        <v>50</v>
      </c>
      <c r="J3666" t="s">
        <v>5584</v>
      </c>
      <c r="K3666" t="s">
        <v>2284</v>
      </c>
      <c r="L3666" t="s">
        <v>53</v>
      </c>
      <c r="N3666" t="s">
        <v>6155</v>
      </c>
      <c r="P3666" t="s">
        <v>55</v>
      </c>
      <c r="R3666" t="s">
        <v>53</v>
      </c>
      <c r="T3666" t="s">
        <v>6156</v>
      </c>
      <c r="U3666" t="s">
        <v>58</v>
      </c>
      <c r="V3666">
        <v>1</v>
      </c>
      <c r="W3666">
        <v>1</v>
      </c>
      <c r="X3666">
        <v>2</v>
      </c>
      <c r="Y3666">
        <v>0</v>
      </c>
      <c r="Z3666">
        <v>2</v>
      </c>
      <c r="AA3666">
        <v>0</v>
      </c>
      <c r="AB3666">
        <v>118.65</v>
      </c>
      <c r="AC3666">
        <v>104.4</v>
      </c>
      <c r="AD3666">
        <v>0</v>
      </c>
      <c r="AE3666">
        <v>14.25</v>
      </c>
      <c r="AF3666">
        <v>0</v>
      </c>
      <c r="AG3666">
        <v>0</v>
      </c>
      <c r="AH3666">
        <v>0</v>
      </c>
      <c r="AI3666">
        <v>21.36</v>
      </c>
      <c r="AJ3666">
        <v>118.65</v>
      </c>
      <c r="AK3666">
        <v>0</v>
      </c>
      <c r="AL3666" t="s">
        <v>53</v>
      </c>
      <c r="AM3666" t="s">
        <v>53</v>
      </c>
      <c r="AN3666" t="s">
        <v>53</v>
      </c>
      <c r="AO3666" t="s">
        <v>53</v>
      </c>
      <c r="AP3666" t="s">
        <v>53</v>
      </c>
    </row>
    <row r="3667" spans="2:42" x14ac:dyDescent="0.2">
      <c r="B3667" t="s">
        <v>44</v>
      </c>
      <c r="C3667" t="str">
        <f>HYPERLINK("https://us2.cloudbeds.com/connect/8493803454333002#/reservations/52787341578478?display=14HJTUYKW0&amp;reservation_id=52787341578478", "14HJTUYKW0")</f>
        <v>14HJTUYKW0</v>
      </c>
      <c r="D3667" t="s">
        <v>45</v>
      </c>
      <c r="E3667" t="s">
        <v>113</v>
      </c>
      <c r="F3667" t="s">
        <v>61</v>
      </c>
      <c r="G3667" t="s">
        <v>48</v>
      </c>
      <c r="H3667" t="s">
        <v>49</v>
      </c>
      <c r="I3667" t="s">
        <v>50</v>
      </c>
      <c r="J3667" t="s">
        <v>5610</v>
      </c>
      <c r="K3667" t="s">
        <v>5185</v>
      </c>
      <c r="L3667" t="s">
        <v>53</v>
      </c>
      <c r="N3667" t="s">
        <v>6157</v>
      </c>
      <c r="P3667" t="s">
        <v>55</v>
      </c>
      <c r="R3667" t="s">
        <v>53</v>
      </c>
      <c r="T3667" t="s">
        <v>6158</v>
      </c>
      <c r="U3667" t="s">
        <v>58</v>
      </c>
      <c r="V3667">
        <v>2</v>
      </c>
      <c r="W3667">
        <v>1</v>
      </c>
      <c r="X3667">
        <v>2</v>
      </c>
      <c r="Y3667">
        <v>0</v>
      </c>
      <c r="Z3667">
        <v>2</v>
      </c>
      <c r="AA3667">
        <v>0</v>
      </c>
      <c r="AB3667">
        <v>213.77</v>
      </c>
      <c r="AC3667">
        <v>188.1</v>
      </c>
      <c r="AD3667">
        <v>0</v>
      </c>
      <c r="AE3667">
        <v>25.67</v>
      </c>
      <c r="AF3667">
        <v>0</v>
      </c>
      <c r="AG3667">
        <v>0</v>
      </c>
      <c r="AH3667">
        <v>0</v>
      </c>
      <c r="AI3667">
        <v>38.479999999999997</v>
      </c>
      <c r="AJ3667">
        <v>213.77</v>
      </c>
      <c r="AK3667">
        <v>0</v>
      </c>
      <c r="AL3667" t="s">
        <v>53</v>
      </c>
      <c r="AM3667" t="s">
        <v>53</v>
      </c>
      <c r="AN3667" t="s">
        <v>53</v>
      </c>
      <c r="AO3667" t="s">
        <v>53</v>
      </c>
      <c r="AP3667" t="s">
        <v>53</v>
      </c>
    </row>
    <row r="3668" spans="2:42" x14ac:dyDescent="0.2">
      <c r="B3668" t="s">
        <v>44</v>
      </c>
      <c r="C3668" t="str">
        <f>HYPERLINK("https://us2.cloudbeds.com/connect/8493803454333002#/reservations/52788730847394?display=14HKWE4302&amp;reservation_id=52788730847394", "14HKWE4302")</f>
        <v>14HKWE4302</v>
      </c>
      <c r="D3668" t="s">
        <v>45</v>
      </c>
      <c r="E3668" t="s">
        <v>487</v>
      </c>
      <c r="F3668" t="s">
        <v>61</v>
      </c>
      <c r="G3668" t="s">
        <v>48</v>
      </c>
      <c r="H3668" t="s">
        <v>49</v>
      </c>
      <c r="I3668" t="s">
        <v>50</v>
      </c>
      <c r="J3668" t="s">
        <v>5610</v>
      </c>
      <c r="K3668" t="s">
        <v>5381</v>
      </c>
      <c r="L3668" t="s">
        <v>53</v>
      </c>
      <c r="N3668" t="s">
        <v>6159</v>
      </c>
      <c r="P3668" t="s">
        <v>55</v>
      </c>
      <c r="R3668" t="s">
        <v>53</v>
      </c>
      <c r="T3668" t="s">
        <v>6160</v>
      </c>
      <c r="U3668" t="s">
        <v>58</v>
      </c>
      <c r="V3668">
        <v>5</v>
      </c>
      <c r="W3668">
        <v>1</v>
      </c>
      <c r="X3668">
        <v>2</v>
      </c>
      <c r="Y3668">
        <v>0</v>
      </c>
      <c r="Z3668">
        <v>2</v>
      </c>
      <c r="AA3668">
        <v>0</v>
      </c>
      <c r="AB3668">
        <v>474.59</v>
      </c>
      <c r="AC3668">
        <v>417.6</v>
      </c>
      <c r="AD3668">
        <v>0</v>
      </c>
      <c r="AE3668">
        <v>56.99</v>
      </c>
      <c r="AF3668">
        <v>0</v>
      </c>
      <c r="AG3668">
        <v>0</v>
      </c>
      <c r="AH3668">
        <v>0</v>
      </c>
      <c r="AI3668">
        <v>85.43</v>
      </c>
      <c r="AJ3668">
        <v>474.59</v>
      </c>
      <c r="AK3668">
        <v>0</v>
      </c>
      <c r="AL3668" t="s">
        <v>53</v>
      </c>
      <c r="AM3668" t="s">
        <v>53</v>
      </c>
      <c r="AN3668" t="s">
        <v>53</v>
      </c>
      <c r="AO3668" t="s">
        <v>53</v>
      </c>
      <c r="AP3668" t="s">
        <v>53</v>
      </c>
    </row>
    <row r="3669" spans="2:42" x14ac:dyDescent="0.2">
      <c r="B3669" t="s">
        <v>44</v>
      </c>
      <c r="C3669" t="str">
        <f>HYPERLINK("https://us2.cloudbeds.com/connect/8493803454333002#/reservations/52789903982763?display=14HYTDBA9N&amp;reservation_id=52789903982763", "14HYTDBA9N")</f>
        <v>14HYTDBA9N</v>
      </c>
      <c r="D3669" t="s">
        <v>45</v>
      </c>
      <c r="E3669" t="s">
        <v>78</v>
      </c>
      <c r="F3669" t="s">
        <v>61</v>
      </c>
      <c r="G3669" t="s">
        <v>48</v>
      </c>
      <c r="H3669" t="s">
        <v>3957</v>
      </c>
      <c r="I3669" t="s">
        <v>3958</v>
      </c>
      <c r="J3669" t="s">
        <v>2664</v>
      </c>
      <c r="K3669" t="s">
        <v>5584</v>
      </c>
      <c r="L3669" t="s">
        <v>53</v>
      </c>
      <c r="P3669" t="s">
        <v>55</v>
      </c>
      <c r="R3669" t="s">
        <v>56</v>
      </c>
      <c r="T3669" t="s">
        <v>6161</v>
      </c>
      <c r="U3669" t="s">
        <v>58</v>
      </c>
      <c r="V3669">
        <v>1</v>
      </c>
      <c r="W3669">
        <v>1</v>
      </c>
      <c r="X3669">
        <v>1</v>
      </c>
      <c r="Y3669">
        <v>0</v>
      </c>
      <c r="Z3669">
        <v>1</v>
      </c>
      <c r="AA3669">
        <v>0</v>
      </c>
      <c r="AB3669">
        <v>142.07</v>
      </c>
      <c r="AC3669">
        <v>125</v>
      </c>
      <c r="AD3669">
        <v>0</v>
      </c>
      <c r="AE3669">
        <v>17.07</v>
      </c>
      <c r="AF3669">
        <v>0</v>
      </c>
      <c r="AG3669">
        <v>0</v>
      </c>
      <c r="AH3669">
        <v>0</v>
      </c>
      <c r="AI3669">
        <v>0</v>
      </c>
      <c r="AJ3669">
        <v>142.07</v>
      </c>
      <c r="AK3669">
        <v>0</v>
      </c>
      <c r="AL3669" t="s">
        <v>53</v>
      </c>
      <c r="AM3669" t="s">
        <v>53</v>
      </c>
      <c r="AN3669" t="s">
        <v>53</v>
      </c>
      <c r="AO3669" t="s">
        <v>53</v>
      </c>
      <c r="AP3669" t="s">
        <v>53</v>
      </c>
    </row>
    <row r="3670" spans="2:42" x14ac:dyDescent="0.2">
      <c r="B3670" t="s">
        <v>44</v>
      </c>
      <c r="C3670" t="str">
        <f>HYPERLINK("https://us2.cloudbeds.com/connect/8493803454333002#/reservations/52816011178143?display=14X93GKGPE&amp;reservation_id=52816011178143", "14X93GKGPE")</f>
        <v>14X93GKGPE</v>
      </c>
      <c r="D3670" t="s">
        <v>45</v>
      </c>
      <c r="E3670" t="s">
        <v>113</v>
      </c>
      <c r="F3670" t="s">
        <v>61</v>
      </c>
      <c r="G3670" t="s">
        <v>48</v>
      </c>
      <c r="H3670" t="s">
        <v>3957</v>
      </c>
      <c r="I3670" t="s">
        <v>3975</v>
      </c>
      <c r="J3670" t="s">
        <v>5648</v>
      </c>
      <c r="K3670" t="s">
        <v>4724</v>
      </c>
      <c r="L3670" t="s">
        <v>53</v>
      </c>
      <c r="P3670" t="s">
        <v>55</v>
      </c>
      <c r="R3670" t="s">
        <v>56</v>
      </c>
      <c r="T3670" t="s">
        <v>6162</v>
      </c>
      <c r="U3670" t="s">
        <v>58</v>
      </c>
      <c r="V3670">
        <v>2</v>
      </c>
      <c r="W3670">
        <v>1</v>
      </c>
      <c r="X3670">
        <v>2</v>
      </c>
      <c r="Y3670">
        <v>0</v>
      </c>
      <c r="Z3670">
        <v>2</v>
      </c>
      <c r="AA3670">
        <v>0</v>
      </c>
      <c r="AB3670">
        <v>180.71</v>
      </c>
      <c r="AC3670">
        <v>159</v>
      </c>
      <c r="AD3670">
        <v>0</v>
      </c>
      <c r="AE3670">
        <v>21.71</v>
      </c>
      <c r="AF3670">
        <v>0</v>
      </c>
      <c r="AG3670">
        <v>0</v>
      </c>
      <c r="AH3670">
        <v>0</v>
      </c>
      <c r="AI3670">
        <v>0</v>
      </c>
      <c r="AJ3670">
        <v>180.71</v>
      </c>
      <c r="AK3670">
        <v>0</v>
      </c>
      <c r="AL3670" t="s">
        <v>53</v>
      </c>
      <c r="AM3670" t="s">
        <v>53</v>
      </c>
      <c r="AN3670" t="s">
        <v>53</v>
      </c>
      <c r="AO3670" t="s">
        <v>53</v>
      </c>
      <c r="AP3670" t="s">
        <v>53</v>
      </c>
    </row>
    <row r="3671" spans="2:42" x14ac:dyDescent="0.2">
      <c r="B3671" t="s">
        <v>44</v>
      </c>
      <c r="C3671" t="str">
        <f>HYPERLINK("https://us2.cloudbeds.com/connect/8493803454333002#/reservations/52862911926426?display=14JCDUXVST&amp;reservation_id=52862911926426", "14JCDUXVST")</f>
        <v>14JCDUXVST</v>
      </c>
      <c r="D3671" t="s">
        <v>45</v>
      </c>
      <c r="E3671" t="s">
        <v>69</v>
      </c>
      <c r="F3671" t="s">
        <v>70</v>
      </c>
      <c r="G3671" t="s">
        <v>48</v>
      </c>
      <c r="H3671" t="s">
        <v>49</v>
      </c>
      <c r="I3671" t="s">
        <v>50</v>
      </c>
      <c r="J3671" t="s">
        <v>2284</v>
      </c>
      <c r="K3671" t="s">
        <v>5825</v>
      </c>
      <c r="L3671" t="s">
        <v>53</v>
      </c>
      <c r="N3671" t="s">
        <v>6163</v>
      </c>
      <c r="P3671" t="s">
        <v>55</v>
      </c>
      <c r="R3671" t="s">
        <v>53</v>
      </c>
      <c r="T3671" t="s">
        <v>6164</v>
      </c>
      <c r="U3671" t="s">
        <v>58</v>
      </c>
      <c r="V3671">
        <v>1</v>
      </c>
      <c r="W3671">
        <v>1</v>
      </c>
      <c r="X3671">
        <v>2</v>
      </c>
      <c r="Y3671">
        <v>0</v>
      </c>
      <c r="Z3671">
        <v>2</v>
      </c>
      <c r="AA3671">
        <v>0</v>
      </c>
      <c r="AB3671">
        <v>118.65</v>
      </c>
      <c r="AC3671">
        <v>104.4</v>
      </c>
      <c r="AD3671">
        <v>0</v>
      </c>
      <c r="AE3671">
        <v>14.25</v>
      </c>
      <c r="AF3671">
        <v>0</v>
      </c>
      <c r="AG3671">
        <v>0</v>
      </c>
      <c r="AH3671">
        <v>0</v>
      </c>
      <c r="AI3671">
        <v>21.36</v>
      </c>
      <c r="AJ3671">
        <v>118.65</v>
      </c>
      <c r="AK3671">
        <v>0</v>
      </c>
      <c r="AL3671" t="s">
        <v>53</v>
      </c>
      <c r="AM3671" t="s">
        <v>53</v>
      </c>
      <c r="AN3671" t="s">
        <v>53</v>
      </c>
      <c r="AO3671" t="s">
        <v>53</v>
      </c>
      <c r="AP3671" t="s">
        <v>53</v>
      </c>
    </row>
    <row r="3672" spans="2:42" x14ac:dyDescent="0.2">
      <c r="B3672" t="s">
        <v>44</v>
      </c>
      <c r="C3672" t="str">
        <f>HYPERLINK("https://us2.cloudbeds.com/connect/8493803454333002#/reservations/53087315431637?display=14ZY5VX9MD&amp;reservation_id=53087315431637", "14ZY5VX9MD")</f>
        <v>14ZY5VX9MD</v>
      </c>
      <c r="D3672" t="s">
        <v>45</v>
      </c>
      <c r="E3672" t="s">
        <v>121</v>
      </c>
      <c r="F3672" t="s">
        <v>86</v>
      </c>
      <c r="G3672" t="s">
        <v>48</v>
      </c>
      <c r="H3672" t="s">
        <v>49</v>
      </c>
      <c r="I3672" t="s">
        <v>50</v>
      </c>
      <c r="J3672" t="s">
        <v>5351</v>
      </c>
      <c r="K3672" t="s">
        <v>5185</v>
      </c>
      <c r="L3672" t="s">
        <v>53</v>
      </c>
      <c r="N3672" t="s">
        <v>6165</v>
      </c>
      <c r="P3672" t="s">
        <v>55</v>
      </c>
      <c r="R3672" t="s">
        <v>53</v>
      </c>
      <c r="T3672" t="s">
        <v>6166</v>
      </c>
      <c r="U3672" t="s">
        <v>58</v>
      </c>
      <c r="V3672">
        <v>1</v>
      </c>
      <c r="W3672">
        <v>1</v>
      </c>
      <c r="X3672">
        <v>4</v>
      </c>
      <c r="Y3672">
        <v>0</v>
      </c>
      <c r="Z3672">
        <v>4</v>
      </c>
      <c r="AA3672">
        <v>0</v>
      </c>
      <c r="AB3672">
        <v>109.1</v>
      </c>
      <c r="AC3672">
        <v>96</v>
      </c>
      <c r="AD3672">
        <v>0</v>
      </c>
      <c r="AE3672">
        <v>13.1</v>
      </c>
      <c r="AF3672">
        <v>0</v>
      </c>
      <c r="AG3672">
        <v>0</v>
      </c>
      <c r="AH3672">
        <v>0</v>
      </c>
      <c r="AI3672">
        <v>19.64</v>
      </c>
      <c r="AJ3672">
        <v>109.1</v>
      </c>
      <c r="AK3672">
        <v>0</v>
      </c>
      <c r="AL3672" t="s">
        <v>53</v>
      </c>
      <c r="AM3672" t="s">
        <v>53</v>
      </c>
      <c r="AN3672" t="s">
        <v>53</v>
      </c>
      <c r="AO3672" t="s">
        <v>53</v>
      </c>
      <c r="AP3672" t="s">
        <v>53</v>
      </c>
    </row>
    <row r="3673" spans="2:42" x14ac:dyDescent="0.2">
      <c r="B3673" t="s">
        <v>44</v>
      </c>
      <c r="C3673" t="str">
        <f>HYPERLINK("https://us2.cloudbeds.com/connect/8493803454333002#/reservations/53088281833648?display=14ZYUYES5R&amp;reservation_id=53088281833648", "14ZYUYES5R")</f>
        <v>14ZYUYES5R</v>
      </c>
      <c r="D3673" t="s">
        <v>45</v>
      </c>
      <c r="E3673" t="s">
        <v>92</v>
      </c>
      <c r="F3673" t="s">
        <v>86</v>
      </c>
      <c r="G3673" t="s">
        <v>48</v>
      </c>
      <c r="H3673" t="s">
        <v>49</v>
      </c>
      <c r="I3673" t="s">
        <v>50</v>
      </c>
      <c r="J3673" t="s">
        <v>5351</v>
      </c>
      <c r="K3673" t="s">
        <v>5185</v>
      </c>
      <c r="L3673" t="s">
        <v>53</v>
      </c>
      <c r="N3673" t="s">
        <v>6167</v>
      </c>
      <c r="P3673" t="s">
        <v>55</v>
      </c>
      <c r="R3673" t="s">
        <v>53</v>
      </c>
      <c r="T3673" t="s">
        <v>6168</v>
      </c>
      <c r="U3673" t="s">
        <v>58</v>
      </c>
      <c r="V3673">
        <v>1</v>
      </c>
      <c r="W3673">
        <v>1</v>
      </c>
      <c r="X3673">
        <v>4</v>
      </c>
      <c r="Y3673">
        <v>0</v>
      </c>
      <c r="Z3673">
        <v>4</v>
      </c>
      <c r="AA3673">
        <v>0</v>
      </c>
      <c r="AB3673">
        <v>109.1</v>
      </c>
      <c r="AC3673">
        <v>96</v>
      </c>
      <c r="AD3673">
        <v>0</v>
      </c>
      <c r="AE3673">
        <v>13.1</v>
      </c>
      <c r="AF3673">
        <v>0</v>
      </c>
      <c r="AG3673">
        <v>0</v>
      </c>
      <c r="AH3673">
        <v>0</v>
      </c>
      <c r="AI3673">
        <v>19.64</v>
      </c>
      <c r="AJ3673">
        <v>109.1</v>
      </c>
      <c r="AK3673">
        <v>0</v>
      </c>
      <c r="AL3673" t="s">
        <v>53</v>
      </c>
      <c r="AM3673" t="s">
        <v>53</v>
      </c>
      <c r="AN3673" t="s">
        <v>53</v>
      </c>
      <c r="AO3673" t="s">
        <v>53</v>
      </c>
      <c r="AP3673" t="s">
        <v>53</v>
      </c>
    </row>
    <row r="3674" spans="2:42" x14ac:dyDescent="0.2">
      <c r="B3674" t="s">
        <v>44</v>
      </c>
      <c r="C3674" t="str">
        <f>HYPERLINK("https://us2.cloudbeds.com/connect/8493803454333002#/reservations/53392237682856?display=14VQ9E2DU5&amp;reservation_id=53392237682856", "14VQ9E2DU5")</f>
        <v>14VQ9E2DU5</v>
      </c>
      <c r="D3674" t="s">
        <v>45</v>
      </c>
      <c r="E3674" t="s">
        <v>190</v>
      </c>
      <c r="F3674" t="s">
        <v>61</v>
      </c>
      <c r="G3674" t="s">
        <v>48</v>
      </c>
      <c r="H3674" t="s">
        <v>49</v>
      </c>
      <c r="I3674" t="s">
        <v>50</v>
      </c>
      <c r="J3674" t="s">
        <v>5554</v>
      </c>
      <c r="K3674" t="s">
        <v>5850</v>
      </c>
      <c r="L3674" t="s">
        <v>53</v>
      </c>
      <c r="N3674" t="s">
        <v>6169</v>
      </c>
      <c r="P3674" t="s">
        <v>55</v>
      </c>
      <c r="R3674" t="s">
        <v>53</v>
      </c>
      <c r="T3674" t="s">
        <v>6170</v>
      </c>
      <c r="U3674" t="s">
        <v>58</v>
      </c>
      <c r="V3674">
        <v>1</v>
      </c>
      <c r="W3674">
        <v>1</v>
      </c>
      <c r="X3674">
        <v>1</v>
      </c>
      <c r="Y3674">
        <v>0</v>
      </c>
      <c r="Z3674">
        <v>1</v>
      </c>
      <c r="AA3674">
        <v>0</v>
      </c>
      <c r="AB3674">
        <v>71.8</v>
      </c>
      <c r="AC3674">
        <v>63.18</v>
      </c>
      <c r="AD3674">
        <v>0</v>
      </c>
      <c r="AE3674">
        <v>8.6199999999999992</v>
      </c>
      <c r="AF3674">
        <v>0</v>
      </c>
      <c r="AG3674">
        <v>0</v>
      </c>
      <c r="AH3674">
        <v>0</v>
      </c>
      <c r="AI3674">
        <v>12.92</v>
      </c>
      <c r="AJ3674">
        <v>71.8</v>
      </c>
      <c r="AK3674">
        <v>0</v>
      </c>
      <c r="AL3674" t="s">
        <v>53</v>
      </c>
      <c r="AM3674" t="s">
        <v>53</v>
      </c>
      <c r="AN3674" t="s">
        <v>4361</v>
      </c>
      <c r="AO3674" t="s">
        <v>53</v>
      </c>
      <c r="AP3674" t="s">
        <v>53</v>
      </c>
    </row>
    <row r="3675" spans="2:42" x14ac:dyDescent="0.2">
      <c r="B3675" t="s">
        <v>44</v>
      </c>
      <c r="C3675" t="str">
        <f>HYPERLINK("https://us2.cloudbeds.com/connect/8493803454333002#/reservations/53421697724547?display=14WG36XGQ8&amp;reservation_id=53421697724547", "14WG36XGQ8")</f>
        <v>14WG36XGQ8</v>
      </c>
      <c r="D3675" t="s">
        <v>45</v>
      </c>
      <c r="E3675" t="s">
        <v>190</v>
      </c>
      <c r="F3675" t="s">
        <v>61</v>
      </c>
      <c r="G3675" t="s">
        <v>48</v>
      </c>
      <c r="H3675" t="s">
        <v>3957</v>
      </c>
      <c r="I3675" t="s">
        <v>3958</v>
      </c>
      <c r="J3675" t="s">
        <v>5825</v>
      </c>
      <c r="K3675" t="s">
        <v>5610</v>
      </c>
      <c r="L3675" t="s">
        <v>53</v>
      </c>
      <c r="P3675" t="s">
        <v>58</v>
      </c>
      <c r="R3675" t="s">
        <v>56</v>
      </c>
      <c r="T3675" t="s">
        <v>6171</v>
      </c>
      <c r="U3675" t="s">
        <v>58</v>
      </c>
      <c r="V3675">
        <v>1</v>
      </c>
      <c r="W3675">
        <v>1</v>
      </c>
      <c r="X3675">
        <v>1</v>
      </c>
      <c r="Y3675">
        <v>0</v>
      </c>
      <c r="Z3675">
        <v>1</v>
      </c>
      <c r="AA3675">
        <v>0</v>
      </c>
      <c r="AB3675">
        <v>119.68</v>
      </c>
      <c r="AC3675">
        <v>105.3</v>
      </c>
      <c r="AD3675">
        <v>0</v>
      </c>
      <c r="AE3675">
        <v>14.38</v>
      </c>
      <c r="AF3675">
        <v>0</v>
      </c>
      <c r="AG3675">
        <v>0</v>
      </c>
      <c r="AH3675">
        <v>0</v>
      </c>
      <c r="AI3675">
        <v>0</v>
      </c>
      <c r="AJ3675">
        <v>119.68</v>
      </c>
      <c r="AK3675">
        <v>0</v>
      </c>
      <c r="AL3675" t="s">
        <v>53</v>
      </c>
      <c r="AM3675" t="s">
        <v>53</v>
      </c>
      <c r="AN3675" t="s">
        <v>53</v>
      </c>
      <c r="AO3675" t="s">
        <v>53</v>
      </c>
      <c r="AP3675" t="s">
        <v>53</v>
      </c>
    </row>
    <row r="3676" spans="2:42" x14ac:dyDescent="0.2">
      <c r="B3676" t="s">
        <v>44</v>
      </c>
      <c r="C3676" t="str">
        <f>HYPERLINK("https://us2.cloudbeds.com/connect/8493803454333002#/reservations/53431420002447?display=14WNKKY7C2&amp;reservation_id=53431420002447", "14WNKKY7C2")</f>
        <v>14WNKKY7C2</v>
      </c>
      <c r="D3676" t="s">
        <v>45</v>
      </c>
      <c r="E3676" t="s">
        <v>113</v>
      </c>
      <c r="F3676" t="s">
        <v>61</v>
      </c>
      <c r="G3676" t="s">
        <v>48</v>
      </c>
      <c r="H3676" t="s">
        <v>49</v>
      </c>
      <c r="I3676" t="s">
        <v>50</v>
      </c>
      <c r="J3676" t="s">
        <v>5185</v>
      </c>
      <c r="K3676" t="s">
        <v>5648</v>
      </c>
      <c r="L3676" t="s">
        <v>53</v>
      </c>
      <c r="N3676" t="s">
        <v>6172</v>
      </c>
      <c r="P3676" t="s">
        <v>55</v>
      </c>
      <c r="R3676" t="s">
        <v>53</v>
      </c>
      <c r="T3676" t="s">
        <v>6173</v>
      </c>
      <c r="U3676" t="s">
        <v>58</v>
      </c>
      <c r="V3676">
        <v>2</v>
      </c>
      <c r="W3676">
        <v>1</v>
      </c>
      <c r="X3676">
        <v>2</v>
      </c>
      <c r="Y3676">
        <v>0</v>
      </c>
      <c r="Z3676">
        <v>2</v>
      </c>
      <c r="AA3676">
        <v>0</v>
      </c>
      <c r="AB3676">
        <v>153.44</v>
      </c>
      <c r="AC3676">
        <v>135</v>
      </c>
      <c r="AD3676">
        <v>0</v>
      </c>
      <c r="AE3676">
        <v>18.440000000000001</v>
      </c>
      <c r="AF3676">
        <v>0</v>
      </c>
      <c r="AG3676">
        <v>0</v>
      </c>
      <c r="AH3676">
        <v>0</v>
      </c>
      <c r="AI3676">
        <v>27.62</v>
      </c>
      <c r="AJ3676">
        <v>153.44</v>
      </c>
      <c r="AK3676">
        <v>0</v>
      </c>
      <c r="AL3676" t="s">
        <v>53</v>
      </c>
      <c r="AM3676" t="s">
        <v>53</v>
      </c>
      <c r="AN3676" t="s">
        <v>53</v>
      </c>
      <c r="AO3676" t="s">
        <v>53</v>
      </c>
      <c r="AP3676" t="s">
        <v>53</v>
      </c>
    </row>
    <row r="3677" spans="2:42" x14ac:dyDescent="0.2">
      <c r="B3677" t="s">
        <v>44</v>
      </c>
      <c r="C3677" t="str">
        <f>HYPERLINK("https://us2.cloudbeds.com/connect/8493803454333002#/reservations/53433381322917?display=14WP4ZFS8N&amp;reservation_id=53433381322917", "14WP4ZFS8N")</f>
        <v>14WP4ZFS8N</v>
      </c>
      <c r="D3677" t="s">
        <v>45</v>
      </c>
      <c r="E3677" t="s">
        <v>92</v>
      </c>
      <c r="F3677" t="s">
        <v>86</v>
      </c>
      <c r="G3677" t="s">
        <v>48</v>
      </c>
      <c r="H3677" t="s">
        <v>49</v>
      </c>
      <c r="I3677" t="s">
        <v>62</v>
      </c>
      <c r="J3677" t="s">
        <v>6019</v>
      </c>
      <c r="K3677" t="s">
        <v>5322</v>
      </c>
      <c r="L3677" t="s">
        <v>53</v>
      </c>
      <c r="N3677" t="s">
        <v>6174</v>
      </c>
      <c r="P3677" t="s">
        <v>55</v>
      </c>
      <c r="R3677" t="s">
        <v>56</v>
      </c>
      <c r="T3677" t="s">
        <v>6175</v>
      </c>
      <c r="U3677" t="s">
        <v>55</v>
      </c>
      <c r="V3677">
        <v>1</v>
      </c>
      <c r="W3677">
        <v>1</v>
      </c>
      <c r="X3677">
        <v>2</v>
      </c>
      <c r="Y3677">
        <v>0</v>
      </c>
      <c r="Z3677">
        <v>2</v>
      </c>
      <c r="AA3677">
        <v>0</v>
      </c>
      <c r="AB3677">
        <v>77</v>
      </c>
      <c r="AC3677">
        <v>77</v>
      </c>
      <c r="AD3677">
        <v>0</v>
      </c>
      <c r="AE3677">
        <v>0</v>
      </c>
      <c r="AF3677">
        <v>0</v>
      </c>
      <c r="AG3677">
        <v>0</v>
      </c>
      <c r="AH3677">
        <v>0</v>
      </c>
      <c r="AI3677">
        <v>13.86</v>
      </c>
      <c r="AJ3677">
        <v>77</v>
      </c>
      <c r="AK3677">
        <v>0</v>
      </c>
      <c r="AL3677" t="s">
        <v>53</v>
      </c>
      <c r="AM3677" t="s">
        <v>53</v>
      </c>
      <c r="AN3677" t="s">
        <v>53</v>
      </c>
      <c r="AO3677" t="s">
        <v>53</v>
      </c>
      <c r="AP3677" t="s">
        <v>53</v>
      </c>
    </row>
    <row r="3678" spans="2:42" x14ac:dyDescent="0.2">
      <c r="B3678" t="s">
        <v>44</v>
      </c>
      <c r="C3678" t="str">
        <f>HYPERLINK("https://us2.cloudbeds.com/connect/8493803454333002#/reservations/53436854669443?display=14WRRG9RRZ&amp;reservation_id=53436854669443", "14WRRG9RRZ")</f>
        <v>14WRRG9RRZ</v>
      </c>
      <c r="D3678" t="s">
        <v>45</v>
      </c>
      <c r="E3678" t="s">
        <v>190</v>
      </c>
      <c r="F3678" t="s">
        <v>61</v>
      </c>
      <c r="G3678" t="s">
        <v>48</v>
      </c>
      <c r="H3678" t="s">
        <v>3957</v>
      </c>
      <c r="I3678" t="s">
        <v>3975</v>
      </c>
      <c r="J3678" t="s">
        <v>5351</v>
      </c>
      <c r="K3678" t="s">
        <v>5185</v>
      </c>
      <c r="L3678" t="s">
        <v>53</v>
      </c>
      <c r="P3678" t="s">
        <v>55</v>
      </c>
      <c r="R3678" t="s">
        <v>56</v>
      </c>
      <c r="T3678" t="s">
        <v>6176</v>
      </c>
      <c r="U3678" t="s">
        <v>58</v>
      </c>
      <c r="V3678">
        <v>1</v>
      </c>
      <c r="W3678">
        <v>1</v>
      </c>
      <c r="X3678">
        <v>2</v>
      </c>
      <c r="Y3678">
        <v>0</v>
      </c>
      <c r="Z3678">
        <v>2</v>
      </c>
      <c r="AA3678">
        <v>0</v>
      </c>
      <c r="AB3678">
        <v>132.97</v>
      </c>
      <c r="AC3678">
        <v>117</v>
      </c>
      <c r="AD3678">
        <v>0</v>
      </c>
      <c r="AE3678">
        <v>15.97</v>
      </c>
      <c r="AF3678">
        <v>0</v>
      </c>
      <c r="AG3678">
        <v>0</v>
      </c>
      <c r="AH3678">
        <v>0</v>
      </c>
      <c r="AI3678">
        <v>0</v>
      </c>
      <c r="AJ3678">
        <v>132.97</v>
      </c>
      <c r="AK3678">
        <v>0</v>
      </c>
      <c r="AL3678" t="s">
        <v>53</v>
      </c>
      <c r="AM3678" t="s">
        <v>53</v>
      </c>
      <c r="AN3678" t="s">
        <v>53</v>
      </c>
      <c r="AO3678" t="s">
        <v>53</v>
      </c>
      <c r="AP3678" t="s">
        <v>53</v>
      </c>
    </row>
    <row r="3679" spans="2:42" x14ac:dyDescent="0.2">
      <c r="B3679" t="s">
        <v>44</v>
      </c>
      <c r="C3679" t="str">
        <f>HYPERLINK("https://us2.cloudbeds.com/connect/8493803454333002#/reservations/53439862821000?display=14WU5BS34H&amp;reservation_id=53439862821000", "14WU5BS34H")</f>
        <v>14WU5BS34H</v>
      </c>
      <c r="D3679" t="s">
        <v>45</v>
      </c>
      <c r="E3679" t="s">
        <v>305</v>
      </c>
      <c r="F3679" t="s">
        <v>61</v>
      </c>
      <c r="G3679" t="s">
        <v>48</v>
      </c>
      <c r="H3679" t="s">
        <v>49</v>
      </c>
      <c r="I3679" t="s">
        <v>62</v>
      </c>
      <c r="J3679" t="s">
        <v>5648</v>
      </c>
      <c r="K3679" t="s">
        <v>5381</v>
      </c>
      <c r="L3679" t="s">
        <v>53</v>
      </c>
      <c r="N3679" t="s">
        <v>6177</v>
      </c>
      <c r="P3679" t="s">
        <v>55</v>
      </c>
      <c r="R3679" t="s">
        <v>56</v>
      </c>
      <c r="T3679" t="s">
        <v>6178</v>
      </c>
      <c r="U3679" t="s">
        <v>55</v>
      </c>
      <c r="V3679">
        <v>1</v>
      </c>
      <c r="W3679">
        <v>1</v>
      </c>
      <c r="X3679">
        <v>2</v>
      </c>
      <c r="Y3679">
        <v>0</v>
      </c>
      <c r="Z3679">
        <v>2</v>
      </c>
      <c r="AA3679">
        <v>0</v>
      </c>
      <c r="AB3679">
        <v>76</v>
      </c>
      <c r="AC3679">
        <v>76</v>
      </c>
      <c r="AD3679">
        <v>0</v>
      </c>
      <c r="AE3679">
        <v>0</v>
      </c>
      <c r="AF3679">
        <v>0</v>
      </c>
      <c r="AG3679">
        <v>0</v>
      </c>
      <c r="AH3679">
        <v>0</v>
      </c>
      <c r="AI3679">
        <v>13.68</v>
      </c>
      <c r="AJ3679">
        <v>76</v>
      </c>
      <c r="AK3679">
        <v>0</v>
      </c>
      <c r="AL3679" t="s">
        <v>53</v>
      </c>
      <c r="AM3679" t="s">
        <v>53</v>
      </c>
      <c r="AN3679" t="s">
        <v>53</v>
      </c>
      <c r="AO3679" t="s">
        <v>53</v>
      </c>
      <c r="AP3679" t="s">
        <v>53</v>
      </c>
    </row>
    <row r="3680" spans="2:42" x14ac:dyDescent="0.2">
      <c r="B3680" t="s">
        <v>44</v>
      </c>
      <c r="C3680" t="str">
        <f>HYPERLINK("https://us2.cloudbeds.com/connect/8493803454333002#/reservations/53462503235808?display=150EMSS0CH&amp;reservation_id=53462503235808", "150EMSS0CH")</f>
        <v>150EMSS0CH</v>
      </c>
      <c r="D3680" t="s">
        <v>45</v>
      </c>
      <c r="E3680" t="s">
        <v>406</v>
      </c>
      <c r="F3680" t="s">
        <v>61</v>
      </c>
      <c r="G3680" t="s">
        <v>48</v>
      </c>
      <c r="H3680" t="s">
        <v>49</v>
      </c>
      <c r="I3680" t="s">
        <v>50</v>
      </c>
      <c r="J3680" t="s">
        <v>5351</v>
      </c>
      <c r="K3680" t="s">
        <v>5186</v>
      </c>
      <c r="L3680" t="s">
        <v>53</v>
      </c>
      <c r="N3680" t="s">
        <v>6179</v>
      </c>
      <c r="P3680" t="s">
        <v>55</v>
      </c>
      <c r="R3680" t="s">
        <v>53</v>
      </c>
      <c r="T3680" t="s">
        <v>6180</v>
      </c>
      <c r="U3680" t="s">
        <v>58</v>
      </c>
      <c r="V3680">
        <v>2</v>
      </c>
      <c r="W3680">
        <v>1</v>
      </c>
      <c r="X3680">
        <v>2</v>
      </c>
      <c r="Y3680">
        <v>0</v>
      </c>
      <c r="Z3680">
        <v>2</v>
      </c>
      <c r="AA3680">
        <v>0</v>
      </c>
      <c r="AB3680">
        <v>198.45</v>
      </c>
      <c r="AC3680">
        <v>174.6</v>
      </c>
      <c r="AD3680">
        <v>0</v>
      </c>
      <c r="AE3680">
        <v>23.85</v>
      </c>
      <c r="AF3680">
        <v>0</v>
      </c>
      <c r="AG3680">
        <v>0</v>
      </c>
      <c r="AH3680">
        <v>0</v>
      </c>
      <c r="AI3680">
        <v>35.72</v>
      </c>
      <c r="AJ3680">
        <v>198.45</v>
      </c>
      <c r="AK3680">
        <v>0</v>
      </c>
      <c r="AL3680" t="s">
        <v>53</v>
      </c>
      <c r="AM3680" t="s">
        <v>53</v>
      </c>
      <c r="AN3680" t="s">
        <v>53</v>
      </c>
      <c r="AO3680" t="s">
        <v>53</v>
      </c>
      <c r="AP3680" t="s">
        <v>53</v>
      </c>
    </row>
    <row r="3681" spans="2:42" x14ac:dyDescent="0.2">
      <c r="B3681" t="s">
        <v>44</v>
      </c>
      <c r="C3681" t="str">
        <f>HYPERLINK("https://us2.cloudbeds.com/connect/8493803454333002#/reservations/53507608768642?display=151GKE0VER&amp;reservation_id=53507608768642", "151GKE0VER")</f>
        <v>151GKE0VER</v>
      </c>
      <c r="D3681" t="s">
        <v>45</v>
      </c>
      <c r="E3681" t="s">
        <v>406</v>
      </c>
      <c r="F3681" t="s">
        <v>61</v>
      </c>
      <c r="G3681" t="s">
        <v>48</v>
      </c>
      <c r="H3681" t="s">
        <v>49</v>
      </c>
      <c r="I3681" t="s">
        <v>50</v>
      </c>
      <c r="J3681" t="s">
        <v>5825</v>
      </c>
      <c r="K3681" t="s">
        <v>5610</v>
      </c>
      <c r="L3681" t="s">
        <v>53</v>
      </c>
      <c r="N3681" t="s">
        <v>6181</v>
      </c>
      <c r="P3681" t="s">
        <v>55</v>
      </c>
      <c r="R3681" t="s">
        <v>53</v>
      </c>
      <c r="T3681" t="s">
        <v>6182</v>
      </c>
      <c r="U3681" t="s">
        <v>58</v>
      </c>
      <c r="V3681">
        <v>1</v>
      </c>
      <c r="W3681">
        <v>1</v>
      </c>
      <c r="X3681">
        <v>2</v>
      </c>
      <c r="Y3681">
        <v>0</v>
      </c>
      <c r="Z3681">
        <v>2</v>
      </c>
      <c r="AA3681">
        <v>0</v>
      </c>
      <c r="AB3681">
        <v>113.02</v>
      </c>
      <c r="AC3681">
        <v>99.45</v>
      </c>
      <c r="AD3681">
        <v>0</v>
      </c>
      <c r="AE3681">
        <v>13.57</v>
      </c>
      <c r="AF3681">
        <v>0</v>
      </c>
      <c r="AG3681">
        <v>0</v>
      </c>
      <c r="AH3681">
        <v>0</v>
      </c>
      <c r="AI3681">
        <v>20.34</v>
      </c>
      <c r="AJ3681">
        <v>113.02</v>
      </c>
      <c r="AK3681">
        <v>0</v>
      </c>
      <c r="AL3681" t="s">
        <v>53</v>
      </c>
      <c r="AM3681" t="s">
        <v>53</v>
      </c>
      <c r="AN3681" t="s">
        <v>53</v>
      </c>
      <c r="AO3681" t="s">
        <v>53</v>
      </c>
      <c r="AP3681" t="s">
        <v>53</v>
      </c>
    </row>
    <row r="3682" spans="2:42" x14ac:dyDescent="0.2">
      <c r="B3682" t="s">
        <v>44</v>
      </c>
      <c r="C3682" t="str">
        <f>HYPERLINK("https://us2.cloudbeds.com/connect/8493803454333002#/reservations/53511570206930?display=151JMYDQRA&amp;reservation_id=53511570206930", "151JMYDQRA")</f>
        <v>151JMYDQRA</v>
      </c>
      <c r="D3682" t="s">
        <v>45</v>
      </c>
      <c r="E3682" t="s">
        <v>190</v>
      </c>
      <c r="F3682" t="s">
        <v>61</v>
      </c>
      <c r="G3682" t="s">
        <v>48</v>
      </c>
      <c r="H3682" t="s">
        <v>49</v>
      </c>
      <c r="I3682" t="s">
        <v>62</v>
      </c>
      <c r="J3682" t="s">
        <v>5381</v>
      </c>
      <c r="K3682" t="s">
        <v>4724</v>
      </c>
      <c r="L3682" t="s">
        <v>53</v>
      </c>
      <c r="N3682" t="s">
        <v>6183</v>
      </c>
      <c r="P3682" t="s">
        <v>55</v>
      </c>
      <c r="R3682" t="s">
        <v>56</v>
      </c>
      <c r="T3682" t="s">
        <v>6184</v>
      </c>
      <c r="U3682" t="s">
        <v>55</v>
      </c>
      <c r="V3682">
        <v>1</v>
      </c>
      <c r="W3682">
        <v>1</v>
      </c>
      <c r="X3682">
        <v>2</v>
      </c>
      <c r="Y3682">
        <v>0</v>
      </c>
      <c r="Z3682">
        <v>2</v>
      </c>
      <c r="AA3682">
        <v>0</v>
      </c>
      <c r="AB3682">
        <v>69.3</v>
      </c>
      <c r="AC3682">
        <v>69.3</v>
      </c>
      <c r="AD3682">
        <v>0</v>
      </c>
      <c r="AE3682">
        <v>0</v>
      </c>
      <c r="AF3682">
        <v>0</v>
      </c>
      <c r="AG3682">
        <v>0</v>
      </c>
      <c r="AH3682">
        <v>0</v>
      </c>
      <c r="AI3682">
        <v>12.47</v>
      </c>
      <c r="AJ3682">
        <v>69.3</v>
      </c>
      <c r="AK3682">
        <v>0</v>
      </c>
      <c r="AL3682" t="s">
        <v>53</v>
      </c>
      <c r="AM3682" t="s">
        <v>53</v>
      </c>
      <c r="AN3682" t="s">
        <v>53</v>
      </c>
      <c r="AO3682" t="s">
        <v>53</v>
      </c>
      <c r="AP3682" t="s">
        <v>53</v>
      </c>
    </row>
    <row r="3683" spans="2:42" x14ac:dyDescent="0.2">
      <c r="B3683" t="s">
        <v>44</v>
      </c>
      <c r="C3683" t="str">
        <f>HYPERLINK("https://us2.cloudbeds.com/connect/8493803454333002#/reservations/53669466939559?display=1559V9453U&amp;reservation_id=53669466939559", "1559V9453U")</f>
        <v>1559V9453U</v>
      </c>
      <c r="D3683" t="s">
        <v>45</v>
      </c>
      <c r="E3683" t="s">
        <v>69</v>
      </c>
      <c r="F3683" t="s">
        <v>70</v>
      </c>
      <c r="G3683" t="s">
        <v>48</v>
      </c>
      <c r="H3683" t="s">
        <v>3957</v>
      </c>
      <c r="I3683" t="s">
        <v>3975</v>
      </c>
      <c r="J3683" t="s">
        <v>5610</v>
      </c>
      <c r="K3683" t="s">
        <v>5351</v>
      </c>
      <c r="L3683" t="s">
        <v>53</v>
      </c>
      <c r="P3683" t="s">
        <v>55</v>
      </c>
      <c r="R3683" t="s">
        <v>56</v>
      </c>
      <c r="T3683" t="s">
        <v>6185</v>
      </c>
      <c r="U3683" t="s">
        <v>58</v>
      </c>
      <c r="V3683">
        <v>1</v>
      </c>
      <c r="W3683">
        <v>1</v>
      </c>
      <c r="X3683">
        <v>1</v>
      </c>
      <c r="Y3683">
        <v>0</v>
      </c>
      <c r="Z3683">
        <v>1</v>
      </c>
      <c r="AA3683">
        <v>0</v>
      </c>
      <c r="AB3683">
        <v>125.02</v>
      </c>
      <c r="AC3683">
        <v>110</v>
      </c>
      <c r="AD3683">
        <v>0</v>
      </c>
      <c r="AE3683">
        <v>15.02</v>
      </c>
      <c r="AF3683">
        <v>0</v>
      </c>
      <c r="AG3683">
        <v>0</v>
      </c>
      <c r="AH3683">
        <v>0</v>
      </c>
      <c r="AI3683">
        <v>0</v>
      </c>
      <c r="AJ3683">
        <v>125.02</v>
      </c>
      <c r="AK3683">
        <v>0</v>
      </c>
      <c r="AL3683" t="s">
        <v>53</v>
      </c>
      <c r="AM3683" t="s">
        <v>53</v>
      </c>
      <c r="AN3683" t="s">
        <v>53</v>
      </c>
      <c r="AO3683" t="s">
        <v>53</v>
      </c>
      <c r="AP3683" t="s">
        <v>53</v>
      </c>
    </row>
    <row r="3684" spans="2:42" x14ac:dyDescent="0.2">
      <c r="B3684" t="s">
        <v>44</v>
      </c>
      <c r="C3684" t="str">
        <f>HYPERLINK("https://us2.cloudbeds.com/connect/8493803454333002#/reservations/53674228232353?display=155DKUW4QZ&amp;reservation_id=53674228232353", "155DKUW4QZ")</f>
        <v>155DKUW4QZ</v>
      </c>
      <c r="D3684" t="s">
        <v>45</v>
      </c>
      <c r="E3684" t="s">
        <v>78</v>
      </c>
      <c r="F3684" t="s">
        <v>61</v>
      </c>
      <c r="G3684" t="s">
        <v>48</v>
      </c>
      <c r="H3684" t="s">
        <v>49</v>
      </c>
      <c r="I3684" t="s">
        <v>50</v>
      </c>
      <c r="J3684" t="s">
        <v>5185</v>
      </c>
      <c r="K3684" t="s">
        <v>5186</v>
      </c>
      <c r="L3684" t="s">
        <v>53</v>
      </c>
      <c r="N3684" t="s">
        <v>6186</v>
      </c>
      <c r="P3684" t="s">
        <v>55</v>
      </c>
      <c r="R3684" t="s">
        <v>53</v>
      </c>
      <c r="T3684" t="s">
        <v>6187</v>
      </c>
      <c r="U3684" t="s">
        <v>58</v>
      </c>
      <c r="V3684">
        <v>1</v>
      </c>
      <c r="W3684">
        <v>1</v>
      </c>
      <c r="X3684">
        <v>2</v>
      </c>
      <c r="Y3684">
        <v>0</v>
      </c>
      <c r="Z3684">
        <v>2</v>
      </c>
      <c r="AA3684">
        <v>0</v>
      </c>
      <c r="AB3684">
        <v>74.39</v>
      </c>
      <c r="AC3684">
        <v>65.45</v>
      </c>
      <c r="AD3684">
        <v>0</v>
      </c>
      <c r="AE3684">
        <v>8.94</v>
      </c>
      <c r="AF3684">
        <v>0</v>
      </c>
      <c r="AG3684">
        <v>0</v>
      </c>
      <c r="AH3684">
        <v>0</v>
      </c>
      <c r="AI3684">
        <v>13.39</v>
      </c>
      <c r="AJ3684">
        <v>74.39</v>
      </c>
      <c r="AK3684">
        <v>0</v>
      </c>
      <c r="AL3684" t="s">
        <v>53</v>
      </c>
      <c r="AM3684" t="s">
        <v>53</v>
      </c>
      <c r="AN3684" t="s">
        <v>53</v>
      </c>
      <c r="AO3684" t="s">
        <v>53</v>
      </c>
      <c r="AP3684" t="s">
        <v>53</v>
      </c>
    </row>
    <row r="3685" spans="2:42" x14ac:dyDescent="0.2">
      <c r="B3685" t="s">
        <v>44</v>
      </c>
      <c r="C3685" t="str">
        <f>HYPERLINK("https://us2.cloudbeds.com/connect/8493803454333002#/reservations/53701277126809?display=1561J3AGZ3&amp;reservation_id=53701277126809", "1561J3AGZ3")</f>
        <v>1561J3AGZ3</v>
      </c>
      <c r="D3685" t="s">
        <v>45</v>
      </c>
      <c r="E3685" t="s">
        <v>105</v>
      </c>
      <c r="F3685" t="s">
        <v>47</v>
      </c>
      <c r="G3685" t="s">
        <v>48</v>
      </c>
      <c r="H3685" t="s">
        <v>49</v>
      </c>
      <c r="I3685" t="s">
        <v>50</v>
      </c>
      <c r="J3685" t="s">
        <v>5186</v>
      </c>
      <c r="K3685" t="s">
        <v>5648</v>
      </c>
      <c r="L3685" t="s">
        <v>53</v>
      </c>
      <c r="N3685" t="s">
        <v>6188</v>
      </c>
      <c r="P3685" t="s">
        <v>55</v>
      </c>
      <c r="R3685" t="s">
        <v>53</v>
      </c>
      <c r="T3685" t="s">
        <v>6189</v>
      </c>
      <c r="U3685" t="s">
        <v>58</v>
      </c>
      <c r="V3685">
        <v>1</v>
      </c>
      <c r="W3685">
        <v>1</v>
      </c>
      <c r="X3685">
        <v>2</v>
      </c>
      <c r="Y3685">
        <v>0</v>
      </c>
      <c r="Z3685">
        <v>2</v>
      </c>
      <c r="AA3685">
        <v>0</v>
      </c>
      <c r="AB3685">
        <v>66.650000000000006</v>
      </c>
      <c r="AC3685">
        <v>58.65</v>
      </c>
      <c r="AD3685">
        <v>0</v>
      </c>
      <c r="AE3685">
        <v>8</v>
      </c>
      <c r="AF3685">
        <v>0</v>
      </c>
      <c r="AG3685">
        <v>0</v>
      </c>
      <c r="AH3685">
        <v>0</v>
      </c>
      <c r="AI3685">
        <v>12</v>
      </c>
      <c r="AJ3685">
        <v>66.650000000000006</v>
      </c>
      <c r="AK3685">
        <v>0</v>
      </c>
      <c r="AL3685" t="s">
        <v>53</v>
      </c>
      <c r="AM3685" t="s">
        <v>53</v>
      </c>
      <c r="AN3685" t="s">
        <v>53</v>
      </c>
      <c r="AO3685" t="s">
        <v>53</v>
      </c>
      <c r="AP3685" t="s">
        <v>53</v>
      </c>
    </row>
    <row r="3686" spans="2:42" x14ac:dyDescent="0.2">
      <c r="B3686" t="s">
        <v>44</v>
      </c>
      <c r="C3686" t="str">
        <f>HYPERLINK("https://us2.cloudbeds.com/connect/8493803454333002#/reservations/53738482856076?display=156UCQ5PCH&amp;reservation_id=53738482856076", "156UCQ5PCH")</f>
        <v>156UCQ5PCH</v>
      </c>
      <c r="D3686" t="s">
        <v>45</v>
      </c>
      <c r="E3686" t="s">
        <v>165</v>
      </c>
      <c r="F3686" t="s">
        <v>61</v>
      </c>
      <c r="G3686" t="s">
        <v>48</v>
      </c>
      <c r="H3686" t="s">
        <v>3957</v>
      </c>
      <c r="I3686" t="s">
        <v>3958</v>
      </c>
      <c r="J3686" t="s">
        <v>5610</v>
      </c>
      <c r="K3686" t="s">
        <v>5185</v>
      </c>
      <c r="L3686" t="s">
        <v>53</v>
      </c>
      <c r="P3686" t="s">
        <v>55</v>
      </c>
      <c r="R3686" t="s">
        <v>56</v>
      </c>
      <c r="T3686" t="s">
        <v>6190</v>
      </c>
      <c r="U3686" t="s">
        <v>58</v>
      </c>
      <c r="V3686">
        <v>2</v>
      </c>
      <c r="W3686">
        <v>1</v>
      </c>
      <c r="X3686">
        <v>1</v>
      </c>
      <c r="Y3686">
        <v>0</v>
      </c>
      <c r="Z3686">
        <v>1</v>
      </c>
      <c r="AA3686">
        <v>0</v>
      </c>
      <c r="AB3686">
        <v>269.36</v>
      </c>
      <c r="AC3686">
        <v>237</v>
      </c>
      <c r="AD3686">
        <v>0</v>
      </c>
      <c r="AE3686">
        <v>32.36</v>
      </c>
      <c r="AF3686">
        <v>0</v>
      </c>
      <c r="AG3686">
        <v>0</v>
      </c>
      <c r="AH3686">
        <v>0</v>
      </c>
      <c r="AI3686">
        <v>0</v>
      </c>
      <c r="AJ3686">
        <v>269.36</v>
      </c>
      <c r="AK3686">
        <v>0</v>
      </c>
      <c r="AL3686" t="s">
        <v>53</v>
      </c>
      <c r="AM3686" t="s">
        <v>53</v>
      </c>
      <c r="AN3686" t="s">
        <v>53</v>
      </c>
      <c r="AO3686" t="s">
        <v>53</v>
      </c>
      <c r="AP3686" t="s">
        <v>53</v>
      </c>
    </row>
    <row r="3687" spans="2:42" x14ac:dyDescent="0.2">
      <c r="B3687" t="s">
        <v>44</v>
      </c>
      <c r="C3687" t="str">
        <f>HYPERLINK("https://us2.cloudbeds.com/connect/8493803454333002#/reservations/53742877577344?display=1570C6UP0D&amp;reservation_id=53742877577344", "1570C6UP0D")</f>
        <v>1570C6UP0D</v>
      </c>
      <c r="D3687" t="s">
        <v>45</v>
      </c>
      <c r="E3687" t="s">
        <v>92</v>
      </c>
      <c r="F3687" t="s">
        <v>86</v>
      </c>
      <c r="G3687" t="s">
        <v>48</v>
      </c>
      <c r="H3687" t="s">
        <v>49</v>
      </c>
      <c r="I3687" t="s">
        <v>50</v>
      </c>
      <c r="J3687" t="s">
        <v>5186</v>
      </c>
      <c r="K3687" t="s">
        <v>5381</v>
      </c>
      <c r="L3687" t="s">
        <v>53</v>
      </c>
      <c r="N3687" t="s">
        <v>6191</v>
      </c>
      <c r="P3687" t="s">
        <v>55</v>
      </c>
      <c r="R3687" t="s">
        <v>56</v>
      </c>
      <c r="T3687" t="s">
        <v>6192</v>
      </c>
      <c r="U3687" t="s">
        <v>58</v>
      </c>
      <c r="V3687">
        <v>2</v>
      </c>
      <c r="W3687">
        <v>1</v>
      </c>
      <c r="X3687">
        <v>2</v>
      </c>
      <c r="Y3687">
        <v>0</v>
      </c>
      <c r="Z3687">
        <v>2</v>
      </c>
      <c r="AA3687">
        <v>0</v>
      </c>
      <c r="AB3687">
        <v>156.51</v>
      </c>
      <c r="AC3687">
        <v>137.69999999999999</v>
      </c>
      <c r="AD3687">
        <v>0</v>
      </c>
      <c r="AE3687">
        <v>18.809999999999999</v>
      </c>
      <c r="AF3687">
        <v>0</v>
      </c>
      <c r="AG3687">
        <v>0</v>
      </c>
      <c r="AH3687">
        <v>0</v>
      </c>
      <c r="AI3687">
        <v>28.17</v>
      </c>
      <c r="AJ3687">
        <v>156.51</v>
      </c>
      <c r="AK3687">
        <v>0</v>
      </c>
      <c r="AL3687" t="s">
        <v>53</v>
      </c>
      <c r="AM3687" t="s">
        <v>53</v>
      </c>
      <c r="AN3687" t="s">
        <v>53</v>
      </c>
      <c r="AO3687" t="s">
        <v>53</v>
      </c>
      <c r="AP3687" t="s">
        <v>53</v>
      </c>
    </row>
    <row r="3688" spans="2:42" x14ac:dyDescent="0.2">
      <c r="B3688" t="s">
        <v>44</v>
      </c>
      <c r="C3688" t="str">
        <f>HYPERLINK("https://us2.cloudbeds.com/connect/8493803454333002#/reservations/53763480223893?display=157GZHKCEW&amp;reservation_id=53763480223893", "157GZHKCEW")</f>
        <v>157GZHKCEW</v>
      </c>
      <c r="D3688" t="s">
        <v>602</v>
      </c>
      <c r="E3688" t="s">
        <v>53</v>
      </c>
      <c r="F3688" t="s">
        <v>61</v>
      </c>
      <c r="G3688" t="s">
        <v>48</v>
      </c>
      <c r="H3688" t="s">
        <v>49</v>
      </c>
      <c r="I3688" t="s">
        <v>50</v>
      </c>
      <c r="J3688" t="s">
        <v>5648</v>
      </c>
      <c r="K3688" t="s">
        <v>4724</v>
      </c>
      <c r="L3688" t="s">
        <v>53</v>
      </c>
      <c r="N3688" t="s">
        <v>6193</v>
      </c>
      <c r="P3688" t="s">
        <v>55</v>
      </c>
      <c r="R3688" t="s">
        <v>53</v>
      </c>
      <c r="T3688" t="s">
        <v>6194</v>
      </c>
      <c r="U3688" t="s">
        <v>58</v>
      </c>
      <c r="V3688">
        <v>2</v>
      </c>
      <c r="W3688">
        <v>1</v>
      </c>
      <c r="X3688">
        <v>1</v>
      </c>
      <c r="Y3688">
        <v>0</v>
      </c>
      <c r="Z3688">
        <v>1</v>
      </c>
      <c r="AA3688">
        <v>0</v>
      </c>
      <c r="AB3688">
        <v>0</v>
      </c>
      <c r="AC3688">
        <v>0</v>
      </c>
      <c r="AD3688">
        <v>0</v>
      </c>
      <c r="AE3688">
        <v>0</v>
      </c>
      <c r="AF3688">
        <v>0</v>
      </c>
      <c r="AG3688">
        <v>0</v>
      </c>
      <c r="AH3688">
        <v>0</v>
      </c>
      <c r="AI3688">
        <v>29.28</v>
      </c>
      <c r="AJ3688">
        <v>0</v>
      </c>
      <c r="AK3688">
        <v>0</v>
      </c>
      <c r="AL3688">
        <v>143.1</v>
      </c>
      <c r="AM3688">
        <v>162.63999999999999</v>
      </c>
      <c r="AN3688" t="s">
        <v>6195</v>
      </c>
      <c r="AO3688" t="s">
        <v>53</v>
      </c>
      <c r="AP3688" t="s">
        <v>53</v>
      </c>
    </row>
    <row r="3689" spans="2:42" x14ac:dyDescent="0.2">
      <c r="B3689" t="s">
        <v>44</v>
      </c>
      <c r="C3689" t="str">
        <f>HYPERLINK("https://us2.cloudbeds.com/connect/8493803454333002#/reservations/53765420204207?display=157X83F687&amp;reservation_id=53765420204207", "157X83F687")</f>
        <v>157X83F687</v>
      </c>
      <c r="D3689" t="s">
        <v>602</v>
      </c>
      <c r="E3689" t="s">
        <v>53</v>
      </c>
      <c r="F3689" t="s">
        <v>61</v>
      </c>
      <c r="G3689" t="s">
        <v>48</v>
      </c>
      <c r="H3689" t="s">
        <v>49</v>
      </c>
      <c r="I3689" t="s">
        <v>50</v>
      </c>
      <c r="J3689" t="s">
        <v>5648</v>
      </c>
      <c r="K3689" t="s">
        <v>4724</v>
      </c>
      <c r="L3689" t="s">
        <v>53</v>
      </c>
      <c r="N3689" t="s">
        <v>6196</v>
      </c>
      <c r="P3689" t="s">
        <v>55</v>
      </c>
      <c r="R3689" t="s">
        <v>53</v>
      </c>
      <c r="T3689" t="s">
        <v>6197</v>
      </c>
      <c r="U3689" t="s">
        <v>58</v>
      </c>
      <c r="V3689">
        <v>2</v>
      </c>
      <c r="W3689">
        <v>1</v>
      </c>
      <c r="X3689">
        <v>2</v>
      </c>
      <c r="Y3689">
        <v>0</v>
      </c>
      <c r="Z3689">
        <v>2</v>
      </c>
      <c r="AA3689">
        <v>0</v>
      </c>
      <c r="AB3689">
        <v>0</v>
      </c>
      <c r="AC3689">
        <v>0</v>
      </c>
      <c r="AD3689">
        <v>0</v>
      </c>
      <c r="AE3689">
        <v>0</v>
      </c>
      <c r="AF3689">
        <v>0</v>
      </c>
      <c r="AG3689">
        <v>0</v>
      </c>
      <c r="AH3689">
        <v>0</v>
      </c>
      <c r="AI3689">
        <v>29.28</v>
      </c>
      <c r="AJ3689">
        <v>0</v>
      </c>
      <c r="AK3689">
        <v>0</v>
      </c>
      <c r="AL3689">
        <v>143.1</v>
      </c>
      <c r="AM3689">
        <v>162.63999999999999</v>
      </c>
      <c r="AN3689" t="s">
        <v>6195</v>
      </c>
      <c r="AO3689" t="s">
        <v>53</v>
      </c>
      <c r="AP3689" t="s">
        <v>53</v>
      </c>
    </row>
    <row r="3690" spans="2:42" x14ac:dyDescent="0.2">
      <c r="B3690" t="s">
        <v>44</v>
      </c>
      <c r="C3690" t="str">
        <f>HYPERLINK("https://us2.cloudbeds.com/connect/8493803454333002#/reservations/53795927179474?display=1588SKZZY6&amp;reservation_id=53795927179474", "1588SKZZY6")</f>
        <v>1588SKZZY6</v>
      </c>
      <c r="D3690" t="s">
        <v>45</v>
      </c>
      <c r="E3690" t="s">
        <v>265</v>
      </c>
      <c r="F3690" t="s">
        <v>61</v>
      </c>
      <c r="G3690" t="s">
        <v>48</v>
      </c>
      <c r="H3690" t="s">
        <v>49</v>
      </c>
      <c r="I3690" t="s">
        <v>50</v>
      </c>
      <c r="J3690" t="s">
        <v>5825</v>
      </c>
      <c r="K3690" t="s">
        <v>5610</v>
      </c>
      <c r="L3690" t="s">
        <v>53</v>
      </c>
      <c r="N3690" t="s">
        <v>6198</v>
      </c>
      <c r="P3690" t="s">
        <v>55</v>
      </c>
      <c r="R3690" t="s">
        <v>53</v>
      </c>
      <c r="T3690" t="s">
        <v>6199</v>
      </c>
      <c r="U3690" t="s">
        <v>58</v>
      </c>
      <c r="V3690">
        <v>1</v>
      </c>
      <c r="W3690">
        <v>1</v>
      </c>
      <c r="X3690">
        <v>2</v>
      </c>
      <c r="Y3690">
        <v>0</v>
      </c>
      <c r="Z3690">
        <v>2</v>
      </c>
      <c r="AA3690">
        <v>0</v>
      </c>
      <c r="AB3690">
        <v>114</v>
      </c>
      <c r="AC3690">
        <v>100.3</v>
      </c>
      <c r="AD3690">
        <v>0</v>
      </c>
      <c r="AE3690">
        <v>13.7</v>
      </c>
      <c r="AF3690">
        <v>0</v>
      </c>
      <c r="AG3690">
        <v>0</v>
      </c>
      <c r="AH3690">
        <v>0</v>
      </c>
      <c r="AI3690">
        <v>20.52</v>
      </c>
      <c r="AJ3690">
        <v>114</v>
      </c>
      <c r="AK3690">
        <v>0</v>
      </c>
      <c r="AL3690" t="s">
        <v>53</v>
      </c>
      <c r="AM3690" t="s">
        <v>53</v>
      </c>
      <c r="AN3690" t="s">
        <v>53</v>
      </c>
      <c r="AO3690" t="s">
        <v>53</v>
      </c>
      <c r="AP3690" t="s">
        <v>53</v>
      </c>
    </row>
    <row r="3691" spans="2:42" x14ac:dyDescent="0.2">
      <c r="B3691" t="s">
        <v>44</v>
      </c>
      <c r="C3691" t="str">
        <f>HYPERLINK("https://us2.cloudbeds.com/connect/8493803454333002#/reservations/53802728685731?display=158E4DVMJD&amp;reservation_id=53802728685731", "158E4DVMJD")</f>
        <v>158E4DVMJD</v>
      </c>
      <c r="D3691" t="s">
        <v>45</v>
      </c>
      <c r="E3691" t="s">
        <v>487</v>
      </c>
      <c r="F3691" t="s">
        <v>61</v>
      </c>
      <c r="G3691" t="s">
        <v>48</v>
      </c>
      <c r="H3691" t="s">
        <v>49</v>
      </c>
      <c r="I3691" t="s">
        <v>50</v>
      </c>
      <c r="J3691" t="s">
        <v>5322</v>
      </c>
      <c r="K3691" t="s">
        <v>5555</v>
      </c>
      <c r="L3691" t="s">
        <v>53</v>
      </c>
      <c r="N3691" t="s">
        <v>6200</v>
      </c>
      <c r="P3691" t="s">
        <v>55</v>
      </c>
      <c r="R3691" t="s">
        <v>53</v>
      </c>
      <c r="T3691" t="s">
        <v>6201</v>
      </c>
      <c r="U3691" t="s">
        <v>58</v>
      </c>
      <c r="V3691">
        <v>3</v>
      </c>
      <c r="W3691">
        <v>1</v>
      </c>
      <c r="X3691">
        <v>1</v>
      </c>
      <c r="Y3691">
        <v>0</v>
      </c>
      <c r="Z3691">
        <v>1</v>
      </c>
      <c r="AA3691">
        <v>0</v>
      </c>
      <c r="AB3691">
        <v>229.13</v>
      </c>
      <c r="AC3691">
        <v>201.6</v>
      </c>
      <c r="AD3691">
        <v>0</v>
      </c>
      <c r="AE3691">
        <v>27.53</v>
      </c>
      <c r="AF3691">
        <v>0</v>
      </c>
      <c r="AG3691">
        <v>0</v>
      </c>
      <c r="AH3691">
        <v>0</v>
      </c>
      <c r="AI3691">
        <v>41.24</v>
      </c>
      <c r="AJ3691">
        <v>229.13</v>
      </c>
      <c r="AK3691">
        <v>0</v>
      </c>
      <c r="AL3691" t="s">
        <v>53</v>
      </c>
      <c r="AM3691" t="s">
        <v>53</v>
      </c>
      <c r="AN3691" t="s">
        <v>53</v>
      </c>
      <c r="AO3691" t="s">
        <v>53</v>
      </c>
      <c r="AP3691" t="s">
        <v>53</v>
      </c>
    </row>
    <row r="3692" spans="2:42" x14ac:dyDescent="0.2">
      <c r="B3692" t="s">
        <v>44</v>
      </c>
      <c r="C3692" t="str">
        <f>HYPERLINK("https://us2.cloudbeds.com/connect/8493803454333002#/reservations/53862923870434?display=159RZX4E9X&amp;reservation_id=53862923870434", "159RZX4E9X")</f>
        <v>159RZX4E9X</v>
      </c>
      <c r="D3692" t="s">
        <v>45</v>
      </c>
      <c r="E3692" t="s">
        <v>110</v>
      </c>
      <c r="F3692" t="s">
        <v>47</v>
      </c>
      <c r="G3692" t="s">
        <v>48</v>
      </c>
      <c r="H3692" t="s">
        <v>49</v>
      </c>
      <c r="I3692" t="s">
        <v>62</v>
      </c>
      <c r="J3692" t="s">
        <v>5825</v>
      </c>
      <c r="K3692" t="s">
        <v>5351</v>
      </c>
      <c r="L3692" t="s">
        <v>53</v>
      </c>
      <c r="N3692" t="s">
        <v>6202</v>
      </c>
      <c r="P3692" t="s">
        <v>55</v>
      </c>
      <c r="R3692" t="s">
        <v>56</v>
      </c>
      <c r="T3692" t="s">
        <v>6203</v>
      </c>
      <c r="U3692" t="s">
        <v>55</v>
      </c>
      <c r="V3692">
        <v>2</v>
      </c>
      <c r="W3692">
        <v>1</v>
      </c>
      <c r="X3692">
        <v>2</v>
      </c>
      <c r="Y3692">
        <v>0</v>
      </c>
      <c r="Z3692">
        <v>2</v>
      </c>
      <c r="AA3692">
        <v>0</v>
      </c>
      <c r="AB3692">
        <v>239</v>
      </c>
      <c r="AC3692">
        <v>239</v>
      </c>
      <c r="AD3692">
        <v>0</v>
      </c>
      <c r="AE3692">
        <v>0</v>
      </c>
      <c r="AF3692">
        <v>0</v>
      </c>
      <c r="AG3692">
        <v>0</v>
      </c>
      <c r="AH3692">
        <v>0</v>
      </c>
      <c r="AI3692">
        <v>43.02</v>
      </c>
      <c r="AJ3692">
        <v>239</v>
      </c>
      <c r="AK3692">
        <v>0</v>
      </c>
      <c r="AL3692" t="s">
        <v>53</v>
      </c>
      <c r="AM3692" t="s">
        <v>53</v>
      </c>
      <c r="AN3692" t="s">
        <v>53</v>
      </c>
      <c r="AO3692" t="s">
        <v>53</v>
      </c>
      <c r="AP3692" t="s">
        <v>53</v>
      </c>
    </row>
    <row r="3693" spans="2:42" x14ac:dyDescent="0.2">
      <c r="B3693" t="s">
        <v>44</v>
      </c>
      <c r="C3693" t="str">
        <f>HYPERLINK("https://us2.cloudbeds.com/connect/8493803454333002#/reservations/53874488152271?display=15A3N1EKHG&amp;reservation_id=53874488152271", "15A3N1EKHG")</f>
        <v>15A3N1EKHG</v>
      </c>
      <c r="D3693" t="s">
        <v>45</v>
      </c>
      <c r="E3693" t="s">
        <v>6204</v>
      </c>
      <c r="F3693" t="s">
        <v>5444</v>
      </c>
      <c r="G3693" t="s">
        <v>48</v>
      </c>
      <c r="H3693" t="s">
        <v>49</v>
      </c>
      <c r="I3693" t="s">
        <v>62</v>
      </c>
      <c r="J3693" t="s">
        <v>4725</v>
      </c>
      <c r="K3693" t="s">
        <v>5850</v>
      </c>
      <c r="L3693" t="s">
        <v>53</v>
      </c>
      <c r="N3693" t="s">
        <v>6205</v>
      </c>
      <c r="P3693" t="s">
        <v>55</v>
      </c>
      <c r="R3693" t="s">
        <v>56</v>
      </c>
      <c r="T3693" t="s">
        <v>6206</v>
      </c>
      <c r="U3693" t="s">
        <v>55</v>
      </c>
      <c r="V3693">
        <v>8</v>
      </c>
      <c r="W3693">
        <v>2</v>
      </c>
      <c r="X3693">
        <v>4</v>
      </c>
      <c r="Y3693">
        <v>0</v>
      </c>
      <c r="Z3693">
        <v>4</v>
      </c>
      <c r="AA3693">
        <v>0</v>
      </c>
      <c r="AB3693">
        <v>513</v>
      </c>
      <c r="AC3693">
        <v>513</v>
      </c>
      <c r="AD3693">
        <v>0</v>
      </c>
      <c r="AE3693">
        <v>0</v>
      </c>
      <c r="AF3693">
        <v>0</v>
      </c>
      <c r="AG3693">
        <v>0</v>
      </c>
      <c r="AH3693">
        <v>0</v>
      </c>
      <c r="AI3693">
        <v>92.34</v>
      </c>
      <c r="AJ3693">
        <v>513</v>
      </c>
      <c r="AK3693">
        <v>0</v>
      </c>
      <c r="AL3693" t="s">
        <v>53</v>
      </c>
      <c r="AM3693" t="s">
        <v>53</v>
      </c>
      <c r="AN3693" t="s">
        <v>53</v>
      </c>
      <c r="AO3693" t="s">
        <v>53</v>
      </c>
      <c r="AP3693" t="s">
        <v>53</v>
      </c>
    </row>
    <row r="3694" spans="2:42" x14ac:dyDescent="0.2">
      <c r="B3694" t="s">
        <v>44</v>
      </c>
      <c r="C3694" t="str">
        <f>HYPERLINK("https://us2.cloudbeds.com/connect/8493803454333002#/reservations/53888335077525?display=15AEDSHZ22&amp;reservation_id=53888335077525", "15AEDSHZ22")</f>
        <v>15AEDSHZ22</v>
      </c>
      <c r="D3694" t="s">
        <v>602</v>
      </c>
      <c r="E3694" t="s">
        <v>53</v>
      </c>
      <c r="F3694" t="s">
        <v>70</v>
      </c>
      <c r="G3694" t="s">
        <v>48</v>
      </c>
      <c r="H3694" t="s">
        <v>49</v>
      </c>
      <c r="I3694" t="s">
        <v>50</v>
      </c>
      <c r="J3694" t="s">
        <v>5555</v>
      </c>
      <c r="K3694" t="s">
        <v>6059</v>
      </c>
      <c r="L3694" t="s">
        <v>53</v>
      </c>
      <c r="N3694" t="s">
        <v>6207</v>
      </c>
      <c r="P3694" t="s">
        <v>55</v>
      </c>
      <c r="R3694" t="s">
        <v>53</v>
      </c>
      <c r="T3694" t="s">
        <v>6208</v>
      </c>
      <c r="U3694" t="s">
        <v>58</v>
      </c>
      <c r="V3694">
        <v>1</v>
      </c>
      <c r="W3694">
        <v>1</v>
      </c>
      <c r="X3694">
        <v>2</v>
      </c>
      <c r="Y3694">
        <v>0</v>
      </c>
      <c r="Z3694">
        <v>2</v>
      </c>
      <c r="AA3694">
        <v>0</v>
      </c>
      <c r="AB3694">
        <v>0</v>
      </c>
      <c r="AC3694">
        <v>0</v>
      </c>
      <c r="AD3694">
        <v>0</v>
      </c>
      <c r="AE3694">
        <v>0</v>
      </c>
      <c r="AF3694">
        <v>0</v>
      </c>
      <c r="AG3694">
        <v>0</v>
      </c>
      <c r="AH3694">
        <v>0</v>
      </c>
      <c r="AI3694">
        <v>10.44</v>
      </c>
      <c r="AJ3694">
        <v>0</v>
      </c>
      <c r="AK3694">
        <v>0</v>
      </c>
      <c r="AL3694">
        <v>51.03</v>
      </c>
      <c r="AM3694">
        <v>58</v>
      </c>
      <c r="AN3694" t="s">
        <v>53</v>
      </c>
      <c r="AO3694" t="s">
        <v>53</v>
      </c>
      <c r="AP3694" t="s">
        <v>53</v>
      </c>
    </row>
    <row r="3695" spans="2:42" x14ac:dyDescent="0.2">
      <c r="B3695" t="s">
        <v>44</v>
      </c>
      <c r="C3695" t="str">
        <f>HYPERLINK("https://us2.cloudbeds.com/connect/8493803454333002#/reservations/54045330428124?display=15E3WF5PWN&amp;reservation_id=54045330428124", "15E3WF5PWN")</f>
        <v>15E3WF5PWN</v>
      </c>
      <c r="D3695" t="s">
        <v>45</v>
      </c>
      <c r="E3695" t="s">
        <v>190</v>
      </c>
      <c r="F3695" t="s">
        <v>61</v>
      </c>
      <c r="G3695" t="s">
        <v>48</v>
      </c>
      <c r="H3695" t="s">
        <v>49</v>
      </c>
      <c r="I3695" t="s">
        <v>50</v>
      </c>
      <c r="J3695" t="s">
        <v>5610</v>
      </c>
      <c r="K3695" t="s">
        <v>5351</v>
      </c>
      <c r="L3695" t="s">
        <v>53</v>
      </c>
      <c r="N3695" t="s">
        <v>6209</v>
      </c>
      <c r="P3695" t="s">
        <v>55</v>
      </c>
      <c r="R3695" t="s">
        <v>53</v>
      </c>
      <c r="T3695" t="s">
        <v>6210</v>
      </c>
      <c r="U3695" t="s">
        <v>58</v>
      </c>
      <c r="V3695">
        <v>1</v>
      </c>
      <c r="W3695">
        <v>1</v>
      </c>
      <c r="X3695">
        <v>2</v>
      </c>
      <c r="Y3695">
        <v>0</v>
      </c>
      <c r="Z3695">
        <v>2</v>
      </c>
      <c r="AA3695">
        <v>0</v>
      </c>
      <c r="AB3695">
        <v>131.83000000000001</v>
      </c>
      <c r="AC3695">
        <v>116</v>
      </c>
      <c r="AD3695">
        <v>0</v>
      </c>
      <c r="AE3695">
        <v>15.83</v>
      </c>
      <c r="AF3695">
        <v>0</v>
      </c>
      <c r="AG3695">
        <v>0</v>
      </c>
      <c r="AH3695">
        <v>0</v>
      </c>
      <c r="AI3695">
        <v>23.73</v>
      </c>
      <c r="AJ3695">
        <v>131.83000000000001</v>
      </c>
      <c r="AK3695">
        <v>0</v>
      </c>
      <c r="AL3695" t="s">
        <v>53</v>
      </c>
      <c r="AM3695" t="s">
        <v>53</v>
      </c>
      <c r="AN3695" t="s">
        <v>53</v>
      </c>
      <c r="AO3695" t="s">
        <v>53</v>
      </c>
      <c r="AP3695" t="s">
        <v>53</v>
      </c>
    </row>
    <row r="3696" spans="2:42" x14ac:dyDescent="0.2">
      <c r="B3696" t="s">
        <v>44</v>
      </c>
      <c r="C3696" t="str">
        <f>HYPERLINK("https://us2.cloudbeds.com/connect/8493803454333002#/reservations/54058112594067?display=15EDT2ED3K&amp;reservation_id=54058112594067", "15EDT2ED3K")</f>
        <v>15EDT2ED3K</v>
      </c>
      <c r="D3696" t="s">
        <v>45</v>
      </c>
      <c r="E3696" t="s">
        <v>110</v>
      </c>
      <c r="F3696" t="s">
        <v>47</v>
      </c>
      <c r="G3696" t="s">
        <v>5320</v>
      </c>
      <c r="H3696" t="s">
        <v>3957</v>
      </c>
      <c r="I3696" t="s">
        <v>3975</v>
      </c>
      <c r="J3696" t="s">
        <v>5185</v>
      </c>
      <c r="K3696" t="s">
        <v>5321</v>
      </c>
      <c r="L3696" t="s">
        <v>53</v>
      </c>
      <c r="P3696" t="s">
        <v>58</v>
      </c>
      <c r="R3696" t="s">
        <v>56</v>
      </c>
      <c r="T3696" t="s">
        <v>6211</v>
      </c>
      <c r="U3696" t="s">
        <v>58</v>
      </c>
      <c r="V3696">
        <v>5</v>
      </c>
      <c r="W3696">
        <v>1</v>
      </c>
      <c r="X3696">
        <v>2</v>
      </c>
      <c r="Y3696">
        <v>0</v>
      </c>
      <c r="Z3696">
        <v>2</v>
      </c>
      <c r="AA3696">
        <v>0</v>
      </c>
      <c r="AB3696">
        <v>326.47000000000003</v>
      </c>
      <c r="AC3696">
        <v>287.25</v>
      </c>
      <c r="AD3696">
        <v>0</v>
      </c>
      <c r="AE3696">
        <v>39.22</v>
      </c>
      <c r="AF3696">
        <v>0</v>
      </c>
      <c r="AG3696">
        <v>0</v>
      </c>
      <c r="AH3696">
        <v>0</v>
      </c>
      <c r="AI3696">
        <v>0</v>
      </c>
      <c r="AJ3696">
        <v>326.47000000000003</v>
      </c>
      <c r="AK3696">
        <v>0</v>
      </c>
      <c r="AL3696" t="s">
        <v>53</v>
      </c>
      <c r="AM3696" t="s">
        <v>53</v>
      </c>
      <c r="AN3696" t="s">
        <v>53</v>
      </c>
      <c r="AO3696" t="s">
        <v>53</v>
      </c>
      <c r="AP3696" t="s">
        <v>53</v>
      </c>
    </row>
    <row r="3697" spans="2:42" x14ac:dyDescent="0.2">
      <c r="B3697" t="s">
        <v>44</v>
      </c>
      <c r="C3697" t="str">
        <f>HYPERLINK("https://us2.cloudbeds.com/connect/8493803454333002#/reservations/54084173406425?display=15F11WJU97&amp;reservation_id=54084173406425", "15F11WJU97")</f>
        <v>15F11WJU97</v>
      </c>
      <c r="D3697" t="s">
        <v>45</v>
      </c>
      <c r="E3697" t="s">
        <v>128</v>
      </c>
      <c r="F3697" t="s">
        <v>86</v>
      </c>
      <c r="G3697" t="s">
        <v>48</v>
      </c>
      <c r="H3697" t="s">
        <v>49</v>
      </c>
      <c r="I3697" t="s">
        <v>62</v>
      </c>
      <c r="J3697" t="s">
        <v>5186</v>
      </c>
      <c r="K3697" t="s">
        <v>5648</v>
      </c>
      <c r="L3697" t="s">
        <v>53</v>
      </c>
      <c r="N3697" t="s">
        <v>6212</v>
      </c>
      <c r="P3697" t="s">
        <v>55</v>
      </c>
      <c r="R3697" t="s">
        <v>201</v>
      </c>
      <c r="T3697" t="s">
        <v>6213</v>
      </c>
      <c r="U3697" t="s">
        <v>55</v>
      </c>
      <c r="V3697">
        <v>1</v>
      </c>
      <c r="W3697">
        <v>1</v>
      </c>
      <c r="X3697">
        <v>3</v>
      </c>
      <c r="Y3697">
        <v>0</v>
      </c>
      <c r="Z3697">
        <v>3</v>
      </c>
      <c r="AA3697">
        <v>0</v>
      </c>
      <c r="AB3697">
        <v>78</v>
      </c>
      <c r="AC3697">
        <v>78</v>
      </c>
      <c r="AD3697">
        <v>0</v>
      </c>
      <c r="AE3697">
        <v>0</v>
      </c>
      <c r="AF3697">
        <v>0</v>
      </c>
      <c r="AG3697">
        <v>0</v>
      </c>
      <c r="AH3697">
        <v>0</v>
      </c>
      <c r="AI3697">
        <v>14.04</v>
      </c>
      <c r="AJ3697">
        <v>78</v>
      </c>
      <c r="AK3697">
        <v>0</v>
      </c>
      <c r="AL3697" t="s">
        <v>53</v>
      </c>
      <c r="AM3697" t="s">
        <v>53</v>
      </c>
      <c r="AN3697" t="s">
        <v>53</v>
      </c>
      <c r="AO3697" t="s">
        <v>53</v>
      </c>
      <c r="AP3697" t="s">
        <v>53</v>
      </c>
    </row>
    <row r="3698" spans="2:42" x14ac:dyDescent="0.2">
      <c r="B3698" t="s">
        <v>44</v>
      </c>
      <c r="C3698" t="str">
        <f>HYPERLINK("https://us2.cloudbeds.com/connect/8493803454333002#/reservations/54089967939782?display=15F5X1NBX4&amp;reservation_id=54089967939782", "15F5X1NBX4")</f>
        <v>15F5X1NBX4</v>
      </c>
      <c r="D3698" t="s">
        <v>45</v>
      </c>
      <c r="E3698" t="s">
        <v>78</v>
      </c>
      <c r="F3698" t="s">
        <v>61</v>
      </c>
      <c r="G3698" t="s">
        <v>48</v>
      </c>
      <c r="H3698" t="s">
        <v>3957</v>
      </c>
      <c r="I3698" t="s">
        <v>3975</v>
      </c>
      <c r="J3698" t="s">
        <v>5322</v>
      </c>
      <c r="K3698" t="s">
        <v>5850</v>
      </c>
      <c r="L3698" t="s">
        <v>53</v>
      </c>
      <c r="P3698" t="s">
        <v>55</v>
      </c>
      <c r="R3698" t="s">
        <v>56</v>
      </c>
      <c r="T3698" t="s">
        <v>6214</v>
      </c>
      <c r="U3698" t="s">
        <v>58</v>
      </c>
      <c r="V3698">
        <v>2</v>
      </c>
      <c r="W3698">
        <v>1</v>
      </c>
      <c r="X3698">
        <v>2</v>
      </c>
      <c r="Y3698">
        <v>0</v>
      </c>
      <c r="Z3698">
        <v>2</v>
      </c>
      <c r="AA3698">
        <v>0</v>
      </c>
      <c r="AB3698">
        <v>168.22</v>
      </c>
      <c r="AC3698">
        <v>148</v>
      </c>
      <c r="AD3698">
        <v>0</v>
      </c>
      <c r="AE3698">
        <v>20.22</v>
      </c>
      <c r="AF3698">
        <v>0</v>
      </c>
      <c r="AG3698">
        <v>0</v>
      </c>
      <c r="AH3698">
        <v>0</v>
      </c>
      <c r="AI3698">
        <v>0</v>
      </c>
      <c r="AJ3698">
        <v>168.22</v>
      </c>
      <c r="AK3698">
        <v>0</v>
      </c>
      <c r="AL3698" t="s">
        <v>53</v>
      </c>
      <c r="AM3698" t="s">
        <v>53</v>
      </c>
      <c r="AN3698" t="s">
        <v>53</v>
      </c>
      <c r="AO3698" t="s">
        <v>53</v>
      </c>
      <c r="AP3698" t="s">
        <v>53</v>
      </c>
    </row>
    <row r="3699" spans="2:42" x14ac:dyDescent="0.2">
      <c r="B3699" t="s">
        <v>44</v>
      </c>
      <c r="C3699" t="str">
        <f>HYPERLINK("https://us2.cloudbeds.com/connect/8493803454333002#/reservations/54094548320426?display=15F93306CJ&amp;reservation_id=54094548320426", "15F93306CJ")</f>
        <v>15F93306CJ</v>
      </c>
      <c r="D3699" t="s">
        <v>45</v>
      </c>
      <c r="E3699" t="s">
        <v>265</v>
      </c>
      <c r="F3699" t="s">
        <v>61</v>
      </c>
      <c r="G3699" t="s">
        <v>48</v>
      </c>
      <c r="H3699" t="s">
        <v>49</v>
      </c>
      <c r="I3699" t="s">
        <v>62</v>
      </c>
      <c r="J3699" t="s">
        <v>5351</v>
      </c>
      <c r="K3699" t="s">
        <v>5648</v>
      </c>
      <c r="L3699" t="s">
        <v>53</v>
      </c>
      <c r="N3699" t="s">
        <v>6215</v>
      </c>
      <c r="P3699" t="s">
        <v>55</v>
      </c>
      <c r="R3699" t="s">
        <v>56</v>
      </c>
      <c r="T3699" t="s">
        <v>6216</v>
      </c>
      <c r="U3699" t="s">
        <v>55</v>
      </c>
      <c r="V3699">
        <v>3</v>
      </c>
      <c r="W3699">
        <v>1</v>
      </c>
      <c r="X3699">
        <v>2</v>
      </c>
      <c r="Y3699">
        <v>0</v>
      </c>
      <c r="Z3699">
        <v>2</v>
      </c>
      <c r="AA3699">
        <v>0</v>
      </c>
      <c r="AB3699">
        <v>270</v>
      </c>
      <c r="AC3699">
        <v>270</v>
      </c>
      <c r="AD3699">
        <v>0</v>
      </c>
      <c r="AE3699">
        <v>0</v>
      </c>
      <c r="AF3699">
        <v>0</v>
      </c>
      <c r="AG3699">
        <v>0</v>
      </c>
      <c r="AH3699">
        <v>0</v>
      </c>
      <c r="AI3699">
        <v>48.6</v>
      </c>
      <c r="AJ3699">
        <v>270</v>
      </c>
      <c r="AK3699">
        <v>0</v>
      </c>
      <c r="AL3699" t="s">
        <v>53</v>
      </c>
      <c r="AM3699" t="s">
        <v>53</v>
      </c>
      <c r="AN3699" t="s">
        <v>53</v>
      </c>
      <c r="AO3699" t="s">
        <v>53</v>
      </c>
      <c r="AP3699" t="s">
        <v>53</v>
      </c>
    </row>
    <row r="3700" spans="2:42" x14ac:dyDescent="0.2">
      <c r="B3700" t="s">
        <v>44</v>
      </c>
      <c r="C3700" t="str">
        <f>HYPERLINK("https://us2.cloudbeds.com/connect/8493803454333002#/reservations/54099850821825?display=15FD6J73M5&amp;reservation_id=54099850821825", "15FD6J73M5")</f>
        <v>15FD6J73M5</v>
      </c>
      <c r="D3700" t="s">
        <v>45</v>
      </c>
      <c r="E3700" t="s">
        <v>110</v>
      </c>
      <c r="F3700" t="s">
        <v>47</v>
      </c>
      <c r="G3700" t="s">
        <v>48</v>
      </c>
      <c r="H3700" t="s">
        <v>49</v>
      </c>
      <c r="I3700" t="s">
        <v>62</v>
      </c>
      <c r="J3700" t="s">
        <v>5351</v>
      </c>
      <c r="K3700" t="s">
        <v>5185</v>
      </c>
      <c r="L3700" t="s">
        <v>53</v>
      </c>
      <c r="N3700" t="s">
        <v>6217</v>
      </c>
      <c r="P3700" t="s">
        <v>55</v>
      </c>
      <c r="R3700" t="s">
        <v>56</v>
      </c>
      <c r="T3700" t="s">
        <v>6218</v>
      </c>
      <c r="U3700" t="s">
        <v>55</v>
      </c>
      <c r="V3700">
        <v>1</v>
      </c>
      <c r="W3700">
        <v>1</v>
      </c>
      <c r="X3700">
        <v>2</v>
      </c>
      <c r="Y3700">
        <v>0</v>
      </c>
      <c r="Z3700">
        <v>2</v>
      </c>
      <c r="AA3700">
        <v>0</v>
      </c>
      <c r="AB3700">
        <v>122</v>
      </c>
      <c r="AC3700">
        <v>122</v>
      </c>
      <c r="AD3700">
        <v>0</v>
      </c>
      <c r="AE3700">
        <v>0</v>
      </c>
      <c r="AF3700">
        <v>0</v>
      </c>
      <c r="AG3700">
        <v>0</v>
      </c>
      <c r="AH3700">
        <v>0</v>
      </c>
      <c r="AI3700">
        <v>21.96</v>
      </c>
      <c r="AJ3700">
        <v>122</v>
      </c>
      <c r="AK3700">
        <v>0</v>
      </c>
      <c r="AL3700" t="s">
        <v>53</v>
      </c>
      <c r="AM3700" t="s">
        <v>53</v>
      </c>
      <c r="AN3700" t="s">
        <v>53</v>
      </c>
      <c r="AO3700" t="s">
        <v>53</v>
      </c>
      <c r="AP3700" t="s">
        <v>53</v>
      </c>
    </row>
    <row r="3701" spans="2:42" x14ac:dyDescent="0.2">
      <c r="B3701" t="s">
        <v>44</v>
      </c>
      <c r="C3701" t="str">
        <f>HYPERLINK("https://us2.cloudbeds.com/connect/8493803454333002#/reservations/54105075495102?display=15FH82QBEQ&amp;reservation_id=54105075495102", "15FH82QBEQ")</f>
        <v>15FH82QBEQ</v>
      </c>
      <c r="D3701" t="s">
        <v>45</v>
      </c>
      <c r="E3701" t="s">
        <v>190</v>
      </c>
      <c r="F3701" t="s">
        <v>61</v>
      </c>
      <c r="G3701" t="s">
        <v>48</v>
      </c>
      <c r="H3701" t="s">
        <v>49</v>
      </c>
      <c r="I3701" t="s">
        <v>50</v>
      </c>
      <c r="J3701" t="s">
        <v>5321</v>
      </c>
      <c r="K3701" t="s">
        <v>6019</v>
      </c>
      <c r="L3701" t="s">
        <v>53</v>
      </c>
      <c r="N3701" t="s">
        <v>6219</v>
      </c>
      <c r="P3701" t="s">
        <v>55</v>
      </c>
      <c r="R3701" t="s">
        <v>53</v>
      </c>
      <c r="T3701" t="s">
        <v>6220</v>
      </c>
      <c r="U3701" t="s">
        <v>58</v>
      </c>
      <c r="V3701">
        <v>3</v>
      </c>
      <c r="W3701">
        <v>1</v>
      </c>
      <c r="X3701">
        <v>1</v>
      </c>
      <c r="Y3701">
        <v>0</v>
      </c>
      <c r="Z3701">
        <v>1</v>
      </c>
      <c r="AA3701">
        <v>0</v>
      </c>
      <c r="AB3701">
        <v>212.52</v>
      </c>
      <c r="AC3701">
        <v>187</v>
      </c>
      <c r="AD3701">
        <v>0</v>
      </c>
      <c r="AE3701">
        <v>25.52</v>
      </c>
      <c r="AF3701">
        <v>0</v>
      </c>
      <c r="AG3701">
        <v>0</v>
      </c>
      <c r="AH3701">
        <v>0</v>
      </c>
      <c r="AI3701">
        <v>38.25</v>
      </c>
      <c r="AJ3701">
        <v>212.52</v>
      </c>
      <c r="AK3701">
        <v>0</v>
      </c>
      <c r="AL3701" t="s">
        <v>53</v>
      </c>
      <c r="AM3701" t="s">
        <v>53</v>
      </c>
      <c r="AN3701" t="s">
        <v>53</v>
      </c>
      <c r="AO3701" t="s">
        <v>53</v>
      </c>
      <c r="AP3701" t="s">
        <v>53</v>
      </c>
    </row>
    <row r="3702" spans="2:42" x14ac:dyDescent="0.2">
      <c r="B3702" t="s">
        <v>44</v>
      </c>
      <c r="C3702" t="str">
        <f>HYPERLINK("https://us2.cloudbeds.com/connect/8493803454333002#/reservations/54152056234199?display=15GKKX6M0A&amp;reservation_id=54152056234199", "15GKKX6M0A")</f>
        <v>15GKKX6M0A</v>
      </c>
      <c r="D3702" t="s">
        <v>45</v>
      </c>
      <c r="E3702" t="s">
        <v>85</v>
      </c>
      <c r="F3702" t="s">
        <v>86</v>
      </c>
      <c r="G3702" t="s">
        <v>48</v>
      </c>
      <c r="H3702" t="s">
        <v>49</v>
      </c>
      <c r="I3702" t="s">
        <v>50</v>
      </c>
      <c r="J3702" t="s">
        <v>5185</v>
      </c>
      <c r="K3702" t="s">
        <v>5186</v>
      </c>
      <c r="L3702" t="s">
        <v>53</v>
      </c>
      <c r="N3702" t="s">
        <v>6221</v>
      </c>
      <c r="P3702" t="s">
        <v>55</v>
      </c>
      <c r="R3702" t="s">
        <v>53</v>
      </c>
      <c r="T3702" t="s">
        <v>6222</v>
      </c>
      <c r="U3702" t="s">
        <v>58</v>
      </c>
      <c r="V3702">
        <v>1</v>
      </c>
      <c r="W3702">
        <v>1</v>
      </c>
      <c r="X3702">
        <v>2</v>
      </c>
      <c r="Y3702">
        <v>2</v>
      </c>
      <c r="Z3702">
        <v>4</v>
      </c>
      <c r="AA3702">
        <v>0</v>
      </c>
      <c r="AB3702">
        <v>90.01</v>
      </c>
      <c r="AC3702">
        <v>79.2</v>
      </c>
      <c r="AD3702">
        <v>0</v>
      </c>
      <c r="AE3702">
        <v>10.81</v>
      </c>
      <c r="AF3702">
        <v>0</v>
      </c>
      <c r="AG3702">
        <v>0</v>
      </c>
      <c r="AH3702">
        <v>0</v>
      </c>
      <c r="AI3702">
        <v>16.2</v>
      </c>
      <c r="AJ3702">
        <v>90.01</v>
      </c>
      <c r="AK3702">
        <v>0</v>
      </c>
      <c r="AL3702" t="s">
        <v>53</v>
      </c>
      <c r="AM3702" t="s">
        <v>53</v>
      </c>
      <c r="AN3702" t="s">
        <v>53</v>
      </c>
      <c r="AO3702" t="s">
        <v>53</v>
      </c>
      <c r="AP3702" t="s">
        <v>53</v>
      </c>
    </row>
    <row r="3703" spans="2:42" x14ac:dyDescent="0.2">
      <c r="B3703" t="s">
        <v>44</v>
      </c>
      <c r="C3703" t="str">
        <f>HYPERLINK("https://us2.cloudbeds.com/connect/8493803454333002#/reservations/54189178056940?display=15HGC3A3GZ&amp;reservation_id=54189178056940", "15HGC3A3GZ")</f>
        <v>15HGC3A3GZ</v>
      </c>
      <c r="D3703" t="s">
        <v>45</v>
      </c>
      <c r="E3703" t="s">
        <v>213</v>
      </c>
      <c r="F3703" t="s">
        <v>86</v>
      </c>
      <c r="G3703" t="s">
        <v>48</v>
      </c>
      <c r="H3703" t="s">
        <v>49</v>
      </c>
      <c r="I3703" t="s">
        <v>50</v>
      </c>
      <c r="J3703" t="s">
        <v>5185</v>
      </c>
      <c r="K3703" t="s">
        <v>5186</v>
      </c>
      <c r="L3703" t="s">
        <v>53</v>
      </c>
      <c r="N3703" t="s">
        <v>6223</v>
      </c>
      <c r="P3703" t="s">
        <v>55</v>
      </c>
      <c r="R3703" t="s">
        <v>53</v>
      </c>
      <c r="T3703" t="s">
        <v>6224</v>
      </c>
      <c r="U3703" t="s">
        <v>58</v>
      </c>
      <c r="V3703">
        <v>1</v>
      </c>
      <c r="W3703">
        <v>1</v>
      </c>
      <c r="X3703">
        <v>4</v>
      </c>
      <c r="Y3703">
        <v>0</v>
      </c>
      <c r="Z3703">
        <v>4</v>
      </c>
      <c r="AA3703">
        <v>0</v>
      </c>
      <c r="AB3703">
        <v>85.02</v>
      </c>
      <c r="AC3703">
        <v>74.8</v>
      </c>
      <c r="AD3703">
        <v>0</v>
      </c>
      <c r="AE3703">
        <v>10.220000000000001</v>
      </c>
      <c r="AF3703">
        <v>0</v>
      </c>
      <c r="AG3703">
        <v>0</v>
      </c>
      <c r="AH3703">
        <v>0</v>
      </c>
      <c r="AI3703">
        <v>15.3</v>
      </c>
      <c r="AJ3703">
        <v>85.02</v>
      </c>
      <c r="AK3703">
        <v>0</v>
      </c>
      <c r="AL3703" t="s">
        <v>53</v>
      </c>
      <c r="AM3703" t="s">
        <v>53</v>
      </c>
      <c r="AN3703" t="s">
        <v>53</v>
      </c>
      <c r="AO3703" t="s">
        <v>53</v>
      </c>
      <c r="AP3703" t="s">
        <v>53</v>
      </c>
    </row>
    <row r="3704" spans="2:42" x14ac:dyDescent="0.2">
      <c r="B3704" t="s">
        <v>44</v>
      </c>
      <c r="C3704" t="str">
        <f>HYPERLINK("https://us2.cloudbeds.com/connect/8493803454333002#/reservations/54193793220855?display=15HJV0URTN&amp;reservation_id=54193793220855", "15HJV0URTN")</f>
        <v>15HJV0URTN</v>
      </c>
      <c r="D3704" t="s">
        <v>45</v>
      </c>
      <c r="E3704" t="s">
        <v>190</v>
      </c>
      <c r="F3704" t="s">
        <v>61</v>
      </c>
      <c r="G3704" t="s">
        <v>48</v>
      </c>
      <c r="H3704" t="s">
        <v>49</v>
      </c>
      <c r="I3704" t="s">
        <v>62</v>
      </c>
      <c r="J3704" t="s">
        <v>5185</v>
      </c>
      <c r="K3704" t="s">
        <v>5186</v>
      </c>
      <c r="L3704" t="s">
        <v>53</v>
      </c>
      <c r="N3704" t="s">
        <v>6225</v>
      </c>
      <c r="P3704" t="s">
        <v>55</v>
      </c>
      <c r="R3704" t="s">
        <v>56</v>
      </c>
      <c r="T3704" t="s">
        <v>6226</v>
      </c>
      <c r="U3704" t="s">
        <v>55</v>
      </c>
      <c r="V3704">
        <v>1</v>
      </c>
      <c r="W3704">
        <v>1</v>
      </c>
      <c r="X3704">
        <v>2</v>
      </c>
      <c r="Y3704">
        <v>0</v>
      </c>
      <c r="Z3704">
        <v>2</v>
      </c>
      <c r="AA3704">
        <v>0</v>
      </c>
      <c r="AB3704">
        <v>80</v>
      </c>
      <c r="AC3704">
        <v>80</v>
      </c>
      <c r="AD3704">
        <v>0</v>
      </c>
      <c r="AE3704">
        <v>0</v>
      </c>
      <c r="AF3704">
        <v>0</v>
      </c>
      <c r="AG3704">
        <v>0</v>
      </c>
      <c r="AH3704">
        <v>0</v>
      </c>
      <c r="AI3704">
        <v>14.4</v>
      </c>
      <c r="AJ3704">
        <v>80</v>
      </c>
      <c r="AK3704">
        <v>0</v>
      </c>
      <c r="AL3704" t="s">
        <v>53</v>
      </c>
      <c r="AM3704" t="s">
        <v>53</v>
      </c>
      <c r="AN3704" t="s">
        <v>53</v>
      </c>
      <c r="AO3704" t="s">
        <v>53</v>
      </c>
      <c r="AP3704" t="s">
        <v>53</v>
      </c>
    </row>
    <row r="3705" spans="2:42" x14ac:dyDescent="0.2">
      <c r="B3705" t="s">
        <v>44</v>
      </c>
      <c r="C3705" t="str">
        <f>HYPERLINK("https://us2.cloudbeds.com/connect/8493803454333002#/reservations/54251543093402?display=15XVYM55TG&amp;reservation_id=54251543093402", "15XVYM55TG")</f>
        <v>15XVYM55TG</v>
      </c>
      <c r="D3705" t="s">
        <v>45</v>
      </c>
      <c r="E3705" t="s">
        <v>128</v>
      </c>
      <c r="F3705" t="s">
        <v>86</v>
      </c>
      <c r="G3705" t="s">
        <v>48</v>
      </c>
      <c r="H3705" t="s">
        <v>49</v>
      </c>
      <c r="I3705" t="s">
        <v>50</v>
      </c>
      <c r="J3705" t="s">
        <v>5666</v>
      </c>
      <c r="K3705" t="s">
        <v>5667</v>
      </c>
      <c r="L3705" t="s">
        <v>53</v>
      </c>
      <c r="N3705" t="s">
        <v>6227</v>
      </c>
      <c r="P3705" t="s">
        <v>55</v>
      </c>
      <c r="R3705" t="s">
        <v>53</v>
      </c>
      <c r="T3705" t="s">
        <v>6228</v>
      </c>
      <c r="U3705" t="s">
        <v>58</v>
      </c>
      <c r="V3705">
        <v>1</v>
      </c>
      <c r="W3705">
        <v>1</v>
      </c>
      <c r="X3705">
        <v>1</v>
      </c>
      <c r="Y3705">
        <v>3</v>
      </c>
      <c r="Z3705">
        <v>4</v>
      </c>
      <c r="AA3705">
        <v>0</v>
      </c>
      <c r="AB3705">
        <v>70.88</v>
      </c>
      <c r="AC3705">
        <v>62.37</v>
      </c>
      <c r="AD3705">
        <v>0</v>
      </c>
      <c r="AE3705">
        <v>8.51</v>
      </c>
      <c r="AF3705">
        <v>0</v>
      </c>
      <c r="AG3705">
        <v>0</v>
      </c>
      <c r="AH3705">
        <v>0</v>
      </c>
      <c r="AI3705">
        <v>12.76</v>
      </c>
      <c r="AJ3705">
        <v>70.88</v>
      </c>
      <c r="AK3705">
        <v>0</v>
      </c>
      <c r="AL3705" t="s">
        <v>53</v>
      </c>
      <c r="AM3705" t="s">
        <v>53</v>
      </c>
      <c r="AN3705" t="s">
        <v>53</v>
      </c>
      <c r="AO3705" t="s">
        <v>53</v>
      </c>
      <c r="AP3705" t="s">
        <v>53</v>
      </c>
    </row>
    <row r="3706" spans="2:42" x14ac:dyDescent="0.2">
      <c r="B3706" t="s">
        <v>44</v>
      </c>
      <c r="C3706" t="str">
        <f>HYPERLINK("https://us2.cloudbeds.com/connect/8493803454333002#/reservations/54257561518213?display=15J3AF1NPU&amp;reservation_id=54257561518213", "15J3AF1NPU")</f>
        <v>15J3AF1NPU</v>
      </c>
      <c r="D3706" t="s">
        <v>45</v>
      </c>
      <c r="E3706" t="s">
        <v>105</v>
      </c>
      <c r="F3706" t="s">
        <v>47</v>
      </c>
      <c r="G3706" t="s">
        <v>48</v>
      </c>
      <c r="H3706" t="s">
        <v>49</v>
      </c>
      <c r="I3706" t="s">
        <v>62</v>
      </c>
      <c r="J3706" t="s">
        <v>5351</v>
      </c>
      <c r="K3706" t="s">
        <v>5185</v>
      </c>
      <c r="L3706" t="s">
        <v>53</v>
      </c>
      <c r="N3706" t="s">
        <v>6229</v>
      </c>
      <c r="P3706" t="s">
        <v>55</v>
      </c>
      <c r="R3706" t="s">
        <v>56</v>
      </c>
      <c r="T3706" t="s">
        <v>6230</v>
      </c>
      <c r="U3706" t="s">
        <v>55</v>
      </c>
      <c r="V3706">
        <v>1</v>
      </c>
      <c r="W3706">
        <v>1</v>
      </c>
      <c r="X3706">
        <v>2</v>
      </c>
      <c r="Y3706">
        <v>0</v>
      </c>
      <c r="Z3706">
        <v>2</v>
      </c>
      <c r="AA3706">
        <v>0</v>
      </c>
      <c r="AB3706">
        <v>122</v>
      </c>
      <c r="AC3706">
        <v>122</v>
      </c>
      <c r="AD3706">
        <v>0</v>
      </c>
      <c r="AE3706">
        <v>0</v>
      </c>
      <c r="AF3706">
        <v>0</v>
      </c>
      <c r="AG3706">
        <v>0</v>
      </c>
      <c r="AH3706">
        <v>0</v>
      </c>
      <c r="AI3706">
        <v>21.96</v>
      </c>
      <c r="AJ3706">
        <v>122</v>
      </c>
      <c r="AK3706">
        <v>0</v>
      </c>
      <c r="AL3706" t="s">
        <v>53</v>
      </c>
      <c r="AM3706" t="s">
        <v>53</v>
      </c>
      <c r="AN3706" t="s">
        <v>53</v>
      </c>
      <c r="AO3706" t="s">
        <v>53</v>
      </c>
      <c r="AP3706" t="s">
        <v>53</v>
      </c>
    </row>
    <row r="3707" spans="2:42" x14ac:dyDescent="0.2">
      <c r="B3707" t="s">
        <v>44</v>
      </c>
      <c r="C3707" t="str">
        <f>HYPERLINK("https://us2.cloudbeds.com/connect/8493803454333002#/reservations/54431143706812?display=15N5NT4WU3&amp;reservation_id=54431143706812", "15N5NT4WU3")</f>
        <v>15N5NT4WU3</v>
      </c>
      <c r="D3707" t="s">
        <v>45</v>
      </c>
      <c r="E3707" t="s">
        <v>165</v>
      </c>
      <c r="F3707" t="s">
        <v>61</v>
      </c>
      <c r="G3707" t="s">
        <v>48</v>
      </c>
      <c r="H3707" t="s">
        <v>49</v>
      </c>
      <c r="I3707" t="s">
        <v>50</v>
      </c>
      <c r="J3707" t="s">
        <v>5185</v>
      </c>
      <c r="K3707" t="s">
        <v>5648</v>
      </c>
      <c r="L3707" t="s">
        <v>53</v>
      </c>
      <c r="N3707" t="s">
        <v>6231</v>
      </c>
      <c r="P3707" t="s">
        <v>55</v>
      </c>
      <c r="R3707" t="s">
        <v>53</v>
      </c>
      <c r="T3707" t="s">
        <v>6232</v>
      </c>
      <c r="U3707" t="s">
        <v>58</v>
      </c>
      <c r="V3707">
        <v>2</v>
      </c>
      <c r="W3707">
        <v>1</v>
      </c>
      <c r="X3707">
        <v>2</v>
      </c>
      <c r="Y3707">
        <v>0</v>
      </c>
      <c r="Z3707">
        <v>2</v>
      </c>
      <c r="AA3707">
        <v>0</v>
      </c>
      <c r="AB3707">
        <v>176.95</v>
      </c>
      <c r="AC3707">
        <v>155.69999999999999</v>
      </c>
      <c r="AD3707">
        <v>0</v>
      </c>
      <c r="AE3707">
        <v>21.25</v>
      </c>
      <c r="AF3707">
        <v>0</v>
      </c>
      <c r="AG3707">
        <v>0</v>
      </c>
      <c r="AH3707">
        <v>0</v>
      </c>
      <c r="AI3707">
        <v>31.85</v>
      </c>
      <c r="AJ3707">
        <v>176.95</v>
      </c>
      <c r="AK3707">
        <v>0</v>
      </c>
      <c r="AL3707" t="s">
        <v>53</v>
      </c>
      <c r="AM3707" t="s">
        <v>53</v>
      </c>
      <c r="AN3707" t="s">
        <v>53</v>
      </c>
      <c r="AO3707" t="s">
        <v>53</v>
      </c>
      <c r="AP3707" t="s">
        <v>53</v>
      </c>
    </row>
    <row r="3708" spans="2:42" x14ac:dyDescent="0.2">
      <c r="B3708" t="s">
        <v>44</v>
      </c>
      <c r="C3708" t="str">
        <f>HYPERLINK("https://us2.cloudbeds.com/connect/8493803454333002#/reservations/54470602227964?display=15Z394KGW9&amp;reservation_id=54470602227964", "15Z394KGW9")</f>
        <v>15Z394KGW9</v>
      </c>
      <c r="D3708" t="s">
        <v>45</v>
      </c>
      <c r="E3708" t="s">
        <v>110</v>
      </c>
      <c r="F3708" t="s">
        <v>47</v>
      </c>
      <c r="G3708" t="s">
        <v>48</v>
      </c>
      <c r="H3708" t="s">
        <v>49</v>
      </c>
      <c r="I3708" t="s">
        <v>62</v>
      </c>
      <c r="J3708" t="s">
        <v>6233</v>
      </c>
      <c r="K3708" t="s">
        <v>6234</v>
      </c>
      <c r="L3708" t="s">
        <v>53</v>
      </c>
      <c r="N3708" t="s">
        <v>6235</v>
      </c>
      <c r="P3708" t="s">
        <v>55</v>
      </c>
      <c r="R3708" t="s">
        <v>56</v>
      </c>
      <c r="T3708" t="s">
        <v>6236</v>
      </c>
      <c r="U3708" t="s">
        <v>55</v>
      </c>
      <c r="V3708">
        <v>3</v>
      </c>
      <c r="W3708">
        <v>1</v>
      </c>
      <c r="X3708">
        <v>2</v>
      </c>
      <c r="Y3708">
        <v>0</v>
      </c>
      <c r="Z3708">
        <v>2</v>
      </c>
      <c r="AA3708">
        <v>0</v>
      </c>
      <c r="AB3708">
        <v>479</v>
      </c>
      <c r="AC3708">
        <v>479</v>
      </c>
      <c r="AD3708">
        <v>0</v>
      </c>
      <c r="AE3708">
        <v>0</v>
      </c>
      <c r="AF3708">
        <v>0</v>
      </c>
      <c r="AG3708">
        <v>0</v>
      </c>
      <c r="AH3708">
        <v>0</v>
      </c>
      <c r="AI3708">
        <v>86.22</v>
      </c>
      <c r="AJ3708">
        <v>479</v>
      </c>
      <c r="AK3708">
        <v>0</v>
      </c>
      <c r="AL3708" t="s">
        <v>53</v>
      </c>
      <c r="AM3708" t="s">
        <v>53</v>
      </c>
      <c r="AN3708" t="s">
        <v>53</v>
      </c>
      <c r="AO3708" t="s">
        <v>53</v>
      </c>
      <c r="AP3708" t="s">
        <v>53</v>
      </c>
    </row>
    <row r="3709" spans="2:42" x14ac:dyDescent="0.2">
      <c r="B3709" t="s">
        <v>44</v>
      </c>
      <c r="C3709" t="str">
        <f>HYPERLINK("https://us2.cloudbeds.com/connect/8493803454333002#/reservations/54487559962783?display=15ZGDERFVC&amp;reservation_id=54487559962783", "15ZGDERFVC")</f>
        <v>15ZGDERFVC</v>
      </c>
      <c r="D3709" t="s">
        <v>45</v>
      </c>
      <c r="E3709" t="s">
        <v>85</v>
      </c>
      <c r="F3709" t="s">
        <v>86</v>
      </c>
      <c r="G3709" t="s">
        <v>48</v>
      </c>
      <c r="H3709" t="s">
        <v>49</v>
      </c>
      <c r="I3709" t="s">
        <v>50</v>
      </c>
      <c r="J3709" t="s">
        <v>5186</v>
      </c>
      <c r="K3709" t="s">
        <v>5648</v>
      </c>
      <c r="L3709" t="s">
        <v>53</v>
      </c>
      <c r="N3709" t="s">
        <v>6237</v>
      </c>
      <c r="P3709" t="s">
        <v>55</v>
      </c>
      <c r="R3709" t="s">
        <v>53</v>
      </c>
      <c r="T3709" t="s">
        <v>6238</v>
      </c>
      <c r="U3709" t="s">
        <v>58</v>
      </c>
      <c r="V3709">
        <v>1</v>
      </c>
      <c r="W3709">
        <v>1</v>
      </c>
      <c r="X3709">
        <v>2</v>
      </c>
      <c r="Y3709">
        <v>2</v>
      </c>
      <c r="Z3709">
        <v>4</v>
      </c>
      <c r="AA3709">
        <v>0</v>
      </c>
      <c r="AB3709">
        <v>85.92</v>
      </c>
      <c r="AC3709">
        <v>75.599999999999994</v>
      </c>
      <c r="AD3709">
        <v>0</v>
      </c>
      <c r="AE3709">
        <v>10.32</v>
      </c>
      <c r="AF3709">
        <v>0</v>
      </c>
      <c r="AG3709">
        <v>0</v>
      </c>
      <c r="AH3709">
        <v>0</v>
      </c>
      <c r="AI3709">
        <v>15.47</v>
      </c>
      <c r="AJ3709">
        <v>85.92</v>
      </c>
      <c r="AK3709">
        <v>0</v>
      </c>
      <c r="AL3709" t="s">
        <v>53</v>
      </c>
      <c r="AM3709" t="s">
        <v>53</v>
      </c>
      <c r="AN3709" t="s">
        <v>53</v>
      </c>
      <c r="AO3709" t="s">
        <v>53</v>
      </c>
      <c r="AP3709" t="s">
        <v>53</v>
      </c>
    </row>
    <row r="3710" spans="2:42" x14ac:dyDescent="0.2">
      <c r="B3710" t="s">
        <v>44</v>
      </c>
      <c r="C3710" t="str">
        <f>HYPERLINK("https://us2.cloudbeds.com/connect/8493803454333002#/reservations/54487624925380?display=15ZGF3K5CU&amp;reservation_id=54487624925380", "15ZGF3K5CU")</f>
        <v>15ZGF3K5CU</v>
      </c>
      <c r="D3710" t="s">
        <v>45</v>
      </c>
      <c r="E3710" t="s">
        <v>121</v>
      </c>
      <c r="F3710" t="s">
        <v>86</v>
      </c>
      <c r="G3710" t="s">
        <v>48</v>
      </c>
      <c r="H3710" t="s">
        <v>49</v>
      </c>
      <c r="I3710" t="s">
        <v>50</v>
      </c>
      <c r="J3710" t="s">
        <v>5186</v>
      </c>
      <c r="K3710" t="s">
        <v>5648</v>
      </c>
      <c r="L3710" t="s">
        <v>53</v>
      </c>
      <c r="N3710" t="s">
        <v>6239</v>
      </c>
      <c r="P3710" t="s">
        <v>55</v>
      </c>
      <c r="R3710" t="s">
        <v>53</v>
      </c>
      <c r="T3710" t="s">
        <v>6240</v>
      </c>
      <c r="U3710" t="s">
        <v>58</v>
      </c>
      <c r="V3710">
        <v>1</v>
      </c>
      <c r="W3710">
        <v>1</v>
      </c>
      <c r="X3710">
        <v>3</v>
      </c>
      <c r="Y3710">
        <v>0</v>
      </c>
      <c r="Z3710">
        <v>3</v>
      </c>
      <c r="AA3710">
        <v>0</v>
      </c>
      <c r="AB3710">
        <v>85.92</v>
      </c>
      <c r="AC3710">
        <v>75.599999999999994</v>
      </c>
      <c r="AD3710">
        <v>0</v>
      </c>
      <c r="AE3710">
        <v>10.32</v>
      </c>
      <c r="AF3710">
        <v>0</v>
      </c>
      <c r="AG3710">
        <v>0</v>
      </c>
      <c r="AH3710">
        <v>0</v>
      </c>
      <c r="AI3710">
        <v>15.47</v>
      </c>
      <c r="AJ3710">
        <v>85.92</v>
      </c>
      <c r="AK3710">
        <v>0</v>
      </c>
      <c r="AL3710" t="s">
        <v>53</v>
      </c>
      <c r="AM3710" t="s">
        <v>53</v>
      </c>
      <c r="AN3710" t="s">
        <v>53</v>
      </c>
      <c r="AO3710" t="s">
        <v>53</v>
      </c>
      <c r="AP3710" t="s">
        <v>53</v>
      </c>
    </row>
    <row r="3711" spans="2:42" x14ac:dyDescent="0.2">
      <c r="B3711" t="s">
        <v>44</v>
      </c>
      <c r="C3711" t="str">
        <f>HYPERLINK("https://us2.cloudbeds.com/connect/8493803454333002#/reservations/54774017216690?display=15V7735RQ1&amp;reservation_id=54774017216690", "15V7735RQ1")</f>
        <v>15V7735RQ1</v>
      </c>
      <c r="D3711" t="s">
        <v>45</v>
      </c>
      <c r="E3711" t="s">
        <v>121</v>
      </c>
      <c r="F3711" t="s">
        <v>86</v>
      </c>
      <c r="G3711" t="s">
        <v>48</v>
      </c>
      <c r="H3711" t="s">
        <v>49</v>
      </c>
      <c r="I3711" t="s">
        <v>50</v>
      </c>
      <c r="J3711" t="s">
        <v>5185</v>
      </c>
      <c r="K3711" t="s">
        <v>5186</v>
      </c>
      <c r="L3711" t="s">
        <v>53</v>
      </c>
      <c r="N3711" t="s">
        <v>6241</v>
      </c>
      <c r="P3711" t="s">
        <v>55</v>
      </c>
      <c r="R3711" t="s">
        <v>53</v>
      </c>
      <c r="T3711" t="s">
        <v>6242</v>
      </c>
      <c r="U3711" t="s">
        <v>58</v>
      </c>
      <c r="V3711">
        <v>1</v>
      </c>
      <c r="W3711">
        <v>1</v>
      </c>
      <c r="X3711">
        <v>4</v>
      </c>
      <c r="Y3711">
        <v>0</v>
      </c>
      <c r="Z3711">
        <v>4</v>
      </c>
      <c r="AA3711">
        <v>0</v>
      </c>
      <c r="AB3711">
        <v>86.37</v>
      </c>
      <c r="AC3711">
        <v>76</v>
      </c>
      <c r="AD3711">
        <v>0</v>
      </c>
      <c r="AE3711">
        <v>10.37</v>
      </c>
      <c r="AF3711">
        <v>0</v>
      </c>
      <c r="AG3711">
        <v>0</v>
      </c>
      <c r="AH3711">
        <v>0</v>
      </c>
      <c r="AI3711">
        <v>15.55</v>
      </c>
      <c r="AJ3711">
        <v>86.37</v>
      </c>
      <c r="AK3711">
        <v>0</v>
      </c>
      <c r="AL3711" t="s">
        <v>53</v>
      </c>
      <c r="AM3711" t="s">
        <v>53</v>
      </c>
      <c r="AN3711" t="s">
        <v>53</v>
      </c>
      <c r="AO3711" t="s">
        <v>53</v>
      </c>
      <c r="AP3711" t="s">
        <v>53</v>
      </c>
    </row>
    <row r="3712" spans="2:42" x14ac:dyDescent="0.2">
      <c r="B3712" t="s">
        <v>44</v>
      </c>
      <c r="C3712" t="str">
        <f>HYPERLINK("https://us2.cloudbeds.com/connect/8493803454333002#/reservations/54773974376679?display=15V7601ZUT&amp;reservation_id=54773974376679", "15V7601ZUT")</f>
        <v>15V7601ZUT</v>
      </c>
      <c r="D3712" t="s">
        <v>45</v>
      </c>
      <c r="E3712" t="s">
        <v>92</v>
      </c>
      <c r="F3712" t="s">
        <v>86</v>
      </c>
      <c r="G3712" t="s">
        <v>48</v>
      </c>
      <c r="H3712" t="s">
        <v>49</v>
      </c>
      <c r="I3712" t="s">
        <v>50</v>
      </c>
      <c r="J3712" t="s">
        <v>5185</v>
      </c>
      <c r="K3712" t="s">
        <v>5186</v>
      </c>
      <c r="L3712" t="s">
        <v>53</v>
      </c>
      <c r="N3712" t="s">
        <v>6243</v>
      </c>
      <c r="P3712" t="s">
        <v>55</v>
      </c>
      <c r="R3712" t="s">
        <v>53</v>
      </c>
      <c r="T3712" t="s">
        <v>6244</v>
      </c>
      <c r="U3712" t="s">
        <v>58</v>
      </c>
      <c r="V3712">
        <v>1</v>
      </c>
      <c r="W3712">
        <v>1</v>
      </c>
      <c r="X3712">
        <v>4</v>
      </c>
      <c r="Y3712">
        <v>0</v>
      </c>
      <c r="Z3712">
        <v>4</v>
      </c>
      <c r="AA3712">
        <v>0</v>
      </c>
      <c r="AB3712">
        <v>86.37</v>
      </c>
      <c r="AC3712">
        <v>76</v>
      </c>
      <c r="AD3712">
        <v>0</v>
      </c>
      <c r="AE3712">
        <v>10.37</v>
      </c>
      <c r="AF3712">
        <v>0</v>
      </c>
      <c r="AG3712">
        <v>0</v>
      </c>
      <c r="AH3712">
        <v>0</v>
      </c>
      <c r="AI3712">
        <v>15.55</v>
      </c>
      <c r="AJ3712">
        <v>86.37</v>
      </c>
      <c r="AK3712">
        <v>0</v>
      </c>
      <c r="AL3712" t="s">
        <v>53</v>
      </c>
      <c r="AM3712" t="s">
        <v>53</v>
      </c>
      <c r="AN3712" t="s">
        <v>53</v>
      </c>
      <c r="AO3712" t="s">
        <v>53</v>
      </c>
      <c r="AP3712" t="s">
        <v>53</v>
      </c>
    </row>
    <row r="3713" spans="2:42" x14ac:dyDescent="0.2">
      <c r="B3713" t="s">
        <v>44</v>
      </c>
      <c r="C3713" t="str">
        <f>HYPERLINK("https://us2.cloudbeds.com/connect/8493803454333002#/reservations/54777298284702?display=15V9ZUSD2E&amp;reservation_id=54777298284702", "15V9ZUSD2E")</f>
        <v>15V9ZUSD2E</v>
      </c>
      <c r="D3713" t="s">
        <v>45</v>
      </c>
      <c r="E3713" t="s">
        <v>406</v>
      </c>
      <c r="F3713" t="s">
        <v>61</v>
      </c>
      <c r="G3713" t="s">
        <v>48</v>
      </c>
      <c r="H3713" t="s">
        <v>49</v>
      </c>
      <c r="I3713" t="s">
        <v>62</v>
      </c>
      <c r="J3713" t="s">
        <v>5677</v>
      </c>
      <c r="K3713" t="s">
        <v>5678</v>
      </c>
      <c r="L3713" t="s">
        <v>53</v>
      </c>
      <c r="N3713" t="s">
        <v>6245</v>
      </c>
      <c r="P3713" t="s">
        <v>55</v>
      </c>
      <c r="R3713" t="s">
        <v>56</v>
      </c>
      <c r="T3713" t="s">
        <v>6246</v>
      </c>
      <c r="U3713" t="s">
        <v>55</v>
      </c>
      <c r="V3713">
        <v>3</v>
      </c>
      <c r="W3713">
        <v>1</v>
      </c>
      <c r="X3713">
        <v>2</v>
      </c>
      <c r="Y3713">
        <v>0</v>
      </c>
      <c r="Z3713">
        <v>2</v>
      </c>
      <c r="AA3713">
        <v>0</v>
      </c>
      <c r="AB3713">
        <v>229</v>
      </c>
      <c r="AC3713">
        <v>229</v>
      </c>
      <c r="AD3713">
        <v>0</v>
      </c>
      <c r="AE3713">
        <v>0</v>
      </c>
      <c r="AF3713">
        <v>0</v>
      </c>
      <c r="AG3713">
        <v>0</v>
      </c>
      <c r="AH3713">
        <v>0</v>
      </c>
      <c r="AI3713">
        <v>41.22</v>
      </c>
      <c r="AJ3713">
        <v>229</v>
      </c>
      <c r="AK3713">
        <v>0</v>
      </c>
      <c r="AL3713" t="s">
        <v>53</v>
      </c>
      <c r="AM3713" t="s">
        <v>53</v>
      </c>
      <c r="AN3713" t="s">
        <v>53</v>
      </c>
      <c r="AO3713" t="s">
        <v>53</v>
      </c>
      <c r="AP3713" t="s">
        <v>53</v>
      </c>
    </row>
    <row r="3714" spans="2:42" x14ac:dyDescent="0.2">
      <c r="B3714" t="s">
        <v>44</v>
      </c>
      <c r="C3714" t="str">
        <f>HYPERLINK("https://us2.cloudbeds.com/connect/8493803454333002#/reservations/54805189922994?display=15VVBKRBEQ&amp;reservation_id=54805189922994", "15VVBKRBEQ")</f>
        <v>15VVBKRBEQ</v>
      </c>
      <c r="D3714" t="s">
        <v>45</v>
      </c>
      <c r="E3714" t="s">
        <v>85</v>
      </c>
      <c r="F3714" t="s">
        <v>86</v>
      </c>
      <c r="G3714" t="s">
        <v>48</v>
      </c>
      <c r="H3714" t="s">
        <v>49</v>
      </c>
      <c r="I3714" t="s">
        <v>62</v>
      </c>
      <c r="J3714" t="s">
        <v>5643</v>
      </c>
      <c r="K3714" t="s">
        <v>5644</v>
      </c>
      <c r="L3714" t="s">
        <v>53</v>
      </c>
      <c r="N3714" t="s">
        <v>6247</v>
      </c>
      <c r="P3714" t="s">
        <v>55</v>
      </c>
      <c r="R3714" t="s">
        <v>871</v>
      </c>
      <c r="T3714" t="s">
        <v>6248</v>
      </c>
      <c r="U3714" t="s">
        <v>55</v>
      </c>
      <c r="V3714">
        <v>2</v>
      </c>
      <c r="W3714">
        <v>1</v>
      </c>
      <c r="X3714">
        <v>4</v>
      </c>
      <c r="Y3714">
        <v>0</v>
      </c>
      <c r="Z3714">
        <v>4</v>
      </c>
      <c r="AA3714">
        <v>0</v>
      </c>
      <c r="AB3714">
        <v>138.6</v>
      </c>
      <c r="AC3714">
        <v>138.6</v>
      </c>
      <c r="AD3714">
        <v>0</v>
      </c>
      <c r="AE3714">
        <v>0</v>
      </c>
      <c r="AF3714">
        <v>0</v>
      </c>
      <c r="AG3714">
        <v>0</v>
      </c>
      <c r="AH3714">
        <v>0</v>
      </c>
      <c r="AI3714">
        <v>24.95</v>
      </c>
      <c r="AJ3714">
        <v>138.6</v>
      </c>
      <c r="AK3714">
        <v>0</v>
      </c>
      <c r="AL3714" t="s">
        <v>53</v>
      </c>
      <c r="AM3714" t="s">
        <v>53</v>
      </c>
      <c r="AN3714" t="s">
        <v>53</v>
      </c>
      <c r="AO3714" t="s">
        <v>53</v>
      </c>
      <c r="AP3714" t="s">
        <v>53</v>
      </c>
    </row>
    <row r="3715" spans="2:42" x14ac:dyDescent="0.2">
      <c r="B3715" t="s">
        <v>44</v>
      </c>
      <c r="C3715" t="str">
        <f>HYPERLINK("https://us2.cloudbeds.com/connect/8493803454333002#/reservations/54867312636106?display=160DF0BDMZ&amp;reservation_id=54867312636106", "160DF0BDMZ")</f>
        <v>160DF0BDMZ</v>
      </c>
      <c r="D3715" t="s">
        <v>45</v>
      </c>
      <c r="E3715" t="s">
        <v>223</v>
      </c>
      <c r="F3715" t="s">
        <v>47</v>
      </c>
      <c r="G3715" t="s">
        <v>48</v>
      </c>
      <c r="H3715" t="s">
        <v>49</v>
      </c>
      <c r="I3715" t="s">
        <v>50</v>
      </c>
      <c r="J3715" t="s">
        <v>6249</v>
      </c>
      <c r="K3715" t="s">
        <v>6250</v>
      </c>
      <c r="L3715" t="s">
        <v>53</v>
      </c>
      <c r="N3715" t="s">
        <v>6251</v>
      </c>
      <c r="P3715" t="s">
        <v>55</v>
      </c>
      <c r="R3715" t="s">
        <v>53</v>
      </c>
      <c r="T3715" t="s">
        <v>6252</v>
      </c>
      <c r="U3715" t="s">
        <v>58</v>
      </c>
      <c r="V3715">
        <v>1</v>
      </c>
      <c r="W3715">
        <v>1</v>
      </c>
      <c r="X3715">
        <v>1</v>
      </c>
      <c r="Y3715">
        <v>0</v>
      </c>
      <c r="Z3715">
        <v>1</v>
      </c>
      <c r="AA3715">
        <v>63.76</v>
      </c>
      <c r="AB3715">
        <v>63.76</v>
      </c>
      <c r="AC3715">
        <v>56.1</v>
      </c>
      <c r="AD3715">
        <v>0</v>
      </c>
      <c r="AE3715">
        <v>7.66</v>
      </c>
      <c r="AF3715">
        <v>0</v>
      </c>
      <c r="AG3715">
        <v>0</v>
      </c>
      <c r="AH3715">
        <v>0</v>
      </c>
      <c r="AI3715">
        <v>11.48</v>
      </c>
      <c r="AJ3715">
        <v>63.76</v>
      </c>
      <c r="AK3715">
        <v>0</v>
      </c>
      <c r="AL3715" t="s">
        <v>53</v>
      </c>
      <c r="AM3715" t="s">
        <v>53</v>
      </c>
      <c r="AN3715" t="s">
        <v>53</v>
      </c>
      <c r="AO3715" t="s">
        <v>53</v>
      </c>
      <c r="AP3715" t="s">
        <v>53</v>
      </c>
    </row>
    <row r="3716" spans="2:42" x14ac:dyDescent="0.2">
      <c r="B3716" t="s">
        <v>44</v>
      </c>
      <c r="C3716" t="str">
        <f>HYPERLINK("https://us2.cloudbeds.com/connect/8493803454333002#/reservations/54900954800272?display=1616GYA7DU&amp;reservation_id=54900954800272", "1616GYA7DU")</f>
        <v>1616GYA7DU</v>
      </c>
      <c r="D3716" t="s">
        <v>45</v>
      </c>
      <c r="E3716" t="s">
        <v>138</v>
      </c>
      <c r="F3716" t="s">
        <v>70</v>
      </c>
      <c r="G3716" t="s">
        <v>48</v>
      </c>
      <c r="H3716" t="s">
        <v>49</v>
      </c>
      <c r="I3716" t="s">
        <v>62</v>
      </c>
      <c r="J3716" t="s">
        <v>5185</v>
      </c>
      <c r="K3716" t="s">
        <v>5186</v>
      </c>
      <c r="L3716" t="s">
        <v>53</v>
      </c>
      <c r="N3716" t="s">
        <v>6253</v>
      </c>
      <c r="P3716" t="s">
        <v>55</v>
      </c>
      <c r="R3716" t="s">
        <v>56</v>
      </c>
      <c r="T3716" t="s">
        <v>6254</v>
      </c>
      <c r="U3716" t="s">
        <v>55</v>
      </c>
      <c r="V3716">
        <v>1</v>
      </c>
      <c r="W3716">
        <v>1</v>
      </c>
      <c r="X3716">
        <v>2</v>
      </c>
      <c r="Y3716">
        <v>0</v>
      </c>
      <c r="Z3716">
        <v>2</v>
      </c>
      <c r="AA3716">
        <v>0</v>
      </c>
      <c r="AB3716">
        <v>86</v>
      </c>
      <c r="AC3716">
        <v>86</v>
      </c>
      <c r="AD3716">
        <v>0</v>
      </c>
      <c r="AE3716">
        <v>0</v>
      </c>
      <c r="AF3716">
        <v>0</v>
      </c>
      <c r="AG3716">
        <v>0</v>
      </c>
      <c r="AH3716">
        <v>0</v>
      </c>
      <c r="AI3716">
        <v>15.48</v>
      </c>
      <c r="AJ3716">
        <v>86</v>
      </c>
      <c r="AK3716">
        <v>0</v>
      </c>
      <c r="AL3716" t="s">
        <v>53</v>
      </c>
      <c r="AM3716" t="s">
        <v>53</v>
      </c>
      <c r="AN3716" t="s">
        <v>53</v>
      </c>
      <c r="AO3716" t="s">
        <v>53</v>
      </c>
      <c r="AP3716" t="s">
        <v>53</v>
      </c>
    </row>
    <row r="3717" spans="2:42" x14ac:dyDescent="0.2">
      <c r="B3717" t="s">
        <v>44</v>
      </c>
      <c r="C3717" t="str">
        <f>HYPERLINK("https://us2.cloudbeds.com/connect/8493803454333002#/reservations/55090784194722?display=165YG7FVGB&amp;reservation_id=55090784194722", "165YG7FVGB")</f>
        <v>165YG7FVGB</v>
      </c>
      <c r="D3717" t="s">
        <v>45</v>
      </c>
      <c r="E3717" t="s">
        <v>85</v>
      </c>
      <c r="F3717" t="s">
        <v>86</v>
      </c>
      <c r="G3717" t="s">
        <v>48</v>
      </c>
      <c r="H3717" t="s">
        <v>49</v>
      </c>
      <c r="I3717" t="s">
        <v>62</v>
      </c>
      <c r="J3717" t="s">
        <v>6255</v>
      </c>
      <c r="K3717" t="s">
        <v>5643</v>
      </c>
      <c r="L3717" t="s">
        <v>53</v>
      </c>
      <c r="N3717" t="s">
        <v>6256</v>
      </c>
      <c r="P3717" t="s">
        <v>55</v>
      </c>
      <c r="R3717" t="s">
        <v>56</v>
      </c>
      <c r="T3717" t="s">
        <v>6257</v>
      </c>
      <c r="U3717" t="s">
        <v>55</v>
      </c>
      <c r="V3717">
        <v>1</v>
      </c>
      <c r="W3717">
        <v>1</v>
      </c>
      <c r="X3717">
        <v>2</v>
      </c>
      <c r="Y3717">
        <v>0</v>
      </c>
      <c r="Z3717">
        <v>2</v>
      </c>
      <c r="AA3717">
        <v>0</v>
      </c>
      <c r="AB3717">
        <v>69.3</v>
      </c>
      <c r="AC3717">
        <v>69.3</v>
      </c>
      <c r="AD3717">
        <v>0</v>
      </c>
      <c r="AE3717">
        <v>0</v>
      </c>
      <c r="AF3717">
        <v>0</v>
      </c>
      <c r="AG3717">
        <v>0</v>
      </c>
      <c r="AH3717">
        <v>0</v>
      </c>
      <c r="AI3717">
        <v>12.47</v>
      </c>
      <c r="AJ3717">
        <v>69.3</v>
      </c>
      <c r="AK3717">
        <v>0</v>
      </c>
      <c r="AL3717" t="s">
        <v>53</v>
      </c>
      <c r="AM3717" t="s">
        <v>53</v>
      </c>
      <c r="AN3717" t="s">
        <v>53</v>
      </c>
      <c r="AO3717" t="s">
        <v>53</v>
      </c>
      <c r="AP3717" t="s">
        <v>53</v>
      </c>
    </row>
    <row r="3718" spans="2:42" x14ac:dyDescent="0.2">
      <c r="B3718" t="s">
        <v>44</v>
      </c>
      <c r="C3718" t="str">
        <f>HYPERLINK("https://us2.cloudbeds.com/connect/8493803454333002#/reservations/55119989100741?display=166B3FRH0E&amp;reservation_id=55119989100741", "166B3FRH0E")</f>
        <v>166B3FRH0E</v>
      </c>
      <c r="D3718" t="s">
        <v>45</v>
      </c>
      <c r="E3718" t="s">
        <v>406</v>
      </c>
      <c r="F3718" t="s">
        <v>61</v>
      </c>
      <c r="G3718" t="s">
        <v>48</v>
      </c>
      <c r="H3718" t="s">
        <v>3957</v>
      </c>
      <c r="I3718" t="s">
        <v>3975</v>
      </c>
      <c r="J3718" t="s">
        <v>5186</v>
      </c>
      <c r="K3718" t="s">
        <v>4724</v>
      </c>
      <c r="L3718" t="s">
        <v>53</v>
      </c>
      <c r="P3718" t="s">
        <v>55</v>
      </c>
      <c r="R3718" t="s">
        <v>56</v>
      </c>
      <c r="T3718" t="s">
        <v>6258</v>
      </c>
      <c r="U3718" t="s">
        <v>58</v>
      </c>
      <c r="V3718">
        <v>3</v>
      </c>
      <c r="W3718">
        <v>1</v>
      </c>
      <c r="X3718">
        <v>2</v>
      </c>
      <c r="Y3718">
        <v>0</v>
      </c>
      <c r="Z3718">
        <v>2</v>
      </c>
      <c r="AA3718">
        <v>0</v>
      </c>
      <c r="AB3718">
        <v>284.13</v>
      </c>
      <c r="AC3718">
        <v>250</v>
      </c>
      <c r="AD3718">
        <v>0</v>
      </c>
      <c r="AE3718">
        <v>34.130000000000003</v>
      </c>
      <c r="AF3718">
        <v>0</v>
      </c>
      <c r="AG3718">
        <v>0</v>
      </c>
      <c r="AH3718">
        <v>0</v>
      </c>
      <c r="AI3718">
        <v>0</v>
      </c>
      <c r="AJ3718">
        <v>284.13</v>
      </c>
      <c r="AK3718">
        <v>0</v>
      </c>
      <c r="AL3718" t="s">
        <v>53</v>
      </c>
      <c r="AM3718" t="s">
        <v>53</v>
      </c>
      <c r="AN3718" t="s">
        <v>53</v>
      </c>
      <c r="AO3718" t="s">
        <v>53</v>
      </c>
      <c r="AP3718" t="s">
        <v>53</v>
      </c>
    </row>
    <row r="3719" spans="2:42" x14ac:dyDescent="0.2">
      <c r="B3719" t="s">
        <v>44</v>
      </c>
      <c r="C3719" t="str">
        <f>HYPERLINK("https://us2.cloudbeds.com/connect/8493803454333002#/reservations/55129955610784?display=166XR4SBH9&amp;reservation_id=55129955610784", "166XR4SBH9")</f>
        <v>166XR4SBH9</v>
      </c>
      <c r="D3719" t="s">
        <v>45</v>
      </c>
      <c r="E3719" t="s">
        <v>138</v>
      </c>
      <c r="F3719" t="s">
        <v>70</v>
      </c>
      <c r="G3719" t="s">
        <v>48</v>
      </c>
      <c r="H3719" t="s">
        <v>3957</v>
      </c>
      <c r="I3719" t="s">
        <v>3989</v>
      </c>
      <c r="J3719" t="s">
        <v>5186</v>
      </c>
      <c r="K3719" t="s">
        <v>5381</v>
      </c>
      <c r="L3719" t="s">
        <v>53</v>
      </c>
      <c r="P3719" t="s">
        <v>55</v>
      </c>
      <c r="R3719" t="s">
        <v>56</v>
      </c>
      <c r="T3719" t="s">
        <v>6259</v>
      </c>
      <c r="U3719" t="s">
        <v>58</v>
      </c>
      <c r="V3719">
        <v>2</v>
      </c>
      <c r="W3719">
        <v>1</v>
      </c>
      <c r="X3719">
        <v>1</v>
      </c>
      <c r="Y3719">
        <v>0</v>
      </c>
      <c r="Z3719">
        <v>1</v>
      </c>
      <c r="AA3719">
        <v>0</v>
      </c>
      <c r="AB3719">
        <v>180.72</v>
      </c>
      <c r="AC3719">
        <v>159</v>
      </c>
      <c r="AD3719">
        <v>0</v>
      </c>
      <c r="AE3719">
        <v>21.72</v>
      </c>
      <c r="AF3719">
        <v>0</v>
      </c>
      <c r="AG3719">
        <v>0</v>
      </c>
      <c r="AH3719">
        <v>0</v>
      </c>
      <c r="AI3719">
        <v>0</v>
      </c>
      <c r="AJ3719">
        <v>180.72</v>
      </c>
      <c r="AK3719">
        <v>0</v>
      </c>
      <c r="AL3719" t="s">
        <v>53</v>
      </c>
      <c r="AM3719" t="s">
        <v>53</v>
      </c>
      <c r="AN3719" t="s">
        <v>53</v>
      </c>
      <c r="AO3719" t="s">
        <v>53</v>
      </c>
      <c r="AP3719" t="s">
        <v>53</v>
      </c>
    </row>
    <row r="3720" spans="2:42" x14ac:dyDescent="0.2">
      <c r="B3720" t="s">
        <v>44</v>
      </c>
      <c r="C3720" t="str">
        <f>HYPERLINK("https://us2.cloudbeds.com/connect/8493803454333002#/reservations/55150096670950?display=1671DQB18R&amp;reservation_id=55150096670950", "1671DQB18R")</f>
        <v>1671DQB18R</v>
      </c>
      <c r="D3720" t="s">
        <v>45</v>
      </c>
      <c r="E3720" t="s">
        <v>155</v>
      </c>
      <c r="F3720" t="s">
        <v>86</v>
      </c>
      <c r="G3720" t="s">
        <v>48</v>
      </c>
      <c r="H3720" t="s">
        <v>49</v>
      </c>
      <c r="I3720" t="s">
        <v>50</v>
      </c>
      <c r="J3720" t="s">
        <v>5571</v>
      </c>
      <c r="K3720" t="s">
        <v>5711</v>
      </c>
      <c r="L3720" t="s">
        <v>53</v>
      </c>
      <c r="N3720" t="s">
        <v>6260</v>
      </c>
      <c r="P3720" t="s">
        <v>55</v>
      </c>
      <c r="R3720" t="s">
        <v>53</v>
      </c>
      <c r="T3720" t="s">
        <v>6261</v>
      </c>
      <c r="U3720" t="s">
        <v>58</v>
      </c>
      <c r="V3720">
        <v>1</v>
      </c>
      <c r="W3720">
        <v>1</v>
      </c>
      <c r="X3720">
        <v>3</v>
      </c>
      <c r="Y3720">
        <v>1</v>
      </c>
      <c r="Z3720">
        <v>4</v>
      </c>
      <c r="AA3720">
        <v>0</v>
      </c>
      <c r="AB3720">
        <v>82.85</v>
      </c>
      <c r="AC3720">
        <v>72.900000000000006</v>
      </c>
      <c r="AD3720">
        <v>0</v>
      </c>
      <c r="AE3720">
        <v>9.9499999999999993</v>
      </c>
      <c r="AF3720">
        <v>0</v>
      </c>
      <c r="AG3720">
        <v>0</v>
      </c>
      <c r="AH3720">
        <v>0</v>
      </c>
      <c r="AI3720">
        <v>14.91</v>
      </c>
      <c r="AJ3720">
        <v>82.85</v>
      </c>
      <c r="AK3720">
        <v>0</v>
      </c>
      <c r="AL3720" t="s">
        <v>53</v>
      </c>
      <c r="AM3720" t="s">
        <v>53</v>
      </c>
      <c r="AN3720" t="s">
        <v>53</v>
      </c>
      <c r="AO3720" t="s">
        <v>53</v>
      </c>
      <c r="AP3720" t="s">
        <v>53</v>
      </c>
    </row>
    <row r="3721" spans="2:42" x14ac:dyDescent="0.2">
      <c r="B3721" t="s">
        <v>44</v>
      </c>
      <c r="C3721" t="str">
        <f>HYPERLINK("https://us2.cloudbeds.com/connect/8493803454333002#/reservations/55183645458594?display=167RD1XGQE&amp;reservation_id=55183645458594", "167RD1XGQE")</f>
        <v>167RD1XGQE</v>
      </c>
      <c r="D3721" t="s">
        <v>45</v>
      </c>
      <c r="E3721" t="s">
        <v>113</v>
      </c>
      <c r="F3721" t="s">
        <v>61</v>
      </c>
      <c r="G3721" t="s">
        <v>48</v>
      </c>
      <c r="H3721" t="s">
        <v>49</v>
      </c>
      <c r="I3721" t="s">
        <v>50</v>
      </c>
      <c r="J3721" t="s">
        <v>5921</v>
      </c>
      <c r="K3721" t="s">
        <v>5667</v>
      </c>
      <c r="L3721" t="s">
        <v>53</v>
      </c>
      <c r="N3721" t="s">
        <v>6262</v>
      </c>
      <c r="P3721" t="s">
        <v>55</v>
      </c>
      <c r="R3721" t="s">
        <v>53</v>
      </c>
      <c r="T3721" t="s">
        <v>6263</v>
      </c>
      <c r="U3721" t="s">
        <v>58</v>
      </c>
      <c r="V3721">
        <v>3</v>
      </c>
      <c r="W3721">
        <v>1</v>
      </c>
      <c r="X3721">
        <v>2</v>
      </c>
      <c r="Y3721">
        <v>0</v>
      </c>
      <c r="Z3721">
        <v>2</v>
      </c>
      <c r="AA3721">
        <v>0</v>
      </c>
      <c r="AB3721">
        <v>201.57</v>
      </c>
      <c r="AC3721">
        <v>177.39</v>
      </c>
      <c r="AD3721">
        <v>0</v>
      </c>
      <c r="AE3721">
        <v>24.18</v>
      </c>
      <c r="AF3721">
        <v>0</v>
      </c>
      <c r="AG3721">
        <v>0</v>
      </c>
      <c r="AH3721">
        <v>0</v>
      </c>
      <c r="AI3721">
        <v>36.28</v>
      </c>
      <c r="AJ3721">
        <v>201.57</v>
      </c>
      <c r="AK3721">
        <v>0</v>
      </c>
      <c r="AL3721" t="s">
        <v>53</v>
      </c>
      <c r="AM3721" t="s">
        <v>53</v>
      </c>
      <c r="AN3721" t="s">
        <v>53</v>
      </c>
      <c r="AO3721" t="s">
        <v>53</v>
      </c>
      <c r="AP3721" t="s">
        <v>53</v>
      </c>
    </row>
    <row r="3722" spans="2:42" x14ac:dyDescent="0.2">
      <c r="B3722" t="s">
        <v>44</v>
      </c>
      <c r="C3722" t="str">
        <f>HYPERLINK("https://us2.cloudbeds.com/connect/8493803454333002#/reservations/55205513179264?display=168AVUEA5G&amp;reservation_id=55205513179264", "168AVUEA5G")</f>
        <v>168AVUEA5G</v>
      </c>
      <c r="D3722" t="s">
        <v>45</v>
      </c>
      <c r="E3722" t="s">
        <v>138</v>
      </c>
      <c r="F3722" t="s">
        <v>70</v>
      </c>
      <c r="G3722" t="s">
        <v>48</v>
      </c>
      <c r="H3722" t="s">
        <v>49</v>
      </c>
      <c r="I3722" t="s">
        <v>62</v>
      </c>
      <c r="J3722" t="s">
        <v>6019</v>
      </c>
      <c r="K3722" t="s">
        <v>5322</v>
      </c>
      <c r="L3722" t="s">
        <v>53</v>
      </c>
      <c r="N3722" t="s">
        <v>6264</v>
      </c>
      <c r="P3722" t="s">
        <v>55</v>
      </c>
      <c r="R3722" t="s">
        <v>56</v>
      </c>
      <c r="T3722" t="s">
        <v>6265</v>
      </c>
      <c r="U3722" t="s">
        <v>55</v>
      </c>
      <c r="V3722">
        <v>1</v>
      </c>
      <c r="W3722">
        <v>1</v>
      </c>
      <c r="X3722">
        <v>1</v>
      </c>
      <c r="Y3722">
        <v>0</v>
      </c>
      <c r="Z3722">
        <v>1</v>
      </c>
      <c r="AA3722">
        <v>0</v>
      </c>
      <c r="AB3722">
        <v>56.7</v>
      </c>
      <c r="AC3722">
        <v>56.7</v>
      </c>
      <c r="AD3722">
        <v>0</v>
      </c>
      <c r="AE3722">
        <v>0</v>
      </c>
      <c r="AF3722">
        <v>0</v>
      </c>
      <c r="AG3722">
        <v>0</v>
      </c>
      <c r="AH3722">
        <v>0</v>
      </c>
      <c r="AI3722">
        <v>10.210000000000001</v>
      </c>
      <c r="AJ3722">
        <v>56.7</v>
      </c>
      <c r="AK3722">
        <v>0</v>
      </c>
      <c r="AL3722" t="s">
        <v>53</v>
      </c>
      <c r="AM3722" t="s">
        <v>53</v>
      </c>
      <c r="AN3722" t="s">
        <v>53</v>
      </c>
      <c r="AO3722" t="s">
        <v>53</v>
      </c>
      <c r="AP3722" t="s">
        <v>53</v>
      </c>
    </row>
    <row r="3723" spans="2:42" x14ac:dyDescent="0.2">
      <c r="B3723" t="s">
        <v>44</v>
      </c>
      <c r="C3723" t="str">
        <f>HYPERLINK("https://us2.cloudbeds.com/connect/8493803454333002#/reservations/55255711125649?display=169H6G7UK0&amp;reservation_id=55255711125649", "169H6G7UK0")</f>
        <v>169H6G7UK0</v>
      </c>
      <c r="D3723" t="s">
        <v>45</v>
      </c>
      <c r="E3723" t="s">
        <v>69</v>
      </c>
      <c r="F3723" t="s">
        <v>70</v>
      </c>
      <c r="G3723" t="s">
        <v>48</v>
      </c>
      <c r="H3723" t="s">
        <v>49</v>
      </c>
      <c r="I3723" t="s">
        <v>62</v>
      </c>
      <c r="J3723" t="s">
        <v>5321</v>
      </c>
      <c r="K3723" t="s">
        <v>5382</v>
      </c>
      <c r="L3723" t="s">
        <v>53</v>
      </c>
      <c r="N3723" t="s">
        <v>6266</v>
      </c>
      <c r="P3723" t="s">
        <v>55</v>
      </c>
      <c r="R3723" t="s">
        <v>56</v>
      </c>
      <c r="T3723" t="s">
        <v>6267</v>
      </c>
      <c r="U3723" t="s">
        <v>55</v>
      </c>
      <c r="V3723">
        <v>1</v>
      </c>
      <c r="W3723">
        <v>1</v>
      </c>
      <c r="X3723">
        <v>1</v>
      </c>
      <c r="Y3723">
        <v>0</v>
      </c>
      <c r="Z3723">
        <v>1</v>
      </c>
      <c r="AA3723">
        <v>0</v>
      </c>
      <c r="AB3723">
        <v>65</v>
      </c>
      <c r="AC3723">
        <v>65</v>
      </c>
      <c r="AD3723">
        <v>0</v>
      </c>
      <c r="AE3723">
        <v>0</v>
      </c>
      <c r="AF3723">
        <v>0</v>
      </c>
      <c r="AG3723">
        <v>0</v>
      </c>
      <c r="AH3723">
        <v>0</v>
      </c>
      <c r="AI3723">
        <v>11.7</v>
      </c>
      <c r="AJ3723">
        <v>65</v>
      </c>
      <c r="AK3723">
        <v>0</v>
      </c>
      <c r="AL3723" t="s">
        <v>53</v>
      </c>
      <c r="AM3723" t="s">
        <v>53</v>
      </c>
      <c r="AN3723" t="s">
        <v>53</v>
      </c>
      <c r="AO3723" t="s">
        <v>53</v>
      </c>
      <c r="AP3723" t="s">
        <v>53</v>
      </c>
    </row>
    <row r="3724" spans="2:42" x14ac:dyDescent="0.2">
      <c r="B3724" t="s">
        <v>44</v>
      </c>
      <c r="C3724" t="str">
        <f>HYPERLINK("https://us2.cloudbeds.com/connect/8493803454333002#/reservations/55258347606156?display=169J7SCT5N&amp;reservation_id=55258347606156", "169J7SCT5N")</f>
        <v>169J7SCT5N</v>
      </c>
      <c r="D3724" t="s">
        <v>45</v>
      </c>
      <c r="E3724" t="s">
        <v>487</v>
      </c>
      <c r="F3724" t="s">
        <v>61</v>
      </c>
      <c r="G3724" t="s">
        <v>48</v>
      </c>
      <c r="H3724" t="s">
        <v>49</v>
      </c>
      <c r="I3724" t="s">
        <v>50</v>
      </c>
      <c r="J3724" t="s">
        <v>5321</v>
      </c>
      <c r="K3724" t="s">
        <v>5382</v>
      </c>
      <c r="L3724" t="s">
        <v>53</v>
      </c>
      <c r="N3724" t="s">
        <v>6268</v>
      </c>
      <c r="P3724" t="s">
        <v>55</v>
      </c>
      <c r="R3724" t="s">
        <v>53</v>
      </c>
      <c r="T3724" t="s">
        <v>6269</v>
      </c>
      <c r="U3724" t="s">
        <v>58</v>
      </c>
      <c r="V3724">
        <v>1</v>
      </c>
      <c r="W3724">
        <v>1</v>
      </c>
      <c r="X3724">
        <v>2</v>
      </c>
      <c r="Y3724">
        <v>0</v>
      </c>
      <c r="Z3724">
        <v>2</v>
      </c>
      <c r="AA3724">
        <v>0</v>
      </c>
      <c r="AB3724">
        <v>74.67</v>
      </c>
      <c r="AC3724">
        <v>65.7</v>
      </c>
      <c r="AD3724">
        <v>0</v>
      </c>
      <c r="AE3724">
        <v>8.9700000000000006</v>
      </c>
      <c r="AF3724">
        <v>0</v>
      </c>
      <c r="AG3724">
        <v>0</v>
      </c>
      <c r="AH3724">
        <v>0</v>
      </c>
      <c r="AI3724">
        <v>13.44</v>
      </c>
      <c r="AJ3724">
        <v>74.67</v>
      </c>
      <c r="AK3724">
        <v>0</v>
      </c>
      <c r="AL3724" t="s">
        <v>53</v>
      </c>
      <c r="AM3724" t="s">
        <v>53</v>
      </c>
      <c r="AN3724" t="s">
        <v>53</v>
      </c>
      <c r="AO3724" t="s">
        <v>53</v>
      </c>
      <c r="AP3724" t="s">
        <v>53</v>
      </c>
    </row>
    <row r="3725" spans="2:42" x14ac:dyDescent="0.2">
      <c r="B3725" t="s">
        <v>44</v>
      </c>
      <c r="C3725" t="str">
        <f>HYPERLINK("https://us2.cloudbeds.com/connect/8493803454333002#/reservations/55291901190338?display=16AC77YR7V&amp;reservation_id=55291901190338", "16AC77YR7V")</f>
        <v>16AC77YR7V</v>
      </c>
      <c r="D3725" t="s">
        <v>45</v>
      </c>
      <c r="E3725" t="s">
        <v>121</v>
      </c>
      <c r="F3725" t="s">
        <v>86</v>
      </c>
      <c r="G3725" t="s">
        <v>48</v>
      </c>
      <c r="H3725" t="s">
        <v>49</v>
      </c>
      <c r="I3725" t="s">
        <v>62</v>
      </c>
      <c r="J3725" t="s">
        <v>5381</v>
      </c>
      <c r="K3725" t="s">
        <v>4724</v>
      </c>
      <c r="L3725" t="s">
        <v>53</v>
      </c>
      <c r="N3725" t="s">
        <v>6270</v>
      </c>
      <c r="P3725" t="s">
        <v>55</v>
      </c>
      <c r="R3725" t="s">
        <v>56</v>
      </c>
      <c r="T3725" t="s">
        <v>6271</v>
      </c>
      <c r="U3725" t="s">
        <v>55</v>
      </c>
      <c r="V3725">
        <v>1</v>
      </c>
      <c r="W3725">
        <v>1</v>
      </c>
      <c r="X3725">
        <v>3</v>
      </c>
      <c r="Y3725">
        <v>0</v>
      </c>
      <c r="Z3725">
        <v>3</v>
      </c>
      <c r="AA3725">
        <v>0</v>
      </c>
      <c r="AB3725">
        <v>86</v>
      </c>
      <c r="AC3725">
        <v>86</v>
      </c>
      <c r="AD3725">
        <v>0</v>
      </c>
      <c r="AE3725">
        <v>0</v>
      </c>
      <c r="AF3725">
        <v>0</v>
      </c>
      <c r="AG3725">
        <v>0</v>
      </c>
      <c r="AH3725">
        <v>0</v>
      </c>
      <c r="AI3725">
        <v>15.48</v>
      </c>
      <c r="AJ3725">
        <v>86</v>
      </c>
      <c r="AK3725">
        <v>0</v>
      </c>
      <c r="AL3725" t="s">
        <v>53</v>
      </c>
      <c r="AM3725" t="s">
        <v>53</v>
      </c>
      <c r="AN3725" t="s">
        <v>53</v>
      </c>
      <c r="AO3725" t="s">
        <v>53</v>
      </c>
      <c r="AP3725" t="s">
        <v>53</v>
      </c>
    </row>
    <row r="3726" spans="2:42" x14ac:dyDescent="0.2">
      <c r="B3726" t="s">
        <v>44</v>
      </c>
      <c r="C3726" t="str">
        <f>HYPERLINK("https://us2.cloudbeds.com/connect/8493803454333002#/reservations/55298214101128?display=16AH3HSSRU&amp;reservation_id=55298214101128", "16AH3HSSRU")</f>
        <v>16AH3HSSRU</v>
      </c>
      <c r="D3726" t="s">
        <v>45</v>
      </c>
      <c r="E3726" t="s">
        <v>92</v>
      </c>
      <c r="F3726" t="s">
        <v>86</v>
      </c>
      <c r="G3726" t="s">
        <v>48</v>
      </c>
      <c r="H3726" t="s">
        <v>49</v>
      </c>
      <c r="I3726" t="s">
        <v>50</v>
      </c>
      <c r="J3726" t="s">
        <v>5381</v>
      </c>
      <c r="K3726" t="s">
        <v>4724</v>
      </c>
      <c r="L3726" t="s">
        <v>53</v>
      </c>
      <c r="N3726" t="s">
        <v>6272</v>
      </c>
      <c r="P3726" t="s">
        <v>55</v>
      </c>
      <c r="R3726" t="s">
        <v>53</v>
      </c>
      <c r="T3726" t="s">
        <v>6273</v>
      </c>
      <c r="U3726" t="s">
        <v>58</v>
      </c>
      <c r="V3726">
        <v>1</v>
      </c>
      <c r="W3726">
        <v>1</v>
      </c>
      <c r="X3726">
        <v>2</v>
      </c>
      <c r="Y3726">
        <v>0</v>
      </c>
      <c r="Z3726">
        <v>2</v>
      </c>
      <c r="AA3726">
        <v>0</v>
      </c>
      <c r="AB3726">
        <v>85.92</v>
      </c>
      <c r="AC3726">
        <v>75.599999999999994</v>
      </c>
      <c r="AD3726">
        <v>0</v>
      </c>
      <c r="AE3726">
        <v>10.32</v>
      </c>
      <c r="AF3726">
        <v>0</v>
      </c>
      <c r="AG3726">
        <v>0</v>
      </c>
      <c r="AH3726">
        <v>0</v>
      </c>
      <c r="AI3726">
        <v>15.47</v>
      </c>
      <c r="AJ3726">
        <v>85.92</v>
      </c>
      <c r="AK3726">
        <v>0</v>
      </c>
      <c r="AL3726" t="s">
        <v>53</v>
      </c>
      <c r="AM3726" t="s">
        <v>53</v>
      </c>
      <c r="AN3726" t="s">
        <v>53</v>
      </c>
      <c r="AO3726" t="s">
        <v>53</v>
      </c>
      <c r="AP3726" t="s">
        <v>53</v>
      </c>
    </row>
    <row r="3727" spans="2:42" x14ac:dyDescent="0.2">
      <c r="B3727" t="s">
        <v>44</v>
      </c>
      <c r="C3727" t="str">
        <f>HYPERLINK("https://us2.cloudbeds.com/connect/8493803454333002#/reservations/55454497145081?display=16E63USVBM&amp;reservation_id=55454497145081", "16E63USVBM")</f>
        <v>16E63USVBM</v>
      </c>
      <c r="D3727" t="s">
        <v>45</v>
      </c>
      <c r="E3727" t="s">
        <v>165</v>
      </c>
      <c r="F3727" t="s">
        <v>61</v>
      </c>
      <c r="G3727" t="s">
        <v>48</v>
      </c>
      <c r="H3727" t="s">
        <v>49</v>
      </c>
      <c r="I3727" t="s">
        <v>50</v>
      </c>
      <c r="J3727" t="s">
        <v>4443</v>
      </c>
      <c r="K3727" t="s">
        <v>6274</v>
      </c>
      <c r="L3727" t="s">
        <v>53</v>
      </c>
      <c r="N3727" t="s">
        <v>6275</v>
      </c>
      <c r="P3727" t="s">
        <v>55</v>
      </c>
      <c r="R3727" t="s">
        <v>53</v>
      </c>
      <c r="T3727" t="s">
        <v>6276</v>
      </c>
      <c r="U3727" t="s">
        <v>58</v>
      </c>
      <c r="V3727">
        <v>2</v>
      </c>
      <c r="W3727">
        <v>1</v>
      </c>
      <c r="X3727">
        <v>2</v>
      </c>
      <c r="Y3727">
        <v>0</v>
      </c>
      <c r="Z3727">
        <v>2</v>
      </c>
      <c r="AA3727">
        <v>0</v>
      </c>
      <c r="AB3727">
        <v>377.32</v>
      </c>
      <c r="AC3727">
        <v>332</v>
      </c>
      <c r="AD3727">
        <v>0</v>
      </c>
      <c r="AE3727">
        <v>45.32</v>
      </c>
      <c r="AF3727">
        <v>0</v>
      </c>
      <c r="AG3727">
        <v>0</v>
      </c>
      <c r="AH3727">
        <v>0</v>
      </c>
      <c r="AI3727">
        <v>67.92</v>
      </c>
      <c r="AJ3727">
        <v>377.32</v>
      </c>
      <c r="AK3727">
        <v>0</v>
      </c>
      <c r="AL3727" t="s">
        <v>53</v>
      </c>
      <c r="AM3727" t="s">
        <v>53</v>
      </c>
      <c r="AN3727" t="s">
        <v>53</v>
      </c>
      <c r="AO3727" t="s">
        <v>53</v>
      </c>
      <c r="AP3727" t="s">
        <v>53</v>
      </c>
    </row>
    <row r="3728" spans="2:42" x14ac:dyDescent="0.2">
      <c r="B3728" t="s">
        <v>44</v>
      </c>
      <c r="C3728" t="str">
        <f>HYPERLINK("https://us2.cloudbeds.com/connect/8493803454333002#/reservations/55504734843065?display=16FC0KKVE1&amp;reservation_id=55504734843065", "16FC0KKVE1")</f>
        <v>16FC0KKVE1</v>
      </c>
      <c r="D3728" t="s">
        <v>45</v>
      </c>
      <c r="E3728" t="s">
        <v>69</v>
      </c>
      <c r="F3728" t="s">
        <v>70</v>
      </c>
      <c r="G3728" t="s">
        <v>48</v>
      </c>
      <c r="H3728" t="s">
        <v>3957</v>
      </c>
      <c r="I3728" t="s">
        <v>3975</v>
      </c>
      <c r="J3728" t="s">
        <v>5648</v>
      </c>
      <c r="K3728" t="s">
        <v>5381</v>
      </c>
      <c r="L3728" t="s">
        <v>53</v>
      </c>
      <c r="P3728" t="s">
        <v>55</v>
      </c>
      <c r="R3728" t="s">
        <v>56</v>
      </c>
      <c r="T3728" t="s">
        <v>6277</v>
      </c>
      <c r="U3728" t="s">
        <v>58</v>
      </c>
      <c r="V3728">
        <v>1</v>
      </c>
      <c r="W3728">
        <v>1</v>
      </c>
      <c r="X3728">
        <v>2</v>
      </c>
      <c r="Y3728">
        <v>0</v>
      </c>
      <c r="Z3728">
        <v>2</v>
      </c>
      <c r="AA3728">
        <v>0</v>
      </c>
      <c r="AB3728">
        <v>87.51</v>
      </c>
      <c r="AC3728">
        <v>77</v>
      </c>
      <c r="AD3728">
        <v>0</v>
      </c>
      <c r="AE3728">
        <v>10.51</v>
      </c>
      <c r="AF3728">
        <v>0</v>
      </c>
      <c r="AG3728">
        <v>0</v>
      </c>
      <c r="AH3728">
        <v>0</v>
      </c>
      <c r="AI3728">
        <v>0</v>
      </c>
      <c r="AJ3728">
        <v>87.51</v>
      </c>
      <c r="AK3728">
        <v>0</v>
      </c>
      <c r="AL3728" t="s">
        <v>53</v>
      </c>
      <c r="AM3728" t="s">
        <v>53</v>
      </c>
      <c r="AN3728" t="s">
        <v>53</v>
      </c>
      <c r="AO3728" t="s">
        <v>53</v>
      </c>
      <c r="AP3728" t="s">
        <v>53</v>
      </c>
    </row>
    <row r="3729" spans="2:42" x14ac:dyDescent="0.2">
      <c r="B3729" t="s">
        <v>44</v>
      </c>
      <c r="C3729" t="str">
        <f>HYPERLINK("https://us2.cloudbeds.com/connect/8493803454333002#/reservations/55533038563464?display=16G0US2MUW&amp;reservation_id=55533038563464", "16G0US2MUW")</f>
        <v>16G0US2MUW</v>
      </c>
      <c r="D3729" t="s">
        <v>45</v>
      </c>
      <c r="E3729" t="s">
        <v>121</v>
      </c>
      <c r="F3729" t="s">
        <v>86</v>
      </c>
      <c r="G3729" t="s">
        <v>48</v>
      </c>
      <c r="H3729" t="s">
        <v>49</v>
      </c>
      <c r="I3729" t="s">
        <v>50</v>
      </c>
      <c r="J3729" t="s">
        <v>5648</v>
      </c>
      <c r="K3729" t="s">
        <v>5381</v>
      </c>
      <c r="L3729" t="s">
        <v>53</v>
      </c>
      <c r="N3729" t="s">
        <v>6278</v>
      </c>
      <c r="P3729" t="s">
        <v>55</v>
      </c>
      <c r="R3729" t="s">
        <v>53</v>
      </c>
      <c r="T3729" t="s">
        <v>6279</v>
      </c>
      <c r="U3729" t="s">
        <v>58</v>
      </c>
      <c r="V3729">
        <v>1</v>
      </c>
      <c r="W3729">
        <v>1</v>
      </c>
      <c r="X3729">
        <v>2</v>
      </c>
      <c r="Y3729">
        <v>0</v>
      </c>
      <c r="Z3729">
        <v>2</v>
      </c>
      <c r="AA3729">
        <v>0</v>
      </c>
      <c r="AB3729">
        <v>90.01</v>
      </c>
      <c r="AC3729">
        <v>79.2</v>
      </c>
      <c r="AD3729">
        <v>0</v>
      </c>
      <c r="AE3729">
        <v>10.81</v>
      </c>
      <c r="AF3729">
        <v>0</v>
      </c>
      <c r="AG3729">
        <v>0</v>
      </c>
      <c r="AH3729">
        <v>0</v>
      </c>
      <c r="AI3729">
        <v>16.2</v>
      </c>
      <c r="AJ3729">
        <v>90.01</v>
      </c>
      <c r="AK3729">
        <v>0</v>
      </c>
      <c r="AL3729" t="s">
        <v>53</v>
      </c>
      <c r="AM3729" t="s">
        <v>53</v>
      </c>
      <c r="AN3729" t="s">
        <v>53</v>
      </c>
      <c r="AO3729" t="s">
        <v>53</v>
      </c>
      <c r="AP3729" t="s">
        <v>53</v>
      </c>
    </row>
    <row r="3730" spans="2:42" x14ac:dyDescent="0.2">
      <c r="B3730" t="s">
        <v>44</v>
      </c>
      <c r="C3730" t="str">
        <f>HYPERLINK("https://us2.cloudbeds.com/connect/8493803454333002#/reservations/55581830799565?display=16H5NJWJF3&amp;reservation_id=55581830799565", "16H5NJWJF3")</f>
        <v>16H5NJWJF3</v>
      </c>
      <c r="D3730" t="s">
        <v>45</v>
      </c>
      <c r="E3730" t="s">
        <v>305</v>
      </c>
      <c r="F3730" t="s">
        <v>61</v>
      </c>
      <c r="G3730" t="s">
        <v>48</v>
      </c>
      <c r="H3730" t="s">
        <v>49</v>
      </c>
      <c r="I3730" t="s">
        <v>50</v>
      </c>
      <c r="J3730" t="s">
        <v>5381</v>
      </c>
      <c r="K3730" t="s">
        <v>5321</v>
      </c>
      <c r="L3730" t="s">
        <v>53</v>
      </c>
      <c r="N3730" t="s">
        <v>6280</v>
      </c>
      <c r="P3730" t="s">
        <v>55</v>
      </c>
      <c r="R3730" t="s">
        <v>53</v>
      </c>
      <c r="T3730" t="s">
        <v>6281</v>
      </c>
      <c r="U3730" t="s">
        <v>58</v>
      </c>
      <c r="V3730">
        <v>2</v>
      </c>
      <c r="W3730">
        <v>1</v>
      </c>
      <c r="X3730">
        <v>2</v>
      </c>
      <c r="Y3730">
        <v>0</v>
      </c>
      <c r="Z3730">
        <v>2</v>
      </c>
      <c r="AA3730">
        <v>0</v>
      </c>
      <c r="AB3730">
        <v>142.97999999999999</v>
      </c>
      <c r="AC3730">
        <v>125.8</v>
      </c>
      <c r="AD3730">
        <v>0</v>
      </c>
      <c r="AE3730">
        <v>17.18</v>
      </c>
      <c r="AF3730">
        <v>0</v>
      </c>
      <c r="AG3730">
        <v>0</v>
      </c>
      <c r="AH3730">
        <v>0</v>
      </c>
      <c r="AI3730">
        <v>25.74</v>
      </c>
      <c r="AJ3730">
        <v>142.97999999999999</v>
      </c>
      <c r="AK3730">
        <v>0</v>
      </c>
      <c r="AL3730" t="s">
        <v>53</v>
      </c>
      <c r="AM3730" t="s">
        <v>53</v>
      </c>
      <c r="AN3730" t="s">
        <v>53</v>
      </c>
      <c r="AO3730" t="s">
        <v>53</v>
      </c>
      <c r="AP3730" t="s">
        <v>53</v>
      </c>
    </row>
    <row r="3731" spans="2:42" x14ac:dyDescent="0.2">
      <c r="B3731" t="s">
        <v>44</v>
      </c>
      <c r="C3731" t="str">
        <f>HYPERLINK("https://us2.cloudbeds.com/connect/8493803454333002#/reservations/55668937859260?display=16J75CVUNY&amp;reservation_id=55668937859260", "16J75CVUNY")</f>
        <v>16J75CVUNY</v>
      </c>
      <c r="D3731" t="s">
        <v>45</v>
      </c>
      <c r="E3731" t="s">
        <v>487</v>
      </c>
      <c r="F3731" t="s">
        <v>61</v>
      </c>
      <c r="G3731" t="s">
        <v>48</v>
      </c>
      <c r="H3731" t="s">
        <v>49</v>
      </c>
      <c r="I3731" t="s">
        <v>62</v>
      </c>
      <c r="J3731" t="s">
        <v>5957</v>
      </c>
      <c r="K3731" t="s">
        <v>5667</v>
      </c>
      <c r="L3731" t="s">
        <v>53</v>
      </c>
      <c r="N3731" t="s">
        <v>6282</v>
      </c>
      <c r="P3731" t="s">
        <v>55</v>
      </c>
      <c r="R3731" t="s">
        <v>56</v>
      </c>
      <c r="T3731" t="s">
        <v>6283</v>
      </c>
      <c r="U3731" t="s">
        <v>55</v>
      </c>
      <c r="V3731">
        <v>2</v>
      </c>
      <c r="W3731">
        <v>1</v>
      </c>
      <c r="X3731">
        <v>2</v>
      </c>
      <c r="Y3731">
        <v>0</v>
      </c>
      <c r="Z3731">
        <v>2</v>
      </c>
      <c r="AA3731">
        <v>0</v>
      </c>
      <c r="AB3731">
        <v>131.4</v>
      </c>
      <c r="AC3731">
        <v>131.4</v>
      </c>
      <c r="AD3731">
        <v>0</v>
      </c>
      <c r="AE3731">
        <v>0</v>
      </c>
      <c r="AF3731">
        <v>0</v>
      </c>
      <c r="AG3731">
        <v>0</v>
      </c>
      <c r="AH3731">
        <v>0</v>
      </c>
      <c r="AI3731">
        <v>23.65</v>
      </c>
      <c r="AJ3731">
        <v>131.4</v>
      </c>
      <c r="AK3731">
        <v>0</v>
      </c>
      <c r="AL3731" t="s">
        <v>53</v>
      </c>
      <c r="AM3731" t="s">
        <v>53</v>
      </c>
      <c r="AN3731" t="s">
        <v>53</v>
      </c>
      <c r="AO3731" t="s">
        <v>53</v>
      </c>
      <c r="AP3731" t="s">
        <v>53</v>
      </c>
    </row>
    <row r="3732" spans="2:42" x14ac:dyDescent="0.2">
      <c r="B3732" t="s">
        <v>44</v>
      </c>
      <c r="C3732" t="str">
        <f>HYPERLINK("https://us2.cloudbeds.com/connect/8493803454333002#/reservations/55832712102117?display=16N1W6ZYZQ&amp;reservation_id=55832712102117", "16N1W6ZYZQ")</f>
        <v>16N1W6ZYZQ</v>
      </c>
      <c r="D3732" t="s">
        <v>45</v>
      </c>
      <c r="E3732" t="s">
        <v>165</v>
      </c>
      <c r="F3732" t="s">
        <v>61</v>
      </c>
      <c r="G3732" t="s">
        <v>48</v>
      </c>
      <c r="H3732" t="s">
        <v>49</v>
      </c>
      <c r="I3732" t="s">
        <v>62</v>
      </c>
      <c r="J3732" t="s">
        <v>4724</v>
      </c>
      <c r="K3732" t="s">
        <v>5321</v>
      </c>
      <c r="L3732" t="s">
        <v>53</v>
      </c>
      <c r="N3732" t="s">
        <v>6284</v>
      </c>
      <c r="P3732" t="s">
        <v>55</v>
      </c>
      <c r="R3732" t="s">
        <v>56</v>
      </c>
      <c r="T3732" t="s">
        <v>6285</v>
      </c>
      <c r="U3732" t="s">
        <v>55</v>
      </c>
      <c r="V3732">
        <v>1</v>
      </c>
      <c r="W3732">
        <v>1</v>
      </c>
      <c r="X3732">
        <v>2</v>
      </c>
      <c r="Y3732">
        <v>0</v>
      </c>
      <c r="Z3732">
        <v>2</v>
      </c>
      <c r="AA3732">
        <v>0</v>
      </c>
      <c r="AB3732">
        <v>73</v>
      </c>
      <c r="AC3732">
        <v>73</v>
      </c>
      <c r="AD3732">
        <v>0</v>
      </c>
      <c r="AE3732">
        <v>0</v>
      </c>
      <c r="AF3732">
        <v>0</v>
      </c>
      <c r="AG3732">
        <v>0</v>
      </c>
      <c r="AH3732">
        <v>0</v>
      </c>
      <c r="AI3732">
        <v>13.14</v>
      </c>
      <c r="AJ3732">
        <v>73</v>
      </c>
      <c r="AK3732">
        <v>0</v>
      </c>
      <c r="AL3732" t="s">
        <v>53</v>
      </c>
      <c r="AM3732" t="s">
        <v>53</v>
      </c>
      <c r="AN3732" t="s">
        <v>53</v>
      </c>
      <c r="AO3732" t="s">
        <v>53</v>
      </c>
      <c r="AP3732" t="s">
        <v>53</v>
      </c>
    </row>
    <row r="3733" spans="2:42" x14ac:dyDescent="0.2">
      <c r="B3733" t="s">
        <v>44</v>
      </c>
      <c r="C3733" t="str">
        <f>HYPERLINK("https://us2.cloudbeds.com/connect/8493803454333002#/reservations/55866633908417?display=16NS7WGUG1&amp;reservation_id=55866633908417", "16NS7WGUG1")</f>
        <v>16NS7WGUG1</v>
      </c>
      <c r="D3733" t="s">
        <v>45</v>
      </c>
      <c r="E3733" t="s">
        <v>138</v>
      </c>
      <c r="F3733" t="s">
        <v>70</v>
      </c>
      <c r="G3733" t="s">
        <v>48</v>
      </c>
      <c r="H3733" t="s">
        <v>49</v>
      </c>
      <c r="I3733" t="s">
        <v>50</v>
      </c>
      <c r="J3733" t="s">
        <v>5381</v>
      </c>
      <c r="K3733" t="s">
        <v>4724</v>
      </c>
      <c r="L3733" t="s">
        <v>53</v>
      </c>
      <c r="N3733" t="s">
        <v>6286</v>
      </c>
      <c r="P3733" t="s">
        <v>55</v>
      </c>
      <c r="R3733" t="s">
        <v>53</v>
      </c>
      <c r="T3733" t="s">
        <v>6287</v>
      </c>
      <c r="U3733" t="s">
        <v>58</v>
      </c>
      <c r="V3733">
        <v>1</v>
      </c>
      <c r="W3733">
        <v>1</v>
      </c>
      <c r="X3733">
        <v>2</v>
      </c>
      <c r="Y3733">
        <v>0</v>
      </c>
      <c r="Z3733">
        <v>2</v>
      </c>
      <c r="AA3733">
        <v>0</v>
      </c>
      <c r="AB3733">
        <v>77.73</v>
      </c>
      <c r="AC3733">
        <v>68.400000000000006</v>
      </c>
      <c r="AD3733">
        <v>0</v>
      </c>
      <c r="AE3733">
        <v>9.33</v>
      </c>
      <c r="AF3733">
        <v>0</v>
      </c>
      <c r="AG3733">
        <v>0</v>
      </c>
      <c r="AH3733">
        <v>0</v>
      </c>
      <c r="AI3733">
        <v>13.99</v>
      </c>
      <c r="AJ3733">
        <v>77.73</v>
      </c>
      <c r="AK3733">
        <v>0</v>
      </c>
      <c r="AL3733" t="s">
        <v>53</v>
      </c>
      <c r="AM3733" t="s">
        <v>53</v>
      </c>
      <c r="AN3733" t="s">
        <v>53</v>
      </c>
      <c r="AO3733" t="s">
        <v>53</v>
      </c>
      <c r="AP3733" t="s">
        <v>53</v>
      </c>
    </row>
    <row r="3734" spans="2:42" x14ac:dyDescent="0.2">
      <c r="B3734" t="s">
        <v>44</v>
      </c>
      <c r="C3734" t="str">
        <f>HYPERLINK("https://us2.cloudbeds.com/connect/8493803454333002#/reservations/55885730980035?display=16ZA0VM31W&amp;reservation_id=55885730980035", "16ZA0VM31W")</f>
        <v>16ZA0VM31W</v>
      </c>
      <c r="D3734" t="s">
        <v>45</v>
      </c>
      <c r="E3734" t="s">
        <v>110</v>
      </c>
      <c r="F3734" t="s">
        <v>47</v>
      </c>
      <c r="G3734" t="s">
        <v>48</v>
      </c>
      <c r="H3734" t="s">
        <v>49</v>
      </c>
      <c r="I3734" t="s">
        <v>50</v>
      </c>
      <c r="J3734" t="s">
        <v>5957</v>
      </c>
      <c r="K3734" t="s">
        <v>5666</v>
      </c>
      <c r="L3734" t="s">
        <v>53</v>
      </c>
      <c r="N3734" t="s">
        <v>6288</v>
      </c>
      <c r="P3734" t="s">
        <v>55</v>
      </c>
      <c r="R3734" t="s">
        <v>53</v>
      </c>
      <c r="T3734" t="s">
        <v>6289</v>
      </c>
      <c r="U3734" t="s">
        <v>58</v>
      </c>
      <c r="V3734">
        <v>1</v>
      </c>
      <c r="W3734">
        <v>1</v>
      </c>
      <c r="X3734">
        <v>2</v>
      </c>
      <c r="Y3734">
        <v>0</v>
      </c>
      <c r="Z3734">
        <v>2</v>
      </c>
      <c r="AA3734">
        <v>0</v>
      </c>
      <c r="AB3734">
        <v>62.6</v>
      </c>
      <c r="AC3734">
        <v>55.08</v>
      </c>
      <c r="AD3734">
        <v>0</v>
      </c>
      <c r="AE3734">
        <v>7.52</v>
      </c>
      <c r="AF3734">
        <v>0</v>
      </c>
      <c r="AG3734">
        <v>0</v>
      </c>
      <c r="AH3734">
        <v>0</v>
      </c>
      <c r="AI3734">
        <v>11.27</v>
      </c>
      <c r="AJ3734">
        <v>62.6</v>
      </c>
      <c r="AK3734">
        <v>0</v>
      </c>
      <c r="AL3734" t="s">
        <v>53</v>
      </c>
      <c r="AM3734" t="s">
        <v>53</v>
      </c>
      <c r="AN3734" t="s">
        <v>53</v>
      </c>
      <c r="AO3734" t="s">
        <v>53</v>
      </c>
      <c r="AP3734" t="s">
        <v>53</v>
      </c>
    </row>
    <row r="3735" spans="2:42" x14ac:dyDescent="0.2">
      <c r="B3735" t="s">
        <v>44</v>
      </c>
      <c r="C3735" t="str">
        <f>HYPERLINK("https://us2.cloudbeds.com/connect/8493803454333002#/reservations/55893826474203?display=16ZG9R0502&amp;reservation_id=55893826474203", "16ZG9R0502")</f>
        <v>16ZG9R0502</v>
      </c>
      <c r="D3735" t="s">
        <v>45</v>
      </c>
      <c r="E3735" t="s">
        <v>69</v>
      </c>
      <c r="F3735" t="s">
        <v>70</v>
      </c>
      <c r="G3735" t="s">
        <v>48</v>
      </c>
      <c r="H3735" t="s">
        <v>49</v>
      </c>
      <c r="I3735" t="s">
        <v>50</v>
      </c>
      <c r="J3735" t="s">
        <v>5381</v>
      </c>
      <c r="K3735" t="s">
        <v>4724</v>
      </c>
      <c r="L3735" t="s">
        <v>53</v>
      </c>
      <c r="N3735" t="s">
        <v>6290</v>
      </c>
      <c r="P3735" t="s">
        <v>55</v>
      </c>
      <c r="R3735" t="s">
        <v>53</v>
      </c>
      <c r="T3735" t="s">
        <v>6291</v>
      </c>
      <c r="U3735" t="s">
        <v>58</v>
      </c>
      <c r="V3735">
        <v>1</v>
      </c>
      <c r="W3735">
        <v>1</v>
      </c>
      <c r="X3735">
        <v>2</v>
      </c>
      <c r="Y3735">
        <v>0</v>
      </c>
      <c r="Z3735">
        <v>2</v>
      </c>
      <c r="AA3735">
        <v>0</v>
      </c>
      <c r="AB3735">
        <v>77.73</v>
      </c>
      <c r="AC3735">
        <v>68.400000000000006</v>
      </c>
      <c r="AD3735">
        <v>0</v>
      </c>
      <c r="AE3735">
        <v>9.33</v>
      </c>
      <c r="AF3735">
        <v>0</v>
      </c>
      <c r="AG3735">
        <v>0</v>
      </c>
      <c r="AH3735">
        <v>0</v>
      </c>
      <c r="AI3735">
        <v>13.99</v>
      </c>
      <c r="AJ3735">
        <v>77.73</v>
      </c>
      <c r="AK3735">
        <v>0</v>
      </c>
      <c r="AL3735" t="s">
        <v>53</v>
      </c>
      <c r="AM3735" t="s">
        <v>53</v>
      </c>
      <c r="AN3735" t="s">
        <v>53</v>
      </c>
      <c r="AO3735" t="s">
        <v>53</v>
      </c>
      <c r="AP3735" t="s">
        <v>53</v>
      </c>
    </row>
    <row r="3736" spans="2:42" x14ac:dyDescent="0.2">
      <c r="B3736" t="s">
        <v>44</v>
      </c>
      <c r="C3736" t="str">
        <f>HYPERLINK("https://us2.cloudbeds.com/connect/8493803454333002#/reservations/55903159271575?display=16ZNH9YWSY&amp;reservation_id=55903159271575", "16ZNH9YWSY")</f>
        <v>16ZNH9YWSY</v>
      </c>
      <c r="D3736" t="s">
        <v>45</v>
      </c>
      <c r="E3736" t="s">
        <v>110</v>
      </c>
      <c r="F3736" t="s">
        <v>47</v>
      </c>
      <c r="G3736" t="s">
        <v>48</v>
      </c>
      <c r="H3736" t="s">
        <v>3957</v>
      </c>
      <c r="I3736" t="s">
        <v>3989</v>
      </c>
      <c r="J3736" t="s">
        <v>5322</v>
      </c>
      <c r="K3736" t="s">
        <v>5850</v>
      </c>
      <c r="L3736" t="s">
        <v>53</v>
      </c>
      <c r="P3736" t="s">
        <v>55</v>
      </c>
      <c r="R3736" t="s">
        <v>56</v>
      </c>
      <c r="T3736" t="s">
        <v>6292</v>
      </c>
      <c r="U3736" t="s">
        <v>58</v>
      </c>
      <c r="V3736">
        <v>2</v>
      </c>
      <c r="W3736">
        <v>1</v>
      </c>
      <c r="X3736">
        <v>1</v>
      </c>
      <c r="Y3736">
        <v>0</v>
      </c>
      <c r="Z3736">
        <v>1</v>
      </c>
      <c r="AA3736">
        <v>0</v>
      </c>
      <c r="AB3736">
        <v>167.07</v>
      </c>
      <c r="AC3736">
        <v>147</v>
      </c>
      <c r="AD3736">
        <v>0</v>
      </c>
      <c r="AE3736">
        <v>20.07</v>
      </c>
      <c r="AF3736">
        <v>0</v>
      </c>
      <c r="AG3736">
        <v>0</v>
      </c>
      <c r="AH3736">
        <v>0</v>
      </c>
      <c r="AI3736">
        <v>0</v>
      </c>
      <c r="AJ3736">
        <v>167.07</v>
      </c>
      <c r="AK3736">
        <v>0</v>
      </c>
      <c r="AL3736" t="s">
        <v>53</v>
      </c>
      <c r="AM3736" t="s">
        <v>53</v>
      </c>
      <c r="AN3736" t="s">
        <v>53</v>
      </c>
      <c r="AO3736" t="s">
        <v>53</v>
      </c>
      <c r="AP3736" t="s">
        <v>53</v>
      </c>
    </row>
    <row r="3737" spans="2:42" x14ac:dyDescent="0.2">
      <c r="B3737" t="s">
        <v>44</v>
      </c>
      <c r="C3737" t="str">
        <f>HYPERLINK("https://us2.cloudbeds.com/connect/8493803454333002#/reservations/55963027652774?display=16Q3T28VHA&amp;reservation_id=55963027652774", "16Q3T28VHA")</f>
        <v>16Q3T28VHA</v>
      </c>
      <c r="D3737" t="s">
        <v>45</v>
      </c>
      <c r="E3737" t="s">
        <v>121</v>
      </c>
      <c r="F3737" t="s">
        <v>86</v>
      </c>
      <c r="G3737" t="s">
        <v>48</v>
      </c>
      <c r="H3737" t="s">
        <v>49</v>
      </c>
      <c r="I3737" t="s">
        <v>50</v>
      </c>
      <c r="J3737" t="s">
        <v>5570</v>
      </c>
      <c r="K3737" t="s">
        <v>5619</v>
      </c>
      <c r="L3737" t="s">
        <v>53</v>
      </c>
      <c r="N3737" t="s">
        <v>6293</v>
      </c>
      <c r="P3737" t="s">
        <v>55</v>
      </c>
      <c r="R3737" t="s">
        <v>53</v>
      </c>
      <c r="T3737" t="s">
        <v>6294</v>
      </c>
      <c r="U3737" t="s">
        <v>58</v>
      </c>
      <c r="V3737">
        <v>3</v>
      </c>
      <c r="W3737">
        <v>1</v>
      </c>
      <c r="X3737">
        <v>2</v>
      </c>
      <c r="Y3737">
        <v>2</v>
      </c>
      <c r="Z3737">
        <v>4</v>
      </c>
      <c r="AA3737">
        <v>0</v>
      </c>
      <c r="AB3737">
        <v>222.76</v>
      </c>
      <c r="AC3737">
        <v>196</v>
      </c>
      <c r="AD3737">
        <v>0</v>
      </c>
      <c r="AE3737">
        <v>26.76</v>
      </c>
      <c r="AF3737">
        <v>0</v>
      </c>
      <c r="AG3737">
        <v>0</v>
      </c>
      <c r="AH3737">
        <v>0</v>
      </c>
      <c r="AI3737">
        <v>40.1</v>
      </c>
      <c r="AJ3737">
        <v>222.76</v>
      </c>
      <c r="AK3737">
        <v>0</v>
      </c>
      <c r="AL3737" t="s">
        <v>53</v>
      </c>
      <c r="AM3737" t="s">
        <v>53</v>
      </c>
      <c r="AN3737" t="s">
        <v>53</v>
      </c>
      <c r="AO3737" t="s">
        <v>53</v>
      </c>
      <c r="AP3737" t="s">
        <v>53</v>
      </c>
    </row>
    <row r="3738" spans="2:42" x14ac:dyDescent="0.2">
      <c r="B3738" t="s">
        <v>44</v>
      </c>
      <c r="C3738" t="str">
        <f>HYPERLINK("https://us2.cloudbeds.com/connect/8493803454333002#/reservations/56221714342023?display=16W663ZDNK&amp;reservation_id=56221714342023", "16W663ZDNK")</f>
        <v>16W663ZDNK</v>
      </c>
      <c r="D3738" t="s">
        <v>45</v>
      </c>
      <c r="E3738" t="s">
        <v>92</v>
      </c>
      <c r="F3738" t="s">
        <v>86</v>
      </c>
      <c r="G3738" t="s">
        <v>48</v>
      </c>
      <c r="H3738" t="s">
        <v>49</v>
      </c>
      <c r="I3738" t="s">
        <v>62</v>
      </c>
      <c r="J3738" t="s">
        <v>5322</v>
      </c>
      <c r="K3738" t="s">
        <v>5850</v>
      </c>
      <c r="L3738" t="s">
        <v>53</v>
      </c>
      <c r="N3738" t="s">
        <v>6295</v>
      </c>
      <c r="P3738" t="s">
        <v>55</v>
      </c>
      <c r="R3738" t="s">
        <v>56</v>
      </c>
      <c r="T3738" t="s">
        <v>6296</v>
      </c>
      <c r="U3738" t="s">
        <v>55</v>
      </c>
      <c r="V3738">
        <v>2</v>
      </c>
      <c r="W3738">
        <v>1</v>
      </c>
      <c r="X3738">
        <v>2</v>
      </c>
      <c r="Y3738">
        <v>0</v>
      </c>
      <c r="Z3738">
        <v>2</v>
      </c>
      <c r="AA3738">
        <v>0</v>
      </c>
      <c r="AB3738">
        <v>161</v>
      </c>
      <c r="AC3738">
        <v>161</v>
      </c>
      <c r="AD3738">
        <v>0</v>
      </c>
      <c r="AE3738">
        <v>0</v>
      </c>
      <c r="AF3738">
        <v>0</v>
      </c>
      <c r="AG3738">
        <v>0</v>
      </c>
      <c r="AH3738">
        <v>0</v>
      </c>
      <c r="AI3738">
        <v>28.98</v>
      </c>
      <c r="AJ3738">
        <v>161</v>
      </c>
      <c r="AK3738">
        <v>0</v>
      </c>
      <c r="AL3738" t="s">
        <v>53</v>
      </c>
      <c r="AM3738" t="s">
        <v>53</v>
      </c>
      <c r="AN3738" t="s">
        <v>53</v>
      </c>
      <c r="AO3738" t="s">
        <v>53</v>
      </c>
      <c r="AP3738" t="s">
        <v>53</v>
      </c>
    </row>
    <row r="3739" spans="2:42" x14ac:dyDescent="0.2">
      <c r="B3739" t="s">
        <v>44</v>
      </c>
      <c r="C3739" t="str">
        <f>HYPERLINK("https://us2.cloudbeds.com/connect/8493803454333002#/reservations/56224106582214?display=16W817V0RK&amp;reservation_id=56224106582214", "16W817V0RK")</f>
        <v>16W817V0RK</v>
      </c>
      <c r="D3739" t="s">
        <v>45</v>
      </c>
      <c r="E3739" t="s">
        <v>69</v>
      </c>
      <c r="F3739" t="s">
        <v>70</v>
      </c>
      <c r="G3739" t="s">
        <v>48</v>
      </c>
      <c r="H3739" t="s">
        <v>49</v>
      </c>
      <c r="I3739" t="s">
        <v>50</v>
      </c>
      <c r="J3739" t="s">
        <v>6019</v>
      </c>
      <c r="K3739" t="s">
        <v>5322</v>
      </c>
      <c r="L3739" t="s">
        <v>53</v>
      </c>
      <c r="N3739" t="s">
        <v>6297</v>
      </c>
      <c r="P3739" t="s">
        <v>55</v>
      </c>
      <c r="R3739" t="s">
        <v>53</v>
      </c>
      <c r="T3739" t="s">
        <v>6298</v>
      </c>
      <c r="U3739" t="s">
        <v>58</v>
      </c>
      <c r="V3739">
        <v>1</v>
      </c>
      <c r="W3739">
        <v>1</v>
      </c>
      <c r="X3739">
        <v>1</v>
      </c>
      <c r="Y3739">
        <v>0</v>
      </c>
      <c r="Z3739">
        <v>1</v>
      </c>
      <c r="AA3739">
        <v>0</v>
      </c>
      <c r="AB3739">
        <v>64.430000000000007</v>
      </c>
      <c r="AC3739">
        <v>56.7</v>
      </c>
      <c r="AD3739">
        <v>0</v>
      </c>
      <c r="AE3739">
        <v>7.73</v>
      </c>
      <c r="AF3739">
        <v>0</v>
      </c>
      <c r="AG3739">
        <v>0</v>
      </c>
      <c r="AH3739">
        <v>0</v>
      </c>
      <c r="AI3739">
        <v>11.6</v>
      </c>
      <c r="AJ3739">
        <v>64.430000000000007</v>
      </c>
      <c r="AK3739">
        <v>0</v>
      </c>
      <c r="AL3739" t="s">
        <v>53</v>
      </c>
      <c r="AM3739" t="s">
        <v>53</v>
      </c>
      <c r="AN3739" t="s">
        <v>53</v>
      </c>
      <c r="AO3739" t="s">
        <v>53</v>
      </c>
      <c r="AP3739" t="s">
        <v>53</v>
      </c>
    </row>
    <row r="3740" spans="2:42" x14ac:dyDescent="0.2">
      <c r="B3740" t="s">
        <v>44</v>
      </c>
      <c r="C3740" t="str">
        <f>HYPERLINK("https://us2.cloudbeds.com/connect/8493803454333002#/reservations/56276814737553?display=170FS1S4Q2&amp;reservation_id=56276814737553", "170FS1S4Q2")</f>
        <v>170FS1S4Q2</v>
      </c>
      <c r="D3740" t="s">
        <v>45</v>
      </c>
      <c r="E3740" t="s">
        <v>138</v>
      </c>
      <c r="F3740" t="s">
        <v>70</v>
      </c>
      <c r="G3740" t="s">
        <v>48</v>
      </c>
      <c r="H3740" t="s">
        <v>49</v>
      </c>
      <c r="I3740" t="s">
        <v>50</v>
      </c>
      <c r="J3740" t="s">
        <v>4724</v>
      </c>
      <c r="K3740" t="s">
        <v>5321</v>
      </c>
      <c r="L3740" t="s">
        <v>53</v>
      </c>
      <c r="N3740" t="s">
        <v>6299</v>
      </c>
      <c r="P3740" t="s">
        <v>55</v>
      </c>
      <c r="R3740" t="s">
        <v>53</v>
      </c>
      <c r="T3740" t="s">
        <v>6300</v>
      </c>
      <c r="U3740" t="s">
        <v>58</v>
      </c>
      <c r="V3740">
        <v>1</v>
      </c>
      <c r="W3740">
        <v>1</v>
      </c>
      <c r="X3740">
        <v>1</v>
      </c>
      <c r="Y3740">
        <v>0</v>
      </c>
      <c r="Z3740">
        <v>1</v>
      </c>
      <c r="AA3740">
        <v>0</v>
      </c>
      <c r="AB3740">
        <v>60.85</v>
      </c>
      <c r="AC3740">
        <v>53.55</v>
      </c>
      <c r="AD3740">
        <v>0</v>
      </c>
      <c r="AE3740">
        <v>7.3</v>
      </c>
      <c r="AF3740">
        <v>0</v>
      </c>
      <c r="AG3740">
        <v>0</v>
      </c>
      <c r="AH3740">
        <v>0</v>
      </c>
      <c r="AI3740">
        <v>10.95</v>
      </c>
      <c r="AJ3740">
        <v>60.85</v>
      </c>
      <c r="AK3740">
        <v>0</v>
      </c>
      <c r="AL3740" t="s">
        <v>53</v>
      </c>
      <c r="AM3740" t="s">
        <v>53</v>
      </c>
      <c r="AN3740" t="s">
        <v>53</v>
      </c>
      <c r="AO3740" t="s">
        <v>53</v>
      </c>
      <c r="AP3740" t="s">
        <v>53</v>
      </c>
    </row>
    <row r="3741" spans="2:42" x14ac:dyDescent="0.2">
      <c r="B3741" t="s">
        <v>44</v>
      </c>
      <c r="C3741" t="str">
        <f>HYPERLINK("https://us2.cloudbeds.com/connect/8493803454333002#/reservations/56306027106488?display=1715FGGCA4&amp;reservation_id=56306027106488", "1715FGGCA4")</f>
        <v>1715FGGCA4</v>
      </c>
      <c r="D3741" t="s">
        <v>45</v>
      </c>
      <c r="E3741" t="s">
        <v>78</v>
      </c>
      <c r="F3741" t="s">
        <v>61</v>
      </c>
      <c r="G3741" t="s">
        <v>48</v>
      </c>
      <c r="H3741" t="s">
        <v>49</v>
      </c>
      <c r="I3741" t="s">
        <v>50</v>
      </c>
      <c r="J3741" t="s">
        <v>4724</v>
      </c>
      <c r="K3741" t="s">
        <v>5382</v>
      </c>
      <c r="L3741" t="s">
        <v>53</v>
      </c>
      <c r="N3741" t="s">
        <v>6301</v>
      </c>
      <c r="P3741" t="s">
        <v>55</v>
      </c>
      <c r="R3741" t="s">
        <v>53</v>
      </c>
      <c r="T3741" t="s">
        <v>6302</v>
      </c>
      <c r="U3741" t="s">
        <v>58</v>
      </c>
      <c r="V3741">
        <v>2</v>
      </c>
      <c r="W3741">
        <v>1</v>
      </c>
      <c r="X3741">
        <v>1</v>
      </c>
      <c r="Y3741">
        <v>0</v>
      </c>
      <c r="Z3741">
        <v>1</v>
      </c>
      <c r="AA3741">
        <v>0</v>
      </c>
      <c r="AB3741">
        <v>149.34</v>
      </c>
      <c r="AC3741">
        <v>131.4</v>
      </c>
      <c r="AD3741">
        <v>0</v>
      </c>
      <c r="AE3741">
        <v>17.940000000000001</v>
      </c>
      <c r="AF3741">
        <v>0</v>
      </c>
      <c r="AG3741">
        <v>0</v>
      </c>
      <c r="AH3741">
        <v>0</v>
      </c>
      <c r="AI3741">
        <v>26.88</v>
      </c>
      <c r="AJ3741">
        <v>149.34</v>
      </c>
      <c r="AK3741">
        <v>0</v>
      </c>
      <c r="AL3741" t="s">
        <v>53</v>
      </c>
      <c r="AM3741" t="s">
        <v>53</v>
      </c>
      <c r="AN3741" t="s">
        <v>53</v>
      </c>
      <c r="AO3741" t="s">
        <v>53</v>
      </c>
      <c r="AP3741" t="s">
        <v>53</v>
      </c>
    </row>
    <row r="3742" spans="2:42" x14ac:dyDescent="0.2">
      <c r="B3742" t="s">
        <v>44</v>
      </c>
      <c r="C3742" t="str">
        <f>HYPERLINK("https://us2.cloudbeds.com/connect/8493803454333002#/reservations/56335549427956?display=171SASGG26&amp;reservation_id=56335549427956", "171SASGG26")</f>
        <v>171SASGG26</v>
      </c>
      <c r="D3742" t="s">
        <v>45</v>
      </c>
      <c r="E3742" t="s">
        <v>110</v>
      </c>
      <c r="F3742" t="s">
        <v>47</v>
      </c>
      <c r="G3742" t="s">
        <v>48</v>
      </c>
      <c r="H3742" t="s">
        <v>49</v>
      </c>
      <c r="I3742" t="s">
        <v>50</v>
      </c>
      <c r="J3742" t="s">
        <v>5850</v>
      </c>
      <c r="K3742" t="s">
        <v>5555</v>
      </c>
      <c r="L3742" t="s">
        <v>53</v>
      </c>
      <c r="N3742" t="s">
        <v>6303</v>
      </c>
      <c r="P3742" t="s">
        <v>55</v>
      </c>
      <c r="R3742" t="s">
        <v>53</v>
      </c>
      <c r="T3742" t="s">
        <v>6304</v>
      </c>
      <c r="U3742" t="s">
        <v>58</v>
      </c>
      <c r="V3742">
        <v>1</v>
      </c>
      <c r="W3742">
        <v>1</v>
      </c>
      <c r="X3742">
        <v>1</v>
      </c>
      <c r="Y3742">
        <v>0</v>
      </c>
      <c r="Z3742">
        <v>1</v>
      </c>
      <c r="AA3742">
        <v>0</v>
      </c>
      <c r="AB3742">
        <v>59.12</v>
      </c>
      <c r="AC3742">
        <v>52.02</v>
      </c>
      <c r="AD3742">
        <v>0</v>
      </c>
      <c r="AE3742">
        <v>7.1</v>
      </c>
      <c r="AF3742">
        <v>0</v>
      </c>
      <c r="AG3742">
        <v>0</v>
      </c>
      <c r="AH3742">
        <v>0</v>
      </c>
      <c r="AI3742">
        <v>10.64</v>
      </c>
      <c r="AJ3742">
        <v>59.12</v>
      </c>
      <c r="AK3742">
        <v>0</v>
      </c>
      <c r="AL3742" t="s">
        <v>53</v>
      </c>
      <c r="AM3742" t="s">
        <v>53</v>
      </c>
      <c r="AN3742" t="s">
        <v>53</v>
      </c>
      <c r="AO3742" t="s">
        <v>53</v>
      </c>
      <c r="AP3742" t="s">
        <v>53</v>
      </c>
    </row>
    <row r="3743" spans="2:42" x14ac:dyDescent="0.2">
      <c r="B3743" t="s">
        <v>44</v>
      </c>
      <c r="C3743" t="str">
        <f>HYPERLINK("https://us2.cloudbeds.com/connect/8493803454333002#/reservations/56561147465863?display=17750DZEP6&amp;reservation_id=56561147465863", "17750DZEP6")</f>
        <v>17750DZEP6</v>
      </c>
      <c r="D3743" t="s">
        <v>45</v>
      </c>
      <c r="E3743" t="s">
        <v>113</v>
      </c>
      <c r="F3743" t="s">
        <v>61</v>
      </c>
      <c r="G3743" t="s">
        <v>48</v>
      </c>
      <c r="H3743" t="s">
        <v>49</v>
      </c>
      <c r="I3743" t="s">
        <v>50</v>
      </c>
      <c r="J3743" t="s">
        <v>6305</v>
      </c>
      <c r="K3743" t="s">
        <v>5531</v>
      </c>
      <c r="L3743" t="s">
        <v>53</v>
      </c>
      <c r="N3743" t="s">
        <v>6306</v>
      </c>
      <c r="P3743" t="s">
        <v>55</v>
      </c>
      <c r="R3743" t="s">
        <v>53</v>
      </c>
      <c r="T3743" t="s">
        <v>6307</v>
      </c>
      <c r="U3743" t="s">
        <v>58</v>
      </c>
      <c r="V3743">
        <v>1</v>
      </c>
      <c r="W3743">
        <v>1</v>
      </c>
      <c r="X3743">
        <v>2</v>
      </c>
      <c r="Y3743">
        <v>0</v>
      </c>
      <c r="Z3743">
        <v>2</v>
      </c>
      <c r="AA3743">
        <v>0</v>
      </c>
      <c r="AB3743">
        <v>74.67</v>
      </c>
      <c r="AC3743">
        <v>65.7</v>
      </c>
      <c r="AD3743">
        <v>0</v>
      </c>
      <c r="AE3743">
        <v>8.9700000000000006</v>
      </c>
      <c r="AF3743">
        <v>0</v>
      </c>
      <c r="AG3743">
        <v>0</v>
      </c>
      <c r="AH3743">
        <v>0</v>
      </c>
      <c r="AI3743">
        <v>13.44</v>
      </c>
      <c r="AJ3743">
        <v>74.67</v>
      </c>
      <c r="AK3743">
        <v>0</v>
      </c>
      <c r="AL3743" t="s">
        <v>53</v>
      </c>
      <c r="AM3743" t="s">
        <v>53</v>
      </c>
      <c r="AN3743" t="s">
        <v>53</v>
      </c>
      <c r="AO3743" t="s">
        <v>53</v>
      </c>
      <c r="AP3743" t="s">
        <v>53</v>
      </c>
    </row>
    <row r="3744" spans="2:42" x14ac:dyDescent="0.2">
      <c r="B3744" t="s">
        <v>44</v>
      </c>
      <c r="C3744" t="str">
        <f>HYPERLINK("https://us2.cloudbeds.com/connect/8493803454333002#/reservations/56591767449799?display=177SNRAY19&amp;reservation_id=56591767449799", "177SNRAY19")</f>
        <v>177SNRAY19</v>
      </c>
      <c r="D3744" t="s">
        <v>45</v>
      </c>
      <c r="E3744" t="s">
        <v>113</v>
      </c>
      <c r="F3744" t="s">
        <v>61</v>
      </c>
      <c r="G3744" t="s">
        <v>48</v>
      </c>
      <c r="H3744" t="s">
        <v>49</v>
      </c>
      <c r="I3744" t="s">
        <v>50</v>
      </c>
      <c r="J3744" t="s">
        <v>5321</v>
      </c>
      <c r="K3744" t="s">
        <v>5382</v>
      </c>
      <c r="L3744" t="s">
        <v>53</v>
      </c>
      <c r="N3744" t="s">
        <v>6308</v>
      </c>
      <c r="P3744" t="s">
        <v>55</v>
      </c>
      <c r="R3744" t="s">
        <v>53</v>
      </c>
      <c r="T3744" t="s">
        <v>6309</v>
      </c>
      <c r="U3744" t="s">
        <v>58</v>
      </c>
      <c r="V3744">
        <v>1</v>
      </c>
      <c r="W3744">
        <v>1</v>
      </c>
      <c r="X3744">
        <v>2</v>
      </c>
      <c r="Y3744">
        <v>0</v>
      </c>
      <c r="Z3744">
        <v>2</v>
      </c>
      <c r="AA3744">
        <v>0</v>
      </c>
      <c r="AB3744">
        <v>74.67</v>
      </c>
      <c r="AC3744">
        <v>65.7</v>
      </c>
      <c r="AD3744">
        <v>0</v>
      </c>
      <c r="AE3744">
        <v>8.9700000000000006</v>
      </c>
      <c r="AF3744">
        <v>0</v>
      </c>
      <c r="AG3744">
        <v>0</v>
      </c>
      <c r="AH3744">
        <v>0</v>
      </c>
      <c r="AI3744">
        <v>13.44</v>
      </c>
      <c r="AJ3744">
        <v>74.67</v>
      </c>
      <c r="AK3744">
        <v>0</v>
      </c>
      <c r="AL3744" t="s">
        <v>53</v>
      </c>
      <c r="AM3744" t="s">
        <v>53</v>
      </c>
      <c r="AN3744" t="s">
        <v>53</v>
      </c>
      <c r="AO3744" t="s">
        <v>53</v>
      </c>
      <c r="AP3744" t="s">
        <v>53</v>
      </c>
    </row>
    <row r="3745" spans="2:42" x14ac:dyDescent="0.2">
      <c r="B3745" t="s">
        <v>44</v>
      </c>
      <c r="C3745" t="str">
        <f>HYPERLINK("https://us2.cloudbeds.com/connect/8493803454333002#/reservations/56609219616967?display=17897PEU6R&amp;reservation_id=56609219616967", "17897PEU6R")</f>
        <v>17897PEU6R</v>
      </c>
      <c r="D3745" t="s">
        <v>45</v>
      </c>
      <c r="E3745" t="s">
        <v>128</v>
      </c>
      <c r="F3745" t="s">
        <v>86</v>
      </c>
      <c r="G3745" t="s">
        <v>48</v>
      </c>
      <c r="H3745" t="s">
        <v>49</v>
      </c>
      <c r="I3745" t="s">
        <v>50</v>
      </c>
      <c r="J3745" t="s">
        <v>5322</v>
      </c>
      <c r="K3745" t="s">
        <v>5850</v>
      </c>
      <c r="L3745" t="s">
        <v>53</v>
      </c>
      <c r="N3745" t="s">
        <v>6310</v>
      </c>
      <c r="P3745" t="s">
        <v>55</v>
      </c>
      <c r="R3745" t="s">
        <v>53</v>
      </c>
      <c r="T3745" t="s">
        <v>6311</v>
      </c>
      <c r="U3745" t="s">
        <v>58</v>
      </c>
      <c r="V3745">
        <v>2</v>
      </c>
      <c r="W3745">
        <v>1</v>
      </c>
      <c r="X3745">
        <v>3</v>
      </c>
      <c r="Y3745">
        <v>0</v>
      </c>
      <c r="Z3745">
        <v>3</v>
      </c>
      <c r="AA3745">
        <v>0</v>
      </c>
      <c r="AB3745">
        <v>165.7</v>
      </c>
      <c r="AC3745">
        <v>145.80000000000001</v>
      </c>
      <c r="AD3745">
        <v>0</v>
      </c>
      <c r="AE3745">
        <v>19.899999999999999</v>
      </c>
      <c r="AF3745">
        <v>0</v>
      </c>
      <c r="AG3745">
        <v>0</v>
      </c>
      <c r="AH3745">
        <v>0</v>
      </c>
      <c r="AI3745">
        <v>29.83</v>
      </c>
      <c r="AJ3745">
        <v>165.7</v>
      </c>
      <c r="AK3745">
        <v>0</v>
      </c>
      <c r="AL3745" t="s">
        <v>53</v>
      </c>
      <c r="AM3745" t="s">
        <v>53</v>
      </c>
      <c r="AN3745" t="s">
        <v>53</v>
      </c>
      <c r="AO3745" t="s">
        <v>53</v>
      </c>
      <c r="AP3745" t="s">
        <v>53</v>
      </c>
    </row>
    <row r="3746" spans="2:42" x14ac:dyDescent="0.2">
      <c r="B3746" t="s">
        <v>44</v>
      </c>
      <c r="C3746" t="str">
        <f>HYPERLINK("https://us2.cloudbeds.com/connect/8493803454333002#/reservations/56612950089906?display=178C432R6B&amp;reservation_id=56612950089906", "178C432R6B")</f>
        <v>178C432R6B</v>
      </c>
      <c r="D3746" t="s">
        <v>45</v>
      </c>
      <c r="E3746" t="s">
        <v>78</v>
      </c>
      <c r="F3746" t="s">
        <v>61</v>
      </c>
      <c r="G3746" t="s">
        <v>48</v>
      </c>
      <c r="H3746" t="s">
        <v>49</v>
      </c>
      <c r="I3746" t="s">
        <v>50</v>
      </c>
      <c r="J3746" t="s">
        <v>5570</v>
      </c>
      <c r="K3746" t="s">
        <v>5571</v>
      </c>
      <c r="L3746" t="s">
        <v>53</v>
      </c>
      <c r="N3746" t="s">
        <v>6312</v>
      </c>
      <c r="P3746" t="s">
        <v>55</v>
      </c>
      <c r="R3746" t="s">
        <v>53</v>
      </c>
      <c r="T3746" t="s">
        <v>6313</v>
      </c>
      <c r="U3746" t="s">
        <v>58</v>
      </c>
      <c r="V3746">
        <v>1</v>
      </c>
      <c r="W3746">
        <v>1</v>
      </c>
      <c r="X3746">
        <v>2</v>
      </c>
      <c r="Y3746">
        <v>0</v>
      </c>
      <c r="Z3746">
        <v>2</v>
      </c>
      <c r="AA3746">
        <v>0</v>
      </c>
      <c r="AB3746">
        <v>59.73</v>
      </c>
      <c r="AC3746">
        <v>52.56</v>
      </c>
      <c r="AD3746">
        <v>0</v>
      </c>
      <c r="AE3746">
        <v>7.17</v>
      </c>
      <c r="AF3746">
        <v>0</v>
      </c>
      <c r="AG3746">
        <v>0</v>
      </c>
      <c r="AH3746">
        <v>0</v>
      </c>
      <c r="AI3746">
        <v>10.75</v>
      </c>
      <c r="AJ3746">
        <v>59.73</v>
      </c>
      <c r="AK3746">
        <v>0</v>
      </c>
      <c r="AL3746" t="s">
        <v>53</v>
      </c>
      <c r="AM3746" t="s">
        <v>53</v>
      </c>
      <c r="AN3746" t="s">
        <v>53</v>
      </c>
      <c r="AO3746" t="s">
        <v>53</v>
      </c>
      <c r="AP3746" t="s">
        <v>53</v>
      </c>
    </row>
    <row r="3747" spans="2:42" x14ac:dyDescent="0.2">
      <c r="B3747" t="s">
        <v>44</v>
      </c>
      <c r="C3747" t="str">
        <f>HYPERLINK("https://us2.cloudbeds.com/connect/8493803454333002#/reservations/56669743542428?display=179N39RBT4&amp;reservation_id=56669743542428", "179N39RBT4")</f>
        <v>179N39RBT4</v>
      </c>
      <c r="D3747" t="s">
        <v>45</v>
      </c>
      <c r="E3747" t="s">
        <v>265</v>
      </c>
      <c r="F3747" t="s">
        <v>61</v>
      </c>
      <c r="G3747" t="s">
        <v>48</v>
      </c>
      <c r="H3747" t="s">
        <v>49</v>
      </c>
      <c r="I3747" t="s">
        <v>62</v>
      </c>
      <c r="J3747" t="s">
        <v>5554</v>
      </c>
      <c r="K3747" t="s">
        <v>5850</v>
      </c>
      <c r="L3747" t="s">
        <v>53</v>
      </c>
      <c r="N3747" t="s">
        <v>6314</v>
      </c>
      <c r="P3747" t="s">
        <v>55</v>
      </c>
      <c r="R3747" t="s">
        <v>56</v>
      </c>
      <c r="T3747" t="s">
        <v>6315</v>
      </c>
      <c r="U3747" t="s">
        <v>55</v>
      </c>
      <c r="V3747">
        <v>1</v>
      </c>
      <c r="W3747">
        <v>1</v>
      </c>
      <c r="X3747">
        <v>2</v>
      </c>
      <c r="Y3747">
        <v>0</v>
      </c>
      <c r="Z3747">
        <v>2</v>
      </c>
      <c r="AA3747">
        <v>0</v>
      </c>
      <c r="AB3747">
        <v>73</v>
      </c>
      <c r="AC3747">
        <v>73</v>
      </c>
      <c r="AD3747">
        <v>0</v>
      </c>
      <c r="AE3747">
        <v>0</v>
      </c>
      <c r="AF3747">
        <v>0</v>
      </c>
      <c r="AG3747">
        <v>0</v>
      </c>
      <c r="AH3747">
        <v>0</v>
      </c>
      <c r="AI3747">
        <v>13.14</v>
      </c>
      <c r="AJ3747">
        <v>73</v>
      </c>
      <c r="AK3747">
        <v>0</v>
      </c>
      <c r="AL3747" t="s">
        <v>53</v>
      </c>
      <c r="AM3747" t="s">
        <v>53</v>
      </c>
      <c r="AN3747" t="s">
        <v>53</v>
      </c>
      <c r="AO3747" t="s">
        <v>53</v>
      </c>
      <c r="AP3747" t="s">
        <v>53</v>
      </c>
    </row>
    <row r="3748" spans="2:42" x14ac:dyDescent="0.2">
      <c r="B3748" t="s">
        <v>44</v>
      </c>
      <c r="C3748" t="str">
        <f>HYPERLINK("https://us2.cloudbeds.com/connect/8493803454333002#/reservations/56841800298641?display=17DZAZY7YG&amp;reservation_id=56841800298641", "17DZAZY7YG")</f>
        <v>17DZAZY7YG</v>
      </c>
      <c r="D3748" t="s">
        <v>45</v>
      </c>
      <c r="E3748" t="s">
        <v>487</v>
      </c>
      <c r="F3748" t="s">
        <v>61</v>
      </c>
      <c r="G3748" t="s">
        <v>3974</v>
      </c>
      <c r="H3748" t="s">
        <v>3957</v>
      </c>
      <c r="I3748" t="s">
        <v>3975</v>
      </c>
      <c r="J3748" t="s">
        <v>6078</v>
      </c>
      <c r="K3748" t="s">
        <v>5678</v>
      </c>
      <c r="L3748" t="s">
        <v>53</v>
      </c>
      <c r="P3748" t="s">
        <v>55</v>
      </c>
      <c r="R3748" t="s">
        <v>56</v>
      </c>
      <c r="T3748" t="s">
        <v>6316</v>
      </c>
      <c r="U3748" t="s">
        <v>58</v>
      </c>
      <c r="V3748">
        <v>2</v>
      </c>
      <c r="W3748">
        <v>1</v>
      </c>
      <c r="X3748">
        <v>2</v>
      </c>
      <c r="Y3748">
        <v>0</v>
      </c>
      <c r="Z3748">
        <v>2</v>
      </c>
      <c r="AA3748">
        <v>0</v>
      </c>
      <c r="AB3748">
        <v>155.47999999999999</v>
      </c>
      <c r="AC3748">
        <v>136.80000000000001</v>
      </c>
      <c r="AD3748">
        <v>0</v>
      </c>
      <c r="AE3748">
        <v>18.68</v>
      </c>
      <c r="AF3748">
        <v>0</v>
      </c>
      <c r="AG3748">
        <v>0</v>
      </c>
      <c r="AH3748">
        <v>0</v>
      </c>
      <c r="AI3748">
        <v>0</v>
      </c>
      <c r="AJ3748">
        <v>155.47999999999999</v>
      </c>
      <c r="AK3748">
        <v>0</v>
      </c>
      <c r="AL3748" t="s">
        <v>53</v>
      </c>
      <c r="AM3748" t="s">
        <v>53</v>
      </c>
      <c r="AN3748" t="s">
        <v>53</v>
      </c>
      <c r="AO3748" t="s">
        <v>53</v>
      </c>
      <c r="AP3748" t="s">
        <v>53</v>
      </c>
    </row>
    <row r="3749" spans="2:42" x14ac:dyDescent="0.2">
      <c r="B3749" t="s">
        <v>44</v>
      </c>
      <c r="C3749" t="str">
        <f>HYPERLINK("https://us2.cloudbeds.com/connect/8493803454333002#/reservations/56920380096658?display=17FJ5Y6V80&amp;reservation_id=56920380096658", "17FJ5Y6V80")</f>
        <v>17FJ5Y6V80</v>
      </c>
      <c r="D3749" t="s">
        <v>45</v>
      </c>
      <c r="E3749" t="s">
        <v>78</v>
      </c>
      <c r="F3749" t="s">
        <v>61</v>
      </c>
      <c r="G3749" t="s">
        <v>48</v>
      </c>
      <c r="H3749" t="s">
        <v>49</v>
      </c>
      <c r="I3749" t="s">
        <v>50</v>
      </c>
      <c r="J3749" t="s">
        <v>5382</v>
      </c>
      <c r="K3749" t="s">
        <v>5322</v>
      </c>
      <c r="L3749" t="s">
        <v>53</v>
      </c>
      <c r="N3749" t="s">
        <v>6317</v>
      </c>
      <c r="P3749" t="s">
        <v>55</v>
      </c>
      <c r="R3749" t="s">
        <v>53</v>
      </c>
      <c r="T3749" t="s">
        <v>6318</v>
      </c>
      <c r="U3749" t="s">
        <v>58</v>
      </c>
      <c r="V3749">
        <v>3</v>
      </c>
      <c r="W3749">
        <v>1</v>
      </c>
      <c r="X3749">
        <v>1</v>
      </c>
      <c r="Y3749">
        <v>0</v>
      </c>
      <c r="Z3749">
        <v>1</v>
      </c>
      <c r="AA3749">
        <v>0</v>
      </c>
      <c r="AB3749">
        <v>211.56</v>
      </c>
      <c r="AC3749">
        <v>186.15</v>
      </c>
      <c r="AD3749">
        <v>0</v>
      </c>
      <c r="AE3749">
        <v>25.41</v>
      </c>
      <c r="AF3749">
        <v>0</v>
      </c>
      <c r="AG3749">
        <v>0</v>
      </c>
      <c r="AH3749">
        <v>0</v>
      </c>
      <c r="AI3749">
        <v>38.08</v>
      </c>
      <c r="AJ3749">
        <v>211.56</v>
      </c>
      <c r="AK3749">
        <v>0</v>
      </c>
      <c r="AL3749" t="s">
        <v>53</v>
      </c>
      <c r="AM3749" t="s">
        <v>53</v>
      </c>
      <c r="AN3749" t="s">
        <v>53</v>
      </c>
      <c r="AO3749" t="s">
        <v>53</v>
      </c>
      <c r="AP3749" t="s">
        <v>53</v>
      </c>
    </row>
    <row r="3750" spans="2:42" x14ac:dyDescent="0.2">
      <c r="B3750" t="s">
        <v>44</v>
      </c>
      <c r="C3750" t="str">
        <f>HYPERLINK("https://us2.cloudbeds.com/connect/8493803454333002#/reservations/56952122765486?display=17GAZZFGFD&amp;reservation_id=56952122765486", "17GAZZFGFD")</f>
        <v>17GAZZFGFD</v>
      </c>
      <c r="D3750" t="s">
        <v>45</v>
      </c>
      <c r="E3750" t="s">
        <v>105</v>
      </c>
      <c r="F3750" t="s">
        <v>47</v>
      </c>
      <c r="G3750" t="s">
        <v>48</v>
      </c>
      <c r="H3750" t="s">
        <v>49</v>
      </c>
      <c r="I3750" t="s">
        <v>50</v>
      </c>
      <c r="J3750" t="s">
        <v>5711</v>
      </c>
      <c r="K3750" t="s">
        <v>6319</v>
      </c>
      <c r="L3750" t="s">
        <v>53</v>
      </c>
      <c r="N3750" t="s">
        <v>6320</v>
      </c>
      <c r="P3750" t="s">
        <v>55</v>
      </c>
      <c r="R3750" t="s">
        <v>53</v>
      </c>
      <c r="T3750" t="s">
        <v>6321</v>
      </c>
      <c r="U3750" t="s">
        <v>58</v>
      </c>
      <c r="V3750">
        <v>2</v>
      </c>
      <c r="W3750">
        <v>1</v>
      </c>
      <c r="X3750">
        <v>2</v>
      </c>
      <c r="Y3750">
        <v>0</v>
      </c>
      <c r="Z3750">
        <v>2</v>
      </c>
      <c r="AA3750">
        <v>0</v>
      </c>
      <c r="AB3750">
        <v>111.28</v>
      </c>
      <c r="AC3750">
        <v>97.92</v>
      </c>
      <c r="AD3750">
        <v>0</v>
      </c>
      <c r="AE3750">
        <v>13.36</v>
      </c>
      <c r="AF3750">
        <v>0</v>
      </c>
      <c r="AG3750">
        <v>0</v>
      </c>
      <c r="AH3750">
        <v>0</v>
      </c>
      <c r="AI3750">
        <v>20.03</v>
      </c>
      <c r="AJ3750">
        <v>111.28</v>
      </c>
      <c r="AK3750">
        <v>0</v>
      </c>
      <c r="AL3750" t="s">
        <v>53</v>
      </c>
      <c r="AM3750" t="s">
        <v>53</v>
      </c>
      <c r="AN3750" t="s">
        <v>53</v>
      </c>
      <c r="AO3750" t="s">
        <v>53</v>
      </c>
      <c r="AP3750" t="s">
        <v>53</v>
      </c>
    </row>
    <row r="3751" spans="2:42" x14ac:dyDescent="0.2">
      <c r="B3751" t="s">
        <v>44</v>
      </c>
      <c r="C3751" t="str">
        <f>HYPERLINK("https://us2.cloudbeds.com/connect/8493803454333002#/reservations/56956818595980?display=17GECZ3TS5&amp;reservation_id=56956818595980", "17GECZ3TS5")</f>
        <v>17GECZ3TS5</v>
      </c>
      <c r="D3751" t="s">
        <v>45</v>
      </c>
      <c r="E3751" t="s">
        <v>155</v>
      </c>
      <c r="F3751" t="s">
        <v>86</v>
      </c>
      <c r="G3751" t="s">
        <v>3974</v>
      </c>
      <c r="H3751" t="s">
        <v>3957</v>
      </c>
      <c r="I3751" t="s">
        <v>3975</v>
      </c>
      <c r="J3751" t="s">
        <v>5672</v>
      </c>
      <c r="K3751" t="s">
        <v>5571</v>
      </c>
      <c r="L3751" t="s">
        <v>53</v>
      </c>
      <c r="P3751" t="s">
        <v>55</v>
      </c>
      <c r="R3751" t="s">
        <v>56</v>
      </c>
      <c r="T3751" t="s">
        <v>6322</v>
      </c>
      <c r="U3751" t="s">
        <v>58</v>
      </c>
      <c r="V3751">
        <v>2</v>
      </c>
      <c r="W3751">
        <v>1</v>
      </c>
      <c r="X3751">
        <v>2</v>
      </c>
      <c r="Y3751">
        <v>0</v>
      </c>
      <c r="Z3751">
        <v>2</v>
      </c>
      <c r="AA3751">
        <v>0</v>
      </c>
      <c r="AB3751">
        <v>160.6</v>
      </c>
      <c r="AC3751">
        <v>141.30000000000001</v>
      </c>
      <c r="AD3751">
        <v>0</v>
      </c>
      <c r="AE3751">
        <v>19.3</v>
      </c>
      <c r="AF3751">
        <v>0</v>
      </c>
      <c r="AG3751">
        <v>0</v>
      </c>
      <c r="AH3751">
        <v>0</v>
      </c>
      <c r="AI3751">
        <v>0</v>
      </c>
      <c r="AJ3751">
        <v>160.6</v>
      </c>
      <c r="AK3751">
        <v>0</v>
      </c>
      <c r="AL3751" t="s">
        <v>53</v>
      </c>
      <c r="AM3751" t="s">
        <v>53</v>
      </c>
      <c r="AN3751" t="s">
        <v>53</v>
      </c>
      <c r="AO3751" t="s">
        <v>53</v>
      </c>
      <c r="AP3751" t="s">
        <v>53</v>
      </c>
    </row>
    <row r="3752" spans="2:42" x14ac:dyDescent="0.2">
      <c r="B3752" t="s">
        <v>44</v>
      </c>
      <c r="C3752" t="str">
        <f>HYPERLINK("https://us2.cloudbeds.com/connect/8493803454333002#/reservations/57012384223435?display=17HZDXHD4Z&amp;reservation_id=57012384223435", "17HZDXHD4Z")</f>
        <v>17HZDXHD4Z</v>
      </c>
      <c r="D3752" t="s">
        <v>45</v>
      </c>
      <c r="E3752" t="s">
        <v>128</v>
      </c>
      <c r="F3752" t="s">
        <v>86</v>
      </c>
      <c r="G3752" t="s">
        <v>48</v>
      </c>
      <c r="H3752" t="s">
        <v>49</v>
      </c>
      <c r="I3752" t="s">
        <v>62</v>
      </c>
      <c r="J3752" t="s">
        <v>5901</v>
      </c>
      <c r="K3752" t="s">
        <v>6305</v>
      </c>
      <c r="L3752" t="s">
        <v>53</v>
      </c>
      <c r="N3752" t="s">
        <v>6323</v>
      </c>
      <c r="P3752" t="s">
        <v>55</v>
      </c>
      <c r="R3752" t="s">
        <v>56</v>
      </c>
      <c r="T3752" t="s">
        <v>6324</v>
      </c>
      <c r="U3752" t="s">
        <v>55</v>
      </c>
      <c r="V3752">
        <v>1</v>
      </c>
      <c r="W3752">
        <v>1</v>
      </c>
      <c r="X3752">
        <v>3</v>
      </c>
      <c r="Y3752">
        <v>1</v>
      </c>
      <c r="Z3752">
        <v>4</v>
      </c>
      <c r="AA3752">
        <v>0</v>
      </c>
      <c r="AB3752">
        <v>77</v>
      </c>
      <c r="AC3752">
        <v>77</v>
      </c>
      <c r="AD3752">
        <v>0</v>
      </c>
      <c r="AE3752">
        <v>0</v>
      </c>
      <c r="AF3752">
        <v>0</v>
      </c>
      <c r="AG3752">
        <v>0</v>
      </c>
      <c r="AH3752">
        <v>0</v>
      </c>
      <c r="AI3752">
        <v>13.86</v>
      </c>
      <c r="AJ3752">
        <v>77</v>
      </c>
      <c r="AK3752">
        <v>0</v>
      </c>
      <c r="AL3752" t="s">
        <v>53</v>
      </c>
      <c r="AM3752" t="s">
        <v>53</v>
      </c>
      <c r="AN3752" t="s">
        <v>53</v>
      </c>
      <c r="AO3752" t="s">
        <v>53</v>
      </c>
      <c r="AP3752" t="s">
        <v>53</v>
      </c>
    </row>
    <row r="3753" spans="2:42" x14ac:dyDescent="0.2">
      <c r="B3753" t="s">
        <v>44</v>
      </c>
      <c r="C3753" t="str">
        <f>HYPERLINK("https://us2.cloudbeds.com/connect/8493803454333002#/reservations/57026721280162?display=17X2GTU4G6&amp;reservation_id=57026721280162", "17X2GTU4G6")</f>
        <v>17X2GTU4G6</v>
      </c>
      <c r="D3753" t="s">
        <v>45</v>
      </c>
      <c r="E3753" t="s">
        <v>105</v>
      </c>
      <c r="F3753" t="s">
        <v>47</v>
      </c>
      <c r="G3753" t="s">
        <v>48</v>
      </c>
      <c r="H3753" t="s">
        <v>49</v>
      </c>
      <c r="I3753" t="s">
        <v>62</v>
      </c>
      <c r="J3753" t="s">
        <v>5850</v>
      </c>
      <c r="K3753" t="s">
        <v>5555</v>
      </c>
      <c r="L3753" t="s">
        <v>53</v>
      </c>
      <c r="N3753" t="s">
        <v>6325</v>
      </c>
      <c r="P3753" t="s">
        <v>55</v>
      </c>
      <c r="R3753" t="s">
        <v>56</v>
      </c>
      <c r="T3753" t="s">
        <v>6326</v>
      </c>
      <c r="U3753" t="s">
        <v>55</v>
      </c>
      <c r="V3753">
        <v>1</v>
      </c>
      <c r="W3753">
        <v>1</v>
      </c>
      <c r="X3753">
        <v>1</v>
      </c>
      <c r="Y3753">
        <v>0</v>
      </c>
      <c r="Z3753">
        <v>1</v>
      </c>
      <c r="AA3753">
        <v>0</v>
      </c>
      <c r="AB3753">
        <v>68</v>
      </c>
      <c r="AC3753">
        <v>68</v>
      </c>
      <c r="AD3753">
        <v>0</v>
      </c>
      <c r="AE3753">
        <v>0</v>
      </c>
      <c r="AF3753">
        <v>0</v>
      </c>
      <c r="AG3753">
        <v>0</v>
      </c>
      <c r="AH3753">
        <v>0</v>
      </c>
      <c r="AI3753">
        <v>12.24</v>
      </c>
      <c r="AJ3753">
        <v>68</v>
      </c>
      <c r="AK3753">
        <v>0</v>
      </c>
      <c r="AL3753" t="s">
        <v>53</v>
      </c>
      <c r="AM3753" t="s">
        <v>53</v>
      </c>
      <c r="AN3753" t="s">
        <v>53</v>
      </c>
      <c r="AO3753" t="s">
        <v>53</v>
      </c>
      <c r="AP3753" t="s">
        <v>53</v>
      </c>
    </row>
    <row r="3754" spans="2:42" x14ac:dyDescent="0.2">
      <c r="B3754" t="s">
        <v>44</v>
      </c>
      <c r="C3754" t="str">
        <f>HYPERLINK("https://us2.cloudbeds.com/connect/8493803454333002#/reservations/57060406677672?display=17XSJYAW8N&amp;reservation_id=57060406677672", "17XSJYAW8N")</f>
        <v>17XSJYAW8N</v>
      </c>
      <c r="D3754" t="s">
        <v>45</v>
      </c>
      <c r="E3754" t="s">
        <v>190</v>
      </c>
      <c r="F3754" t="s">
        <v>61</v>
      </c>
      <c r="G3754" t="s">
        <v>3974</v>
      </c>
      <c r="H3754" t="s">
        <v>3957</v>
      </c>
      <c r="I3754" t="s">
        <v>3975</v>
      </c>
      <c r="J3754" t="s">
        <v>5570</v>
      </c>
      <c r="K3754" t="s">
        <v>5711</v>
      </c>
      <c r="L3754" t="s">
        <v>53</v>
      </c>
      <c r="P3754" t="s">
        <v>58</v>
      </c>
      <c r="R3754" t="s">
        <v>56</v>
      </c>
      <c r="T3754" t="s">
        <v>6327</v>
      </c>
      <c r="U3754" t="s">
        <v>58</v>
      </c>
      <c r="V3754">
        <v>2</v>
      </c>
      <c r="W3754">
        <v>1</v>
      </c>
      <c r="X3754">
        <v>2</v>
      </c>
      <c r="Y3754">
        <v>0</v>
      </c>
      <c r="Z3754">
        <v>2</v>
      </c>
      <c r="AA3754">
        <v>0</v>
      </c>
      <c r="AB3754">
        <v>151.38</v>
      </c>
      <c r="AC3754">
        <v>133.19999999999999</v>
      </c>
      <c r="AD3754">
        <v>0</v>
      </c>
      <c r="AE3754">
        <v>18.18</v>
      </c>
      <c r="AF3754">
        <v>0</v>
      </c>
      <c r="AG3754">
        <v>0</v>
      </c>
      <c r="AH3754">
        <v>0</v>
      </c>
      <c r="AI3754">
        <v>0</v>
      </c>
      <c r="AJ3754">
        <v>151.38</v>
      </c>
      <c r="AK3754">
        <v>0</v>
      </c>
      <c r="AL3754" t="s">
        <v>53</v>
      </c>
      <c r="AM3754" t="s">
        <v>53</v>
      </c>
      <c r="AN3754" t="s">
        <v>53</v>
      </c>
      <c r="AO3754" t="s">
        <v>53</v>
      </c>
      <c r="AP3754" t="s">
        <v>53</v>
      </c>
    </row>
    <row r="3755" spans="2:42" x14ac:dyDescent="0.2">
      <c r="B3755" t="s">
        <v>44</v>
      </c>
      <c r="C3755" t="str">
        <f>HYPERLINK("https://us2.cloudbeds.com/connect/8493803454333002#/reservations/57264792113289?display=17NYS5X0AN&amp;reservation_id=57264792113289", "17NYS5X0AN")</f>
        <v>17NYS5X0AN</v>
      </c>
      <c r="D3755" t="s">
        <v>45</v>
      </c>
      <c r="E3755" t="s">
        <v>165</v>
      </c>
      <c r="F3755" t="s">
        <v>61</v>
      </c>
      <c r="G3755" t="s">
        <v>48</v>
      </c>
      <c r="H3755" t="s">
        <v>49</v>
      </c>
      <c r="I3755" t="s">
        <v>50</v>
      </c>
      <c r="J3755" t="s">
        <v>5850</v>
      </c>
      <c r="K3755" t="s">
        <v>5929</v>
      </c>
      <c r="L3755" t="s">
        <v>53</v>
      </c>
      <c r="N3755" t="s">
        <v>6328</v>
      </c>
      <c r="P3755" t="s">
        <v>55</v>
      </c>
      <c r="R3755" t="s">
        <v>53</v>
      </c>
      <c r="T3755" t="s">
        <v>6329</v>
      </c>
      <c r="U3755" t="s">
        <v>58</v>
      </c>
      <c r="V3755">
        <v>3</v>
      </c>
      <c r="W3755">
        <v>1</v>
      </c>
      <c r="X3755">
        <v>1</v>
      </c>
      <c r="Y3755">
        <v>0</v>
      </c>
      <c r="Z3755">
        <v>1</v>
      </c>
      <c r="AA3755">
        <v>0</v>
      </c>
      <c r="AB3755">
        <v>211.56</v>
      </c>
      <c r="AC3755">
        <v>186.15</v>
      </c>
      <c r="AD3755">
        <v>0</v>
      </c>
      <c r="AE3755">
        <v>25.41</v>
      </c>
      <c r="AF3755">
        <v>0</v>
      </c>
      <c r="AG3755">
        <v>0</v>
      </c>
      <c r="AH3755">
        <v>0</v>
      </c>
      <c r="AI3755">
        <v>38.08</v>
      </c>
      <c r="AJ3755">
        <v>211.56</v>
      </c>
      <c r="AK3755">
        <v>0</v>
      </c>
      <c r="AL3755" t="s">
        <v>53</v>
      </c>
      <c r="AM3755" t="s">
        <v>53</v>
      </c>
      <c r="AN3755" t="s">
        <v>53</v>
      </c>
      <c r="AO3755" t="s">
        <v>53</v>
      </c>
      <c r="AP3755" t="s">
        <v>53</v>
      </c>
    </row>
    <row r="3756" spans="2:42" x14ac:dyDescent="0.2">
      <c r="B3756" t="s">
        <v>44</v>
      </c>
      <c r="C3756" t="str">
        <f>HYPERLINK("https://us2.cloudbeds.com/connect/8493803454333002#/reservations/57282924429513?display=17Z2TG6EEN&amp;reservation_id=57282924429513", "17Z2TG6EEN")</f>
        <v>17Z2TG6EEN</v>
      </c>
      <c r="D3756" t="s">
        <v>45</v>
      </c>
      <c r="E3756" t="s">
        <v>92</v>
      </c>
      <c r="F3756" t="s">
        <v>86</v>
      </c>
      <c r="G3756" t="s">
        <v>48</v>
      </c>
      <c r="H3756" t="s">
        <v>49</v>
      </c>
      <c r="I3756" t="s">
        <v>50</v>
      </c>
      <c r="J3756" t="s">
        <v>5570</v>
      </c>
      <c r="K3756" t="s">
        <v>5619</v>
      </c>
      <c r="L3756" t="s">
        <v>53</v>
      </c>
      <c r="N3756" t="s">
        <v>6330</v>
      </c>
      <c r="P3756" t="s">
        <v>55</v>
      </c>
      <c r="R3756" t="s">
        <v>53</v>
      </c>
      <c r="T3756" t="s">
        <v>6331</v>
      </c>
      <c r="U3756" t="s">
        <v>58</v>
      </c>
      <c r="V3756">
        <v>3</v>
      </c>
      <c r="W3756">
        <v>1</v>
      </c>
      <c r="X3756">
        <v>2</v>
      </c>
      <c r="Y3756">
        <v>0</v>
      </c>
      <c r="Z3756">
        <v>2</v>
      </c>
      <c r="AA3756">
        <v>0</v>
      </c>
      <c r="AB3756">
        <v>216.39</v>
      </c>
      <c r="AC3756">
        <v>190.4</v>
      </c>
      <c r="AD3756">
        <v>0</v>
      </c>
      <c r="AE3756">
        <v>25.99</v>
      </c>
      <c r="AF3756">
        <v>0</v>
      </c>
      <c r="AG3756">
        <v>0</v>
      </c>
      <c r="AH3756">
        <v>0</v>
      </c>
      <c r="AI3756">
        <v>38.950000000000003</v>
      </c>
      <c r="AJ3756">
        <v>216.39</v>
      </c>
      <c r="AK3756">
        <v>0</v>
      </c>
      <c r="AL3756" t="s">
        <v>53</v>
      </c>
      <c r="AM3756" t="s">
        <v>53</v>
      </c>
      <c r="AN3756" t="s">
        <v>53</v>
      </c>
      <c r="AO3756" t="s">
        <v>53</v>
      </c>
      <c r="AP3756" t="s">
        <v>53</v>
      </c>
    </row>
    <row r="3757" spans="2:42" x14ac:dyDescent="0.2">
      <c r="B3757" t="s">
        <v>44</v>
      </c>
      <c r="C3757" t="str">
        <f>HYPERLINK("https://us2.cloudbeds.com/connect/8493803454333002#/reservations/57314668093593?display=17ZRFK9MJ8&amp;reservation_id=57314668093593", "17ZRFK9MJ8")</f>
        <v>17ZRFK9MJ8</v>
      </c>
      <c r="D3757" t="s">
        <v>45</v>
      </c>
      <c r="E3757" t="s">
        <v>373</v>
      </c>
      <c r="F3757" t="s">
        <v>47</v>
      </c>
      <c r="G3757" t="s">
        <v>48</v>
      </c>
      <c r="H3757" t="s">
        <v>49</v>
      </c>
      <c r="I3757" t="s">
        <v>50</v>
      </c>
      <c r="J3757" t="s">
        <v>6249</v>
      </c>
      <c r="K3757" t="s">
        <v>6332</v>
      </c>
      <c r="L3757" t="s">
        <v>53</v>
      </c>
      <c r="N3757" t="s">
        <v>6333</v>
      </c>
      <c r="P3757" t="s">
        <v>55</v>
      </c>
      <c r="R3757" t="s">
        <v>53</v>
      </c>
      <c r="T3757" t="s">
        <v>6334</v>
      </c>
      <c r="U3757" t="s">
        <v>58</v>
      </c>
      <c r="V3757">
        <v>4</v>
      </c>
      <c r="W3757">
        <v>1</v>
      </c>
      <c r="X3757">
        <v>2</v>
      </c>
      <c r="Y3757">
        <v>0</v>
      </c>
      <c r="Z3757">
        <v>2</v>
      </c>
      <c r="AA3757">
        <v>371.86</v>
      </c>
      <c r="AB3757">
        <v>371.86</v>
      </c>
      <c r="AC3757">
        <v>327.2</v>
      </c>
      <c r="AD3757">
        <v>0</v>
      </c>
      <c r="AE3757">
        <v>44.66</v>
      </c>
      <c r="AF3757">
        <v>0</v>
      </c>
      <c r="AG3757">
        <v>0</v>
      </c>
      <c r="AH3757">
        <v>0</v>
      </c>
      <c r="AI3757">
        <v>66.930000000000007</v>
      </c>
      <c r="AJ3757">
        <v>371.86</v>
      </c>
      <c r="AK3757">
        <v>0</v>
      </c>
      <c r="AL3757" t="s">
        <v>53</v>
      </c>
      <c r="AM3757" t="s">
        <v>53</v>
      </c>
      <c r="AN3757" t="s">
        <v>53</v>
      </c>
      <c r="AO3757" t="s">
        <v>53</v>
      </c>
      <c r="AP3757" t="s">
        <v>53</v>
      </c>
    </row>
    <row r="3758" spans="2:42" x14ac:dyDescent="0.2">
      <c r="B3758" t="s">
        <v>44</v>
      </c>
      <c r="C3758" t="str">
        <f>HYPERLINK("https://us2.cloudbeds.com/connect/8493803454333002#/reservations/57597076807866?display=17VF4QQF5N&amp;reservation_id=57597076807866", "17VF4QQF5N")</f>
        <v>17VF4QQF5N</v>
      </c>
      <c r="D3758" t="s">
        <v>45</v>
      </c>
      <c r="E3758" t="s">
        <v>138</v>
      </c>
      <c r="F3758" t="s">
        <v>70</v>
      </c>
      <c r="G3758" t="s">
        <v>48</v>
      </c>
      <c r="H3758" t="s">
        <v>49</v>
      </c>
      <c r="I3758" t="s">
        <v>62</v>
      </c>
      <c r="J3758" t="s">
        <v>5431</v>
      </c>
      <c r="K3758" t="s">
        <v>6335</v>
      </c>
      <c r="L3758" t="s">
        <v>53</v>
      </c>
      <c r="N3758" t="s">
        <v>6336</v>
      </c>
      <c r="P3758" t="s">
        <v>55</v>
      </c>
      <c r="R3758" t="s">
        <v>329</v>
      </c>
      <c r="T3758" t="s">
        <v>6337</v>
      </c>
      <c r="U3758" t="s">
        <v>55</v>
      </c>
      <c r="V3758">
        <v>1</v>
      </c>
      <c r="W3758">
        <v>1</v>
      </c>
      <c r="X3758">
        <v>2</v>
      </c>
      <c r="Y3758">
        <v>0</v>
      </c>
      <c r="Z3758">
        <v>2</v>
      </c>
      <c r="AA3758">
        <v>0</v>
      </c>
      <c r="AB3758">
        <v>147.6</v>
      </c>
      <c r="AC3758">
        <v>147.6</v>
      </c>
      <c r="AD3758">
        <v>0</v>
      </c>
      <c r="AE3758">
        <v>0</v>
      </c>
      <c r="AF3758">
        <v>0</v>
      </c>
      <c r="AG3758">
        <v>0</v>
      </c>
      <c r="AH3758">
        <v>0</v>
      </c>
      <c r="AI3758">
        <v>26.57</v>
      </c>
      <c r="AJ3758">
        <v>147.6</v>
      </c>
      <c r="AK3758">
        <v>0</v>
      </c>
      <c r="AL3758" t="s">
        <v>53</v>
      </c>
      <c r="AM3758" t="s">
        <v>53</v>
      </c>
      <c r="AN3758" t="s">
        <v>53</v>
      </c>
      <c r="AO3758" t="s">
        <v>53</v>
      </c>
      <c r="AP3758" t="s">
        <v>53</v>
      </c>
    </row>
    <row r="3759" spans="2:42" x14ac:dyDescent="0.2">
      <c r="B3759" t="s">
        <v>44</v>
      </c>
      <c r="C3759" t="str">
        <f>HYPERLINK("https://us2.cloudbeds.com/connect/8493803454333002#/reservations/57652095307978?display=17WZZYSARR&amp;reservation_id=57652095307978", "17WZZYSARR")</f>
        <v>17WZZYSARR</v>
      </c>
      <c r="D3759" t="s">
        <v>45</v>
      </c>
      <c r="E3759" t="s">
        <v>406</v>
      </c>
      <c r="F3759" t="s">
        <v>61</v>
      </c>
      <c r="G3759" t="s">
        <v>48</v>
      </c>
      <c r="H3759" t="s">
        <v>49</v>
      </c>
      <c r="I3759" t="s">
        <v>62</v>
      </c>
      <c r="J3759" t="s">
        <v>5666</v>
      </c>
      <c r="K3759" t="s">
        <v>5667</v>
      </c>
      <c r="L3759" t="s">
        <v>53</v>
      </c>
      <c r="N3759" t="s">
        <v>6338</v>
      </c>
      <c r="P3759" t="s">
        <v>55</v>
      </c>
      <c r="R3759" t="s">
        <v>56</v>
      </c>
      <c r="T3759" t="s">
        <v>6339</v>
      </c>
      <c r="U3759" t="s">
        <v>55</v>
      </c>
      <c r="V3759">
        <v>1</v>
      </c>
      <c r="W3759">
        <v>1</v>
      </c>
      <c r="X3759">
        <v>2</v>
      </c>
      <c r="Y3759">
        <v>0</v>
      </c>
      <c r="Z3759">
        <v>2</v>
      </c>
      <c r="AA3759">
        <v>0</v>
      </c>
      <c r="AB3759">
        <v>65.7</v>
      </c>
      <c r="AC3759">
        <v>65.7</v>
      </c>
      <c r="AD3759">
        <v>0</v>
      </c>
      <c r="AE3759">
        <v>0</v>
      </c>
      <c r="AF3759">
        <v>0</v>
      </c>
      <c r="AG3759">
        <v>0</v>
      </c>
      <c r="AH3759">
        <v>0</v>
      </c>
      <c r="AI3759">
        <v>11.83</v>
      </c>
      <c r="AJ3759">
        <v>65.7</v>
      </c>
      <c r="AK3759">
        <v>0</v>
      </c>
      <c r="AL3759" t="s">
        <v>53</v>
      </c>
      <c r="AM3759" t="s">
        <v>53</v>
      </c>
      <c r="AN3759" t="s">
        <v>53</v>
      </c>
      <c r="AO3759" t="s">
        <v>53</v>
      </c>
      <c r="AP3759" t="s">
        <v>53</v>
      </c>
    </row>
    <row r="3760" spans="2:42" x14ac:dyDescent="0.2">
      <c r="B3760" t="s">
        <v>44</v>
      </c>
      <c r="C3760" t="str">
        <f>HYPERLINK("https://us2.cloudbeds.com/connect/8493803454333002#/reservations/57683849314496?display=180GB1M8FD&amp;reservation_id=57683849314496", "180GB1M8FD")</f>
        <v>180GB1M8FD</v>
      </c>
      <c r="D3760" t="s">
        <v>45</v>
      </c>
      <c r="E3760" t="s">
        <v>155</v>
      </c>
      <c r="F3760" t="s">
        <v>86</v>
      </c>
      <c r="G3760" t="s">
        <v>48</v>
      </c>
      <c r="H3760" t="s">
        <v>49</v>
      </c>
      <c r="I3760" t="s">
        <v>50</v>
      </c>
      <c r="J3760" t="s">
        <v>5322</v>
      </c>
      <c r="K3760" t="s">
        <v>5850</v>
      </c>
      <c r="L3760" t="s">
        <v>53</v>
      </c>
      <c r="N3760" t="s">
        <v>6340</v>
      </c>
      <c r="P3760" t="s">
        <v>55</v>
      </c>
      <c r="R3760" t="s">
        <v>53</v>
      </c>
      <c r="T3760" t="s">
        <v>6341</v>
      </c>
      <c r="U3760" t="s">
        <v>58</v>
      </c>
      <c r="V3760">
        <v>2</v>
      </c>
      <c r="W3760">
        <v>1</v>
      </c>
      <c r="X3760">
        <v>3</v>
      </c>
      <c r="Y3760">
        <v>0</v>
      </c>
      <c r="Z3760">
        <v>3</v>
      </c>
      <c r="AA3760">
        <v>0</v>
      </c>
      <c r="AB3760">
        <v>157.54</v>
      </c>
      <c r="AC3760">
        <v>138.6</v>
      </c>
      <c r="AD3760">
        <v>0</v>
      </c>
      <c r="AE3760">
        <v>18.940000000000001</v>
      </c>
      <c r="AF3760">
        <v>0</v>
      </c>
      <c r="AG3760">
        <v>0</v>
      </c>
      <c r="AH3760">
        <v>0</v>
      </c>
      <c r="AI3760">
        <v>28.36</v>
      </c>
      <c r="AJ3760">
        <v>157.54</v>
      </c>
      <c r="AK3760">
        <v>0</v>
      </c>
      <c r="AL3760" t="s">
        <v>53</v>
      </c>
      <c r="AM3760" t="s">
        <v>53</v>
      </c>
      <c r="AN3760" t="s">
        <v>53</v>
      </c>
      <c r="AO3760" t="s">
        <v>53</v>
      </c>
      <c r="AP3760" t="s">
        <v>53</v>
      </c>
    </row>
    <row r="3761" spans="2:42" x14ac:dyDescent="0.2">
      <c r="B3761" t="s">
        <v>44</v>
      </c>
      <c r="C3761" t="str">
        <f>HYPERLINK("https://us2.cloudbeds.com/connect/8493803454333002#/reservations/57722303881349?display=181D3YJCF7&amp;reservation_id=57722303881349", "181D3YJCF7")</f>
        <v>181D3YJCF7</v>
      </c>
      <c r="D3761" t="s">
        <v>45</v>
      </c>
      <c r="E3761" t="s">
        <v>487</v>
      </c>
      <c r="F3761" t="s">
        <v>61</v>
      </c>
      <c r="G3761" t="s">
        <v>48</v>
      </c>
      <c r="H3761" t="s">
        <v>49</v>
      </c>
      <c r="I3761" t="s">
        <v>50</v>
      </c>
      <c r="J3761" t="s">
        <v>5672</v>
      </c>
      <c r="K3761" t="s">
        <v>5571</v>
      </c>
      <c r="L3761" t="s">
        <v>53</v>
      </c>
      <c r="N3761" t="s">
        <v>6342</v>
      </c>
      <c r="P3761" t="s">
        <v>55</v>
      </c>
      <c r="R3761" t="s">
        <v>53</v>
      </c>
      <c r="T3761" t="s">
        <v>6343</v>
      </c>
      <c r="U3761" t="s">
        <v>58</v>
      </c>
      <c r="V3761">
        <v>2</v>
      </c>
      <c r="W3761">
        <v>1</v>
      </c>
      <c r="X3761">
        <v>2</v>
      </c>
      <c r="Y3761">
        <v>0</v>
      </c>
      <c r="Z3761">
        <v>2</v>
      </c>
      <c r="AA3761">
        <v>0</v>
      </c>
      <c r="AB3761">
        <v>149.34</v>
      </c>
      <c r="AC3761">
        <v>131.4</v>
      </c>
      <c r="AD3761">
        <v>0</v>
      </c>
      <c r="AE3761">
        <v>17.940000000000001</v>
      </c>
      <c r="AF3761">
        <v>0</v>
      </c>
      <c r="AG3761">
        <v>0</v>
      </c>
      <c r="AH3761">
        <v>0</v>
      </c>
      <c r="AI3761">
        <v>26.88</v>
      </c>
      <c r="AJ3761">
        <v>149.34</v>
      </c>
      <c r="AK3761">
        <v>0</v>
      </c>
      <c r="AL3761" t="s">
        <v>53</v>
      </c>
      <c r="AM3761" t="s">
        <v>53</v>
      </c>
      <c r="AN3761" t="s">
        <v>53</v>
      </c>
      <c r="AO3761" t="s">
        <v>53</v>
      </c>
      <c r="AP3761" t="s">
        <v>53</v>
      </c>
    </row>
    <row r="3762" spans="2:42" x14ac:dyDescent="0.2">
      <c r="B3762" t="s">
        <v>44</v>
      </c>
      <c r="C3762" t="str">
        <f>HYPERLINK("https://us2.cloudbeds.com/connect/8493803454333002#/reservations/57740621283476?display=181R9NA32V&amp;reservation_id=57740621283476", "181R9NA32V")</f>
        <v>181R9NA32V</v>
      </c>
      <c r="D3762" t="s">
        <v>45</v>
      </c>
      <c r="E3762" t="s">
        <v>128</v>
      </c>
      <c r="F3762" t="s">
        <v>86</v>
      </c>
      <c r="G3762" t="s">
        <v>48</v>
      </c>
      <c r="H3762" t="s">
        <v>49</v>
      </c>
      <c r="I3762" t="s">
        <v>50</v>
      </c>
      <c r="J3762" t="s">
        <v>6344</v>
      </c>
      <c r="K3762" t="s">
        <v>6345</v>
      </c>
      <c r="L3762" t="s">
        <v>53</v>
      </c>
      <c r="N3762" t="s">
        <v>6346</v>
      </c>
      <c r="P3762" t="s">
        <v>55</v>
      </c>
      <c r="R3762" t="s">
        <v>53</v>
      </c>
      <c r="T3762" t="s">
        <v>6347</v>
      </c>
      <c r="U3762" t="s">
        <v>58</v>
      </c>
      <c r="V3762">
        <v>1</v>
      </c>
      <c r="W3762">
        <v>1</v>
      </c>
      <c r="X3762">
        <v>2</v>
      </c>
      <c r="Y3762">
        <v>0</v>
      </c>
      <c r="Z3762">
        <v>2</v>
      </c>
      <c r="AA3762">
        <v>0</v>
      </c>
      <c r="AB3762">
        <v>178.21</v>
      </c>
      <c r="AC3762">
        <v>156.80000000000001</v>
      </c>
      <c r="AD3762">
        <v>0</v>
      </c>
      <c r="AE3762">
        <v>21.41</v>
      </c>
      <c r="AF3762">
        <v>0</v>
      </c>
      <c r="AG3762">
        <v>0</v>
      </c>
      <c r="AH3762">
        <v>0</v>
      </c>
      <c r="AI3762">
        <v>32.08</v>
      </c>
      <c r="AJ3762">
        <v>178.21</v>
      </c>
      <c r="AK3762">
        <v>0</v>
      </c>
      <c r="AL3762" t="s">
        <v>53</v>
      </c>
      <c r="AM3762" t="s">
        <v>53</v>
      </c>
      <c r="AN3762" t="s">
        <v>53</v>
      </c>
      <c r="AO3762" t="s">
        <v>53</v>
      </c>
      <c r="AP3762" t="s">
        <v>53</v>
      </c>
    </row>
    <row r="3763" spans="2:42" x14ac:dyDescent="0.2">
      <c r="B3763" t="s">
        <v>44</v>
      </c>
      <c r="C3763" t="str">
        <f>HYPERLINK("https://us2.cloudbeds.com/connect/8493803454333002#/reservations/57740640415948?display=181RA6EFUR&amp;reservation_id=57740640415948", "181RA6EFUR")</f>
        <v>181RA6EFUR</v>
      </c>
      <c r="D3763" t="s">
        <v>45</v>
      </c>
      <c r="E3763" t="s">
        <v>213</v>
      </c>
      <c r="F3763" t="s">
        <v>86</v>
      </c>
      <c r="G3763" t="s">
        <v>48</v>
      </c>
      <c r="H3763" t="s">
        <v>49</v>
      </c>
      <c r="I3763" t="s">
        <v>50</v>
      </c>
      <c r="J3763" t="s">
        <v>6344</v>
      </c>
      <c r="K3763" t="s">
        <v>6345</v>
      </c>
      <c r="L3763" t="s">
        <v>53</v>
      </c>
      <c r="N3763" t="s">
        <v>6348</v>
      </c>
      <c r="P3763" t="s">
        <v>55</v>
      </c>
      <c r="R3763" t="s">
        <v>53</v>
      </c>
      <c r="T3763" t="s">
        <v>6349</v>
      </c>
      <c r="U3763" t="s">
        <v>58</v>
      </c>
      <c r="V3763">
        <v>1</v>
      </c>
      <c r="W3763">
        <v>1</v>
      </c>
      <c r="X3763">
        <v>2</v>
      </c>
      <c r="Y3763">
        <v>0</v>
      </c>
      <c r="Z3763">
        <v>2</v>
      </c>
      <c r="AA3763">
        <v>0</v>
      </c>
      <c r="AB3763">
        <v>178.21</v>
      </c>
      <c r="AC3763">
        <v>156.80000000000001</v>
      </c>
      <c r="AD3763">
        <v>0</v>
      </c>
      <c r="AE3763">
        <v>21.41</v>
      </c>
      <c r="AF3763">
        <v>0</v>
      </c>
      <c r="AG3763">
        <v>0</v>
      </c>
      <c r="AH3763">
        <v>0</v>
      </c>
      <c r="AI3763">
        <v>32.08</v>
      </c>
      <c r="AJ3763">
        <v>178.21</v>
      </c>
      <c r="AK3763">
        <v>0</v>
      </c>
      <c r="AL3763" t="s">
        <v>53</v>
      </c>
      <c r="AM3763" t="s">
        <v>53</v>
      </c>
      <c r="AN3763" t="s">
        <v>53</v>
      </c>
      <c r="AO3763" t="s">
        <v>53</v>
      </c>
      <c r="AP3763" t="s">
        <v>53</v>
      </c>
    </row>
    <row r="3764" spans="2:42" x14ac:dyDescent="0.2">
      <c r="B3764" t="s">
        <v>44</v>
      </c>
      <c r="C3764" t="str">
        <f>HYPERLINK("https://us2.cloudbeds.com/connect/8493803454333002#/reservations/57973626794131?display=1879NHNTQ3&amp;reservation_id=57973626794131", "1879NHNTQ3")</f>
        <v>1879NHNTQ3</v>
      </c>
      <c r="D3764" t="s">
        <v>45</v>
      </c>
      <c r="E3764" t="s">
        <v>213</v>
      </c>
      <c r="F3764" t="s">
        <v>86</v>
      </c>
      <c r="G3764" t="s">
        <v>48</v>
      </c>
      <c r="H3764" t="s">
        <v>3957</v>
      </c>
      <c r="I3764" t="s">
        <v>3989</v>
      </c>
      <c r="J3764" t="s">
        <v>5666</v>
      </c>
      <c r="K3764" t="s">
        <v>6350</v>
      </c>
      <c r="L3764" t="s">
        <v>53</v>
      </c>
      <c r="P3764" t="s">
        <v>58</v>
      </c>
      <c r="R3764" t="s">
        <v>56</v>
      </c>
      <c r="T3764" t="s">
        <v>6351</v>
      </c>
      <c r="U3764" t="s">
        <v>58</v>
      </c>
      <c r="V3764">
        <v>2</v>
      </c>
      <c r="W3764">
        <v>1</v>
      </c>
      <c r="X3764">
        <v>1</v>
      </c>
      <c r="Y3764">
        <v>0</v>
      </c>
      <c r="Z3764">
        <v>1</v>
      </c>
      <c r="AA3764">
        <v>0</v>
      </c>
      <c r="AB3764">
        <v>175.02</v>
      </c>
      <c r="AC3764">
        <v>154</v>
      </c>
      <c r="AD3764">
        <v>0</v>
      </c>
      <c r="AE3764">
        <v>21.02</v>
      </c>
      <c r="AF3764">
        <v>0</v>
      </c>
      <c r="AG3764">
        <v>0</v>
      </c>
      <c r="AH3764">
        <v>0</v>
      </c>
      <c r="AI3764">
        <v>0</v>
      </c>
      <c r="AJ3764">
        <v>175.02</v>
      </c>
      <c r="AK3764">
        <v>0</v>
      </c>
      <c r="AL3764" t="s">
        <v>53</v>
      </c>
      <c r="AM3764" t="s">
        <v>53</v>
      </c>
      <c r="AN3764" t="s">
        <v>53</v>
      </c>
      <c r="AO3764" t="s">
        <v>53</v>
      </c>
      <c r="AP3764" t="s">
        <v>53</v>
      </c>
    </row>
    <row r="3765" spans="2:42" x14ac:dyDescent="0.2">
      <c r="B3765" t="s">
        <v>44</v>
      </c>
      <c r="C3765" t="str">
        <f>HYPERLINK("https://us2.cloudbeds.com/connect/8493803454333002#/reservations/58050233450632?display=189310G1HF&amp;reservation_id=58050233450632", "189310G1HF")</f>
        <v>189310G1HF</v>
      </c>
      <c r="D3765" t="s">
        <v>45</v>
      </c>
      <c r="E3765" t="s">
        <v>85</v>
      </c>
      <c r="F3765" t="s">
        <v>86</v>
      </c>
      <c r="G3765" t="s">
        <v>48</v>
      </c>
      <c r="H3765" t="s">
        <v>49</v>
      </c>
      <c r="I3765" t="s">
        <v>50</v>
      </c>
      <c r="J3765" t="s">
        <v>5901</v>
      </c>
      <c r="K3765" t="s">
        <v>5532</v>
      </c>
      <c r="L3765" t="s">
        <v>53</v>
      </c>
      <c r="N3765" t="s">
        <v>6352</v>
      </c>
      <c r="P3765" t="s">
        <v>55</v>
      </c>
      <c r="R3765" t="s">
        <v>53</v>
      </c>
      <c r="T3765" t="s">
        <v>6353</v>
      </c>
      <c r="U3765" t="s">
        <v>58</v>
      </c>
      <c r="V3765">
        <v>3</v>
      </c>
      <c r="W3765">
        <v>1</v>
      </c>
      <c r="X3765">
        <v>2</v>
      </c>
      <c r="Y3765">
        <v>0</v>
      </c>
      <c r="Z3765">
        <v>2</v>
      </c>
      <c r="AA3765">
        <v>0</v>
      </c>
      <c r="AB3765">
        <v>212.64</v>
      </c>
      <c r="AC3765">
        <v>187.11</v>
      </c>
      <c r="AD3765">
        <v>0</v>
      </c>
      <c r="AE3765">
        <v>25.53</v>
      </c>
      <c r="AF3765">
        <v>0</v>
      </c>
      <c r="AG3765">
        <v>0</v>
      </c>
      <c r="AH3765">
        <v>0</v>
      </c>
      <c r="AI3765">
        <v>38.28</v>
      </c>
      <c r="AJ3765">
        <v>212.64</v>
      </c>
      <c r="AK3765">
        <v>0</v>
      </c>
      <c r="AL3765" t="s">
        <v>53</v>
      </c>
      <c r="AM3765" t="s">
        <v>53</v>
      </c>
      <c r="AN3765" t="s">
        <v>53</v>
      </c>
      <c r="AO3765" t="s">
        <v>53</v>
      </c>
      <c r="AP3765" t="s">
        <v>53</v>
      </c>
    </row>
    <row r="3766" spans="2:42" x14ac:dyDescent="0.2">
      <c r="B3766" t="s">
        <v>44</v>
      </c>
      <c r="C3766" t="str">
        <f>HYPERLINK("https://us2.cloudbeds.com/connect/8493803454333002#/reservations/58056303501517?display=1897Z3U59C&amp;reservation_id=58056303501517", "1897Z3U59C")</f>
        <v>1897Z3U59C</v>
      </c>
      <c r="D3766" t="s">
        <v>45</v>
      </c>
      <c r="E3766" t="s">
        <v>128</v>
      </c>
      <c r="F3766" t="s">
        <v>86</v>
      </c>
      <c r="G3766" t="s">
        <v>48</v>
      </c>
      <c r="H3766" t="s">
        <v>49</v>
      </c>
      <c r="I3766" t="s">
        <v>62</v>
      </c>
      <c r="J3766" t="s">
        <v>5711</v>
      </c>
      <c r="K3766" t="s">
        <v>5619</v>
      </c>
      <c r="L3766" t="s">
        <v>53</v>
      </c>
      <c r="N3766" t="s">
        <v>6354</v>
      </c>
      <c r="P3766" t="s">
        <v>55</v>
      </c>
      <c r="R3766" t="s">
        <v>56</v>
      </c>
      <c r="T3766" t="s">
        <v>6355</v>
      </c>
      <c r="U3766" t="s">
        <v>55</v>
      </c>
      <c r="V3766">
        <v>1</v>
      </c>
      <c r="W3766">
        <v>1</v>
      </c>
      <c r="X3766">
        <v>3</v>
      </c>
      <c r="Y3766">
        <v>0</v>
      </c>
      <c r="Z3766">
        <v>3</v>
      </c>
      <c r="AA3766">
        <v>0</v>
      </c>
      <c r="AB3766">
        <v>77</v>
      </c>
      <c r="AC3766">
        <v>77</v>
      </c>
      <c r="AD3766">
        <v>0</v>
      </c>
      <c r="AE3766">
        <v>0</v>
      </c>
      <c r="AF3766">
        <v>0</v>
      </c>
      <c r="AG3766">
        <v>0</v>
      </c>
      <c r="AH3766">
        <v>0</v>
      </c>
      <c r="AI3766">
        <v>13.86</v>
      </c>
      <c r="AJ3766">
        <v>77</v>
      </c>
      <c r="AK3766">
        <v>0</v>
      </c>
      <c r="AL3766" t="s">
        <v>53</v>
      </c>
      <c r="AM3766" t="s">
        <v>53</v>
      </c>
      <c r="AN3766" t="s">
        <v>53</v>
      </c>
      <c r="AO3766" t="s">
        <v>53</v>
      </c>
      <c r="AP3766" t="s">
        <v>53</v>
      </c>
    </row>
    <row r="3767" spans="2:42" x14ac:dyDescent="0.2">
      <c r="B3767" t="s">
        <v>44</v>
      </c>
      <c r="C3767" t="str">
        <f>HYPERLINK("https://us2.cloudbeds.com/connect/8493803454333002#/reservations/58059945152701?display=189AX5YFJX&amp;reservation_id=58059945152701", "189AX5YFJX")</f>
        <v>189AX5YFJX</v>
      </c>
      <c r="D3767" t="s">
        <v>45</v>
      </c>
      <c r="E3767" t="s">
        <v>113</v>
      </c>
      <c r="F3767" t="s">
        <v>61</v>
      </c>
      <c r="G3767" t="s">
        <v>48</v>
      </c>
      <c r="H3767" t="s">
        <v>49</v>
      </c>
      <c r="I3767" t="s">
        <v>50</v>
      </c>
      <c r="J3767" t="s">
        <v>5322</v>
      </c>
      <c r="K3767" t="s">
        <v>5554</v>
      </c>
      <c r="L3767" t="s">
        <v>53</v>
      </c>
      <c r="N3767" t="s">
        <v>6356</v>
      </c>
      <c r="P3767" t="s">
        <v>55</v>
      </c>
      <c r="R3767" t="s">
        <v>53</v>
      </c>
      <c r="T3767" t="s">
        <v>6357</v>
      </c>
      <c r="U3767" t="s">
        <v>58</v>
      </c>
      <c r="V3767">
        <v>1</v>
      </c>
      <c r="W3767">
        <v>1</v>
      </c>
      <c r="X3767">
        <v>2</v>
      </c>
      <c r="Y3767">
        <v>0</v>
      </c>
      <c r="Z3767">
        <v>2</v>
      </c>
      <c r="AA3767">
        <v>0</v>
      </c>
      <c r="AB3767">
        <v>66.37</v>
      </c>
      <c r="AC3767">
        <v>58.4</v>
      </c>
      <c r="AD3767">
        <v>0</v>
      </c>
      <c r="AE3767">
        <v>7.97</v>
      </c>
      <c r="AF3767">
        <v>0</v>
      </c>
      <c r="AG3767">
        <v>0</v>
      </c>
      <c r="AH3767">
        <v>0</v>
      </c>
      <c r="AI3767">
        <v>11.95</v>
      </c>
      <c r="AJ3767">
        <v>66.37</v>
      </c>
      <c r="AK3767">
        <v>0</v>
      </c>
      <c r="AL3767" t="s">
        <v>53</v>
      </c>
      <c r="AM3767" t="s">
        <v>53</v>
      </c>
      <c r="AN3767" t="s">
        <v>53</v>
      </c>
      <c r="AO3767" t="s">
        <v>53</v>
      </c>
      <c r="AP3767" t="s">
        <v>53</v>
      </c>
    </row>
    <row r="3768" spans="2:42" x14ac:dyDescent="0.2">
      <c r="B3768" t="s">
        <v>44</v>
      </c>
      <c r="C3768" t="str">
        <f>HYPERLINK("https://us2.cloudbeds.com/connect/8493803454333002#/reservations/58068789784731?display=189HD5MD2W&amp;reservation_id=58068789784731", "189HD5MD2W")</f>
        <v>189HD5MD2W</v>
      </c>
      <c r="D3768" t="s">
        <v>45</v>
      </c>
      <c r="E3768" t="s">
        <v>305</v>
      </c>
      <c r="F3768" t="s">
        <v>61</v>
      </c>
      <c r="G3768" t="s">
        <v>48</v>
      </c>
      <c r="H3768" t="s">
        <v>49</v>
      </c>
      <c r="I3768" t="s">
        <v>50</v>
      </c>
      <c r="J3768" t="s">
        <v>5554</v>
      </c>
      <c r="K3768" t="s">
        <v>5850</v>
      </c>
      <c r="L3768" t="s">
        <v>53</v>
      </c>
      <c r="N3768" t="s">
        <v>6358</v>
      </c>
      <c r="P3768" t="s">
        <v>55</v>
      </c>
      <c r="R3768" t="s">
        <v>53</v>
      </c>
      <c r="T3768" t="s">
        <v>6359</v>
      </c>
      <c r="U3768" t="s">
        <v>58</v>
      </c>
      <c r="V3768">
        <v>1</v>
      </c>
      <c r="W3768">
        <v>1</v>
      </c>
      <c r="X3768">
        <v>1</v>
      </c>
      <c r="Y3768">
        <v>1</v>
      </c>
      <c r="Z3768">
        <v>2</v>
      </c>
      <c r="AA3768">
        <v>0</v>
      </c>
      <c r="AB3768">
        <v>74.67</v>
      </c>
      <c r="AC3768">
        <v>65.7</v>
      </c>
      <c r="AD3768">
        <v>0</v>
      </c>
      <c r="AE3768">
        <v>8.9700000000000006</v>
      </c>
      <c r="AF3768">
        <v>0</v>
      </c>
      <c r="AG3768">
        <v>0</v>
      </c>
      <c r="AH3768">
        <v>0</v>
      </c>
      <c r="AI3768">
        <v>13.44</v>
      </c>
      <c r="AJ3768">
        <v>74.67</v>
      </c>
      <c r="AK3768">
        <v>0</v>
      </c>
      <c r="AL3768" t="s">
        <v>53</v>
      </c>
      <c r="AM3768" t="s">
        <v>53</v>
      </c>
      <c r="AN3768" t="s">
        <v>53</v>
      </c>
      <c r="AO3768" t="s">
        <v>53</v>
      </c>
      <c r="AP3768" t="s">
        <v>53</v>
      </c>
    </row>
    <row r="3769" spans="2:42" x14ac:dyDescent="0.2">
      <c r="B3769" t="s">
        <v>44</v>
      </c>
      <c r="C3769" t="str">
        <f>HYPERLINK("https://us2.cloudbeds.com/connect/8493803454333002#/reservations/58073925005468?display=189YCCRFVJ&amp;reservation_id=58073925005468", "189YCCRFVJ")</f>
        <v>189YCCRFVJ</v>
      </c>
      <c r="D3769" t="s">
        <v>45</v>
      </c>
      <c r="E3769" t="s">
        <v>190</v>
      </c>
      <c r="F3769" t="s">
        <v>61</v>
      </c>
      <c r="G3769" t="s">
        <v>48</v>
      </c>
      <c r="H3769" t="s">
        <v>49</v>
      </c>
      <c r="I3769" t="s">
        <v>62</v>
      </c>
      <c r="J3769" t="s">
        <v>5322</v>
      </c>
      <c r="K3769" t="s">
        <v>5554</v>
      </c>
      <c r="L3769" t="s">
        <v>53</v>
      </c>
      <c r="N3769" t="s">
        <v>6360</v>
      </c>
      <c r="P3769" t="s">
        <v>55</v>
      </c>
      <c r="R3769" t="s">
        <v>56</v>
      </c>
      <c r="T3769" t="s">
        <v>6361</v>
      </c>
      <c r="U3769" t="s">
        <v>55</v>
      </c>
      <c r="V3769">
        <v>1</v>
      </c>
      <c r="W3769">
        <v>1</v>
      </c>
      <c r="X3769">
        <v>2</v>
      </c>
      <c r="Y3769">
        <v>0</v>
      </c>
      <c r="Z3769">
        <v>2</v>
      </c>
      <c r="AA3769">
        <v>0</v>
      </c>
      <c r="AB3769">
        <v>73</v>
      </c>
      <c r="AC3769">
        <v>73</v>
      </c>
      <c r="AD3769">
        <v>0</v>
      </c>
      <c r="AE3769">
        <v>0</v>
      </c>
      <c r="AF3769">
        <v>0</v>
      </c>
      <c r="AG3769">
        <v>0</v>
      </c>
      <c r="AH3769">
        <v>0</v>
      </c>
      <c r="AI3769">
        <v>13.14</v>
      </c>
      <c r="AJ3769">
        <v>73</v>
      </c>
      <c r="AK3769">
        <v>0</v>
      </c>
      <c r="AL3769" t="s">
        <v>53</v>
      </c>
      <c r="AM3769" t="s">
        <v>53</v>
      </c>
      <c r="AN3769" t="s">
        <v>53</v>
      </c>
      <c r="AO3769" t="s">
        <v>53</v>
      </c>
      <c r="AP3769" t="s">
        <v>53</v>
      </c>
    </row>
    <row r="3770" spans="2:42" x14ac:dyDescent="0.2">
      <c r="B3770" t="s">
        <v>44</v>
      </c>
      <c r="C3770" t="str">
        <f>HYPERLINK("https://us2.cloudbeds.com/connect/8493803454333002#/reservations/58096589258881?display=18A5UGUZXX&amp;reservation_id=58096589258881", "18A5UGUZXX")</f>
        <v>18A5UGUZXX</v>
      </c>
      <c r="D3770" t="s">
        <v>45</v>
      </c>
      <c r="E3770" t="s">
        <v>121</v>
      </c>
      <c r="F3770" t="s">
        <v>86</v>
      </c>
      <c r="G3770" t="s">
        <v>48</v>
      </c>
      <c r="H3770" t="s">
        <v>49</v>
      </c>
      <c r="I3770" t="s">
        <v>50</v>
      </c>
      <c r="J3770" t="s">
        <v>5322</v>
      </c>
      <c r="K3770" t="s">
        <v>5554</v>
      </c>
      <c r="L3770" t="s">
        <v>53</v>
      </c>
      <c r="N3770" t="s">
        <v>6362</v>
      </c>
      <c r="P3770" t="s">
        <v>55</v>
      </c>
      <c r="R3770" t="s">
        <v>53</v>
      </c>
      <c r="T3770" t="s">
        <v>6363</v>
      </c>
      <c r="U3770" t="s">
        <v>58</v>
      </c>
      <c r="V3770">
        <v>1</v>
      </c>
      <c r="W3770">
        <v>1</v>
      </c>
      <c r="X3770">
        <v>4</v>
      </c>
      <c r="Y3770">
        <v>0</v>
      </c>
      <c r="Z3770">
        <v>4</v>
      </c>
      <c r="AA3770">
        <v>0</v>
      </c>
      <c r="AB3770">
        <v>80.8</v>
      </c>
      <c r="AC3770">
        <v>71.099999999999994</v>
      </c>
      <c r="AD3770">
        <v>0</v>
      </c>
      <c r="AE3770">
        <v>9.6999999999999993</v>
      </c>
      <c r="AF3770">
        <v>0</v>
      </c>
      <c r="AG3770">
        <v>0</v>
      </c>
      <c r="AH3770">
        <v>0</v>
      </c>
      <c r="AI3770">
        <v>14.54</v>
      </c>
      <c r="AJ3770">
        <v>80.8</v>
      </c>
      <c r="AK3770">
        <v>0</v>
      </c>
      <c r="AL3770" t="s">
        <v>53</v>
      </c>
      <c r="AM3770" t="s">
        <v>53</v>
      </c>
      <c r="AN3770" t="s">
        <v>53</v>
      </c>
      <c r="AO3770" t="s">
        <v>53</v>
      </c>
      <c r="AP3770" t="s">
        <v>53</v>
      </c>
    </row>
    <row r="3771" spans="2:42" x14ac:dyDescent="0.2">
      <c r="B3771" t="s">
        <v>44</v>
      </c>
      <c r="C3771" t="str">
        <f>HYPERLINK("https://us2.cloudbeds.com/connect/8493803454333002#/reservations/58120109183149?display=18AZ4GXA5C&amp;reservation_id=58120109183149", "18AZ4GXA5C")</f>
        <v>18AZ4GXA5C</v>
      </c>
      <c r="D3771" t="s">
        <v>45</v>
      </c>
      <c r="E3771" t="s">
        <v>406</v>
      </c>
      <c r="F3771" t="s">
        <v>61</v>
      </c>
      <c r="G3771" t="s">
        <v>5320</v>
      </c>
      <c r="H3771" t="s">
        <v>3957</v>
      </c>
      <c r="I3771" t="s">
        <v>3975</v>
      </c>
      <c r="J3771" t="s">
        <v>5929</v>
      </c>
      <c r="K3771" t="s">
        <v>5571</v>
      </c>
      <c r="L3771" t="s">
        <v>53</v>
      </c>
      <c r="P3771" t="s">
        <v>55</v>
      </c>
      <c r="R3771" t="s">
        <v>56</v>
      </c>
      <c r="T3771" t="s">
        <v>6364</v>
      </c>
      <c r="U3771" t="s">
        <v>58</v>
      </c>
      <c r="V3771">
        <v>3</v>
      </c>
      <c r="W3771">
        <v>1</v>
      </c>
      <c r="X3771">
        <v>2</v>
      </c>
      <c r="Y3771">
        <v>0</v>
      </c>
      <c r="Z3771">
        <v>2</v>
      </c>
      <c r="AA3771">
        <v>0</v>
      </c>
      <c r="AB3771">
        <v>186.69</v>
      </c>
      <c r="AC3771">
        <v>164.25</v>
      </c>
      <c r="AD3771">
        <v>0</v>
      </c>
      <c r="AE3771">
        <v>22.44</v>
      </c>
      <c r="AF3771">
        <v>0</v>
      </c>
      <c r="AG3771">
        <v>0</v>
      </c>
      <c r="AH3771">
        <v>0</v>
      </c>
      <c r="AI3771">
        <v>0</v>
      </c>
      <c r="AJ3771">
        <v>186.69</v>
      </c>
      <c r="AK3771">
        <v>0</v>
      </c>
      <c r="AL3771" t="s">
        <v>53</v>
      </c>
      <c r="AM3771" t="s">
        <v>53</v>
      </c>
      <c r="AN3771" t="s">
        <v>6365</v>
      </c>
      <c r="AO3771" t="s">
        <v>53</v>
      </c>
      <c r="AP3771" t="s">
        <v>53</v>
      </c>
    </row>
    <row r="3772" spans="2:42" x14ac:dyDescent="0.2">
      <c r="B3772" t="s">
        <v>44</v>
      </c>
      <c r="C3772" t="str">
        <f>HYPERLINK("https://us2.cloudbeds.com/connect/8493803454333002#/reservations/58262655303899?display=18E2GT7841&amp;reservation_id=58262655303899", "18E2GT7841")</f>
        <v>18E2GT7841</v>
      </c>
      <c r="D3772" t="s">
        <v>45</v>
      </c>
      <c r="E3772" t="s">
        <v>305</v>
      </c>
      <c r="F3772" t="s">
        <v>61</v>
      </c>
      <c r="G3772" t="s">
        <v>48</v>
      </c>
      <c r="H3772" t="s">
        <v>49</v>
      </c>
      <c r="I3772" t="s">
        <v>50</v>
      </c>
      <c r="J3772" t="s">
        <v>5570</v>
      </c>
      <c r="K3772" t="s">
        <v>5619</v>
      </c>
      <c r="L3772" t="s">
        <v>53</v>
      </c>
      <c r="N3772" t="s">
        <v>6366</v>
      </c>
      <c r="P3772" t="s">
        <v>55</v>
      </c>
      <c r="R3772" t="s">
        <v>53</v>
      </c>
      <c r="T3772" t="s">
        <v>6367</v>
      </c>
      <c r="U3772" t="s">
        <v>58</v>
      </c>
      <c r="V3772">
        <v>3</v>
      </c>
      <c r="W3772">
        <v>1</v>
      </c>
      <c r="X3772">
        <v>2</v>
      </c>
      <c r="Y3772">
        <v>0</v>
      </c>
      <c r="Z3772">
        <v>2</v>
      </c>
      <c r="AA3772">
        <v>0</v>
      </c>
      <c r="AB3772">
        <v>248.91</v>
      </c>
      <c r="AC3772">
        <v>219</v>
      </c>
      <c r="AD3772">
        <v>0</v>
      </c>
      <c r="AE3772">
        <v>29.91</v>
      </c>
      <c r="AF3772">
        <v>0</v>
      </c>
      <c r="AG3772">
        <v>0</v>
      </c>
      <c r="AH3772">
        <v>0</v>
      </c>
      <c r="AI3772">
        <v>44.8</v>
      </c>
      <c r="AJ3772">
        <v>248.91</v>
      </c>
      <c r="AK3772">
        <v>0</v>
      </c>
      <c r="AL3772" t="s">
        <v>53</v>
      </c>
      <c r="AM3772" t="s">
        <v>53</v>
      </c>
      <c r="AN3772" t="s">
        <v>53</v>
      </c>
      <c r="AO3772" t="s">
        <v>53</v>
      </c>
      <c r="AP3772" t="s">
        <v>53</v>
      </c>
    </row>
    <row r="3773" spans="2:42" x14ac:dyDescent="0.2">
      <c r="B3773" t="s">
        <v>44</v>
      </c>
      <c r="C3773" t="str">
        <f>HYPERLINK("https://us2.cloudbeds.com/connect/8493803454333002#/reservations/58302740947167?display=18F0X5GBTN&amp;reservation_id=58302740947167", "18F0X5GBTN")</f>
        <v>18F0X5GBTN</v>
      </c>
      <c r="D3773" t="s">
        <v>45</v>
      </c>
      <c r="E3773" t="s">
        <v>121</v>
      </c>
      <c r="F3773" t="s">
        <v>86</v>
      </c>
      <c r="G3773" t="s">
        <v>48</v>
      </c>
      <c r="H3773" t="s">
        <v>3957</v>
      </c>
      <c r="I3773" t="s">
        <v>3989</v>
      </c>
      <c r="J3773" t="s">
        <v>5554</v>
      </c>
      <c r="K3773" t="s">
        <v>5850</v>
      </c>
      <c r="L3773" t="s">
        <v>53</v>
      </c>
      <c r="P3773" t="s">
        <v>55</v>
      </c>
      <c r="R3773" t="s">
        <v>56</v>
      </c>
      <c r="T3773" t="s">
        <v>6368</v>
      </c>
      <c r="U3773" t="s">
        <v>58</v>
      </c>
      <c r="V3773">
        <v>1</v>
      </c>
      <c r="W3773">
        <v>1</v>
      </c>
      <c r="X3773">
        <v>1</v>
      </c>
      <c r="Y3773">
        <v>0</v>
      </c>
      <c r="Z3773">
        <v>1</v>
      </c>
      <c r="AA3773">
        <v>0</v>
      </c>
      <c r="AB3773">
        <v>87.51</v>
      </c>
      <c r="AC3773">
        <v>77</v>
      </c>
      <c r="AD3773">
        <v>0</v>
      </c>
      <c r="AE3773">
        <v>10.51</v>
      </c>
      <c r="AF3773">
        <v>0</v>
      </c>
      <c r="AG3773">
        <v>0</v>
      </c>
      <c r="AH3773">
        <v>0</v>
      </c>
      <c r="AI3773">
        <v>0</v>
      </c>
      <c r="AJ3773">
        <v>87.51</v>
      </c>
      <c r="AK3773">
        <v>0</v>
      </c>
      <c r="AL3773" t="s">
        <v>53</v>
      </c>
      <c r="AM3773" t="s">
        <v>53</v>
      </c>
      <c r="AN3773" t="s">
        <v>53</v>
      </c>
      <c r="AO3773" t="s">
        <v>53</v>
      </c>
      <c r="AP3773" t="s">
        <v>53</v>
      </c>
    </row>
    <row r="3774" spans="2:42" x14ac:dyDescent="0.2">
      <c r="B3774" t="s">
        <v>44</v>
      </c>
      <c r="C3774" t="str">
        <f>HYPERLINK("https://us2.cloudbeds.com/connect/8493803454333002#/reservations/58304199606510?display=18F1MEFNAW&amp;reservation_id=58304199606510", "18F1MEFNAW")</f>
        <v>18F1MEFNAW</v>
      </c>
      <c r="D3774" t="s">
        <v>45</v>
      </c>
      <c r="E3774" t="s">
        <v>265</v>
      </c>
      <c r="F3774" t="s">
        <v>61</v>
      </c>
      <c r="G3774" t="s">
        <v>48</v>
      </c>
      <c r="H3774" t="s">
        <v>49</v>
      </c>
      <c r="I3774" t="s">
        <v>62</v>
      </c>
      <c r="J3774" t="s">
        <v>5672</v>
      </c>
      <c r="K3774" t="s">
        <v>5711</v>
      </c>
      <c r="L3774" t="s">
        <v>53</v>
      </c>
      <c r="N3774" t="s">
        <v>6369</v>
      </c>
      <c r="P3774" t="s">
        <v>55</v>
      </c>
      <c r="R3774" t="s">
        <v>56</v>
      </c>
      <c r="T3774" t="s">
        <v>6370</v>
      </c>
      <c r="U3774" t="s">
        <v>55</v>
      </c>
      <c r="V3774">
        <v>3</v>
      </c>
      <c r="W3774">
        <v>1</v>
      </c>
      <c r="X3774">
        <v>2</v>
      </c>
      <c r="Y3774">
        <v>0</v>
      </c>
      <c r="Z3774">
        <v>2</v>
      </c>
      <c r="AA3774">
        <v>0</v>
      </c>
      <c r="AB3774">
        <v>219</v>
      </c>
      <c r="AC3774">
        <v>219</v>
      </c>
      <c r="AD3774">
        <v>0</v>
      </c>
      <c r="AE3774">
        <v>0</v>
      </c>
      <c r="AF3774">
        <v>0</v>
      </c>
      <c r="AG3774">
        <v>0</v>
      </c>
      <c r="AH3774">
        <v>0</v>
      </c>
      <c r="AI3774">
        <v>39.42</v>
      </c>
      <c r="AJ3774">
        <v>219</v>
      </c>
      <c r="AK3774">
        <v>0</v>
      </c>
      <c r="AL3774" t="s">
        <v>53</v>
      </c>
      <c r="AM3774" t="s">
        <v>53</v>
      </c>
      <c r="AN3774" t="s">
        <v>53</v>
      </c>
      <c r="AO3774" t="s">
        <v>53</v>
      </c>
      <c r="AP3774" t="s">
        <v>53</v>
      </c>
    </row>
    <row r="3775" spans="2:42" x14ac:dyDescent="0.2">
      <c r="B3775" t="s">
        <v>44</v>
      </c>
      <c r="C3775" t="str">
        <f>HYPERLINK("https://us2.cloudbeds.com/connect/8493803454333002#/reservations/58346224464055?display=18G178VAFY&amp;reservation_id=58346224464055", "18G178VAFY")</f>
        <v>18G178VAFY</v>
      </c>
      <c r="D3775" t="s">
        <v>45</v>
      </c>
      <c r="E3775" t="s">
        <v>85</v>
      </c>
      <c r="F3775" t="s">
        <v>86</v>
      </c>
      <c r="G3775" t="s">
        <v>48</v>
      </c>
      <c r="H3775" t="s">
        <v>49</v>
      </c>
      <c r="I3775" t="s">
        <v>50</v>
      </c>
      <c r="J3775" t="s">
        <v>6319</v>
      </c>
      <c r="K3775" t="s">
        <v>6031</v>
      </c>
      <c r="L3775" t="s">
        <v>53</v>
      </c>
      <c r="N3775" t="s">
        <v>6371</v>
      </c>
      <c r="P3775" t="s">
        <v>55</v>
      </c>
      <c r="R3775" t="s">
        <v>53</v>
      </c>
      <c r="T3775" t="s">
        <v>6372</v>
      </c>
      <c r="U3775" t="s">
        <v>58</v>
      </c>
      <c r="V3775">
        <v>1</v>
      </c>
      <c r="W3775">
        <v>1</v>
      </c>
      <c r="X3775">
        <v>2</v>
      </c>
      <c r="Y3775">
        <v>0</v>
      </c>
      <c r="Z3775">
        <v>2</v>
      </c>
      <c r="AA3775">
        <v>0</v>
      </c>
      <c r="AB3775">
        <v>87.51</v>
      </c>
      <c r="AC3775">
        <v>77</v>
      </c>
      <c r="AD3775">
        <v>0</v>
      </c>
      <c r="AE3775">
        <v>10.51</v>
      </c>
      <c r="AF3775">
        <v>0</v>
      </c>
      <c r="AG3775">
        <v>0</v>
      </c>
      <c r="AH3775">
        <v>0</v>
      </c>
      <c r="AI3775">
        <v>15.75</v>
      </c>
      <c r="AJ3775">
        <v>87.51</v>
      </c>
      <c r="AK3775">
        <v>0</v>
      </c>
      <c r="AL3775" t="s">
        <v>53</v>
      </c>
      <c r="AM3775" t="s">
        <v>53</v>
      </c>
      <c r="AN3775" t="s">
        <v>53</v>
      </c>
      <c r="AO3775" t="s">
        <v>53</v>
      </c>
      <c r="AP3775" t="s">
        <v>53</v>
      </c>
    </row>
    <row r="3776" spans="2:42" x14ac:dyDescent="0.2">
      <c r="B3776" t="s">
        <v>44</v>
      </c>
      <c r="C3776" t="str">
        <f>HYPERLINK("https://us2.cloudbeds.com/connect/8493803454333002#/reservations/58349803073726?display=18G3WNHDDV&amp;reservation_id=58349803073726", "18G3WNHDDV")</f>
        <v>18G3WNHDDV</v>
      </c>
      <c r="D3776" t="s">
        <v>45</v>
      </c>
      <c r="E3776" t="s">
        <v>138</v>
      </c>
      <c r="F3776" t="s">
        <v>70</v>
      </c>
      <c r="G3776" t="s">
        <v>48</v>
      </c>
      <c r="H3776" t="s">
        <v>49</v>
      </c>
      <c r="I3776" t="s">
        <v>62</v>
      </c>
      <c r="J3776" t="s">
        <v>6373</v>
      </c>
      <c r="K3776" t="s">
        <v>6374</v>
      </c>
      <c r="L3776" t="s">
        <v>53</v>
      </c>
      <c r="N3776" t="s">
        <v>6375</v>
      </c>
      <c r="P3776" t="s">
        <v>55</v>
      </c>
      <c r="R3776" t="s">
        <v>56</v>
      </c>
      <c r="T3776" t="s">
        <v>6376</v>
      </c>
      <c r="U3776" t="s">
        <v>55</v>
      </c>
      <c r="V3776">
        <v>2</v>
      </c>
      <c r="W3776">
        <v>1</v>
      </c>
      <c r="X3776">
        <v>2</v>
      </c>
      <c r="Y3776">
        <v>0</v>
      </c>
      <c r="Z3776">
        <v>2</v>
      </c>
      <c r="AA3776">
        <v>0</v>
      </c>
      <c r="AB3776">
        <v>448</v>
      </c>
      <c r="AC3776">
        <v>448</v>
      </c>
      <c r="AD3776">
        <v>0</v>
      </c>
      <c r="AE3776">
        <v>0</v>
      </c>
      <c r="AF3776">
        <v>0</v>
      </c>
      <c r="AG3776">
        <v>0</v>
      </c>
      <c r="AH3776">
        <v>0</v>
      </c>
      <c r="AI3776">
        <v>80.64</v>
      </c>
      <c r="AJ3776">
        <v>448</v>
      </c>
      <c r="AK3776">
        <v>0</v>
      </c>
      <c r="AL3776" t="s">
        <v>53</v>
      </c>
      <c r="AM3776" t="s">
        <v>53</v>
      </c>
      <c r="AN3776" t="s">
        <v>53</v>
      </c>
      <c r="AO3776" t="s">
        <v>53</v>
      </c>
      <c r="AP3776" t="s">
        <v>53</v>
      </c>
    </row>
    <row r="3777" spans="2:42" x14ac:dyDescent="0.2">
      <c r="B3777" t="s">
        <v>44</v>
      </c>
      <c r="C3777" t="str">
        <f>HYPERLINK("https://us2.cloudbeds.com/connect/8493803454333002#/reservations/58488408572125?display=18JCADBNZ3&amp;reservation_id=58488408572125", "18JCADBNZ3")</f>
        <v>18JCADBNZ3</v>
      </c>
      <c r="D3777" t="s">
        <v>45</v>
      </c>
      <c r="E3777" t="s">
        <v>185</v>
      </c>
      <c r="F3777" t="s">
        <v>47</v>
      </c>
      <c r="G3777" t="s">
        <v>48</v>
      </c>
      <c r="H3777" t="s">
        <v>49</v>
      </c>
      <c r="I3777" t="s">
        <v>62</v>
      </c>
      <c r="J3777" t="s">
        <v>5850</v>
      </c>
      <c r="K3777" t="s">
        <v>5929</v>
      </c>
      <c r="L3777" t="s">
        <v>53</v>
      </c>
      <c r="N3777" t="s">
        <v>6377</v>
      </c>
      <c r="P3777" t="s">
        <v>55</v>
      </c>
      <c r="R3777" t="s">
        <v>56</v>
      </c>
      <c r="T3777" t="s">
        <v>6378</v>
      </c>
      <c r="U3777" t="s">
        <v>55</v>
      </c>
      <c r="V3777">
        <v>3</v>
      </c>
      <c r="W3777">
        <v>1</v>
      </c>
      <c r="X3777">
        <v>2</v>
      </c>
      <c r="Y3777">
        <v>0</v>
      </c>
      <c r="Z3777">
        <v>2</v>
      </c>
      <c r="AA3777">
        <v>0</v>
      </c>
      <c r="AB3777">
        <v>204</v>
      </c>
      <c r="AC3777">
        <v>204</v>
      </c>
      <c r="AD3777">
        <v>0</v>
      </c>
      <c r="AE3777">
        <v>0</v>
      </c>
      <c r="AF3777">
        <v>0</v>
      </c>
      <c r="AG3777">
        <v>0</v>
      </c>
      <c r="AH3777">
        <v>0</v>
      </c>
      <c r="AI3777">
        <v>36.72</v>
      </c>
      <c r="AJ3777">
        <v>204</v>
      </c>
      <c r="AK3777">
        <v>0</v>
      </c>
      <c r="AL3777" t="s">
        <v>53</v>
      </c>
      <c r="AM3777" t="s">
        <v>53</v>
      </c>
      <c r="AN3777" t="s">
        <v>53</v>
      </c>
      <c r="AO3777" t="s">
        <v>53</v>
      </c>
      <c r="AP3777" t="s">
        <v>53</v>
      </c>
    </row>
    <row r="3778" spans="2:42" x14ac:dyDescent="0.2">
      <c r="B3778" t="s">
        <v>44</v>
      </c>
      <c r="C3778" t="str">
        <f>HYPERLINK("https://us2.cloudbeds.com/connect/8493803454333002#/reservations/58687644758214?display=18Z1JBJ9YK&amp;reservation_id=58687644758214", "18Z1JBJ9YK")</f>
        <v>18Z1JBJ9YK</v>
      </c>
      <c r="D3778" t="s">
        <v>45</v>
      </c>
      <c r="E3778" t="s">
        <v>128</v>
      </c>
      <c r="F3778" t="s">
        <v>86</v>
      </c>
      <c r="G3778" t="s">
        <v>48</v>
      </c>
      <c r="H3778" t="s">
        <v>3957</v>
      </c>
      <c r="I3778" t="s">
        <v>3975</v>
      </c>
      <c r="J3778" t="s">
        <v>6379</v>
      </c>
      <c r="K3778" t="s">
        <v>6380</v>
      </c>
      <c r="L3778" t="s">
        <v>53</v>
      </c>
      <c r="P3778" t="s">
        <v>55</v>
      </c>
      <c r="R3778" t="s">
        <v>56</v>
      </c>
      <c r="T3778" t="s">
        <v>6381</v>
      </c>
      <c r="U3778" t="s">
        <v>58</v>
      </c>
      <c r="V3778">
        <v>4</v>
      </c>
      <c r="W3778">
        <v>1</v>
      </c>
      <c r="X3778">
        <v>2</v>
      </c>
      <c r="Y3778">
        <v>0</v>
      </c>
      <c r="Z3778">
        <v>2</v>
      </c>
      <c r="AA3778">
        <v>0</v>
      </c>
      <c r="AB3778">
        <v>963.76</v>
      </c>
      <c r="AC3778">
        <v>848</v>
      </c>
      <c r="AD3778">
        <v>0</v>
      </c>
      <c r="AE3778">
        <v>115.76</v>
      </c>
      <c r="AF3778">
        <v>0</v>
      </c>
      <c r="AG3778">
        <v>0</v>
      </c>
      <c r="AH3778">
        <v>0</v>
      </c>
      <c r="AI3778">
        <v>0</v>
      </c>
      <c r="AJ3778">
        <v>963.76</v>
      </c>
      <c r="AK3778">
        <v>0</v>
      </c>
      <c r="AL3778" t="s">
        <v>53</v>
      </c>
      <c r="AM3778" t="s">
        <v>53</v>
      </c>
      <c r="AN3778" t="s">
        <v>53</v>
      </c>
      <c r="AO3778" t="s">
        <v>53</v>
      </c>
      <c r="AP3778" t="s">
        <v>53</v>
      </c>
    </row>
    <row r="3779" spans="2:42" x14ac:dyDescent="0.2">
      <c r="B3779" t="s">
        <v>44</v>
      </c>
      <c r="C3779" t="str">
        <f>HYPERLINK("https://us2.cloudbeds.com/connect/8493803454333002#/reservations/58702737944733?display=18ZD90XF22&amp;reservation_id=58702737944733", "18ZD90XF22")</f>
        <v>18ZD90XF22</v>
      </c>
      <c r="D3779" t="s">
        <v>45</v>
      </c>
      <c r="E3779" t="s">
        <v>185</v>
      </c>
      <c r="F3779" t="s">
        <v>47</v>
      </c>
      <c r="G3779" t="s">
        <v>48</v>
      </c>
      <c r="H3779" t="s">
        <v>49</v>
      </c>
      <c r="I3779" t="s">
        <v>50</v>
      </c>
      <c r="J3779" t="s">
        <v>5711</v>
      </c>
      <c r="K3779" t="s">
        <v>5619</v>
      </c>
      <c r="L3779" t="s">
        <v>53</v>
      </c>
      <c r="N3779" t="s">
        <v>6382</v>
      </c>
      <c r="P3779" t="s">
        <v>55</v>
      </c>
      <c r="R3779" t="s">
        <v>53</v>
      </c>
      <c r="T3779" t="s">
        <v>6383</v>
      </c>
      <c r="U3779" t="s">
        <v>58</v>
      </c>
      <c r="V3779">
        <v>1</v>
      </c>
      <c r="W3779">
        <v>1</v>
      </c>
      <c r="X3779">
        <v>1</v>
      </c>
      <c r="Y3779">
        <v>0</v>
      </c>
      <c r="Z3779">
        <v>1</v>
      </c>
      <c r="AA3779">
        <v>0</v>
      </c>
      <c r="AB3779">
        <v>61.83</v>
      </c>
      <c r="AC3779">
        <v>54.4</v>
      </c>
      <c r="AD3779">
        <v>0</v>
      </c>
      <c r="AE3779">
        <v>7.43</v>
      </c>
      <c r="AF3779">
        <v>0</v>
      </c>
      <c r="AG3779">
        <v>0</v>
      </c>
      <c r="AH3779">
        <v>0</v>
      </c>
      <c r="AI3779">
        <v>11.13</v>
      </c>
      <c r="AJ3779">
        <v>61.83</v>
      </c>
      <c r="AK3779">
        <v>0</v>
      </c>
      <c r="AL3779" t="s">
        <v>53</v>
      </c>
      <c r="AM3779" t="s">
        <v>53</v>
      </c>
      <c r="AN3779" t="s">
        <v>53</v>
      </c>
      <c r="AO3779" t="s">
        <v>53</v>
      </c>
      <c r="AP3779" t="s">
        <v>53</v>
      </c>
    </row>
    <row r="3780" spans="2:42" x14ac:dyDescent="0.2">
      <c r="B3780" t="s">
        <v>44</v>
      </c>
      <c r="C3780" t="str">
        <f>HYPERLINK("https://us2.cloudbeds.com/connect/8493803454333002#/reservations/58720329220330?display=18ZQTGWKRX&amp;reservation_id=58720329220330", "18ZQTGWKRX")</f>
        <v>18ZQTGWKRX</v>
      </c>
      <c r="D3780" t="s">
        <v>45</v>
      </c>
      <c r="E3780" t="s">
        <v>113</v>
      </c>
      <c r="F3780" t="s">
        <v>61</v>
      </c>
      <c r="G3780" t="s">
        <v>48</v>
      </c>
      <c r="H3780" t="s">
        <v>49</v>
      </c>
      <c r="I3780" t="s">
        <v>50</v>
      </c>
      <c r="J3780" t="s">
        <v>6384</v>
      </c>
      <c r="K3780" t="s">
        <v>6050</v>
      </c>
      <c r="L3780" t="s">
        <v>53</v>
      </c>
      <c r="N3780" t="s">
        <v>6385</v>
      </c>
      <c r="P3780" t="s">
        <v>55</v>
      </c>
      <c r="R3780" t="s">
        <v>53</v>
      </c>
      <c r="T3780" t="s">
        <v>6386</v>
      </c>
      <c r="U3780" t="s">
        <v>58</v>
      </c>
      <c r="V3780">
        <v>1</v>
      </c>
      <c r="W3780">
        <v>1</v>
      </c>
      <c r="X3780">
        <v>2</v>
      </c>
      <c r="Y3780">
        <v>0</v>
      </c>
      <c r="Z3780">
        <v>2</v>
      </c>
      <c r="AA3780">
        <v>112.52</v>
      </c>
      <c r="AB3780">
        <v>112.52</v>
      </c>
      <c r="AC3780">
        <v>99</v>
      </c>
      <c r="AD3780">
        <v>0</v>
      </c>
      <c r="AE3780">
        <v>13.52</v>
      </c>
      <c r="AF3780">
        <v>0</v>
      </c>
      <c r="AG3780">
        <v>0</v>
      </c>
      <c r="AH3780">
        <v>0</v>
      </c>
      <c r="AI3780">
        <v>20.25</v>
      </c>
      <c r="AJ3780">
        <v>112.52</v>
      </c>
      <c r="AK3780">
        <v>0</v>
      </c>
      <c r="AL3780" t="s">
        <v>53</v>
      </c>
      <c r="AM3780" t="s">
        <v>53</v>
      </c>
      <c r="AN3780" t="s">
        <v>53</v>
      </c>
      <c r="AO3780" t="s">
        <v>53</v>
      </c>
      <c r="AP3780" t="s">
        <v>53</v>
      </c>
    </row>
    <row r="3781" spans="2:42" x14ac:dyDescent="0.2">
      <c r="B3781" t="s">
        <v>44</v>
      </c>
      <c r="C3781" t="str">
        <f>HYPERLINK("https://us2.cloudbeds.com/connect/8493803454333002#/reservations/58764789100776?display=18PSAXZBAW&amp;reservation_id=58764789100776", "18PSAXZBAW")</f>
        <v>18PSAXZBAW</v>
      </c>
      <c r="D3781" t="s">
        <v>45</v>
      </c>
      <c r="E3781" t="s">
        <v>78</v>
      </c>
      <c r="F3781" t="s">
        <v>61</v>
      </c>
      <c r="G3781" t="s">
        <v>48</v>
      </c>
      <c r="H3781" t="s">
        <v>49</v>
      </c>
      <c r="I3781" t="s">
        <v>50</v>
      </c>
      <c r="J3781" t="s">
        <v>5850</v>
      </c>
      <c r="K3781" t="s">
        <v>5555</v>
      </c>
      <c r="L3781" t="s">
        <v>53</v>
      </c>
      <c r="N3781" t="s">
        <v>6387</v>
      </c>
      <c r="P3781" t="s">
        <v>55</v>
      </c>
      <c r="R3781" t="s">
        <v>53</v>
      </c>
      <c r="T3781" t="s">
        <v>6388</v>
      </c>
      <c r="U3781" t="s">
        <v>58</v>
      </c>
      <c r="V3781">
        <v>1</v>
      </c>
      <c r="W3781">
        <v>1</v>
      </c>
      <c r="X3781">
        <v>2</v>
      </c>
      <c r="Y3781">
        <v>0</v>
      </c>
      <c r="Z3781">
        <v>2</v>
      </c>
      <c r="AA3781">
        <v>0</v>
      </c>
      <c r="AB3781">
        <v>70.52</v>
      </c>
      <c r="AC3781">
        <v>62.05</v>
      </c>
      <c r="AD3781">
        <v>0</v>
      </c>
      <c r="AE3781">
        <v>8.4700000000000006</v>
      </c>
      <c r="AF3781">
        <v>0</v>
      </c>
      <c r="AG3781">
        <v>0</v>
      </c>
      <c r="AH3781">
        <v>0</v>
      </c>
      <c r="AI3781">
        <v>12.69</v>
      </c>
      <c r="AJ3781">
        <v>70.52</v>
      </c>
      <c r="AK3781">
        <v>0</v>
      </c>
      <c r="AL3781" t="s">
        <v>53</v>
      </c>
      <c r="AM3781" t="s">
        <v>53</v>
      </c>
      <c r="AN3781" t="s">
        <v>53</v>
      </c>
      <c r="AO3781" t="s">
        <v>53</v>
      </c>
      <c r="AP3781" t="s">
        <v>53</v>
      </c>
    </row>
    <row r="3782" spans="2:42" x14ac:dyDescent="0.2">
      <c r="B3782" t="s">
        <v>44</v>
      </c>
      <c r="C3782" t="str">
        <f>HYPERLINK("https://us2.cloudbeds.com/connect/8493803454333002#/reservations/58788051648652?display=18QDAWB0W6&amp;reservation_id=58788051648652", "18QDAWB0W6")</f>
        <v>18QDAWB0W6</v>
      </c>
      <c r="D3782" t="s">
        <v>45</v>
      </c>
      <c r="E3782" t="s">
        <v>190</v>
      </c>
      <c r="F3782" t="s">
        <v>61</v>
      </c>
      <c r="G3782" t="s">
        <v>48</v>
      </c>
      <c r="H3782" t="s">
        <v>3957</v>
      </c>
      <c r="I3782" t="s">
        <v>3958</v>
      </c>
      <c r="J3782" t="s">
        <v>5850</v>
      </c>
      <c r="K3782" t="s">
        <v>5555</v>
      </c>
      <c r="L3782" t="s">
        <v>53</v>
      </c>
      <c r="P3782" t="s">
        <v>58</v>
      </c>
      <c r="R3782" t="s">
        <v>56</v>
      </c>
      <c r="T3782" t="s">
        <v>6389</v>
      </c>
      <c r="U3782" t="s">
        <v>58</v>
      </c>
      <c r="V3782">
        <v>1</v>
      </c>
      <c r="W3782">
        <v>1</v>
      </c>
      <c r="X3782">
        <v>1</v>
      </c>
      <c r="Y3782">
        <v>0</v>
      </c>
      <c r="Z3782">
        <v>1</v>
      </c>
      <c r="AA3782">
        <v>0</v>
      </c>
      <c r="AB3782">
        <v>82.97</v>
      </c>
      <c r="AC3782">
        <v>73</v>
      </c>
      <c r="AD3782">
        <v>0</v>
      </c>
      <c r="AE3782">
        <v>9.9700000000000006</v>
      </c>
      <c r="AF3782">
        <v>0</v>
      </c>
      <c r="AG3782">
        <v>0</v>
      </c>
      <c r="AH3782">
        <v>0</v>
      </c>
      <c r="AI3782">
        <v>0</v>
      </c>
      <c r="AJ3782">
        <v>82.97</v>
      </c>
      <c r="AK3782">
        <v>0</v>
      </c>
      <c r="AL3782" t="s">
        <v>53</v>
      </c>
      <c r="AM3782" t="s">
        <v>53</v>
      </c>
      <c r="AN3782" t="s">
        <v>53</v>
      </c>
      <c r="AO3782" t="s">
        <v>53</v>
      </c>
      <c r="AP3782" t="s">
        <v>53</v>
      </c>
    </row>
    <row r="3783" spans="2:42" x14ac:dyDescent="0.2">
      <c r="B3783" t="s">
        <v>44</v>
      </c>
      <c r="C3783" t="str">
        <f>HYPERLINK("https://us2.cloudbeds.com/connect/8493803454333002#/reservations/58817777389778?display=18R3BHSJYA&amp;reservation_id=58817777389778", "18R3BHSJYA")</f>
        <v>18R3BHSJYA</v>
      </c>
      <c r="D3783" t="s">
        <v>45</v>
      </c>
      <c r="E3783" t="s">
        <v>165</v>
      </c>
      <c r="F3783" t="s">
        <v>61</v>
      </c>
      <c r="G3783" t="s">
        <v>48</v>
      </c>
      <c r="H3783" t="s">
        <v>49</v>
      </c>
      <c r="I3783" t="s">
        <v>50</v>
      </c>
      <c r="J3783" t="s">
        <v>5571</v>
      </c>
      <c r="K3783" t="s">
        <v>5711</v>
      </c>
      <c r="L3783" t="s">
        <v>53</v>
      </c>
      <c r="N3783" t="s">
        <v>6390</v>
      </c>
      <c r="P3783" t="s">
        <v>55</v>
      </c>
      <c r="R3783" t="s">
        <v>53</v>
      </c>
      <c r="T3783" t="s">
        <v>6391</v>
      </c>
      <c r="U3783" t="s">
        <v>58</v>
      </c>
      <c r="V3783">
        <v>1</v>
      </c>
      <c r="W3783">
        <v>1</v>
      </c>
      <c r="X3783">
        <v>2</v>
      </c>
      <c r="Y3783">
        <v>0</v>
      </c>
      <c r="Z3783">
        <v>2</v>
      </c>
      <c r="AA3783">
        <v>0</v>
      </c>
      <c r="AB3783">
        <v>74.67</v>
      </c>
      <c r="AC3783">
        <v>65.7</v>
      </c>
      <c r="AD3783">
        <v>0</v>
      </c>
      <c r="AE3783">
        <v>8.9700000000000006</v>
      </c>
      <c r="AF3783">
        <v>0</v>
      </c>
      <c r="AG3783">
        <v>0</v>
      </c>
      <c r="AH3783">
        <v>0</v>
      </c>
      <c r="AI3783">
        <v>13.44</v>
      </c>
      <c r="AJ3783">
        <v>74.67</v>
      </c>
      <c r="AK3783">
        <v>0</v>
      </c>
      <c r="AL3783" t="s">
        <v>53</v>
      </c>
      <c r="AM3783" t="s">
        <v>53</v>
      </c>
      <c r="AN3783" t="s">
        <v>53</v>
      </c>
      <c r="AO3783" t="s">
        <v>53</v>
      </c>
      <c r="AP3783" t="s">
        <v>53</v>
      </c>
    </row>
    <row r="3784" spans="2:42" x14ac:dyDescent="0.2">
      <c r="B3784" t="s">
        <v>44</v>
      </c>
      <c r="C3784" t="str">
        <f>HYPERLINK("https://us2.cloudbeds.com/connect/8493803454333002#/reservations/59018989633731?display=18VR4WBTE5&amp;reservation_id=59018989633731", "18VR4WBTE5")</f>
        <v>18VR4WBTE5</v>
      </c>
      <c r="D3784" t="s">
        <v>45</v>
      </c>
      <c r="E3784" t="s">
        <v>105</v>
      </c>
      <c r="F3784" t="s">
        <v>47</v>
      </c>
      <c r="G3784" t="s">
        <v>48</v>
      </c>
      <c r="H3784" t="s">
        <v>49</v>
      </c>
      <c r="I3784" t="s">
        <v>50</v>
      </c>
      <c r="J3784" t="s">
        <v>5672</v>
      </c>
      <c r="K3784" t="s">
        <v>5570</v>
      </c>
      <c r="L3784" t="s">
        <v>53</v>
      </c>
      <c r="N3784" t="s">
        <v>6392</v>
      </c>
      <c r="P3784" t="s">
        <v>55</v>
      </c>
      <c r="R3784" t="s">
        <v>53</v>
      </c>
      <c r="T3784" t="s">
        <v>6393</v>
      </c>
      <c r="U3784" t="s">
        <v>58</v>
      </c>
      <c r="V3784">
        <v>1</v>
      </c>
      <c r="W3784">
        <v>1</v>
      </c>
      <c r="X3784">
        <v>2</v>
      </c>
      <c r="Y3784">
        <v>0</v>
      </c>
      <c r="Z3784">
        <v>2</v>
      </c>
      <c r="AA3784">
        <v>0</v>
      </c>
      <c r="AB3784">
        <v>69.540000000000006</v>
      </c>
      <c r="AC3784">
        <v>61.2</v>
      </c>
      <c r="AD3784">
        <v>0</v>
      </c>
      <c r="AE3784">
        <v>8.34</v>
      </c>
      <c r="AF3784">
        <v>0</v>
      </c>
      <c r="AG3784">
        <v>0</v>
      </c>
      <c r="AH3784">
        <v>0</v>
      </c>
      <c r="AI3784">
        <v>12.52</v>
      </c>
      <c r="AJ3784">
        <v>69.540000000000006</v>
      </c>
      <c r="AK3784">
        <v>0</v>
      </c>
      <c r="AL3784" t="s">
        <v>53</v>
      </c>
      <c r="AM3784" t="s">
        <v>53</v>
      </c>
      <c r="AN3784" t="s">
        <v>53</v>
      </c>
      <c r="AO3784" t="s">
        <v>53</v>
      </c>
      <c r="AP3784" t="s">
        <v>53</v>
      </c>
    </row>
    <row r="3785" spans="2:42" x14ac:dyDescent="0.2">
      <c r="B3785" t="s">
        <v>44</v>
      </c>
      <c r="C3785" t="str">
        <f>HYPERLINK("https://us2.cloudbeds.com/connect/8493803454333002#/reservations/59019772223633?display=18VRZW8K3M&amp;reservation_id=59019772223633", "18VRZW8K3M")</f>
        <v>18VRZW8K3M</v>
      </c>
      <c r="D3785" t="s">
        <v>45</v>
      </c>
      <c r="E3785" t="s">
        <v>128</v>
      </c>
      <c r="F3785" t="s">
        <v>86</v>
      </c>
      <c r="G3785" t="s">
        <v>48</v>
      </c>
      <c r="H3785" t="s">
        <v>49</v>
      </c>
      <c r="I3785" t="s">
        <v>50</v>
      </c>
      <c r="J3785" t="s">
        <v>5672</v>
      </c>
      <c r="K3785" t="s">
        <v>5570</v>
      </c>
      <c r="L3785" t="s">
        <v>53</v>
      </c>
      <c r="N3785" t="s">
        <v>6394</v>
      </c>
      <c r="P3785" t="s">
        <v>55</v>
      </c>
      <c r="R3785" t="s">
        <v>53</v>
      </c>
      <c r="T3785" t="s">
        <v>6395</v>
      </c>
      <c r="U3785" t="s">
        <v>58</v>
      </c>
      <c r="V3785">
        <v>1</v>
      </c>
      <c r="W3785">
        <v>1</v>
      </c>
      <c r="X3785">
        <v>2</v>
      </c>
      <c r="Y3785">
        <v>0</v>
      </c>
      <c r="Z3785">
        <v>2</v>
      </c>
      <c r="AA3785">
        <v>0</v>
      </c>
      <c r="AB3785">
        <v>78.77</v>
      </c>
      <c r="AC3785">
        <v>69.3</v>
      </c>
      <c r="AD3785">
        <v>0</v>
      </c>
      <c r="AE3785">
        <v>9.4700000000000006</v>
      </c>
      <c r="AF3785">
        <v>0</v>
      </c>
      <c r="AG3785">
        <v>0</v>
      </c>
      <c r="AH3785">
        <v>0</v>
      </c>
      <c r="AI3785">
        <v>14.18</v>
      </c>
      <c r="AJ3785">
        <v>78.77</v>
      </c>
      <c r="AK3785">
        <v>0</v>
      </c>
      <c r="AL3785" t="s">
        <v>53</v>
      </c>
      <c r="AM3785" t="s">
        <v>53</v>
      </c>
      <c r="AN3785" t="s">
        <v>53</v>
      </c>
      <c r="AO3785" t="s">
        <v>53</v>
      </c>
      <c r="AP3785" t="s">
        <v>53</v>
      </c>
    </row>
    <row r="3786" spans="2:42" x14ac:dyDescent="0.2">
      <c r="B3786" t="s">
        <v>44</v>
      </c>
      <c r="C3786" t="str">
        <f>HYPERLINK("https://us2.cloudbeds.com/connect/8493803454333002#/reservations/59126274117857?display=191B7BFQPM&amp;reservation_id=59126274117857", "191B7BFQPM")</f>
        <v>191B7BFQPM</v>
      </c>
      <c r="D3786" t="s">
        <v>45</v>
      </c>
      <c r="E3786" t="s">
        <v>110</v>
      </c>
      <c r="F3786" t="s">
        <v>47</v>
      </c>
      <c r="G3786" t="s">
        <v>48</v>
      </c>
      <c r="H3786" t="s">
        <v>49</v>
      </c>
      <c r="I3786" t="s">
        <v>50</v>
      </c>
      <c r="J3786" t="s">
        <v>6396</v>
      </c>
      <c r="K3786" t="s">
        <v>6397</v>
      </c>
      <c r="L3786" t="s">
        <v>53</v>
      </c>
      <c r="N3786" t="s">
        <v>6398</v>
      </c>
      <c r="P3786" t="s">
        <v>55</v>
      </c>
      <c r="R3786" t="s">
        <v>53</v>
      </c>
      <c r="T3786" t="s">
        <v>6399</v>
      </c>
      <c r="U3786" t="s">
        <v>58</v>
      </c>
      <c r="V3786">
        <v>1</v>
      </c>
      <c r="W3786">
        <v>1</v>
      </c>
      <c r="X3786">
        <v>2</v>
      </c>
      <c r="Y3786">
        <v>0</v>
      </c>
      <c r="Z3786">
        <v>2</v>
      </c>
      <c r="AA3786">
        <v>237.64</v>
      </c>
      <c r="AB3786">
        <v>237.64</v>
      </c>
      <c r="AC3786">
        <v>209.1</v>
      </c>
      <c r="AD3786">
        <v>0</v>
      </c>
      <c r="AE3786">
        <v>28.54</v>
      </c>
      <c r="AF3786">
        <v>0</v>
      </c>
      <c r="AG3786">
        <v>0</v>
      </c>
      <c r="AH3786">
        <v>0</v>
      </c>
      <c r="AI3786">
        <v>42.78</v>
      </c>
      <c r="AJ3786">
        <v>237.64</v>
      </c>
      <c r="AK3786">
        <v>0</v>
      </c>
      <c r="AL3786" t="s">
        <v>53</v>
      </c>
      <c r="AM3786" t="s">
        <v>53</v>
      </c>
      <c r="AN3786" t="s">
        <v>53</v>
      </c>
      <c r="AO3786" t="s">
        <v>53</v>
      </c>
      <c r="AP3786" t="s">
        <v>53</v>
      </c>
    </row>
    <row r="3787" spans="2:42" x14ac:dyDescent="0.2">
      <c r="B3787" t="s">
        <v>44</v>
      </c>
      <c r="C3787" t="str">
        <f>HYPERLINK("https://us2.cloudbeds.com/connect/8493803454333002#/reservations/59183061094624?display=192M6CP4VF&amp;reservation_id=59183061094624", "192M6CP4VF")</f>
        <v>192M6CP4VF</v>
      </c>
      <c r="D3787" t="s">
        <v>45</v>
      </c>
      <c r="E3787" t="s">
        <v>113</v>
      </c>
      <c r="F3787" t="s">
        <v>61</v>
      </c>
      <c r="G3787" t="s">
        <v>48</v>
      </c>
      <c r="H3787" t="s">
        <v>49</v>
      </c>
      <c r="I3787" t="s">
        <v>50</v>
      </c>
      <c r="J3787" t="s">
        <v>5643</v>
      </c>
      <c r="K3787" t="s">
        <v>5644</v>
      </c>
      <c r="L3787" t="s">
        <v>53</v>
      </c>
      <c r="N3787" t="s">
        <v>6400</v>
      </c>
      <c r="P3787" t="s">
        <v>55</v>
      </c>
      <c r="R3787" t="s">
        <v>53</v>
      </c>
      <c r="T3787" t="s">
        <v>6401</v>
      </c>
      <c r="U3787" t="s">
        <v>58</v>
      </c>
      <c r="V3787">
        <v>2</v>
      </c>
      <c r="W3787">
        <v>1</v>
      </c>
      <c r="X3787">
        <v>2</v>
      </c>
      <c r="Y3787">
        <v>0</v>
      </c>
      <c r="Z3787">
        <v>2</v>
      </c>
      <c r="AA3787">
        <v>0</v>
      </c>
      <c r="AB3787">
        <v>141.04</v>
      </c>
      <c r="AC3787">
        <v>124.1</v>
      </c>
      <c r="AD3787">
        <v>0</v>
      </c>
      <c r="AE3787">
        <v>16.940000000000001</v>
      </c>
      <c r="AF3787">
        <v>0</v>
      </c>
      <c r="AG3787">
        <v>0</v>
      </c>
      <c r="AH3787">
        <v>0</v>
      </c>
      <c r="AI3787">
        <v>25.39</v>
      </c>
      <c r="AJ3787">
        <v>141.04</v>
      </c>
      <c r="AK3787">
        <v>0</v>
      </c>
      <c r="AL3787" t="s">
        <v>53</v>
      </c>
      <c r="AM3787" t="s">
        <v>53</v>
      </c>
      <c r="AN3787" t="s">
        <v>53</v>
      </c>
      <c r="AO3787" t="s">
        <v>53</v>
      </c>
      <c r="AP3787" t="s">
        <v>53</v>
      </c>
    </row>
    <row r="3788" spans="2:42" x14ac:dyDescent="0.2">
      <c r="B3788" t="s">
        <v>44</v>
      </c>
      <c r="C3788" t="str">
        <f>HYPERLINK("https://us2.cloudbeds.com/connect/8493803454333002#/reservations/59230137856216?display=193PYA4EEX&amp;reservation_id=59230137856216", "193PYA4EEX")</f>
        <v>193PYA4EEX</v>
      </c>
      <c r="D3788" t="s">
        <v>45</v>
      </c>
      <c r="E3788" t="s">
        <v>138</v>
      </c>
      <c r="F3788" t="s">
        <v>70</v>
      </c>
      <c r="G3788" t="s">
        <v>48</v>
      </c>
      <c r="H3788" t="s">
        <v>3957</v>
      </c>
      <c r="I3788" t="s">
        <v>3975</v>
      </c>
      <c r="J3788" t="s">
        <v>5672</v>
      </c>
      <c r="K3788" t="s">
        <v>5571</v>
      </c>
      <c r="L3788" t="s">
        <v>53</v>
      </c>
      <c r="P3788" t="s">
        <v>55</v>
      </c>
      <c r="R3788" t="s">
        <v>56</v>
      </c>
      <c r="T3788" t="s">
        <v>6402</v>
      </c>
      <c r="U3788" t="s">
        <v>58</v>
      </c>
      <c r="V3788">
        <v>2</v>
      </c>
      <c r="W3788">
        <v>1</v>
      </c>
      <c r="X3788">
        <v>2</v>
      </c>
      <c r="Y3788">
        <v>0</v>
      </c>
      <c r="Z3788">
        <v>2</v>
      </c>
      <c r="AA3788">
        <v>0</v>
      </c>
      <c r="AB3788">
        <v>146.62</v>
      </c>
      <c r="AC3788">
        <v>129</v>
      </c>
      <c r="AD3788">
        <v>0</v>
      </c>
      <c r="AE3788">
        <v>17.62</v>
      </c>
      <c r="AF3788">
        <v>0</v>
      </c>
      <c r="AG3788">
        <v>0</v>
      </c>
      <c r="AH3788">
        <v>0</v>
      </c>
      <c r="AI3788">
        <v>0</v>
      </c>
      <c r="AJ3788">
        <v>146.62</v>
      </c>
      <c r="AK3788">
        <v>0</v>
      </c>
      <c r="AL3788" t="s">
        <v>53</v>
      </c>
      <c r="AM3788" t="s">
        <v>53</v>
      </c>
      <c r="AN3788" t="s">
        <v>53</v>
      </c>
      <c r="AO3788" t="s">
        <v>53</v>
      </c>
      <c r="AP3788" t="s">
        <v>53</v>
      </c>
    </row>
    <row r="3789" spans="2:42" x14ac:dyDescent="0.2">
      <c r="B3789" t="s">
        <v>44</v>
      </c>
      <c r="C3789" t="str">
        <f>HYPERLINK("https://us2.cloudbeds.com/connect/8493803454333002#/reservations/59409035214987?display=197W5X458H&amp;reservation_id=59409035214987", "197W5X458H")</f>
        <v>197W5X458H</v>
      </c>
      <c r="D3789" t="s">
        <v>45</v>
      </c>
      <c r="E3789" t="s">
        <v>46</v>
      </c>
      <c r="F3789" t="s">
        <v>47</v>
      </c>
      <c r="G3789" t="s">
        <v>48</v>
      </c>
      <c r="H3789" t="s">
        <v>49</v>
      </c>
      <c r="I3789" t="s">
        <v>50</v>
      </c>
      <c r="J3789" t="s">
        <v>6078</v>
      </c>
      <c r="K3789" t="s">
        <v>6403</v>
      </c>
      <c r="L3789" t="s">
        <v>53</v>
      </c>
      <c r="N3789" t="s">
        <v>6404</v>
      </c>
      <c r="P3789" t="s">
        <v>55</v>
      </c>
      <c r="R3789" t="s">
        <v>53</v>
      </c>
      <c r="T3789" t="s">
        <v>6405</v>
      </c>
      <c r="U3789" t="s">
        <v>58</v>
      </c>
      <c r="V3789">
        <v>3</v>
      </c>
      <c r="W3789">
        <v>1</v>
      </c>
      <c r="X3789">
        <v>2</v>
      </c>
      <c r="Y3789">
        <v>0</v>
      </c>
      <c r="Z3789">
        <v>2</v>
      </c>
      <c r="AA3789">
        <v>0</v>
      </c>
      <c r="AB3789">
        <v>205.49</v>
      </c>
      <c r="AC3789">
        <v>180.8</v>
      </c>
      <c r="AD3789">
        <v>0</v>
      </c>
      <c r="AE3789">
        <v>24.69</v>
      </c>
      <c r="AF3789">
        <v>0</v>
      </c>
      <c r="AG3789">
        <v>0</v>
      </c>
      <c r="AH3789">
        <v>0</v>
      </c>
      <c r="AI3789">
        <v>36.99</v>
      </c>
      <c r="AJ3789">
        <v>205.49</v>
      </c>
      <c r="AK3789">
        <v>0</v>
      </c>
      <c r="AL3789" t="s">
        <v>53</v>
      </c>
      <c r="AM3789" t="s">
        <v>53</v>
      </c>
      <c r="AN3789" t="s">
        <v>53</v>
      </c>
      <c r="AO3789" t="s">
        <v>53</v>
      </c>
      <c r="AP3789" t="s">
        <v>53</v>
      </c>
    </row>
    <row r="3790" spans="2:42" x14ac:dyDescent="0.2">
      <c r="B3790" t="s">
        <v>44</v>
      </c>
      <c r="C3790" t="str">
        <f>HYPERLINK("https://us2.cloudbeds.com/connect/8493803454333002#/reservations/59455508852868?display=199251UY4H&amp;reservation_id=59455508852868", "199251UY4H")</f>
        <v>199251UY4H</v>
      </c>
      <c r="D3790" t="s">
        <v>45</v>
      </c>
      <c r="E3790" t="s">
        <v>138</v>
      </c>
      <c r="F3790" t="s">
        <v>70</v>
      </c>
      <c r="G3790" t="s">
        <v>48</v>
      </c>
      <c r="H3790" t="s">
        <v>49</v>
      </c>
      <c r="I3790" t="s">
        <v>62</v>
      </c>
      <c r="J3790" t="s">
        <v>6059</v>
      </c>
      <c r="K3790" t="s">
        <v>5929</v>
      </c>
      <c r="L3790" t="s">
        <v>53</v>
      </c>
      <c r="N3790" t="s">
        <v>6406</v>
      </c>
      <c r="P3790" t="s">
        <v>55</v>
      </c>
      <c r="R3790" t="s">
        <v>56</v>
      </c>
      <c r="T3790" t="s">
        <v>6407</v>
      </c>
      <c r="U3790" t="s">
        <v>55</v>
      </c>
      <c r="V3790">
        <v>1</v>
      </c>
      <c r="W3790">
        <v>1</v>
      </c>
      <c r="X3790">
        <v>1</v>
      </c>
      <c r="Y3790">
        <v>0</v>
      </c>
      <c r="Z3790">
        <v>1</v>
      </c>
      <c r="AA3790">
        <v>0</v>
      </c>
      <c r="AB3790">
        <v>63</v>
      </c>
      <c r="AC3790">
        <v>63</v>
      </c>
      <c r="AD3790">
        <v>0</v>
      </c>
      <c r="AE3790">
        <v>0</v>
      </c>
      <c r="AF3790">
        <v>0</v>
      </c>
      <c r="AG3790">
        <v>0</v>
      </c>
      <c r="AH3790">
        <v>0</v>
      </c>
      <c r="AI3790">
        <v>11.34</v>
      </c>
      <c r="AJ3790">
        <v>63</v>
      </c>
      <c r="AK3790">
        <v>0</v>
      </c>
      <c r="AL3790" t="s">
        <v>53</v>
      </c>
      <c r="AM3790" t="s">
        <v>53</v>
      </c>
      <c r="AN3790" t="s">
        <v>53</v>
      </c>
      <c r="AO3790" t="s">
        <v>53</v>
      </c>
      <c r="AP3790" t="s">
        <v>53</v>
      </c>
    </row>
    <row r="3791" spans="2:42" x14ac:dyDescent="0.2">
      <c r="B3791" t="s">
        <v>44</v>
      </c>
      <c r="C3791" t="str">
        <f>HYPERLINK("https://us2.cloudbeds.com/connect/8493803454333002#/reservations/59501950591197?display=19A53ZRFGE&amp;reservation_id=59501950591197", "19A53ZRFGE")</f>
        <v>19A53ZRFGE</v>
      </c>
      <c r="D3791" t="s">
        <v>45</v>
      </c>
      <c r="E3791" t="s">
        <v>487</v>
      </c>
      <c r="F3791" t="s">
        <v>61</v>
      </c>
      <c r="G3791" t="s">
        <v>48</v>
      </c>
      <c r="H3791" t="s">
        <v>49</v>
      </c>
      <c r="I3791" t="s">
        <v>62</v>
      </c>
      <c r="J3791" t="s">
        <v>5678</v>
      </c>
      <c r="K3791" t="s">
        <v>6403</v>
      </c>
      <c r="L3791" t="s">
        <v>53</v>
      </c>
      <c r="N3791" t="s">
        <v>6408</v>
      </c>
      <c r="P3791" t="s">
        <v>55</v>
      </c>
      <c r="R3791" t="s">
        <v>56</v>
      </c>
      <c r="T3791" t="s">
        <v>6409</v>
      </c>
      <c r="U3791" t="s">
        <v>55</v>
      </c>
      <c r="V3791">
        <v>1</v>
      </c>
      <c r="W3791">
        <v>1</v>
      </c>
      <c r="X3791">
        <v>2</v>
      </c>
      <c r="Y3791">
        <v>0</v>
      </c>
      <c r="Z3791">
        <v>2</v>
      </c>
      <c r="AA3791">
        <v>0</v>
      </c>
      <c r="AB3791">
        <v>73</v>
      </c>
      <c r="AC3791">
        <v>73</v>
      </c>
      <c r="AD3791">
        <v>0</v>
      </c>
      <c r="AE3791">
        <v>0</v>
      </c>
      <c r="AF3791">
        <v>0</v>
      </c>
      <c r="AG3791">
        <v>0</v>
      </c>
      <c r="AH3791">
        <v>0</v>
      </c>
      <c r="AI3791">
        <v>13.14</v>
      </c>
      <c r="AJ3791">
        <v>73</v>
      </c>
      <c r="AK3791">
        <v>0</v>
      </c>
      <c r="AL3791" t="s">
        <v>53</v>
      </c>
      <c r="AM3791" t="s">
        <v>53</v>
      </c>
      <c r="AN3791" t="s">
        <v>53</v>
      </c>
      <c r="AO3791" t="s">
        <v>53</v>
      </c>
      <c r="AP3791" t="s">
        <v>53</v>
      </c>
    </row>
    <row r="3792" spans="2:42" x14ac:dyDescent="0.2">
      <c r="B3792" t="s">
        <v>44</v>
      </c>
      <c r="C3792" t="str">
        <f>HYPERLINK("https://us2.cloudbeds.com/connect/8493803454333002#/reservations/59755135643865?display=19G3575PQN&amp;reservation_id=59755135643865", "19G3575PQN")</f>
        <v>19G3575PQN</v>
      </c>
      <c r="D3792" t="s">
        <v>45</v>
      </c>
      <c r="E3792" t="s">
        <v>138</v>
      </c>
      <c r="F3792" t="s">
        <v>70</v>
      </c>
      <c r="G3792" t="s">
        <v>48</v>
      </c>
      <c r="H3792" t="s">
        <v>49</v>
      </c>
      <c r="I3792" t="s">
        <v>62</v>
      </c>
      <c r="J3792" t="s">
        <v>5929</v>
      </c>
      <c r="K3792" t="s">
        <v>5672</v>
      </c>
      <c r="L3792" t="s">
        <v>53</v>
      </c>
      <c r="N3792" t="s">
        <v>6410</v>
      </c>
      <c r="P3792" t="s">
        <v>55</v>
      </c>
      <c r="R3792" t="s">
        <v>56</v>
      </c>
      <c r="T3792" t="s">
        <v>6411</v>
      </c>
      <c r="U3792" t="s">
        <v>55</v>
      </c>
      <c r="V3792">
        <v>1</v>
      </c>
      <c r="W3792">
        <v>1</v>
      </c>
      <c r="X3792">
        <v>2</v>
      </c>
      <c r="Y3792">
        <v>0</v>
      </c>
      <c r="Z3792">
        <v>2</v>
      </c>
      <c r="AA3792">
        <v>0</v>
      </c>
      <c r="AB3792">
        <v>63</v>
      </c>
      <c r="AC3792">
        <v>63</v>
      </c>
      <c r="AD3792">
        <v>0</v>
      </c>
      <c r="AE3792">
        <v>0</v>
      </c>
      <c r="AF3792">
        <v>0</v>
      </c>
      <c r="AG3792">
        <v>0</v>
      </c>
      <c r="AH3792">
        <v>0</v>
      </c>
      <c r="AI3792">
        <v>11.34</v>
      </c>
      <c r="AJ3792">
        <v>63</v>
      </c>
      <c r="AK3792">
        <v>0</v>
      </c>
      <c r="AL3792" t="s">
        <v>53</v>
      </c>
      <c r="AM3792" t="s">
        <v>53</v>
      </c>
      <c r="AN3792" t="s">
        <v>53</v>
      </c>
      <c r="AO3792" t="s">
        <v>53</v>
      </c>
      <c r="AP3792" t="s">
        <v>53</v>
      </c>
    </row>
    <row r="3793" spans="2:42" x14ac:dyDescent="0.2">
      <c r="B3793" t="s">
        <v>44</v>
      </c>
      <c r="C3793" t="str">
        <f>HYPERLINK("https://us2.cloudbeds.com/connect/8493803454333002#/reservations/59830216917218?display=19HS9NMTDA&amp;reservation_id=59830216917218", "19HS9NMTDA")</f>
        <v>19HS9NMTDA</v>
      </c>
      <c r="D3793" t="s">
        <v>45</v>
      </c>
      <c r="E3793" t="s">
        <v>85</v>
      </c>
      <c r="F3793" t="s">
        <v>86</v>
      </c>
      <c r="G3793" t="s">
        <v>48</v>
      </c>
      <c r="H3793" t="s">
        <v>49</v>
      </c>
      <c r="I3793" t="s">
        <v>50</v>
      </c>
      <c r="J3793" t="s">
        <v>6412</v>
      </c>
      <c r="K3793" t="s">
        <v>6403</v>
      </c>
      <c r="L3793" t="s">
        <v>53</v>
      </c>
      <c r="N3793" t="s">
        <v>6413</v>
      </c>
      <c r="P3793" t="s">
        <v>55</v>
      </c>
      <c r="R3793" t="s">
        <v>53</v>
      </c>
      <c r="T3793" t="s">
        <v>6414</v>
      </c>
      <c r="U3793" t="s">
        <v>58</v>
      </c>
      <c r="V3793">
        <v>2</v>
      </c>
      <c r="W3793">
        <v>1</v>
      </c>
      <c r="X3793">
        <v>2</v>
      </c>
      <c r="Y3793">
        <v>1</v>
      </c>
      <c r="Z3793">
        <v>3</v>
      </c>
      <c r="AA3793">
        <v>0</v>
      </c>
      <c r="AB3793">
        <v>156.5</v>
      </c>
      <c r="AC3793">
        <v>137.69999999999999</v>
      </c>
      <c r="AD3793">
        <v>0</v>
      </c>
      <c r="AE3793">
        <v>18.8</v>
      </c>
      <c r="AF3793">
        <v>0</v>
      </c>
      <c r="AG3793">
        <v>0</v>
      </c>
      <c r="AH3793">
        <v>0</v>
      </c>
      <c r="AI3793">
        <v>28.17</v>
      </c>
      <c r="AJ3793">
        <v>156.5</v>
      </c>
      <c r="AK3793">
        <v>0</v>
      </c>
      <c r="AL3793" t="s">
        <v>53</v>
      </c>
      <c r="AM3793" t="s">
        <v>53</v>
      </c>
      <c r="AN3793" t="s">
        <v>53</v>
      </c>
      <c r="AO3793" t="s">
        <v>53</v>
      </c>
      <c r="AP3793" t="s">
        <v>53</v>
      </c>
    </row>
    <row r="3794" spans="2:42" x14ac:dyDescent="0.2">
      <c r="B3794" t="s">
        <v>44</v>
      </c>
      <c r="C3794" t="str">
        <f>HYPERLINK("https://us2.cloudbeds.com/connect/8493803454333002#/reservations/60069062922460?display=19NF7PW2BU&amp;reservation_id=60069062922460", "19NF7PW2BU")</f>
        <v>19NF7PW2BU</v>
      </c>
      <c r="D3794" t="s">
        <v>45</v>
      </c>
      <c r="E3794" t="s">
        <v>6415</v>
      </c>
      <c r="F3794" t="s">
        <v>511</v>
      </c>
      <c r="G3794" t="s">
        <v>48</v>
      </c>
      <c r="H3794" t="s">
        <v>49</v>
      </c>
      <c r="I3794" t="s">
        <v>62</v>
      </c>
      <c r="J3794" t="s">
        <v>6416</v>
      </c>
      <c r="K3794" t="s">
        <v>6417</v>
      </c>
      <c r="L3794" t="s">
        <v>53</v>
      </c>
      <c r="N3794" t="s">
        <v>6418</v>
      </c>
      <c r="P3794" t="s">
        <v>55</v>
      </c>
      <c r="R3794" t="s">
        <v>118</v>
      </c>
      <c r="T3794" t="s">
        <v>6419</v>
      </c>
      <c r="U3794" t="s">
        <v>55</v>
      </c>
      <c r="V3794">
        <v>6</v>
      </c>
      <c r="W3794">
        <v>3</v>
      </c>
      <c r="X3794">
        <v>4</v>
      </c>
      <c r="Y3794">
        <v>0</v>
      </c>
      <c r="Z3794">
        <v>4</v>
      </c>
      <c r="AA3794">
        <v>0</v>
      </c>
      <c r="AB3794">
        <v>1014.3</v>
      </c>
      <c r="AC3794">
        <v>1014.3</v>
      </c>
      <c r="AD3794">
        <v>0</v>
      </c>
      <c r="AE3794">
        <v>0</v>
      </c>
      <c r="AF3794">
        <v>0</v>
      </c>
      <c r="AG3794">
        <v>0</v>
      </c>
      <c r="AH3794">
        <v>0</v>
      </c>
      <c r="AI3794">
        <v>182.57</v>
      </c>
      <c r="AJ3794">
        <v>1014.3</v>
      </c>
      <c r="AK3794">
        <v>0</v>
      </c>
      <c r="AL3794" t="s">
        <v>53</v>
      </c>
      <c r="AM3794" t="s">
        <v>53</v>
      </c>
      <c r="AN3794" t="s">
        <v>53</v>
      </c>
      <c r="AO3794" t="s">
        <v>53</v>
      </c>
      <c r="AP3794" t="s">
        <v>53</v>
      </c>
    </row>
    <row r="3795" spans="2:42" x14ac:dyDescent="0.2">
      <c r="B3795" t="s">
        <v>44</v>
      </c>
      <c r="C3795" t="str">
        <f>HYPERLINK("https://us2.cloudbeds.com/connect/8493803454333002#/reservations/60241773363432?display=19RGVUWMKB&amp;reservation_id=60241773363432", "19RGVUWMKB")</f>
        <v>19RGVUWMKB</v>
      </c>
      <c r="D3795" t="s">
        <v>45</v>
      </c>
      <c r="E3795" t="s">
        <v>110</v>
      </c>
      <c r="F3795" t="s">
        <v>47</v>
      </c>
      <c r="G3795" t="s">
        <v>48</v>
      </c>
      <c r="H3795" t="s">
        <v>49</v>
      </c>
      <c r="I3795" t="s">
        <v>50</v>
      </c>
      <c r="J3795" t="s">
        <v>5531</v>
      </c>
      <c r="K3795" t="s">
        <v>6420</v>
      </c>
      <c r="L3795" t="s">
        <v>53</v>
      </c>
      <c r="N3795" t="s">
        <v>6421</v>
      </c>
      <c r="P3795" t="s">
        <v>55</v>
      </c>
      <c r="R3795" t="s">
        <v>53</v>
      </c>
      <c r="T3795" t="s">
        <v>6422</v>
      </c>
      <c r="U3795" t="s">
        <v>58</v>
      </c>
      <c r="V3795">
        <v>2</v>
      </c>
      <c r="W3795">
        <v>1</v>
      </c>
      <c r="X3795">
        <v>2</v>
      </c>
      <c r="Y3795">
        <v>0</v>
      </c>
      <c r="Z3795">
        <v>2</v>
      </c>
      <c r="AA3795">
        <v>0</v>
      </c>
      <c r="AB3795">
        <v>149.33000000000001</v>
      </c>
      <c r="AC3795">
        <v>131.4</v>
      </c>
      <c r="AD3795">
        <v>0</v>
      </c>
      <c r="AE3795">
        <v>17.93</v>
      </c>
      <c r="AF3795">
        <v>0</v>
      </c>
      <c r="AG3795">
        <v>0</v>
      </c>
      <c r="AH3795">
        <v>0</v>
      </c>
      <c r="AI3795">
        <v>26.88</v>
      </c>
      <c r="AJ3795">
        <v>149.33000000000001</v>
      </c>
      <c r="AK3795">
        <v>0</v>
      </c>
      <c r="AL3795" t="s">
        <v>53</v>
      </c>
      <c r="AM3795" t="s">
        <v>53</v>
      </c>
      <c r="AN3795" t="s">
        <v>53</v>
      </c>
      <c r="AO3795" t="s">
        <v>53</v>
      </c>
      <c r="AP3795" t="s">
        <v>53</v>
      </c>
    </row>
    <row r="3796" spans="2:42" x14ac:dyDescent="0.2">
      <c r="B3796" t="s">
        <v>44</v>
      </c>
      <c r="C3796" t="str">
        <f>HYPERLINK("https://us2.cloudbeds.com/connect/8493803454333002#/reservations/60395145433285?display=19V3NVCKAZ&amp;reservation_id=60395145433285", "19V3NVCKAZ")</f>
        <v>19V3NVCKAZ</v>
      </c>
      <c r="D3796" t="s">
        <v>45</v>
      </c>
      <c r="E3796" t="s">
        <v>78</v>
      </c>
      <c r="F3796" t="s">
        <v>61</v>
      </c>
      <c r="G3796" t="s">
        <v>48</v>
      </c>
      <c r="H3796" t="s">
        <v>49</v>
      </c>
      <c r="I3796" t="s">
        <v>50</v>
      </c>
      <c r="J3796" t="s">
        <v>5571</v>
      </c>
      <c r="K3796" t="s">
        <v>5619</v>
      </c>
      <c r="L3796" t="s">
        <v>53</v>
      </c>
      <c r="N3796" t="s">
        <v>6423</v>
      </c>
      <c r="P3796" t="s">
        <v>55</v>
      </c>
      <c r="R3796" t="s">
        <v>53</v>
      </c>
      <c r="T3796" t="s">
        <v>6424</v>
      </c>
      <c r="U3796" t="s">
        <v>58</v>
      </c>
      <c r="V3796">
        <v>2</v>
      </c>
      <c r="W3796">
        <v>1</v>
      </c>
      <c r="X3796">
        <v>2</v>
      </c>
      <c r="Y3796">
        <v>0</v>
      </c>
      <c r="Z3796">
        <v>2</v>
      </c>
      <c r="AA3796">
        <v>0</v>
      </c>
      <c r="AB3796">
        <v>149.34</v>
      </c>
      <c r="AC3796">
        <v>131.4</v>
      </c>
      <c r="AD3796">
        <v>0</v>
      </c>
      <c r="AE3796">
        <v>17.940000000000001</v>
      </c>
      <c r="AF3796">
        <v>0</v>
      </c>
      <c r="AG3796">
        <v>0</v>
      </c>
      <c r="AH3796">
        <v>0</v>
      </c>
      <c r="AI3796">
        <v>26.88</v>
      </c>
      <c r="AJ3796">
        <v>149.34</v>
      </c>
      <c r="AK3796">
        <v>0</v>
      </c>
      <c r="AL3796" t="s">
        <v>53</v>
      </c>
      <c r="AM3796" t="s">
        <v>53</v>
      </c>
      <c r="AN3796" t="s">
        <v>53</v>
      </c>
      <c r="AO3796" t="s">
        <v>53</v>
      </c>
      <c r="AP3796" t="s">
        <v>53</v>
      </c>
    </row>
    <row r="3797" spans="2:42" x14ac:dyDescent="0.2">
      <c r="B3797" t="s">
        <v>44</v>
      </c>
      <c r="C3797" t="str">
        <f>HYPERLINK("https://us2.cloudbeds.com/connect/8493803454333002#/reservations/60589063299262?display=1A2YT0231Z&amp;reservation_id=60589063299262", "1A2YT0231Z")</f>
        <v>1A2YT0231Z</v>
      </c>
      <c r="D3797" t="s">
        <v>45</v>
      </c>
      <c r="E3797" t="s">
        <v>85</v>
      </c>
      <c r="F3797" t="s">
        <v>86</v>
      </c>
      <c r="G3797" t="s">
        <v>48</v>
      </c>
      <c r="H3797" t="s">
        <v>49</v>
      </c>
      <c r="I3797" t="s">
        <v>50</v>
      </c>
      <c r="J3797" t="s">
        <v>5711</v>
      </c>
      <c r="K3797" t="s">
        <v>5619</v>
      </c>
      <c r="L3797" t="s">
        <v>53</v>
      </c>
      <c r="N3797" t="s">
        <v>6425</v>
      </c>
      <c r="P3797" t="s">
        <v>55</v>
      </c>
      <c r="R3797" t="s">
        <v>53</v>
      </c>
      <c r="T3797" t="s">
        <v>6426</v>
      </c>
      <c r="U3797" t="s">
        <v>58</v>
      </c>
      <c r="V3797">
        <v>1</v>
      </c>
      <c r="W3797">
        <v>1</v>
      </c>
      <c r="X3797">
        <v>2</v>
      </c>
      <c r="Y3797">
        <v>0</v>
      </c>
      <c r="Z3797">
        <v>2</v>
      </c>
      <c r="AA3797">
        <v>0</v>
      </c>
      <c r="AB3797">
        <v>78.77</v>
      </c>
      <c r="AC3797">
        <v>69.3</v>
      </c>
      <c r="AD3797">
        <v>0</v>
      </c>
      <c r="AE3797">
        <v>9.4700000000000006</v>
      </c>
      <c r="AF3797">
        <v>0</v>
      </c>
      <c r="AG3797">
        <v>0</v>
      </c>
      <c r="AH3797">
        <v>0</v>
      </c>
      <c r="AI3797">
        <v>14.18</v>
      </c>
      <c r="AJ3797">
        <v>78.77</v>
      </c>
      <c r="AK3797">
        <v>0</v>
      </c>
      <c r="AL3797" t="s">
        <v>53</v>
      </c>
      <c r="AM3797" t="s">
        <v>53</v>
      </c>
      <c r="AN3797" t="s">
        <v>53</v>
      </c>
      <c r="AO3797" t="s">
        <v>53</v>
      </c>
      <c r="AP3797" t="s">
        <v>53</v>
      </c>
    </row>
    <row r="3798" spans="2:42" x14ac:dyDescent="0.2">
      <c r="B3798" t="s">
        <v>44</v>
      </c>
      <c r="C3798" t="str">
        <f>HYPERLINK("https://us2.cloudbeds.com/connect/8493803454333002#/reservations/60802541252748?display=1A7M5SARY8&amp;reservation_id=60802541252748", "1A7M5SARY8")</f>
        <v>1A7M5SARY8</v>
      </c>
      <c r="D3798" t="s">
        <v>45</v>
      </c>
      <c r="E3798" t="s">
        <v>138</v>
      </c>
      <c r="F3798" t="s">
        <v>70</v>
      </c>
      <c r="G3798" t="s">
        <v>48</v>
      </c>
      <c r="H3798" t="s">
        <v>3957</v>
      </c>
      <c r="I3798" t="s">
        <v>3975</v>
      </c>
      <c r="J3798" t="s">
        <v>6031</v>
      </c>
      <c r="K3798" t="s">
        <v>6139</v>
      </c>
      <c r="L3798" t="s">
        <v>53</v>
      </c>
      <c r="P3798" t="s">
        <v>55</v>
      </c>
      <c r="R3798" t="s">
        <v>56</v>
      </c>
      <c r="T3798" t="s">
        <v>6427</v>
      </c>
      <c r="U3798" t="s">
        <v>58</v>
      </c>
      <c r="V3798">
        <v>3</v>
      </c>
      <c r="W3798">
        <v>1</v>
      </c>
      <c r="X3798">
        <v>1</v>
      </c>
      <c r="Y3798">
        <v>0</v>
      </c>
      <c r="Z3798">
        <v>1</v>
      </c>
      <c r="AA3798">
        <v>0</v>
      </c>
      <c r="AB3798">
        <v>214.83</v>
      </c>
      <c r="AC3798">
        <v>189</v>
      </c>
      <c r="AD3798">
        <v>0</v>
      </c>
      <c r="AE3798">
        <v>25.83</v>
      </c>
      <c r="AF3798">
        <v>0</v>
      </c>
      <c r="AG3798">
        <v>0</v>
      </c>
      <c r="AH3798">
        <v>0</v>
      </c>
      <c r="AI3798">
        <v>0</v>
      </c>
      <c r="AJ3798">
        <v>214.83</v>
      </c>
      <c r="AK3798">
        <v>0</v>
      </c>
      <c r="AL3798" t="s">
        <v>53</v>
      </c>
      <c r="AM3798" t="s">
        <v>53</v>
      </c>
      <c r="AN3798" t="s">
        <v>53</v>
      </c>
      <c r="AO3798" t="s">
        <v>53</v>
      </c>
      <c r="AP3798" t="s">
        <v>53</v>
      </c>
    </row>
    <row r="3799" spans="2:42" x14ac:dyDescent="0.2">
      <c r="B3799" t="s">
        <v>44</v>
      </c>
      <c r="C3799" t="str">
        <f>HYPERLINK("https://us2.cloudbeds.com/connect/8493803454333002#/reservations/60833513418970?display=1A8D58T0KR&amp;reservation_id=60833513418970", "1A8D58T0KR")</f>
        <v>1A8D58T0KR</v>
      </c>
      <c r="D3799" t="s">
        <v>45</v>
      </c>
      <c r="E3799" t="s">
        <v>165</v>
      </c>
      <c r="F3799" t="s">
        <v>61</v>
      </c>
      <c r="G3799" t="s">
        <v>48</v>
      </c>
      <c r="H3799" t="s">
        <v>49</v>
      </c>
      <c r="I3799" t="s">
        <v>50</v>
      </c>
      <c r="J3799" t="s">
        <v>5711</v>
      </c>
      <c r="K3799" t="s">
        <v>5619</v>
      </c>
      <c r="L3799" t="s">
        <v>53</v>
      </c>
      <c r="N3799" t="s">
        <v>6428</v>
      </c>
      <c r="P3799" t="s">
        <v>55</v>
      </c>
      <c r="R3799" t="s">
        <v>53</v>
      </c>
      <c r="T3799" t="s">
        <v>6429</v>
      </c>
      <c r="U3799" t="s">
        <v>58</v>
      </c>
      <c r="V3799">
        <v>1</v>
      </c>
      <c r="W3799">
        <v>1</v>
      </c>
      <c r="X3799">
        <v>2</v>
      </c>
      <c r="Y3799">
        <v>0</v>
      </c>
      <c r="Z3799">
        <v>2</v>
      </c>
      <c r="AA3799">
        <v>0</v>
      </c>
      <c r="AB3799">
        <v>66.37</v>
      </c>
      <c r="AC3799">
        <v>58.4</v>
      </c>
      <c r="AD3799">
        <v>0</v>
      </c>
      <c r="AE3799">
        <v>7.97</v>
      </c>
      <c r="AF3799">
        <v>0</v>
      </c>
      <c r="AG3799">
        <v>0</v>
      </c>
      <c r="AH3799">
        <v>0</v>
      </c>
      <c r="AI3799">
        <v>11.95</v>
      </c>
      <c r="AJ3799">
        <v>66.37</v>
      </c>
      <c r="AK3799">
        <v>0</v>
      </c>
      <c r="AL3799" t="s">
        <v>53</v>
      </c>
      <c r="AM3799" t="s">
        <v>53</v>
      </c>
      <c r="AN3799" t="s">
        <v>53</v>
      </c>
      <c r="AO3799" t="s">
        <v>53</v>
      </c>
      <c r="AP3799" t="s">
        <v>53</v>
      </c>
    </row>
    <row r="3800" spans="2:42" x14ac:dyDescent="0.2">
      <c r="B3800" t="s">
        <v>44</v>
      </c>
      <c r="C3800" t="str">
        <f>HYPERLINK("https://us2.cloudbeds.com/connect/8493803454333002#/reservations/60892195917976?display=1A9PJZH1UF&amp;reservation_id=60892195917976", "1A9PJZH1UF")</f>
        <v>1A9PJZH1UF</v>
      </c>
      <c r="D3800" t="s">
        <v>45</v>
      </c>
      <c r="E3800" t="s">
        <v>487</v>
      </c>
      <c r="F3800" t="s">
        <v>61</v>
      </c>
      <c r="G3800" t="s">
        <v>48</v>
      </c>
      <c r="H3800" t="s">
        <v>49</v>
      </c>
      <c r="I3800" t="s">
        <v>50</v>
      </c>
      <c r="J3800" t="s">
        <v>5571</v>
      </c>
      <c r="K3800" t="s">
        <v>5711</v>
      </c>
      <c r="L3800" t="s">
        <v>53</v>
      </c>
      <c r="N3800" t="s">
        <v>6430</v>
      </c>
      <c r="P3800" t="s">
        <v>55</v>
      </c>
      <c r="R3800" t="s">
        <v>53</v>
      </c>
      <c r="T3800" t="s">
        <v>6431</v>
      </c>
      <c r="U3800" t="s">
        <v>58</v>
      </c>
      <c r="V3800">
        <v>1</v>
      </c>
      <c r="W3800">
        <v>1</v>
      </c>
      <c r="X3800">
        <v>1</v>
      </c>
      <c r="Y3800">
        <v>0</v>
      </c>
      <c r="Z3800">
        <v>1</v>
      </c>
      <c r="AA3800">
        <v>0</v>
      </c>
      <c r="AB3800">
        <v>68.19</v>
      </c>
      <c r="AC3800">
        <v>60</v>
      </c>
      <c r="AD3800">
        <v>0</v>
      </c>
      <c r="AE3800">
        <v>8.19</v>
      </c>
      <c r="AF3800">
        <v>0</v>
      </c>
      <c r="AG3800">
        <v>0</v>
      </c>
      <c r="AH3800">
        <v>0</v>
      </c>
      <c r="AI3800">
        <v>12.27</v>
      </c>
      <c r="AJ3800">
        <v>68.19</v>
      </c>
      <c r="AK3800">
        <v>0</v>
      </c>
      <c r="AL3800" t="s">
        <v>53</v>
      </c>
      <c r="AM3800" t="s">
        <v>53</v>
      </c>
      <c r="AN3800" t="s">
        <v>53</v>
      </c>
      <c r="AO3800" t="s">
        <v>53</v>
      </c>
      <c r="AP3800" t="s">
        <v>53</v>
      </c>
    </row>
    <row r="3801" spans="2:42" x14ac:dyDescent="0.2">
      <c r="B3801" t="s">
        <v>44</v>
      </c>
      <c r="C3801" t="str">
        <f>HYPERLINK("https://us2.cloudbeds.com/connect/8493803454333002#/reservations/60920704045211?display=1AAEM6ANRV&amp;reservation_id=60920704045211", "1AAEM6ANRV")</f>
        <v>1AAEM6ANRV</v>
      </c>
      <c r="D3801" t="s">
        <v>45</v>
      </c>
      <c r="E3801" t="s">
        <v>128</v>
      </c>
      <c r="F3801" t="s">
        <v>86</v>
      </c>
      <c r="G3801" t="s">
        <v>48</v>
      </c>
      <c r="H3801" t="s">
        <v>49</v>
      </c>
      <c r="I3801" t="s">
        <v>50</v>
      </c>
      <c r="J3801" t="s">
        <v>5643</v>
      </c>
      <c r="K3801" t="s">
        <v>6139</v>
      </c>
      <c r="L3801" t="s">
        <v>53</v>
      </c>
      <c r="N3801" t="s">
        <v>6432</v>
      </c>
      <c r="P3801" t="s">
        <v>55</v>
      </c>
      <c r="R3801" t="s">
        <v>53</v>
      </c>
      <c r="T3801" t="s">
        <v>6433</v>
      </c>
      <c r="U3801" t="s">
        <v>58</v>
      </c>
      <c r="V3801">
        <v>1</v>
      </c>
      <c r="W3801">
        <v>1</v>
      </c>
      <c r="X3801">
        <v>1</v>
      </c>
      <c r="Y3801">
        <v>0</v>
      </c>
      <c r="Z3801">
        <v>1</v>
      </c>
      <c r="AA3801">
        <v>0</v>
      </c>
      <c r="AB3801">
        <v>70.010000000000005</v>
      </c>
      <c r="AC3801">
        <v>61.6</v>
      </c>
      <c r="AD3801">
        <v>0</v>
      </c>
      <c r="AE3801">
        <v>8.41</v>
      </c>
      <c r="AF3801">
        <v>0</v>
      </c>
      <c r="AG3801">
        <v>0</v>
      </c>
      <c r="AH3801">
        <v>0</v>
      </c>
      <c r="AI3801">
        <v>12.6</v>
      </c>
      <c r="AJ3801">
        <v>70.010000000000005</v>
      </c>
      <c r="AK3801">
        <v>0</v>
      </c>
      <c r="AL3801" t="s">
        <v>53</v>
      </c>
      <c r="AM3801" t="s">
        <v>53</v>
      </c>
      <c r="AN3801" t="s">
        <v>53</v>
      </c>
      <c r="AO3801" t="s">
        <v>53</v>
      </c>
      <c r="AP3801" t="s">
        <v>53</v>
      </c>
    </row>
    <row r="3802" spans="2:42" x14ac:dyDescent="0.2">
      <c r="B3802" t="s">
        <v>44</v>
      </c>
      <c r="C3802" t="str">
        <f>HYPERLINK("https://us2.cloudbeds.com/connect/8493803454333002#/reservations/60921569214645?display=1AAFB9SB4H&amp;reservation_id=60921569214645", "1AAFB9SB4H")</f>
        <v>1AAFB9SB4H</v>
      </c>
      <c r="D3802" t="s">
        <v>45</v>
      </c>
      <c r="E3802" t="s">
        <v>92</v>
      </c>
      <c r="F3802" t="s">
        <v>86</v>
      </c>
      <c r="G3802" t="s">
        <v>48</v>
      </c>
      <c r="H3802" t="s">
        <v>49</v>
      </c>
      <c r="I3802" t="s">
        <v>50</v>
      </c>
      <c r="J3802" t="s">
        <v>6305</v>
      </c>
      <c r="K3802" t="s">
        <v>5531</v>
      </c>
      <c r="L3802" t="s">
        <v>53</v>
      </c>
      <c r="N3802" t="s">
        <v>6434</v>
      </c>
      <c r="P3802" t="s">
        <v>55</v>
      </c>
      <c r="R3802" t="s">
        <v>53</v>
      </c>
      <c r="T3802" t="s">
        <v>6435</v>
      </c>
      <c r="U3802" t="s">
        <v>58</v>
      </c>
      <c r="V3802">
        <v>1</v>
      </c>
      <c r="W3802">
        <v>1</v>
      </c>
      <c r="X3802">
        <v>2</v>
      </c>
      <c r="Y3802">
        <v>2</v>
      </c>
      <c r="Z3802">
        <v>4</v>
      </c>
      <c r="AA3802">
        <v>0</v>
      </c>
      <c r="AB3802">
        <v>78.2</v>
      </c>
      <c r="AC3802">
        <v>68.8</v>
      </c>
      <c r="AD3802">
        <v>0</v>
      </c>
      <c r="AE3802">
        <v>9.4</v>
      </c>
      <c r="AF3802">
        <v>0</v>
      </c>
      <c r="AG3802">
        <v>0</v>
      </c>
      <c r="AH3802">
        <v>0</v>
      </c>
      <c r="AI3802">
        <v>14.08</v>
      </c>
      <c r="AJ3802">
        <v>78.2</v>
      </c>
      <c r="AK3802">
        <v>0</v>
      </c>
      <c r="AL3802" t="s">
        <v>53</v>
      </c>
      <c r="AM3802" t="s">
        <v>53</v>
      </c>
      <c r="AN3802" t="s">
        <v>53</v>
      </c>
      <c r="AO3802" t="s">
        <v>53</v>
      </c>
      <c r="AP3802" t="s">
        <v>53</v>
      </c>
    </row>
    <row r="3803" spans="2:42" x14ac:dyDescent="0.2">
      <c r="B3803" t="s">
        <v>44</v>
      </c>
      <c r="C3803" t="str">
        <f>HYPERLINK("https://us2.cloudbeds.com/connect/8493803454333002#/reservations/61157601730730?display=1AG03FZ14V&amp;reservation_id=61157601730730", "1AG03FZ14V")</f>
        <v>1AG03FZ14V</v>
      </c>
      <c r="D3803" t="s">
        <v>45</v>
      </c>
      <c r="E3803" t="s">
        <v>487</v>
      </c>
      <c r="F3803" t="s">
        <v>61</v>
      </c>
      <c r="G3803" t="s">
        <v>48</v>
      </c>
      <c r="H3803" t="s">
        <v>49</v>
      </c>
      <c r="I3803" t="s">
        <v>62</v>
      </c>
      <c r="J3803" t="s">
        <v>6305</v>
      </c>
      <c r="K3803" t="s">
        <v>5532</v>
      </c>
      <c r="L3803" t="s">
        <v>53</v>
      </c>
      <c r="N3803" t="s">
        <v>6436</v>
      </c>
      <c r="P3803" t="s">
        <v>55</v>
      </c>
      <c r="R3803" t="s">
        <v>56</v>
      </c>
      <c r="T3803" t="s">
        <v>6437</v>
      </c>
      <c r="U3803" t="s">
        <v>55</v>
      </c>
      <c r="V3803">
        <v>2</v>
      </c>
      <c r="W3803">
        <v>1</v>
      </c>
      <c r="X3803">
        <v>1</v>
      </c>
      <c r="Y3803">
        <v>0</v>
      </c>
      <c r="Z3803">
        <v>1</v>
      </c>
      <c r="AA3803">
        <v>0</v>
      </c>
      <c r="AB3803">
        <v>148</v>
      </c>
      <c r="AC3803">
        <v>148</v>
      </c>
      <c r="AD3803">
        <v>0</v>
      </c>
      <c r="AE3803">
        <v>0</v>
      </c>
      <c r="AF3803">
        <v>0</v>
      </c>
      <c r="AG3803">
        <v>0</v>
      </c>
      <c r="AH3803">
        <v>0</v>
      </c>
      <c r="AI3803">
        <v>26.64</v>
      </c>
      <c r="AJ3803">
        <v>148</v>
      </c>
      <c r="AK3803">
        <v>0</v>
      </c>
      <c r="AL3803" t="s">
        <v>53</v>
      </c>
      <c r="AM3803" t="s">
        <v>53</v>
      </c>
      <c r="AN3803" t="s">
        <v>53</v>
      </c>
      <c r="AO3803" t="s">
        <v>53</v>
      </c>
      <c r="AP3803" t="s">
        <v>53</v>
      </c>
    </row>
    <row r="3804" spans="2:42" x14ac:dyDescent="0.2">
      <c r="B3804" t="s">
        <v>44</v>
      </c>
      <c r="C3804" t="str">
        <f>HYPERLINK("https://us2.cloudbeds.com/connect/8493803454333002#/reservations/61159625654416?display=1AG1M6BMUZ&amp;reservation_id=61159625654416", "1AG1M6BMUZ")</f>
        <v>1AG1M6BMUZ</v>
      </c>
      <c r="D3804" t="s">
        <v>45</v>
      </c>
      <c r="E3804" t="s">
        <v>406</v>
      </c>
      <c r="F3804" t="s">
        <v>61</v>
      </c>
      <c r="G3804" t="s">
        <v>48</v>
      </c>
      <c r="H3804" t="s">
        <v>3957</v>
      </c>
      <c r="I3804" t="s">
        <v>3958</v>
      </c>
      <c r="J3804" t="s">
        <v>5711</v>
      </c>
      <c r="K3804" t="s">
        <v>6031</v>
      </c>
      <c r="L3804" t="s">
        <v>53</v>
      </c>
      <c r="P3804" t="s">
        <v>55</v>
      </c>
      <c r="R3804" t="s">
        <v>56</v>
      </c>
      <c r="T3804" t="s">
        <v>6438</v>
      </c>
      <c r="U3804" t="s">
        <v>58</v>
      </c>
      <c r="V3804">
        <v>3</v>
      </c>
      <c r="W3804">
        <v>2</v>
      </c>
      <c r="X3804">
        <v>2</v>
      </c>
      <c r="Y3804">
        <v>0</v>
      </c>
      <c r="Z3804">
        <v>2</v>
      </c>
      <c r="AA3804">
        <v>0</v>
      </c>
      <c r="AB3804">
        <v>186.61</v>
      </c>
      <c r="AC3804">
        <v>164.2</v>
      </c>
      <c r="AD3804">
        <v>0</v>
      </c>
      <c r="AE3804">
        <v>22.41</v>
      </c>
      <c r="AF3804">
        <v>0</v>
      </c>
      <c r="AG3804">
        <v>0</v>
      </c>
      <c r="AH3804">
        <v>0</v>
      </c>
      <c r="AI3804">
        <v>0</v>
      </c>
      <c r="AJ3804">
        <v>186.61</v>
      </c>
      <c r="AK3804">
        <v>0</v>
      </c>
      <c r="AL3804" t="s">
        <v>53</v>
      </c>
      <c r="AM3804" t="s">
        <v>53</v>
      </c>
      <c r="AN3804" t="s">
        <v>53</v>
      </c>
      <c r="AO3804" t="s">
        <v>53</v>
      </c>
      <c r="AP3804" t="s">
        <v>53</v>
      </c>
    </row>
    <row r="3805" spans="2:42" x14ac:dyDescent="0.2">
      <c r="B3805" t="s">
        <v>44</v>
      </c>
      <c r="C3805" t="str">
        <f>HYPERLINK("https://us2.cloudbeds.com/connect/8493803454333002#/reservations/61181395742882?display=1AGXHFFGE7&amp;reservation_id=61181395742882", "1AGXHFFGE7")</f>
        <v>1AGXHFFGE7</v>
      </c>
      <c r="D3805" t="s">
        <v>45</v>
      </c>
      <c r="E3805" t="s">
        <v>121</v>
      </c>
      <c r="F3805" t="s">
        <v>86</v>
      </c>
      <c r="G3805" t="s">
        <v>48</v>
      </c>
      <c r="H3805" t="s">
        <v>49</v>
      </c>
      <c r="I3805" t="s">
        <v>62</v>
      </c>
      <c r="J3805" t="s">
        <v>6305</v>
      </c>
      <c r="K3805" t="s">
        <v>5532</v>
      </c>
      <c r="L3805" t="s">
        <v>53</v>
      </c>
      <c r="N3805" t="s">
        <v>6439</v>
      </c>
      <c r="P3805" t="s">
        <v>55</v>
      </c>
      <c r="R3805" t="s">
        <v>56</v>
      </c>
      <c r="T3805" t="s">
        <v>6440</v>
      </c>
      <c r="U3805" t="s">
        <v>55</v>
      </c>
      <c r="V3805">
        <v>2</v>
      </c>
      <c r="W3805">
        <v>1</v>
      </c>
      <c r="X3805">
        <v>4</v>
      </c>
      <c r="Y3805">
        <v>0</v>
      </c>
      <c r="Z3805">
        <v>4</v>
      </c>
      <c r="AA3805">
        <v>0</v>
      </c>
      <c r="AB3805">
        <v>148.5</v>
      </c>
      <c r="AC3805">
        <v>148.5</v>
      </c>
      <c r="AD3805">
        <v>0</v>
      </c>
      <c r="AE3805">
        <v>0</v>
      </c>
      <c r="AF3805">
        <v>0</v>
      </c>
      <c r="AG3805">
        <v>0</v>
      </c>
      <c r="AH3805">
        <v>0</v>
      </c>
      <c r="AI3805">
        <v>26.73</v>
      </c>
      <c r="AJ3805">
        <v>148.5</v>
      </c>
      <c r="AK3805">
        <v>0</v>
      </c>
      <c r="AL3805" t="s">
        <v>53</v>
      </c>
      <c r="AM3805" t="s">
        <v>53</v>
      </c>
      <c r="AN3805" t="s">
        <v>53</v>
      </c>
      <c r="AO3805" t="s">
        <v>53</v>
      </c>
      <c r="AP3805" t="s">
        <v>53</v>
      </c>
    </row>
    <row r="3806" spans="2:42" x14ac:dyDescent="0.2">
      <c r="B3806" t="s">
        <v>44</v>
      </c>
      <c r="C3806" t="str">
        <f>HYPERLINK("https://us2.cloudbeds.com/connect/8493803454333002#/reservations/61203133583568?display=1AH2BUCVY8&amp;reservation_id=61203133583568", "1AH2BUCVY8")</f>
        <v>1AH2BUCVY8</v>
      </c>
      <c r="D3806" t="s">
        <v>45</v>
      </c>
      <c r="E3806" t="s">
        <v>113</v>
      </c>
      <c r="F3806" t="s">
        <v>61</v>
      </c>
      <c r="G3806" t="s">
        <v>48</v>
      </c>
      <c r="H3806" t="s">
        <v>3957</v>
      </c>
      <c r="I3806" t="s">
        <v>3958</v>
      </c>
      <c r="J3806" t="s">
        <v>5711</v>
      </c>
      <c r="K3806" t="s">
        <v>6319</v>
      </c>
      <c r="L3806" t="s">
        <v>53</v>
      </c>
      <c r="P3806" t="s">
        <v>55</v>
      </c>
      <c r="R3806" t="s">
        <v>56</v>
      </c>
      <c r="T3806" t="s">
        <v>6441</v>
      </c>
      <c r="U3806" t="s">
        <v>58</v>
      </c>
      <c r="V3806">
        <v>2</v>
      </c>
      <c r="W3806">
        <v>1</v>
      </c>
      <c r="X3806">
        <v>1</v>
      </c>
      <c r="Y3806">
        <v>0</v>
      </c>
      <c r="Z3806">
        <v>1</v>
      </c>
      <c r="AA3806">
        <v>0</v>
      </c>
      <c r="AB3806">
        <v>165.94</v>
      </c>
      <c r="AC3806">
        <v>146</v>
      </c>
      <c r="AD3806">
        <v>0</v>
      </c>
      <c r="AE3806">
        <v>19.940000000000001</v>
      </c>
      <c r="AF3806">
        <v>0</v>
      </c>
      <c r="AG3806">
        <v>0</v>
      </c>
      <c r="AH3806">
        <v>0</v>
      </c>
      <c r="AI3806">
        <v>0</v>
      </c>
      <c r="AJ3806">
        <v>165.94</v>
      </c>
      <c r="AK3806">
        <v>0</v>
      </c>
      <c r="AL3806" t="s">
        <v>53</v>
      </c>
      <c r="AM3806" t="s">
        <v>53</v>
      </c>
      <c r="AN3806" t="s">
        <v>53</v>
      </c>
      <c r="AO3806" t="s">
        <v>53</v>
      </c>
      <c r="AP3806" t="s">
        <v>53</v>
      </c>
    </row>
    <row r="3807" spans="2:42" x14ac:dyDescent="0.2">
      <c r="B3807" t="s">
        <v>44</v>
      </c>
      <c r="C3807" t="str">
        <f>HYPERLINK("https://us2.cloudbeds.com/connect/8493803454333002#/reservations/61267109908702?display=1AXXTYUGVF&amp;reservation_id=61267109908702", "1AXXTYUGVF")</f>
        <v>1AXXTYUGVF</v>
      </c>
      <c r="D3807" t="s">
        <v>45</v>
      </c>
      <c r="E3807" t="s">
        <v>190</v>
      </c>
      <c r="F3807" t="s">
        <v>61</v>
      </c>
      <c r="G3807" t="s">
        <v>48</v>
      </c>
      <c r="H3807" t="s">
        <v>3957</v>
      </c>
      <c r="I3807" t="s">
        <v>3958</v>
      </c>
      <c r="J3807" t="s">
        <v>5711</v>
      </c>
      <c r="K3807" t="s">
        <v>5644</v>
      </c>
      <c r="L3807" t="s">
        <v>53</v>
      </c>
      <c r="P3807" t="s">
        <v>55</v>
      </c>
      <c r="R3807" t="s">
        <v>56</v>
      </c>
      <c r="T3807" t="s">
        <v>6442</v>
      </c>
      <c r="U3807" t="s">
        <v>58</v>
      </c>
      <c r="V3807">
        <v>7</v>
      </c>
      <c r="W3807">
        <v>1</v>
      </c>
      <c r="X3807">
        <v>1</v>
      </c>
      <c r="Y3807">
        <v>0</v>
      </c>
      <c r="Z3807">
        <v>1</v>
      </c>
      <c r="AA3807">
        <v>0</v>
      </c>
      <c r="AB3807">
        <v>580.79</v>
      </c>
      <c r="AC3807">
        <v>511</v>
      </c>
      <c r="AD3807">
        <v>0</v>
      </c>
      <c r="AE3807">
        <v>69.790000000000006</v>
      </c>
      <c r="AF3807">
        <v>0</v>
      </c>
      <c r="AG3807">
        <v>0</v>
      </c>
      <c r="AH3807">
        <v>0</v>
      </c>
      <c r="AI3807">
        <v>0</v>
      </c>
      <c r="AJ3807">
        <v>580.79</v>
      </c>
      <c r="AK3807">
        <v>0</v>
      </c>
      <c r="AL3807" t="s">
        <v>53</v>
      </c>
      <c r="AM3807" t="s">
        <v>53</v>
      </c>
      <c r="AN3807" t="s">
        <v>53</v>
      </c>
      <c r="AO3807" t="s">
        <v>53</v>
      </c>
      <c r="AP3807" t="s">
        <v>53</v>
      </c>
    </row>
    <row r="3808" spans="2:42" x14ac:dyDescent="0.2">
      <c r="B3808" t="s">
        <v>44</v>
      </c>
      <c r="C3808" t="str">
        <f>HYPERLINK("https://us2.cloudbeds.com/connect/8493803454333002#/reservations/61292718670030?display=1AJ5Z0U1J0&amp;reservation_id=61292718670030", "1AJ5Z0U1J0")</f>
        <v>1AJ5Z0U1J0</v>
      </c>
      <c r="D3808" t="s">
        <v>45</v>
      </c>
      <c r="E3808" t="s">
        <v>406</v>
      </c>
      <c r="F3808" t="s">
        <v>61</v>
      </c>
      <c r="G3808" t="s">
        <v>48</v>
      </c>
      <c r="H3808" t="s">
        <v>49</v>
      </c>
      <c r="I3808" t="s">
        <v>50</v>
      </c>
      <c r="J3808" t="s">
        <v>6305</v>
      </c>
      <c r="K3808" t="s">
        <v>5531</v>
      </c>
      <c r="L3808" t="s">
        <v>53</v>
      </c>
      <c r="N3808" t="s">
        <v>6443</v>
      </c>
      <c r="P3808" t="s">
        <v>55</v>
      </c>
      <c r="R3808" t="s">
        <v>53</v>
      </c>
      <c r="T3808" t="s">
        <v>6444</v>
      </c>
      <c r="U3808" t="s">
        <v>58</v>
      </c>
      <c r="V3808">
        <v>1</v>
      </c>
      <c r="W3808">
        <v>1</v>
      </c>
      <c r="X3808">
        <v>1</v>
      </c>
      <c r="Y3808">
        <v>0</v>
      </c>
      <c r="Z3808">
        <v>1</v>
      </c>
      <c r="AA3808">
        <v>0</v>
      </c>
      <c r="AB3808">
        <v>72.459999999999994</v>
      </c>
      <c r="AC3808">
        <v>63.75</v>
      </c>
      <c r="AD3808">
        <v>0</v>
      </c>
      <c r="AE3808">
        <v>8.7100000000000009</v>
      </c>
      <c r="AF3808">
        <v>0</v>
      </c>
      <c r="AG3808">
        <v>0</v>
      </c>
      <c r="AH3808">
        <v>0</v>
      </c>
      <c r="AI3808">
        <v>13.04</v>
      </c>
      <c r="AJ3808">
        <v>72.459999999999994</v>
      </c>
      <c r="AK3808">
        <v>0</v>
      </c>
      <c r="AL3808" t="s">
        <v>53</v>
      </c>
      <c r="AM3808" t="s">
        <v>53</v>
      </c>
      <c r="AN3808" t="s">
        <v>53</v>
      </c>
      <c r="AO3808" t="s">
        <v>53</v>
      </c>
      <c r="AP3808" t="s">
        <v>53</v>
      </c>
    </row>
    <row r="3809" spans="2:42" x14ac:dyDescent="0.2">
      <c r="B3809" t="s">
        <v>44</v>
      </c>
      <c r="C3809" t="str">
        <f>HYPERLINK("https://us2.cloudbeds.com/connect/8493803454333002#/reservations/61502973444293?display=1AZ3HHA2KS&amp;reservation_id=61502973444293", "1AZ3HHA2KS")</f>
        <v>1AZ3HHA2KS</v>
      </c>
      <c r="D3809" t="s">
        <v>45</v>
      </c>
      <c r="E3809" t="s">
        <v>155</v>
      </c>
      <c r="F3809" t="s">
        <v>86</v>
      </c>
      <c r="G3809" t="s">
        <v>48</v>
      </c>
      <c r="H3809" t="s">
        <v>49</v>
      </c>
      <c r="I3809" t="s">
        <v>50</v>
      </c>
      <c r="J3809" t="s">
        <v>5957</v>
      </c>
      <c r="K3809" t="s">
        <v>5667</v>
      </c>
      <c r="L3809" t="s">
        <v>53</v>
      </c>
      <c r="N3809" t="s">
        <v>6445</v>
      </c>
      <c r="P3809" t="s">
        <v>55</v>
      </c>
      <c r="R3809" t="s">
        <v>53</v>
      </c>
      <c r="T3809" t="s">
        <v>6446</v>
      </c>
      <c r="U3809" t="s">
        <v>58</v>
      </c>
      <c r="V3809">
        <v>2</v>
      </c>
      <c r="W3809">
        <v>1</v>
      </c>
      <c r="X3809">
        <v>3</v>
      </c>
      <c r="Y3809">
        <v>0</v>
      </c>
      <c r="Z3809">
        <v>3</v>
      </c>
      <c r="AA3809">
        <v>0</v>
      </c>
      <c r="AB3809">
        <v>157.46</v>
      </c>
      <c r="AC3809">
        <v>138.55000000000001</v>
      </c>
      <c r="AD3809">
        <v>0</v>
      </c>
      <c r="AE3809">
        <v>18.91</v>
      </c>
      <c r="AF3809">
        <v>0</v>
      </c>
      <c r="AG3809">
        <v>0</v>
      </c>
      <c r="AH3809">
        <v>0</v>
      </c>
      <c r="AI3809">
        <v>28.34</v>
      </c>
      <c r="AJ3809">
        <v>157.46</v>
      </c>
      <c r="AK3809">
        <v>78.739999999999995</v>
      </c>
      <c r="AL3809" t="s">
        <v>53</v>
      </c>
      <c r="AM3809" t="s">
        <v>53</v>
      </c>
      <c r="AN3809" t="s">
        <v>53</v>
      </c>
      <c r="AO3809" t="s">
        <v>53</v>
      </c>
      <c r="AP3809" t="s">
        <v>53</v>
      </c>
    </row>
    <row r="3810" spans="2:42" x14ac:dyDescent="0.2">
      <c r="B3810" t="s">
        <v>44</v>
      </c>
      <c r="C3810" t="str">
        <f>HYPERLINK("https://us2.cloudbeds.com/connect/8493803454333002#/reservations/61503216464002?display=1AZ3NZ7F7F&amp;reservation_id=61503216464002", "1AZ3NZ7F7F")</f>
        <v>1AZ3NZ7F7F</v>
      </c>
      <c r="D3810" t="s">
        <v>45</v>
      </c>
      <c r="E3810" t="s">
        <v>121</v>
      </c>
      <c r="F3810" t="s">
        <v>86</v>
      </c>
      <c r="G3810" t="s">
        <v>48</v>
      </c>
      <c r="H3810" t="s">
        <v>49</v>
      </c>
      <c r="I3810" t="s">
        <v>50</v>
      </c>
      <c r="J3810" t="s">
        <v>5957</v>
      </c>
      <c r="K3810" t="s">
        <v>5667</v>
      </c>
      <c r="L3810" t="s">
        <v>53</v>
      </c>
      <c r="N3810" t="s">
        <v>6447</v>
      </c>
      <c r="P3810" t="s">
        <v>55</v>
      </c>
      <c r="R3810" t="s">
        <v>53</v>
      </c>
      <c r="T3810" t="s">
        <v>6448</v>
      </c>
      <c r="U3810" t="s">
        <v>58</v>
      </c>
      <c r="V3810">
        <v>2</v>
      </c>
      <c r="W3810">
        <v>1</v>
      </c>
      <c r="X3810">
        <v>3</v>
      </c>
      <c r="Y3810">
        <v>0</v>
      </c>
      <c r="Z3810">
        <v>3</v>
      </c>
      <c r="AA3810">
        <v>0</v>
      </c>
      <c r="AB3810">
        <v>157.46</v>
      </c>
      <c r="AC3810">
        <v>138.55000000000001</v>
      </c>
      <c r="AD3810">
        <v>0</v>
      </c>
      <c r="AE3810">
        <v>18.91</v>
      </c>
      <c r="AF3810">
        <v>0</v>
      </c>
      <c r="AG3810">
        <v>0</v>
      </c>
      <c r="AH3810">
        <v>0</v>
      </c>
      <c r="AI3810">
        <v>28.34</v>
      </c>
      <c r="AJ3810">
        <v>157.46</v>
      </c>
      <c r="AK3810">
        <v>0</v>
      </c>
      <c r="AL3810" t="s">
        <v>53</v>
      </c>
      <c r="AM3810" t="s">
        <v>53</v>
      </c>
      <c r="AN3810" t="s">
        <v>53</v>
      </c>
      <c r="AO3810" t="s">
        <v>53</v>
      </c>
      <c r="AP3810" t="s">
        <v>53</v>
      </c>
    </row>
    <row r="3811" spans="2:42" x14ac:dyDescent="0.2">
      <c r="B3811" t="s">
        <v>44</v>
      </c>
      <c r="C3811" t="str">
        <f>HYPERLINK("https://us2.cloudbeds.com/connect/8493803454333002#/reservations/61570324058296?display=1APMMG46FU&amp;reservation_id=61570324058296", "1APMMG46FU")</f>
        <v>1APMMG46FU</v>
      </c>
      <c r="D3811" t="s">
        <v>45</v>
      </c>
      <c r="E3811" t="s">
        <v>185</v>
      </c>
      <c r="F3811" t="s">
        <v>47</v>
      </c>
      <c r="G3811" t="s">
        <v>48</v>
      </c>
      <c r="H3811" t="s">
        <v>3957</v>
      </c>
      <c r="I3811" t="s">
        <v>3958</v>
      </c>
      <c r="J3811" t="s">
        <v>6319</v>
      </c>
      <c r="K3811" t="s">
        <v>6255</v>
      </c>
      <c r="L3811" t="s">
        <v>53</v>
      </c>
      <c r="P3811" t="s">
        <v>58</v>
      </c>
      <c r="R3811" t="s">
        <v>56</v>
      </c>
      <c r="T3811" t="s">
        <v>6449</v>
      </c>
      <c r="U3811" t="s">
        <v>58</v>
      </c>
      <c r="V3811">
        <v>2</v>
      </c>
      <c r="W3811">
        <v>1</v>
      </c>
      <c r="X3811">
        <v>1</v>
      </c>
      <c r="Y3811">
        <v>0</v>
      </c>
      <c r="Z3811">
        <v>1</v>
      </c>
      <c r="AA3811">
        <v>0</v>
      </c>
      <c r="AB3811">
        <v>154.56</v>
      </c>
      <c r="AC3811">
        <v>136</v>
      </c>
      <c r="AD3811">
        <v>0</v>
      </c>
      <c r="AE3811">
        <v>18.559999999999999</v>
      </c>
      <c r="AF3811">
        <v>0</v>
      </c>
      <c r="AG3811">
        <v>0</v>
      </c>
      <c r="AH3811">
        <v>0</v>
      </c>
      <c r="AI3811">
        <v>0</v>
      </c>
      <c r="AJ3811">
        <v>154.56</v>
      </c>
      <c r="AK3811">
        <v>0</v>
      </c>
      <c r="AL3811" t="s">
        <v>53</v>
      </c>
      <c r="AM3811" t="s">
        <v>53</v>
      </c>
      <c r="AN3811" t="s">
        <v>53</v>
      </c>
      <c r="AO3811" t="s">
        <v>53</v>
      </c>
      <c r="AP3811" t="s">
        <v>53</v>
      </c>
    </row>
    <row r="3812" spans="2:42" x14ac:dyDescent="0.2">
      <c r="B3812" t="s">
        <v>44</v>
      </c>
      <c r="C3812" t="str">
        <f>HYPERLINK("https://us2.cloudbeds.com/connect/8493803454333002#/reservations/61625016058049?display=1AQW0WSNFP&amp;reservation_id=61625016058049", "1AQW0WSNFP")</f>
        <v>1AQW0WSNFP</v>
      </c>
      <c r="D3812" t="s">
        <v>45</v>
      </c>
      <c r="E3812" t="s">
        <v>128</v>
      </c>
      <c r="F3812" t="s">
        <v>86</v>
      </c>
      <c r="G3812" t="s">
        <v>48</v>
      </c>
      <c r="H3812" t="s">
        <v>49</v>
      </c>
      <c r="I3812" t="s">
        <v>50</v>
      </c>
      <c r="J3812" t="s">
        <v>5619</v>
      </c>
      <c r="K3812" t="s">
        <v>6319</v>
      </c>
      <c r="L3812" t="s">
        <v>53</v>
      </c>
      <c r="N3812" t="s">
        <v>6450</v>
      </c>
      <c r="P3812" t="s">
        <v>55</v>
      </c>
      <c r="R3812" t="s">
        <v>53</v>
      </c>
      <c r="T3812" t="s">
        <v>6451</v>
      </c>
      <c r="U3812" t="s">
        <v>58</v>
      </c>
      <c r="V3812">
        <v>1</v>
      </c>
      <c r="W3812">
        <v>1</v>
      </c>
      <c r="X3812">
        <v>2</v>
      </c>
      <c r="Y3812">
        <v>0</v>
      </c>
      <c r="Z3812">
        <v>2</v>
      </c>
      <c r="AA3812">
        <v>0</v>
      </c>
      <c r="AB3812">
        <v>74.39</v>
      </c>
      <c r="AC3812">
        <v>65.45</v>
      </c>
      <c r="AD3812">
        <v>0</v>
      </c>
      <c r="AE3812">
        <v>8.94</v>
      </c>
      <c r="AF3812">
        <v>0</v>
      </c>
      <c r="AG3812">
        <v>0</v>
      </c>
      <c r="AH3812">
        <v>0</v>
      </c>
      <c r="AI3812">
        <v>13.39</v>
      </c>
      <c r="AJ3812">
        <v>74.39</v>
      </c>
      <c r="AK3812">
        <v>0</v>
      </c>
      <c r="AL3812" t="s">
        <v>53</v>
      </c>
      <c r="AM3812" t="s">
        <v>53</v>
      </c>
      <c r="AN3812" t="s">
        <v>53</v>
      </c>
      <c r="AO3812" t="s">
        <v>53</v>
      </c>
      <c r="AP3812" t="s">
        <v>53</v>
      </c>
    </row>
    <row r="3813" spans="2:42" x14ac:dyDescent="0.2">
      <c r="B3813" t="s">
        <v>44</v>
      </c>
      <c r="C3813" t="str">
        <f>HYPERLINK("https://us2.cloudbeds.com/connect/8493803454333002#/reservations/61709767917769?display=1ASVYJT4M3&amp;reservation_id=61709767917769", "1ASVYJT4M3")</f>
        <v>1ASVYJT4M3</v>
      </c>
      <c r="D3813" t="s">
        <v>45</v>
      </c>
      <c r="E3813" t="s">
        <v>110</v>
      </c>
      <c r="F3813" t="s">
        <v>47</v>
      </c>
      <c r="G3813" t="s">
        <v>48</v>
      </c>
      <c r="H3813" t="s">
        <v>3957</v>
      </c>
      <c r="I3813" t="s">
        <v>3975</v>
      </c>
      <c r="J3813" t="s">
        <v>6139</v>
      </c>
      <c r="K3813" t="s">
        <v>5644</v>
      </c>
      <c r="L3813" t="s">
        <v>53</v>
      </c>
      <c r="P3813" t="s">
        <v>55</v>
      </c>
      <c r="R3813" t="s">
        <v>56</v>
      </c>
      <c r="T3813" t="s">
        <v>6452</v>
      </c>
      <c r="U3813" t="s">
        <v>58</v>
      </c>
      <c r="V3813">
        <v>1</v>
      </c>
      <c r="W3813">
        <v>1</v>
      </c>
      <c r="X3813">
        <v>1</v>
      </c>
      <c r="Y3813">
        <v>0</v>
      </c>
      <c r="Z3813">
        <v>1</v>
      </c>
      <c r="AA3813">
        <v>0</v>
      </c>
      <c r="AB3813">
        <v>77.28</v>
      </c>
      <c r="AC3813">
        <v>68</v>
      </c>
      <c r="AD3813">
        <v>0</v>
      </c>
      <c r="AE3813">
        <v>9.2799999999999994</v>
      </c>
      <c r="AF3813">
        <v>0</v>
      </c>
      <c r="AG3813">
        <v>0</v>
      </c>
      <c r="AH3813">
        <v>0</v>
      </c>
      <c r="AI3813">
        <v>0</v>
      </c>
      <c r="AJ3813">
        <v>77.28</v>
      </c>
      <c r="AK3813">
        <v>0</v>
      </c>
      <c r="AL3813" t="s">
        <v>53</v>
      </c>
      <c r="AM3813" t="s">
        <v>53</v>
      </c>
      <c r="AN3813" t="s">
        <v>53</v>
      </c>
      <c r="AO3813" t="s">
        <v>53</v>
      </c>
      <c r="AP3813" t="s">
        <v>53</v>
      </c>
    </row>
    <row r="3814" spans="2:42" x14ac:dyDescent="0.2">
      <c r="B3814" t="s">
        <v>44</v>
      </c>
      <c r="C3814" t="str">
        <f>HYPERLINK("https://us2.cloudbeds.com/connect/8493803454333002#/reservations/61747498041575?display=1ATRSMUF04&amp;reservation_id=61747498041575", "1ATRSMUF04")</f>
        <v>1ATRSMUF04</v>
      </c>
      <c r="D3814" t="s">
        <v>45</v>
      </c>
      <c r="E3814" t="s">
        <v>128</v>
      </c>
      <c r="F3814" t="s">
        <v>86</v>
      </c>
      <c r="G3814" t="s">
        <v>48</v>
      </c>
      <c r="H3814" t="s">
        <v>3957</v>
      </c>
      <c r="I3814" t="s">
        <v>3975</v>
      </c>
      <c r="J3814" t="s">
        <v>6139</v>
      </c>
      <c r="K3814" t="s">
        <v>5644</v>
      </c>
      <c r="L3814" t="s">
        <v>53</v>
      </c>
      <c r="P3814" t="s">
        <v>55</v>
      </c>
      <c r="R3814" t="s">
        <v>56</v>
      </c>
      <c r="T3814" t="s">
        <v>6453</v>
      </c>
      <c r="U3814" t="s">
        <v>58</v>
      </c>
      <c r="V3814">
        <v>1</v>
      </c>
      <c r="W3814">
        <v>1</v>
      </c>
      <c r="X3814">
        <v>2</v>
      </c>
      <c r="Y3814">
        <v>0</v>
      </c>
      <c r="Z3814">
        <v>2</v>
      </c>
      <c r="AA3814">
        <v>0</v>
      </c>
      <c r="AB3814">
        <v>87.51</v>
      </c>
      <c r="AC3814">
        <v>77</v>
      </c>
      <c r="AD3814">
        <v>0</v>
      </c>
      <c r="AE3814">
        <v>10.51</v>
      </c>
      <c r="AF3814">
        <v>0</v>
      </c>
      <c r="AG3814">
        <v>0</v>
      </c>
      <c r="AH3814">
        <v>0</v>
      </c>
      <c r="AI3814">
        <v>0</v>
      </c>
      <c r="AJ3814">
        <v>87.51</v>
      </c>
      <c r="AK3814">
        <v>0</v>
      </c>
      <c r="AL3814" t="s">
        <v>53</v>
      </c>
      <c r="AM3814" t="s">
        <v>53</v>
      </c>
      <c r="AN3814" t="s">
        <v>53</v>
      </c>
      <c r="AO3814" t="s">
        <v>53</v>
      </c>
      <c r="AP3814" t="s">
        <v>53</v>
      </c>
    </row>
    <row r="3815" spans="2:42" x14ac:dyDescent="0.2">
      <c r="B3815" t="s">
        <v>44</v>
      </c>
      <c r="C3815" t="str">
        <f>HYPERLINK("https://us2.cloudbeds.com/connect/8493803454333002#/reservations/62596184355060?display=1BGP0JN60E&amp;reservation_id=62596184355060", "1BGP0JN60E")</f>
        <v>1BGP0JN60E</v>
      </c>
      <c r="D3815" t="s">
        <v>45</v>
      </c>
      <c r="E3815" t="s">
        <v>223</v>
      </c>
      <c r="F3815" t="s">
        <v>47</v>
      </c>
      <c r="G3815" t="s">
        <v>48</v>
      </c>
      <c r="H3815" t="s">
        <v>3957</v>
      </c>
      <c r="I3815" t="s">
        <v>3975</v>
      </c>
      <c r="J3815" t="s">
        <v>5507</v>
      </c>
      <c r="K3815" t="s">
        <v>6454</v>
      </c>
      <c r="L3815" t="s">
        <v>53</v>
      </c>
      <c r="P3815" t="s">
        <v>55</v>
      </c>
      <c r="R3815" t="s">
        <v>56</v>
      </c>
      <c r="T3815" t="s">
        <v>6455</v>
      </c>
      <c r="U3815" t="s">
        <v>58</v>
      </c>
      <c r="V3815">
        <v>1</v>
      </c>
      <c r="W3815">
        <v>1</v>
      </c>
      <c r="X3815">
        <v>2</v>
      </c>
      <c r="Y3815">
        <v>0</v>
      </c>
      <c r="Z3815">
        <v>2</v>
      </c>
      <c r="AA3815">
        <v>201.16</v>
      </c>
      <c r="AB3815">
        <v>201.16</v>
      </c>
      <c r="AC3815">
        <v>177</v>
      </c>
      <c r="AD3815">
        <v>0</v>
      </c>
      <c r="AE3815">
        <v>24.16</v>
      </c>
      <c r="AF3815">
        <v>0</v>
      </c>
      <c r="AG3815">
        <v>0</v>
      </c>
      <c r="AH3815">
        <v>0</v>
      </c>
      <c r="AI3815">
        <v>0</v>
      </c>
      <c r="AJ3815">
        <v>201.16</v>
      </c>
      <c r="AK3815">
        <v>0</v>
      </c>
      <c r="AL3815" t="s">
        <v>53</v>
      </c>
      <c r="AM3815" t="s">
        <v>53</v>
      </c>
      <c r="AN3815" t="s">
        <v>53</v>
      </c>
      <c r="AO3815" t="s">
        <v>53</v>
      </c>
      <c r="AP3815" t="s">
        <v>53</v>
      </c>
    </row>
    <row r="3816" spans="2:42" x14ac:dyDescent="0.2">
      <c r="B3816" t="s">
        <v>44</v>
      </c>
      <c r="C3816" t="str">
        <f>HYPERLINK("https://us2.cloudbeds.com/connect/8493803454333002#/reservations/62679964463296?display=1BXNTCA2NU&amp;reservation_id=62679964463296", "1BXNTCA2NU")</f>
        <v>1BXNTCA2NU</v>
      </c>
      <c r="D3816" t="s">
        <v>45</v>
      </c>
      <c r="E3816" t="s">
        <v>113</v>
      </c>
      <c r="F3816" t="s">
        <v>61</v>
      </c>
      <c r="G3816" t="s">
        <v>48</v>
      </c>
      <c r="H3816" t="s">
        <v>3957</v>
      </c>
      <c r="I3816" t="s">
        <v>3958</v>
      </c>
      <c r="J3816" t="s">
        <v>6255</v>
      </c>
      <c r="K3816" t="s">
        <v>5643</v>
      </c>
      <c r="L3816" t="s">
        <v>53</v>
      </c>
      <c r="P3816" t="s">
        <v>58</v>
      </c>
      <c r="R3816" t="s">
        <v>56</v>
      </c>
      <c r="T3816" t="s">
        <v>6456</v>
      </c>
      <c r="U3816" t="s">
        <v>58</v>
      </c>
      <c r="V3816">
        <v>1</v>
      </c>
      <c r="W3816">
        <v>1</v>
      </c>
      <c r="X3816">
        <v>1</v>
      </c>
      <c r="Y3816">
        <v>0</v>
      </c>
      <c r="Z3816">
        <v>1</v>
      </c>
      <c r="AA3816">
        <v>0</v>
      </c>
      <c r="AB3816">
        <v>82.97</v>
      </c>
      <c r="AC3816">
        <v>73</v>
      </c>
      <c r="AD3816">
        <v>0</v>
      </c>
      <c r="AE3816">
        <v>9.9700000000000006</v>
      </c>
      <c r="AF3816">
        <v>0</v>
      </c>
      <c r="AG3816">
        <v>0</v>
      </c>
      <c r="AH3816">
        <v>0</v>
      </c>
      <c r="AI3816">
        <v>0</v>
      </c>
      <c r="AJ3816">
        <v>82.97</v>
      </c>
      <c r="AK3816">
        <v>0</v>
      </c>
      <c r="AL3816" t="s">
        <v>53</v>
      </c>
      <c r="AM3816" t="s">
        <v>53</v>
      </c>
      <c r="AN3816" t="s">
        <v>53</v>
      </c>
      <c r="AO3816" t="s">
        <v>53</v>
      </c>
      <c r="AP3816" t="s">
        <v>53</v>
      </c>
    </row>
    <row r="3817" spans="2:42" x14ac:dyDescent="0.2">
      <c r="B3817" t="s">
        <v>44</v>
      </c>
      <c r="C3817" t="str">
        <f>HYPERLINK("https://us2.cloudbeds.com/connect/8493803454333002#/reservations/62690081570977?display=1BXVNTAKPZ&amp;reservation_id=62690081570977", "1BXVNTAKPZ")</f>
        <v>1BXVNTAKPZ</v>
      </c>
      <c r="D3817" t="s">
        <v>45</v>
      </c>
      <c r="E3817" t="s">
        <v>69</v>
      </c>
      <c r="F3817" t="s">
        <v>70</v>
      </c>
      <c r="G3817" t="s">
        <v>48</v>
      </c>
      <c r="H3817" t="s">
        <v>49</v>
      </c>
      <c r="I3817" t="s">
        <v>62</v>
      </c>
      <c r="J3817" t="s">
        <v>5643</v>
      </c>
      <c r="K3817" t="s">
        <v>6139</v>
      </c>
      <c r="L3817" t="s">
        <v>53</v>
      </c>
      <c r="N3817" t="s">
        <v>6457</v>
      </c>
      <c r="P3817" t="s">
        <v>55</v>
      </c>
      <c r="R3817" t="s">
        <v>56</v>
      </c>
      <c r="T3817" t="s">
        <v>6458</v>
      </c>
      <c r="U3817" t="s">
        <v>55</v>
      </c>
      <c r="V3817">
        <v>1</v>
      </c>
      <c r="W3817">
        <v>1</v>
      </c>
      <c r="X3817">
        <v>2</v>
      </c>
      <c r="Y3817">
        <v>0</v>
      </c>
      <c r="Z3817">
        <v>2</v>
      </c>
      <c r="AA3817">
        <v>0</v>
      </c>
      <c r="AB3817">
        <v>63</v>
      </c>
      <c r="AC3817">
        <v>63</v>
      </c>
      <c r="AD3817">
        <v>0</v>
      </c>
      <c r="AE3817">
        <v>0</v>
      </c>
      <c r="AF3817">
        <v>0</v>
      </c>
      <c r="AG3817">
        <v>0</v>
      </c>
      <c r="AH3817">
        <v>0</v>
      </c>
      <c r="AI3817">
        <v>11.34</v>
      </c>
      <c r="AJ3817">
        <v>63</v>
      </c>
      <c r="AK3817">
        <v>0</v>
      </c>
      <c r="AL3817" t="s">
        <v>53</v>
      </c>
      <c r="AM3817" t="s">
        <v>53</v>
      </c>
      <c r="AN3817" t="s">
        <v>53</v>
      </c>
      <c r="AO3817" t="s">
        <v>53</v>
      </c>
      <c r="AP3817" t="s">
        <v>53</v>
      </c>
    </row>
    <row r="3818" spans="2:42" x14ac:dyDescent="0.2">
      <c r="B3818" t="s">
        <v>44</v>
      </c>
      <c r="C3818" t="str">
        <f>HYPERLINK("https://us2.cloudbeds.com/connect/8493803454333002#/reservations/62692997382332?display=1BJ0WD0CGJ&amp;reservation_id=62692997382332", "1BJ0WD0CGJ")</f>
        <v>1BJ0WD0CGJ</v>
      </c>
      <c r="D3818" t="s">
        <v>45</v>
      </c>
      <c r="E3818" t="s">
        <v>113</v>
      </c>
      <c r="F3818" t="s">
        <v>61</v>
      </c>
      <c r="G3818" t="s">
        <v>48</v>
      </c>
      <c r="H3818" t="s">
        <v>49</v>
      </c>
      <c r="I3818" t="s">
        <v>62</v>
      </c>
      <c r="J3818" t="s">
        <v>6078</v>
      </c>
      <c r="K3818" t="s">
        <v>5678</v>
      </c>
      <c r="L3818" t="s">
        <v>53</v>
      </c>
      <c r="N3818" t="s">
        <v>6459</v>
      </c>
      <c r="P3818" t="s">
        <v>55</v>
      </c>
      <c r="R3818" t="s">
        <v>56</v>
      </c>
      <c r="T3818" t="s">
        <v>6460</v>
      </c>
      <c r="U3818" t="s">
        <v>55</v>
      </c>
      <c r="V3818">
        <v>2</v>
      </c>
      <c r="W3818">
        <v>1</v>
      </c>
      <c r="X3818">
        <v>2</v>
      </c>
      <c r="Y3818">
        <v>0</v>
      </c>
      <c r="Z3818">
        <v>2</v>
      </c>
      <c r="AA3818">
        <v>0</v>
      </c>
      <c r="AB3818">
        <v>154.80000000000001</v>
      </c>
      <c r="AC3818">
        <v>154.80000000000001</v>
      </c>
      <c r="AD3818">
        <v>0</v>
      </c>
      <c r="AE3818">
        <v>0</v>
      </c>
      <c r="AF3818">
        <v>0</v>
      </c>
      <c r="AG3818">
        <v>0</v>
      </c>
      <c r="AH3818">
        <v>0</v>
      </c>
      <c r="AI3818">
        <v>27.86</v>
      </c>
      <c r="AJ3818">
        <v>154.80000000000001</v>
      </c>
      <c r="AK3818">
        <v>0</v>
      </c>
      <c r="AL3818" t="s">
        <v>53</v>
      </c>
      <c r="AM3818" t="s">
        <v>53</v>
      </c>
      <c r="AN3818" t="s">
        <v>53</v>
      </c>
      <c r="AO3818" t="s">
        <v>53</v>
      </c>
      <c r="AP3818" t="s">
        <v>53</v>
      </c>
    </row>
    <row r="3819" spans="2:42" x14ac:dyDescent="0.2">
      <c r="B3819" t="s">
        <v>44</v>
      </c>
      <c r="C3819" t="str">
        <f>HYPERLINK("https://us2.cloudbeds.com/connect/8493803454333002#/reservations/62703580487848?display=1BJ95QVTCZ&amp;reservation_id=62703580487848", "1BJ95QVTCZ")</f>
        <v>1BJ95QVTCZ</v>
      </c>
      <c r="D3819" t="s">
        <v>45</v>
      </c>
      <c r="E3819" t="s">
        <v>110</v>
      </c>
      <c r="F3819" t="s">
        <v>47</v>
      </c>
      <c r="G3819" t="s">
        <v>48</v>
      </c>
      <c r="H3819" t="s">
        <v>49</v>
      </c>
      <c r="I3819" t="s">
        <v>50</v>
      </c>
      <c r="J3819" t="s">
        <v>5643</v>
      </c>
      <c r="K3819" t="s">
        <v>6139</v>
      </c>
      <c r="L3819" t="s">
        <v>53</v>
      </c>
      <c r="N3819" t="s">
        <v>6461</v>
      </c>
      <c r="P3819" t="s">
        <v>55</v>
      </c>
      <c r="R3819" t="s">
        <v>53</v>
      </c>
      <c r="T3819" t="s">
        <v>6462</v>
      </c>
      <c r="U3819" t="s">
        <v>58</v>
      </c>
      <c r="V3819">
        <v>1</v>
      </c>
      <c r="W3819">
        <v>1</v>
      </c>
      <c r="X3819">
        <v>2</v>
      </c>
      <c r="Y3819">
        <v>0</v>
      </c>
      <c r="Z3819">
        <v>2</v>
      </c>
      <c r="AA3819">
        <v>0</v>
      </c>
      <c r="AB3819">
        <v>69.540000000000006</v>
      </c>
      <c r="AC3819">
        <v>61.2</v>
      </c>
      <c r="AD3819">
        <v>0</v>
      </c>
      <c r="AE3819">
        <v>8.34</v>
      </c>
      <c r="AF3819">
        <v>0</v>
      </c>
      <c r="AG3819">
        <v>0</v>
      </c>
      <c r="AH3819">
        <v>0</v>
      </c>
      <c r="AI3819">
        <v>12.52</v>
      </c>
      <c r="AJ3819">
        <v>69.540000000000006</v>
      </c>
      <c r="AK3819">
        <v>0</v>
      </c>
      <c r="AL3819" t="s">
        <v>53</v>
      </c>
      <c r="AM3819" t="s">
        <v>53</v>
      </c>
      <c r="AN3819" t="s">
        <v>53</v>
      </c>
      <c r="AO3819" t="s">
        <v>53</v>
      </c>
      <c r="AP3819" t="s">
        <v>53</v>
      </c>
    </row>
    <row r="3820" spans="2:42" x14ac:dyDescent="0.2">
      <c r="B3820" t="s">
        <v>44</v>
      </c>
      <c r="C3820" t="str">
        <f>HYPERLINK("https://us2.cloudbeds.com/connect/8493803454333002#/reservations/62718334058654?display=1BJKJQXZKV&amp;reservation_id=62718334058654", "1BJKJQXZKV")</f>
        <v>1BJKJQXZKV</v>
      </c>
      <c r="D3820" t="s">
        <v>45</v>
      </c>
      <c r="E3820" t="s">
        <v>105</v>
      </c>
      <c r="F3820" t="s">
        <v>47</v>
      </c>
      <c r="G3820" t="s">
        <v>48</v>
      </c>
      <c r="H3820" t="s">
        <v>49</v>
      </c>
      <c r="I3820" t="s">
        <v>50</v>
      </c>
      <c r="J3820" t="s">
        <v>5643</v>
      </c>
      <c r="K3820" t="s">
        <v>6463</v>
      </c>
      <c r="L3820" t="s">
        <v>53</v>
      </c>
      <c r="N3820" t="s">
        <v>6464</v>
      </c>
      <c r="P3820" t="s">
        <v>55</v>
      </c>
      <c r="R3820" t="s">
        <v>53</v>
      </c>
      <c r="T3820" t="s">
        <v>6465</v>
      </c>
      <c r="U3820" t="s">
        <v>58</v>
      </c>
      <c r="V3820">
        <v>3</v>
      </c>
      <c r="W3820">
        <v>1</v>
      </c>
      <c r="X3820">
        <v>2</v>
      </c>
      <c r="Y3820">
        <v>0</v>
      </c>
      <c r="Z3820">
        <v>2</v>
      </c>
      <c r="AA3820">
        <v>0</v>
      </c>
      <c r="AB3820">
        <v>208.62</v>
      </c>
      <c r="AC3820">
        <v>183.6</v>
      </c>
      <c r="AD3820">
        <v>0</v>
      </c>
      <c r="AE3820">
        <v>25.02</v>
      </c>
      <c r="AF3820">
        <v>0</v>
      </c>
      <c r="AG3820">
        <v>0</v>
      </c>
      <c r="AH3820">
        <v>0</v>
      </c>
      <c r="AI3820">
        <v>37.549999999999997</v>
      </c>
      <c r="AJ3820">
        <v>208.62</v>
      </c>
      <c r="AK3820">
        <v>0</v>
      </c>
      <c r="AL3820" t="s">
        <v>53</v>
      </c>
      <c r="AM3820" t="s">
        <v>53</v>
      </c>
      <c r="AN3820" t="s">
        <v>53</v>
      </c>
      <c r="AO3820" t="s">
        <v>53</v>
      </c>
      <c r="AP3820" t="s">
        <v>53</v>
      </c>
    </row>
    <row r="3821" spans="2:42" x14ac:dyDescent="0.2">
      <c r="B3821" t="s">
        <v>44</v>
      </c>
      <c r="C3821" t="str">
        <f>HYPERLINK("https://us2.cloudbeds.com/connect/8493803454333002#/reservations/62738511446149?display=1BK37CM9QY&amp;reservation_id=62738511446149", "1BK37CM9QY")</f>
        <v>1BK37CM9QY</v>
      </c>
      <c r="D3821" t="s">
        <v>45</v>
      </c>
      <c r="E3821" t="s">
        <v>185</v>
      </c>
      <c r="F3821" t="s">
        <v>47</v>
      </c>
      <c r="G3821" t="s">
        <v>48</v>
      </c>
      <c r="H3821" t="s">
        <v>49</v>
      </c>
      <c r="I3821" t="s">
        <v>50</v>
      </c>
      <c r="J3821" t="s">
        <v>6139</v>
      </c>
      <c r="K3821" t="s">
        <v>5644</v>
      </c>
      <c r="L3821" t="s">
        <v>53</v>
      </c>
      <c r="N3821" t="s">
        <v>6466</v>
      </c>
      <c r="P3821" t="s">
        <v>55</v>
      </c>
      <c r="R3821" t="s">
        <v>53</v>
      </c>
      <c r="T3821" t="s">
        <v>6467</v>
      </c>
      <c r="U3821" t="s">
        <v>58</v>
      </c>
      <c r="V3821">
        <v>1</v>
      </c>
      <c r="W3821">
        <v>1</v>
      </c>
      <c r="X3821">
        <v>2</v>
      </c>
      <c r="Y3821">
        <v>0</v>
      </c>
      <c r="Z3821">
        <v>2</v>
      </c>
      <c r="AA3821">
        <v>0</v>
      </c>
      <c r="AB3821">
        <v>69.540000000000006</v>
      </c>
      <c r="AC3821">
        <v>61.2</v>
      </c>
      <c r="AD3821">
        <v>0</v>
      </c>
      <c r="AE3821">
        <v>8.34</v>
      </c>
      <c r="AF3821">
        <v>0</v>
      </c>
      <c r="AG3821">
        <v>0</v>
      </c>
      <c r="AH3821">
        <v>0</v>
      </c>
      <c r="AI3821">
        <v>12.52</v>
      </c>
      <c r="AJ3821">
        <v>69.540000000000006</v>
      </c>
      <c r="AK3821">
        <v>0</v>
      </c>
      <c r="AL3821" t="s">
        <v>53</v>
      </c>
      <c r="AM3821" t="s">
        <v>53</v>
      </c>
      <c r="AN3821" t="s">
        <v>53</v>
      </c>
      <c r="AO3821" t="s">
        <v>53</v>
      </c>
      <c r="AP3821" t="s">
        <v>53</v>
      </c>
    </row>
    <row r="3822" spans="2:42" x14ac:dyDescent="0.2">
      <c r="B3822" t="s">
        <v>44</v>
      </c>
      <c r="C3822" t="str">
        <f>HYPERLINK("https://us2.cloudbeds.com/connect/8493803454333002#/reservations/62921787662510?display=1BZD4H164S&amp;reservation_id=62921787662510", "1BZD4H164S")</f>
        <v>1BZD4H164S</v>
      </c>
      <c r="D3822" t="s">
        <v>45</v>
      </c>
      <c r="E3822" t="s">
        <v>155</v>
      </c>
      <c r="F3822" t="s">
        <v>86</v>
      </c>
      <c r="G3822" t="s">
        <v>48</v>
      </c>
      <c r="H3822" t="s">
        <v>3957</v>
      </c>
      <c r="I3822" t="s">
        <v>3975</v>
      </c>
      <c r="J3822" t="s">
        <v>5901</v>
      </c>
      <c r="K3822" t="s">
        <v>5531</v>
      </c>
      <c r="L3822" t="s">
        <v>53</v>
      </c>
      <c r="P3822" t="s">
        <v>55</v>
      </c>
      <c r="R3822" t="s">
        <v>56</v>
      </c>
      <c r="T3822" t="s">
        <v>6468</v>
      </c>
      <c r="U3822" t="s">
        <v>58</v>
      </c>
      <c r="V3822">
        <v>2</v>
      </c>
      <c r="W3822">
        <v>1</v>
      </c>
      <c r="X3822">
        <v>2</v>
      </c>
      <c r="Y3822">
        <v>0</v>
      </c>
      <c r="Z3822">
        <v>2</v>
      </c>
      <c r="AA3822">
        <v>0</v>
      </c>
      <c r="AB3822">
        <v>180.71</v>
      </c>
      <c r="AC3822">
        <v>159</v>
      </c>
      <c r="AD3822">
        <v>0</v>
      </c>
      <c r="AE3822">
        <v>21.71</v>
      </c>
      <c r="AF3822">
        <v>0</v>
      </c>
      <c r="AG3822">
        <v>0</v>
      </c>
      <c r="AH3822">
        <v>0</v>
      </c>
      <c r="AI3822">
        <v>0</v>
      </c>
      <c r="AJ3822">
        <v>180.71</v>
      </c>
      <c r="AK3822">
        <v>0</v>
      </c>
      <c r="AL3822" t="s">
        <v>53</v>
      </c>
      <c r="AM3822" t="s">
        <v>53</v>
      </c>
      <c r="AN3822" t="s">
        <v>53</v>
      </c>
      <c r="AO3822" t="s">
        <v>53</v>
      </c>
      <c r="AP3822" t="s">
        <v>53</v>
      </c>
    </row>
    <row r="3823" spans="2:42" x14ac:dyDescent="0.2">
      <c r="B3823" t="s">
        <v>44</v>
      </c>
      <c r="C3823" t="str">
        <f>HYPERLINK("https://us2.cloudbeds.com/connect/8493803454333002#/reservations/62972011954410?display=1BPJ0SG4P8&amp;reservation_id=62972011954410", "1BPJ0SG4P8")</f>
        <v>1BPJ0SG4P8</v>
      </c>
      <c r="D3823" t="s">
        <v>45</v>
      </c>
      <c r="E3823" t="s">
        <v>138</v>
      </c>
      <c r="F3823" t="s">
        <v>70</v>
      </c>
      <c r="G3823" t="s">
        <v>48</v>
      </c>
      <c r="H3823" t="s">
        <v>3957</v>
      </c>
      <c r="I3823" t="s">
        <v>3958</v>
      </c>
      <c r="J3823" t="s">
        <v>6139</v>
      </c>
      <c r="K3823" t="s">
        <v>5644</v>
      </c>
      <c r="L3823" t="s">
        <v>53</v>
      </c>
      <c r="P3823" t="s">
        <v>58</v>
      </c>
      <c r="R3823" t="s">
        <v>56</v>
      </c>
      <c r="T3823" t="s">
        <v>6469</v>
      </c>
      <c r="U3823" t="s">
        <v>58</v>
      </c>
      <c r="V3823">
        <v>1</v>
      </c>
      <c r="W3823">
        <v>1</v>
      </c>
      <c r="X3823">
        <v>1</v>
      </c>
      <c r="Y3823">
        <v>0</v>
      </c>
      <c r="Z3823">
        <v>1</v>
      </c>
      <c r="AA3823">
        <v>0</v>
      </c>
      <c r="AB3823">
        <v>71.61</v>
      </c>
      <c r="AC3823">
        <v>63</v>
      </c>
      <c r="AD3823">
        <v>0</v>
      </c>
      <c r="AE3823">
        <v>8.61</v>
      </c>
      <c r="AF3823">
        <v>0</v>
      </c>
      <c r="AG3823">
        <v>0</v>
      </c>
      <c r="AH3823">
        <v>0</v>
      </c>
      <c r="AI3823">
        <v>0</v>
      </c>
      <c r="AJ3823">
        <v>71.61</v>
      </c>
      <c r="AK3823">
        <v>0</v>
      </c>
      <c r="AL3823" t="s">
        <v>53</v>
      </c>
      <c r="AM3823" t="s">
        <v>53</v>
      </c>
      <c r="AN3823" t="s">
        <v>53</v>
      </c>
      <c r="AO3823" t="s">
        <v>53</v>
      </c>
      <c r="AP3823" t="s">
        <v>53</v>
      </c>
    </row>
    <row r="3824" spans="2:42" x14ac:dyDescent="0.2">
      <c r="B3824" t="s">
        <v>44</v>
      </c>
      <c r="C3824" t="str">
        <f>HYPERLINK("https://us2.cloudbeds.com/connect/8493803454333002#/reservations/62982426857726?display=1BPR2WK601&amp;reservation_id=62982426857726", "1BPR2WK601")</f>
        <v>1BPR2WK601</v>
      </c>
      <c r="D3824" t="s">
        <v>45</v>
      </c>
      <c r="E3824" t="s">
        <v>128</v>
      </c>
      <c r="F3824" t="s">
        <v>86</v>
      </c>
      <c r="G3824" t="s">
        <v>48</v>
      </c>
      <c r="H3824" t="s">
        <v>49</v>
      </c>
      <c r="I3824" t="s">
        <v>62</v>
      </c>
      <c r="J3824" t="s">
        <v>6078</v>
      </c>
      <c r="K3824" t="s">
        <v>6412</v>
      </c>
      <c r="L3824" t="s">
        <v>53</v>
      </c>
      <c r="N3824" t="s">
        <v>6470</v>
      </c>
      <c r="P3824" t="s">
        <v>55</v>
      </c>
      <c r="R3824" t="s">
        <v>56</v>
      </c>
      <c r="T3824" t="s">
        <v>6471</v>
      </c>
      <c r="U3824" t="s">
        <v>55</v>
      </c>
      <c r="V3824">
        <v>1</v>
      </c>
      <c r="W3824">
        <v>1</v>
      </c>
      <c r="X3824">
        <v>2</v>
      </c>
      <c r="Y3824">
        <v>0</v>
      </c>
      <c r="Z3824">
        <v>2</v>
      </c>
      <c r="AA3824">
        <v>0</v>
      </c>
      <c r="AB3824">
        <v>83</v>
      </c>
      <c r="AC3824">
        <v>83</v>
      </c>
      <c r="AD3824">
        <v>0</v>
      </c>
      <c r="AE3824">
        <v>0</v>
      </c>
      <c r="AF3824">
        <v>0</v>
      </c>
      <c r="AG3824">
        <v>0</v>
      </c>
      <c r="AH3824">
        <v>0</v>
      </c>
      <c r="AI3824">
        <v>14.94</v>
      </c>
      <c r="AJ3824">
        <v>83</v>
      </c>
      <c r="AK3824">
        <v>0</v>
      </c>
      <c r="AL3824" t="s">
        <v>53</v>
      </c>
      <c r="AM3824" t="s">
        <v>53</v>
      </c>
      <c r="AN3824" t="s">
        <v>53</v>
      </c>
      <c r="AO3824" t="s">
        <v>53</v>
      </c>
      <c r="AP3824" t="s">
        <v>53</v>
      </c>
    </row>
    <row r="3825" spans="2:42" x14ac:dyDescent="0.2">
      <c r="B3825" t="s">
        <v>44</v>
      </c>
      <c r="C3825" t="str">
        <f>HYPERLINK("https://us2.cloudbeds.com/connect/8493803454333002#/reservations/62985746608338?display=1BPTYQU4GE&amp;reservation_id=62985746608338", "1BPTYQU4GE")</f>
        <v>1BPTYQU4GE</v>
      </c>
      <c r="D3825" t="s">
        <v>45</v>
      </c>
      <c r="E3825" t="s">
        <v>305</v>
      </c>
      <c r="F3825" t="s">
        <v>61</v>
      </c>
      <c r="G3825" t="s">
        <v>48</v>
      </c>
      <c r="H3825" t="s">
        <v>49</v>
      </c>
      <c r="I3825" t="s">
        <v>50</v>
      </c>
      <c r="J3825" t="s">
        <v>6078</v>
      </c>
      <c r="K3825" t="s">
        <v>6403</v>
      </c>
      <c r="L3825" t="s">
        <v>53</v>
      </c>
      <c r="N3825" t="s">
        <v>6472</v>
      </c>
      <c r="P3825" t="s">
        <v>55</v>
      </c>
      <c r="R3825" t="s">
        <v>53</v>
      </c>
      <c r="T3825" t="s">
        <v>6473</v>
      </c>
      <c r="U3825" t="s">
        <v>58</v>
      </c>
      <c r="V3825">
        <v>3</v>
      </c>
      <c r="W3825">
        <v>1</v>
      </c>
      <c r="X3825">
        <v>2</v>
      </c>
      <c r="Y3825">
        <v>0</v>
      </c>
      <c r="Z3825">
        <v>2</v>
      </c>
      <c r="AA3825">
        <v>0</v>
      </c>
      <c r="AB3825">
        <v>249.58</v>
      </c>
      <c r="AC3825">
        <v>219.6</v>
      </c>
      <c r="AD3825">
        <v>0</v>
      </c>
      <c r="AE3825">
        <v>29.98</v>
      </c>
      <c r="AF3825">
        <v>0</v>
      </c>
      <c r="AG3825">
        <v>0</v>
      </c>
      <c r="AH3825">
        <v>0</v>
      </c>
      <c r="AI3825">
        <v>44.92</v>
      </c>
      <c r="AJ3825">
        <v>249.58</v>
      </c>
      <c r="AK3825">
        <v>0</v>
      </c>
      <c r="AL3825" t="s">
        <v>53</v>
      </c>
      <c r="AM3825" t="s">
        <v>53</v>
      </c>
      <c r="AN3825" t="s">
        <v>53</v>
      </c>
      <c r="AO3825" t="s">
        <v>53</v>
      </c>
      <c r="AP3825" t="s">
        <v>53</v>
      </c>
    </row>
    <row r="3826" spans="2:42" x14ac:dyDescent="0.2">
      <c r="B3826" t="s">
        <v>44</v>
      </c>
      <c r="C3826" t="str">
        <f>HYPERLINK("https://us2.cloudbeds.com/connect/8493803454333002#/reservations/63048835547272?display=1BRCGT5SEZ&amp;reservation_id=63048835547272", "1BRCGT5SEZ")</f>
        <v>1BRCGT5SEZ</v>
      </c>
      <c r="D3826" t="s">
        <v>45</v>
      </c>
      <c r="E3826" t="s">
        <v>213</v>
      </c>
      <c r="F3826" t="s">
        <v>86</v>
      </c>
      <c r="G3826" t="s">
        <v>48</v>
      </c>
      <c r="H3826" t="s">
        <v>49</v>
      </c>
      <c r="I3826" t="s">
        <v>50</v>
      </c>
      <c r="J3826" t="s">
        <v>5643</v>
      </c>
      <c r="K3826" t="s">
        <v>6139</v>
      </c>
      <c r="L3826" t="s">
        <v>53</v>
      </c>
      <c r="N3826" t="s">
        <v>6474</v>
      </c>
      <c r="P3826" t="s">
        <v>55</v>
      </c>
      <c r="R3826" t="s">
        <v>53</v>
      </c>
      <c r="T3826" t="s">
        <v>6475</v>
      </c>
      <c r="U3826" t="s">
        <v>58</v>
      </c>
      <c r="V3826">
        <v>1</v>
      </c>
      <c r="W3826">
        <v>1</v>
      </c>
      <c r="X3826">
        <v>2</v>
      </c>
      <c r="Y3826">
        <v>0</v>
      </c>
      <c r="Z3826">
        <v>2</v>
      </c>
      <c r="AA3826">
        <v>0</v>
      </c>
      <c r="AB3826">
        <v>70.010000000000005</v>
      </c>
      <c r="AC3826">
        <v>61.6</v>
      </c>
      <c r="AD3826">
        <v>0</v>
      </c>
      <c r="AE3826">
        <v>8.41</v>
      </c>
      <c r="AF3826">
        <v>0</v>
      </c>
      <c r="AG3826">
        <v>0</v>
      </c>
      <c r="AH3826">
        <v>0</v>
      </c>
      <c r="AI3826">
        <v>12.6</v>
      </c>
      <c r="AJ3826">
        <v>70.010000000000005</v>
      </c>
      <c r="AK3826">
        <v>0</v>
      </c>
      <c r="AL3826" t="s">
        <v>53</v>
      </c>
      <c r="AM3826" t="s">
        <v>53</v>
      </c>
      <c r="AN3826" t="s">
        <v>53</v>
      </c>
      <c r="AO3826" t="s">
        <v>53</v>
      </c>
      <c r="AP3826" t="s">
        <v>53</v>
      </c>
    </row>
    <row r="3827" spans="2:42" x14ac:dyDescent="0.2">
      <c r="B3827" t="s">
        <v>44</v>
      </c>
      <c r="C3827" t="str">
        <f>HYPERLINK("https://us2.cloudbeds.com/connect/8493803454333002#/reservations/63051147960464?display=1BRE9W25HP&amp;reservation_id=63051147960464", "1BRE9W25HP")</f>
        <v>1BRE9W25HP</v>
      </c>
      <c r="D3827" t="s">
        <v>45</v>
      </c>
      <c r="E3827" t="s">
        <v>69</v>
      </c>
      <c r="F3827" t="s">
        <v>70</v>
      </c>
      <c r="G3827" t="s">
        <v>48</v>
      </c>
      <c r="H3827" t="s">
        <v>49</v>
      </c>
      <c r="I3827" t="s">
        <v>62</v>
      </c>
      <c r="J3827" t="s">
        <v>6139</v>
      </c>
      <c r="K3827" t="s">
        <v>5644</v>
      </c>
      <c r="L3827" t="s">
        <v>53</v>
      </c>
      <c r="N3827" t="s">
        <v>6476</v>
      </c>
      <c r="P3827" t="s">
        <v>55</v>
      </c>
      <c r="R3827" t="s">
        <v>56</v>
      </c>
      <c r="T3827" t="s">
        <v>6477</v>
      </c>
      <c r="U3827" t="s">
        <v>55</v>
      </c>
      <c r="V3827">
        <v>1</v>
      </c>
      <c r="W3827">
        <v>1</v>
      </c>
      <c r="X3827">
        <v>2</v>
      </c>
      <c r="Y3827">
        <v>0</v>
      </c>
      <c r="Z3827">
        <v>2</v>
      </c>
      <c r="AA3827">
        <v>0</v>
      </c>
      <c r="AB3827">
        <v>63</v>
      </c>
      <c r="AC3827">
        <v>63</v>
      </c>
      <c r="AD3827">
        <v>0</v>
      </c>
      <c r="AE3827">
        <v>0</v>
      </c>
      <c r="AF3827">
        <v>0</v>
      </c>
      <c r="AG3827">
        <v>0</v>
      </c>
      <c r="AH3827">
        <v>0</v>
      </c>
      <c r="AI3827">
        <v>11.34</v>
      </c>
      <c r="AJ3827">
        <v>63</v>
      </c>
      <c r="AK3827">
        <v>0</v>
      </c>
      <c r="AL3827" t="s">
        <v>53</v>
      </c>
      <c r="AM3827" t="s">
        <v>53</v>
      </c>
      <c r="AN3827" t="s">
        <v>53</v>
      </c>
      <c r="AO3827" t="s">
        <v>53</v>
      </c>
      <c r="AP3827" t="s">
        <v>53</v>
      </c>
    </row>
    <row r="3828" spans="2:42" x14ac:dyDescent="0.2">
      <c r="B3828" t="s">
        <v>44</v>
      </c>
      <c r="C3828" t="str">
        <f>HYPERLINK("https://us2.cloudbeds.com/connect/8493803454333002#/reservations/63072096141553?display=1BRUH84653&amp;reservation_id=63072096141553", "1BRUH84653")</f>
        <v>1BRUH84653</v>
      </c>
      <c r="D3828" t="s">
        <v>45</v>
      </c>
      <c r="E3828" t="s">
        <v>487</v>
      </c>
      <c r="F3828" t="s">
        <v>61</v>
      </c>
      <c r="G3828" t="s">
        <v>48</v>
      </c>
      <c r="H3828" t="s">
        <v>3957</v>
      </c>
      <c r="I3828" t="s">
        <v>3975</v>
      </c>
      <c r="J3828" t="s">
        <v>6139</v>
      </c>
      <c r="K3828" t="s">
        <v>5644</v>
      </c>
      <c r="L3828" t="s">
        <v>53</v>
      </c>
      <c r="P3828" t="s">
        <v>55</v>
      </c>
      <c r="R3828" t="s">
        <v>56</v>
      </c>
      <c r="T3828" t="s">
        <v>6478</v>
      </c>
      <c r="U3828" t="s">
        <v>58</v>
      </c>
      <c r="V3828">
        <v>1</v>
      </c>
      <c r="W3828">
        <v>1</v>
      </c>
      <c r="X3828">
        <v>1</v>
      </c>
      <c r="Y3828">
        <v>0</v>
      </c>
      <c r="Z3828">
        <v>1</v>
      </c>
      <c r="AA3828">
        <v>0</v>
      </c>
      <c r="AB3828">
        <v>82.97</v>
      </c>
      <c r="AC3828">
        <v>73</v>
      </c>
      <c r="AD3828">
        <v>0</v>
      </c>
      <c r="AE3828">
        <v>9.9700000000000006</v>
      </c>
      <c r="AF3828">
        <v>0</v>
      </c>
      <c r="AG3828">
        <v>0</v>
      </c>
      <c r="AH3828">
        <v>0</v>
      </c>
      <c r="AI3828">
        <v>0</v>
      </c>
      <c r="AJ3828">
        <v>82.97</v>
      </c>
      <c r="AK3828">
        <v>0</v>
      </c>
      <c r="AL3828" t="s">
        <v>53</v>
      </c>
      <c r="AM3828" t="s">
        <v>53</v>
      </c>
      <c r="AN3828" t="s">
        <v>53</v>
      </c>
      <c r="AO3828" t="s">
        <v>53</v>
      </c>
      <c r="AP3828" t="s">
        <v>53</v>
      </c>
    </row>
    <row r="3829" spans="2:42" x14ac:dyDescent="0.2">
      <c r="B3829" t="s">
        <v>44</v>
      </c>
      <c r="C3829" t="str">
        <f>HYPERLINK("https://us2.cloudbeds.com/connect/8493803454333002#/reservations/63397043392751?display=1C2X4D8F41&amp;reservation_id=63397043392751", "1C2X4D8F41")</f>
        <v>1C2X4D8F41</v>
      </c>
      <c r="D3829" t="s">
        <v>45</v>
      </c>
      <c r="E3829" t="s">
        <v>85</v>
      </c>
      <c r="F3829" t="s">
        <v>86</v>
      </c>
      <c r="G3829" t="s">
        <v>3974</v>
      </c>
      <c r="H3829" t="s">
        <v>3957</v>
      </c>
      <c r="I3829" t="s">
        <v>3975</v>
      </c>
      <c r="J3829" t="s">
        <v>6146</v>
      </c>
      <c r="K3829" t="s">
        <v>5806</v>
      </c>
      <c r="L3829" t="s">
        <v>53</v>
      </c>
      <c r="P3829" t="s">
        <v>55</v>
      </c>
      <c r="R3829" t="s">
        <v>56</v>
      </c>
      <c r="T3829" t="s">
        <v>6479</v>
      </c>
      <c r="U3829" t="s">
        <v>58</v>
      </c>
      <c r="V3829">
        <v>2</v>
      </c>
      <c r="W3829">
        <v>1</v>
      </c>
      <c r="X3829">
        <v>2</v>
      </c>
      <c r="Y3829">
        <v>0</v>
      </c>
      <c r="Z3829">
        <v>2</v>
      </c>
      <c r="AA3829">
        <v>0</v>
      </c>
      <c r="AB3829">
        <v>157.54</v>
      </c>
      <c r="AC3829">
        <v>138.6</v>
      </c>
      <c r="AD3829">
        <v>0</v>
      </c>
      <c r="AE3829">
        <v>18.940000000000001</v>
      </c>
      <c r="AF3829">
        <v>0</v>
      </c>
      <c r="AG3829">
        <v>0</v>
      </c>
      <c r="AH3829">
        <v>0</v>
      </c>
      <c r="AI3829">
        <v>0</v>
      </c>
      <c r="AJ3829">
        <v>157.54</v>
      </c>
      <c r="AK3829">
        <v>0</v>
      </c>
      <c r="AL3829" t="s">
        <v>53</v>
      </c>
      <c r="AM3829" t="s">
        <v>53</v>
      </c>
      <c r="AN3829" t="s">
        <v>53</v>
      </c>
      <c r="AO3829" t="s">
        <v>53</v>
      </c>
      <c r="AP3829" t="s">
        <v>53</v>
      </c>
    </row>
    <row r="3830" spans="2:42" x14ac:dyDescent="0.2">
      <c r="B3830" t="s">
        <v>44</v>
      </c>
      <c r="C3830" t="str">
        <f>HYPERLINK("https://us2.cloudbeds.com/connect/8493803454333002#/reservations/63413497262288?display=1C2USRJKT7&amp;reservation_id=63413497262288", "1C2USRJKT7")</f>
        <v>1C2USRJKT7</v>
      </c>
      <c r="D3830" t="s">
        <v>45</v>
      </c>
      <c r="E3830" t="s">
        <v>165</v>
      </c>
      <c r="F3830" t="s">
        <v>61</v>
      </c>
      <c r="G3830" t="s">
        <v>48</v>
      </c>
      <c r="H3830" t="s">
        <v>3957</v>
      </c>
      <c r="I3830" t="s">
        <v>3975</v>
      </c>
      <c r="J3830" t="s">
        <v>6249</v>
      </c>
      <c r="K3830" t="s">
        <v>6250</v>
      </c>
      <c r="L3830" t="s">
        <v>53</v>
      </c>
      <c r="P3830" t="s">
        <v>55</v>
      </c>
      <c r="R3830" t="s">
        <v>56</v>
      </c>
      <c r="T3830" t="s">
        <v>6480</v>
      </c>
      <c r="U3830" t="s">
        <v>58</v>
      </c>
      <c r="V3830">
        <v>1</v>
      </c>
      <c r="W3830">
        <v>1</v>
      </c>
      <c r="X3830">
        <v>2</v>
      </c>
      <c r="Y3830">
        <v>0</v>
      </c>
      <c r="Z3830">
        <v>2</v>
      </c>
      <c r="AA3830">
        <v>126.16</v>
      </c>
      <c r="AB3830">
        <v>126.16</v>
      </c>
      <c r="AC3830">
        <v>111</v>
      </c>
      <c r="AD3830">
        <v>0</v>
      </c>
      <c r="AE3830">
        <v>15.16</v>
      </c>
      <c r="AF3830">
        <v>0</v>
      </c>
      <c r="AG3830">
        <v>0</v>
      </c>
      <c r="AH3830">
        <v>0</v>
      </c>
      <c r="AI3830">
        <v>0</v>
      </c>
      <c r="AJ3830">
        <v>126.16</v>
      </c>
      <c r="AK3830">
        <v>0</v>
      </c>
      <c r="AL3830" t="s">
        <v>53</v>
      </c>
      <c r="AM3830" t="s">
        <v>53</v>
      </c>
      <c r="AN3830" t="s">
        <v>53</v>
      </c>
      <c r="AO3830" t="s">
        <v>53</v>
      </c>
      <c r="AP3830" t="s">
        <v>53</v>
      </c>
    </row>
    <row r="3831" spans="2:42" x14ac:dyDescent="0.2">
      <c r="B3831" t="s">
        <v>44</v>
      </c>
      <c r="C3831" t="str">
        <f>HYPERLINK("https://us2.cloudbeds.com/connect/8493803454333002#/reservations/63429333377159?display=1C3A4G0SR1&amp;reservation_id=63429333377159", "1C3A4G0SR1")</f>
        <v>1C3A4G0SR1</v>
      </c>
      <c r="D3831" t="s">
        <v>45</v>
      </c>
      <c r="E3831" t="s">
        <v>305</v>
      </c>
      <c r="F3831" t="s">
        <v>61</v>
      </c>
      <c r="G3831" t="s">
        <v>48</v>
      </c>
      <c r="H3831" t="s">
        <v>49</v>
      </c>
      <c r="I3831" t="s">
        <v>62</v>
      </c>
      <c r="J3831" t="s">
        <v>5957</v>
      </c>
      <c r="K3831" t="s">
        <v>5667</v>
      </c>
      <c r="L3831" t="s">
        <v>53</v>
      </c>
      <c r="N3831" t="s">
        <v>6481</v>
      </c>
      <c r="P3831" t="s">
        <v>55</v>
      </c>
      <c r="R3831" t="s">
        <v>56</v>
      </c>
      <c r="T3831" t="s">
        <v>6482</v>
      </c>
      <c r="U3831" t="s">
        <v>55</v>
      </c>
      <c r="V3831">
        <v>2</v>
      </c>
      <c r="W3831">
        <v>1</v>
      </c>
      <c r="X3831">
        <v>2</v>
      </c>
      <c r="Y3831">
        <v>0</v>
      </c>
      <c r="Z3831">
        <v>2</v>
      </c>
      <c r="AA3831">
        <v>0</v>
      </c>
      <c r="AB3831">
        <v>144</v>
      </c>
      <c r="AC3831">
        <v>144</v>
      </c>
      <c r="AD3831">
        <v>0</v>
      </c>
      <c r="AE3831">
        <v>0</v>
      </c>
      <c r="AF3831">
        <v>0</v>
      </c>
      <c r="AG3831">
        <v>0</v>
      </c>
      <c r="AH3831">
        <v>0</v>
      </c>
      <c r="AI3831">
        <v>25.92</v>
      </c>
      <c r="AJ3831">
        <v>144</v>
      </c>
      <c r="AK3831">
        <v>0</v>
      </c>
      <c r="AL3831" t="s">
        <v>53</v>
      </c>
      <c r="AM3831" t="s">
        <v>53</v>
      </c>
      <c r="AN3831" t="s">
        <v>53</v>
      </c>
      <c r="AO3831" t="s">
        <v>53</v>
      </c>
      <c r="AP3831" t="s">
        <v>53</v>
      </c>
    </row>
    <row r="3832" spans="2:42" x14ac:dyDescent="0.2">
      <c r="B3832" t="s">
        <v>44</v>
      </c>
      <c r="C3832" t="str">
        <f>HYPERLINK("https://us2.cloudbeds.com/connect/8493803454333002#/reservations/63657651359919?display=1C8YUHQA6B&amp;reservation_id=63657651359919", "1C8YUHQA6B")</f>
        <v>1C8YUHQA6B</v>
      </c>
      <c r="D3832" t="s">
        <v>45</v>
      </c>
      <c r="E3832" t="s">
        <v>487</v>
      </c>
      <c r="F3832" t="s">
        <v>61</v>
      </c>
      <c r="G3832" t="s">
        <v>48</v>
      </c>
      <c r="H3832" t="s">
        <v>49</v>
      </c>
      <c r="I3832" t="s">
        <v>50</v>
      </c>
      <c r="J3832" t="s">
        <v>5667</v>
      </c>
      <c r="K3832" t="s">
        <v>6077</v>
      </c>
      <c r="L3832" t="s">
        <v>53</v>
      </c>
      <c r="N3832" t="s">
        <v>6483</v>
      </c>
      <c r="P3832" t="s">
        <v>55</v>
      </c>
      <c r="R3832" t="s">
        <v>53</v>
      </c>
      <c r="T3832" t="s">
        <v>6484</v>
      </c>
      <c r="U3832" t="s">
        <v>58</v>
      </c>
      <c r="V3832">
        <v>2</v>
      </c>
      <c r="W3832">
        <v>1</v>
      </c>
      <c r="X3832">
        <v>2</v>
      </c>
      <c r="Y3832">
        <v>0</v>
      </c>
      <c r="Z3832">
        <v>2</v>
      </c>
      <c r="AA3832">
        <v>0</v>
      </c>
      <c r="AB3832">
        <v>119.46</v>
      </c>
      <c r="AC3832">
        <v>105.12</v>
      </c>
      <c r="AD3832">
        <v>0</v>
      </c>
      <c r="AE3832">
        <v>14.34</v>
      </c>
      <c r="AF3832">
        <v>0</v>
      </c>
      <c r="AG3832">
        <v>0</v>
      </c>
      <c r="AH3832">
        <v>0</v>
      </c>
      <c r="AI3832">
        <v>21.5</v>
      </c>
      <c r="AJ3832">
        <v>119.46</v>
      </c>
      <c r="AK3832">
        <v>0</v>
      </c>
      <c r="AL3832" t="s">
        <v>53</v>
      </c>
      <c r="AM3832" t="s">
        <v>53</v>
      </c>
      <c r="AN3832" t="s">
        <v>53</v>
      </c>
      <c r="AO3832" t="s">
        <v>53</v>
      </c>
      <c r="AP3832" t="s">
        <v>53</v>
      </c>
    </row>
    <row r="3833" spans="2:42" x14ac:dyDescent="0.2">
      <c r="B3833" t="s">
        <v>44</v>
      </c>
      <c r="C3833" t="str">
        <f>HYPERLINK("https://us2.cloudbeds.com/connect/8493803454333002#/reservations/63983065591966?display=1CG9TKN0C3&amp;reservation_id=63983065591966", "1CG9TKN0C3")</f>
        <v>1CG9TKN0C3</v>
      </c>
      <c r="D3833" t="s">
        <v>45</v>
      </c>
      <c r="E3833" t="s">
        <v>213</v>
      </c>
      <c r="F3833" t="s">
        <v>86</v>
      </c>
      <c r="G3833" t="s">
        <v>48</v>
      </c>
      <c r="H3833" t="s">
        <v>3957</v>
      </c>
      <c r="I3833" t="s">
        <v>3975</v>
      </c>
      <c r="J3833" t="s">
        <v>5900</v>
      </c>
      <c r="K3833" t="s">
        <v>5532</v>
      </c>
      <c r="L3833" t="s">
        <v>53</v>
      </c>
      <c r="P3833" t="s">
        <v>55</v>
      </c>
      <c r="R3833" t="s">
        <v>56</v>
      </c>
      <c r="T3833" t="s">
        <v>6485</v>
      </c>
      <c r="U3833" t="s">
        <v>58</v>
      </c>
      <c r="V3833">
        <v>4</v>
      </c>
      <c r="W3833">
        <v>1</v>
      </c>
      <c r="X3833">
        <v>2</v>
      </c>
      <c r="Y3833">
        <v>0</v>
      </c>
      <c r="Z3833">
        <v>2</v>
      </c>
      <c r="AA3833">
        <v>0</v>
      </c>
      <c r="AB3833">
        <v>350.04</v>
      </c>
      <c r="AC3833">
        <v>308</v>
      </c>
      <c r="AD3833">
        <v>0</v>
      </c>
      <c r="AE3833">
        <v>42.04</v>
      </c>
      <c r="AF3833">
        <v>0</v>
      </c>
      <c r="AG3833">
        <v>0</v>
      </c>
      <c r="AH3833">
        <v>0</v>
      </c>
      <c r="AI3833">
        <v>0</v>
      </c>
      <c r="AJ3833">
        <v>350.04</v>
      </c>
      <c r="AK3833">
        <v>0</v>
      </c>
      <c r="AL3833" t="s">
        <v>53</v>
      </c>
      <c r="AM3833" t="s">
        <v>53</v>
      </c>
      <c r="AN3833" t="s">
        <v>53</v>
      </c>
      <c r="AO3833" t="s">
        <v>53</v>
      </c>
      <c r="AP3833" t="s">
        <v>53</v>
      </c>
    </row>
    <row r="3834" spans="2:42" x14ac:dyDescent="0.2">
      <c r="B3834" t="s">
        <v>44</v>
      </c>
      <c r="C3834" t="str">
        <f>HYPERLINK("https://us2.cloudbeds.com/connect/8493803454333002#/reservations/64007803031688?display=1CGT1NVZAK&amp;reservation_id=64007803031688", "1CGT1NVZAK")</f>
        <v>1CGT1NVZAK</v>
      </c>
      <c r="D3834" t="s">
        <v>45</v>
      </c>
      <c r="E3834" t="s">
        <v>6486</v>
      </c>
      <c r="F3834" t="s">
        <v>47</v>
      </c>
      <c r="G3834" t="s">
        <v>3974</v>
      </c>
      <c r="H3834" t="s">
        <v>3957</v>
      </c>
      <c r="I3834" t="s">
        <v>3975</v>
      </c>
      <c r="J3834" t="s">
        <v>6487</v>
      </c>
      <c r="K3834" t="s">
        <v>6488</v>
      </c>
      <c r="L3834" t="s">
        <v>53</v>
      </c>
      <c r="P3834" t="s">
        <v>55</v>
      </c>
      <c r="R3834" t="s">
        <v>56</v>
      </c>
      <c r="T3834" t="s">
        <v>6489</v>
      </c>
      <c r="U3834" t="s">
        <v>58</v>
      </c>
      <c r="V3834">
        <v>4</v>
      </c>
      <c r="W3834">
        <v>2</v>
      </c>
      <c r="X3834">
        <v>4</v>
      </c>
      <c r="Y3834">
        <v>0</v>
      </c>
      <c r="Z3834">
        <v>4</v>
      </c>
      <c r="AA3834">
        <v>0</v>
      </c>
      <c r="AB3834">
        <v>893.94</v>
      </c>
      <c r="AC3834">
        <v>786.6</v>
      </c>
      <c r="AD3834">
        <v>0</v>
      </c>
      <c r="AE3834">
        <v>107.34</v>
      </c>
      <c r="AF3834">
        <v>0</v>
      </c>
      <c r="AG3834">
        <v>0</v>
      </c>
      <c r="AH3834">
        <v>0</v>
      </c>
      <c r="AI3834">
        <v>0</v>
      </c>
      <c r="AJ3834">
        <v>893.94</v>
      </c>
      <c r="AK3834">
        <v>0</v>
      </c>
      <c r="AL3834" t="s">
        <v>53</v>
      </c>
      <c r="AM3834" t="s">
        <v>53</v>
      </c>
      <c r="AN3834" t="s">
        <v>53</v>
      </c>
      <c r="AO3834" t="s">
        <v>53</v>
      </c>
      <c r="AP3834" t="s">
        <v>53</v>
      </c>
    </row>
    <row r="3835" spans="2:42" x14ac:dyDescent="0.2">
      <c r="B3835" t="s">
        <v>44</v>
      </c>
      <c r="C3835" t="str">
        <f>HYPERLINK("https://us2.cloudbeds.com/connect/8493803454333002#/reservations/64102826885267?display=1CJ3KQJHP4&amp;reservation_id=64102826885267", "1CJ3KQJHP4")</f>
        <v>1CJ3KQJHP4</v>
      </c>
      <c r="D3835" t="s">
        <v>45</v>
      </c>
      <c r="E3835" t="s">
        <v>85</v>
      </c>
      <c r="F3835" t="s">
        <v>86</v>
      </c>
      <c r="G3835" t="s">
        <v>48</v>
      </c>
      <c r="H3835" t="s">
        <v>49</v>
      </c>
      <c r="I3835" t="s">
        <v>62</v>
      </c>
      <c r="J3835" t="s">
        <v>6078</v>
      </c>
      <c r="K3835" t="s">
        <v>6412</v>
      </c>
      <c r="L3835" t="s">
        <v>53</v>
      </c>
      <c r="N3835" t="s">
        <v>6490</v>
      </c>
      <c r="P3835" t="s">
        <v>55</v>
      </c>
      <c r="R3835" t="s">
        <v>56</v>
      </c>
      <c r="T3835" t="s">
        <v>6491</v>
      </c>
      <c r="U3835" t="s">
        <v>55</v>
      </c>
      <c r="V3835">
        <v>1</v>
      </c>
      <c r="W3835">
        <v>1</v>
      </c>
      <c r="X3835">
        <v>3</v>
      </c>
      <c r="Y3835">
        <v>0</v>
      </c>
      <c r="Z3835">
        <v>3</v>
      </c>
      <c r="AA3835">
        <v>0</v>
      </c>
      <c r="AB3835">
        <v>76.5</v>
      </c>
      <c r="AC3835">
        <v>76.5</v>
      </c>
      <c r="AD3835">
        <v>0</v>
      </c>
      <c r="AE3835">
        <v>0</v>
      </c>
      <c r="AF3835">
        <v>0</v>
      </c>
      <c r="AG3835">
        <v>0</v>
      </c>
      <c r="AH3835">
        <v>0</v>
      </c>
      <c r="AI3835">
        <v>13.77</v>
      </c>
      <c r="AJ3835">
        <v>76.5</v>
      </c>
      <c r="AK3835">
        <v>0</v>
      </c>
      <c r="AL3835" t="s">
        <v>53</v>
      </c>
      <c r="AM3835" t="s">
        <v>53</v>
      </c>
      <c r="AN3835" t="s">
        <v>53</v>
      </c>
      <c r="AO3835" t="s">
        <v>53</v>
      </c>
      <c r="AP3835" t="s">
        <v>53</v>
      </c>
    </row>
    <row r="3836" spans="2:42" x14ac:dyDescent="0.2">
      <c r="B3836" t="s">
        <v>44</v>
      </c>
      <c r="C3836" t="str">
        <f>HYPERLINK("https://us2.cloudbeds.com/connect/8493803454333002#/reservations/64377347006599?display=1CPX6E7JBY&amp;reservation_id=64377347006599", "1CPX6E7JBY")</f>
        <v>1CPX6E7JBY</v>
      </c>
      <c r="D3836" t="s">
        <v>45</v>
      </c>
      <c r="E3836" t="s">
        <v>381</v>
      </c>
      <c r="F3836" t="s">
        <v>47</v>
      </c>
      <c r="G3836" t="s">
        <v>48</v>
      </c>
      <c r="H3836" t="s">
        <v>3957</v>
      </c>
      <c r="I3836" t="s">
        <v>3975</v>
      </c>
      <c r="J3836" t="s">
        <v>5677</v>
      </c>
      <c r="K3836" t="s">
        <v>5678</v>
      </c>
      <c r="L3836" t="s">
        <v>53</v>
      </c>
      <c r="P3836" t="s">
        <v>55</v>
      </c>
      <c r="R3836" t="s">
        <v>56</v>
      </c>
      <c r="T3836" t="s">
        <v>6492</v>
      </c>
      <c r="U3836" t="s">
        <v>58</v>
      </c>
      <c r="V3836">
        <v>3</v>
      </c>
      <c r="W3836">
        <v>1</v>
      </c>
      <c r="X3836">
        <v>1</v>
      </c>
      <c r="Y3836">
        <v>0</v>
      </c>
      <c r="Z3836">
        <v>1</v>
      </c>
      <c r="AA3836">
        <v>0</v>
      </c>
      <c r="AB3836">
        <v>249.57</v>
      </c>
      <c r="AC3836">
        <v>219.6</v>
      </c>
      <c r="AD3836">
        <v>0</v>
      </c>
      <c r="AE3836">
        <v>29.97</v>
      </c>
      <c r="AF3836">
        <v>0</v>
      </c>
      <c r="AG3836">
        <v>0</v>
      </c>
      <c r="AH3836">
        <v>0</v>
      </c>
      <c r="AI3836">
        <v>0</v>
      </c>
      <c r="AJ3836">
        <v>249.57</v>
      </c>
      <c r="AK3836">
        <v>0</v>
      </c>
      <c r="AL3836" t="s">
        <v>53</v>
      </c>
      <c r="AM3836" t="s">
        <v>53</v>
      </c>
      <c r="AN3836" t="s">
        <v>53</v>
      </c>
      <c r="AO3836" t="s">
        <v>53</v>
      </c>
      <c r="AP3836" t="s">
        <v>53</v>
      </c>
    </row>
    <row r="3837" spans="2:42" x14ac:dyDescent="0.2">
      <c r="B3837" t="s">
        <v>44</v>
      </c>
      <c r="C3837" t="str">
        <f>HYPERLINK("https://us2.cloudbeds.com/connect/8493803454333002#/reservations/64654464503955?display=1CW1PE1ETH&amp;reservation_id=64654464503955", "1CW1PE1ETH")</f>
        <v>1CW1PE1ETH</v>
      </c>
      <c r="D3837" t="s">
        <v>45</v>
      </c>
      <c r="E3837" t="s">
        <v>110</v>
      </c>
      <c r="F3837" t="s">
        <v>47</v>
      </c>
      <c r="G3837" t="s">
        <v>48</v>
      </c>
      <c r="H3837" t="s">
        <v>3957</v>
      </c>
      <c r="I3837" t="s">
        <v>3975</v>
      </c>
      <c r="J3837" t="s">
        <v>5901</v>
      </c>
      <c r="K3837" t="s">
        <v>5531</v>
      </c>
      <c r="L3837" t="s">
        <v>53</v>
      </c>
      <c r="P3837" t="s">
        <v>58</v>
      </c>
      <c r="R3837" t="s">
        <v>56</v>
      </c>
      <c r="T3837" t="s">
        <v>6493</v>
      </c>
      <c r="U3837" t="s">
        <v>58</v>
      </c>
      <c r="V3837">
        <v>2</v>
      </c>
      <c r="W3837">
        <v>1</v>
      </c>
      <c r="X3837">
        <v>2</v>
      </c>
      <c r="Y3837">
        <v>0</v>
      </c>
      <c r="Z3837">
        <v>2</v>
      </c>
      <c r="AA3837">
        <v>0</v>
      </c>
      <c r="AB3837">
        <v>164.79</v>
      </c>
      <c r="AC3837">
        <v>145</v>
      </c>
      <c r="AD3837">
        <v>0</v>
      </c>
      <c r="AE3837">
        <v>19.79</v>
      </c>
      <c r="AF3837">
        <v>0</v>
      </c>
      <c r="AG3837">
        <v>0</v>
      </c>
      <c r="AH3837">
        <v>0</v>
      </c>
      <c r="AI3837">
        <v>0</v>
      </c>
      <c r="AJ3837">
        <v>164.79</v>
      </c>
      <c r="AK3837">
        <v>0</v>
      </c>
      <c r="AL3837" t="s">
        <v>53</v>
      </c>
      <c r="AM3837" t="s">
        <v>53</v>
      </c>
      <c r="AN3837" t="s">
        <v>53</v>
      </c>
      <c r="AO3837" t="s">
        <v>53</v>
      </c>
      <c r="AP3837" t="s">
        <v>53</v>
      </c>
    </row>
    <row r="3838" spans="2:42" x14ac:dyDescent="0.2">
      <c r="B3838" t="s">
        <v>44</v>
      </c>
      <c r="C3838" t="str">
        <f>HYPERLINK("https://us2.cloudbeds.com/connect/8493803454333002#/reservations/64672940224641?display=1CWG2H8K9B&amp;reservation_id=64672940224641", "1CWG2H8K9B")</f>
        <v>1CWG2H8K9B</v>
      </c>
      <c r="D3838" t="s">
        <v>45</v>
      </c>
      <c r="E3838" t="s">
        <v>128</v>
      </c>
      <c r="F3838" t="s">
        <v>86</v>
      </c>
      <c r="G3838" t="s">
        <v>48</v>
      </c>
      <c r="H3838" t="s">
        <v>49</v>
      </c>
      <c r="I3838" t="s">
        <v>50</v>
      </c>
      <c r="J3838" t="s">
        <v>6051</v>
      </c>
      <c r="K3838" t="s">
        <v>6494</v>
      </c>
      <c r="L3838" t="s">
        <v>53</v>
      </c>
      <c r="N3838" t="s">
        <v>6495</v>
      </c>
      <c r="P3838" t="s">
        <v>55</v>
      </c>
      <c r="R3838" t="s">
        <v>53</v>
      </c>
      <c r="T3838" t="s">
        <v>6496</v>
      </c>
      <c r="U3838" t="s">
        <v>58</v>
      </c>
      <c r="V3838">
        <v>1</v>
      </c>
      <c r="W3838">
        <v>1</v>
      </c>
      <c r="X3838">
        <v>2</v>
      </c>
      <c r="Y3838">
        <v>0</v>
      </c>
      <c r="Z3838">
        <v>2</v>
      </c>
      <c r="AA3838">
        <v>0</v>
      </c>
      <c r="AB3838">
        <v>97.37</v>
      </c>
      <c r="AC3838">
        <v>85.68</v>
      </c>
      <c r="AD3838">
        <v>0</v>
      </c>
      <c r="AE3838">
        <v>11.69</v>
      </c>
      <c r="AF3838">
        <v>0</v>
      </c>
      <c r="AG3838">
        <v>0</v>
      </c>
      <c r="AH3838">
        <v>0</v>
      </c>
      <c r="AI3838">
        <v>17.53</v>
      </c>
      <c r="AJ3838">
        <v>97.37</v>
      </c>
      <c r="AK3838">
        <v>0</v>
      </c>
      <c r="AL3838" t="s">
        <v>53</v>
      </c>
      <c r="AM3838" t="s">
        <v>53</v>
      </c>
      <c r="AN3838" t="s">
        <v>53</v>
      </c>
      <c r="AO3838" t="s">
        <v>53</v>
      </c>
      <c r="AP3838" t="s">
        <v>53</v>
      </c>
    </row>
    <row r="3839" spans="2:42" x14ac:dyDescent="0.2">
      <c r="B3839" t="s">
        <v>44</v>
      </c>
      <c r="C3839" t="str">
        <f>HYPERLINK("https://us2.cloudbeds.com/connect/8493803454333002#/reservations/64722129547482?display=1D0Y5E012W&amp;reservation_id=64722129547482", "1D0Y5E012W")</f>
        <v>1D0Y5E012W</v>
      </c>
      <c r="D3839" t="s">
        <v>45</v>
      </c>
      <c r="E3839" t="s">
        <v>128</v>
      </c>
      <c r="F3839" t="s">
        <v>86</v>
      </c>
      <c r="G3839" t="s">
        <v>48</v>
      </c>
      <c r="H3839" t="s">
        <v>49</v>
      </c>
      <c r="I3839" t="s">
        <v>50</v>
      </c>
      <c r="J3839" t="s">
        <v>6497</v>
      </c>
      <c r="K3839" t="s">
        <v>6498</v>
      </c>
      <c r="L3839" t="s">
        <v>53</v>
      </c>
      <c r="N3839" t="s">
        <v>6499</v>
      </c>
      <c r="P3839" t="s">
        <v>55</v>
      </c>
      <c r="R3839" t="s">
        <v>53</v>
      </c>
      <c r="T3839" t="s">
        <v>6500</v>
      </c>
      <c r="U3839" t="s">
        <v>58</v>
      </c>
      <c r="V3839">
        <v>1</v>
      </c>
      <c r="W3839">
        <v>1</v>
      </c>
      <c r="X3839">
        <v>3</v>
      </c>
      <c r="Y3839">
        <v>0</v>
      </c>
      <c r="Z3839">
        <v>3</v>
      </c>
      <c r="AA3839">
        <v>0</v>
      </c>
      <c r="AB3839">
        <v>70.88</v>
      </c>
      <c r="AC3839">
        <v>62.37</v>
      </c>
      <c r="AD3839">
        <v>0</v>
      </c>
      <c r="AE3839">
        <v>8.51</v>
      </c>
      <c r="AF3839">
        <v>0</v>
      </c>
      <c r="AG3839">
        <v>0</v>
      </c>
      <c r="AH3839">
        <v>0</v>
      </c>
      <c r="AI3839">
        <v>12.76</v>
      </c>
      <c r="AJ3839">
        <v>70.88</v>
      </c>
      <c r="AK3839">
        <v>0</v>
      </c>
      <c r="AL3839" t="s">
        <v>53</v>
      </c>
      <c r="AM3839" t="s">
        <v>53</v>
      </c>
      <c r="AN3839" t="s">
        <v>53</v>
      </c>
      <c r="AO3839" t="s">
        <v>53</v>
      </c>
      <c r="AP3839" t="s">
        <v>53</v>
      </c>
    </row>
    <row r="3840" spans="2:42" x14ac:dyDescent="0.2">
      <c r="B3840" t="s">
        <v>44</v>
      </c>
      <c r="C3840" t="str">
        <f>HYPERLINK("https://us2.cloudbeds.com/connect/8493803454333002#/reservations/65186205606041?display=1DBHGY7F6D&amp;reservation_id=65186205606041", "1DBHGY7F6D")</f>
        <v>1DBHGY7F6D</v>
      </c>
      <c r="D3840" t="s">
        <v>45</v>
      </c>
      <c r="E3840" t="s">
        <v>381</v>
      </c>
      <c r="F3840" t="s">
        <v>47</v>
      </c>
      <c r="G3840" t="s">
        <v>48</v>
      </c>
      <c r="H3840" t="s">
        <v>49</v>
      </c>
      <c r="I3840" t="s">
        <v>50</v>
      </c>
      <c r="J3840" t="s">
        <v>6501</v>
      </c>
      <c r="K3840" t="s">
        <v>6146</v>
      </c>
      <c r="L3840" t="s">
        <v>53</v>
      </c>
      <c r="N3840" t="s">
        <v>6502</v>
      </c>
      <c r="P3840" t="s">
        <v>55</v>
      </c>
      <c r="R3840" t="s">
        <v>56</v>
      </c>
      <c r="T3840" t="s">
        <v>6503</v>
      </c>
      <c r="U3840" t="s">
        <v>58</v>
      </c>
      <c r="V3840">
        <v>2</v>
      </c>
      <c r="W3840">
        <v>1</v>
      </c>
      <c r="X3840">
        <v>2</v>
      </c>
      <c r="Y3840">
        <v>0</v>
      </c>
      <c r="Z3840">
        <v>2</v>
      </c>
      <c r="AA3840">
        <v>0</v>
      </c>
      <c r="AB3840">
        <v>156.84</v>
      </c>
      <c r="AC3840">
        <v>138</v>
      </c>
      <c r="AD3840">
        <v>0</v>
      </c>
      <c r="AE3840">
        <v>18.84</v>
      </c>
      <c r="AF3840">
        <v>0</v>
      </c>
      <c r="AG3840">
        <v>0</v>
      </c>
      <c r="AH3840">
        <v>0</v>
      </c>
      <c r="AI3840">
        <v>28.23</v>
      </c>
      <c r="AJ3840">
        <v>156.84</v>
      </c>
      <c r="AK3840">
        <v>0</v>
      </c>
      <c r="AL3840" t="s">
        <v>53</v>
      </c>
      <c r="AM3840" t="s">
        <v>53</v>
      </c>
      <c r="AN3840" t="s">
        <v>53</v>
      </c>
      <c r="AO3840" t="s">
        <v>53</v>
      </c>
      <c r="AP3840" t="s">
        <v>53</v>
      </c>
    </row>
    <row r="3841" spans="2:42" x14ac:dyDescent="0.2">
      <c r="B3841" t="s">
        <v>44</v>
      </c>
      <c r="C3841" t="str">
        <f>HYPERLINK("https://us2.cloudbeds.com/connect/8493803454333002#/reservations/65188592623846?display=1DBJBY0ZZ9&amp;reservation_id=65188592623846", "1DBJBY0ZZ9")</f>
        <v>1DBJBY0ZZ9</v>
      </c>
      <c r="D3841" t="s">
        <v>45</v>
      </c>
      <c r="E3841" t="s">
        <v>373</v>
      </c>
      <c r="F3841" t="s">
        <v>47</v>
      </c>
      <c r="G3841" t="s">
        <v>48</v>
      </c>
      <c r="H3841" t="s">
        <v>49</v>
      </c>
      <c r="I3841" t="s">
        <v>62</v>
      </c>
      <c r="J3841" t="s">
        <v>5805</v>
      </c>
      <c r="K3841" t="s">
        <v>6504</v>
      </c>
      <c r="L3841" t="s">
        <v>53</v>
      </c>
      <c r="N3841" t="s">
        <v>6505</v>
      </c>
      <c r="P3841" t="s">
        <v>55</v>
      </c>
      <c r="R3841" t="s">
        <v>56</v>
      </c>
      <c r="T3841" t="s">
        <v>6506</v>
      </c>
      <c r="U3841" t="s">
        <v>55</v>
      </c>
      <c r="V3841">
        <v>2</v>
      </c>
      <c r="W3841">
        <v>1</v>
      </c>
      <c r="X3841">
        <v>2</v>
      </c>
      <c r="Y3841">
        <v>0</v>
      </c>
      <c r="Z3841">
        <v>2</v>
      </c>
      <c r="AA3841">
        <v>0</v>
      </c>
      <c r="AB3841">
        <v>124.2</v>
      </c>
      <c r="AC3841">
        <v>124.2</v>
      </c>
      <c r="AD3841">
        <v>0</v>
      </c>
      <c r="AE3841">
        <v>0</v>
      </c>
      <c r="AF3841">
        <v>0</v>
      </c>
      <c r="AG3841">
        <v>0</v>
      </c>
      <c r="AH3841">
        <v>0</v>
      </c>
      <c r="AI3841">
        <v>22.36</v>
      </c>
      <c r="AJ3841">
        <v>124.2</v>
      </c>
      <c r="AK3841">
        <v>0</v>
      </c>
      <c r="AL3841" t="s">
        <v>53</v>
      </c>
      <c r="AM3841" t="s">
        <v>53</v>
      </c>
      <c r="AN3841" t="s">
        <v>53</v>
      </c>
      <c r="AO3841" t="s">
        <v>53</v>
      </c>
      <c r="AP3841" t="s">
        <v>53</v>
      </c>
    </row>
    <row r="3842" spans="2:42" x14ac:dyDescent="0.2">
      <c r="B3842" t="s">
        <v>44</v>
      </c>
      <c r="C3842" t="str">
        <f>HYPERLINK("https://us2.cloudbeds.com/connect/8493803454333002#/reservations/65365055918301?display=1DFNWMX1EH&amp;reservation_id=65365055918301", "1DFNWMX1EH")</f>
        <v>1DFNWMX1EH</v>
      </c>
      <c r="D3842" t="s">
        <v>45</v>
      </c>
      <c r="E3842" t="s">
        <v>128</v>
      </c>
      <c r="F3842" t="s">
        <v>86</v>
      </c>
      <c r="G3842" t="s">
        <v>48</v>
      </c>
      <c r="H3842" t="s">
        <v>3957</v>
      </c>
      <c r="I3842" t="s">
        <v>3958</v>
      </c>
      <c r="J3842" t="s">
        <v>6420</v>
      </c>
      <c r="K3842" t="s">
        <v>4637</v>
      </c>
      <c r="L3842" t="s">
        <v>53</v>
      </c>
      <c r="P3842" t="s">
        <v>58</v>
      </c>
      <c r="R3842" t="s">
        <v>56</v>
      </c>
      <c r="T3842" t="s">
        <v>6507</v>
      </c>
      <c r="U3842" t="s">
        <v>58</v>
      </c>
      <c r="V3842">
        <v>1</v>
      </c>
      <c r="W3842">
        <v>1</v>
      </c>
      <c r="X3842">
        <v>1</v>
      </c>
      <c r="Y3842">
        <v>0</v>
      </c>
      <c r="Z3842">
        <v>1</v>
      </c>
      <c r="AA3842">
        <v>0</v>
      </c>
      <c r="AB3842">
        <v>87.51</v>
      </c>
      <c r="AC3842">
        <v>77</v>
      </c>
      <c r="AD3842">
        <v>0</v>
      </c>
      <c r="AE3842">
        <v>10.51</v>
      </c>
      <c r="AF3842">
        <v>0</v>
      </c>
      <c r="AG3842">
        <v>0</v>
      </c>
      <c r="AH3842">
        <v>0</v>
      </c>
      <c r="AI3842">
        <v>0</v>
      </c>
      <c r="AJ3842">
        <v>87.51</v>
      </c>
      <c r="AK3842">
        <v>0</v>
      </c>
      <c r="AL3842" t="s">
        <v>53</v>
      </c>
      <c r="AM3842" t="s">
        <v>53</v>
      </c>
      <c r="AN3842" t="s">
        <v>53</v>
      </c>
      <c r="AO3842" t="s">
        <v>53</v>
      </c>
      <c r="AP3842" t="s">
        <v>53</v>
      </c>
    </row>
    <row r="3843" spans="2:42" x14ac:dyDescent="0.2">
      <c r="B3843" t="s">
        <v>44</v>
      </c>
      <c r="C3843" t="str">
        <f>HYPERLINK("https://us2.cloudbeds.com/connect/8493803454333002#/reservations/65436872503445?display=1DHDJP6CTD&amp;reservation_id=65436872503445", "1DHDJP6CTD")</f>
        <v>1DHDJP6CTD</v>
      </c>
      <c r="D3843" t="s">
        <v>45</v>
      </c>
      <c r="E3843" t="s">
        <v>165</v>
      </c>
      <c r="F3843" t="s">
        <v>61</v>
      </c>
      <c r="G3843" t="s">
        <v>48</v>
      </c>
      <c r="H3843" t="s">
        <v>49</v>
      </c>
      <c r="I3843" t="s">
        <v>50</v>
      </c>
      <c r="J3843" t="s">
        <v>5531</v>
      </c>
      <c r="K3843" t="s">
        <v>6420</v>
      </c>
      <c r="L3843" t="s">
        <v>53</v>
      </c>
      <c r="N3843" t="s">
        <v>6508</v>
      </c>
      <c r="P3843" t="s">
        <v>55</v>
      </c>
      <c r="R3843" t="s">
        <v>53</v>
      </c>
      <c r="T3843" t="s">
        <v>6509</v>
      </c>
      <c r="U3843" t="s">
        <v>58</v>
      </c>
      <c r="V3843">
        <v>2</v>
      </c>
      <c r="W3843">
        <v>1</v>
      </c>
      <c r="X3843">
        <v>1</v>
      </c>
      <c r="Y3843">
        <v>0</v>
      </c>
      <c r="Z3843">
        <v>1</v>
      </c>
      <c r="AA3843">
        <v>0</v>
      </c>
      <c r="AB3843">
        <v>159.68</v>
      </c>
      <c r="AC3843">
        <v>140.5</v>
      </c>
      <c r="AD3843">
        <v>0</v>
      </c>
      <c r="AE3843">
        <v>19.18</v>
      </c>
      <c r="AF3843">
        <v>0</v>
      </c>
      <c r="AG3843">
        <v>0</v>
      </c>
      <c r="AH3843">
        <v>0</v>
      </c>
      <c r="AI3843">
        <v>28.74</v>
      </c>
      <c r="AJ3843">
        <v>159.68</v>
      </c>
      <c r="AK3843">
        <v>0</v>
      </c>
      <c r="AL3843" t="s">
        <v>53</v>
      </c>
      <c r="AM3843" t="s">
        <v>53</v>
      </c>
      <c r="AN3843" t="s">
        <v>53</v>
      </c>
      <c r="AO3843" t="s">
        <v>53</v>
      </c>
      <c r="AP3843" t="s">
        <v>53</v>
      </c>
    </row>
    <row r="3844" spans="2:42" x14ac:dyDescent="0.2">
      <c r="B3844" t="s">
        <v>44</v>
      </c>
      <c r="C3844" t="str">
        <f>HYPERLINK("https://us2.cloudbeds.com/connect/8493803454333002#/reservations/65438649729187?display=1DHEW5QAEU&amp;reservation_id=65438649729187", "1DHEW5QAEU")</f>
        <v>1DHEW5QAEU</v>
      </c>
      <c r="D3844" t="s">
        <v>45</v>
      </c>
      <c r="E3844" t="s">
        <v>165</v>
      </c>
      <c r="F3844" t="s">
        <v>61</v>
      </c>
      <c r="G3844" t="s">
        <v>48</v>
      </c>
      <c r="H3844" t="s">
        <v>49</v>
      </c>
      <c r="I3844" t="s">
        <v>50</v>
      </c>
      <c r="J3844" t="s">
        <v>6305</v>
      </c>
      <c r="K3844" t="s">
        <v>5531</v>
      </c>
      <c r="L3844" t="s">
        <v>53</v>
      </c>
      <c r="N3844" t="s">
        <v>6510</v>
      </c>
      <c r="P3844" t="s">
        <v>55</v>
      </c>
      <c r="R3844" t="s">
        <v>53</v>
      </c>
      <c r="T3844" t="s">
        <v>6511</v>
      </c>
      <c r="U3844" t="s">
        <v>58</v>
      </c>
      <c r="V3844">
        <v>1</v>
      </c>
      <c r="W3844">
        <v>1</v>
      </c>
      <c r="X3844">
        <v>1</v>
      </c>
      <c r="Y3844">
        <v>0</v>
      </c>
      <c r="Z3844">
        <v>1</v>
      </c>
      <c r="AA3844">
        <v>0</v>
      </c>
      <c r="AB3844">
        <v>80.8</v>
      </c>
      <c r="AC3844">
        <v>71.099999999999994</v>
      </c>
      <c r="AD3844">
        <v>0</v>
      </c>
      <c r="AE3844">
        <v>9.6999999999999993</v>
      </c>
      <c r="AF3844">
        <v>0</v>
      </c>
      <c r="AG3844">
        <v>0</v>
      </c>
      <c r="AH3844">
        <v>0</v>
      </c>
      <c r="AI3844">
        <v>14.54</v>
      </c>
      <c r="AJ3844">
        <v>80.8</v>
      </c>
      <c r="AK3844">
        <v>0</v>
      </c>
      <c r="AL3844" t="s">
        <v>53</v>
      </c>
      <c r="AM3844" t="s">
        <v>53</v>
      </c>
      <c r="AN3844" t="s">
        <v>53</v>
      </c>
      <c r="AO3844" t="s">
        <v>53</v>
      </c>
      <c r="AP3844" t="s">
        <v>53</v>
      </c>
    </row>
    <row r="3845" spans="2:42" x14ac:dyDescent="0.2">
      <c r="B3845" t="s">
        <v>44</v>
      </c>
      <c r="C3845" t="str">
        <f>HYPERLINK("https://us2.cloudbeds.com/connect/8493803454333002#/reservations/65437750710464?display=1DHE96NMX4&amp;reservation_id=65437750710464", "1DHE96NMX4")</f>
        <v>1DHE96NMX4</v>
      </c>
      <c r="D3845" t="s">
        <v>45</v>
      </c>
      <c r="E3845" t="s">
        <v>113</v>
      </c>
      <c r="F3845" t="s">
        <v>61</v>
      </c>
      <c r="G3845" t="s">
        <v>48</v>
      </c>
      <c r="H3845" t="s">
        <v>3957</v>
      </c>
      <c r="I3845" t="s">
        <v>3958</v>
      </c>
      <c r="J3845" t="s">
        <v>5532</v>
      </c>
      <c r="K3845" t="s">
        <v>6420</v>
      </c>
      <c r="L3845" t="s">
        <v>53</v>
      </c>
      <c r="P3845" t="s">
        <v>55</v>
      </c>
      <c r="R3845" t="s">
        <v>56</v>
      </c>
      <c r="T3845" t="s">
        <v>6512</v>
      </c>
      <c r="U3845" t="s">
        <v>58</v>
      </c>
      <c r="V3845">
        <v>1</v>
      </c>
      <c r="W3845">
        <v>1</v>
      </c>
      <c r="X3845">
        <v>1</v>
      </c>
      <c r="Y3845">
        <v>0</v>
      </c>
      <c r="Z3845">
        <v>1</v>
      </c>
      <c r="AA3845">
        <v>0</v>
      </c>
      <c r="AB3845">
        <v>82.97</v>
      </c>
      <c r="AC3845">
        <v>73</v>
      </c>
      <c r="AD3845">
        <v>0</v>
      </c>
      <c r="AE3845">
        <v>9.9700000000000006</v>
      </c>
      <c r="AF3845">
        <v>0</v>
      </c>
      <c r="AG3845">
        <v>0</v>
      </c>
      <c r="AH3845">
        <v>0</v>
      </c>
      <c r="AI3845">
        <v>0</v>
      </c>
      <c r="AJ3845">
        <v>82.97</v>
      </c>
      <c r="AK3845">
        <v>0</v>
      </c>
      <c r="AL3845" t="s">
        <v>53</v>
      </c>
      <c r="AM3845" t="s">
        <v>53</v>
      </c>
      <c r="AN3845" t="s">
        <v>53</v>
      </c>
      <c r="AO3845" t="s">
        <v>53</v>
      </c>
      <c r="AP3845" t="s">
        <v>53</v>
      </c>
    </row>
    <row r="3846" spans="2:42" x14ac:dyDescent="0.2">
      <c r="B3846" t="s">
        <v>44</v>
      </c>
      <c r="C3846" t="str">
        <f>HYPERLINK("https://us2.cloudbeds.com/connect/8493803454333002#/reservations/65713246683378?display=1DNTJP7BKT&amp;reservation_id=65713246683378", "1DNTJP7BKT")</f>
        <v>1DNTJP7BKT</v>
      </c>
      <c r="D3846" t="s">
        <v>45</v>
      </c>
      <c r="E3846" t="s">
        <v>305</v>
      </c>
      <c r="F3846" t="s">
        <v>61</v>
      </c>
      <c r="G3846" t="s">
        <v>48</v>
      </c>
      <c r="H3846" t="s">
        <v>3957</v>
      </c>
      <c r="I3846" t="s">
        <v>3958</v>
      </c>
      <c r="J3846" t="s">
        <v>5531</v>
      </c>
      <c r="K3846" t="s">
        <v>5532</v>
      </c>
      <c r="L3846" t="s">
        <v>53</v>
      </c>
      <c r="P3846" t="s">
        <v>58</v>
      </c>
      <c r="R3846" t="s">
        <v>56</v>
      </c>
      <c r="T3846" t="s">
        <v>6513</v>
      </c>
      <c r="U3846" t="s">
        <v>58</v>
      </c>
      <c r="V3846">
        <v>1</v>
      </c>
      <c r="W3846">
        <v>1</v>
      </c>
      <c r="X3846">
        <v>1</v>
      </c>
      <c r="Y3846">
        <v>0</v>
      </c>
      <c r="Z3846">
        <v>1</v>
      </c>
      <c r="AA3846">
        <v>0</v>
      </c>
      <c r="AB3846">
        <v>86.37</v>
      </c>
      <c r="AC3846">
        <v>76</v>
      </c>
      <c r="AD3846">
        <v>0</v>
      </c>
      <c r="AE3846">
        <v>10.37</v>
      </c>
      <c r="AF3846">
        <v>0</v>
      </c>
      <c r="AG3846">
        <v>0</v>
      </c>
      <c r="AH3846">
        <v>0</v>
      </c>
      <c r="AI3846">
        <v>0</v>
      </c>
      <c r="AJ3846">
        <v>86.37</v>
      </c>
      <c r="AK3846">
        <v>0</v>
      </c>
      <c r="AL3846" t="s">
        <v>53</v>
      </c>
      <c r="AM3846" t="s">
        <v>53</v>
      </c>
      <c r="AN3846" t="s">
        <v>53</v>
      </c>
      <c r="AO3846" t="s">
        <v>53</v>
      </c>
      <c r="AP3846" t="s">
        <v>53</v>
      </c>
    </row>
    <row r="3847" spans="2:42" x14ac:dyDescent="0.2">
      <c r="B3847" t="s">
        <v>44</v>
      </c>
      <c r="C3847" t="str">
        <f>HYPERLINK("https://us2.cloudbeds.com/connect/8493803454333002#/reservations/65780814635191?display=1DPFU9A726&amp;reservation_id=65780814635191", "1DPFU9A726")</f>
        <v>1DPFU9A726</v>
      </c>
      <c r="D3847" t="s">
        <v>45</v>
      </c>
      <c r="E3847" t="s">
        <v>155</v>
      </c>
      <c r="F3847" t="s">
        <v>86</v>
      </c>
      <c r="G3847" t="s">
        <v>48</v>
      </c>
      <c r="H3847" t="s">
        <v>3957</v>
      </c>
      <c r="I3847" t="s">
        <v>3989</v>
      </c>
      <c r="J3847" t="s">
        <v>5531</v>
      </c>
      <c r="K3847" t="s">
        <v>5532</v>
      </c>
      <c r="L3847" t="s">
        <v>53</v>
      </c>
      <c r="P3847" t="s">
        <v>55</v>
      </c>
      <c r="R3847" t="s">
        <v>56</v>
      </c>
      <c r="T3847" t="s">
        <v>6514</v>
      </c>
      <c r="U3847" t="s">
        <v>58</v>
      </c>
      <c r="V3847">
        <v>1</v>
      </c>
      <c r="W3847">
        <v>1</v>
      </c>
      <c r="X3847">
        <v>1</v>
      </c>
      <c r="Y3847">
        <v>0</v>
      </c>
      <c r="Z3847">
        <v>1</v>
      </c>
      <c r="AA3847">
        <v>0</v>
      </c>
      <c r="AB3847">
        <v>87.51</v>
      </c>
      <c r="AC3847">
        <v>77</v>
      </c>
      <c r="AD3847">
        <v>0</v>
      </c>
      <c r="AE3847">
        <v>10.51</v>
      </c>
      <c r="AF3847">
        <v>0</v>
      </c>
      <c r="AG3847">
        <v>0</v>
      </c>
      <c r="AH3847">
        <v>0</v>
      </c>
      <c r="AI3847">
        <v>0</v>
      </c>
      <c r="AJ3847">
        <v>87.51</v>
      </c>
      <c r="AK3847">
        <v>0</v>
      </c>
      <c r="AL3847" t="s">
        <v>53</v>
      </c>
      <c r="AM3847" t="s">
        <v>53</v>
      </c>
      <c r="AN3847" t="s">
        <v>53</v>
      </c>
      <c r="AO3847" t="s">
        <v>53</v>
      </c>
      <c r="AP3847" t="s">
        <v>53</v>
      </c>
    </row>
    <row r="3848" spans="2:42" x14ac:dyDescent="0.2">
      <c r="B3848" t="s">
        <v>44</v>
      </c>
      <c r="C3848" t="str">
        <f>HYPERLINK("https://us2.cloudbeds.com/connect/8493803454333002#/reservations/65877412569283?display=1DRZNJ8456&amp;reservation_id=65877412569283", "1DRZNJ8456")</f>
        <v>1DRZNJ8456</v>
      </c>
      <c r="D3848" t="s">
        <v>45</v>
      </c>
      <c r="E3848" t="s">
        <v>113</v>
      </c>
      <c r="F3848" t="s">
        <v>61</v>
      </c>
      <c r="G3848" t="s">
        <v>48</v>
      </c>
      <c r="H3848" t="s">
        <v>49</v>
      </c>
      <c r="I3848" t="s">
        <v>62</v>
      </c>
      <c r="J3848" t="s">
        <v>5531</v>
      </c>
      <c r="K3848" t="s">
        <v>5532</v>
      </c>
      <c r="L3848" t="s">
        <v>53</v>
      </c>
      <c r="N3848" t="s">
        <v>6515</v>
      </c>
      <c r="P3848" t="s">
        <v>55</v>
      </c>
      <c r="R3848" t="s">
        <v>56</v>
      </c>
      <c r="T3848" t="s">
        <v>6516</v>
      </c>
      <c r="U3848" t="s">
        <v>55</v>
      </c>
      <c r="V3848">
        <v>1</v>
      </c>
      <c r="W3848">
        <v>1</v>
      </c>
      <c r="X3848">
        <v>2</v>
      </c>
      <c r="Y3848">
        <v>0</v>
      </c>
      <c r="Z3848">
        <v>2</v>
      </c>
      <c r="AA3848">
        <v>0</v>
      </c>
      <c r="AB3848">
        <v>76</v>
      </c>
      <c r="AC3848">
        <v>76</v>
      </c>
      <c r="AD3848">
        <v>0</v>
      </c>
      <c r="AE3848">
        <v>0</v>
      </c>
      <c r="AF3848">
        <v>0</v>
      </c>
      <c r="AG3848">
        <v>0</v>
      </c>
      <c r="AH3848">
        <v>0</v>
      </c>
      <c r="AI3848">
        <v>13.68</v>
      </c>
      <c r="AJ3848">
        <v>76</v>
      </c>
      <c r="AK3848">
        <v>0</v>
      </c>
      <c r="AL3848" t="s">
        <v>53</v>
      </c>
      <c r="AM3848" t="s">
        <v>53</v>
      </c>
      <c r="AN3848" t="s">
        <v>53</v>
      </c>
      <c r="AO3848" t="s">
        <v>53</v>
      </c>
      <c r="AP3848" t="s">
        <v>53</v>
      </c>
    </row>
    <row r="3849" spans="2:42" x14ac:dyDescent="0.2">
      <c r="B3849" t="s">
        <v>44</v>
      </c>
      <c r="C3849" t="str">
        <f>HYPERLINK("https://us2.cloudbeds.com/connect/8493803454333002#/reservations/66157185413347?display=1E1ABE3UJR&amp;reservation_id=66157185413347", "1E1ABE3UJR")</f>
        <v>1E1ABE3UJR</v>
      </c>
      <c r="D3849" t="s">
        <v>45</v>
      </c>
      <c r="E3849" t="s">
        <v>155</v>
      </c>
      <c r="F3849" t="s">
        <v>86</v>
      </c>
      <c r="G3849" t="s">
        <v>48</v>
      </c>
      <c r="H3849" t="s">
        <v>49</v>
      </c>
      <c r="I3849" t="s">
        <v>50</v>
      </c>
      <c r="J3849" t="s">
        <v>5677</v>
      </c>
      <c r="K3849" t="s">
        <v>6403</v>
      </c>
      <c r="L3849" t="s">
        <v>53</v>
      </c>
      <c r="N3849" t="s">
        <v>6517</v>
      </c>
      <c r="P3849" t="s">
        <v>55</v>
      </c>
      <c r="R3849" t="s">
        <v>53</v>
      </c>
      <c r="T3849" t="s">
        <v>6518</v>
      </c>
      <c r="U3849" t="s">
        <v>58</v>
      </c>
      <c r="V3849">
        <v>4</v>
      </c>
      <c r="W3849">
        <v>1</v>
      </c>
      <c r="X3849">
        <v>2</v>
      </c>
      <c r="Y3849">
        <v>2</v>
      </c>
      <c r="Z3849">
        <v>4</v>
      </c>
      <c r="AA3849">
        <v>0</v>
      </c>
      <c r="AB3849">
        <v>362.55</v>
      </c>
      <c r="AC3849">
        <v>319</v>
      </c>
      <c r="AD3849">
        <v>0</v>
      </c>
      <c r="AE3849">
        <v>43.55</v>
      </c>
      <c r="AF3849">
        <v>0</v>
      </c>
      <c r="AG3849">
        <v>0</v>
      </c>
      <c r="AH3849">
        <v>0</v>
      </c>
      <c r="AI3849">
        <v>65.260000000000005</v>
      </c>
      <c r="AJ3849">
        <v>362.55</v>
      </c>
      <c r="AK3849">
        <v>0</v>
      </c>
      <c r="AL3849" t="s">
        <v>53</v>
      </c>
      <c r="AM3849" t="s">
        <v>53</v>
      </c>
      <c r="AN3849" t="s">
        <v>53</v>
      </c>
      <c r="AO3849" t="s">
        <v>53</v>
      </c>
      <c r="AP3849" t="s">
        <v>53</v>
      </c>
    </row>
    <row r="3850" spans="2:42" x14ac:dyDescent="0.2">
      <c r="B3850" t="s">
        <v>44</v>
      </c>
      <c r="C3850" t="str">
        <f>HYPERLINK("https://us2.cloudbeds.com/connect/8493803454333002#/reservations/66262976704652?display=1E3Q8Y4XB1&amp;reservation_id=66262976704652", "1E3Q8Y4XB1")</f>
        <v>1E3Q8Y4XB1</v>
      </c>
      <c r="D3850" t="s">
        <v>45</v>
      </c>
      <c r="E3850" t="s">
        <v>165</v>
      </c>
      <c r="F3850" t="s">
        <v>61</v>
      </c>
      <c r="G3850" t="s">
        <v>3974</v>
      </c>
      <c r="H3850" t="s">
        <v>3957</v>
      </c>
      <c r="I3850" t="s">
        <v>3975</v>
      </c>
      <c r="J3850" t="s">
        <v>6519</v>
      </c>
      <c r="K3850" t="s">
        <v>6520</v>
      </c>
      <c r="L3850" t="s">
        <v>53</v>
      </c>
      <c r="P3850" t="s">
        <v>55</v>
      </c>
      <c r="R3850" t="s">
        <v>56</v>
      </c>
      <c r="T3850" t="s">
        <v>6521</v>
      </c>
      <c r="U3850" t="s">
        <v>58</v>
      </c>
      <c r="V3850">
        <v>2</v>
      </c>
      <c r="W3850">
        <v>1</v>
      </c>
      <c r="X3850">
        <v>2</v>
      </c>
      <c r="Y3850">
        <v>0</v>
      </c>
      <c r="Z3850">
        <v>2</v>
      </c>
      <c r="AA3850">
        <v>0</v>
      </c>
      <c r="AB3850">
        <v>183.1</v>
      </c>
      <c r="AC3850">
        <v>161.1</v>
      </c>
      <c r="AD3850">
        <v>0</v>
      </c>
      <c r="AE3850">
        <v>22</v>
      </c>
      <c r="AF3850">
        <v>0</v>
      </c>
      <c r="AG3850">
        <v>0</v>
      </c>
      <c r="AH3850">
        <v>0</v>
      </c>
      <c r="AI3850">
        <v>0</v>
      </c>
      <c r="AJ3850">
        <v>183.1</v>
      </c>
      <c r="AK3850">
        <v>0</v>
      </c>
      <c r="AL3850" t="s">
        <v>53</v>
      </c>
      <c r="AM3850" t="s">
        <v>53</v>
      </c>
      <c r="AN3850" t="s">
        <v>53</v>
      </c>
      <c r="AO3850" t="s">
        <v>53</v>
      </c>
      <c r="AP3850" t="s">
        <v>53</v>
      </c>
    </row>
    <row r="3851" spans="2:42" x14ac:dyDescent="0.2">
      <c r="B3851" t="s">
        <v>44</v>
      </c>
      <c r="C3851" t="str">
        <f>HYPERLINK("https://us2.cloudbeds.com/connect/8493803454333002#/reservations/66434435481802?display=1E7R0QNPMZ&amp;reservation_id=66434435481802", "1E7R0QNPMZ")</f>
        <v>1E7R0QNPMZ</v>
      </c>
      <c r="D3851" t="s">
        <v>45</v>
      </c>
      <c r="E3851" t="s">
        <v>2468</v>
      </c>
      <c r="F3851" t="s">
        <v>86</v>
      </c>
      <c r="G3851" t="s">
        <v>48</v>
      </c>
      <c r="H3851" t="s">
        <v>3957</v>
      </c>
      <c r="I3851" t="s">
        <v>3975</v>
      </c>
      <c r="J3851" t="s">
        <v>4637</v>
      </c>
      <c r="K3851" t="s">
        <v>5957</v>
      </c>
      <c r="L3851" t="s">
        <v>53</v>
      </c>
      <c r="P3851" t="s">
        <v>55</v>
      </c>
      <c r="R3851" t="s">
        <v>56</v>
      </c>
      <c r="T3851" t="s">
        <v>6522</v>
      </c>
      <c r="U3851" t="s">
        <v>58</v>
      </c>
      <c r="V3851">
        <v>6</v>
      </c>
      <c r="W3851">
        <v>2</v>
      </c>
      <c r="X3851">
        <v>5</v>
      </c>
      <c r="Y3851">
        <v>0</v>
      </c>
      <c r="Z3851">
        <v>5</v>
      </c>
      <c r="AA3851">
        <v>0</v>
      </c>
      <c r="AB3851">
        <v>525.05999999999995</v>
      </c>
      <c r="AC3851">
        <v>462</v>
      </c>
      <c r="AD3851">
        <v>0</v>
      </c>
      <c r="AE3851">
        <v>63.06</v>
      </c>
      <c r="AF3851">
        <v>0</v>
      </c>
      <c r="AG3851">
        <v>0</v>
      </c>
      <c r="AH3851">
        <v>0</v>
      </c>
      <c r="AI3851">
        <v>0</v>
      </c>
      <c r="AJ3851">
        <v>525.05999999999995</v>
      </c>
      <c r="AK3851">
        <v>0</v>
      </c>
      <c r="AL3851" t="s">
        <v>53</v>
      </c>
      <c r="AM3851" t="s">
        <v>53</v>
      </c>
      <c r="AN3851" t="s">
        <v>53</v>
      </c>
      <c r="AO3851" t="s">
        <v>53</v>
      </c>
      <c r="AP3851" t="s">
        <v>53</v>
      </c>
    </row>
    <row r="3852" spans="2:42" x14ac:dyDescent="0.2">
      <c r="B3852" t="s">
        <v>44</v>
      </c>
      <c r="C3852" t="str">
        <f>HYPERLINK("https://us2.cloudbeds.com/connect/8493803454333002#/reservations/66532822569116?display=1EA46RAH11&amp;reservation_id=66532822569116", "1EA46RAH11")</f>
        <v>1EA46RAH11</v>
      </c>
      <c r="D3852" t="s">
        <v>45</v>
      </c>
      <c r="E3852" t="s">
        <v>121</v>
      </c>
      <c r="F3852" t="s">
        <v>86</v>
      </c>
      <c r="G3852" t="s">
        <v>48</v>
      </c>
      <c r="H3852" t="s">
        <v>49</v>
      </c>
      <c r="I3852" t="s">
        <v>50</v>
      </c>
      <c r="J3852" t="s">
        <v>6412</v>
      </c>
      <c r="K3852" t="s">
        <v>5678</v>
      </c>
      <c r="L3852" t="s">
        <v>53</v>
      </c>
      <c r="N3852" t="s">
        <v>6523</v>
      </c>
      <c r="P3852" t="s">
        <v>55</v>
      </c>
      <c r="R3852" t="s">
        <v>53</v>
      </c>
      <c r="T3852" t="s">
        <v>6524</v>
      </c>
      <c r="U3852" t="s">
        <v>58</v>
      </c>
      <c r="V3852">
        <v>1</v>
      </c>
      <c r="W3852">
        <v>1</v>
      </c>
      <c r="X3852">
        <v>2</v>
      </c>
      <c r="Y3852">
        <v>0</v>
      </c>
      <c r="Z3852">
        <v>2</v>
      </c>
      <c r="AA3852">
        <v>0</v>
      </c>
      <c r="AB3852">
        <v>68.680000000000007</v>
      </c>
      <c r="AC3852">
        <v>60.43</v>
      </c>
      <c r="AD3852">
        <v>0</v>
      </c>
      <c r="AE3852">
        <v>8.25</v>
      </c>
      <c r="AF3852">
        <v>0</v>
      </c>
      <c r="AG3852">
        <v>0</v>
      </c>
      <c r="AH3852">
        <v>0</v>
      </c>
      <c r="AI3852">
        <v>12.36</v>
      </c>
      <c r="AJ3852">
        <v>68.680000000000007</v>
      </c>
      <c r="AK3852">
        <v>0</v>
      </c>
      <c r="AL3852" t="s">
        <v>53</v>
      </c>
      <c r="AM3852" t="s">
        <v>53</v>
      </c>
      <c r="AN3852" t="s">
        <v>53</v>
      </c>
      <c r="AO3852" t="s">
        <v>53</v>
      </c>
      <c r="AP3852" t="s">
        <v>53</v>
      </c>
    </row>
    <row r="3853" spans="2:42" x14ac:dyDescent="0.2">
      <c r="B3853" t="s">
        <v>44</v>
      </c>
      <c r="C3853" t="str">
        <f>HYPERLINK("https://us2.cloudbeds.com/connect/8493803454333002#/reservations/66608803578050?display=1EBU1AH337&amp;reservation_id=66608803578050", "1EBU1AH337")</f>
        <v>1EBU1AH337</v>
      </c>
      <c r="D3853" t="s">
        <v>45</v>
      </c>
      <c r="E3853" t="s">
        <v>128</v>
      </c>
      <c r="F3853" t="s">
        <v>86</v>
      </c>
      <c r="G3853" t="s">
        <v>48</v>
      </c>
      <c r="H3853" t="s">
        <v>49</v>
      </c>
      <c r="I3853" t="s">
        <v>50</v>
      </c>
      <c r="J3853" t="s">
        <v>5921</v>
      </c>
      <c r="K3853" t="s">
        <v>5666</v>
      </c>
      <c r="L3853" t="s">
        <v>53</v>
      </c>
      <c r="N3853" t="s">
        <v>6525</v>
      </c>
      <c r="P3853" t="s">
        <v>55</v>
      </c>
      <c r="R3853" t="s">
        <v>53</v>
      </c>
      <c r="T3853" t="s">
        <v>6526</v>
      </c>
      <c r="U3853" t="s">
        <v>58</v>
      </c>
      <c r="V3853">
        <v>2</v>
      </c>
      <c r="W3853">
        <v>1</v>
      </c>
      <c r="X3853">
        <v>2</v>
      </c>
      <c r="Y3853">
        <v>0</v>
      </c>
      <c r="Z3853">
        <v>2</v>
      </c>
      <c r="AA3853">
        <v>0</v>
      </c>
      <c r="AB3853">
        <v>157.54</v>
      </c>
      <c r="AC3853">
        <v>138.6</v>
      </c>
      <c r="AD3853">
        <v>0</v>
      </c>
      <c r="AE3853">
        <v>18.940000000000001</v>
      </c>
      <c r="AF3853">
        <v>0</v>
      </c>
      <c r="AG3853">
        <v>0</v>
      </c>
      <c r="AH3853">
        <v>0</v>
      </c>
      <c r="AI3853">
        <v>28.36</v>
      </c>
      <c r="AJ3853">
        <v>157.54</v>
      </c>
      <c r="AK3853">
        <v>0</v>
      </c>
      <c r="AL3853" t="s">
        <v>53</v>
      </c>
      <c r="AM3853" t="s">
        <v>53</v>
      </c>
      <c r="AN3853" t="s">
        <v>53</v>
      </c>
      <c r="AO3853" t="s">
        <v>53</v>
      </c>
      <c r="AP3853" t="s">
        <v>53</v>
      </c>
    </row>
    <row r="3854" spans="2:42" x14ac:dyDescent="0.2">
      <c r="B3854" t="s">
        <v>44</v>
      </c>
      <c r="C3854" t="str">
        <f>HYPERLINK("https://us2.cloudbeds.com/connect/8493803454333002#/reservations/66686218485970?display=1EDNWER0QR&amp;reservation_id=66686218485970", "1EDNWER0QR")</f>
        <v>1EDNWER0QR</v>
      </c>
      <c r="D3854" t="s">
        <v>45</v>
      </c>
      <c r="E3854" t="s">
        <v>265</v>
      </c>
      <c r="F3854" t="s">
        <v>61</v>
      </c>
      <c r="G3854" t="s">
        <v>48</v>
      </c>
      <c r="H3854" t="s">
        <v>49</v>
      </c>
      <c r="I3854" t="s">
        <v>50</v>
      </c>
      <c r="J3854" t="s">
        <v>5666</v>
      </c>
      <c r="K3854" t="s">
        <v>5667</v>
      </c>
      <c r="L3854" t="s">
        <v>53</v>
      </c>
      <c r="N3854" t="s">
        <v>6527</v>
      </c>
      <c r="P3854" t="s">
        <v>55</v>
      </c>
      <c r="R3854" t="s">
        <v>53</v>
      </c>
      <c r="T3854" t="s">
        <v>6528</v>
      </c>
      <c r="U3854" t="s">
        <v>58</v>
      </c>
      <c r="V3854">
        <v>1</v>
      </c>
      <c r="W3854">
        <v>1</v>
      </c>
      <c r="X3854">
        <v>2</v>
      </c>
      <c r="Y3854">
        <v>0</v>
      </c>
      <c r="Z3854">
        <v>2</v>
      </c>
      <c r="AA3854">
        <v>0</v>
      </c>
      <c r="AB3854">
        <v>78.77</v>
      </c>
      <c r="AC3854">
        <v>69.3</v>
      </c>
      <c r="AD3854">
        <v>0</v>
      </c>
      <c r="AE3854">
        <v>9.4700000000000006</v>
      </c>
      <c r="AF3854">
        <v>0</v>
      </c>
      <c r="AG3854">
        <v>0</v>
      </c>
      <c r="AH3854">
        <v>0</v>
      </c>
      <c r="AI3854">
        <v>14.18</v>
      </c>
      <c r="AJ3854">
        <v>78.77</v>
      </c>
      <c r="AK3854">
        <v>0</v>
      </c>
      <c r="AL3854" t="s">
        <v>53</v>
      </c>
      <c r="AM3854" t="s">
        <v>53</v>
      </c>
      <c r="AN3854" t="s">
        <v>53</v>
      </c>
      <c r="AO3854" t="s">
        <v>53</v>
      </c>
      <c r="AP3854" t="s">
        <v>53</v>
      </c>
    </row>
    <row r="3855" spans="2:42" x14ac:dyDescent="0.2">
      <c r="B3855" t="s">
        <v>44</v>
      </c>
      <c r="C3855" t="str">
        <f>HYPERLINK("https://us2.cloudbeds.com/connect/8493803454333002#/reservations/66802736775390?display=1EGF6P466W&amp;reservation_id=66802736775390", "1EGF6P466W")</f>
        <v>1EGF6P466W</v>
      </c>
      <c r="D3855" t="s">
        <v>45</v>
      </c>
      <c r="E3855" t="s">
        <v>128</v>
      </c>
      <c r="F3855" t="s">
        <v>86</v>
      </c>
      <c r="G3855" t="s">
        <v>48</v>
      </c>
      <c r="H3855" t="s">
        <v>3957</v>
      </c>
      <c r="I3855" t="s">
        <v>3989</v>
      </c>
      <c r="J3855" t="s">
        <v>6529</v>
      </c>
      <c r="K3855" t="s">
        <v>6530</v>
      </c>
      <c r="L3855" t="s">
        <v>53</v>
      </c>
      <c r="P3855" t="s">
        <v>55</v>
      </c>
      <c r="R3855" t="s">
        <v>56</v>
      </c>
      <c r="T3855" t="s">
        <v>6531</v>
      </c>
      <c r="U3855" t="s">
        <v>58</v>
      </c>
      <c r="V3855">
        <v>1</v>
      </c>
      <c r="W3855">
        <v>1</v>
      </c>
      <c r="X3855">
        <v>1</v>
      </c>
      <c r="Y3855">
        <v>0</v>
      </c>
      <c r="Z3855">
        <v>1</v>
      </c>
      <c r="AA3855">
        <v>0</v>
      </c>
      <c r="AB3855">
        <v>127.29</v>
      </c>
      <c r="AC3855">
        <v>112</v>
      </c>
      <c r="AD3855">
        <v>0</v>
      </c>
      <c r="AE3855">
        <v>15.29</v>
      </c>
      <c r="AF3855">
        <v>0</v>
      </c>
      <c r="AG3855">
        <v>0</v>
      </c>
      <c r="AH3855">
        <v>0</v>
      </c>
      <c r="AI3855">
        <v>0</v>
      </c>
      <c r="AJ3855">
        <v>127.29</v>
      </c>
      <c r="AK3855">
        <v>0</v>
      </c>
      <c r="AL3855" t="s">
        <v>53</v>
      </c>
      <c r="AM3855" t="s">
        <v>53</v>
      </c>
      <c r="AN3855" t="s">
        <v>53</v>
      </c>
      <c r="AO3855" t="s">
        <v>53</v>
      </c>
      <c r="AP3855" t="s">
        <v>53</v>
      </c>
    </row>
    <row r="3856" spans="2:42" x14ac:dyDescent="0.2">
      <c r="B3856" t="s">
        <v>44</v>
      </c>
      <c r="C3856" t="str">
        <f>HYPERLINK("https://us2.cloudbeds.com/connect/8493803454333002#/reservations/66943000793257?display=1EJZQRF87R&amp;reservation_id=66943000793257", "1EJZQRF87R")</f>
        <v>1EJZQRF87R</v>
      </c>
      <c r="D3856" t="s">
        <v>45</v>
      </c>
      <c r="E3856" t="s">
        <v>165</v>
      </c>
      <c r="F3856" t="s">
        <v>61</v>
      </c>
      <c r="G3856" t="s">
        <v>48</v>
      </c>
      <c r="H3856" t="s">
        <v>49</v>
      </c>
      <c r="I3856" t="s">
        <v>62</v>
      </c>
      <c r="J3856" t="s">
        <v>4638</v>
      </c>
      <c r="K3856" t="s">
        <v>5921</v>
      </c>
      <c r="L3856" t="s">
        <v>53</v>
      </c>
      <c r="N3856" t="s">
        <v>6532</v>
      </c>
      <c r="P3856" t="s">
        <v>55</v>
      </c>
      <c r="R3856" t="s">
        <v>56</v>
      </c>
      <c r="T3856" t="s">
        <v>6533</v>
      </c>
      <c r="U3856" t="s">
        <v>55</v>
      </c>
      <c r="V3856">
        <v>1</v>
      </c>
      <c r="W3856">
        <v>1</v>
      </c>
      <c r="X3856">
        <v>2</v>
      </c>
      <c r="Y3856">
        <v>0</v>
      </c>
      <c r="Z3856">
        <v>2</v>
      </c>
      <c r="AA3856">
        <v>0</v>
      </c>
      <c r="AB3856">
        <v>73</v>
      </c>
      <c r="AC3856">
        <v>73</v>
      </c>
      <c r="AD3856">
        <v>0</v>
      </c>
      <c r="AE3856">
        <v>0</v>
      </c>
      <c r="AF3856">
        <v>0</v>
      </c>
      <c r="AG3856">
        <v>0</v>
      </c>
      <c r="AH3856">
        <v>0</v>
      </c>
      <c r="AI3856">
        <v>13.14</v>
      </c>
      <c r="AJ3856">
        <v>73</v>
      </c>
      <c r="AK3856">
        <v>0</v>
      </c>
      <c r="AL3856" t="s">
        <v>53</v>
      </c>
      <c r="AM3856" t="s">
        <v>53</v>
      </c>
      <c r="AN3856" t="s">
        <v>53</v>
      </c>
      <c r="AO3856" t="s">
        <v>53</v>
      </c>
      <c r="AP3856" t="s">
        <v>53</v>
      </c>
    </row>
    <row r="3857" spans="2:42" x14ac:dyDescent="0.2">
      <c r="B3857" t="s">
        <v>44</v>
      </c>
      <c r="C3857" t="str">
        <f>HYPERLINK("https://us2.cloudbeds.com/connect/8493803454333002#/reservations/66943918899415?display=1EJPH9KTUX&amp;reservation_id=66943918899415", "1EJPH9KTUX")</f>
        <v>1EJPH9KTUX</v>
      </c>
      <c r="D3857" t="s">
        <v>45</v>
      </c>
      <c r="E3857" t="s">
        <v>265</v>
      </c>
      <c r="F3857" t="s">
        <v>61</v>
      </c>
      <c r="G3857" t="s">
        <v>5320</v>
      </c>
      <c r="H3857" t="s">
        <v>3957</v>
      </c>
      <c r="I3857" t="s">
        <v>3975</v>
      </c>
      <c r="J3857" t="s">
        <v>5677</v>
      </c>
      <c r="K3857" t="s">
        <v>5678</v>
      </c>
      <c r="L3857" t="s">
        <v>53</v>
      </c>
      <c r="P3857" t="s">
        <v>55</v>
      </c>
      <c r="R3857" t="s">
        <v>56</v>
      </c>
      <c r="T3857" t="s">
        <v>6534</v>
      </c>
      <c r="U3857" t="s">
        <v>58</v>
      </c>
      <c r="V3857">
        <v>3</v>
      </c>
      <c r="W3857">
        <v>1</v>
      </c>
      <c r="X3857">
        <v>2</v>
      </c>
      <c r="Y3857">
        <v>0</v>
      </c>
      <c r="Z3857">
        <v>2</v>
      </c>
      <c r="AA3857">
        <v>0</v>
      </c>
      <c r="AB3857">
        <v>207.99</v>
      </c>
      <c r="AC3857">
        <v>183</v>
      </c>
      <c r="AD3857">
        <v>0</v>
      </c>
      <c r="AE3857">
        <v>24.99</v>
      </c>
      <c r="AF3857">
        <v>0</v>
      </c>
      <c r="AG3857">
        <v>0</v>
      </c>
      <c r="AH3857">
        <v>0</v>
      </c>
      <c r="AI3857">
        <v>0</v>
      </c>
      <c r="AJ3857">
        <v>207.99</v>
      </c>
      <c r="AK3857">
        <v>0</v>
      </c>
      <c r="AL3857" t="s">
        <v>53</v>
      </c>
      <c r="AM3857" t="s">
        <v>53</v>
      </c>
      <c r="AN3857" t="s">
        <v>53</v>
      </c>
      <c r="AO3857" t="s">
        <v>53</v>
      </c>
      <c r="AP3857" t="s">
        <v>53</v>
      </c>
    </row>
    <row r="3858" spans="2:42" x14ac:dyDescent="0.2">
      <c r="B3858" t="s">
        <v>44</v>
      </c>
      <c r="C3858" t="str">
        <f>HYPERLINK("https://us2.cloudbeds.com/connect/8493803454333002#/reservations/66952453136614?display=1EJW4BUY10&amp;reservation_id=66952453136614", "1EJW4BUY10")</f>
        <v>1EJW4BUY10</v>
      </c>
      <c r="D3858" t="s">
        <v>45</v>
      </c>
      <c r="E3858" t="s">
        <v>85</v>
      </c>
      <c r="F3858" t="s">
        <v>86</v>
      </c>
      <c r="G3858" t="s">
        <v>48</v>
      </c>
      <c r="H3858" t="s">
        <v>3957</v>
      </c>
      <c r="I3858" t="s">
        <v>3958</v>
      </c>
      <c r="J3858" t="s">
        <v>5957</v>
      </c>
      <c r="K3858" t="s">
        <v>5666</v>
      </c>
      <c r="L3858" t="s">
        <v>53</v>
      </c>
      <c r="P3858" t="s">
        <v>55</v>
      </c>
      <c r="R3858" t="s">
        <v>56</v>
      </c>
      <c r="T3858" t="s">
        <v>6535</v>
      </c>
      <c r="U3858" t="s">
        <v>58</v>
      </c>
      <c r="V3858">
        <v>1</v>
      </c>
      <c r="W3858">
        <v>1</v>
      </c>
      <c r="X3858">
        <v>1</v>
      </c>
      <c r="Y3858">
        <v>0</v>
      </c>
      <c r="Z3858">
        <v>1</v>
      </c>
      <c r="AA3858">
        <v>0</v>
      </c>
      <c r="AB3858">
        <v>87.51</v>
      </c>
      <c r="AC3858">
        <v>77</v>
      </c>
      <c r="AD3858">
        <v>0</v>
      </c>
      <c r="AE3858">
        <v>10.51</v>
      </c>
      <c r="AF3858">
        <v>0</v>
      </c>
      <c r="AG3858">
        <v>0</v>
      </c>
      <c r="AH3858">
        <v>0</v>
      </c>
      <c r="AI3858">
        <v>0</v>
      </c>
      <c r="AJ3858">
        <v>87.51</v>
      </c>
      <c r="AK3858">
        <v>0</v>
      </c>
      <c r="AL3858" t="s">
        <v>53</v>
      </c>
      <c r="AM3858" t="s">
        <v>53</v>
      </c>
      <c r="AN3858" t="s">
        <v>53</v>
      </c>
      <c r="AO3858" t="s">
        <v>53</v>
      </c>
      <c r="AP3858" t="s">
        <v>53</v>
      </c>
    </row>
    <row r="3859" spans="2:42" x14ac:dyDescent="0.2">
      <c r="B3859" t="s">
        <v>44</v>
      </c>
      <c r="C3859" t="str">
        <f>HYPERLINK("https://us2.cloudbeds.com/connect/8493803454333002#/reservations/67101735538923?display=1ENFNSQHQT&amp;reservation_id=67101735538923", "1ENFNSQHQT")</f>
        <v>1ENFNSQHQT</v>
      </c>
      <c r="D3859" t="s">
        <v>45</v>
      </c>
      <c r="E3859" t="s">
        <v>373</v>
      </c>
      <c r="F3859" t="s">
        <v>47</v>
      </c>
      <c r="G3859" t="s">
        <v>48</v>
      </c>
      <c r="H3859" t="s">
        <v>49</v>
      </c>
      <c r="I3859" t="s">
        <v>50</v>
      </c>
      <c r="J3859" t="s">
        <v>6078</v>
      </c>
      <c r="K3859" t="s">
        <v>6403</v>
      </c>
      <c r="L3859" t="s">
        <v>53</v>
      </c>
      <c r="N3859" t="s">
        <v>6536</v>
      </c>
      <c r="P3859" t="s">
        <v>55</v>
      </c>
      <c r="R3859" t="s">
        <v>53</v>
      </c>
      <c r="T3859" t="s">
        <v>6537</v>
      </c>
      <c r="U3859" t="s">
        <v>58</v>
      </c>
      <c r="V3859">
        <v>3</v>
      </c>
      <c r="W3859">
        <v>1</v>
      </c>
      <c r="X3859">
        <v>1</v>
      </c>
      <c r="Y3859">
        <v>0</v>
      </c>
      <c r="Z3859">
        <v>1</v>
      </c>
      <c r="AA3859">
        <v>0</v>
      </c>
      <c r="AB3859">
        <v>228.3</v>
      </c>
      <c r="AC3859">
        <v>200.88</v>
      </c>
      <c r="AD3859">
        <v>0</v>
      </c>
      <c r="AE3859">
        <v>27.42</v>
      </c>
      <c r="AF3859">
        <v>0</v>
      </c>
      <c r="AG3859">
        <v>0</v>
      </c>
      <c r="AH3859">
        <v>0</v>
      </c>
      <c r="AI3859">
        <v>41.09</v>
      </c>
      <c r="AJ3859">
        <v>228.3</v>
      </c>
      <c r="AK3859">
        <v>0</v>
      </c>
      <c r="AL3859" t="s">
        <v>53</v>
      </c>
      <c r="AM3859" t="s">
        <v>53</v>
      </c>
      <c r="AN3859" t="s">
        <v>53</v>
      </c>
      <c r="AO3859" t="s">
        <v>53</v>
      </c>
      <c r="AP3859" t="s">
        <v>53</v>
      </c>
    </row>
    <row r="3860" spans="2:42" x14ac:dyDescent="0.2">
      <c r="B3860" t="s">
        <v>44</v>
      </c>
      <c r="C3860" t="str">
        <f>HYPERLINK("https://us2.cloudbeds.com/connect/8493803454333002#/reservations/67142690631889?display=1EZEEC7CB3&amp;reservation_id=67142690631889", "1EZEEC7CB3")</f>
        <v>1EZEEC7CB3</v>
      </c>
      <c r="D3860" t="s">
        <v>45</v>
      </c>
      <c r="E3860" t="s">
        <v>487</v>
      </c>
      <c r="F3860" t="s">
        <v>61</v>
      </c>
      <c r="G3860" t="s">
        <v>48</v>
      </c>
      <c r="H3860" t="s">
        <v>3957</v>
      </c>
      <c r="I3860" t="s">
        <v>3975</v>
      </c>
      <c r="J3860" t="s">
        <v>5921</v>
      </c>
      <c r="K3860" t="s">
        <v>5957</v>
      </c>
      <c r="L3860" t="s">
        <v>53</v>
      </c>
      <c r="P3860" t="s">
        <v>55</v>
      </c>
      <c r="R3860" t="s">
        <v>56</v>
      </c>
      <c r="T3860" t="s">
        <v>6538</v>
      </c>
      <c r="U3860" t="s">
        <v>58</v>
      </c>
      <c r="V3860">
        <v>1</v>
      </c>
      <c r="W3860">
        <v>1</v>
      </c>
      <c r="X3860">
        <v>1</v>
      </c>
      <c r="Y3860">
        <v>0</v>
      </c>
      <c r="Z3860">
        <v>1</v>
      </c>
      <c r="AA3860">
        <v>0</v>
      </c>
      <c r="AB3860">
        <v>82.97</v>
      </c>
      <c r="AC3860">
        <v>73</v>
      </c>
      <c r="AD3860">
        <v>0</v>
      </c>
      <c r="AE3860">
        <v>9.9700000000000006</v>
      </c>
      <c r="AF3860">
        <v>0</v>
      </c>
      <c r="AG3860">
        <v>0</v>
      </c>
      <c r="AH3860">
        <v>0</v>
      </c>
      <c r="AI3860">
        <v>0</v>
      </c>
      <c r="AJ3860">
        <v>82.97</v>
      </c>
      <c r="AK3860">
        <v>0</v>
      </c>
      <c r="AL3860" t="s">
        <v>53</v>
      </c>
      <c r="AM3860" t="s">
        <v>53</v>
      </c>
      <c r="AN3860" t="s">
        <v>53</v>
      </c>
      <c r="AO3860" t="s">
        <v>53</v>
      </c>
      <c r="AP3860" t="s">
        <v>53</v>
      </c>
    </row>
    <row r="3861" spans="2:42" x14ac:dyDescent="0.2">
      <c r="B3861" t="s">
        <v>44</v>
      </c>
      <c r="C3861" t="str">
        <f>HYPERLINK("https://us2.cloudbeds.com/connect/8493803454333002#/reservations/67162603114723?display=1EZTS5VXHR&amp;reservation_id=67162603114723", "1EZTS5VXHR")</f>
        <v>1EZTS5VXHR</v>
      </c>
      <c r="D3861" t="s">
        <v>45</v>
      </c>
      <c r="E3861" t="s">
        <v>110</v>
      </c>
      <c r="F3861" t="s">
        <v>47</v>
      </c>
      <c r="G3861" t="s">
        <v>48</v>
      </c>
      <c r="H3861" t="s">
        <v>49</v>
      </c>
      <c r="I3861" t="s">
        <v>62</v>
      </c>
      <c r="J3861" t="s">
        <v>6146</v>
      </c>
      <c r="K3861" t="s">
        <v>6539</v>
      </c>
      <c r="L3861" t="s">
        <v>53</v>
      </c>
      <c r="N3861" t="s">
        <v>6540</v>
      </c>
      <c r="P3861" t="s">
        <v>55</v>
      </c>
      <c r="R3861" t="s">
        <v>56</v>
      </c>
      <c r="T3861" t="s">
        <v>6541</v>
      </c>
      <c r="U3861" t="s">
        <v>55</v>
      </c>
      <c r="V3861">
        <v>3</v>
      </c>
      <c r="W3861">
        <v>1</v>
      </c>
      <c r="X3861">
        <v>1</v>
      </c>
      <c r="Y3861">
        <v>0</v>
      </c>
      <c r="Z3861">
        <v>1</v>
      </c>
      <c r="AA3861">
        <v>0</v>
      </c>
      <c r="AB3861">
        <v>183.6</v>
      </c>
      <c r="AC3861">
        <v>183.6</v>
      </c>
      <c r="AD3861">
        <v>0</v>
      </c>
      <c r="AE3861">
        <v>0</v>
      </c>
      <c r="AF3861">
        <v>0</v>
      </c>
      <c r="AG3861">
        <v>0</v>
      </c>
      <c r="AH3861">
        <v>0</v>
      </c>
      <c r="AI3861">
        <v>33.049999999999997</v>
      </c>
      <c r="AJ3861">
        <v>183.6</v>
      </c>
      <c r="AK3861">
        <v>0</v>
      </c>
      <c r="AL3861" t="s">
        <v>53</v>
      </c>
      <c r="AM3861" t="s">
        <v>53</v>
      </c>
      <c r="AN3861" t="s">
        <v>53</v>
      </c>
      <c r="AO3861" t="s">
        <v>53</v>
      </c>
      <c r="AP3861" t="s">
        <v>53</v>
      </c>
    </row>
    <row r="3862" spans="2:42" x14ac:dyDescent="0.2">
      <c r="B3862" t="s">
        <v>44</v>
      </c>
      <c r="C3862" t="str">
        <f>HYPERLINK("https://us2.cloudbeds.com/connect/8493803454333002#/reservations/67579301961900?display=1F1MGQF812&amp;reservation_id=67579301961900", "1F1MGQF812")</f>
        <v>1F1MGQF812</v>
      </c>
      <c r="D3862" t="s">
        <v>45</v>
      </c>
      <c r="E3862" t="s">
        <v>265</v>
      </c>
      <c r="F3862" t="s">
        <v>61</v>
      </c>
      <c r="G3862" t="s">
        <v>48</v>
      </c>
      <c r="H3862" t="s">
        <v>3957</v>
      </c>
      <c r="I3862" t="s">
        <v>3958</v>
      </c>
      <c r="J3862" t="s">
        <v>5921</v>
      </c>
      <c r="K3862" t="s">
        <v>5957</v>
      </c>
      <c r="L3862" t="s">
        <v>53</v>
      </c>
      <c r="P3862" t="s">
        <v>58</v>
      </c>
      <c r="R3862" t="s">
        <v>56</v>
      </c>
      <c r="T3862" t="s">
        <v>6542</v>
      </c>
      <c r="U3862" t="s">
        <v>58</v>
      </c>
      <c r="V3862">
        <v>1</v>
      </c>
      <c r="W3862">
        <v>1</v>
      </c>
      <c r="X3862">
        <v>1</v>
      </c>
      <c r="Y3862">
        <v>0</v>
      </c>
      <c r="Z3862">
        <v>1</v>
      </c>
      <c r="AA3862">
        <v>0</v>
      </c>
      <c r="AB3862">
        <v>82.97</v>
      </c>
      <c r="AC3862">
        <v>73</v>
      </c>
      <c r="AD3862">
        <v>0</v>
      </c>
      <c r="AE3862">
        <v>9.9700000000000006</v>
      </c>
      <c r="AF3862">
        <v>0</v>
      </c>
      <c r="AG3862">
        <v>0</v>
      </c>
      <c r="AH3862">
        <v>0</v>
      </c>
      <c r="AI3862">
        <v>0</v>
      </c>
      <c r="AJ3862">
        <v>82.97</v>
      </c>
      <c r="AK3862">
        <v>0</v>
      </c>
      <c r="AL3862" t="s">
        <v>53</v>
      </c>
      <c r="AM3862" t="s">
        <v>53</v>
      </c>
      <c r="AN3862" t="s">
        <v>53</v>
      </c>
      <c r="AO3862" t="s">
        <v>53</v>
      </c>
      <c r="AP3862" t="s">
        <v>53</v>
      </c>
    </row>
    <row r="3863" spans="2:42" x14ac:dyDescent="0.2">
      <c r="B3863" t="s">
        <v>44</v>
      </c>
      <c r="C3863" t="str">
        <f>HYPERLINK("https://us2.cloudbeds.com/connect/8493803454333002#/reservations/67601540264108?display=1F26Z1CPSP&amp;reservation_id=67601540264108", "1F26Z1CPSP")</f>
        <v>1F26Z1CPSP</v>
      </c>
      <c r="D3863" t="s">
        <v>45</v>
      </c>
      <c r="E3863" t="s">
        <v>128</v>
      </c>
      <c r="F3863" t="s">
        <v>86</v>
      </c>
      <c r="G3863" t="s">
        <v>3974</v>
      </c>
      <c r="H3863" t="s">
        <v>3957</v>
      </c>
      <c r="I3863" t="s">
        <v>3975</v>
      </c>
      <c r="J3863" t="s">
        <v>5806</v>
      </c>
      <c r="K3863" t="s">
        <v>6519</v>
      </c>
      <c r="L3863" t="s">
        <v>53</v>
      </c>
      <c r="P3863" t="s">
        <v>55</v>
      </c>
      <c r="R3863" t="s">
        <v>56</v>
      </c>
      <c r="T3863" t="s">
        <v>6543</v>
      </c>
      <c r="U3863" t="s">
        <v>58</v>
      </c>
      <c r="V3863">
        <v>3</v>
      </c>
      <c r="W3863">
        <v>1</v>
      </c>
      <c r="X3863">
        <v>4</v>
      </c>
      <c r="Y3863">
        <v>0</v>
      </c>
      <c r="Z3863">
        <v>4</v>
      </c>
      <c r="AA3863">
        <v>0</v>
      </c>
      <c r="AB3863">
        <v>236.31</v>
      </c>
      <c r="AC3863">
        <v>207.9</v>
      </c>
      <c r="AD3863">
        <v>0</v>
      </c>
      <c r="AE3863">
        <v>28.41</v>
      </c>
      <c r="AF3863">
        <v>0</v>
      </c>
      <c r="AG3863">
        <v>0</v>
      </c>
      <c r="AH3863">
        <v>0</v>
      </c>
      <c r="AI3863">
        <v>0</v>
      </c>
      <c r="AJ3863">
        <v>236.31</v>
      </c>
      <c r="AK3863">
        <v>0</v>
      </c>
      <c r="AL3863" t="s">
        <v>53</v>
      </c>
      <c r="AM3863" t="s">
        <v>53</v>
      </c>
      <c r="AN3863" t="s">
        <v>53</v>
      </c>
      <c r="AO3863" t="s">
        <v>53</v>
      </c>
      <c r="AP3863" t="s">
        <v>53</v>
      </c>
    </row>
    <row r="3864" spans="2:42" x14ac:dyDescent="0.2">
      <c r="B3864" t="s">
        <v>44</v>
      </c>
      <c r="C3864" t="str">
        <f>HYPERLINK("https://us2.cloudbeds.com/connect/8493803454333002#/reservations/67857179738322?display=1F86M7BWQH&amp;reservation_id=67857179738322", "1F86M7BWQH")</f>
        <v>1F86M7BWQH</v>
      </c>
      <c r="D3864" t="s">
        <v>45</v>
      </c>
      <c r="E3864" t="s">
        <v>78</v>
      </c>
      <c r="F3864" t="s">
        <v>61</v>
      </c>
      <c r="G3864" t="s">
        <v>48</v>
      </c>
      <c r="H3864" t="s">
        <v>49</v>
      </c>
      <c r="I3864" t="s">
        <v>62</v>
      </c>
      <c r="J3864" t="s">
        <v>6233</v>
      </c>
      <c r="K3864" t="s">
        <v>6544</v>
      </c>
      <c r="L3864" t="s">
        <v>53</v>
      </c>
      <c r="N3864" t="s">
        <v>6545</v>
      </c>
      <c r="P3864" t="s">
        <v>55</v>
      </c>
      <c r="R3864" t="s">
        <v>56</v>
      </c>
      <c r="T3864" t="s">
        <v>6546</v>
      </c>
      <c r="U3864" t="s">
        <v>55</v>
      </c>
      <c r="V3864">
        <v>2</v>
      </c>
      <c r="W3864">
        <v>1</v>
      </c>
      <c r="X3864">
        <v>2</v>
      </c>
      <c r="Y3864">
        <v>0</v>
      </c>
      <c r="Z3864">
        <v>2</v>
      </c>
      <c r="AA3864">
        <v>0</v>
      </c>
      <c r="AB3864">
        <v>391</v>
      </c>
      <c r="AC3864">
        <v>391</v>
      </c>
      <c r="AD3864">
        <v>0</v>
      </c>
      <c r="AE3864">
        <v>0</v>
      </c>
      <c r="AF3864">
        <v>0</v>
      </c>
      <c r="AG3864">
        <v>0</v>
      </c>
      <c r="AH3864">
        <v>0</v>
      </c>
      <c r="AI3864">
        <v>70.38</v>
      </c>
      <c r="AJ3864">
        <v>391</v>
      </c>
      <c r="AK3864">
        <v>0</v>
      </c>
      <c r="AL3864" t="s">
        <v>53</v>
      </c>
      <c r="AM3864" t="s">
        <v>53</v>
      </c>
      <c r="AN3864" t="s">
        <v>53</v>
      </c>
      <c r="AO3864" t="s">
        <v>53</v>
      </c>
      <c r="AP3864" t="s">
        <v>53</v>
      </c>
    </row>
    <row r="3865" spans="2:42" x14ac:dyDescent="0.2">
      <c r="B3865" t="s">
        <v>44</v>
      </c>
      <c r="C3865" t="str">
        <f>HYPERLINK("https://us2.cloudbeds.com/connect/8493803454333002#/reservations/67881547321599?display=1F8PHSZUAW&amp;reservation_id=67881547321599", "1F8PHSZUAW")</f>
        <v>1F8PHSZUAW</v>
      </c>
      <c r="D3865" t="s">
        <v>45</v>
      </c>
      <c r="E3865" t="s">
        <v>92</v>
      </c>
      <c r="F3865" t="s">
        <v>86</v>
      </c>
      <c r="G3865" t="s">
        <v>48</v>
      </c>
      <c r="H3865" t="s">
        <v>49</v>
      </c>
      <c r="I3865" t="s">
        <v>50</v>
      </c>
      <c r="J3865" t="s">
        <v>5957</v>
      </c>
      <c r="K3865" t="s">
        <v>5667</v>
      </c>
      <c r="L3865" t="s">
        <v>53</v>
      </c>
      <c r="N3865" t="s">
        <v>6547</v>
      </c>
      <c r="P3865" t="s">
        <v>55</v>
      </c>
      <c r="R3865" t="s">
        <v>53</v>
      </c>
      <c r="T3865" t="s">
        <v>6548</v>
      </c>
      <c r="U3865" t="s">
        <v>58</v>
      </c>
      <c r="V3865">
        <v>2</v>
      </c>
      <c r="W3865">
        <v>1</v>
      </c>
      <c r="X3865">
        <v>2</v>
      </c>
      <c r="Y3865">
        <v>0</v>
      </c>
      <c r="Z3865">
        <v>2</v>
      </c>
      <c r="AA3865">
        <v>0</v>
      </c>
      <c r="AB3865">
        <v>142.75</v>
      </c>
      <c r="AC3865">
        <v>125.6</v>
      </c>
      <c r="AD3865">
        <v>0</v>
      </c>
      <c r="AE3865">
        <v>17.149999999999999</v>
      </c>
      <c r="AF3865">
        <v>0</v>
      </c>
      <c r="AG3865">
        <v>0</v>
      </c>
      <c r="AH3865">
        <v>0</v>
      </c>
      <c r="AI3865">
        <v>25.7</v>
      </c>
      <c r="AJ3865">
        <v>142.75</v>
      </c>
      <c r="AK3865">
        <v>0</v>
      </c>
      <c r="AL3865" t="s">
        <v>53</v>
      </c>
      <c r="AM3865" t="s">
        <v>53</v>
      </c>
      <c r="AN3865" t="s">
        <v>53</v>
      </c>
      <c r="AO3865" t="s">
        <v>53</v>
      </c>
      <c r="AP3865" t="s">
        <v>53</v>
      </c>
    </row>
    <row r="3866" spans="2:42" x14ac:dyDescent="0.2">
      <c r="B3866" t="s">
        <v>44</v>
      </c>
      <c r="C3866" t="str">
        <f>HYPERLINK("https://us2.cloudbeds.com/connect/8493803454333002#/reservations/68011222298879?display=1FBQVC4AF1&amp;reservation_id=68011222298879", "1FBQVC4AF1")</f>
        <v>1FBQVC4AF1</v>
      </c>
      <c r="D3866" t="s">
        <v>45</v>
      </c>
      <c r="E3866" t="s">
        <v>6549</v>
      </c>
      <c r="F3866" t="s">
        <v>47</v>
      </c>
      <c r="G3866" t="s">
        <v>48</v>
      </c>
      <c r="H3866" t="s">
        <v>49</v>
      </c>
      <c r="I3866" t="s">
        <v>62</v>
      </c>
      <c r="J3866" t="s">
        <v>5678</v>
      </c>
      <c r="K3866" t="s">
        <v>6497</v>
      </c>
      <c r="L3866" t="s">
        <v>53</v>
      </c>
      <c r="N3866" t="s">
        <v>6550</v>
      </c>
      <c r="P3866" t="s">
        <v>55</v>
      </c>
      <c r="R3866" t="s">
        <v>56</v>
      </c>
      <c r="T3866" t="s">
        <v>6551</v>
      </c>
      <c r="U3866" t="s">
        <v>55</v>
      </c>
      <c r="V3866">
        <v>4</v>
      </c>
      <c r="W3866">
        <v>2</v>
      </c>
      <c r="X3866">
        <v>4</v>
      </c>
      <c r="Y3866">
        <v>0</v>
      </c>
      <c r="Z3866">
        <v>4</v>
      </c>
      <c r="AA3866">
        <v>0</v>
      </c>
      <c r="AB3866">
        <v>252</v>
      </c>
      <c r="AC3866">
        <v>252</v>
      </c>
      <c r="AD3866">
        <v>0</v>
      </c>
      <c r="AE3866">
        <v>0</v>
      </c>
      <c r="AF3866">
        <v>0</v>
      </c>
      <c r="AG3866">
        <v>0</v>
      </c>
      <c r="AH3866">
        <v>0</v>
      </c>
      <c r="AI3866">
        <v>45.36</v>
      </c>
      <c r="AJ3866">
        <v>252</v>
      </c>
      <c r="AK3866">
        <v>0</v>
      </c>
      <c r="AL3866" t="s">
        <v>53</v>
      </c>
      <c r="AM3866" t="s">
        <v>53</v>
      </c>
      <c r="AN3866" t="s">
        <v>53</v>
      </c>
      <c r="AO3866" t="s">
        <v>53</v>
      </c>
      <c r="AP3866" t="s">
        <v>53</v>
      </c>
    </row>
    <row r="3867" spans="2:42" x14ac:dyDescent="0.2">
      <c r="B3867" t="s">
        <v>44</v>
      </c>
      <c r="C3867" t="str">
        <f>HYPERLINK("https://us2.cloudbeds.com/connect/8493803454333002#/reservations/68254543646892?display=1FHHBQ4GZ8&amp;reservation_id=68254543646892", "1FHHBQ4GZ8")</f>
        <v>1FHHBQ4GZ8</v>
      </c>
      <c r="D3867" t="s">
        <v>45</v>
      </c>
      <c r="E3867" t="s">
        <v>223</v>
      </c>
      <c r="F3867" t="s">
        <v>47</v>
      </c>
      <c r="G3867" t="s">
        <v>48</v>
      </c>
      <c r="H3867" t="s">
        <v>3957</v>
      </c>
      <c r="I3867" t="s">
        <v>3989</v>
      </c>
      <c r="J3867" t="s">
        <v>6552</v>
      </c>
      <c r="K3867" t="s">
        <v>6553</v>
      </c>
      <c r="L3867" t="s">
        <v>53</v>
      </c>
      <c r="P3867" t="s">
        <v>55</v>
      </c>
      <c r="R3867" t="s">
        <v>56</v>
      </c>
      <c r="T3867" t="s">
        <v>6554</v>
      </c>
      <c r="U3867" t="s">
        <v>58</v>
      </c>
      <c r="V3867">
        <v>1</v>
      </c>
      <c r="W3867">
        <v>1</v>
      </c>
      <c r="X3867">
        <v>1</v>
      </c>
      <c r="Y3867">
        <v>0</v>
      </c>
      <c r="Z3867">
        <v>1</v>
      </c>
      <c r="AA3867">
        <v>107.98</v>
      </c>
      <c r="AB3867">
        <v>107.98</v>
      </c>
      <c r="AC3867">
        <v>95</v>
      </c>
      <c r="AD3867">
        <v>0</v>
      </c>
      <c r="AE3867">
        <v>12.98</v>
      </c>
      <c r="AF3867">
        <v>0</v>
      </c>
      <c r="AG3867">
        <v>0</v>
      </c>
      <c r="AH3867">
        <v>0</v>
      </c>
      <c r="AI3867">
        <v>0</v>
      </c>
      <c r="AJ3867">
        <v>107.98</v>
      </c>
      <c r="AK3867">
        <v>0</v>
      </c>
      <c r="AL3867" t="s">
        <v>53</v>
      </c>
      <c r="AM3867" t="s">
        <v>53</v>
      </c>
      <c r="AN3867" t="s">
        <v>53</v>
      </c>
      <c r="AO3867" t="s">
        <v>53</v>
      </c>
      <c r="AP3867" t="s">
        <v>53</v>
      </c>
    </row>
    <row r="3868" spans="2:42" x14ac:dyDescent="0.2">
      <c r="B3868" t="s">
        <v>44</v>
      </c>
      <c r="C3868" t="str">
        <f>HYPERLINK("https://us2.cloudbeds.com/connect/8493803454333002#/reservations/68370327429301?display=1FK80B2UN6&amp;reservation_id=68370327429301", "1FK80B2UN6")</f>
        <v>1FK80B2UN6</v>
      </c>
      <c r="D3868" t="s">
        <v>45</v>
      </c>
      <c r="E3868" t="s">
        <v>110</v>
      </c>
      <c r="F3868" t="s">
        <v>47</v>
      </c>
      <c r="G3868" t="s">
        <v>48</v>
      </c>
      <c r="H3868" t="s">
        <v>49</v>
      </c>
      <c r="I3868" t="s">
        <v>62</v>
      </c>
      <c r="J3868" t="s">
        <v>5667</v>
      </c>
      <c r="K3868" t="s">
        <v>6350</v>
      </c>
      <c r="L3868" t="s">
        <v>53</v>
      </c>
      <c r="N3868" t="s">
        <v>6555</v>
      </c>
      <c r="P3868" t="s">
        <v>55</v>
      </c>
      <c r="R3868" t="s">
        <v>6556</v>
      </c>
      <c r="T3868" t="s">
        <v>6557</v>
      </c>
      <c r="U3868" t="s">
        <v>55</v>
      </c>
      <c r="V3868">
        <v>1</v>
      </c>
      <c r="W3868">
        <v>1</v>
      </c>
      <c r="X3868">
        <v>2</v>
      </c>
      <c r="Y3868">
        <v>0</v>
      </c>
      <c r="Z3868">
        <v>2</v>
      </c>
      <c r="AA3868">
        <v>0</v>
      </c>
      <c r="AB3868">
        <v>68</v>
      </c>
      <c r="AC3868">
        <v>68</v>
      </c>
      <c r="AD3868">
        <v>0</v>
      </c>
      <c r="AE3868">
        <v>0</v>
      </c>
      <c r="AF3868">
        <v>0</v>
      </c>
      <c r="AG3868">
        <v>0</v>
      </c>
      <c r="AH3868">
        <v>0</v>
      </c>
      <c r="AI3868">
        <v>12.24</v>
      </c>
      <c r="AJ3868">
        <v>68</v>
      </c>
      <c r="AK3868">
        <v>0</v>
      </c>
      <c r="AL3868" t="s">
        <v>53</v>
      </c>
      <c r="AM3868" t="s">
        <v>53</v>
      </c>
      <c r="AN3868" t="s">
        <v>53</v>
      </c>
      <c r="AO3868" t="s">
        <v>53</v>
      </c>
      <c r="AP3868" t="s">
        <v>53</v>
      </c>
    </row>
    <row r="3869" spans="2:42" x14ac:dyDescent="0.2">
      <c r="B3869" t="s">
        <v>44</v>
      </c>
      <c r="C3869" t="str">
        <f>HYPERLINK("https://us2.cloudbeds.com/connect/8493803454333002#/reservations/68606953386126?display=1FPQ7MBWNB&amp;reservation_id=68606953386126", "1FPQ7MBWNB")</f>
        <v>1FPQ7MBWNB</v>
      </c>
      <c r="D3869" t="s">
        <v>45</v>
      </c>
      <c r="E3869" t="s">
        <v>406</v>
      </c>
      <c r="F3869" t="s">
        <v>61</v>
      </c>
      <c r="G3869" t="s">
        <v>48</v>
      </c>
      <c r="H3869" t="s">
        <v>3957</v>
      </c>
      <c r="I3869" t="s">
        <v>3989</v>
      </c>
      <c r="J3869" t="s">
        <v>5667</v>
      </c>
      <c r="K3869" t="s">
        <v>6350</v>
      </c>
      <c r="L3869" t="s">
        <v>53</v>
      </c>
      <c r="P3869" t="s">
        <v>58</v>
      </c>
      <c r="R3869" t="s">
        <v>56</v>
      </c>
      <c r="T3869" t="s">
        <v>6558</v>
      </c>
      <c r="U3869" t="s">
        <v>58</v>
      </c>
      <c r="V3869">
        <v>1</v>
      </c>
      <c r="W3869">
        <v>1</v>
      </c>
      <c r="X3869">
        <v>1</v>
      </c>
      <c r="Y3869">
        <v>0</v>
      </c>
      <c r="Z3869">
        <v>1</v>
      </c>
      <c r="AA3869">
        <v>0</v>
      </c>
      <c r="AB3869">
        <v>82.97</v>
      </c>
      <c r="AC3869">
        <v>73</v>
      </c>
      <c r="AD3869">
        <v>0</v>
      </c>
      <c r="AE3869">
        <v>9.9700000000000006</v>
      </c>
      <c r="AF3869">
        <v>0</v>
      </c>
      <c r="AG3869">
        <v>0</v>
      </c>
      <c r="AH3869">
        <v>0</v>
      </c>
      <c r="AI3869">
        <v>0</v>
      </c>
      <c r="AJ3869">
        <v>82.97</v>
      </c>
      <c r="AK3869">
        <v>0</v>
      </c>
      <c r="AL3869" t="s">
        <v>53</v>
      </c>
      <c r="AM3869" t="s">
        <v>53</v>
      </c>
      <c r="AN3869" t="s">
        <v>53</v>
      </c>
      <c r="AO3869" t="s">
        <v>53</v>
      </c>
      <c r="AP3869" t="s">
        <v>53</v>
      </c>
    </row>
    <row r="3870" spans="2:42" x14ac:dyDescent="0.2">
      <c r="B3870" t="s">
        <v>44</v>
      </c>
      <c r="C3870" t="str">
        <f>HYPERLINK("https://us2.cloudbeds.com/connect/8493803454333002#/reservations/68718616834184?display=1FSDMUV17J&amp;reservation_id=68718616834184", "1FSDMUV17J")</f>
        <v>1FSDMUV17J</v>
      </c>
      <c r="D3870" t="s">
        <v>45</v>
      </c>
      <c r="E3870" t="s">
        <v>305</v>
      </c>
      <c r="F3870" t="s">
        <v>61</v>
      </c>
      <c r="G3870" t="s">
        <v>48</v>
      </c>
      <c r="H3870" t="s">
        <v>3957</v>
      </c>
      <c r="I3870" t="s">
        <v>3958</v>
      </c>
      <c r="J3870" t="s">
        <v>5667</v>
      </c>
      <c r="K3870" t="s">
        <v>6350</v>
      </c>
      <c r="L3870" t="s">
        <v>53</v>
      </c>
      <c r="P3870" t="s">
        <v>55</v>
      </c>
      <c r="R3870" t="s">
        <v>56</v>
      </c>
      <c r="T3870" t="s">
        <v>6559</v>
      </c>
      <c r="U3870" t="s">
        <v>58</v>
      </c>
      <c r="V3870">
        <v>1</v>
      </c>
      <c r="W3870">
        <v>1</v>
      </c>
      <c r="X3870">
        <v>1</v>
      </c>
      <c r="Y3870">
        <v>0</v>
      </c>
      <c r="Z3870">
        <v>1</v>
      </c>
      <c r="AA3870">
        <v>0</v>
      </c>
      <c r="AB3870">
        <v>82.97</v>
      </c>
      <c r="AC3870">
        <v>73</v>
      </c>
      <c r="AD3870">
        <v>0</v>
      </c>
      <c r="AE3870">
        <v>9.9700000000000006</v>
      </c>
      <c r="AF3870">
        <v>0</v>
      </c>
      <c r="AG3870">
        <v>0</v>
      </c>
      <c r="AH3870">
        <v>0</v>
      </c>
      <c r="AI3870">
        <v>0</v>
      </c>
      <c r="AJ3870">
        <v>82.97</v>
      </c>
      <c r="AK3870">
        <v>0</v>
      </c>
      <c r="AL3870" t="s">
        <v>53</v>
      </c>
      <c r="AM3870" t="s">
        <v>53</v>
      </c>
      <c r="AN3870" t="s">
        <v>53</v>
      </c>
      <c r="AO3870" t="s">
        <v>53</v>
      </c>
      <c r="AP3870" t="s">
        <v>53</v>
      </c>
    </row>
    <row r="3871" spans="2:42" x14ac:dyDescent="0.2">
      <c r="B3871" t="s">
        <v>44</v>
      </c>
      <c r="C3871" t="str">
        <f>HYPERLINK("https://us2.cloudbeds.com/connect/8493803454333002#/reservations/69007768694969?display=1G26JEEQX4&amp;reservation_id=69007768694969", "1G26JEEQX4")</f>
        <v>1G26JEEQX4</v>
      </c>
      <c r="D3871" t="s">
        <v>45</v>
      </c>
      <c r="E3871" t="s">
        <v>128</v>
      </c>
      <c r="F3871" t="s">
        <v>86</v>
      </c>
      <c r="G3871" t="s">
        <v>48</v>
      </c>
      <c r="H3871" t="s">
        <v>49</v>
      </c>
      <c r="I3871" t="s">
        <v>62</v>
      </c>
      <c r="J3871" t="s">
        <v>6350</v>
      </c>
      <c r="K3871" t="s">
        <v>6077</v>
      </c>
      <c r="L3871" t="s">
        <v>53</v>
      </c>
      <c r="N3871" t="s">
        <v>6560</v>
      </c>
      <c r="P3871" t="s">
        <v>55</v>
      </c>
      <c r="R3871" t="s">
        <v>56</v>
      </c>
      <c r="T3871" t="s">
        <v>6561</v>
      </c>
      <c r="U3871" t="s">
        <v>55</v>
      </c>
      <c r="V3871">
        <v>1</v>
      </c>
      <c r="W3871">
        <v>1</v>
      </c>
      <c r="X3871">
        <v>2</v>
      </c>
      <c r="Y3871">
        <v>0</v>
      </c>
      <c r="Z3871">
        <v>2</v>
      </c>
      <c r="AA3871">
        <v>0</v>
      </c>
      <c r="AB3871">
        <v>77</v>
      </c>
      <c r="AC3871">
        <v>77</v>
      </c>
      <c r="AD3871">
        <v>0</v>
      </c>
      <c r="AE3871">
        <v>0</v>
      </c>
      <c r="AF3871">
        <v>0</v>
      </c>
      <c r="AG3871">
        <v>0</v>
      </c>
      <c r="AH3871">
        <v>0</v>
      </c>
      <c r="AI3871">
        <v>13.86</v>
      </c>
      <c r="AJ3871">
        <v>77</v>
      </c>
      <c r="AK3871">
        <v>0</v>
      </c>
      <c r="AL3871" t="s">
        <v>53</v>
      </c>
      <c r="AM3871" t="s">
        <v>53</v>
      </c>
      <c r="AN3871" t="s">
        <v>53</v>
      </c>
      <c r="AO3871" t="s">
        <v>53</v>
      </c>
      <c r="AP3871" t="s">
        <v>53</v>
      </c>
    </row>
    <row r="3872" spans="2:42" x14ac:dyDescent="0.2">
      <c r="B3872" t="s">
        <v>44</v>
      </c>
      <c r="C3872" t="str">
        <f>HYPERLINK("https://us2.cloudbeds.com/connect/8493803454333002#/reservations/69081493930177?display=1G3UM9H51Z&amp;reservation_id=69081493930177", "1G3UM9H51Z")</f>
        <v>1G3UM9H51Z</v>
      </c>
      <c r="D3872" t="s">
        <v>45</v>
      </c>
      <c r="E3872" t="s">
        <v>110</v>
      </c>
      <c r="F3872" t="s">
        <v>47</v>
      </c>
      <c r="G3872" t="s">
        <v>3974</v>
      </c>
      <c r="H3872" t="s">
        <v>3957</v>
      </c>
      <c r="I3872" t="s">
        <v>3975</v>
      </c>
      <c r="J3872" t="s">
        <v>6501</v>
      </c>
      <c r="K3872" t="s">
        <v>6146</v>
      </c>
      <c r="L3872" t="s">
        <v>53</v>
      </c>
      <c r="P3872" t="s">
        <v>55</v>
      </c>
      <c r="R3872" t="s">
        <v>56</v>
      </c>
      <c r="T3872" t="s">
        <v>6562</v>
      </c>
      <c r="U3872" t="s">
        <v>58</v>
      </c>
      <c r="V3872">
        <v>2</v>
      </c>
      <c r="W3872">
        <v>1</v>
      </c>
      <c r="X3872">
        <v>2</v>
      </c>
      <c r="Y3872">
        <v>0</v>
      </c>
      <c r="Z3872">
        <v>2</v>
      </c>
      <c r="AA3872">
        <v>0</v>
      </c>
      <c r="AB3872">
        <v>139.08000000000001</v>
      </c>
      <c r="AC3872">
        <v>122.4</v>
      </c>
      <c r="AD3872">
        <v>0</v>
      </c>
      <c r="AE3872">
        <v>16.68</v>
      </c>
      <c r="AF3872">
        <v>0</v>
      </c>
      <c r="AG3872">
        <v>0</v>
      </c>
      <c r="AH3872">
        <v>0</v>
      </c>
      <c r="AI3872">
        <v>0</v>
      </c>
      <c r="AJ3872">
        <v>139.08000000000001</v>
      </c>
      <c r="AK3872">
        <v>0</v>
      </c>
      <c r="AL3872" t="s">
        <v>53</v>
      </c>
      <c r="AM3872" t="s">
        <v>53</v>
      </c>
      <c r="AN3872" t="s">
        <v>53</v>
      </c>
      <c r="AO3872" t="s">
        <v>53</v>
      </c>
      <c r="AP3872" t="s">
        <v>53</v>
      </c>
    </row>
    <row r="3873" spans="2:42" x14ac:dyDescent="0.2">
      <c r="B3873" t="s">
        <v>44</v>
      </c>
      <c r="C3873" t="str">
        <f>HYPERLINK("https://us2.cloudbeds.com/connect/8493803454333002#/reservations/69253146120395?display=1G7VJD6CHG&amp;reservation_id=69253146120395", "1G7VJD6CHG")</f>
        <v>1G7VJD6CHG</v>
      </c>
      <c r="D3873" t="s">
        <v>45</v>
      </c>
      <c r="E3873" t="s">
        <v>128</v>
      </c>
      <c r="F3873" t="s">
        <v>86</v>
      </c>
      <c r="G3873" t="s">
        <v>48</v>
      </c>
      <c r="H3873" t="s">
        <v>49</v>
      </c>
      <c r="I3873" t="s">
        <v>62</v>
      </c>
      <c r="J3873" t="s">
        <v>6077</v>
      </c>
      <c r="K3873" t="s">
        <v>6563</v>
      </c>
      <c r="L3873" t="s">
        <v>53</v>
      </c>
      <c r="N3873" t="s">
        <v>6564</v>
      </c>
      <c r="P3873" t="s">
        <v>55</v>
      </c>
      <c r="R3873" t="s">
        <v>56</v>
      </c>
      <c r="T3873" t="s">
        <v>6565</v>
      </c>
      <c r="U3873" t="s">
        <v>55</v>
      </c>
      <c r="V3873">
        <v>1</v>
      </c>
      <c r="W3873">
        <v>1</v>
      </c>
      <c r="X3873">
        <v>2</v>
      </c>
      <c r="Y3873">
        <v>0</v>
      </c>
      <c r="Z3873">
        <v>2</v>
      </c>
      <c r="AA3873">
        <v>0</v>
      </c>
      <c r="AB3873">
        <v>77</v>
      </c>
      <c r="AC3873">
        <v>77</v>
      </c>
      <c r="AD3873">
        <v>0</v>
      </c>
      <c r="AE3873">
        <v>0</v>
      </c>
      <c r="AF3873">
        <v>0</v>
      </c>
      <c r="AG3873">
        <v>0</v>
      </c>
      <c r="AH3873">
        <v>0</v>
      </c>
      <c r="AI3873">
        <v>13.86</v>
      </c>
      <c r="AJ3873">
        <v>77</v>
      </c>
      <c r="AK3873">
        <v>0</v>
      </c>
      <c r="AL3873" t="s">
        <v>53</v>
      </c>
      <c r="AM3873" t="s">
        <v>53</v>
      </c>
      <c r="AN3873" t="s">
        <v>53</v>
      </c>
      <c r="AO3873" t="s">
        <v>53</v>
      </c>
      <c r="AP3873" t="s">
        <v>53</v>
      </c>
    </row>
    <row r="3874" spans="2:42" x14ac:dyDescent="0.2">
      <c r="B3874" t="s">
        <v>44</v>
      </c>
      <c r="C3874" t="str">
        <f>HYPERLINK("https://us2.cloudbeds.com/connect/8493803454333002#/reservations/69277942661268?display=1G8HQ09MGW&amp;reservation_id=69277942661268", "1G8HQ09MGW")</f>
        <v>1G8HQ09MGW</v>
      </c>
      <c r="D3874" t="s">
        <v>45</v>
      </c>
      <c r="E3874" t="s">
        <v>110</v>
      </c>
      <c r="F3874" t="s">
        <v>47</v>
      </c>
      <c r="G3874" t="s">
        <v>48</v>
      </c>
      <c r="H3874" t="s">
        <v>49</v>
      </c>
      <c r="I3874" t="s">
        <v>62</v>
      </c>
      <c r="J3874" t="s">
        <v>6077</v>
      </c>
      <c r="K3874" t="s">
        <v>6563</v>
      </c>
      <c r="L3874" t="s">
        <v>53</v>
      </c>
      <c r="N3874" t="s">
        <v>6566</v>
      </c>
      <c r="P3874" t="s">
        <v>55</v>
      </c>
      <c r="R3874" t="s">
        <v>56</v>
      </c>
      <c r="T3874" t="s">
        <v>6567</v>
      </c>
      <c r="U3874" t="s">
        <v>55</v>
      </c>
      <c r="V3874">
        <v>1</v>
      </c>
      <c r="W3874">
        <v>1</v>
      </c>
      <c r="X3874">
        <v>2</v>
      </c>
      <c r="Y3874">
        <v>0</v>
      </c>
      <c r="Z3874">
        <v>2</v>
      </c>
      <c r="AA3874">
        <v>0</v>
      </c>
      <c r="AB3874">
        <v>68</v>
      </c>
      <c r="AC3874">
        <v>68</v>
      </c>
      <c r="AD3874">
        <v>0</v>
      </c>
      <c r="AE3874">
        <v>0</v>
      </c>
      <c r="AF3874">
        <v>0</v>
      </c>
      <c r="AG3874">
        <v>0</v>
      </c>
      <c r="AH3874">
        <v>0</v>
      </c>
      <c r="AI3874">
        <v>12.24</v>
      </c>
      <c r="AJ3874">
        <v>68</v>
      </c>
      <c r="AK3874">
        <v>0</v>
      </c>
      <c r="AL3874" t="s">
        <v>53</v>
      </c>
      <c r="AM3874" t="s">
        <v>53</v>
      </c>
      <c r="AN3874" t="s">
        <v>53</v>
      </c>
      <c r="AO3874" t="s">
        <v>53</v>
      </c>
      <c r="AP3874" t="s">
        <v>53</v>
      </c>
    </row>
    <row r="3875" spans="2:42" x14ac:dyDescent="0.2">
      <c r="B3875" t="s">
        <v>44</v>
      </c>
      <c r="C3875" t="str">
        <f>HYPERLINK("https://us2.cloudbeds.com/connect/8493803454333002#/reservations/69277894222028?display=1G8HZPEQ17&amp;reservation_id=69277894222028", "1G8HZPEQ17")</f>
        <v>1G8HZPEQ17</v>
      </c>
      <c r="D3875" t="s">
        <v>45</v>
      </c>
      <c r="E3875" t="s">
        <v>213</v>
      </c>
      <c r="F3875" t="s">
        <v>86</v>
      </c>
      <c r="G3875" t="s">
        <v>48</v>
      </c>
      <c r="H3875" t="s">
        <v>3957</v>
      </c>
      <c r="I3875" t="s">
        <v>3975</v>
      </c>
      <c r="J3875" t="s">
        <v>5677</v>
      </c>
      <c r="K3875" t="s">
        <v>5678</v>
      </c>
      <c r="L3875" t="s">
        <v>53</v>
      </c>
      <c r="P3875" t="s">
        <v>55</v>
      </c>
      <c r="R3875" t="s">
        <v>56</v>
      </c>
      <c r="T3875" t="s">
        <v>6568</v>
      </c>
      <c r="U3875" t="s">
        <v>58</v>
      </c>
      <c r="V3875">
        <v>3</v>
      </c>
      <c r="W3875">
        <v>1</v>
      </c>
      <c r="X3875">
        <v>1</v>
      </c>
      <c r="Y3875">
        <v>0</v>
      </c>
      <c r="Z3875">
        <v>1</v>
      </c>
      <c r="AA3875">
        <v>0</v>
      </c>
      <c r="AB3875">
        <v>278.45</v>
      </c>
      <c r="AC3875">
        <v>245</v>
      </c>
      <c r="AD3875">
        <v>0</v>
      </c>
      <c r="AE3875">
        <v>33.450000000000003</v>
      </c>
      <c r="AF3875">
        <v>0</v>
      </c>
      <c r="AG3875">
        <v>0</v>
      </c>
      <c r="AH3875">
        <v>0</v>
      </c>
      <c r="AI3875">
        <v>0</v>
      </c>
      <c r="AJ3875">
        <v>278.45</v>
      </c>
      <c r="AK3875">
        <v>0</v>
      </c>
      <c r="AL3875" t="s">
        <v>53</v>
      </c>
      <c r="AM3875" t="s">
        <v>53</v>
      </c>
      <c r="AN3875" t="s">
        <v>53</v>
      </c>
      <c r="AO3875" t="s">
        <v>53</v>
      </c>
      <c r="AP3875" t="s">
        <v>53</v>
      </c>
    </row>
    <row r="3876" spans="2:42" x14ac:dyDescent="0.2">
      <c r="B3876" t="s">
        <v>44</v>
      </c>
      <c r="C3876" t="str">
        <f>HYPERLINK("https://us2.cloudbeds.com/connect/8493803454333002#/reservations/69283858718856?display=1G8MC5SN9B&amp;reservation_id=69283858718856", "1G8MC5SN9B")</f>
        <v>1G8MC5SN9B</v>
      </c>
      <c r="D3876" t="s">
        <v>45</v>
      </c>
      <c r="E3876" t="s">
        <v>121</v>
      </c>
      <c r="F3876" t="s">
        <v>86</v>
      </c>
      <c r="G3876" t="s">
        <v>48</v>
      </c>
      <c r="H3876" t="s">
        <v>3957</v>
      </c>
      <c r="I3876" t="s">
        <v>3975</v>
      </c>
      <c r="J3876" t="s">
        <v>6078</v>
      </c>
      <c r="K3876" t="s">
        <v>6412</v>
      </c>
      <c r="L3876" t="s">
        <v>53</v>
      </c>
      <c r="P3876" t="s">
        <v>58</v>
      </c>
      <c r="R3876" t="s">
        <v>56</v>
      </c>
      <c r="T3876" t="s">
        <v>6569</v>
      </c>
      <c r="U3876" t="s">
        <v>58</v>
      </c>
      <c r="V3876">
        <v>1</v>
      </c>
      <c r="W3876">
        <v>1</v>
      </c>
      <c r="X3876">
        <v>1</v>
      </c>
      <c r="Y3876">
        <v>0</v>
      </c>
      <c r="Z3876">
        <v>1</v>
      </c>
      <c r="AA3876">
        <v>0</v>
      </c>
      <c r="AB3876">
        <v>95.47</v>
      </c>
      <c r="AC3876">
        <v>84</v>
      </c>
      <c r="AD3876">
        <v>0</v>
      </c>
      <c r="AE3876">
        <v>11.47</v>
      </c>
      <c r="AF3876">
        <v>0</v>
      </c>
      <c r="AG3876">
        <v>0</v>
      </c>
      <c r="AH3876">
        <v>0</v>
      </c>
      <c r="AI3876">
        <v>0</v>
      </c>
      <c r="AJ3876">
        <v>95.47</v>
      </c>
      <c r="AK3876">
        <v>0</v>
      </c>
      <c r="AL3876" t="s">
        <v>53</v>
      </c>
      <c r="AM3876" t="s">
        <v>53</v>
      </c>
      <c r="AN3876" t="s">
        <v>53</v>
      </c>
      <c r="AO3876" t="s">
        <v>53</v>
      </c>
      <c r="AP3876" t="s">
        <v>53</v>
      </c>
    </row>
    <row r="3877" spans="2:42" x14ac:dyDescent="0.2">
      <c r="B3877" t="s">
        <v>44</v>
      </c>
      <c r="C3877" t="str">
        <f>HYPERLINK("https://us2.cloudbeds.com/connect/8493803454333002#/reservations/69682171793551?display=1GX0Q005EU&amp;reservation_id=69682171793551", "1GX0Q005EU")</f>
        <v>1GX0Q005EU</v>
      </c>
      <c r="D3877" t="s">
        <v>45</v>
      </c>
      <c r="E3877" t="s">
        <v>46</v>
      </c>
      <c r="F3877" t="s">
        <v>47</v>
      </c>
      <c r="G3877" t="s">
        <v>48</v>
      </c>
      <c r="H3877" t="s">
        <v>3957</v>
      </c>
      <c r="I3877" t="s">
        <v>3975</v>
      </c>
      <c r="J3877" t="s">
        <v>6403</v>
      </c>
      <c r="K3877" t="s">
        <v>6501</v>
      </c>
      <c r="L3877" t="s">
        <v>53</v>
      </c>
      <c r="P3877" t="s">
        <v>55</v>
      </c>
      <c r="R3877" t="s">
        <v>56</v>
      </c>
      <c r="T3877" t="s">
        <v>6570</v>
      </c>
      <c r="U3877" t="s">
        <v>58</v>
      </c>
      <c r="V3877">
        <v>4</v>
      </c>
      <c r="W3877">
        <v>1</v>
      </c>
      <c r="X3877">
        <v>1</v>
      </c>
      <c r="Y3877">
        <v>0</v>
      </c>
      <c r="Z3877">
        <v>1</v>
      </c>
      <c r="AA3877">
        <v>0</v>
      </c>
      <c r="AB3877">
        <v>309.12</v>
      </c>
      <c r="AC3877">
        <v>272</v>
      </c>
      <c r="AD3877">
        <v>0</v>
      </c>
      <c r="AE3877">
        <v>37.119999999999997</v>
      </c>
      <c r="AF3877">
        <v>0</v>
      </c>
      <c r="AG3877">
        <v>0</v>
      </c>
      <c r="AH3877">
        <v>0</v>
      </c>
      <c r="AI3877">
        <v>0</v>
      </c>
      <c r="AJ3877">
        <v>309.12</v>
      </c>
      <c r="AK3877">
        <v>0</v>
      </c>
      <c r="AL3877" t="s">
        <v>53</v>
      </c>
      <c r="AM3877" t="s">
        <v>53</v>
      </c>
      <c r="AN3877" t="s">
        <v>53</v>
      </c>
      <c r="AO3877" t="s">
        <v>53</v>
      </c>
      <c r="AP3877" t="s">
        <v>53</v>
      </c>
    </row>
    <row r="3878" spans="2:42" x14ac:dyDescent="0.2">
      <c r="B3878" t="s">
        <v>44</v>
      </c>
      <c r="C3878" t="str">
        <f>HYPERLINK("https://us2.cloudbeds.com/connect/8493803454333002#/reservations/69720639693018?display=1GXUXV55Z5&amp;reservation_id=69720639693018", "1GXUXV55Z5")</f>
        <v>1GXUXV55Z5</v>
      </c>
      <c r="D3878" t="s">
        <v>45</v>
      </c>
      <c r="E3878" t="s">
        <v>92</v>
      </c>
      <c r="F3878" t="s">
        <v>86</v>
      </c>
      <c r="G3878" t="s">
        <v>48</v>
      </c>
      <c r="H3878" t="s">
        <v>3957</v>
      </c>
      <c r="I3878" t="s">
        <v>3975</v>
      </c>
      <c r="J3878" t="s">
        <v>6078</v>
      </c>
      <c r="K3878" t="s">
        <v>6412</v>
      </c>
      <c r="L3878" t="s">
        <v>53</v>
      </c>
      <c r="P3878" t="s">
        <v>55</v>
      </c>
      <c r="R3878" t="s">
        <v>56</v>
      </c>
      <c r="T3878" t="s">
        <v>6571</v>
      </c>
      <c r="U3878" t="s">
        <v>58</v>
      </c>
      <c r="V3878">
        <v>1</v>
      </c>
      <c r="W3878">
        <v>1</v>
      </c>
      <c r="X3878">
        <v>2</v>
      </c>
      <c r="Y3878">
        <v>0</v>
      </c>
      <c r="Z3878">
        <v>2</v>
      </c>
      <c r="AA3878">
        <v>0</v>
      </c>
      <c r="AB3878">
        <v>95.47</v>
      </c>
      <c r="AC3878">
        <v>84</v>
      </c>
      <c r="AD3878">
        <v>0</v>
      </c>
      <c r="AE3878">
        <v>11.47</v>
      </c>
      <c r="AF3878">
        <v>0</v>
      </c>
      <c r="AG3878">
        <v>0</v>
      </c>
      <c r="AH3878">
        <v>0</v>
      </c>
      <c r="AI3878">
        <v>0</v>
      </c>
      <c r="AJ3878">
        <v>95.47</v>
      </c>
      <c r="AK3878">
        <v>0</v>
      </c>
      <c r="AL3878" t="s">
        <v>53</v>
      </c>
      <c r="AM3878" t="s">
        <v>53</v>
      </c>
      <c r="AN3878" t="s">
        <v>53</v>
      </c>
      <c r="AO3878" t="s">
        <v>53</v>
      </c>
      <c r="AP3878" t="s">
        <v>53</v>
      </c>
    </row>
    <row r="3879" spans="2:42" x14ac:dyDescent="0.2">
      <c r="B3879" t="s">
        <v>44</v>
      </c>
      <c r="C3879" t="str">
        <f>HYPERLINK("https://us2.cloudbeds.com/connect/8493803454333002#/reservations/69928947970188?display=1GNQSN71QK&amp;reservation_id=69928947970188", "1GNQSN71QK")</f>
        <v>1GNQSN71QK</v>
      </c>
      <c r="D3879" t="s">
        <v>45</v>
      </c>
      <c r="E3879" t="s">
        <v>113</v>
      </c>
      <c r="F3879" t="s">
        <v>61</v>
      </c>
      <c r="G3879" t="s">
        <v>48</v>
      </c>
      <c r="H3879" t="s">
        <v>3957</v>
      </c>
      <c r="I3879" t="s">
        <v>3975</v>
      </c>
      <c r="J3879" t="s">
        <v>5677</v>
      </c>
      <c r="K3879" t="s">
        <v>6078</v>
      </c>
      <c r="L3879" t="s">
        <v>53</v>
      </c>
      <c r="P3879" t="s">
        <v>55</v>
      </c>
      <c r="R3879" t="s">
        <v>56</v>
      </c>
      <c r="T3879" t="s">
        <v>6572</v>
      </c>
      <c r="U3879" t="s">
        <v>58</v>
      </c>
      <c r="V3879">
        <v>1</v>
      </c>
      <c r="W3879">
        <v>1</v>
      </c>
      <c r="X3879">
        <v>1</v>
      </c>
      <c r="Y3879">
        <v>0</v>
      </c>
      <c r="Z3879">
        <v>1</v>
      </c>
      <c r="AA3879">
        <v>0</v>
      </c>
      <c r="AB3879">
        <v>82.97</v>
      </c>
      <c r="AC3879">
        <v>73</v>
      </c>
      <c r="AD3879">
        <v>0</v>
      </c>
      <c r="AE3879">
        <v>9.9700000000000006</v>
      </c>
      <c r="AF3879">
        <v>0</v>
      </c>
      <c r="AG3879">
        <v>0</v>
      </c>
      <c r="AH3879">
        <v>0</v>
      </c>
      <c r="AI3879">
        <v>0</v>
      </c>
      <c r="AJ3879">
        <v>82.97</v>
      </c>
      <c r="AK3879">
        <v>0</v>
      </c>
      <c r="AL3879" t="s">
        <v>53</v>
      </c>
      <c r="AM3879" t="s">
        <v>53</v>
      </c>
      <c r="AN3879" t="s">
        <v>53</v>
      </c>
      <c r="AO3879" t="s">
        <v>53</v>
      </c>
      <c r="AP3879" t="s">
        <v>53</v>
      </c>
    </row>
    <row r="3880" spans="2:42" x14ac:dyDescent="0.2">
      <c r="B3880" t="s">
        <v>44</v>
      </c>
      <c r="C3880" t="str">
        <f>HYPERLINK("https://us2.cloudbeds.com/connect/8493803454333002#/reservations/69956628488374?display=1GZFA05950&amp;reservation_id=69956628488374", "1GZFA05950")</f>
        <v>1GZFA05950</v>
      </c>
      <c r="D3880" t="s">
        <v>45</v>
      </c>
      <c r="E3880" t="s">
        <v>92</v>
      </c>
      <c r="F3880" t="s">
        <v>86</v>
      </c>
      <c r="G3880" t="s">
        <v>48</v>
      </c>
      <c r="H3880" t="s">
        <v>49</v>
      </c>
      <c r="I3880" t="s">
        <v>50</v>
      </c>
      <c r="J3880" t="s">
        <v>6412</v>
      </c>
      <c r="K3880" t="s">
        <v>5678</v>
      </c>
      <c r="L3880" t="s">
        <v>53</v>
      </c>
      <c r="N3880" t="s">
        <v>6573</v>
      </c>
      <c r="P3880" t="s">
        <v>55</v>
      </c>
      <c r="R3880" t="s">
        <v>53</v>
      </c>
      <c r="T3880" t="s">
        <v>6574</v>
      </c>
      <c r="U3880" t="s">
        <v>58</v>
      </c>
      <c r="V3880">
        <v>1</v>
      </c>
      <c r="W3880">
        <v>1</v>
      </c>
      <c r="X3880">
        <v>2</v>
      </c>
      <c r="Y3880">
        <v>2</v>
      </c>
      <c r="Z3880">
        <v>4</v>
      </c>
      <c r="AA3880">
        <v>0</v>
      </c>
      <c r="AB3880">
        <v>86.95</v>
      </c>
      <c r="AC3880">
        <v>76.5</v>
      </c>
      <c r="AD3880">
        <v>0</v>
      </c>
      <c r="AE3880">
        <v>10.45</v>
      </c>
      <c r="AF3880">
        <v>0</v>
      </c>
      <c r="AG3880">
        <v>0</v>
      </c>
      <c r="AH3880">
        <v>0</v>
      </c>
      <c r="AI3880">
        <v>15.65</v>
      </c>
      <c r="AJ3880">
        <v>86.95</v>
      </c>
      <c r="AK3880">
        <v>0</v>
      </c>
      <c r="AL3880" t="s">
        <v>53</v>
      </c>
      <c r="AM3880" t="s">
        <v>53</v>
      </c>
      <c r="AN3880" t="s">
        <v>53</v>
      </c>
      <c r="AO3880" t="s">
        <v>53</v>
      </c>
      <c r="AP3880" t="s">
        <v>53</v>
      </c>
    </row>
    <row r="3881" spans="2:42" x14ac:dyDescent="0.2">
      <c r="B3881" t="s">
        <v>44</v>
      </c>
      <c r="C3881" t="str">
        <f>HYPERLINK("https://us2.cloudbeds.com/connect/8493803454333002#/reservations/70007060922566?display=1GPYBM43BJ&amp;reservation_id=70007060922566", "1GPYBM43BJ")</f>
        <v>1GPYBM43BJ</v>
      </c>
      <c r="D3881" t="s">
        <v>45</v>
      </c>
      <c r="E3881" t="s">
        <v>128</v>
      </c>
      <c r="F3881" t="s">
        <v>86</v>
      </c>
      <c r="G3881" t="s">
        <v>48</v>
      </c>
      <c r="H3881" t="s">
        <v>49</v>
      </c>
      <c r="I3881" t="s">
        <v>62</v>
      </c>
      <c r="J3881" t="s">
        <v>6412</v>
      </c>
      <c r="K3881" t="s">
        <v>5678</v>
      </c>
      <c r="L3881" t="s">
        <v>53</v>
      </c>
      <c r="N3881" t="s">
        <v>6575</v>
      </c>
      <c r="P3881" t="s">
        <v>55</v>
      </c>
      <c r="R3881" t="s">
        <v>56</v>
      </c>
      <c r="T3881" t="s">
        <v>6576</v>
      </c>
      <c r="U3881" t="s">
        <v>55</v>
      </c>
      <c r="V3881">
        <v>1</v>
      </c>
      <c r="W3881">
        <v>1</v>
      </c>
      <c r="X3881">
        <v>2</v>
      </c>
      <c r="Y3881">
        <v>0</v>
      </c>
      <c r="Z3881">
        <v>2</v>
      </c>
      <c r="AA3881">
        <v>0</v>
      </c>
      <c r="AB3881">
        <v>84</v>
      </c>
      <c r="AC3881">
        <v>84</v>
      </c>
      <c r="AD3881">
        <v>0</v>
      </c>
      <c r="AE3881">
        <v>0</v>
      </c>
      <c r="AF3881">
        <v>0</v>
      </c>
      <c r="AG3881">
        <v>0</v>
      </c>
      <c r="AH3881">
        <v>0</v>
      </c>
      <c r="AI3881">
        <v>15.12</v>
      </c>
      <c r="AJ3881">
        <v>84</v>
      </c>
      <c r="AK3881">
        <v>0</v>
      </c>
      <c r="AL3881" t="s">
        <v>53</v>
      </c>
      <c r="AM3881" t="s">
        <v>53</v>
      </c>
      <c r="AN3881" t="s">
        <v>53</v>
      </c>
      <c r="AO3881" t="s">
        <v>53</v>
      </c>
      <c r="AP3881" t="s">
        <v>53</v>
      </c>
    </row>
    <row r="3882" spans="2:42" x14ac:dyDescent="0.2">
      <c r="B3882" t="s">
        <v>44</v>
      </c>
      <c r="C3882" t="str">
        <f>HYPERLINK("https://us2.cloudbeds.com/connect/8493803454333002#/reservations/70030415028386?display=1GQ6EDUH7V&amp;reservation_id=70030415028386", "1GQ6EDUH7V")</f>
        <v>1GQ6EDUH7V</v>
      </c>
      <c r="D3882" t="s">
        <v>45</v>
      </c>
      <c r="E3882" t="s">
        <v>305</v>
      </c>
      <c r="F3882" t="s">
        <v>61</v>
      </c>
      <c r="G3882" t="s">
        <v>48</v>
      </c>
      <c r="H3882" t="s">
        <v>49</v>
      </c>
      <c r="I3882" t="s">
        <v>62</v>
      </c>
      <c r="J3882" t="s">
        <v>5677</v>
      </c>
      <c r="K3882" t="s">
        <v>6078</v>
      </c>
      <c r="L3882" t="s">
        <v>53</v>
      </c>
      <c r="N3882" t="s">
        <v>6577</v>
      </c>
      <c r="P3882" t="s">
        <v>55</v>
      </c>
      <c r="R3882" t="s">
        <v>56</v>
      </c>
      <c r="T3882" t="s">
        <v>6578</v>
      </c>
      <c r="U3882" t="s">
        <v>55</v>
      </c>
      <c r="V3882">
        <v>1</v>
      </c>
      <c r="W3882">
        <v>1</v>
      </c>
      <c r="X3882">
        <v>1</v>
      </c>
      <c r="Y3882">
        <v>0</v>
      </c>
      <c r="Z3882">
        <v>1</v>
      </c>
      <c r="AA3882">
        <v>0</v>
      </c>
      <c r="AB3882">
        <v>73</v>
      </c>
      <c r="AC3882">
        <v>73</v>
      </c>
      <c r="AD3882">
        <v>0</v>
      </c>
      <c r="AE3882">
        <v>0</v>
      </c>
      <c r="AF3882">
        <v>0</v>
      </c>
      <c r="AG3882">
        <v>0</v>
      </c>
      <c r="AH3882">
        <v>0</v>
      </c>
      <c r="AI3882">
        <v>13.14</v>
      </c>
      <c r="AJ3882">
        <v>73</v>
      </c>
      <c r="AK3882">
        <v>0</v>
      </c>
      <c r="AL3882" t="s">
        <v>53</v>
      </c>
      <c r="AM3882" t="s">
        <v>53</v>
      </c>
      <c r="AN3882" t="s">
        <v>53</v>
      </c>
      <c r="AO3882" t="s">
        <v>53</v>
      </c>
      <c r="AP3882" t="s">
        <v>53</v>
      </c>
    </row>
    <row r="3883" spans="2:42" x14ac:dyDescent="0.2">
      <c r="B3883" t="s">
        <v>44</v>
      </c>
      <c r="C3883" t="str">
        <f>HYPERLINK("https://us2.cloudbeds.com/connect/8493803454333002#/reservations/70052961075339?display=1GQNTHBGVW&amp;reservation_id=70052961075339", "1GQNTHBGVW")</f>
        <v>1GQNTHBGVW</v>
      </c>
      <c r="D3883" t="s">
        <v>45</v>
      </c>
      <c r="E3883" t="s">
        <v>85</v>
      </c>
      <c r="F3883" t="s">
        <v>86</v>
      </c>
      <c r="G3883" t="s">
        <v>48</v>
      </c>
      <c r="H3883" t="s">
        <v>3957</v>
      </c>
      <c r="I3883" t="s">
        <v>3958</v>
      </c>
      <c r="J3883" t="s">
        <v>5677</v>
      </c>
      <c r="K3883" t="s">
        <v>6078</v>
      </c>
      <c r="L3883" t="s">
        <v>53</v>
      </c>
      <c r="P3883" t="s">
        <v>55</v>
      </c>
      <c r="R3883" t="s">
        <v>56</v>
      </c>
      <c r="T3883" t="s">
        <v>6579</v>
      </c>
      <c r="U3883" t="s">
        <v>58</v>
      </c>
      <c r="V3883">
        <v>1</v>
      </c>
      <c r="W3883">
        <v>1</v>
      </c>
      <c r="X3883">
        <v>1</v>
      </c>
      <c r="Y3883">
        <v>0</v>
      </c>
      <c r="Z3883">
        <v>1</v>
      </c>
      <c r="AA3883">
        <v>0</v>
      </c>
      <c r="AB3883">
        <v>87.51</v>
      </c>
      <c r="AC3883">
        <v>77</v>
      </c>
      <c r="AD3883">
        <v>0</v>
      </c>
      <c r="AE3883">
        <v>10.51</v>
      </c>
      <c r="AF3883">
        <v>0</v>
      </c>
      <c r="AG3883">
        <v>0</v>
      </c>
      <c r="AH3883">
        <v>0</v>
      </c>
      <c r="AI3883">
        <v>0</v>
      </c>
      <c r="AJ3883">
        <v>87.51</v>
      </c>
      <c r="AK3883">
        <v>0</v>
      </c>
      <c r="AL3883" t="s">
        <v>53</v>
      </c>
      <c r="AM3883" t="s">
        <v>53</v>
      </c>
      <c r="AN3883" t="s">
        <v>53</v>
      </c>
      <c r="AO3883" t="s">
        <v>53</v>
      </c>
      <c r="AP3883" t="s">
        <v>53</v>
      </c>
    </row>
    <row r="3884" spans="2:42" x14ac:dyDescent="0.2">
      <c r="B3884" t="s">
        <v>44</v>
      </c>
      <c r="C3884" t="str">
        <f>HYPERLINK("https://us2.cloudbeds.com/connect/8493803454333002#/reservations/70067856941208?display=1GR2E4UV0Q&amp;reservation_id=70067856941208", "1GR2E4UV0Q")</f>
        <v>1GR2E4UV0Q</v>
      </c>
      <c r="D3884" t="s">
        <v>45</v>
      </c>
      <c r="E3884" t="s">
        <v>165</v>
      </c>
      <c r="F3884" t="s">
        <v>61</v>
      </c>
      <c r="G3884" t="s">
        <v>48</v>
      </c>
      <c r="H3884" t="s">
        <v>49</v>
      </c>
      <c r="I3884" t="s">
        <v>50</v>
      </c>
      <c r="J3884" t="s">
        <v>5678</v>
      </c>
      <c r="K3884" t="s">
        <v>6403</v>
      </c>
      <c r="L3884" t="s">
        <v>53</v>
      </c>
      <c r="N3884" t="s">
        <v>6580</v>
      </c>
      <c r="P3884" t="s">
        <v>55</v>
      </c>
      <c r="R3884" t="s">
        <v>53</v>
      </c>
      <c r="T3884" t="s">
        <v>6581</v>
      </c>
      <c r="U3884" t="s">
        <v>58</v>
      </c>
      <c r="V3884">
        <v>1</v>
      </c>
      <c r="W3884">
        <v>1</v>
      </c>
      <c r="X3884">
        <v>2</v>
      </c>
      <c r="Y3884">
        <v>0</v>
      </c>
      <c r="Z3884">
        <v>2</v>
      </c>
      <c r="AA3884">
        <v>67.62</v>
      </c>
      <c r="AB3884">
        <v>67.62</v>
      </c>
      <c r="AC3884">
        <v>59.5</v>
      </c>
      <c r="AD3884">
        <v>0</v>
      </c>
      <c r="AE3884">
        <v>8.1199999999999992</v>
      </c>
      <c r="AF3884">
        <v>0</v>
      </c>
      <c r="AG3884">
        <v>0</v>
      </c>
      <c r="AH3884">
        <v>0</v>
      </c>
      <c r="AI3884">
        <v>12.17</v>
      </c>
      <c r="AJ3884">
        <v>67.62</v>
      </c>
      <c r="AK3884">
        <v>0</v>
      </c>
      <c r="AL3884" t="s">
        <v>53</v>
      </c>
      <c r="AM3884" t="s">
        <v>53</v>
      </c>
      <c r="AN3884" t="s">
        <v>53</v>
      </c>
      <c r="AO3884" t="s">
        <v>53</v>
      </c>
      <c r="AP3884" t="s">
        <v>53</v>
      </c>
    </row>
    <row r="3885" spans="2:42" x14ac:dyDescent="0.2">
      <c r="B3885" t="s">
        <v>44</v>
      </c>
      <c r="C3885" t="str">
        <f>HYPERLINK("https://us2.cloudbeds.com/connect/8493803454333002#/reservations/70210143572163?display=1GUDJTQ6BB&amp;reservation_id=70210143572163", "1GUDJTQ6BB")</f>
        <v>1GUDJTQ6BB</v>
      </c>
      <c r="D3885" t="s">
        <v>45</v>
      </c>
      <c r="E3885" t="s">
        <v>85</v>
      </c>
      <c r="F3885" t="s">
        <v>86</v>
      </c>
      <c r="G3885" t="s">
        <v>48</v>
      </c>
      <c r="H3885" t="s">
        <v>49</v>
      </c>
      <c r="I3885" t="s">
        <v>50</v>
      </c>
      <c r="J3885" t="s">
        <v>6519</v>
      </c>
      <c r="K3885" t="s">
        <v>6520</v>
      </c>
      <c r="L3885" t="s">
        <v>53</v>
      </c>
      <c r="N3885" t="s">
        <v>6582</v>
      </c>
      <c r="P3885" t="s">
        <v>55</v>
      </c>
      <c r="R3885" t="s">
        <v>53</v>
      </c>
      <c r="T3885" t="s">
        <v>6583</v>
      </c>
      <c r="U3885" t="s">
        <v>58</v>
      </c>
      <c r="V3885">
        <v>2</v>
      </c>
      <c r="W3885">
        <v>1</v>
      </c>
      <c r="X3885">
        <v>1</v>
      </c>
      <c r="Y3885">
        <v>0</v>
      </c>
      <c r="Z3885">
        <v>1</v>
      </c>
      <c r="AA3885">
        <v>0</v>
      </c>
      <c r="AB3885">
        <v>200.49</v>
      </c>
      <c r="AC3885">
        <v>176.4</v>
      </c>
      <c r="AD3885">
        <v>0</v>
      </c>
      <c r="AE3885">
        <v>24.09</v>
      </c>
      <c r="AF3885">
        <v>0</v>
      </c>
      <c r="AG3885">
        <v>0</v>
      </c>
      <c r="AH3885">
        <v>0</v>
      </c>
      <c r="AI3885">
        <v>36.090000000000003</v>
      </c>
      <c r="AJ3885">
        <v>200.49</v>
      </c>
      <c r="AK3885">
        <v>0</v>
      </c>
      <c r="AL3885" t="s">
        <v>53</v>
      </c>
      <c r="AM3885" t="s">
        <v>53</v>
      </c>
      <c r="AN3885" t="s">
        <v>53</v>
      </c>
      <c r="AO3885" t="s">
        <v>53</v>
      </c>
      <c r="AP3885" t="s">
        <v>53</v>
      </c>
    </row>
    <row r="3886" spans="2:42" x14ac:dyDescent="0.2">
      <c r="B3886" t="s">
        <v>44</v>
      </c>
      <c r="C3886" t="str">
        <f>HYPERLINK("https://us2.cloudbeds.com/connect/8493803454333002#/reservations/70363096727683?display=1H1016V720&amp;reservation_id=70363096727683", "1H1016V720")</f>
        <v>1H1016V720</v>
      </c>
      <c r="D3886" t="s">
        <v>45</v>
      </c>
      <c r="E3886" t="s">
        <v>85</v>
      </c>
      <c r="F3886" t="s">
        <v>86</v>
      </c>
      <c r="G3886" t="s">
        <v>48</v>
      </c>
      <c r="H3886" t="s">
        <v>49</v>
      </c>
      <c r="I3886" t="s">
        <v>50</v>
      </c>
      <c r="J3886" t="s">
        <v>6501</v>
      </c>
      <c r="K3886" t="s">
        <v>5805</v>
      </c>
      <c r="L3886" t="s">
        <v>53</v>
      </c>
      <c r="N3886" t="s">
        <v>6584</v>
      </c>
      <c r="P3886" t="s">
        <v>55</v>
      </c>
      <c r="R3886" t="s">
        <v>53</v>
      </c>
      <c r="T3886" t="s">
        <v>6585</v>
      </c>
      <c r="U3886" t="s">
        <v>58</v>
      </c>
      <c r="V3886">
        <v>1</v>
      </c>
      <c r="W3886">
        <v>1</v>
      </c>
      <c r="X3886">
        <v>2</v>
      </c>
      <c r="Y3886">
        <v>2</v>
      </c>
      <c r="Z3886">
        <v>4</v>
      </c>
      <c r="AA3886">
        <v>70.010000000000005</v>
      </c>
      <c r="AB3886">
        <v>70.010000000000005</v>
      </c>
      <c r="AC3886">
        <v>61.6</v>
      </c>
      <c r="AD3886">
        <v>0</v>
      </c>
      <c r="AE3886">
        <v>8.41</v>
      </c>
      <c r="AF3886">
        <v>0</v>
      </c>
      <c r="AG3886">
        <v>0</v>
      </c>
      <c r="AH3886">
        <v>0</v>
      </c>
      <c r="AI3886">
        <v>12.6</v>
      </c>
      <c r="AJ3886">
        <v>70.010000000000005</v>
      </c>
      <c r="AK3886">
        <v>0</v>
      </c>
      <c r="AL3886" t="s">
        <v>53</v>
      </c>
      <c r="AM3886" t="s">
        <v>53</v>
      </c>
      <c r="AN3886" t="s">
        <v>53</v>
      </c>
      <c r="AO3886" t="s">
        <v>53</v>
      </c>
      <c r="AP3886" t="s">
        <v>53</v>
      </c>
    </row>
    <row r="3887" spans="2:42" x14ac:dyDescent="0.2">
      <c r="B3887" t="s">
        <v>44</v>
      </c>
      <c r="C3887" t="str">
        <f>HYPERLINK("https://us2.cloudbeds.com/connect/8493803454333002#/reservations/70391334248667?display=1H1YTZXSD2&amp;reservation_id=70391334248667", "1H1YTZXSD2")</f>
        <v>1H1YTZXSD2</v>
      </c>
      <c r="D3887" t="s">
        <v>45</v>
      </c>
      <c r="E3887" t="s">
        <v>128</v>
      </c>
      <c r="F3887" t="s">
        <v>86</v>
      </c>
      <c r="G3887" t="s">
        <v>3974</v>
      </c>
      <c r="H3887" t="s">
        <v>3957</v>
      </c>
      <c r="I3887" t="s">
        <v>3975</v>
      </c>
      <c r="J3887" t="s">
        <v>6586</v>
      </c>
      <c r="K3887" t="s">
        <v>5430</v>
      </c>
      <c r="L3887" t="s">
        <v>53</v>
      </c>
      <c r="P3887" t="s">
        <v>55</v>
      </c>
      <c r="R3887" t="s">
        <v>56</v>
      </c>
      <c r="T3887" t="s">
        <v>6587</v>
      </c>
      <c r="U3887" t="s">
        <v>58</v>
      </c>
      <c r="V3887">
        <v>2</v>
      </c>
      <c r="W3887">
        <v>1</v>
      </c>
      <c r="X3887">
        <v>2</v>
      </c>
      <c r="Y3887">
        <v>0</v>
      </c>
      <c r="Z3887">
        <v>2</v>
      </c>
      <c r="AA3887">
        <v>0</v>
      </c>
      <c r="AB3887">
        <v>436.77</v>
      </c>
      <c r="AC3887">
        <v>384.3</v>
      </c>
      <c r="AD3887">
        <v>0</v>
      </c>
      <c r="AE3887">
        <v>52.47</v>
      </c>
      <c r="AF3887">
        <v>0</v>
      </c>
      <c r="AG3887">
        <v>0</v>
      </c>
      <c r="AH3887">
        <v>0</v>
      </c>
      <c r="AI3887">
        <v>0</v>
      </c>
      <c r="AJ3887">
        <v>436.77</v>
      </c>
      <c r="AK3887">
        <v>0</v>
      </c>
      <c r="AL3887" t="s">
        <v>53</v>
      </c>
      <c r="AM3887" t="s">
        <v>53</v>
      </c>
      <c r="AN3887" t="s">
        <v>53</v>
      </c>
      <c r="AO3887" t="s">
        <v>53</v>
      </c>
      <c r="AP3887" t="s">
        <v>53</v>
      </c>
    </row>
    <row r="3888" spans="2:42" x14ac:dyDescent="0.2">
      <c r="B3888" t="s">
        <v>44</v>
      </c>
      <c r="C3888" t="str">
        <f>HYPERLINK("https://us2.cloudbeds.com/connect/8493803454333002#/reservations/70534920528075?display=1H512NAZY2&amp;reservation_id=70534920528075", "1H512NAZY2")</f>
        <v>1H512NAZY2</v>
      </c>
      <c r="D3888" t="s">
        <v>45</v>
      </c>
      <c r="E3888" t="s">
        <v>113</v>
      </c>
      <c r="F3888" t="s">
        <v>61</v>
      </c>
      <c r="G3888" t="s">
        <v>48</v>
      </c>
      <c r="H3888" t="s">
        <v>49</v>
      </c>
      <c r="I3888" t="s">
        <v>50</v>
      </c>
      <c r="J3888" t="s">
        <v>6519</v>
      </c>
      <c r="K3888" t="s">
        <v>6520</v>
      </c>
      <c r="L3888" t="s">
        <v>53</v>
      </c>
      <c r="N3888" t="s">
        <v>6588</v>
      </c>
      <c r="P3888" t="s">
        <v>55</v>
      </c>
      <c r="R3888" t="s">
        <v>53</v>
      </c>
      <c r="T3888" t="s">
        <v>6589</v>
      </c>
      <c r="U3888" t="s">
        <v>58</v>
      </c>
      <c r="V3888">
        <v>2</v>
      </c>
      <c r="W3888">
        <v>1</v>
      </c>
      <c r="X3888">
        <v>1</v>
      </c>
      <c r="Y3888">
        <v>0</v>
      </c>
      <c r="Z3888">
        <v>1</v>
      </c>
      <c r="AA3888">
        <v>0</v>
      </c>
      <c r="AB3888">
        <v>169.39</v>
      </c>
      <c r="AC3888">
        <v>149.04</v>
      </c>
      <c r="AD3888">
        <v>0</v>
      </c>
      <c r="AE3888">
        <v>20.350000000000001</v>
      </c>
      <c r="AF3888">
        <v>0</v>
      </c>
      <c r="AG3888">
        <v>0</v>
      </c>
      <c r="AH3888">
        <v>0</v>
      </c>
      <c r="AI3888">
        <v>30.49</v>
      </c>
      <c r="AJ3888">
        <v>169.39</v>
      </c>
      <c r="AK3888">
        <v>0</v>
      </c>
      <c r="AL3888" t="s">
        <v>53</v>
      </c>
      <c r="AM3888" t="s">
        <v>53</v>
      </c>
      <c r="AN3888" t="s">
        <v>53</v>
      </c>
      <c r="AO3888" t="s">
        <v>53</v>
      </c>
      <c r="AP3888" t="s">
        <v>53</v>
      </c>
    </row>
    <row r="3889" spans="2:42" x14ac:dyDescent="0.2">
      <c r="B3889" t="s">
        <v>44</v>
      </c>
      <c r="C3889" t="str">
        <f>HYPERLINK("https://us2.cloudbeds.com/connect/8493803454333002#/reservations/70657171738831?display=1H7TZGPTK6&amp;reservation_id=70657171738831", "1H7TZGPTK6")</f>
        <v>1H7TZGPTK6</v>
      </c>
      <c r="D3889" t="s">
        <v>45</v>
      </c>
      <c r="E3889" t="s">
        <v>113</v>
      </c>
      <c r="F3889" t="s">
        <v>61</v>
      </c>
      <c r="G3889" t="s">
        <v>48</v>
      </c>
      <c r="H3889" t="s">
        <v>3957</v>
      </c>
      <c r="I3889" t="s">
        <v>3975</v>
      </c>
      <c r="J3889" t="s">
        <v>6501</v>
      </c>
      <c r="K3889" t="s">
        <v>6146</v>
      </c>
      <c r="L3889" t="s">
        <v>53</v>
      </c>
      <c r="P3889" t="s">
        <v>55</v>
      </c>
      <c r="R3889" t="s">
        <v>56</v>
      </c>
      <c r="T3889" t="s">
        <v>6590</v>
      </c>
      <c r="U3889" t="s">
        <v>58</v>
      </c>
      <c r="V3889">
        <v>2</v>
      </c>
      <c r="W3889">
        <v>1</v>
      </c>
      <c r="X3889">
        <v>2</v>
      </c>
      <c r="Y3889">
        <v>0</v>
      </c>
      <c r="Z3889">
        <v>2</v>
      </c>
      <c r="AA3889">
        <v>156.84</v>
      </c>
      <c r="AB3889">
        <v>156.84</v>
      </c>
      <c r="AC3889">
        <v>138</v>
      </c>
      <c r="AD3889">
        <v>0</v>
      </c>
      <c r="AE3889">
        <v>18.84</v>
      </c>
      <c r="AF3889">
        <v>0</v>
      </c>
      <c r="AG3889">
        <v>0</v>
      </c>
      <c r="AH3889">
        <v>0</v>
      </c>
      <c r="AI3889">
        <v>0</v>
      </c>
      <c r="AJ3889">
        <v>156.84</v>
      </c>
      <c r="AK3889">
        <v>0</v>
      </c>
      <c r="AL3889" t="s">
        <v>53</v>
      </c>
      <c r="AM3889" t="s">
        <v>53</v>
      </c>
      <c r="AN3889" t="s">
        <v>53</v>
      </c>
      <c r="AO3889" t="s">
        <v>53</v>
      </c>
      <c r="AP3889" t="s">
        <v>53</v>
      </c>
    </row>
    <row r="3890" spans="2:42" x14ac:dyDescent="0.2">
      <c r="B3890" t="s">
        <v>44</v>
      </c>
      <c r="C3890" t="str">
        <f>HYPERLINK("https://us2.cloudbeds.com/connect/8493803454333002#/reservations/70884559204549?display=1HD7QPUANC&amp;reservation_id=70884559204549", "1HD7QPUANC")</f>
        <v>1HD7QPUANC</v>
      </c>
      <c r="D3890" t="s">
        <v>45</v>
      </c>
      <c r="E3890" t="s">
        <v>78</v>
      </c>
      <c r="F3890" t="s">
        <v>61</v>
      </c>
      <c r="G3890" t="s">
        <v>48</v>
      </c>
      <c r="H3890" t="s">
        <v>49</v>
      </c>
      <c r="I3890" t="s">
        <v>50</v>
      </c>
      <c r="J3890" t="s">
        <v>6591</v>
      </c>
      <c r="K3890" t="s">
        <v>6592</v>
      </c>
      <c r="L3890" t="s">
        <v>53</v>
      </c>
      <c r="N3890" t="s">
        <v>6593</v>
      </c>
      <c r="P3890" t="s">
        <v>55</v>
      </c>
      <c r="R3890" t="s">
        <v>53</v>
      </c>
      <c r="T3890" t="s">
        <v>6594</v>
      </c>
      <c r="U3890" t="s">
        <v>58</v>
      </c>
      <c r="V3890">
        <v>2</v>
      </c>
      <c r="W3890">
        <v>1</v>
      </c>
      <c r="X3890">
        <v>2</v>
      </c>
      <c r="Y3890">
        <v>0</v>
      </c>
      <c r="Z3890">
        <v>2</v>
      </c>
      <c r="AA3890">
        <v>285.27</v>
      </c>
      <c r="AB3890">
        <v>285.27</v>
      </c>
      <c r="AC3890">
        <v>251</v>
      </c>
      <c r="AD3890">
        <v>0</v>
      </c>
      <c r="AE3890">
        <v>34.270000000000003</v>
      </c>
      <c r="AF3890">
        <v>0</v>
      </c>
      <c r="AG3890">
        <v>0</v>
      </c>
      <c r="AH3890">
        <v>0</v>
      </c>
      <c r="AI3890">
        <v>51.35</v>
      </c>
      <c r="AJ3890">
        <v>285.27</v>
      </c>
      <c r="AK3890">
        <v>0</v>
      </c>
      <c r="AL3890" t="s">
        <v>53</v>
      </c>
      <c r="AM3890" t="s">
        <v>53</v>
      </c>
      <c r="AN3890" t="s">
        <v>53</v>
      </c>
      <c r="AO3890" t="s">
        <v>53</v>
      </c>
      <c r="AP3890" t="s">
        <v>53</v>
      </c>
    </row>
    <row r="3891" spans="2:42" x14ac:dyDescent="0.2">
      <c r="B3891" t="s">
        <v>44</v>
      </c>
      <c r="C3891" t="str">
        <f>HYPERLINK("https://us2.cloudbeds.com/connect/8493803454333002#/reservations/71055272738976?display=1HH7WU32A8&amp;reservation_id=71055272738976", "1HH7WU32A8")</f>
        <v>1HH7WU32A8</v>
      </c>
      <c r="D3891" t="s">
        <v>45</v>
      </c>
      <c r="E3891" t="s">
        <v>165</v>
      </c>
      <c r="F3891" t="s">
        <v>61</v>
      </c>
      <c r="G3891" t="s">
        <v>48</v>
      </c>
      <c r="H3891" t="s">
        <v>49</v>
      </c>
      <c r="I3891" t="s">
        <v>50</v>
      </c>
      <c r="J3891" t="s">
        <v>6595</v>
      </c>
      <c r="K3891" t="s">
        <v>6596</v>
      </c>
      <c r="L3891" t="s">
        <v>53</v>
      </c>
      <c r="N3891" t="s">
        <v>6597</v>
      </c>
      <c r="P3891" t="s">
        <v>55</v>
      </c>
      <c r="R3891" t="s">
        <v>53</v>
      </c>
      <c r="T3891" t="s">
        <v>6598</v>
      </c>
      <c r="U3891" t="s">
        <v>58</v>
      </c>
      <c r="V3891">
        <v>1</v>
      </c>
      <c r="W3891">
        <v>1</v>
      </c>
      <c r="X3891">
        <v>2</v>
      </c>
      <c r="Y3891">
        <v>0</v>
      </c>
      <c r="Z3891">
        <v>2</v>
      </c>
      <c r="AA3891">
        <v>94.55</v>
      </c>
      <c r="AB3891">
        <v>94.55</v>
      </c>
      <c r="AC3891">
        <v>83.2</v>
      </c>
      <c r="AD3891">
        <v>0</v>
      </c>
      <c r="AE3891">
        <v>11.35</v>
      </c>
      <c r="AF3891">
        <v>0</v>
      </c>
      <c r="AG3891">
        <v>0</v>
      </c>
      <c r="AH3891">
        <v>0</v>
      </c>
      <c r="AI3891">
        <v>17.02</v>
      </c>
      <c r="AJ3891">
        <v>94.55</v>
      </c>
      <c r="AK3891">
        <v>0</v>
      </c>
      <c r="AL3891" t="s">
        <v>53</v>
      </c>
      <c r="AM3891" t="s">
        <v>53</v>
      </c>
      <c r="AN3891" t="s">
        <v>53</v>
      </c>
      <c r="AO3891" t="s">
        <v>53</v>
      </c>
      <c r="AP3891" t="s">
        <v>53</v>
      </c>
    </row>
    <row r="3892" spans="2:42" x14ac:dyDescent="0.2">
      <c r="B3892" t="s">
        <v>44</v>
      </c>
      <c r="C3892" t="str">
        <f>HYPERLINK("https://us2.cloudbeds.com/connect/8493803454333002#/reservations/71088386220217?display=1HX0Y18GEZ&amp;reservation_id=71088386220217", "1HX0Y18GEZ")</f>
        <v>1HX0Y18GEZ</v>
      </c>
      <c r="D3892" t="s">
        <v>45</v>
      </c>
      <c r="E3892" t="s">
        <v>213</v>
      </c>
      <c r="F3892" t="s">
        <v>86</v>
      </c>
      <c r="G3892" t="s">
        <v>48</v>
      </c>
      <c r="H3892" t="s">
        <v>49</v>
      </c>
      <c r="I3892" t="s">
        <v>50</v>
      </c>
      <c r="J3892" t="s">
        <v>6501</v>
      </c>
      <c r="K3892" t="s">
        <v>6146</v>
      </c>
      <c r="L3892" t="s">
        <v>53</v>
      </c>
      <c r="N3892" t="s">
        <v>6599</v>
      </c>
      <c r="P3892" t="s">
        <v>55</v>
      </c>
      <c r="R3892" t="s">
        <v>53</v>
      </c>
      <c r="T3892" t="s">
        <v>6600</v>
      </c>
      <c r="U3892" t="s">
        <v>58</v>
      </c>
      <c r="V3892">
        <v>2</v>
      </c>
      <c r="W3892">
        <v>1</v>
      </c>
      <c r="X3892">
        <v>3</v>
      </c>
      <c r="Y3892">
        <v>0</v>
      </c>
      <c r="Z3892">
        <v>3</v>
      </c>
      <c r="AA3892">
        <v>140.02000000000001</v>
      </c>
      <c r="AB3892">
        <v>140.02000000000001</v>
      </c>
      <c r="AC3892">
        <v>123.2</v>
      </c>
      <c r="AD3892">
        <v>0</v>
      </c>
      <c r="AE3892">
        <v>16.82</v>
      </c>
      <c r="AF3892">
        <v>0</v>
      </c>
      <c r="AG3892">
        <v>0</v>
      </c>
      <c r="AH3892">
        <v>0</v>
      </c>
      <c r="AI3892">
        <v>25.2</v>
      </c>
      <c r="AJ3892">
        <v>140.02000000000001</v>
      </c>
      <c r="AK3892">
        <v>0</v>
      </c>
      <c r="AL3892" t="s">
        <v>53</v>
      </c>
      <c r="AM3892" t="s">
        <v>53</v>
      </c>
      <c r="AN3892" t="s">
        <v>6601</v>
      </c>
      <c r="AO3892" t="s">
        <v>53</v>
      </c>
      <c r="AP3892" t="s">
        <v>53</v>
      </c>
    </row>
    <row r="3893" spans="2:42" x14ac:dyDescent="0.2">
      <c r="B3893" t="s">
        <v>44</v>
      </c>
      <c r="C3893" t="str">
        <f>HYPERLINK("https://us2.cloudbeds.com/connect/8493803454333002#/reservations/71120779772158?display=1HXPNPBRFR&amp;reservation_id=71120779772158", "1HXPNPBRFR")</f>
        <v>1HXPNPBRFR</v>
      </c>
      <c r="D3893" t="s">
        <v>45</v>
      </c>
      <c r="E3893" t="s">
        <v>85</v>
      </c>
      <c r="F3893" t="s">
        <v>86</v>
      </c>
      <c r="G3893" t="s">
        <v>48</v>
      </c>
      <c r="H3893" t="s">
        <v>49</v>
      </c>
      <c r="I3893" t="s">
        <v>50</v>
      </c>
      <c r="J3893" t="s">
        <v>6497</v>
      </c>
      <c r="K3893" t="s">
        <v>6498</v>
      </c>
      <c r="L3893" t="s">
        <v>53</v>
      </c>
      <c r="N3893" t="s">
        <v>6602</v>
      </c>
      <c r="P3893" t="s">
        <v>55</v>
      </c>
      <c r="R3893" t="s">
        <v>53</v>
      </c>
      <c r="T3893" t="s">
        <v>6603</v>
      </c>
      <c r="U3893" t="s">
        <v>58</v>
      </c>
      <c r="V3893">
        <v>1</v>
      </c>
      <c r="W3893">
        <v>1</v>
      </c>
      <c r="X3893">
        <v>2</v>
      </c>
      <c r="Y3893">
        <v>0</v>
      </c>
      <c r="Z3893">
        <v>2</v>
      </c>
      <c r="AA3893">
        <v>78.77</v>
      </c>
      <c r="AB3893">
        <v>78.77</v>
      </c>
      <c r="AC3893">
        <v>69.3</v>
      </c>
      <c r="AD3893">
        <v>0</v>
      </c>
      <c r="AE3893">
        <v>9.4700000000000006</v>
      </c>
      <c r="AF3893">
        <v>0</v>
      </c>
      <c r="AG3893">
        <v>0</v>
      </c>
      <c r="AH3893">
        <v>0</v>
      </c>
      <c r="AI3893">
        <v>14.18</v>
      </c>
      <c r="AJ3893">
        <v>78.77</v>
      </c>
      <c r="AK3893">
        <v>0</v>
      </c>
      <c r="AL3893" t="s">
        <v>53</v>
      </c>
      <c r="AM3893" t="s">
        <v>53</v>
      </c>
      <c r="AN3893" t="s">
        <v>53</v>
      </c>
      <c r="AO3893" t="s">
        <v>53</v>
      </c>
      <c r="AP3893" t="s">
        <v>53</v>
      </c>
    </row>
    <row r="3894" spans="2:42" x14ac:dyDescent="0.2">
      <c r="B3894" t="s">
        <v>44</v>
      </c>
      <c r="C3894" t="str">
        <f>HYPERLINK("https://us2.cloudbeds.com/connect/8493803454333002#/reservations/71138571899030?display=1HJ6GD4WMJ&amp;reservation_id=71138571899030", "1HJ6GD4WMJ")</f>
        <v>1HJ6GD4WMJ</v>
      </c>
      <c r="D3894" t="s">
        <v>45</v>
      </c>
      <c r="E3894" t="s">
        <v>128</v>
      </c>
      <c r="F3894" t="s">
        <v>86</v>
      </c>
      <c r="G3894" t="s">
        <v>48</v>
      </c>
      <c r="H3894" t="s">
        <v>49</v>
      </c>
      <c r="I3894" t="s">
        <v>50</v>
      </c>
      <c r="J3894" t="s">
        <v>5678</v>
      </c>
      <c r="K3894" t="s">
        <v>6497</v>
      </c>
      <c r="L3894" t="s">
        <v>53</v>
      </c>
      <c r="N3894" t="s">
        <v>6604</v>
      </c>
      <c r="P3894" t="s">
        <v>55</v>
      </c>
      <c r="R3894" t="s">
        <v>53</v>
      </c>
      <c r="T3894" t="s">
        <v>6605</v>
      </c>
      <c r="U3894" t="s">
        <v>58</v>
      </c>
      <c r="V3894">
        <v>2</v>
      </c>
      <c r="W3894">
        <v>1</v>
      </c>
      <c r="X3894">
        <v>3</v>
      </c>
      <c r="Y3894">
        <v>0</v>
      </c>
      <c r="Z3894">
        <v>3</v>
      </c>
      <c r="AA3894">
        <v>140.93</v>
      </c>
      <c r="AB3894">
        <v>140.93</v>
      </c>
      <c r="AC3894">
        <v>124</v>
      </c>
      <c r="AD3894">
        <v>0</v>
      </c>
      <c r="AE3894">
        <v>16.93</v>
      </c>
      <c r="AF3894">
        <v>0</v>
      </c>
      <c r="AG3894">
        <v>0</v>
      </c>
      <c r="AH3894">
        <v>0</v>
      </c>
      <c r="AI3894">
        <v>25.37</v>
      </c>
      <c r="AJ3894">
        <v>140.93</v>
      </c>
      <c r="AK3894">
        <v>0</v>
      </c>
      <c r="AL3894" t="s">
        <v>53</v>
      </c>
      <c r="AM3894" t="s">
        <v>53</v>
      </c>
      <c r="AN3894" t="s">
        <v>53</v>
      </c>
      <c r="AO3894" t="s">
        <v>53</v>
      </c>
      <c r="AP3894" t="s">
        <v>53</v>
      </c>
    </row>
    <row r="3895" spans="2:42" x14ac:dyDescent="0.2">
      <c r="B3895" t="s">
        <v>44</v>
      </c>
      <c r="C3895" t="str">
        <f>HYPERLINK("https://us2.cloudbeds.com/connect/8493803454333002#/reservations/71186988089537?display=1HKAWHVSEM&amp;reservation_id=71186988089537", "1HKAWHVSEM")</f>
        <v>1HKAWHVSEM</v>
      </c>
      <c r="D3895" t="s">
        <v>45</v>
      </c>
      <c r="E3895" t="s">
        <v>373</v>
      </c>
      <c r="F3895" t="s">
        <v>47</v>
      </c>
      <c r="G3895" t="s">
        <v>48</v>
      </c>
      <c r="H3895" t="s">
        <v>49</v>
      </c>
      <c r="I3895" t="s">
        <v>50</v>
      </c>
      <c r="J3895" t="s">
        <v>6403</v>
      </c>
      <c r="K3895" t="s">
        <v>6497</v>
      </c>
      <c r="L3895" t="s">
        <v>53</v>
      </c>
      <c r="N3895" t="s">
        <v>6606</v>
      </c>
      <c r="P3895" t="s">
        <v>55</v>
      </c>
      <c r="R3895" t="s">
        <v>53</v>
      </c>
      <c r="T3895" t="s">
        <v>6607</v>
      </c>
      <c r="U3895" t="s">
        <v>58</v>
      </c>
      <c r="V3895">
        <v>1</v>
      </c>
      <c r="W3895">
        <v>1</v>
      </c>
      <c r="X3895">
        <v>1</v>
      </c>
      <c r="Y3895">
        <v>0</v>
      </c>
      <c r="Z3895">
        <v>1</v>
      </c>
      <c r="AA3895">
        <v>61.83</v>
      </c>
      <c r="AB3895">
        <v>61.83</v>
      </c>
      <c r="AC3895">
        <v>54.4</v>
      </c>
      <c r="AD3895">
        <v>0</v>
      </c>
      <c r="AE3895">
        <v>7.43</v>
      </c>
      <c r="AF3895">
        <v>0</v>
      </c>
      <c r="AG3895">
        <v>0</v>
      </c>
      <c r="AH3895">
        <v>0</v>
      </c>
      <c r="AI3895">
        <v>11.13</v>
      </c>
      <c r="AJ3895">
        <v>61.83</v>
      </c>
      <c r="AK3895">
        <v>0</v>
      </c>
      <c r="AL3895" t="s">
        <v>53</v>
      </c>
      <c r="AM3895" t="s">
        <v>53</v>
      </c>
      <c r="AN3895" t="s">
        <v>53</v>
      </c>
      <c r="AO3895" t="s">
        <v>53</v>
      </c>
      <c r="AP3895" t="s">
        <v>53</v>
      </c>
    </row>
    <row r="3896" spans="2:42" x14ac:dyDescent="0.2">
      <c r="B3896" t="s">
        <v>44</v>
      </c>
      <c r="C3896" t="str">
        <f>HYPERLINK("https://us2.cloudbeds.com/connect/8493803454333002#/reservations/71200216363136?display=1HKY7XCVP7&amp;reservation_id=71200216363136", "1HKY7XCVP7")</f>
        <v>1HKY7XCVP7</v>
      </c>
      <c r="D3896" t="s">
        <v>45</v>
      </c>
      <c r="E3896" t="s">
        <v>110</v>
      </c>
      <c r="F3896" t="s">
        <v>47</v>
      </c>
      <c r="G3896" t="s">
        <v>48</v>
      </c>
      <c r="H3896" t="s">
        <v>49</v>
      </c>
      <c r="I3896" t="s">
        <v>62</v>
      </c>
      <c r="J3896" t="s">
        <v>6497</v>
      </c>
      <c r="K3896" t="s">
        <v>6498</v>
      </c>
      <c r="L3896" t="s">
        <v>53</v>
      </c>
      <c r="N3896" t="s">
        <v>6608</v>
      </c>
      <c r="P3896" t="s">
        <v>55</v>
      </c>
      <c r="R3896" t="s">
        <v>201</v>
      </c>
      <c r="T3896" t="s">
        <v>6609</v>
      </c>
      <c r="U3896" t="s">
        <v>55</v>
      </c>
      <c r="V3896">
        <v>1</v>
      </c>
      <c r="W3896">
        <v>1</v>
      </c>
      <c r="X3896">
        <v>2</v>
      </c>
      <c r="Y3896">
        <v>0</v>
      </c>
      <c r="Z3896">
        <v>2</v>
      </c>
      <c r="AA3896">
        <v>68</v>
      </c>
      <c r="AB3896">
        <v>68</v>
      </c>
      <c r="AC3896">
        <v>68</v>
      </c>
      <c r="AD3896">
        <v>0</v>
      </c>
      <c r="AE3896">
        <v>0</v>
      </c>
      <c r="AF3896">
        <v>0</v>
      </c>
      <c r="AG3896">
        <v>0</v>
      </c>
      <c r="AH3896">
        <v>0</v>
      </c>
      <c r="AI3896">
        <v>12.24</v>
      </c>
      <c r="AJ3896">
        <v>68</v>
      </c>
      <c r="AK3896">
        <v>0</v>
      </c>
      <c r="AL3896" t="s">
        <v>53</v>
      </c>
      <c r="AM3896" t="s">
        <v>53</v>
      </c>
      <c r="AN3896" t="s">
        <v>53</v>
      </c>
      <c r="AO3896" t="s">
        <v>53</v>
      </c>
      <c r="AP3896" t="s">
        <v>53</v>
      </c>
    </row>
    <row r="3897" spans="2:42" x14ac:dyDescent="0.2">
      <c r="B3897" t="s">
        <v>44</v>
      </c>
      <c r="C3897" t="str">
        <f>HYPERLINK("https://us2.cloudbeds.com/connect/8493803454333002#/reservations/71366589034680?display=1HZX1P7U2Q&amp;reservation_id=71366589034680", "1HZX1P7U2Q")</f>
        <v>1HZX1P7U2Q</v>
      </c>
      <c r="D3897" t="s">
        <v>45</v>
      </c>
      <c r="E3897" t="s">
        <v>373</v>
      </c>
      <c r="F3897" t="s">
        <v>47</v>
      </c>
      <c r="G3897" t="s">
        <v>48</v>
      </c>
      <c r="H3897" t="s">
        <v>3957</v>
      </c>
      <c r="I3897" t="s">
        <v>3975</v>
      </c>
      <c r="J3897" t="s">
        <v>6497</v>
      </c>
      <c r="K3897" t="s">
        <v>6498</v>
      </c>
      <c r="L3897" t="s">
        <v>53</v>
      </c>
      <c r="P3897" t="s">
        <v>55</v>
      </c>
      <c r="R3897" t="s">
        <v>53</v>
      </c>
      <c r="T3897" t="s">
        <v>6610</v>
      </c>
      <c r="U3897" t="s">
        <v>58</v>
      </c>
      <c r="V3897">
        <v>1</v>
      </c>
      <c r="W3897">
        <v>1</v>
      </c>
      <c r="X3897">
        <v>2</v>
      </c>
      <c r="Y3897">
        <v>0</v>
      </c>
      <c r="Z3897">
        <v>2</v>
      </c>
      <c r="AA3897">
        <v>77.28</v>
      </c>
      <c r="AB3897">
        <v>77.28</v>
      </c>
      <c r="AC3897">
        <v>68</v>
      </c>
      <c r="AD3897">
        <v>0</v>
      </c>
      <c r="AE3897">
        <v>9.2799999999999994</v>
      </c>
      <c r="AF3897">
        <v>0</v>
      </c>
      <c r="AG3897">
        <v>0</v>
      </c>
      <c r="AH3897">
        <v>0</v>
      </c>
      <c r="AI3897">
        <v>0</v>
      </c>
      <c r="AJ3897">
        <v>77.28</v>
      </c>
      <c r="AK3897">
        <v>0</v>
      </c>
      <c r="AL3897" t="s">
        <v>53</v>
      </c>
      <c r="AM3897" t="s">
        <v>53</v>
      </c>
      <c r="AN3897" t="s">
        <v>53</v>
      </c>
      <c r="AO3897" t="s">
        <v>53</v>
      </c>
      <c r="AP3897" t="s">
        <v>53</v>
      </c>
    </row>
    <row r="3898" spans="2:42" x14ac:dyDescent="0.2">
      <c r="B3898" t="s">
        <v>44</v>
      </c>
      <c r="C3898" t="str">
        <f>HYPERLINK("https://us2.cloudbeds.com/connect/8493803454333002#/reservations/71502373622005?display=1HRZ6CD736&amp;reservation_id=71502373622005", "1HRZ6CD736")</f>
        <v>1HRZ6CD736</v>
      </c>
      <c r="D3898" t="s">
        <v>45</v>
      </c>
      <c r="E3898" t="s">
        <v>165</v>
      </c>
      <c r="F3898" t="s">
        <v>61</v>
      </c>
      <c r="G3898" t="s">
        <v>48</v>
      </c>
      <c r="H3898" t="s">
        <v>3957</v>
      </c>
      <c r="I3898" t="s">
        <v>3975</v>
      </c>
      <c r="J3898" t="s">
        <v>6403</v>
      </c>
      <c r="K3898" t="s">
        <v>6498</v>
      </c>
      <c r="L3898" t="s">
        <v>53</v>
      </c>
      <c r="P3898" t="s">
        <v>55</v>
      </c>
      <c r="R3898" t="s">
        <v>53</v>
      </c>
      <c r="T3898" t="s">
        <v>6611</v>
      </c>
      <c r="U3898" t="s">
        <v>58</v>
      </c>
      <c r="V3898">
        <v>2</v>
      </c>
      <c r="W3898">
        <v>1</v>
      </c>
      <c r="X3898">
        <v>2</v>
      </c>
      <c r="Y3898">
        <v>0</v>
      </c>
      <c r="Z3898">
        <v>2</v>
      </c>
      <c r="AA3898">
        <v>165.94</v>
      </c>
      <c r="AB3898">
        <v>165.94</v>
      </c>
      <c r="AC3898">
        <v>146</v>
      </c>
      <c r="AD3898">
        <v>0</v>
      </c>
      <c r="AE3898">
        <v>19.940000000000001</v>
      </c>
      <c r="AF3898">
        <v>0</v>
      </c>
      <c r="AG3898">
        <v>0</v>
      </c>
      <c r="AH3898">
        <v>0</v>
      </c>
      <c r="AI3898">
        <v>0</v>
      </c>
      <c r="AJ3898">
        <v>165.94</v>
      </c>
      <c r="AK3898">
        <v>0</v>
      </c>
      <c r="AL3898" t="s">
        <v>53</v>
      </c>
      <c r="AM3898" t="s">
        <v>53</v>
      </c>
      <c r="AN3898" t="s">
        <v>53</v>
      </c>
      <c r="AO3898" t="s">
        <v>53</v>
      </c>
      <c r="AP3898" t="s">
        <v>53</v>
      </c>
    </row>
    <row r="3899" spans="2:42" x14ac:dyDescent="0.2">
      <c r="B3899" t="s">
        <v>44</v>
      </c>
      <c r="C3899" t="str">
        <f>HYPERLINK("https://us2.cloudbeds.com/connect/8493803454333002#/reservations/71514628182239?display=1HS0MGPDQA&amp;reservation_id=71514628182239", "1HS0MGPDQA")</f>
        <v>1HS0MGPDQA</v>
      </c>
      <c r="D3899" t="s">
        <v>45</v>
      </c>
      <c r="E3899" t="s">
        <v>5506</v>
      </c>
      <c r="F3899" t="s">
        <v>61</v>
      </c>
      <c r="G3899" t="s">
        <v>48</v>
      </c>
      <c r="H3899" t="s">
        <v>3957</v>
      </c>
      <c r="I3899" t="s">
        <v>3958</v>
      </c>
      <c r="J3899" t="s">
        <v>6403</v>
      </c>
      <c r="K3899" t="s">
        <v>6497</v>
      </c>
      <c r="L3899" t="s">
        <v>53</v>
      </c>
      <c r="P3899" t="s">
        <v>55</v>
      </c>
      <c r="R3899" t="s">
        <v>56</v>
      </c>
      <c r="T3899" t="s">
        <v>6612</v>
      </c>
      <c r="U3899" t="s">
        <v>58</v>
      </c>
      <c r="V3899">
        <v>2</v>
      </c>
      <c r="W3899">
        <v>2</v>
      </c>
      <c r="X3899">
        <v>2</v>
      </c>
      <c r="Y3899">
        <v>0</v>
      </c>
      <c r="Z3899">
        <v>2</v>
      </c>
      <c r="AA3899">
        <v>165.94</v>
      </c>
      <c r="AB3899">
        <v>165.94</v>
      </c>
      <c r="AC3899">
        <v>146</v>
      </c>
      <c r="AD3899">
        <v>0</v>
      </c>
      <c r="AE3899">
        <v>19.940000000000001</v>
      </c>
      <c r="AF3899">
        <v>0</v>
      </c>
      <c r="AG3899">
        <v>0</v>
      </c>
      <c r="AH3899">
        <v>0</v>
      </c>
      <c r="AI3899">
        <v>0</v>
      </c>
      <c r="AJ3899">
        <v>165.94</v>
      </c>
      <c r="AK3899">
        <v>0</v>
      </c>
      <c r="AL3899" t="s">
        <v>53</v>
      </c>
      <c r="AM3899" t="s">
        <v>53</v>
      </c>
      <c r="AN3899" t="s">
        <v>53</v>
      </c>
      <c r="AO3899" t="s">
        <v>53</v>
      </c>
      <c r="AP3899" t="s">
        <v>53</v>
      </c>
    </row>
    <row r="3900" spans="2:42" x14ac:dyDescent="0.2">
      <c r="B3900" t="s">
        <v>44</v>
      </c>
      <c r="C3900" t="str">
        <f>HYPERLINK("https://us2.cloudbeds.com/connect/8493803454333002#/reservations/71516143898820?display=1HS1S7SFCQ&amp;reservation_id=71516143898820", "1HS1S7SFCQ")</f>
        <v>1HS1S7SFCQ</v>
      </c>
      <c r="D3900" t="s">
        <v>45</v>
      </c>
      <c r="E3900" t="s">
        <v>155</v>
      </c>
      <c r="F3900" t="s">
        <v>86</v>
      </c>
      <c r="G3900" t="s">
        <v>48</v>
      </c>
      <c r="H3900" t="s">
        <v>3957</v>
      </c>
      <c r="I3900" t="s">
        <v>3975</v>
      </c>
      <c r="J3900" t="s">
        <v>6501</v>
      </c>
      <c r="K3900" t="s">
        <v>6146</v>
      </c>
      <c r="L3900" t="s">
        <v>53</v>
      </c>
      <c r="P3900" t="s">
        <v>58</v>
      </c>
      <c r="R3900" t="s">
        <v>56</v>
      </c>
      <c r="T3900" t="s">
        <v>6613</v>
      </c>
      <c r="U3900" t="s">
        <v>58</v>
      </c>
      <c r="V3900">
        <v>2</v>
      </c>
      <c r="W3900">
        <v>1</v>
      </c>
      <c r="X3900">
        <v>2</v>
      </c>
      <c r="Y3900">
        <v>0</v>
      </c>
      <c r="Z3900">
        <v>2</v>
      </c>
      <c r="AA3900">
        <v>175.02</v>
      </c>
      <c r="AB3900">
        <v>175.02</v>
      </c>
      <c r="AC3900">
        <v>154</v>
      </c>
      <c r="AD3900">
        <v>0</v>
      </c>
      <c r="AE3900">
        <v>21.02</v>
      </c>
      <c r="AF3900">
        <v>0</v>
      </c>
      <c r="AG3900">
        <v>0</v>
      </c>
      <c r="AH3900">
        <v>0</v>
      </c>
      <c r="AI3900">
        <v>0</v>
      </c>
      <c r="AJ3900">
        <v>175.02</v>
      </c>
      <c r="AK3900">
        <v>0</v>
      </c>
      <c r="AL3900" t="s">
        <v>53</v>
      </c>
      <c r="AM3900" t="s">
        <v>53</v>
      </c>
      <c r="AN3900" t="s">
        <v>53</v>
      </c>
      <c r="AO3900" t="s">
        <v>53</v>
      </c>
      <c r="AP3900" t="s">
        <v>53</v>
      </c>
    </row>
    <row r="3901" spans="2:42" x14ac:dyDescent="0.2">
      <c r="B3901" t="s">
        <v>44</v>
      </c>
      <c r="C3901" t="str">
        <f>HYPERLINK("https://us2.cloudbeds.com/connect/8493803454333002#/reservations/71760529244288?display=1X0PSN45K7&amp;reservation_id=71760529244288", "1X0PSN45K7")</f>
        <v>1X0PSN45K7</v>
      </c>
      <c r="D3901" t="s">
        <v>45</v>
      </c>
      <c r="E3901" t="s">
        <v>381</v>
      </c>
      <c r="F3901" t="s">
        <v>47</v>
      </c>
      <c r="G3901" t="s">
        <v>48</v>
      </c>
      <c r="H3901" t="s">
        <v>49</v>
      </c>
      <c r="I3901" t="s">
        <v>50</v>
      </c>
      <c r="J3901" t="s">
        <v>6614</v>
      </c>
      <c r="K3901" t="s">
        <v>6089</v>
      </c>
      <c r="L3901" t="s">
        <v>53</v>
      </c>
      <c r="N3901" t="s">
        <v>6615</v>
      </c>
      <c r="P3901" t="s">
        <v>55</v>
      </c>
      <c r="R3901" t="s">
        <v>53</v>
      </c>
      <c r="T3901" t="s">
        <v>6616</v>
      </c>
      <c r="U3901" t="s">
        <v>58</v>
      </c>
      <c r="V3901">
        <v>1</v>
      </c>
      <c r="W3901">
        <v>1</v>
      </c>
      <c r="X3901">
        <v>1</v>
      </c>
      <c r="Y3901">
        <v>0</v>
      </c>
      <c r="Z3901">
        <v>1</v>
      </c>
      <c r="AA3901">
        <v>104.33</v>
      </c>
      <c r="AB3901">
        <v>104.33</v>
      </c>
      <c r="AC3901">
        <v>91.8</v>
      </c>
      <c r="AD3901">
        <v>0</v>
      </c>
      <c r="AE3901">
        <v>12.53</v>
      </c>
      <c r="AF3901">
        <v>0</v>
      </c>
      <c r="AG3901">
        <v>0</v>
      </c>
      <c r="AH3901">
        <v>0</v>
      </c>
      <c r="AI3901">
        <v>18.78</v>
      </c>
      <c r="AJ3901">
        <v>104.33</v>
      </c>
      <c r="AK3901">
        <v>0</v>
      </c>
      <c r="AL3901" t="s">
        <v>53</v>
      </c>
      <c r="AM3901" t="s">
        <v>53</v>
      </c>
      <c r="AN3901" t="s">
        <v>6617</v>
      </c>
      <c r="AO3901" t="s">
        <v>53</v>
      </c>
      <c r="AP3901" t="s">
        <v>53</v>
      </c>
    </row>
    <row r="3902" spans="2:42" x14ac:dyDescent="0.2">
      <c r="B3902" t="s">
        <v>44</v>
      </c>
      <c r="C3902" t="str">
        <f>HYPERLINK("https://us2.cloudbeds.com/connect/8493803454333002#/reservations/71813132202122?display=1X20QW8QBD&amp;reservation_id=71813132202122", "1X20QW8QBD")</f>
        <v>1X20QW8QBD</v>
      </c>
      <c r="D3902" t="s">
        <v>45</v>
      </c>
      <c r="E3902" t="s">
        <v>138</v>
      </c>
      <c r="F3902" t="s">
        <v>70</v>
      </c>
      <c r="G3902" t="s">
        <v>48</v>
      </c>
      <c r="H3902" t="s">
        <v>3957</v>
      </c>
      <c r="I3902" t="s">
        <v>3975</v>
      </c>
      <c r="J3902" t="s">
        <v>6618</v>
      </c>
      <c r="K3902" t="s">
        <v>6619</v>
      </c>
      <c r="L3902" t="s">
        <v>53</v>
      </c>
      <c r="P3902" t="s">
        <v>55</v>
      </c>
      <c r="R3902" t="s">
        <v>53</v>
      </c>
      <c r="T3902" t="s">
        <v>6620</v>
      </c>
      <c r="U3902" t="s">
        <v>58</v>
      </c>
      <c r="V3902">
        <v>1</v>
      </c>
      <c r="W3902">
        <v>1</v>
      </c>
      <c r="X3902">
        <v>2</v>
      </c>
      <c r="Y3902">
        <v>0</v>
      </c>
      <c r="Z3902">
        <v>2</v>
      </c>
      <c r="AA3902">
        <v>125.02</v>
      </c>
      <c r="AB3902">
        <v>125.02</v>
      </c>
      <c r="AC3902">
        <v>110</v>
      </c>
      <c r="AD3902">
        <v>0</v>
      </c>
      <c r="AE3902">
        <v>15.02</v>
      </c>
      <c r="AF3902">
        <v>0</v>
      </c>
      <c r="AG3902">
        <v>0</v>
      </c>
      <c r="AH3902">
        <v>0</v>
      </c>
      <c r="AI3902">
        <v>0</v>
      </c>
      <c r="AJ3902">
        <v>125.02</v>
      </c>
      <c r="AK3902">
        <v>0</v>
      </c>
      <c r="AL3902" t="s">
        <v>53</v>
      </c>
      <c r="AM3902" t="s">
        <v>53</v>
      </c>
      <c r="AN3902" t="s">
        <v>53</v>
      </c>
      <c r="AO3902" t="s">
        <v>53</v>
      </c>
      <c r="AP3902" t="s">
        <v>53</v>
      </c>
    </row>
    <row r="3903" spans="2:42" x14ac:dyDescent="0.2">
      <c r="B3903" t="s">
        <v>44</v>
      </c>
      <c r="C3903" t="str">
        <f>HYPERLINK("https://us2.cloudbeds.com/connect/8493803454333002#/reservations/71841682350298?display=1X2MUGGZWZ&amp;reservation_id=71841682350298", "1X2MUGGZWZ")</f>
        <v>1X2MUGGZWZ</v>
      </c>
      <c r="D3903" t="s">
        <v>45</v>
      </c>
      <c r="E3903" t="s">
        <v>85</v>
      </c>
      <c r="F3903" t="s">
        <v>86</v>
      </c>
      <c r="G3903" t="s">
        <v>48</v>
      </c>
      <c r="H3903" t="s">
        <v>49</v>
      </c>
      <c r="I3903" t="s">
        <v>50</v>
      </c>
      <c r="J3903" t="s">
        <v>5806</v>
      </c>
      <c r="K3903" t="s">
        <v>6539</v>
      </c>
      <c r="L3903" t="s">
        <v>53</v>
      </c>
      <c r="N3903" t="s">
        <v>6621</v>
      </c>
      <c r="P3903" t="s">
        <v>55</v>
      </c>
      <c r="R3903" t="s">
        <v>53</v>
      </c>
      <c r="T3903" t="s">
        <v>6622</v>
      </c>
      <c r="U3903" t="s">
        <v>58</v>
      </c>
      <c r="V3903">
        <v>1</v>
      </c>
      <c r="W3903">
        <v>1</v>
      </c>
      <c r="X3903">
        <v>3</v>
      </c>
      <c r="Y3903">
        <v>0</v>
      </c>
      <c r="Z3903">
        <v>3</v>
      </c>
      <c r="AA3903">
        <v>66.94</v>
      </c>
      <c r="AB3903">
        <v>66.94</v>
      </c>
      <c r="AC3903">
        <v>58.9</v>
      </c>
      <c r="AD3903">
        <v>0</v>
      </c>
      <c r="AE3903">
        <v>8.0399999999999991</v>
      </c>
      <c r="AF3903">
        <v>0</v>
      </c>
      <c r="AG3903">
        <v>0</v>
      </c>
      <c r="AH3903">
        <v>0</v>
      </c>
      <c r="AI3903">
        <v>12.05</v>
      </c>
      <c r="AJ3903">
        <v>66.94</v>
      </c>
      <c r="AK3903">
        <v>0</v>
      </c>
      <c r="AL3903" t="s">
        <v>53</v>
      </c>
      <c r="AM3903" t="s">
        <v>53</v>
      </c>
      <c r="AN3903" t="s">
        <v>53</v>
      </c>
      <c r="AO3903" t="s">
        <v>53</v>
      </c>
      <c r="AP3903" t="s">
        <v>53</v>
      </c>
    </row>
    <row r="3904" spans="2:42" x14ac:dyDescent="0.2">
      <c r="B3904" t="s">
        <v>44</v>
      </c>
      <c r="C3904" t="str">
        <f>HYPERLINK("https://us2.cloudbeds.com/connect/8493803454333002#/reservations/71874745786544?display=1X3FHBFK47&amp;reservation_id=71874745786544", "1X3FHBFK47")</f>
        <v>1X3FHBFK47</v>
      </c>
      <c r="D3904" t="s">
        <v>45</v>
      </c>
      <c r="E3904" t="s">
        <v>223</v>
      </c>
      <c r="F3904" t="s">
        <v>47</v>
      </c>
      <c r="G3904" t="s">
        <v>48</v>
      </c>
      <c r="H3904" t="s">
        <v>49</v>
      </c>
      <c r="I3904" t="s">
        <v>50</v>
      </c>
      <c r="J3904" t="s">
        <v>6504</v>
      </c>
      <c r="K3904" t="s">
        <v>5806</v>
      </c>
      <c r="L3904" t="s">
        <v>53</v>
      </c>
      <c r="N3904" t="s">
        <v>6623</v>
      </c>
      <c r="P3904" t="s">
        <v>55</v>
      </c>
      <c r="R3904" t="s">
        <v>53</v>
      </c>
      <c r="T3904" t="s">
        <v>6624</v>
      </c>
      <c r="U3904" t="s">
        <v>58</v>
      </c>
      <c r="V3904">
        <v>1</v>
      </c>
      <c r="W3904">
        <v>1</v>
      </c>
      <c r="X3904">
        <v>1</v>
      </c>
      <c r="Y3904">
        <v>0</v>
      </c>
      <c r="Z3904">
        <v>1</v>
      </c>
      <c r="AA3904">
        <v>65.69</v>
      </c>
      <c r="AB3904">
        <v>65.69</v>
      </c>
      <c r="AC3904">
        <v>57.8</v>
      </c>
      <c r="AD3904">
        <v>0</v>
      </c>
      <c r="AE3904">
        <v>7.89</v>
      </c>
      <c r="AF3904">
        <v>0</v>
      </c>
      <c r="AG3904">
        <v>0</v>
      </c>
      <c r="AH3904">
        <v>0</v>
      </c>
      <c r="AI3904">
        <v>11.82</v>
      </c>
      <c r="AJ3904">
        <v>65.69</v>
      </c>
      <c r="AK3904">
        <v>0</v>
      </c>
      <c r="AL3904" t="s">
        <v>53</v>
      </c>
      <c r="AM3904" t="s">
        <v>53</v>
      </c>
      <c r="AN3904" t="s">
        <v>53</v>
      </c>
      <c r="AO3904" t="s">
        <v>53</v>
      </c>
      <c r="AP3904" t="s">
        <v>53</v>
      </c>
    </row>
    <row r="3905" spans="2:42" x14ac:dyDescent="0.2">
      <c r="B3905" t="s">
        <v>44</v>
      </c>
      <c r="C3905" t="str">
        <f>HYPERLINK("https://us2.cloudbeds.com/connect/8493803454333002#/reservations/71890764538102?display=1X3RUYTWH3&amp;reservation_id=71890764538102", "1X3RUYTWH3")</f>
        <v>1X3RUYTWH3</v>
      </c>
      <c r="D3905" t="s">
        <v>45</v>
      </c>
      <c r="E3905" t="s">
        <v>85</v>
      </c>
      <c r="F3905" t="s">
        <v>86</v>
      </c>
      <c r="G3905" t="s">
        <v>48</v>
      </c>
      <c r="H3905" t="s">
        <v>49</v>
      </c>
      <c r="I3905" t="s">
        <v>50</v>
      </c>
      <c r="J3905" t="s">
        <v>5805</v>
      </c>
      <c r="K3905" t="s">
        <v>6146</v>
      </c>
      <c r="L3905" t="s">
        <v>53</v>
      </c>
      <c r="N3905" t="s">
        <v>6625</v>
      </c>
      <c r="P3905" t="s">
        <v>55</v>
      </c>
      <c r="R3905" t="s">
        <v>53</v>
      </c>
      <c r="T3905" t="s">
        <v>6626</v>
      </c>
      <c r="U3905" t="s">
        <v>58</v>
      </c>
      <c r="V3905">
        <v>1</v>
      </c>
      <c r="W3905">
        <v>1</v>
      </c>
      <c r="X3905">
        <v>2</v>
      </c>
      <c r="Y3905">
        <v>0</v>
      </c>
      <c r="Z3905">
        <v>2</v>
      </c>
      <c r="AA3905">
        <v>78.77</v>
      </c>
      <c r="AB3905">
        <v>78.77</v>
      </c>
      <c r="AC3905">
        <v>69.3</v>
      </c>
      <c r="AD3905">
        <v>0</v>
      </c>
      <c r="AE3905">
        <v>9.4700000000000006</v>
      </c>
      <c r="AF3905">
        <v>0</v>
      </c>
      <c r="AG3905">
        <v>0</v>
      </c>
      <c r="AH3905">
        <v>0</v>
      </c>
      <c r="AI3905">
        <v>14.18</v>
      </c>
      <c r="AJ3905">
        <v>78.77</v>
      </c>
      <c r="AK3905">
        <v>0</v>
      </c>
      <c r="AL3905" t="s">
        <v>53</v>
      </c>
      <c r="AM3905" t="s">
        <v>53</v>
      </c>
      <c r="AN3905" t="s">
        <v>53</v>
      </c>
      <c r="AO3905" t="s">
        <v>53</v>
      </c>
      <c r="AP3905" t="s">
        <v>53</v>
      </c>
    </row>
    <row r="3906" spans="2:42" x14ac:dyDescent="0.2">
      <c r="B3906" t="s">
        <v>44</v>
      </c>
      <c r="C3906" t="str">
        <f>HYPERLINK("https://us2.cloudbeds.com/connect/8493803454333002#/reservations/72245780394184?display=1XC5R4MGU0&amp;reservation_id=72245780394184", "1XC5R4MGU0")</f>
        <v>1XC5R4MGU0</v>
      </c>
      <c r="D3906" t="s">
        <v>45</v>
      </c>
      <c r="E3906" t="s">
        <v>121</v>
      </c>
      <c r="F3906" t="s">
        <v>86</v>
      </c>
      <c r="G3906" t="s">
        <v>48</v>
      </c>
      <c r="H3906" t="s">
        <v>49</v>
      </c>
      <c r="I3906" t="s">
        <v>50</v>
      </c>
      <c r="J3906" t="s">
        <v>6501</v>
      </c>
      <c r="K3906" t="s">
        <v>6146</v>
      </c>
      <c r="L3906" t="s">
        <v>53</v>
      </c>
      <c r="N3906" t="s">
        <v>6627</v>
      </c>
      <c r="P3906" t="s">
        <v>55</v>
      </c>
      <c r="R3906" t="s">
        <v>53</v>
      </c>
      <c r="T3906" t="s">
        <v>6628</v>
      </c>
      <c r="U3906" t="s">
        <v>58</v>
      </c>
      <c r="V3906">
        <v>2</v>
      </c>
      <c r="W3906">
        <v>1</v>
      </c>
      <c r="X3906">
        <v>2</v>
      </c>
      <c r="Y3906">
        <v>2</v>
      </c>
      <c r="Z3906">
        <v>4</v>
      </c>
      <c r="AA3906">
        <v>175.02</v>
      </c>
      <c r="AB3906">
        <v>175.02</v>
      </c>
      <c r="AC3906">
        <v>154</v>
      </c>
      <c r="AD3906">
        <v>0</v>
      </c>
      <c r="AE3906">
        <v>21.02</v>
      </c>
      <c r="AF3906">
        <v>0</v>
      </c>
      <c r="AG3906">
        <v>0</v>
      </c>
      <c r="AH3906">
        <v>0</v>
      </c>
      <c r="AI3906">
        <v>31.5</v>
      </c>
      <c r="AJ3906">
        <v>175.02</v>
      </c>
      <c r="AK3906">
        <v>0</v>
      </c>
      <c r="AL3906" t="s">
        <v>53</v>
      </c>
      <c r="AM3906" t="s">
        <v>53</v>
      </c>
      <c r="AN3906" t="s">
        <v>53</v>
      </c>
      <c r="AO3906" t="s">
        <v>53</v>
      </c>
      <c r="AP3906" t="s">
        <v>53</v>
      </c>
    </row>
    <row r="3907" spans="2:42" x14ac:dyDescent="0.2">
      <c r="B3907" t="s">
        <v>44</v>
      </c>
      <c r="C3907" t="str">
        <f>HYPERLINK("https://us2.cloudbeds.com/connect/8493803454333002#/reservations/72294089883887?display=1XDA7XH94D&amp;reservation_id=72294089883887", "1XDA7XH94D")</f>
        <v>1XDA7XH94D</v>
      </c>
      <c r="D3907" t="s">
        <v>45</v>
      </c>
      <c r="E3907" t="s">
        <v>46</v>
      </c>
      <c r="F3907" t="s">
        <v>47</v>
      </c>
      <c r="G3907" t="s">
        <v>48</v>
      </c>
      <c r="H3907" t="s">
        <v>49</v>
      </c>
      <c r="I3907" t="s">
        <v>50</v>
      </c>
      <c r="J3907" t="s">
        <v>6501</v>
      </c>
      <c r="K3907" t="s">
        <v>5805</v>
      </c>
      <c r="L3907" t="s">
        <v>53</v>
      </c>
      <c r="N3907" t="s">
        <v>6629</v>
      </c>
      <c r="P3907" t="s">
        <v>55</v>
      </c>
      <c r="R3907" t="s">
        <v>53</v>
      </c>
      <c r="T3907" t="s">
        <v>6630</v>
      </c>
      <c r="U3907" t="s">
        <v>58</v>
      </c>
      <c r="V3907">
        <v>1</v>
      </c>
      <c r="W3907">
        <v>1</v>
      </c>
      <c r="X3907">
        <v>2</v>
      </c>
      <c r="Y3907">
        <v>0</v>
      </c>
      <c r="Z3907">
        <v>2</v>
      </c>
      <c r="AA3907">
        <v>65.69</v>
      </c>
      <c r="AB3907">
        <v>65.69</v>
      </c>
      <c r="AC3907">
        <v>57.8</v>
      </c>
      <c r="AD3907">
        <v>0</v>
      </c>
      <c r="AE3907">
        <v>7.89</v>
      </c>
      <c r="AF3907">
        <v>0</v>
      </c>
      <c r="AG3907">
        <v>0</v>
      </c>
      <c r="AH3907">
        <v>0</v>
      </c>
      <c r="AI3907">
        <v>11.82</v>
      </c>
      <c r="AJ3907">
        <v>65.69</v>
      </c>
      <c r="AK3907">
        <v>0</v>
      </c>
      <c r="AL3907" t="s">
        <v>53</v>
      </c>
      <c r="AM3907" t="s">
        <v>53</v>
      </c>
      <c r="AN3907" t="s">
        <v>53</v>
      </c>
      <c r="AO3907" t="s">
        <v>53</v>
      </c>
      <c r="AP3907" t="s">
        <v>53</v>
      </c>
    </row>
    <row r="3908" spans="2:42" x14ac:dyDescent="0.2">
      <c r="B3908" t="s">
        <v>44</v>
      </c>
      <c r="C3908" t="str">
        <f>HYPERLINK("https://us2.cloudbeds.com/connect/8493803454333002#/reservations/72516872245473?display=1XXHZ5GTFH&amp;reservation_id=72516872245473", "1XXHZ5GTFH")</f>
        <v>1XXHZ5GTFH</v>
      </c>
      <c r="D3908" t="s">
        <v>45</v>
      </c>
      <c r="E3908" t="s">
        <v>373</v>
      </c>
      <c r="F3908" t="s">
        <v>47</v>
      </c>
      <c r="G3908" t="s">
        <v>48</v>
      </c>
      <c r="H3908" t="s">
        <v>49</v>
      </c>
      <c r="I3908" t="s">
        <v>62</v>
      </c>
      <c r="J3908" t="s">
        <v>6501</v>
      </c>
      <c r="K3908" t="s">
        <v>5805</v>
      </c>
      <c r="L3908" t="s">
        <v>53</v>
      </c>
      <c r="N3908" t="s">
        <v>6631</v>
      </c>
      <c r="P3908" t="s">
        <v>55</v>
      </c>
      <c r="R3908" t="s">
        <v>56</v>
      </c>
      <c r="T3908" t="s">
        <v>6632</v>
      </c>
      <c r="U3908" t="s">
        <v>55</v>
      </c>
      <c r="V3908">
        <v>1</v>
      </c>
      <c r="W3908">
        <v>1</v>
      </c>
      <c r="X3908">
        <v>2</v>
      </c>
      <c r="Y3908">
        <v>0</v>
      </c>
      <c r="Z3908">
        <v>2</v>
      </c>
      <c r="AA3908">
        <v>68</v>
      </c>
      <c r="AB3908">
        <v>68</v>
      </c>
      <c r="AC3908">
        <v>68</v>
      </c>
      <c r="AD3908">
        <v>0</v>
      </c>
      <c r="AE3908">
        <v>0</v>
      </c>
      <c r="AF3908">
        <v>0</v>
      </c>
      <c r="AG3908">
        <v>0</v>
      </c>
      <c r="AH3908">
        <v>0</v>
      </c>
      <c r="AI3908">
        <v>12.24</v>
      </c>
      <c r="AJ3908">
        <v>68</v>
      </c>
      <c r="AK3908">
        <v>0</v>
      </c>
      <c r="AL3908" t="s">
        <v>53</v>
      </c>
      <c r="AM3908" t="s">
        <v>53</v>
      </c>
      <c r="AN3908" t="s">
        <v>53</v>
      </c>
      <c r="AO3908" t="s">
        <v>53</v>
      </c>
      <c r="AP3908" t="s">
        <v>53</v>
      </c>
    </row>
    <row r="3909" spans="2:42" x14ac:dyDescent="0.2">
      <c r="B3909" t="s">
        <v>44</v>
      </c>
      <c r="C3909" t="str">
        <f>HYPERLINK("https://us2.cloudbeds.com/connect/8493803454333002#/reservations/72557159706838?display=1XJFUJVTG3&amp;reservation_id=72557159706838", "1XJFUJVTG3")</f>
        <v>1XJFUJVTG3</v>
      </c>
      <c r="D3909" t="s">
        <v>45</v>
      </c>
      <c r="E3909" t="s">
        <v>487</v>
      </c>
      <c r="F3909" t="s">
        <v>61</v>
      </c>
      <c r="G3909" t="s">
        <v>48</v>
      </c>
      <c r="H3909" t="s">
        <v>49</v>
      </c>
      <c r="I3909" t="s">
        <v>50</v>
      </c>
      <c r="J3909" t="s">
        <v>6633</v>
      </c>
      <c r="K3909" t="s">
        <v>6146</v>
      </c>
      <c r="L3909" t="s">
        <v>53</v>
      </c>
      <c r="N3909" t="s">
        <v>6634</v>
      </c>
      <c r="P3909" t="s">
        <v>55</v>
      </c>
      <c r="R3909" t="s">
        <v>53</v>
      </c>
      <c r="T3909" t="s">
        <v>6635</v>
      </c>
      <c r="U3909" t="s">
        <v>58</v>
      </c>
      <c r="V3909">
        <v>3</v>
      </c>
      <c r="W3909">
        <v>1</v>
      </c>
      <c r="X3909">
        <v>1</v>
      </c>
      <c r="Y3909">
        <v>0</v>
      </c>
      <c r="Z3909">
        <v>1</v>
      </c>
      <c r="AA3909">
        <v>224.01</v>
      </c>
      <c r="AB3909">
        <v>224.01</v>
      </c>
      <c r="AC3909">
        <v>197.1</v>
      </c>
      <c r="AD3909">
        <v>0</v>
      </c>
      <c r="AE3909">
        <v>26.91</v>
      </c>
      <c r="AF3909">
        <v>0</v>
      </c>
      <c r="AG3909">
        <v>0</v>
      </c>
      <c r="AH3909">
        <v>0</v>
      </c>
      <c r="AI3909">
        <v>40.32</v>
      </c>
      <c r="AJ3909">
        <v>224.01</v>
      </c>
      <c r="AK3909">
        <v>0</v>
      </c>
      <c r="AL3909" t="s">
        <v>53</v>
      </c>
      <c r="AM3909" t="s">
        <v>53</v>
      </c>
      <c r="AN3909" t="s">
        <v>53</v>
      </c>
      <c r="AO3909" t="s">
        <v>53</v>
      </c>
      <c r="AP3909" t="s">
        <v>53</v>
      </c>
    </row>
    <row r="3910" spans="2:42" x14ac:dyDescent="0.2">
      <c r="B3910" t="s">
        <v>44</v>
      </c>
      <c r="C3910" t="str">
        <f>HYPERLINK("https://us2.cloudbeds.com/connect/8493803454333002#/reservations/72567118295200?display=1XJNY2A9Z0&amp;reservation_id=72567118295200", "1XJNY2A9Z0")</f>
        <v>1XJNY2A9Z0</v>
      </c>
      <c r="D3910" t="s">
        <v>45</v>
      </c>
      <c r="E3910" t="s">
        <v>165</v>
      </c>
      <c r="F3910" t="s">
        <v>61</v>
      </c>
      <c r="G3910" t="s">
        <v>48</v>
      </c>
      <c r="H3910" t="s">
        <v>49</v>
      </c>
      <c r="I3910" t="s">
        <v>62</v>
      </c>
      <c r="J3910" t="s">
        <v>6633</v>
      </c>
      <c r="K3910" t="s">
        <v>5805</v>
      </c>
      <c r="L3910" t="s">
        <v>53</v>
      </c>
      <c r="N3910" t="s">
        <v>6636</v>
      </c>
      <c r="P3910" t="s">
        <v>55</v>
      </c>
      <c r="R3910" t="s">
        <v>56</v>
      </c>
      <c r="T3910" t="s">
        <v>6637</v>
      </c>
      <c r="U3910" t="s">
        <v>55</v>
      </c>
      <c r="V3910">
        <v>2</v>
      </c>
      <c r="W3910">
        <v>1</v>
      </c>
      <c r="X3910">
        <v>2</v>
      </c>
      <c r="Y3910">
        <v>0</v>
      </c>
      <c r="Z3910">
        <v>2</v>
      </c>
      <c r="AA3910">
        <v>146</v>
      </c>
      <c r="AB3910">
        <v>146</v>
      </c>
      <c r="AC3910">
        <v>146</v>
      </c>
      <c r="AD3910">
        <v>0</v>
      </c>
      <c r="AE3910">
        <v>0</v>
      </c>
      <c r="AF3910">
        <v>0</v>
      </c>
      <c r="AG3910">
        <v>0</v>
      </c>
      <c r="AH3910">
        <v>0</v>
      </c>
      <c r="AI3910">
        <v>26.28</v>
      </c>
      <c r="AJ3910">
        <v>146</v>
      </c>
      <c r="AK3910">
        <v>0</v>
      </c>
      <c r="AL3910" t="s">
        <v>53</v>
      </c>
      <c r="AM3910" t="s">
        <v>53</v>
      </c>
      <c r="AN3910" t="s">
        <v>53</v>
      </c>
      <c r="AO3910" t="s">
        <v>53</v>
      </c>
      <c r="AP3910" t="s">
        <v>53</v>
      </c>
    </row>
    <row r="3911" spans="2:42" x14ac:dyDescent="0.2">
      <c r="B3911" t="s">
        <v>44</v>
      </c>
      <c r="C3911" t="str">
        <f>HYPERLINK("https://us2.cloudbeds.com/connect/8493803454333002#/reservations/72803631956122?display=1XP8PHTXC0&amp;reservation_id=72803631956122", "1XP8PHTXC0")</f>
        <v>1XP8PHTXC0</v>
      </c>
      <c r="D3911" t="s">
        <v>45</v>
      </c>
      <c r="E3911" t="s">
        <v>406</v>
      </c>
      <c r="F3911" t="s">
        <v>61</v>
      </c>
      <c r="G3911" t="s">
        <v>48</v>
      </c>
      <c r="H3911" t="s">
        <v>3957</v>
      </c>
      <c r="I3911" t="s">
        <v>3975</v>
      </c>
      <c r="J3911" t="s">
        <v>6501</v>
      </c>
      <c r="K3911" t="s">
        <v>5805</v>
      </c>
      <c r="L3911" t="s">
        <v>53</v>
      </c>
      <c r="P3911" t="s">
        <v>55</v>
      </c>
      <c r="R3911" t="s">
        <v>53</v>
      </c>
      <c r="T3911" t="s">
        <v>6638</v>
      </c>
      <c r="U3911" t="s">
        <v>58</v>
      </c>
      <c r="V3911">
        <v>1</v>
      </c>
      <c r="W3911">
        <v>1</v>
      </c>
      <c r="X3911">
        <v>2</v>
      </c>
      <c r="Y3911">
        <v>0</v>
      </c>
      <c r="Z3911">
        <v>2</v>
      </c>
      <c r="AA3911">
        <v>82.97</v>
      </c>
      <c r="AB3911">
        <v>82.97</v>
      </c>
      <c r="AC3911">
        <v>73</v>
      </c>
      <c r="AD3911">
        <v>0</v>
      </c>
      <c r="AE3911">
        <v>9.9700000000000006</v>
      </c>
      <c r="AF3911">
        <v>0</v>
      </c>
      <c r="AG3911">
        <v>0</v>
      </c>
      <c r="AH3911">
        <v>0</v>
      </c>
      <c r="AI3911">
        <v>0</v>
      </c>
      <c r="AJ3911">
        <v>82.97</v>
      </c>
      <c r="AK3911">
        <v>0</v>
      </c>
      <c r="AL3911" t="s">
        <v>53</v>
      </c>
      <c r="AM3911" t="s">
        <v>53</v>
      </c>
      <c r="AN3911" t="s">
        <v>53</v>
      </c>
      <c r="AO3911" t="s">
        <v>53</v>
      </c>
      <c r="AP3911" t="s">
        <v>53</v>
      </c>
    </row>
    <row r="3912" spans="2:42" x14ac:dyDescent="0.2">
      <c r="B3912" t="s">
        <v>44</v>
      </c>
      <c r="C3912" t="str">
        <f>HYPERLINK("https://us2.cloudbeds.com/connect/8493803454333002#/reservations/72857916051689?display=1XQHQKMHMV&amp;reservation_id=72857916051689", "1XQHQKMHMV")</f>
        <v>1XQHQKMHMV</v>
      </c>
      <c r="D3912" t="s">
        <v>45</v>
      </c>
      <c r="E3912" t="s">
        <v>155</v>
      </c>
      <c r="F3912" t="s">
        <v>86</v>
      </c>
      <c r="G3912" t="s">
        <v>48</v>
      </c>
      <c r="H3912" t="s">
        <v>49</v>
      </c>
      <c r="I3912" t="s">
        <v>50</v>
      </c>
      <c r="J3912" t="s">
        <v>5623</v>
      </c>
      <c r="K3912" t="s">
        <v>6639</v>
      </c>
      <c r="L3912" t="s">
        <v>53</v>
      </c>
      <c r="N3912" t="s">
        <v>6640</v>
      </c>
      <c r="P3912" t="s">
        <v>55</v>
      </c>
      <c r="R3912" t="s">
        <v>53</v>
      </c>
      <c r="T3912" t="s">
        <v>6641</v>
      </c>
      <c r="U3912" t="s">
        <v>58</v>
      </c>
      <c r="V3912">
        <v>1</v>
      </c>
      <c r="W3912">
        <v>1</v>
      </c>
      <c r="X3912">
        <v>3</v>
      </c>
      <c r="Y3912">
        <v>0</v>
      </c>
      <c r="Z3912">
        <v>3</v>
      </c>
      <c r="AA3912">
        <v>274.95</v>
      </c>
      <c r="AB3912">
        <v>274.95</v>
      </c>
      <c r="AC3912">
        <v>241.92</v>
      </c>
      <c r="AD3912">
        <v>0</v>
      </c>
      <c r="AE3912">
        <v>33.03</v>
      </c>
      <c r="AF3912">
        <v>0</v>
      </c>
      <c r="AG3912">
        <v>0</v>
      </c>
      <c r="AH3912">
        <v>0</v>
      </c>
      <c r="AI3912">
        <v>49.49</v>
      </c>
      <c r="AJ3912">
        <v>274.95</v>
      </c>
      <c r="AK3912">
        <v>0</v>
      </c>
      <c r="AL3912" t="s">
        <v>53</v>
      </c>
      <c r="AM3912" t="s">
        <v>53</v>
      </c>
      <c r="AN3912" t="s">
        <v>53</v>
      </c>
      <c r="AO3912" t="s">
        <v>53</v>
      </c>
      <c r="AP3912" t="s">
        <v>53</v>
      </c>
    </row>
    <row r="3913" spans="2:42" x14ac:dyDescent="0.2">
      <c r="B3913" t="s">
        <v>44</v>
      </c>
      <c r="C3913" t="str">
        <f>HYPERLINK("https://us2.cloudbeds.com/connect/8493803454333002#/reservations/72870801010930?display=1XQRPSKH69&amp;reservation_id=72870801010930", "1XQRPSKH69")</f>
        <v>1XQRPSKH69</v>
      </c>
      <c r="D3913" t="s">
        <v>45</v>
      </c>
      <c r="E3913" t="s">
        <v>92</v>
      </c>
      <c r="F3913" t="s">
        <v>86</v>
      </c>
      <c r="G3913" t="s">
        <v>48</v>
      </c>
      <c r="H3913" t="s">
        <v>49</v>
      </c>
      <c r="I3913" t="s">
        <v>50</v>
      </c>
      <c r="J3913" t="s">
        <v>6501</v>
      </c>
      <c r="K3913" t="s">
        <v>6146</v>
      </c>
      <c r="L3913" t="s">
        <v>53</v>
      </c>
      <c r="N3913" t="s">
        <v>6642</v>
      </c>
      <c r="P3913" t="s">
        <v>55</v>
      </c>
      <c r="R3913" t="s">
        <v>53</v>
      </c>
      <c r="T3913" t="s">
        <v>6643</v>
      </c>
      <c r="U3913" t="s">
        <v>58</v>
      </c>
      <c r="V3913">
        <v>2</v>
      </c>
      <c r="W3913">
        <v>1</v>
      </c>
      <c r="X3913">
        <v>2</v>
      </c>
      <c r="Y3913">
        <v>1</v>
      </c>
      <c r="Z3913">
        <v>3</v>
      </c>
      <c r="AA3913">
        <v>148.78</v>
      </c>
      <c r="AB3913">
        <v>148.78</v>
      </c>
      <c r="AC3913">
        <v>130.9</v>
      </c>
      <c r="AD3913">
        <v>0</v>
      </c>
      <c r="AE3913">
        <v>17.88</v>
      </c>
      <c r="AF3913">
        <v>0</v>
      </c>
      <c r="AG3913">
        <v>0</v>
      </c>
      <c r="AH3913">
        <v>0</v>
      </c>
      <c r="AI3913">
        <v>26.78</v>
      </c>
      <c r="AJ3913">
        <v>148.78</v>
      </c>
      <c r="AK3913">
        <v>0</v>
      </c>
      <c r="AL3913" t="s">
        <v>53</v>
      </c>
      <c r="AM3913" t="s">
        <v>53</v>
      </c>
      <c r="AN3913" t="s">
        <v>53</v>
      </c>
      <c r="AO3913" t="s">
        <v>53</v>
      </c>
      <c r="AP3913" t="s">
        <v>53</v>
      </c>
    </row>
    <row r="3914" spans="2:42" x14ac:dyDescent="0.2">
      <c r="B3914" t="s">
        <v>44</v>
      </c>
      <c r="C3914" t="str">
        <f>HYPERLINK("https://us2.cloudbeds.com/connect/8493803454333002#/reservations/72881693864102?display=1XR376P761&amp;reservation_id=72881693864102", "1XR376P761")</f>
        <v>1XR376P761</v>
      </c>
      <c r="D3914" t="s">
        <v>45</v>
      </c>
      <c r="E3914" t="s">
        <v>223</v>
      </c>
      <c r="F3914" t="s">
        <v>47</v>
      </c>
      <c r="G3914" t="s">
        <v>48</v>
      </c>
      <c r="H3914" t="s">
        <v>49</v>
      </c>
      <c r="I3914" t="s">
        <v>50</v>
      </c>
      <c r="J3914" t="s">
        <v>6519</v>
      </c>
      <c r="K3914" t="s">
        <v>6644</v>
      </c>
      <c r="L3914" t="s">
        <v>53</v>
      </c>
      <c r="N3914" t="s">
        <v>6645</v>
      </c>
      <c r="P3914" t="s">
        <v>55</v>
      </c>
      <c r="R3914" t="s">
        <v>53</v>
      </c>
      <c r="T3914" t="s">
        <v>6646</v>
      </c>
      <c r="U3914" t="s">
        <v>58</v>
      </c>
      <c r="V3914">
        <v>1</v>
      </c>
      <c r="W3914">
        <v>1</v>
      </c>
      <c r="X3914">
        <v>2</v>
      </c>
      <c r="Y3914">
        <v>0</v>
      </c>
      <c r="Z3914">
        <v>2</v>
      </c>
      <c r="AA3914">
        <v>74.67</v>
      </c>
      <c r="AB3914">
        <v>74.67</v>
      </c>
      <c r="AC3914">
        <v>65.7</v>
      </c>
      <c r="AD3914">
        <v>0</v>
      </c>
      <c r="AE3914">
        <v>8.9700000000000006</v>
      </c>
      <c r="AF3914">
        <v>0</v>
      </c>
      <c r="AG3914">
        <v>0</v>
      </c>
      <c r="AH3914">
        <v>0</v>
      </c>
      <c r="AI3914">
        <v>13.44</v>
      </c>
      <c r="AJ3914">
        <v>74.67</v>
      </c>
      <c r="AK3914">
        <v>0</v>
      </c>
      <c r="AL3914" t="s">
        <v>53</v>
      </c>
      <c r="AM3914" t="s">
        <v>53</v>
      </c>
      <c r="AN3914" t="s">
        <v>53</v>
      </c>
      <c r="AO3914" t="s">
        <v>53</v>
      </c>
      <c r="AP3914" t="s">
        <v>53</v>
      </c>
    </row>
    <row r="3915" spans="2:42" x14ac:dyDescent="0.2">
      <c r="B3915" t="s">
        <v>44</v>
      </c>
      <c r="C3915" t="str">
        <f>HYPERLINK("https://us2.cloudbeds.com/connect/8493803454333002#/reservations/72896303886514?display=1XREHHAKNU&amp;reservation_id=72896303886514", "1XREHHAKNU")</f>
        <v>1XREHHAKNU</v>
      </c>
      <c r="D3915" t="s">
        <v>45</v>
      </c>
      <c r="E3915" t="s">
        <v>381</v>
      </c>
      <c r="F3915" t="s">
        <v>47</v>
      </c>
      <c r="G3915" t="s">
        <v>48</v>
      </c>
      <c r="H3915" t="s">
        <v>49</v>
      </c>
      <c r="I3915" t="s">
        <v>62</v>
      </c>
      <c r="J3915" t="s">
        <v>6504</v>
      </c>
      <c r="K3915" t="s">
        <v>6539</v>
      </c>
      <c r="L3915" t="s">
        <v>53</v>
      </c>
      <c r="N3915" t="s">
        <v>6647</v>
      </c>
      <c r="P3915" t="s">
        <v>55</v>
      </c>
      <c r="R3915" t="s">
        <v>56</v>
      </c>
      <c r="T3915" t="s">
        <v>6648</v>
      </c>
      <c r="U3915" t="s">
        <v>55</v>
      </c>
      <c r="V3915">
        <v>2</v>
      </c>
      <c r="W3915">
        <v>1</v>
      </c>
      <c r="X3915">
        <v>2</v>
      </c>
      <c r="Y3915">
        <v>0</v>
      </c>
      <c r="Z3915">
        <v>2</v>
      </c>
      <c r="AA3915">
        <v>136</v>
      </c>
      <c r="AB3915">
        <v>136</v>
      </c>
      <c r="AC3915">
        <v>136</v>
      </c>
      <c r="AD3915">
        <v>0</v>
      </c>
      <c r="AE3915">
        <v>0</v>
      </c>
      <c r="AF3915">
        <v>0</v>
      </c>
      <c r="AG3915">
        <v>0</v>
      </c>
      <c r="AH3915">
        <v>0</v>
      </c>
      <c r="AI3915">
        <v>24.48</v>
      </c>
      <c r="AJ3915">
        <v>136</v>
      </c>
      <c r="AK3915">
        <v>0</v>
      </c>
      <c r="AL3915" t="s">
        <v>53</v>
      </c>
      <c r="AM3915" t="s">
        <v>53</v>
      </c>
      <c r="AN3915" t="s">
        <v>53</v>
      </c>
      <c r="AO3915" t="s">
        <v>53</v>
      </c>
      <c r="AP3915" t="s">
        <v>53</v>
      </c>
    </row>
    <row r="3916" spans="2:42" x14ac:dyDescent="0.2">
      <c r="B3916" t="s">
        <v>44</v>
      </c>
      <c r="C3916" t="str">
        <f>HYPERLINK("https://us2.cloudbeds.com/connect/8493803454333002#/reservations/72989680828614?display=1XTKRH7MZW&amp;reservation_id=72989680828614", "1XTKRH7MZW")</f>
        <v>1XTKRH7MZW</v>
      </c>
      <c r="D3916" t="s">
        <v>45</v>
      </c>
      <c r="E3916" t="s">
        <v>406</v>
      </c>
      <c r="F3916" t="s">
        <v>61</v>
      </c>
      <c r="G3916" t="s">
        <v>48</v>
      </c>
      <c r="H3916" t="s">
        <v>49</v>
      </c>
      <c r="I3916" t="s">
        <v>50</v>
      </c>
      <c r="J3916" t="s">
        <v>5805</v>
      </c>
      <c r="K3916" t="s">
        <v>6146</v>
      </c>
      <c r="L3916" t="s">
        <v>53</v>
      </c>
      <c r="N3916" t="s">
        <v>6649</v>
      </c>
      <c r="P3916" t="s">
        <v>55</v>
      </c>
      <c r="R3916" t="s">
        <v>53</v>
      </c>
      <c r="T3916" t="s">
        <v>6650</v>
      </c>
      <c r="U3916" t="s">
        <v>58</v>
      </c>
      <c r="V3916">
        <v>1</v>
      </c>
      <c r="W3916">
        <v>1</v>
      </c>
      <c r="X3916">
        <v>1</v>
      </c>
      <c r="Y3916">
        <v>0</v>
      </c>
      <c r="Z3916">
        <v>1</v>
      </c>
      <c r="AA3916">
        <v>74.67</v>
      </c>
      <c r="AB3916">
        <v>74.67</v>
      </c>
      <c r="AC3916">
        <v>65.7</v>
      </c>
      <c r="AD3916">
        <v>0</v>
      </c>
      <c r="AE3916">
        <v>8.9700000000000006</v>
      </c>
      <c r="AF3916">
        <v>0</v>
      </c>
      <c r="AG3916">
        <v>0</v>
      </c>
      <c r="AH3916">
        <v>0</v>
      </c>
      <c r="AI3916">
        <v>13.44</v>
      </c>
      <c r="AJ3916">
        <v>74.67</v>
      </c>
      <c r="AK3916">
        <v>0</v>
      </c>
      <c r="AL3916" t="s">
        <v>53</v>
      </c>
      <c r="AM3916" t="s">
        <v>53</v>
      </c>
      <c r="AN3916" t="s">
        <v>53</v>
      </c>
      <c r="AO3916" t="s">
        <v>53</v>
      </c>
      <c r="AP3916" t="s">
        <v>53</v>
      </c>
    </row>
    <row r="3917" spans="2:42" x14ac:dyDescent="0.2">
      <c r="B3917" t="s">
        <v>44</v>
      </c>
      <c r="C3917" t="str">
        <f>HYPERLINK("https://us2.cloudbeds.com/connect/8493803454333002#/reservations/73171296354525?display=1J0TF78DR5&amp;reservation_id=73171296354525", "1J0TF78DR5")</f>
        <v>1J0TF78DR5</v>
      </c>
      <c r="D3917" t="s">
        <v>45</v>
      </c>
      <c r="E3917" t="s">
        <v>165</v>
      </c>
      <c r="F3917" t="s">
        <v>61</v>
      </c>
      <c r="G3917" t="s">
        <v>48</v>
      </c>
      <c r="H3917" t="s">
        <v>49</v>
      </c>
      <c r="I3917" t="s">
        <v>50</v>
      </c>
      <c r="J3917" t="s">
        <v>6651</v>
      </c>
      <c r="K3917" t="s">
        <v>6050</v>
      </c>
      <c r="L3917" t="s">
        <v>53</v>
      </c>
      <c r="N3917" t="s">
        <v>6652</v>
      </c>
      <c r="P3917" t="s">
        <v>55</v>
      </c>
      <c r="R3917" t="s">
        <v>53</v>
      </c>
      <c r="T3917" t="s">
        <v>6653</v>
      </c>
      <c r="U3917" t="s">
        <v>58</v>
      </c>
      <c r="V3917">
        <v>2</v>
      </c>
      <c r="W3917">
        <v>1</v>
      </c>
      <c r="X3917">
        <v>2</v>
      </c>
      <c r="Y3917">
        <v>0</v>
      </c>
      <c r="Z3917">
        <v>2</v>
      </c>
      <c r="AA3917">
        <v>234.23</v>
      </c>
      <c r="AB3917">
        <v>234.23</v>
      </c>
      <c r="AC3917">
        <v>206.1</v>
      </c>
      <c r="AD3917">
        <v>0</v>
      </c>
      <c r="AE3917">
        <v>28.13</v>
      </c>
      <c r="AF3917">
        <v>0</v>
      </c>
      <c r="AG3917">
        <v>0</v>
      </c>
      <c r="AH3917">
        <v>0</v>
      </c>
      <c r="AI3917">
        <v>42.16</v>
      </c>
      <c r="AJ3917">
        <v>234.23</v>
      </c>
      <c r="AK3917">
        <v>0</v>
      </c>
      <c r="AL3917" t="s">
        <v>53</v>
      </c>
      <c r="AM3917" t="s">
        <v>53</v>
      </c>
      <c r="AN3917" t="s">
        <v>53</v>
      </c>
      <c r="AO3917" t="s">
        <v>53</v>
      </c>
      <c r="AP3917" t="s">
        <v>53</v>
      </c>
    </row>
    <row r="3918" spans="2:42" x14ac:dyDescent="0.2">
      <c r="B3918" t="s">
        <v>44</v>
      </c>
      <c r="C3918" t="str">
        <f>HYPERLINK("https://us2.cloudbeds.com/connect/8493803454333002#/reservations/73196343259323?display=1J1FS7FFD8&amp;reservation_id=73196343259323", "1J1FS7FFD8")</f>
        <v>1J1FS7FFD8</v>
      </c>
      <c r="D3918" t="s">
        <v>45</v>
      </c>
      <c r="E3918" t="s">
        <v>165</v>
      </c>
      <c r="F3918" t="s">
        <v>61</v>
      </c>
      <c r="G3918" t="s">
        <v>48</v>
      </c>
      <c r="H3918" t="s">
        <v>49</v>
      </c>
      <c r="I3918" t="s">
        <v>50</v>
      </c>
      <c r="J3918" t="s">
        <v>5805</v>
      </c>
      <c r="K3918" t="s">
        <v>6146</v>
      </c>
      <c r="L3918" t="s">
        <v>53</v>
      </c>
      <c r="N3918" t="s">
        <v>6654</v>
      </c>
      <c r="P3918" t="s">
        <v>55</v>
      </c>
      <c r="R3918" t="s">
        <v>53</v>
      </c>
      <c r="T3918" t="s">
        <v>6655</v>
      </c>
      <c r="U3918" t="s">
        <v>58</v>
      </c>
      <c r="V3918">
        <v>1</v>
      </c>
      <c r="W3918">
        <v>1</v>
      </c>
      <c r="X3918">
        <v>2</v>
      </c>
      <c r="Y3918">
        <v>0</v>
      </c>
      <c r="Z3918">
        <v>2</v>
      </c>
      <c r="AA3918">
        <v>74.67</v>
      </c>
      <c r="AB3918">
        <v>74.67</v>
      </c>
      <c r="AC3918">
        <v>65.7</v>
      </c>
      <c r="AD3918">
        <v>0</v>
      </c>
      <c r="AE3918">
        <v>8.9700000000000006</v>
      </c>
      <c r="AF3918">
        <v>0</v>
      </c>
      <c r="AG3918">
        <v>0</v>
      </c>
      <c r="AH3918">
        <v>0</v>
      </c>
      <c r="AI3918">
        <v>13.44</v>
      </c>
      <c r="AJ3918">
        <v>74.67</v>
      </c>
      <c r="AK3918">
        <v>0</v>
      </c>
      <c r="AL3918" t="s">
        <v>53</v>
      </c>
      <c r="AM3918" t="s">
        <v>53</v>
      </c>
      <c r="AN3918" t="s">
        <v>53</v>
      </c>
      <c r="AO3918" t="s">
        <v>53</v>
      </c>
      <c r="AP3918" t="s">
        <v>53</v>
      </c>
    </row>
    <row r="3919" spans="2:42" x14ac:dyDescent="0.2">
      <c r="B3919" t="s">
        <v>44</v>
      </c>
      <c r="C3919" t="str">
        <f>HYPERLINK("https://us2.cloudbeds.com/connect/8493803454333002#/reservations/73256020865160?display=1J2T246R2B&amp;reservation_id=73256020865160", "1J2T246R2B")</f>
        <v>1J2T246R2B</v>
      </c>
      <c r="D3919" t="s">
        <v>45</v>
      </c>
      <c r="E3919" t="s">
        <v>265</v>
      </c>
      <c r="F3919" t="s">
        <v>61</v>
      </c>
      <c r="G3919" t="s">
        <v>48</v>
      </c>
      <c r="H3919" t="s">
        <v>49</v>
      </c>
      <c r="I3919" t="s">
        <v>50</v>
      </c>
      <c r="J3919" t="s">
        <v>5805</v>
      </c>
      <c r="K3919" t="s">
        <v>6146</v>
      </c>
      <c r="L3919" t="s">
        <v>53</v>
      </c>
      <c r="N3919" t="s">
        <v>6656</v>
      </c>
      <c r="P3919" t="s">
        <v>55</v>
      </c>
      <c r="R3919" t="s">
        <v>53</v>
      </c>
      <c r="T3919" t="s">
        <v>6657</v>
      </c>
      <c r="U3919" t="s">
        <v>58</v>
      </c>
      <c r="V3919">
        <v>1</v>
      </c>
      <c r="W3919">
        <v>1</v>
      </c>
      <c r="X3919">
        <v>2</v>
      </c>
      <c r="Y3919">
        <v>0</v>
      </c>
      <c r="Z3919">
        <v>2</v>
      </c>
      <c r="AA3919">
        <v>74.67</v>
      </c>
      <c r="AB3919">
        <v>74.67</v>
      </c>
      <c r="AC3919">
        <v>65.7</v>
      </c>
      <c r="AD3919">
        <v>0</v>
      </c>
      <c r="AE3919">
        <v>8.9700000000000006</v>
      </c>
      <c r="AF3919">
        <v>0</v>
      </c>
      <c r="AG3919">
        <v>0</v>
      </c>
      <c r="AH3919">
        <v>0</v>
      </c>
      <c r="AI3919">
        <v>13.44</v>
      </c>
      <c r="AJ3919">
        <v>74.67</v>
      </c>
      <c r="AK3919">
        <v>0</v>
      </c>
      <c r="AL3919" t="s">
        <v>53</v>
      </c>
      <c r="AM3919" t="s">
        <v>53</v>
      </c>
      <c r="AN3919" t="s">
        <v>53</v>
      </c>
      <c r="AO3919" t="s">
        <v>53</v>
      </c>
      <c r="AP3919" t="s">
        <v>53</v>
      </c>
    </row>
    <row r="3920" spans="2:42" x14ac:dyDescent="0.2">
      <c r="B3920" t="s">
        <v>44</v>
      </c>
      <c r="C3920" t="str">
        <f>HYPERLINK("https://us2.cloudbeds.com/connect/8493803454333002#/reservations/73615999377644?display=1JBAQDKJ1J&amp;reservation_id=73615999377644", "1JBAQDKJ1J")</f>
        <v>1JBAQDKJ1J</v>
      </c>
      <c r="D3920" t="s">
        <v>45</v>
      </c>
      <c r="E3920" t="s">
        <v>165</v>
      </c>
      <c r="F3920" t="s">
        <v>61</v>
      </c>
      <c r="G3920" t="s">
        <v>48</v>
      </c>
      <c r="H3920" t="s">
        <v>3957</v>
      </c>
      <c r="I3920" t="s">
        <v>3958</v>
      </c>
      <c r="J3920" t="s">
        <v>6146</v>
      </c>
      <c r="K3920" t="s">
        <v>5806</v>
      </c>
      <c r="L3920" t="s">
        <v>53</v>
      </c>
      <c r="P3920" t="s">
        <v>55</v>
      </c>
      <c r="R3920" t="s">
        <v>56</v>
      </c>
      <c r="T3920" t="s">
        <v>6658</v>
      </c>
      <c r="U3920" t="s">
        <v>58</v>
      </c>
      <c r="V3920">
        <v>2</v>
      </c>
      <c r="W3920">
        <v>1</v>
      </c>
      <c r="X3920">
        <v>1</v>
      </c>
      <c r="Y3920">
        <v>0</v>
      </c>
      <c r="Z3920">
        <v>1</v>
      </c>
      <c r="AA3920">
        <v>165.94</v>
      </c>
      <c r="AB3920">
        <v>165.94</v>
      </c>
      <c r="AC3920">
        <v>146</v>
      </c>
      <c r="AD3920">
        <v>0</v>
      </c>
      <c r="AE3920">
        <v>19.940000000000001</v>
      </c>
      <c r="AF3920">
        <v>0</v>
      </c>
      <c r="AG3920">
        <v>0</v>
      </c>
      <c r="AH3920">
        <v>0</v>
      </c>
      <c r="AI3920">
        <v>0</v>
      </c>
      <c r="AJ3920">
        <v>165.94</v>
      </c>
      <c r="AK3920">
        <v>0</v>
      </c>
      <c r="AL3920" t="s">
        <v>53</v>
      </c>
      <c r="AM3920" t="s">
        <v>53</v>
      </c>
      <c r="AN3920" t="s">
        <v>53</v>
      </c>
      <c r="AO3920" t="s">
        <v>53</v>
      </c>
      <c r="AP3920" t="s">
        <v>53</v>
      </c>
    </row>
    <row r="3921" spans="2:42" x14ac:dyDescent="0.2">
      <c r="B3921" t="s">
        <v>44</v>
      </c>
      <c r="C3921" t="str">
        <f>HYPERLINK("https://us2.cloudbeds.com/connect/8493803454333002#/reservations/73637023252708?display=1JBR2KGTEZ&amp;reservation_id=73637023252708", "1JBR2KGTEZ")</f>
        <v>1JBR2KGTEZ</v>
      </c>
      <c r="D3921" t="s">
        <v>45</v>
      </c>
      <c r="E3921" t="s">
        <v>381</v>
      </c>
      <c r="F3921" t="s">
        <v>47</v>
      </c>
      <c r="G3921" t="s">
        <v>48</v>
      </c>
      <c r="H3921" t="s">
        <v>49</v>
      </c>
      <c r="I3921" t="s">
        <v>62</v>
      </c>
      <c r="J3921" t="s">
        <v>6146</v>
      </c>
      <c r="K3921" t="s">
        <v>6504</v>
      </c>
      <c r="L3921" t="s">
        <v>53</v>
      </c>
      <c r="N3921" t="s">
        <v>6659</v>
      </c>
      <c r="P3921" t="s">
        <v>55</v>
      </c>
      <c r="R3921" t="s">
        <v>56</v>
      </c>
      <c r="T3921" t="s">
        <v>6660</v>
      </c>
      <c r="U3921" t="s">
        <v>55</v>
      </c>
      <c r="V3921">
        <v>1</v>
      </c>
      <c r="W3921">
        <v>1</v>
      </c>
      <c r="X3921">
        <v>1</v>
      </c>
      <c r="Y3921">
        <v>0</v>
      </c>
      <c r="Z3921">
        <v>1</v>
      </c>
      <c r="AA3921">
        <v>68</v>
      </c>
      <c r="AB3921">
        <v>68</v>
      </c>
      <c r="AC3921">
        <v>68</v>
      </c>
      <c r="AD3921">
        <v>0</v>
      </c>
      <c r="AE3921">
        <v>0</v>
      </c>
      <c r="AF3921">
        <v>0</v>
      </c>
      <c r="AG3921">
        <v>0</v>
      </c>
      <c r="AH3921">
        <v>0</v>
      </c>
      <c r="AI3921">
        <v>12.24</v>
      </c>
      <c r="AJ3921">
        <v>68</v>
      </c>
      <c r="AK3921">
        <v>0</v>
      </c>
      <c r="AL3921" t="s">
        <v>53</v>
      </c>
      <c r="AM3921" t="s">
        <v>53</v>
      </c>
      <c r="AN3921" t="s">
        <v>53</v>
      </c>
      <c r="AO3921" t="s">
        <v>53</v>
      </c>
      <c r="AP3921" t="s">
        <v>53</v>
      </c>
    </row>
    <row r="3922" spans="2:42" x14ac:dyDescent="0.2">
      <c r="B3922" t="s">
        <v>44</v>
      </c>
      <c r="C3922" t="str">
        <f>HYPERLINK("https://us2.cloudbeds.com/connect/8493803454333002#/reservations/73645372649718?display=1JC0HVV5MB&amp;reservation_id=73645372649718", "1JC0HVV5MB")</f>
        <v>1JC0HVV5MB</v>
      </c>
      <c r="D3922" t="s">
        <v>45</v>
      </c>
      <c r="E3922" t="s">
        <v>138</v>
      </c>
      <c r="F3922" t="s">
        <v>70</v>
      </c>
      <c r="G3922" t="s">
        <v>48</v>
      </c>
      <c r="H3922" t="s">
        <v>3957</v>
      </c>
      <c r="I3922" t="s">
        <v>3975</v>
      </c>
      <c r="J3922" t="s">
        <v>6661</v>
      </c>
      <c r="K3922" t="s">
        <v>6662</v>
      </c>
      <c r="L3922" t="s">
        <v>53</v>
      </c>
      <c r="P3922" t="s">
        <v>55</v>
      </c>
      <c r="R3922" t="s">
        <v>53</v>
      </c>
      <c r="T3922" t="s">
        <v>6663</v>
      </c>
      <c r="U3922" t="s">
        <v>58</v>
      </c>
      <c r="V3922">
        <v>3</v>
      </c>
      <c r="W3922">
        <v>1</v>
      </c>
      <c r="X3922">
        <v>2</v>
      </c>
      <c r="Y3922">
        <v>0</v>
      </c>
      <c r="Z3922">
        <v>2</v>
      </c>
      <c r="AA3922">
        <v>808.06</v>
      </c>
      <c r="AB3922">
        <v>808.06</v>
      </c>
      <c r="AC3922">
        <v>711</v>
      </c>
      <c r="AD3922">
        <v>0</v>
      </c>
      <c r="AE3922">
        <v>97.06</v>
      </c>
      <c r="AF3922">
        <v>0</v>
      </c>
      <c r="AG3922">
        <v>0</v>
      </c>
      <c r="AH3922">
        <v>0</v>
      </c>
      <c r="AI3922">
        <v>0</v>
      </c>
      <c r="AJ3922">
        <v>808.06</v>
      </c>
      <c r="AK3922">
        <v>0</v>
      </c>
      <c r="AL3922" t="s">
        <v>53</v>
      </c>
      <c r="AM3922" t="s">
        <v>53</v>
      </c>
      <c r="AN3922" t="s">
        <v>53</v>
      </c>
      <c r="AO3922" t="s">
        <v>53</v>
      </c>
      <c r="AP3922" t="s">
        <v>53</v>
      </c>
    </row>
    <row r="3923" spans="2:42" x14ac:dyDescent="0.2">
      <c r="B3923" t="s">
        <v>44</v>
      </c>
      <c r="C3923" t="str">
        <f>HYPERLINK("https://us2.cloudbeds.com/connect/8493803454333002#/reservations/73938707996898?display=1JXTMC2K9T&amp;reservation_id=73938707996898", "1JXTMC2K9T")</f>
        <v>1JXTMC2K9T</v>
      </c>
      <c r="D3923" t="s">
        <v>45</v>
      </c>
      <c r="E3923" t="s">
        <v>487</v>
      </c>
      <c r="F3923" t="s">
        <v>61</v>
      </c>
      <c r="G3923" t="s">
        <v>48</v>
      </c>
      <c r="H3923" t="s">
        <v>3957</v>
      </c>
      <c r="I3923" t="s">
        <v>3989</v>
      </c>
      <c r="J3923" t="s">
        <v>5622</v>
      </c>
      <c r="K3923" t="s">
        <v>6586</v>
      </c>
      <c r="L3923" t="s">
        <v>53</v>
      </c>
      <c r="P3923" t="s">
        <v>55</v>
      </c>
      <c r="R3923" t="s">
        <v>56</v>
      </c>
      <c r="T3923" t="s">
        <v>6664</v>
      </c>
      <c r="U3923" t="s">
        <v>58</v>
      </c>
      <c r="V3923">
        <v>5</v>
      </c>
      <c r="W3923">
        <v>1</v>
      </c>
      <c r="X3923">
        <v>1</v>
      </c>
      <c r="Y3923">
        <v>0</v>
      </c>
      <c r="Z3923">
        <v>1</v>
      </c>
      <c r="AA3923">
        <v>1377.45</v>
      </c>
      <c r="AB3923">
        <v>1377.45</v>
      </c>
      <c r="AC3923">
        <v>1212</v>
      </c>
      <c r="AD3923">
        <v>0</v>
      </c>
      <c r="AE3923">
        <v>165.45</v>
      </c>
      <c r="AF3923">
        <v>0</v>
      </c>
      <c r="AG3923">
        <v>0</v>
      </c>
      <c r="AH3923">
        <v>0</v>
      </c>
      <c r="AI3923">
        <v>0</v>
      </c>
      <c r="AJ3923">
        <v>1377.45</v>
      </c>
      <c r="AK3923">
        <v>0</v>
      </c>
      <c r="AL3923" t="s">
        <v>53</v>
      </c>
      <c r="AM3923" t="s">
        <v>53</v>
      </c>
      <c r="AN3923" t="s">
        <v>53</v>
      </c>
      <c r="AO3923" t="s">
        <v>53</v>
      </c>
      <c r="AP3923" t="s">
        <v>53</v>
      </c>
    </row>
    <row r="3924" spans="2:42" x14ac:dyDescent="0.2">
      <c r="B3924" t="s">
        <v>44</v>
      </c>
      <c r="C3924" t="str">
        <f>HYPERLINK("https://us2.cloudbeds.com/connect/8493803454333002#/reservations/73990989897943?display=1JK459XJ5X&amp;reservation_id=73990989897943", "1JK459XJ5X")</f>
        <v>1JK459XJ5X</v>
      </c>
      <c r="D3924" t="s">
        <v>45</v>
      </c>
      <c r="E3924" t="s">
        <v>113</v>
      </c>
      <c r="F3924" t="s">
        <v>61</v>
      </c>
      <c r="G3924" t="s">
        <v>48</v>
      </c>
      <c r="H3924" t="s">
        <v>49</v>
      </c>
      <c r="I3924" t="s">
        <v>62</v>
      </c>
      <c r="J3924" t="s">
        <v>6504</v>
      </c>
      <c r="K3924" t="s">
        <v>5806</v>
      </c>
      <c r="L3924" t="s">
        <v>53</v>
      </c>
      <c r="N3924" t="s">
        <v>6665</v>
      </c>
      <c r="P3924" t="s">
        <v>55</v>
      </c>
      <c r="R3924" t="s">
        <v>56</v>
      </c>
      <c r="T3924" t="s">
        <v>6666</v>
      </c>
      <c r="U3924" t="s">
        <v>55</v>
      </c>
      <c r="V3924">
        <v>1</v>
      </c>
      <c r="W3924">
        <v>1</v>
      </c>
      <c r="X3924">
        <v>2</v>
      </c>
      <c r="Y3924">
        <v>0</v>
      </c>
      <c r="Z3924">
        <v>2</v>
      </c>
      <c r="AA3924">
        <v>73</v>
      </c>
      <c r="AB3924">
        <v>73</v>
      </c>
      <c r="AC3924">
        <v>73</v>
      </c>
      <c r="AD3924">
        <v>0</v>
      </c>
      <c r="AE3924">
        <v>0</v>
      </c>
      <c r="AF3924">
        <v>0</v>
      </c>
      <c r="AG3924">
        <v>0</v>
      </c>
      <c r="AH3924">
        <v>0</v>
      </c>
      <c r="AI3924">
        <v>13.14</v>
      </c>
      <c r="AJ3924">
        <v>73</v>
      </c>
      <c r="AK3924">
        <v>0</v>
      </c>
      <c r="AL3924" t="s">
        <v>53</v>
      </c>
      <c r="AM3924" t="s">
        <v>53</v>
      </c>
      <c r="AN3924" t="s">
        <v>53</v>
      </c>
      <c r="AO3924" t="s">
        <v>53</v>
      </c>
      <c r="AP3924" t="s">
        <v>53</v>
      </c>
    </row>
    <row r="3925" spans="2:42" x14ac:dyDescent="0.2">
      <c r="B3925" t="s">
        <v>44</v>
      </c>
      <c r="C3925" t="str">
        <f>HYPERLINK("https://us2.cloudbeds.com/connect/8493803454333002#/reservations/74054257836249?display=1JYK4UP7H8&amp;reservation_id=74054257836249", "1JYK4UP7H8")</f>
        <v>1JYK4UP7H8</v>
      </c>
      <c r="D3925" t="s">
        <v>45</v>
      </c>
      <c r="E3925" t="s">
        <v>165</v>
      </c>
      <c r="F3925" t="s">
        <v>61</v>
      </c>
      <c r="G3925" t="s">
        <v>48</v>
      </c>
      <c r="H3925" t="s">
        <v>49</v>
      </c>
      <c r="I3925" t="s">
        <v>62</v>
      </c>
      <c r="J3925" t="s">
        <v>5806</v>
      </c>
      <c r="K3925" t="s">
        <v>6539</v>
      </c>
      <c r="L3925" t="s">
        <v>53</v>
      </c>
      <c r="N3925" t="s">
        <v>6667</v>
      </c>
      <c r="P3925" t="s">
        <v>55</v>
      </c>
      <c r="R3925" t="s">
        <v>1705</v>
      </c>
      <c r="T3925" t="s">
        <v>6668</v>
      </c>
      <c r="U3925" t="s">
        <v>55</v>
      </c>
      <c r="V3925">
        <v>1</v>
      </c>
      <c r="W3925">
        <v>1</v>
      </c>
      <c r="X3925">
        <v>2</v>
      </c>
      <c r="Y3925">
        <v>0</v>
      </c>
      <c r="Z3925">
        <v>2</v>
      </c>
      <c r="AA3925">
        <v>73</v>
      </c>
      <c r="AB3925">
        <v>73</v>
      </c>
      <c r="AC3925">
        <v>73</v>
      </c>
      <c r="AD3925">
        <v>0</v>
      </c>
      <c r="AE3925">
        <v>0</v>
      </c>
      <c r="AF3925">
        <v>0</v>
      </c>
      <c r="AG3925">
        <v>0</v>
      </c>
      <c r="AH3925">
        <v>0</v>
      </c>
      <c r="AI3925">
        <v>13.14</v>
      </c>
      <c r="AJ3925">
        <v>73</v>
      </c>
      <c r="AK3925">
        <v>0</v>
      </c>
      <c r="AL3925" t="s">
        <v>53</v>
      </c>
      <c r="AM3925" t="s">
        <v>53</v>
      </c>
      <c r="AN3925" t="s">
        <v>53</v>
      </c>
      <c r="AO3925" t="s">
        <v>53</v>
      </c>
      <c r="AP3925" t="s">
        <v>53</v>
      </c>
    </row>
    <row r="3926" spans="2:42" x14ac:dyDescent="0.2">
      <c r="B3926" t="s">
        <v>44</v>
      </c>
      <c r="C3926" t="str">
        <f>HYPERLINK("https://us2.cloudbeds.com/connect/8493803454333002#/reservations/74209095360703?display=1JP81CSJXR&amp;reservation_id=74209095360703", "1JP81CSJXR")</f>
        <v>1JP81CSJXR</v>
      </c>
      <c r="D3926" t="s">
        <v>45</v>
      </c>
      <c r="E3926" t="s">
        <v>213</v>
      </c>
      <c r="F3926" t="s">
        <v>86</v>
      </c>
      <c r="G3926" t="s">
        <v>48</v>
      </c>
      <c r="H3926" t="s">
        <v>3957</v>
      </c>
      <c r="I3926" t="s">
        <v>3975</v>
      </c>
      <c r="J3926" t="s">
        <v>5806</v>
      </c>
      <c r="K3926" t="s">
        <v>6519</v>
      </c>
      <c r="L3926" t="s">
        <v>53</v>
      </c>
      <c r="P3926" t="s">
        <v>55</v>
      </c>
      <c r="R3926" t="s">
        <v>53</v>
      </c>
      <c r="T3926" t="s">
        <v>6669</v>
      </c>
      <c r="U3926" t="s">
        <v>58</v>
      </c>
      <c r="V3926">
        <v>3</v>
      </c>
      <c r="W3926">
        <v>1</v>
      </c>
      <c r="X3926">
        <v>2</v>
      </c>
      <c r="Y3926">
        <v>0</v>
      </c>
      <c r="Z3926">
        <v>2</v>
      </c>
      <c r="AA3926">
        <v>262.52999999999997</v>
      </c>
      <c r="AB3926">
        <v>262.52999999999997</v>
      </c>
      <c r="AC3926">
        <v>231</v>
      </c>
      <c r="AD3926">
        <v>0</v>
      </c>
      <c r="AE3926">
        <v>31.53</v>
      </c>
      <c r="AF3926">
        <v>0</v>
      </c>
      <c r="AG3926">
        <v>0</v>
      </c>
      <c r="AH3926">
        <v>0</v>
      </c>
      <c r="AI3926">
        <v>0</v>
      </c>
      <c r="AJ3926">
        <v>262.52999999999997</v>
      </c>
      <c r="AK3926">
        <v>0</v>
      </c>
      <c r="AL3926" t="s">
        <v>53</v>
      </c>
      <c r="AM3926" t="s">
        <v>53</v>
      </c>
      <c r="AN3926" t="s">
        <v>53</v>
      </c>
      <c r="AO3926" t="s">
        <v>53</v>
      </c>
      <c r="AP3926" t="s">
        <v>53</v>
      </c>
    </row>
    <row r="3927" spans="2:42" x14ac:dyDescent="0.2">
      <c r="B3927" t="s">
        <v>44</v>
      </c>
      <c r="C3927" t="str">
        <f>HYPERLINK("https://us2.cloudbeds.com/connect/8493803454333002#/reservations/74309225857237?display=1JRJXVX8YX&amp;reservation_id=74309225857237", "1JRJXVX8YX")</f>
        <v>1JRJXVX8YX</v>
      </c>
      <c r="D3927" t="s">
        <v>45</v>
      </c>
      <c r="E3927" t="s">
        <v>113</v>
      </c>
      <c r="F3927" t="s">
        <v>61</v>
      </c>
      <c r="G3927" t="s">
        <v>48</v>
      </c>
      <c r="H3927" t="s">
        <v>3957</v>
      </c>
      <c r="I3927" t="s">
        <v>3958</v>
      </c>
      <c r="J3927" t="s">
        <v>5806</v>
      </c>
      <c r="K3927" t="s">
        <v>6670</v>
      </c>
      <c r="L3927" t="s">
        <v>53</v>
      </c>
      <c r="P3927" t="s">
        <v>55</v>
      </c>
      <c r="R3927" t="s">
        <v>56</v>
      </c>
      <c r="T3927" t="s">
        <v>6671</v>
      </c>
      <c r="U3927" t="s">
        <v>58</v>
      </c>
      <c r="V3927">
        <v>2</v>
      </c>
      <c r="W3927">
        <v>1</v>
      </c>
      <c r="X3927">
        <v>1</v>
      </c>
      <c r="Y3927">
        <v>0</v>
      </c>
      <c r="Z3927">
        <v>1</v>
      </c>
      <c r="AA3927">
        <v>165.94</v>
      </c>
      <c r="AB3927">
        <v>165.94</v>
      </c>
      <c r="AC3927">
        <v>146</v>
      </c>
      <c r="AD3927">
        <v>0</v>
      </c>
      <c r="AE3927">
        <v>19.940000000000001</v>
      </c>
      <c r="AF3927">
        <v>0</v>
      </c>
      <c r="AG3927">
        <v>0</v>
      </c>
      <c r="AH3927">
        <v>0</v>
      </c>
      <c r="AI3927">
        <v>0</v>
      </c>
      <c r="AJ3927">
        <v>165.94</v>
      </c>
      <c r="AK3927">
        <v>0</v>
      </c>
      <c r="AL3927" t="s">
        <v>53</v>
      </c>
      <c r="AM3927" t="s">
        <v>53</v>
      </c>
      <c r="AN3927" t="s">
        <v>53</v>
      </c>
      <c r="AO3927" t="s">
        <v>53</v>
      </c>
      <c r="AP3927" t="s">
        <v>53</v>
      </c>
    </row>
    <row r="3928" spans="2:42" x14ac:dyDescent="0.2">
      <c r="B3928" t="s">
        <v>44</v>
      </c>
      <c r="C3928" t="str">
        <f>HYPERLINK("https://us2.cloudbeds.com/connect/8493803454333002#/reservations/74326214930576?display=1JRWZ268VP&amp;reservation_id=74326214930576", "1JRWZ268VP")</f>
        <v>1JRWZ268VP</v>
      </c>
      <c r="D3928" t="s">
        <v>45</v>
      </c>
      <c r="E3928" t="s">
        <v>487</v>
      </c>
      <c r="F3928" t="s">
        <v>61</v>
      </c>
      <c r="G3928" t="s">
        <v>48</v>
      </c>
      <c r="H3928" t="s">
        <v>49</v>
      </c>
      <c r="I3928" t="s">
        <v>62</v>
      </c>
      <c r="J3928" t="s">
        <v>5806</v>
      </c>
      <c r="K3928" t="s">
        <v>6539</v>
      </c>
      <c r="L3928" t="s">
        <v>53</v>
      </c>
      <c r="N3928" t="s">
        <v>6672</v>
      </c>
      <c r="P3928" t="s">
        <v>55</v>
      </c>
      <c r="R3928" t="s">
        <v>56</v>
      </c>
      <c r="T3928" t="s">
        <v>6673</v>
      </c>
      <c r="U3928" t="s">
        <v>55</v>
      </c>
      <c r="V3928">
        <v>1</v>
      </c>
      <c r="W3928">
        <v>1</v>
      </c>
      <c r="X3928">
        <v>2</v>
      </c>
      <c r="Y3928">
        <v>0</v>
      </c>
      <c r="Z3928">
        <v>2</v>
      </c>
      <c r="AA3928">
        <v>73</v>
      </c>
      <c r="AB3928">
        <v>73</v>
      </c>
      <c r="AC3928">
        <v>73</v>
      </c>
      <c r="AD3928">
        <v>0</v>
      </c>
      <c r="AE3928">
        <v>0</v>
      </c>
      <c r="AF3928">
        <v>0</v>
      </c>
      <c r="AG3928">
        <v>0</v>
      </c>
      <c r="AH3928">
        <v>0</v>
      </c>
      <c r="AI3928">
        <v>13.14</v>
      </c>
      <c r="AJ3928">
        <v>73</v>
      </c>
      <c r="AK3928">
        <v>0</v>
      </c>
      <c r="AL3928" t="s">
        <v>53</v>
      </c>
      <c r="AM3928" t="s">
        <v>53</v>
      </c>
      <c r="AN3928" t="s">
        <v>53</v>
      </c>
      <c r="AO3928" t="s">
        <v>53</v>
      </c>
      <c r="AP3928" t="s">
        <v>53</v>
      </c>
    </row>
    <row r="3929" spans="2:42" x14ac:dyDescent="0.2">
      <c r="B3929" t="s">
        <v>44</v>
      </c>
      <c r="C3929" t="str">
        <f>HYPERLINK("https://us2.cloudbeds.com/connect/8493803454333002#/reservations/74358302572751?display=1JSZXWB73V&amp;reservation_id=74358302572751", "1JSZXWB73V")</f>
        <v>1JSZXWB73V</v>
      </c>
      <c r="D3929" t="s">
        <v>45</v>
      </c>
      <c r="E3929" t="s">
        <v>155</v>
      </c>
      <c r="F3929" t="s">
        <v>86</v>
      </c>
      <c r="G3929" t="s">
        <v>48</v>
      </c>
      <c r="H3929" t="s">
        <v>49</v>
      </c>
      <c r="I3929" t="s">
        <v>50</v>
      </c>
      <c r="J3929" t="s">
        <v>5806</v>
      </c>
      <c r="K3929" t="s">
        <v>6539</v>
      </c>
      <c r="L3929" t="s">
        <v>53</v>
      </c>
      <c r="N3929" t="s">
        <v>6674</v>
      </c>
      <c r="P3929" t="s">
        <v>55</v>
      </c>
      <c r="R3929" t="s">
        <v>53</v>
      </c>
      <c r="T3929" t="s">
        <v>6675</v>
      </c>
      <c r="U3929" t="s">
        <v>58</v>
      </c>
      <c r="V3929">
        <v>1</v>
      </c>
      <c r="W3929">
        <v>1</v>
      </c>
      <c r="X3929">
        <v>2</v>
      </c>
      <c r="Y3929">
        <v>0</v>
      </c>
      <c r="Z3929">
        <v>2</v>
      </c>
      <c r="AA3929">
        <v>70.010000000000005</v>
      </c>
      <c r="AB3929">
        <v>70.010000000000005</v>
      </c>
      <c r="AC3929">
        <v>61.6</v>
      </c>
      <c r="AD3929">
        <v>0</v>
      </c>
      <c r="AE3929">
        <v>8.41</v>
      </c>
      <c r="AF3929">
        <v>0</v>
      </c>
      <c r="AG3929">
        <v>0</v>
      </c>
      <c r="AH3929">
        <v>0</v>
      </c>
      <c r="AI3929">
        <v>12.6</v>
      </c>
      <c r="AJ3929">
        <v>70.010000000000005</v>
      </c>
      <c r="AK3929">
        <v>0</v>
      </c>
      <c r="AL3929" t="s">
        <v>53</v>
      </c>
      <c r="AM3929" t="s">
        <v>53</v>
      </c>
      <c r="AN3929" t="s">
        <v>53</v>
      </c>
      <c r="AO3929" t="s">
        <v>53</v>
      </c>
      <c r="AP3929" t="s">
        <v>53</v>
      </c>
    </row>
    <row r="3930" spans="2:42" x14ac:dyDescent="0.2">
      <c r="B3930" t="s">
        <v>44</v>
      </c>
      <c r="C3930" t="str">
        <f>HYPERLINK("https://us2.cloudbeds.com/connect/8493803454333002#/reservations/74377377304779?display=1JT6BCYZRK&amp;reservation_id=74377377304779", "1JT6BCYZRK")</f>
        <v>1JT6BCYZRK</v>
      </c>
      <c r="D3930" t="s">
        <v>45</v>
      </c>
      <c r="E3930" t="s">
        <v>223</v>
      </c>
      <c r="F3930" t="s">
        <v>47</v>
      </c>
      <c r="G3930" t="s">
        <v>48</v>
      </c>
      <c r="H3930" t="s">
        <v>49</v>
      </c>
      <c r="I3930" t="s">
        <v>50</v>
      </c>
      <c r="J3930" t="s">
        <v>5806</v>
      </c>
      <c r="K3930" t="s">
        <v>6539</v>
      </c>
      <c r="L3930" t="s">
        <v>53</v>
      </c>
      <c r="N3930" t="s">
        <v>6676</v>
      </c>
      <c r="P3930" t="s">
        <v>55</v>
      </c>
      <c r="R3930" t="s">
        <v>53</v>
      </c>
      <c r="T3930" t="s">
        <v>6677</v>
      </c>
      <c r="U3930" t="s">
        <v>58</v>
      </c>
      <c r="V3930">
        <v>1</v>
      </c>
      <c r="W3930">
        <v>1</v>
      </c>
      <c r="X3930">
        <v>2</v>
      </c>
      <c r="Y3930">
        <v>0</v>
      </c>
      <c r="Z3930">
        <v>2</v>
      </c>
      <c r="AA3930">
        <v>69.540000000000006</v>
      </c>
      <c r="AB3930">
        <v>69.540000000000006</v>
      </c>
      <c r="AC3930">
        <v>61.2</v>
      </c>
      <c r="AD3930">
        <v>0</v>
      </c>
      <c r="AE3930">
        <v>8.34</v>
      </c>
      <c r="AF3930">
        <v>0</v>
      </c>
      <c r="AG3930">
        <v>0</v>
      </c>
      <c r="AH3930">
        <v>0</v>
      </c>
      <c r="AI3930">
        <v>12.52</v>
      </c>
      <c r="AJ3930">
        <v>69.540000000000006</v>
      </c>
      <c r="AK3930">
        <v>0</v>
      </c>
      <c r="AL3930" t="s">
        <v>53</v>
      </c>
      <c r="AM3930" t="s">
        <v>53</v>
      </c>
      <c r="AN3930" t="s">
        <v>53</v>
      </c>
      <c r="AO3930" t="s">
        <v>53</v>
      </c>
      <c r="AP3930" t="s">
        <v>53</v>
      </c>
    </row>
    <row r="3931" spans="2:42" x14ac:dyDescent="0.2">
      <c r="B3931" t="s">
        <v>44</v>
      </c>
      <c r="C3931" t="str">
        <f>HYPERLINK("https://us2.cloudbeds.com/connect/8493803454333002#/reservations/74399322206370?display=1JTNB45WKH&amp;reservation_id=74399322206370", "1JTNB45WKH")</f>
        <v>1JTNB45WKH</v>
      </c>
      <c r="D3931" t="s">
        <v>45</v>
      </c>
      <c r="E3931" t="s">
        <v>110</v>
      </c>
      <c r="F3931" t="s">
        <v>47</v>
      </c>
      <c r="G3931" t="s">
        <v>48</v>
      </c>
      <c r="H3931" t="s">
        <v>49</v>
      </c>
      <c r="I3931" t="s">
        <v>62</v>
      </c>
      <c r="J3931" t="s">
        <v>6539</v>
      </c>
      <c r="K3931" t="s">
        <v>6670</v>
      </c>
      <c r="L3931" t="s">
        <v>53</v>
      </c>
      <c r="N3931" t="s">
        <v>6678</v>
      </c>
      <c r="P3931" t="s">
        <v>55</v>
      </c>
      <c r="R3931" t="s">
        <v>56</v>
      </c>
      <c r="T3931" t="s">
        <v>6679</v>
      </c>
      <c r="U3931" t="s">
        <v>55</v>
      </c>
      <c r="V3931">
        <v>1</v>
      </c>
      <c r="W3931">
        <v>1</v>
      </c>
      <c r="X3931">
        <v>2</v>
      </c>
      <c r="Y3931">
        <v>0</v>
      </c>
      <c r="Z3931">
        <v>2</v>
      </c>
      <c r="AA3931">
        <v>68</v>
      </c>
      <c r="AB3931">
        <v>68</v>
      </c>
      <c r="AC3931">
        <v>68</v>
      </c>
      <c r="AD3931">
        <v>0</v>
      </c>
      <c r="AE3931">
        <v>0</v>
      </c>
      <c r="AF3931">
        <v>0</v>
      </c>
      <c r="AG3931">
        <v>0</v>
      </c>
      <c r="AH3931">
        <v>0</v>
      </c>
      <c r="AI3931">
        <v>12.24</v>
      </c>
      <c r="AJ3931">
        <v>68</v>
      </c>
      <c r="AK3931">
        <v>0</v>
      </c>
      <c r="AL3931" t="s">
        <v>53</v>
      </c>
      <c r="AM3931" t="s">
        <v>53</v>
      </c>
      <c r="AN3931" t="s">
        <v>53</v>
      </c>
      <c r="AO3931" t="s">
        <v>53</v>
      </c>
      <c r="AP3931" t="s">
        <v>53</v>
      </c>
    </row>
    <row r="3932" spans="2:42" x14ac:dyDescent="0.2">
      <c r="B3932" t="s">
        <v>44</v>
      </c>
      <c r="C3932" t="str">
        <f>HYPERLINK("https://us2.cloudbeds.com/connect/8493803454333002#/reservations/74401629708430?display=1JTP42UKVC&amp;reservation_id=74401629708430", "1JTP42UKVC")</f>
        <v>1JTP42UKVC</v>
      </c>
      <c r="D3932" t="s">
        <v>45</v>
      </c>
      <c r="E3932" t="s">
        <v>373</v>
      </c>
      <c r="F3932" t="s">
        <v>47</v>
      </c>
      <c r="G3932" t="s">
        <v>48</v>
      </c>
      <c r="H3932" t="s">
        <v>49</v>
      </c>
      <c r="I3932" t="s">
        <v>62</v>
      </c>
      <c r="J3932" t="s">
        <v>6519</v>
      </c>
      <c r="K3932" t="s">
        <v>6520</v>
      </c>
      <c r="L3932" t="s">
        <v>53</v>
      </c>
      <c r="N3932" t="s">
        <v>6680</v>
      </c>
      <c r="P3932" t="s">
        <v>55</v>
      </c>
      <c r="R3932" t="s">
        <v>56</v>
      </c>
      <c r="T3932" t="s">
        <v>6681</v>
      </c>
      <c r="U3932" t="s">
        <v>55</v>
      </c>
      <c r="V3932">
        <v>2</v>
      </c>
      <c r="W3932">
        <v>1</v>
      </c>
      <c r="X3932">
        <v>1</v>
      </c>
      <c r="Y3932">
        <v>0</v>
      </c>
      <c r="Z3932">
        <v>1</v>
      </c>
      <c r="AA3932">
        <v>167</v>
      </c>
      <c r="AB3932">
        <v>167</v>
      </c>
      <c r="AC3932">
        <v>167</v>
      </c>
      <c r="AD3932">
        <v>0</v>
      </c>
      <c r="AE3932">
        <v>0</v>
      </c>
      <c r="AF3932">
        <v>0</v>
      </c>
      <c r="AG3932">
        <v>0</v>
      </c>
      <c r="AH3932">
        <v>0</v>
      </c>
      <c r="AI3932">
        <v>30.06</v>
      </c>
      <c r="AJ3932">
        <v>167</v>
      </c>
      <c r="AK3932">
        <v>0</v>
      </c>
      <c r="AL3932" t="s">
        <v>53</v>
      </c>
      <c r="AM3932" t="s">
        <v>53</v>
      </c>
      <c r="AN3932" t="s">
        <v>53</v>
      </c>
      <c r="AO3932" t="s">
        <v>53</v>
      </c>
      <c r="AP3932" t="s">
        <v>53</v>
      </c>
    </row>
    <row r="3933" spans="2:42" x14ac:dyDescent="0.2">
      <c r="B3933" t="s">
        <v>44</v>
      </c>
      <c r="C3933" t="str">
        <f>HYPERLINK("https://us2.cloudbeds.com/connect/8493803454333002#/reservations/74646350811270?display=1K2GK9826H&amp;reservation_id=74646350811270", "1K2GK9826H")</f>
        <v>1K2GK9826H</v>
      </c>
      <c r="D3933" t="s">
        <v>45</v>
      </c>
      <c r="E3933" t="s">
        <v>381</v>
      </c>
      <c r="F3933" t="s">
        <v>47</v>
      </c>
      <c r="G3933" t="s">
        <v>48</v>
      </c>
      <c r="H3933" t="s">
        <v>49</v>
      </c>
      <c r="I3933" t="s">
        <v>62</v>
      </c>
      <c r="J3933" t="s">
        <v>6539</v>
      </c>
      <c r="K3933" t="s">
        <v>6670</v>
      </c>
      <c r="L3933" t="s">
        <v>53</v>
      </c>
      <c r="N3933" t="s">
        <v>6682</v>
      </c>
      <c r="P3933" t="s">
        <v>55</v>
      </c>
      <c r="R3933" t="s">
        <v>56</v>
      </c>
      <c r="T3933" t="s">
        <v>6683</v>
      </c>
      <c r="U3933" t="s">
        <v>55</v>
      </c>
      <c r="V3933">
        <v>1</v>
      </c>
      <c r="W3933">
        <v>1</v>
      </c>
      <c r="X3933">
        <v>2</v>
      </c>
      <c r="Y3933">
        <v>0</v>
      </c>
      <c r="Z3933">
        <v>2</v>
      </c>
      <c r="AA3933">
        <v>68</v>
      </c>
      <c r="AB3933">
        <v>68</v>
      </c>
      <c r="AC3933">
        <v>68</v>
      </c>
      <c r="AD3933">
        <v>0</v>
      </c>
      <c r="AE3933">
        <v>0</v>
      </c>
      <c r="AF3933">
        <v>0</v>
      </c>
      <c r="AG3933">
        <v>0</v>
      </c>
      <c r="AH3933">
        <v>0</v>
      </c>
      <c r="AI3933">
        <v>12.24</v>
      </c>
      <c r="AJ3933">
        <v>68</v>
      </c>
      <c r="AK3933">
        <v>0</v>
      </c>
      <c r="AL3933" t="s">
        <v>53</v>
      </c>
      <c r="AM3933" t="s">
        <v>53</v>
      </c>
      <c r="AN3933" t="s">
        <v>53</v>
      </c>
      <c r="AO3933" t="s">
        <v>53</v>
      </c>
      <c r="AP3933" t="s">
        <v>53</v>
      </c>
    </row>
    <row r="3934" spans="2:42" x14ac:dyDescent="0.2">
      <c r="B3934" t="s">
        <v>44</v>
      </c>
      <c r="C3934" t="str">
        <f>HYPERLINK("https://us2.cloudbeds.com/connect/8493803454333002#/reservations/74688273961112?display=1K3G2GVGRJ&amp;reservation_id=74688273961112", "1K3G2GVGRJ")</f>
        <v>1K3G2GVGRJ</v>
      </c>
      <c r="D3934" t="s">
        <v>45</v>
      </c>
      <c r="E3934" t="s">
        <v>165</v>
      </c>
      <c r="F3934" t="s">
        <v>61</v>
      </c>
      <c r="G3934" t="s">
        <v>48</v>
      </c>
      <c r="H3934" t="s">
        <v>49</v>
      </c>
      <c r="I3934" t="s">
        <v>62</v>
      </c>
      <c r="J3934" t="s">
        <v>6539</v>
      </c>
      <c r="K3934" t="s">
        <v>6670</v>
      </c>
      <c r="L3934" t="s">
        <v>53</v>
      </c>
      <c r="N3934" t="s">
        <v>6684</v>
      </c>
      <c r="P3934" t="s">
        <v>55</v>
      </c>
      <c r="R3934" t="s">
        <v>56</v>
      </c>
      <c r="T3934" t="s">
        <v>6685</v>
      </c>
      <c r="U3934" t="s">
        <v>55</v>
      </c>
      <c r="V3934">
        <v>1</v>
      </c>
      <c r="W3934">
        <v>1</v>
      </c>
      <c r="X3934">
        <v>1</v>
      </c>
      <c r="Y3934">
        <v>0</v>
      </c>
      <c r="Z3934">
        <v>1</v>
      </c>
      <c r="AA3934">
        <v>73</v>
      </c>
      <c r="AB3934">
        <v>73</v>
      </c>
      <c r="AC3934">
        <v>73</v>
      </c>
      <c r="AD3934">
        <v>0</v>
      </c>
      <c r="AE3934">
        <v>0</v>
      </c>
      <c r="AF3934">
        <v>0</v>
      </c>
      <c r="AG3934">
        <v>0</v>
      </c>
      <c r="AH3934">
        <v>0</v>
      </c>
      <c r="AI3934">
        <v>13.14</v>
      </c>
      <c r="AJ3934">
        <v>73</v>
      </c>
      <c r="AK3934">
        <v>0</v>
      </c>
      <c r="AL3934" t="s">
        <v>53</v>
      </c>
      <c r="AM3934" t="s">
        <v>53</v>
      </c>
      <c r="AN3934" t="s">
        <v>53</v>
      </c>
      <c r="AO3934" t="s">
        <v>53</v>
      </c>
      <c r="AP3934" t="s">
        <v>53</v>
      </c>
    </row>
    <row r="3935" spans="2:42" x14ac:dyDescent="0.2">
      <c r="B3935" t="s">
        <v>44</v>
      </c>
      <c r="C3935" t="str">
        <f>HYPERLINK("https://us2.cloudbeds.com/connect/8493803454333002#/reservations/74753596477578?display=1K50YYKR5H&amp;reservation_id=74753596477578", "1K50YYKR5H")</f>
        <v>1K50YYKR5H</v>
      </c>
      <c r="D3935" t="s">
        <v>45</v>
      </c>
      <c r="E3935" t="s">
        <v>381</v>
      </c>
      <c r="F3935" t="s">
        <v>47</v>
      </c>
      <c r="G3935" t="s">
        <v>48</v>
      </c>
      <c r="H3935" t="s">
        <v>3957</v>
      </c>
      <c r="I3935" t="s">
        <v>3975</v>
      </c>
      <c r="J3935" t="s">
        <v>6519</v>
      </c>
      <c r="K3935" t="s">
        <v>6520</v>
      </c>
      <c r="L3935" t="s">
        <v>53</v>
      </c>
      <c r="P3935" t="s">
        <v>55</v>
      </c>
      <c r="R3935" t="s">
        <v>53</v>
      </c>
      <c r="T3935" t="s">
        <v>6686</v>
      </c>
      <c r="U3935" t="s">
        <v>58</v>
      </c>
      <c r="V3935">
        <v>2</v>
      </c>
      <c r="W3935">
        <v>1</v>
      </c>
      <c r="X3935">
        <v>2</v>
      </c>
      <c r="Y3935">
        <v>0</v>
      </c>
      <c r="Z3935">
        <v>2</v>
      </c>
      <c r="AA3935">
        <v>197.76</v>
      </c>
      <c r="AB3935">
        <v>197.76</v>
      </c>
      <c r="AC3935">
        <v>174</v>
      </c>
      <c r="AD3935">
        <v>0</v>
      </c>
      <c r="AE3935">
        <v>23.76</v>
      </c>
      <c r="AF3935">
        <v>0</v>
      </c>
      <c r="AG3935">
        <v>0</v>
      </c>
      <c r="AH3935">
        <v>0</v>
      </c>
      <c r="AI3935">
        <v>0</v>
      </c>
      <c r="AJ3935">
        <v>197.76</v>
      </c>
      <c r="AK3935">
        <v>0</v>
      </c>
      <c r="AL3935" t="s">
        <v>53</v>
      </c>
      <c r="AM3935" t="s">
        <v>53</v>
      </c>
      <c r="AN3935" t="s">
        <v>53</v>
      </c>
      <c r="AO3935" t="s">
        <v>53</v>
      </c>
      <c r="AP3935" t="s">
        <v>53</v>
      </c>
    </row>
    <row r="3936" spans="2:42" x14ac:dyDescent="0.2">
      <c r="B3936" t="s">
        <v>44</v>
      </c>
      <c r="C3936" t="str">
        <f>HYPERLINK("https://us2.cloudbeds.com/connect/8493803454333002#/reservations/74937392443554?display=1K9AW28GT2&amp;reservation_id=74937392443554", "1K9AW28GT2")</f>
        <v>1K9AW28GT2</v>
      </c>
      <c r="D3936" t="s">
        <v>45</v>
      </c>
      <c r="E3936" t="s">
        <v>128</v>
      </c>
      <c r="F3936" t="s">
        <v>86</v>
      </c>
      <c r="G3936" t="s">
        <v>48</v>
      </c>
      <c r="H3936" t="s">
        <v>3957</v>
      </c>
      <c r="I3936" t="s">
        <v>3975</v>
      </c>
      <c r="J3936" t="s">
        <v>6519</v>
      </c>
      <c r="K3936" t="s">
        <v>6644</v>
      </c>
      <c r="L3936" t="s">
        <v>53</v>
      </c>
      <c r="P3936" t="s">
        <v>58</v>
      </c>
      <c r="R3936" t="s">
        <v>56</v>
      </c>
      <c r="T3936" t="s">
        <v>6687</v>
      </c>
      <c r="U3936" t="s">
        <v>58</v>
      </c>
      <c r="V3936">
        <v>1</v>
      </c>
      <c r="W3936">
        <v>1</v>
      </c>
      <c r="X3936">
        <v>1</v>
      </c>
      <c r="Y3936">
        <v>0</v>
      </c>
      <c r="Z3936">
        <v>1</v>
      </c>
      <c r="AA3936">
        <v>87.51</v>
      </c>
      <c r="AB3936">
        <v>87.51</v>
      </c>
      <c r="AC3936">
        <v>77</v>
      </c>
      <c r="AD3936">
        <v>0</v>
      </c>
      <c r="AE3936">
        <v>10.51</v>
      </c>
      <c r="AF3936">
        <v>0</v>
      </c>
      <c r="AG3936">
        <v>0</v>
      </c>
      <c r="AH3936">
        <v>0</v>
      </c>
      <c r="AI3936">
        <v>0</v>
      </c>
      <c r="AJ3936">
        <v>87.51</v>
      </c>
      <c r="AK3936">
        <v>0</v>
      </c>
      <c r="AL3936" t="s">
        <v>53</v>
      </c>
      <c r="AM3936" t="s">
        <v>53</v>
      </c>
      <c r="AN3936" t="s">
        <v>53</v>
      </c>
      <c r="AO3936" t="s">
        <v>53</v>
      </c>
      <c r="AP3936" t="s">
        <v>53</v>
      </c>
    </row>
    <row r="3937" spans="2:42" x14ac:dyDescent="0.2">
      <c r="B3937" t="s">
        <v>44</v>
      </c>
      <c r="C3937" t="str">
        <f>HYPERLINK("https://us2.cloudbeds.com/connect/8493803454333002#/reservations/75019779465432?display=1KB8P85RQK&amp;reservation_id=75019779465432", "1KB8P85RQK")</f>
        <v>1KB8P85RQK</v>
      </c>
      <c r="D3937" t="s">
        <v>45</v>
      </c>
      <c r="E3937" t="s">
        <v>110</v>
      </c>
      <c r="F3937" t="s">
        <v>47</v>
      </c>
      <c r="G3937" t="s">
        <v>48</v>
      </c>
      <c r="H3937" t="s">
        <v>49</v>
      </c>
      <c r="I3937" t="s">
        <v>62</v>
      </c>
      <c r="J3937" t="s">
        <v>6670</v>
      </c>
      <c r="K3937" t="s">
        <v>6519</v>
      </c>
      <c r="L3937" t="s">
        <v>53</v>
      </c>
      <c r="N3937" t="s">
        <v>6688</v>
      </c>
      <c r="P3937" t="s">
        <v>55</v>
      </c>
      <c r="R3937" t="s">
        <v>56</v>
      </c>
      <c r="T3937" t="s">
        <v>6689</v>
      </c>
      <c r="U3937" t="s">
        <v>55</v>
      </c>
      <c r="V3937">
        <v>1</v>
      </c>
      <c r="W3937">
        <v>1</v>
      </c>
      <c r="X3937">
        <v>1</v>
      </c>
      <c r="Y3937">
        <v>0</v>
      </c>
      <c r="Z3937">
        <v>1</v>
      </c>
      <c r="AA3937">
        <v>68</v>
      </c>
      <c r="AB3937">
        <v>68</v>
      </c>
      <c r="AC3937">
        <v>68</v>
      </c>
      <c r="AD3937">
        <v>0</v>
      </c>
      <c r="AE3937">
        <v>0</v>
      </c>
      <c r="AF3937">
        <v>0</v>
      </c>
      <c r="AG3937">
        <v>0</v>
      </c>
      <c r="AH3937">
        <v>0</v>
      </c>
      <c r="AI3937">
        <v>12.24</v>
      </c>
      <c r="AJ3937">
        <v>68</v>
      </c>
      <c r="AK3937">
        <v>0</v>
      </c>
      <c r="AL3937" t="s">
        <v>53</v>
      </c>
      <c r="AM3937" t="s">
        <v>53</v>
      </c>
      <c r="AN3937" t="s">
        <v>53</v>
      </c>
      <c r="AO3937" t="s">
        <v>53</v>
      </c>
      <c r="AP3937" t="s">
        <v>53</v>
      </c>
    </row>
    <row r="3938" spans="2:42" x14ac:dyDescent="0.2">
      <c r="B3938" t="s">
        <v>44</v>
      </c>
      <c r="C3938" t="str">
        <f>HYPERLINK("https://us2.cloudbeds.com/connect/8493803454333002#/reservations/75438094921922?display=1KY2M5S20S&amp;reservation_id=75438094921922", "1KY2M5S20S")</f>
        <v>1KY2M5S20S</v>
      </c>
      <c r="D3938" t="s">
        <v>45</v>
      </c>
      <c r="E3938" t="s">
        <v>85</v>
      </c>
      <c r="F3938" t="s">
        <v>86</v>
      </c>
      <c r="G3938" t="s">
        <v>5320</v>
      </c>
      <c r="H3938" t="s">
        <v>3957</v>
      </c>
      <c r="I3938" t="s">
        <v>3975</v>
      </c>
      <c r="J3938" t="s">
        <v>6051</v>
      </c>
      <c r="K3938" t="s">
        <v>6553</v>
      </c>
      <c r="L3938" t="s">
        <v>53</v>
      </c>
      <c r="P3938" t="s">
        <v>55</v>
      </c>
      <c r="R3938" t="s">
        <v>53</v>
      </c>
      <c r="T3938" t="s">
        <v>6690</v>
      </c>
      <c r="U3938" t="s">
        <v>58</v>
      </c>
      <c r="V3938">
        <v>4</v>
      </c>
      <c r="W3938">
        <v>1</v>
      </c>
      <c r="X3938">
        <v>2</v>
      </c>
      <c r="Y3938">
        <v>0</v>
      </c>
      <c r="Z3938">
        <v>2</v>
      </c>
      <c r="AA3938">
        <v>402.34</v>
      </c>
      <c r="AB3938">
        <v>402.34</v>
      </c>
      <c r="AC3938">
        <v>354</v>
      </c>
      <c r="AD3938">
        <v>0</v>
      </c>
      <c r="AE3938">
        <v>48.34</v>
      </c>
      <c r="AF3938">
        <v>0</v>
      </c>
      <c r="AG3938">
        <v>0</v>
      </c>
      <c r="AH3938">
        <v>0</v>
      </c>
      <c r="AI3938">
        <v>0</v>
      </c>
      <c r="AJ3938">
        <v>402.34</v>
      </c>
      <c r="AK3938">
        <v>0</v>
      </c>
      <c r="AL3938" t="s">
        <v>53</v>
      </c>
      <c r="AM3938" t="s">
        <v>53</v>
      </c>
      <c r="AN3938" t="s">
        <v>53</v>
      </c>
      <c r="AO3938" t="s">
        <v>53</v>
      </c>
      <c r="AP3938" t="s">
        <v>53</v>
      </c>
    </row>
    <row r="3939" spans="2:42" x14ac:dyDescent="0.2">
      <c r="B3939" t="s">
        <v>44</v>
      </c>
      <c r="C3939" t="str">
        <f>HYPERLINK("https://us2.cloudbeds.com/connect/8493803454333002#/reservations/75442779525264?display=1KY69T11QT&amp;reservation_id=75442779525264", "1KY69T11QT")</f>
        <v>1KY69T11QT</v>
      </c>
      <c r="D3939" t="s">
        <v>45</v>
      </c>
      <c r="E3939" t="s">
        <v>128</v>
      </c>
      <c r="F3939" t="s">
        <v>86</v>
      </c>
      <c r="G3939" t="s">
        <v>48</v>
      </c>
      <c r="H3939" t="s">
        <v>49</v>
      </c>
      <c r="I3939" t="s">
        <v>50</v>
      </c>
      <c r="J3939" t="s">
        <v>6332</v>
      </c>
      <c r="K3939" t="s">
        <v>6691</v>
      </c>
      <c r="L3939" t="s">
        <v>53</v>
      </c>
      <c r="N3939" t="s">
        <v>6692</v>
      </c>
      <c r="P3939" t="s">
        <v>55</v>
      </c>
      <c r="R3939" t="s">
        <v>53</v>
      </c>
      <c r="T3939" t="s">
        <v>6693</v>
      </c>
      <c r="U3939" t="s">
        <v>58</v>
      </c>
      <c r="V3939">
        <v>1</v>
      </c>
      <c r="W3939">
        <v>1</v>
      </c>
      <c r="X3939">
        <v>2</v>
      </c>
      <c r="Y3939">
        <v>0</v>
      </c>
      <c r="Z3939">
        <v>2</v>
      </c>
      <c r="AA3939">
        <v>97.37</v>
      </c>
      <c r="AB3939">
        <v>97.37</v>
      </c>
      <c r="AC3939">
        <v>85.68</v>
      </c>
      <c r="AD3939">
        <v>0</v>
      </c>
      <c r="AE3939">
        <v>11.69</v>
      </c>
      <c r="AF3939">
        <v>0</v>
      </c>
      <c r="AG3939">
        <v>0</v>
      </c>
      <c r="AH3939">
        <v>0</v>
      </c>
      <c r="AI3939">
        <v>17.53</v>
      </c>
      <c r="AJ3939">
        <v>97.37</v>
      </c>
      <c r="AK3939">
        <v>0</v>
      </c>
      <c r="AL3939" t="s">
        <v>53</v>
      </c>
      <c r="AM3939" t="s">
        <v>53</v>
      </c>
      <c r="AN3939" t="s">
        <v>53</v>
      </c>
      <c r="AO3939" t="s">
        <v>53</v>
      </c>
      <c r="AP3939" t="s">
        <v>53</v>
      </c>
    </row>
    <row r="3940" spans="2:42" x14ac:dyDescent="0.2">
      <c r="B3940" t="s">
        <v>44</v>
      </c>
      <c r="C3940" t="str">
        <f>HYPERLINK("https://us2.cloudbeds.com/connect/8493803454333002#/reservations/75643118883035?display=1KPTE0G07A&amp;reservation_id=75643118883035", "1KPTE0G07A")</f>
        <v>1KPTE0G07A</v>
      </c>
      <c r="D3940" t="s">
        <v>45</v>
      </c>
      <c r="E3940" t="s">
        <v>223</v>
      </c>
      <c r="F3940" t="s">
        <v>47</v>
      </c>
      <c r="G3940" t="s">
        <v>48</v>
      </c>
      <c r="H3940" t="s">
        <v>49</v>
      </c>
      <c r="I3940" t="s">
        <v>50</v>
      </c>
      <c r="J3940" t="s">
        <v>6644</v>
      </c>
      <c r="K3940" t="s">
        <v>6520</v>
      </c>
      <c r="L3940" t="s">
        <v>53</v>
      </c>
      <c r="N3940" t="s">
        <v>6694</v>
      </c>
      <c r="P3940" t="s">
        <v>55</v>
      </c>
      <c r="R3940" t="s">
        <v>53</v>
      </c>
      <c r="T3940" t="s">
        <v>6695</v>
      </c>
      <c r="U3940" t="s">
        <v>58</v>
      </c>
      <c r="V3940">
        <v>1</v>
      </c>
      <c r="W3940">
        <v>1</v>
      </c>
      <c r="X3940">
        <v>1</v>
      </c>
      <c r="Y3940">
        <v>0</v>
      </c>
      <c r="Z3940">
        <v>1</v>
      </c>
      <c r="AA3940">
        <v>100.93</v>
      </c>
      <c r="AB3940">
        <v>100.93</v>
      </c>
      <c r="AC3940">
        <v>88.8</v>
      </c>
      <c r="AD3940">
        <v>0</v>
      </c>
      <c r="AE3940">
        <v>12.13</v>
      </c>
      <c r="AF3940">
        <v>0</v>
      </c>
      <c r="AG3940">
        <v>0</v>
      </c>
      <c r="AH3940">
        <v>0</v>
      </c>
      <c r="AI3940">
        <v>18.170000000000002</v>
      </c>
      <c r="AJ3940">
        <v>100.93</v>
      </c>
      <c r="AK3940">
        <v>0</v>
      </c>
      <c r="AL3940" t="s">
        <v>53</v>
      </c>
      <c r="AM3940" t="s">
        <v>53</v>
      </c>
      <c r="AN3940" t="s">
        <v>53</v>
      </c>
      <c r="AO3940" t="s">
        <v>53</v>
      </c>
      <c r="AP3940" t="s">
        <v>53</v>
      </c>
    </row>
    <row r="3941" spans="2:42" x14ac:dyDescent="0.2">
      <c r="B3941" t="s">
        <v>44</v>
      </c>
      <c r="C3941" t="str">
        <f>HYPERLINK("https://us2.cloudbeds.com/connect/8493803454333002#/reservations/75643459424490?display=1KPTMNY2FB&amp;reservation_id=75643459424490", "1KPTMNY2FB")</f>
        <v>1KPTMNY2FB</v>
      </c>
      <c r="D3941" t="s">
        <v>45</v>
      </c>
      <c r="E3941" t="s">
        <v>128</v>
      </c>
      <c r="F3941" t="s">
        <v>86</v>
      </c>
      <c r="G3941" t="s">
        <v>48</v>
      </c>
      <c r="H3941" t="s">
        <v>49</v>
      </c>
      <c r="I3941" t="s">
        <v>50</v>
      </c>
      <c r="J3941" t="s">
        <v>6644</v>
      </c>
      <c r="K3941" t="s">
        <v>6520</v>
      </c>
      <c r="L3941" t="s">
        <v>53</v>
      </c>
      <c r="N3941" t="s">
        <v>6696</v>
      </c>
      <c r="P3941" t="s">
        <v>55</v>
      </c>
      <c r="R3941" t="s">
        <v>53</v>
      </c>
      <c r="T3941" t="s">
        <v>6697</v>
      </c>
      <c r="U3941" t="s">
        <v>58</v>
      </c>
      <c r="V3941">
        <v>1</v>
      </c>
      <c r="W3941">
        <v>1</v>
      </c>
      <c r="X3941">
        <v>1</v>
      </c>
      <c r="Y3941">
        <v>2</v>
      </c>
      <c r="Z3941">
        <v>3</v>
      </c>
      <c r="AA3941">
        <v>121.72</v>
      </c>
      <c r="AB3941">
        <v>121.72</v>
      </c>
      <c r="AC3941">
        <v>107.1</v>
      </c>
      <c r="AD3941">
        <v>0</v>
      </c>
      <c r="AE3941">
        <v>14.62</v>
      </c>
      <c r="AF3941">
        <v>0</v>
      </c>
      <c r="AG3941">
        <v>0</v>
      </c>
      <c r="AH3941">
        <v>0</v>
      </c>
      <c r="AI3941">
        <v>21.91</v>
      </c>
      <c r="AJ3941">
        <v>121.72</v>
      </c>
      <c r="AK3941">
        <v>0</v>
      </c>
      <c r="AL3941" t="s">
        <v>53</v>
      </c>
      <c r="AM3941" t="s">
        <v>53</v>
      </c>
      <c r="AN3941" t="s">
        <v>53</v>
      </c>
      <c r="AO3941" t="s">
        <v>53</v>
      </c>
      <c r="AP3941" t="s">
        <v>53</v>
      </c>
    </row>
    <row r="3942" spans="2:42" x14ac:dyDescent="0.2">
      <c r="B3942" t="s">
        <v>44</v>
      </c>
      <c r="C3942" t="str">
        <f>HYPERLINK("https://us2.cloudbeds.com/connect/8493803454333002#/reservations/76150873043089?display=1Y4QJA7WQU&amp;reservation_id=76150873043089", "1Y4QJA7WQU")</f>
        <v>1Y4QJA7WQU</v>
      </c>
      <c r="D3942" t="s">
        <v>45</v>
      </c>
      <c r="E3942" t="s">
        <v>69</v>
      </c>
      <c r="F3942" t="s">
        <v>70</v>
      </c>
      <c r="G3942" t="s">
        <v>48</v>
      </c>
      <c r="H3942" t="s">
        <v>3957</v>
      </c>
      <c r="I3942" t="s">
        <v>3975</v>
      </c>
      <c r="J3942" t="s">
        <v>6698</v>
      </c>
      <c r="K3942" t="s">
        <v>6699</v>
      </c>
      <c r="L3942" t="s">
        <v>53</v>
      </c>
      <c r="P3942" t="s">
        <v>55</v>
      </c>
      <c r="R3942" t="s">
        <v>53</v>
      </c>
      <c r="T3942" t="s">
        <v>6700</v>
      </c>
      <c r="U3942" t="s">
        <v>58</v>
      </c>
      <c r="V3942">
        <v>2</v>
      </c>
      <c r="W3942">
        <v>1</v>
      </c>
      <c r="X3942">
        <v>2</v>
      </c>
      <c r="Y3942">
        <v>0</v>
      </c>
      <c r="Z3942">
        <v>2</v>
      </c>
      <c r="AA3942">
        <v>206.86</v>
      </c>
      <c r="AB3942">
        <v>206.86</v>
      </c>
      <c r="AC3942">
        <v>182</v>
      </c>
      <c r="AD3942">
        <v>0</v>
      </c>
      <c r="AE3942">
        <v>24.86</v>
      </c>
      <c r="AF3942">
        <v>0</v>
      </c>
      <c r="AG3942">
        <v>0</v>
      </c>
      <c r="AH3942">
        <v>0</v>
      </c>
      <c r="AI3942">
        <v>0</v>
      </c>
      <c r="AJ3942">
        <v>206.86</v>
      </c>
      <c r="AK3942">
        <v>0</v>
      </c>
      <c r="AL3942" t="s">
        <v>53</v>
      </c>
      <c r="AM3942" t="s">
        <v>53</v>
      </c>
      <c r="AN3942" t="s">
        <v>53</v>
      </c>
      <c r="AO3942" t="s">
        <v>53</v>
      </c>
      <c r="AP3942" t="s">
        <v>53</v>
      </c>
    </row>
    <row r="3943" spans="2:42" x14ac:dyDescent="0.2">
      <c r="B3943" t="s">
        <v>44</v>
      </c>
      <c r="C3943" t="str">
        <f>HYPERLINK("https://us2.cloudbeds.com/connect/8493803454333002#/reservations/76265607651542?display=1Y7GE1GJWM&amp;reservation_id=76265607651542", "1Y7GE1GJWM")</f>
        <v>1Y7GE1GJWM</v>
      </c>
      <c r="D3943" t="s">
        <v>45</v>
      </c>
      <c r="E3943" t="s">
        <v>223</v>
      </c>
      <c r="F3943" t="s">
        <v>47</v>
      </c>
      <c r="G3943" t="s">
        <v>48</v>
      </c>
      <c r="H3943" t="s">
        <v>49</v>
      </c>
      <c r="I3943" t="s">
        <v>50</v>
      </c>
      <c r="J3943" t="s">
        <v>6701</v>
      </c>
      <c r="K3943" t="s">
        <v>6614</v>
      </c>
      <c r="L3943" t="s">
        <v>53</v>
      </c>
      <c r="N3943" t="s">
        <v>6702</v>
      </c>
      <c r="P3943" t="s">
        <v>55</v>
      </c>
      <c r="R3943" t="s">
        <v>53</v>
      </c>
      <c r="T3943" t="s">
        <v>6703</v>
      </c>
      <c r="U3943" t="s">
        <v>58</v>
      </c>
      <c r="V3943">
        <v>1</v>
      </c>
      <c r="W3943">
        <v>1</v>
      </c>
      <c r="X3943">
        <v>1</v>
      </c>
      <c r="Y3943">
        <v>0</v>
      </c>
      <c r="Z3943">
        <v>1</v>
      </c>
      <c r="AA3943">
        <v>100.46</v>
      </c>
      <c r="AB3943">
        <v>100.46</v>
      </c>
      <c r="AC3943">
        <v>88.4</v>
      </c>
      <c r="AD3943">
        <v>0</v>
      </c>
      <c r="AE3943">
        <v>12.06</v>
      </c>
      <c r="AF3943">
        <v>0</v>
      </c>
      <c r="AG3943">
        <v>0</v>
      </c>
      <c r="AH3943">
        <v>0</v>
      </c>
      <c r="AI3943">
        <v>18.079999999999998</v>
      </c>
      <c r="AJ3943">
        <v>100.46</v>
      </c>
      <c r="AK3943">
        <v>0</v>
      </c>
      <c r="AL3943" t="s">
        <v>53</v>
      </c>
      <c r="AM3943" t="s">
        <v>53</v>
      </c>
      <c r="AN3943" t="s">
        <v>53</v>
      </c>
      <c r="AO3943" t="s">
        <v>53</v>
      </c>
      <c r="AP3943" t="s">
        <v>53</v>
      </c>
    </row>
    <row r="3944" spans="2:42" x14ac:dyDescent="0.2">
      <c r="B3944" t="s">
        <v>44</v>
      </c>
      <c r="C3944" t="str">
        <f>HYPERLINK("https://us2.cloudbeds.com/connect/8493803454333002#/reservations/76477960564870?display=1YCFS53ES6&amp;reservation_id=76477960564870", "1YCFS53ES6")</f>
        <v>1YCFS53ES6</v>
      </c>
      <c r="D3944" t="s">
        <v>45</v>
      </c>
      <c r="E3944" t="s">
        <v>381</v>
      </c>
      <c r="F3944" t="s">
        <v>47</v>
      </c>
      <c r="G3944" t="s">
        <v>48</v>
      </c>
      <c r="H3944" t="s">
        <v>49</v>
      </c>
      <c r="I3944" t="s">
        <v>62</v>
      </c>
      <c r="J3944" t="s">
        <v>6553</v>
      </c>
      <c r="K3944" t="s">
        <v>6704</v>
      </c>
      <c r="L3944" t="s">
        <v>53</v>
      </c>
      <c r="N3944" t="s">
        <v>6705</v>
      </c>
      <c r="P3944" t="s">
        <v>55</v>
      </c>
      <c r="R3944" t="s">
        <v>56</v>
      </c>
      <c r="T3944" t="s">
        <v>6706</v>
      </c>
      <c r="U3944" t="s">
        <v>55</v>
      </c>
      <c r="V3944">
        <v>3</v>
      </c>
      <c r="W3944">
        <v>1</v>
      </c>
      <c r="X3944">
        <v>2</v>
      </c>
      <c r="Y3944">
        <v>0</v>
      </c>
      <c r="Z3944">
        <v>2</v>
      </c>
      <c r="AA3944">
        <v>324</v>
      </c>
      <c r="AB3944">
        <v>324</v>
      </c>
      <c r="AC3944">
        <v>324</v>
      </c>
      <c r="AD3944">
        <v>0</v>
      </c>
      <c r="AE3944">
        <v>0</v>
      </c>
      <c r="AF3944">
        <v>0</v>
      </c>
      <c r="AG3944">
        <v>0</v>
      </c>
      <c r="AH3944">
        <v>0</v>
      </c>
      <c r="AI3944">
        <v>58.32</v>
      </c>
      <c r="AJ3944">
        <v>324</v>
      </c>
      <c r="AK3944">
        <v>0</v>
      </c>
      <c r="AL3944" t="s">
        <v>53</v>
      </c>
      <c r="AM3944" t="s">
        <v>53</v>
      </c>
      <c r="AN3944" t="s">
        <v>53</v>
      </c>
      <c r="AO3944" t="s">
        <v>53</v>
      </c>
      <c r="AP3944" t="s">
        <v>53</v>
      </c>
    </row>
    <row r="3945" spans="2:42" x14ac:dyDescent="0.2">
      <c r="B3945" t="s">
        <v>44</v>
      </c>
      <c r="C3945" t="str">
        <f>HYPERLINK("https://us2.cloudbeds.com/connect/8493803454333002#/reservations/76692341321939?display=1YHGS2Y161&amp;reservation_id=76692341321939", "1YHGS2Y161")</f>
        <v>1YHGS2Y161</v>
      </c>
      <c r="D3945" t="s">
        <v>45</v>
      </c>
      <c r="E3945" t="s">
        <v>223</v>
      </c>
      <c r="F3945" t="s">
        <v>47</v>
      </c>
      <c r="G3945" t="s">
        <v>48</v>
      </c>
      <c r="H3945" t="s">
        <v>49</v>
      </c>
      <c r="I3945" t="s">
        <v>62</v>
      </c>
      <c r="J3945" t="s">
        <v>6384</v>
      </c>
      <c r="K3945" t="s">
        <v>6050</v>
      </c>
      <c r="L3945" t="s">
        <v>53</v>
      </c>
      <c r="N3945" t="s">
        <v>6707</v>
      </c>
      <c r="P3945" t="s">
        <v>55</v>
      </c>
      <c r="R3945" t="s">
        <v>56</v>
      </c>
      <c r="T3945" t="s">
        <v>6708</v>
      </c>
      <c r="U3945" t="s">
        <v>55</v>
      </c>
      <c r="V3945">
        <v>1</v>
      </c>
      <c r="W3945">
        <v>1</v>
      </c>
      <c r="X3945">
        <v>2</v>
      </c>
      <c r="Y3945">
        <v>0</v>
      </c>
      <c r="Z3945">
        <v>2</v>
      </c>
      <c r="AA3945">
        <v>107</v>
      </c>
      <c r="AB3945">
        <v>107</v>
      </c>
      <c r="AC3945">
        <v>107</v>
      </c>
      <c r="AD3945">
        <v>0</v>
      </c>
      <c r="AE3945">
        <v>0</v>
      </c>
      <c r="AF3945">
        <v>0</v>
      </c>
      <c r="AG3945">
        <v>0</v>
      </c>
      <c r="AH3945">
        <v>0</v>
      </c>
      <c r="AI3945">
        <v>19.260000000000002</v>
      </c>
      <c r="AJ3945">
        <v>107</v>
      </c>
      <c r="AK3945">
        <v>0</v>
      </c>
      <c r="AL3945" t="s">
        <v>53</v>
      </c>
      <c r="AM3945" t="s">
        <v>53</v>
      </c>
      <c r="AN3945" t="s">
        <v>53</v>
      </c>
      <c r="AO3945" t="s">
        <v>53</v>
      </c>
      <c r="AP3945" t="s">
        <v>53</v>
      </c>
    </row>
    <row r="3946" spans="2:42" x14ac:dyDescent="0.2">
      <c r="B3946" t="s">
        <v>44</v>
      </c>
      <c r="C3946" t="str">
        <f>HYPERLINK("https://us2.cloudbeds.com/connect/8493803454333002#/reservations/76755933659266?display=1YJ030CXK3&amp;reservation_id=76755933659266", "1YJ030CXK3")</f>
        <v>1YJ030CXK3</v>
      </c>
      <c r="D3946" t="s">
        <v>45</v>
      </c>
      <c r="E3946" t="s">
        <v>98</v>
      </c>
      <c r="F3946" t="s">
        <v>86</v>
      </c>
      <c r="G3946" t="s">
        <v>5320</v>
      </c>
      <c r="H3946" t="s">
        <v>3957</v>
      </c>
      <c r="I3946" t="s">
        <v>3975</v>
      </c>
      <c r="J3946" t="s">
        <v>6709</v>
      </c>
      <c r="K3946" t="s">
        <v>6710</v>
      </c>
      <c r="L3946" t="s">
        <v>53</v>
      </c>
      <c r="P3946" t="s">
        <v>55</v>
      </c>
      <c r="R3946" t="s">
        <v>53</v>
      </c>
      <c r="T3946" t="s">
        <v>6711</v>
      </c>
      <c r="U3946" t="s">
        <v>58</v>
      </c>
      <c r="V3946">
        <v>3</v>
      </c>
      <c r="W3946">
        <v>1</v>
      </c>
      <c r="X3946">
        <v>2</v>
      </c>
      <c r="Y3946">
        <v>0</v>
      </c>
      <c r="Z3946">
        <v>2</v>
      </c>
      <c r="AA3946">
        <v>286.41000000000003</v>
      </c>
      <c r="AB3946">
        <v>286.41000000000003</v>
      </c>
      <c r="AC3946">
        <v>252</v>
      </c>
      <c r="AD3946">
        <v>0</v>
      </c>
      <c r="AE3946">
        <v>34.409999999999997</v>
      </c>
      <c r="AF3946">
        <v>0</v>
      </c>
      <c r="AG3946">
        <v>0</v>
      </c>
      <c r="AH3946">
        <v>0</v>
      </c>
      <c r="AI3946">
        <v>0</v>
      </c>
      <c r="AJ3946">
        <v>286.41000000000003</v>
      </c>
      <c r="AK3946">
        <v>0</v>
      </c>
      <c r="AL3946" t="s">
        <v>53</v>
      </c>
      <c r="AM3946" t="s">
        <v>53</v>
      </c>
      <c r="AN3946" t="s">
        <v>53</v>
      </c>
      <c r="AO3946" t="s">
        <v>53</v>
      </c>
      <c r="AP3946" t="s">
        <v>53</v>
      </c>
    </row>
    <row r="3947" spans="2:42" x14ac:dyDescent="0.2">
      <c r="B3947" t="s">
        <v>44</v>
      </c>
      <c r="C3947" t="str">
        <f>HYPERLINK("https://us2.cloudbeds.com/connect/8493803454333002#/reservations/76757300822262?display=1YJ14V6TBQ&amp;reservation_id=76757300822262", "1YJ14V6TBQ")</f>
        <v>1YJ14V6TBQ</v>
      </c>
      <c r="D3947" t="s">
        <v>45</v>
      </c>
      <c r="E3947" t="s">
        <v>85</v>
      </c>
      <c r="F3947" t="s">
        <v>86</v>
      </c>
      <c r="G3947" t="s">
        <v>48</v>
      </c>
      <c r="H3947" t="s">
        <v>49</v>
      </c>
      <c r="I3947" t="s">
        <v>62</v>
      </c>
      <c r="J3947" t="s">
        <v>6384</v>
      </c>
      <c r="K3947" t="s">
        <v>6050</v>
      </c>
      <c r="L3947" t="s">
        <v>53</v>
      </c>
      <c r="N3947" t="s">
        <v>6712</v>
      </c>
      <c r="P3947" t="s">
        <v>55</v>
      </c>
      <c r="R3947" t="s">
        <v>56</v>
      </c>
      <c r="T3947" t="s">
        <v>6713</v>
      </c>
      <c r="U3947" t="s">
        <v>55</v>
      </c>
      <c r="V3947">
        <v>1</v>
      </c>
      <c r="W3947">
        <v>1</v>
      </c>
      <c r="X3947">
        <v>4</v>
      </c>
      <c r="Y3947">
        <v>0</v>
      </c>
      <c r="Z3947">
        <v>4</v>
      </c>
      <c r="AA3947">
        <v>114</v>
      </c>
      <c r="AB3947">
        <v>114</v>
      </c>
      <c r="AC3947">
        <v>114</v>
      </c>
      <c r="AD3947">
        <v>0</v>
      </c>
      <c r="AE3947">
        <v>0</v>
      </c>
      <c r="AF3947">
        <v>0</v>
      </c>
      <c r="AG3947">
        <v>0</v>
      </c>
      <c r="AH3947">
        <v>0</v>
      </c>
      <c r="AI3947">
        <v>20.52</v>
      </c>
      <c r="AJ3947">
        <v>114</v>
      </c>
      <c r="AK3947">
        <v>0</v>
      </c>
      <c r="AL3947" t="s">
        <v>53</v>
      </c>
      <c r="AM3947" t="s">
        <v>53</v>
      </c>
      <c r="AN3947" t="s">
        <v>53</v>
      </c>
      <c r="AO3947" t="s">
        <v>53</v>
      </c>
      <c r="AP3947" t="s">
        <v>53</v>
      </c>
    </row>
    <row r="3948" spans="2:42" x14ac:dyDescent="0.2">
      <c r="B3948" t="s">
        <v>44</v>
      </c>
      <c r="C3948" t="str">
        <f>HYPERLINK("https://us2.cloudbeds.com/connect/8493803454333002#/reservations/76792472264894?display=1YJSCYN46M&amp;reservation_id=76792472264894", "1YJSCYN46M")</f>
        <v>1YJSCYN46M</v>
      </c>
      <c r="D3948" t="s">
        <v>45</v>
      </c>
      <c r="E3948" t="s">
        <v>128</v>
      </c>
      <c r="F3948" t="s">
        <v>86</v>
      </c>
      <c r="G3948" t="s">
        <v>48</v>
      </c>
      <c r="H3948" t="s">
        <v>3957</v>
      </c>
      <c r="I3948" t="s">
        <v>3958</v>
      </c>
      <c r="J3948" t="s">
        <v>6701</v>
      </c>
      <c r="K3948" t="s">
        <v>6614</v>
      </c>
      <c r="L3948" t="s">
        <v>53</v>
      </c>
      <c r="P3948" t="s">
        <v>55</v>
      </c>
      <c r="R3948" t="s">
        <v>56</v>
      </c>
      <c r="T3948" t="s">
        <v>6714</v>
      </c>
      <c r="U3948" t="s">
        <v>58</v>
      </c>
      <c r="V3948">
        <v>1</v>
      </c>
      <c r="W3948">
        <v>1</v>
      </c>
      <c r="X3948">
        <v>1</v>
      </c>
      <c r="Y3948">
        <v>0</v>
      </c>
      <c r="Z3948">
        <v>1</v>
      </c>
      <c r="AA3948">
        <v>127.29</v>
      </c>
      <c r="AB3948">
        <v>127.29</v>
      </c>
      <c r="AC3948">
        <v>112</v>
      </c>
      <c r="AD3948">
        <v>0</v>
      </c>
      <c r="AE3948">
        <v>15.29</v>
      </c>
      <c r="AF3948">
        <v>0</v>
      </c>
      <c r="AG3948">
        <v>0</v>
      </c>
      <c r="AH3948">
        <v>0</v>
      </c>
      <c r="AI3948">
        <v>0</v>
      </c>
      <c r="AJ3948">
        <v>127.29</v>
      </c>
      <c r="AK3948">
        <v>0</v>
      </c>
      <c r="AL3948" t="s">
        <v>53</v>
      </c>
      <c r="AM3948" t="s">
        <v>53</v>
      </c>
      <c r="AN3948" t="s">
        <v>53</v>
      </c>
      <c r="AO3948" t="s">
        <v>53</v>
      </c>
      <c r="AP3948" t="s">
        <v>53</v>
      </c>
    </row>
    <row r="3949" spans="2:42" x14ac:dyDescent="0.2">
      <c r="B3949" t="s">
        <v>44</v>
      </c>
      <c r="C3949" t="str">
        <f>HYPERLINK("https://us2.cloudbeds.com/connect/8493803454333002#/reservations/76811791720643?display=1YKABACF8M&amp;reservation_id=76811791720643", "1YKABACF8M")</f>
        <v>1YKABACF8M</v>
      </c>
      <c r="D3949" t="s">
        <v>45</v>
      </c>
      <c r="E3949" t="s">
        <v>6715</v>
      </c>
      <c r="F3949" t="s">
        <v>511</v>
      </c>
      <c r="G3949" t="s">
        <v>48</v>
      </c>
      <c r="H3949" t="s">
        <v>3957</v>
      </c>
      <c r="I3949" t="s">
        <v>3958</v>
      </c>
      <c r="J3949" t="s">
        <v>6651</v>
      </c>
      <c r="K3949" t="s">
        <v>6384</v>
      </c>
      <c r="L3949" t="s">
        <v>53</v>
      </c>
      <c r="P3949" t="s">
        <v>55</v>
      </c>
      <c r="R3949" t="s">
        <v>56</v>
      </c>
      <c r="T3949" t="s">
        <v>6716</v>
      </c>
      <c r="U3949" t="s">
        <v>58</v>
      </c>
      <c r="V3949">
        <v>2</v>
      </c>
      <c r="W3949">
        <v>2</v>
      </c>
      <c r="X3949">
        <v>2</v>
      </c>
      <c r="Y3949">
        <v>0</v>
      </c>
      <c r="Z3949">
        <v>2</v>
      </c>
      <c r="AA3949">
        <v>246.63</v>
      </c>
      <c r="AB3949">
        <v>246.63</v>
      </c>
      <c r="AC3949">
        <v>217</v>
      </c>
      <c r="AD3949">
        <v>0</v>
      </c>
      <c r="AE3949">
        <v>29.63</v>
      </c>
      <c r="AF3949">
        <v>0</v>
      </c>
      <c r="AG3949">
        <v>0</v>
      </c>
      <c r="AH3949">
        <v>0</v>
      </c>
      <c r="AI3949">
        <v>0</v>
      </c>
      <c r="AJ3949">
        <v>246.63</v>
      </c>
      <c r="AK3949">
        <v>0</v>
      </c>
      <c r="AL3949" t="s">
        <v>53</v>
      </c>
      <c r="AM3949" t="s">
        <v>53</v>
      </c>
      <c r="AN3949" t="s">
        <v>53</v>
      </c>
      <c r="AO3949" t="s">
        <v>53</v>
      </c>
      <c r="AP3949" t="s">
        <v>53</v>
      </c>
    </row>
    <row r="3950" spans="2:42" x14ac:dyDescent="0.2">
      <c r="B3950" t="s">
        <v>44</v>
      </c>
      <c r="C3950" t="str">
        <f>HYPERLINK("https://us2.cloudbeds.com/connect/8493803454333002#/reservations/76824153792678?display=1YKJU6DB75&amp;reservation_id=76824153792678", "1YKJU6DB75")</f>
        <v>1YKJU6DB75</v>
      </c>
      <c r="D3950" t="s">
        <v>45</v>
      </c>
      <c r="E3950" t="s">
        <v>223</v>
      </c>
      <c r="F3950" t="s">
        <v>47</v>
      </c>
      <c r="G3950" t="s">
        <v>48</v>
      </c>
      <c r="H3950" t="s">
        <v>3957</v>
      </c>
      <c r="I3950" t="s">
        <v>3975</v>
      </c>
      <c r="J3950" t="s">
        <v>6596</v>
      </c>
      <c r="K3950" t="s">
        <v>6717</v>
      </c>
      <c r="L3950" t="s">
        <v>53</v>
      </c>
      <c r="P3950" t="s">
        <v>55</v>
      </c>
      <c r="R3950" t="s">
        <v>53</v>
      </c>
      <c r="T3950" t="s">
        <v>6718</v>
      </c>
      <c r="U3950" t="s">
        <v>58</v>
      </c>
      <c r="V3950">
        <v>3</v>
      </c>
      <c r="W3950">
        <v>1</v>
      </c>
      <c r="X3950">
        <v>2</v>
      </c>
      <c r="Y3950">
        <v>0</v>
      </c>
      <c r="Z3950">
        <v>2</v>
      </c>
      <c r="AA3950">
        <v>340.96</v>
      </c>
      <c r="AB3950">
        <v>340.96</v>
      </c>
      <c r="AC3950">
        <v>300</v>
      </c>
      <c r="AD3950">
        <v>0</v>
      </c>
      <c r="AE3950">
        <v>40.96</v>
      </c>
      <c r="AF3950">
        <v>0</v>
      </c>
      <c r="AG3950">
        <v>0</v>
      </c>
      <c r="AH3950">
        <v>0</v>
      </c>
      <c r="AI3950">
        <v>0</v>
      </c>
      <c r="AJ3950">
        <v>340.96</v>
      </c>
      <c r="AK3950">
        <v>0</v>
      </c>
      <c r="AL3950" t="s">
        <v>53</v>
      </c>
      <c r="AM3950" t="s">
        <v>53</v>
      </c>
      <c r="AN3950" t="s">
        <v>53</v>
      </c>
      <c r="AO3950" t="s">
        <v>53</v>
      </c>
      <c r="AP3950" t="s">
        <v>53</v>
      </c>
    </row>
    <row r="3951" spans="2:42" x14ac:dyDescent="0.2">
      <c r="B3951" t="s">
        <v>44</v>
      </c>
      <c r="C3951" t="str">
        <f>HYPERLINK("https://us2.cloudbeds.com/connect/8493803454333002#/reservations/77064865751204?display=1YQ89V3DTM&amp;reservation_id=77064865751204", "1YQ89V3DTM")</f>
        <v>1YQ89V3DTM</v>
      </c>
      <c r="D3951" t="s">
        <v>45</v>
      </c>
      <c r="E3951" t="s">
        <v>113</v>
      </c>
      <c r="F3951" t="s">
        <v>61</v>
      </c>
      <c r="G3951" t="s">
        <v>48</v>
      </c>
      <c r="H3951" t="s">
        <v>3957</v>
      </c>
      <c r="I3951" t="s">
        <v>3989</v>
      </c>
      <c r="J3951" t="s">
        <v>6089</v>
      </c>
      <c r="K3951" t="s">
        <v>6384</v>
      </c>
      <c r="L3951" t="s">
        <v>53</v>
      </c>
      <c r="P3951" t="s">
        <v>55</v>
      </c>
      <c r="R3951" t="s">
        <v>56</v>
      </c>
      <c r="T3951" t="s">
        <v>6719</v>
      </c>
      <c r="U3951" t="s">
        <v>58</v>
      </c>
      <c r="V3951">
        <v>2</v>
      </c>
      <c r="W3951">
        <v>1</v>
      </c>
      <c r="X3951">
        <v>1</v>
      </c>
      <c r="Y3951">
        <v>0</v>
      </c>
      <c r="Z3951">
        <v>1</v>
      </c>
      <c r="AA3951">
        <v>218.89</v>
      </c>
      <c r="AB3951">
        <v>218.89</v>
      </c>
      <c r="AC3951">
        <v>192.6</v>
      </c>
      <c r="AD3951">
        <v>0</v>
      </c>
      <c r="AE3951">
        <v>26.29</v>
      </c>
      <c r="AF3951">
        <v>0</v>
      </c>
      <c r="AG3951">
        <v>0</v>
      </c>
      <c r="AH3951">
        <v>0</v>
      </c>
      <c r="AI3951">
        <v>0</v>
      </c>
      <c r="AJ3951">
        <v>218.89</v>
      </c>
      <c r="AK3951">
        <v>0</v>
      </c>
      <c r="AL3951" t="s">
        <v>53</v>
      </c>
      <c r="AM3951" t="s">
        <v>53</v>
      </c>
      <c r="AN3951" t="s">
        <v>53</v>
      </c>
      <c r="AO3951" t="s">
        <v>53</v>
      </c>
      <c r="AP3951" t="s">
        <v>53</v>
      </c>
    </row>
    <row r="3952" spans="2:42" x14ac:dyDescent="0.2">
      <c r="B3952" t="s">
        <v>44</v>
      </c>
      <c r="C3952" t="str">
        <f>HYPERLINK("https://us2.cloudbeds.com/connect/8493803454333002#/reservations/77110835233011?display=1YRATXQ0HT&amp;reservation_id=77110835233011", "1YRATXQ0HT")</f>
        <v>1YRATXQ0HT</v>
      </c>
      <c r="D3952" t="s">
        <v>45</v>
      </c>
      <c r="E3952" t="s">
        <v>165</v>
      </c>
      <c r="F3952" t="s">
        <v>61</v>
      </c>
      <c r="G3952" t="s">
        <v>4520</v>
      </c>
      <c r="H3952" t="s">
        <v>3957</v>
      </c>
      <c r="I3952" t="s">
        <v>3958</v>
      </c>
      <c r="J3952" t="s">
        <v>6614</v>
      </c>
      <c r="K3952" t="s">
        <v>6651</v>
      </c>
      <c r="L3952" t="s">
        <v>53</v>
      </c>
      <c r="P3952" t="s">
        <v>58</v>
      </c>
      <c r="R3952" t="s">
        <v>56</v>
      </c>
      <c r="T3952" t="s">
        <v>6720</v>
      </c>
      <c r="U3952" t="s">
        <v>58</v>
      </c>
      <c r="V3952">
        <v>2</v>
      </c>
      <c r="W3952">
        <v>1</v>
      </c>
      <c r="X3952">
        <v>1</v>
      </c>
      <c r="Y3952">
        <v>0</v>
      </c>
      <c r="Z3952">
        <v>1</v>
      </c>
      <c r="AA3952">
        <v>219.91</v>
      </c>
      <c r="AB3952">
        <v>219.91</v>
      </c>
      <c r="AC3952">
        <v>193.5</v>
      </c>
      <c r="AD3952">
        <v>0</v>
      </c>
      <c r="AE3952">
        <v>26.41</v>
      </c>
      <c r="AF3952">
        <v>0</v>
      </c>
      <c r="AG3952">
        <v>0</v>
      </c>
      <c r="AH3952">
        <v>0</v>
      </c>
      <c r="AI3952">
        <v>0</v>
      </c>
      <c r="AJ3952">
        <v>219.91</v>
      </c>
      <c r="AK3952">
        <v>0</v>
      </c>
      <c r="AL3952" t="s">
        <v>53</v>
      </c>
      <c r="AM3952" t="s">
        <v>53</v>
      </c>
      <c r="AN3952" t="s">
        <v>53</v>
      </c>
      <c r="AO3952" t="s">
        <v>53</v>
      </c>
      <c r="AP3952" t="s">
        <v>53</v>
      </c>
    </row>
    <row r="3953" spans="2:42" x14ac:dyDescent="0.2">
      <c r="B3953" t="s">
        <v>44</v>
      </c>
      <c r="C3953" t="str">
        <f>HYPERLINK("https://us2.cloudbeds.com/connect/8493803454333002#/reservations/77194373210293?display=1YT9J57CFU&amp;reservation_id=77194373210293", "1YT9J57CFU")</f>
        <v>1YT9J57CFU</v>
      </c>
      <c r="D3953" t="s">
        <v>45</v>
      </c>
      <c r="E3953" t="s">
        <v>373</v>
      </c>
      <c r="F3953" t="s">
        <v>47</v>
      </c>
      <c r="G3953" t="s">
        <v>48</v>
      </c>
      <c r="H3953" t="s">
        <v>49</v>
      </c>
      <c r="I3953" t="s">
        <v>62</v>
      </c>
      <c r="J3953" t="s">
        <v>6614</v>
      </c>
      <c r="K3953" t="s">
        <v>6089</v>
      </c>
      <c r="L3953" t="s">
        <v>53</v>
      </c>
      <c r="N3953" t="s">
        <v>6721</v>
      </c>
      <c r="P3953" t="s">
        <v>55</v>
      </c>
      <c r="R3953" t="s">
        <v>56</v>
      </c>
      <c r="T3953" t="s">
        <v>6722</v>
      </c>
      <c r="U3953" t="s">
        <v>55</v>
      </c>
      <c r="V3953">
        <v>1</v>
      </c>
      <c r="W3953">
        <v>1</v>
      </c>
      <c r="X3953">
        <v>2</v>
      </c>
      <c r="Y3953">
        <v>0</v>
      </c>
      <c r="Z3953">
        <v>2</v>
      </c>
      <c r="AA3953">
        <v>106</v>
      </c>
      <c r="AB3953">
        <v>106</v>
      </c>
      <c r="AC3953">
        <v>106</v>
      </c>
      <c r="AD3953">
        <v>0</v>
      </c>
      <c r="AE3953">
        <v>0</v>
      </c>
      <c r="AF3953">
        <v>0</v>
      </c>
      <c r="AG3953">
        <v>0</v>
      </c>
      <c r="AH3953">
        <v>0</v>
      </c>
      <c r="AI3953">
        <v>19.079999999999998</v>
      </c>
      <c r="AJ3953">
        <v>106</v>
      </c>
      <c r="AK3953">
        <v>0</v>
      </c>
      <c r="AL3953" t="s">
        <v>53</v>
      </c>
      <c r="AM3953" t="s">
        <v>53</v>
      </c>
      <c r="AN3953" t="s">
        <v>53</v>
      </c>
      <c r="AO3953" t="s">
        <v>53</v>
      </c>
      <c r="AP3953" t="s">
        <v>53</v>
      </c>
    </row>
    <row r="3954" spans="2:42" x14ac:dyDescent="0.2">
      <c r="B3954" t="s">
        <v>44</v>
      </c>
      <c r="C3954" t="str">
        <f>HYPERLINK("https://us2.cloudbeds.com/connect/8493803454333002#/reservations/77527286292712?display=1M43BSBYAZ&amp;reservation_id=77527286292712", "1M43BSBYAZ")</f>
        <v>1M43BSBYAZ</v>
      </c>
      <c r="D3954" t="s">
        <v>45</v>
      </c>
      <c r="E3954" t="s">
        <v>128</v>
      </c>
      <c r="F3954" t="s">
        <v>86</v>
      </c>
      <c r="G3954" t="s">
        <v>48</v>
      </c>
      <c r="H3954" t="s">
        <v>3957</v>
      </c>
      <c r="I3954" t="s">
        <v>3975</v>
      </c>
      <c r="J3954" t="s">
        <v>6089</v>
      </c>
      <c r="K3954" t="s">
        <v>6651</v>
      </c>
      <c r="L3954" t="s">
        <v>53</v>
      </c>
      <c r="P3954" t="s">
        <v>55</v>
      </c>
      <c r="R3954" t="s">
        <v>53</v>
      </c>
      <c r="T3954" t="s">
        <v>6723</v>
      </c>
      <c r="U3954" t="s">
        <v>58</v>
      </c>
      <c r="V3954">
        <v>1</v>
      </c>
      <c r="W3954">
        <v>1</v>
      </c>
      <c r="X3954">
        <v>1</v>
      </c>
      <c r="Y3954">
        <v>2</v>
      </c>
      <c r="Z3954">
        <v>3</v>
      </c>
      <c r="AA3954">
        <v>129.57</v>
      </c>
      <c r="AB3954">
        <v>129.57</v>
      </c>
      <c r="AC3954">
        <v>114</v>
      </c>
      <c r="AD3954">
        <v>0</v>
      </c>
      <c r="AE3954">
        <v>15.57</v>
      </c>
      <c r="AF3954">
        <v>0</v>
      </c>
      <c r="AG3954">
        <v>0</v>
      </c>
      <c r="AH3954">
        <v>0</v>
      </c>
      <c r="AI3954">
        <v>0</v>
      </c>
      <c r="AJ3954">
        <v>129.57</v>
      </c>
      <c r="AK3954">
        <v>0</v>
      </c>
      <c r="AL3954" t="s">
        <v>53</v>
      </c>
      <c r="AM3954" t="s">
        <v>53</v>
      </c>
      <c r="AN3954" t="s">
        <v>53</v>
      </c>
      <c r="AO3954" t="s">
        <v>53</v>
      </c>
      <c r="AP3954" t="s">
        <v>53</v>
      </c>
    </row>
    <row r="3955" spans="2:42" x14ac:dyDescent="0.2">
      <c r="B3955" t="s">
        <v>44</v>
      </c>
      <c r="C3955" t="str">
        <f>HYPERLINK("https://us2.cloudbeds.com/connect/8493803454333002#/reservations/77563470708901?display=1M4VCF0C30&amp;reservation_id=77563470708901", "1M4VCF0C30")</f>
        <v>1M4VCF0C30</v>
      </c>
      <c r="D3955" t="s">
        <v>45</v>
      </c>
      <c r="E3955" t="s">
        <v>85</v>
      </c>
      <c r="F3955" t="s">
        <v>86</v>
      </c>
      <c r="G3955" t="s">
        <v>48</v>
      </c>
      <c r="H3955" t="s">
        <v>49</v>
      </c>
      <c r="I3955" t="s">
        <v>62</v>
      </c>
      <c r="J3955" t="s">
        <v>6089</v>
      </c>
      <c r="K3955" t="s">
        <v>6384</v>
      </c>
      <c r="L3955" t="s">
        <v>53</v>
      </c>
      <c r="N3955" t="s">
        <v>6724</v>
      </c>
      <c r="P3955" t="s">
        <v>55</v>
      </c>
      <c r="R3955" t="s">
        <v>56</v>
      </c>
      <c r="T3955" t="s">
        <v>6725</v>
      </c>
      <c r="U3955" t="s">
        <v>55</v>
      </c>
      <c r="V3955">
        <v>2</v>
      </c>
      <c r="W3955">
        <v>1</v>
      </c>
      <c r="X3955">
        <v>1</v>
      </c>
      <c r="Y3955">
        <v>2</v>
      </c>
      <c r="Z3955">
        <v>3</v>
      </c>
      <c r="AA3955">
        <v>230</v>
      </c>
      <c r="AB3955">
        <v>230</v>
      </c>
      <c r="AC3955">
        <v>230</v>
      </c>
      <c r="AD3955">
        <v>0</v>
      </c>
      <c r="AE3955">
        <v>0</v>
      </c>
      <c r="AF3955">
        <v>0</v>
      </c>
      <c r="AG3955">
        <v>0</v>
      </c>
      <c r="AH3955">
        <v>0</v>
      </c>
      <c r="AI3955">
        <v>41.4</v>
      </c>
      <c r="AJ3955">
        <v>230</v>
      </c>
      <c r="AK3955">
        <v>0</v>
      </c>
      <c r="AL3955" t="s">
        <v>53</v>
      </c>
      <c r="AM3955" t="s">
        <v>53</v>
      </c>
      <c r="AN3955" t="s">
        <v>53</v>
      </c>
      <c r="AO3955" t="s">
        <v>53</v>
      </c>
      <c r="AP3955" t="s">
        <v>53</v>
      </c>
    </row>
    <row r="3956" spans="2:42" x14ac:dyDescent="0.2">
      <c r="B3956" t="s">
        <v>44</v>
      </c>
      <c r="C3956" t="str">
        <f>HYPERLINK("https://us2.cloudbeds.com/connect/8493803454333002#/reservations/77572283560146?display=1M556Y7V4B&amp;reservation_id=77572283560146", "1M556Y7V4B")</f>
        <v>1M556Y7V4B</v>
      </c>
      <c r="D3956" t="s">
        <v>45</v>
      </c>
      <c r="E3956" t="s">
        <v>373</v>
      </c>
      <c r="F3956" t="s">
        <v>47</v>
      </c>
      <c r="G3956" t="s">
        <v>48</v>
      </c>
      <c r="H3956" t="s">
        <v>49</v>
      </c>
      <c r="I3956" t="s">
        <v>62</v>
      </c>
      <c r="J3956" t="s">
        <v>6726</v>
      </c>
      <c r="K3956" t="s">
        <v>6727</v>
      </c>
      <c r="L3956" t="s">
        <v>53</v>
      </c>
      <c r="N3956" t="s">
        <v>6728</v>
      </c>
      <c r="P3956" t="s">
        <v>55</v>
      </c>
      <c r="R3956" t="s">
        <v>56</v>
      </c>
      <c r="T3956" t="s">
        <v>6729</v>
      </c>
      <c r="U3956" t="s">
        <v>55</v>
      </c>
      <c r="V3956">
        <v>2</v>
      </c>
      <c r="W3956">
        <v>1</v>
      </c>
      <c r="X3956">
        <v>2</v>
      </c>
      <c r="Y3956">
        <v>0</v>
      </c>
      <c r="Z3956">
        <v>2</v>
      </c>
      <c r="AA3956">
        <v>176.4</v>
      </c>
      <c r="AB3956">
        <v>176.4</v>
      </c>
      <c r="AC3956">
        <v>176.4</v>
      </c>
      <c r="AD3956">
        <v>0</v>
      </c>
      <c r="AE3956">
        <v>0</v>
      </c>
      <c r="AF3956">
        <v>0</v>
      </c>
      <c r="AG3956">
        <v>0</v>
      </c>
      <c r="AH3956">
        <v>0</v>
      </c>
      <c r="AI3956">
        <v>31.75</v>
      </c>
      <c r="AJ3956">
        <v>176.4</v>
      </c>
      <c r="AK3956">
        <v>0</v>
      </c>
      <c r="AL3956" t="s">
        <v>53</v>
      </c>
      <c r="AM3956" t="s">
        <v>53</v>
      </c>
      <c r="AN3956" t="s">
        <v>53</v>
      </c>
      <c r="AO3956" t="s">
        <v>53</v>
      </c>
      <c r="AP3956" t="s">
        <v>53</v>
      </c>
    </row>
    <row r="3957" spans="2:42" x14ac:dyDescent="0.2">
      <c r="B3957" t="s">
        <v>44</v>
      </c>
      <c r="C3957" t="str">
        <f>HYPERLINK("https://us2.cloudbeds.com/connect/8493803454333002#/reservations/77830781898937?display=1MB7BST920&amp;reservation_id=77830781898937", "1MB7BST920")</f>
        <v>1MB7BST920</v>
      </c>
      <c r="D3957" t="s">
        <v>45</v>
      </c>
      <c r="E3957" t="s">
        <v>373</v>
      </c>
      <c r="F3957" t="s">
        <v>47</v>
      </c>
      <c r="G3957" t="s">
        <v>48</v>
      </c>
      <c r="H3957" t="s">
        <v>49</v>
      </c>
      <c r="I3957" t="s">
        <v>50</v>
      </c>
      <c r="J3957" t="s">
        <v>6552</v>
      </c>
      <c r="K3957" t="s">
        <v>5327</v>
      </c>
      <c r="L3957" t="s">
        <v>53</v>
      </c>
      <c r="N3957" t="s">
        <v>6730</v>
      </c>
      <c r="P3957" t="s">
        <v>55</v>
      </c>
      <c r="R3957" t="s">
        <v>53</v>
      </c>
      <c r="T3957" t="s">
        <v>6731</v>
      </c>
      <c r="U3957" t="s">
        <v>58</v>
      </c>
      <c r="V3957">
        <v>2</v>
      </c>
      <c r="W3957">
        <v>1</v>
      </c>
      <c r="X3957">
        <v>1</v>
      </c>
      <c r="Y3957">
        <v>0</v>
      </c>
      <c r="Z3957">
        <v>1</v>
      </c>
      <c r="AA3957">
        <v>213.49</v>
      </c>
      <c r="AB3957">
        <v>213.49</v>
      </c>
      <c r="AC3957">
        <v>187.85</v>
      </c>
      <c r="AD3957">
        <v>0</v>
      </c>
      <c r="AE3957">
        <v>25.64</v>
      </c>
      <c r="AF3957">
        <v>0</v>
      </c>
      <c r="AG3957">
        <v>0</v>
      </c>
      <c r="AH3957">
        <v>0</v>
      </c>
      <c r="AI3957">
        <v>38.43</v>
      </c>
      <c r="AJ3957">
        <v>213.49</v>
      </c>
      <c r="AK3957">
        <v>0</v>
      </c>
      <c r="AL3957" t="s">
        <v>53</v>
      </c>
      <c r="AM3957" t="s">
        <v>53</v>
      </c>
      <c r="AN3957" t="s">
        <v>53</v>
      </c>
      <c r="AO3957" t="s">
        <v>53</v>
      </c>
      <c r="AP3957" t="s">
        <v>53</v>
      </c>
    </row>
    <row r="3958" spans="2:42" x14ac:dyDescent="0.2">
      <c r="B3958" t="s">
        <v>44</v>
      </c>
      <c r="C3958" t="str">
        <f>HYPERLINK("https://us2.cloudbeds.com/connect/8493803454333002#/reservations/78551702692028?display=1MS4J2D1T4&amp;reservation_id=78551702692028", "1MS4J2D1T4")</f>
        <v>1MS4J2D1T4</v>
      </c>
      <c r="D3958" t="s">
        <v>45</v>
      </c>
      <c r="E3958" t="s">
        <v>165</v>
      </c>
      <c r="F3958" t="s">
        <v>61</v>
      </c>
      <c r="G3958" t="s">
        <v>48</v>
      </c>
      <c r="H3958" t="s">
        <v>3957</v>
      </c>
      <c r="I3958" t="s">
        <v>3975</v>
      </c>
      <c r="J3958" t="s">
        <v>6552</v>
      </c>
      <c r="K3958" t="s">
        <v>6553</v>
      </c>
      <c r="L3958" t="s">
        <v>53</v>
      </c>
      <c r="P3958" t="s">
        <v>55</v>
      </c>
      <c r="R3958" t="s">
        <v>53</v>
      </c>
      <c r="T3958" t="s">
        <v>6732</v>
      </c>
      <c r="U3958" t="s">
        <v>58</v>
      </c>
      <c r="V3958">
        <v>1</v>
      </c>
      <c r="W3958">
        <v>1</v>
      </c>
      <c r="X3958">
        <v>2</v>
      </c>
      <c r="Y3958">
        <v>0</v>
      </c>
      <c r="Z3958">
        <v>2</v>
      </c>
      <c r="AA3958">
        <v>123.88</v>
      </c>
      <c r="AB3958">
        <v>123.88</v>
      </c>
      <c r="AC3958">
        <v>109</v>
      </c>
      <c r="AD3958">
        <v>0</v>
      </c>
      <c r="AE3958">
        <v>14.88</v>
      </c>
      <c r="AF3958">
        <v>0</v>
      </c>
      <c r="AG3958">
        <v>0</v>
      </c>
      <c r="AH3958">
        <v>0</v>
      </c>
      <c r="AI3958">
        <v>0</v>
      </c>
      <c r="AJ3958">
        <v>123.88</v>
      </c>
      <c r="AK3958">
        <v>0</v>
      </c>
      <c r="AL3958" t="s">
        <v>53</v>
      </c>
      <c r="AM3958" t="s">
        <v>53</v>
      </c>
      <c r="AN3958" t="s">
        <v>53</v>
      </c>
      <c r="AO3958" t="s">
        <v>53</v>
      </c>
      <c r="AP3958" t="s">
        <v>53</v>
      </c>
    </row>
    <row r="3959" spans="2:42" x14ac:dyDescent="0.2">
      <c r="B3959" t="s">
        <v>44</v>
      </c>
      <c r="C3959" t="str">
        <f>HYPERLINK("https://us2.cloudbeds.com/connect/8493803454333002#/reservations/78871012585614?display=1N2KR5VHUH&amp;reservation_id=78871012585614", "1N2KR5VHUH")</f>
        <v>1N2KR5VHUH</v>
      </c>
      <c r="D3959" t="s">
        <v>45</v>
      </c>
      <c r="E3959" t="s">
        <v>381</v>
      </c>
      <c r="F3959" t="s">
        <v>47</v>
      </c>
      <c r="G3959" t="s">
        <v>48</v>
      </c>
      <c r="H3959" t="s">
        <v>3957</v>
      </c>
      <c r="I3959" t="s">
        <v>3975</v>
      </c>
      <c r="J3959" t="s">
        <v>6051</v>
      </c>
      <c r="K3959" t="s">
        <v>6494</v>
      </c>
      <c r="L3959" t="s">
        <v>53</v>
      </c>
      <c r="P3959" t="s">
        <v>58</v>
      </c>
      <c r="R3959" t="s">
        <v>56</v>
      </c>
      <c r="T3959" t="s">
        <v>6733</v>
      </c>
      <c r="U3959" t="s">
        <v>58</v>
      </c>
      <c r="V3959">
        <v>1</v>
      </c>
      <c r="W3959">
        <v>1</v>
      </c>
      <c r="X3959">
        <v>1</v>
      </c>
      <c r="Y3959">
        <v>0</v>
      </c>
      <c r="Z3959">
        <v>1</v>
      </c>
      <c r="AA3959">
        <v>113.65</v>
      </c>
      <c r="AB3959">
        <v>113.65</v>
      </c>
      <c r="AC3959">
        <v>100</v>
      </c>
      <c r="AD3959">
        <v>0</v>
      </c>
      <c r="AE3959">
        <v>13.65</v>
      </c>
      <c r="AF3959">
        <v>0</v>
      </c>
      <c r="AG3959">
        <v>0</v>
      </c>
      <c r="AH3959">
        <v>0</v>
      </c>
      <c r="AI3959">
        <v>0</v>
      </c>
      <c r="AJ3959">
        <v>113.65</v>
      </c>
      <c r="AK3959">
        <v>0</v>
      </c>
      <c r="AL3959" t="s">
        <v>53</v>
      </c>
      <c r="AM3959" t="s">
        <v>53</v>
      </c>
      <c r="AN3959" t="s">
        <v>53</v>
      </c>
      <c r="AO3959" t="s">
        <v>53</v>
      </c>
      <c r="AP3959" t="s">
        <v>53</v>
      </c>
    </row>
    <row r="3960" spans="2:42" x14ac:dyDescent="0.2">
      <c r="B3960" t="s">
        <v>44</v>
      </c>
      <c r="C3960" t="str">
        <f>HYPERLINK("https://us2.cloudbeds.com/connect/8493803454333002#/reservations/79248411299972?display=1NBG1JX361&amp;reservation_id=79248411299972", "1NBG1JX361")</f>
        <v>1NBG1JX361</v>
      </c>
      <c r="D3960" t="s">
        <v>45</v>
      </c>
      <c r="E3960" t="s">
        <v>165</v>
      </c>
      <c r="F3960" t="s">
        <v>61</v>
      </c>
      <c r="G3960" t="s">
        <v>48</v>
      </c>
      <c r="H3960" t="s">
        <v>3957</v>
      </c>
      <c r="I3960" t="s">
        <v>3958</v>
      </c>
      <c r="J3960" t="s">
        <v>6494</v>
      </c>
      <c r="K3960" t="s">
        <v>5326</v>
      </c>
      <c r="L3960" t="s">
        <v>53</v>
      </c>
      <c r="P3960" t="s">
        <v>55</v>
      </c>
      <c r="R3960" t="s">
        <v>56</v>
      </c>
      <c r="T3960" t="s">
        <v>6734</v>
      </c>
      <c r="U3960" t="s">
        <v>58</v>
      </c>
      <c r="V3960">
        <v>1</v>
      </c>
      <c r="W3960">
        <v>1</v>
      </c>
      <c r="X3960">
        <v>1</v>
      </c>
      <c r="Y3960">
        <v>0</v>
      </c>
      <c r="Z3960">
        <v>1</v>
      </c>
      <c r="AA3960">
        <v>120.47</v>
      </c>
      <c r="AB3960">
        <v>120.47</v>
      </c>
      <c r="AC3960">
        <v>106</v>
      </c>
      <c r="AD3960">
        <v>0</v>
      </c>
      <c r="AE3960">
        <v>14.47</v>
      </c>
      <c r="AF3960">
        <v>0</v>
      </c>
      <c r="AG3960">
        <v>0</v>
      </c>
      <c r="AH3960">
        <v>0</v>
      </c>
      <c r="AI3960">
        <v>0</v>
      </c>
      <c r="AJ3960">
        <v>120.47</v>
      </c>
      <c r="AK3960">
        <v>0</v>
      </c>
      <c r="AL3960" t="s">
        <v>53</v>
      </c>
      <c r="AM3960" t="s">
        <v>53</v>
      </c>
      <c r="AN3960" t="s">
        <v>53</v>
      </c>
      <c r="AO3960" t="s">
        <v>53</v>
      </c>
      <c r="AP3960" t="s">
        <v>53</v>
      </c>
    </row>
    <row r="3961" spans="2:42" x14ac:dyDescent="0.2">
      <c r="B3961" t="s">
        <v>44</v>
      </c>
      <c r="C3961" t="str">
        <f>HYPERLINK("https://us2.cloudbeds.com/connect/8493803454333002#/reservations/79567064223995?display=1NXVPU4ECS&amp;reservation_id=79567064223995", "1NXVPU4ECS")</f>
        <v>1NXVPU4ECS</v>
      </c>
      <c r="D3961" t="s">
        <v>45</v>
      </c>
      <c r="E3961" t="s">
        <v>223</v>
      </c>
      <c r="F3961" t="s">
        <v>47</v>
      </c>
      <c r="G3961" t="s">
        <v>48</v>
      </c>
      <c r="H3961" t="s">
        <v>3957</v>
      </c>
      <c r="I3961" t="s">
        <v>3989</v>
      </c>
      <c r="J3961" t="s">
        <v>5326</v>
      </c>
      <c r="K3961" t="s">
        <v>6552</v>
      </c>
      <c r="L3961" t="s">
        <v>53</v>
      </c>
      <c r="P3961" t="s">
        <v>55</v>
      </c>
      <c r="R3961" t="s">
        <v>56</v>
      </c>
      <c r="T3961" t="s">
        <v>6735</v>
      </c>
      <c r="U3961" t="s">
        <v>58</v>
      </c>
      <c r="V3961">
        <v>1</v>
      </c>
      <c r="W3961">
        <v>1</v>
      </c>
      <c r="X3961">
        <v>1</v>
      </c>
      <c r="Y3961">
        <v>0</v>
      </c>
      <c r="Z3961">
        <v>1</v>
      </c>
      <c r="AA3961">
        <v>114.79</v>
      </c>
      <c r="AB3961">
        <v>114.79</v>
      </c>
      <c r="AC3961">
        <v>101</v>
      </c>
      <c r="AD3961">
        <v>0</v>
      </c>
      <c r="AE3961">
        <v>13.79</v>
      </c>
      <c r="AF3961">
        <v>0</v>
      </c>
      <c r="AG3961">
        <v>0</v>
      </c>
      <c r="AH3961">
        <v>0</v>
      </c>
      <c r="AI3961">
        <v>0</v>
      </c>
      <c r="AJ3961">
        <v>114.79</v>
      </c>
      <c r="AK3961">
        <v>0</v>
      </c>
      <c r="AL3961" t="s">
        <v>53</v>
      </c>
      <c r="AM3961" t="s">
        <v>53</v>
      </c>
      <c r="AN3961" t="s">
        <v>53</v>
      </c>
      <c r="AO3961" t="s">
        <v>53</v>
      </c>
      <c r="AP3961" t="s">
        <v>53</v>
      </c>
    </row>
    <row r="3962" spans="2:42" x14ac:dyDescent="0.2">
      <c r="B3962" t="s">
        <v>44</v>
      </c>
      <c r="C3962" t="str">
        <f>HYPERLINK("https://us2.cloudbeds.com/connect/8493803454333002#/reservations/79570193785086?display=1NJ16T22SE&amp;reservation_id=79570193785086", "1NJ16T22SE")</f>
        <v>1NJ16T22SE</v>
      </c>
      <c r="D3962" t="s">
        <v>45</v>
      </c>
      <c r="E3962" t="s">
        <v>78</v>
      </c>
      <c r="F3962" t="s">
        <v>61</v>
      </c>
      <c r="G3962" t="s">
        <v>48</v>
      </c>
      <c r="H3962" t="s">
        <v>3957</v>
      </c>
      <c r="I3962" t="s">
        <v>3989</v>
      </c>
      <c r="J3962" t="s">
        <v>6736</v>
      </c>
      <c r="K3962" t="s">
        <v>6737</v>
      </c>
      <c r="L3962" t="s">
        <v>53</v>
      </c>
      <c r="P3962" t="s">
        <v>55</v>
      </c>
      <c r="R3962" t="s">
        <v>56</v>
      </c>
      <c r="T3962" t="s">
        <v>6738</v>
      </c>
      <c r="U3962" t="s">
        <v>58</v>
      </c>
      <c r="V3962">
        <v>2</v>
      </c>
      <c r="W3962">
        <v>1</v>
      </c>
      <c r="X3962">
        <v>1</v>
      </c>
      <c r="Y3962">
        <v>0</v>
      </c>
      <c r="Z3962">
        <v>1</v>
      </c>
      <c r="AA3962">
        <v>287.55</v>
      </c>
      <c r="AB3962">
        <v>287.55</v>
      </c>
      <c r="AC3962">
        <v>253</v>
      </c>
      <c r="AD3962">
        <v>0</v>
      </c>
      <c r="AE3962">
        <v>34.549999999999997</v>
      </c>
      <c r="AF3962">
        <v>0</v>
      </c>
      <c r="AG3962">
        <v>0</v>
      </c>
      <c r="AH3962">
        <v>0</v>
      </c>
      <c r="AI3962">
        <v>0</v>
      </c>
      <c r="AJ3962">
        <v>287.55</v>
      </c>
      <c r="AK3962">
        <v>0</v>
      </c>
      <c r="AL3962" t="s">
        <v>53</v>
      </c>
      <c r="AM3962" t="s">
        <v>53</v>
      </c>
      <c r="AN3962" t="s">
        <v>53</v>
      </c>
      <c r="AO3962" t="s">
        <v>53</v>
      </c>
      <c r="AP3962" t="s">
        <v>53</v>
      </c>
    </row>
    <row r="3963" spans="2:42" x14ac:dyDescent="0.2">
      <c r="B3963" t="s">
        <v>44</v>
      </c>
      <c r="C3963" t="str">
        <f>HYPERLINK("https://us2.cloudbeds.com/connect/8493803454333002#/reservations/79630095564949?display=1NKEJGRDKR&amp;reservation_id=79630095564949", "1NKEJGRDKR")</f>
        <v>1NKEJGRDKR</v>
      </c>
      <c r="D3963" t="s">
        <v>45</v>
      </c>
      <c r="E3963" t="s">
        <v>46</v>
      </c>
      <c r="F3963" t="s">
        <v>47</v>
      </c>
      <c r="G3963" t="s">
        <v>48</v>
      </c>
      <c r="H3963" t="s">
        <v>49</v>
      </c>
      <c r="I3963" t="s">
        <v>50</v>
      </c>
      <c r="J3963" t="s">
        <v>5326</v>
      </c>
      <c r="K3963" t="s">
        <v>6552</v>
      </c>
      <c r="L3963" t="s">
        <v>53</v>
      </c>
      <c r="N3963" t="s">
        <v>6739</v>
      </c>
      <c r="P3963" t="s">
        <v>55</v>
      </c>
      <c r="R3963" t="s">
        <v>53</v>
      </c>
      <c r="T3963" t="s">
        <v>6740</v>
      </c>
      <c r="U3963" t="s">
        <v>58</v>
      </c>
      <c r="V3963">
        <v>1</v>
      </c>
      <c r="W3963">
        <v>1</v>
      </c>
      <c r="X3963">
        <v>1</v>
      </c>
      <c r="Y3963">
        <v>0</v>
      </c>
      <c r="Z3963">
        <v>1</v>
      </c>
      <c r="AA3963">
        <v>91.83</v>
      </c>
      <c r="AB3963">
        <v>91.83</v>
      </c>
      <c r="AC3963">
        <v>80.8</v>
      </c>
      <c r="AD3963">
        <v>0</v>
      </c>
      <c r="AE3963">
        <v>11.03</v>
      </c>
      <c r="AF3963">
        <v>0</v>
      </c>
      <c r="AG3963">
        <v>0</v>
      </c>
      <c r="AH3963">
        <v>0</v>
      </c>
      <c r="AI3963">
        <v>16.53</v>
      </c>
      <c r="AJ3963">
        <v>91.83</v>
      </c>
      <c r="AK3963">
        <v>0</v>
      </c>
      <c r="AL3963" t="s">
        <v>53</v>
      </c>
      <c r="AM3963" t="s">
        <v>53</v>
      </c>
      <c r="AN3963" t="s">
        <v>53</v>
      </c>
      <c r="AO3963" t="s">
        <v>53</v>
      </c>
      <c r="AP3963" t="s">
        <v>53</v>
      </c>
    </row>
    <row r="3964" spans="2:42" x14ac:dyDescent="0.2">
      <c r="B3964" t="s">
        <v>44</v>
      </c>
      <c r="C3964" t="str">
        <f>HYPERLINK("https://us2.cloudbeds.com/connect/8493803454333002#/reservations/80058243297457?display=1NUG3MB6Q6&amp;reservation_id=80058243297457", "1NUG3MB6Q6")</f>
        <v>1NUG3MB6Q6</v>
      </c>
      <c r="D3964" t="s">
        <v>45</v>
      </c>
      <c r="E3964" t="s">
        <v>85</v>
      </c>
      <c r="F3964" t="s">
        <v>86</v>
      </c>
      <c r="G3964" t="s">
        <v>48</v>
      </c>
      <c r="H3964" t="s">
        <v>49</v>
      </c>
      <c r="I3964" t="s">
        <v>50</v>
      </c>
      <c r="J3964" t="s">
        <v>6553</v>
      </c>
      <c r="K3964" t="s">
        <v>5327</v>
      </c>
      <c r="L3964" t="s">
        <v>53</v>
      </c>
      <c r="N3964" t="s">
        <v>6741</v>
      </c>
      <c r="P3964" t="s">
        <v>55</v>
      </c>
      <c r="R3964" t="s">
        <v>53</v>
      </c>
      <c r="T3964" t="s">
        <v>6742</v>
      </c>
      <c r="U3964" t="s">
        <v>58</v>
      </c>
      <c r="V3964">
        <v>1</v>
      </c>
      <c r="W3964">
        <v>1</v>
      </c>
      <c r="X3964">
        <v>2</v>
      </c>
      <c r="Y3964">
        <v>0</v>
      </c>
      <c r="Z3964">
        <v>2</v>
      </c>
      <c r="AA3964">
        <v>117.62</v>
      </c>
      <c r="AB3964">
        <v>117.62</v>
      </c>
      <c r="AC3964">
        <v>103.5</v>
      </c>
      <c r="AD3964">
        <v>0</v>
      </c>
      <c r="AE3964">
        <v>14.12</v>
      </c>
      <c r="AF3964">
        <v>0</v>
      </c>
      <c r="AG3964">
        <v>0</v>
      </c>
      <c r="AH3964">
        <v>0</v>
      </c>
      <c r="AI3964">
        <v>21.17</v>
      </c>
      <c r="AJ3964">
        <v>117.62</v>
      </c>
      <c r="AK3964">
        <v>0</v>
      </c>
      <c r="AL3964" t="s">
        <v>53</v>
      </c>
      <c r="AM3964" t="s">
        <v>53</v>
      </c>
      <c r="AN3964" t="s">
        <v>53</v>
      </c>
      <c r="AO3964" t="s">
        <v>53</v>
      </c>
      <c r="AP3964" t="s">
        <v>53</v>
      </c>
    </row>
    <row r="3965" spans="2:42" x14ac:dyDescent="0.2">
      <c r="B3965" t="s">
        <v>44</v>
      </c>
      <c r="C3965" t="str">
        <f>HYPERLINK("https://us2.cloudbeds.com/connect/8493803454333002#/reservations/80637788016863?display=1ZB2SCQB1A&amp;reservation_id=80637788016863", "1ZB2SCQB1A")</f>
        <v>1ZB2SCQB1A</v>
      </c>
      <c r="D3965" t="s">
        <v>45</v>
      </c>
      <c r="E3965" t="s">
        <v>128</v>
      </c>
      <c r="F3965" t="s">
        <v>86</v>
      </c>
      <c r="G3965" t="s">
        <v>48</v>
      </c>
      <c r="H3965" t="s">
        <v>3957</v>
      </c>
      <c r="I3965" t="s">
        <v>3975</v>
      </c>
      <c r="J3965" t="s">
        <v>6717</v>
      </c>
      <c r="K3965" t="s">
        <v>6743</v>
      </c>
      <c r="L3965" t="s">
        <v>53</v>
      </c>
      <c r="P3965" t="s">
        <v>55</v>
      </c>
      <c r="R3965" t="s">
        <v>53</v>
      </c>
      <c r="T3965" t="s">
        <v>6744</v>
      </c>
      <c r="U3965" t="s">
        <v>58</v>
      </c>
      <c r="V3965">
        <v>1</v>
      </c>
      <c r="W3965">
        <v>1</v>
      </c>
      <c r="X3965">
        <v>2</v>
      </c>
      <c r="Y3965">
        <v>0</v>
      </c>
      <c r="Z3965">
        <v>2</v>
      </c>
      <c r="AA3965">
        <v>127.29</v>
      </c>
      <c r="AB3965">
        <v>127.29</v>
      </c>
      <c r="AC3965">
        <v>112</v>
      </c>
      <c r="AD3965">
        <v>0</v>
      </c>
      <c r="AE3965">
        <v>15.29</v>
      </c>
      <c r="AF3965">
        <v>0</v>
      </c>
      <c r="AG3965">
        <v>0</v>
      </c>
      <c r="AH3965">
        <v>0</v>
      </c>
      <c r="AI3965">
        <v>0</v>
      </c>
      <c r="AJ3965">
        <v>127.29</v>
      </c>
      <c r="AK3965">
        <v>0</v>
      </c>
      <c r="AL3965" t="s">
        <v>53</v>
      </c>
      <c r="AM3965" t="s">
        <v>53</v>
      </c>
      <c r="AN3965" t="s">
        <v>53</v>
      </c>
      <c r="AO3965" t="s">
        <v>53</v>
      </c>
      <c r="AP3965" t="s">
        <v>53</v>
      </c>
    </row>
    <row r="3966" spans="2:42" x14ac:dyDescent="0.2">
      <c r="B3966" t="s">
        <v>44</v>
      </c>
      <c r="C3966" t="str">
        <f>HYPERLINK("https://us2.cloudbeds.com/connect/8493803454333002#/reservations/80685133930688?display=1ZC64Q97RF&amp;reservation_id=80685133930688", "1ZC64Q97RF")</f>
        <v>1ZC64Q97RF</v>
      </c>
      <c r="D3966" t="s">
        <v>45</v>
      </c>
      <c r="E3966" t="s">
        <v>85</v>
      </c>
      <c r="F3966" t="s">
        <v>86</v>
      </c>
      <c r="G3966" t="s">
        <v>48</v>
      </c>
      <c r="H3966" t="s">
        <v>49</v>
      </c>
      <c r="I3966" t="s">
        <v>62</v>
      </c>
      <c r="J3966" t="s">
        <v>5327</v>
      </c>
      <c r="K3966" t="s">
        <v>6745</v>
      </c>
      <c r="L3966" t="s">
        <v>53</v>
      </c>
      <c r="N3966" t="s">
        <v>6746</v>
      </c>
      <c r="P3966" t="s">
        <v>55</v>
      </c>
      <c r="R3966" t="s">
        <v>102</v>
      </c>
      <c r="T3966" t="s">
        <v>6747</v>
      </c>
      <c r="U3966" t="s">
        <v>55</v>
      </c>
      <c r="V3966">
        <v>1</v>
      </c>
      <c r="W3966">
        <v>1</v>
      </c>
      <c r="X3966">
        <v>3</v>
      </c>
      <c r="Y3966">
        <v>0</v>
      </c>
      <c r="Z3966">
        <v>3</v>
      </c>
      <c r="AA3966">
        <v>91</v>
      </c>
      <c r="AB3966">
        <v>91</v>
      </c>
      <c r="AC3966">
        <v>91</v>
      </c>
      <c r="AD3966">
        <v>0</v>
      </c>
      <c r="AE3966">
        <v>0</v>
      </c>
      <c r="AF3966">
        <v>0</v>
      </c>
      <c r="AG3966">
        <v>0</v>
      </c>
      <c r="AH3966">
        <v>0</v>
      </c>
      <c r="AI3966">
        <v>16.38</v>
      </c>
      <c r="AJ3966">
        <v>91</v>
      </c>
      <c r="AK3966">
        <v>0</v>
      </c>
      <c r="AL3966" t="s">
        <v>53</v>
      </c>
      <c r="AM3966" t="s">
        <v>53</v>
      </c>
      <c r="AN3966" t="s">
        <v>53</v>
      </c>
      <c r="AO3966" t="s">
        <v>53</v>
      </c>
      <c r="AP3966" t="s">
        <v>53</v>
      </c>
    </row>
    <row r="3967" spans="2:42" x14ac:dyDescent="0.2">
      <c r="B3967" t="s">
        <v>44</v>
      </c>
      <c r="C3967" t="str">
        <f>HYPERLINK("https://us2.cloudbeds.com/connect/8493803454333002#/reservations/80723344101579?display=1ZD33HVGS2&amp;reservation_id=80723344101579", "1ZD33HVGS2")</f>
        <v>1ZD33HVGS2</v>
      </c>
      <c r="D3967" t="s">
        <v>45</v>
      </c>
      <c r="E3967" t="s">
        <v>165</v>
      </c>
      <c r="F3967" t="s">
        <v>61</v>
      </c>
      <c r="G3967" t="s">
        <v>48</v>
      </c>
      <c r="H3967" t="s">
        <v>49</v>
      </c>
      <c r="I3967" t="s">
        <v>62</v>
      </c>
      <c r="J3967" t="s">
        <v>6748</v>
      </c>
      <c r="K3967" t="s">
        <v>6595</v>
      </c>
      <c r="L3967" t="s">
        <v>53</v>
      </c>
      <c r="N3967" t="s">
        <v>6749</v>
      </c>
      <c r="P3967" t="s">
        <v>55</v>
      </c>
      <c r="R3967" t="s">
        <v>56</v>
      </c>
      <c r="T3967" t="s">
        <v>6750</v>
      </c>
      <c r="U3967" t="s">
        <v>55</v>
      </c>
      <c r="V3967">
        <v>1</v>
      </c>
      <c r="W3967">
        <v>1</v>
      </c>
      <c r="X3967">
        <v>1</v>
      </c>
      <c r="Y3967">
        <v>0</v>
      </c>
      <c r="Z3967">
        <v>1</v>
      </c>
      <c r="AA3967">
        <v>86</v>
      </c>
      <c r="AB3967">
        <v>86</v>
      </c>
      <c r="AC3967">
        <v>86</v>
      </c>
      <c r="AD3967">
        <v>0</v>
      </c>
      <c r="AE3967">
        <v>0</v>
      </c>
      <c r="AF3967">
        <v>0</v>
      </c>
      <c r="AG3967">
        <v>0</v>
      </c>
      <c r="AH3967">
        <v>0</v>
      </c>
      <c r="AI3967">
        <v>15.48</v>
      </c>
      <c r="AJ3967">
        <v>86</v>
      </c>
      <c r="AK3967">
        <v>0</v>
      </c>
      <c r="AL3967" t="s">
        <v>53</v>
      </c>
      <c r="AM3967" t="s">
        <v>53</v>
      </c>
      <c r="AN3967" t="s">
        <v>53</v>
      </c>
      <c r="AO3967" t="s">
        <v>53</v>
      </c>
      <c r="AP3967" t="s">
        <v>53</v>
      </c>
    </row>
    <row r="3968" spans="2:42" x14ac:dyDescent="0.2">
      <c r="B3968" t="s">
        <v>44</v>
      </c>
      <c r="C3968" t="str">
        <f>HYPERLINK("https://us2.cloudbeds.com/connect/8493803454333002#/reservations/80923818655905?display=1ZHQB4DGMQ&amp;reservation_id=80923818655905", "1ZHQB4DGMQ")</f>
        <v>1ZHQB4DGMQ</v>
      </c>
      <c r="D3968" t="s">
        <v>45</v>
      </c>
      <c r="E3968" t="s">
        <v>165</v>
      </c>
      <c r="F3968" t="s">
        <v>61</v>
      </c>
      <c r="G3968" t="s">
        <v>48</v>
      </c>
      <c r="H3968" t="s">
        <v>49</v>
      </c>
      <c r="I3968" t="s">
        <v>50</v>
      </c>
      <c r="J3968" t="s">
        <v>6745</v>
      </c>
      <c r="K3968" t="s">
        <v>6704</v>
      </c>
      <c r="L3968" t="s">
        <v>53</v>
      </c>
      <c r="N3968" t="s">
        <v>6751</v>
      </c>
      <c r="P3968" t="s">
        <v>55</v>
      </c>
      <c r="R3968" t="s">
        <v>53</v>
      </c>
      <c r="T3968" t="s">
        <v>6752</v>
      </c>
      <c r="U3968" t="s">
        <v>58</v>
      </c>
      <c r="V3968">
        <v>1</v>
      </c>
      <c r="W3968">
        <v>1</v>
      </c>
      <c r="X3968">
        <v>2</v>
      </c>
      <c r="Y3968">
        <v>0</v>
      </c>
      <c r="Z3968">
        <v>2</v>
      </c>
      <c r="AA3968">
        <v>79.209999999999994</v>
      </c>
      <c r="AB3968">
        <v>79.209999999999994</v>
      </c>
      <c r="AC3968">
        <v>69.7</v>
      </c>
      <c r="AD3968">
        <v>0</v>
      </c>
      <c r="AE3968">
        <v>9.51</v>
      </c>
      <c r="AF3968">
        <v>0</v>
      </c>
      <c r="AG3968">
        <v>0</v>
      </c>
      <c r="AH3968">
        <v>0</v>
      </c>
      <c r="AI3968">
        <v>14.26</v>
      </c>
      <c r="AJ3968">
        <v>79.209999999999994</v>
      </c>
      <c r="AK3968">
        <v>0</v>
      </c>
      <c r="AL3968" t="s">
        <v>53</v>
      </c>
      <c r="AM3968" t="s">
        <v>53</v>
      </c>
      <c r="AN3968" t="s">
        <v>53</v>
      </c>
      <c r="AO3968" t="s">
        <v>53</v>
      </c>
      <c r="AP3968" t="s">
        <v>53</v>
      </c>
    </row>
    <row r="3969" spans="2:42" x14ac:dyDescent="0.2">
      <c r="B3969" t="s">
        <v>44</v>
      </c>
      <c r="C3969" t="str">
        <f>HYPERLINK("https://us2.cloudbeds.com/connect/8493803454333002#/reservations/80931472646361?display=1ZHW8NF2DH&amp;reservation_id=80931472646361", "1ZHW8NF2DH")</f>
        <v>1ZHW8NF2DH</v>
      </c>
      <c r="D3969" t="s">
        <v>45</v>
      </c>
      <c r="E3969" t="s">
        <v>98</v>
      </c>
      <c r="F3969" t="s">
        <v>86</v>
      </c>
      <c r="G3969" t="s">
        <v>48</v>
      </c>
      <c r="H3969" t="s">
        <v>3957</v>
      </c>
      <c r="I3969" t="s">
        <v>3975</v>
      </c>
      <c r="J3969" t="s">
        <v>6753</v>
      </c>
      <c r="K3969" t="s">
        <v>5891</v>
      </c>
      <c r="L3969" t="s">
        <v>53</v>
      </c>
      <c r="P3969" t="s">
        <v>55</v>
      </c>
      <c r="R3969" t="s">
        <v>53</v>
      </c>
      <c r="T3969" t="s">
        <v>6754</v>
      </c>
      <c r="U3969" t="s">
        <v>58</v>
      </c>
      <c r="V3969">
        <v>1</v>
      </c>
      <c r="W3969">
        <v>1</v>
      </c>
      <c r="X3969">
        <v>4</v>
      </c>
      <c r="Y3969">
        <v>0</v>
      </c>
      <c r="Z3969">
        <v>4</v>
      </c>
      <c r="AA3969">
        <v>115.58</v>
      </c>
      <c r="AB3969">
        <v>115.58</v>
      </c>
      <c r="AC3969">
        <v>101.7</v>
      </c>
      <c r="AD3969">
        <v>0</v>
      </c>
      <c r="AE3969">
        <v>13.88</v>
      </c>
      <c r="AF3969">
        <v>0</v>
      </c>
      <c r="AG3969">
        <v>0</v>
      </c>
      <c r="AH3969">
        <v>0</v>
      </c>
      <c r="AI3969">
        <v>0</v>
      </c>
      <c r="AJ3969">
        <v>115.58</v>
      </c>
      <c r="AK3969">
        <v>0</v>
      </c>
      <c r="AL3969" t="s">
        <v>53</v>
      </c>
      <c r="AM3969" t="s">
        <v>53</v>
      </c>
      <c r="AN3969" t="s">
        <v>53</v>
      </c>
      <c r="AO3969" t="s">
        <v>53</v>
      </c>
      <c r="AP3969" t="s">
        <v>53</v>
      </c>
    </row>
    <row r="3970" spans="2:42" x14ac:dyDescent="0.2">
      <c r="B3970" t="s">
        <v>44</v>
      </c>
      <c r="C3970" t="str">
        <f>HYPERLINK("https://us2.cloudbeds.com/connect/8493803454333002#/reservations/80952526405820?display=1ZXFXMHVSD&amp;reservation_id=80952526405820", "1ZXFXMHVSD")</f>
        <v>1ZXFXMHVSD</v>
      </c>
      <c r="D3970" t="s">
        <v>45</v>
      </c>
      <c r="E3970" t="s">
        <v>381</v>
      </c>
      <c r="F3970" t="s">
        <v>47</v>
      </c>
      <c r="G3970" t="s">
        <v>48</v>
      </c>
      <c r="H3970" t="s">
        <v>49</v>
      </c>
      <c r="I3970" t="s">
        <v>62</v>
      </c>
      <c r="J3970" t="s">
        <v>6596</v>
      </c>
      <c r="K3970" t="s">
        <v>6755</v>
      </c>
      <c r="L3970" t="s">
        <v>53</v>
      </c>
      <c r="N3970" t="s">
        <v>6756</v>
      </c>
      <c r="P3970" t="s">
        <v>55</v>
      </c>
      <c r="R3970" t="s">
        <v>56</v>
      </c>
      <c r="T3970" t="s">
        <v>6757</v>
      </c>
      <c r="U3970" t="s">
        <v>55</v>
      </c>
      <c r="V3970">
        <v>2</v>
      </c>
      <c r="W3970">
        <v>1</v>
      </c>
      <c r="X3970">
        <v>2</v>
      </c>
      <c r="Y3970">
        <v>0</v>
      </c>
      <c r="Z3970">
        <v>2</v>
      </c>
      <c r="AA3970">
        <v>161</v>
      </c>
      <c r="AB3970">
        <v>161</v>
      </c>
      <c r="AC3970">
        <v>161</v>
      </c>
      <c r="AD3970">
        <v>0</v>
      </c>
      <c r="AE3970">
        <v>0</v>
      </c>
      <c r="AF3970">
        <v>0</v>
      </c>
      <c r="AG3970">
        <v>0</v>
      </c>
      <c r="AH3970">
        <v>0</v>
      </c>
      <c r="AI3970">
        <v>28.98</v>
      </c>
      <c r="AJ3970">
        <v>161</v>
      </c>
      <c r="AK3970">
        <v>0</v>
      </c>
      <c r="AL3970" t="s">
        <v>53</v>
      </c>
      <c r="AM3970" t="s">
        <v>53</v>
      </c>
      <c r="AN3970" t="s">
        <v>6758</v>
      </c>
      <c r="AO3970" t="s">
        <v>53</v>
      </c>
      <c r="AP3970" t="s">
        <v>53</v>
      </c>
    </row>
    <row r="3971" spans="2:42" x14ac:dyDescent="0.2">
      <c r="B3971" t="s">
        <v>44</v>
      </c>
      <c r="C3971" t="str">
        <f>HYPERLINK("https://us2.cloudbeds.com/connect/8493803454333002#/reservations/80994639966347?display=1ZJF5PQSK7&amp;reservation_id=80994639966347", "1ZJF5PQSK7")</f>
        <v>1ZJF5PQSK7</v>
      </c>
      <c r="D3971" t="s">
        <v>45</v>
      </c>
      <c r="E3971" t="s">
        <v>179</v>
      </c>
      <c r="F3971" t="s">
        <v>47</v>
      </c>
      <c r="G3971" t="s">
        <v>48</v>
      </c>
      <c r="H3971" t="s">
        <v>49</v>
      </c>
      <c r="I3971" t="s">
        <v>62</v>
      </c>
      <c r="J3971" t="s">
        <v>6618</v>
      </c>
      <c r="K3971" t="s">
        <v>6619</v>
      </c>
      <c r="L3971" t="s">
        <v>53</v>
      </c>
      <c r="N3971" t="s">
        <v>6759</v>
      </c>
      <c r="P3971" t="s">
        <v>55</v>
      </c>
      <c r="R3971" t="s">
        <v>871</v>
      </c>
      <c r="T3971" t="s">
        <v>6760</v>
      </c>
      <c r="U3971" t="s">
        <v>55</v>
      </c>
      <c r="V3971">
        <v>1</v>
      </c>
      <c r="W3971">
        <v>1</v>
      </c>
      <c r="X3971">
        <v>2</v>
      </c>
      <c r="Y3971">
        <v>0</v>
      </c>
      <c r="Z3971">
        <v>2</v>
      </c>
      <c r="AA3971">
        <v>98</v>
      </c>
      <c r="AB3971">
        <v>98</v>
      </c>
      <c r="AC3971">
        <v>98</v>
      </c>
      <c r="AD3971">
        <v>0</v>
      </c>
      <c r="AE3971">
        <v>0</v>
      </c>
      <c r="AF3971">
        <v>0</v>
      </c>
      <c r="AG3971">
        <v>0</v>
      </c>
      <c r="AH3971">
        <v>0</v>
      </c>
      <c r="AI3971">
        <v>17.64</v>
      </c>
      <c r="AJ3971">
        <v>98</v>
      </c>
      <c r="AK3971">
        <v>0</v>
      </c>
      <c r="AL3971" t="s">
        <v>53</v>
      </c>
      <c r="AM3971" t="s">
        <v>53</v>
      </c>
      <c r="AN3971" t="s">
        <v>53</v>
      </c>
      <c r="AO3971" t="s">
        <v>53</v>
      </c>
      <c r="AP3971" t="s">
        <v>53</v>
      </c>
    </row>
    <row r="3972" spans="2:42" x14ac:dyDescent="0.2">
      <c r="B3972" t="s">
        <v>44</v>
      </c>
      <c r="C3972" t="str">
        <f>HYPERLINK("https://us2.cloudbeds.com/connect/8493803454333002#/reservations/81036600590557?display=1ZKEYW42W6&amp;reservation_id=81036600590557", "1ZKEYW42W6")</f>
        <v>1ZKEYW42W6</v>
      </c>
      <c r="D3972" t="s">
        <v>45</v>
      </c>
      <c r="E3972" t="s">
        <v>46</v>
      </c>
      <c r="F3972" t="s">
        <v>47</v>
      </c>
      <c r="G3972" t="s">
        <v>48</v>
      </c>
      <c r="H3972" t="s">
        <v>49</v>
      </c>
      <c r="I3972" t="s">
        <v>62</v>
      </c>
      <c r="J3972" t="s">
        <v>6761</v>
      </c>
      <c r="K3972" t="s">
        <v>6748</v>
      </c>
      <c r="L3972" t="s">
        <v>53</v>
      </c>
      <c r="N3972" t="s">
        <v>6762</v>
      </c>
      <c r="P3972" t="s">
        <v>55</v>
      </c>
      <c r="R3972" t="s">
        <v>56</v>
      </c>
      <c r="T3972" t="s">
        <v>6763</v>
      </c>
      <c r="U3972" t="s">
        <v>55</v>
      </c>
      <c r="V3972">
        <v>1</v>
      </c>
      <c r="W3972">
        <v>1</v>
      </c>
      <c r="X3972">
        <v>2</v>
      </c>
      <c r="Y3972">
        <v>0</v>
      </c>
      <c r="Z3972">
        <v>2</v>
      </c>
      <c r="AA3972">
        <v>74</v>
      </c>
      <c r="AB3972">
        <v>74</v>
      </c>
      <c r="AC3972">
        <v>74</v>
      </c>
      <c r="AD3972">
        <v>0</v>
      </c>
      <c r="AE3972">
        <v>0</v>
      </c>
      <c r="AF3972">
        <v>0</v>
      </c>
      <c r="AG3972">
        <v>0</v>
      </c>
      <c r="AH3972">
        <v>0</v>
      </c>
      <c r="AI3972">
        <v>13.32</v>
      </c>
      <c r="AJ3972">
        <v>74</v>
      </c>
      <c r="AK3972">
        <v>0</v>
      </c>
      <c r="AL3972" t="s">
        <v>53</v>
      </c>
      <c r="AM3972" t="s">
        <v>53</v>
      </c>
      <c r="AN3972" t="s">
        <v>53</v>
      </c>
      <c r="AO3972" t="s">
        <v>53</v>
      </c>
      <c r="AP3972" t="s">
        <v>53</v>
      </c>
    </row>
    <row r="3973" spans="2:42" x14ac:dyDescent="0.2">
      <c r="B3973" t="s">
        <v>44</v>
      </c>
      <c r="C3973" t="str">
        <f>HYPERLINK("https://us2.cloudbeds.com/connect/8493803454333002#/reservations/81053009846423?display=1ZKRC8RR5V&amp;reservation_id=81053009846423", "1ZKRC8RR5V")</f>
        <v>1ZKRC8RR5V</v>
      </c>
      <c r="D3973" t="s">
        <v>45</v>
      </c>
      <c r="E3973" t="s">
        <v>223</v>
      </c>
      <c r="F3973" t="s">
        <v>47</v>
      </c>
      <c r="G3973" t="s">
        <v>48</v>
      </c>
      <c r="H3973" t="s">
        <v>49</v>
      </c>
      <c r="I3973" t="s">
        <v>50</v>
      </c>
      <c r="J3973" t="s">
        <v>6745</v>
      </c>
      <c r="K3973" t="s">
        <v>6704</v>
      </c>
      <c r="L3973" t="s">
        <v>53</v>
      </c>
      <c r="N3973" t="s">
        <v>6764</v>
      </c>
      <c r="P3973" t="s">
        <v>55</v>
      </c>
      <c r="R3973" t="s">
        <v>53</v>
      </c>
      <c r="T3973" t="s">
        <v>6765</v>
      </c>
      <c r="U3973" t="s">
        <v>58</v>
      </c>
      <c r="V3973">
        <v>1</v>
      </c>
      <c r="W3973">
        <v>1</v>
      </c>
      <c r="X3973">
        <v>2</v>
      </c>
      <c r="Y3973">
        <v>0</v>
      </c>
      <c r="Z3973">
        <v>2</v>
      </c>
      <c r="AA3973">
        <v>69.099999999999994</v>
      </c>
      <c r="AB3973">
        <v>69.099999999999994</v>
      </c>
      <c r="AC3973">
        <v>60.8</v>
      </c>
      <c r="AD3973">
        <v>0</v>
      </c>
      <c r="AE3973">
        <v>8.3000000000000007</v>
      </c>
      <c r="AF3973">
        <v>0</v>
      </c>
      <c r="AG3973">
        <v>0</v>
      </c>
      <c r="AH3973">
        <v>0</v>
      </c>
      <c r="AI3973">
        <v>12.44</v>
      </c>
      <c r="AJ3973">
        <v>69.099999999999994</v>
      </c>
      <c r="AK3973">
        <v>0</v>
      </c>
      <c r="AL3973" t="s">
        <v>53</v>
      </c>
      <c r="AM3973" t="s">
        <v>53</v>
      </c>
      <c r="AN3973" t="s">
        <v>53</v>
      </c>
      <c r="AO3973" t="s">
        <v>53</v>
      </c>
      <c r="AP3973" t="s">
        <v>53</v>
      </c>
    </row>
    <row r="3974" spans="2:42" x14ac:dyDescent="0.2">
      <c r="B3974" t="s">
        <v>44</v>
      </c>
      <c r="C3974" t="str">
        <f>HYPERLINK("https://us2.cloudbeds.com/connect/8493803454333002#/reservations/81082557452419?display=1ZYH895H1R&amp;reservation_id=81082557452419", "1ZYH895H1R")</f>
        <v>1ZYH895H1R</v>
      </c>
      <c r="D3974" t="s">
        <v>45</v>
      </c>
      <c r="E3974" t="s">
        <v>46</v>
      </c>
      <c r="F3974" t="s">
        <v>47</v>
      </c>
      <c r="G3974" t="s">
        <v>48</v>
      </c>
      <c r="H3974" t="s">
        <v>49</v>
      </c>
      <c r="I3974" t="s">
        <v>50</v>
      </c>
      <c r="J3974" t="s">
        <v>6745</v>
      </c>
      <c r="K3974" t="s">
        <v>6704</v>
      </c>
      <c r="L3974" t="s">
        <v>53</v>
      </c>
      <c r="N3974" t="s">
        <v>6766</v>
      </c>
      <c r="P3974" t="s">
        <v>55</v>
      </c>
      <c r="R3974" t="s">
        <v>53</v>
      </c>
      <c r="T3974" t="s">
        <v>6767</v>
      </c>
      <c r="U3974" t="s">
        <v>58</v>
      </c>
      <c r="V3974">
        <v>1</v>
      </c>
      <c r="W3974">
        <v>1</v>
      </c>
      <c r="X3974">
        <v>1</v>
      </c>
      <c r="Y3974">
        <v>0</v>
      </c>
      <c r="Z3974">
        <v>1</v>
      </c>
      <c r="AA3974">
        <v>69.099999999999994</v>
      </c>
      <c r="AB3974">
        <v>69.099999999999994</v>
      </c>
      <c r="AC3974">
        <v>60.8</v>
      </c>
      <c r="AD3974">
        <v>0</v>
      </c>
      <c r="AE3974">
        <v>8.3000000000000007</v>
      </c>
      <c r="AF3974">
        <v>0</v>
      </c>
      <c r="AG3974">
        <v>0</v>
      </c>
      <c r="AH3974">
        <v>0</v>
      </c>
      <c r="AI3974">
        <v>12.44</v>
      </c>
      <c r="AJ3974">
        <v>69.099999999999994</v>
      </c>
      <c r="AK3974">
        <v>0</v>
      </c>
      <c r="AL3974" t="s">
        <v>53</v>
      </c>
      <c r="AM3974" t="s">
        <v>53</v>
      </c>
      <c r="AN3974" t="s">
        <v>53</v>
      </c>
      <c r="AO3974" t="s">
        <v>53</v>
      </c>
      <c r="AP3974" t="s">
        <v>53</v>
      </c>
    </row>
    <row r="3975" spans="2:42" x14ac:dyDescent="0.2">
      <c r="B3975" t="s">
        <v>44</v>
      </c>
      <c r="C3975" t="str">
        <f>HYPERLINK("https://us2.cloudbeds.com/connect/8493803454333002#/reservations/81090288857339?display=1ZYN7RG8ED&amp;reservation_id=81090288857339", "1ZYN7RG8ED")</f>
        <v>1ZYN7RG8ED</v>
      </c>
      <c r="D3975" t="s">
        <v>45</v>
      </c>
      <c r="E3975" t="s">
        <v>373</v>
      </c>
      <c r="F3975" t="s">
        <v>47</v>
      </c>
      <c r="G3975" t="s">
        <v>48</v>
      </c>
      <c r="H3975" t="s">
        <v>49</v>
      </c>
      <c r="I3975" t="s">
        <v>50</v>
      </c>
      <c r="J3975" t="s">
        <v>6745</v>
      </c>
      <c r="K3975" t="s">
        <v>6704</v>
      </c>
      <c r="L3975" t="s">
        <v>53</v>
      </c>
      <c r="N3975" t="s">
        <v>6768</v>
      </c>
      <c r="P3975" t="s">
        <v>55</v>
      </c>
      <c r="R3975" t="s">
        <v>53</v>
      </c>
      <c r="T3975" t="s">
        <v>6769</v>
      </c>
      <c r="U3975" t="s">
        <v>58</v>
      </c>
      <c r="V3975">
        <v>1</v>
      </c>
      <c r="W3975">
        <v>1</v>
      </c>
      <c r="X3975">
        <v>2</v>
      </c>
      <c r="Y3975">
        <v>0</v>
      </c>
      <c r="Z3975">
        <v>2</v>
      </c>
      <c r="AA3975">
        <v>77.73</v>
      </c>
      <c r="AB3975">
        <v>77.73</v>
      </c>
      <c r="AC3975">
        <v>68.400000000000006</v>
      </c>
      <c r="AD3975">
        <v>0</v>
      </c>
      <c r="AE3975">
        <v>9.33</v>
      </c>
      <c r="AF3975">
        <v>0</v>
      </c>
      <c r="AG3975">
        <v>0</v>
      </c>
      <c r="AH3975">
        <v>0</v>
      </c>
      <c r="AI3975">
        <v>13.99</v>
      </c>
      <c r="AJ3975">
        <v>77.73</v>
      </c>
      <c r="AK3975">
        <v>0</v>
      </c>
      <c r="AL3975" t="s">
        <v>53</v>
      </c>
      <c r="AM3975" t="s">
        <v>53</v>
      </c>
      <c r="AN3975" t="s">
        <v>53</v>
      </c>
      <c r="AO3975" t="s">
        <v>53</v>
      </c>
      <c r="AP3975" t="s">
        <v>53</v>
      </c>
    </row>
    <row r="3976" spans="2:42" x14ac:dyDescent="0.2">
      <c r="B3976" t="s">
        <v>44</v>
      </c>
      <c r="C3976" t="str">
        <f>HYPERLINK("https://us2.cloudbeds.com/connect/8493803454333002#/reservations/81096476823710?display=1ZYS0VBHSS&amp;reservation_id=81096476823710", "1ZYS0VBHSS")</f>
        <v>1ZYS0VBHSS</v>
      </c>
      <c r="D3976" t="s">
        <v>45</v>
      </c>
      <c r="E3976" t="s">
        <v>223</v>
      </c>
      <c r="F3976" t="s">
        <v>47</v>
      </c>
      <c r="G3976" t="s">
        <v>48</v>
      </c>
      <c r="H3976" t="s">
        <v>49</v>
      </c>
      <c r="I3976" t="s">
        <v>50</v>
      </c>
      <c r="J3976" t="s">
        <v>6704</v>
      </c>
      <c r="K3976" t="s">
        <v>6761</v>
      </c>
      <c r="L3976" t="s">
        <v>53</v>
      </c>
      <c r="N3976" t="s">
        <v>6770</v>
      </c>
      <c r="P3976" t="s">
        <v>55</v>
      </c>
      <c r="R3976" t="s">
        <v>53</v>
      </c>
      <c r="T3976" t="s">
        <v>6771</v>
      </c>
      <c r="U3976" t="s">
        <v>58</v>
      </c>
      <c r="V3976">
        <v>1</v>
      </c>
      <c r="W3976">
        <v>1</v>
      </c>
      <c r="X3976">
        <v>2</v>
      </c>
      <c r="Y3976">
        <v>0</v>
      </c>
      <c r="Z3976">
        <v>2</v>
      </c>
      <c r="AA3976">
        <v>68.19</v>
      </c>
      <c r="AB3976">
        <v>68.19</v>
      </c>
      <c r="AC3976">
        <v>60</v>
      </c>
      <c r="AD3976">
        <v>0</v>
      </c>
      <c r="AE3976">
        <v>8.19</v>
      </c>
      <c r="AF3976">
        <v>0</v>
      </c>
      <c r="AG3976">
        <v>0</v>
      </c>
      <c r="AH3976">
        <v>0</v>
      </c>
      <c r="AI3976">
        <v>12.27</v>
      </c>
      <c r="AJ3976">
        <v>68.19</v>
      </c>
      <c r="AK3976">
        <v>0</v>
      </c>
      <c r="AL3976" t="s">
        <v>53</v>
      </c>
      <c r="AM3976" t="s">
        <v>53</v>
      </c>
      <c r="AN3976" t="s">
        <v>53</v>
      </c>
      <c r="AO3976" t="s">
        <v>53</v>
      </c>
      <c r="AP3976" t="s">
        <v>53</v>
      </c>
    </row>
    <row r="3977" spans="2:42" x14ac:dyDescent="0.2">
      <c r="B3977" t="s">
        <v>44</v>
      </c>
      <c r="C3977" t="str">
        <f>HYPERLINK("https://us2.cloudbeds.com/connect/8493803454333002#/reservations/81235248627927?display=1ZP3FTDXE8&amp;reservation_id=81235248627927", "1ZP3FTDXE8")</f>
        <v>1ZP3FTDXE8</v>
      </c>
      <c r="D3977" t="s">
        <v>45</v>
      </c>
      <c r="E3977" t="s">
        <v>165</v>
      </c>
      <c r="F3977" t="s">
        <v>61</v>
      </c>
      <c r="G3977" t="s">
        <v>48</v>
      </c>
      <c r="H3977" t="s">
        <v>49</v>
      </c>
      <c r="I3977" t="s">
        <v>50</v>
      </c>
      <c r="J3977" t="s">
        <v>6596</v>
      </c>
      <c r="K3977" t="s">
        <v>6772</v>
      </c>
      <c r="L3977" t="s">
        <v>53</v>
      </c>
      <c r="N3977" t="s">
        <v>6773</v>
      </c>
      <c r="P3977" t="s">
        <v>55</v>
      </c>
      <c r="R3977" t="s">
        <v>53</v>
      </c>
      <c r="T3977" t="s">
        <v>6774</v>
      </c>
      <c r="U3977" t="s">
        <v>58</v>
      </c>
      <c r="V3977">
        <v>1</v>
      </c>
      <c r="W3977">
        <v>1</v>
      </c>
      <c r="X3977">
        <v>2</v>
      </c>
      <c r="Y3977">
        <v>0</v>
      </c>
      <c r="Z3977">
        <v>2</v>
      </c>
      <c r="AA3977">
        <v>84.04</v>
      </c>
      <c r="AB3977">
        <v>84.04</v>
      </c>
      <c r="AC3977">
        <v>73.95</v>
      </c>
      <c r="AD3977">
        <v>0</v>
      </c>
      <c r="AE3977">
        <v>10.09</v>
      </c>
      <c r="AF3977">
        <v>0</v>
      </c>
      <c r="AG3977">
        <v>0</v>
      </c>
      <c r="AH3977">
        <v>0</v>
      </c>
      <c r="AI3977">
        <v>15.13</v>
      </c>
      <c r="AJ3977">
        <v>84.04</v>
      </c>
      <c r="AK3977">
        <v>0</v>
      </c>
      <c r="AL3977" t="s">
        <v>53</v>
      </c>
      <c r="AM3977" t="s">
        <v>53</v>
      </c>
      <c r="AN3977" t="s">
        <v>53</v>
      </c>
      <c r="AO3977" t="s">
        <v>53</v>
      </c>
      <c r="AP3977" t="s">
        <v>53</v>
      </c>
    </row>
    <row r="3978" spans="2:42" x14ac:dyDescent="0.2">
      <c r="B3978" t="s">
        <v>44</v>
      </c>
      <c r="C3978" t="str">
        <f>HYPERLINK("https://us2.cloudbeds.com/connect/8493803454333002#/reservations/81343893749949?display=1ZRYK0S7N5&amp;reservation_id=81343893749949", "1ZRYK0S7N5")</f>
        <v>1ZRYK0S7N5</v>
      </c>
      <c r="D3978" t="s">
        <v>45</v>
      </c>
      <c r="E3978" t="s">
        <v>128</v>
      </c>
      <c r="F3978" t="s">
        <v>86</v>
      </c>
      <c r="G3978" t="s">
        <v>48</v>
      </c>
      <c r="H3978" t="s">
        <v>3957</v>
      </c>
      <c r="I3978" t="s">
        <v>3989</v>
      </c>
      <c r="J3978" t="s">
        <v>6704</v>
      </c>
      <c r="K3978" t="s">
        <v>6761</v>
      </c>
      <c r="L3978" t="s">
        <v>53</v>
      </c>
      <c r="P3978" t="s">
        <v>58</v>
      </c>
      <c r="R3978" t="s">
        <v>56</v>
      </c>
      <c r="T3978" t="s">
        <v>6775</v>
      </c>
      <c r="U3978" t="s">
        <v>58</v>
      </c>
      <c r="V3978">
        <v>1</v>
      </c>
      <c r="W3978">
        <v>1</v>
      </c>
      <c r="X3978">
        <v>1</v>
      </c>
      <c r="Y3978">
        <v>0</v>
      </c>
      <c r="Z3978">
        <v>1</v>
      </c>
      <c r="AA3978">
        <v>96.61</v>
      </c>
      <c r="AB3978">
        <v>96.61</v>
      </c>
      <c r="AC3978">
        <v>85</v>
      </c>
      <c r="AD3978">
        <v>0</v>
      </c>
      <c r="AE3978">
        <v>11.61</v>
      </c>
      <c r="AF3978">
        <v>0</v>
      </c>
      <c r="AG3978">
        <v>0</v>
      </c>
      <c r="AH3978">
        <v>0</v>
      </c>
      <c r="AI3978">
        <v>0</v>
      </c>
      <c r="AJ3978">
        <v>96.61</v>
      </c>
      <c r="AK3978">
        <v>0</v>
      </c>
      <c r="AL3978" t="s">
        <v>53</v>
      </c>
      <c r="AM3978" t="s">
        <v>53</v>
      </c>
      <c r="AN3978" t="s">
        <v>53</v>
      </c>
      <c r="AO3978" t="s">
        <v>53</v>
      </c>
      <c r="AP3978" t="s">
        <v>53</v>
      </c>
    </row>
    <row r="3979" spans="2:42" x14ac:dyDescent="0.2">
      <c r="B3979" t="s">
        <v>44</v>
      </c>
      <c r="C3979" t="str">
        <f>HYPERLINK("https://us2.cloudbeds.com/connect/8493803454333002#/reservations/81371361870049?display=1ZS9STN5FU&amp;reservation_id=81371361870049", "1ZS9STN5FU")</f>
        <v>1ZS9STN5FU</v>
      </c>
      <c r="D3979" t="s">
        <v>45</v>
      </c>
      <c r="E3979" t="s">
        <v>381</v>
      </c>
      <c r="F3979" t="s">
        <v>47</v>
      </c>
      <c r="G3979" t="s">
        <v>48</v>
      </c>
      <c r="H3979" t="s">
        <v>3957</v>
      </c>
      <c r="I3979" t="s">
        <v>3958</v>
      </c>
      <c r="J3979" t="s">
        <v>6704</v>
      </c>
      <c r="K3979" t="s">
        <v>6748</v>
      </c>
      <c r="L3979" t="s">
        <v>53</v>
      </c>
      <c r="P3979" t="s">
        <v>58</v>
      </c>
      <c r="R3979" t="s">
        <v>56</v>
      </c>
      <c r="T3979" t="s">
        <v>6776</v>
      </c>
      <c r="U3979" t="s">
        <v>58</v>
      </c>
      <c r="V3979">
        <v>2</v>
      </c>
      <c r="W3979">
        <v>1</v>
      </c>
      <c r="X3979">
        <v>1</v>
      </c>
      <c r="Y3979">
        <v>0</v>
      </c>
      <c r="Z3979">
        <v>1</v>
      </c>
      <c r="AA3979">
        <v>175.02</v>
      </c>
      <c r="AB3979">
        <v>175.02</v>
      </c>
      <c r="AC3979">
        <v>154</v>
      </c>
      <c r="AD3979">
        <v>0</v>
      </c>
      <c r="AE3979">
        <v>21.02</v>
      </c>
      <c r="AF3979">
        <v>0</v>
      </c>
      <c r="AG3979">
        <v>0</v>
      </c>
      <c r="AH3979">
        <v>0</v>
      </c>
      <c r="AI3979">
        <v>0</v>
      </c>
      <c r="AJ3979">
        <v>175.02</v>
      </c>
      <c r="AK3979">
        <v>0</v>
      </c>
      <c r="AL3979" t="s">
        <v>53</v>
      </c>
      <c r="AM3979" t="s">
        <v>53</v>
      </c>
      <c r="AN3979" t="s">
        <v>53</v>
      </c>
      <c r="AO3979" t="s">
        <v>53</v>
      </c>
      <c r="AP3979" t="s">
        <v>53</v>
      </c>
    </row>
    <row r="3980" spans="2:42" x14ac:dyDescent="0.2">
      <c r="B3980" t="s">
        <v>44</v>
      </c>
      <c r="C3980" t="str">
        <f>HYPERLINK("https://us2.cloudbeds.com/connect/8493803454333002#/reservations/81380189020313?display=1ZSGNEWKUS&amp;reservation_id=81380189020313", "1ZSGNEWKUS")</f>
        <v>1ZSGNEWKUS</v>
      </c>
      <c r="D3980" t="s">
        <v>45</v>
      </c>
      <c r="E3980" t="s">
        <v>85</v>
      </c>
      <c r="F3980" t="s">
        <v>86</v>
      </c>
      <c r="G3980" t="s">
        <v>48</v>
      </c>
      <c r="H3980" t="s">
        <v>3957</v>
      </c>
      <c r="I3980" t="s">
        <v>3989</v>
      </c>
      <c r="J3980" t="s">
        <v>6704</v>
      </c>
      <c r="K3980" t="s">
        <v>6748</v>
      </c>
      <c r="L3980" t="s">
        <v>53</v>
      </c>
      <c r="P3980" t="s">
        <v>58</v>
      </c>
      <c r="R3980" t="s">
        <v>56</v>
      </c>
      <c r="T3980" t="s">
        <v>6777</v>
      </c>
      <c r="U3980" t="s">
        <v>58</v>
      </c>
      <c r="V3980">
        <v>2</v>
      </c>
      <c r="W3980">
        <v>1</v>
      </c>
      <c r="X3980">
        <v>2</v>
      </c>
      <c r="Y3980">
        <v>0</v>
      </c>
      <c r="Z3980">
        <v>2</v>
      </c>
      <c r="AA3980">
        <v>196.62</v>
      </c>
      <c r="AB3980">
        <v>196.62</v>
      </c>
      <c r="AC3980">
        <v>173</v>
      </c>
      <c r="AD3980">
        <v>0</v>
      </c>
      <c r="AE3980">
        <v>23.62</v>
      </c>
      <c r="AF3980">
        <v>0</v>
      </c>
      <c r="AG3980">
        <v>0</v>
      </c>
      <c r="AH3980">
        <v>0</v>
      </c>
      <c r="AI3980">
        <v>0</v>
      </c>
      <c r="AJ3980">
        <v>196.62</v>
      </c>
      <c r="AK3980">
        <v>0</v>
      </c>
      <c r="AL3980" t="s">
        <v>53</v>
      </c>
      <c r="AM3980" t="s">
        <v>53</v>
      </c>
      <c r="AN3980" t="s">
        <v>53</v>
      </c>
      <c r="AO3980" t="s">
        <v>53</v>
      </c>
      <c r="AP3980" t="s">
        <v>53</v>
      </c>
    </row>
    <row r="3981" spans="2:42" x14ac:dyDescent="0.2">
      <c r="B3981" t="s">
        <v>44</v>
      </c>
      <c r="C3981" t="str">
        <f>HYPERLINK("https://us2.cloudbeds.com/connect/8493803454333002#/reservations/81410939769030?display=1ZT7H6RX22&amp;reservation_id=81410939769030", "1ZT7H6RX22")</f>
        <v>1ZT7H6RX22</v>
      </c>
      <c r="D3981" t="s">
        <v>45</v>
      </c>
      <c r="E3981" t="s">
        <v>165</v>
      </c>
      <c r="F3981" t="s">
        <v>61</v>
      </c>
      <c r="G3981" t="s">
        <v>48</v>
      </c>
      <c r="H3981" t="s">
        <v>49</v>
      </c>
      <c r="I3981" t="s">
        <v>62</v>
      </c>
      <c r="J3981" t="s">
        <v>6704</v>
      </c>
      <c r="K3981" t="s">
        <v>6748</v>
      </c>
      <c r="L3981" t="s">
        <v>53</v>
      </c>
      <c r="N3981" t="s">
        <v>6778</v>
      </c>
      <c r="P3981" t="s">
        <v>55</v>
      </c>
      <c r="R3981" t="s">
        <v>56</v>
      </c>
      <c r="T3981" t="s">
        <v>6779</v>
      </c>
      <c r="U3981" t="s">
        <v>55</v>
      </c>
      <c r="V3981">
        <v>2</v>
      </c>
      <c r="W3981">
        <v>1</v>
      </c>
      <c r="X3981">
        <v>2</v>
      </c>
      <c r="Y3981">
        <v>0</v>
      </c>
      <c r="Z3981">
        <v>2</v>
      </c>
      <c r="AA3981">
        <v>165</v>
      </c>
      <c r="AB3981">
        <v>165</v>
      </c>
      <c r="AC3981">
        <v>165</v>
      </c>
      <c r="AD3981">
        <v>0</v>
      </c>
      <c r="AE3981">
        <v>0</v>
      </c>
      <c r="AF3981">
        <v>0</v>
      </c>
      <c r="AG3981">
        <v>0</v>
      </c>
      <c r="AH3981">
        <v>0</v>
      </c>
      <c r="AI3981">
        <v>29.7</v>
      </c>
      <c r="AJ3981">
        <v>165</v>
      </c>
      <c r="AK3981">
        <v>0</v>
      </c>
      <c r="AL3981" t="s">
        <v>53</v>
      </c>
      <c r="AM3981" t="s">
        <v>53</v>
      </c>
      <c r="AN3981" t="s">
        <v>53</v>
      </c>
      <c r="AO3981" t="s">
        <v>53</v>
      </c>
      <c r="AP3981" t="s">
        <v>53</v>
      </c>
    </row>
    <row r="3982" spans="2:42" x14ac:dyDescent="0.2">
      <c r="B3982" t="s">
        <v>44</v>
      </c>
      <c r="C3982" t="str">
        <f>HYPERLINK("https://us2.cloudbeds.com/connect/8493803454333002#/reservations/81454672658567?display=1ZU8CMXYVV&amp;reservation_id=81454672658567", "1ZU8CMXYVV")</f>
        <v>1ZU8CMXYVV</v>
      </c>
      <c r="D3982" t="s">
        <v>45</v>
      </c>
      <c r="E3982" t="s">
        <v>69</v>
      </c>
      <c r="F3982" t="s">
        <v>70</v>
      </c>
      <c r="G3982" t="s">
        <v>48</v>
      </c>
      <c r="H3982" t="s">
        <v>49</v>
      </c>
      <c r="I3982" t="s">
        <v>62</v>
      </c>
      <c r="J3982" t="s">
        <v>6780</v>
      </c>
      <c r="K3982" t="s">
        <v>6781</v>
      </c>
      <c r="L3982" t="s">
        <v>53</v>
      </c>
      <c r="N3982" t="s">
        <v>6782</v>
      </c>
      <c r="P3982" t="s">
        <v>55</v>
      </c>
      <c r="R3982" t="s">
        <v>56</v>
      </c>
      <c r="T3982" t="s">
        <v>6783</v>
      </c>
      <c r="U3982" t="s">
        <v>55</v>
      </c>
      <c r="V3982">
        <v>4</v>
      </c>
      <c r="W3982">
        <v>1</v>
      </c>
      <c r="X3982">
        <v>2</v>
      </c>
      <c r="Y3982">
        <v>0</v>
      </c>
      <c r="Z3982">
        <v>2</v>
      </c>
      <c r="AA3982">
        <v>231.3</v>
      </c>
      <c r="AB3982">
        <v>231.3</v>
      </c>
      <c r="AC3982">
        <v>231.3</v>
      </c>
      <c r="AD3982">
        <v>0</v>
      </c>
      <c r="AE3982">
        <v>0</v>
      </c>
      <c r="AF3982">
        <v>0</v>
      </c>
      <c r="AG3982">
        <v>0</v>
      </c>
      <c r="AH3982">
        <v>0</v>
      </c>
      <c r="AI3982">
        <v>41.63</v>
      </c>
      <c r="AJ3982">
        <v>231.3</v>
      </c>
      <c r="AK3982">
        <v>0</v>
      </c>
      <c r="AL3982" t="s">
        <v>53</v>
      </c>
      <c r="AM3982" t="s">
        <v>53</v>
      </c>
      <c r="AN3982" t="s">
        <v>53</v>
      </c>
      <c r="AO3982" t="s">
        <v>53</v>
      </c>
      <c r="AP3982" t="s">
        <v>53</v>
      </c>
    </row>
    <row r="3983" spans="2:42" x14ac:dyDescent="0.2">
      <c r="B3983" t="s">
        <v>44</v>
      </c>
      <c r="C3983" t="str">
        <f>HYPERLINK("https://us2.cloudbeds.com/connect/8493803454333002#/reservations/81553638285548?display=1ZWJ0G041A&amp;reservation_id=81553638285548", "1ZWJ0G041A")</f>
        <v>1ZWJ0G041A</v>
      </c>
      <c r="D3983" t="s">
        <v>45</v>
      </c>
      <c r="E3983" t="s">
        <v>223</v>
      </c>
      <c r="F3983" t="s">
        <v>47</v>
      </c>
      <c r="G3983" t="s">
        <v>48</v>
      </c>
      <c r="H3983" t="s">
        <v>49</v>
      </c>
      <c r="I3983" t="s">
        <v>50</v>
      </c>
      <c r="J3983" t="s">
        <v>6761</v>
      </c>
      <c r="K3983" t="s">
        <v>6748</v>
      </c>
      <c r="L3983" t="s">
        <v>53</v>
      </c>
      <c r="N3983" t="s">
        <v>6784</v>
      </c>
      <c r="P3983" t="s">
        <v>55</v>
      </c>
      <c r="R3983" t="s">
        <v>53</v>
      </c>
      <c r="T3983" t="s">
        <v>6785</v>
      </c>
      <c r="U3983" t="s">
        <v>58</v>
      </c>
      <c r="V3983">
        <v>1</v>
      </c>
      <c r="W3983">
        <v>1</v>
      </c>
      <c r="X3983">
        <v>2</v>
      </c>
      <c r="Y3983">
        <v>0</v>
      </c>
      <c r="Z3983">
        <v>2</v>
      </c>
      <c r="AA3983">
        <v>70.92</v>
      </c>
      <c r="AB3983">
        <v>70.92</v>
      </c>
      <c r="AC3983">
        <v>62.4</v>
      </c>
      <c r="AD3983">
        <v>0</v>
      </c>
      <c r="AE3983">
        <v>8.52</v>
      </c>
      <c r="AF3983">
        <v>0</v>
      </c>
      <c r="AG3983">
        <v>0</v>
      </c>
      <c r="AH3983">
        <v>0</v>
      </c>
      <c r="AI3983">
        <v>12.77</v>
      </c>
      <c r="AJ3983">
        <v>70.92</v>
      </c>
      <c r="AK3983">
        <v>0</v>
      </c>
      <c r="AL3983" t="s">
        <v>53</v>
      </c>
      <c r="AM3983" t="s">
        <v>53</v>
      </c>
      <c r="AN3983" t="s">
        <v>53</v>
      </c>
      <c r="AO3983" t="s">
        <v>53</v>
      </c>
      <c r="AP3983" t="s">
        <v>53</v>
      </c>
    </row>
    <row r="3984" spans="2:42" x14ac:dyDescent="0.2">
      <c r="B3984" t="s">
        <v>44</v>
      </c>
      <c r="C3984" t="str">
        <f>HYPERLINK("https://us2.cloudbeds.com/connect/8493803454333002#/reservations/81678788022438?display=1P2GUBJ15N&amp;reservation_id=81678788022438", "1P2GUBJ15N")</f>
        <v>1P2GUBJ15N</v>
      </c>
      <c r="D3984" t="s">
        <v>45</v>
      </c>
      <c r="E3984" t="s">
        <v>128</v>
      </c>
      <c r="F3984" t="s">
        <v>86</v>
      </c>
      <c r="G3984" t="s">
        <v>48</v>
      </c>
      <c r="H3984" t="s">
        <v>49</v>
      </c>
      <c r="I3984" t="s">
        <v>62</v>
      </c>
      <c r="J3984" t="s">
        <v>6748</v>
      </c>
      <c r="K3984" t="s">
        <v>6596</v>
      </c>
      <c r="L3984" t="s">
        <v>53</v>
      </c>
      <c r="N3984" t="s">
        <v>6786</v>
      </c>
      <c r="P3984" t="s">
        <v>55</v>
      </c>
      <c r="R3984" t="s">
        <v>56</v>
      </c>
      <c r="T3984" t="s">
        <v>6787</v>
      </c>
      <c r="U3984" t="s">
        <v>55</v>
      </c>
      <c r="V3984">
        <v>2</v>
      </c>
      <c r="W3984">
        <v>1</v>
      </c>
      <c r="X3984">
        <v>3</v>
      </c>
      <c r="Y3984">
        <v>0</v>
      </c>
      <c r="Z3984">
        <v>3</v>
      </c>
      <c r="AA3984">
        <v>177</v>
      </c>
      <c r="AB3984">
        <v>154</v>
      </c>
      <c r="AC3984">
        <v>154</v>
      </c>
      <c r="AD3984">
        <v>0</v>
      </c>
      <c r="AE3984">
        <v>0</v>
      </c>
      <c r="AF3984">
        <v>0</v>
      </c>
      <c r="AG3984">
        <v>0</v>
      </c>
      <c r="AH3984">
        <v>0</v>
      </c>
      <c r="AI3984">
        <v>27.72</v>
      </c>
      <c r="AJ3984">
        <v>154</v>
      </c>
      <c r="AK3984">
        <v>0</v>
      </c>
      <c r="AL3984" t="s">
        <v>53</v>
      </c>
      <c r="AM3984" t="s">
        <v>53</v>
      </c>
      <c r="AN3984" t="s">
        <v>6788</v>
      </c>
      <c r="AO3984" t="s">
        <v>53</v>
      </c>
      <c r="AP3984" t="s">
        <v>53</v>
      </c>
    </row>
    <row r="3985" spans="2:42" x14ac:dyDescent="0.2">
      <c r="B3985" t="s">
        <v>44</v>
      </c>
      <c r="C3985" t="str">
        <f>HYPERLINK("https://us2.cloudbeds.com/connect/8493803454333002#/reservations/81691273035927?display=1P2QJC8V0Q&amp;reservation_id=81691273035927", "1P2QJC8V0Q")</f>
        <v>1P2QJC8V0Q</v>
      </c>
      <c r="D3985" t="s">
        <v>45</v>
      </c>
      <c r="E3985" t="s">
        <v>113</v>
      </c>
      <c r="F3985" t="s">
        <v>61</v>
      </c>
      <c r="G3985" t="s">
        <v>48</v>
      </c>
      <c r="H3985" t="s">
        <v>49</v>
      </c>
      <c r="I3985" t="s">
        <v>50</v>
      </c>
      <c r="J3985" t="s">
        <v>6761</v>
      </c>
      <c r="K3985" t="s">
        <v>6596</v>
      </c>
      <c r="L3985" t="s">
        <v>53</v>
      </c>
      <c r="N3985" t="s">
        <v>6789</v>
      </c>
      <c r="P3985" t="s">
        <v>55</v>
      </c>
      <c r="R3985" t="s">
        <v>53</v>
      </c>
      <c r="T3985" t="s">
        <v>6790</v>
      </c>
      <c r="U3985" t="s">
        <v>58</v>
      </c>
      <c r="V3985">
        <v>3</v>
      </c>
      <c r="W3985">
        <v>1</v>
      </c>
      <c r="X3985">
        <v>1</v>
      </c>
      <c r="Y3985">
        <v>0</v>
      </c>
      <c r="Z3985">
        <v>1</v>
      </c>
      <c r="AA3985">
        <v>232.31</v>
      </c>
      <c r="AB3985">
        <v>232.31</v>
      </c>
      <c r="AC3985">
        <v>204.4</v>
      </c>
      <c r="AD3985">
        <v>0</v>
      </c>
      <c r="AE3985">
        <v>27.91</v>
      </c>
      <c r="AF3985">
        <v>0</v>
      </c>
      <c r="AG3985">
        <v>0</v>
      </c>
      <c r="AH3985">
        <v>0</v>
      </c>
      <c r="AI3985">
        <v>41.82</v>
      </c>
      <c r="AJ3985">
        <v>232.31</v>
      </c>
      <c r="AK3985">
        <v>0</v>
      </c>
      <c r="AL3985" t="s">
        <v>53</v>
      </c>
      <c r="AM3985" t="s">
        <v>53</v>
      </c>
      <c r="AN3985" t="s">
        <v>53</v>
      </c>
      <c r="AO3985" t="s">
        <v>53</v>
      </c>
      <c r="AP3985" t="s">
        <v>53</v>
      </c>
    </row>
    <row r="3986" spans="2:42" x14ac:dyDescent="0.2">
      <c r="B3986" t="s">
        <v>44</v>
      </c>
      <c r="C3986" t="str">
        <f>HYPERLINK("https://us2.cloudbeds.com/connect/8493803454333002#/reservations/81737309208770?display=1P3T7N6A9G&amp;reservation_id=81737309208770", "1P3T7N6A9G")</f>
        <v>1P3T7N6A9G</v>
      </c>
      <c r="D3986" t="s">
        <v>45</v>
      </c>
      <c r="E3986" t="s">
        <v>223</v>
      </c>
      <c r="F3986" t="s">
        <v>47</v>
      </c>
      <c r="G3986" t="s">
        <v>48</v>
      </c>
      <c r="H3986" t="s">
        <v>49</v>
      </c>
      <c r="I3986" t="s">
        <v>62</v>
      </c>
      <c r="J3986" t="s">
        <v>6791</v>
      </c>
      <c r="K3986" t="s">
        <v>6709</v>
      </c>
      <c r="L3986" t="s">
        <v>53</v>
      </c>
      <c r="N3986" t="s">
        <v>6792</v>
      </c>
      <c r="P3986" t="s">
        <v>55</v>
      </c>
      <c r="R3986" t="s">
        <v>56</v>
      </c>
      <c r="T3986" t="s">
        <v>6793</v>
      </c>
      <c r="U3986" t="s">
        <v>55</v>
      </c>
      <c r="V3986">
        <v>1</v>
      </c>
      <c r="W3986">
        <v>1</v>
      </c>
      <c r="X3986">
        <v>1</v>
      </c>
      <c r="Y3986">
        <v>0</v>
      </c>
      <c r="Z3986">
        <v>1</v>
      </c>
      <c r="AA3986">
        <v>57.6</v>
      </c>
      <c r="AB3986">
        <v>57.6</v>
      </c>
      <c r="AC3986">
        <v>57.6</v>
      </c>
      <c r="AD3986">
        <v>0</v>
      </c>
      <c r="AE3986">
        <v>0</v>
      </c>
      <c r="AF3986">
        <v>0</v>
      </c>
      <c r="AG3986">
        <v>0</v>
      </c>
      <c r="AH3986">
        <v>0</v>
      </c>
      <c r="AI3986">
        <v>10.37</v>
      </c>
      <c r="AJ3986">
        <v>57.6</v>
      </c>
      <c r="AK3986">
        <v>0</v>
      </c>
      <c r="AL3986" t="s">
        <v>53</v>
      </c>
      <c r="AM3986" t="s">
        <v>53</v>
      </c>
      <c r="AN3986" t="s">
        <v>53</v>
      </c>
      <c r="AO3986" t="s">
        <v>53</v>
      </c>
      <c r="AP3986" t="s">
        <v>53</v>
      </c>
    </row>
    <row r="3987" spans="2:42" x14ac:dyDescent="0.2">
      <c r="B3987" t="s">
        <v>44</v>
      </c>
      <c r="C3987" t="str">
        <f>HYPERLINK("https://us2.cloudbeds.com/connect/8493803454333002#/reservations/81744309719182?display=1P41YJ6RGY&amp;reservation_id=81744309719182", "1P41YJ6RGY")</f>
        <v>1P41YJ6RGY</v>
      </c>
      <c r="D3987" t="s">
        <v>45</v>
      </c>
      <c r="E3987" t="s">
        <v>85</v>
      </c>
      <c r="F3987" t="s">
        <v>86</v>
      </c>
      <c r="G3987" t="s">
        <v>48</v>
      </c>
      <c r="H3987" t="s">
        <v>3957</v>
      </c>
      <c r="I3987" t="s">
        <v>3975</v>
      </c>
      <c r="J3987" t="s">
        <v>6748</v>
      </c>
      <c r="K3987" t="s">
        <v>6772</v>
      </c>
      <c r="L3987" t="s">
        <v>53</v>
      </c>
      <c r="P3987" t="s">
        <v>55</v>
      </c>
      <c r="R3987" t="s">
        <v>53</v>
      </c>
      <c r="T3987" t="s">
        <v>6794</v>
      </c>
      <c r="U3987" t="s">
        <v>58</v>
      </c>
      <c r="V3987">
        <v>3</v>
      </c>
      <c r="W3987">
        <v>1</v>
      </c>
      <c r="X3987">
        <v>2</v>
      </c>
      <c r="Y3987">
        <v>0</v>
      </c>
      <c r="Z3987">
        <v>2</v>
      </c>
      <c r="AA3987">
        <v>265.94</v>
      </c>
      <c r="AB3987">
        <v>265.94</v>
      </c>
      <c r="AC3987">
        <v>234</v>
      </c>
      <c r="AD3987">
        <v>0</v>
      </c>
      <c r="AE3987">
        <v>31.94</v>
      </c>
      <c r="AF3987">
        <v>0</v>
      </c>
      <c r="AG3987">
        <v>0</v>
      </c>
      <c r="AH3987">
        <v>0</v>
      </c>
      <c r="AI3987">
        <v>0</v>
      </c>
      <c r="AJ3987">
        <v>265.94</v>
      </c>
      <c r="AK3987">
        <v>0</v>
      </c>
      <c r="AL3987" t="s">
        <v>53</v>
      </c>
      <c r="AM3987" t="s">
        <v>53</v>
      </c>
      <c r="AN3987" t="s">
        <v>53</v>
      </c>
      <c r="AO3987" t="s">
        <v>53</v>
      </c>
      <c r="AP3987" t="s">
        <v>53</v>
      </c>
    </row>
    <row r="3988" spans="2:42" x14ac:dyDescent="0.2">
      <c r="B3988" t="s">
        <v>44</v>
      </c>
      <c r="C3988" t="str">
        <f>HYPERLINK("https://us2.cloudbeds.com/connect/8493803454333002#/reservations/81757201285353?display=1P4BKWNYVW&amp;reservation_id=81757201285353", "1P4BKWNYVW")</f>
        <v>1P4BKWNYVW</v>
      </c>
      <c r="D3988" t="s">
        <v>45</v>
      </c>
      <c r="E3988" t="s">
        <v>373</v>
      </c>
      <c r="F3988" t="s">
        <v>47</v>
      </c>
      <c r="G3988" t="s">
        <v>48</v>
      </c>
      <c r="H3988" t="s">
        <v>49</v>
      </c>
      <c r="I3988" t="s">
        <v>62</v>
      </c>
      <c r="J3988" t="s">
        <v>6761</v>
      </c>
      <c r="K3988" t="s">
        <v>6748</v>
      </c>
      <c r="L3988" t="s">
        <v>53</v>
      </c>
      <c r="N3988" t="s">
        <v>6795</v>
      </c>
      <c r="P3988" t="s">
        <v>55</v>
      </c>
      <c r="R3988" t="s">
        <v>56</v>
      </c>
      <c r="T3988" t="s">
        <v>6796</v>
      </c>
      <c r="U3988" t="s">
        <v>55</v>
      </c>
      <c r="V3988">
        <v>1</v>
      </c>
      <c r="W3988">
        <v>1</v>
      </c>
      <c r="X3988">
        <v>2</v>
      </c>
      <c r="Y3988">
        <v>0</v>
      </c>
      <c r="Z3988">
        <v>2</v>
      </c>
      <c r="AA3988">
        <v>78</v>
      </c>
      <c r="AB3988">
        <v>78</v>
      </c>
      <c r="AC3988">
        <v>78</v>
      </c>
      <c r="AD3988">
        <v>0</v>
      </c>
      <c r="AE3988">
        <v>0</v>
      </c>
      <c r="AF3988">
        <v>0</v>
      </c>
      <c r="AG3988">
        <v>0</v>
      </c>
      <c r="AH3988">
        <v>0</v>
      </c>
      <c r="AI3988">
        <v>14.04</v>
      </c>
      <c r="AJ3988">
        <v>78</v>
      </c>
      <c r="AK3988">
        <v>0</v>
      </c>
      <c r="AL3988" t="s">
        <v>53</v>
      </c>
      <c r="AM3988" t="s">
        <v>53</v>
      </c>
      <c r="AN3988" t="s">
        <v>53</v>
      </c>
      <c r="AO3988" t="s">
        <v>53</v>
      </c>
      <c r="AP3988" t="s">
        <v>53</v>
      </c>
    </row>
    <row r="3989" spans="2:42" x14ac:dyDescent="0.2">
      <c r="B3989" t="s">
        <v>44</v>
      </c>
      <c r="C3989" t="str">
        <f>HYPERLINK("https://us2.cloudbeds.com/connect/8493803454333002#/reservations/81759799476433?display=1P4DYCJ5C0&amp;reservation_id=81759799476433", "1P4DYCJ5C0")</f>
        <v>1P4DYCJ5C0</v>
      </c>
      <c r="D3989" t="s">
        <v>45</v>
      </c>
      <c r="E3989" t="s">
        <v>98</v>
      </c>
      <c r="F3989" t="s">
        <v>86</v>
      </c>
      <c r="G3989" t="s">
        <v>48</v>
      </c>
      <c r="H3989" t="s">
        <v>49</v>
      </c>
      <c r="I3989" t="s">
        <v>62</v>
      </c>
      <c r="J3989" t="s">
        <v>6595</v>
      </c>
      <c r="K3989" t="s">
        <v>6596</v>
      </c>
      <c r="L3989" t="s">
        <v>53</v>
      </c>
      <c r="N3989" t="s">
        <v>6797</v>
      </c>
      <c r="P3989" t="s">
        <v>55</v>
      </c>
      <c r="R3989" t="s">
        <v>56</v>
      </c>
      <c r="T3989" t="s">
        <v>6798</v>
      </c>
      <c r="U3989" t="s">
        <v>55</v>
      </c>
      <c r="V3989">
        <v>1</v>
      </c>
      <c r="W3989">
        <v>1</v>
      </c>
      <c r="X3989">
        <v>2</v>
      </c>
      <c r="Y3989">
        <v>0</v>
      </c>
      <c r="Z3989">
        <v>2</v>
      </c>
      <c r="AA3989">
        <v>77</v>
      </c>
      <c r="AB3989">
        <v>77</v>
      </c>
      <c r="AC3989">
        <v>77</v>
      </c>
      <c r="AD3989">
        <v>0</v>
      </c>
      <c r="AE3989">
        <v>0</v>
      </c>
      <c r="AF3989">
        <v>0</v>
      </c>
      <c r="AG3989">
        <v>0</v>
      </c>
      <c r="AH3989">
        <v>0</v>
      </c>
      <c r="AI3989">
        <v>13.86</v>
      </c>
      <c r="AJ3989">
        <v>77</v>
      </c>
      <c r="AK3989">
        <v>0</v>
      </c>
      <c r="AL3989" t="s">
        <v>53</v>
      </c>
      <c r="AM3989" t="s">
        <v>53</v>
      </c>
      <c r="AN3989" t="s">
        <v>53</v>
      </c>
      <c r="AO3989" t="s">
        <v>53</v>
      </c>
      <c r="AP3989" t="s">
        <v>53</v>
      </c>
    </row>
    <row r="3990" spans="2:42" x14ac:dyDescent="0.2">
      <c r="B3990" t="s">
        <v>44</v>
      </c>
      <c r="C3990" t="str">
        <f>HYPERLINK("https://us2.cloudbeds.com/connect/8493803454333002#/reservations/81761387430020?display=1P4ESVJA9M&amp;reservation_id=81761387430020", "1P4ESVJA9M")</f>
        <v>1P4ESVJA9M</v>
      </c>
      <c r="D3990" t="s">
        <v>45</v>
      </c>
      <c r="E3990" t="s">
        <v>128</v>
      </c>
      <c r="F3990" t="s">
        <v>86</v>
      </c>
      <c r="G3990" t="s">
        <v>48</v>
      </c>
      <c r="H3990" t="s">
        <v>49</v>
      </c>
      <c r="I3990" t="s">
        <v>50</v>
      </c>
      <c r="J3990" t="s">
        <v>6761</v>
      </c>
      <c r="K3990" t="s">
        <v>6748</v>
      </c>
      <c r="L3990" t="s">
        <v>53</v>
      </c>
      <c r="N3990" t="s">
        <v>6799</v>
      </c>
      <c r="P3990" t="s">
        <v>55</v>
      </c>
      <c r="R3990" t="s">
        <v>53</v>
      </c>
      <c r="T3990" t="s">
        <v>6800</v>
      </c>
      <c r="U3990" t="s">
        <v>58</v>
      </c>
      <c r="V3990">
        <v>1</v>
      </c>
      <c r="W3990">
        <v>1</v>
      </c>
      <c r="X3990">
        <v>2</v>
      </c>
      <c r="Y3990">
        <v>0</v>
      </c>
      <c r="Z3990">
        <v>2</v>
      </c>
      <c r="AA3990">
        <v>71.819999999999993</v>
      </c>
      <c r="AB3990">
        <v>71.819999999999993</v>
      </c>
      <c r="AC3990">
        <v>63.2</v>
      </c>
      <c r="AD3990">
        <v>0</v>
      </c>
      <c r="AE3990">
        <v>8.6199999999999992</v>
      </c>
      <c r="AF3990">
        <v>0</v>
      </c>
      <c r="AG3990">
        <v>0</v>
      </c>
      <c r="AH3990">
        <v>0</v>
      </c>
      <c r="AI3990">
        <v>12.93</v>
      </c>
      <c r="AJ3990">
        <v>71.819999999999993</v>
      </c>
      <c r="AK3990">
        <v>0</v>
      </c>
      <c r="AL3990" t="s">
        <v>53</v>
      </c>
      <c r="AM3990" t="s">
        <v>53</v>
      </c>
      <c r="AN3990" t="s">
        <v>53</v>
      </c>
      <c r="AO3990" t="s">
        <v>53</v>
      </c>
      <c r="AP3990" t="s">
        <v>53</v>
      </c>
    </row>
    <row r="3991" spans="2:42" x14ac:dyDescent="0.2">
      <c r="B3991" t="s">
        <v>44</v>
      </c>
      <c r="C3991" t="str">
        <f>HYPERLINK("https://us2.cloudbeds.com/connect/8493803454333002#/reservations/81789213765876?display=1P53DWG45B&amp;reservation_id=81789213765876", "1P53DWG45B")</f>
        <v>1P53DWG45B</v>
      </c>
      <c r="D3991" t="s">
        <v>45</v>
      </c>
      <c r="E3991" t="s">
        <v>98</v>
      </c>
      <c r="F3991" t="s">
        <v>86</v>
      </c>
      <c r="G3991" t="s">
        <v>48</v>
      </c>
      <c r="H3991" t="s">
        <v>49</v>
      </c>
      <c r="I3991" t="s">
        <v>50</v>
      </c>
      <c r="J3991" t="s">
        <v>6801</v>
      </c>
      <c r="K3991" t="s">
        <v>6781</v>
      </c>
      <c r="L3991" t="s">
        <v>53</v>
      </c>
      <c r="N3991" t="s">
        <v>6802</v>
      </c>
      <c r="P3991" t="s">
        <v>55</v>
      </c>
      <c r="R3991" t="s">
        <v>53</v>
      </c>
      <c r="T3991" t="s">
        <v>6803</v>
      </c>
      <c r="U3991" t="s">
        <v>58</v>
      </c>
      <c r="V3991">
        <v>2</v>
      </c>
      <c r="W3991">
        <v>1</v>
      </c>
      <c r="X3991">
        <v>2</v>
      </c>
      <c r="Y3991">
        <v>0</v>
      </c>
      <c r="Z3991">
        <v>2</v>
      </c>
      <c r="AA3991">
        <v>158.54</v>
      </c>
      <c r="AB3991">
        <v>158.54</v>
      </c>
      <c r="AC3991">
        <v>139.5</v>
      </c>
      <c r="AD3991">
        <v>0</v>
      </c>
      <c r="AE3991">
        <v>19.04</v>
      </c>
      <c r="AF3991">
        <v>0</v>
      </c>
      <c r="AG3991">
        <v>0</v>
      </c>
      <c r="AH3991">
        <v>0</v>
      </c>
      <c r="AI3991">
        <v>28.54</v>
      </c>
      <c r="AJ3991">
        <v>158.54</v>
      </c>
      <c r="AK3991">
        <v>0</v>
      </c>
      <c r="AL3991" t="s">
        <v>53</v>
      </c>
      <c r="AM3991" t="s">
        <v>53</v>
      </c>
      <c r="AN3991" t="s">
        <v>53</v>
      </c>
      <c r="AO3991" t="s">
        <v>53</v>
      </c>
      <c r="AP3991" t="s">
        <v>53</v>
      </c>
    </row>
    <row r="3992" spans="2:42" x14ac:dyDescent="0.2">
      <c r="B3992" t="s">
        <v>44</v>
      </c>
      <c r="C3992" t="str">
        <f>HYPERLINK("https://us2.cloudbeds.com/connect/8493803454333002#/reservations/81797722919120?display=1P5A0DKSAV&amp;reservation_id=81797722919120", "1P5A0DKSAV")</f>
        <v>1P5A0DKSAV</v>
      </c>
      <c r="D3992" t="s">
        <v>45</v>
      </c>
      <c r="E3992" t="s">
        <v>46</v>
      </c>
      <c r="F3992" t="s">
        <v>47</v>
      </c>
      <c r="G3992" t="s">
        <v>48</v>
      </c>
      <c r="H3992" t="s">
        <v>49</v>
      </c>
      <c r="I3992" t="s">
        <v>50</v>
      </c>
      <c r="J3992" t="s">
        <v>6595</v>
      </c>
      <c r="K3992" t="s">
        <v>6755</v>
      </c>
      <c r="L3992" t="s">
        <v>53</v>
      </c>
      <c r="N3992" t="s">
        <v>6804</v>
      </c>
      <c r="P3992" t="s">
        <v>55</v>
      </c>
      <c r="R3992" t="s">
        <v>53</v>
      </c>
      <c r="T3992" t="s">
        <v>6805</v>
      </c>
      <c r="U3992" t="s">
        <v>58</v>
      </c>
      <c r="V3992">
        <v>3</v>
      </c>
      <c r="W3992">
        <v>1</v>
      </c>
      <c r="X3992">
        <v>2</v>
      </c>
      <c r="Y3992">
        <v>0</v>
      </c>
      <c r="Z3992">
        <v>2</v>
      </c>
      <c r="AA3992">
        <v>184.5</v>
      </c>
      <c r="AB3992">
        <v>184.5</v>
      </c>
      <c r="AC3992">
        <v>162.35</v>
      </c>
      <c r="AD3992">
        <v>0</v>
      </c>
      <c r="AE3992">
        <v>22.15</v>
      </c>
      <c r="AF3992">
        <v>0</v>
      </c>
      <c r="AG3992">
        <v>0</v>
      </c>
      <c r="AH3992">
        <v>0</v>
      </c>
      <c r="AI3992">
        <v>33.21</v>
      </c>
      <c r="AJ3992">
        <v>184.5</v>
      </c>
      <c r="AK3992">
        <v>0</v>
      </c>
      <c r="AL3992" t="s">
        <v>53</v>
      </c>
      <c r="AM3992" t="s">
        <v>53</v>
      </c>
      <c r="AN3992" t="s">
        <v>53</v>
      </c>
      <c r="AO3992" t="s">
        <v>53</v>
      </c>
      <c r="AP3992" t="s">
        <v>53</v>
      </c>
    </row>
    <row r="3993" spans="2:42" x14ac:dyDescent="0.2">
      <c r="B3993" t="s">
        <v>44</v>
      </c>
      <c r="C3993" t="str">
        <f>HYPERLINK("https://us2.cloudbeds.com/connect/8493803454333002#/reservations/81820507443370?display=1P5RYK4RFZ&amp;reservation_id=81820507443370", "1P5RYK4RFZ")</f>
        <v>1P5RYK4RFZ</v>
      </c>
      <c r="D3993" t="s">
        <v>45</v>
      </c>
      <c r="E3993" t="s">
        <v>223</v>
      </c>
      <c r="F3993" t="s">
        <v>47</v>
      </c>
      <c r="G3993" t="s">
        <v>48</v>
      </c>
      <c r="H3993" t="s">
        <v>3957</v>
      </c>
      <c r="I3993" t="s">
        <v>3975</v>
      </c>
      <c r="J3993" t="s">
        <v>6595</v>
      </c>
      <c r="K3993" t="s">
        <v>6596</v>
      </c>
      <c r="L3993" t="s">
        <v>53</v>
      </c>
      <c r="P3993" t="s">
        <v>55</v>
      </c>
      <c r="R3993" t="s">
        <v>53</v>
      </c>
      <c r="T3993" t="s">
        <v>6806</v>
      </c>
      <c r="U3993" t="s">
        <v>58</v>
      </c>
      <c r="V3993">
        <v>1</v>
      </c>
      <c r="W3993">
        <v>1</v>
      </c>
      <c r="X3993">
        <v>2</v>
      </c>
      <c r="Y3993">
        <v>0</v>
      </c>
      <c r="Z3993">
        <v>2</v>
      </c>
      <c r="AA3993">
        <v>73.88</v>
      </c>
      <c r="AB3993">
        <v>73.88</v>
      </c>
      <c r="AC3993">
        <v>65</v>
      </c>
      <c r="AD3993">
        <v>0</v>
      </c>
      <c r="AE3993">
        <v>8.8800000000000008</v>
      </c>
      <c r="AF3993">
        <v>0</v>
      </c>
      <c r="AG3993">
        <v>0</v>
      </c>
      <c r="AH3993">
        <v>0</v>
      </c>
      <c r="AI3993">
        <v>0</v>
      </c>
      <c r="AJ3993">
        <v>73.88</v>
      </c>
      <c r="AK3993">
        <v>0</v>
      </c>
      <c r="AL3993" t="s">
        <v>53</v>
      </c>
      <c r="AM3993" t="s">
        <v>53</v>
      </c>
      <c r="AN3993" t="s">
        <v>53</v>
      </c>
      <c r="AO3993" t="s">
        <v>53</v>
      </c>
      <c r="AP3993" t="s">
        <v>53</v>
      </c>
    </row>
    <row r="3994" spans="2:42" x14ac:dyDescent="0.2">
      <c r="B3994" t="s">
        <v>44</v>
      </c>
      <c r="C3994" t="str">
        <f>HYPERLINK("https://us2.cloudbeds.com/connect/8493803454333002#/reservations/81830062346419?display=1P621P334C&amp;reservation_id=81830062346419", "1P621P334C")</f>
        <v>1P621P334C</v>
      </c>
      <c r="D3994" t="s">
        <v>45</v>
      </c>
      <c r="E3994" t="s">
        <v>155</v>
      </c>
      <c r="F3994" t="s">
        <v>86</v>
      </c>
      <c r="G3994" t="s">
        <v>48</v>
      </c>
      <c r="H3994" t="s">
        <v>49</v>
      </c>
      <c r="I3994" t="s">
        <v>50</v>
      </c>
      <c r="J3994" t="s">
        <v>6807</v>
      </c>
      <c r="K3994" t="s">
        <v>6233</v>
      </c>
      <c r="L3994" t="s">
        <v>53</v>
      </c>
      <c r="N3994" t="s">
        <v>6808</v>
      </c>
      <c r="P3994" t="s">
        <v>55</v>
      </c>
      <c r="R3994" t="s">
        <v>53</v>
      </c>
      <c r="T3994" t="s">
        <v>6809</v>
      </c>
      <c r="U3994" t="s">
        <v>58</v>
      </c>
      <c r="V3994">
        <v>2</v>
      </c>
      <c r="W3994">
        <v>1</v>
      </c>
      <c r="X3994">
        <v>2</v>
      </c>
      <c r="Y3994">
        <v>0</v>
      </c>
      <c r="Z3994">
        <v>2</v>
      </c>
      <c r="AA3994">
        <v>320.76</v>
      </c>
      <c r="AB3994">
        <v>320.76</v>
      </c>
      <c r="AC3994">
        <v>282.24</v>
      </c>
      <c r="AD3994">
        <v>0</v>
      </c>
      <c r="AE3994">
        <v>38.520000000000003</v>
      </c>
      <c r="AF3994">
        <v>0</v>
      </c>
      <c r="AG3994">
        <v>0</v>
      </c>
      <c r="AH3994">
        <v>0</v>
      </c>
      <c r="AI3994">
        <v>57.74</v>
      </c>
      <c r="AJ3994">
        <v>320.76</v>
      </c>
      <c r="AK3994">
        <v>0</v>
      </c>
      <c r="AL3994" t="s">
        <v>53</v>
      </c>
      <c r="AM3994" t="s">
        <v>53</v>
      </c>
      <c r="AN3994" t="s">
        <v>53</v>
      </c>
      <c r="AO3994" t="s">
        <v>53</v>
      </c>
      <c r="AP3994" t="s">
        <v>53</v>
      </c>
    </row>
    <row r="3995" spans="2:42" x14ac:dyDescent="0.2">
      <c r="B3995" t="s">
        <v>44</v>
      </c>
      <c r="C3995" t="str">
        <f>HYPERLINK("https://us2.cloudbeds.com/connect/8493803454333002#/reservations/81912259731601?display=1P7WN33GMC&amp;reservation_id=81912259731601", "1P7WN33GMC")</f>
        <v>1P7WN33GMC</v>
      </c>
      <c r="D3995" t="s">
        <v>45</v>
      </c>
      <c r="E3995" t="s">
        <v>165</v>
      </c>
      <c r="F3995" t="s">
        <v>61</v>
      </c>
      <c r="G3995" t="s">
        <v>48</v>
      </c>
      <c r="H3995" t="s">
        <v>49</v>
      </c>
      <c r="I3995" t="s">
        <v>62</v>
      </c>
      <c r="J3995" t="s">
        <v>6698</v>
      </c>
      <c r="K3995" t="s">
        <v>6810</v>
      </c>
      <c r="L3995" t="s">
        <v>53</v>
      </c>
      <c r="N3995" t="s">
        <v>6811</v>
      </c>
      <c r="P3995" t="s">
        <v>55</v>
      </c>
      <c r="R3995" t="s">
        <v>201</v>
      </c>
      <c r="T3995" t="s">
        <v>6812</v>
      </c>
      <c r="U3995" t="s">
        <v>55</v>
      </c>
      <c r="V3995">
        <v>1</v>
      </c>
      <c r="W3995">
        <v>1</v>
      </c>
      <c r="X3995">
        <v>2</v>
      </c>
      <c r="Y3995">
        <v>0</v>
      </c>
      <c r="Z3995">
        <v>2</v>
      </c>
      <c r="AA3995">
        <v>50.4</v>
      </c>
      <c r="AB3995">
        <v>50.4</v>
      </c>
      <c r="AC3995">
        <v>50.4</v>
      </c>
      <c r="AD3995">
        <v>0</v>
      </c>
      <c r="AE3995">
        <v>0</v>
      </c>
      <c r="AF3995">
        <v>0</v>
      </c>
      <c r="AG3995">
        <v>0</v>
      </c>
      <c r="AH3995">
        <v>0</v>
      </c>
      <c r="AI3995">
        <v>9.07</v>
      </c>
      <c r="AJ3995">
        <v>50.4</v>
      </c>
      <c r="AK3995">
        <v>0</v>
      </c>
      <c r="AL3995" t="s">
        <v>53</v>
      </c>
      <c r="AM3995" t="s">
        <v>53</v>
      </c>
      <c r="AN3995" t="s">
        <v>53</v>
      </c>
      <c r="AO3995" t="s">
        <v>53</v>
      </c>
      <c r="AP3995" t="s">
        <v>53</v>
      </c>
    </row>
    <row r="3996" spans="2:42" x14ac:dyDescent="0.2">
      <c r="B3996" t="s">
        <v>44</v>
      </c>
      <c r="C3996" t="str">
        <f>HYPERLINK("https://us2.cloudbeds.com/connect/8493803454333002#/reservations/81931502493932?display=1P8EJQ3Z6D&amp;reservation_id=81931502493932", "1P8EJQ3Z6D")</f>
        <v>1P8EJQ3Z6D</v>
      </c>
      <c r="D3996" t="s">
        <v>45</v>
      </c>
      <c r="E3996" t="s">
        <v>138</v>
      </c>
      <c r="F3996" t="s">
        <v>70</v>
      </c>
      <c r="G3996" t="s">
        <v>48</v>
      </c>
      <c r="H3996" t="s">
        <v>49</v>
      </c>
      <c r="I3996" t="s">
        <v>50</v>
      </c>
      <c r="J3996" t="s">
        <v>6813</v>
      </c>
      <c r="K3996" t="s">
        <v>6814</v>
      </c>
      <c r="L3996" t="s">
        <v>53</v>
      </c>
      <c r="N3996" t="s">
        <v>6815</v>
      </c>
      <c r="P3996" t="s">
        <v>55</v>
      </c>
      <c r="R3996" t="s">
        <v>53</v>
      </c>
      <c r="T3996" t="s">
        <v>6816</v>
      </c>
      <c r="U3996" t="s">
        <v>58</v>
      </c>
      <c r="V3996">
        <v>1</v>
      </c>
      <c r="W3996">
        <v>1</v>
      </c>
      <c r="X3996">
        <v>2</v>
      </c>
      <c r="Y3996">
        <v>0</v>
      </c>
      <c r="Z3996">
        <v>2</v>
      </c>
      <c r="AA3996">
        <v>55.23</v>
      </c>
      <c r="AB3996">
        <v>55.23</v>
      </c>
      <c r="AC3996">
        <v>48.6</v>
      </c>
      <c r="AD3996">
        <v>0</v>
      </c>
      <c r="AE3996">
        <v>6.63</v>
      </c>
      <c r="AF3996">
        <v>0</v>
      </c>
      <c r="AG3996">
        <v>0</v>
      </c>
      <c r="AH3996">
        <v>0</v>
      </c>
      <c r="AI3996">
        <v>9.94</v>
      </c>
      <c r="AJ3996">
        <v>55.23</v>
      </c>
      <c r="AK3996">
        <v>0</v>
      </c>
      <c r="AL3996" t="s">
        <v>53</v>
      </c>
      <c r="AM3996" t="s">
        <v>53</v>
      </c>
      <c r="AN3996" t="s">
        <v>53</v>
      </c>
      <c r="AO3996" t="s">
        <v>53</v>
      </c>
      <c r="AP3996" t="s">
        <v>53</v>
      </c>
    </row>
    <row r="3997" spans="2:42" x14ac:dyDescent="0.2">
      <c r="B3997" t="s">
        <v>44</v>
      </c>
      <c r="C3997" t="str">
        <f>HYPERLINK("https://us2.cloudbeds.com/connect/8493803454333002#/reservations/82008372195480?display=1PA83WMG8Q&amp;reservation_id=82008372195480", "1PA83WMG8Q")</f>
        <v>1PA83WMG8Q</v>
      </c>
      <c r="D3997" t="s">
        <v>45</v>
      </c>
      <c r="E3997" t="s">
        <v>53</v>
      </c>
      <c r="F3997" t="s">
        <v>47</v>
      </c>
      <c r="G3997" t="s">
        <v>48</v>
      </c>
      <c r="H3997" t="s">
        <v>3957</v>
      </c>
      <c r="I3997" t="s">
        <v>3975</v>
      </c>
      <c r="J3997" t="s">
        <v>6748</v>
      </c>
      <c r="K3997" t="s">
        <v>6595</v>
      </c>
      <c r="L3997" t="s">
        <v>53</v>
      </c>
      <c r="P3997" t="s">
        <v>55</v>
      </c>
      <c r="R3997" t="s">
        <v>53</v>
      </c>
      <c r="T3997" t="s">
        <v>6817</v>
      </c>
      <c r="U3997" t="s">
        <v>58</v>
      </c>
      <c r="V3997">
        <v>1</v>
      </c>
      <c r="W3997">
        <v>1</v>
      </c>
      <c r="X3997">
        <v>1</v>
      </c>
      <c r="Y3997">
        <v>0</v>
      </c>
      <c r="Z3997">
        <v>1</v>
      </c>
      <c r="AA3997">
        <v>69.33</v>
      </c>
      <c r="AB3997">
        <v>69.33</v>
      </c>
      <c r="AC3997">
        <v>61</v>
      </c>
      <c r="AD3997">
        <v>0</v>
      </c>
      <c r="AE3997">
        <v>8.33</v>
      </c>
      <c r="AF3997">
        <v>0</v>
      </c>
      <c r="AG3997">
        <v>0</v>
      </c>
      <c r="AH3997">
        <v>0</v>
      </c>
      <c r="AI3997">
        <v>0</v>
      </c>
      <c r="AJ3997">
        <v>69.33</v>
      </c>
      <c r="AK3997">
        <v>0</v>
      </c>
      <c r="AL3997" t="s">
        <v>53</v>
      </c>
      <c r="AM3997" t="s">
        <v>53</v>
      </c>
      <c r="AN3997" t="s">
        <v>53</v>
      </c>
      <c r="AO3997" t="s">
        <v>53</v>
      </c>
      <c r="AP3997" t="s">
        <v>53</v>
      </c>
    </row>
    <row r="3998" spans="2:42" x14ac:dyDescent="0.2">
      <c r="B3998" t="s">
        <v>44</v>
      </c>
      <c r="C3998" t="str">
        <f>HYPERLINK("https://us2.cloudbeds.com/connect/8493803454333002#/reservations/82021542633612?display=1PAXAHBBGK&amp;reservation_id=82021542633612", "1PAXAHBBGK")</f>
        <v>1PAXAHBBGK</v>
      </c>
      <c r="D3998" t="s">
        <v>45</v>
      </c>
      <c r="E3998" t="s">
        <v>110</v>
      </c>
      <c r="F3998" t="s">
        <v>47</v>
      </c>
      <c r="G3998" t="s">
        <v>3974</v>
      </c>
      <c r="H3998" t="s">
        <v>3957</v>
      </c>
      <c r="I3998" t="s">
        <v>3975</v>
      </c>
      <c r="J3998" t="s">
        <v>6818</v>
      </c>
      <c r="K3998" t="s">
        <v>6819</v>
      </c>
      <c r="L3998" t="s">
        <v>53</v>
      </c>
      <c r="P3998" t="s">
        <v>55</v>
      </c>
      <c r="R3998" t="s">
        <v>53</v>
      </c>
      <c r="T3998" t="s">
        <v>6820</v>
      </c>
      <c r="U3998" t="s">
        <v>58</v>
      </c>
      <c r="V3998">
        <v>1</v>
      </c>
      <c r="W3998">
        <v>1</v>
      </c>
      <c r="X3998">
        <v>2</v>
      </c>
      <c r="Y3998">
        <v>0</v>
      </c>
      <c r="Z3998">
        <v>2</v>
      </c>
      <c r="AA3998">
        <v>97.17</v>
      </c>
      <c r="AB3998">
        <v>97.17</v>
      </c>
      <c r="AC3998">
        <v>85.5</v>
      </c>
      <c r="AD3998">
        <v>0</v>
      </c>
      <c r="AE3998">
        <v>11.67</v>
      </c>
      <c r="AF3998">
        <v>0</v>
      </c>
      <c r="AG3998">
        <v>0</v>
      </c>
      <c r="AH3998">
        <v>0</v>
      </c>
      <c r="AI3998">
        <v>0</v>
      </c>
      <c r="AJ3998">
        <v>97.17</v>
      </c>
      <c r="AK3998">
        <v>0</v>
      </c>
      <c r="AL3998" t="s">
        <v>53</v>
      </c>
      <c r="AM3998" t="s">
        <v>53</v>
      </c>
      <c r="AN3998" t="s">
        <v>53</v>
      </c>
      <c r="AO3998" t="s">
        <v>53</v>
      </c>
      <c r="AP3998" t="s">
        <v>53</v>
      </c>
    </row>
    <row r="3999" spans="2:42" x14ac:dyDescent="0.2">
      <c r="B3999" t="s">
        <v>44</v>
      </c>
      <c r="C3999" t="str">
        <f>HYPERLINK("https://us2.cloudbeds.com/connect/8493803454333002#/reservations/82035239805141?display=1PASUH5B4H&amp;reservation_id=82035239805141", "1PASUH5B4H")</f>
        <v>1PASUH5B4H</v>
      </c>
      <c r="D3999" t="s">
        <v>45</v>
      </c>
      <c r="E3999" t="s">
        <v>373</v>
      </c>
      <c r="F3999" t="s">
        <v>47</v>
      </c>
      <c r="G3999" t="s">
        <v>48</v>
      </c>
      <c r="H3999" t="s">
        <v>49</v>
      </c>
      <c r="I3999" t="s">
        <v>50</v>
      </c>
      <c r="J3999" t="s">
        <v>6595</v>
      </c>
      <c r="K3999" t="s">
        <v>6772</v>
      </c>
      <c r="L3999" t="s">
        <v>53</v>
      </c>
      <c r="N3999" t="s">
        <v>6821</v>
      </c>
      <c r="P3999" t="s">
        <v>55</v>
      </c>
      <c r="R3999" t="s">
        <v>53</v>
      </c>
      <c r="T3999" t="s">
        <v>6822</v>
      </c>
      <c r="U3999" t="s">
        <v>58</v>
      </c>
      <c r="V3999">
        <v>2</v>
      </c>
      <c r="W3999">
        <v>1</v>
      </c>
      <c r="X3999">
        <v>1</v>
      </c>
      <c r="Y3999">
        <v>0</v>
      </c>
      <c r="Z3999">
        <v>1</v>
      </c>
      <c r="AA3999">
        <v>132.97999999999999</v>
      </c>
      <c r="AB3999">
        <v>132.97999999999999</v>
      </c>
      <c r="AC3999">
        <v>117</v>
      </c>
      <c r="AD3999">
        <v>0</v>
      </c>
      <c r="AE3999">
        <v>15.98</v>
      </c>
      <c r="AF3999">
        <v>0</v>
      </c>
      <c r="AG3999">
        <v>0</v>
      </c>
      <c r="AH3999">
        <v>0</v>
      </c>
      <c r="AI3999">
        <v>23.94</v>
      </c>
      <c r="AJ3999">
        <v>132.97999999999999</v>
      </c>
      <c r="AK3999">
        <v>0</v>
      </c>
      <c r="AL3999" t="s">
        <v>53</v>
      </c>
      <c r="AM3999" t="s">
        <v>53</v>
      </c>
      <c r="AN3999" t="s">
        <v>53</v>
      </c>
      <c r="AO3999" t="s">
        <v>53</v>
      </c>
      <c r="AP3999" t="s">
        <v>53</v>
      </c>
    </row>
    <row r="4000" spans="2:42" x14ac:dyDescent="0.2">
      <c r="B4000" t="s">
        <v>44</v>
      </c>
      <c r="C4000" t="str">
        <f>HYPERLINK("https://us2.cloudbeds.com/connect/8493803454333002#/reservations/82042173436156?display=1PB19MPRP9&amp;reservation_id=82042173436156", "1PB19MPRP9")</f>
        <v>1PB19MPRP9</v>
      </c>
      <c r="D4000" t="s">
        <v>45</v>
      </c>
      <c r="E4000" t="s">
        <v>128</v>
      </c>
      <c r="F4000" t="s">
        <v>86</v>
      </c>
      <c r="G4000" t="s">
        <v>48</v>
      </c>
      <c r="H4000" t="s">
        <v>49</v>
      </c>
      <c r="I4000" t="s">
        <v>62</v>
      </c>
      <c r="J4000" t="s">
        <v>6755</v>
      </c>
      <c r="K4000" t="s">
        <v>6717</v>
      </c>
      <c r="L4000" t="s">
        <v>53</v>
      </c>
      <c r="N4000" t="s">
        <v>6823</v>
      </c>
      <c r="P4000" t="s">
        <v>55</v>
      </c>
      <c r="R4000" t="s">
        <v>56</v>
      </c>
      <c r="T4000" t="s">
        <v>6824</v>
      </c>
      <c r="U4000" t="s">
        <v>55</v>
      </c>
      <c r="V4000">
        <v>1</v>
      </c>
      <c r="W4000">
        <v>1</v>
      </c>
      <c r="X4000">
        <v>2</v>
      </c>
      <c r="Y4000">
        <v>0</v>
      </c>
      <c r="Z4000">
        <v>2</v>
      </c>
      <c r="AA4000">
        <v>74</v>
      </c>
      <c r="AB4000">
        <v>74</v>
      </c>
      <c r="AC4000">
        <v>74</v>
      </c>
      <c r="AD4000">
        <v>0</v>
      </c>
      <c r="AE4000">
        <v>0</v>
      </c>
      <c r="AF4000">
        <v>0</v>
      </c>
      <c r="AG4000">
        <v>0</v>
      </c>
      <c r="AH4000">
        <v>0</v>
      </c>
      <c r="AI4000">
        <v>13.32</v>
      </c>
      <c r="AJ4000">
        <v>74</v>
      </c>
      <c r="AK4000">
        <v>0</v>
      </c>
      <c r="AL4000" t="s">
        <v>53</v>
      </c>
      <c r="AM4000" t="s">
        <v>53</v>
      </c>
      <c r="AN4000" t="s">
        <v>53</v>
      </c>
      <c r="AO4000" t="s">
        <v>53</v>
      </c>
      <c r="AP4000" t="s">
        <v>53</v>
      </c>
    </row>
    <row r="4001" spans="2:42" x14ac:dyDescent="0.2">
      <c r="B4001" t="s">
        <v>44</v>
      </c>
      <c r="C4001" t="str">
        <f>HYPERLINK("https://us2.cloudbeds.com/connect/8493803454333002#/reservations/82070598287564?display=1PBNA0C7MS&amp;reservation_id=82070598287564", "1PBNA0C7MS")</f>
        <v>1PBNA0C7MS</v>
      </c>
      <c r="D4001" t="s">
        <v>45</v>
      </c>
      <c r="E4001" t="s">
        <v>98</v>
      </c>
      <c r="F4001" t="s">
        <v>86</v>
      </c>
      <c r="G4001" t="s">
        <v>48</v>
      </c>
      <c r="H4001" t="s">
        <v>3957</v>
      </c>
      <c r="I4001" t="s">
        <v>3989</v>
      </c>
      <c r="J4001" t="s">
        <v>6748</v>
      </c>
      <c r="K4001" t="s">
        <v>6595</v>
      </c>
      <c r="L4001" t="s">
        <v>53</v>
      </c>
      <c r="P4001" t="s">
        <v>58</v>
      </c>
      <c r="R4001" t="s">
        <v>56</v>
      </c>
      <c r="T4001" t="s">
        <v>6825</v>
      </c>
      <c r="U4001" t="s">
        <v>58</v>
      </c>
      <c r="V4001">
        <v>1</v>
      </c>
      <c r="W4001">
        <v>1</v>
      </c>
      <c r="X4001">
        <v>1</v>
      </c>
      <c r="Y4001">
        <v>0</v>
      </c>
      <c r="Z4001">
        <v>1</v>
      </c>
      <c r="AA4001">
        <v>90.92</v>
      </c>
      <c r="AB4001">
        <v>90.92</v>
      </c>
      <c r="AC4001">
        <v>80</v>
      </c>
      <c r="AD4001">
        <v>0</v>
      </c>
      <c r="AE4001">
        <v>10.92</v>
      </c>
      <c r="AF4001">
        <v>0</v>
      </c>
      <c r="AG4001">
        <v>0</v>
      </c>
      <c r="AH4001">
        <v>0</v>
      </c>
      <c r="AI4001">
        <v>0</v>
      </c>
      <c r="AJ4001">
        <v>90.92</v>
      </c>
      <c r="AK4001">
        <v>0</v>
      </c>
      <c r="AL4001" t="s">
        <v>53</v>
      </c>
      <c r="AM4001" t="s">
        <v>53</v>
      </c>
      <c r="AN4001" t="s">
        <v>53</v>
      </c>
      <c r="AO4001" t="s">
        <v>53</v>
      </c>
      <c r="AP4001" t="s">
        <v>53</v>
      </c>
    </row>
    <row r="4002" spans="2:42" x14ac:dyDescent="0.2">
      <c r="B4002" t="s">
        <v>44</v>
      </c>
      <c r="C4002" t="str">
        <f>HYPERLINK("https://us2.cloudbeds.com/connect/8493803454333002#/reservations/82098745217226?display=1PCC37K1DB&amp;reservation_id=82098745217226", "1PCC37K1DB")</f>
        <v>1PCC37K1DB</v>
      </c>
      <c r="D4002" t="s">
        <v>45</v>
      </c>
      <c r="E4002" t="s">
        <v>223</v>
      </c>
      <c r="F4002" t="s">
        <v>47</v>
      </c>
      <c r="G4002" t="s">
        <v>48</v>
      </c>
      <c r="H4002" t="s">
        <v>49</v>
      </c>
      <c r="I4002" t="s">
        <v>50</v>
      </c>
      <c r="J4002" t="s">
        <v>6717</v>
      </c>
      <c r="K4002" t="s">
        <v>6743</v>
      </c>
      <c r="L4002" t="s">
        <v>53</v>
      </c>
      <c r="N4002" t="s">
        <v>6826</v>
      </c>
      <c r="P4002" t="s">
        <v>55</v>
      </c>
      <c r="R4002" t="s">
        <v>53</v>
      </c>
      <c r="T4002" t="s">
        <v>6827</v>
      </c>
      <c r="U4002" t="s">
        <v>58</v>
      </c>
      <c r="V4002">
        <v>1</v>
      </c>
      <c r="W4002">
        <v>1</v>
      </c>
      <c r="X4002">
        <v>2</v>
      </c>
      <c r="Y4002">
        <v>0</v>
      </c>
      <c r="Z4002">
        <v>2</v>
      </c>
      <c r="AA4002">
        <v>54.1</v>
      </c>
      <c r="AB4002">
        <v>54.1</v>
      </c>
      <c r="AC4002">
        <v>47.6</v>
      </c>
      <c r="AD4002">
        <v>0</v>
      </c>
      <c r="AE4002">
        <v>6.5</v>
      </c>
      <c r="AF4002">
        <v>0</v>
      </c>
      <c r="AG4002">
        <v>0</v>
      </c>
      <c r="AH4002">
        <v>0</v>
      </c>
      <c r="AI4002">
        <v>9.74</v>
      </c>
      <c r="AJ4002">
        <v>54.1</v>
      </c>
      <c r="AK4002">
        <v>0</v>
      </c>
      <c r="AL4002" t="s">
        <v>53</v>
      </c>
      <c r="AM4002" t="s">
        <v>53</v>
      </c>
      <c r="AN4002" t="s">
        <v>53</v>
      </c>
      <c r="AO4002" t="s">
        <v>53</v>
      </c>
      <c r="AP4002" t="s">
        <v>53</v>
      </c>
    </row>
    <row r="4003" spans="2:42" x14ac:dyDescent="0.2">
      <c r="B4003" t="s">
        <v>44</v>
      </c>
      <c r="C4003" t="str">
        <f>HYPERLINK("https://us2.cloudbeds.com/connect/8493803454333002#/reservations/82108146221253?display=1PCJCEPRY8&amp;reservation_id=82108146221253", "1PCJCEPRY8")</f>
        <v>1PCJCEPRY8</v>
      </c>
      <c r="D4003" t="s">
        <v>45</v>
      </c>
      <c r="E4003" t="s">
        <v>138</v>
      </c>
      <c r="F4003" t="s">
        <v>70</v>
      </c>
      <c r="G4003" t="s">
        <v>48</v>
      </c>
      <c r="H4003" t="s">
        <v>49</v>
      </c>
      <c r="I4003" t="s">
        <v>50</v>
      </c>
      <c r="J4003" t="s">
        <v>6828</v>
      </c>
      <c r="K4003" t="s">
        <v>6829</v>
      </c>
      <c r="L4003" t="s">
        <v>53</v>
      </c>
      <c r="N4003" t="s">
        <v>6830</v>
      </c>
      <c r="P4003" t="s">
        <v>55</v>
      </c>
      <c r="R4003" t="s">
        <v>53</v>
      </c>
      <c r="T4003" t="s">
        <v>6831</v>
      </c>
      <c r="U4003" t="s">
        <v>58</v>
      </c>
      <c r="V4003">
        <v>2</v>
      </c>
      <c r="W4003">
        <v>1</v>
      </c>
      <c r="X4003">
        <v>2</v>
      </c>
      <c r="Y4003">
        <v>0</v>
      </c>
      <c r="Z4003">
        <v>2</v>
      </c>
      <c r="AA4003">
        <v>347.79</v>
      </c>
      <c r="AB4003">
        <v>347.79</v>
      </c>
      <c r="AC4003">
        <v>306</v>
      </c>
      <c r="AD4003">
        <v>0</v>
      </c>
      <c r="AE4003">
        <v>41.79</v>
      </c>
      <c r="AF4003">
        <v>0</v>
      </c>
      <c r="AG4003">
        <v>0</v>
      </c>
      <c r="AH4003">
        <v>0</v>
      </c>
      <c r="AI4003">
        <v>62.6</v>
      </c>
      <c r="AJ4003">
        <v>347.79</v>
      </c>
      <c r="AK4003">
        <v>0</v>
      </c>
      <c r="AL4003" t="s">
        <v>53</v>
      </c>
      <c r="AM4003" t="s">
        <v>53</v>
      </c>
      <c r="AN4003" t="s">
        <v>53</v>
      </c>
      <c r="AO4003" t="s">
        <v>53</v>
      </c>
      <c r="AP4003" t="s">
        <v>53</v>
      </c>
    </row>
    <row r="4004" spans="2:42" x14ac:dyDescent="0.2">
      <c r="B4004" t="s">
        <v>44</v>
      </c>
      <c r="C4004" t="str">
        <f>HYPERLINK("https://us2.cloudbeds.com/connect/8493803454333002#/reservations/82127403499774?display=1PD19H0WWR&amp;reservation_id=82127403499774", "1PD19H0WWR")</f>
        <v>1PD19H0WWR</v>
      </c>
      <c r="D4004" t="s">
        <v>45</v>
      </c>
      <c r="E4004" t="s">
        <v>138</v>
      </c>
      <c r="F4004" t="s">
        <v>70</v>
      </c>
      <c r="G4004" t="s">
        <v>48</v>
      </c>
      <c r="H4004" t="s">
        <v>3957</v>
      </c>
      <c r="I4004" t="s">
        <v>3975</v>
      </c>
      <c r="J4004" t="s">
        <v>6832</v>
      </c>
      <c r="K4004" t="s">
        <v>6379</v>
      </c>
      <c r="L4004" t="s">
        <v>53</v>
      </c>
      <c r="P4004" t="s">
        <v>55</v>
      </c>
      <c r="R4004" t="s">
        <v>53</v>
      </c>
      <c r="T4004" t="s">
        <v>6833</v>
      </c>
      <c r="U4004" t="s">
        <v>58</v>
      </c>
      <c r="V4004">
        <v>2</v>
      </c>
      <c r="W4004">
        <v>1</v>
      </c>
      <c r="X4004">
        <v>2</v>
      </c>
      <c r="Y4004">
        <v>0</v>
      </c>
      <c r="Z4004">
        <v>2</v>
      </c>
      <c r="AA4004">
        <v>328.45</v>
      </c>
      <c r="AB4004">
        <v>328.45</v>
      </c>
      <c r="AC4004">
        <v>289</v>
      </c>
      <c r="AD4004">
        <v>0</v>
      </c>
      <c r="AE4004">
        <v>39.450000000000003</v>
      </c>
      <c r="AF4004">
        <v>0</v>
      </c>
      <c r="AG4004">
        <v>0</v>
      </c>
      <c r="AH4004">
        <v>0</v>
      </c>
      <c r="AI4004">
        <v>0</v>
      </c>
      <c r="AJ4004">
        <v>328.45</v>
      </c>
      <c r="AK4004">
        <v>0</v>
      </c>
      <c r="AL4004" t="s">
        <v>53</v>
      </c>
      <c r="AM4004" t="s">
        <v>53</v>
      </c>
      <c r="AN4004" t="s">
        <v>53</v>
      </c>
      <c r="AO4004" t="s">
        <v>53</v>
      </c>
      <c r="AP4004" t="s">
        <v>53</v>
      </c>
    </row>
    <row r="4005" spans="2:42" x14ac:dyDescent="0.2">
      <c r="B4005" t="s">
        <v>44</v>
      </c>
      <c r="C4005" t="str">
        <f>HYPERLINK("https://us2.cloudbeds.com/connect/8493803454333002#/reservations/82285546975372?display=1PGZZEQAS3&amp;reservation_id=82285546975372", "1PGZZEQAS3")</f>
        <v>1PGZZEQAS3</v>
      </c>
      <c r="D4005" t="s">
        <v>45</v>
      </c>
      <c r="E4005" t="s">
        <v>128</v>
      </c>
      <c r="F4005" t="s">
        <v>86</v>
      </c>
      <c r="G4005" t="s">
        <v>48</v>
      </c>
      <c r="H4005" t="s">
        <v>49</v>
      </c>
      <c r="I4005" t="s">
        <v>50</v>
      </c>
      <c r="J4005" t="s">
        <v>6250</v>
      </c>
      <c r="K4005" t="s">
        <v>6791</v>
      </c>
      <c r="L4005" t="s">
        <v>53</v>
      </c>
      <c r="N4005" t="s">
        <v>6834</v>
      </c>
      <c r="P4005" t="s">
        <v>55</v>
      </c>
      <c r="R4005" t="s">
        <v>53</v>
      </c>
      <c r="T4005" t="s">
        <v>6835</v>
      </c>
      <c r="U4005" t="s">
        <v>58</v>
      </c>
      <c r="V4005">
        <v>1</v>
      </c>
      <c r="W4005">
        <v>1</v>
      </c>
      <c r="X4005">
        <v>2</v>
      </c>
      <c r="Y4005">
        <v>0</v>
      </c>
      <c r="Z4005">
        <v>2</v>
      </c>
      <c r="AA4005">
        <v>81.010000000000005</v>
      </c>
      <c r="AB4005">
        <v>81.010000000000005</v>
      </c>
      <c r="AC4005">
        <v>71.28</v>
      </c>
      <c r="AD4005">
        <v>0</v>
      </c>
      <c r="AE4005">
        <v>9.73</v>
      </c>
      <c r="AF4005">
        <v>0</v>
      </c>
      <c r="AG4005">
        <v>0</v>
      </c>
      <c r="AH4005">
        <v>0</v>
      </c>
      <c r="AI4005">
        <v>14.58</v>
      </c>
      <c r="AJ4005">
        <v>81.010000000000005</v>
      </c>
      <c r="AK4005">
        <v>0</v>
      </c>
      <c r="AL4005" t="s">
        <v>53</v>
      </c>
      <c r="AM4005" t="s">
        <v>53</v>
      </c>
      <c r="AN4005" t="s">
        <v>53</v>
      </c>
      <c r="AO4005" t="s">
        <v>53</v>
      </c>
      <c r="AP4005" t="s">
        <v>53</v>
      </c>
    </row>
    <row r="4006" spans="2:42" x14ac:dyDescent="0.2">
      <c r="B4006" t="s">
        <v>44</v>
      </c>
      <c r="C4006" t="str">
        <f>HYPERLINK("https://us2.cloudbeds.com/connect/8493803454333002#/reservations/82343648551117?display=1PX3Z2JAKX&amp;reservation_id=82343648551117", "1PX3Z2JAKX")</f>
        <v>1PX3Z2JAKX</v>
      </c>
      <c r="D4006" t="s">
        <v>45</v>
      </c>
      <c r="E4006" t="s">
        <v>155</v>
      </c>
      <c r="F4006" t="s">
        <v>86</v>
      </c>
      <c r="G4006" t="s">
        <v>48</v>
      </c>
      <c r="H4006" t="s">
        <v>49</v>
      </c>
      <c r="I4006" t="s">
        <v>50</v>
      </c>
      <c r="J4006" t="s">
        <v>6836</v>
      </c>
      <c r="K4006" t="s">
        <v>6837</v>
      </c>
      <c r="L4006" t="s">
        <v>53</v>
      </c>
      <c r="N4006" t="s">
        <v>6838</v>
      </c>
      <c r="P4006" t="s">
        <v>55</v>
      </c>
      <c r="R4006" t="s">
        <v>53</v>
      </c>
      <c r="T4006" t="s">
        <v>6839</v>
      </c>
      <c r="U4006" t="s">
        <v>58</v>
      </c>
      <c r="V4006">
        <v>1</v>
      </c>
      <c r="W4006">
        <v>1</v>
      </c>
      <c r="X4006">
        <v>2</v>
      </c>
      <c r="Y4006">
        <v>0</v>
      </c>
      <c r="Z4006">
        <v>2</v>
      </c>
      <c r="AA4006">
        <v>52.37</v>
      </c>
      <c r="AB4006">
        <v>52.37</v>
      </c>
      <c r="AC4006">
        <v>46.08</v>
      </c>
      <c r="AD4006">
        <v>0</v>
      </c>
      <c r="AE4006">
        <v>6.29</v>
      </c>
      <c r="AF4006">
        <v>0</v>
      </c>
      <c r="AG4006">
        <v>0</v>
      </c>
      <c r="AH4006">
        <v>0</v>
      </c>
      <c r="AI4006">
        <v>9.43</v>
      </c>
      <c r="AJ4006">
        <v>52.37</v>
      </c>
      <c r="AK4006">
        <v>0</v>
      </c>
      <c r="AL4006" t="s">
        <v>53</v>
      </c>
      <c r="AM4006" t="s">
        <v>53</v>
      </c>
      <c r="AN4006" t="s">
        <v>53</v>
      </c>
      <c r="AO4006" t="s">
        <v>53</v>
      </c>
      <c r="AP4006" t="s">
        <v>53</v>
      </c>
    </row>
    <row r="4007" spans="2:42" x14ac:dyDescent="0.2">
      <c r="B4007" t="s">
        <v>44</v>
      </c>
      <c r="C4007" t="str">
        <f>HYPERLINK("https://us2.cloudbeds.com/connect/8493803454333002#/reservations/82343648555211?display=1PX3Z2JECK&amp;reservation_id=82343648555211", "1PX3Z2JECK")</f>
        <v>1PX3Z2JECK</v>
      </c>
      <c r="D4007" t="s">
        <v>45</v>
      </c>
      <c r="E4007" t="s">
        <v>98</v>
      </c>
      <c r="F4007" t="s">
        <v>86</v>
      </c>
      <c r="G4007" t="s">
        <v>48</v>
      </c>
      <c r="H4007" t="s">
        <v>49</v>
      </c>
      <c r="I4007" t="s">
        <v>50</v>
      </c>
      <c r="J4007" t="s">
        <v>6836</v>
      </c>
      <c r="K4007" t="s">
        <v>6837</v>
      </c>
      <c r="L4007" t="s">
        <v>53</v>
      </c>
      <c r="N4007" t="s">
        <v>6840</v>
      </c>
      <c r="P4007" t="s">
        <v>55</v>
      </c>
      <c r="R4007" t="s">
        <v>53</v>
      </c>
      <c r="T4007" t="s">
        <v>6841</v>
      </c>
      <c r="U4007" t="s">
        <v>58</v>
      </c>
      <c r="V4007">
        <v>1</v>
      </c>
      <c r="W4007">
        <v>1</v>
      </c>
      <c r="X4007">
        <v>2</v>
      </c>
      <c r="Y4007">
        <v>0</v>
      </c>
      <c r="Z4007">
        <v>2</v>
      </c>
      <c r="AA4007">
        <v>52.37</v>
      </c>
      <c r="AB4007">
        <v>52.37</v>
      </c>
      <c r="AC4007">
        <v>46.08</v>
      </c>
      <c r="AD4007">
        <v>0</v>
      </c>
      <c r="AE4007">
        <v>6.29</v>
      </c>
      <c r="AF4007">
        <v>0</v>
      </c>
      <c r="AG4007">
        <v>0</v>
      </c>
      <c r="AH4007">
        <v>0</v>
      </c>
      <c r="AI4007">
        <v>9.43</v>
      </c>
      <c r="AJ4007">
        <v>52.37</v>
      </c>
      <c r="AK4007">
        <v>0</v>
      </c>
      <c r="AL4007" t="s">
        <v>53</v>
      </c>
      <c r="AM4007" t="s">
        <v>53</v>
      </c>
      <c r="AN4007" t="s">
        <v>53</v>
      </c>
      <c r="AO4007" t="s">
        <v>53</v>
      </c>
      <c r="AP4007" t="s">
        <v>53</v>
      </c>
    </row>
    <row r="4008" spans="2:42" x14ac:dyDescent="0.2">
      <c r="B4008" t="s">
        <v>44</v>
      </c>
      <c r="C4008" t="str">
        <f>HYPERLINK("https://us2.cloudbeds.com/connect/8493803454333002#/reservations/82370853216457?display=1PXZQ797RZ&amp;reservation_id=82370853216457", "1PXZQ797RZ")</f>
        <v>1PXZQ797RZ</v>
      </c>
      <c r="D4008" t="s">
        <v>45</v>
      </c>
      <c r="E4008" t="s">
        <v>98</v>
      </c>
      <c r="F4008" t="s">
        <v>86</v>
      </c>
      <c r="G4008" t="s">
        <v>48</v>
      </c>
      <c r="H4008" t="s">
        <v>49</v>
      </c>
      <c r="I4008" t="s">
        <v>50</v>
      </c>
      <c r="J4008" t="s">
        <v>6810</v>
      </c>
      <c r="K4008" t="s">
        <v>6699</v>
      </c>
      <c r="L4008" t="s">
        <v>53</v>
      </c>
      <c r="N4008" t="s">
        <v>6842</v>
      </c>
      <c r="P4008" t="s">
        <v>55</v>
      </c>
      <c r="R4008" t="s">
        <v>53</v>
      </c>
      <c r="T4008" t="s">
        <v>6843</v>
      </c>
      <c r="U4008" t="s">
        <v>58</v>
      </c>
      <c r="V4008">
        <v>1</v>
      </c>
      <c r="W4008">
        <v>1</v>
      </c>
      <c r="X4008">
        <v>2</v>
      </c>
      <c r="Y4008">
        <v>0</v>
      </c>
      <c r="Z4008">
        <v>2</v>
      </c>
      <c r="AA4008">
        <v>70.569999999999993</v>
      </c>
      <c r="AB4008">
        <v>70.569999999999993</v>
      </c>
      <c r="AC4008">
        <v>62.1</v>
      </c>
      <c r="AD4008">
        <v>0</v>
      </c>
      <c r="AE4008">
        <v>8.4700000000000006</v>
      </c>
      <c r="AF4008">
        <v>0</v>
      </c>
      <c r="AG4008">
        <v>0</v>
      </c>
      <c r="AH4008">
        <v>0</v>
      </c>
      <c r="AI4008">
        <v>12.7</v>
      </c>
      <c r="AJ4008">
        <v>70.569999999999993</v>
      </c>
      <c r="AK4008">
        <v>0</v>
      </c>
      <c r="AL4008" t="s">
        <v>53</v>
      </c>
      <c r="AM4008" t="s">
        <v>53</v>
      </c>
      <c r="AN4008" t="s">
        <v>53</v>
      </c>
      <c r="AO4008" t="s">
        <v>53</v>
      </c>
      <c r="AP4008" t="s">
        <v>53</v>
      </c>
    </row>
    <row r="4009" spans="2:42" x14ac:dyDescent="0.2">
      <c r="B4009" t="s">
        <v>44</v>
      </c>
      <c r="C4009" t="str">
        <f>HYPERLINK("https://us2.cloudbeds.com/connect/8493803454333002#/reservations/82378223079660?display=1PXUGHZHWN&amp;reservation_id=82378223079660", "1PXUGHZHWN")</f>
        <v>1PXUGHZHWN</v>
      </c>
      <c r="D4009" t="s">
        <v>45</v>
      </c>
      <c r="E4009" t="s">
        <v>98</v>
      </c>
      <c r="F4009" t="s">
        <v>86</v>
      </c>
      <c r="G4009" t="s">
        <v>48</v>
      </c>
      <c r="H4009" t="s">
        <v>49</v>
      </c>
      <c r="I4009" t="s">
        <v>50</v>
      </c>
      <c r="J4009" t="s">
        <v>6772</v>
      </c>
      <c r="K4009" t="s">
        <v>6743</v>
      </c>
      <c r="L4009" t="s">
        <v>53</v>
      </c>
      <c r="N4009" t="s">
        <v>6844</v>
      </c>
      <c r="P4009" t="s">
        <v>55</v>
      </c>
      <c r="R4009" t="s">
        <v>53</v>
      </c>
      <c r="T4009" t="s">
        <v>6845</v>
      </c>
      <c r="U4009" t="s">
        <v>58</v>
      </c>
      <c r="V4009">
        <v>3</v>
      </c>
      <c r="W4009">
        <v>1</v>
      </c>
      <c r="X4009">
        <v>2</v>
      </c>
      <c r="Y4009">
        <v>0</v>
      </c>
      <c r="Z4009">
        <v>2</v>
      </c>
      <c r="AA4009">
        <v>207.65</v>
      </c>
      <c r="AB4009">
        <v>207.65</v>
      </c>
      <c r="AC4009">
        <v>182.7</v>
      </c>
      <c r="AD4009">
        <v>0</v>
      </c>
      <c r="AE4009">
        <v>24.95</v>
      </c>
      <c r="AF4009">
        <v>0</v>
      </c>
      <c r="AG4009">
        <v>0</v>
      </c>
      <c r="AH4009">
        <v>0</v>
      </c>
      <c r="AI4009">
        <v>37.380000000000003</v>
      </c>
      <c r="AJ4009">
        <v>207.65</v>
      </c>
      <c r="AK4009">
        <v>0</v>
      </c>
      <c r="AL4009" t="s">
        <v>53</v>
      </c>
      <c r="AM4009" t="s">
        <v>53</v>
      </c>
      <c r="AN4009" t="s">
        <v>6846</v>
      </c>
      <c r="AO4009" t="s">
        <v>53</v>
      </c>
      <c r="AP4009" t="s">
        <v>53</v>
      </c>
    </row>
    <row r="4010" spans="2:42" x14ac:dyDescent="0.2">
      <c r="B4010" t="s">
        <v>44</v>
      </c>
      <c r="C4010" t="str">
        <f>HYPERLINK("https://us2.cloudbeds.com/connect/8493803454333002#/reservations/82409903775990?display=1PJM11ZKGK&amp;reservation_id=82409903775990", "1PJM11ZKGK")</f>
        <v>1PJM11ZKGK</v>
      </c>
      <c r="D4010" t="s">
        <v>45</v>
      </c>
      <c r="E4010" t="s">
        <v>113</v>
      </c>
      <c r="F4010" t="s">
        <v>61</v>
      </c>
      <c r="G4010" t="s">
        <v>48</v>
      </c>
      <c r="H4010" t="s">
        <v>49</v>
      </c>
      <c r="I4010" t="s">
        <v>50</v>
      </c>
      <c r="J4010" t="s">
        <v>6772</v>
      </c>
      <c r="K4010" t="s">
        <v>6743</v>
      </c>
      <c r="L4010" t="s">
        <v>53</v>
      </c>
      <c r="N4010" t="s">
        <v>6847</v>
      </c>
      <c r="P4010" t="s">
        <v>55</v>
      </c>
      <c r="R4010" t="s">
        <v>53</v>
      </c>
      <c r="T4010" t="s">
        <v>6848</v>
      </c>
      <c r="U4010" t="s">
        <v>58</v>
      </c>
      <c r="V4010">
        <v>3</v>
      </c>
      <c r="W4010">
        <v>1</v>
      </c>
      <c r="X4010">
        <v>2</v>
      </c>
      <c r="Y4010">
        <v>0</v>
      </c>
      <c r="Z4010">
        <v>2</v>
      </c>
      <c r="AA4010">
        <v>184.55</v>
      </c>
      <c r="AB4010">
        <v>184.55</v>
      </c>
      <c r="AC4010">
        <v>162.4</v>
      </c>
      <c r="AD4010">
        <v>0</v>
      </c>
      <c r="AE4010">
        <v>22.15</v>
      </c>
      <c r="AF4010">
        <v>0</v>
      </c>
      <c r="AG4010">
        <v>0</v>
      </c>
      <c r="AH4010">
        <v>0</v>
      </c>
      <c r="AI4010">
        <v>33.22</v>
      </c>
      <c r="AJ4010">
        <v>184.55</v>
      </c>
      <c r="AK4010">
        <v>0</v>
      </c>
      <c r="AL4010" t="s">
        <v>53</v>
      </c>
      <c r="AM4010" t="s">
        <v>53</v>
      </c>
      <c r="AN4010" t="s">
        <v>53</v>
      </c>
      <c r="AO4010" t="s">
        <v>53</v>
      </c>
      <c r="AP4010" t="s">
        <v>53</v>
      </c>
    </row>
    <row r="4011" spans="2:42" x14ac:dyDescent="0.2">
      <c r="B4011" t="s">
        <v>44</v>
      </c>
      <c r="C4011" t="str">
        <f>HYPERLINK("https://us2.cloudbeds.com/connect/8493803454333002#/reservations/82461756747972?display=1PKT60X03T&amp;reservation_id=82461756747972", "1PKT60X03T")</f>
        <v>1PKT60X03T</v>
      </c>
      <c r="D4011" t="s">
        <v>45</v>
      </c>
      <c r="E4011" t="s">
        <v>223</v>
      </c>
      <c r="F4011" t="s">
        <v>47</v>
      </c>
      <c r="G4011" t="s">
        <v>48</v>
      </c>
      <c r="H4011" t="s">
        <v>49</v>
      </c>
      <c r="I4011" t="s">
        <v>50</v>
      </c>
      <c r="J4011" t="s">
        <v>6849</v>
      </c>
      <c r="K4011" t="s">
        <v>6249</v>
      </c>
      <c r="L4011" t="s">
        <v>53</v>
      </c>
      <c r="N4011" t="s">
        <v>6850</v>
      </c>
      <c r="P4011" t="s">
        <v>55</v>
      </c>
      <c r="R4011" t="s">
        <v>53</v>
      </c>
      <c r="T4011" t="s">
        <v>6851</v>
      </c>
      <c r="U4011" t="s">
        <v>58</v>
      </c>
      <c r="V4011">
        <v>1</v>
      </c>
      <c r="W4011">
        <v>1</v>
      </c>
      <c r="X4011">
        <v>2</v>
      </c>
      <c r="Y4011">
        <v>0</v>
      </c>
      <c r="Z4011">
        <v>2</v>
      </c>
      <c r="AA4011">
        <v>57.97</v>
      </c>
      <c r="AB4011">
        <v>57.97</v>
      </c>
      <c r="AC4011">
        <v>51</v>
      </c>
      <c r="AD4011">
        <v>0</v>
      </c>
      <c r="AE4011">
        <v>6.97</v>
      </c>
      <c r="AF4011">
        <v>0</v>
      </c>
      <c r="AG4011">
        <v>0</v>
      </c>
      <c r="AH4011">
        <v>0</v>
      </c>
      <c r="AI4011">
        <v>10.43</v>
      </c>
      <c r="AJ4011">
        <v>57.97</v>
      </c>
      <c r="AK4011">
        <v>0</v>
      </c>
      <c r="AL4011" t="s">
        <v>53</v>
      </c>
      <c r="AM4011" t="s">
        <v>53</v>
      </c>
      <c r="AN4011" t="s">
        <v>53</v>
      </c>
      <c r="AO4011" t="s">
        <v>53</v>
      </c>
      <c r="AP4011" t="s">
        <v>53</v>
      </c>
    </row>
    <row r="4012" spans="2:42" x14ac:dyDescent="0.2">
      <c r="B4012" t="s">
        <v>44</v>
      </c>
      <c r="C4012" t="str">
        <f>HYPERLINK("https://us2.cloudbeds.com/connect/8493803454333002#/reservations/82488400343253?display=1PYGQR4AG2&amp;reservation_id=82488400343253", "1PYGQR4AG2")</f>
        <v>1PYGQR4AG2</v>
      </c>
      <c r="D4012" t="s">
        <v>45</v>
      </c>
      <c r="E4012" t="s">
        <v>128</v>
      </c>
      <c r="F4012" t="s">
        <v>86</v>
      </c>
      <c r="G4012" t="s">
        <v>48</v>
      </c>
      <c r="H4012" t="s">
        <v>3957</v>
      </c>
      <c r="I4012" t="s">
        <v>3989</v>
      </c>
      <c r="J4012" t="s">
        <v>6596</v>
      </c>
      <c r="K4012" t="s">
        <v>6772</v>
      </c>
      <c r="L4012" t="s">
        <v>53</v>
      </c>
      <c r="P4012" t="s">
        <v>55</v>
      </c>
      <c r="R4012" t="s">
        <v>56</v>
      </c>
      <c r="T4012" t="s">
        <v>6852</v>
      </c>
      <c r="U4012" t="s">
        <v>58</v>
      </c>
      <c r="V4012">
        <v>1</v>
      </c>
      <c r="W4012">
        <v>1</v>
      </c>
      <c r="X4012">
        <v>2</v>
      </c>
      <c r="Y4012">
        <v>2</v>
      </c>
      <c r="Z4012">
        <v>4</v>
      </c>
      <c r="AA4012">
        <v>109.1</v>
      </c>
      <c r="AB4012">
        <v>109.1</v>
      </c>
      <c r="AC4012">
        <v>96</v>
      </c>
      <c r="AD4012">
        <v>0</v>
      </c>
      <c r="AE4012">
        <v>13.1</v>
      </c>
      <c r="AF4012">
        <v>0</v>
      </c>
      <c r="AG4012">
        <v>0</v>
      </c>
      <c r="AH4012">
        <v>0</v>
      </c>
      <c r="AI4012">
        <v>0</v>
      </c>
      <c r="AJ4012">
        <v>109.1</v>
      </c>
      <c r="AK4012">
        <v>0</v>
      </c>
      <c r="AL4012" t="s">
        <v>53</v>
      </c>
      <c r="AM4012" t="s">
        <v>53</v>
      </c>
      <c r="AN4012" t="s">
        <v>53</v>
      </c>
      <c r="AO4012" t="s">
        <v>53</v>
      </c>
      <c r="AP4012" t="s">
        <v>53</v>
      </c>
    </row>
    <row r="4013" spans="2:42" x14ac:dyDescent="0.2">
      <c r="B4013" t="s">
        <v>44</v>
      </c>
      <c r="C4013" t="str">
        <f>HYPERLINK("https://us2.cloudbeds.com/connect/8493803454333002#/reservations/82491444187326?display=1PYJ5JPP98&amp;reservation_id=82491444187326", "1PYJ5JPP98")</f>
        <v>1PYJ5JPP98</v>
      </c>
      <c r="D4013" t="s">
        <v>45</v>
      </c>
      <c r="E4013" t="s">
        <v>113</v>
      </c>
      <c r="F4013" t="s">
        <v>61</v>
      </c>
      <c r="G4013" t="s">
        <v>48</v>
      </c>
      <c r="H4013" t="s">
        <v>49</v>
      </c>
      <c r="I4013" t="s">
        <v>62</v>
      </c>
      <c r="J4013" t="s">
        <v>6596</v>
      </c>
      <c r="K4013" t="s">
        <v>6772</v>
      </c>
      <c r="L4013" t="s">
        <v>53</v>
      </c>
      <c r="N4013" t="s">
        <v>6853</v>
      </c>
      <c r="P4013" t="s">
        <v>55</v>
      </c>
      <c r="R4013" t="s">
        <v>56</v>
      </c>
      <c r="T4013" t="s">
        <v>6854</v>
      </c>
      <c r="U4013" t="s">
        <v>55</v>
      </c>
      <c r="V4013">
        <v>1</v>
      </c>
      <c r="W4013">
        <v>1</v>
      </c>
      <c r="X4013">
        <v>2</v>
      </c>
      <c r="Y4013">
        <v>0</v>
      </c>
      <c r="Z4013">
        <v>2</v>
      </c>
      <c r="AA4013">
        <v>78</v>
      </c>
      <c r="AB4013">
        <v>78</v>
      </c>
      <c r="AC4013">
        <v>78</v>
      </c>
      <c r="AD4013">
        <v>0</v>
      </c>
      <c r="AE4013">
        <v>0</v>
      </c>
      <c r="AF4013">
        <v>0</v>
      </c>
      <c r="AG4013">
        <v>0</v>
      </c>
      <c r="AH4013">
        <v>0</v>
      </c>
      <c r="AI4013">
        <v>14.04</v>
      </c>
      <c r="AJ4013">
        <v>78</v>
      </c>
      <c r="AK4013">
        <v>0</v>
      </c>
      <c r="AL4013" t="s">
        <v>53</v>
      </c>
      <c r="AM4013" t="s">
        <v>53</v>
      </c>
      <c r="AN4013" t="s">
        <v>53</v>
      </c>
      <c r="AO4013" t="s">
        <v>53</v>
      </c>
      <c r="AP4013" t="s">
        <v>53</v>
      </c>
    </row>
    <row r="4014" spans="2:42" x14ac:dyDescent="0.2">
      <c r="B4014" t="s">
        <v>44</v>
      </c>
      <c r="C4014" t="str">
        <f>HYPERLINK("https://us2.cloudbeds.com/connect/8493803454333002#/reservations/82621262020825?display=1PZKMZKBGY&amp;reservation_id=82621262020825", "1PZKMZKBGY")</f>
        <v>1PZKMZKBGY</v>
      </c>
      <c r="D4014" t="s">
        <v>45</v>
      </c>
      <c r="E4014" t="s">
        <v>92</v>
      </c>
      <c r="F4014" t="s">
        <v>86</v>
      </c>
      <c r="G4014" t="s">
        <v>48</v>
      </c>
      <c r="H4014" t="s">
        <v>49</v>
      </c>
      <c r="I4014" t="s">
        <v>62</v>
      </c>
      <c r="J4014" t="s">
        <v>6819</v>
      </c>
      <c r="K4014" t="s">
        <v>6855</v>
      </c>
      <c r="L4014" t="s">
        <v>53</v>
      </c>
      <c r="N4014" t="s">
        <v>6856</v>
      </c>
      <c r="P4014" t="s">
        <v>55</v>
      </c>
      <c r="R4014" t="s">
        <v>205</v>
      </c>
      <c r="T4014" t="s">
        <v>6857</v>
      </c>
      <c r="U4014" t="s">
        <v>55</v>
      </c>
      <c r="V4014">
        <v>3</v>
      </c>
      <c r="W4014">
        <v>1</v>
      </c>
      <c r="X4014">
        <v>2</v>
      </c>
      <c r="Y4014">
        <v>0</v>
      </c>
      <c r="Z4014">
        <v>2</v>
      </c>
      <c r="AA4014">
        <v>333</v>
      </c>
      <c r="AB4014">
        <v>333</v>
      </c>
      <c r="AC4014">
        <v>333</v>
      </c>
      <c r="AD4014">
        <v>0</v>
      </c>
      <c r="AE4014">
        <v>0</v>
      </c>
      <c r="AF4014">
        <v>0</v>
      </c>
      <c r="AG4014">
        <v>0</v>
      </c>
      <c r="AH4014">
        <v>0</v>
      </c>
      <c r="AI4014">
        <v>59.94</v>
      </c>
      <c r="AJ4014">
        <v>333</v>
      </c>
      <c r="AK4014">
        <v>0</v>
      </c>
      <c r="AL4014" t="s">
        <v>53</v>
      </c>
      <c r="AM4014" t="s">
        <v>53</v>
      </c>
      <c r="AN4014" t="s">
        <v>53</v>
      </c>
      <c r="AO4014" t="s">
        <v>53</v>
      </c>
      <c r="AP4014" t="s">
        <v>53</v>
      </c>
    </row>
    <row r="4015" spans="2:42" x14ac:dyDescent="0.2">
      <c r="B4015" t="s">
        <v>44</v>
      </c>
      <c r="C4015" t="str">
        <f>HYPERLINK("https://us2.cloudbeds.com/connect/8493803454333002#/reservations/82678835458210?display=1PPW8T23ZC&amp;reservation_id=82678835458210", "1PPW8T23ZC")</f>
        <v>1PPW8T23ZC</v>
      </c>
      <c r="D4015" t="s">
        <v>45</v>
      </c>
      <c r="E4015" t="s">
        <v>373</v>
      </c>
      <c r="F4015" t="s">
        <v>47</v>
      </c>
      <c r="G4015" t="s">
        <v>48</v>
      </c>
      <c r="H4015" t="s">
        <v>49</v>
      </c>
      <c r="I4015" t="s">
        <v>62</v>
      </c>
      <c r="J4015" t="s">
        <v>6813</v>
      </c>
      <c r="K4015" t="s">
        <v>6858</v>
      </c>
      <c r="L4015" t="s">
        <v>53</v>
      </c>
      <c r="N4015" t="s">
        <v>6859</v>
      </c>
      <c r="P4015" t="s">
        <v>55</v>
      </c>
      <c r="R4015" t="s">
        <v>125</v>
      </c>
      <c r="T4015" t="s">
        <v>6860</v>
      </c>
      <c r="U4015" t="s">
        <v>55</v>
      </c>
      <c r="V4015">
        <v>2</v>
      </c>
      <c r="W4015">
        <v>1</v>
      </c>
      <c r="X4015">
        <v>2</v>
      </c>
      <c r="Y4015">
        <v>0</v>
      </c>
      <c r="Z4015">
        <v>2</v>
      </c>
      <c r="AA4015">
        <v>149.4</v>
      </c>
      <c r="AB4015">
        <v>149.4</v>
      </c>
      <c r="AC4015">
        <v>149.4</v>
      </c>
      <c r="AD4015">
        <v>0</v>
      </c>
      <c r="AE4015">
        <v>0</v>
      </c>
      <c r="AF4015">
        <v>0</v>
      </c>
      <c r="AG4015">
        <v>0</v>
      </c>
      <c r="AH4015">
        <v>0</v>
      </c>
      <c r="AI4015">
        <v>26.89</v>
      </c>
      <c r="AJ4015">
        <v>149.4</v>
      </c>
      <c r="AK4015">
        <v>0</v>
      </c>
      <c r="AL4015" t="s">
        <v>53</v>
      </c>
      <c r="AM4015" t="s">
        <v>53</v>
      </c>
      <c r="AN4015" t="s">
        <v>53</v>
      </c>
      <c r="AO4015" t="s">
        <v>53</v>
      </c>
      <c r="AP4015" t="s">
        <v>53</v>
      </c>
    </row>
    <row r="4016" spans="2:42" x14ac:dyDescent="0.2">
      <c r="B4016" t="s">
        <v>44</v>
      </c>
      <c r="C4016" t="str">
        <f>HYPERLINK("https://us2.cloudbeds.com/connect/8493803454333002#/reservations/82852195885201?display=1PU1GY5X0R&amp;reservation_id=82852195885201", "1PU1GY5X0R")</f>
        <v>1PU1GY5X0R</v>
      </c>
      <c r="D4016" t="s">
        <v>45</v>
      </c>
      <c r="E4016" t="s">
        <v>165</v>
      </c>
      <c r="F4016" t="s">
        <v>61</v>
      </c>
      <c r="G4016" t="s">
        <v>48</v>
      </c>
      <c r="H4016" t="s">
        <v>49</v>
      </c>
      <c r="I4016" t="s">
        <v>50</v>
      </c>
      <c r="J4016" t="s">
        <v>6772</v>
      </c>
      <c r="K4016" t="s">
        <v>6755</v>
      </c>
      <c r="L4016" t="s">
        <v>53</v>
      </c>
      <c r="N4016" t="s">
        <v>6861</v>
      </c>
      <c r="P4016" t="s">
        <v>55</v>
      </c>
      <c r="R4016" t="s">
        <v>53</v>
      </c>
      <c r="T4016" t="s">
        <v>6862</v>
      </c>
      <c r="U4016" t="s">
        <v>58</v>
      </c>
      <c r="V4016">
        <v>1</v>
      </c>
      <c r="W4016">
        <v>1</v>
      </c>
      <c r="X4016">
        <v>2</v>
      </c>
      <c r="Y4016">
        <v>0</v>
      </c>
      <c r="Z4016">
        <v>2</v>
      </c>
      <c r="AA4016">
        <v>67.62</v>
      </c>
      <c r="AB4016">
        <v>67.62</v>
      </c>
      <c r="AC4016">
        <v>59.5</v>
      </c>
      <c r="AD4016">
        <v>0</v>
      </c>
      <c r="AE4016">
        <v>8.1199999999999992</v>
      </c>
      <c r="AF4016">
        <v>0</v>
      </c>
      <c r="AG4016">
        <v>0</v>
      </c>
      <c r="AH4016">
        <v>0</v>
      </c>
      <c r="AI4016">
        <v>12.17</v>
      </c>
      <c r="AJ4016">
        <v>67.62</v>
      </c>
      <c r="AK4016">
        <v>0</v>
      </c>
      <c r="AL4016" t="s">
        <v>53</v>
      </c>
      <c r="AM4016" t="s">
        <v>53</v>
      </c>
      <c r="AN4016" t="s">
        <v>53</v>
      </c>
      <c r="AO4016" t="s">
        <v>53</v>
      </c>
      <c r="AP4016" t="s">
        <v>53</v>
      </c>
    </row>
    <row r="4017" spans="2:42" x14ac:dyDescent="0.2">
      <c r="B4017" t="s">
        <v>44</v>
      </c>
      <c r="C4017" t="str">
        <f>HYPERLINK("https://us2.cloudbeds.com/connect/8493803454333002#/reservations/82889616609447?display=1PUUFRABTK&amp;reservation_id=82889616609447", "1PUUFRABTK")</f>
        <v>1PUUFRABTK</v>
      </c>
      <c r="D4017" t="s">
        <v>45</v>
      </c>
      <c r="E4017" t="s">
        <v>85</v>
      </c>
      <c r="F4017" t="s">
        <v>86</v>
      </c>
      <c r="G4017" t="s">
        <v>48</v>
      </c>
      <c r="H4017" t="s">
        <v>49</v>
      </c>
      <c r="I4017" t="s">
        <v>50</v>
      </c>
      <c r="J4017" t="s">
        <v>6772</v>
      </c>
      <c r="K4017" t="s">
        <v>6755</v>
      </c>
      <c r="L4017" t="s">
        <v>53</v>
      </c>
      <c r="N4017" t="s">
        <v>6863</v>
      </c>
      <c r="P4017" t="s">
        <v>55</v>
      </c>
      <c r="R4017" t="s">
        <v>53</v>
      </c>
      <c r="T4017" t="s">
        <v>6864</v>
      </c>
      <c r="U4017" t="s">
        <v>58</v>
      </c>
      <c r="V4017">
        <v>1</v>
      </c>
      <c r="W4017">
        <v>1</v>
      </c>
      <c r="X4017">
        <v>2</v>
      </c>
      <c r="Y4017">
        <v>0</v>
      </c>
      <c r="Z4017">
        <v>2</v>
      </c>
      <c r="AA4017">
        <v>95.12</v>
      </c>
      <c r="AB4017">
        <v>95.12</v>
      </c>
      <c r="AC4017">
        <v>83.7</v>
      </c>
      <c r="AD4017">
        <v>0</v>
      </c>
      <c r="AE4017">
        <v>11.42</v>
      </c>
      <c r="AF4017">
        <v>0</v>
      </c>
      <c r="AG4017">
        <v>0</v>
      </c>
      <c r="AH4017">
        <v>0</v>
      </c>
      <c r="AI4017">
        <v>17.12</v>
      </c>
      <c r="AJ4017">
        <v>95.12</v>
      </c>
      <c r="AK4017">
        <v>0</v>
      </c>
      <c r="AL4017" t="s">
        <v>53</v>
      </c>
      <c r="AM4017" t="s">
        <v>53</v>
      </c>
      <c r="AN4017" t="s">
        <v>53</v>
      </c>
      <c r="AO4017" t="s">
        <v>53</v>
      </c>
      <c r="AP4017" t="s">
        <v>53</v>
      </c>
    </row>
    <row r="4018" spans="2:42" x14ac:dyDescent="0.2">
      <c r="B4018" t="s">
        <v>44</v>
      </c>
      <c r="C4018" t="str">
        <f>HYPERLINK("https://us2.cloudbeds.com/connect/8493803454333002#/reservations/83049168531599?display=1Q1M0ZNQ3G&amp;reservation_id=83049168531599", "1Q1M0ZNQ3G")</f>
        <v>1Q1M0ZNQ3G</v>
      </c>
      <c r="D4018" t="s">
        <v>45</v>
      </c>
      <c r="E4018" t="s">
        <v>373</v>
      </c>
      <c r="F4018" t="s">
        <v>47</v>
      </c>
      <c r="G4018" t="s">
        <v>48</v>
      </c>
      <c r="H4018" t="s">
        <v>49</v>
      </c>
      <c r="I4018" t="s">
        <v>50</v>
      </c>
      <c r="J4018" t="s">
        <v>6772</v>
      </c>
      <c r="K4018" t="s">
        <v>6755</v>
      </c>
      <c r="L4018" t="s">
        <v>53</v>
      </c>
      <c r="N4018" t="s">
        <v>6865</v>
      </c>
      <c r="P4018" t="s">
        <v>55</v>
      </c>
      <c r="R4018" t="s">
        <v>53</v>
      </c>
      <c r="T4018" t="s">
        <v>6866</v>
      </c>
      <c r="U4018" t="s">
        <v>58</v>
      </c>
      <c r="V4018">
        <v>1</v>
      </c>
      <c r="W4018">
        <v>1</v>
      </c>
      <c r="X4018">
        <v>2</v>
      </c>
      <c r="Y4018">
        <v>0</v>
      </c>
      <c r="Z4018">
        <v>2</v>
      </c>
      <c r="AA4018">
        <v>60.91</v>
      </c>
      <c r="AB4018">
        <v>60.91</v>
      </c>
      <c r="AC4018">
        <v>53.6</v>
      </c>
      <c r="AD4018">
        <v>0</v>
      </c>
      <c r="AE4018">
        <v>7.31</v>
      </c>
      <c r="AF4018">
        <v>0</v>
      </c>
      <c r="AG4018">
        <v>0</v>
      </c>
      <c r="AH4018">
        <v>0</v>
      </c>
      <c r="AI4018">
        <v>10.96</v>
      </c>
      <c r="AJ4018">
        <v>60.91</v>
      </c>
      <c r="AK4018">
        <v>0</v>
      </c>
      <c r="AL4018" t="s">
        <v>53</v>
      </c>
      <c r="AM4018" t="s">
        <v>53</v>
      </c>
      <c r="AN4018" t="s">
        <v>53</v>
      </c>
      <c r="AO4018" t="s">
        <v>53</v>
      </c>
      <c r="AP4018" t="s">
        <v>53</v>
      </c>
    </row>
    <row r="4019" spans="2:42" x14ac:dyDescent="0.2">
      <c r="B4019" t="s">
        <v>44</v>
      </c>
      <c r="C4019" t="str">
        <f>HYPERLINK("https://us2.cloudbeds.com/connect/8493803454333002#/reservations/83073073582297?display=1Q27HJ3256&amp;reservation_id=83073073582297", "1Q27HJ3256")</f>
        <v>1Q27HJ3256</v>
      </c>
      <c r="D4019" t="s">
        <v>45</v>
      </c>
      <c r="E4019" t="s">
        <v>373</v>
      </c>
      <c r="F4019" t="s">
        <v>47</v>
      </c>
      <c r="G4019" t="s">
        <v>48</v>
      </c>
      <c r="H4019" t="s">
        <v>49</v>
      </c>
      <c r="I4019" t="s">
        <v>50</v>
      </c>
      <c r="J4019" t="s">
        <v>6755</v>
      </c>
      <c r="K4019" t="s">
        <v>6717</v>
      </c>
      <c r="L4019" t="s">
        <v>53</v>
      </c>
      <c r="N4019" t="s">
        <v>6867</v>
      </c>
      <c r="P4019" t="s">
        <v>55</v>
      </c>
      <c r="R4019" t="s">
        <v>53</v>
      </c>
      <c r="T4019" t="s">
        <v>6868</v>
      </c>
      <c r="U4019" t="s">
        <v>58</v>
      </c>
      <c r="V4019">
        <v>1</v>
      </c>
      <c r="W4019">
        <v>1</v>
      </c>
      <c r="X4019">
        <v>2</v>
      </c>
      <c r="Y4019">
        <v>0</v>
      </c>
      <c r="Z4019">
        <v>2</v>
      </c>
      <c r="AA4019">
        <v>57.28</v>
      </c>
      <c r="AB4019">
        <v>57.28</v>
      </c>
      <c r="AC4019">
        <v>50.4</v>
      </c>
      <c r="AD4019">
        <v>0</v>
      </c>
      <c r="AE4019">
        <v>6.88</v>
      </c>
      <c r="AF4019">
        <v>0</v>
      </c>
      <c r="AG4019">
        <v>0</v>
      </c>
      <c r="AH4019">
        <v>0</v>
      </c>
      <c r="AI4019">
        <v>10.31</v>
      </c>
      <c r="AJ4019">
        <v>57.28</v>
      </c>
      <c r="AK4019">
        <v>0</v>
      </c>
      <c r="AL4019" t="s">
        <v>53</v>
      </c>
      <c r="AM4019" t="s">
        <v>53</v>
      </c>
      <c r="AN4019" t="s">
        <v>53</v>
      </c>
      <c r="AO4019" t="s">
        <v>53</v>
      </c>
      <c r="AP4019" t="s">
        <v>53</v>
      </c>
    </row>
    <row r="4020" spans="2:42" x14ac:dyDescent="0.2">
      <c r="B4020" t="s">
        <v>44</v>
      </c>
      <c r="C4020" t="str">
        <f>HYPERLINK("https://us2.cloudbeds.com/connect/8493803454333002#/reservations/83097026613445?display=1Q2Q2KUFCU&amp;reservation_id=83097026613445", "1Q2Q2KUFCU")</f>
        <v>1Q2Q2KUFCU</v>
      </c>
      <c r="D4020" t="s">
        <v>45</v>
      </c>
      <c r="E4020" t="s">
        <v>381</v>
      </c>
      <c r="F4020" t="s">
        <v>47</v>
      </c>
      <c r="G4020" t="s">
        <v>48</v>
      </c>
      <c r="H4020" t="s">
        <v>49</v>
      </c>
      <c r="I4020" t="s">
        <v>62</v>
      </c>
      <c r="J4020" t="s">
        <v>6791</v>
      </c>
      <c r="K4020" t="s">
        <v>6332</v>
      </c>
      <c r="L4020" t="s">
        <v>53</v>
      </c>
      <c r="N4020" t="s">
        <v>6869</v>
      </c>
      <c r="P4020" t="s">
        <v>55</v>
      </c>
      <c r="R4020" t="s">
        <v>56</v>
      </c>
      <c r="T4020" t="s">
        <v>6870</v>
      </c>
      <c r="U4020" t="s">
        <v>55</v>
      </c>
      <c r="V4020">
        <v>2</v>
      </c>
      <c r="W4020">
        <v>1</v>
      </c>
      <c r="X4020">
        <v>2</v>
      </c>
      <c r="Y4020">
        <v>0</v>
      </c>
      <c r="Z4020">
        <v>2</v>
      </c>
      <c r="AA4020">
        <v>113.4</v>
      </c>
      <c r="AB4020">
        <v>113.4</v>
      </c>
      <c r="AC4020">
        <v>113.4</v>
      </c>
      <c r="AD4020">
        <v>0</v>
      </c>
      <c r="AE4020">
        <v>0</v>
      </c>
      <c r="AF4020">
        <v>0</v>
      </c>
      <c r="AG4020">
        <v>0</v>
      </c>
      <c r="AH4020">
        <v>0</v>
      </c>
      <c r="AI4020">
        <v>20.41</v>
      </c>
      <c r="AJ4020">
        <v>113.4</v>
      </c>
      <c r="AK4020">
        <v>0</v>
      </c>
      <c r="AL4020" t="s">
        <v>53</v>
      </c>
      <c r="AM4020" t="s">
        <v>53</v>
      </c>
      <c r="AN4020" t="s">
        <v>53</v>
      </c>
      <c r="AO4020" t="s">
        <v>53</v>
      </c>
      <c r="AP4020" t="s">
        <v>53</v>
      </c>
    </row>
    <row r="4021" spans="2:42" x14ac:dyDescent="0.2">
      <c r="B4021" t="s">
        <v>44</v>
      </c>
      <c r="C4021" t="str">
        <f>HYPERLINK("https://us2.cloudbeds.com/connect/8493803454333002#/reservations/83211916689597?display=1Q5G1B96F2&amp;reservation_id=83211916689597", "1Q5G1B96F2")</f>
        <v>1Q5G1B96F2</v>
      </c>
      <c r="D4021" t="s">
        <v>45</v>
      </c>
      <c r="E4021" t="s">
        <v>155</v>
      </c>
      <c r="F4021" t="s">
        <v>86</v>
      </c>
      <c r="G4021" t="s">
        <v>48</v>
      </c>
      <c r="H4021" t="s">
        <v>49</v>
      </c>
      <c r="I4021" t="s">
        <v>62</v>
      </c>
      <c r="J4021" t="s">
        <v>6234</v>
      </c>
      <c r="K4021" t="s">
        <v>6818</v>
      </c>
      <c r="L4021" t="s">
        <v>53</v>
      </c>
      <c r="N4021" t="s">
        <v>6871</v>
      </c>
      <c r="P4021" t="s">
        <v>58</v>
      </c>
      <c r="R4021" t="s">
        <v>56</v>
      </c>
      <c r="T4021" t="s">
        <v>6872</v>
      </c>
      <c r="U4021" t="s">
        <v>55</v>
      </c>
      <c r="V4021">
        <v>1</v>
      </c>
      <c r="W4021">
        <v>1</v>
      </c>
      <c r="X4021">
        <v>3</v>
      </c>
      <c r="Y4021">
        <v>0</v>
      </c>
      <c r="Z4021">
        <v>3</v>
      </c>
      <c r="AA4021">
        <v>98.1</v>
      </c>
      <c r="AB4021">
        <v>98.1</v>
      </c>
      <c r="AC4021">
        <v>98.1</v>
      </c>
      <c r="AD4021">
        <v>0</v>
      </c>
      <c r="AE4021">
        <v>0</v>
      </c>
      <c r="AF4021">
        <v>0</v>
      </c>
      <c r="AG4021">
        <v>0</v>
      </c>
      <c r="AH4021">
        <v>0</v>
      </c>
      <c r="AI4021">
        <v>17.66</v>
      </c>
      <c r="AJ4021">
        <v>98.1</v>
      </c>
      <c r="AK4021">
        <v>0</v>
      </c>
      <c r="AL4021" t="s">
        <v>53</v>
      </c>
      <c r="AM4021" t="s">
        <v>53</v>
      </c>
      <c r="AN4021" t="s">
        <v>53</v>
      </c>
      <c r="AO4021" t="s">
        <v>53</v>
      </c>
      <c r="AP4021" t="s">
        <v>53</v>
      </c>
    </row>
    <row r="4022" spans="2:42" x14ac:dyDescent="0.2">
      <c r="B4022" t="s">
        <v>44</v>
      </c>
      <c r="C4022" t="str">
        <f>HYPERLINK("https://us2.cloudbeds.com/connect/8493803454333002#/reservations/83223327654107?display=1Q5ZSUA3ED&amp;reservation_id=83223327654107", "1Q5ZSUA3ED")</f>
        <v>1Q5ZSUA3ED</v>
      </c>
      <c r="D4022" t="s">
        <v>45</v>
      </c>
      <c r="E4022" t="s">
        <v>165</v>
      </c>
      <c r="F4022" t="s">
        <v>61</v>
      </c>
      <c r="G4022" t="s">
        <v>48</v>
      </c>
      <c r="H4022" t="s">
        <v>49</v>
      </c>
      <c r="I4022" t="s">
        <v>50</v>
      </c>
      <c r="J4022" t="s">
        <v>5967</v>
      </c>
      <c r="K4022" t="s">
        <v>5430</v>
      </c>
      <c r="L4022" t="s">
        <v>53</v>
      </c>
      <c r="N4022" t="s">
        <v>6873</v>
      </c>
      <c r="P4022" t="s">
        <v>55</v>
      </c>
      <c r="R4022" t="s">
        <v>53</v>
      </c>
      <c r="T4022" t="s">
        <v>6874</v>
      </c>
      <c r="U4022" t="s">
        <v>58</v>
      </c>
      <c r="V4022">
        <v>1</v>
      </c>
      <c r="W4022">
        <v>1</v>
      </c>
      <c r="X4022">
        <v>2</v>
      </c>
      <c r="Y4022">
        <v>0</v>
      </c>
      <c r="Z4022">
        <v>2</v>
      </c>
      <c r="AA4022">
        <v>169.34</v>
      </c>
      <c r="AB4022">
        <v>169.34</v>
      </c>
      <c r="AC4022">
        <v>149</v>
      </c>
      <c r="AD4022">
        <v>0</v>
      </c>
      <c r="AE4022">
        <v>20.34</v>
      </c>
      <c r="AF4022">
        <v>0</v>
      </c>
      <c r="AG4022">
        <v>0</v>
      </c>
      <c r="AH4022">
        <v>0</v>
      </c>
      <c r="AI4022">
        <v>30.48</v>
      </c>
      <c r="AJ4022">
        <v>169.34</v>
      </c>
      <c r="AK4022">
        <v>0</v>
      </c>
      <c r="AL4022" t="s">
        <v>53</v>
      </c>
      <c r="AM4022" t="s">
        <v>53</v>
      </c>
      <c r="AN4022" t="s">
        <v>53</v>
      </c>
      <c r="AO4022" t="s">
        <v>53</v>
      </c>
      <c r="AP4022" t="s">
        <v>53</v>
      </c>
    </row>
    <row r="4023" spans="2:42" x14ac:dyDescent="0.2">
      <c r="B4023" t="s">
        <v>44</v>
      </c>
      <c r="C4023" t="str">
        <f>HYPERLINK("https://us2.cloudbeds.com/connect/8493803454333002#/reservations/83230948921512?display=1Q5UPYP3EH&amp;reservation_id=83230948921512", "1Q5UPYP3EH")</f>
        <v>1Q5UPYP3EH</v>
      </c>
      <c r="D4023" t="s">
        <v>45</v>
      </c>
      <c r="E4023" t="s">
        <v>223</v>
      </c>
      <c r="F4023" t="s">
        <v>47</v>
      </c>
      <c r="G4023" t="s">
        <v>48</v>
      </c>
      <c r="H4023" t="s">
        <v>49</v>
      </c>
      <c r="I4023" t="s">
        <v>62</v>
      </c>
      <c r="J4023" t="s">
        <v>6250</v>
      </c>
      <c r="K4023" t="s">
        <v>6791</v>
      </c>
      <c r="L4023" t="s">
        <v>53</v>
      </c>
      <c r="N4023" t="s">
        <v>6875</v>
      </c>
      <c r="P4023" t="s">
        <v>55</v>
      </c>
      <c r="R4023" t="s">
        <v>56</v>
      </c>
      <c r="T4023" t="s">
        <v>6876</v>
      </c>
      <c r="U4023" t="s">
        <v>55</v>
      </c>
      <c r="V4023">
        <v>1</v>
      </c>
      <c r="W4023">
        <v>1</v>
      </c>
      <c r="X4023">
        <v>2</v>
      </c>
      <c r="Y4023">
        <v>0</v>
      </c>
      <c r="Z4023">
        <v>2</v>
      </c>
      <c r="AA4023">
        <v>62</v>
      </c>
      <c r="AB4023">
        <v>62</v>
      </c>
      <c r="AC4023">
        <v>62</v>
      </c>
      <c r="AD4023">
        <v>0</v>
      </c>
      <c r="AE4023">
        <v>0</v>
      </c>
      <c r="AF4023">
        <v>0</v>
      </c>
      <c r="AG4023">
        <v>0</v>
      </c>
      <c r="AH4023">
        <v>0</v>
      </c>
      <c r="AI4023">
        <v>11.16</v>
      </c>
      <c r="AJ4023">
        <v>62</v>
      </c>
      <c r="AK4023">
        <v>0</v>
      </c>
      <c r="AL4023" t="s">
        <v>53</v>
      </c>
      <c r="AM4023" t="s">
        <v>53</v>
      </c>
      <c r="AN4023" t="s">
        <v>53</v>
      </c>
      <c r="AO4023" t="s">
        <v>53</v>
      </c>
      <c r="AP4023" t="s">
        <v>53</v>
      </c>
    </row>
    <row r="4024" spans="2:42" x14ac:dyDescent="0.2">
      <c r="B4024" t="s">
        <v>44</v>
      </c>
      <c r="C4024" t="str">
        <f>HYPERLINK("https://us2.cloudbeds.com/connect/8493803454333002#/reservations/83244833878233?display=1Q68HEUG8Q&amp;reservation_id=83244833878233", "1Q68HEUG8Q")</f>
        <v>1Q68HEUG8Q</v>
      </c>
      <c r="D4024" t="s">
        <v>45</v>
      </c>
      <c r="E4024" t="s">
        <v>138</v>
      </c>
      <c r="F4024" t="s">
        <v>70</v>
      </c>
      <c r="G4024" t="s">
        <v>48</v>
      </c>
      <c r="H4024" t="s">
        <v>49</v>
      </c>
      <c r="I4024" t="s">
        <v>62</v>
      </c>
      <c r="J4024" t="s">
        <v>6877</v>
      </c>
      <c r="K4024" t="s">
        <v>6544</v>
      </c>
      <c r="L4024" t="s">
        <v>53</v>
      </c>
      <c r="N4024" t="s">
        <v>6878</v>
      </c>
      <c r="P4024" t="s">
        <v>55</v>
      </c>
      <c r="R4024" t="s">
        <v>56</v>
      </c>
      <c r="T4024" t="s">
        <v>6879</v>
      </c>
      <c r="U4024" t="s">
        <v>55</v>
      </c>
      <c r="V4024">
        <v>5</v>
      </c>
      <c r="W4024">
        <v>1</v>
      </c>
      <c r="X4024">
        <v>2</v>
      </c>
      <c r="Y4024">
        <v>0</v>
      </c>
      <c r="Z4024">
        <v>2</v>
      </c>
      <c r="AA4024">
        <v>617.5</v>
      </c>
      <c r="AB4024">
        <v>622.92999999999995</v>
      </c>
      <c r="AC4024">
        <v>617.5</v>
      </c>
      <c r="AD4024">
        <v>5</v>
      </c>
      <c r="AE4024">
        <v>0.43</v>
      </c>
      <c r="AF4024">
        <v>0</v>
      </c>
      <c r="AG4024">
        <v>0</v>
      </c>
      <c r="AH4024">
        <v>0</v>
      </c>
      <c r="AI4024">
        <v>112.13</v>
      </c>
      <c r="AJ4024">
        <v>622.92999999999995</v>
      </c>
      <c r="AK4024">
        <v>0</v>
      </c>
      <c r="AL4024" t="s">
        <v>53</v>
      </c>
      <c r="AM4024" t="s">
        <v>53</v>
      </c>
      <c r="AN4024" t="s">
        <v>53</v>
      </c>
      <c r="AO4024" t="s">
        <v>53</v>
      </c>
      <c r="AP4024" t="s">
        <v>53</v>
      </c>
    </row>
    <row r="4025" spans="2:42" x14ac:dyDescent="0.2">
      <c r="B4025" t="s">
        <v>44</v>
      </c>
      <c r="C4025" t="str">
        <f>HYPERLINK("https://us2.cloudbeds.com/connect/8493803454333002#/reservations/83248274931907?display=1Q6B6CGT5X&amp;reservation_id=83248274931907", "1Q6B6CGT5X")</f>
        <v>1Q6B6CGT5X</v>
      </c>
      <c r="D4025" t="s">
        <v>45</v>
      </c>
      <c r="E4025" t="s">
        <v>185</v>
      </c>
      <c r="F4025" t="s">
        <v>47</v>
      </c>
      <c r="G4025" t="s">
        <v>48</v>
      </c>
      <c r="H4025" t="s">
        <v>49</v>
      </c>
      <c r="I4025" t="s">
        <v>50</v>
      </c>
      <c r="J4025" t="s">
        <v>6810</v>
      </c>
      <c r="K4025" t="s">
        <v>6880</v>
      </c>
      <c r="L4025" t="s">
        <v>53</v>
      </c>
      <c r="N4025" t="s">
        <v>6881</v>
      </c>
      <c r="P4025" t="s">
        <v>55</v>
      </c>
      <c r="R4025" t="s">
        <v>53</v>
      </c>
      <c r="T4025" t="s">
        <v>6882</v>
      </c>
      <c r="U4025" t="s">
        <v>58</v>
      </c>
      <c r="V4025">
        <v>2</v>
      </c>
      <c r="W4025">
        <v>1</v>
      </c>
      <c r="X4025">
        <v>2</v>
      </c>
      <c r="Y4025">
        <v>0</v>
      </c>
      <c r="Z4025">
        <v>2</v>
      </c>
      <c r="AA4025">
        <v>121.73</v>
      </c>
      <c r="AB4025">
        <v>121.73</v>
      </c>
      <c r="AC4025">
        <v>107.1</v>
      </c>
      <c r="AD4025">
        <v>0</v>
      </c>
      <c r="AE4025">
        <v>14.63</v>
      </c>
      <c r="AF4025">
        <v>0</v>
      </c>
      <c r="AG4025">
        <v>0</v>
      </c>
      <c r="AH4025">
        <v>0</v>
      </c>
      <c r="AI4025">
        <v>21.91</v>
      </c>
      <c r="AJ4025">
        <v>121.73</v>
      </c>
      <c r="AK4025">
        <v>0</v>
      </c>
      <c r="AL4025" t="s">
        <v>53</v>
      </c>
      <c r="AM4025" t="s">
        <v>53</v>
      </c>
      <c r="AN4025" t="s">
        <v>53</v>
      </c>
      <c r="AO4025" t="s">
        <v>53</v>
      </c>
      <c r="AP4025" t="s">
        <v>53</v>
      </c>
    </row>
    <row r="4026" spans="2:42" x14ac:dyDescent="0.2">
      <c r="B4026" t="s">
        <v>44</v>
      </c>
      <c r="C4026" t="str">
        <f>HYPERLINK("https://us2.cloudbeds.com/connect/8493803454333002#/reservations/83341195919518?display=1Q8H4NVB6U&amp;reservation_id=83341195919518", "1Q8H4NVB6U")</f>
        <v>1Q8H4NVB6U</v>
      </c>
      <c r="D4026" t="s">
        <v>45</v>
      </c>
      <c r="E4026" t="s">
        <v>69</v>
      </c>
      <c r="F4026" t="s">
        <v>70</v>
      </c>
      <c r="G4026" t="s">
        <v>48</v>
      </c>
      <c r="H4026" t="s">
        <v>49</v>
      </c>
      <c r="I4026" t="s">
        <v>50</v>
      </c>
      <c r="J4026" t="s">
        <v>6618</v>
      </c>
      <c r="K4026" t="s">
        <v>6619</v>
      </c>
      <c r="L4026" t="s">
        <v>53</v>
      </c>
      <c r="N4026" t="s">
        <v>6883</v>
      </c>
      <c r="P4026" t="s">
        <v>55</v>
      </c>
      <c r="R4026" t="s">
        <v>53</v>
      </c>
      <c r="T4026" t="s">
        <v>6884</v>
      </c>
      <c r="U4026" t="s">
        <v>58</v>
      </c>
      <c r="V4026">
        <v>1</v>
      </c>
      <c r="W4026">
        <v>1</v>
      </c>
      <c r="X4026">
        <v>2</v>
      </c>
      <c r="Y4026">
        <v>0</v>
      </c>
      <c r="Z4026">
        <v>2</v>
      </c>
      <c r="AA4026">
        <v>52.17</v>
      </c>
      <c r="AB4026">
        <v>52.17</v>
      </c>
      <c r="AC4026">
        <v>45.9</v>
      </c>
      <c r="AD4026">
        <v>0</v>
      </c>
      <c r="AE4026">
        <v>6.27</v>
      </c>
      <c r="AF4026">
        <v>0</v>
      </c>
      <c r="AG4026">
        <v>0</v>
      </c>
      <c r="AH4026">
        <v>0</v>
      </c>
      <c r="AI4026">
        <v>9.39</v>
      </c>
      <c r="AJ4026">
        <v>52.17</v>
      </c>
      <c r="AK4026">
        <v>0</v>
      </c>
      <c r="AL4026" t="s">
        <v>53</v>
      </c>
      <c r="AM4026" t="s">
        <v>53</v>
      </c>
      <c r="AN4026" t="s">
        <v>53</v>
      </c>
      <c r="AO4026" t="s">
        <v>53</v>
      </c>
      <c r="AP4026" t="s">
        <v>53</v>
      </c>
    </row>
    <row r="4027" spans="2:42" x14ac:dyDescent="0.2">
      <c r="B4027" t="s">
        <v>44</v>
      </c>
      <c r="C4027" t="str">
        <f>HYPERLINK("https://us2.cloudbeds.com/connect/8493803454333002#/reservations/83420958941381?display=1QACTS802G&amp;reservation_id=83420958941381", "1QACTS802G")</f>
        <v>1QACTS802G</v>
      </c>
      <c r="D4027" t="s">
        <v>45</v>
      </c>
      <c r="E4027" t="s">
        <v>69</v>
      </c>
      <c r="F4027" t="s">
        <v>70</v>
      </c>
      <c r="G4027" t="s">
        <v>48</v>
      </c>
      <c r="H4027" t="s">
        <v>49</v>
      </c>
      <c r="I4027" t="s">
        <v>62</v>
      </c>
      <c r="J4027" t="s">
        <v>6855</v>
      </c>
      <c r="K4027" t="s">
        <v>6885</v>
      </c>
      <c r="L4027" t="s">
        <v>53</v>
      </c>
      <c r="N4027" t="s">
        <v>6886</v>
      </c>
      <c r="P4027" t="s">
        <v>55</v>
      </c>
      <c r="R4027" t="s">
        <v>125</v>
      </c>
      <c r="T4027" t="s">
        <v>6887</v>
      </c>
      <c r="U4027" t="s">
        <v>55</v>
      </c>
      <c r="V4027">
        <v>1</v>
      </c>
      <c r="W4027">
        <v>1</v>
      </c>
      <c r="X4027">
        <v>2</v>
      </c>
      <c r="Y4027">
        <v>0</v>
      </c>
      <c r="Z4027">
        <v>2</v>
      </c>
      <c r="AA4027">
        <v>76</v>
      </c>
      <c r="AB4027">
        <v>76</v>
      </c>
      <c r="AC4027">
        <v>76</v>
      </c>
      <c r="AD4027">
        <v>0</v>
      </c>
      <c r="AE4027">
        <v>0</v>
      </c>
      <c r="AF4027">
        <v>0</v>
      </c>
      <c r="AG4027">
        <v>0</v>
      </c>
      <c r="AH4027">
        <v>0</v>
      </c>
      <c r="AI4027">
        <v>13.68</v>
      </c>
      <c r="AJ4027">
        <v>76</v>
      </c>
      <c r="AK4027">
        <v>0</v>
      </c>
      <c r="AL4027" t="s">
        <v>53</v>
      </c>
      <c r="AM4027" t="s">
        <v>53</v>
      </c>
      <c r="AN4027" t="s">
        <v>53</v>
      </c>
      <c r="AO4027" t="s">
        <v>53</v>
      </c>
      <c r="AP4027" t="s">
        <v>53</v>
      </c>
    </row>
    <row r="4028" spans="2:42" x14ac:dyDescent="0.2">
      <c r="B4028" t="s">
        <v>44</v>
      </c>
      <c r="C4028" t="str">
        <f>HYPERLINK("https://us2.cloudbeds.com/connect/8493803454333002#/reservations/83490985283736?display=1QC146A6ZT&amp;reservation_id=83490985283736", "1QC146A6ZT")</f>
        <v>1QC146A6ZT</v>
      </c>
      <c r="D4028" t="s">
        <v>45</v>
      </c>
      <c r="E4028" t="s">
        <v>78</v>
      </c>
      <c r="F4028" t="s">
        <v>61</v>
      </c>
      <c r="G4028" t="s">
        <v>48</v>
      </c>
      <c r="H4028" t="s">
        <v>49</v>
      </c>
      <c r="I4028" t="s">
        <v>62</v>
      </c>
      <c r="J4028" t="s">
        <v>6888</v>
      </c>
      <c r="K4028" t="s">
        <v>6836</v>
      </c>
      <c r="L4028" t="s">
        <v>53</v>
      </c>
      <c r="N4028" t="s">
        <v>6889</v>
      </c>
      <c r="P4028" t="s">
        <v>55</v>
      </c>
      <c r="R4028" t="s">
        <v>102</v>
      </c>
      <c r="T4028" t="s">
        <v>6890</v>
      </c>
      <c r="U4028" t="s">
        <v>55</v>
      </c>
      <c r="V4028">
        <v>1</v>
      </c>
      <c r="W4028">
        <v>1</v>
      </c>
      <c r="X4028">
        <v>2</v>
      </c>
      <c r="Y4028">
        <v>0</v>
      </c>
      <c r="Z4028">
        <v>2</v>
      </c>
      <c r="AA4028">
        <v>59</v>
      </c>
      <c r="AB4028">
        <v>59</v>
      </c>
      <c r="AC4028">
        <v>59</v>
      </c>
      <c r="AD4028">
        <v>0</v>
      </c>
      <c r="AE4028">
        <v>0</v>
      </c>
      <c r="AF4028">
        <v>0</v>
      </c>
      <c r="AG4028">
        <v>0</v>
      </c>
      <c r="AH4028">
        <v>0</v>
      </c>
      <c r="AI4028">
        <v>10.62</v>
      </c>
      <c r="AJ4028">
        <v>59</v>
      </c>
      <c r="AK4028">
        <v>0</v>
      </c>
      <c r="AL4028" t="s">
        <v>53</v>
      </c>
      <c r="AM4028" t="s">
        <v>53</v>
      </c>
      <c r="AN4028" t="s">
        <v>53</v>
      </c>
      <c r="AO4028" t="s">
        <v>53</v>
      </c>
      <c r="AP4028" t="s">
        <v>53</v>
      </c>
    </row>
    <row r="4029" spans="2:42" x14ac:dyDescent="0.2">
      <c r="B4029" t="s">
        <v>44</v>
      </c>
      <c r="C4029" t="str">
        <f>HYPERLINK("https://us2.cloudbeds.com/connect/8493803454333002#/reservations/83555777966240?display=1QDX9Q73H7&amp;reservation_id=83555777966240", "1QDX9Q73H7")</f>
        <v>1QDX9Q73H7</v>
      </c>
      <c r="D4029" t="s">
        <v>45</v>
      </c>
      <c r="E4029" t="s">
        <v>373</v>
      </c>
      <c r="F4029" t="s">
        <v>47</v>
      </c>
      <c r="G4029" t="s">
        <v>48</v>
      </c>
      <c r="H4029" t="s">
        <v>49</v>
      </c>
      <c r="I4029" t="s">
        <v>62</v>
      </c>
      <c r="J4029" t="s">
        <v>6710</v>
      </c>
      <c r="K4029" t="s">
        <v>6698</v>
      </c>
      <c r="L4029" t="s">
        <v>53</v>
      </c>
      <c r="N4029" t="s">
        <v>6891</v>
      </c>
      <c r="P4029" t="s">
        <v>55</v>
      </c>
      <c r="R4029" t="s">
        <v>6556</v>
      </c>
      <c r="T4029" t="s">
        <v>6892</v>
      </c>
      <c r="U4029" t="s">
        <v>55</v>
      </c>
      <c r="V4029">
        <v>1</v>
      </c>
      <c r="W4029">
        <v>1</v>
      </c>
      <c r="X4029">
        <v>1</v>
      </c>
      <c r="Y4029">
        <v>0</v>
      </c>
      <c r="Z4029">
        <v>1</v>
      </c>
      <c r="AA4029">
        <v>54.15</v>
      </c>
      <c r="AB4029">
        <v>54.15</v>
      </c>
      <c r="AC4029">
        <v>54.15</v>
      </c>
      <c r="AD4029">
        <v>0</v>
      </c>
      <c r="AE4029">
        <v>0</v>
      </c>
      <c r="AF4029">
        <v>0</v>
      </c>
      <c r="AG4029">
        <v>0</v>
      </c>
      <c r="AH4029">
        <v>0</v>
      </c>
      <c r="AI4029">
        <v>9.75</v>
      </c>
      <c r="AJ4029">
        <v>54.15</v>
      </c>
      <c r="AK4029">
        <v>0</v>
      </c>
      <c r="AL4029" t="s">
        <v>53</v>
      </c>
      <c r="AM4029" t="s">
        <v>53</v>
      </c>
      <c r="AN4029" t="s">
        <v>53</v>
      </c>
      <c r="AO4029" t="s">
        <v>53</v>
      </c>
      <c r="AP4029" t="s">
        <v>53</v>
      </c>
    </row>
    <row r="4030" spans="2:42" x14ac:dyDescent="0.2">
      <c r="B4030" t="s">
        <v>44</v>
      </c>
      <c r="C4030" t="str">
        <f>HYPERLINK("https://us2.cloudbeds.com/connect/8493803454333002#/reservations/83572719464585?display=1QDVDMZ8VV&amp;reservation_id=83572719464585", "1QDVDMZ8VV")</f>
        <v>1QDVDMZ8VV</v>
      </c>
      <c r="D4030" t="s">
        <v>45</v>
      </c>
      <c r="E4030" t="s">
        <v>85</v>
      </c>
      <c r="F4030" t="s">
        <v>86</v>
      </c>
      <c r="G4030" t="s">
        <v>48</v>
      </c>
      <c r="H4030" t="s">
        <v>49</v>
      </c>
      <c r="I4030" t="s">
        <v>50</v>
      </c>
      <c r="J4030" t="s">
        <v>6755</v>
      </c>
      <c r="K4030" t="s">
        <v>6717</v>
      </c>
      <c r="L4030" t="s">
        <v>53</v>
      </c>
      <c r="N4030" t="s">
        <v>6893</v>
      </c>
      <c r="P4030" t="s">
        <v>55</v>
      </c>
      <c r="R4030" t="s">
        <v>53</v>
      </c>
      <c r="T4030" t="s">
        <v>6894</v>
      </c>
      <c r="U4030" t="s">
        <v>58</v>
      </c>
      <c r="V4030">
        <v>1</v>
      </c>
      <c r="W4030">
        <v>1</v>
      </c>
      <c r="X4030">
        <v>2</v>
      </c>
      <c r="Y4030">
        <v>0</v>
      </c>
      <c r="Z4030">
        <v>2</v>
      </c>
      <c r="AA4030">
        <v>93.09</v>
      </c>
      <c r="AB4030">
        <v>93.09</v>
      </c>
      <c r="AC4030">
        <v>81.900000000000006</v>
      </c>
      <c r="AD4030">
        <v>0</v>
      </c>
      <c r="AE4030">
        <v>11.19</v>
      </c>
      <c r="AF4030">
        <v>0</v>
      </c>
      <c r="AG4030">
        <v>0</v>
      </c>
      <c r="AH4030">
        <v>0</v>
      </c>
      <c r="AI4030">
        <v>16.760000000000002</v>
      </c>
      <c r="AJ4030">
        <v>93.09</v>
      </c>
      <c r="AK4030">
        <v>0</v>
      </c>
      <c r="AL4030" t="s">
        <v>53</v>
      </c>
      <c r="AM4030" t="s">
        <v>53</v>
      </c>
      <c r="AN4030" t="s">
        <v>53</v>
      </c>
      <c r="AO4030" t="s">
        <v>53</v>
      </c>
      <c r="AP4030" t="s">
        <v>53</v>
      </c>
    </row>
    <row r="4031" spans="2:42" x14ac:dyDescent="0.2">
      <c r="B4031" t="s">
        <v>44</v>
      </c>
      <c r="C4031" t="str">
        <f>HYPERLINK("https://us2.cloudbeds.com/connect/8493803454333002#/reservations/83795678281963?display=1QJ61QH109&amp;reservation_id=83795678281963", "1QJ61QH109")</f>
        <v>1QJ61QH109</v>
      </c>
      <c r="D4031" t="s">
        <v>45</v>
      </c>
      <c r="E4031" t="s">
        <v>46</v>
      </c>
      <c r="F4031" t="s">
        <v>47</v>
      </c>
      <c r="G4031" t="s">
        <v>48</v>
      </c>
      <c r="H4031" t="s">
        <v>3957</v>
      </c>
      <c r="I4031" t="s">
        <v>3975</v>
      </c>
      <c r="J4031" t="s">
        <v>6717</v>
      </c>
      <c r="K4031" t="s">
        <v>6250</v>
      </c>
      <c r="L4031" t="s">
        <v>53</v>
      </c>
      <c r="P4031" t="s">
        <v>58</v>
      </c>
      <c r="R4031" t="s">
        <v>53</v>
      </c>
      <c r="T4031" t="s">
        <v>6895</v>
      </c>
      <c r="U4031" t="s">
        <v>58</v>
      </c>
      <c r="V4031">
        <v>4</v>
      </c>
      <c r="W4031">
        <v>1</v>
      </c>
      <c r="X4031">
        <v>1</v>
      </c>
      <c r="Y4031">
        <v>0</v>
      </c>
      <c r="Z4031">
        <v>1</v>
      </c>
      <c r="AA4031">
        <v>272.77</v>
      </c>
      <c r="AB4031">
        <v>272.77</v>
      </c>
      <c r="AC4031">
        <v>240</v>
      </c>
      <c r="AD4031">
        <v>0</v>
      </c>
      <c r="AE4031">
        <v>32.770000000000003</v>
      </c>
      <c r="AF4031">
        <v>0</v>
      </c>
      <c r="AG4031">
        <v>0</v>
      </c>
      <c r="AH4031">
        <v>0</v>
      </c>
      <c r="AI4031">
        <v>0</v>
      </c>
      <c r="AJ4031">
        <v>272.77</v>
      </c>
      <c r="AK4031">
        <v>0</v>
      </c>
      <c r="AL4031" t="s">
        <v>53</v>
      </c>
      <c r="AM4031" t="s">
        <v>53</v>
      </c>
      <c r="AN4031" t="s">
        <v>53</v>
      </c>
      <c r="AO4031" t="s">
        <v>53</v>
      </c>
      <c r="AP4031" t="s">
        <v>53</v>
      </c>
    </row>
    <row r="4032" spans="2:42" x14ac:dyDescent="0.2">
      <c r="B4032" t="s">
        <v>44</v>
      </c>
      <c r="C4032" t="str">
        <f>HYPERLINK("https://us2.cloudbeds.com/connect/8493803454333002#/reservations/83817020907722?display=1QJMJ561PD&amp;reservation_id=83817020907722", "1QJMJ561PD")</f>
        <v>1QJMJ561PD</v>
      </c>
      <c r="D4032" t="s">
        <v>45</v>
      </c>
      <c r="E4032" t="s">
        <v>138</v>
      </c>
      <c r="F4032" t="s">
        <v>70</v>
      </c>
      <c r="G4032" t="s">
        <v>48</v>
      </c>
      <c r="H4032" t="s">
        <v>49</v>
      </c>
      <c r="I4032" t="s">
        <v>50</v>
      </c>
      <c r="J4032" t="s">
        <v>6726</v>
      </c>
      <c r="K4032" t="s">
        <v>6781</v>
      </c>
      <c r="L4032" t="s">
        <v>53</v>
      </c>
      <c r="N4032" t="s">
        <v>6896</v>
      </c>
      <c r="P4032" t="s">
        <v>55</v>
      </c>
      <c r="R4032" t="s">
        <v>53</v>
      </c>
      <c r="T4032" t="s">
        <v>6897</v>
      </c>
      <c r="U4032" t="s">
        <v>58</v>
      </c>
      <c r="V4032">
        <v>1</v>
      </c>
      <c r="W4032">
        <v>1</v>
      </c>
      <c r="X4032">
        <v>1</v>
      </c>
      <c r="Y4032">
        <v>0</v>
      </c>
      <c r="Z4032">
        <v>1</v>
      </c>
      <c r="AA4032">
        <v>58.92</v>
      </c>
      <c r="AB4032">
        <v>58.92</v>
      </c>
      <c r="AC4032">
        <v>51.85</v>
      </c>
      <c r="AD4032">
        <v>0</v>
      </c>
      <c r="AE4032">
        <v>7.07</v>
      </c>
      <c r="AF4032">
        <v>0</v>
      </c>
      <c r="AG4032">
        <v>0</v>
      </c>
      <c r="AH4032">
        <v>0</v>
      </c>
      <c r="AI4032">
        <v>10.61</v>
      </c>
      <c r="AJ4032">
        <v>58.92</v>
      </c>
      <c r="AK4032">
        <v>0</v>
      </c>
      <c r="AL4032" t="s">
        <v>53</v>
      </c>
      <c r="AM4032" t="s">
        <v>53</v>
      </c>
      <c r="AN4032" t="s">
        <v>53</v>
      </c>
      <c r="AO4032" t="s">
        <v>53</v>
      </c>
      <c r="AP4032" t="s">
        <v>53</v>
      </c>
    </row>
    <row r="4033" spans="2:42" x14ac:dyDescent="0.2">
      <c r="B4033" t="s">
        <v>44</v>
      </c>
      <c r="C4033" t="str">
        <f>HYPERLINK("https://us2.cloudbeds.com/connect/8493803454333002#/reservations/83837013368993?display=1QK520BP24&amp;reservation_id=83837013368993", "1QK520BP24")</f>
        <v>1QK520BP24</v>
      </c>
      <c r="D4033" t="s">
        <v>45</v>
      </c>
      <c r="E4033" t="s">
        <v>85</v>
      </c>
      <c r="F4033" t="s">
        <v>86</v>
      </c>
      <c r="G4033" t="s">
        <v>48</v>
      </c>
      <c r="H4033" t="s">
        <v>49</v>
      </c>
      <c r="I4033" t="s">
        <v>50</v>
      </c>
      <c r="J4033" t="s">
        <v>6717</v>
      </c>
      <c r="K4033" t="s">
        <v>6743</v>
      </c>
      <c r="L4033" t="s">
        <v>53</v>
      </c>
      <c r="N4033" t="s">
        <v>6898</v>
      </c>
      <c r="P4033" t="s">
        <v>55</v>
      </c>
      <c r="R4033" t="s">
        <v>53</v>
      </c>
      <c r="T4033" t="s">
        <v>6899</v>
      </c>
      <c r="U4033" t="s">
        <v>58</v>
      </c>
      <c r="V4033">
        <v>1</v>
      </c>
      <c r="W4033">
        <v>1</v>
      </c>
      <c r="X4033">
        <v>3</v>
      </c>
      <c r="Y4033">
        <v>0</v>
      </c>
      <c r="Z4033">
        <v>3</v>
      </c>
      <c r="AA4033">
        <v>81.83</v>
      </c>
      <c r="AB4033">
        <v>81.83</v>
      </c>
      <c r="AC4033">
        <v>72</v>
      </c>
      <c r="AD4033">
        <v>0</v>
      </c>
      <c r="AE4033">
        <v>9.83</v>
      </c>
      <c r="AF4033">
        <v>0</v>
      </c>
      <c r="AG4033">
        <v>0</v>
      </c>
      <c r="AH4033">
        <v>0</v>
      </c>
      <c r="AI4033">
        <v>14.73</v>
      </c>
      <c r="AJ4033">
        <v>81.83</v>
      </c>
      <c r="AK4033">
        <v>0</v>
      </c>
      <c r="AL4033" t="s">
        <v>53</v>
      </c>
      <c r="AM4033" t="s">
        <v>53</v>
      </c>
      <c r="AN4033" t="s">
        <v>53</v>
      </c>
      <c r="AO4033" t="s">
        <v>53</v>
      </c>
      <c r="AP4033" t="s">
        <v>53</v>
      </c>
    </row>
    <row r="4034" spans="2:42" x14ac:dyDescent="0.2">
      <c r="B4034" t="s">
        <v>44</v>
      </c>
      <c r="C4034" t="str">
        <f>HYPERLINK("https://us2.cloudbeds.com/connect/8493803454333002#/reservations/83892852019379?display=1QYF9QWH3S&amp;reservation_id=83892852019379", "1QYF9QWH3S")</f>
        <v>1QYF9QWH3S</v>
      </c>
      <c r="D4034" t="s">
        <v>602</v>
      </c>
      <c r="E4034" t="s">
        <v>53</v>
      </c>
      <c r="F4034" t="s">
        <v>61</v>
      </c>
      <c r="G4034" t="s">
        <v>48</v>
      </c>
      <c r="H4034" t="s">
        <v>49</v>
      </c>
      <c r="I4034" t="s">
        <v>50</v>
      </c>
      <c r="J4034" t="s">
        <v>6743</v>
      </c>
      <c r="K4034" t="s">
        <v>6849</v>
      </c>
      <c r="L4034" t="s">
        <v>53</v>
      </c>
      <c r="N4034" t="s">
        <v>6900</v>
      </c>
      <c r="P4034" t="s">
        <v>55</v>
      </c>
      <c r="R4034" t="s">
        <v>53</v>
      </c>
      <c r="T4034" t="s">
        <v>6901</v>
      </c>
      <c r="U4034" t="s">
        <v>58</v>
      </c>
      <c r="V4034">
        <v>1</v>
      </c>
      <c r="W4034">
        <v>1</v>
      </c>
      <c r="X4034">
        <v>1</v>
      </c>
      <c r="Y4034">
        <v>0</v>
      </c>
      <c r="Z4034">
        <v>1</v>
      </c>
      <c r="AA4034">
        <v>54.55</v>
      </c>
      <c r="AB4034">
        <v>54.55</v>
      </c>
      <c r="AC4034">
        <v>48</v>
      </c>
      <c r="AD4034">
        <v>0</v>
      </c>
      <c r="AE4034">
        <v>6.55</v>
      </c>
      <c r="AF4034">
        <v>0</v>
      </c>
      <c r="AG4034">
        <v>0</v>
      </c>
      <c r="AH4034">
        <v>0</v>
      </c>
      <c r="AI4034">
        <v>9.82</v>
      </c>
      <c r="AJ4034">
        <v>54.55</v>
      </c>
      <c r="AK4034">
        <v>0</v>
      </c>
      <c r="AL4034">
        <v>48</v>
      </c>
      <c r="AM4034">
        <v>54.55</v>
      </c>
      <c r="AN4034" t="s">
        <v>53</v>
      </c>
      <c r="AO4034" t="s">
        <v>53</v>
      </c>
      <c r="AP4034" t="s">
        <v>53</v>
      </c>
    </row>
    <row r="4035" spans="2:42" x14ac:dyDescent="0.2">
      <c r="B4035" t="s">
        <v>44</v>
      </c>
      <c r="C4035" t="str">
        <f>HYPERLINK("https://us2.cloudbeds.com/connect/8493803454333002#/reservations/83929549799651?display=1QMANHHBJG&amp;reservation_id=83929549799651", "1QMANHHBJG")</f>
        <v>1QMANHHBJG</v>
      </c>
      <c r="D4035" t="s">
        <v>45</v>
      </c>
      <c r="E4035" t="s">
        <v>46</v>
      </c>
      <c r="F4035" t="s">
        <v>47</v>
      </c>
      <c r="G4035" t="s">
        <v>48</v>
      </c>
      <c r="H4035" t="s">
        <v>3957</v>
      </c>
      <c r="I4035" t="s">
        <v>3975</v>
      </c>
      <c r="J4035" t="s">
        <v>6791</v>
      </c>
      <c r="K4035" t="s">
        <v>6709</v>
      </c>
      <c r="L4035" t="s">
        <v>53</v>
      </c>
      <c r="P4035" t="s">
        <v>55</v>
      </c>
      <c r="R4035" t="s">
        <v>53</v>
      </c>
      <c r="T4035" t="s">
        <v>6902</v>
      </c>
      <c r="U4035" t="s">
        <v>58</v>
      </c>
      <c r="V4035">
        <v>1</v>
      </c>
      <c r="W4035">
        <v>1</v>
      </c>
      <c r="X4035">
        <v>2</v>
      </c>
      <c r="Y4035">
        <v>0</v>
      </c>
      <c r="Z4035">
        <v>2</v>
      </c>
      <c r="AA4035">
        <v>72.739999999999995</v>
      </c>
      <c r="AB4035">
        <v>72.739999999999995</v>
      </c>
      <c r="AC4035">
        <v>64</v>
      </c>
      <c r="AD4035">
        <v>0</v>
      </c>
      <c r="AE4035">
        <v>8.74</v>
      </c>
      <c r="AF4035">
        <v>0</v>
      </c>
      <c r="AG4035">
        <v>0</v>
      </c>
      <c r="AH4035">
        <v>0</v>
      </c>
      <c r="AI4035">
        <v>0</v>
      </c>
      <c r="AJ4035">
        <v>72.739999999999995</v>
      </c>
      <c r="AK4035">
        <v>0</v>
      </c>
      <c r="AL4035" t="s">
        <v>53</v>
      </c>
      <c r="AM4035" t="s">
        <v>53</v>
      </c>
      <c r="AN4035" t="s">
        <v>53</v>
      </c>
      <c r="AO4035" t="s">
        <v>53</v>
      </c>
      <c r="AP4035" t="s">
        <v>53</v>
      </c>
    </row>
    <row r="4036" spans="2:42" x14ac:dyDescent="0.2">
      <c r="B4036" t="s">
        <v>44</v>
      </c>
      <c r="C4036" t="str">
        <f>HYPERLINK("https://us2.cloudbeds.com/connect/8493803454333002#/reservations/83934995173584?display=1QMEUM6TVQ&amp;reservation_id=83934995173584", "1QMEUM6TVQ")</f>
        <v>1QMEUM6TVQ</v>
      </c>
      <c r="D4036" t="s">
        <v>45</v>
      </c>
      <c r="E4036" t="s">
        <v>190</v>
      </c>
      <c r="F4036" t="s">
        <v>61</v>
      </c>
      <c r="G4036" t="s">
        <v>48</v>
      </c>
      <c r="H4036" t="s">
        <v>49</v>
      </c>
      <c r="I4036" t="s">
        <v>50</v>
      </c>
      <c r="J4036" t="s">
        <v>6737</v>
      </c>
      <c r="K4036" t="s">
        <v>6836</v>
      </c>
      <c r="L4036" t="s">
        <v>53</v>
      </c>
      <c r="N4036" t="s">
        <v>6903</v>
      </c>
      <c r="P4036" t="s">
        <v>55</v>
      </c>
      <c r="R4036" t="s">
        <v>53</v>
      </c>
      <c r="T4036" t="s">
        <v>6904</v>
      </c>
      <c r="U4036" t="s">
        <v>58</v>
      </c>
      <c r="V4036">
        <v>3</v>
      </c>
      <c r="W4036">
        <v>1</v>
      </c>
      <c r="X4036">
        <v>2</v>
      </c>
      <c r="Y4036">
        <v>0</v>
      </c>
      <c r="Z4036">
        <v>2</v>
      </c>
      <c r="AA4036">
        <v>169.11</v>
      </c>
      <c r="AB4036">
        <v>169.11</v>
      </c>
      <c r="AC4036">
        <v>148.80000000000001</v>
      </c>
      <c r="AD4036">
        <v>0</v>
      </c>
      <c r="AE4036">
        <v>20.309999999999999</v>
      </c>
      <c r="AF4036">
        <v>0</v>
      </c>
      <c r="AG4036">
        <v>0</v>
      </c>
      <c r="AH4036">
        <v>0</v>
      </c>
      <c r="AI4036">
        <v>30.44</v>
      </c>
      <c r="AJ4036">
        <v>169.11</v>
      </c>
      <c r="AK4036">
        <v>0</v>
      </c>
      <c r="AL4036" t="s">
        <v>53</v>
      </c>
      <c r="AM4036" t="s">
        <v>53</v>
      </c>
      <c r="AN4036" t="s">
        <v>53</v>
      </c>
      <c r="AO4036" t="s">
        <v>53</v>
      </c>
      <c r="AP4036" t="s">
        <v>53</v>
      </c>
    </row>
    <row r="4037" spans="2:42" x14ac:dyDescent="0.2">
      <c r="B4037" t="s">
        <v>44</v>
      </c>
      <c r="C4037" t="str">
        <f>HYPERLINK("https://us2.cloudbeds.com/connect/8493803454333002#/reservations/84011771904227?display=1QZ8CGCKA1&amp;reservation_id=84011771904227", "1QZ8CGCKA1")</f>
        <v>1QZ8CGCKA1</v>
      </c>
      <c r="D4037" t="s">
        <v>45</v>
      </c>
      <c r="E4037" t="s">
        <v>113</v>
      </c>
      <c r="F4037" t="s">
        <v>61</v>
      </c>
      <c r="G4037" t="s">
        <v>48</v>
      </c>
      <c r="H4037" t="s">
        <v>49</v>
      </c>
      <c r="I4037" t="s">
        <v>50</v>
      </c>
      <c r="J4037" t="s">
        <v>6743</v>
      </c>
      <c r="K4037" t="s">
        <v>6249</v>
      </c>
      <c r="L4037" t="s">
        <v>53</v>
      </c>
      <c r="N4037" t="s">
        <v>6905</v>
      </c>
      <c r="P4037" t="s">
        <v>55</v>
      </c>
      <c r="R4037" t="s">
        <v>53</v>
      </c>
      <c r="T4037" t="s">
        <v>6906</v>
      </c>
      <c r="U4037" t="s">
        <v>58</v>
      </c>
      <c r="V4037">
        <v>2</v>
      </c>
      <c r="W4037">
        <v>1</v>
      </c>
      <c r="X4037">
        <v>2</v>
      </c>
      <c r="Y4037">
        <v>0</v>
      </c>
      <c r="Z4037">
        <v>2</v>
      </c>
      <c r="AA4037">
        <v>138.19999999999999</v>
      </c>
      <c r="AB4037">
        <v>138.19999999999999</v>
      </c>
      <c r="AC4037">
        <v>121.6</v>
      </c>
      <c r="AD4037">
        <v>0</v>
      </c>
      <c r="AE4037">
        <v>16.600000000000001</v>
      </c>
      <c r="AF4037">
        <v>0</v>
      </c>
      <c r="AG4037">
        <v>0</v>
      </c>
      <c r="AH4037">
        <v>0</v>
      </c>
      <c r="AI4037">
        <v>24.88</v>
      </c>
      <c r="AJ4037">
        <v>138.19999999999999</v>
      </c>
      <c r="AK4037">
        <v>0</v>
      </c>
      <c r="AL4037" t="s">
        <v>53</v>
      </c>
      <c r="AM4037" t="s">
        <v>53</v>
      </c>
      <c r="AN4037" t="s">
        <v>6907</v>
      </c>
      <c r="AO4037" t="s">
        <v>53</v>
      </c>
      <c r="AP4037" t="s">
        <v>53</v>
      </c>
    </row>
    <row r="4038" spans="2:42" x14ac:dyDescent="0.2">
      <c r="B4038" t="s">
        <v>44</v>
      </c>
      <c r="C4038" t="str">
        <f>HYPERLINK("https://us2.cloudbeds.com/connect/8493803454333002#/reservations/84086706462870?display=1QQ0D865YB&amp;reservation_id=84086706462870", "1QQ0D865YB")</f>
        <v>1QQ0D865YB</v>
      </c>
      <c r="D4038" t="s">
        <v>45</v>
      </c>
      <c r="E4038" t="s">
        <v>128</v>
      </c>
      <c r="F4038" t="s">
        <v>86</v>
      </c>
      <c r="G4038" t="s">
        <v>48</v>
      </c>
      <c r="H4038" t="s">
        <v>49</v>
      </c>
      <c r="I4038" t="s">
        <v>62</v>
      </c>
      <c r="J4038" t="s">
        <v>6743</v>
      </c>
      <c r="K4038" t="s">
        <v>6849</v>
      </c>
      <c r="L4038" t="s">
        <v>53</v>
      </c>
      <c r="N4038" t="s">
        <v>6908</v>
      </c>
      <c r="P4038" t="s">
        <v>55</v>
      </c>
      <c r="R4038" t="s">
        <v>56</v>
      </c>
      <c r="T4038" t="s">
        <v>6909</v>
      </c>
      <c r="U4038" t="s">
        <v>55</v>
      </c>
      <c r="V4038">
        <v>1</v>
      </c>
      <c r="W4038">
        <v>1</v>
      </c>
      <c r="X4038">
        <v>2</v>
      </c>
      <c r="Y4038">
        <v>0</v>
      </c>
      <c r="Z4038">
        <v>2</v>
      </c>
      <c r="AA4038">
        <v>63</v>
      </c>
      <c r="AB4038">
        <v>63</v>
      </c>
      <c r="AC4038">
        <v>63</v>
      </c>
      <c r="AD4038">
        <v>0</v>
      </c>
      <c r="AE4038">
        <v>0</v>
      </c>
      <c r="AF4038">
        <v>0</v>
      </c>
      <c r="AG4038">
        <v>0</v>
      </c>
      <c r="AH4038">
        <v>0</v>
      </c>
      <c r="AI4038">
        <v>11.34</v>
      </c>
      <c r="AJ4038">
        <v>63</v>
      </c>
      <c r="AK4038">
        <v>0</v>
      </c>
      <c r="AL4038" t="s">
        <v>53</v>
      </c>
      <c r="AM4038" t="s">
        <v>53</v>
      </c>
      <c r="AN4038" t="s">
        <v>53</v>
      </c>
      <c r="AO4038" t="s">
        <v>53</v>
      </c>
      <c r="AP4038" t="s">
        <v>53</v>
      </c>
    </row>
    <row r="4039" spans="2:42" x14ac:dyDescent="0.2">
      <c r="B4039" t="s">
        <v>44</v>
      </c>
      <c r="C4039" t="str">
        <f>HYPERLINK("https://us2.cloudbeds.com/connect/8493803454333002#/reservations/84120390885573?display=1QQQFVPT98&amp;reservation_id=84120390885573", "1QQQFVPT98")</f>
        <v>1QQQFVPT98</v>
      </c>
      <c r="D4039" t="s">
        <v>45</v>
      </c>
      <c r="E4039" t="s">
        <v>373</v>
      </c>
      <c r="F4039" t="s">
        <v>47</v>
      </c>
      <c r="G4039" t="s">
        <v>48</v>
      </c>
      <c r="H4039" t="s">
        <v>49</v>
      </c>
      <c r="I4039" t="s">
        <v>50</v>
      </c>
      <c r="J4039" t="s">
        <v>6849</v>
      </c>
      <c r="K4039" t="s">
        <v>6249</v>
      </c>
      <c r="L4039" t="s">
        <v>53</v>
      </c>
      <c r="N4039" t="s">
        <v>6910</v>
      </c>
      <c r="P4039" t="s">
        <v>55</v>
      </c>
      <c r="R4039" t="s">
        <v>53</v>
      </c>
      <c r="T4039" t="s">
        <v>6911</v>
      </c>
      <c r="U4039" t="s">
        <v>58</v>
      </c>
      <c r="V4039">
        <v>1</v>
      </c>
      <c r="W4039">
        <v>1</v>
      </c>
      <c r="X4039">
        <v>1</v>
      </c>
      <c r="Y4039">
        <v>0</v>
      </c>
      <c r="Z4039">
        <v>1</v>
      </c>
      <c r="AA4039">
        <v>56.26</v>
      </c>
      <c r="AB4039">
        <v>56.26</v>
      </c>
      <c r="AC4039">
        <v>49.5</v>
      </c>
      <c r="AD4039">
        <v>0</v>
      </c>
      <c r="AE4039">
        <v>6.76</v>
      </c>
      <c r="AF4039">
        <v>0</v>
      </c>
      <c r="AG4039">
        <v>0</v>
      </c>
      <c r="AH4039">
        <v>0</v>
      </c>
      <c r="AI4039">
        <v>10.130000000000001</v>
      </c>
      <c r="AJ4039">
        <v>56.26</v>
      </c>
      <c r="AK4039">
        <v>0</v>
      </c>
      <c r="AL4039" t="s">
        <v>53</v>
      </c>
      <c r="AM4039" t="s">
        <v>53</v>
      </c>
      <c r="AN4039" t="s">
        <v>53</v>
      </c>
      <c r="AO4039" t="s">
        <v>53</v>
      </c>
      <c r="AP4039" t="s">
        <v>53</v>
      </c>
    </row>
    <row r="4040" spans="2:42" x14ac:dyDescent="0.2">
      <c r="B4040" t="s">
        <v>44</v>
      </c>
      <c r="C4040" t="str">
        <f>HYPERLINK("https://us2.cloudbeds.com/connect/8493803454333002#/reservations/84166305915037?display=1QRT16X8PF&amp;reservation_id=84166305915037", "1QRT16X8PF")</f>
        <v>1QRT16X8PF</v>
      </c>
      <c r="D4040" t="s">
        <v>45</v>
      </c>
      <c r="E4040" t="s">
        <v>155</v>
      </c>
      <c r="F4040" t="s">
        <v>86</v>
      </c>
      <c r="G4040" t="s">
        <v>48</v>
      </c>
      <c r="H4040" t="s">
        <v>49</v>
      </c>
      <c r="I4040" t="s">
        <v>50</v>
      </c>
      <c r="J4040" t="s">
        <v>6592</v>
      </c>
      <c r="K4040" t="s">
        <v>6912</v>
      </c>
      <c r="L4040" t="s">
        <v>53</v>
      </c>
      <c r="N4040" t="s">
        <v>6913</v>
      </c>
      <c r="P4040" t="s">
        <v>55</v>
      </c>
      <c r="R4040" t="s">
        <v>53</v>
      </c>
      <c r="T4040" t="s">
        <v>6914</v>
      </c>
      <c r="U4040" t="s">
        <v>58</v>
      </c>
      <c r="V4040">
        <v>1</v>
      </c>
      <c r="W4040">
        <v>1</v>
      </c>
      <c r="X4040">
        <v>2</v>
      </c>
      <c r="Y4040">
        <v>0</v>
      </c>
      <c r="Z4040">
        <v>2</v>
      </c>
      <c r="AA4040">
        <v>90.01</v>
      </c>
      <c r="AB4040">
        <v>90.01</v>
      </c>
      <c r="AC4040">
        <v>79.2</v>
      </c>
      <c r="AD4040">
        <v>0</v>
      </c>
      <c r="AE4040">
        <v>10.81</v>
      </c>
      <c r="AF4040">
        <v>0</v>
      </c>
      <c r="AG4040">
        <v>0</v>
      </c>
      <c r="AH4040">
        <v>0</v>
      </c>
      <c r="AI4040">
        <v>16.2</v>
      </c>
      <c r="AJ4040">
        <v>90.01</v>
      </c>
      <c r="AK4040">
        <v>0</v>
      </c>
      <c r="AL4040" t="s">
        <v>53</v>
      </c>
      <c r="AM4040" t="s">
        <v>53</v>
      </c>
      <c r="AN4040" t="s">
        <v>53</v>
      </c>
      <c r="AO4040" t="s">
        <v>53</v>
      </c>
      <c r="AP4040" t="s">
        <v>53</v>
      </c>
    </row>
    <row r="4041" spans="2:42" x14ac:dyDescent="0.2">
      <c r="B4041" t="s">
        <v>44</v>
      </c>
      <c r="C4041" t="str">
        <f>HYPERLINK("https://us2.cloudbeds.com/connect/8493803454333002#/reservations/84183011213513?display=1QS8W1TR3D&amp;reservation_id=84183011213513", "1QS8W1TR3D")</f>
        <v>1QS8W1TR3D</v>
      </c>
      <c r="D4041" t="s">
        <v>45</v>
      </c>
      <c r="E4041" t="s">
        <v>85</v>
      </c>
      <c r="F4041" t="s">
        <v>86</v>
      </c>
      <c r="G4041" t="s">
        <v>48</v>
      </c>
      <c r="H4041" t="s">
        <v>3957</v>
      </c>
      <c r="I4041" t="s">
        <v>3975</v>
      </c>
      <c r="J4041" t="s">
        <v>6743</v>
      </c>
      <c r="K4041" t="s">
        <v>6249</v>
      </c>
      <c r="L4041" t="s">
        <v>53</v>
      </c>
      <c r="P4041" t="s">
        <v>55</v>
      </c>
      <c r="R4041" t="s">
        <v>53</v>
      </c>
      <c r="T4041" t="s">
        <v>6915</v>
      </c>
      <c r="U4041" t="s">
        <v>58</v>
      </c>
      <c r="V4041">
        <v>2</v>
      </c>
      <c r="W4041">
        <v>1</v>
      </c>
      <c r="X4041">
        <v>1</v>
      </c>
      <c r="Y4041">
        <v>0</v>
      </c>
      <c r="Z4041">
        <v>1</v>
      </c>
      <c r="AA4041">
        <v>143.22</v>
      </c>
      <c r="AB4041">
        <v>143.22</v>
      </c>
      <c r="AC4041">
        <v>126</v>
      </c>
      <c r="AD4041">
        <v>0</v>
      </c>
      <c r="AE4041">
        <v>17.22</v>
      </c>
      <c r="AF4041">
        <v>0</v>
      </c>
      <c r="AG4041">
        <v>0</v>
      </c>
      <c r="AH4041">
        <v>0</v>
      </c>
      <c r="AI4041">
        <v>0</v>
      </c>
      <c r="AJ4041">
        <v>143.22</v>
      </c>
      <c r="AK4041">
        <v>0</v>
      </c>
      <c r="AL4041" t="s">
        <v>53</v>
      </c>
      <c r="AM4041" t="s">
        <v>53</v>
      </c>
      <c r="AN4041" t="s">
        <v>6916</v>
      </c>
      <c r="AO4041" t="s">
        <v>53</v>
      </c>
      <c r="AP4041" t="s">
        <v>53</v>
      </c>
    </row>
    <row r="4042" spans="2:42" x14ac:dyDescent="0.2">
      <c r="B4042" t="s">
        <v>44</v>
      </c>
      <c r="C4042" t="str">
        <f>HYPERLINK("https://us2.cloudbeds.com/connect/8493803454333002#/reservations/84256520659078?display=1QTWTD0GYU&amp;reservation_id=84256520659078", "1QTWTD0GYU")</f>
        <v>1QTWTD0GYU</v>
      </c>
      <c r="D4042" t="s">
        <v>602</v>
      </c>
      <c r="E4042" t="s">
        <v>53</v>
      </c>
      <c r="F4042" t="s">
        <v>47</v>
      </c>
      <c r="G4042" t="s">
        <v>48</v>
      </c>
      <c r="H4042" t="s">
        <v>49</v>
      </c>
      <c r="I4042" t="s">
        <v>62</v>
      </c>
      <c r="J4042" t="s">
        <v>6743</v>
      </c>
      <c r="K4042" t="s">
        <v>6849</v>
      </c>
      <c r="L4042" t="s">
        <v>53</v>
      </c>
      <c r="N4042" t="s">
        <v>6917</v>
      </c>
      <c r="P4042" t="s">
        <v>55</v>
      </c>
      <c r="R4042" t="s">
        <v>56</v>
      </c>
      <c r="T4042" t="s">
        <v>6918</v>
      </c>
      <c r="U4042" t="s">
        <v>55</v>
      </c>
      <c r="V4042">
        <v>1</v>
      </c>
      <c r="W4042">
        <v>1</v>
      </c>
      <c r="X4042">
        <v>1</v>
      </c>
      <c r="Y4042">
        <v>0</v>
      </c>
      <c r="Z4042">
        <v>1</v>
      </c>
      <c r="AA4042">
        <v>55</v>
      </c>
      <c r="AB4042">
        <v>55</v>
      </c>
      <c r="AC4042">
        <v>55</v>
      </c>
      <c r="AD4042">
        <v>0</v>
      </c>
      <c r="AE4042">
        <v>0</v>
      </c>
      <c r="AF4042">
        <v>0</v>
      </c>
      <c r="AG4042">
        <v>0</v>
      </c>
      <c r="AH4042">
        <v>0</v>
      </c>
      <c r="AI4042">
        <v>9.9</v>
      </c>
      <c r="AJ4042">
        <v>55</v>
      </c>
      <c r="AK4042">
        <v>0</v>
      </c>
      <c r="AL4042">
        <v>55</v>
      </c>
      <c r="AM4042">
        <v>55</v>
      </c>
      <c r="AN4042" t="s">
        <v>53</v>
      </c>
      <c r="AO4042" t="s">
        <v>53</v>
      </c>
      <c r="AP4042" t="s">
        <v>53</v>
      </c>
    </row>
    <row r="4043" spans="2:42" x14ac:dyDescent="0.2">
      <c r="B4043" t="s">
        <v>44</v>
      </c>
      <c r="C4043" t="str">
        <f>HYPERLINK("https://us2.cloudbeds.com/connect/8493803454333002#/reservations/84257137287421?display=1QU0C4W379&amp;reservation_id=84257137287421", "1QU0C4W379")</f>
        <v>1QU0C4W379</v>
      </c>
      <c r="D4043" t="s">
        <v>45</v>
      </c>
      <c r="E4043" t="s">
        <v>78</v>
      </c>
      <c r="F4043" t="s">
        <v>61</v>
      </c>
      <c r="G4043" t="s">
        <v>48</v>
      </c>
      <c r="H4043" t="s">
        <v>49</v>
      </c>
      <c r="I4043" t="s">
        <v>50</v>
      </c>
      <c r="J4043" t="s">
        <v>6814</v>
      </c>
      <c r="K4043" t="s">
        <v>6858</v>
      </c>
      <c r="L4043" t="s">
        <v>53</v>
      </c>
      <c r="N4043" t="s">
        <v>6919</v>
      </c>
      <c r="P4043" t="s">
        <v>55</v>
      </c>
      <c r="R4043" t="s">
        <v>53</v>
      </c>
      <c r="T4043" t="s">
        <v>6920</v>
      </c>
      <c r="U4043" t="s">
        <v>58</v>
      </c>
      <c r="V4043">
        <v>1</v>
      </c>
      <c r="W4043">
        <v>1</v>
      </c>
      <c r="X4043">
        <v>2</v>
      </c>
      <c r="Y4043">
        <v>0</v>
      </c>
      <c r="Z4043">
        <v>2</v>
      </c>
      <c r="AA4043">
        <v>57.28</v>
      </c>
      <c r="AB4043">
        <v>57.28</v>
      </c>
      <c r="AC4043">
        <v>50.4</v>
      </c>
      <c r="AD4043">
        <v>0</v>
      </c>
      <c r="AE4043">
        <v>6.88</v>
      </c>
      <c r="AF4043">
        <v>0</v>
      </c>
      <c r="AG4043">
        <v>0</v>
      </c>
      <c r="AH4043">
        <v>0</v>
      </c>
      <c r="AI4043">
        <v>10.31</v>
      </c>
      <c r="AJ4043">
        <v>57.28</v>
      </c>
      <c r="AK4043">
        <v>0</v>
      </c>
      <c r="AL4043" t="s">
        <v>53</v>
      </c>
      <c r="AM4043" t="s">
        <v>53</v>
      </c>
      <c r="AN4043" t="s">
        <v>53</v>
      </c>
      <c r="AO4043" t="s">
        <v>53</v>
      </c>
      <c r="AP4043" t="s">
        <v>53</v>
      </c>
    </row>
    <row r="4044" spans="2:42" x14ac:dyDescent="0.2">
      <c r="B4044" t="s">
        <v>44</v>
      </c>
      <c r="C4044" t="str">
        <f>HYPERLINK("https://us2.cloudbeds.com/connect/8493803454333002#/reservations/84259460485323?display=1QU25GVGKN&amp;reservation_id=84259460485323", "1QU25GVGKN")</f>
        <v>1QU25GVGKN</v>
      </c>
      <c r="D4044" t="s">
        <v>45</v>
      </c>
      <c r="E4044" t="s">
        <v>105</v>
      </c>
      <c r="F4044" t="s">
        <v>47</v>
      </c>
      <c r="G4044" t="s">
        <v>48</v>
      </c>
      <c r="H4044" t="s">
        <v>49</v>
      </c>
      <c r="I4044" t="s">
        <v>50</v>
      </c>
      <c r="J4044" t="s">
        <v>6921</v>
      </c>
      <c r="K4044" t="s">
        <v>6922</v>
      </c>
      <c r="L4044" t="s">
        <v>53</v>
      </c>
      <c r="N4044" t="s">
        <v>6923</v>
      </c>
      <c r="P4044" t="s">
        <v>55</v>
      </c>
      <c r="R4044" t="s">
        <v>53</v>
      </c>
      <c r="T4044" t="s">
        <v>6924</v>
      </c>
      <c r="U4044" t="s">
        <v>58</v>
      </c>
      <c r="V4044">
        <v>1</v>
      </c>
      <c r="W4044">
        <v>1</v>
      </c>
      <c r="X4044">
        <v>2</v>
      </c>
      <c r="Y4044">
        <v>0</v>
      </c>
      <c r="Z4044">
        <v>2</v>
      </c>
      <c r="AA4044">
        <v>136.21</v>
      </c>
      <c r="AB4044">
        <v>136.21</v>
      </c>
      <c r="AC4044">
        <v>119.85</v>
      </c>
      <c r="AD4044">
        <v>0</v>
      </c>
      <c r="AE4044">
        <v>16.36</v>
      </c>
      <c r="AF4044">
        <v>0</v>
      </c>
      <c r="AG4044">
        <v>0</v>
      </c>
      <c r="AH4044">
        <v>0</v>
      </c>
      <c r="AI4044">
        <v>24.52</v>
      </c>
      <c r="AJ4044">
        <v>136.21</v>
      </c>
      <c r="AK4044">
        <v>0</v>
      </c>
      <c r="AL4044" t="s">
        <v>53</v>
      </c>
      <c r="AM4044" t="s">
        <v>53</v>
      </c>
      <c r="AN4044" t="s">
        <v>53</v>
      </c>
      <c r="AO4044" t="s">
        <v>53</v>
      </c>
      <c r="AP4044" t="s">
        <v>53</v>
      </c>
    </row>
    <row r="4045" spans="2:42" x14ac:dyDescent="0.2">
      <c r="B4045" t="s">
        <v>44</v>
      </c>
      <c r="C4045" t="str">
        <f>HYPERLINK("https://us2.cloudbeds.com/connect/8493803454333002#/reservations/84289214836871?display=1QUP6QK6GA&amp;reservation_id=84289214836871", "1QUP6QK6GA")</f>
        <v>1QUP6QK6GA</v>
      </c>
      <c r="D4045" t="s">
        <v>45</v>
      </c>
      <c r="E4045" t="s">
        <v>381</v>
      </c>
      <c r="F4045" t="s">
        <v>47</v>
      </c>
      <c r="G4045" t="s">
        <v>48</v>
      </c>
      <c r="H4045" t="s">
        <v>3957</v>
      </c>
      <c r="I4045" t="s">
        <v>3975</v>
      </c>
      <c r="J4045" t="s">
        <v>6249</v>
      </c>
      <c r="K4045" t="s">
        <v>6250</v>
      </c>
      <c r="L4045" t="s">
        <v>53</v>
      </c>
      <c r="P4045" t="s">
        <v>55</v>
      </c>
      <c r="R4045" t="s">
        <v>53</v>
      </c>
      <c r="T4045" t="s">
        <v>6925</v>
      </c>
      <c r="U4045" t="s">
        <v>58</v>
      </c>
      <c r="V4045">
        <v>1</v>
      </c>
      <c r="W4045">
        <v>1</v>
      </c>
      <c r="X4045">
        <v>1</v>
      </c>
      <c r="Y4045">
        <v>0</v>
      </c>
      <c r="Z4045">
        <v>1</v>
      </c>
      <c r="AA4045">
        <v>62.52</v>
      </c>
      <c r="AB4045">
        <v>62.52</v>
      </c>
      <c r="AC4045">
        <v>55</v>
      </c>
      <c r="AD4045">
        <v>0</v>
      </c>
      <c r="AE4045">
        <v>7.52</v>
      </c>
      <c r="AF4045">
        <v>0</v>
      </c>
      <c r="AG4045">
        <v>0</v>
      </c>
      <c r="AH4045">
        <v>0</v>
      </c>
      <c r="AI4045">
        <v>0</v>
      </c>
      <c r="AJ4045">
        <v>62.52</v>
      </c>
      <c r="AK4045">
        <v>0</v>
      </c>
      <c r="AL4045" t="s">
        <v>53</v>
      </c>
      <c r="AM4045" t="s">
        <v>53</v>
      </c>
      <c r="AN4045" t="s">
        <v>53</v>
      </c>
      <c r="AO4045" t="s">
        <v>53</v>
      </c>
      <c r="AP4045" t="s">
        <v>53</v>
      </c>
    </row>
    <row r="4046" spans="2:42" x14ac:dyDescent="0.2">
      <c r="B4046" t="s">
        <v>44</v>
      </c>
      <c r="C4046" t="str">
        <f>HYPERLINK("https://us2.cloudbeds.com/connect/8493803454333002#/reservations/84299475960019?display=1QV05022F0&amp;reservation_id=84299475960019", "1QV05022F0")</f>
        <v>1QV05022F0</v>
      </c>
      <c r="D4046" t="s">
        <v>45</v>
      </c>
      <c r="E4046" t="s">
        <v>165</v>
      </c>
      <c r="F4046" t="s">
        <v>61</v>
      </c>
      <c r="G4046" t="s">
        <v>48</v>
      </c>
      <c r="H4046" t="s">
        <v>49</v>
      </c>
      <c r="I4046" t="s">
        <v>62</v>
      </c>
      <c r="J4046" t="s">
        <v>6849</v>
      </c>
      <c r="K4046" t="s">
        <v>6249</v>
      </c>
      <c r="L4046" t="s">
        <v>53</v>
      </c>
      <c r="N4046" t="s">
        <v>6926</v>
      </c>
      <c r="P4046" t="s">
        <v>55</v>
      </c>
      <c r="R4046" t="s">
        <v>56</v>
      </c>
      <c r="T4046" t="s">
        <v>6927</v>
      </c>
      <c r="U4046" t="s">
        <v>55</v>
      </c>
      <c r="V4046">
        <v>1</v>
      </c>
      <c r="W4046">
        <v>1</v>
      </c>
      <c r="X4046">
        <v>2</v>
      </c>
      <c r="Y4046">
        <v>0</v>
      </c>
      <c r="Z4046">
        <v>2</v>
      </c>
      <c r="AA4046">
        <v>64</v>
      </c>
      <c r="AB4046">
        <v>64</v>
      </c>
      <c r="AC4046">
        <v>64</v>
      </c>
      <c r="AD4046">
        <v>0</v>
      </c>
      <c r="AE4046">
        <v>0</v>
      </c>
      <c r="AF4046">
        <v>0</v>
      </c>
      <c r="AG4046">
        <v>0</v>
      </c>
      <c r="AH4046">
        <v>0</v>
      </c>
      <c r="AI4046">
        <v>11.52</v>
      </c>
      <c r="AJ4046">
        <v>64</v>
      </c>
      <c r="AK4046">
        <v>0</v>
      </c>
      <c r="AL4046" t="s">
        <v>53</v>
      </c>
      <c r="AM4046" t="s">
        <v>53</v>
      </c>
      <c r="AN4046" t="s">
        <v>53</v>
      </c>
      <c r="AO4046" t="s">
        <v>53</v>
      </c>
      <c r="AP4046" t="s">
        <v>53</v>
      </c>
    </row>
    <row r="4047" spans="2:42" x14ac:dyDescent="0.2">
      <c r="B4047" t="s">
        <v>44</v>
      </c>
      <c r="C4047" t="str">
        <f>HYPERLINK("https://us2.cloudbeds.com/connect/8493803454333002#/reservations/84317395050658?display=1QVE0SU64Y&amp;reservation_id=84317395050658", "1QVE0SU64Y")</f>
        <v>1QVE0SU64Y</v>
      </c>
      <c r="D4047" t="s">
        <v>45</v>
      </c>
      <c r="E4047" t="s">
        <v>128</v>
      </c>
      <c r="F4047" t="s">
        <v>86</v>
      </c>
      <c r="G4047" t="s">
        <v>48</v>
      </c>
      <c r="H4047" t="s">
        <v>49</v>
      </c>
      <c r="I4047" t="s">
        <v>62</v>
      </c>
      <c r="J4047" t="s">
        <v>6249</v>
      </c>
      <c r="K4047" t="s">
        <v>6250</v>
      </c>
      <c r="L4047" t="s">
        <v>53</v>
      </c>
      <c r="N4047" t="s">
        <v>6928</v>
      </c>
      <c r="P4047" t="s">
        <v>55</v>
      </c>
      <c r="R4047" t="s">
        <v>56</v>
      </c>
      <c r="T4047" t="s">
        <v>6929</v>
      </c>
      <c r="U4047" t="s">
        <v>55</v>
      </c>
      <c r="V4047">
        <v>1</v>
      </c>
      <c r="W4047">
        <v>1</v>
      </c>
      <c r="X4047">
        <v>2</v>
      </c>
      <c r="Y4047">
        <v>0</v>
      </c>
      <c r="Z4047">
        <v>2</v>
      </c>
      <c r="AA4047">
        <v>75</v>
      </c>
      <c r="AB4047">
        <v>75</v>
      </c>
      <c r="AC4047">
        <v>75</v>
      </c>
      <c r="AD4047">
        <v>0</v>
      </c>
      <c r="AE4047">
        <v>0</v>
      </c>
      <c r="AF4047">
        <v>0</v>
      </c>
      <c r="AG4047">
        <v>0</v>
      </c>
      <c r="AH4047">
        <v>0</v>
      </c>
      <c r="AI4047">
        <v>13.5</v>
      </c>
      <c r="AJ4047">
        <v>75</v>
      </c>
      <c r="AK4047">
        <v>0</v>
      </c>
      <c r="AL4047" t="s">
        <v>53</v>
      </c>
      <c r="AM4047" t="s">
        <v>53</v>
      </c>
      <c r="AN4047" t="s">
        <v>53</v>
      </c>
      <c r="AO4047" t="s">
        <v>53</v>
      </c>
      <c r="AP4047" t="s">
        <v>53</v>
      </c>
    </row>
    <row r="4048" spans="2:42" x14ac:dyDescent="0.2">
      <c r="B4048" t="s">
        <v>44</v>
      </c>
      <c r="C4048" t="str">
        <f>HYPERLINK("https://us2.cloudbeds.com/connect/8493803454333002#/reservations/84383492563126?display=1QWW6R2TSU&amp;reservation_id=84383492563126", "1QWW6R2TSU")</f>
        <v>1QWW6R2TSU</v>
      </c>
      <c r="D4048" t="s">
        <v>45</v>
      </c>
      <c r="E4048" t="s">
        <v>46</v>
      </c>
      <c r="F4048" t="s">
        <v>47</v>
      </c>
      <c r="G4048" t="s">
        <v>48</v>
      </c>
      <c r="H4048" t="s">
        <v>49</v>
      </c>
      <c r="I4048" t="s">
        <v>62</v>
      </c>
      <c r="J4048" t="s">
        <v>6529</v>
      </c>
      <c r="K4048" t="s">
        <v>6930</v>
      </c>
      <c r="L4048" t="s">
        <v>53</v>
      </c>
      <c r="N4048" t="s">
        <v>6931</v>
      </c>
      <c r="P4048" t="s">
        <v>55</v>
      </c>
      <c r="R4048" t="s">
        <v>56</v>
      </c>
      <c r="T4048" t="s">
        <v>6932</v>
      </c>
      <c r="U4048" t="s">
        <v>55</v>
      </c>
      <c r="V4048">
        <v>3</v>
      </c>
      <c r="W4048">
        <v>1</v>
      </c>
      <c r="X4048">
        <v>2</v>
      </c>
      <c r="Y4048">
        <v>0</v>
      </c>
      <c r="Z4048">
        <v>2</v>
      </c>
      <c r="AA4048">
        <v>158.65</v>
      </c>
      <c r="AB4048">
        <v>158.65</v>
      </c>
      <c r="AC4048">
        <v>158.65</v>
      </c>
      <c r="AD4048">
        <v>0</v>
      </c>
      <c r="AE4048">
        <v>0</v>
      </c>
      <c r="AF4048">
        <v>0</v>
      </c>
      <c r="AG4048">
        <v>0</v>
      </c>
      <c r="AH4048">
        <v>0</v>
      </c>
      <c r="AI4048">
        <v>28.56</v>
      </c>
      <c r="AJ4048">
        <v>158.65</v>
      </c>
      <c r="AK4048">
        <v>0</v>
      </c>
      <c r="AL4048" t="s">
        <v>53</v>
      </c>
      <c r="AM4048" t="s">
        <v>53</v>
      </c>
      <c r="AN4048" t="s">
        <v>53</v>
      </c>
      <c r="AO4048" t="s">
        <v>53</v>
      </c>
      <c r="AP4048" t="s">
        <v>53</v>
      </c>
    </row>
    <row r="4049" spans="2:42" x14ac:dyDescent="0.2">
      <c r="B4049" t="s">
        <v>44</v>
      </c>
      <c r="C4049" t="str">
        <f>HYPERLINK("https://us2.cloudbeds.com/connect/8493803454333002#/reservations/84455843098788?display=1R1M7HW70H&amp;reservation_id=84455843098788", "1R1M7HW70H")</f>
        <v>1R1M7HW70H</v>
      </c>
      <c r="D4049" t="s">
        <v>45</v>
      </c>
      <c r="E4049" t="s">
        <v>128</v>
      </c>
      <c r="F4049" t="s">
        <v>86</v>
      </c>
      <c r="G4049" t="s">
        <v>48</v>
      </c>
      <c r="H4049" t="s">
        <v>49</v>
      </c>
      <c r="I4049" t="s">
        <v>62</v>
      </c>
      <c r="J4049" t="s">
        <v>6849</v>
      </c>
      <c r="K4049" t="s">
        <v>6249</v>
      </c>
      <c r="L4049" t="s">
        <v>53</v>
      </c>
      <c r="N4049" t="s">
        <v>6933</v>
      </c>
      <c r="P4049" t="s">
        <v>55</v>
      </c>
      <c r="R4049" t="s">
        <v>56</v>
      </c>
      <c r="T4049" t="s">
        <v>6934</v>
      </c>
      <c r="U4049" t="s">
        <v>55</v>
      </c>
      <c r="V4049">
        <v>1</v>
      </c>
      <c r="W4049">
        <v>1</v>
      </c>
      <c r="X4049">
        <v>2</v>
      </c>
      <c r="Y4049">
        <v>0</v>
      </c>
      <c r="Z4049">
        <v>2</v>
      </c>
      <c r="AA4049">
        <v>87</v>
      </c>
      <c r="AB4049">
        <v>87</v>
      </c>
      <c r="AC4049">
        <v>87</v>
      </c>
      <c r="AD4049">
        <v>0</v>
      </c>
      <c r="AE4049">
        <v>0</v>
      </c>
      <c r="AF4049">
        <v>0</v>
      </c>
      <c r="AG4049">
        <v>0</v>
      </c>
      <c r="AH4049">
        <v>0</v>
      </c>
      <c r="AI4049">
        <v>15.66</v>
      </c>
      <c r="AJ4049">
        <v>87</v>
      </c>
      <c r="AK4049">
        <v>0</v>
      </c>
      <c r="AL4049" t="s">
        <v>53</v>
      </c>
      <c r="AM4049" t="s">
        <v>53</v>
      </c>
      <c r="AN4049" t="s">
        <v>53</v>
      </c>
      <c r="AO4049" t="s">
        <v>53</v>
      </c>
      <c r="AP4049" t="s">
        <v>53</v>
      </c>
    </row>
    <row r="4050" spans="2:42" x14ac:dyDescent="0.2">
      <c r="B4050" t="s">
        <v>44</v>
      </c>
      <c r="C4050" t="str">
        <f>HYPERLINK("https://us2.cloudbeds.com/connect/8493803454333002#/reservations/84557522018526?display=1R41VMB1AH&amp;reservation_id=84557522018526", "1R41VMB1AH")</f>
        <v>1R41VMB1AH</v>
      </c>
      <c r="D4050" t="s">
        <v>45</v>
      </c>
      <c r="E4050" t="s">
        <v>165</v>
      </c>
      <c r="F4050" t="s">
        <v>61</v>
      </c>
      <c r="G4050" t="s">
        <v>48</v>
      </c>
      <c r="H4050" t="s">
        <v>49</v>
      </c>
      <c r="I4050" t="s">
        <v>62</v>
      </c>
      <c r="J4050" t="s">
        <v>6791</v>
      </c>
      <c r="K4050" t="s">
        <v>6709</v>
      </c>
      <c r="L4050" t="s">
        <v>53</v>
      </c>
      <c r="N4050" t="s">
        <v>6935</v>
      </c>
      <c r="P4050" t="s">
        <v>55</v>
      </c>
      <c r="R4050" t="s">
        <v>56</v>
      </c>
      <c r="T4050" t="s">
        <v>6936</v>
      </c>
      <c r="U4050" t="s">
        <v>55</v>
      </c>
      <c r="V4050">
        <v>1</v>
      </c>
      <c r="W4050">
        <v>1</v>
      </c>
      <c r="X4050">
        <v>2</v>
      </c>
      <c r="Y4050">
        <v>0</v>
      </c>
      <c r="Z4050">
        <v>2</v>
      </c>
      <c r="AA4050">
        <v>66</v>
      </c>
      <c r="AB4050">
        <v>66</v>
      </c>
      <c r="AC4050">
        <v>66</v>
      </c>
      <c r="AD4050">
        <v>0</v>
      </c>
      <c r="AE4050">
        <v>0</v>
      </c>
      <c r="AF4050">
        <v>0</v>
      </c>
      <c r="AG4050">
        <v>0</v>
      </c>
      <c r="AH4050">
        <v>0</v>
      </c>
      <c r="AI4050">
        <v>11.88</v>
      </c>
      <c r="AJ4050">
        <v>66</v>
      </c>
      <c r="AK4050">
        <v>0</v>
      </c>
      <c r="AL4050" t="s">
        <v>53</v>
      </c>
      <c r="AM4050" t="s">
        <v>53</v>
      </c>
      <c r="AN4050" t="s">
        <v>53</v>
      </c>
      <c r="AO4050" t="s">
        <v>53</v>
      </c>
      <c r="AP4050" t="s">
        <v>53</v>
      </c>
    </row>
    <row r="4051" spans="2:42" x14ac:dyDescent="0.2">
      <c r="B4051" t="s">
        <v>44</v>
      </c>
      <c r="C4051" t="str">
        <f>HYPERLINK("https://us2.cloudbeds.com/connect/8493803454333002#/reservations/84559282761980?display=1R43AM1AKP&amp;reservation_id=84559282761980", "1R43AM1AKP")</f>
        <v>1R43AM1AKP</v>
      </c>
      <c r="D4051" t="s">
        <v>45</v>
      </c>
      <c r="E4051" t="s">
        <v>113</v>
      </c>
      <c r="F4051" t="s">
        <v>61</v>
      </c>
      <c r="G4051" t="s">
        <v>48</v>
      </c>
      <c r="H4051" t="s">
        <v>49</v>
      </c>
      <c r="I4051" t="s">
        <v>50</v>
      </c>
      <c r="J4051" t="s">
        <v>6791</v>
      </c>
      <c r="K4051" t="s">
        <v>6709</v>
      </c>
      <c r="L4051" t="s">
        <v>53</v>
      </c>
      <c r="N4051" t="s">
        <v>6937</v>
      </c>
      <c r="P4051" t="s">
        <v>55</v>
      </c>
      <c r="R4051" t="s">
        <v>53</v>
      </c>
      <c r="T4051" t="s">
        <v>6938</v>
      </c>
      <c r="U4051" t="s">
        <v>58</v>
      </c>
      <c r="V4051">
        <v>1</v>
      </c>
      <c r="W4051">
        <v>1</v>
      </c>
      <c r="X4051">
        <v>2</v>
      </c>
      <c r="Y4051">
        <v>0</v>
      </c>
      <c r="Z4051">
        <v>2</v>
      </c>
      <c r="AA4051">
        <v>60.01</v>
      </c>
      <c r="AB4051">
        <v>60.01</v>
      </c>
      <c r="AC4051">
        <v>52.8</v>
      </c>
      <c r="AD4051">
        <v>0</v>
      </c>
      <c r="AE4051">
        <v>7.21</v>
      </c>
      <c r="AF4051">
        <v>0</v>
      </c>
      <c r="AG4051">
        <v>0</v>
      </c>
      <c r="AH4051">
        <v>0</v>
      </c>
      <c r="AI4051">
        <v>10.8</v>
      </c>
      <c r="AJ4051">
        <v>60.01</v>
      </c>
      <c r="AK4051">
        <v>0</v>
      </c>
      <c r="AL4051" t="s">
        <v>53</v>
      </c>
      <c r="AM4051" t="s">
        <v>53</v>
      </c>
      <c r="AN4051" t="s">
        <v>53</v>
      </c>
      <c r="AO4051" t="s">
        <v>53</v>
      </c>
      <c r="AP4051" t="s">
        <v>53</v>
      </c>
    </row>
    <row r="4052" spans="2:42" x14ac:dyDescent="0.2">
      <c r="B4052" t="s">
        <v>44</v>
      </c>
      <c r="C4052" t="str">
        <f>HYPERLINK("https://us2.cloudbeds.com/connect/8493803454333002#/reservations/84559435960552?display=1R43EJ79RZ&amp;reservation_id=84559435960552", "1R43EJ79RZ")</f>
        <v>1R43EJ79RZ</v>
      </c>
      <c r="D4052" t="s">
        <v>45</v>
      </c>
      <c r="E4052" t="s">
        <v>98</v>
      </c>
      <c r="F4052" t="s">
        <v>86</v>
      </c>
      <c r="G4052" t="s">
        <v>48</v>
      </c>
      <c r="H4052" t="s">
        <v>49</v>
      </c>
      <c r="I4052" t="s">
        <v>50</v>
      </c>
      <c r="J4052" t="s">
        <v>6849</v>
      </c>
      <c r="K4052" t="s">
        <v>6249</v>
      </c>
      <c r="L4052" t="s">
        <v>53</v>
      </c>
      <c r="N4052" t="s">
        <v>6939</v>
      </c>
      <c r="P4052" t="s">
        <v>55</v>
      </c>
      <c r="R4052" t="s">
        <v>53</v>
      </c>
      <c r="T4052" t="s">
        <v>6940</v>
      </c>
      <c r="U4052" t="s">
        <v>58</v>
      </c>
      <c r="V4052">
        <v>1</v>
      </c>
      <c r="W4052">
        <v>1</v>
      </c>
      <c r="X4052">
        <v>2</v>
      </c>
      <c r="Y4052">
        <v>0</v>
      </c>
      <c r="Z4052">
        <v>2</v>
      </c>
      <c r="AA4052">
        <v>88.99</v>
      </c>
      <c r="AB4052">
        <v>88.99</v>
      </c>
      <c r="AC4052">
        <v>78.3</v>
      </c>
      <c r="AD4052">
        <v>0</v>
      </c>
      <c r="AE4052">
        <v>10.69</v>
      </c>
      <c r="AF4052">
        <v>0</v>
      </c>
      <c r="AG4052">
        <v>0</v>
      </c>
      <c r="AH4052">
        <v>0</v>
      </c>
      <c r="AI4052">
        <v>16.02</v>
      </c>
      <c r="AJ4052">
        <v>88.99</v>
      </c>
      <c r="AK4052">
        <v>0</v>
      </c>
      <c r="AL4052" t="s">
        <v>53</v>
      </c>
      <c r="AM4052" t="s">
        <v>53</v>
      </c>
      <c r="AN4052" t="s">
        <v>53</v>
      </c>
      <c r="AO4052" t="s">
        <v>53</v>
      </c>
      <c r="AP4052" t="s">
        <v>53</v>
      </c>
    </row>
    <row r="4053" spans="2:42" x14ac:dyDescent="0.2">
      <c r="B4053" t="s">
        <v>44</v>
      </c>
      <c r="C4053" t="str">
        <f>HYPERLINK("https://us2.cloudbeds.com/connect/8493803454333002#/reservations/84585478602956?display=1R4NK1270M&amp;reservation_id=84585478602956", "1R4NK1270M")</f>
        <v>1R4NK1270M</v>
      </c>
      <c r="D4053" t="s">
        <v>45</v>
      </c>
      <c r="E4053" t="s">
        <v>138</v>
      </c>
      <c r="F4053" t="s">
        <v>70</v>
      </c>
      <c r="G4053" t="s">
        <v>48</v>
      </c>
      <c r="H4053" t="s">
        <v>49</v>
      </c>
      <c r="I4053" t="s">
        <v>62</v>
      </c>
      <c r="J4053" t="s">
        <v>5895</v>
      </c>
      <c r="K4053" t="s">
        <v>6736</v>
      </c>
      <c r="L4053" t="s">
        <v>53</v>
      </c>
      <c r="N4053" t="s">
        <v>6941</v>
      </c>
      <c r="P4053" t="s">
        <v>55</v>
      </c>
      <c r="R4053" t="s">
        <v>118</v>
      </c>
      <c r="T4053" t="s">
        <v>6942</v>
      </c>
      <c r="U4053" t="s">
        <v>55</v>
      </c>
      <c r="V4053">
        <v>1</v>
      </c>
      <c r="W4053">
        <v>1</v>
      </c>
      <c r="X4053">
        <v>2</v>
      </c>
      <c r="Y4053">
        <v>0</v>
      </c>
      <c r="Z4053">
        <v>2</v>
      </c>
      <c r="AA4053">
        <v>50</v>
      </c>
      <c r="AB4053">
        <v>50</v>
      </c>
      <c r="AC4053">
        <v>50</v>
      </c>
      <c r="AD4053">
        <v>0</v>
      </c>
      <c r="AE4053">
        <v>0</v>
      </c>
      <c r="AF4053">
        <v>0</v>
      </c>
      <c r="AG4053">
        <v>0</v>
      </c>
      <c r="AH4053">
        <v>0</v>
      </c>
      <c r="AI4053">
        <v>9</v>
      </c>
      <c r="AJ4053">
        <v>50</v>
      </c>
      <c r="AK4053">
        <v>0</v>
      </c>
      <c r="AL4053" t="s">
        <v>53</v>
      </c>
      <c r="AM4053" t="s">
        <v>53</v>
      </c>
      <c r="AN4053" t="s">
        <v>53</v>
      </c>
      <c r="AO4053" t="s">
        <v>53</v>
      </c>
      <c r="AP4053" t="s">
        <v>53</v>
      </c>
    </row>
    <row r="4054" spans="2:42" x14ac:dyDescent="0.2">
      <c r="B4054" t="s">
        <v>44</v>
      </c>
      <c r="C4054" t="str">
        <f>HYPERLINK("https://us2.cloudbeds.com/connect/8493803454333002#/reservations/84625453596820?display=1R5YXG1BC3&amp;reservation_id=84625453596820", "1R5YXG1BC3")</f>
        <v>1R5YXG1BC3</v>
      </c>
      <c r="D4054" t="s">
        <v>45</v>
      </c>
      <c r="E4054" t="s">
        <v>138</v>
      </c>
      <c r="F4054" t="s">
        <v>70</v>
      </c>
      <c r="G4054" t="s">
        <v>48</v>
      </c>
      <c r="H4054" t="s">
        <v>49</v>
      </c>
      <c r="I4054" t="s">
        <v>50</v>
      </c>
      <c r="J4054" t="s">
        <v>6943</v>
      </c>
      <c r="K4054" t="s">
        <v>6944</v>
      </c>
      <c r="L4054" t="s">
        <v>53</v>
      </c>
      <c r="N4054" t="s">
        <v>6945</v>
      </c>
      <c r="P4054" t="s">
        <v>55</v>
      </c>
      <c r="R4054" t="s">
        <v>53</v>
      </c>
      <c r="T4054" t="s">
        <v>6946</v>
      </c>
      <c r="U4054" t="s">
        <v>58</v>
      </c>
      <c r="V4054">
        <v>2</v>
      </c>
      <c r="W4054">
        <v>1</v>
      </c>
      <c r="X4054">
        <v>2</v>
      </c>
      <c r="Y4054">
        <v>0</v>
      </c>
      <c r="Z4054">
        <v>2</v>
      </c>
      <c r="AA4054">
        <v>392.21</v>
      </c>
      <c r="AB4054">
        <v>392.21</v>
      </c>
      <c r="AC4054">
        <v>345.1</v>
      </c>
      <c r="AD4054">
        <v>0</v>
      </c>
      <c r="AE4054">
        <v>47.11</v>
      </c>
      <c r="AF4054">
        <v>0</v>
      </c>
      <c r="AG4054">
        <v>0</v>
      </c>
      <c r="AH4054">
        <v>0</v>
      </c>
      <c r="AI4054">
        <v>70.599999999999994</v>
      </c>
      <c r="AJ4054">
        <v>392.21</v>
      </c>
      <c r="AK4054">
        <v>0</v>
      </c>
      <c r="AL4054" t="s">
        <v>53</v>
      </c>
      <c r="AM4054" t="s">
        <v>53</v>
      </c>
      <c r="AN4054" t="s">
        <v>53</v>
      </c>
      <c r="AO4054" t="s">
        <v>53</v>
      </c>
      <c r="AP4054" t="s">
        <v>53</v>
      </c>
    </row>
    <row r="4055" spans="2:42" x14ac:dyDescent="0.2">
      <c r="B4055" t="s">
        <v>44</v>
      </c>
      <c r="C4055" t="str">
        <f>HYPERLINK("https://us2.cloudbeds.com/connect/8493803454333002#/reservations/84832488419542?display=1RAGSN9FPR&amp;reservation_id=84832488419542", "1RAGSN9FPR")</f>
        <v>1RAGSN9FPR</v>
      </c>
      <c r="D4055" t="s">
        <v>602</v>
      </c>
      <c r="E4055" t="s">
        <v>53</v>
      </c>
      <c r="F4055" t="s">
        <v>47</v>
      </c>
      <c r="G4055" t="s">
        <v>48</v>
      </c>
      <c r="H4055" t="s">
        <v>3957</v>
      </c>
      <c r="I4055" t="s">
        <v>3975</v>
      </c>
      <c r="J4055" t="s">
        <v>6332</v>
      </c>
      <c r="K4055" t="s">
        <v>6691</v>
      </c>
      <c r="L4055" t="s">
        <v>53</v>
      </c>
      <c r="P4055" t="s">
        <v>55</v>
      </c>
      <c r="R4055" t="s">
        <v>53</v>
      </c>
      <c r="T4055" t="s">
        <v>6947</v>
      </c>
      <c r="U4055" t="s">
        <v>58</v>
      </c>
      <c r="V4055">
        <v>1</v>
      </c>
      <c r="W4055">
        <v>1</v>
      </c>
      <c r="X4055">
        <v>2</v>
      </c>
      <c r="Y4055">
        <v>0</v>
      </c>
      <c r="Z4055">
        <v>2</v>
      </c>
      <c r="AA4055">
        <v>56.83</v>
      </c>
      <c r="AB4055">
        <v>56.83</v>
      </c>
      <c r="AC4055">
        <v>0</v>
      </c>
      <c r="AD4055">
        <v>0</v>
      </c>
      <c r="AE4055">
        <v>0</v>
      </c>
      <c r="AF4055">
        <v>0</v>
      </c>
      <c r="AG4055">
        <v>0</v>
      </c>
      <c r="AH4055">
        <v>0</v>
      </c>
      <c r="AI4055">
        <v>0</v>
      </c>
      <c r="AJ4055">
        <v>0</v>
      </c>
      <c r="AK4055">
        <v>-56.83</v>
      </c>
      <c r="AL4055">
        <v>50</v>
      </c>
      <c r="AM4055">
        <v>56.83</v>
      </c>
      <c r="AN4055" t="s">
        <v>53</v>
      </c>
      <c r="AO4055" t="s">
        <v>53</v>
      </c>
      <c r="AP4055" t="s">
        <v>53</v>
      </c>
    </row>
    <row r="4056" spans="2:42" x14ac:dyDescent="0.2">
      <c r="B4056" t="s">
        <v>44</v>
      </c>
      <c r="C4056" t="str">
        <f>HYPERLINK("https://us2.cloudbeds.com/connect/8493803454333002#/reservations/84863537897717?display=1RB7U30W9S&amp;reservation_id=84863537897717", "1RB7U30W9S")</f>
        <v>1RB7U30W9S</v>
      </c>
      <c r="D4056" t="s">
        <v>45</v>
      </c>
      <c r="E4056" t="s">
        <v>105</v>
      </c>
      <c r="F4056" t="s">
        <v>47</v>
      </c>
      <c r="G4056" t="s">
        <v>48</v>
      </c>
      <c r="H4056" t="s">
        <v>49</v>
      </c>
      <c r="I4056" t="s">
        <v>62</v>
      </c>
      <c r="J4056" t="s">
        <v>6801</v>
      </c>
      <c r="K4056" t="s">
        <v>6781</v>
      </c>
      <c r="L4056" t="s">
        <v>53</v>
      </c>
      <c r="N4056" t="s">
        <v>6948</v>
      </c>
      <c r="P4056" t="s">
        <v>55</v>
      </c>
      <c r="R4056" t="s">
        <v>56</v>
      </c>
      <c r="T4056" t="s">
        <v>6949</v>
      </c>
      <c r="U4056" t="s">
        <v>55</v>
      </c>
      <c r="V4056">
        <v>2</v>
      </c>
      <c r="W4056">
        <v>1</v>
      </c>
      <c r="X4056">
        <v>1</v>
      </c>
      <c r="Y4056">
        <v>0</v>
      </c>
      <c r="Z4056">
        <v>1</v>
      </c>
      <c r="AA4056">
        <v>131</v>
      </c>
      <c r="AB4056">
        <v>131</v>
      </c>
      <c r="AC4056">
        <v>131</v>
      </c>
      <c r="AD4056">
        <v>0</v>
      </c>
      <c r="AE4056">
        <v>0</v>
      </c>
      <c r="AF4056">
        <v>0</v>
      </c>
      <c r="AG4056">
        <v>0</v>
      </c>
      <c r="AH4056">
        <v>0</v>
      </c>
      <c r="AI4056">
        <v>23.58</v>
      </c>
      <c r="AJ4056">
        <v>131</v>
      </c>
      <c r="AK4056">
        <v>0</v>
      </c>
      <c r="AL4056" t="s">
        <v>53</v>
      </c>
      <c r="AM4056" t="s">
        <v>53</v>
      </c>
      <c r="AN4056" t="s">
        <v>53</v>
      </c>
      <c r="AO4056" t="s">
        <v>53</v>
      </c>
      <c r="AP4056" t="s">
        <v>53</v>
      </c>
    </row>
    <row r="4057" spans="2:42" x14ac:dyDescent="0.2">
      <c r="B4057" t="s">
        <v>44</v>
      </c>
      <c r="C4057" t="str">
        <f>HYPERLINK("https://us2.cloudbeds.com/connect/8493803454333002#/reservations/84888111747226?display=1RBQV0BXM6&amp;reservation_id=84888111747226", "1RBQV0BXM6")</f>
        <v>1RBQV0BXM6</v>
      </c>
      <c r="D4057" t="s">
        <v>45</v>
      </c>
      <c r="E4057" t="s">
        <v>165</v>
      </c>
      <c r="F4057" t="s">
        <v>61</v>
      </c>
      <c r="G4057" t="s">
        <v>48</v>
      </c>
      <c r="H4057" t="s">
        <v>49</v>
      </c>
      <c r="I4057" t="s">
        <v>50</v>
      </c>
      <c r="J4057" t="s">
        <v>6250</v>
      </c>
      <c r="K4057" t="s">
        <v>6791</v>
      </c>
      <c r="L4057" t="s">
        <v>53</v>
      </c>
      <c r="N4057" t="s">
        <v>6950</v>
      </c>
      <c r="P4057" t="s">
        <v>55</v>
      </c>
      <c r="R4057" t="s">
        <v>53</v>
      </c>
      <c r="T4057" t="s">
        <v>6951</v>
      </c>
      <c r="U4057" t="s">
        <v>58</v>
      </c>
      <c r="V4057">
        <v>1</v>
      </c>
      <c r="W4057">
        <v>1</v>
      </c>
      <c r="X4057">
        <v>2</v>
      </c>
      <c r="Y4057">
        <v>0</v>
      </c>
      <c r="Z4057">
        <v>2</v>
      </c>
      <c r="AA4057">
        <v>62.79</v>
      </c>
      <c r="AB4057">
        <v>62.79</v>
      </c>
      <c r="AC4057">
        <v>55.25</v>
      </c>
      <c r="AD4057">
        <v>0</v>
      </c>
      <c r="AE4057">
        <v>7.54</v>
      </c>
      <c r="AF4057">
        <v>0</v>
      </c>
      <c r="AG4057">
        <v>0</v>
      </c>
      <c r="AH4057">
        <v>0</v>
      </c>
      <c r="AI4057">
        <v>11.3</v>
      </c>
      <c r="AJ4057">
        <v>62.79</v>
      </c>
      <c r="AK4057">
        <v>0</v>
      </c>
      <c r="AL4057" t="s">
        <v>53</v>
      </c>
      <c r="AM4057" t="s">
        <v>53</v>
      </c>
      <c r="AN4057" t="s">
        <v>53</v>
      </c>
      <c r="AO4057" t="s">
        <v>53</v>
      </c>
      <c r="AP4057" t="s">
        <v>53</v>
      </c>
    </row>
    <row r="4058" spans="2:42" x14ac:dyDescent="0.2">
      <c r="B4058" t="s">
        <v>44</v>
      </c>
      <c r="C4058" t="str">
        <f>HYPERLINK("https://us2.cloudbeds.com/connect/8493803454333002#/reservations/84918717792463?display=1RCHY25TDF&amp;reservation_id=84918717792463", "1RCHY25TDF")</f>
        <v>1RCHY25TDF</v>
      </c>
      <c r="D4058" t="s">
        <v>45</v>
      </c>
      <c r="E4058" t="s">
        <v>85</v>
      </c>
      <c r="F4058" t="s">
        <v>86</v>
      </c>
      <c r="G4058" t="s">
        <v>48</v>
      </c>
      <c r="H4058" t="s">
        <v>3957</v>
      </c>
      <c r="I4058" t="s">
        <v>3958</v>
      </c>
      <c r="J4058" t="s">
        <v>6249</v>
      </c>
      <c r="K4058" t="s">
        <v>6791</v>
      </c>
      <c r="L4058" t="s">
        <v>53</v>
      </c>
      <c r="P4058" t="s">
        <v>55</v>
      </c>
      <c r="R4058" t="s">
        <v>56</v>
      </c>
      <c r="T4058" t="s">
        <v>6952</v>
      </c>
      <c r="U4058" t="s">
        <v>58</v>
      </c>
      <c r="V4058">
        <v>2</v>
      </c>
      <c r="W4058">
        <v>1</v>
      </c>
      <c r="X4058">
        <v>1</v>
      </c>
      <c r="Y4058">
        <v>0</v>
      </c>
      <c r="Z4058">
        <v>1</v>
      </c>
      <c r="AA4058">
        <v>169.35</v>
      </c>
      <c r="AB4058">
        <v>169.35</v>
      </c>
      <c r="AC4058">
        <v>149</v>
      </c>
      <c r="AD4058">
        <v>0</v>
      </c>
      <c r="AE4058">
        <v>20.350000000000001</v>
      </c>
      <c r="AF4058">
        <v>0</v>
      </c>
      <c r="AG4058">
        <v>0</v>
      </c>
      <c r="AH4058">
        <v>0</v>
      </c>
      <c r="AI4058">
        <v>0</v>
      </c>
      <c r="AJ4058">
        <v>169.35</v>
      </c>
      <c r="AK4058">
        <v>0</v>
      </c>
      <c r="AL4058" t="s">
        <v>53</v>
      </c>
      <c r="AM4058" t="s">
        <v>53</v>
      </c>
      <c r="AN4058" t="s">
        <v>53</v>
      </c>
      <c r="AO4058" t="s">
        <v>53</v>
      </c>
      <c r="AP4058" t="s">
        <v>53</v>
      </c>
    </row>
    <row r="4059" spans="2:42" x14ac:dyDescent="0.2">
      <c r="B4059" t="s">
        <v>44</v>
      </c>
      <c r="C4059" t="str">
        <f>HYPERLINK("https://us2.cloudbeds.com/connect/8493803454333002#/reservations/84928249442501?display=1RCP0KH3ED&amp;reservation_id=84928249442501", "1RCP0KH3ED")</f>
        <v>1RCP0KH3ED</v>
      </c>
      <c r="D4059" t="s">
        <v>45</v>
      </c>
      <c r="E4059" t="s">
        <v>223</v>
      </c>
      <c r="F4059" t="s">
        <v>47</v>
      </c>
      <c r="G4059" t="s">
        <v>48</v>
      </c>
      <c r="H4059" t="s">
        <v>49</v>
      </c>
      <c r="I4059" t="s">
        <v>50</v>
      </c>
      <c r="J4059" t="s">
        <v>6810</v>
      </c>
      <c r="K4059" t="s">
        <v>6529</v>
      </c>
      <c r="L4059" t="s">
        <v>53</v>
      </c>
      <c r="N4059" t="s">
        <v>6953</v>
      </c>
      <c r="P4059" t="s">
        <v>55</v>
      </c>
      <c r="R4059" t="s">
        <v>53</v>
      </c>
      <c r="T4059" t="s">
        <v>6954</v>
      </c>
      <c r="U4059" t="s">
        <v>58</v>
      </c>
      <c r="V4059">
        <v>3</v>
      </c>
      <c r="W4059">
        <v>1</v>
      </c>
      <c r="X4059">
        <v>2</v>
      </c>
      <c r="Y4059">
        <v>0</v>
      </c>
      <c r="Z4059">
        <v>2</v>
      </c>
      <c r="AA4059">
        <v>170.83</v>
      </c>
      <c r="AB4059">
        <v>170.83</v>
      </c>
      <c r="AC4059">
        <v>150.30000000000001</v>
      </c>
      <c r="AD4059">
        <v>0</v>
      </c>
      <c r="AE4059">
        <v>20.53</v>
      </c>
      <c r="AF4059">
        <v>0</v>
      </c>
      <c r="AG4059">
        <v>0</v>
      </c>
      <c r="AH4059">
        <v>0</v>
      </c>
      <c r="AI4059">
        <v>30.75</v>
      </c>
      <c r="AJ4059">
        <v>170.83</v>
      </c>
      <c r="AK4059">
        <v>0</v>
      </c>
      <c r="AL4059" t="s">
        <v>53</v>
      </c>
      <c r="AM4059" t="s">
        <v>53</v>
      </c>
      <c r="AN4059" t="s">
        <v>53</v>
      </c>
      <c r="AO4059" t="s">
        <v>53</v>
      </c>
      <c r="AP4059" t="s">
        <v>53</v>
      </c>
    </row>
    <row r="4060" spans="2:42" x14ac:dyDescent="0.2">
      <c r="B4060" t="s">
        <v>44</v>
      </c>
      <c r="C4060" t="str">
        <f>HYPERLINK("https://us2.cloudbeds.com/connect/8493803454333002#/reservations/84946054254789?display=1RD5QJ08AN&amp;reservation_id=84946054254789", "1RD5QJ08AN")</f>
        <v>1RD5QJ08AN</v>
      </c>
      <c r="D4060" t="s">
        <v>45</v>
      </c>
      <c r="E4060" t="s">
        <v>113</v>
      </c>
      <c r="F4060" t="s">
        <v>61</v>
      </c>
      <c r="G4060" t="s">
        <v>48</v>
      </c>
      <c r="H4060" t="s">
        <v>49</v>
      </c>
      <c r="I4060" t="s">
        <v>50</v>
      </c>
      <c r="J4060" t="s">
        <v>6249</v>
      </c>
      <c r="K4060" t="s">
        <v>6250</v>
      </c>
      <c r="L4060" t="s">
        <v>53</v>
      </c>
      <c r="N4060" t="s">
        <v>6955</v>
      </c>
      <c r="P4060" t="s">
        <v>55</v>
      </c>
      <c r="R4060" t="s">
        <v>53</v>
      </c>
      <c r="T4060" t="s">
        <v>6956</v>
      </c>
      <c r="U4060" t="s">
        <v>58</v>
      </c>
      <c r="V4060">
        <v>1</v>
      </c>
      <c r="W4060">
        <v>1</v>
      </c>
      <c r="X4060">
        <v>2</v>
      </c>
      <c r="Y4060">
        <v>0</v>
      </c>
      <c r="Z4060">
        <v>2</v>
      </c>
      <c r="AA4060">
        <v>61.83</v>
      </c>
      <c r="AB4060">
        <v>61.83</v>
      </c>
      <c r="AC4060">
        <v>54.4</v>
      </c>
      <c r="AD4060">
        <v>0</v>
      </c>
      <c r="AE4060">
        <v>7.43</v>
      </c>
      <c r="AF4060">
        <v>0</v>
      </c>
      <c r="AG4060">
        <v>0</v>
      </c>
      <c r="AH4060">
        <v>0</v>
      </c>
      <c r="AI4060">
        <v>11.13</v>
      </c>
      <c r="AJ4060">
        <v>61.83</v>
      </c>
      <c r="AK4060">
        <v>0</v>
      </c>
      <c r="AL4060" t="s">
        <v>53</v>
      </c>
      <c r="AM4060" t="s">
        <v>53</v>
      </c>
      <c r="AN4060" t="s">
        <v>53</v>
      </c>
      <c r="AO4060" t="s">
        <v>53</v>
      </c>
      <c r="AP4060" t="s">
        <v>53</v>
      </c>
    </row>
    <row r="4061" spans="2:42" x14ac:dyDescent="0.2">
      <c r="B4061" t="s">
        <v>44</v>
      </c>
      <c r="C4061" t="str">
        <f>HYPERLINK("https://us2.cloudbeds.com/connect/8493803454333002#/reservations/84988181266570?display=1RE5E0KF09&amp;reservation_id=84988181266570", "1RE5E0KF09")</f>
        <v>1RE5E0KF09</v>
      </c>
      <c r="D4061" t="s">
        <v>45</v>
      </c>
      <c r="E4061" t="s">
        <v>98</v>
      </c>
      <c r="F4061" t="s">
        <v>86</v>
      </c>
      <c r="G4061" t="s">
        <v>48</v>
      </c>
      <c r="H4061" t="s">
        <v>49</v>
      </c>
      <c r="I4061" t="s">
        <v>62</v>
      </c>
      <c r="J4061" t="s">
        <v>6727</v>
      </c>
      <c r="K4061" t="s">
        <v>6618</v>
      </c>
      <c r="L4061" t="s">
        <v>53</v>
      </c>
      <c r="N4061" t="s">
        <v>6957</v>
      </c>
      <c r="P4061" t="s">
        <v>55</v>
      </c>
      <c r="R4061" t="s">
        <v>56</v>
      </c>
      <c r="T4061" t="s">
        <v>6958</v>
      </c>
      <c r="U4061" t="s">
        <v>55</v>
      </c>
      <c r="V4061">
        <v>1</v>
      </c>
      <c r="W4061">
        <v>1</v>
      </c>
      <c r="X4061">
        <v>2</v>
      </c>
      <c r="Y4061">
        <v>2</v>
      </c>
      <c r="Z4061">
        <v>4</v>
      </c>
      <c r="AA4061">
        <v>55</v>
      </c>
      <c r="AB4061">
        <v>55</v>
      </c>
      <c r="AC4061">
        <v>55</v>
      </c>
      <c r="AD4061">
        <v>0</v>
      </c>
      <c r="AE4061">
        <v>0</v>
      </c>
      <c r="AF4061">
        <v>0</v>
      </c>
      <c r="AG4061">
        <v>0</v>
      </c>
      <c r="AH4061">
        <v>0</v>
      </c>
      <c r="AI4061">
        <v>9.9</v>
      </c>
      <c r="AJ4061">
        <v>55</v>
      </c>
      <c r="AK4061">
        <v>0</v>
      </c>
      <c r="AL4061" t="s">
        <v>53</v>
      </c>
      <c r="AM4061" t="s">
        <v>53</v>
      </c>
      <c r="AN4061" t="s">
        <v>53</v>
      </c>
      <c r="AO4061" t="s">
        <v>53</v>
      </c>
      <c r="AP4061" t="s">
        <v>53</v>
      </c>
    </row>
    <row r="4062" spans="2:42" x14ac:dyDescent="0.2">
      <c r="B4062" t="s">
        <v>44</v>
      </c>
      <c r="C4062" t="str">
        <f>HYPERLINK("https://us2.cloudbeds.com/connect/8493803454333002#/reservations/85000479072429?display=1REEV8F10T&amp;reservation_id=85000479072429", "1REEV8F10T")</f>
        <v>1REEV8F10T</v>
      </c>
      <c r="D4062" t="s">
        <v>45</v>
      </c>
      <c r="E4062" t="s">
        <v>98</v>
      </c>
      <c r="F4062" t="s">
        <v>86</v>
      </c>
      <c r="G4062" t="s">
        <v>48</v>
      </c>
      <c r="H4062" t="s">
        <v>49</v>
      </c>
      <c r="I4062" t="s">
        <v>50</v>
      </c>
      <c r="J4062" t="s">
        <v>6959</v>
      </c>
      <c r="K4062" t="s">
        <v>6233</v>
      </c>
      <c r="L4062" t="s">
        <v>53</v>
      </c>
      <c r="N4062" t="s">
        <v>6960</v>
      </c>
      <c r="P4062" t="s">
        <v>55</v>
      </c>
      <c r="R4062" t="s">
        <v>53</v>
      </c>
      <c r="T4062" t="s">
        <v>6961</v>
      </c>
      <c r="U4062" t="s">
        <v>58</v>
      </c>
      <c r="V4062">
        <v>1</v>
      </c>
      <c r="W4062">
        <v>1</v>
      </c>
      <c r="X4062">
        <v>2</v>
      </c>
      <c r="Y4062">
        <v>1</v>
      </c>
      <c r="Z4062">
        <v>3</v>
      </c>
      <c r="AA4062">
        <v>145.47</v>
      </c>
      <c r="AB4062">
        <v>145.47</v>
      </c>
      <c r="AC4062">
        <v>128</v>
      </c>
      <c r="AD4062">
        <v>0</v>
      </c>
      <c r="AE4062">
        <v>17.47</v>
      </c>
      <c r="AF4062">
        <v>0</v>
      </c>
      <c r="AG4062">
        <v>0</v>
      </c>
      <c r="AH4062">
        <v>0</v>
      </c>
      <c r="AI4062">
        <v>26.18</v>
      </c>
      <c r="AJ4062">
        <v>145.47</v>
      </c>
      <c r="AK4062">
        <v>0</v>
      </c>
      <c r="AL4062" t="s">
        <v>53</v>
      </c>
      <c r="AM4062" t="s">
        <v>53</v>
      </c>
      <c r="AN4062" t="s">
        <v>53</v>
      </c>
      <c r="AO4062" t="s">
        <v>53</v>
      </c>
      <c r="AP4062" t="s">
        <v>53</v>
      </c>
    </row>
    <row r="4063" spans="2:42" x14ac:dyDescent="0.2">
      <c r="B4063" t="s">
        <v>44</v>
      </c>
      <c r="C4063" t="str">
        <f>HYPERLINK("https://us2.cloudbeds.com/connect/8493803454333002#/reservations/85193247096989?display=1RXW6UXFMJ&amp;reservation_id=85193247096989", "1RXW6UXFMJ")</f>
        <v>1RXW6UXFMJ</v>
      </c>
      <c r="D4063" t="s">
        <v>45</v>
      </c>
      <c r="E4063" t="s">
        <v>128</v>
      </c>
      <c r="F4063" t="s">
        <v>86</v>
      </c>
      <c r="G4063" t="s">
        <v>48</v>
      </c>
      <c r="H4063" t="s">
        <v>49</v>
      </c>
      <c r="I4063" t="s">
        <v>62</v>
      </c>
      <c r="J4063" t="s">
        <v>6810</v>
      </c>
      <c r="K4063" t="s">
        <v>6880</v>
      </c>
      <c r="L4063" t="s">
        <v>53</v>
      </c>
      <c r="N4063" t="s">
        <v>6962</v>
      </c>
      <c r="P4063" t="s">
        <v>55</v>
      </c>
      <c r="R4063" t="s">
        <v>56</v>
      </c>
      <c r="T4063" t="s">
        <v>6963</v>
      </c>
      <c r="U4063" t="s">
        <v>55</v>
      </c>
      <c r="V4063">
        <v>2</v>
      </c>
      <c r="W4063">
        <v>1</v>
      </c>
      <c r="X4063">
        <v>1</v>
      </c>
      <c r="Y4063">
        <v>0</v>
      </c>
      <c r="Z4063">
        <v>1</v>
      </c>
      <c r="AA4063">
        <v>109.25</v>
      </c>
      <c r="AB4063">
        <v>109.25</v>
      </c>
      <c r="AC4063">
        <v>109.25</v>
      </c>
      <c r="AD4063">
        <v>0</v>
      </c>
      <c r="AE4063">
        <v>0</v>
      </c>
      <c r="AF4063">
        <v>0</v>
      </c>
      <c r="AG4063">
        <v>0</v>
      </c>
      <c r="AH4063">
        <v>0</v>
      </c>
      <c r="AI4063">
        <v>19.670000000000002</v>
      </c>
      <c r="AJ4063">
        <v>109.25</v>
      </c>
      <c r="AK4063">
        <v>0</v>
      </c>
      <c r="AL4063" t="s">
        <v>53</v>
      </c>
      <c r="AM4063" t="s">
        <v>53</v>
      </c>
      <c r="AN4063" t="s">
        <v>53</v>
      </c>
      <c r="AO4063" t="s">
        <v>53</v>
      </c>
      <c r="AP4063" t="s">
        <v>53</v>
      </c>
    </row>
    <row r="4064" spans="2:42" x14ac:dyDescent="0.2">
      <c r="B4064" t="s">
        <v>44</v>
      </c>
      <c r="C4064" t="str">
        <f>HYPERLINK("https://us2.cloudbeds.com/connect/8493803454333002#/reservations/85253540397185?display=1RKCTXFE8G&amp;reservation_id=85253540397185", "1RKCTXFE8G")</f>
        <v>1RKCTXFE8G</v>
      </c>
      <c r="D4064" t="s">
        <v>45</v>
      </c>
      <c r="E4064" t="s">
        <v>179</v>
      </c>
      <c r="F4064" t="s">
        <v>47</v>
      </c>
      <c r="G4064" t="s">
        <v>48</v>
      </c>
      <c r="H4064" t="s">
        <v>3957</v>
      </c>
      <c r="I4064" t="s">
        <v>3975</v>
      </c>
      <c r="J4064" t="s">
        <v>6530</v>
      </c>
      <c r="K4064" t="s">
        <v>6930</v>
      </c>
      <c r="L4064" t="s">
        <v>53</v>
      </c>
      <c r="P4064" t="s">
        <v>55</v>
      </c>
      <c r="R4064" t="s">
        <v>53</v>
      </c>
      <c r="T4064" t="s">
        <v>6964</v>
      </c>
      <c r="U4064" t="s">
        <v>58</v>
      </c>
      <c r="V4064">
        <v>2</v>
      </c>
      <c r="W4064">
        <v>1</v>
      </c>
      <c r="X4064">
        <v>1</v>
      </c>
      <c r="Y4064">
        <v>0</v>
      </c>
      <c r="Z4064">
        <v>1</v>
      </c>
      <c r="AA4064">
        <v>129.58000000000001</v>
      </c>
      <c r="AB4064">
        <v>129.58000000000001</v>
      </c>
      <c r="AC4064">
        <v>114</v>
      </c>
      <c r="AD4064">
        <v>0</v>
      </c>
      <c r="AE4064">
        <v>15.58</v>
      </c>
      <c r="AF4064">
        <v>0</v>
      </c>
      <c r="AG4064">
        <v>0</v>
      </c>
      <c r="AH4064">
        <v>0</v>
      </c>
      <c r="AI4064">
        <v>0</v>
      </c>
      <c r="AJ4064">
        <v>129.58000000000001</v>
      </c>
      <c r="AK4064">
        <v>0</v>
      </c>
      <c r="AL4064" t="s">
        <v>53</v>
      </c>
      <c r="AM4064" t="s">
        <v>53</v>
      </c>
      <c r="AN4064" t="s">
        <v>53</v>
      </c>
      <c r="AO4064" t="s">
        <v>53</v>
      </c>
      <c r="AP4064" t="s">
        <v>53</v>
      </c>
    </row>
    <row r="4065" spans="2:42" x14ac:dyDescent="0.2">
      <c r="B4065" t="s">
        <v>44</v>
      </c>
      <c r="C4065" t="str">
        <f>HYPERLINK("https://us2.cloudbeds.com/connect/8493803454333002#/reservations/85258208616673?display=1RKGGRRH63&amp;reservation_id=85258208616673", "1RKGGRRH63")</f>
        <v>1RKGGRRH63</v>
      </c>
      <c r="D4065" t="s">
        <v>45</v>
      </c>
      <c r="E4065" t="s">
        <v>46</v>
      </c>
      <c r="F4065" t="s">
        <v>47</v>
      </c>
      <c r="G4065" t="s">
        <v>48</v>
      </c>
      <c r="H4065" t="s">
        <v>49</v>
      </c>
      <c r="I4065" t="s">
        <v>62</v>
      </c>
      <c r="J4065" t="s">
        <v>6250</v>
      </c>
      <c r="K4065" t="s">
        <v>6791</v>
      </c>
      <c r="L4065" t="s">
        <v>53</v>
      </c>
      <c r="N4065" t="s">
        <v>6965</v>
      </c>
      <c r="P4065" t="s">
        <v>55</v>
      </c>
      <c r="R4065" t="s">
        <v>56</v>
      </c>
      <c r="T4065" t="s">
        <v>6966</v>
      </c>
      <c r="U4065" t="s">
        <v>55</v>
      </c>
      <c r="V4065">
        <v>1</v>
      </c>
      <c r="W4065">
        <v>1</v>
      </c>
      <c r="X4065">
        <v>2</v>
      </c>
      <c r="Y4065">
        <v>0</v>
      </c>
      <c r="Z4065">
        <v>2</v>
      </c>
      <c r="AA4065">
        <v>58</v>
      </c>
      <c r="AB4065">
        <v>58</v>
      </c>
      <c r="AC4065">
        <v>58</v>
      </c>
      <c r="AD4065">
        <v>0</v>
      </c>
      <c r="AE4065">
        <v>0</v>
      </c>
      <c r="AF4065">
        <v>0</v>
      </c>
      <c r="AG4065">
        <v>0</v>
      </c>
      <c r="AH4065">
        <v>0</v>
      </c>
      <c r="AI4065">
        <v>10.44</v>
      </c>
      <c r="AJ4065">
        <v>58</v>
      </c>
      <c r="AK4065">
        <v>0</v>
      </c>
      <c r="AL4065" t="s">
        <v>53</v>
      </c>
      <c r="AM4065" t="s">
        <v>53</v>
      </c>
      <c r="AN4065" t="s">
        <v>53</v>
      </c>
      <c r="AO4065" t="s">
        <v>53</v>
      </c>
      <c r="AP4065" t="s">
        <v>53</v>
      </c>
    </row>
    <row r="4066" spans="2:42" x14ac:dyDescent="0.2">
      <c r="B4066" t="s">
        <v>44</v>
      </c>
      <c r="C4066" t="str">
        <f>HYPERLINK("https://us2.cloudbeds.com/connect/8493803454333002#/reservations/85263882911901?display=1RKKTRX4VB&amp;reservation_id=85263882911901", "1RKKTRX4VB")</f>
        <v>1RKKTRX4VB</v>
      </c>
      <c r="D4066" t="s">
        <v>45</v>
      </c>
      <c r="E4066" t="s">
        <v>98</v>
      </c>
      <c r="F4066" t="s">
        <v>86</v>
      </c>
      <c r="G4066" t="s">
        <v>48</v>
      </c>
      <c r="H4066" t="s">
        <v>3957</v>
      </c>
      <c r="I4066" t="s">
        <v>3958</v>
      </c>
      <c r="J4066" t="s">
        <v>6250</v>
      </c>
      <c r="K4066" t="s">
        <v>6791</v>
      </c>
      <c r="L4066" t="s">
        <v>53</v>
      </c>
      <c r="P4066" t="s">
        <v>55</v>
      </c>
      <c r="R4066" t="s">
        <v>56</v>
      </c>
      <c r="T4066" t="s">
        <v>6967</v>
      </c>
      <c r="U4066" t="s">
        <v>58</v>
      </c>
      <c r="V4066">
        <v>1</v>
      </c>
      <c r="W4066">
        <v>1</v>
      </c>
      <c r="X4066">
        <v>1</v>
      </c>
      <c r="Y4066">
        <v>0</v>
      </c>
      <c r="Z4066">
        <v>1</v>
      </c>
      <c r="AA4066">
        <v>90.92</v>
      </c>
      <c r="AB4066">
        <v>90.92</v>
      </c>
      <c r="AC4066">
        <v>80</v>
      </c>
      <c r="AD4066">
        <v>0</v>
      </c>
      <c r="AE4066">
        <v>10.92</v>
      </c>
      <c r="AF4066">
        <v>0</v>
      </c>
      <c r="AG4066">
        <v>0</v>
      </c>
      <c r="AH4066">
        <v>0</v>
      </c>
      <c r="AI4066">
        <v>0</v>
      </c>
      <c r="AJ4066">
        <v>90.92</v>
      </c>
      <c r="AK4066">
        <v>0</v>
      </c>
      <c r="AL4066" t="s">
        <v>53</v>
      </c>
      <c r="AM4066" t="s">
        <v>53</v>
      </c>
      <c r="AN4066" t="s">
        <v>53</v>
      </c>
      <c r="AO4066" t="s">
        <v>53</v>
      </c>
      <c r="AP4066" t="s">
        <v>53</v>
      </c>
    </row>
    <row r="4067" spans="2:42" x14ac:dyDescent="0.2">
      <c r="B4067" t="s">
        <v>44</v>
      </c>
      <c r="C4067" t="str">
        <f>HYPERLINK("https://us2.cloudbeds.com/connect/8493803454333002#/reservations/85267357188321?display=1RKNJK50DW&amp;reservation_id=85267357188321", "1RKNJK50DW")</f>
        <v>1RKNJK50DW</v>
      </c>
      <c r="D4067" t="s">
        <v>45</v>
      </c>
      <c r="E4067" t="s">
        <v>113</v>
      </c>
      <c r="F4067" t="s">
        <v>61</v>
      </c>
      <c r="G4067" t="s">
        <v>48</v>
      </c>
      <c r="H4067" t="s">
        <v>49</v>
      </c>
      <c r="I4067" t="s">
        <v>50</v>
      </c>
      <c r="J4067" t="s">
        <v>6250</v>
      </c>
      <c r="K4067" t="s">
        <v>6791</v>
      </c>
      <c r="L4067" t="s">
        <v>53</v>
      </c>
      <c r="N4067" t="s">
        <v>6968</v>
      </c>
      <c r="P4067" t="s">
        <v>55</v>
      </c>
      <c r="R4067" t="s">
        <v>53</v>
      </c>
      <c r="T4067" t="s">
        <v>6969</v>
      </c>
      <c r="U4067" t="s">
        <v>58</v>
      </c>
      <c r="V4067">
        <v>1</v>
      </c>
      <c r="W4067">
        <v>1</v>
      </c>
      <c r="X4067">
        <v>2</v>
      </c>
      <c r="Y4067">
        <v>0</v>
      </c>
      <c r="Z4067">
        <v>2</v>
      </c>
      <c r="AA4067">
        <v>66.650000000000006</v>
      </c>
      <c r="AB4067">
        <v>66.650000000000006</v>
      </c>
      <c r="AC4067">
        <v>58.65</v>
      </c>
      <c r="AD4067">
        <v>0</v>
      </c>
      <c r="AE4067">
        <v>8</v>
      </c>
      <c r="AF4067">
        <v>0</v>
      </c>
      <c r="AG4067">
        <v>0</v>
      </c>
      <c r="AH4067">
        <v>0</v>
      </c>
      <c r="AI4067">
        <v>12</v>
      </c>
      <c r="AJ4067">
        <v>66.650000000000006</v>
      </c>
      <c r="AK4067">
        <v>0</v>
      </c>
      <c r="AL4067" t="s">
        <v>53</v>
      </c>
      <c r="AM4067" t="s">
        <v>53</v>
      </c>
      <c r="AN4067" t="s">
        <v>53</v>
      </c>
      <c r="AO4067" t="s">
        <v>53</v>
      </c>
      <c r="AP4067" t="s">
        <v>53</v>
      </c>
    </row>
    <row r="4068" spans="2:42" x14ac:dyDescent="0.2">
      <c r="B4068" t="s">
        <v>44</v>
      </c>
      <c r="C4068" t="str">
        <f>HYPERLINK("https://us2.cloudbeds.com/connect/8493803454333002#/reservations/85271812100233?display=1RKR1EYGKY&amp;reservation_id=85271812100233", "1RKR1EYGKY")</f>
        <v>1RKR1EYGKY</v>
      </c>
      <c r="D4068" t="s">
        <v>45</v>
      </c>
      <c r="E4068" t="s">
        <v>381</v>
      </c>
      <c r="F4068" t="s">
        <v>47</v>
      </c>
      <c r="G4068" t="s">
        <v>48</v>
      </c>
      <c r="H4068" t="s">
        <v>3957</v>
      </c>
      <c r="I4068" t="s">
        <v>3975</v>
      </c>
      <c r="J4068" t="s">
        <v>6250</v>
      </c>
      <c r="K4068" t="s">
        <v>6791</v>
      </c>
      <c r="L4068" t="s">
        <v>53</v>
      </c>
      <c r="P4068" t="s">
        <v>55</v>
      </c>
      <c r="R4068" t="s">
        <v>53</v>
      </c>
      <c r="T4068" t="s">
        <v>6970</v>
      </c>
      <c r="U4068" t="s">
        <v>58</v>
      </c>
      <c r="V4068">
        <v>1</v>
      </c>
      <c r="W4068">
        <v>1</v>
      </c>
      <c r="X4068">
        <v>1</v>
      </c>
      <c r="Y4068">
        <v>0</v>
      </c>
      <c r="Z4068">
        <v>1</v>
      </c>
      <c r="AA4068">
        <v>65.92</v>
      </c>
      <c r="AB4068">
        <v>65.92</v>
      </c>
      <c r="AC4068">
        <v>58</v>
      </c>
      <c r="AD4068">
        <v>0</v>
      </c>
      <c r="AE4068">
        <v>7.92</v>
      </c>
      <c r="AF4068">
        <v>0</v>
      </c>
      <c r="AG4068">
        <v>0</v>
      </c>
      <c r="AH4068">
        <v>0</v>
      </c>
      <c r="AI4068">
        <v>0</v>
      </c>
      <c r="AJ4068">
        <v>65.92</v>
      </c>
      <c r="AK4068">
        <v>0</v>
      </c>
      <c r="AL4068" t="s">
        <v>53</v>
      </c>
      <c r="AM4068" t="s">
        <v>53</v>
      </c>
      <c r="AN4068" t="s">
        <v>53</v>
      </c>
      <c r="AO4068" t="s">
        <v>53</v>
      </c>
      <c r="AP4068" t="s">
        <v>53</v>
      </c>
    </row>
    <row r="4069" spans="2:42" x14ac:dyDescent="0.2">
      <c r="B4069" t="s">
        <v>44</v>
      </c>
      <c r="C4069" t="str">
        <f>HYPERLINK("https://us2.cloudbeds.com/connect/8493803454333002#/reservations/85303671189705?display=1RYXNH2KSB&amp;reservation_id=85303671189705", "1RYXNH2KSB")</f>
        <v>1RYXNH2KSB</v>
      </c>
      <c r="D4069" t="s">
        <v>45</v>
      </c>
      <c r="E4069" t="s">
        <v>78</v>
      </c>
      <c r="F4069" t="s">
        <v>61</v>
      </c>
      <c r="G4069" t="s">
        <v>48</v>
      </c>
      <c r="H4069" t="s">
        <v>3957</v>
      </c>
      <c r="I4069" t="s">
        <v>3958</v>
      </c>
      <c r="J4069" t="s">
        <v>6544</v>
      </c>
      <c r="K4069" t="s">
        <v>6234</v>
      </c>
      <c r="L4069" t="s">
        <v>53</v>
      </c>
      <c r="P4069" t="s">
        <v>55</v>
      </c>
      <c r="R4069" t="s">
        <v>56</v>
      </c>
      <c r="T4069" t="s">
        <v>6971</v>
      </c>
      <c r="U4069" t="s">
        <v>58</v>
      </c>
      <c r="V4069">
        <v>1</v>
      </c>
      <c r="W4069">
        <v>1</v>
      </c>
      <c r="X4069">
        <v>1</v>
      </c>
      <c r="Y4069">
        <v>0</v>
      </c>
      <c r="Z4069">
        <v>1</v>
      </c>
      <c r="AA4069">
        <v>112.52</v>
      </c>
      <c r="AB4069">
        <v>112.52</v>
      </c>
      <c r="AC4069">
        <v>99</v>
      </c>
      <c r="AD4069">
        <v>0</v>
      </c>
      <c r="AE4069">
        <v>13.52</v>
      </c>
      <c r="AF4069">
        <v>0</v>
      </c>
      <c r="AG4069">
        <v>0</v>
      </c>
      <c r="AH4069">
        <v>0</v>
      </c>
      <c r="AI4069">
        <v>0</v>
      </c>
      <c r="AJ4069">
        <v>112.52</v>
      </c>
      <c r="AK4069">
        <v>0</v>
      </c>
      <c r="AL4069" t="s">
        <v>53</v>
      </c>
      <c r="AM4069" t="s">
        <v>53</v>
      </c>
      <c r="AN4069" t="s">
        <v>53</v>
      </c>
      <c r="AO4069" t="s">
        <v>53</v>
      </c>
      <c r="AP4069" t="s">
        <v>53</v>
      </c>
    </row>
    <row r="4070" spans="2:42" x14ac:dyDescent="0.2">
      <c r="B4070" t="s">
        <v>44</v>
      </c>
      <c r="C4070" t="str">
        <f>HYPERLINK("https://us2.cloudbeds.com/connect/8493803454333002#/reservations/85340932501748?display=1RMEXKQXNA&amp;reservation_id=85340932501748", "1RMEXKQXNA")</f>
        <v>1RMEXKQXNA</v>
      </c>
      <c r="D4070" t="s">
        <v>45</v>
      </c>
      <c r="E4070" t="s">
        <v>138</v>
      </c>
      <c r="F4070" t="s">
        <v>70</v>
      </c>
      <c r="G4070" t="s">
        <v>48</v>
      </c>
      <c r="H4070" t="s">
        <v>49</v>
      </c>
      <c r="I4070" t="s">
        <v>62</v>
      </c>
      <c r="J4070" t="s">
        <v>6592</v>
      </c>
      <c r="K4070" t="s">
        <v>6912</v>
      </c>
      <c r="L4070" t="s">
        <v>53</v>
      </c>
      <c r="N4070" t="s">
        <v>6972</v>
      </c>
      <c r="P4070" t="s">
        <v>55</v>
      </c>
      <c r="R4070" t="s">
        <v>56</v>
      </c>
      <c r="T4070" t="s">
        <v>6973</v>
      </c>
      <c r="U4070" t="s">
        <v>55</v>
      </c>
      <c r="V4070">
        <v>1</v>
      </c>
      <c r="W4070">
        <v>1</v>
      </c>
      <c r="X4070">
        <v>2</v>
      </c>
      <c r="Y4070">
        <v>0</v>
      </c>
      <c r="Z4070">
        <v>2</v>
      </c>
      <c r="AA4070">
        <v>78.849999999999994</v>
      </c>
      <c r="AB4070">
        <v>78.849999999999994</v>
      </c>
      <c r="AC4070">
        <v>78.849999999999994</v>
      </c>
      <c r="AD4070">
        <v>0</v>
      </c>
      <c r="AE4070">
        <v>0</v>
      </c>
      <c r="AF4070">
        <v>0</v>
      </c>
      <c r="AG4070">
        <v>0</v>
      </c>
      <c r="AH4070">
        <v>0</v>
      </c>
      <c r="AI4070">
        <v>14.19</v>
      </c>
      <c r="AJ4070">
        <v>78.849999999999994</v>
      </c>
      <c r="AK4070">
        <v>0</v>
      </c>
      <c r="AL4070" t="s">
        <v>53</v>
      </c>
      <c r="AM4070" t="s">
        <v>53</v>
      </c>
      <c r="AN4070" t="s">
        <v>53</v>
      </c>
      <c r="AO4070" t="s">
        <v>53</v>
      </c>
      <c r="AP4070" t="s">
        <v>53</v>
      </c>
    </row>
    <row r="4071" spans="2:42" x14ac:dyDescent="0.2">
      <c r="B4071" t="s">
        <v>44</v>
      </c>
      <c r="C4071" t="str">
        <f>HYPERLINK("https://us2.cloudbeds.com/connect/8493803454333002#/reservations/85371919773938?display=1RN5XE333G&amp;reservation_id=85371919773938", "1RN5XE333G")</f>
        <v>1RN5XE333G</v>
      </c>
      <c r="D4071" t="s">
        <v>45</v>
      </c>
      <c r="E4071" t="s">
        <v>165</v>
      </c>
      <c r="F4071" t="s">
        <v>61</v>
      </c>
      <c r="G4071" t="s">
        <v>48</v>
      </c>
      <c r="H4071" t="s">
        <v>49</v>
      </c>
      <c r="I4071" t="s">
        <v>62</v>
      </c>
      <c r="J4071" t="s">
        <v>6810</v>
      </c>
      <c r="K4071" t="s">
        <v>6699</v>
      </c>
      <c r="L4071" t="s">
        <v>53</v>
      </c>
      <c r="N4071" t="s">
        <v>6974</v>
      </c>
      <c r="P4071" t="s">
        <v>55</v>
      </c>
      <c r="R4071" t="s">
        <v>56</v>
      </c>
      <c r="T4071" t="s">
        <v>6975</v>
      </c>
      <c r="U4071" t="s">
        <v>55</v>
      </c>
      <c r="V4071">
        <v>1</v>
      </c>
      <c r="W4071">
        <v>1</v>
      </c>
      <c r="X4071">
        <v>2</v>
      </c>
      <c r="Y4071">
        <v>0</v>
      </c>
      <c r="Z4071">
        <v>2</v>
      </c>
      <c r="AA4071">
        <v>60</v>
      </c>
      <c r="AB4071">
        <v>60</v>
      </c>
      <c r="AC4071">
        <v>60</v>
      </c>
      <c r="AD4071">
        <v>0</v>
      </c>
      <c r="AE4071">
        <v>0</v>
      </c>
      <c r="AF4071">
        <v>0</v>
      </c>
      <c r="AG4071">
        <v>0</v>
      </c>
      <c r="AH4071">
        <v>0</v>
      </c>
      <c r="AI4071">
        <v>10.8</v>
      </c>
      <c r="AJ4071">
        <v>60</v>
      </c>
      <c r="AK4071">
        <v>0</v>
      </c>
      <c r="AL4071" t="s">
        <v>53</v>
      </c>
      <c r="AM4071" t="s">
        <v>53</v>
      </c>
      <c r="AN4071" t="s">
        <v>53</v>
      </c>
      <c r="AO4071" t="s">
        <v>53</v>
      </c>
      <c r="AP4071" t="s">
        <v>53</v>
      </c>
    </row>
    <row r="4072" spans="2:42" x14ac:dyDescent="0.2">
      <c r="B4072" t="s">
        <v>44</v>
      </c>
      <c r="C4072" t="str">
        <f>HYPERLINK("https://us2.cloudbeds.com/connect/8493803454333002#/reservations/85383209513194?display=1RNE9TTZ49&amp;reservation_id=85383209513194", "1RNE9TTZ49")</f>
        <v>1RNE9TTZ49</v>
      </c>
      <c r="D4072" t="s">
        <v>45</v>
      </c>
      <c r="E4072" t="s">
        <v>53</v>
      </c>
      <c r="F4072" t="s">
        <v>47</v>
      </c>
      <c r="G4072" t="s">
        <v>48</v>
      </c>
      <c r="H4072" t="s">
        <v>49</v>
      </c>
      <c r="I4072" t="s">
        <v>50</v>
      </c>
      <c r="J4072" t="s">
        <v>6709</v>
      </c>
      <c r="K4072" t="s">
        <v>6332</v>
      </c>
      <c r="L4072" t="s">
        <v>53</v>
      </c>
      <c r="N4072" t="s">
        <v>6976</v>
      </c>
      <c r="P4072" t="s">
        <v>55</v>
      </c>
      <c r="R4072" t="s">
        <v>53</v>
      </c>
      <c r="T4072" t="s">
        <v>6977</v>
      </c>
      <c r="U4072" t="s">
        <v>58</v>
      </c>
      <c r="V4072">
        <v>1</v>
      </c>
      <c r="W4072">
        <v>1</v>
      </c>
      <c r="X4072">
        <v>1</v>
      </c>
      <c r="Y4072">
        <v>0</v>
      </c>
      <c r="Z4072">
        <v>1</v>
      </c>
      <c r="AA4072">
        <v>56.26</v>
      </c>
      <c r="AB4072">
        <v>56.26</v>
      </c>
      <c r="AC4072">
        <v>49.5</v>
      </c>
      <c r="AD4072">
        <v>0</v>
      </c>
      <c r="AE4072">
        <v>6.76</v>
      </c>
      <c r="AF4072">
        <v>0</v>
      </c>
      <c r="AG4072">
        <v>0</v>
      </c>
      <c r="AH4072">
        <v>0</v>
      </c>
      <c r="AI4072">
        <v>10.130000000000001</v>
      </c>
      <c r="AJ4072">
        <v>56.26</v>
      </c>
      <c r="AK4072">
        <v>0</v>
      </c>
      <c r="AL4072" t="s">
        <v>53</v>
      </c>
      <c r="AM4072" t="s">
        <v>53</v>
      </c>
      <c r="AN4072" t="s">
        <v>53</v>
      </c>
      <c r="AO4072" t="s">
        <v>53</v>
      </c>
      <c r="AP4072" t="s">
        <v>53</v>
      </c>
    </row>
    <row r="4073" spans="2:42" x14ac:dyDescent="0.2">
      <c r="B4073" t="s">
        <v>44</v>
      </c>
      <c r="C4073" t="str">
        <f>HYPERLINK("https://us2.cloudbeds.com/connect/8493803454333002#/reservations/85518699823244?display=1RQK6WUB2G&amp;reservation_id=85518699823244", "1RQK6WUB2G")</f>
        <v>1RQK6WUB2G</v>
      </c>
      <c r="D4073" t="s">
        <v>45</v>
      </c>
      <c r="E4073" t="s">
        <v>105</v>
      </c>
      <c r="F4073" t="s">
        <v>47</v>
      </c>
      <c r="G4073" t="s">
        <v>48</v>
      </c>
      <c r="H4073" t="s">
        <v>49</v>
      </c>
      <c r="I4073" t="s">
        <v>50</v>
      </c>
      <c r="J4073" t="s">
        <v>5622</v>
      </c>
      <c r="K4073" t="s">
        <v>5623</v>
      </c>
      <c r="L4073" t="s">
        <v>53</v>
      </c>
      <c r="N4073" t="s">
        <v>6978</v>
      </c>
      <c r="P4073" t="s">
        <v>55</v>
      </c>
      <c r="R4073" t="s">
        <v>53</v>
      </c>
      <c r="T4073" t="s">
        <v>6979</v>
      </c>
      <c r="U4073" t="s">
        <v>58</v>
      </c>
      <c r="V4073">
        <v>1</v>
      </c>
      <c r="W4073">
        <v>1</v>
      </c>
      <c r="X4073">
        <v>2</v>
      </c>
      <c r="Y4073">
        <v>0</v>
      </c>
      <c r="Z4073">
        <v>2</v>
      </c>
      <c r="AA4073">
        <v>286.33999999999997</v>
      </c>
      <c r="AB4073">
        <v>286.33999999999997</v>
      </c>
      <c r="AC4073">
        <v>251.94</v>
      </c>
      <c r="AD4073">
        <v>0</v>
      </c>
      <c r="AE4073">
        <v>34.4</v>
      </c>
      <c r="AF4073">
        <v>0</v>
      </c>
      <c r="AG4073">
        <v>0</v>
      </c>
      <c r="AH4073">
        <v>0</v>
      </c>
      <c r="AI4073">
        <v>51.54</v>
      </c>
      <c r="AJ4073">
        <v>286.33999999999997</v>
      </c>
      <c r="AK4073">
        <v>0</v>
      </c>
      <c r="AL4073" t="s">
        <v>53</v>
      </c>
      <c r="AM4073" t="s">
        <v>53</v>
      </c>
      <c r="AN4073" t="s">
        <v>53</v>
      </c>
      <c r="AO4073" t="s">
        <v>53</v>
      </c>
      <c r="AP4073" t="s">
        <v>53</v>
      </c>
    </row>
    <row r="4074" spans="2:42" x14ac:dyDescent="0.2">
      <c r="B4074" t="s">
        <v>44</v>
      </c>
      <c r="C4074" t="str">
        <f>HYPERLINK("https://us2.cloudbeds.com/connect/8493803454333002#/reservations/85519392231601?display=1RQKZMPKDU&amp;reservation_id=85519392231601", "1RQKZMPKDU")</f>
        <v>1RQKZMPKDU</v>
      </c>
      <c r="D4074" t="s">
        <v>45</v>
      </c>
      <c r="E4074" t="s">
        <v>78</v>
      </c>
      <c r="F4074" t="s">
        <v>61</v>
      </c>
      <c r="G4074" t="s">
        <v>48</v>
      </c>
      <c r="H4074" t="s">
        <v>49</v>
      </c>
      <c r="I4074" t="s">
        <v>50</v>
      </c>
      <c r="J4074" t="s">
        <v>5622</v>
      </c>
      <c r="K4074" t="s">
        <v>5623</v>
      </c>
      <c r="L4074" t="s">
        <v>53</v>
      </c>
      <c r="N4074" t="s">
        <v>6980</v>
      </c>
      <c r="P4074" t="s">
        <v>55</v>
      </c>
      <c r="R4074" t="s">
        <v>53</v>
      </c>
      <c r="T4074" t="s">
        <v>6981</v>
      </c>
      <c r="U4074" t="s">
        <v>58</v>
      </c>
      <c r="V4074">
        <v>1</v>
      </c>
      <c r="W4074">
        <v>1</v>
      </c>
      <c r="X4074">
        <v>2</v>
      </c>
      <c r="Y4074">
        <v>0</v>
      </c>
      <c r="Z4074">
        <v>2</v>
      </c>
      <c r="AA4074">
        <v>343.98</v>
      </c>
      <c r="AB4074">
        <v>343.98</v>
      </c>
      <c r="AC4074">
        <v>302.67</v>
      </c>
      <c r="AD4074">
        <v>0</v>
      </c>
      <c r="AE4074">
        <v>41.31</v>
      </c>
      <c r="AF4074">
        <v>0</v>
      </c>
      <c r="AG4074">
        <v>0</v>
      </c>
      <c r="AH4074">
        <v>0</v>
      </c>
      <c r="AI4074">
        <v>61.92</v>
      </c>
      <c r="AJ4074">
        <v>343.98</v>
      </c>
      <c r="AK4074">
        <v>0</v>
      </c>
      <c r="AL4074" t="s">
        <v>53</v>
      </c>
      <c r="AM4074" t="s">
        <v>53</v>
      </c>
      <c r="AN4074" t="s">
        <v>53</v>
      </c>
      <c r="AO4074" t="s">
        <v>53</v>
      </c>
      <c r="AP4074" t="s">
        <v>53</v>
      </c>
    </row>
    <row r="4075" spans="2:42" x14ac:dyDescent="0.2">
      <c r="B4075" t="s">
        <v>44</v>
      </c>
      <c r="C4075" t="str">
        <f>HYPERLINK("https://us2.cloudbeds.com/connect/8493803454333002#/reservations/85526863077572?display=1RQQHJCUCP&amp;reservation_id=85526863077572", "1RQQHJCUCP")</f>
        <v>1RQQHJCUCP</v>
      </c>
      <c r="D4075" t="s">
        <v>45</v>
      </c>
      <c r="E4075" t="s">
        <v>121</v>
      </c>
      <c r="F4075" t="s">
        <v>86</v>
      </c>
      <c r="G4075" t="s">
        <v>48</v>
      </c>
      <c r="H4075" t="s">
        <v>49</v>
      </c>
      <c r="I4075" t="s">
        <v>50</v>
      </c>
      <c r="J4075" t="s">
        <v>6807</v>
      </c>
      <c r="K4075" t="s">
        <v>6233</v>
      </c>
      <c r="L4075" t="s">
        <v>53</v>
      </c>
      <c r="N4075" t="s">
        <v>6982</v>
      </c>
      <c r="P4075" t="s">
        <v>55</v>
      </c>
      <c r="R4075" t="s">
        <v>53</v>
      </c>
      <c r="T4075" t="s">
        <v>6983</v>
      </c>
      <c r="U4075" t="s">
        <v>58</v>
      </c>
      <c r="V4075">
        <v>2</v>
      </c>
      <c r="W4075">
        <v>1</v>
      </c>
      <c r="X4075">
        <v>2</v>
      </c>
      <c r="Y4075">
        <v>1</v>
      </c>
      <c r="Z4075">
        <v>3</v>
      </c>
      <c r="AA4075">
        <v>411.2</v>
      </c>
      <c r="AB4075">
        <v>411.2</v>
      </c>
      <c r="AC4075">
        <v>361.8</v>
      </c>
      <c r="AD4075">
        <v>0</v>
      </c>
      <c r="AE4075">
        <v>49.4</v>
      </c>
      <c r="AF4075">
        <v>0</v>
      </c>
      <c r="AG4075">
        <v>0</v>
      </c>
      <c r="AH4075">
        <v>0</v>
      </c>
      <c r="AI4075">
        <v>74.02</v>
      </c>
      <c r="AJ4075">
        <v>411.2</v>
      </c>
      <c r="AK4075">
        <v>0</v>
      </c>
      <c r="AL4075" t="s">
        <v>53</v>
      </c>
      <c r="AM4075" t="s">
        <v>53</v>
      </c>
      <c r="AN4075" t="s">
        <v>53</v>
      </c>
      <c r="AO4075" t="s">
        <v>53</v>
      </c>
      <c r="AP4075" t="s">
        <v>53</v>
      </c>
    </row>
    <row r="4076" spans="2:42" x14ac:dyDescent="0.2">
      <c r="B4076" t="s">
        <v>44</v>
      </c>
      <c r="C4076" t="str">
        <f>HYPERLINK("https://us2.cloudbeds.com/connect/8493803454333002#/reservations/85542976110753?display=1RR60AAR3H&amp;reservation_id=85542976110753", "1RR60AAR3H")</f>
        <v>1RR60AAR3H</v>
      </c>
      <c r="D4076" t="s">
        <v>45</v>
      </c>
      <c r="E4076" t="s">
        <v>85</v>
      </c>
      <c r="F4076" t="s">
        <v>86</v>
      </c>
      <c r="G4076" t="s">
        <v>48</v>
      </c>
      <c r="H4076" t="s">
        <v>49</v>
      </c>
      <c r="I4076" t="s">
        <v>50</v>
      </c>
      <c r="J4076" t="s">
        <v>6791</v>
      </c>
      <c r="K4076" t="s">
        <v>6529</v>
      </c>
      <c r="L4076" t="s">
        <v>53</v>
      </c>
      <c r="N4076" t="s">
        <v>6984</v>
      </c>
      <c r="P4076" t="s">
        <v>55</v>
      </c>
      <c r="R4076" t="s">
        <v>53</v>
      </c>
      <c r="T4076" t="s">
        <v>6985</v>
      </c>
      <c r="U4076" t="s">
        <v>58</v>
      </c>
      <c r="V4076">
        <v>9</v>
      </c>
      <c r="W4076">
        <v>1</v>
      </c>
      <c r="X4076">
        <v>2</v>
      </c>
      <c r="Y4076">
        <v>0</v>
      </c>
      <c r="Z4076">
        <v>2</v>
      </c>
      <c r="AA4076">
        <v>736.15</v>
      </c>
      <c r="AB4076">
        <v>736.15</v>
      </c>
      <c r="AC4076">
        <v>647.70000000000005</v>
      </c>
      <c r="AD4076">
        <v>0</v>
      </c>
      <c r="AE4076">
        <v>88.45</v>
      </c>
      <c r="AF4076">
        <v>0</v>
      </c>
      <c r="AG4076">
        <v>0</v>
      </c>
      <c r="AH4076">
        <v>0</v>
      </c>
      <c r="AI4076">
        <v>132.51</v>
      </c>
      <c r="AJ4076">
        <v>736.15</v>
      </c>
      <c r="AK4076">
        <v>0</v>
      </c>
      <c r="AL4076" t="s">
        <v>53</v>
      </c>
      <c r="AM4076" t="s">
        <v>53</v>
      </c>
      <c r="AN4076" t="s">
        <v>53</v>
      </c>
      <c r="AO4076" t="s">
        <v>53</v>
      </c>
      <c r="AP4076" t="s">
        <v>53</v>
      </c>
    </row>
    <row r="4077" spans="2:42" x14ac:dyDescent="0.2">
      <c r="B4077" t="s">
        <v>44</v>
      </c>
      <c r="C4077" t="str">
        <f>HYPERLINK("https://us2.cloudbeds.com/connect/8493803454333002#/reservations/85557479600256?display=1RRH7U1MJ8&amp;reservation_id=85557479600256", "1RRH7U1MJ8")</f>
        <v>1RRH7U1MJ8</v>
      </c>
      <c r="D4077" t="s">
        <v>45</v>
      </c>
      <c r="E4077" t="s">
        <v>138</v>
      </c>
      <c r="F4077" t="s">
        <v>70</v>
      </c>
      <c r="G4077" t="s">
        <v>48</v>
      </c>
      <c r="H4077" t="s">
        <v>49</v>
      </c>
      <c r="I4077" t="s">
        <v>62</v>
      </c>
      <c r="J4077" t="s">
        <v>5518</v>
      </c>
      <c r="K4077" t="s">
        <v>6737</v>
      </c>
      <c r="L4077" t="s">
        <v>53</v>
      </c>
      <c r="N4077" t="s">
        <v>6986</v>
      </c>
      <c r="P4077" t="s">
        <v>55</v>
      </c>
      <c r="R4077" t="s">
        <v>125</v>
      </c>
      <c r="T4077" t="s">
        <v>6987</v>
      </c>
      <c r="U4077" t="s">
        <v>55</v>
      </c>
      <c r="V4077">
        <v>1</v>
      </c>
      <c r="W4077">
        <v>1</v>
      </c>
      <c r="X4077">
        <v>2</v>
      </c>
      <c r="Y4077">
        <v>0</v>
      </c>
      <c r="Z4077">
        <v>2</v>
      </c>
      <c r="AA4077">
        <v>50</v>
      </c>
      <c r="AB4077">
        <v>50</v>
      </c>
      <c r="AC4077">
        <v>50</v>
      </c>
      <c r="AD4077">
        <v>0</v>
      </c>
      <c r="AE4077">
        <v>0</v>
      </c>
      <c r="AF4077">
        <v>0</v>
      </c>
      <c r="AG4077">
        <v>0</v>
      </c>
      <c r="AH4077">
        <v>0</v>
      </c>
      <c r="AI4077">
        <v>9</v>
      </c>
      <c r="AJ4077">
        <v>50</v>
      </c>
      <c r="AK4077">
        <v>0</v>
      </c>
      <c r="AL4077" t="s">
        <v>53</v>
      </c>
      <c r="AM4077" t="s">
        <v>53</v>
      </c>
      <c r="AN4077" t="s">
        <v>53</v>
      </c>
      <c r="AO4077" t="s">
        <v>53</v>
      </c>
      <c r="AP4077" t="s">
        <v>53</v>
      </c>
    </row>
    <row r="4078" spans="2:42" x14ac:dyDescent="0.2">
      <c r="B4078" t="s">
        <v>44</v>
      </c>
      <c r="C4078" t="str">
        <f>HYPERLINK("https://us2.cloudbeds.com/connect/8493803454333002#/reservations/85562106777849?display=1RRKR4QRH8&amp;reservation_id=85562106777849", "1RRKR4QRH8")</f>
        <v>1RRKR4QRH8</v>
      </c>
      <c r="D4078" t="s">
        <v>45</v>
      </c>
      <c r="E4078" t="s">
        <v>373</v>
      </c>
      <c r="F4078" t="s">
        <v>47</v>
      </c>
      <c r="G4078" t="s">
        <v>48</v>
      </c>
      <c r="H4078" t="s">
        <v>3957</v>
      </c>
      <c r="I4078" t="s">
        <v>3975</v>
      </c>
      <c r="J4078" t="s">
        <v>6332</v>
      </c>
      <c r="K4078" t="s">
        <v>6710</v>
      </c>
      <c r="L4078" t="s">
        <v>53</v>
      </c>
      <c r="P4078" t="s">
        <v>55</v>
      </c>
      <c r="R4078" t="s">
        <v>53</v>
      </c>
      <c r="T4078" t="s">
        <v>6988</v>
      </c>
      <c r="U4078" t="s">
        <v>58</v>
      </c>
      <c r="V4078">
        <v>2</v>
      </c>
      <c r="W4078">
        <v>1</v>
      </c>
      <c r="X4078">
        <v>1</v>
      </c>
      <c r="Y4078">
        <v>0</v>
      </c>
      <c r="Z4078">
        <v>1</v>
      </c>
      <c r="AA4078">
        <v>125.04</v>
      </c>
      <c r="AB4078">
        <v>125.04</v>
      </c>
      <c r="AC4078">
        <v>110</v>
      </c>
      <c r="AD4078">
        <v>0</v>
      </c>
      <c r="AE4078">
        <v>15.04</v>
      </c>
      <c r="AF4078">
        <v>0</v>
      </c>
      <c r="AG4078">
        <v>0</v>
      </c>
      <c r="AH4078">
        <v>0</v>
      </c>
      <c r="AI4078">
        <v>0</v>
      </c>
      <c r="AJ4078">
        <v>125.04</v>
      </c>
      <c r="AK4078">
        <v>0</v>
      </c>
      <c r="AL4078" t="s">
        <v>53</v>
      </c>
      <c r="AM4078" t="s">
        <v>53</v>
      </c>
      <c r="AN4078" t="s">
        <v>53</v>
      </c>
      <c r="AO4078" t="s">
        <v>53</v>
      </c>
      <c r="AP4078" t="s">
        <v>53</v>
      </c>
    </row>
    <row r="4079" spans="2:42" x14ac:dyDescent="0.2">
      <c r="B4079" t="s">
        <v>44</v>
      </c>
      <c r="C4079" t="str">
        <f>HYPERLINK("https://us2.cloudbeds.com/connect/8493803454333002#/reservations/85584498098305?display=1RS559PAWX&amp;reservation_id=85584498098305", "1RS559PAWX")</f>
        <v>1RS559PAWX</v>
      </c>
      <c r="D4079" t="s">
        <v>45</v>
      </c>
      <c r="E4079" t="s">
        <v>381</v>
      </c>
      <c r="F4079" t="s">
        <v>47</v>
      </c>
      <c r="G4079" t="s">
        <v>48</v>
      </c>
      <c r="H4079" t="s">
        <v>49</v>
      </c>
      <c r="I4079" t="s">
        <v>62</v>
      </c>
      <c r="J4079" t="s">
        <v>6332</v>
      </c>
      <c r="K4079" t="s">
        <v>6810</v>
      </c>
      <c r="L4079" t="s">
        <v>53</v>
      </c>
      <c r="N4079" t="s">
        <v>6989</v>
      </c>
      <c r="P4079" t="s">
        <v>55</v>
      </c>
      <c r="R4079" t="s">
        <v>56</v>
      </c>
      <c r="T4079" t="s">
        <v>6990</v>
      </c>
      <c r="U4079" t="s">
        <v>55</v>
      </c>
      <c r="V4079">
        <v>4</v>
      </c>
      <c r="W4079">
        <v>1</v>
      </c>
      <c r="X4079">
        <v>1</v>
      </c>
      <c r="Y4079">
        <v>0</v>
      </c>
      <c r="Z4079">
        <v>1</v>
      </c>
      <c r="AA4079">
        <v>220</v>
      </c>
      <c r="AB4079">
        <v>220</v>
      </c>
      <c r="AC4079">
        <v>220</v>
      </c>
      <c r="AD4079">
        <v>0</v>
      </c>
      <c r="AE4079">
        <v>0</v>
      </c>
      <c r="AF4079">
        <v>0</v>
      </c>
      <c r="AG4079">
        <v>0</v>
      </c>
      <c r="AH4079">
        <v>0</v>
      </c>
      <c r="AI4079">
        <v>39.6</v>
      </c>
      <c r="AJ4079">
        <v>220</v>
      </c>
      <c r="AK4079">
        <v>0</v>
      </c>
      <c r="AL4079" t="s">
        <v>53</v>
      </c>
      <c r="AM4079" t="s">
        <v>53</v>
      </c>
      <c r="AN4079" t="s">
        <v>53</v>
      </c>
      <c r="AO4079" t="s">
        <v>53</v>
      </c>
      <c r="AP4079" t="s">
        <v>53</v>
      </c>
    </row>
    <row r="4080" spans="2:42" x14ac:dyDescent="0.2">
      <c r="B4080" t="s">
        <v>44</v>
      </c>
      <c r="C4080" t="str">
        <f>HYPERLINK("https://us2.cloudbeds.com/connect/8493803454333002#/reservations/85605972406480?display=1RSYQ0FK7U&amp;reservation_id=85605972406480", "1RSYQ0FK7U")</f>
        <v>1RSYQ0FK7U</v>
      </c>
      <c r="D4080" t="s">
        <v>45</v>
      </c>
      <c r="E4080" t="s">
        <v>165</v>
      </c>
      <c r="F4080" t="s">
        <v>61</v>
      </c>
      <c r="G4080" t="s">
        <v>48</v>
      </c>
      <c r="H4080" t="s">
        <v>49</v>
      </c>
      <c r="I4080" t="s">
        <v>50</v>
      </c>
      <c r="J4080" t="s">
        <v>6991</v>
      </c>
      <c r="K4080" t="s">
        <v>6992</v>
      </c>
      <c r="L4080" t="s">
        <v>53</v>
      </c>
      <c r="N4080" t="s">
        <v>6993</v>
      </c>
      <c r="P4080" t="s">
        <v>55</v>
      </c>
      <c r="R4080" t="s">
        <v>53</v>
      </c>
      <c r="T4080" t="s">
        <v>6994</v>
      </c>
      <c r="U4080" t="s">
        <v>58</v>
      </c>
      <c r="V4080">
        <v>2</v>
      </c>
      <c r="W4080">
        <v>1</v>
      </c>
      <c r="X4080">
        <v>2</v>
      </c>
      <c r="Y4080">
        <v>0</v>
      </c>
      <c r="Z4080">
        <v>2</v>
      </c>
      <c r="AA4080">
        <v>412.22</v>
      </c>
      <c r="AB4080">
        <v>412.22</v>
      </c>
      <c r="AC4080">
        <v>362.7</v>
      </c>
      <c r="AD4080">
        <v>0</v>
      </c>
      <c r="AE4080">
        <v>49.52</v>
      </c>
      <c r="AF4080">
        <v>0</v>
      </c>
      <c r="AG4080">
        <v>0</v>
      </c>
      <c r="AH4080">
        <v>0</v>
      </c>
      <c r="AI4080">
        <v>74.2</v>
      </c>
      <c r="AJ4080">
        <v>412.22</v>
      </c>
      <c r="AK4080">
        <v>0</v>
      </c>
      <c r="AL4080" t="s">
        <v>53</v>
      </c>
      <c r="AM4080" t="s">
        <v>53</v>
      </c>
      <c r="AN4080" t="s">
        <v>53</v>
      </c>
      <c r="AO4080" t="s">
        <v>53</v>
      </c>
      <c r="AP4080" t="s">
        <v>53</v>
      </c>
    </row>
    <row r="4081" spans="2:42" x14ac:dyDescent="0.2">
      <c r="B4081" t="s">
        <v>44</v>
      </c>
      <c r="C4081" t="str">
        <f>HYPERLINK("https://us2.cloudbeds.com/connect/8493803454333002#/reservations/85610711666833?display=1RSPF3ZH40&amp;reservation_id=85610711666833", "1RSPF3ZH40")</f>
        <v>1RSPF3ZH40</v>
      </c>
      <c r="D4081" t="s">
        <v>45</v>
      </c>
      <c r="E4081" t="s">
        <v>128</v>
      </c>
      <c r="F4081" t="s">
        <v>86</v>
      </c>
      <c r="G4081" t="s">
        <v>48</v>
      </c>
      <c r="H4081" t="s">
        <v>49</v>
      </c>
      <c r="I4081" t="s">
        <v>50</v>
      </c>
      <c r="J4081" t="s">
        <v>6791</v>
      </c>
      <c r="K4081" t="s">
        <v>6709</v>
      </c>
      <c r="L4081" t="s">
        <v>53</v>
      </c>
      <c r="N4081" t="s">
        <v>6995</v>
      </c>
      <c r="P4081" t="s">
        <v>55</v>
      </c>
      <c r="R4081" t="s">
        <v>53</v>
      </c>
      <c r="T4081" t="s">
        <v>6996</v>
      </c>
      <c r="U4081" t="s">
        <v>58</v>
      </c>
      <c r="V4081">
        <v>1</v>
      </c>
      <c r="W4081">
        <v>1</v>
      </c>
      <c r="X4081">
        <v>2</v>
      </c>
      <c r="Y4081">
        <v>0</v>
      </c>
      <c r="Z4081">
        <v>2</v>
      </c>
      <c r="AA4081">
        <v>77.28</v>
      </c>
      <c r="AB4081">
        <v>77.28</v>
      </c>
      <c r="AC4081">
        <v>68</v>
      </c>
      <c r="AD4081">
        <v>0</v>
      </c>
      <c r="AE4081">
        <v>9.2799999999999994</v>
      </c>
      <c r="AF4081">
        <v>0</v>
      </c>
      <c r="AG4081">
        <v>0</v>
      </c>
      <c r="AH4081">
        <v>0</v>
      </c>
      <c r="AI4081">
        <v>13.91</v>
      </c>
      <c r="AJ4081">
        <v>77.28</v>
      </c>
      <c r="AK4081">
        <v>0</v>
      </c>
      <c r="AL4081" t="s">
        <v>53</v>
      </c>
      <c r="AM4081" t="s">
        <v>53</v>
      </c>
      <c r="AN4081" t="s">
        <v>53</v>
      </c>
      <c r="AO4081" t="s">
        <v>53</v>
      </c>
      <c r="AP4081" t="s">
        <v>53</v>
      </c>
    </row>
    <row r="4082" spans="2:42" x14ac:dyDescent="0.2">
      <c r="B4082" t="s">
        <v>44</v>
      </c>
      <c r="C4082" t="str">
        <f>HYPERLINK("https://us2.cloudbeds.com/connect/8493803454333002#/reservations/85615826174206?display=1RSTDQE7EU&amp;reservation_id=85615826174206", "1RSTDQE7EU")</f>
        <v>1RSTDQE7EU</v>
      </c>
      <c r="D4082" t="s">
        <v>45</v>
      </c>
      <c r="E4082" t="s">
        <v>138</v>
      </c>
      <c r="F4082" t="s">
        <v>70</v>
      </c>
      <c r="G4082" t="s">
        <v>48</v>
      </c>
      <c r="H4082" t="s">
        <v>49</v>
      </c>
      <c r="I4082" t="s">
        <v>62</v>
      </c>
      <c r="J4082" t="s">
        <v>6836</v>
      </c>
      <c r="K4082" t="s">
        <v>6837</v>
      </c>
      <c r="L4082" t="s">
        <v>53</v>
      </c>
      <c r="N4082" t="s">
        <v>6997</v>
      </c>
      <c r="P4082" t="s">
        <v>55</v>
      </c>
      <c r="R4082" t="s">
        <v>56</v>
      </c>
      <c r="T4082" t="s">
        <v>6998</v>
      </c>
      <c r="U4082" t="s">
        <v>55</v>
      </c>
      <c r="V4082">
        <v>1</v>
      </c>
      <c r="W4082">
        <v>1</v>
      </c>
      <c r="X4082">
        <v>2</v>
      </c>
      <c r="Y4082">
        <v>0</v>
      </c>
      <c r="Z4082">
        <v>2</v>
      </c>
      <c r="AA4082">
        <v>50</v>
      </c>
      <c r="AB4082">
        <v>50</v>
      </c>
      <c r="AC4082">
        <v>50</v>
      </c>
      <c r="AD4082">
        <v>0</v>
      </c>
      <c r="AE4082">
        <v>0</v>
      </c>
      <c r="AF4082">
        <v>0</v>
      </c>
      <c r="AG4082">
        <v>0</v>
      </c>
      <c r="AH4082">
        <v>0</v>
      </c>
      <c r="AI4082">
        <v>9</v>
      </c>
      <c r="AJ4082">
        <v>50</v>
      </c>
      <c r="AK4082">
        <v>0</v>
      </c>
      <c r="AL4082" t="s">
        <v>53</v>
      </c>
      <c r="AM4082" t="s">
        <v>53</v>
      </c>
      <c r="AN4082" t="s">
        <v>53</v>
      </c>
      <c r="AO4082" t="s">
        <v>53</v>
      </c>
      <c r="AP4082" t="s">
        <v>53</v>
      </c>
    </row>
    <row r="4083" spans="2:42" x14ac:dyDescent="0.2">
      <c r="B4083" t="s">
        <v>44</v>
      </c>
      <c r="C4083" t="str">
        <f>HYPERLINK("https://us2.cloudbeds.com/connect/8493803454333002#/reservations/85649166364887?display=1RTM7NP5TE&amp;reservation_id=85649166364887", "1RTM7NP5TE")</f>
        <v>1RTM7NP5TE</v>
      </c>
      <c r="D4083" t="s">
        <v>45</v>
      </c>
      <c r="E4083" t="s">
        <v>110</v>
      </c>
      <c r="F4083" t="s">
        <v>47</v>
      </c>
      <c r="G4083" t="s">
        <v>48</v>
      </c>
      <c r="H4083" t="s">
        <v>49</v>
      </c>
      <c r="I4083" t="s">
        <v>50</v>
      </c>
      <c r="J4083" t="s">
        <v>6885</v>
      </c>
      <c r="K4083" t="s">
        <v>6999</v>
      </c>
      <c r="L4083" t="s">
        <v>53</v>
      </c>
      <c r="N4083" t="s">
        <v>7000</v>
      </c>
      <c r="P4083" t="s">
        <v>55</v>
      </c>
      <c r="R4083" t="s">
        <v>53</v>
      </c>
      <c r="T4083" t="s">
        <v>7001</v>
      </c>
      <c r="U4083" t="s">
        <v>58</v>
      </c>
      <c r="V4083">
        <v>1</v>
      </c>
      <c r="W4083">
        <v>1</v>
      </c>
      <c r="X4083">
        <v>2</v>
      </c>
      <c r="Y4083">
        <v>0</v>
      </c>
      <c r="Z4083">
        <v>2</v>
      </c>
      <c r="AA4083">
        <v>81.83</v>
      </c>
      <c r="AB4083">
        <v>81.83</v>
      </c>
      <c r="AC4083">
        <v>72</v>
      </c>
      <c r="AD4083">
        <v>0</v>
      </c>
      <c r="AE4083">
        <v>9.83</v>
      </c>
      <c r="AF4083">
        <v>0</v>
      </c>
      <c r="AG4083">
        <v>0</v>
      </c>
      <c r="AH4083">
        <v>0</v>
      </c>
      <c r="AI4083">
        <v>14.73</v>
      </c>
      <c r="AJ4083">
        <v>81.83</v>
      </c>
      <c r="AK4083">
        <v>0</v>
      </c>
      <c r="AL4083" t="s">
        <v>53</v>
      </c>
      <c r="AM4083" t="s">
        <v>53</v>
      </c>
      <c r="AN4083" t="s">
        <v>53</v>
      </c>
      <c r="AO4083" t="s">
        <v>53</v>
      </c>
      <c r="AP4083" t="s">
        <v>53</v>
      </c>
    </row>
    <row r="4084" spans="2:42" x14ac:dyDescent="0.2">
      <c r="B4084" t="s">
        <v>44</v>
      </c>
      <c r="C4084" t="str">
        <f>HYPERLINK("https://us2.cloudbeds.com/connect/8493803454333002#/reservations/85658804981998?display=1RTTN09TVR&amp;reservation_id=85658804981998", "1RTTN09TVR")</f>
        <v>1RTTN09TVR</v>
      </c>
      <c r="D4084" t="s">
        <v>45</v>
      </c>
      <c r="E4084" t="s">
        <v>98</v>
      </c>
      <c r="F4084" t="s">
        <v>86</v>
      </c>
      <c r="G4084" t="s">
        <v>48</v>
      </c>
      <c r="H4084" t="s">
        <v>49</v>
      </c>
      <c r="I4084" t="s">
        <v>62</v>
      </c>
      <c r="J4084" t="s">
        <v>6791</v>
      </c>
      <c r="K4084" t="s">
        <v>6709</v>
      </c>
      <c r="L4084" t="s">
        <v>53</v>
      </c>
      <c r="N4084" t="s">
        <v>7002</v>
      </c>
      <c r="P4084" t="s">
        <v>55</v>
      </c>
      <c r="R4084" t="s">
        <v>56</v>
      </c>
      <c r="T4084" t="s">
        <v>7003</v>
      </c>
      <c r="U4084" t="s">
        <v>55</v>
      </c>
      <c r="V4084">
        <v>1</v>
      </c>
      <c r="W4084">
        <v>1</v>
      </c>
      <c r="X4084">
        <v>2</v>
      </c>
      <c r="Y4084">
        <v>0</v>
      </c>
      <c r="Z4084">
        <v>2</v>
      </c>
      <c r="AA4084">
        <v>85</v>
      </c>
      <c r="AB4084">
        <v>85</v>
      </c>
      <c r="AC4084">
        <v>85</v>
      </c>
      <c r="AD4084">
        <v>0</v>
      </c>
      <c r="AE4084">
        <v>0</v>
      </c>
      <c r="AF4084">
        <v>0</v>
      </c>
      <c r="AG4084">
        <v>0</v>
      </c>
      <c r="AH4084">
        <v>0</v>
      </c>
      <c r="AI4084">
        <v>15.3</v>
      </c>
      <c r="AJ4084">
        <v>85</v>
      </c>
      <c r="AK4084">
        <v>0</v>
      </c>
      <c r="AL4084" t="s">
        <v>53</v>
      </c>
      <c r="AM4084" t="s">
        <v>53</v>
      </c>
      <c r="AN4084" t="s">
        <v>53</v>
      </c>
      <c r="AO4084" t="s">
        <v>53</v>
      </c>
      <c r="AP4084" t="s">
        <v>53</v>
      </c>
    </row>
    <row r="4085" spans="2:42" x14ac:dyDescent="0.2">
      <c r="B4085" t="s">
        <v>44</v>
      </c>
      <c r="C4085" t="str">
        <f>HYPERLINK("https://us2.cloudbeds.com/connect/8493803454333002#/reservations/85684657758352?display=1RUGNK1H53&amp;reservation_id=85684657758352", "1RUGNK1H53")</f>
        <v>1RUGNK1H53</v>
      </c>
      <c r="D4085" t="s">
        <v>45</v>
      </c>
      <c r="E4085" t="s">
        <v>179</v>
      </c>
      <c r="F4085" t="s">
        <v>47</v>
      </c>
      <c r="G4085" t="s">
        <v>48</v>
      </c>
      <c r="H4085" t="s">
        <v>49</v>
      </c>
      <c r="I4085" t="s">
        <v>50</v>
      </c>
      <c r="J4085" t="s">
        <v>6698</v>
      </c>
      <c r="K4085" t="s">
        <v>6880</v>
      </c>
      <c r="L4085" t="s">
        <v>53</v>
      </c>
      <c r="N4085" t="s">
        <v>7004</v>
      </c>
      <c r="P4085" t="s">
        <v>55</v>
      </c>
      <c r="R4085" t="s">
        <v>53</v>
      </c>
      <c r="T4085" t="s">
        <v>7005</v>
      </c>
      <c r="U4085" t="s">
        <v>58</v>
      </c>
      <c r="V4085">
        <v>3</v>
      </c>
      <c r="W4085">
        <v>1</v>
      </c>
      <c r="X4085">
        <v>1</v>
      </c>
      <c r="Y4085">
        <v>0</v>
      </c>
      <c r="Z4085">
        <v>1</v>
      </c>
      <c r="AA4085">
        <v>173.9</v>
      </c>
      <c r="AB4085">
        <v>176.61</v>
      </c>
      <c r="AC4085">
        <v>153</v>
      </c>
      <c r="AD4085">
        <v>2.5</v>
      </c>
      <c r="AE4085">
        <v>21.11</v>
      </c>
      <c r="AF4085">
        <v>0</v>
      </c>
      <c r="AG4085">
        <v>0</v>
      </c>
      <c r="AH4085">
        <v>0</v>
      </c>
      <c r="AI4085">
        <v>31.79</v>
      </c>
      <c r="AJ4085">
        <v>176.61</v>
      </c>
      <c r="AK4085">
        <v>0</v>
      </c>
      <c r="AL4085" t="s">
        <v>53</v>
      </c>
      <c r="AM4085" t="s">
        <v>53</v>
      </c>
      <c r="AN4085" t="s">
        <v>53</v>
      </c>
      <c r="AO4085" t="s">
        <v>53</v>
      </c>
      <c r="AP4085" t="s">
        <v>53</v>
      </c>
    </row>
    <row r="4086" spans="2:42" x14ac:dyDescent="0.2">
      <c r="B4086" t="s">
        <v>44</v>
      </c>
      <c r="C4086" t="str">
        <f>HYPERLINK("https://us2.cloudbeds.com/connect/8493803454333002#/reservations/85711591063702?display=1RV4XQUEY9&amp;reservation_id=85711591063702", "1RV4XQUEY9")</f>
        <v>1RV4XQUEY9</v>
      </c>
      <c r="D4086" t="s">
        <v>45</v>
      </c>
      <c r="E4086" t="s">
        <v>165</v>
      </c>
      <c r="F4086" t="s">
        <v>61</v>
      </c>
      <c r="G4086" t="s">
        <v>48</v>
      </c>
      <c r="H4086" t="s">
        <v>49</v>
      </c>
      <c r="I4086" t="s">
        <v>50</v>
      </c>
      <c r="J4086" t="s">
        <v>6709</v>
      </c>
      <c r="K4086" t="s">
        <v>6332</v>
      </c>
      <c r="L4086" t="s">
        <v>53</v>
      </c>
      <c r="N4086" t="s">
        <v>7006</v>
      </c>
      <c r="P4086" t="s">
        <v>55</v>
      </c>
      <c r="R4086" t="s">
        <v>53</v>
      </c>
      <c r="T4086" t="s">
        <v>7007</v>
      </c>
      <c r="U4086" t="s">
        <v>58</v>
      </c>
      <c r="V4086">
        <v>1</v>
      </c>
      <c r="W4086">
        <v>1</v>
      </c>
      <c r="X4086">
        <v>2</v>
      </c>
      <c r="Y4086">
        <v>0</v>
      </c>
      <c r="Z4086">
        <v>2</v>
      </c>
      <c r="AA4086">
        <v>57.28</v>
      </c>
      <c r="AB4086">
        <v>57.28</v>
      </c>
      <c r="AC4086">
        <v>50.4</v>
      </c>
      <c r="AD4086">
        <v>0</v>
      </c>
      <c r="AE4086">
        <v>6.88</v>
      </c>
      <c r="AF4086">
        <v>0</v>
      </c>
      <c r="AG4086">
        <v>0</v>
      </c>
      <c r="AH4086">
        <v>0</v>
      </c>
      <c r="AI4086">
        <v>10.31</v>
      </c>
      <c r="AJ4086">
        <v>57.28</v>
      </c>
      <c r="AK4086">
        <v>0</v>
      </c>
      <c r="AL4086" t="s">
        <v>53</v>
      </c>
      <c r="AM4086" t="s">
        <v>53</v>
      </c>
      <c r="AN4086" t="s">
        <v>53</v>
      </c>
      <c r="AO4086" t="s">
        <v>53</v>
      </c>
      <c r="AP4086" t="s">
        <v>53</v>
      </c>
    </row>
    <row r="4087" spans="2:42" x14ac:dyDescent="0.2">
      <c r="B4087" t="s">
        <v>44</v>
      </c>
      <c r="C4087" t="str">
        <f>HYPERLINK("https://us2.cloudbeds.com/connect/8493803454333002#/reservations/85712160436446?display=1RV50C12KQ&amp;reservation_id=85712160436446", "1RV50C12KQ")</f>
        <v>1RV50C12KQ</v>
      </c>
      <c r="D4087" t="s">
        <v>45</v>
      </c>
      <c r="E4087" t="s">
        <v>46</v>
      </c>
      <c r="F4087" t="s">
        <v>47</v>
      </c>
      <c r="G4087" t="s">
        <v>5320</v>
      </c>
      <c r="H4087" t="s">
        <v>3957</v>
      </c>
      <c r="I4087" t="s">
        <v>3975</v>
      </c>
      <c r="J4087" t="s">
        <v>6810</v>
      </c>
      <c r="K4087" t="s">
        <v>6529</v>
      </c>
      <c r="L4087" t="s">
        <v>53</v>
      </c>
      <c r="P4087" t="s">
        <v>55</v>
      </c>
      <c r="R4087" t="s">
        <v>53</v>
      </c>
      <c r="T4087" t="s">
        <v>7008</v>
      </c>
      <c r="U4087" t="s">
        <v>58</v>
      </c>
      <c r="V4087">
        <v>3</v>
      </c>
      <c r="W4087">
        <v>1</v>
      </c>
      <c r="X4087">
        <v>1</v>
      </c>
      <c r="Y4087">
        <v>0</v>
      </c>
      <c r="Z4087">
        <v>1</v>
      </c>
      <c r="AA4087">
        <v>146.63</v>
      </c>
      <c r="AB4087">
        <v>146.63</v>
      </c>
      <c r="AC4087">
        <v>129</v>
      </c>
      <c r="AD4087">
        <v>0</v>
      </c>
      <c r="AE4087">
        <v>17.63</v>
      </c>
      <c r="AF4087">
        <v>0</v>
      </c>
      <c r="AG4087">
        <v>0</v>
      </c>
      <c r="AH4087">
        <v>0</v>
      </c>
      <c r="AI4087">
        <v>0</v>
      </c>
      <c r="AJ4087">
        <v>146.63</v>
      </c>
      <c r="AK4087">
        <v>0</v>
      </c>
      <c r="AL4087" t="s">
        <v>53</v>
      </c>
      <c r="AM4087" t="s">
        <v>53</v>
      </c>
      <c r="AN4087" t="s">
        <v>53</v>
      </c>
      <c r="AO4087" t="s">
        <v>53</v>
      </c>
      <c r="AP4087" t="s">
        <v>53</v>
      </c>
    </row>
    <row r="4088" spans="2:42" x14ac:dyDescent="0.2">
      <c r="B4088" t="s">
        <v>44</v>
      </c>
      <c r="C4088" t="str">
        <f>HYPERLINK("https://us2.cloudbeds.com/connect/8493803454333002#/reservations/85737149538490?display=1RVZBTGMF9&amp;reservation_id=85737149538490", "1RVZBTGMF9")</f>
        <v>1RVZBTGMF9</v>
      </c>
      <c r="D4088" t="s">
        <v>45</v>
      </c>
      <c r="E4088" t="s">
        <v>78</v>
      </c>
      <c r="F4088" t="s">
        <v>61</v>
      </c>
      <c r="G4088" t="s">
        <v>48</v>
      </c>
      <c r="H4088" t="s">
        <v>49</v>
      </c>
      <c r="I4088" t="s">
        <v>50</v>
      </c>
      <c r="J4088" t="s">
        <v>5519</v>
      </c>
      <c r="K4088" t="s">
        <v>6888</v>
      </c>
      <c r="L4088" t="s">
        <v>53</v>
      </c>
      <c r="N4088" t="s">
        <v>7009</v>
      </c>
      <c r="P4088" t="s">
        <v>55</v>
      </c>
      <c r="R4088" t="s">
        <v>53</v>
      </c>
      <c r="T4088" t="s">
        <v>7010</v>
      </c>
      <c r="U4088" t="s">
        <v>58</v>
      </c>
      <c r="V4088">
        <v>1</v>
      </c>
      <c r="W4088">
        <v>1</v>
      </c>
      <c r="X4088">
        <v>2</v>
      </c>
      <c r="Y4088">
        <v>0</v>
      </c>
      <c r="Z4088">
        <v>2</v>
      </c>
      <c r="AA4088">
        <v>56.26</v>
      </c>
      <c r="AB4088">
        <v>56.26</v>
      </c>
      <c r="AC4088">
        <v>49.5</v>
      </c>
      <c r="AD4088">
        <v>0</v>
      </c>
      <c r="AE4088">
        <v>6.76</v>
      </c>
      <c r="AF4088">
        <v>0</v>
      </c>
      <c r="AG4088">
        <v>0</v>
      </c>
      <c r="AH4088">
        <v>0</v>
      </c>
      <c r="AI4088">
        <v>10.130000000000001</v>
      </c>
      <c r="AJ4088">
        <v>56.26</v>
      </c>
      <c r="AK4088">
        <v>0</v>
      </c>
      <c r="AL4088" t="s">
        <v>53</v>
      </c>
      <c r="AM4088" t="s">
        <v>53</v>
      </c>
      <c r="AN4088" t="s">
        <v>53</v>
      </c>
      <c r="AO4088" t="s">
        <v>53</v>
      </c>
      <c r="AP4088" t="s">
        <v>53</v>
      </c>
    </row>
    <row r="4089" spans="2:42" x14ac:dyDescent="0.2">
      <c r="B4089" t="s">
        <v>44</v>
      </c>
      <c r="C4089" t="str">
        <f>HYPERLINK("https://us2.cloudbeds.com/connect/8493803454333002#/reservations/85742632681624?display=1RVSK0179R&amp;reservation_id=85742632681624", "1RVSK0179R")</f>
        <v>1RVSK0179R</v>
      </c>
      <c r="D4089" t="s">
        <v>602</v>
      </c>
      <c r="E4089" t="s">
        <v>53</v>
      </c>
      <c r="F4089" t="s">
        <v>47</v>
      </c>
      <c r="G4089" t="s">
        <v>48</v>
      </c>
      <c r="H4089" t="s">
        <v>49</v>
      </c>
      <c r="I4089" t="s">
        <v>50</v>
      </c>
      <c r="J4089" t="s">
        <v>6698</v>
      </c>
      <c r="K4089" t="s">
        <v>6699</v>
      </c>
      <c r="L4089" t="s">
        <v>53</v>
      </c>
      <c r="N4089" t="s">
        <v>7011</v>
      </c>
      <c r="P4089" t="s">
        <v>55</v>
      </c>
      <c r="R4089" t="s">
        <v>53</v>
      </c>
      <c r="T4089" t="s">
        <v>7012</v>
      </c>
      <c r="U4089" t="s">
        <v>58</v>
      </c>
      <c r="V4089">
        <v>2</v>
      </c>
      <c r="W4089">
        <v>1</v>
      </c>
      <c r="X4089">
        <v>2</v>
      </c>
      <c r="Y4089">
        <v>0</v>
      </c>
      <c r="Z4089">
        <v>2</v>
      </c>
      <c r="AA4089">
        <v>112.06</v>
      </c>
      <c r="AB4089">
        <v>0</v>
      </c>
      <c r="AC4089">
        <v>0</v>
      </c>
      <c r="AD4089">
        <v>0</v>
      </c>
      <c r="AE4089">
        <v>0</v>
      </c>
      <c r="AF4089">
        <v>0</v>
      </c>
      <c r="AG4089">
        <v>0</v>
      </c>
      <c r="AH4089">
        <v>0</v>
      </c>
      <c r="AI4089">
        <v>20.170000000000002</v>
      </c>
      <c r="AJ4089">
        <v>0</v>
      </c>
      <c r="AK4089">
        <v>0</v>
      </c>
      <c r="AL4089">
        <v>98.6</v>
      </c>
      <c r="AM4089">
        <v>112.06</v>
      </c>
      <c r="AN4089" t="s">
        <v>7013</v>
      </c>
      <c r="AO4089" t="s">
        <v>53</v>
      </c>
      <c r="AP4089" t="s">
        <v>53</v>
      </c>
    </row>
    <row r="4090" spans="2:42" x14ac:dyDescent="0.2">
      <c r="B4090" t="s">
        <v>44</v>
      </c>
      <c r="C4090" t="str">
        <f>HYPERLINK("https://us2.cloudbeds.com/connect/8493803454333002#/reservations/85741355274430?display=1RVRKBTFUU&amp;reservation_id=85741355274430", "1RVRKBTFUU")</f>
        <v>1RVRKBTFUU</v>
      </c>
      <c r="D4090" t="s">
        <v>45</v>
      </c>
      <c r="E4090" t="s">
        <v>110</v>
      </c>
      <c r="F4090" t="s">
        <v>47</v>
      </c>
      <c r="G4090" t="s">
        <v>48</v>
      </c>
      <c r="H4090" t="s">
        <v>3957</v>
      </c>
      <c r="I4090" t="s">
        <v>3975</v>
      </c>
      <c r="J4090" t="s">
        <v>6922</v>
      </c>
      <c r="K4090" t="s">
        <v>4442</v>
      </c>
      <c r="L4090" t="s">
        <v>53</v>
      </c>
      <c r="P4090" t="s">
        <v>55</v>
      </c>
      <c r="R4090" t="s">
        <v>53</v>
      </c>
      <c r="T4090" t="s">
        <v>7014</v>
      </c>
      <c r="U4090" t="s">
        <v>58</v>
      </c>
      <c r="V4090">
        <v>1</v>
      </c>
      <c r="W4090">
        <v>1</v>
      </c>
      <c r="X4090">
        <v>2</v>
      </c>
      <c r="Y4090">
        <v>0</v>
      </c>
      <c r="Z4090">
        <v>2</v>
      </c>
      <c r="AA4090">
        <v>165.93</v>
      </c>
      <c r="AB4090">
        <v>165.93</v>
      </c>
      <c r="AC4090">
        <v>146</v>
      </c>
      <c r="AD4090">
        <v>0</v>
      </c>
      <c r="AE4090">
        <v>19.93</v>
      </c>
      <c r="AF4090">
        <v>0</v>
      </c>
      <c r="AG4090">
        <v>0</v>
      </c>
      <c r="AH4090">
        <v>0</v>
      </c>
      <c r="AI4090">
        <v>0</v>
      </c>
      <c r="AJ4090">
        <v>165.93</v>
      </c>
      <c r="AK4090">
        <v>0</v>
      </c>
      <c r="AL4090" t="s">
        <v>53</v>
      </c>
      <c r="AM4090" t="s">
        <v>53</v>
      </c>
      <c r="AN4090" t="s">
        <v>53</v>
      </c>
      <c r="AO4090" t="s">
        <v>53</v>
      </c>
      <c r="AP4090" t="s">
        <v>53</v>
      </c>
    </row>
    <row r="4091" spans="2:42" x14ac:dyDescent="0.2">
      <c r="B4091" t="s">
        <v>44</v>
      </c>
      <c r="C4091" t="str">
        <f>HYPERLINK("https://us2.cloudbeds.com/connect/8493803454333002#/reservations/85796702314626?display=1S04FJWFA5&amp;reservation_id=85796702314626", "1S04FJWFA5")</f>
        <v>1S04FJWFA5</v>
      </c>
      <c r="D4091" t="s">
        <v>45</v>
      </c>
      <c r="E4091" t="s">
        <v>223</v>
      </c>
      <c r="F4091" t="s">
        <v>47</v>
      </c>
      <c r="G4091" t="s">
        <v>48</v>
      </c>
      <c r="H4091" t="s">
        <v>49</v>
      </c>
      <c r="I4091" t="s">
        <v>62</v>
      </c>
      <c r="J4091" t="s">
        <v>5892</v>
      </c>
      <c r="K4091" t="s">
        <v>6736</v>
      </c>
      <c r="L4091" t="s">
        <v>53</v>
      </c>
      <c r="N4091" t="s">
        <v>7015</v>
      </c>
      <c r="P4091" t="s">
        <v>55</v>
      </c>
      <c r="R4091" t="s">
        <v>102</v>
      </c>
      <c r="T4091" t="s">
        <v>7016</v>
      </c>
      <c r="U4091" t="s">
        <v>55</v>
      </c>
      <c r="V4091">
        <v>2</v>
      </c>
      <c r="W4091">
        <v>1</v>
      </c>
      <c r="X4091">
        <v>2</v>
      </c>
      <c r="Y4091">
        <v>0</v>
      </c>
      <c r="Z4091">
        <v>2</v>
      </c>
      <c r="AA4091">
        <v>110</v>
      </c>
      <c r="AB4091">
        <v>110</v>
      </c>
      <c r="AC4091">
        <v>110</v>
      </c>
      <c r="AD4091">
        <v>0</v>
      </c>
      <c r="AE4091">
        <v>0</v>
      </c>
      <c r="AF4091">
        <v>0</v>
      </c>
      <c r="AG4091">
        <v>0</v>
      </c>
      <c r="AH4091">
        <v>0</v>
      </c>
      <c r="AI4091">
        <v>19.8</v>
      </c>
      <c r="AJ4091">
        <v>110</v>
      </c>
      <c r="AK4091">
        <v>0</v>
      </c>
      <c r="AL4091" t="s">
        <v>53</v>
      </c>
      <c r="AM4091" t="s">
        <v>53</v>
      </c>
      <c r="AN4091" t="s">
        <v>53</v>
      </c>
      <c r="AO4091" t="s">
        <v>53</v>
      </c>
      <c r="AP4091" t="s">
        <v>53</v>
      </c>
    </row>
    <row r="4092" spans="2:42" x14ac:dyDescent="0.2">
      <c r="B4092" t="s">
        <v>44</v>
      </c>
      <c r="C4092" t="str">
        <f>HYPERLINK("https://us2.cloudbeds.com/connect/8493803454333002#/reservations/85858362052825?display=1S1J753XT9&amp;reservation_id=85858362052825", "1S1J753XT9")</f>
        <v>1S1J753XT9</v>
      </c>
      <c r="D4092" t="s">
        <v>45</v>
      </c>
      <c r="E4092" t="s">
        <v>53</v>
      </c>
      <c r="F4092" t="s">
        <v>47</v>
      </c>
      <c r="G4092" t="s">
        <v>48</v>
      </c>
      <c r="H4092" t="s">
        <v>49</v>
      </c>
      <c r="I4092" t="s">
        <v>50</v>
      </c>
      <c r="J4092" t="s">
        <v>6709</v>
      </c>
      <c r="K4092" t="s">
        <v>6332</v>
      </c>
      <c r="L4092" t="s">
        <v>53</v>
      </c>
      <c r="N4092" t="s">
        <v>7017</v>
      </c>
      <c r="P4092" t="s">
        <v>55</v>
      </c>
      <c r="R4092" t="s">
        <v>53</v>
      </c>
      <c r="T4092" t="s">
        <v>7018</v>
      </c>
      <c r="U4092" t="s">
        <v>58</v>
      </c>
      <c r="V4092">
        <v>1</v>
      </c>
      <c r="W4092">
        <v>1</v>
      </c>
      <c r="X4092">
        <v>1</v>
      </c>
      <c r="Y4092">
        <v>0</v>
      </c>
      <c r="Z4092">
        <v>1</v>
      </c>
      <c r="AA4092">
        <v>62.39</v>
      </c>
      <c r="AB4092">
        <v>62.39</v>
      </c>
      <c r="AC4092">
        <v>54.9</v>
      </c>
      <c r="AD4092">
        <v>0</v>
      </c>
      <c r="AE4092">
        <v>7.49</v>
      </c>
      <c r="AF4092">
        <v>0</v>
      </c>
      <c r="AG4092">
        <v>0</v>
      </c>
      <c r="AH4092">
        <v>0</v>
      </c>
      <c r="AI4092">
        <v>11.23</v>
      </c>
      <c r="AJ4092">
        <v>62.39</v>
      </c>
      <c r="AK4092">
        <v>0</v>
      </c>
      <c r="AL4092" t="s">
        <v>53</v>
      </c>
      <c r="AM4092" t="s">
        <v>53</v>
      </c>
      <c r="AN4092" t="s">
        <v>53</v>
      </c>
      <c r="AO4092" t="s">
        <v>53</v>
      </c>
      <c r="AP4092" t="s">
        <v>53</v>
      </c>
    </row>
    <row r="4093" spans="2:42" x14ac:dyDescent="0.2">
      <c r="B4093" t="s">
        <v>44</v>
      </c>
      <c r="C4093" t="str">
        <f>HYPERLINK("https://us2.cloudbeds.com/connect/8493803454333002#/reservations/85912736981141?display=1S2SAXG3HP&amp;reservation_id=85912736981141", "1S2SAXG3HP")</f>
        <v>1S2SAXG3HP</v>
      </c>
      <c r="D4093" t="s">
        <v>45</v>
      </c>
      <c r="E4093" t="s">
        <v>113</v>
      </c>
      <c r="F4093" t="s">
        <v>61</v>
      </c>
      <c r="G4093" t="s">
        <v>48</v>
      </c>
      <c r="H4093" t="s">
        <v>3957</v>
      </c>
      <c r="I4093" t="s">
        <v>3989</v>
      </c>
      <c r="J4093" t="s">
        <v>6709</v>
      </c>
      <c r="K4093" t="s">
        <v>6332</v>
      </c>
      <c r="L4093" t="s">
        <v>53</v>
      </c>
      <c r="P4093" t="s">
        <v>55</v>
      </c>
      <c r="R4093" t="s">
        <v>56</v>
      </c>
      <c r="T4093" t="s">
        <v>7019</v>
      </c>
      <c r="U4093" t="s">
        <v>58</v>
      </c>
      <c r="V4093">
        <v>1</v>
      </c>
      <c r="W4093">
        <v>1</v>
      </c>
      <c r="X4093">
        <v>1</v>
      </c>
      <c r="Y4093">
        <v>0</v>
      </c>
      <c r="Z4093">
        <v>1</v>
      </c>
      <c r="AA4093">
        <v>78.42</v>
      </c>
      <c r="AB4093">
        <v>78.42</v>
      </c>
      <c r="AC4093">
        <v>69</v>
      </c>
      <c r="AD4093">
        <v>0</v>
      </c>
      <c r="AE4093">
        <v>9.42</v>
      </c>
      <c r="AF4093">
        <v>0</v>
      </c>
      <c r="AG4093">
        <v>0</v>
      </c>
      <c r="AH4093">
        <v>0</v>
      </c>
      <c r="AI4093">
        <v>0</v>
      </c>
      <c r="AJ4093">
        <v>78.42</v>
      </c>
      <c r="AK4093">
        <v>0</v>
      </c>
      <c r="AL4093" t="s">
        <v>53</v>
      </c>
      <c r="AM4093" t="s">
        <v>53</v>
      </c>
      <c r="AN4093" t="s">
        <v>53</v>
      </c>
      <c r="AO4093" t="s">
        <v>53</v>
      </c>
      <c r="AP4093" t="s">
        <v>53</v>
      </c>
    </row>
    <row r="4094" spans="2:42" x14ac:dyDescent="0.2">
      <c r="B4094" t="s">
        <v>44</v>
      </c>
      <c r="C4094" t="str">
        <f>HYPERLINK("https://us2.cloudbeds.com/connect/8493803454333002#/reservations/85934922035355?display=1S3CGEGV4T&amp;reservation_id=85934922035355", "1S3CGEGV4T")</f>
        <v>1S3CGEGV4T</v>
      </c>
      <c r="D4094" t="s">
        <v>45</v>
      </c>
      <c r="E4094" t="s">
        <v>138</v>
      </c>
      <c r="F4094" t="s">
        <v>70</v>
      </c>
      <c r="G4094" t="s">
        <v>48</v>
      </c>
      <c r="H4094" t="s">
        <v>49</v>
      </c>
      <c r="I4094" t="s">
        <v>50</v>
      </c>
      <c r="J4094" t="s">
        <v>6858</v>
      </c>
      <c r="K4094" t="s">
        <v>6591</v>
      </c>
      <c r="L4094" t="s">
        <v>53</v>
      </c>
      <c r="N4094" t="s">
        <v>7020</v>
      </c>
      <c r="P4094" t="s">
        <v>55</v>
      </c>
      <c r="R4094" t="s">
        <v>53</v>
      </c>
      <c r="T4094" t="s">
        <v>7021</v>
      </c>
      <c r="U4094" t="s">
        <v>58</v>
      </c>
      <c r="V4094">
        <v>1</v>
      </c>
      <c r="W4094">
        <v>1</v>
      </c>
      <c r="X4094">
        <v>2</v>
      </c>
      <c r="Y4094">
        <v>0</v>
      </c>
      <c r="Z4094">
        <v>2</v>
      </c>
      <c r="AA4094">
        <v>99.5</v>
      </c>
      <c r="AB4094">
        <v>99.5</v>
      </c>
      <c r="AC4094">
        <v>87.55</v>
      </c>
      <c r="AD4094">
        <v>0</v>
      </c>
      <c r="AE4094">
        <v>11.95</v>
      </c>
      <c r="AF4094">
        <v>0</v>
      </c>
      <c r="AG4094">
        <v>0</v>
      </c>
      <c r="AH4094">
        <v>0</v>
      </c>
      <c r="AI4094">
        <v>17.91</v>
      </c>
      <c r="AJ4094">
        <v>99.5</v>
      </c>
      <c r="AK4094">
        <v>0</v>
      </c>
      <c r="AL4094" t="s">
        <v>53</v>
      </c>
      <c r="AM4094" t="s">
        <v>53</v>
      </c>
      <c r="AN4094" t="s">
        <v>53</v>
      </c>
      <c r="AO4094" t="s">
        <v>53</v>
      </c>
      <c r="AP4094" t="s">
        <v>53</v>
      </c>
    </row>
    <row r="4095" spans="2:42" x14ac:dyDescent="0.2">
      <c r="B4095" t="s">
        <v>44</v>
      </c>
      <c r="C4095" t="str">
        <f>HYPERLINK("https://us2.cloudbeds.com/connect/8493803454333002#/reservations/85935293141176?display=1S3CPUEGRR&amp;reservation_id=85935293141176", "1S3CPUEGRR")</f>
        <v>1S3CPUEGRR</v>
      </c>
      <c r="D4095" t="s">
        <v>45</v>
      </c>
      <c r="E4095" t="s">
        <v>185</v>
      </c>
      <c r="F4095" t="s">
        <v>47</v>
      </c>
      <c r="G4095" t="s">
        <v>48</v>
      </c>
      <c r="H4095" t="s">
        <v>49</v>
      </c>
      <c r="I4095" t="s">
        <v>50</v>
      </c>
      <c r="J4095" t="s">
        <v>6858</v>
      </c>
      <c r="K4095" t="s">
        <v>6591</v>
      </c>
      <c r="L4095" t="s">
        <v>53</v>
      </c>
      <c r="N4095" t="s">
        <v>7022</v>
      </c>
      <c r="P4095" t="s">
        <v>55</v>
      </c>
      <c r="R4095" t="s">
        <v>53</v>
      </c>
      <c r="T4095" t="s">
        <v>7023</v>
      </c>
      <c r="U4095" t="s">
        <v>58</v>
      </c>
      <c r="V4095">
        <v>1</v>
      </c>
      <c r="W4095">
        <v>1</v>
      </c>
      <c r="X4095">
        <v>2</v>
      </c>
      <c r="Y4095">
        <v>0</v>
      </c>
      <c r="Z4095">
        <v>2</v>
      </c>
      <c r="AA4095">
        <v>100.46</v>
      </c>
      <c r="AB4095">
        <v>100.46</v>
      </c>
      <c r="AC4095">
        <v>88.4</v>
      </c>
      <c r="AD4095">
        <v>0</v>
      </c>
      <c r="AE4095">
        <v>12.06</v>
      </c>
      <c r="AF4095">
        <v>0</v>
      </c>
      <c r="AG4095">
        <v>0</v>
      </c>
      <c r="AH4095">
        <v>0</v>
      </c>
      <c r="AI4095">
        <v>18.079999999999998</v>
      </c>
      <c r="AJ4095">
        <v>100.46</v>
      </c>
      <c r="AK4095">
        <v>0</v>
      </c>
      <c r="AL4095" t="s">
        <v>53</v>
      </c>
      <c r="AM4095" t="s">
        <v>53</v>
      </c>
      <c r="AN4095" t="s">
        <v>53</v>
      </c>
      <c r="AO4095" t="s">
        <v>53</v>
      </c>
      <c r="AP4095" t="s">
        <v>53</v>
      </c>
    </row>
    <row r="4096" spans="2:42" x14ac:dyDescent="0.2">
      <c r="B4096" t="s">
        <v>44</v>
      </c>
      <c r="C4096" t="str">
        <f>HYPERLINK("https://us2.cloudbeds.com/connect/8493803454333002#/reservations/85971304579286?display=1S47M37SD4&amp;reservation_id=85971304579286", "1S47M37SD4")</f>
        <v>1S47M37SD4</v>
      </c>
      <c r="D4096" t="s">
        <v>45</v>
      </c>
      <c r="E4096" t="s">
        <v>92</v>
      </c>
      <c r="F4096" t="s">
        <v>86</v>
      </c>
      <c r="G4096" t="s">
        <v>48</v>
      </c>
      <c r="H4096" t="s">
        <v>49</v>
      </c>
      <c r="I4096" t="s">
        <v>50</v>
      </c>
      <c r="J4096" t="s">
        <v>6885</v>
      </c>
      <c r="K4096" t="s">
        <v>5963</v>
      </c>
      <c r="L4096" t="s">
        <v>53</v>
      </c>
      <c r="N4096" t="s">
        <v>7024</v>
      </c>
      <c r="P4096" t="s">
        <v>55</v>
      </c>
      <c r="R4096" t="s">
        <v>53</v>
      </c>
      <c r="T4096" t="s">
        <v>7025</v>
      </c>
      <c r="U4096" t="s">
        <v>58</v>
      </c>
      <c r="V4096">
        <v>2</v>
      </c>
      <c r="W4096">
        <v>1</v>
      </c>
      <c r="X4096">
        <v>2</v>
      </c>
      <c r="Y4096">
        <v>0</v>
      </c>
      <c r="Z4096">
        <v>2</v>
      </c>
      <c r="AA4096">
        <v>186.39</v>
      </c>
      <c r="AB4096">
        <v>186.39</v>
      </c>
      <c r="AC4096">
        <v>164</v>
      </c>
      <c r="AD4096">
        <v>0</v>
      </c>
      <c r="AE4096">
        <v>22.39</v>
      </c>
      <c r="AF4096">
        <v>0</v>
      </c>
      <c r="AG4096">
        <v>0</v>
      </c>
      <c r="AH4096">
        <v>0</v>
      </c>
      <c r="AI4096">
        <v>33.549999999999997</v>
      </c>
      <c r="AJ4096">
        <v>186.39</v>
      </c>
      <c r="AK4096">
        <v>0</v>
      </c>
      <c r="AL4096" t="s">
        <v>53</v>
      </c>
      <c r="AM4096" t="s">
        <v>53</v>
      </c>
      <c r="AN4096" t="s">
        <v>53</v>
      </c>
      <c r="AO4096" t="s">
        <v>53</v>
      </c>
      <c r="AP4096" t="s">
        <v>53</v>
      </c>
    </row>
    <row r="4097" spans="2:42" x14ac:dyDescent="0.2">
      <c r="B4097" t="s">
        <v>44</v>
      </c>
      <c r="C4097" t="str">
        <f>HYPERLINK("https://us2.cloudbeds.com/connect/8493803454333002#/reservations/85978131861744?display=1S4CVX61VB&amp;reservation_id=85978131861744", "1S4CVX61VB")</f>
        <v>1S4CVX61VB</v>
      </c>
      <c r="D4097" t="s">
        <v>45</v>
      </c>
      <c r="E4097" t="s">
        <v>128</v>
      </c>
      <c r="F4097" t="s">
        <v>86</v>
      </c>
      <c r="G4097" t="s">
        <v>48</v>
      </c>
      <c r="H4097" t="s">
        <v>49</v>
      </c>
      <c r="I4097" t="s">
        <v>50</v>
      </c>
      <c r="J4097" t="s">
        <v>6709</v>
      </c>
      <c r="K4097" t="s">
        <v>6332</v>
      </c>
      <c r="L4097" t="s">
        <v>53</v>
      </c>
      <c r="N4097" t="s">
        <v>7026</v>
      </c>
      <c r="P4097" t="s">
        <v>55</v>
      </c>
      <c r="R4097" t="s">
        <v>53</v>
      </c>
      <c r="T4097" t="s">
        <v>7027</v>
      </c>
      <c r="U4097" t="s">
        <v>58</v>
      </c>
      <c r="V4097">
        <v>1</v>
      </c>
      <c r="W4097">
        <v>1</v>
      </c>
      <c r="X4097">
        <v>1</v>
      </c>
      <c r="Y4097">
        <v>0</v>
      </c>
      <c r="Z4097">
        <v>1</v>
      </c>
      <c r="AA4097">
        <v>81.150000000000006</v>
      </c>
      <c r="AB4097">
        <v>81.150000000000006</v>
      </c>
      <c r="AC4097">
        <v>71.400000000000006</v>
      </c>
      <c r="AD4097">
        <v>0</v>
      </c>
      <c r="AE4097">
        <v>9.75</v>
      </c>
      <c r="AF4097">
        <v>0</v>
      </c>
      <c r="AG4097">
        <v>0</v>
      </c>
      <c r="AH4097">
        <v>0</v>
      </c>
      <c r="AI4097">
        <v>14.61</v>
      </c>
      <c r="AJ4097">
        <v>81.150000000000006</v>
      </c>
      <c r="AK4097">
        <v>0</v>
      </c>
      <c r="AL4097" t="s">
        <v>53</v>
      </c>
      <c r="AM4097" t="s">
        <v>53</v>
      </c>
      <c r="AN4097" t="s">
        <v>53</v>
      </c>
      <c r="AO4097" t="s">
        <v>53</v>
      </c>
      <c r="AP4097" t="s">
        <v>53</v>
      </c>
    </row>
    <row r="4098" spans="2:42" x14ac:dyDescent="0.2">
      <c r="B4098" t="s">
        <v>44</v>
      </c>
      <c r="C4098" t="str">
        <f>HYPERLINK("https://us2.cloudbeds.com/connect/8493803454333002#/reservations/85981593501906?display=1S4FY049T2&amp;reservation_id=85981593501906", "1S4FY049T2")</f>
        <v>1S4FY049T2</v>
      </c>
      <c r="D4098" t="s">
        <v>45</v>
      </c>
      <c r="E4098" t="s">
        <v>92</v>
      </c>
      <c r="F4098" t="s">
        <v>86</v>
      </c>
      <c r="G4098" t="s">
        <v>48</v>
      </c>
      <c r="H4098" t="s">
        <v>49</v>
      </c>
      <c r="I4098" t="s">
        <v>50</v>
      </c>
      <c r="J4098" t="s">
        <v>6818</v>
      </c>
      <c r="K4098" t="s">
        <v>6819</v>
      </c>
      <c r="L4098" t="s">
        <v>53</v>
      </c>
      <c r="N4098" t="s">
        <v>7028</v>
      </c>
      <c r="P4098" t="s">
        <v>55</v>
      </c>
      <c r="R4098" t="s">
        <v>53</v>
      </c>
      <c r="T4098" t="s">
        <v>7029</v>
      </c>
      <c r="U4098" t="s">
        <v>58</v>
      </c>
      <c r="V4098">
        <v>1</v>
      </c>
      <c r="W4098">
        <v>1</v>
      </c>
      <c r="X4098">
        <v>2</v>
      </c>
      <c r="Y4098">
        <v>0</v>
      </c>
      <c r="Z4098">
        <v>2</v>
      </c>
      <c r="AA4098">
        <v>129.57</v>
      </c>
      <c r="AB4098">
        <v>129.57</v>
      </c>
      <c r="AC4098">
        <v>114</v>
      </c>
      <c r="AD4098">
        <v>0</v>
      </c>
      <c r="AE4098">
        <v>15.57</v>
      </c>
      <c r="AF4098">
        <v>0</v>
      </c>
      <c r="AG4098">
        <v>0</v>
      </c>
      <c r="AH4098">
        <v>0</v>
      </c>
      <c r="AI4098">
        <v>23.32</v>
      </c>
      <c r="AJ4098">
        <v>129.57</v>
      </c>
      <c r="AK4098">
        <v>0</v>
      </c>
      <c r="AL4098" t="s">
        <v>53</v>
      </c>
      <c r="AM4098" t="s">
        <v>53</v>
      </c>
      <c r="AN4098" t="s">
        <v>53</v>
      </c>
      <c r="AO4098" t="s">
        <v>53</v>
      </c>
      <c r="AP4098" t="s">
        <v>53</v>
      </c>
    </row>
    <row r="4099" spans="2:42" x14ac:dyDescent="0.2">
      <c r="B4099" t="s">
        <v>44</v>
      </c>
      <c r="C4099" t="str">
        <f>HYPERLINK("https://us2.cloudbeds.com/connect/8493803454333002#/reservations/85981581287645?display=1S4FKMRDRV&amp;reservation_id=85981581287645", "1S4FKMRDRV")</f>
        <v>1S4FKMRDRV</v>
      </c>
      <c r="D4099" t="s">
        <v>45</v>
      </c>
      <c r="E4099" t="s">
        <v>155</v>
      </c>
      <c r="F4099" t="s">
        <v>86</v>
      </c>
      <c r="G4099" t="s">
        <v>48</v>
      </c>
      <c r="H4099" t="s">
        <v>49</v>
      </c>
      <c r="I4099" t="s">
        <v>50</v>
      </c>
      <c r="J4099" t="s">
        <v>6818</v>
      </c>
      <c r="K4099" t="s">
        <v>6819</v>
      </c>
      <c r="L4099" t="s">
        <v>53</v>
      </c>
      <c r="N4099" t="s">
        <v>7030</v>
      </c>
      <c r="P4099" t="s">
        <v>55</v>
      </c>
      <c r="R4099" t="s">
        <v>53</v>
      </c>
      <c r="T4099" t="s">
        <v>7031</v>
      </c>
      <c r="U4099" t="s">
        <v>58</v>
      </c>
      <c r="V4099">
        <v>1</v>
      </c>
      <c r="W4099">
        <v>1</v>
      </c>
      <c r="X4099">
        <v>2</v>
      </c>
      <c r="Y4099">
        <v>0</v>
      </c>
      <c r="Z4099">
        <v>2</v>
      </c>
      <c r="AA4099">
        <v>129.57</v>
      </c>
      <c r="AB4099">
        <v>129.57</v>
      </c>
      <c r="AC4099">
        <v>114</v>
      </c>
      <c r="AD4099">
        <v>0</v>
      </c>
      <c r="AE4099">
        <v>15.57</v>
      </c>
      <c r="AF4099">
        <v>0</v>
      </c>
      <c r="AG4099">
        <v>0</v>
      </c>
      <c r="AH4099">
        <v>0</v>
      </c>
      <c r="AI4099">
        <v>23.32</v>
      </c>
      <c r="AJ4099">
        <v>129.57</v>
      </c>
      <c r="AK4099">
        <v>0</v>
      </c>
      <c r="AL4099" t="s">
        <v>53</v>
      </c>
      <c r="AM4099" t="s">
        <v>53</v>
      </c>
      <c r="AN4099" t="s">
        <v>53</v>
      </c>
      <c r="AO4099" t="s">
        <v>53</v>
      </c>
      <c r="AP4099" t="s">
        <v>53</v>
      </c>
    </row>
    <row r="4100" spans="2:42" x14ac:dyDescent="0.2">
      <c r="B4100" t="s">
        <v>44</v>
      </c>
      <c r="C4100" t="str">
        <f>HYPERLINK("https://us2.cloudbeds.com/connect/8493803454333002#/reservations/86014957469881?display=1S58FHGTCY&amp;reservation_id=86014957469881", "1S58FHGTCY")</f>
        <v>1S58FHGTCY</v>
      </c>
      <c r="D4100" t="s">
        <v>45</v>
      </c>
      <c r="E4100" t="s">
        <v>373</v>
      </c>
      <c r="F4100" t="s">
        <v>47</v>
      </c>
      <c r="G4100" t="s">
        <v>48</v>
      </c>
      <c r="H4100" t="s">
        <v>49</v>
      </c>
      <c r="I4100" t="s">
        <v>50</v>
      </c>
      <c r="J4100" t="s">
        <v>6880</v>
      </c>
      <c r="K4100" t="s">
        <v>6530</v>
      </c>
      <c r="L4100" t="s">
        <v>53</v>
      </c>
      <c r="N4100" t="s">
        <v>7032</v>
      </c>
      <c r="P4100" t="s">
        <v>55</v>
      </c>
      <c r="R4100" t="s">
        <v>53</v>
      </c>
      <c r="T4100" t="s">
        <v>7033</v>
      </c>
      <c r="U4100" t="s">
        <v>58</v>
      </c>
      <c r="V4100">
        <v>2</v>
      </c>
      <c r="W4100">
        <v>1</v>
      </c>
      <c r="X4100">
        <v>2</v>
      </c>
      <c r="Y4100">
        <v>0</v>
      </c>
      <c r="Z4100">
        <v>2</v>
      </c>
      <c r="AA4100">
        <v>86.38</v>
      </c>
      <c r="AB4100">
        <v>86.38</v>
      </c>
      <c r="AC4100">
        <v>76</v>
      </c>
      <c r="AD4100">
        <v>0</v>
      </c>
      <c r="AE4100">
        <v>10.38</v>
      </c>
      <c r="AF4100">
        <v>0</v>
      </c>
      <c r="AG4100">
        <v>0</v>
      </c>
      <c r="AH4100">
        <v>0</v>
      </c>
      <c r="AI4100">
        <v>15.55</v>
      </c>
      <c r="AJ4100">
        <v>86.38</v>
      </c>
      <c r="AK4100">
        <v>0</v>
      </c>
      <c r="AL4100" t="s">
        <v>53</v>
      </c>
      <c r="AM4100" t="s">
        <v>53</v>
      </c>
      <c r="AN4100" t="s">
        <v>53</v>
      </c>
      <c r="AO4100" t="s">
        <v>53</v>
      </c>
      <c r="AP4100" t="s">
        <v>53</v>
      </c>
    </row>
    <row r="4101" spans="2:42" x14ac:dyDescent="0.2">
      <c r="B4101" t="s">
        <v>44</v>
      </c>
      <c r="C4101" t="str">
        <f>HYPERLINK("https://us2.cloudbeds.com/connect/8493803454333002#/reservations/86037093929160?display=1S5PK5XGHW&amp;reservation_id=86037093929160", "1S5PK5XGHW")</f>
        <v>1S5PK5XGHW</v>
      </c>
      <c r="D4101" t="s">
        <v>45</v>
      </c>
      <c r="E4101" t="s">
        <v>138</v>
      </c>
      <c r="F4101" t="s">
        <v>70</v>
      </c>
      <c r="G4101" t="s">
        <v>48</v>
      </c>
      <c r="H4101" t="s">
        <v>49</v>
      </c>
      <c r="I4101" t="s">
        <v>50</v>
      </c>
      <c r="J4101" t="s">
        <v>6781</v>
      </c>
      <c r="K4101" t="s">
        <v>6618</v>
      </c>
      <c r="L4101" t="s">
        <v>53</v>
      </c>
      <c r="N4101" t="s">
        <v>7034</v>
      </c>
      <c r="P4101" t="s">
        <v>55</v>
      </c>
      <c r="R4101" t="s">
        <v>53</v>
      </c>
      <c r="T4101" t="s">
        <v>7035</v>
      </c>
      <c r="U4101" t="s">
        <v>58</v>
      </c>
      <c r="V4101">
        <v>2</v>
      </c>
      <c r="W4101">
        <v>1</v>
      </c>
      <c r="X4101">
        <v>2</v>
      </c>
      <c r="Y4101">
        <v>0</v>
      </c>
      <c r="Z4101">
        <v>2</v>
      </c>
      <c r="AA4101">
        <v>96.6</v>
      </c>
      <c r="AB4101">
        <v>96.6</v>
      </c>
      <c r="AC4101">
        <v>85</v>
      </c>
      <c r="AD4101">
        <v>0</v>
      </c>
      <c r="AE4101">
        <v>11.6</v>
      </c>
      <c r="AF4101">
        <v>0</v>
      </c>
      <c r="AG4101">
        <v>0</v>
      </c>
      <c r="AH4101">
        <v>0</v>
      </c>
      <c r="AI4101">
        <v>17.39</v>
      </c>
      <c r="AJ4101">
        <v>96.6</v>
      </c>
      <c r="AK4101">
        <v>0</v>
      </c>
      <c r="AL4101" t="s">
        <v>53</v>
      </c>
      <c r="AM4101" t="s">
        <v>53</v>
      </c>
      <c r="AN4101" t="s">
        <v>53</v>
      </c>
      <c r="AO4101" t="s">
        <v>53</v>
      </c>
      <c r="AP4101" t="s">
        <v>53</v>
      </c>
    </row>
    <row r="4102" spans="2:42" x14ac:dyDescent="0.2">
      <c r="B4102" t="s">
        <v>44</v>
      </c>
      <c r="C4102" t="str">
        <f>HYPERLINK("https://us2.cloudbeds.com/connect/8493803454333002#/reservations/86065820614869?display=1S6ES6YSVH&amp;reservation_id=86065820614869", "1S6ES6YSVH")</f>
        <v>1S6ES6YSVH</v>
      </c>
      <c r="D4102" t="s">
        <v>45</v>
      </c>
      <c r="E4102" t="s">
        <v>190</v>
      </c>
      <c r="F4102" t="s">
        <v>61</v>
      </c>
      <c r="G4102" t="s">
        <v>48</v>
      </c>
      <c r="H4102" t="s">
        <v>49</v>
      </c>
      <c r="I4102" t="s">
        <v>62</v>
      </c>
      <c r="J4102" t="s">
        <v>6727</v>
      </c>
      <c r="K4102" t="s">
        <v>6619</v>
      </c>
      <c r="L4102" t="s">
        <v>53</v>
      </c>
      <c r="N4102" t="s">
        <v>7036</v>
      </c>
      <c r="P4102" t="s">
        <v>55</v>
      </c>
      <c r="R4102" t="s">
        <v>56</v>
      </c>
      <c r="T4102" t="s">
        <v>7037</v>
      </c>
      <c r="U4102" t="s">
        <v>55</v>
      </c>
      <c r="V4102">
        <v>2</v>
      </c>
      <c r="W4102">
        <v>1</v>
      </c>
      <c r="X4102">
        <v>1</v>
      </c>
      <c r="Y4102">
        <v>0</v>
      </c>
      <c r="Z4102">
        <v>1</v>
      </c>
      <c r="AA4102">
        <v>104.5</v>
      </c>
      <c r="AB4102">
        <v>104.5</v>
      </c>
      <c r="AC4102">
        <v>104.5</v>
      </c>
      <c r="AD4102">
        <v>0</v>
      </c>
      <c r="AE4102">
        <v>0</v>
      </c>
      <c r="AF4102">
        <v>0</v>
      </c>
      <c r="AG4102">
        <v>0</v>
      </c>
      <c r="AH4102">
        <v>0</v>
      </c>
      <c r="AI4102">
        <v>18.809999999999999</v>
      </c>
      <c r="AJ4102">
        <v>104.5</v>
      </c>
      <c r="AK4102">
        <v>0</v>
      </c>
      <c r="AL4102" t="s">
        <v>53</v>
      </c>
      <c r="AM4102" t="s">
        <v>53</v>
      </c>
      <c r="AN4102" t="s">
        <v>53</v>
      </c>
      <c r="AO4102" t="s">
        <v>53</v>
      </c>
      <c r="AP4102" t="s">
        <v>53</v>
      </c>
    </row>
    <row r="4103" spans="2:42" x14ac:dyDescent="0.2">
      <c r="B4103" t="s">
        <v>44</v>
      </c>
      <c r="C4103" t="str">
        <f>HYPERLINK("https://us2.cloudbeds.com/connect/8493803454333002#/reservations/86066196775127?display=1S6F4QS307&amp;reservation_id=86066196775127", "1S6F4QS307")</f>
        <v>1S6F4QS307</v>
      </c>
      <c r="D4103" t="s">
        <v>45</v>
      </c>
      <c r="E4103" t="s">
        <v>165</v>
      </c>
      <c r="F4103" t="s">
        <v>61</v>
      </c>
      <c r="G4103" t="s">
        <v>48</v>
      </c>
      <c r="H4103" t="s">
        <v>3957</v>
      </c>
      <c r="I4103" t="s">
        <v>3975</v>
      </c>
      <c r="J4103" t="s">
        <v>6332</v>
      </c>
      <c r="K4103" t="s">
        <v>6691</v>
      </c>
      <c r="L4103" t="s">
        <v>53</v>
      </c>
      <c r="P4103" t="s">
        <v>55</v>
      </c>
      <c r="R4103" t="s">
        <v>53</v>
      </c>
      <c r="T4103" t="s">
        <v>7038</v>
      </c>
      <c r="U4103" t="s">
        <v>58</v>
      </c>
      <c r="V4103">
        <v>1</v>
      </c>
      <c r="W4103">
        <v>1</v>
      </c>
      <c r="X4103">
        <v>2</v>
      </c>
      <c r="Y4103">
        <v>0</v>
      </c>
      <c r="Z4103">
        <v>2</v>
      </c>
      <c r="AA4103">
        <v>82.97</v>
      </c>
      <c r="AB4103">
        <v>82.97</v>
      </c>
      <c r="AC4103">
        <v>73</v>
      </c>
      <c r="AD4103">
        <v>0</v>
      </c>
      <c r="AE4103">
        <v>9.9700000000000006</v>
      </c>
      <c r="AF4103">
        <v>0</v>
      </c>
      <c r="AG4103">
        <v>0</v>
      </c>
      <c r="AH4103">
        <v>0</v>
      </c>
      <c r="AI4103">
        <v>0</v>
      </c>
      <c r="AJ4103">
        <v>82.97</v>
      </c>
      <c r="AK4103">
        <v>0</v>
      </c>
      <c r="AL4103" t="s">
        <v>53</v>
      </c>
      <c r="AM4103" t="s">
        <v>53</v>
      </c>
      <c r="AN4103" t="s">
        <v>53</v>
      </c>
      <c r="AO4103" t="s">
        <v>53</v>
      </c>
      <c r="AP4103" t="s">
        <v>53</v>
      </c>
    </row>
    <row r="4104" spans="2:42" x14ac:dyDescent="0.2">
      <c r="B4104" t="s">
        <v>44</v>
      </c>
      <c r="C4104" t="str">
        <f>HYPERLINK("https://us2.cloudbeds.com/connect/8493803454333002#/reservations/86236850643148?display=1SAF9DNHH6&amp;reservation_id=86236850643148", "1SAF9DNHH6")</f>
        <v>1SAF9DNHH6</v>
      </c>
      <c r="D4104" t="s">
        <v>45</v>
      </c>
      <c r="E4104" t="s">
        <v>223</v>
      </c>
      <c r="F4104" t="s">
        <v>47</v>
      </c>
      <c r="G4104" t="s">
        <v>48</v>
      </c>
      <c r="H4104" t="s">
        <v>49</v>
      </c>
      <c r="I4104" t="s">
        <v>62</v>
      </c>
      <c r="J4104" t="s">
        <v>6332</v>
      </c>
      <c r="K4104" t="s">
        <v>6698</v>
      </c>
      <c r="L4104" t="s">
        <v>53</v>
      </c>
      <c r="N4104" t="s">
        <v>7039</v>
      </c>
      <c r="P4104" t="s">
        <v>55</v>
      </c>
      <c r="R4104" t="s">
        <v>56</v>
      </c>
      <c r="T4104" t="s">
        <v>7040</v>
      </c>
      <c r="U4104" t="s">
        <v>55</v>
      </c>
      <c r="V4104">
        <v>3</v>
      </c>
      <c r="W4104">
        <v>1</v>
      </c>
      <c r="X4104">
        <v>2</v>
      </c>
      <c r="Y4104">
        <v>0</v>
      </c>
      <c r="Z4104">
        <v>2</v>
      </c>
      <c r="AA4104">
        <v>169</v>
      </c>
      <c r="AB4104">
        <v>169</v>
      </c>
      <c r="AC4104">
        <v>169</v>
      </c>
      <c r="AD4104">
        <v>0</v>
      </c>
      <c r="AE4104">
        <v>0</v>
      </c>
      <c r="AF4104">
        <v>0</v>
      </c>
      <c r="AG4104">
        <v>0</v>
      </c>
      <c r="AH4104">
        <v>0</v>
      </c>
      <c r="AI4104">
        <v>30.42</v>
      </c>
      <c r="AJ4104">
        <v>169</v>
      </c>
      <c r="AK4104">
        <v>0</v>
      </c>
      <c r="AL4104" t="s">
        <v>53</v>
      </c>
      <c r="AM4104" t="s">
        <v>53</v>
      </c>
      <c r="AN4104" t="s">
        <v>53</v>
      </c>
      <c r="AO4104" t="s">
        <v>53</v>
      </c>
      <c r="AP4104" t="s">
        <v>53</v>
      </c>
    </row>
    <row r="4105" spans="2:42" x14ac:dyDescent="0.2">
      <c r="B4105" t="s">
        <v>44</v>
      </c>
      <c r="C4105" t="str">
        <f>HYPERLINK("https://us2.cloudbeds.com/connect/8493803454333002#/reservations/86249116180633?display=1SAZPRB6B9&amp;reservation_id=86249116180633", "1SAZPRB6B9")</f>
        <v>1SAZPRB6B9</v>
      </c>
      <c r="D4105" t="s">
        <v>45</v>
      </c>
      <c r="E4105" t="s">
        <v>46</v>
      </c>
      <c r="F4105" t="s">
        <v>47</v>
      </c>
      <c r="G4105" t="s">
        <v>48</v>
      </c>
      <c r="H4105" t="s">
        <v>3957</v>
      </c>
      <c r="I4105" t="s">
        <v>3975</v>
      </c>
      <c r="J4105" t="s">
        <v>6332</v>
      </c>
      <c r="K4105" t="s">
        <v>6698</v>
      </c>
      <c r="L4105" t="s">
        <v>53</v>
      </c>
      <c r="P4105" t="s">
        <v>58</v>
      </c>
      <c r="R4105" t="s">
        <v>53</v>
      </c>
      <c r="T4105" t="s">
        <v>7041</v>
      </c>
      <c r="U4105" t="s">
        <v>58</v>
      </c>
      <c r="V4105">
        <v>3</v>
      </c>
      <c r="W4105">
        <v>1</v>
      </c>
      <c r="X4105">
        <v>1</v>
      </c>
      <c r="Y4105">
        <v>0</v>
      </c>
      <c r="Z4105">
        <v>1</v>
      </c>
      <c r="AA4105">
        <v>215.94</v>
      </c>
      <c r="AB4105">
        <v>215.94</v>
      </c>
      <c r="AC4105">
        <v>190</v>
      </c>
      <c r="AD4105">
        <v>0</v>
      </c>
      <c r="AE4105">
        <v>25.94</v>
      </c>
      <c r="AF4105">
        <v>0</v>
      </c>
      <c r="AG4105">
        <v>0</v>
      </c>
      <c r="AH4105">
        <v>0</v>
      </c>
      <c r="AI4105">
        <v>0</v>
      </c>
      <c r="AJ4105">
        <v>215.94</v>
      </c>
      <c r="AK4105">
        <v>0</v>
      </c>
      <c r="AL4105" t="s">
        <v>53</v>
      </c>
      <c r="AM4105" t="s">
        <v>53</v>
      </c>
      <c r="AN4105" t="s">
        <v>53</v>
      </c>
      <c r="AO4105" t="s">
        <v>53</v>
      </c>
      <c r="AP4105" t="s">
        <v>53</v>
      </c>
    </row>
    <row r="4106" spans="2:42" x14ac:dyDescent="0.2">
      <c r="B4106" t="s">
        <v>44</v>
      </c>
      <c r="C4106" t="str">
        <f>HYPERLINK("https://us2.cloudbeds.com/connect/8493803454333002#/reservations/86296820433101?display=1SBSNPRB5D&amp;reservation_id=86296820433101", "1SBSNPRB5D")</f>
        <v>1SBSNPRB5D</v>
      </c>
      <c r="D4106" t="s">
        <v>45</v>
      </c>
      <c r="E4106" t="s">
        <v>185</v>
      </c>
      <c r="F4106" t="s">
        <v>47</v>
      </c>
      <c r="G4106" t="s">
        <v>48</v>
      </c>
      <c r="H4106" t="s">
        <v>49</v>
      </c>
      <c r="I4106" t="s">
        <v>50</v>
      </c>
      <c r="J4106" t="s">
        <v>6880</v>
      </c>
      <c r="K4106" t="s">
        <v>6529</v>
      </c>
      <c r="L4106" t="s">
        <v>53</v>
      </c>
      <c r="N4106" t="s">
        <v>7042</v>
      </c>
      <c r="P4106" t="s">
        <v>55</v>
      </c>
      <c r="R4106" t="s">
        <v>53</v>
      </c>
      <c r="T4106" t="s">
        <v>7043</v>
      </c>
      <c r="U4106" t="s">
        <v>58</v>
      </c>
      <c r="V4106">
        <v>1</v>
      </c>
      <c r="W4106">
        <v>1</v>
      </c>
      <c r="X4106">
        <v>2</v>
      </c>
      <c r="Y4106">
        <v>0</v>
      </c>
      <c r="Z4106">
        <v>2</v>
      </c>
      <c r="AA4106">
        <v>56.26</v>
      </c>
      <c r="AB4106">
        <v>56.26</v>
      </c>
      <c r="AC4106">
        <v>49.5</v>
      </c>
      <c r="AD4106">
        <v>0</v>
      </c>
      <c r="AE4106">
        <v>6.76</v>
      </c>
      <c r="AF4106">
        <v>0</v>
      </c>
      <c r="AG4106">
        <v>0</v>
      </c>
      <c r="AH4106">
        <v>0</v>
      </c>
      <c r="AI4106">
        <v>10.130000000000001</v>
      </c>
      <c r="AJ4106">
        <v>56.26</v>
      </c>
      <c r="AK4106">
        <v>0</v>
      </c>
      <c r="AL4106" t="s">
        <v>53</v>
      </c>
      <c r="AM4106" t="s">
        <v>53</v>
      </c>
      <c r="AN4106" t="s">
        <v>53</v>
      </c>
      <c r="AO4106" t="s">
        <v>53</v>
      </c>
      <c r="AP4106" t="s">
        <v>53</v>
      </c>
    </row>
    <row r="4107" spans="2:42" x14ac:dyDescent="0.2">
      <c r="B4107" t="s">
        <v>44</v>
      </c>
      <c r="C4107" t="str">
        <f>HYPERLINK("https://us2.cloudbeds.com/connect/8493803454333002#/reservations/86304562942203?display=1SC1NKH27B&amp;reservation_id=86304562942203", "1SC1NKH27B")</f>
        <v>1SC1NKH27B</v>
      </c>
      <c r="D4107" t="s">
        <v>45</v>
      </c>
      <c r="E4107" t="s">
        <v>179</v>
      </c>
      <c r="F4107" t="s">
        <v>47</v>
      </c>
      <c r="G4107" t="s">
        <v>48</v>
      </c>
      <c r="H4107" t="s">
        <v>49</v>
      </c>
      <c r="I4107" t="s">
        <v>62</v>
      </c>
      <c r="J4107" t="s">
        <v>6801</v>
      </c>
      <c r="K4107" t="s">
        <v>6727</v>
      </c>
      <c r="L4107" t="s">
        <v>53</v>
      </c>
      <c r="N4107" t="s">
        <v>7044</v>
      </c>
      <c r="P4107" t="s">
        <v>55</v>
      </c>
      <c r="R4107" t="s">
        <v>125</v>
      </c>
      <c r="T4107" t="s">
        <v>7045</v>
      </c>
      <c r="U4107" t="s">
        <v>55</v>
      </c>
      <c r="V4107">
        <v>3</v>
      </c>
      <c r="W4107">
        <v>1</v>
      </c>
      <c r="X4107">
        <v>1</v>
      </c>
      <c r="Y4107">
        <v>1</v>
      </c>
      <c r="Z4107">
        <v>2</v>
      </c>
      <c r="AA4107">
        <v>195</v>
      </c>
      <c r="AB4107">
        <v>195</v>
      </c>
      <c r="AC4107">
        <v>195</v>
      </c>
      <c r="AD4107">
        <v>0</v>
      </c>
      <c r="AE4107">
        <v>0</v>
      </c>
      <c r="AF4107">
        <v>0</v>
      </c>
      <c r="AG4107">
        <v>0</v>
      </c>
      <c r="AH4107">
        <v>0</v>
      </c>
      <c r="AI4107">
        <v>35.1</v>
      </c>
      <c r="AJ4107">
        <v>195</v>
      </c>
      <c r="AK4107">
        <v>0</v>
      </c>
      <c r="AL4107" t="s">
        <v>53</v>
      </c>
      <c r="AM4107" t="s">
        <v>53</v>
      </c>
      <c r="AN4107" t="s">
        <v>53</v>
      </c>
      <c r="AO4107" t="s">
        <v>53</v>
      </c>
      <c r="AP4107" t="s">
        <v>53</v>
      </c>
    </row>
    <row r="4108" spans="2:42" x14ac:dyDescent="0.2">
      <c r="B4108" t="s">
        <v>44</v>
      </c>
      <c r="C4108" t="str">
        <f>HYPERLINK("https://us2.cloudbeds.com/connect/8493803454333002#/reservations/86329053749500?display=1SCKMDQT40&amp;reservation_id=86329053749500", "1SCKMDQT40")</f>
        <v>1SCKMDQT40</v>
      </c>
      <c r="D4108" t="s">
        <v>45</v>
      </c>
      <c r="E4108" t="s">
        <v>381</v>
      </c>
      <c r="F4108" t="s">
        <v>47</v>
      </c>
      <c r="G4108" t="s">
        <v>48</v>
      </c>
      <c r="H4108" t="s">
        <v>49</v>
      </c>
      <c r="I4108" t="s">
        <v>62</v>
      </c>
      <c r="J4108" t="s">
        <v>6810</v>
      </c>
      <c r="K4108" t="s">
        <v>6880</v>
      </c>
      <c r="L4108" t="s">
        <v>53</v>
      </c>
      <c r="N4108" t="s">
        <v>7046</v>
      </c>
      <c r="P4108" t="s">
        <v>58</v>
      </c>
      <c r="R4108" t="s">
        <v>56</v>
      </c>
      <c r="T4108" t="s">
        <v>7047</v>
      </c>
      <c r="U4108" t="s">
        <v>55</v>
      </c>
      <c r="V4108">
        <v>2</v>
      </c>
      <c r="W4108">
        <v>1</v>
      </c>
      <c r="X4108">
        <v>1</v>
      </c>
      <c r="Y4108">
        <v>0</v>
      </c>
      <c r="Z4108">
        <v>1</v>
      </c>
      <c r="AA4108">
        <v>124</v>
      </c>
      <c r="AB4108">
        <v>124</v>
      </c>
      <c r="AC4108">
        <v>124</v>
      </c>
      <c r="AD4108">
        <v>0</v>
      </c>
      <c r="AE4108">
        <v>0</v>
      </c>
      <c r="AF4108">
        <v>0</v>
      </c>
      <c r="AG4108">
        <v>0</v>
      </c>
      <c r="AH4108">
        <v>0</v>
      </c>
      <c r="AI4108">
        <v>22.32</v>
      </c>
      <c r="AJ4108">
        <v>124</v>
      </c>
      <c r="AK4108">
        <v>0</v>
      </c>
      <c r="AL4108" t="s">
        <v>53</v>
      </c>
      <c r="AM4108" t="s">
        <v>53</v>
      </c>
      <c r="AN4108" t="s">
        <v>53</v>
      </c>
      <c r="AO4108" t="s">
        <v>53</v>
      </c>
      <c r="AP4108" t="s">
        <v>53</v>
      </c>
    </row>
    <row r="4109" spans="2:42" x14ac:dyDescent="0.2">
      <c r="B4109" t="s">
        <v>44</v>
      </c>
      <c r="C4109" t="str">
        <f>HYPERLINK("https://us2.cloudbeds.com/connect/8493803454333002#/reservations/86331700912328?display=1SCMZ1W2WD&amp;reservation_id=86331700912328", "1SCMZ1W2WD")</f>
        <v>1SCMZ1W2WD</v>
      </c>
      <c r="D4109" t="s">
        <v>45</v>
      </c>
      <c r="E4109" t="s">
        <v>110</v>
      </c>
      <c r="F4109" t="s">
        <v>47</v>
      </c>
      <c r="G4109" t="s">
        <v>48</v>
      </c>
      <c r="H4109" t="s">
        <v>3957</v>
      </c>
      <c r="I4109" t="s">
        <v>3975</v>
      </c>
      <c r="J4109" t="s">
        <v>6959</v>
      </c>
      <c r="K4109" t="s">
        <v>6233</v>
      </c>
      <c r="L4109" t="s">
        <v>53</v>
      </c>
      <c r="P4109" t="s">
        <v>55</v>
      </c>
      <c r="R4109" t="s">
        <v>53</v>
      </c>
      <c r="T4109" t="s">
        <v>7048</v>
      </c>
      <c r="U4109" t="s">
        <v>58</v>
      </c>
      <c r="V4109">
        <v>1</v>
      </c>
      <c r="W4109">
        <v>1</v>
      </c>
      <c r="X4109">
        <v>2</v>
      </c>
      <c r="Y4109">
        <v>0</v>
      </c>
      <c r="Z4109">
        <v>2</v>
      </c>
      <c r="AA4109">
        <v>161.38999999999999</v>
      </c>
      <c r="AB4109">
        <v>161.38999999999999</v>
      </c>
      <c r="AC4109">
        <v>142</v>
      </c>
      <c r="AD4109">
        <v>0</v>
      </c>
      <c r="AE4109">
        <v>19.39</v>
      </c>
      <c r="AF4109">
        <v>0</v>
      </c>
      <c r="AG4109">
        <v>0</v>
      </c>
      <c r="AH4109">
        <v>0</v>
      </c>
      <c r="AI4109">
        <v>0</v>
      </c>
      <c r="AJ4109">
        <v>161.38999999999999</v>
      </c>
      <c r="AK4109">
        <v>0</v>
      </c>
      <c r="AL4109" t="s">
        <v>53</v>
      </c>
      <c r="AM4109" t="s">
        <v>53</v>
      </c>
      <c r="AN4109" t="s">
        <v>53</v>
      </c>
      <c r="AO4109" t="s">
        <v>53</v>
      </c>
      <c r="AP4109" t="s">
        <v>53</v>
      </c>
    </row>
    <row r="4110" spans="2:42" x14ac:dyDescent="0.2">
      <c r="B4110" t="s">
        <v>44</v>
      </c>
      <c r="C4110" t="str">
        <f>HYPERLINK("https://us2.cloudbeds.com/connect/8493803454333002#/reservations/86351778517158?display=1SD592V1BW&amp;reservation_id=86351778517158", "1SD592V1BW")</f>
        <v>1SD592V1BW</v>
      </c>
      <c r="D4110" t="s">
        <v>45</v>
      </c>
      <c r="E4110" t="s">
        <v>265</v>
      </c>
      <c r="F4110" t="s">
        <v>61</v>
      </c>
      <c r="G4110" t="s">
        <v>48</v>
      </c>
      <c r="H4110" t="s">
        <v>49</v>
      </c>
      <c r="I4110" t="s">
        <v>62</v>
      </c>
      <c r="J4110" t="s">
        <v>5518</v>
      </c>
      <c r="K4110" t="s">
        <v>6888</v>
      </c>
      <c r="L4110" t="s">
        <v>53</v>
      </c>
      <c r="N4110" t="s">
        <v>7049</v>
      </c>
      <c r="P4110" t="s">
        <v>55</v>
      </c>
      <c r="R4110" t="s">
        <v>56</v>
      </c>
      <c r="T4110" t="s">
        <v>7050</v>
      </c>
      <c r="U4110" t="s">
        <v>55</v>
      </c>
      <c r="V4110">
        <v>3</v>
      </c>
      <c r="W4110">
        <v>1</v>
      </c>
      <c r="X4110">
        <v>2</v>
      </c>
      <c r="Y4110">
        <v>0</v>
      </c>
      <c r="Z4110">
        <v>2</v>
      </c>
      <c r="AA4110">
        <v>165</v>
      </c>
      <c r="AB4110">
        <v>165</v>
      </c>
      <c r="AC4110">
        <v>165</v>
      </c>
      <c r="AD4110">
        <v>0</v>
      </c>
      <c r="AE4110">
        <v>0</v>
      </c>
      <c r="AF4110">
        <v>0</v>
      </c>
      <c r="AG4110">
        <v>0</v>
      </c>
      <c r="AH4110">
        <v>0</v>
      </c>
      <c r="AI4110">
        <v>29.7</v>
      </c>
      <c r="AJ4110">
        <v>165</v>
      </c>
      <c r="AK4110">
        <v>0</v>
      </c>
      <c r="AL4110" t="s">
        <v>53</v>
      </c>
      <c r="AM4110" t="s">
        <v>53</v>
      </c>
      <c r="AN4110" t="s">
        <v>53</v>
      </c>
      <c r="AO4110" t="s">
        <v>53</v>
      </c>
      <c r="AP4110" t="s">
        <v>53</v>
      </c>
    </row>
    <row r="4111" spans="2:42" x14ac:dyDescent="0.2">
      <c r="B4111" t="s">
        <v>44</v>
      </c>
      <c r="C4111" t="str">
        <f>HYPERLINK("https://us2.cloudbeds.com/connect/8493803454333002#/reservations/86351779102924?display=1SD593EB8F&amp;reservation_id=86351779102924", "1SD593EB8F")</f>
        <v>1SD593EB8F</v>
      </c>
      <c r="D4111" t="s">
        <v>45</v>
      </c>
      <c r="E4111" t="s">
        <v>223</v>
      </c>
      <c r="F4111" t="s">
        <v>47</v>
      </c>
      <c r="G4111" t="s">
        <v>48</v>
      </c>
      <c r="H4111" t="s">
        <v>49</v>
      </c>
      <c r="I4111" t="s">
        <v>62</v>
      </c>
      <c r="J4111" t="s">
        <v>5518</v>
      </c>
      <c r="K4111" t="s">
        <v>6888</v>
      </c>
      <c r="L4111" t="s">
        <v>53</v>
      </c>
      <c r="N4111" t="s">
        <v>7051</v>
      </c>
      <c r="P4111" t="s">
        <v>55</v>
      </c>
      <c r="R4111" t="s">
        <v>56</v>
      </c>
      <c r="T4111" t="s">
        <v>7052</v>
      </c>
      <c r="U4111" t="s">
        <v>55</v>
      </c>
      <c r="V4111">
        <v>3</v>
      </c>
      <c r="W4111">
        <v>1</v>
      </c>
      <c r="X4111">
        <v>2</v>
      </c>
      <c r="Y4111">
        <v>0</v>
      </c>
      <c r="Z4111">
        <v>2</v>
      </c>
      <c r="AA4111">
        <v>156.75</v>
      </c>
      <c r="AB4111">
        <v>156.75</v>
      </c>
      <c r="AC4111">
        <v>156.75</v>
      </c>
      <c r="AD4111">
        <v>0</v>
      </c>
      <c r="AE4111">
        <v>0</v>
      </c>
      <c r="AF4111">
        <v>0</v>
      </c>
      <c r="AG4111">
        <v>0</v>
      </c>
      <c r="AH4111">
        <v>0</v>
      </c>
      <c r="AI4111">
        <v>28.22</v>
      </c>
      <c r="AJ4111">
        <v>156.75</v>
      </c>
      <c r="AK4111">
        <v>0</v>
      </c>
      <c r="AL4111" t="s">
        <v>53</v>
      </c>
      <c r="AM4111" t="s">
        <v>53</v>
      </c>
      <c r="AN4111" t="s">
        <v>7053</v>
      </c>
      <c r="AO4111" t="s">
        <v>53</v>
      </c>
      <c r="AP4111" t="s">
        <v>53</v>
      </c>
    </row>
    <row r="4112" spans="2:42" x14ac:dyDescent="0.2">
      <c r="B4112" t="s">
        <v>44</v>
      </c>
      <c r="C4112" t="str">
        <f>HYPERLINK("https://us2.cloudbeds.com/connect/8493803454333002#/reservations/86351959699683?display=1SD5DNNNGH&amp;reservation_id=86351959699683", "1SD5DNNNGH")</f>
        <v>1SD5DNNNGH</v>
      </c>
      <c r="D4112" t="s">
        <v>45</v>
      </c>
      <c r="E4112" t="s">
        <v>113</v>
      </c>
      <c r="F4112" t="s">
        <v>61</v>
      </c>
      <c r="G4112" t="s">
        <v>48</v>
      </c>
      <c r="H4112" t="s">
        <v>49</v>
      </c>
      <c r="I4112" t="s">
        <v>50</v>
      </c>
      <c r="J4112" t="s">
        <v>6332</v>
      </c>
      <c r="K4112" t="s">
        <v>6691</v>
      </c>
      <c r="L4112" t="s">
        <v>53</v>
      </c>
      <c r="N4112" t="s">
        <v>7054</v>
      </c>
      <c r="P4112" t="s">
        <v>55</v>
      </c>
      <c r="R4112" t="s">
        <v>53</v>
      </c>
      <c r="T4112" t="s">
        <v>7055</v>
      </c>
      <c r="U4112" t="s">
        <v>58</v>
      </c>
      <c r="V4112">
        <v>1</v>
      </c>
      <c r="W4112">
        <v>1</v>
      </c>
      <c r="X4112">
        <v>2</v>
      </c>
      <c r="Y4112">
        <v>0</v>
      </c>
      <c r="Z4112">
        <v>2</v>
      </c>
      <c r="AA4112">
        <v>74.67</v>
      </c>
      <c r="AB4112">
        <v>74.67</v>
      </c>
      <c r="AC4112">
        <v>65.7</v>
      </c>
      <c r="AD4112">
        <v>0</v>
      </c>
      <c r="AE4112">
        <v>8.9700000000000006</v>
      </c>
      <c r="AF4112">
        <v>0</v>
      </c>
      <c r="AG4112">
        <v>0</v>
      </c>
      <c r="AH4112">
        <v>0</v>
      </c>
      <c r="AI4112">
        <v>13.44</v>
      </c>
      <c r="AJ4112">
        <v>74.67</v>
      </c>
      <c r="AK4112">
        <v>0</v>
      </c>
      <c r="AL4112" t="s">
        <v>53</v>
      </c>
      <c r="AM4112" t="s">
        <v>53</v>
      </c>
      <c r="AN4112" t="s">
        <v>53</v>
      </c>
      <c r="AO4112" t="s">
        <v>53</v>
      </c>
      <c r="AP4112" t="s">
        <v>53</v>
      </c>
    </row>
    <row r="4113" spans="2:42" x14ac:dyDescent="0.2">
      <c r="B4113" t="s">
        <v>44</v>
      </c>
      <c r="C4113" t="str">
        <f>HYPERLINK("https://us2.cloudbeds.com/connect/8493803454333002#/reservations/86394765394146?display=1SE5XGK8JW&amp;reservation_id=86394765394146", "1SE5XGK8JW")</f>
        <v>1SE5XGK8JW</v>
      </c>
      <c r="D4113" t="s">
        <v>45</v>
      </c>
      <c r="E4113" t="s">
        <v>406</v>
      </c>
      <c r="F4113" t="s">
        <v>61</v>
      </c>
      <c r="G4113" t="s">
        <v>48</v>
      </c>
      <c r="H4113" t="s">
        <v>49</v>
      </c>
      <c r="I4113" t="s">
        <v>50</v>
      </c>
      <c r="J4113" t="s">
        <v>6819</v>
      </c>
      <c r="K4113" t="s">
        <v>4159</v>
      </c>
      <c r="L4113" t="s">
        <v>53</v>
      </c>
      <c r="N4113" t="s">
        <v>7056</v>
      </c>
      <c r="P4113" t="s">
        <v>55</v>
      </c>
      <c r="R4113" t="s">
        <v>53</v>
      </c>
      <c r="T4113" t="s">
        <v>7057</v>
      </c>
      <c r="U4113" t="s">
        <v>58</v>
      </c>
      <c r="V4113">
        <v>1</v>
      </c>
      <c r="W4113">
        <v>1</v>
      </c>
      <c r="X4113">
        <v>2</v>
      </c>
      <c r="Y4113">
        <v>0</v>
      </c>
      <c r="Z4113">
        <v>2</v>
      </c>
      <c r="AA4113">
        <v>114.72</v>
      </c>
      <c r="AB4113">
        <v>114.72</v>
      </c>
      <c r="AC4113">
        <v>100.94</v>
      </c>
      <c r="AD4113">
        <v>0</v>
      </c>
      <c r="AE4113">
        <v>13.78</v>
      </c>
      <c r="AF4113">
        <v>0</v>
      </c>
      <c r="AG4113">
        <v>0</v>
      </c>
      <c r="AH4113">
        <v>0</v>
      </c>
      <c r="AI4113">
        <v>20.65</v>
      </c>
      <c r="AJ4113">
        <v>114.72</v>
      </c>
      <c r="AK4113">
        <v>0</v>
      </c>
      <c r="AL4113" t="s">
        <v>53</v>
      </c>
      <c r="AM4113" t="s">
        <v>53</v>
      </c>
      <c r="AN4113" t="s">
        <v>53</v>
      </c>
      <c r="AO4113" t="s">
        <v>53</v>
      </c>
      <c r="AP4113" t="s">
        <v>53</v>
      </c>
    </row>
    <row r="4114" spans="2:42" x14ac:dyDescent="0.2">
      <c r="B4114" t="s">
        <v>44</v>
      </c>
      <c r="C4114" t="str">
        <f>HYPERLINK("https://us2.cloudbeds.com/connect/8493803454333002#/reservations/86419756581024?display=1SEZU2RST8&amp;reservation_id=86419756581024", "1SEZU2RST8")</f>
        <v>1SEZU2RST8</v>
      </c>
      <c r="D4114" t="s">
        <v>45</v>
      </c>
      <c r="E4114" t="s">
        <v>223</v>
      </c>
      <c r="F4114" t="s">
        <v>47</v>
      </c>
      <c r="G4114" t="s">
        <v>48</v>
      </c>
      <c r="H4114" t="s">
        <v>49</v>
      </c>
      <c r="I4114" t="s">
        <v>50</v>
      </c>
      <c r="J4114" t="s">
        <v>6780</v>
      </c>
      <c r="K4114" t="s">
        <v>6801</v>
      </c>
      <c r="L4114" t="s">
        <v>53</v>
      </c>
      <c r="N4114" t="s">
        <v>7058</v>
      </c>
      <c r="P4114" t="s">
        <v>55</v>
      </c>
      <c r="R4114" t="s">
        <v>53</v>
      </c>
      <c r="T4114" t="s">
        <v>7059</v>
      </c>
      <c r="U4114" t="s">
        <v>58</v>
      </c>
      <c r="V4114">
        <v>2</v>
      </c>
      <c r="W4114">
        <v>1</v>
      </c>
      <c r="X4114">
        <v>2</v>
      </c>
      <c r="Y4114">
        <v>0</v>
      </c>
      <c r="Z4114">
        <v>2</v>
      </c>
      <c r="AA4114">
        <v>114.67</v>
      </c>
      <c r="AB4114">
        <v>114.67</v>
      </c>
      <c r="AC4114">
        <v>100.89</v>
      </c>
      <c r="AD4114">
        <v>0</v>
      </c>
      <c r="AE4114">
        <v>13.78</v>
      </c>
      <c r="AF4114">
        <v>0</v>
      </c>
      <c r="AG4114">
        <v>0</v>
      </c>
      <c r="AH4114">
        <v>0</v>
      </c>
      <c r="AI4114">
        <v>20.64</v>
      </c>
      <c r="AJ4114">
        <v>114.67</v>
      </c>
      <c r="AK4114">
        <v>0</v>
      </c>
      <c r="AL4114" t="s">
        <v>53</v>
      </c>
      <c r="AM4114" t="s">
        <v>53</v>
      </c>
      <c r="AN4114" t="s">
        <v>53</v>
      </c>
      <c r="AO4114" t="s">
        <v>53</v>
      </c>
      <c r="AP4114" t="s">
        <v>53</v>
      </c>
    </row>
    <row r="4115" spans="2:42" x14ac:dyDescent="0.2">
      <c r="B4115" t="s">
        <v>44</v>
      </c>
      <c r="C4115" t="str">
        <f>HYPERLINK("https://us2.cloudbeds.com/connect/8493803454333002#/reservations/86442264363192?display=1SF9B7032B&amp;reservation_id=86442264363192", "1SF9B7032B")</f>
        <v>1SF9B7032B</v>
      </c>
      <c r="D4115" t="s">
        <v>45</v>
      </c>
      <c r="E4115" t="s">
        <v>165</v>
      </c>
      <c r="F4115" t="s">
        <v>61</v>
      </c>
      <c r="G4115" t="s">
        <v>48</v>
      </c>
      <c r="H4115" t="s">
        <v>49</v>
      </c>
      <c r="I4115" t="s">
        <v>50</v>
      </c>
      <c r="J4115" t="s">
        <v>6699</v>
      </c>
      <c r="K4115" t="s">
        <v>6880</v>
      </c>
      <c r="L4115" t="s">
        <v>53</v>
      </c>
      <c r="N4115" t="s">
        <v>7060</v>
      </c>
      <c r="P4115" t="s">
        <v>55</v>
      </c>
      <c r="R4115" t="s">
        <v>53</v>
      </c>
      <c r="T4115" t="s">
        <v>7061</v>
      </c>
      <c r="U4115" t="s">
        <v>58</v>
      </c>
      <c r="V4115">
        <v>1</v>
      </c>
      <c r="W4115">
        <v>1</v>
      </c>
      <c r="X4115">
        <v>2</v>
      </c>
      <c r="Y4115">
        <v>0</v>
      </c>
      <c r="Z4115">
        <v>2</v>
      </c>
      <c r="AA4115">
        <v>64.430000000000007</v>
      </c>
      <c r="AB4115">
        <v>64.430000000000007</v>
      </c>
      <c r="AC4115">
        <v>56.7</v>
      </c>
      <c r="AD4115">
        <v>0</v>
      </c>
      <c r="AE4115">
        <v>7.73</v>
      </c>
      <c r="AF4115">
        <v>0</v>
      </c>
      <c r="AG4115">
        <v>0</v>
      </c>
      <c r="AH4115">
        <v>0</v>
      </c>
      <c r="AI4115">
        <v>11.6</v>
      </c>
      <c r="AJ4115">
        <v>64.430000000000007</v>
      </c>
      <c r="AK4115">
        <v>0</v>
      </c>
      <c r="AL4115" t="s">
        <v>53</v>
      </c>
      <c r="AM4115" t="s">
        <v>53</v>
      </c>
      <c r="AN4115" t="s">
        <v>53</v>
      </c>
      <c r="AO4115" t="s">
        <v>53</v>
      </c>
      <c r="AP4115" t="s">
        <v>53</v>
      </c>
    </row>
    <row r="4116" spans="2:42" x14ac:dyDescent="0.2">
      <c r="B4116" t="s">
        <v>44</v>
      </c>
      <c r="C4116" t="str">
        <f>HYPERLINK("https://us2.cloudbeds.com/connect/8493803454333002#/reservations/9080486845744279?display=1SKZQFBZBE&amp;reservation_id=9080486845744279", "1SKZQFBZBE")</f>
        <v>1SKZQFBZBE</v>
      </c>
      <c r="D4116" t="s">
        <v>45</v>
      </c>
      <c r="E4116" t="s">
        <v>223</v>
      </c>
      <c r="F4116" t="s">
        <v>47</v>
      </c>
      <c r="G4116" t="s">
        <v>48</v>
      </c>
      <c r="H4116" t="s">
        <v>49</v>
      </c>
      <c r="I4116" t="s">
        <v>62</v>
      </c>
      <c r="J4116" t="s">
        <v>6698</v>
      </c>
      <c r="K4116" t="s">
        <v>6810</v>
      </c>
      <c r="L4116" t="s">
        <v>53</v>
      </c>
      <c r="N4116" t="s">
        <v>7062</v>
      </c>
      <c r="P4116" t="s">
        <v>55</v>
      </c>
      <c r="R4116" t="s">
        <v>56</v>
      </c>
      <c r="T4116" t="s">
        <v>7063</v>
      </c>
      <c r="U4116" t="s">
        <v>55</v>
      </c>
      <c r="V4116">
        <v>1</v>
      </c>
      <c r="W4116">
        <v>1</v>
      </c>
      <c r="X4116">
        <v>2</v>
      </c>
      <c r="Y4116">
        <v>0</v>
      </c>
      <c r="Z4116">
        <v>2</v>
      </c>
      <c r="AA4116">
        <v>60</v>
      </c>
      <c r="AB4116">
        <v>60</v>
      </c>
      <c r="AC4116">
        <v>60</v>
      </c>
      <c r="AD4116">
        <v>0</v>
      </c>
      <c r="AE4116">
        <v>0</v>
      </c>
      <c r="AF4116">
        <v>0</v>
      </c>
      <c r="AG4116">
        <v>0</v>
      </c>
      <c r="AH4116">
        <v>0</v>
      </c>
      <c r="AI4116">
        <v>10.8</v>
      </c>
      <c r="AJ4116">
        <v>60</v>
      </c>
      <c r="AK4116">
        <v>0</v>
      </c>
      <c r="AL4116" t="s">
        <v>53</v>
      </c>
      <c r="AM4116" t="s">
        <v>53</v>
      </c>
      <c r="AN4116" t="s">
        <v>53</v>
      </c>
      <c r="AO4116" t="s">
        <v>53</v>
      </c>
      <c r="AP4116" t="s">
        <v>53</v>
      </c>
    </row>
    <row r="4117" spans="2:42" x14ac:dyDescent="0.2">
      <c r="B4117" t="s">
        <v>44</v>
      </c>
      <c r="C4117" t="str">
        <f>HYPERLINK("https://us2.cloudbeds.com/connect/8493803454333002#/reservations/9080486845744369?display=1SKSG8MAU4&amp;reservation_id=9080486845744369", "1SKSG8MAU4")</f>
        <v>1SKSG8MAU4</v>
      </c>
      <c r="D4117" t="s">
        <v>45</v>
      </c>
      <c r="E4117" t="s">
        <v>46</v>
      </c>
      <c r="F4117" t="s">
        <v>47</v>
      </c>
      <c r="G4117" t="s">
        <v>48</v>
      </c>
      <c r="H4117" t="s">
        <v>49</v>
      </c>
      <c r="I4117" t="s">
        <v>50</v>
      </c>
      <c r="J4117" t="s">
        <v>5519</v>
      </c>
      <c r="K4117" t="s">
        <v>6837</v>
      </c>
      <c r="L4117" t="s">
        <v>53</v>
      </c>
      <c r="N4117" t="s">
        <v>7064</v>
      </c>
      <c r="P4117" t="s">
        <v>55</v>
      </c>
      <c r="R4117" t="s">
        <v>53</v>
      </c>
      <c r="T4117" t="s">
        <v>7065</v>
      </c>
      <c r="U4117" t="s">
        <v>58</v>
      </c>
      <c r="V4117">
        <v>3</v>
      </c>
      <c r="W4117">
        <v>1</v>
      </c>
      <c r="X4117">
        <v>2</v>
      </c>
      <c r="Y4117">
        <v>0</v>
      </c>
      <c r="Z4117">
        <v>2</v>
      </c>
      <c r="AA4117">
        <v>159.41999999999999</v>
      </c>
      <c r="AB4117">
        <v>159.41999999999999</v>
      </c>
      <c r="AC4117">
        <v>140.25</v>
      </c>
      <c r="AD4117">
        <v>0</v>
      </c>
      <c r="AE4117">
        <v>19.170000000000002</v>
      </c>
      <c r="AF4117">
        <v>0</v>
      </c>
      <c r="AG4117">
        <v>0</v>
      </c>
      <c r="AH4117">
        <v>0</v>
      </c>
      <c r="AI4117">
        <v>28.7</v>
      </c>
      <c r="AJ4117">
        <v>159.41999999999999</v>
      </c>
      <c r="AK4117">
        <v>0</v>
      </c>
      <c r="AL4117" t="s">
        <v>53</v>
      </c>
      <c r="AM4117" t="s">
        <v>53</v>
      </c>
      <c r="AN4117" t="s">
        <v>53</v>
      </c>
      <c r="AO4117" t="s">
        <v>53</v>
      </c>
      <c r="AP4117" t="s">
        <v>53</v>
      </c>
    </row>
    <row r="4118" spans="2:42" x14ac:dyDescent="0.2">
      <c r="B4118" t="s">
        <v>44</v>
      </c>
      <c r="C4118" t="str">
        <f>HYPERLINK("https://us2.cloudbeds.com/connect/8493803454333002#/reservations/86682449137861?display=1SKUAG5GNF&amp;reservation_id=86682449137861", "1SKUAG5GNF")</f>
        <v>1SKUAG5GNF</v>
      </c>
      <c r="D4118" t="s">
        <v>45</v>
      </c>
      <c r="E4118" t="s">
        <v>105</v>
      </c>
      <c r="F4118" t="s">
        <v>47</v>
      </c>
      <c r="G4118" t="s">
        <v>3974</v>
      </c>
      <c r="H4118" t="s">
        <v>3957</v>
      </c>
      <c r="I4118" t="s">
        <v>3975</v>
      </c>
      <c r="J4118" t="s">
        <v>6885</v>
      </c>
      <c r="K4118" t="s">
        <v>5622</v>
      </c>
      <c r="L4118" t="s">
        <v>53</v>
      </c>
      <c r="P4118" t="s">
        <v>55</v>
      </c>
      <c r="R4118" t="s">
        <v>53</v>
      </c>
      <c r="T4118" t="s">
        <v>7066</v>
      </c>
      <c r="U4118" t="s">
        <v>58</v>
      </c>
      <c r="V4118">
        <v>3</v>
      </c>
      <c r="W4118">
        <v>1</v>
      </c>
      <c r="X4118">
        <v>2</v>
      </c>
      <c r="Y4118">
        <v>0</v>
      </c>
      <c r="Z4118">
        <v>2</v>
      </c>
      <c r="AA4118">
        <v>410.28</v>
      </c>
      <c r="AB4118">
        <v>410.28</v>
      </c>
      <c r="AC4118">
        <v>361</v>
      </c>
      <c r="AD4118">
        <v>0</v>
      </c>
      <c r="AE4118">
        <v>49.28</v>
      </c>
      <c r="AF4118">
        <v>0</v>
      </c>
      <c r="AG4118">
        <v>0</v>
      </c>
      <c r="AH4118">
        <v>0</v>
      </c>
      <c r="AI4118">
        <v>0</v>
      </c>
      <c r="AJ4118">
        <v>410.28</v>
      </c>
      <c r="AK4118">
        <v>0</v>
      </c>
      <c r="AL4118" t="s">
        <v>53</v>
      </c>
      <c r="AM4118" t="s">
        <v>53</v>
      </c>
      <c r="AN4118" t="s">
        <v>53</v>
      </c>
      <c r="AO4118" t="s">
        <v>53</v>
      </c>
      <c r="AP4118" t="s">
        <v>53</v>
      </c>
    </row>
    <row r="4119" spans="2:42" x14ac:dyDescent="0.2">
      <c r="B4119" t="s">
        <v>44</v>
      </c>
      <c r="C4119" t="str">
        <f>HYPERLINK("https://us2.cloudbeds.com/connect/8493803454333002#/reservations/9080486845744684?display=1SYAKW8TJJ&amp;reservation_id=9080486845744684", "1SYAKW8TJJ")</f>
        <v>1SYAKW8TJJ</v>
      </c>
      <c r="D4119" t="s">
        <v>45</v>
      </c>
      <c r="E4119" t="s">
        <v>138</v>
      </c>
      <c r="F4119" t="s">
        <v>70</v>
      </c>
      <c r="G4119" t="s">
        <v>48</v>
      </c>
      <c r="H4119" t="s">
        <v>49</v>
      </c>
      <c r="I4119" t="s">
        <v>50</v>
      </c>
      <c r="J4119" t="s">
        <v>6591</v>
      </c>
      <c r="K4119" t="s">
        <v>6592</v>
      </c>
      <c r="L4119" t="s">
        <v>53</v>
      </c>
      <c r="N4119" t="s">
        <v>7067</v>
      </c>
      <c r="P4119" t="s">
        <v>55</v>
      </c>
      <c r="R4119" t="s">
        <v>53</v>
      </c>
      <c r="T4119" t="s">
        <v>7068</v>
      </c>
      <c r="U4119" t="s">
        <v>58</v>
      </c>
      <c r="V4119">
        <v>2</v>
      </c>
      <c r="W4119">
        <v>1</v>
      </c>
      <c r="X4119">
        <v>1</v>
      </c>
      <c r="Y4119">
        <v>0</v>
      </c>
      <c r="Z4119">
        <v>1</v>
      </c>
      <c r="AA4119">
        <v>201.13</v>
      </c>
      <c r="AB4119">
        <v>201.13</v>
      </c>
      <c r="AC4119">
        <v>176.98</v>
      </c>
      <c r="AD4119">
        <v>0</v>
      </c>
      <c r="AE4119">
        <v>24.15</v>
      </c>
      <c r="AF4119">
        <v>0</v>
      </c>
      <c r="AG4119">
        <v>0</v>
      </c>
      <c r="AH4119">
        <v>0</v>
      </c>
      <c r="AI4119">
        <v>36.200000000000003</v>
      </c>
      <c r="AJ4119">
        <v>201.13</v>
      </c>
      <c r="AK4119">
        <v>0</v>
      </c>
      <c r="AL4119" t="s">
        <v>53</v>
      </c>
      <c r="AM4119" t="s">
        <v>53</v>
      </c>
      <c r="AN4119" t="s">
        <v>53</v>
      </c>
      <c r="AO4119" t="s">
        <v>53</v>
      </c>
      <c r="AP4119" t="s">
        <v>53</v>
      </c>
    </row>
    <row r="4120" spans="2:42" x14ac:dyDescent="0.2">
      <c r="B4120" t="s">
        <v>44</v>
      </c>
      <c r="C4120" t="str">
        <f>HYPERLINK("https://us2.cloudbeds.com/connect/8493803454333002#/reservations/9080486845745081?display=1SM4WR85Q6&amp;reservation_id=9080486845745081", "1SM4WR85Q6")</f>
        <v>1SM4WR85Q6</v>
      </c>
      <c r="D4120" t="s">
        <v>45</v>
      </c>
      <c r="E4120" t="s">
        <v>92</v>
      </c>
      <c r="F4120" t="s">
        <v>86</v>
      </c>
      <c r="G4120" t="s">
        <v>48</v>
      </c>
      <c r="H4120" t="s">
        <v>49</v>
      </c>
      <c r="I4120" t="s">
        <v>50</v>
      </c>
      <c r="J4120" t="s">
        <v>6807</v>
      </c>
      <c r="K4120" t="s">
        <v>6233</v>
      </c>
      <c r="L4120" t="s">
        <v>53</v>
      </c>
      <c r="N4120" t="s">
        <v>7069</v>
      </c>
      <c r="P4120" t="s">
        <v>55</v>
      </c>
      <c r="R4120" t="s">
        <v>53</v>
      </c>
      <c r="T4120" t="s">
        <v>7070</v>
      </c>
      <c r="U4120" t="s">
        <v>58</v>
      </c>
      <c r="V4120">
        <v>2</v>
      </c>
      <c r="W4120">
        <v>1</v>
      </c>
      <c r="X4120">
        <v>2</v>
      </c>
      <c r="Y4120">
        <v>0</v>
      </c>
      <c r="Z4120">
        <v>2</v>
      </c>
      <c r="AA4120">
        <v>385.44</v>
      </c>
      <c r="AB4120">
        <v>385.44</v>
      </c>
      <c r="AC4120">
        <v>339.15</v>
      </c>
      <c r="AD4120">
        <v>0</v>
      </c>
      <c r="AE4120">
        <v>46.29</v>
      </c>
      <c r="AF4120">
        <v>0</v>
      </c>
      <c r="AG4120">
        <v>0</v>
      </c>
      <c r="AH4120">
        <v>0</v>
      </c>
      <c r="AI4120">
        <v>69.38</v>
      </c>
      <c r="AJ4120">
        <v>385.44</v>
      </c>
      <c r="AK4120">
        <v>0</v>
      </c>
      <c r="AL4120" t="s">
        <v>53</v>
      </c>
      <c r="AM4120" t="s">
        <v>53</v>
      </c>
      <c r="AN4120" t="s">
        <v>53</v>
      </c>
      <c r="AO4120" t="s">
        <v>53</v>
      </c>
      <c r="AP4120" t="s">
        <v>53</v>
      </c>
    </row>
    <row r="4121" spans="2:42" x14ac:dyDescent="0.2">
      <c r="B4121" t="s">
        <v>44</v>
      </c>
      <c r="C4121" t="str">
        <f>HYPERLINK("https://us2.cloudbeds.com/connect/8493803454333002#/reservations/9080486845746861?display=1SPTRGW9V7&amp;reservation_id=9080486845746861", "1SPTRGW9V7")</f>
        <v>1SPTRGW9V7</v>
      </c>
      <c r="D4121" t="s">
        <v>45</v>
      </c>
      <c r="E4121" t="s">
        <v>138</v>
      </c>
      <c r="F4121" t="s">
        <v>70</v>
      </c>
      <c r="G4121" t="s">
        <v>48</v>
      </c>
      <c r="H4121" t="s">
        <v>49</v>
      </c>
      <c r="I4121" t="s">
        <v>50</v>
      </c>
      <c r="J4121" t="s">
        <v>5891</v>
      </c>
      <c r="K4121" t="s">
        <v>5895</v>
      </c>
      <c r="L4121" t="s">
        <v>53</v>
      </c>
      <c r="N4121" t="s">
        <v>7071</v>
      </c>
      <c r="P4121" t="s">
        <v>55</v>
      </c>
      <c r="R4121" t="s">
        <v>53</v>
      </c>
      <c r="T4121" t="s">
        <v>7072</v>
      </c>
      <c r="U4121" t="s">
        <v>58</v>
      </c>
      <c r="V4121">
        <v>2</v>
      </c>
      <c r="W4121">
        <v>1</v>
      </c>
      <c r="X4121">
        <v>2</v>
      </c>
      <c r="Y4121">
        <v>0</v>
      </c>
      <c r="Z4121">
        <v>2</v>
      </c>
      <c r="AA4121">
        <v>100.46</v>
      </c>
      <c r="AB4121">
        <v>100.46</v>
      </c>
      <c r="AC4121">
        <v>88.4</v>
      </c>
      <c r="AD4121">
        <v>0</v>
      </c>
      <c r="AE4121">
        <v>12.06</v>
      </c>
      <c r="AF4121">
        <v>0</v>
      </c>
      <c r="AG4121">
        <v>0</v>
      </c>
      <c r="AH4121">
        <v>0</v>
      </c>
      <c r="AI4121">
        <v>18.079999999999998</v>
      </c>
      <c r="AJ4121">
        <v>100.46</v>
      </c>
      <c r="AK4121">
        <v>0</v>
      </c>
      <c r="AL4121" t="s">
        <v>53</v>
      </c>
      <c r="AM4121" t="s">
        <v>53</v>
      </c>
      <c r="AN4121" t="s">
        <v>53</v>
      </c>
      <c r="AO4121" t="s">
        <v>53</v>
      </c>
      <c r="AP4121" t="s">
        <v>53</v>
      </c>
    </row>
    <row r="4122" spans="2:42" x14ac:dyDescent="0.2">
      <c r="B4122" t="s">
        <v>44</v>
      </c>
      <c r="C4122" t="str">
        <f>HYPERLINK("https://us2.cloudbeds.com/connect/8493803454333002#/reservations/9080486845747057?display=1SQB5AUCCB&amp;reservation_id=9080486845747057", "1SQB5AUCCB")</f>
        <v>1SQB5AUCCB</v>
      </c>
      <c r="D4122" t="s">
        <v>45</v>
      </c>
      <c r="E4122" t="s">
        <v>185</v>
      </c>
      <c r="F4122" t="s">
        <v>47</v>
      </c>
      <c r="G4122" t="s">
        <v>48</v>
      </c>
      <c r="H4122" t="s">
        <v>49</v>
      </c>
      <c r="I4122" t="s">
        <v>62</v>
      </c>
      <c r="J4122" t="s">
        <v>6592</v>
      </c>
      <c r="K4122" t="s">
        <v>6912</v>
      </c>
      <c r="L4122" t="s">
        <v>53</v>
      </c>
      <c r="N4122" t="s">
        <v>7073</v>
      </c>
      <c r="P4122" t="s">
        <v>55</v>
      </c>
      <c r="R4122" t="s">
        <v>513</v>
      </c>
      <c r="T4122" t="s">
        <v>7074</v>
      </c>
      <c r="U4122" t="s">
        <v>55</v>
      </c>
      <c r="V4122">
        <v>1</v>
      </c>
      <c r="W4122">
        <v>1</v>
      </c>
      <c r="X4122">
        <v>2</v>
      </c>
      <c r="Y4122">
        <v>0</v>
      </c>
      <c r="Z4122">
        <v>2</v>
      </c>
      <c r="AA4122">
        <v>85</v>
      </c>
      <c r="AB4122">
        <v>85</v>
      </c>
      <c r="AC4122">
        <v>85</v>
      </c>
      <c r="AD4122">
        <v>0</v>
      </c>
      <c r="AE4122">
        <v>0</v>
      </c>
      <c r="AF4122">
        <v>0</v>
      </c>
      <c r="AG4122">
        <v>0</v>
      </c>
      <c r="AH4122">
        <v>0</v>
      </c>
      <c r="AI4122">
        <v>15.3</v>
      </c>
      <c r="AJ4122">
        <v>85</v>
      </c>
      <c r="AK4122">
        <v>0</v>
      </c>
      <c r="AL4122" t="s">
        <v>53</v>
      </c>
      <c r="AM4122" t="s">
        <v>53</v>
      </c>
      <c r="AN4122" t="s">
        <v>53</v>
      </c>
      <c r="AO4122" t="s">
        <v>53</v>
      </c>
      <c r="AP4122" t="s">
        <v>53</v>
      </c>
    </row>
    <row r="4123" spans="2:42" x14ac:dyDescent="0.2">
      <c r="B4123" t="s">
        <v>44</v>
      </c>
      <c r="C4123" t="str">
        <f>HYPERLINK("https://us2.cloudbeds.com/connect/8493803454333002#/reservations/86928804589726?display=1SQN2EK3JY&amp;reservation_id=86928804589726", "1SQN2EK3JY")</f>
        <v>1SQN2EK3JY</v>
      </c>
      <c r="D4123" t="s">
        <v>45</v>
      </c>
      <c r="E4123" t="s">
        <v>98</v>
      </c>
      <c r="F4123" t="s">
        <v>86</v>
      </c>
      <c r="G4123" t="s">
        <v>48</v>
      </c>
      <c r="H4123" t="s">
        <v>3957</v>
      </c>
      <c r="I4123" t="s">
        <v>3975</v>
      </c>
      <c r="J4123" t="s">
        <v>6710</v>
      </c>
      <c r="K4123" t="s">
        <v>6698</v>
      </c>
      <c r="L4123" t="s">
        <v>53</v>
      </c>
      <c r="P4123" t="s">
        <v>55</v>
      </c>
      <c r="R4123" t="s">
        <v>53</v>
      </c>
      <c r="T4123" t="s">
        <v>7075</v>
      </c>
      <c r="U4123" t="s">
        <v>58</v>
      </c>
      <c r="V4123">
        <v>1</v>
      </c>
      <c r="W4123">
        <v>1</v>
      </c>
      <c r="X4123">
        <v>2</v>
      </c>
      <c r="Y4123">
        <v>0</v>
      </c>
      <c r="Z4123">
        <v>2</v>
      </c>
      <c r="AA4123">
        <v>89.79</v>
      </c>
      <c r="AB4123">
        <v>95.22</v>
      </c>
      <c r="AC4123">
        <v>79</v>
      </c>
      <c r="AD4123">
        <v>5</v>
      </c>
      <c r="AE4123">
        <v>11.22</v>
      </c>
      <c r="AF4123">
        <v>0</v>
      </c>
      <c r="AG4123">
        <v>0</v>
      </c>
      <c r="AH4123">
        <v>0</v>
      </c>
      <c r="AI4123">
        <v>0</v>
      </c>
      <c r="AJ4123">
        <v>95.22</v>
      </c>
      <c r="AK4123">
        <v>0</v>
      </c>
      <c r="AL4123" t="s">
        <v>53</v>
      </c>
      <c r="AM4123" t="s">
        <v>53</v>
      </c>
      <c r="AN4123" t="s">
        <v>53</v>
      </c>
      <c r="AO4123" t="s">
        <v>53</v>
      </c>
      <c r="AP4123" t="s">
        <v>53</v>
      </c>
    </row>
    <row r="4124" spans="2:42" x14ac:dyDescent="0.2">
      <c r="B4124" t="s">
        <v>44</v>
      </c>
      <c r="C4124" t="str">
        <f>HYPERLINK("https://us2.cloudbeds.com/connect/8493803454333002#/reservations/9080486845747567?display=1SQWBK4N1V&amp;reservation_id=9080486845747567", "1SQWBK4N1V")</f>
        <v>1SQWBK4N1V</v>
      </c>
      <c r="D4124" t="s">
        <v>45</v>
      </c>
      <c r="E4124" t="s">
        <v>223</v>
      </c>
      <c r="F4124" t="s">
        <v>47</v>
      </c>
      <c r="G4124" t="s">
        <v>48</v>
      </c>
      <c r="H4124" t="s">
        <v>49</v>
      </c>
      <c r="I4124" t="s">
        <v>50</v>
      </c>
      <c r="J4124" t="s">
        <v>6888</v>
      </c>
      <c r="K4124" t="s">
        <v>6836</v>
      </c>
      <c r="L4124" t="s">
        <v>53</v>
      </c>
      <c r="N4124" t="s">
        <v>7076</v>
      </c>
      <c r="P4124" t="s">
        <v>55</v>
      </c>
      <c r="R4124" t="s">
        <v>53</v>
      </c>
      <c r="T4124" t="s">
        <v>7077</v>
      </c>
      <c r="U4124" t="s">
        <v>58</v>
      </c>
      <c r="V4124">
        <v>1</v>
      </c>
      <c r="W4124">
        <v>1</v>
      </c>
      <c r="X4124">
        <v>2</v>
      </c>
      <c r="Y4124">
        <v>0</v>
      </c>
      <c r="Z4124">
        <v>2</v>
      </c>
      <c r="AA4124">
        <v>50.47</v>
      </c>
      <c r="AB4124">
        <v>50.47</v>
      </c>
      <c r="AC4124">
        <v>44.41</v>
      </c>
      <c r="AD4124">
        <v>0</v>
      </c>
      <c r="AE4124">
        <v>6.06</v>
      </c>
      <c r="AF4124">
        <v>0</v>
      </c>
      <c r="AG4124">
        <v>0</v>
      </c>
      <c r="AH4124">
        <v>0</v>
      </c>
      <c r="AI4124">
        <v>9.08</v>
      </c>
      <c r="AJ4124">
        <v>50.47</v>
      </c>
      <c r="AK4124">
        <v>0</v>
      </c>
      <c r="AL4124" t="s">
        <v>53</v>
      </c>
      <c r="AM4124" t="s">
        <v>53</v>
      </c>
      <c r="AN4124" t="s">
        <v>53</v>
      </c>
      <c r="AO4124" t="s">
        <v>53</v>
      </c>
      <c r="AP4124" t="s">
        <v>53</v>
      </c>
    </row>
    <row r="4125" spans="2:42" x14ac:dyDescent="0.2">
      <c r="B4125" t="s">
        <v>44</v>
      </c>
      <c r="C4125" t="str">
        <f>HYPERLINK("https://us2.cloudbeds.com/connect/8493803454333002#/reservations/9080486845748648?display=1SSEMZW82Y&amp;reservation_id=9080486845748648", "1SSEMZW82Y")</f>
        <v>1SSEMZW82Y</v>
      </c>
      <c r="D4125" t="s">
        <v>45</v>
      </c>
      <c r="E4125" t="s">
        <v>406</v>
      </c>
      <c r="F4125" t="s">
        <v>61</v>
      </c>
      <c r="G4125" t="s">
        <v>48</v>
      </c>
      <c r="H4125" t="s">
        <v>49</v>
      </c>
      <c r="I4125" t="s">
        <v>50</v>
      </c>
      <c r="J4125" t="s">
        <v>4159</v>
      </c>
      <c r="K4125" t="s">
        <v>7078</v>
      </c>
      <c r="L4125" t="s">
        <v>53</v>
      </c>
      <c r="N4125" t="s">
        <v>7079</v>
      </c>
      <c r="P4125" t="s">
        <v>55</v>
      </c>
      <c r="R4125" t="s">
        <v>53</v>
      </c>
      <c r="T4125" t="s">
        <v>7080</v>
      </c>
      <c r="U4125" t="s">
        <v>58</v>
      </c>
      <c r="V4125">
        <v>1</v>
      </c>
      <c r="W4125">
        <v>1</v>
      </c>
      <c r="X4125">
        <v>2</v>
      </c>
      <c r="Y4125">
        <v>0</v>
      </c>
      <c r="Z4125">
        <v>2</v>
      </c>
      <c r="AA4125">
        <v>94.52</v>
      </c>
      <c r="AB4125">
        <v>94.52</v>
      </c>
      <c r="AC4125">
        <v>83.17</v>
      </c>
      <c r="AD4125">
        <v>0</v>
      </c>
      <c r="AE4125">
        <v>11.35</v>
      </c>
      <c r="AF4125">
        <v>0</v>
      </c>
      <c r="AG4125">
        <v>0</v>
      </c>
      <c r="AH4125">
        <v>0</v>
      </c>
      <c r="AI4125">
        <v>17.010000000000002</v>
      </c>
      <c r="AJ4125">
        <v>94.52</v>
      </c>
      <c r="AK4125">
        <v>0</v>
      </c>
      <c r="AL4125" t="s">
        <v>53</v>
      </c>
      <c r="AM4125" t="s">
        <v>53</v>
      </c>
      <c r="AN4125" t="s">
        <v>53</v>
      </c>
      <c r="AO4125" t="s">
        <v>53</v>
      </c>
      <c r="AP4125" t="s">
        <v>53</v>
      </c>
    </row>
    <row r="4126" spans="2:42" x14ac:dyDescent="0.2">
      <c r="B4126" t="s">
        <v>44</v>
      </c>
      <c r="C4126" t="str">
        <f>HYPERLINK("https://us2.cloudbeds.com/connect/8493803454333002#/reservations/9080486845748750?display=1SSXUWFZX3&amp;reservation_id=9080486845748750", "1SSXUWFZX3")</f>
        <v>1SSXUWFZX3</v>
      </c>
      <c r="D4126" t="s">
        <v>45</v>
      </c>
      <c r="E4126" t="s">
        <v>78</v>
      </c>
      <c r="F4126" t="s">
        <v>61</v>
      </c>
      <c r="G4126" t="s">
        <v>48</v>
      </c>
      <c r="H4126" t="s">
        <v>49</v>
      </c>
      <c r="I4126" t="s">
        <v>50</v>
      </c>
      <c r="J4126" t="s">
        <v>7078</v>
      </c>
      <c r="K4126" t="s">
        <v>6885</v>
      </c>
      <c r="L4126" t="s">
        <v>53</v>
      </c>
      <c r="N4126" t="s">
        <v>7081</v>
      </c>
      <c r="P4126" t="s">
        <v>55</v>
      </c>
      <c r="R4126" t="s">
        <v>53</v>
      </c>
      <c r="T4126" t="s">
        <v>7082</v>
      </c>
      <c r="U4126" t="s">
        <v>58</v>
      </c>
      <c r="V4126">
        <v>2</v>
      </c>
      <c r="W4126">
        <v>1</v>
      </c>
      <c r="X4126">
        <v>2</v>
      </c>
      <c r="Y4126">
        <v>0</v>
      </c>
      <c r="Z4126">
        <v>2</v>
      </c>
      <c r="AA4126">
        <v>176.95</v>
      </c>
      <c r="AB4126">
        <v>353.9</v>
      </c>
      <c r="AC4126">
        <v>155.69999999999999</v>
      </c>
      <c r="AD4126">
        <v>0</v>
      </c>
      <c r="AE4126">
        <v>21.25</v>
      </c>
      <c r="AF4126">
        <v>0</v>
      </c>
      <c r="AG4126">
        <v>0</v>
      </c>
      <c r="AH4126">
        <v>0</v>
      </c>
      <c r="AI4126">
        <v>31.85</v>
      </c>
      <c r="AJ4126">
        <v>176.95</v>
      </c>
      <c r="AK4126">
        <v>176.95</v>
      </c>
      <c r="AL4126" t="s">
        <v>53</v>
      </c>
      <c r="AM4126" t="s">
        <v>53</v>
      </c>
      <c r="AN4126" t="s">
        <v>7083</v>
      </c>
      <c r="AO4126" t="s">
        <v>53</v>
      </c>
      <c r="AP4126" t="s">
        <v>53</v>
      </c>
    </row>
    <row r="4127" spans="2:42" x14ac:dyDescent="0.2">
      <c r="B4127" t="s">
        <v>44</v>
      </c>
      <c r="C4127" t="str">
        <f>HYPERLINK("https://us2.cloudbeds.com/connect/8493803454333002#/reservations/9080486845749845?display=1SUGH25FQT&amp;reservation_id=9080486845749845", "1SUGH25FQT")</f>
        <v>1SUGH25FQT</v>
      </c>
      <c r="D4127" t="s">
        <v>45</v>
      </c>
      <c r="E4127" t="s">
        <v>46</v>
      </c>
      <c r="F4127" t="s">
        <v>47</v>
      </c>
      <c r="G4127" t="s">
        <v>48</v>
      </c>
      <c r="H4127" t="s">
        <v>49</v>
      </c>
      <c r="I4127" t="s">
        <v>50</v>
      </c>
      <c r="J4127" t="s">
        <v>6930</v>
      </c>
      <c r="K4127" t="s">
        <v>6726</v>
      </c>
      <c r="L4127" t="s">
        <v>53</v>
      </c>
      <c r="N4127" t="s">
        <v>7084</v>
      </c>
      <c r="P4127" t="s">
        <v>55</v>
      </c>
      <c r="R4127" t="s">
        <v>53</v>
      </c>
      <c r="T4127" t="s">
        <v>7085</v>
      </c>
      <c r="U4127" t="s">
        <v>58</v>
      </c>
      <c r="V4127">
        <v>2</v>
      </c>
      <c r="W4127">
        <v>1</v>
      </c>
      <c r="X4127">
        <v>1</v>
      </c>
      <c r="Y4127">
        <v>0</v>
      </c>
      <c r="Z4127">
        <v>1</v>
      </c>
      <c r="AA4127">
        <v>135.82</v>
      </c>
      <c r="AB4127">
        <v>135.82</v>
      </c>
      <c r="AC4127">
        <v>119.51</v>
      </c>
      <c r="AD4127">
        <v>0</v>
      </c>
      <c r="AE4127">
        <v>16.309999999999999</v>
      </c>
      <c r="AF4127">
        <v>0</v>
      </c>
      <c r="AG4127">
        <v>0</v>
      </c>
      <c r="AH4127">
        <v>0</v>
      </c>
      <c r="AI4127">
        <v>24.45</v>
      </c>
      <c r="AJ4127">
        <v>135.82</v>
      </c>
      <c r="AK4127">
        <v>0</v>
      </c>
      <c r="AL4127" t="s">
        <v>53</v>
      </c>
      <c r="AM4127" t="s">
        <v>53</v>
      </c>
      <c r="AN4127" t="s">
        <v>53</v>
      </c>
      <c r="AO4127" t="s">
        <v>53</v>
      </c>
      <c r="AP4127" t="s">
        <v>53</v>
      </c>
    </row>
    <row r="4128" spans="2:42" x14ac:dyDescent="0.2">
      <c r="B4128" t="s">
        <v>44</v>
      </c>
      <c r="C4128" t="str">
        <f>HYPERLINK("https://us2.cloudbeds.com/connect/8493803454333002#/reservations/9080486845750023?display=1SUSEAVEM7&amp;reservation_id=9080486845750023", "1SUSEAVEM7")</f>
        <v>1SUSEAVEM7</v>
      </c>
      <c r="D4128" t="s">
        <v>45</v>
      </c>
      <c r="E4128" t="s">
        <v>110</v>
      </c>
      <c r="F4128" t="s">
        <v>47</v>
      </c>
      <c r="G4128" t="s">
        <v>48</v>
      </c>
      <c r="H4128" t="s">
        <v>49</v>
      </c>
      <c r="I4128" t="s">
        <v>50</v>
      </c>
      <c r="J4128" t="s">
        <v>6819</v>
      </c>
      <c r="K4128" t="s">
        <v>7078</v>
      </c>
      <c r="L4128" t="s">
        <v>53</v>
      </c>
      <c r="N4128" t="s">
        <v>7086</v>
      </c>
      <c r="P4128" t="s">
        <v>55</v>
      </c>
      <c r="R4128" t="s">
        <v>53</v>
      </c>
      <c r="T4128" t="s">
        <v>7087</v>
      </c>
      <c r="U4128" t="s">
        <v>58</v>
      </c>
      <c r="V4128">
        <v>2</v>
      </c>
      <c r="W4128">
        <v>1</v>
      </c>
      <c r="X4128">
        <v>2</v>
      </c>
      <c r="Y4128">
        <v>0</v>
      </c>
      <c r="Z4128">
        <v>2</v>
      </c>
      <c r="AA4128">
        <v>180.52</v>
      </c>
      <c r="AB4128">
        <v>180.52</v>
      </c>
      <c r="AC4128">
        <v>158.84</v>
      </c>
      <c r="AD4128">
        <v>0</v>
      </c>
      <c r="AE4128">
        <v>21.68</v>
      </c>
      <c r="AF4128">
        <v>0</v>
      </c>
      <c r="AG4128">
        <v>0</v>
      </c>
      <c r="AH4128">
        <v>0</v>
      </c>
      <c r="AI4128">
        <v>32.49</v>
      </c>
      <c r="AJ4128">
        <v>180.52</v>
      </c>
      <c r="AK4128">
        <v>0</v>
      </c>
      <c r="AL4128" t="s">
        <v>53</v>
      </c>
      <c r="AM4128" t="s">
        <v>53</v>
      </c>
      <c r="AN4128" t="s">
        <v>53</v>
      </c>
      <c r="AO4128" t="s">
        <v>53</v>
      </c>
      <c r="AP4128" t="s">
        <v>53</v>
      </c>
    </row>
    <row r="4129" spans="2:42" x14ac:dyDescent="0.2">
      <c r="B4129" t="s">
        <v>44</v>
      </c>
      <c r="C4129" t="str">
        <f>HYPERLINK("https://us2.cloudbeds.com/connect/8493803454333002#/reservations/9080486845750584?display=1SW2RF5VSR&amp;reservation_id=9080486845750584", "1SW2RF5VSR")</f>
        <v>1SW2RF5VSR</v>
      </c>
      <c r="D4129" t="s">
        <v>45</v>
      </c>
      <c r="E4129" t="s">
        <v>110</v>
      </c>
      <c r="F4129" t="s">
        <v>47</v>
      </c>
      <c r="G4129" t="s">
        <v>48</v>
      </c>
      <c r="H4129" t="s">
        <v>49</v>
      </c>
      <c r="I4129" t="s">
        <v>50</v>
      </c>
      <c r="J4129" t="s">
        <v>7088</v>
      </c>
      <c r="K4129" t="s">
        <v>7089</v>
      </c>
      <c r="L4129" t="s">
        <v>53</v>
      </c>
      <c r="N4129" t="s">
        <v>7090</v>
      </c>
      <c r="P4129" t="s">
        <v>58</v>
      </c>
      <c r="R4129" t="s">
        <v>56</v>
      </c>
      <c r="T4129" t="s">
        <v>7091</v>
      </c>
      <c r="U4129" t="s">
        <v>58</v>
      </c>
      <c r="V4129">
        <v>2</v>
      </c>
      <c r="W4129">
        <v>1</v>
      </c>
      <c r="X4129">
        <v>1</v>
      </c>
      <c r="Y4129">
        <v>0</v>
      </c>
      <c r="Z4129">
        <v>1</v>
      </c>
      <c r="AA4129">
        <v>424.48</v>
      </c>
      <c r="AB4129">
        <v>424.48</v>
      </c>
      <c r="AC4129">
        <v>373.5</v>
      </c>
      <c r="AD4129">
        <v>0</v>
      </c>
      <c r="AE4129">
        <v>50.98</v>
      </c>
      <c r="AF4129">
        <v>0</v>
      </c>
      <c r="AG4129">
        <v>0</v>
      </c>
      <c r="AH4129">
        <v>0</v>
      </c>
      <c r="AI4129">
        <v>76.41</v>
      </c>
      <c r="AJ4129">
        <v>424.48</v>
      </c>
      <c r="AK4129">
        <v>0</v>
      </c>
      <c r="AL4129" t="s">
        <v>53</v>
      </c>
      <c r="AM4129" t="s">
        <v>53</v>
      </c>
      <c r="AN4129" t="s">
        <v>53</v>
      </c>
      <c r="AO4129" t="s">
        <v>53</v>
      </c>
      <c r="AP4129" t="s">
        <v>53</v>
      </c>
    </row>
    <row r="4130" spans="2:42" x14ac:dyDescent="0.2">
      <c r="B4130" t="s">
        <v>44</v>
      </c>
      <c r="C4130" t="str">
        <f>HYPERLINK("https://us2.cloudbeds.com/connect/8493803454333002#/reservations/9080486845750613?display=1SW5VEFT17&amp;reservation_id=9080486845750613", "1SW5VEFT17")</f>
        <v>1SW5VEFT17</v>
      </c>
      <c r="D4130" t="s">
        <v>45</v>
      </c>
      <c r="E4130" t="s">
        <v>185</v>
      </c>
      <c r="F4130" t="s">
        <v>47</v>
      </c>
      <c r="G4130" t="s">
        <v>48</v>
      </c>
      <c r="H4130" t="s">
        <v>49</v>
      </c>
      <c r="I4130" t="s">
        <v>62</v>
      </c>
      <c r="J4130" t="s">
        <v>6591</v>
      </c>
      <c r="K4130" t="s">
        <v>7092</v>
      </c>
      <c r="L4130" t="s">
        <v>53</v>
      </c>
      <c r="N4130" t="s">
        <v>7093</v>
      </c>
      <c r="P4130" t="s">
        <v>55</v>
      </c>
      <c r="R4130" t="s">
        <v>56</v>
      </c>
      <c r="T4130" t="s">
        <v>7094</v>
      </c>
      <c r="U4130" t="s">
        <v>55</v>
      </c>
      <c r="V4130">
        <v>1</v>
      </c>
      <c r="W4130">
        <v>1</v>
      </c>
      <c r="X4130">
        <v>2</v>
      </c>
      <c r="Y4130">
        <v>0</v>
      </c>
      <c r="Z4130">
        <v>2</v>
      </c>
      <c r="AA4130">
        <v>104</v>
      </c>
      <c r="AB4130">
        <v>104</v>
      </c>
      <c r="AC4130">
        <v>104</v>
      </c>
      <c r="AD4130">
        <v>0</v>
      </c>
      <c r="AE4130">
        <v>0</v>
      </c>
      <c r="AF4130">
        <v>0</v>
      </c>
      <c r="AG4130">
        <v>0</v>
      </c>
      <c r="AH4130">
        <v>0</v>
      </c>
      <c r="AI4130">
        <v>18.72</v>
      </c>
      <c r="AJ4130">
        <v>104</v>
      </c>
      <c r="AK4130">
        <v>0</v>
      </c>
      <c r="AL4130" t="s">
        <v>53</v>
      </c>
      <c r="AM4130" t="s">
        <v>53</v>
      </c>
      <c r="AN4130" t="s">
        <v>53</v>
      </c>
      <c r="AO4130" t="s">
        <v>53</v>
      </c>
      <c r="AP4130" t="s">
        <v>53</v>
      </c>
    </row>
    <row r="4131" spans="2:42" x14ac:dyDescent="0.2">
      <c r="B4131" t="s">
        <v>44</v>
      </c>
      <c r="C4131" t="str">
        <f>HYPERLINK("https://us2.cloudbeds.com/connect/8493803454333002#/reservations/9080486845753964?display=1T3DGKFQDM&amp;reservation_id=9080486845753964", "1T3DGKFQDM")</f>
        <v>1T3DGKFQDM</v>
      </c>
      <c r="D4131" t="s">
        <v>45</v>
      </c>
      <c r="E4131" t="s">
        <v>46</v>
      </c>
      <c r="F4131" t="s">
        <v>47</v>
      </c>
      <c r="G4131" t="s">
        <v>48</v>
      </c>
      <c r="H4131" t="s">
        <v>49</v>
      </c>
      <c r="I4131" t="s">
        <v>62</v>
      </c>
      <c r="J4131" t="s">
        <v>6698</v>
      </c>
      <c r="K4131" t="s">
        <v>6810</v>
      </c>
      <c r="L4131" t="s">
        <v>53</v>
      </c>
      <c r="N4131" t="s">
        <v>7095</v>
      </c>
      <c r="P4131" t="s">
        <v>55</v>
      </c>
      <c r="R4131" t="s">
        <v>7096</v>
      </c>
      <c r="T4131" t="s">
        <v>7097</v>
      </c>
      <c r="U4131" t="s">
        <v>55</v>
      </c>
      <c r="V4131">
        <v>1</v>
      </c>
      <c r="W4131">
        <v>1</v>
      </c>
      <c r="X4131">
        <v>2</v>
      </c>
      <c r="Y4131">
        <v>0</v>
      </c>
      <c r="Z4131">
        <v>2</v>
      </c>
      <c r="AA4131">
        <v>63</v>
      </c>
      <c r="AB4131">
        <v>63</v>
      </c>
      <c r="AC4131">
        <v>63</v>
      </c>
      <c r="AD4131">
        <v>0</v>
      </c>
      <c r="AE4131">
        <v>0</v>
      </c>
      <c r="AF4131">
        <v>0</v>
      </c>
      <c r="AG4131">
        <v>0</v>
      </c>
      <c r="AH4131">
        <v>0</v>
      </c>
      <c r="AI4131">
        <v>11.34</v>
      </c>
      <c r="AJ4131">
        <v>63</v>
      </c>
      <c r="AK4131">
        <v>0</v>
      </c>
      <c r="AL4131" t="s">
        <v>53</v>
      </c>
      <c r="AM4131" t="s">
        <v>53</v>
      </c>
      <c r="AN4131" t="s">
        <v>53</v>
      </c>
      <c r="AO4131" t="s">
        <v>53</v>
      </c>
      <c r="AP4131" t="s">
        <v>53</v>
      </c>
    </row>
    <row r="4132" spans="2:42" x14ac:dyDescent="0.2">
      <c r="B4132" t="s">
        <v>44</v>
      </c>
      <c r="C4132" t="str">
        <f>HYPERLINK("https://us2.cloudbeds.com/connect/8493803454333002#/reservations/9080486845754252?display=1T3S1DCJFN&amp;reservation_id=9080486845754252", "1T3S1DCJFN")</f>
        <v>1T3S1DCJFN</v>
      </c>
      <c r="D4132" t="s">
        <v>45</v>
      </c>
      <c r="E4132" t="s">
        <v>98</v>
      </c>
      <c r="F4132" t="s">
        <v>86</v>
      </c>
      <c r="G4132" t="s">
        <v>48</v>
      </c>
      <c r="H4132" t="s">
        <v>49</v>
      </c>
      <c r="I4132" t="s">
        <v>50</v>
      </c>
      <c r="J4132" t="s">
        <v>6698</v>
      </c>
      <c r="K4132" t="s">
        <v>6810</v>
      </c>
      <c r="L4132" t="s">
        <v>53</v>
      </c>
      <c r="N4132" t="s">
        <v>7098</v>
      </c>
      <c r="P4132" t="s">
        <v>55</v>
      </c>
      <c r="R4132" t="s">
        <v>53</v>
      </c>
      <c r="T4132" t="s">
        <v>7099</v>
      </c>
      <c r="U4132" t="s">
        <v>58</v>
      </c>
      <c r="V4132">
        <v>1</v>
      </c>
      <c r="W4132">
        <v>1</v>
      </c>
      <c r="X4132">
        <v>2</v>
      </c>
      <c r="Y4132">
        <v>0</v>
      </c>
      <c r="Z4132">
        <v>2</v>
      </c>
      <c r="AA4132">
        <v>82.85</v>
      </c>
      <c r="AB4132">
        <v>82.85</v>
      </c>
      <c r="AC4132">
        <v>72.900000000000006</v>
      </c>
      <c r="AD4132">
        <v>0</v>
      </c>
      <c r="AE4132">
        <v>9.9499999999999993</v>
      </c>
      <c r="AF4132">
        <v>0</v>
      </c>
      <c r="AG4132">
        <v>0</v>
      </c>
      <c r="AH4132">
        <v>0</v>
      </c>
      <c r="AI4132">
        <v>14.91</v>
      </c>
      <c r="AJ4132">
        <v>82.85</v>
      </c>
      <c r="AK4132">
        <v>0</v>
      </c>
      <c r="AL4132" t="s">
        <v>53</v>
      </c>
      <c r="AM4132" t="s">
        <v>53</v>
      </c>
      <c r="AN4132" t="s">
        <v>53</v>
      </c>
      <c r="AO4132" t="s">
        <v>53</v>
      </c>
      <c r="AP4132" t="s">
        <v>53</v>
      </c>
    </row>
    <row r="4133" spans="2:42" x14ac:dyDescent="0.2">
      <c r="B4133" t="s">
        <v>44</v>
      </c>
      <c r="C4133" t="str">
        <f>HYPERLINK("https://us2.cloudbeds.com/connect/8493803454333002#/reservations/9080486845754277?display=1T3T1D2UKY&amp;reservation_id=9080486845754277", "1T3T1D2UKY")</f>
        <v>1T3T1D2UKY</v>
      </c>
      <c r="D4133" t="s">
        <v>45</v>
      </c>
      <c r="E4133" t="s">
        <v>373</v>
      </c>
      <c r="F4133" t="s">
        <v>47</v>
      </c>
      <c r="G4133" t="s">
        <v>48</v>
      </c>
      <c r="H4133" t="s">
        <v>49</v>
      </c>
      <c r="I4133" t="s">
        <v>62</v>
      </c>
      <c r="J4133" t="s">
        <v>6780</v>
      </c>
      <c r="K4133" t="s">
        <v>6726</v>
      </c>
      <c r="L4133" t="s">
        <v>53</v>
      </c>
      <c r="N4133" t="s">
        <v>7100</v>
      </c>
      <c r="P4133" t="s">
        <v>55</v>
      </c>
      <c r="R4133" t="s">
        <v>56</v>
      </c>
      <c r="T4133" t="s">
        <v>7101</v>
      </c>
      <c r="U4133" t="s">
        <v>55</v>
      </c>
      <c r="V4133">
        <v>3</v>
      </c>
      <c r="W4133">
        <v>1</v>
      </c>
      <c r="X4133">
        <v>2</v>
      </c>
      <c r="Y4133">
        <v>0</v>
      </c>
      <c r="Z4133">
        <v>2</v>
      </c>
      <c r="AA4133">
        <v>185</v>
      </c>
      <c r="AB4133">
        <v>185</v>
      </c>
      <c r="AC4133">
        <v>185</v>
      </c>
      <c r="AD4133">
        <v>0</v>
      </c>
      <c r="AE4133">
        <v>0</v>
      </c>
      <c r="AF4133">
        <v>0</v>
      </c>
      <c r="AG4133">
        <v>0</v>
      </c>
      <c r="AH4133">
        <v>0</v>
      </c>
      <c r="AI4133">
        <v>33.299999999999997</v>
      </c>
      <c r="AJ4133">
        <v>185</v>
      </c>
      <c r="AK4133">
        <v>0</v>
      </c>
      <c r="AL4133" t="s">
        <v>53</v>
      </c>
      <c r="AM4133" t="s">
        <v>53</v>
      </c>
      <c r="AN4133" t="s">
        <v>53</v>
      </c>
      <c r="AO4133" t="s">
        <v>53</v>
      </c>
      <c r="AP4133" t="s">
        <v>53</v>
      </c>
    </row>
    <row r="4134" spans="2:42" x14ac:dyDescent="0.2">
      <c r="B4134" t="s">
        <v>44</v>
      </c>
      <c r="C4134" t="str">
        <f>HYPERLINK("https://us2.cloudbeds.com/connect/8493803454333002#/reservations/9080486845754784?display=1T4YAD3H5F&amp;reservation_id=9080486845754784", "1T4YAD3H5F")</f>
        <v>1T4YAD3H5F</v>
      </c>
      <c r="D4134" t="s">
        <v>45</v>
      </c>
      <c r="E4134" t="s">
        <v>223</v>
      </c>
      <c r="F4134" t="s">
        <v>47</v>
      </c>
      <c r="G4134" t="s">
        <v>48</v>
      </c>
      <c r="H4134" t="s">
        <v>49</v>
      </c>
      <c r="I4134" t="s">
        <v>50</v>
      </c>
      <c r="J4134" t="s">
        <v>6618</v>
      </c>
      <c r="K4134" t="s">
        <v>6619</v>
      </c>
      <c r="L4134" t="s">
        <v>53</v>
      </c>
      <c r="N4134" t="s">
        <v>7102</v>
      </c>
      <c r="P4134" t="s">
        <v>55</v>
      </c>
      <c r="R4134" t="s">
        <v>53</v>
      </c>
      <c r="T4134" t="s">
        <v>7103</v>
      </c>
      <c r="U4134" t="s">
        <v>58</v>
      </c>
      <c r="V4134">
        <v>1</v>
      </c>
      <c r="W4134">
        <v>1</v>
      </c>
      <c r="X4134">
        <v>2</v>
      </c>
      <c r="Y4134">
        <v>0</v>
      </c>
      <c r="Z4134">
        <v>2</v>
      </c>
      <c r="AA4134">
        <v>53.44</v>
      </c>
      <c r="AB4134">
        <v>53.44</v>
      </c>
      <c r="AC4134">
        <v>47.02</v>
      </c>
      <c r="AD4134">
        <v>0</v>
      </c>
      <c r="AE4134">
        <v>6.42</v>
      </c>
      <c r="AF4134">
        <v>0</v>
      </c>
      <c r="AG4134">
        <v>0</v>
      </c>
      <c r="AH4134">
        <v>0</v>
      </c>
      <c r="AI4134">
        <v>9.6199999999999992</v>
      </c>
      <c r="AJ4134">
        <v>53.44</v>
      </c>
      <c r="AK4134">
        <v>0</v>
      </c>
      <c r="AL4134" t="s">
        <v>53</v>
      </c>
      <c r="AM4134" t="s">
        <v>53</v>
      </c>
      <c r="AN4134" t="s">
        <v>53</v>
      </c>
      <c r="AO4134" t="s">
        <v>53</v>
      </c>
      <c r="AP4134" t="s">
        <v>53</v>
      </c>
    </row>
    <row r="4135" spans="2:42" x14ac:dyDescent="0.2">
      <c r="B4135" t="s">
        <v>44</v>
      </c>
      <c r="C4135" t="str">
        <f>HYPERLINK("https://us2.cloudbeds.com/connect/8493803454333002#/reservations/9080486845754867?display=1T4QB2WVP1&amp;reservation_id=9080486845754867", "1T4QB2WVP1")</f>
        <v>1T4QB2WVP1</v>
      </c>
      <c r="D4135" t="s">
        <v>45</v>
      </c>
      <c r="E4135" t="s">
        <v>98</v>
      </c>
      <c r="F4135" t="s">
        <v>86</v>
      </c>
      <c r="G4135" t="s">
        <v>48</v>
      </c>
      <c r="H4135" t="s">
        <v>49</v>
      </c>
      <c r="I4135" t="s">
        <v>50</v>
      </c>
      <c r="J4135" t="s">
        <v>6813</v>
      </c>
      <c r="K4135" t="s">
        <v>6814</v>
      </c>
      <c r="L4135" t="s">
        <v>53</v>
      </c>
      <c r="N4135" t="s">
        <v>7104</v>
      </c>
      <c r="P4135" t="s">
        <v>55</v>
      </c>
      <c r="R4135" t="s">
        <v>53</v>
      </c>
      <c r="T4135" t="s">
        <v>7105</v>
      </c>
      <c r="U4135" t="s">
        <v>58</v>
      </c>
      <c r="V4135">
        <v>1</v>
      </c>
      <c r="W4135">
        <v>1</v>
      </c>
      <c r="X4135">
        <v>2</v>
      </c>
      <c r="Y4135">
        <v>2</v>
      </c>
      <c r="Z4135">
        <v>4</v>
      </c>
      <c r="AA4135">
        <v>58.31</v>
      </c>
      <c r="AB4135">
        <v>58.31</v>
      </c>
      <c r="AC4135">
        <v>51.3</v>
      </c>
      <c r="AD4135">
        <v>0</v>
      </c>
      <c r="AE4135">
        <v>7.01</v>
      </c>
      <c r="AF4135">
        <v>0</v>
      </c>
      <c r="AG4135">
        <v>0</v>
      </c>
      <c r="AH4135">
        <v>0</v>
      </c>
      <c r="AI4135">
        <v>10.5</v>
      </c>
      <c r="AJ4135">
        <v>58.31</v>
      </c>
      <c r="AK4135">
        <v>0</v>
      </c>
      <c r="AL4135" t="s">
        <v>53</v>
      </c>
      <c r="AM4135" t="s">
        <v>53</v>
      </c>
      <c r="AN4135" t="s">
        <v>53</v>
      </c>
      <c r="AO4135" t="s">
        <v>53</v>
      </c>
      <c r="AP4135" t="s">
        <v>53</v>
      </c>
    </row>
    <row r="4136" spans="2:42" x14ac:dyDescent="0.2">
      <c r="B4136" t="s">
        <v>44</v>
      </c>
      <c r="C4136" t="str">
        <f>HYPERLINK("https://us2.cloudbeds.com/connect/8493803454333002#/reservations/87424107843753?display=1T5AJJE9AK&amp;reservation_id=87424107843753", "1T5AJJE9AK")</f>
        <v>1T5AJJE9AK</v>
      </c>
      <c r="D4136" t="s">
        <v>45</v>
      </c>
      <c r="E4136" t="s">
        <v>185</v>
      </c>
      <c r="F4136" t="s">
        <v>47</v>
      </c>
      <c r="G4136" t="s">
        <v>48</v>
      </c>
      <c r="H4136" t="s">
        <v>3957</v>
      </c>
      <c r="I4136" t="s">
        <v>3958</v>
      </c>
      <c r="J4136" t="s">
        <v>6698</v>
      </c>
      <c r="K4136" t="s">
        <v>6810</v>
      </c>
      <c r="L4136" t="s">
        <v>53</v>
      </c>
      <c r="P4136" t="s">
        <v>55</v>
      </c>
      <c r="R4136" t="s">
        <v>56</v>
      </c>
      <c r="T4136" t="s">
        <v>7106</v>
      </c>
      <c r="U4136" t="s">
        <v>58</v>
      </c>
      <c r="V4136">
        <v>1</v>
      </c>
      <c r="W4136">
        <v>1</v>
      </c>
      <c r="X4136">
        <v>1</v>
      </c>
      <c r="Y4136">
        <v>0</v>
      </c>
      <c r="Z4136">
        <v>1</v>
      </c>
      <c r="AA4136">
        <v>71.61</v>
      </c>
      <c r="AB4136">
        <v>71.61</v>
      </c>
      <c r="AC4136">
        <v>63</v>
      </c>
      <c r="AD4136">
        <v>0</v>
      </c>
      <c r="AE4136">
        <v>8.61</v>
      </c>
      <c r="AF4136">
        <v>0</v>
      </c>
      <c r="AG4136">
        <v>0</v>
      </c>
      <c r="AH4136">
        <v>0</v>
      </c>
      <c r="AI4136">
        <v>0</v>
      </c>
      <c r="AJ4136">
        <v>71.61</v>
      </c>
      <c r="AK4136">
        <v>0</v>
      </c>
      <c r="AL4136" t="s">
        <v>53</v>
      </c>
      <c r="AM4136" t="s">
        <v>53</v>
      </c>
      <c r="AN4136" t="s">
        <v>53</v>
      </c>
      <c r="AO4136" t="s">
        <v>53</v>
      </c>
      <c r="AP4136" t="s">
        <v>53</v>
      </c>
    </row>
    <row r="4137" spans="2:42" x14ac:dyDescent="0.2">
      <c r="B4137" t="s">
        <v>44</v>
      </c>
      <c r="C4137" t="str">
        <f>HYPERLINK("https://us2.cloudbeds.com/connect/8493803454333002#/reservations/9080486845755373?display=1T5T0N0RDZ&amp;reservation_id=9080486845755373", "1T5T0N0RDZ")</f>
        <v>1T5T0N0RDZ</v>
      </c>
      <c r="D4137" t="s">
        <v>45</v>
      </c>
      <c r="E4137" t="s">
        <v>138</v>
      </c>
      <c r="F4137" t="s">
        <v>70</v>
      </c>
      <c r="G4137" t="s">
        <v>48</v>
      </c>
      <c r="H4137" t="s">
        <v>49</v>
      </c>
      <c r="I4137" t="s">
        <v>50</v>
      </c>
      <c r="J4137" t="s">
        <v>6780</v>
      </c>
      <c r="K4137" t="s">
        <v>6930</v>
      </c>
      <c r="L4137" t="s">
        <v>53</v>
      </c>
      <c r="N4137" t="s">
        <v>7107</v>
      </c>
      <c r="P4137" t="s">
        <v>55</v>
      </c>
      <c r="R4137" t="s">
        <v>53</v>
      </c>
      <c r="T4137" t="s">
        <v>7108</v>
      </c>
      <c r="U4137" t="s">
        <v>58</v>
      </c>
      <c r="V4137">
        <v>1</v>
      </c>
      <c r="W4137">
        <v>1</v>
      </c>
      <c r="X4137">
        <v>2</v>
      </c>
      <c r="Y4137">
        <v>0</v>
      </c>
      <c r="Z4137">
        <v>2</v>
      </c>
      <c r="AA4137">
        <v>48.19</v>
      </c>
      <c r="AB4137">
        <v>50.9</v>
      </c>
      <c r="AC4137">
        <v>42.4</v>
      </c>
      <c r="AD4137">
        <v>2.5</v>
      </c>
      <c r="AE4137">
        <v>6</v>
      </c>
      <c r="AF4137">
        <v>0</v>
      </c>
      <c r="AG4137">
        <v>0</v>
      </c>
      <c r="AH4137">
        <v>0</v>
      </c>
      <c r="AI4137">
        <v>9.16</v>
      </c>
      <c r="AJ4137">
        <v>50.9</v>
      </c>
      <c r="AK4137">
        <v>0</v>
      </c>
      <c r="AL4137" t="s">
        <v>53</v>
      </c>
      <c r="AM4137" t="s">
        <v>53</v>
      </c>
      <c r="AN4137" t="s">
        <v>53</v>
      </c>
      <c r="AO4137" t="s">
        <v>53</v>
      </c>
      <c r="AP4137" t="s">
        <v>53</v>
      </c>
    </row>
    <row r="4138" spans="2:42" x14ac:dyDescent="0.2">
      <c r="B4138" t="s">
        <v>44</v>
      </c>
      <c r="C4138" t="str">
        <f>HYPERLINK("https://us2.cloudbeds.com/connect/8493803454333002#/reservations/9080486845755693?display=1T6GYCR3Z9&amp;reservation_id=9080486845755693", "1T6GYCR3Z9")</f>
        <v>1T6GYCR3Z9</v>
      </c>
      <c r="D4138" t="s">
        <v>45</v>
      </c>
      <c r="E4138" t="s">
        <v>155</v>
      </c>
      <c r="F4138" t="s">
        <v>86</v>
      </c>
      <c r="G4138" t="s">
        <v>48</v>
      </c>
      <c r="H4138" t="s">
        <v>49</v>
      </c>
      <c r="I4138" t="s">
        <v>62</v>
      </c>
      <c r="J4138" t="s">
        <v>6912</v>
      </c>
      <c r="K4138" t="s">
        <v>7109</v>
      </c>
      <c r="L4138" t="s">
        <v>53</v>
      </c>
      <c r="N4138" t="s">
        <v>7110</v>
      </c>
      <c r="P4138" t="s">
        <v>55</v>
      </c>
      <c r="R4138" t="s">
        <v>56</v>
      </c>
      <c r="T4138" t="s">
        <v>7111</v>
      </c>
      <c r="U4138" t="s">
        <v>55</v>
      </c>
      <c r="V4138">
        <v>2</v>
      </c>
      <c r="W4138">
        <v>1</v>
      </c>
      <c r="X4138">
        <v>4</v>
      </c>
      <c r="Y4138">
        <v>0</v>
      </c>
      <c r="Z4138">
        <v>4</v>
      </c>
      <c r="AA4138">
        <v>202</v>
      </c>
      <c r="AB4138">
        <v>202</v>
      </c>
      <c r="AC4138">
        <v>202</v>
      </c>
      <c r="AD4138">
        <v>0</v>
      </c>
      <c r="AE4138">
        <v>0</v>
      </c>
      <c r="AF4138">
        <v>0</v>
      </c>
      <c r="AG4138">
        <v>0</v>
      </c>
      <c r="AH4138">
        <v>0</v>
      </c>
      <c r="AI4138">
        <v>36.36</v>
      </c>
      <c r="AJ4138">
        <v>202</v>
      </c>
      <c r="AK4138">
        <v>0</v>
      </c>
      <c r="AL4138" t="s">
        <v>53</v>
      </c>
      <c r="AM4138" t="s">
        <v>53</v>
      </c>
      <c r="AN4138" t="s">
        <v>53</v>
      </c>
      <c r="AO4138" t="s">
        <v>53</v>
      </c>
      <c r="AP4138" t="s">
        <v>53</v>
      </c>
    </row>
    <row r="4139" spans="2:42" x14ac:dyDescent="0.2">
      <c r="B4139" t="s">
        <v>44</v>
      </c>
      <c r="C4139" t="str">
        <f>HYPERLINK("https://us2.cloudbeds.com/connect/8493803454333002#/reservations/9080486845755695?display=1T6GHHJSQV&amp;reservation_id=9080486845755695", "1T6GHHJSQV")</f>
        <v>1T6GHHJSQV</v>
      </c>
      <c r="D4139" t="s">
        <v>45</v>
      </c>
      <c r="E4139" t="s">
        <v>121</v>
      </c>
      <c r="F4139" t="s">
        <v>86</v>
      </c>
      <c r="G4139" t="s">
        <v>48</v>
      </c>
      <c r="H4139" t="s">
        <v>49</v>
      </c>
      <c r="I4139" t="s">
        <v>50</v>
      </c>
      <c r="J4139" t="s">
        <v>6819</v>
      </c>
      <c r="K4139" t="s">
        <v>7078</v>
      </c>
      <c r="L4139" t="s">
        <v>53</v>
      </c>
      <c r="N4139" t="s">
        <v>7112</v>
      </c>
      <c r="P4139" t="s">
        <v>55</v>
      </c>
      <c r="R4139" t="s">
        <v>53</v>
      </c>
      <c r="T4139" t="s">
        <v>7113</v>
      </c>
      <c r="U4139" t="s">
        <v>58</v>
      </c>
      <c r="V4139">
        <v>2</v>
      </c>
      <c r="W4139">
        <v>1</v>
      </c>
      <c r="X4139">
        <v>2</v>
      </c>
      <c r="Y4139">
        <v>0</v>
      </c>
      <c r="Z4139">
        <v>2</v>
      </c>
      <c r="AA4139">
        <v>251.62</v>
      </c>
      <c r="AB4139">
        <v>251.62</v>
      </c>
      <c r="AC4139">
        <v>221.4</v>
      </c>
      <c r="AD4139">
        <v>0</v>
      </c>
      <c r="AE4139">
        <v>30.22</v>
      </c>
      <c r="AF4139">
        <v>0</v>
      </c>
      <c r="AG4139">
        <v>0</v>
      </c>
      <c r="AH4139">
        <v>0</v>
      </c>
      <c r="AI4139">
        <v>45.29</v>
      </c>
      <c r="AJ4139">
        <v>251.62</v>
      </c>
      <c r="AK4139">
        <v>0</v>
      </c>
      <c r="AL4139" t="s">
        <v>53</v>
      </c>
      <c r="AM4139" t="s">
        <v>53</v>
      </c>
      <c r="AN4139" t="s">
        <v>53</v>
      </c>
      <c r="AO4139" t="s">
        <v>53</v>
      </c>
      <c r="AP4139" t="s">
        <v>53</v>
      </c>
    </row>
    <row r="4140" spans="2:42" x14ac:dyDescent="0.2">
      <c r="B4140" t="s">
        <v>44</v>
      </c>
      <c r="C4140" t="str">
        <f>HYPERLINK("https://us2.cloudbeds.com/connect/8493803454333002#/reservations/9080486845757509?display=1TADCWCB5E&amp;reservation_id=9080486845757509", "1TADCWCB5E")</f>
        <v>1TADCWCB5E</v>
      </c>
      <c r="D4140" t="s">
        <v>45</v>
      </c>
      <c r="E4140" t="s">
        <v>165</v>
      </c>
      <c r="F4140" t="s">
        <v>61</v>
      </c>
      <c r="G4140" t="s">
        <v>48</v>
      </c>
      <c r="H4140" t="s">
        <v>49</v>
      </c>
      <c r="I4140" t="s">
        <v>50</v>
      </c>
      <c r="J4140" t="s">
        <v>6801</v>
      </c>
      <c r="K4140" t="s">
        <v>6726</v>
      </c>
      <c r="L4140" t="s">
        <v>53</v>
      </c>
      <c r="N4140" t="s">
        <v>7114</v>
      </c>
      <c r="P4140" t="s">
        <v>55</v>
      </c>
      <c r="R4140" t="s">
        <v>53</v>
      </c>
      <c r="T4140" t="s">
        <v>7115</v>
      </c>
      <c r="U4140" t="s">
        <v>58</v>
      </c>
      <c r="V4140">
        <v>1</v>
      </c>
      <c r="W4140">
        <v>1</v>
      </c>
      <c r="X4140">
        <v>1</v>
      </c>
      <c r="Y4140">
        <v>0</v>
      </c>
      <c r="Z4140">
        <v>1</v>
      </c>
      <c r="AA4140">
        <v>74.34</v>
      </c>
      <c r="AB4140">
        <v>74.34</v>
      </c>
      <c r="AC4140">
        <v>65.41</v>
      </c>
      <c r="AD4140">
        <v>0</v>
      </c>
      <c r="AE4140">
        <v>8.93</v>
      </c>
      <c r="AF4140">
        <v>0</v>
      </c>
      <c r="AG4140">
        <v>0</v>
      </c>
      <c r="AH4140">
        <v>0</v>
      </c>
      <c r="AI4140">
        <v>13.38</v>
      </c>
      <c r="AJ4140">
        <v>74.34</v>
      </c>
      <c r="AK4140">
        <v>0</v>
      </c>
      <c r="AL4140" t="s">
        <v>53</v>
      </c>
      <c r="AM4140" t="s">
        <v>53</v>
      </c>
      <c r="AN4140" t="s">
        <v>53</v>
      </c>
      <c r="AO4140" t="s">
        <v>53</v>
      </c>
      <c r="AP4140" t="s">
        <v>53</v>
      </c>
    </row>
    <row r="4141" spans="2:42" x14ac:dyDescent="0.2">
      <c r="B4141" t="s">
        <v>44</v>
      </c>
      <c r="C4141" t="str">
        <f>HYPERLINK("https://us2.cloudbeds.com/connect/8493803454333002#/reservations/9080486845758009?display=1TB4R5MZ05&amp;reservation_id=9080486845758009", "1TB4R5MZ05")</f>
        <v>1TB4R5MZ05</v>
      </c>
      <c r="D4141" t="s">
        <v>45</v>
      </c>
      <c r="E4141" t="s">
        <v>128</v>
      </c>
      <c r="F4141" t="s">
        <v>86</v>
      </c>
      <c r="G4141" t="s">
        <v>48</v>
      </c>
      <c r="H4141" t="s">
        <v>49</v>
      </c>
      <c r="I4141" t="s">
        <v>62</v>
      </c>
      <c r="J4141" t="s">
        <v>6726</v>
      </c>
      <c r="K4141" t="s">
        <v>6781</v>
      </c>
      <c r="L4141" t="s">
        <v>53</v>
      </c>
      <c r="N4141" t="s">
        <v>7116</v>
      </c>
      <c r="P4141" t="s">
        <v>55</v>
      </c>
      <c r="R4141" t="s">
        <v>56</v>
      </c>
      <c r="T4141" t="s">
        <v>7117</v>
      </c>
      <c r="U4141" t="s">
        <v>55</v>
      </c>
      <c r="V4141">
        <v>1</v>
      </c>
      <c r="W4141">
        <v>1</v>
      </c>
      <c r="X4141">
        <v>4</v>
      </c>
      <c r="Y4141">
        <v>0</v>
      </c>
      <c r="Z4141">
        <v>4</v>
      </c>
      <c r="AA4141">
        <v>79.8</v>
      </c>
      <c r="AB4141">
        <v>79.8</v>
      </c>
      <c r="AC4141">
        <v>79.8</v>
      </c>
      <c r="AD4141">
        <v>0</v>
      </c>
      <c r="AE4141">
        <v>0</v>
      </c>
      <c r="AF4141">
        <v>0</v>
      </c>
      <c r="AG4141">
        <v>0</v>
      </c>
      <c r="AH4141">
        <v>0</v>
      </c>
      <c r="AI4141">
        <v>14.36</v>
      </c>
      <c r="AJ4141">
        <v>79.8</v>
      </c>
      <c r="AK4141">
        <v>0</v>
      </c>
      <c r="AL4141" t="s">
        <v>53</v>
      </c>
      <c r="AM4141" t="s">
        <v>53</v>
      </c>
      <c r="AN4141" t="s">
        <v>53</v>
      </c>
      <c r="AO4141" t="s">
        <v>53</v>
      </c>
      <c r="AP4141" t="s">
        <v>53</v>
      </c>
    </row>
    <row r="4142" spans="2:42" x14ac:dyDescent="0.2">
      <c r="B4142" t="s">
        <v>44</v>
      </c>
      <c r="C4142" t="str">
        <f>HYPERLINK("https://us2.cloudbeds.com/connect/8493803454333002#/reservations/9080486845758322?display=1TBJ7UJ8E2&amp;reservation_id=9080486845758322", "1TBJ7UJ8E2")</f>
        <v>1TBJ7UJ8E2</v>
      </c>
      <c r="D4142" t="s">
        <v>45</v>
      </c>
      <c r="E4142" t="s">
        <v>179</v>
      </c>
      <c r="F4142" t="s">
        <v>47</v>
      </c>
      <c r="G4142" t="s">
        <v>48</v>
      </c>
      <c r="H4142" t="s">
        <v>49</v>
      </c>
      <c r="I4142" t="s">
        <v>62</v>
      </c>
      <c r="J4142" t="s">
        <v>6591</v>
      </c>
      <c r="K4142" t="s">
        <v>6592</v>
      </c>
      <c r="L4142" t="s">
        <v>53</v>
      </c>
      <c r="N4142" t="s">
        <v>7118</v>
      </c>
      <c r="P4142" t="s">
        <v>55</v>
      </c>
      <c r="R4142" t="s">
        <v>56</v>
      </c>
      <c r="T4142" t="s">
        <v>7119</v>
      </c>
      <c r="U4142" t="s">
        <v>55</v>
      </c>
      <c r="V4142">
        <v>2</v>
      </c>
      <c r="W4142">
        <v>1</v>
      </c>
      <c r="X4142">
        <v>1</v>
      </c>
      <c r="Y4142">
        <v>0</v>
      </c>
      <c r="Z4142">
        <v>1</v>
      </c>
      <c r="AA4142">
        <v>202</v>
      </c>
      <c r="AB4142">
        <v>202</v>
      </c>
      <c r="AC4142">
        <v>202</v>
      </c>
      <c r="AD4142">
        <v>0</v>
      </c>
      <c r="AE4142">
        <v>0</v>
      </c>
      <c r="AF4142">
        <v>0</v>
      </c>
      <c r="AG4142">
        <v>0</v>
      </c>
      <c r="AH4142">
        <v>0</v>
      </c>
      <c r="AI4142">
        <v>36.36</v>
      </c>
      <c r="AJ4142">
        <v>202</v>
      </c>
      <c r="AK4142">
        <v>0</v>
      </c>
      <c r="AL4142" t="s">
        <v>53</v>
      </c>
      <c r="AM4142" t="s">
        <v>53</v>
      </c>
      <c r="AN4142" t="s">
        <v>53</v>
      </c>
      <c r="AO4142" t="s">
        <v>53</v>
      </c>
      <c r="AP4142" t="s">
        <v>53</v>
      </c>
    </row>
    <row r="4143" spans="2:42" x14ac:dyDescent="0.2">
      <c r="B4143" t="s">
        <v>44</v>
      </c>
      <c r="C4143" t="str">
        <f>HYPERLINK("https://us2.cloudbeds.com/connect/8493803454333002#/reservations/9080486845758833?display=1TCD32BQ4P&amp;reservation_id=9080486845758833", "1TCD32BQ4P")</f>
        <v>1TCD32BQ4P</v>
      </c>
      <c r="D4143" t="s">
        <v>45</v>
      </c>
      <c r="E4143" t="s">
        <v>138</v>
      </c>
      <c r="F4143" t="s">
        <v>70</v>
      </c>
      <c r="G4143" t="s">
        <v>48</v>
      </c>
      <c r="H4143" t="s">
        <v>49</v>
      </c>
      <c r="I4143" t="s">
        <v>62</v>
      </c>
      <c r="J4143" t="s">
        <v>6801</v>
      </c>
      <c r="K4143" t="s">
        <v>6726</v>
      </c>
      <c r="L4143" t="s">
        <v>53</v>
      </c>
      <c r="N4143" t="s">
        <v>7120</v>
      </c>
      <c r="P4143" t="s">
        <v>55</v>
      </c>
      <c r="R4143" t="s">
        <v>56</v>
      </c>
      <c r="T4143" t="s">
        <v>7121</v>
      </c>
      <c r="U4143" t="s">
        <v>55</v>
      </c>
      <c r="V4143">
        <v>1</v>
      </c>
      <c r="W4143">
        <v>1</v>
      </c>
      <c r="X4143">
        <v>1</v>
      </c>
      <c r="Y4143">
        <v>0</v>
      </c>
      <c r="Z4143">
        <v>1</v>
      </c>
      <c r="AA4143">
        <v>66</v>
      </c>
      <c r="AB4143">
        <v>66</v>
      </c>
      <c r="AC4143">
        <v>66</v>
      </c>
      <c r="AD4143">
        <v>0</v>
      </c>
      <c r="AE4143">
        <v>0</v>
      </c>
      <c r="AF4143">
        <v>0</v>
      </c>
      <c r="AG4143">
        <v>0</v>
      </c>
      <c r="AH4143">
        <v>0</v>
      </c>
      <c r="AI4143">
        <v>11.88</v>
      </c>
      <c r="AJ4143">
        <v>66</v>
      </c>
      <c r="AK4143">
        <v>0</v>
      </c>
      <c r="AL4143" t="s">
        <v>53</v>
      </c>
      <c r="AM4143" t="s">
        <v>53</v>
      </c>
      <c r="AN4143" t="s">
        <v>53</v>
      </c>
      <c r="AO4143" t="s">
        <v>53</v>
      </c>
      <c r="AP4143" t="s">
        <v>53</v>
      </c>
    </row>
    <row r="4144" spans="2:42" x14ac:dyDescent="0.2">
      <c r="B4144" t="s">
        <v>44</v>
      </c>
      <c r="C4144" t="str">
        <f>HYPERLINK("https://us2.cloudbeds.com/connect/8493803454333002#/reservations/9080486845760229?display=1TEX5G73EX&amp;reservation_id=9080486845760229", "1TEX5G73EX")</f>
        <v>1TEX5G73EX</v>
      </c>
      <c r="D4144" t="s">
        <v>45</v>
      </c>
      <c r="E4144" t="s">
        <v>98</v>
      </c>
      <c r="F4144" t="s">
        <v>86</v>
      </c>
      <c r="G4144" t="s">
        <v>48</v>
      </c>
      <c r="H4144" t="s">
        <v>49</v>
      </c>
      <c r="I4144" t="s">
        <v>50</v>
      </c>
      <c r="J4144" t="s">
        <v>6699</v>
      </c>
      <c r="K4144" t="s">
        <v>6880</v>
      </c>
      <c r="L4144" t="s">
        <v>53</v>
      </c>
      <c r="N4144" t="s">
        <v>7122</v>
      </c>
      <c r="P4144" t="s">
        <v>55</v>
      </c>
      <c r="R4144" t="s">
        <v>53</v>
      </c>
      <c r="T4144" t="s">
        <v>7123</v>
      </c>
      <c r="U4144" t="s">
        <v>58</v>
      </c>
      <c r="V4144">
        <v>1</v>
      </c>
      <c r="W4144">
        <v>1</v>
      </c>
      <c r="X4144">
        <v>2</v>
      </c>
      <c r="Y4144">
        <v>0</v>
      </c>
      <c r="Z4144">
        <v>2</v>
      </c>
      <c r="AA4144">
        <v>81.83</v>
      </c>
      <c r="AB4144">
        <v>81.83</v>
      </c>
      <c r="AC4144">
        <v>72</v>
      </c>
      <c r="AD4144">
        <v>0</v>
      </c>
      <c r="AE4144">
        <v>9.83</v>
      </c>
      <c r="AF4144">
        <v>0</v>
      </c>
      <c r="AG4144">
        <v>0</v>
      </c>
      <c r="AH4144">
        <v>0</v>
      </c>
      <c r="AI4144">
        <v>14.73</v>
      </c>
      <c r="AJ4144">
        <v>81.83</v>
      </c>
      <c r="AK4144">
        <v>0</v>
      </c>
      <c r="AL4144" t="s">
        <v>53</v>
      </c>
      <c r="AM4144" t="s">
        <v>53</v>
      </c>
      <c r="AN4144" t="s">
        <v>53</v>
      </c>
      <c r="AO4144" t="s">
        <v>53</v>
      </c>
      <c r="AP4144" t="s">
        <v>53</v>
      </c>
    </row>
    <row r="4145" spans="2:42" x14ac:dyDescent="0.2">
      <c r="B4145" t="s">
        <v>44</v>
      </c>
      <c r="C4145" t="str">
        <f>HYPERLINK("https://us2.cloudbeds.com/connect/8493803454333002#/reservations/9080486845760335?display=1TEPVQPFAK&amp;reservation_id=9080486845760335", "1TEPVQPFAK")</f>
        <v>1TEPVQPFAK</v>
      </c>
      <c r="D4145" t="s">
        <v>45</v>
      </c>
      <c r="E4145" t="s">
        <v>179</v>
      </c>
      <c r="F4145" t="s">
        <v>47</v>
      </c>
      <c r="G4145" t="s">
        <v>48</v>
      </c>
      <c r="H4145" t="s">
        <v>49</v>
      </c>
      <c r="I4145" t="s">
        <v>62</v>
      </c>
      <c r="J4145" t="s">
        <v>6880</v>
      </c>
      <c r="K4145" t="s">
        <v>6530</v>
      </c>
      <c r="L4145" t="s">
        <v>53</v>
      </c>
      <c r="N4145" t="s">
        <v>7124</v>
      </c>
      <c r="P4145" t="s">
        <v>55</v>
      </c>
      <c r="R4145" t="s">
        <v>3971</v>
      </c>
      <c r="T4145" t="s">
        <v>7125</v>
      </c>
      <c r="U4145" t="s">
        <v>55</v>
      </c>
      <c r="V4145">
        <v>2</v>
      </c>
      <c r="W4145">
        <v>1</v>
      </c>
      <c r="X4145">
        <v>2</v>
      </c>
      <c r="Y4145">
        <v>0</v>
      </c>
      <c r="Z4145">
        <v>2</v>
      </c>
      <c r="AA4145">
        <v>115</v>
      </c>
      <c r="AB4145">
        <v>115</v>
      </c>
      <c r="AC4145">
        <v>115</v>
      </c>
      <c r="AD4145">
        <v>0</v>
      </c>
      <c r="AE4145">
        <v>0</v>
      </c>
      <c r="AF4145">
        <v>0</v>
      </c>
      <c r="AG4145">
        <v>0</v>
      </c>
      <c r="AH4145">
        <v>0</v>
      </c>
      <c r="AI4145">
        <v>20.7</v>
      </c>
      <c r="AJ4145">
        <v>115</v>
      </c>
      <c r="AK4145">
        <v>0</v>
      </c>
      <c r="AL4145" t="s">
        <v>53</v>
      </c>
      <c r="AM4145" t="s">
        <v>53</v>
      </c>
      <c r="AN4145" t="s">
        <v>53</v>
      </c>
      <c r="AO4145" t="s">
        <v>53</v>
      </c>
      <c r="AP4145" t="s">
        <v>53</v>
      </c>
    </row>
    <row r="4146" spans="2:42" x14ac:dyDescent="0.2">
      <c r="B4146" t="s">
        <v>44</v>
      </c>
      <c r="C4146" t="str">
        <f>HYPERLINK("https://us2.cloudbeds.com/connect/8493803454333002#/reservations/87929865257117?display=1TH66SFS1P&amp;reservation_id=87929865257117", "1TH66SFS1P")</f>
        <v>1TH66SFS1P</v>
      </c>
      <c r="D4146" t="s">
        <v>45</v>
      </c>
      <c r="E4146" t="s">
        <v>373</v>
      </c>
      <c r="F4146" t="s">
        <v>47</v>
      </c>
      <c r="G4146" t="s">
        <v>48</v>
      </c>
      <c r="H4146" t="s">
        <v>3957</v>
      </c>
      <c r="I4146" t="s">
        <v>3975</v>
      </c>
      <c r="J4146" t="s">
        <v>6699</v>
      </c>
      <c r="K4146" t="s">
        <v>6880</v>
      </c>
      <c r="L4146" t="s">
        <v>53</v>
      </c>
      <c r="P4146" t="s">
        <v>55</v>
      </c>
      <c r="R4146" t="s">
        <v>53</v>
      </c>
      <c r="T4146" t="s">
        <v>7126</v>
      </c>
      <c r="U4146" t="s">
        <v>58</v>
      </c>
      <c r="V4146">
        <v>1</v>
      </c>
      <c r="W4146">
        <v>1</v>
      </c>
      <c r="X4146">
        <v>1</v>
      </c>
      <c r="Y4146">
        <v>0</v>
      </c>
      <c r="Z4146">
        <v>1</v>
      </c>
      <c r="AA4146">
        <v>68.19</v>
      </c>
      <c r="AB4146">
        <v>68.19</v>
      </c>
      <c r="AC4146">
        <v>60</v>
      </c>
      <c r="AD4146">
        <v>0</v>
      </c>
      <c r="AE4146">
        <v>8.19</v>
      </c>
      <c r="AF4146">
        <v>0</v>
      </c>
      <c r="AG4146">
        <v>0</v>
      </c>
      <c r="AH4146">
        <v>0</v>
      </c>
      <c r="AI4146">
        <v>0</v>
      </c>
      <c r="AJ4146">
        <v>68.19</v>
      </c>
      <c r="AK4146">
        <v>0</v>
      </c>
      <c r="AL4146" t="s">
        <v>53</v>
      </c>
      <c r="AM4146" t="s">
        <v>53</v>
      </c>
      <c r="AN4146" t="s">
        <v>53</v>
      </c>
      <c r="AO4146" t="s">
        <v>53</v>
      </c>
      <c r="AP4146" t="s">
        <v>53</v>
      </c>
    </row>
    <row r="4147" spans="2:42" x14ac:dyDescent="0.2">
      <c r="B4147" t="s">
        <v>44</v>
      </c>
      <c r="C4147" t="str">
        <f>HYPERLINK("https://us2.cloudbeds.com/connect/8493803454333002#/reservations/9080486845761992?display=1TXK92E3MP&amp;reservation_id=9080486845761992", "1TXK92E3MP")</f>
        <v>1TXK92E3MP</v>
      </c>
      <c r="D4147" t="s">
        <v>45</v>
      </c>
      <c r="E4147" t="s">
        <v>165</v>
      </c>
      <c r="F4147" t="s">
        <v>61</v>
      </c>
      <c r="G4147" t="s">
        <v>48</v>
      </c>
      <c r="H4147" t="s">
        <v>49</v>
      </c>
      <c r="I4147" t="s">
        <v>62</v>
      </c>
      <c r="J4147" t="s">
        <v>6529</v>
      </c>
      <c r="K4147" t="s">
        <v>6530</v>
      </c>
      <c r="L4147" t="s">
        <v>53</v>
      </c>
      <c r="N4147" t="s">
        <v>7127</v>
      </c>
      <c r="P4147" t="s">
        <v>55</v>
      </c>
      <c r="R4147" t="s">
        <v>56</v>
      </c>
      <c r="T4147" t="s">
        <v>7128</v>
      </c>
      <c r="U4147" t="s">
        <v>55</v>
      </c>
      <c r="V4147">
        <v>1</v>
      </c>
      <c r="W4147">
        <v>1</v>
      </c>
      <c r="X4147">
        <v>2</v>
      </c>
      <c r="Y4147">
        <v>0</v>
      </c>
      <c r="Z4147">
        <v>2</v>
      </c>
      <c r="AA4147">
        <v>55</v>
      </c>
      <c r="AB4147">
        <v>55</v>
      </c>
      <c r="AC4147">
        <v>55</v>
      </c>
      <c r="AD4147">
        <v>0</v>
      </c>
      <c r="AE4147">
        <v>0</v>
      </c>
      <c r="AF4147">
        <v>0</v>
      </c>
      <c r="AG4147">
        <v>0</v>
      </c>
      <c r="AH4147">
        <v>0</v>
      </c>
      <c r="AI4147">
        <v>9.9</v>
      </c>
      <c r="AJ4147">
        <v>55</v>
      </c>
      <c r="AK4147">
        <v>0</v>
      </c>
      <c r="AL4147" t="s">
        <v>53</v>
      </c>
      <c r="AM4147" t="s">
        <v>53</v>
      </c>
      <c r="AN4147" t="s">
        <v>53</v>
      </c>
      <c r="AO4147" t="s">
        <v>53</v>
      </c>
      <c r="AP4147" t="s">
        <v>53</v>
      </c>
    </row>
    <row r="4148" spans="2:42" x14ac:dyDescent="0.2">
      <c r="B4148" t="s">
        <v>44</v>
      </c>
      <c r="C4148" t="str">
        <f>HYPERLINK("https://us2.cloudbeds.com/connect/8493803454333002#/reservations/9080486845762081?display=1TXZR2WBS5&amp;reservation_id=9080486845762081", "1TXZR2WBS5")</f>
        <v>1TXZR2WBS5</v>
      </c>
      <c r="D4148" t="s">
        <v>45</v>
      </c>
      <c r="E4148" t="s">
        <v>69</v>
      </c>
      <c r="F4148" t="s">
        <v>70</v>
      </c>
      <c r="G4148" t="s">
        <v>48</v>
      </c>
      <c r="H4148" t="s">
        <v>49</v>
      </c>
      <c r="I4148" t="s">
        <v>50</v>
      </c>
      <c r="J4148" t="s">
        <v>6699</v>
      </c>
      <c r="K4148" t="s">
        <v>6880</v>
      </c>
      <c r="L4148" t="s">
        <v>53</v>
      </c>
      <c r="N4148" t="s">
        <v>7129</v>
      </c>
      <c r="P4148" t="s">
        <v>58</v>
      </c>
      <c r="R4148" t="s">
        <v>56</v>
      </c>
      <c r="T4148" t="s">
        <v>7130</v>
      </c>
      <c r="U4148" t="s">
        <v>58</v>
      </c>
      <c r="V4148">
        <v>1</v>
      </c>
      <c r="W4148">
        <v>1</v>
      </c>
      <c r="X4148">
        <v>1</v>
      </c>
      <c r="Y4148">
        <v>0</v>
      </c>
      <c r="Z4148">
        <v>1</v>
      </c>
      <c r="AA4148">
        <v>60.01</v>
      </c>
      <c r="AB4148">
        <v>60.01</v>
      </c>
      <c r="AC4148">
        <v>52.8</v>
      </c>
      <c r="AD4148">
        <v>0</v>
      </c>
      <c r="AE4148">
        <v>7.21</v>
      </c>
      <c r="AF4148">
        <v>0</v>
      </c>
      <c r="AG4148">
        <v>0</v>
      </c>
      <c r="AH4148">
        <v>0</v>
      </c>
      <c r="AI4148">
        <v>10.8</v>
      </c>
      <c r="AJ4148">
        <v>60.01</v>
      </c>
      <c r="AK4148">
        <v>0</v>
      </c>
      <c r="AL4148" t="s">
        <v>53</v>
      </c>
      <c r="AM4148" t="s">
        <v>53</v>
      </c>
      <c r="AN4148" t="s">
        <v>53</v>
      </c>
      <c r="AO4148" t="s">
        <v>53</v>
      </c>
      <c r="AP4148" t="s">
        <v>53</v>
      </c>
    </row>
    <row r="4149" spans="2:42" x14ac:dyDescent="0.2">
      <c r="B4149" t="s">
        <v>44</v>
      </c>
      <c r="C4149" t="str">
        <f>HYPERLINK("https://us2.cloudbeds.com/connect/8493803454333002#/reservations/9080486845762298?display=1TJ3JHJXNY&amp;reservation_id=9080486845762298", "1TJ3JHJXNY")</f>
        <v>1TJ3JHJXNY</v>
      </c>
      <c r="D4149" t="s">
        <v>45</v>
      </c>
      <c r="E4149" t="s">
        <v>128</v>
      </c>
      <c r="F4149" t="s">
        <v>86</v>
      </c>
      <c r="G4149" t="s">
        <v>48</v>
      </c>
      <c r="H4149" t="s">
        <v>49</v>
      </c>
      <c r="I4149" t="s">
        <v>62</v>
      </c>
      <c r="J4149" t="s">
        <v>6781</v>
      </c>
      <c r="K4149" t="s">
        <v>6727</v>
      </c>
      <c r="L4149" t="s">
        <v>53</v>
      </c>
      <c r="N4149" t="s">
        <v>7131</v>
      </c>
      <c r="P4149" t="s">
        <v>55</v>
      </c>
      <c r="R4149" t="s">
        <v>56</v>
      </c>
      <c r="T4149" t="s">
        <v>7132</v>
      </c>
      <c r="U4149" t="s">
        <v>55</v>
      </c>
      <c r="V4149">
        <v>1</v>
      </c>
      <c r="W4149">
        <v>1</v>
      </c>
      <c r="X4149">
        <v>2</v>
      </c>
      <c r="Y4149">
        <v>0</v>
      </c>
      <c r="Z4149">
        <v>2</v>
      </c>
      <c r="AA4149">
        <v>57</v>
      </c>
      <c r="AB4149">
        <v>57</v>
      </c>
      <c r="AC4149">
        <v>57</v>
      </c>
      <c r="AD4149">
        <v>0</v>
      </c>
      <c r="AE4149">
        <v>0</v>
      </c>
      <c r="AF4149">
        <v>0</v>
      </c>
      <c r="AG4149">
        <v>0</v>
      </c>
      <c r="AH4149">
        <v>0</v>
      </c>
      <c r="AI4149">
        <v>10.26</v>
      </c>
      <c r="AJ4149">
        <v>57</v>
      </c>
      <c r="AK4149">
        <v>0</v>
      </c>
      <c r="AL4149" t="s">
        <v>53</v>
      </c>
      <c r="AM4149" t="s">
        <v>53</v>
      </c>
      <c r="AN4149" t="s">
        <v>53</v>
      </c>
      <c r="AO4149" t="s">
        <v>53</v>
      </c>
      <c r="AP4149" t="s">
        <v>53</v>
      </c>
    </row>
    <row r="4150" spans="2:42" x14ac:dyDescent="0.2">
      <c r="B4150" t="s">
        <v>44</v>
      </c>
      <c r="C4150" t="str">
        <f>HYPERLINK("https://us2.cloudbeds.com/connect/8493803454333002#/reservations/9080486845762504?display=1TJCWV4EVZ&amp;reservation_id=9080486845762504", "1TJCWV4EVZ")</f>
        <v>1TJCWV4EVZ</v>
      </c>
      <c r="D4150" t="s">
        <v>45</v>
      </c>
      <c r="E4150" t="s">
        <v>138</v>
      </c>
      <c r="F4150" t="s">
        <v>70</v>
      </c>
      <c r="G4150" t="s">
        <v>48</v>
      </c>
      <c r="H4150" t="s">
        <v>49</v>
      </c>
      <c r="I4150" t="s">
        <v>50</v>
      </c>
      <c r="J4150" t="s">
        <v>6619</v>
      </c>
      <c r="K4150" t="s">
        <v>6753</v>
      </c>
      <c r="L4150" t="s">
        <v>53</v>
      </c>
      <c r="N4150" t="s">
        <v>7133</v>
      </c>
      <c r="P4150" t="s">
        <v>55</v>
      </c>
      <c r="R4150" t="s">
        <v>53</v>
      </c>
      <c r="T4150" t="s">
        <v>7134</v>
      </c>
      <c r="U4150" t="s">
        <v>58</v>
      </c>
      <c r="V4150">
        <v>1</v>
      </c>
      <c r="W4150">
        <v>1</v>
      </c>
      <c r="X4150">
        <v>1</v>
      </c>
      <c r="Y4150">
        <v>0</v>
      </c>
      <c r="Z4150">
        <v>1</v>
      </c>
      <c r="AA4150">
        <v>48.3</v>
      </c>
      <c r="AB4150">
        <v>48.3</v>
      </c>
      <c r="AC4150">
        <v>42.5</v>
      </c>
      <c r="AD4150">
        <v>0</v>
      </c>
      <c r="AE4150">
        <v>5.8</v>
      </c>
      <c r="AF4150">
        <v>0</v>
      </c>
      <c r="AG4150">
        <v>0</v>
      </c>
      <c r="AH4150">
        <v>0</v>
      </c>
      <c r="AI4150">
        <v>8.69</v>
      </c>
      <c r="AJ4150">
        <v>48.3</v>
      </c>
      <c r="AK4150">
        <v>0</v>
      </c>
      <c r="AL4150" t="s">
        <v>53</v>
      </c>
      <c r="AM4150" t="s">
        <v>53</v>
      </c>
      <c r="AN4150" t="s">
        <v>53</v>
      </c>
      <c r="AO4150" t="s">
        <v>53</v>
      </c>
      <c r="AP4150" t="s">
        <v>53</v>
      </c>
    </row>
    <row r="4151" spans="2:42" x14ac:dyDescent="0.2">
      <c r="B4151" t="s">
        <v>44</v>
      </c>
      <c r="C4151" t="str">
        <f>HYPERLINK("https://us2.cloudbeds.com/connect/8493803454333002#/reservations/9080486845762505?display=1TJD5Z4CV5&amp;reservation_id=9080486845762505", "1TJD5Z4CV5")</f>
        <v>1TJD5Z4CV5</v>
      </c>
      <c r="D4151" t="s">
        <v>45</v>
      </c>
      <c r="E4151" t="s">
        <v>69</v>
      </c>
      <c r="F4151" t="s">
        <v>70</v>
      </c>
      <c r="G4151" t="s">
        <v>48</v>
      </c>
      <c r="H4151" t="s">
        <v>49</v>
      </c>
      <c r="I4151" t="s">
        <v>50</v>
      </c>
      <c r="J4151" t="s">
        <v>6619</v>
      </c>
      <c r="K4151" t="s">
        <v>6753</v>
      </c>
      <c r="L4151" t="s">
        <v>53</v>
      </c>
      <c r="N4151" t="s">
        <v>7135</v>
      </c>
      <c r="P4151" t="s">
        <v>55</v>
      </c>
      <c r="R4151" t="s">
        <v>53</v>
      </c>
      <c r="T4151" t="s">
        <v>7136</v>
      </c>
      <c r="U4151" t="s">
        <v>58</v>
      </c>
      <c r="V4151">
        <v>1</v>
      </c>
      <c r="W4151">
        <v>1</v>
      </c>
      <c r="X4151">
        <v>1</v>
      </c>
      <c r="Y4151">
        <v>0</v>
      </c>
      <c r="Z4151">
        <v>1</v>
      </c>
      <c r="AA4151">
        <v>48.3</v>
      </c>
      <c r="AB4151">
        <v>48.3</v>
      </c>
      <c r="AC4151">
        <v>42.5</v>
      </c>
      <c r="AD4151">
        <v>0</v>
      </c>
      <c r="AE4151">
        <v>5.8</v>
      </c>
      <c r="AF4151">
        <v>0</v>
      </c>
      <c r="AG4151">
        <v>0</v>
      </c>
      <c r="AH4151">
        <v>0</v>
      </c>
      <c r="AI4151">
        <v>8.69</v>
      </c>
      <c r="AJ4151">
        <v>48.3</v>
      </c>
      <c r="AK4151">
        <v>0</v>
      </c>
      <c r="AL4151" t="s">
        <v>53</v>
      </c>
      <c r="AM4151" t="s">
        <v>53</v>
      </c>
      <c r="AN4151" t="s">
        <v>53</v>
      </c>
      <c r="AO4151" t="s">
        <v>53</v>
      </c>
      <c r="AP4151" t="s">
        <v>53</v>
      </c>
    </row>
    <row r="4152" spans="2:42" x14ac:dyDescent="0.2">
      <c r="B4152" t="s">
        <v>44</v>
      </c>
      <c r="C4152" t="str">
        <f>HYPERLINK("https://us2.cloudbeds.com/connect/8493803454333002#/reservations/9080486845762690?display=1TJMMEJTCG&amp;reservation_id=9080486845762690", "1TJMMEJTCG")</f>
        <v>1TJMMEJTCG</v>
      </c>
      <c r="D4152" t="s">
        <v>45</v>
      </c>
      <c r="E4152" t="s">
        <v>78</v>
      </c>
      <c r="F4152" t="s">
        <v>61</v>
      </c>
      <c r="G4152" t="s">
        <v>48</v>
      </c>
      <c r="H4152" t="s">
        <v>49</v>
      </c>
      <c r="I4152" t="s">
        <v>50</v>
      </c>
      <c r="J4152" t="s">
        <v>6801</v>
      </c>
      <c r="K4152" t="s">
        <v>6726</v>
      </c>
      <c r="L4152" t="s">
        <v>53</v>
      </c>
      <c r="N4152" t="s">
        <v>7137</v>
      </c>
      <c r="P4152" t="s">
        <v>55</v>
      </c>
      <c r="R4152" t="s">
        <v>53</v>
      </c>
      <c r="T4152" t="s">
        <v>7138</v>
      </c>
      <c r="U4152" t="s">
        <v>58</v>
      </c>
      <c r="V4152">
        <v>1</v>
      </c>
      <c r="W4152">
        <v>1</v>
      </c>
      <c r="X4152">
        <v>2</v>
      </c>
      <c r="Y4152">
        <v>0</v>
      </c>
      <c r="Z4152">
        <v>2</v>
      </c>
      <c r="AA4152">
        <v>64.72</v>
      </c>
      <c r="AB4152">
        <v>64.72</v>
      </c>
      <c r="AC4152">
        <v>56.95</v>
      </c>
      <c r="AD4152">
        <v>0</v>
      </c>
      <c r="AE4152">
        <v>7.77</v>
      </c>
      <c r="AF4152">
        <v>0</v>
      </c>
      <c r="AG4152">
        <v>0</v>
      </c>
      <c r="AH4152">
        <v>0</v>
      </c>
      <c r="AI4152">
        <v>11.65</v>
      </c>
      <c r="AJ4152">
        <v>64.72</v>
      </c>
      <c r="AK4152">
        <v>0</v>
      </c>
      <c r="AL4152" t="s">
        <v>53</v>
      </c>
      <c r="AM4152" t="s">
        <v>53</v>
      </c>
      <c r="AN4152" t="s">
        <v>53</v>
      </c>
      <c r="AO4152" t="s">
        <v>53</v>
      </c>
      <c r="AP4152" t="s">
        <v>53</v>
      </c>
    </row>
    <row r="4153" spans="2:42" x14ac:dyDescent="0.2">
      <c r="B4153" t="s">
        <v>44</v>
      </c>
      <c r="C4153" t="str">
        <f>HYPERLINK("https://us2.cloudbeds.com/connect/8493803454333002#/reservations/88049457311950?display=1TJWQNM27C&amp;reservation_id=88049457311950", "1TJWQNM27C")</f>
        <v>1TJWQNM27C</v>
      </c>
      <c r="D4153" t="s">
        <v>45</v>
      </c>
      <c r="E4153" t="s">
        <v>165</v>
      </c>
      <c r="F4153" t="s">
        <v>61</v>
      </c>
      <c r="G4153" t="s">
        <v>48</v>
      </c>
      <c r="H4153" t="s">
        <v>3957</v>
      </c>
      <c r="I4153" t="s">
        <v>3989</v>
      </c>
      <c r="J4153" t="s">
        <v>6726</v>
      </c>
      <c r="K4153" t="s">
        <v>6781</v>
      </c>
      <c r="L4153" t="s">
        <v>53</v>
      </c>
      <c r="P4153" t="s">
        <v>58</v>
      </c>
      <c r="R4153" t="s">
        <v>56</v>
      </c>
      <c r="T4153" t="s">
        <v>7139</v>
      </c>
      <c r="U4153" t="s">
        <v>58</v>
      </c>
      <c r="V4153">
        <v>1</v>
      </c>
      <c r="W4153">
        <v>1</v>
      </c>
      <c r="X4153">
        <v>1</v>
      </c>
      <c r="Y4153">
        <v>0</v>
      </c>
      <c r="Z4153">
        <v>1</v>
      </c>
      <c r="AA4153">
        <v>69.33</v>
      </c>
      <c r="AB4153">
        <v>69.33</v>
      </c>
      <c r="AC4153">
        <v>61</v>
      </c>
      <c r="AD4153">
        <v>0</v>
      </c>
      <c r="AE4153">
        <v>8.33</v>
      </c>
      <c r="AF4153">
        <v>0</v>
      </c>
      <c r="AG4153">
        <v>0</v>
      </c>
      <c r="AH4153">
        <v>0</v>
      </c>
      <c r="AI4153">
        <v>0</v>
      </c>
      <c r="AJ4153">
        <v>69.33</v>
      </c>
      <c r="AK4153">
        <v>0</v>
      </c>
      <c r="AL4153" t="s">
        <v>53</v>
      </c>
      <c r="AM4153" t="s">
        <v>53</v>
      </c>
      <c r="AN4153" t="s">
        <v>53</v>
      </c>
      <c r="AO4153" t="s">
        <v>53</v>
      </c>
      <c r="AP4153" t="s">
        <v>53</v>
      </c>
    </row>
    <row r="4154" spans="2:42" x14ac:dyDescent="0.2">
      <c r="B4154" t="s">
        <v>44</v>
      </c>
      <c r="C4154" t="str">
        <f>HYPERLINK("https://us2.cloudbeds.com/connect/8493803454333002#/reservations/9080486845762954?display=1TK4AB7UUS&amp;reservation_id=9080486845762954", "1TK4AB7UUS")</f>
        <v>1TK4AB7UUS</v>
      </c>
      <c r="D4154" t="s">
        <v>45</v>
      </c>
      <c r="E4154" t="s">
        <v>128</v>
      </c>
      <c r="F4154" t="s">
        <v>86</v>
      </c>
      <c r="G4154" t="s">
        <v>48</v>
      </c>
      <c r="H4154" t="s">
        <v>49</v>
      </c>
      <c r="I4154" t="s">
        <v>50</v>
      </c>
      <c r="J4154" t="s">
        <v>6488</v>
      </c>
      <c r="K4154" t="s">
        <v>6416</v>
      </c>
      <c r="L4154" t="s">
        <v>53</v>
      </c>
      <c r="N4154" t="s">
        <v>7140</v>
      </c>
      <c r="P4154" t="s">
        <v>55</v>
      </c>
      <c r="R4154" t="s">
        <v>53</v>
      </c>
      <c r="T4154" t="s">
        <v>7141</v>
      </c>
      <c r="U4154" t="s">
        <v>58</v>
      </c>
      <c r="V4154">
        <v>2</v>
      </c>
      <c r="W4154">
        <v>1</v>
      </c>
      <c r="X4154">
        <v>4</v>
      </c>
      <c r="Y4154">
        <v>0</v>
      </c>
      <c r="Z4154">
        <v>4</v>
      </c>
      <c r="AA4154">
        <v>346.74</v>
      </c>
      <c r="AB4154">
        <v>346.74</v>
      </c>
      <c r="AC4154">
        <v>305.10000000000002</v>
      </c>
      <c r="AD4154">
        <v>0</v>
      </c>
      <c r="AE4154">
        <v>41.64</v>
      </c>
      <c r="AF4154">
        <v>0</v>
      </c>
      <c r="AG4154">
        <v>0</v>
      </c>
      <c r="AH4154">
        <v>0</v>
      </c>
      <c r="AI4154">
        <v>62.41</v>
      </c>
      <c r="AJ4154">
        <v>346.74</v>
      </c>
      <c r="AK4154">
        <v>0</v>
      </c>
      <c r="AL4154" t="s">
        <v>53</v>
      </c>
      <c r="AM4154" t="s">
        <v>53</v>
      </c>
      <c r="AN4154" t="s">
        <v>53</v>
      </c>
      <c r="AO4154" t="s">
        <v>53</v>
      </c>
      <c r="AP4154" t="s">
        <v>53</v>
      </c>
    </row>
    <row r="4155" spans="2:42" x14ac:dyDescent="0.2">
      <c r="B4155" t="s">
        <v>44</v>
      </c>
      <c r="C4155" t="str">
        <f>HYPERLINK("https://us2.cloudbeds.com/connect/8493803454333002#/reservations/9080486845763197?display=1TKX4005RJ&amp;reservation_id=9080486845763197", "1TKX4005RJ")</f>
        <v>1TKX4005RJ</v>
      </c>
      <c r="D4155" t="s">
        <v>45</v>
      </c>
      <c r="E4155" t="s">
        <v>155</v>
      </c>
      <c r="F4155" t="s">
        <v>86</v>
      </c>
      <c r="G4155" t="s">
        <v>48</v>
      </c>
      <c r="H4155" t="s">
        <v>49</v>
      </c>
      <c r="I4155" t="s">
        <v>50</v>
      </c>
      <c r="J4155" t="s">
        <v>6233</v>
      </c>
      <c r="K4155" t="s">
        <v>4158</v>
      </c>
      <c r="L4155" t="s">
        <v>53</v>
      </c>
      <c r="N4155" t="s">
        <v>7142</v>
      </c>
      <c r="P4155" t="s">
        <v>55</v>
      </c>
      <c r="R4155" t="s">
        <v>53</v>
      </c>
      <c r="T4155" t="s">
        <v>7143</v>
      </c>
      <c r="U4155" t="s">
        <v>58</v>
      </c>
      <c r="V4155">
        <v>1</v>
      </c>
      <c r="W4155">
        <v>1</v>
      </c>
      <c r="X4155">
        <v>2</v>
      </c>
      <c r="Y4155">
        <v>0</v>
      </c>
      <c r="Z4155">
        <v>2</v>
      </c>
      <c r="AA4155">
        <v>103.31</v>
      </c>
      <c r="AB4155">
        <v>103.31</v>
      </c>
      <c r="AC4155">
        <v>90.9</v>
      </c>
      <c r="AD4155">
        <v>0</v>
      </c>
      <c r="AE4155">
        <v>12.41</v>
      </c>
      <c r="AF4155">
        <v>0</v>
      </c>
      <c r="AG4155">
        <v>0</v>
      </c>
      <c r="AH4155">
        <v>0</v>
      </c>
      <c r="AI4155">
        <v>18.600000000000001</v>
      </c>
      <c r="AJ4155">
        <v>103.31</v>
      </c>
      <c r="AK4155">
        <v>0</v>
      </c>
      <c r="AL4155" t="s">
        <v>53</v>
      </c>
      <c r="AM4155" t="s">
        <v>53</v>
      </c>
      <c r="AN4155" t="s">
        <v>53</v>
      </c>
      <c r="AO4155" t="s">
        <v>53</v>
      </c>
      <c r="AP4155" t="s">
        <v>53</v>
      </c>
    </row>
    <row r="4156" spans="2:42" x14ac:dyDescent="0.2">
      <c r="B4156" t="s">
        <v>44</v>
      </c>
      <c r="C4156" t="str">
        <f>HYPERLINK("https://us2.cloudbeds.com/connect/8493803454333002#/reservations/9080486845763373?display=1TKS84CXTM&amp;reservation_id=9080486845763373", "1TKS84CXTM")</f>
        <v>1TKS84CXTM</v>
      </c>
      <c r="D4156" t="s">
        <v>45</v>
      </c>
      <c r="E4156" t="s">
        <v>190</v>
      </c>
      <c r="F4156" t="s">
        <v>61</v>
      </c>
      <c r="G4156" t="s">
        <v>48</v>
      </c>
      <c r="H4156" t="s">
        <v>49</v>
      </c>
      <c r="I4156" t="s">
        <v>62</v>
      </c>
      <c r="J4156" t="s">
        <v>7144</v>
      </c>
      <c r="K4156" t="s">
        <v>6813</v>
      </c>
      <c r="L4156" t="s">
        <v>53</v>
      </c>
      <c r="N4156" t="s">
        <v>7145</v>
      </c>
      <c r="P4156" t="s">
        <v>55</v>
      </c>
      <c r="R4156" t="s">
        <v>56</v>
      </c>
      <c r="T4156" t="s">
        <v>7146</v>
      </c>
      <c r="U4156" t="s">
        <v>55</v>
      </c>
      <c r="V4156">
        <v>1</v>
      </c>
      <c r="W4156">
        <v>1</v>
      </c>
      <c r="X4156">
        <v>2</v>
      </c>
      <c r="Y4156">
        <v>0</v>
      </c>
      <c r="Z4156">
        <v>2</v>
      </c>
      <c r="AA4156">
        <v>55</v>
      </c>
      <c r="AB4156">
        <v>55</v>
      </c>
      <c r="AC4156">
        <v>55</v>
      </c>
      <c r="AD4156">
        <v>0</v>
      </c>
      <c r="AE4156">
        <v>0</v>
      </c>
      <c r="AF4156">
        <v>0</v>
      </c>
      <c r="AG4156">
        <v>0</v>
      </c>
      <c r="AH4156">
        <v>0</v>
      </c>
      <c r="AI4156">
        <v>9.9</v>
      </c>
      <c r="AJ4156">
        <v>55</v>
      </c>
      <c r="AK4156">
        <v>0</v>
      </c>
      <c r="AL4156" t="s">
        <v>53</v>
      </c>
      <c r="AM4156" t="s">
        <v>53</v>
      </c>
      <c r="AN4156" t="s">
        <v>53</v>
      </c>
      <c r="AO4156" t="s">
        <v>53</v>
      </c>
      <c r="AP4156" t="s">
        <v>53</v>
      </c>
    </row>
    <row r="4157" spans="2:42" x14ac:dyDescent="0.2">
      <c r="B4157" t="s">
        <v>44</v>
      </c>
      <c r="C4157" t="str">
        <f>HYPERLINK("https://us2.cloudbeds.com/connect/8493803454333002#/reservations/9080486845763421?display=1TKUWBAJUP&amp;reservation_id=9080486845763421", "1TKUWBAJUP")</f>
        <v>1TKUWBAJUP</v>
      </c>
      <c r="D4157" t="s">
        <v>45</v>
      </c>
      <c r="E4157" t="s">
        <v>78</v>
      </c>
      <c r="F4157" t="s">
        <v>61</v>
      </c>
      <c r="G4157" t="s">
        <v>48</v>
      </c>
      <c r="H4157" t="s">
        <v>49</v>
      </c>
      <c r="I4157" t="s">
        <v>50</v>
      </c>
      <c r="J4157" t="s">
        <v>7109</v>
      </c>
      <c r="K4157" t="s">
        <v>6877</v>
      </c>
      <c r="L4157" t="s">
        <v>53</v>
      </c>
      <c r="N4157" t="s">
        <v>7147</v>
      </c>
      <c r="P4157" t="s">
        <v>55</v>
      </c>
      <c r="R4157" t="s">
        <v>53</v>
      </c>
      <c r="T4157" t="s">
        <v>7148</v>
      </c>
      <c r="U4157" t="s">
        <v>58</v>
      </c>
      <c r="V4157">
        <v>1</v>
      </c>
      <c r="W4157">
        <v>1</v>
      </c>
      <c r="X4157">
        <v>2</v>
      </c>
      <c r="Y4157">
        <v>0</v>
      </c>
      <c r="Z4157">
        <v>2</v>
      </c>
      <c r="AA4157">
        <v>96.14</v>
      </c>
      <c r="AB4157">
        <v>96.14</v>
      </c>
      <c r="AC4157">
        <v>84.6</v>
      </c>
      <c r="AD4157">
        <v>0</v>
      </c>
      <c r="AE4157">
        <v>11.54</v>
      </c>
      <c r="AF4157">
        <v>0</v>
      </c>
      <c r="AG4157">
        <v>0</v>
      </c>
      <c r="AH4157">
        <v>0</v>
      </c>
      <c r="AI4157">
        <v>17.309999999999999</v>
      </c>
      <c r="AJ4157">
        <v>96.14</v>
      </c>
      <c r="AK4157">
        <v>0</v>
      </c>
      <c r="AL4157" t="s">
        <v>53</v>
      </c>
      <c r="AM4157" t="s">
        <v>53</v>
      </c>
      <c r="AN4157" t="s">
        <v>53</v>
      </c>
      <c r="AO4157" t="s">
        <v>53</v>
      </c>
      <c r="AP4157" t="s">
        <v>53</v>
      </c>
    </row>
    <row r="4158" spans="2:42" x14ac:dyDescent="0.2">
      <c r="B4158" t="s">
        <v>44</v>
      </c>
      <c r="C4158" t="str">
        <f>HYPERLINK("https://us2.cloudbeds.com/connect/8493803454333002#/reservations/9080486845763619?display=1TYBF9DJ1Y&amp;reservation_id=9080486845763619", "1TYBF9DJ1Y")</f>
        <v>1TYBF9DJ1Y</v>
      </c>
      <c r="D4158" t="s">
        <v>45</v>
      </c>
      <c r="E4158" t="s">
        <v>78</v>
      </c>
      <c r="F4158" t="s">
        <v>61</v>
      </c>
      <c r="G4158" t="s">
        <v>48</v>
      </c>
      <c r="H4158" t="s">
        <v>49</v>
      </c>
      <c r="I4158" t="s">
        <v>50</v>
      </c>
      <c r="J4158" t="s">
        <v>6807</v>
      </c>
      <c r="K4158" t="s">
        <v>6233</v>
      </c>
      <c r="L4158" t="s">
        <v>53</v>
      </c>
      <c r="N4158" t="s">
        <v>7149</v>
      </c>
      <c r="P4158" t="s">
        <v>55</v>
      </c>
      <c r="R4158" t="s">
        <v>53</v>
      </c>
      <c r="T4158" t="s">
        <v>7150</v>
      </c>
      <c r="U4158" t="s">
        <v>58</v>
      </c>
      <c r="V4158">
        <v>2</v>
      </c>
      <c r="W4158">
        <v>1</v>
      </c>
      <c r="X4158">
        <v>2</v>
      </c>
      <c r="Y4158">
        <v>0</v>
      </c>
      <c r="Z4158">
        <v>2</v>
      </c>
      <c r="AA4158">
        <v>365.5</v>
      </c>
      <c r="AB4158">
        <v>365.5</v>
      </c>
      <c r="AC4158">
        <v>321.60000000000002</v>
      </c>
      <c r="AD4158">
        <v>0</v>
      </c>
      <c r="AE4158">
        <v>43.9</v>
      </c>
      <c r="AF4158">
        <v>0</v>
      </c>
      <c r="AG4158">
        <v>0</v>
      </c>
      <c r="AH4158">
        <v>0</v>
      </c>
      <c r="AI4158">
        <v>65.790000000000006</v>
      </c>
      <c r="AJ4158">
        <v>365.5</v>
      </c>
      <c r="AK4158">
        <v>0</v>
      </c>
      <c r="AL4158" t="s">
        <v>53</v>
      </c>
      <c r="AM4158" t="s">
        <v>53</v>
      </c>
      <c r="AN4158" t="s">
        <v>53</v>
      </c>
      <c r="AO4158" t="s">
        <v>53</v>
      </c>
      <c r="AP4158" t="s">
        <v>53</v>
      </c>
    </row>
    <row r="4159" spans="2:42" x14ac:dyDescent="0.2">
      <c r="B4159" t="s">
        <v>44</v>
      </c>
      <c r="C4159" t="str">
        <f>HYPERLINK("https://us2.cloudbeds.com/connect/8493803454333002#/reservations/88115381203081?display=1TYHS7EH20&amp;reservation_id=88115381203081", "1TYHS7EH20")</f>
        <v>1TYHS7EH20</v>
      </c>
      <c r="D4159" t="s">
        <v>45</v>
      </c>
      <c r="E4159" t="s">
        <v>85</v>
      </c>
      <c r="F4159" t="s">
        <v>86</v>
      </c>
      <c r="G4159" t="s">
        <v>48</v>
      </c>
      <c r="H4159" t="s">
        <v>3957</v>
      </c>
      <c r="I4159" t="s">
        <v>3975</v>
      </c>
      <c r="J4159" t="s">
        <v>7151</v>
      </c>
      <c r="K4159" t="s">
        <v>7152</v>
      </c>
      <c r="L4159" t="s">
        <v>53</v>
      </c>
      <c r="P4159" t="s">
        <v>55</v>
      </c>
      <c r="R4159" t="s">
        <v>53</v>
      </c>
      <c r="T4159" t="s">
        <v>7153</v>
      </c>
      <c r="U4159" t="s">
        <v>58</v>
      </c>
      <c r="V4159">
        <v>3</v>
      </c>
      <c r="W4159">
        <v>1</v>
      </c>
      <c r="X4159">
        <v>2</v>
      </c>
      <c r="Y4159">
        <v>1</v>
      </c>
      <c r="Z4159">
        <v>3</v>
      </c>
      <c r="AA4159">
        <v>1054.69</v>
      </c>
      <c r="AB4159">
        <v>1054.69</v>
      </c>
      <c r="AC4159">
        <v>928</v>
      </c>
      <c r="AD4159">
        <v>0</v>
      </c>
      <c r="AE4159">
        <v>126.69</v>
      </c>
      <c r="AF4159">
        <v>0</v>
      </c>
      <c r="AG4159">
        <v>0</v>
      </c>
      <c r="AH4159">
        <v>0</v>
      </c>
      <c r="AI4159">
        <v>0</v>
      </c>
      <c r="AJ4159">
        <v>1054.69</v>
      </c>
      <c r="AK4159">
        <v>0</v>
      </c>
      <c r="AL4159" t="s">
        <v>53</v>
      </c>
      <c r="AM4159" t="s">
        <v>53</v>
      </c>
      <c r="AN4159" t="s">
        <v>53</v>
      </c>
      <c r="AO4159" t="s">
        <v>53</v>
      </c>
      <c r="AP4159" t="s">
        <v>53</v>
      </c>
    </row>
    <row r="4160" spans="2:42" x14ac:dyDescent="0.2">
      <c r="B4160" t="s">
        <v>44</v>
      </c>
      <c r="C4160" t="str">
        <f>HYPERLINK("https://us2.cloudbeds.com/connect/8493803454333002#/reservations/9080486845763994?display=1TM69PEWNM&amp;reservation_id=9080486845763994", "1TM69PEWNM")</f>
        <v>1TM69PEWNM</v>
      </c>
      <c r="D4160" t="s">
        <v>45</v>
      </c>
      <c r="E4160" t="s">
        <v>305</v>
      </c>
      <c r="F4160" t="s">
        <v>61</v>
      </c>
      <c r="G4160" t="s">
        <v>48</v>
      </c>
      <c r="H4160" t="s">
        <v>49</v>
      </c>
      <c r="I4160" t="s">
        <v>50</v>
      </c>
      <c r="J4160" t="s">
        <v>5518</v>
      </c>
      <c r="K4160" t="s">
        <v>6888</v>
      </c>
      <c r="L4160" t="s">
        <v>53</v>
      </c>
      <c r="N4160" t="s">
        <v>7154</v>
      </c>
      <c r="P4160" t="s">
        <v>55</v>
      </c>
      <c r="R4160" t="s">
        <v>53</v>
      </c>
      <c r="T4160" t="s">
        <v>7155</v>
      </c>
      <c r="U4160" t="s">
        <v>58</v>
      </c>
      <c r="V4160">
        <v>3</v>
      </c>
      <c r="W4160">
        <v>1</v>
      </c>
      <c r="X4160">
        <v>2</v>
      </c>
      <c r="Y4160">
        <v>0</v>
      </c>
      <c r="Z4160">
        <v>2</v>
      </c>
      <c r="AA4160">
        <v>165.21</v>
      </c>
      <c r="AB4160">
        <v>165.21</v>
      </c>
      <c r="AC4160">
        <v>145.35</v>
      </c>
      <c r="AD4160">
        <v>0</v>
      </c>
      <c r="AE4160">
        <v>19.86</v>
      </c>
      <c r="AF4160">
        <v>0</v>
      </c>
      <c r="AG4160">
        <v>0</v>
      </c>
      <c r="AH4160">
        <v>0</v>
      </c>
      <c r="AI4160">
        <v>29.74</v>
      </c>
      <c r="AJ4160">
        <v>165.21</v>
      </c>
      <c r="AK4160">
        <v>0</v>
      </c>
      <c r="AL4160" t="s">
        <v>53</v>
      </c>
      <c r="AM4160" t="s">
        <v>53</v>
      </c>
      <c r="AN4160" t="s">
        <v>53</v>
      </c>
      <c r="AO4160" t="s">
        <v>53</v>
      </c>
      <c r="AP4160" t="s">
        <v>53</v>
      </c>
    </row>
    <row r="4161" spans="2:42" x14ac:dyDescent="0.2">
      <c r="B4161" t="s">
        <v>44</v>
      </c>
      <c r="C4161" t="str">
        <f>HYPERLINK("https://us2.cloudbeds.com/connect/8493803454333002#/reservations/88147468017838?display=1TM9N3TEDU&amp;reservation_id=88147468017838", "1TM9N3TEDU")</f>
        <v>1TM9N3TEDU</v>
      </c>
      <c r="D4161" t="s">
        <v>45</v>
      </c>
      <c r="E4161" t="s">
        <v>381</v>
      </c>
      <c r="F4161" t="s">
        <v>47</v>
      </c>
      <c r="G4161" t="s">
        <v>48</v>
      </c>
      <c r="H4161" t="s">
        <v>3957</v>
      </c>
      <c r="I4161" t="s">
        <v>3958</v>
      </c>
      <c r="J4161" t="s">
        <v>6880</v>
      </c>
      <c r="K4161" t="s">
        <v>6529</v>
      </c>
      <c r="L4161" t="s">
        <v>53</v>
      </c>
      <c r="P4161" t="s">
        <v>58</v>
      </c>
      <c r="R4161" t="s">
        <v>56</v>
      </c>
      <c r="T4161" t="s">
        <v>7156</v>
      </c>
      <c r="U4161" t="s">
        <v>58</v>
      </c>
      <c r="V4161">
        <v>1</v>
      </c>
      <c r="W4161">
        <v>1</v>
      </c>
      <c r="X4161">
        <v>1</v>
      </c>
      <c r="Y4161">
        <v>0</v>
      </c>
      <c r="Z4161">
        <v>1</v>
      </c>
      <c r="AA4161">
        <v>63.64</v>
      </c>
      <c r="AB4161">
        <v>63.64</v>
      </c>
      <c r="AC4161">
        <v>56</v>
      </c>
      <c r="AD4161">
        <v>0</v>
      </c>
      <c r="AE4161">
        <v>7.64</v>
      </c>
      <c r="AF4161">
        <v>0</v>
      </c>
      <c r="AG4161">
        <v>0</v>
      </c>
      <c r="AH4161">
        <v>0</v>
      </c>
      <c r="AI4161">
        <v>0</v>
      </c>
      <c r="AJ4161">
        <v>63.64</v>
      </c>
      <c r="AK4161">
        <v>0</v>
      </c>
      <c r="AL4161" t="s">
        <v>53</v>
      </c>
      <c r="AM4161" t="s">
        <v>53</v>
      </c>
      <c r="AN4161" t="s">
        <v>53</v>
      </c>
      <c r="AO4161" t="s">
        <v>53</v>
      </c>
      <c r="AP4161" t="s">
        <v>53</v>
      </c>
    </row>
    <row r="4162" spans="2:42" x14ac:dyDescent="0.2">
      <c r="B4162" t="s">
        <v>44</v>
      </c>
      <c r="C4162" t="str">
        <f>HYPERLINK("https://us2.cloudbeds.com/connect/8493803454333002#/reservations/9080486845764166?display=1TMYY4RK5A&amp;reservation_id=9080486845764166", "1TMYY4RK5A")</f>
        <v>1TMYY4RK5A</v>
      </c>
      <c r="D4162" t="s">
        <v>45</v>
      </c>
      <c r="E4162" t="s">
        <v>98</v>
      </c>
      <c r="F4162" t="s">
        <v>86</v>
      </c>
      <c r="G4162" t="s">
        <v>48</v>
      </c>
      <c r="H4162" t="s">
        <v>49</v>
      </c>
      <c r="I4162" t="s">
        <v>62</v>
      </c>
      <c r="J4162" t="s">
        <v>6781</v>
      </c>
      <c r="K4162" t="s">
        <v>6727</v>
      </c>
      <c r="L4162" t="s">
        <v>53</v>
      </c>
      <c r="N4162" t="s">
        <v>7157</v>
      </c>
      <c r="P4162" t="s">
        <v>55</v>
      </c>
      <c r="R4162" t="s">
        <v>56</v>
      </c>
      <c r="T4162" t="s">
        <v>7158</v>
      </c>
      <c r="U4162" t="s">
        <v>55</v>
      </c>
      <c r="V4162">
        <v>1</v>
      </c>
      <c r="W4162">
        <v>1</v>
      </c>
      <c r="X4162">
        <v>4</v>
      </c>
      <c r="Y4162">
        <v>0</v>
      </c>
      <c r="Z4162">
        <v>4</v>
      </c>
      <c r="AA4162">
        <v>54.15</v>
      </c>
      <c r="AB4162">
        <v>54.15</v>
      </c>
      <c r="AC4162">
        <v>54.15</v>
      </c>
      <c r="AD4162">
        <v>0</v>
      </c>
      <c r="AE4162">
        <v>0</v>
      </c>
      <c r="AF4162">
        <v>0</v>
      </c>
      <c r="AG4162">
        <v>0</v>
      </c>
      <c r="AH4162">
        <v>0</v>
      </c>
      <c r="AI4162">
        <v>9.75</v>
      </c>
      <c r="AJ4162">
        <v>54.15</v>
      </c>
      <c r="AK4162">
        <v>0</v>
      </c>
      <c r="AL4162" t="s">
        <v>53</v>
      </c>
      <c r="AM4162" t="s">
        <v>53</v>
      </c>
      <c r="AN4162" t="s">
        <v>53</v>
      </c>
      <c r="AO4162" t="s">
        <v>53</v>
      </c>
      <c r="AP4162" t="s">
        <v>53</v>
      </c>
    </row>
    <row r="4163" spans="2:42" x14ac:dyDescent="0.2">
      <c r="B4163" t="s">
        <v>44</v>
      </c>
      <c r="C4163" t="str">
        <f>HYPERLINK("https://us2.cloudbeds.com/connect/8493803454333002#/reservations/9080486845764189?display=1TMNC9ZRES&amp;reservation_id=9080486845764189", "1TMNC9ZRES")</f>
        <v>1TMNC9ZRES</v>
      </c>
      <c r="D4163" t="s">
        <v>45</v>
      </c>
      <c r="E4163" t="s">
        <v>223</v>
      </c>
      <c r="F4163" t="s">
        <v>47</v>
      </c>
      <c r="G4163" t="s">
        <v>48</v>
      </c>
      <c r="H4163" t="s">
        <v>49</v>
      </c>
      <c r="I4163" t="s">
        <v>50</v>
      </c>
      <c r="J4163" t="s">
        <v>6726</v>
      </c>
      <c r="K4163" t="s">
        <v>6727</v>
      </c>
      <c r="L4163" t="s">
        <v>53</v>
      </c>
      <c r="N4163" t="s">
        <v>7159</v>
      </c>
      <c r="P4163" t="s">
        <v>55</v>
      </c>
      <c r="R4163" t="s">
        <v>53</v>
      </c>
      <c r="T4163" t="s">
        <v>7160</v>
      </c>
      <c r="U4163" t="s">
        <v>58</v>
      </c>
      <c r="V4163">
        <v>2</v>
      </c>
      <c r="W4163">
        <v>1</v>
      </c>
      <c r="X4163">
        <v>2</v>
      </c>
      <c r="Y4163">
        <v>0</v>
      </c>
      <c r="Z4163">
        <v>2</v>
      </c>
      <c r="AA4163">
        <v>112.06</v>
      </c>
      <c r="AB4163">
        <v>112.06</v>
      </c>
      <c r="AC4163">
        <v>98.6</v>
      </c>
      <c r="AD4163">
        <v>0</v>
      </c>
      <c r="AE4163">
        <v>13.46</v>
      </c>
      <c r="AF4163">
        <v>0</v>
      </c>
      <c r="AG4163">
        <v>0</v>
      </c>
      <c r="AH4163">
        <v>0</v>
      </c>
      <c r="AI4163">
        <v>20.170000000000002</v>
      </c>
      <c r="AJ4163">
        <v>112.06</v>
      </c>
      <c r="AK4163">
        <v>0</v>
      </c>
      <c r="AL4163" t="s">
        <v>53</v>
      </c>
      <c r="AM4163" t="s">
        <v>53</v>
      </c>
      <c r="AN4163" t="s">
        <v>53</v>
      </c>
      <c r="AO4163" t="s">
        <v>53</v>
      </c>
      <c r="AP4163" t="s">
        <v>53</v>
      </c>
    </row>
    <row r="4164" spans="2:42" x14ac:dyDescent="0.2">
      <c r="B4164" t="s">
        <v>44</v>
      </c>
      <c r="C4164" t="str">
        <f>HYPERLINK("https://us2.cloudbeds.com/connect/8493803454333002#/reservations/88211500503173?display=1TNQ99PZ5D&amp;reservation_id=88211500503173", "1TNQ99PZ5D")</f>
        <v>1TNQ99PZ5D</v>
      </c>
      <c r="D4164" t="s">
        <v>45</v>
      </c>
      <c r="E4164" t="s">
        <v>98</v>
      </c>
      <c r="F4164" t="s">
        <v>86</v>
      </c>
      <c r="G4164" t="s">
        <v>48</v>
      </c>
      <c r="H4164" t="s">
        <v>3957</v>
      </c>
      <c r="I4164" t="s">
        <v>3975</v>
      </c>
      <c r="J4164" t="s">
        <v>6618</v>
      </c>
      <c r="K4164" t="s">
        <v>6619</v>
      </c>
      <c r="L4164" t="s">
        <v>53</v>
      </c>
      <c r="P4164" t="s">
        <v>55</v>
      </c>
      <c r="R4164" t="s">
        <v>53</v>
      </c>
      <c r="T4164" t="s">
        <v>7161</v>
      </c>
      <c r="U4164" t="s">
        <v>58</v>
      </c>
      <c r="V4164">
        <v>1</v>
      </c>
      <c r="W4164">
        <v>1</v>
      </c>
      <c r="X4164">
        <v>2</v>
      </c>
      <c r="Y4164">
        <v>0</v>
      </c>
      <c r="Z4164">
        <v>2</v>
      </c>
      <c r="AA4164">
        <v>71.61</v>
      </c>
      <c r="AB4164">
        <v>71.61</v>
      </c>
      <c r="AC4164">
        <v>63</v>
      </c>
      <c r="AD4164">
        <v>0</v>
      </c>
      <c r="AE4164">
        <v>8.61</v>
      </c>
      <c r="AF4164">
        <v>0</v>
      </c>
      <c r="AG4164">
        <v>0</v>
      </c>
      <c r="AH4164">
        <v>0</v>
      </c>
      <c r="AI4164">
        <v>0</v>
      </c>
      <c r="AJ4164">
        <v>71.61</v>
      </c>
      <c r="AK4164">
        <v>0</v>
      </c>
      <c r="AL4164" t="s">
        <v>53</v>
      </c>
      <c r="AM4164" t="s">
        <v>53</v>
      </c>
      <c r="AN4164" t="s">
        <v>53</v>
      </c>
      <c r="AO4164" t="s">
        <v>53</v>
      </c>
      <c r="AP4164" t="s">
        <v>53</v>
      </c>
    </row>
    <row r="4165" spans="2:42" x14ac:dyDescent="0.2">
      <c r="B4165" t="s">
        <v>44</v>
      </c>
      <c r="C4165" t="str">
        <f>HYPERLINK("https://us2.cloudbeds.com/connect/8493803454333002#/reservations/88239895638195?display=1TZF8SA7AE&amp;reservation_id=88239895638195", "1TZF8SA7AE")</f>
        <v>1TZF8SA7AE</v>
      </c>
      <c r="D4165" t="s">
        <v>45</v>
      </c>
      <c r="E4165" t="s">
        <v>185</v>
      </c>
      <c r="F4165" t="s">
        <v>47</v>
      </c>
      <c r="G4165" t="s">
        <v>48</v>
      </c>
      <c r="H4165" t="s">
        <v>3957</v>
      </c>
      <c r="I4165" t="s">
        <v>3975</v>
      </c>
      <c r="J4165" t="s">
        <v>6780</v>
      </c>
      <c r="K4165" t="s">
        <v>6726</v>
      </c>
      <c r="L4165" t="s">
        <v>53</v>
      </c>
      <c r="P4165" t="s">
        <v>55</v>
      </c>
      <c r="R4165" t="s">
        <v>53</v>
      </c>
      <c r="T4165" t="s">
        <v>7162</v>
      </c>
      <c r="U4165" t="s">
        <v>58</v>
      </c>
      <c r="V4165">
        <v>3</v>
      </c>
      <c r="W4165">
        <v>1</v>
      </c>
      <c r="X4165">
        <v>1</v>
      </c>
      <c r="Y4165">
        <v>0</v>
      </c>
      <c r="Z4165">
        <v>1</v>
      </c>
      <c r="AA4165">
        <v>198.9</v>
      </c>
      <c r="AB4165">
        <v>198.9</v>
      </c>
      <c r="AC4165">
        <v>175</v>
      </c>
      <c r="AD4165">
        <v>0</v>
      </c>
      <c r="AE4165">
        <v>23.9</v>
      </c>
      <c r="AF4165">
        <v>0</v>
      </c>
      <c r="AG4165">
        <v>0</v>
      </c>
      <c r="AH4165">
        <v>0</v>
      </c>
      <c r="AI4165">
        <v>0</v>
      </c>
      <c r="AJ4165">
        <v>198.9</v>
      </c>
      <c r="AK4165">
        <v>0</v>
      </c>
      <c r="AL4165" t="s">
        <v>53</v>
      </c>
      <c r="AM4165" t="s">
        <v>53</v>
      </c>
      <c r="AN4165" t="s">
        <v>53</v>
      </c>
      <c r="AO4165" t="s">
        <v>53</v>
      </c>
      <c r="AP4165" t="s">
        <v>53</v>
      </c>
    </row>
    <row r="4166" spans="2:42" x14ac:dyDescent="0.2">
      <c r="B4166" t="s">
        <v>44</v>
      </c>
      <c r="C4166" t="str">
        <f>HYPERLINK("https://us2.cloudbeds.com/connect/8493803454333002#/reservations/9080486845766025?display=1TQUM8QBXB&amp;reservation_id=9080486845766025", "1TQUM8QBXB")</f>
        <v>1TQUM8QBXB</v>
      </c>
      <c r="D4166" t="s">
        <v>45</v>
      </c>
      <c r="E4166" t="s">
        <v>185</v>
      </c>
      <c r="F4166" t="s">
        <v>47</v>
      </c>
      <c r="G4166" t="s">
        <v>48</v>
      </c>
      <c r="H4166" t="s">
        <v>49</v>
      </c>
      <c r="I4166" t="s">
        <v>62</v>
      </c>
      <c r="J4166" t="s">
        <v>6529</v>
      </c>
      <c r="K4166" t="s">
        <v>6530</v>
      </c>
      <c r="L4166" t="s">
        <v>53</v>
      </c>
      <c r="N4166" t="s">
        <v>7163</v>
      </c>
      <c r="P4166" t="s">
        <v>55</v>
      </c>
      <c r="R4166" t="s">
        <v>56</v>
      </c>
      <c r="T4166" t="s">
        <v>7164</v>
      </c>
      <c r="U4166" t="s">
        <v>55</v>
      </c>
      <c r="V4166">
        <v>1</v>
      </c>
      <c r="W4166">
        <v>1</v>
      </c>
      <c r="X4166">
        <v>2</v>
      </c>
      <c r="Y4166">
        <v>0</v>
      </c>
      <c r="Z4166">
        <v>2</v>
      </c>
      <c r="AA4166">
        <v>56</v>
      </c>
      <c r="AB4166">
        <v>56</v>
      </c>
      <c r="AC4166">
        <v>56</v>
      </c>
      <c r="AD4166">
        <v>0</v>
      </c>
      <c r="AE4166">
        <v>0</v>
      </c>
      <c r="AF4166">
        <v>0</v>
      </c>
      <c r="AG4166">
        <v>0</v>
      </c>
      <c r="AH4166">
        <v>0</v>
      </c>
      <c r="AI4166">
        <v>10.08</v>
      </c>
      <c r="AJ4166">
        <v>56</v>
      </c>
      <c r="AK4166">
        <v>0</v>
      </c>
      <c r="AL4166" t="s">
        <v>53</v>
      </c>
      <c r="AM4166" t="s">
        <v>53</v>
      </c>
      <c r="AN4166" t="s">
        <v>53</v>
      </c>
      <c r="AO4166" t="s">
        <v>53</v>
      </c>
      <c r="AP4166" t="s">
        <v>53</v>
      </c>
    </row>
    <row r="4167" spans="2:42" x14ac:dyDescent="0.2">
      <c r="B4167" t="s">
        <v>44</v>
      </c>
      <c r="C4167" t="str">
        <f>HYPERLINK("https://us2.cloudbeds.com/connect/8493803454333002#/reservations/88351897657505?display=1TR2WPCGTJ&amp;reservation_id=88351897657505", "1TR2WPCGTJ")</f>
        <v>1TR2WPCGTJ</v>
      </c>
      <c r="D4167" t="s">
        <v>45</v>
      </c>
      <c r="E4167" t="s">
        <v>46</v>
      </c>
      <c r="F4167" t="s">
        <v>47</v>
      </c>
      <c r="G4167" t="s">
        <v>48</v>
      </c>
      <c r="H4167" t="s">
        <v>3957</v>
      </c>
      <c r="I4167" t="s">
        <v>3958</v>
      </c>
      <c r="J4167" t="s">
        <v>6781</v>
      </c>
      <c r="K4167" t="s">
        <v>6619</v>
      </c>
      <c r="L4167" t="s">
        <v>53</v>
      </c>
      <c r="O4167" t="s">
        <v>7165</v>
      </c>
      <c r="P4167" t="s">
        <v>55</v>
      </c>
      <c r="R4167" t="s">
        <v>56</v>
      </c>
      <c r="T4167" t="s">
        <v>7166</v>
      </c>
      <c r="U4167" t="s">
        <v>58</v>
      </c>
      <c r="V4167">
        <v>3</v>
      </c>
      <c r="W4167">
        <v>1</v>
      </c>
      <c r="X4167">
        <v>2</v>
      </c>
      <c r="Y4167">
        <v>0</v>
      </c>
      <c r="Z4167">
        <v>2</v>
      </c>
      <c r="AA4167">
        <v>0</v>
      </c>
      <c r="AB4167">
        <v>0</v>
      </c>
      <c r="AC4167">
        <v>0</v>
      </c>
      <c r="AD4167">
        <v>0</v>
      </c>
      <c r="AE4167">
        <v>0</v>
      </c>
      <c r="AF4167">
        <v>0</v>
      </c>
      <c r="AG4167">
        <v>0</v>
      </c>
      <c r="AH4167">
        <v>0</v>
      </c>
      <c r="AI4167">
        <v>0</v>
      </c>
      <c r="AJ4167">
        <v>0</v>
      </c>
      <c r="AK4167">
        <v>0</v>
      </c>
      <c r="AL4167" t="s">
        <v>53</v>
      </c>
      <c r="AM4167" t="s">
        <v>53</v>
      </c>
      <c r="AN4167" t="s">
        <v>53</v>
      </c>
      <c r="AO4167" t="s">
        <v>53</v>
      </c>
      <c r="AP4167" t="s">
        <v>53</v>
      </c>
    </row>
    <row r="4168" spans="2:42" x14ac:dyDescent="0.2">
      <c r="B4168" t="s">
        <v>44</v>
      </c>
      <c r="C4168" t="str">
        <f>HYPERLINK("https://us2.cloudbeds.com/connect/8493803454333002#/reservations/9080486845766172?display=1TR5J2NEEJ&amp;reservation_id=9080486845766172", "1TR5J2NEEJ")</f>
        <v>1TR5J2NEEJ</v>
      </c>
      <c r="D4168" t="s">
        <v>45</v>
      </c>
      <c r="E4168" t="s">
        <v>223</v>
      </c>
      <c r="F4168" t="s">
        <v>47</v>
      </c>
      <c r="G4168" t="s">
        <v>48</v>
      </c>
      <c r="H4168" t="s">
        <v>49</v>
      </c>
      <c r="I4168" t="s">
        <v>62</v>
      </c>
      <c r="J4168" t="s">
        <v>6801</v>
      </c>
      <c r="K4168" t="s">
        <v>6726</v>
      </c>
      <c r="L4168" t="s">
        <v>53</v>
      </c>
      <c r="N4168" t="s">
        <v>7167</v>
      </c>
      <c r="P4168" t="s">
        <v>55</v>
      </c>
      <c r="R4168" t="s">
        <v>56</v>
      </c>
      <c r="T4168" t="s">
        <v>7168</v>
      </c>
      <c r="U4168" t="s">
        <v>55</v>
      </c>
      <c r="V4168">
        <v>1</v>
      </c>
      <c r="W4168">
        <v>1</v>
      </c>
      <c r="X4168">
        <v>2</v>
      </c>
      <c r="Y4168">
        <v>0</v>
      </c>
      <c r="Z4168">
        <v>2</v>
      </c>
      <c r="AA4168">
        <v>64</v>
      </c>
      <c r="AB4168">
        <v>64</v>
      </c>
      <c r="AC4168">
        <v>64</v>
      </c>
      <c r="AD4168">
        <v>0</v>
      </c>
      <c r="AE4168">
        <v>0</v>
      </c>
      <c r="AF4168">
        <v>0</v>
      </c>
      <c r="AG4168">
        <v>0</v>
      </c>
      <c r="AH4168">
        <v>0</v>
      </c>
      <c r="AI4168">
        <v>11.52</v>
      </c>
      <c r="AJ4168">
        <v>64</v>
      </c>
      <c r="AK4168">
        <v>0</v>
      </c>
      <c r="AL4168" t="s">
        <v>53</v>
      </c>
      <c r="AM4168" t="s">
        <v>53</v>
      </c>
      <c r="AN4168" t="s">
        <v>53</v>
      </c>
      <c r="AO4168" t="s">
        <v>53</v>
      </c>
      <c r="AP4168" t="s">
        <v>53</v>
      </c>
    </row>
    <row r="4169" spans="2:42" x14ac:dyDescent="0.2">
      <c r="B4169" t="s">
        <v>44</v>
      </c>
      <c r="C4169" t="str">
        <f>HYPERLINK("https://us2.cloudbeds.com/connect/8493803454333002#/reservations/9080486845766214?display=1TR7DJ2YB5&amp;reservation_id=9080486845766214", "1TR7DJ2YB5")</f>
        <v>1TR7DJ2YB5</v>
      </c>
      <c r="D4169" t="s">
        <v>45</v>
      </c>
      <c r="E4169" t="s">
        <v>185</v>
      </c>
      <c r="F4169" t="s">
        <v>47</v>
      </c>
      <c r="G4169" t="s">
        <v>48</v>
      </c>
      <c r="H4169" t="s">
        <v>49</v>
      </c>
      <c r="I4169" t="s">
        <v>62</v>
      </c>
      <c r="J4169" t="s">
        <v>7092</v>
      </c>
      <c r="K4169" t="s">
        <v>6592</v>
      </c>
      <c r="L4169" t="s">
        <v>53</v>
      </c>
      <c r="N4169" t="s">
        <v>7169</v>
      </c>
      <c r="P4169" t="s">
        <v>55</v>
      </c>
      <c r="R4169" t="s">
        <v>56</v>
      </c>
      <c r="T4169" t="s">
        <v>7170</v>
      </c>
      <c r="U4169" t="s">
        <v>55</v>
      </c>
      <c r="V4169">
        <v>1</v>
      </c>
      <c r="W4169">
        <v>1</v>
      </c>
      <c r="X4169">
        <v>2</v>
      </c>
      <c r="Y4169">
        <v>0</v>
      </c>
      <c r="Z4169">
        <v>2</v>
      </c>
      <c r="AA4169">
        <v>96</v>
      </c>
      <c r="AB4169">
        <v>96</v>
      </c>
      <c r="AC4169">
        <v>96</v>
      </c>
      <c r="AD4169">
        <v>0</v>
      </c>
      <c r="AE4169">
        <v>0</v>
      </c>
      <c r="AF4169">
        <v>0</v>
      </c>
      <c r="AG4169">
        <v>0</v>
      </c>
      <c r="AH4169">
        <v>0</v>
      </c>
      <c r="AI4169">
        <v>17.28</v>
      </c>
      <c r="AJ4169">
        <v>96</v>
      </c>
      <c r="AK4169">
        <v>0</v>
      </c>
      <c r="AL4169" t="s">
        <v>53</v>
      </c>
      <c r="AM4169" t="s">
        <v>53</v>
      </c>
      <c r="AN4169" t="s">
        <v>7171</v>
      </c>
      <c r="AO4169" t="s">
        <v>53</v>
      </c>
      <c r="AP4169" t="s">
        <v>53</v>
      </c>
    </row>
    <row r="4170" spans="2:42" x14ac:dyDescent="0.2">
      <c r="B4170" t="s">
        <v>44</v>
      </c>
      <c r="C4170" t="str">
        <f>HYPERLINK("https://us2.cloudbeds.com/connect/8493803454333002#/reservations/9080486845766485?display=1TRXYJ7E3C&amp;reservation_id=9080486845766485", "1TRXYJ7E3C")</f>
        <v>1TRXYJ7E3C</v>
      </c>
      <c r="D4170" t="s">
        <v>45</v>
      </c>
      <c r="E4170" t="s">
        <v>138</v>
      </c>
      <c r="F4170" t="s">
        <v>70</v>
      </c>
      <c r="G4170" t="s">
        <v>48</v>
      </c>
      <c r="H4170" t="s">
        <v>49</v>
      </c>
      <c r="I4170" t="s">
        <v>62</v>
      </c>
      <c r="J4170" t="s">
        <v>6930</v>
      </c>
      <c r="K4170" t="s">
        <v>6801</v>
      </c>
      <c r="L4170" t="s">
        <v>53</v>
      </c>
      <c r="N4170" t="s">
        <v>7172</v>
      </c>
      <c r="P4170" t="s">
        <v>55</v>
      </c>
      <c r="R4170" t="s">
        <v>7173</v>
      </c>
      <c r="T4170" t="s">
        <v>7174</v>
      </c>
      <c r="U4170" t="s">
        <v>55</v>
      </c>
      <c r="V4170">
        <v>1</v>
      </c>
      <c r="W4170">
        <v>1</v>
      </c>
      <c r="X4170">
        <v>2</v>
      </c>
      <c r="Y4170">
        <v>0</v>
      </c>
      <c r="Z4170">
        <v>2</v>
      </c>
      <c r="AA4170">
        <v>52</v>
      </c>
      <c r="AB4170">
        <v>52</v>
      </c>
      <c r="AC4170">
        <v>52</v>
      </c>
      <c r="AD4170">
        <v>0</v>
      </c>
      <c r="AE4170">
        <v>0</v>
      </c>
      <c r="AF4170">
        <v>0</v>
      </c>
      <c r="AG4170">
        <v>0</v>
      </c>
      <c r="AH4170">
        <v>0</v>
      </c>
      <c r="AI4170">
        <v>9.36</v>
      </c>
      <c r="AJ4170">
        <v>52</v>
      </c>
      <c r="AK4170">
        <v>0</v>
      </c>
      <c r="AL4170" t="s">
        <v>53</v>
      </c>
      <c r="AM4170" t="s">
        <v>53</v>
      </c>
      <c r="AN4170" t="s">
        <v>53</v>
      </c>
      <c r="AO4170" t="s">
        <v>53</v>
      </c>
      <c r="AP4170" t="s">
        <v>53</v>
      </c>
    </row>
    <row r="4171" spans="2:42" x14ac:dyDescent="0.2">
      <c r="B4171" t="s">
        <v>44</v>
      </c>
      <c r="C4171" t="str">
        <f>HYPERLINK("https://us2.cloudbeds.com/connect/8493803454333002#/reservations/9080486845766486?display=1TRXK0YSAU&amp;reservation_id=9080486845766486", "1TRXK0YSAU")</f>
        <v>1TRXK0YSAU</v>
      </c>
      <c r="D4171" t="s">
        <v>45</v>
      </c>
      <c r="E4171" t="s">
        <v>165</v>
      </c>
      <c r="F4171" t="s">
        <v>61</v>
      </c>
      <c r="G4171" t="s">
        <v>48</v>
      </c>
      <c r="H4171" t="s">
        <v>49</v>
      </c>
      <c r="I4171" t="s">
        <v>50</v>
      </c>
      <c r="J4171" t="s">
        <v>6880</v>
      </c>
      <c r="K4171" t="s">
        <v>6529</v>
      </c>
      <c r="L4171" t="s">
        <v>53</v>
      </c>
      <c r="N4171" t="s">
        <v>7175</v>
      </c>
      <c r="P4171" t="s">
        <v>55</v>
      </c>
      <c r="R4171" t="s">
        <v>53</v>
      </c>
      <c r="T4171" t="s">
        <v>7176</v>
      </c>
      <c r="U4171" t="s">
        <v>58</v>
      </c>
      <c r="V4171">
        <v>1</v>
      </c>
      <c r="W4171">
        <v>1</v>
      </c>
      <c r="X4171">
        <v>1</v>
      </c>
      <c r="Y4171">
        <v>0</v>
      </c>
      <c r="Z4171">
        <v>1</v>
      </c>
      <c r="AA4171">
        <v>52.74</v>
      </c>
      <c r="AB4171">
        <v>52.74</v>
      </c>
      <c r="AC4171">
        <v>46.4</v>
      </c>
      <c r="AD4171">
        <v>0</v>
      </c>
      <c r="AE4171">
        <v>6.34</v>
      </c>
      <c r="AF4171">
        <v>0</v>
      </c>
      <c r="AG4171">
        <v>0</v>
      </c>
      <c r="AH4171">
        <v>0</v>
      </c>
      <c r="AI4171">
        <v>9.49</v>
      </c>
      <c r="AJ4171">
        <v>52.74</v>
      </c>
      <c r="AK4171">
        <v>0</v>
      </c>
      <c r="AL4171" t="s">
        <v>53</v>
      </c>
      <c r="AM4171" t="s">
        <v>53</v>
      </c>
      <c r="AN4171" t="s">
        <v>53</v>
      </c>
      <c r="AO4171" t="s">
        <v>53</v>
      </c>
      <c r="AP4171" t="s">
        <v>53</v>
      </c>
    </row>
    <row r="4172" spans="2:42" x14ac:dyDescent="0.2">
      <c r="B4172" t="s">
        <v>44</v>
      </c>
      <c r="C4172" t="str">
        <f>HYPERLINK("https://us2.cloudbeds.com/connect/8493803454333002#/reservations/9080486845766571?display=1TRYT81KPH&amp;reservation_id=9080486845766571", "1TRYT81KPH")</f>
        <v>1TRYT81KPH</v>
      </c>
      <c r="D4172" t="s">
        <v>45</v>
      </c>
      <c r="E4172" t="s">
        <v>381</v>
      </c>
      <c r="F4172" t="s">
        <v>47</v>
      </c>
      <c r="G4172" t="s">
        <v>48</v>
      </c>
      <c r="H4172" t="s">
        <v>49</v>
      </c>
      <c r="I4172" t="s">
        <v>50</v>
      </c>
      <c r="J4172" t="s">
        <v>6801</v>
      </c>
      <c r="K4172" t="s">
        <v>6781</v>
      </c>
      <c r="L4172" t="s">
        <v>53</v>
      </c>
      <c r="N4172" t="s">
        <v>7177</v>
      </c>
      <c r="P4172" t="s">
        <v>55</v>
      </c>
      <c r="R4172" t="s">
        <v>53</v>
      </c>
      <c r="T4172" t="s">
        <v>7178</v>
      </c>
      <c r="U4172" t="s">
        <v>58</v>
      </c>
      <c r="V4172">
        <v>2</v>
      </c>
      <c r="W4172">
        <v>1</v>
      </c>
      <c r="X4172">
        <v>1</v>
      </c>
      <c r="Y4172">
        <v>0</v>
      </c>
      <c r="Z4172">
        <v>1</v>
      </c>
      <c r="AA4172">
        <v>120.75</v>
      </c>
      <c r="AB4172">
        <v>120.75</v>
      </c>
      <c r="AC4172">
        <v>106.25</v>
      </c>
      <c r="AD4172">
        <v>0</v>
      </c>
      <c r="AE4172">
        <v>14.5</v>
      </c>
      <c r="AF4172">
        <v>0</v>
      </c>
      <c r="AG4172">
        <v>0</v>
      </c>
      <c r="AH4172">
        <v>0</v>
      </c>
      <c r="AI4172">
        <v>21.74</v>
      </c>
      <c r="AJ4172">
        <v>120.75</v>
      </c>
      <c r="AK4172">
        <v>0</v>
      </c>
      <c r="AL4172" t="s">
        <v>53</v>
      </c>
      <c r="AM4172" t="s">
        <v>53</v>
      </c>
      <c r="AN4172" t="s">
        <v>53</v>
      </c>
      <c r="AO4172" t="s">
        <v>53</v>
      </c>
      <c r="AP4172" t="s">
        <v>53</v>
      </c>
    </row>
    <row r="4173" spans="2:42" x14ac:dyDescent="0.2">
      <c r="B4173" t="s">
        <v>44</v>
      </c>
      <c r="C4173" t="str">
        <f>HYPERLINK("https://us2.cloudbeds.com/connect/8493803454333002#/reservations/9080486845766587?display=1TRM7M8PAN&amp;reservation_id=9080486845766587", "1TRM7M8PAN")</f>
        <v>1TRM7M8PAN</v>
      </c>
      <c r="D4173" t="s">
        <v>45</v>
      </c>
      <c r="E4173" t="s">
        <v>78</v>
      </c>
      <c r="F4173" t="s">
        <v>61</v>
      </c>
      <c r="G4173" t="s">
        <v>48</v>
      </c>
      <c r="H4173" t="s">
        <v>49</v>
      </c>
      <c r="I4173" t="s">
        <v>62</v>
      </c>
      <c r="J4173" t="s">
        <v>6726</v>
      </c>
      <c r="K4173" t="s">
        <v>6618</v>
      </c>
      <c r="L4173" t="s">
        <v>53</v>
      </c>
      <c r="N4173" t="s">
        <v>7179</v>
      </c>
      <c r="P4173" t="s">
        <v>55</v>
      </c>
      <c r="R4173" t="s">
        <v>56</v>
      </c>
      <c r="T4173" t="s">
        <v>7180</v>
      </c>
      <c r="U4173" t="s">
        <v>55</v>
      </c>
      <c r="V4173">
        <v>3</v>
      </c>
      <c r="W4173">
        <v>1</v>
      </c>
      <c r="X4173">
        <v>1</v>
      </c>
      <c r="Y4173">
        <v>0</v>
      </c>
      <c r="Z4173">
        <v>1</v>
      </c>
      <c r="AA4173">
        <v>172</v>
      </c>
      <c r="AB4173">
        <v>172</v>
      </c>
      <c r="AC4173">
        <v>172</v>
      </c>
      <c r="AD4173">
        <v>0</v>
      </c>
      <c r="AE4173">
        <v>0</v>
      </c>
      <c r="AF4173">
        <v>0</v>
      </c>
      <c r="AG4173">
        <v>0</v>
      </c>
      <c r="AH4173">
        <v>0</v>
      </c>
      <c r="AI4173">
        <v>30.96</v>
      </c>
      <c r="AJ4173">
        <v>172</v>
      </c>
      <c r="AK4173">
        <v>0</v>
      </c>
      <c r="AL4173" t="s">
        <v>53</v>
      </c>
      <c r="AM4173" t="s">
        <v>53</v>
      </c>
      <c r="AN4173" t="s">
        <v>53</v>
      </c>
      <c r="AO4173" t="s">
        <v>53</v>
      </c>
      <c r="AP4173" t="s">
        <v>53</v>
      </c>
    </row>
    <row r="4174" spans="2:42" x14ac:dyDescent="0.2">
      <c r="B4174" t="s">
        <v>44</v>
      </c>
      <c r="C4174" t="str">
        <f>HYPERLINK("https://us2.cloudbeds.com/connect/8493803454333002#/reservations/88377825296603?display=1TRN2989XS&amp;reservation_id=88377825296603", "1TRN2989XS")</f>
        <v>1TRN2989XS</v>
      </c>
      <c r="D4174" t="s">
        <v>45</v>
      </c>
      <c r="E4174" t="s">
        <v>128</v>
      </c>
      <c r="F4174" t="s">
        <v>86</v>
      </c>
      <c r="G4174" t="s">
        <v>48</v>
      </c>
      <c r="H4174" t="s">
        <v>3957</v>
      </c>
      <c r="I4174" t="s">
        <v>3989</v>
      </c>
      <c r="J4174" t="s">
        <v>6801</v>
      </c>
      <c r="K4174" t="s">
        <v>6726</v>
      </c>
      <c r="L4174" t="s">
        <v>53</v>
      </c>
      <c r="P4174" t="s">
        <v>55</v>
      </c>
      <c r="R4174" t="s">
        <v>56</v>
      </c>
      <c r="T4174" t="s">
        <v>7181</v>
      </c>
      <c r="U4174" t="s">
        <v>58</v>
      </c>
      <c r="V4174">
        <v>1</v>
      </c>
      <c r="W4174">
        <v>1</v>
      </c>
      <c r="X4174">
        <v>1</v>
      </c>
      <c r="Y4174">
        <v>0</v>
      </c>
      <c r="Z4174">
        <v>1</v>
      </c>
      <c r="AA4174">
        <v>95.47</v>
      </c>
      <c r="AB4174">
        <v>95.47</v>
      </c>
      <c r="AC4174">
        <v>84</v>
      </c>
      <c r="AD4174">
        <v>0</v>
      </c>
      <c r="AE4174">
        <v>11.47</v>
      </c>
      <c r="AF4174">
        <v>0</v>
      </c>
      <c r="AG4174">
        <v>0</v>
      </c>
      <c r="AH4174">
        <v>0</v>
      </c>
      <c r="AI4174">
        <v>0</v>
      </c>
      <c r="AJ4174">
        <v>95.47</v>
      </c>
      <c r="AK4174">
        <v>0</v>
      </c>
      <c r="AL4174" t="s">
        <v>53</v>
      </c>
      <c r="AM4174" t="s">
        <v>53</v>
      </c>
      <c r="AN4174" t="s">
        <v>53</v>
      </c>
      <c r="AO4174" t="s">
        <v>53</v>
      </c>
      <c r="AP4174" t="s">
        <v>53</v>
      </c>
    </row>
    <row r="4175" spans="2:42" x14ac:dyDescent="0.2">
      <c r="B4175" t="s">
        <v>44</v>
      </c>
      <c r="C4175" t="str">
        <f>HYPERLINK("https://us2.cloudbeds.com/connect/8493803454333002#/reservations/9080486845766917?display=1TS4CZN5A6&amp;reservation_id=9080486845766917", "1TS4CZN5A6")</f>
        <v>1TS4CZN5A6</v>
      </c>
      <c r="D4175" t="s">
        <v>45</v>
      </c>
      <c r="E4175" t="s">
        <v>5164</v>
      </c>
      <c r="F4175" t="s">
        <v>47</v>
      </c>
      <c r="G4175" t="s">
        <v>48</v>
      </c>
      <c r="H4175" t="s">
        <v>49</v>
      </c>
      <c r="I4175" t="s">
        <v>62</v>
      </c>
      <c r="J4175" t="s">
        <v>4159</v>
      </c>
      <c r="K4175" t="s">
        <v>7078</v>
      </c>
      <c r="L4175" t="s">
        <v>53</v>
      </c>
      <c r="N4175" t="s">
        <v>7182</v>
      </c>
      <c r="P4175" t="s">
        <v>55</v>
      </c>
      <c r="R4175" t="s">
        <v>56</v>
      </c>
      <c r="T4175" t="s">
        <v>7183</v>
      </c>
      <c r="U4175" t="s">
        <v>55</v>
      </c>
      <c r="V4175">
        <v>2</v>
      </c>
      <c r="W4175">
        <v>2</v>
      </c>
      <c r="X4175">
        <v>4</v>
      </c>
      <c r="Y4175">
        <v>0</v>
      </c>
      <c r="Z4175">
        <v>4</v>
      </c>
      <c r="AA4175">
        <v>194</v>
      </c>
      <c r="AB4175">
        <v>194</v>
      </c>
      <c r="AC4175">
        <v>194</v>
      </c>
      <c r="AD4175">
        <v>0</v>
      </c>
      <c r="AE4175">
        <v>0</v>
      </c>
      <c r="AF4175">
        <v>0</v>
      </c>
      <c r="AG4175">
        <v>0</v>
      </c>
      <c r="AH4175">
        <v>0</v>
      </c>
      <c r="AI4175">
        <v>34.92</v>
      </c>
      <c r="AJ4175">
        <v>194</v>
      </c>
      <c r="AK4175">
        <v>0</v>
      </c>
      <c r="AL4175" t="s">
        <v>53</v>
      </c>
      <c r="AM4175" t="s">
        <v>53</v>
      </c>
      <c r="AN4175" t="s">
        <v>53</v>
      </c>
      <c r="AO4175" t="s">
        <v>53</v>
      </c>
      <c r="AP4175" t="s">
        <v>53</v>
      </c>
    </row>
    <row r="4176" spans="2:42" x14ac:dyDescent="0.2">
      <c r="B4176" t="s">
        <v>44</v>
      </c>
      <c r="C4176" t="str">
        <f>HYPERLINK("https://us2.cloudbeds.com/connect/8493803454333002#/reservations/88400987050235?display=1TS803S7H1&amp;reservation_id=88400987050235", "1TS803S7H1")</f>
        <v>1TS803S7H1</v>
      </c>
      <c r="D4176" t="s">
        <v>45</v>
      </c>
      <c r="E4176" t="s">
        <v>69</v>
      </c>
      <c r="F4176" t="s">
        <v>70</v>
      </c>
      <c r="G4176" t="s">
        <v>48</v>
      </c>
      <c r="H4176" t="s">
        <v>3957</v>
      </c>
      <c r="I4176" t="s">
        <v>3958</v>
      </c>
      <c r="J4176" t="s">
        <v>6880</v>
      </c>
      <c r="K4176" t="s">
        <v>6529</v>
      </c>
      <c r="L4176" t="s">
        <v>53</v>
      </c>
      <c r="P4176" t="s">
        <v>58</v>
      </c>
      <c r="R4176" t="s">
        <v>56</v>
      </c>
      <c r="T4176" t="s">
        <v>7184</v>
      </c>
      <c r="U4176" t="s">
        <v>58</v>
      </c>
      <c r="V4176">
        <v>1</v>
      </c>
      <c r="W4176">
        <v>1</v>
      </c>
      <c r="X4176">
        <v>1</v>
      </c>
      <c r="Y4176">
        <v>0</v>
      </c>
      <c r="Z4176">
        <v>1</v>
      </c>
      <c r="AA4176">
        <v>64.78</v>
      </c>
      <c r="AB4176">
        <v>64.78</v>
      </c>
      <c r="AC4176">
        <v>57</v>
      </c>
      <c r="AD4176">
        <v>0</v>
      </c>
      <c r="AE4176">
        <v>7.78</v>
      </c>
      <c r="AF4176">
        <v>0</v>
      </c>
      <c r="AG4176">
        <v>0</v>
      </c>
      <c r="AH4176">
        <v>0</v>
      </c>
      <c r="AI4176">
        <v>0</v>
      </c>
      <c r="AJ4176">
        <v>64.78</v>
      </c>
      <c r="AK4176">
        <v>0</v>
      </c>
      <c r="AL4176" t="s">
        <v>53</v>
      </c>
      <c r="AM4176" t="s">
        <v>53</v>
      </c>
      <c r="AN4176" t="s">
        <v>53</v>
      </c>
      <c r="AO4176" t="s">
        <v>53</v>
      </c>
      <c r="AP4176" t="s">
        <v>53</v>
      </c>
    </row>
    <row r="4177" spans="2:42" x14ac:dyDescent="0.2">
      <c r="B4177" t="s">
        <v>44</v>
      </c>
      <c r="C4177" t="str">
        <f>HYPERLINK("https://us2.cloudbeds.com/connect/8493803454333002#/reservations/9080486845767244?display=1TSHDJTKPP&amp;reservation_id=9080486845767244", "1TSHDJTKPP")</f>
        <v>1TSHDJTKPP</v>
      </c>
      <c r="D4177" t="s">
        <v>45</v>
      </c>
      <c r="E4177" t="s">
        <v>190</v>
      </c>
      <c r="F4177" t="s">
        <v>61</v>
      </c>
      <c r="G4177" t="s">
        <v>48</v>
      </c>
      <c r="H4177" t="s">
        <v>49</v>
      </c>
      <c r="I4177" t="s">
        <v>62</v>
      </c>
      <c r="J4177" t="s">
        <v>6726</v>
      </c>
      <c r="K4177" t="s">
        <v>6781</v>
      </c>
      <c r="L4177" t="s">
        <v>53</v>
      </c>
      <c r="N4177" t="s">
        <v>7185</v>
      </c>
      <c r="P4177" t="s">
        <v>55</v>
      </c>
      <c r="R4177" t="s">
        <v>56</v>
      </c>
      <c r="T4177" t="s">
        <v>7186</v>
      </c>
      <c r="U4177" t="s">
        <v>55</v>
      </c>
      <c r="V4177">
        <v>1</v>
      </c>
      <c r="W4177">
        <v>1</v>
      </c>
      <c r="X4177">
        <v>1</v>
      </c>
      <c r="Y4177">
        <v>0</v>
      </c>
      <c r="Z4177">
        <v>1</v>
      </c>
      <c r="AA4177">
        <v>62</v>
      </c>
      <c r="AB4177">
        <v>62</v>
      </c>
      <c r="AC4177">
        <v>62</v>
      </c>
      <c r="AD4177">
        <v>0</v>
      </c>
      <c r="AE4177">
        <v>0</v>
      </c>
      <c r="AF4177">
        <v>0</v>
      </c>
      <c r="AG4177">
        <v>0</v>
      </c>
      <c r="AH4177">
        <v>0</v>
      </c>
      <c r="AI4177">
        <v>11.16</v>
      </c>
      <c r="AJ4177">
        <v>62</v>
      </c>
      <c r="AK4177">
        <v>0</v>
      </c>
      <c r="AL4177" t="s">
        <v>53</v>
      </c>
      <c r="AM4177" t="s">
        <v>53</v>
      </c>
      <c r="AN4177" t="s">
        <v>53</v>
      </c>
      <c r="AO4177" t="s">
        <v>53</v>
      </c>
      <c r="AP4177" t="s">
        <v>53</v>
      </c>
    </row>
    <row r="4178" spans="2:42" x14ac:dyDescent="0.2">
      <c r="B4178" t="s">
        <v>44</v>
      </c>
      <c r="C4178" t="str">
        <f>HYPERLINK("https://us2.cloudbeds.com/connect/8493803454333002#/reservations/9080486845767300?display=1TSJFBS3AB&amp;reservation_id=9080486845767300", "1TSJFBS3AB")</f>
        <v>1TSJFBS3AB</v>
      </c>
      <c r="D4178" t="s">
        <v>45</v>
      </c>
      <c r="E4178" t="s">
        <v>265</v>
      </c>
      <c r="F4178" t="s">
        <v>61</v>
      </c>
      <c r="G4178" t="s">
        <v>48</v>
      </c>
      <c r="H4178" t="s">
        <v>49</v>
      </c>
      <c r="I4178" t="s">
        <v>50</v>
      </c>
      <c r="J4178" t="s">
        <v>6922</v>
      </c>
      <c r="K4178" t="s">
        <v>6487</v>
      </c>
      <c r="L4178" t="s">
        <v>53</v>
      </c>
      <c r="N4178" t="s">
        <v>7187</v>
      </c>
      <c r="P4178" t="s">
        <v>55</v>
      </c>
      <c r="R4178" t="s">
        <v>53</v>
      </c>
      <c r="T4178" t="s">
        <v>7188</v>
      </c>
      <c r="U4178" t="s">
        <v>58</v>
      </c>
      <c r="V4178">
        <v>2</v>
      </c>
      <c r="W4178">
        <v>1</v>
      </c>
      <c r="X4178">
        <v>2</v>
      </c>
      <c r="Y4178">
        <v>0</v>
      </c>
      <c r="Z4178">
        <v>2</v>
      </c>
      <c r="AA4178">
        <v>240.13</v>
      </c>
      <c r="AB4178">
        <v>240.13</v>
      </c>
      <c r="AC4178">
        <v>211.28</v>
      </c>
      <c r="AD4178">
        <v>0</v>
      </c>
      <c r="AE4178">
        <v>28.85</v>
      </c>
      <c r="AF4178">
        <v>0</v>
      </c>
      <c r="AG4178">
        <v>0</v>
      </c>
      <c r="AH4178">
        <v>0</v>
      </c>
      <c r="AI4178">
        <v>43.22</v>
      </c>
      <c r="AJ4178">
        <v>240.13</v>
      </c>
      <c r="AK4178">
        <v>0</v>
      </c>
      <c r="AL4178" t="s">
        <v>53</v>
      </c>
      <c r="AM4178" t="s">
        <v>53</v>
      </c>
      <c r="AN4178" t="s">
        <v>53</v>
      </c>
      <c r="AO4178" t="s">
        <v>53</v>
      </c>
      <c r="AP4178" t="s">
        <v>53</v>
      </c>
    </row>
    <row r="4179" spans="2:42" x14ac:dyDescent="0.2">
      <c r="B4179" t="s">
        <v>44</v>
      </c>
      <c r="C4179" t="str">
        <f>HYPERLINK("https://us2.cloudbeds.com/connect/8493803454333002#/reservations/9080486845767378?display=1TSN34851A&amp;reservation_id=9080486845767378", "1TSN34851A")</f>
        <v>1TSN34851A</v>
      </c>
      <c r="D4179" t="s">
        <v>45</v>
      </c>
      <c r="E4179" t="s">
        <v>46</v>
      </c>
      <c r="F4179" t="s">
        <v>47</v>
      </c>
      <c r="G4179" t="s">
        <v>48</v>
      </c>
      <c r="H4179" t="s">
        <v>49</v>
      </c>
      <c r="I4179" t="s">
        <v>50</v>
      </c>
      <c r="J4179" t="s">
        <v>6726</v>
      </c>
      <c r="K4179" t="s">
        <v>6781</v>
      </c>
      <c r="L4179" t="s">
        <v>53</v>
      </c>
      <c r="N4179" t="s">
        <v>7189</v>
      </c>
      <c r="P4179" t="s">
        <v>55</v>
      </c>
      <c r="R4179" t="s">
        <v>53</v>
      </c>
      <c r="T4179" t="s">
        <v>7190</v>
      </c>
      <c r="U4179" t="s">
        <v>58</v>
      </c>
      <c r="V4179">
        <v>1</v>
      </c>
      <c r="W4179">
        <v>1</v>
      </c>
      <c r="X4179">
        <v>2</v>
      </c>
      <c r="Y4179">
        <v>0</v>
      </c>
      <c r="Z4179">
        <v>2</v>
      </c>
      <c r="AA4179">
        <v>58.92</v>
      </c>
      <c r="AB4179">
        <v>58.92</v>
      </c>
      <c r="AC4179">
        <v>51.85</v>
      </c>
      <c r="AD4179">
        <v>0</v>
      </c>
      <c r="AE4179">
        <v>7.07</v>
      </c>
      <c r="AF4179">
        <v>0</v>
      </c>
      <c r="AG4179">
        <v>0</v>
      </c>
      <c r="AH4179">
        <v>0</v>
      </c>
      <c r="AI4179">
        <v>10.61</v>
      </c>
      <c r="AJ4179">
        <v>58.92</v>
      </c>
      <c r="AK4179">
        <v>0</v>
      </c>
      <c r="AL4179" t="s">
        <v>53</v>
      </c>
      <c r="AM4179" t="s">
        <v>53</v>
      </c>
      <c r="AN4179" t="s">
        <v>53</v>
      </c>
      <c r="AO4179" t="s">
        <v>53</v>
      </c>
      <c r="AP4179" t="s">
        <v>53</v>
      </c>
    </row>
    <row r="4180" spans="2:42" x14ac:dyDescent="0.2">
      <c r="B4180" t="s">
        <v>44</v>
      </c>
      <c r="C4180" t="str">
        <f>HYPERLINK("https://us2.cloudbeds.com/connect/8493803454333002#/reservations/88453239640249?display=1TTFF9KXRY&amp;reservation_id=88453239640249", "1TTFF9KXRY")</f>
        <v>1TTFF9KXRY</v>
      </c>
      <c r="D4180" t="s">
        <v>45</v>
      </c>
      <c r="E4180" t="s">
        <v>223</v>
      </c>
      <c r="F4180" t="s">
        <v>47</v>
      </c>
      <c r="G4180" t="s">
        <v>48</v>
      </c>
      <c r="H4180" t="s">
        <v>3957</v>
      </c>
      <c r="I4180" t="s">
        <v>3958</v>
      </c>
      <c r="J4180" t="s">
        <v>6529</v>
      </c>
      <c r="K4180" t="s">
        <v>6780</v>
      </c>
      <c r="L4180" t="s">
        <v>53</v>
      </c>
      <c r="P4180" t="s">
        <v>55</v>
      </c>
      <c r="R4180" t="s">
        <v>56</v>
      </c>
      <c r="T4180" t="s">
        <v>7191</v>
      </c>
      <c r="U4180" t="s">
        <v>58</v>
      </c>
      <c r="V4180">
        <v>2</v>
      </c>
      <c r="W4180">
        <v>1</v>
      </c>
      <c r="X4180">
        <v>1</v>
      </c>
      <c r="Y4180">
        <v>0</v>
      </c>
      <c r="Z4180">
        <v>1</v>
      </c>
      <c r="AA4180">
        <v>126.16</v>
      </c>
      <c r="AB4180">
        <v>126.16</v>
      </c>
      <c r="AC4180">
        <v>111</v>
      </c>
      <c r="AD4180">
        <v>0</v>
      </c>
      <c r="AE4180">
        <v>15.16</v>
      </c>
      <c r="AF4180">
        <v>0</v>
      </c>
      <c r="AG4180">
        <v>0</v>
      </c>
      <c r="AH4180">
        <v>0</v>
      </c>
      <c r="AI4180">
        <v>0</v>
      </c>
      <c r="AJ4180">
        <v>126.16</v>
      </c>
      <c r="AK4180">
        <v>0</v>
      </c>
      <c r="AL4180" t="s">
        <v>53</v>
      </c>
      <c r="AM4180" t="s">
        <v>53</v>
      </c>
      <c r="AN4180" t="s">
        <v>7192</v>
      </c>
      <c r="AO4180" t="s">
        <v>53</v>
      </c>
      <c r="AP4180" t="s">
        <v>53</v>
      </c>
    </row>
    <row r="4181" spans="2:42" x14ac:dyDescent="0.2">
      <c r="B4181" t="s">
        <v>44</v>
      </c>
      <c r="C4181" t="str">
        <f>HYPERLINK("https://us2.cloudbeds.com/connect/8493803454333002#/reservations/9080486845768141?display=1TTP890CDA&amp;reservation_id=9080486845768141", "1TTP890CDA")</f>
        <v>1TTP890CDA</v>
      </c>
      <c r="D4181" t="s">
        <v>45</v>
      </c>
      <c r="E4181" t="s">
        <v>128</v>
      </c>
      <c r="F4181" t="s">
        <v>86</v>
      </c>
      <c r="G4181" t="s">
        <v>48</v>
      </c>
      <c r="H4181" t="s">
        <v>49</v>
      </c>
      <c r="I4181" t="s">
        <v>50</v>
      </c>
      <c r="J4181" t="s">
        <v>6880</v>
      </c>
      <c r="K4181" t="s">
        <v>6529</v>
      </c>
      <c r="L4181" t="s">
        <v>53</v>
      </c>
      <c r="N4181" t="s">
        <v>7193</v>
      </c>
      <c r="P4181" t="s">
        <v>55</v>
      </c>
      <c r="R4181" t="s">
        <v>53</v>
      </c>
      <c r="T4181" t="s">
        <v>7194</v>
      </c>
      <c r="U4181" t="s">
        <v>58</v>
      </c>
      <c r="V4181">
        <v>1</v>
      </c>
      <c r="W4181">
        <v>1</v>
      </c>
      <c r="X4181">
        <v>2</v>
      </c>
      <c r="Y4181">
        <v>0</v>
      </c>
      <c r="Z4181">
        <v>2</v>
      </c>
      <c r="AA4181">
        <v>69.540000000000006</v>
      </c>
      <c r="AB4181">
        <v>69.540000000000006</v>
      </c>
      <c r="AC4181">
        <v>61.2</v>
      </c>
      <c r="AD4181">
        <v>0</v>
      </c>
      <c r="AE4181">
        <v>8.34</v>
      </c>
      <c r="AF4181">
        <v>0</v>
      </c>
      <c r="AG4181">
        <v>0</v>
      </c>
      <c r="AH4181">
        <v>0</v>
      </c>
      <c r="AI4181">
        <v>12.52</v>
      </c>
      <c r="AJ4181">
        <v>69.540000000000006</v>
      </c>
      <c r="AK4181">
        <v>0</v>
      </c>
      <c r="AL4181" t="s">
        <v>53</v>
      </c>
      <c r="AM4181" t="s">
        <v>53</v>
      </c>
      <c r="AN4181" t="s">
        <v>53</v>
      </c>
      <c r="AO4181" t="s">
        <v>53</v>
      </c>
      <c r="AP4181" t="s">
        <v>53</v>
      </c>
    </row>
    <row r="4182" spans="2:42" x14ac:dyDescent="0.2">
      <c r="B4182" t="s">
        <v>44</v>
      </c>
      <c r="C4182" t="str">
        <f>HYPERLINK("https://us2.cloudbeds.com/connect/8493803454333002#/reservations/9080486845768241?display=1TTVQ9GRUH&amp;reservation_id=9080486845768241", "1TTVQ9GRUH")</f>
        <v>1TTVQ9GRUH</v>
      </c>
      <c r="D4182" t="s">
        <v>45</v>
      </c>
      <c r="E4182" t="s">
        <v>69</v>
      </c>
      <c r="F4182" t="s">
        <v>70</v>
      </c>
      <c r="G4182" t="s">
        <v>48</v>
      </c>
      <c r="H4182" t="s">
        <v>49</v>
      </c>
      <c r="I4182" t="s">
        <v>50</v>
      </c>
      <c r="J4182" t="s">
        <v>6529</v>
      </c>
      <c r="K4182" t="s">
        <v>6780</v>
      </c>
      <c r="L4182" t="s">
        <v>53</v>
      </c>
      <c r="N4182" t="s">
        <v>7195</v>
      </c>
      <c r="P4182" t="s">
        <v>55</v>
      </c>
      <c r="R4182" t="s">
        <v>53</v>
      </c>
      <c r="T4182" t="s">
        <v>7196</v>
      </c>
      <c r="U4182" t="s">
        <v>58</v>
      </c>
      <c r="V4182">
        <v>2</v>
      </c>
      <c r="W4182">
        <v>1</v>
      </c>
      <c r="X4182">
        <v>1</v>
      </c>
      <c r="Y4182">
        <v>0</v>
      </c>
      <c r="Z4182">
        <v>1</v>
      </c>
      <c r="AA4182">
        <v>105.35</v>
      </c>
      <c r="AB4182">
        <v>105.35</v>
      </c>
      <c r="AC4182">
        <v>92.7</v>
      </c>
      <c r="AD4182">
        <v>0</v>
      </c>
      <c r="AE4182">
        <v>12.65</v>
      </c>
      <c r="AF4182">
        <v>0</v>
      </c>
      <c r="AG4182">
        <v>0</v>
      </c>
      <c r="AH4182">
        <v>0</v>
      </c>
      <c r="AI4182">
        <v>18.96</v>
      </c>
      <c r="AJ4182">
        <v>105.35</v>
      </c>
      <c r="AK4182">
        <v>0</v>
      </c>
      <c r="AL4182" t="s">
        <v>53</v>
      </c>
      <c r="AM4182" t="s">
        <v>53</v>
      </c>
      <c r="AN4182" t="s">
        <v>53</v>
      </c>
      <c r="AO4182" t="s">
        <v>53</v>
      </c>
      <c r="AP4182" t="s">
        <v>53</v>
      </c>
    </row>
    <row r="4183" spans="2:42" x14ac:dyDescent="0.2">
      <c r="B4183" t="s">
        <v>44</v>
      </c>
      <c r="C4183" t="str">
        <f>HYPERLINK("https://us2.cloudbeds.com/connect/8493803454333002#/reservations/9080486845768291?display=1TU29R5181&amp;reservation_id=9080486845768291", "1TU29R5181")</f>
        <v>1TU29R5181</v>
      </c>
      <c r="D4183" t="s">
        <v>45</v>
      </c>
      <c r="E4183" t="s">
        <v>185</v>
      </c>
      <c r="F4183" t="s">
        <v>47</v>
      </c>
      <c r="G4183" t="s">
        <v>48</v>
      </c>
      <c r="H4183" t="s">
        <v>49</v>
      </c>
      <c r="I4183" t="s">
        <v>50</v>
      </c>
      <c r="J4183" t="s">
        <v>6726</v>
      </c>
      <c r="K4183" t="s">
        <v>5892</v>
      </c>
      <c r="L4183" t="s">
        <v>53</v>
      </c>
      <c r="N4183" t="s">
        <v>7197</v>
      </c>
      <c r="P4183" t="s">
        <v>55</v>
      </c>
      <c r="R4183" t="s">
        <v>53</v>
      </c>
      <c r="T4183" t="s">
        <v>7198</v>
      </c>
      <c r="U4183" t="s">
        <v>58</v>
      </c>
      <c r="V4183">
        <v>7</v>
      </c>
      <c r="W4183">
        <v>1</v>
      </c>
      <c r="X4183">
        <v>2</v>
      </c>
      <c r="Y4183">
        <v>0</v>
      </c>
      <c r="Z4183">
        <v>2</v>
      </c>
      <c r="AA4183">
        <v>355.53</v>
      </c>
      <c r="AB4183">
        <v>355.53</v>
      </c>
      <c r="AC4183">
        <v>312.8</v>
      </c>
      <c r="AD4183">
        <v>0</v>
      </c>
      <c r="AE4183">
        <v>42.73</v>
      </c>
      <c r="AF4183">
        <v>0</v>
      </c>
      <c r="AG4183">
        <v>0</v>
      </c>
      <c r="AH4183">
        <v>0</v>
      </c>
      <c r="AI4183">
        <v>64</v>
      </c>
      <c r="AJ4183">
        <v>355.53</v>
      </c>
      <c r="AK4183">
        <v>0</v>
      </c>
      <c r="AL4183" t="s">
        <v>53</v>
      </c>
      <c r="AM4183" t="s">
        <v>53</v>
      </c>
      <c r="AN4183" t="s">
        <v>53</v>
      </c>
      <c r="AO4183" t="s">
        <v>53</v>
      </c>
      <c r="AP4183" t="s">
        <v>53</v>
      </c>
    </row>
    <row r="4184" spans="2:42" x14ac:dyDescent="0.2">
      <c r="B4184" t="s">
        <v>44</v>
      </c>
      <c r="C4184" t="str">
        <f>HYPERLINK("https://us2.cloudbeds.com/connect/8493803454333002#/reservations/9080486845768462?display=1TUEUFN773&amp;reservation_id=9080486845768462", "1TUEUFN773")</f>
        <v>1TUEUFN773</v>
      </c>
      <c r="D4184" t="s">
        <v>45</v>
      </c>
      <c r="E4184" t="s">
        <v>190</v>
      </c>
      <c r="F4184" t="s">
        <v>61</v>
      </c>
      <c r="G4184" t="s">
        <v>48</v>
      </c>
      <c r="H4184" t="s">
        <v>49</v>
      </c>
      <c r="I4184" t="s">
        <v>62</v>
      </c>
      <c r="J4184" t="s">
        <v>7092</v>
      </c>
      <c r="K4184" t="s">
        <v>6912</v>
      </c>
      <c r="L4184" t="s">
        <v>53</v>
      </c>
      <c r="N4184" t="s">
        <v>7199</v>
      </c>
      <c r="P4184" t="s">
        <v>55</v>
      </c>
      <c r="R4184" t="s">
        <v>56</v>
      </c>
      <c r="T4184" t="s">
        <v>7200</v>
      </c>
      <c r="U4184" t="s">
        <v>55</v>
      </c>
      <c r="V4184">
        <v>2</v>
      </c>
      <c r="W4184">
        <v>1</v>
      </c>
      <c r="X4184">
        <v>2</v>
      </c>
      <c r="Y4184">
        <v>0</v>
      </c>
      <c r="Z4184">
        <v>2</v>
      </c>
      <c r="AA4184">
        <v>208</v>
      </c>
      <c r="AB4184">
        <v>208</v>
      </c>
      <c r="AC4184">
        <v>208</v>
      </c>
      <c r="AD4184">
        <v>0</v>
      </c>
      <c r="AE4184">
        <v>0</v>
      </c>
      <c r="AF4184">
        <v>0</v>
      </c>
      <c r="AG4184">
        <v>0</v>
      </c>
      <c r="AH4184">
        <v>0</v>
      </c>
      <c r="AI4184">
        <v>37.44</v>
      </c>
      <c r="AJ4184">
        <v>208</v>
      </c>
      <c r="AK4184">
        <v>0</v>
      </c>
      <c r="AL4184" t="s">
        <v>53</v>
      </c>
      <c r="AM4184" t="s">
        <v>53</v>
      </c>
      <c r="AN4184" t="s">
        <v>53</v>
      </c>
      <c r="AO4184" t="s">
        <v>53</v>
      </c>
      <c r="AP4184" t="s">
        <v>53</v>
      </c>
    </row>
    <row r="4185" spans="2:42" x14ac:dyDescent="0.2">
      <c r="B4185" t="s">
        <v>44</v>
      </c>
      <c r="C4185" t="str">
        <f>HYPERLINK("https://us2.cloudbeds.com/connect/8493803454333002#/reservations/9080486845768569?display=1TUMQ35F04&amp;reservation_id=9080486845768569", "1TUMQ35F04")</f>
        <v>1TUMQ35F04</v>
      </c>
      <c r="D4185" t="s">
        <v>45</v>
      </c>
      <c r="E4185" t="s">
        <v>179</v>
      </c>
      <c r="F4185" t="s">
        <v>47</v>
      </c>
      <c r="G4185" t="s">
        <v>48</v>
      </c>
      <c r="H4185" t="s">
        <v>49</v>
      </c>
      <c r="I4185" t="s">
        <v>50</v>
      </c>
      <c r="J4185" t="s">
        <v>7109</v>
      </c>
      <c r="K4185" t="s">
        <v>6877</v>
      </c>
      <c r="L4185" t="s">
        <v>53</v>
      </c>
      <c r="N4185" t="s">
        <v>7201</v>
      </c>
      <c r="P4185" t="s">
        <v>55</v>
      </c>
      <c r="R4185" t="s">
        <v>53</v>
      </c>
      <c r="T4185" t="s">
        <v>7202</v>
      </c>
      <c r="U4185" t="s">
        <v>58</v>
      </c>
      <c r="V4185">
        <v>1</v>
      </c>
      <c r="W4185">
        <v>1</v>
      </c>
      <c r="X4185">
        <v>2</v>
      </c>
      <c r="Y4185">
        <v>0</v>
      </c>
      <c r="Z4185">
        <v>2</v>
      </c>
      <c r="AA4185">
        <v>85.92</v>
      </c>
      <c r="AB4185">
        <v>85.92</v>
      </c>
      <c r="AC4185">
        <v>75.599999999999994</v>
      </c>
      <c r="AD4185">
        <v>0</v>
      </c>
      <c r="AE4185">
        <v>10.32</v>
      </c>
      <c r="AF4185">
        <v>0</v>
      </c>
      <c r="AG4185">
        <v>0</v>
      </c>
      <c r="AH4185">
        <v>0</v>
      </c>
      <c r="AI4185">
        <v>15.47</v>
      </c>
      <c r="AJ4185">
        <v>85.92</v>
      </c>
      <c r="AK4185">
        <v>0</v>
      </c>
      <c r="AL4185" t="s">
        <v>53</v>
      </c>
      <c r="AM4185" t="s">
        <v>53</v>
      </c>
      <c r="AN4185" t="s">
        <v>53</v>
      </c>
      <c r="AO4185" t="s">
        <v>53</v>
      </c>
      <c r="AP4185" t="s">
        <v>53</v>
      </c>
    </row>
    <row r="4186" spans="2:42" x14ac:dyDescent="0.2">
      <c r="B4186" t="s">
        <v>44</v>
      </c>
      <c r="C4186" t="str">
        <f>HYPERLINK("https://us2.cloudbeds.com/connect/8493803454333002#/reservations/88504329277591?display=1TUM0ZP1C6&amp;reservation_id=88504329277591", "1TUM0ZP1C6")</f>
        <v>1TUM0ZP1C6</v>
      </c>
      <c r="D4186" t="s">
        <v>45</v>
      </c>
      <c r="E4186" t="s">
        <v>78</v>
      </c>
      <c r="F4186" t="s">
        <v>61</v>
      </c>
      <c r="G4186" t="s">
        <v>48</v>
      </c>
      <c r="H4186" t="s">
        <v>3957</v>
      </c>
      <c r="I4186" t="s">
        <v>3975</v>
      </c>
      <c r="J4186" t="s">
        <v>6836</v>
      </c>
      <c r="K4186" t="s">
        <v>6837</v>
      </c>
      <c r="L4186" t="s">
        <v>53</v>
      </c>
      <c r="P4186" t="s">
        <v>55</v>
      </c>
      <c r="R4186" t="s">
        <v>53</v>
      </c>
      <c r="T4186" t="s">
        <v>7203</v>
      </c>
      <c r="U4186" t="s">
        <v>58</v>
      </c>
      <c r="V4186">
        <v>1</v>
      </c>
      <c r="W4186">
        <v>1</v>
      </c>
      <c r="X4186">
        <v>2</v>
      </c>
      <c r="Y4186">
        <v>0</v>
      </c>
      <c r="Z4186">
        <v>2</v>
      </c>
      <c r="AA4186">
        <v>68.19</v>
      </c>
      <c r="AB4186">
        <v>68.19</v>
      </c>
      <c r="AC4186">
        <v>60</v>
      </c>
      <c r="AD4186">
        <v>0</v>
      </c>
      <c r="AE4186">
        <v>8.19</v>
      </c>
      <c r="AF4186">
        <v>0</v>
      </c>
      <c r="AG4186">
        <v>0</v>
      </c>
      <c r="AH4186">
        <v>0</v>
      </c>
      <c r="AI4186">
        <v>0</v>
      </c>
      <c r="AJ4186">
        <v>68.19</v>
      </c>
      <c r="AK4186">
        <v>0</v>
      </c>
      <c r="AL4186" t="s">
        <v>53</v>
      </c>
      <c r="AM4186" t="s">
        <v>53</v>
      </c>
      <c r="AN4186" t="s">
        <v>53</v>
      </c>
      <c r="AO4186" t="s">
        <v>53</v>
      </c>
      <c r="AP4186" t="s">
        <v>53</v>
      </c>
    </row>
    <row r="4187" spans="2:42" x14ac:dyDescent="0.2">
      <c r="B4187" t="s">
        <v>44</v>
      </c>
      <c r="C4187" t="str">
        <f>HYPERLINK("https://us2.cloudbeds.com/connect/8493803454333002#/reservations/88510691574011?display=1TUQVAKAGD&amp;reservation_id=88510691574011", "1TUQVAKAGD")</f>
        <v>1TUQVAKAGD</v>
      </c>
      <c r="D4187" t="s">
        <v>45</v>
      </c>
      <c r="E4187" t="s">
        <v>98</v>
      </c>
      <c r="F4187" t="s">
        <v>86</v>
      </c>
      <c r="G4187" t="s">
        <v>4520</v>
      </c>
      <c r="H4187" t="s">
        <v>3957</v>
      </c>
      <c r="I4187" t="s">
        <v>3958</v>
      </c>
      <c r="J4187" t="s">
        <v>6880</v>
      </c>
      <c r="K4187" t="s">
        <v>6780</v>
      </c>
      <c r="L4187" t="s">
        <v>53</v>
      </c>
      <c r="P4187" t="s">
        <v>58</v>
      </c>
      <c r="R4187" t="s">
        <v>56</v>
      </c>
      <c r="T4187" t="s">
        <v>7204</v>
      </c>
      <c r="U4187" t="s">
        <v>58</v>
      </c>
      <c r="V4187">
        <v>3</v>
      </c>
      <c r="W4187">
        <v>1</v>
      </c>
      <c r="X4187">
        <v>1</v>
      </c>
      <c r="Y4187">
        <v>0</v>
      </c>
      <c r="Z4187">
        <v>1</v>
      </c>
      <c r="AA4187">
        <v>210.69</v>
      </c>
      <c r="AB4187">
        <v>210.69</v>
      </c>
      <c r="AC4187">
        <v>185.4</v>
      </c>
      <c r="AD4187">
        <v>0</v>
      </c>
      <c r="AE4187">
        <v>25.29</v>
      </c>
      <c r="AF4187">
        <v>0</v>
      </c>
      <c r="AG4187">
        <v>0</v>
      </c>
      <c r="AH4187">
        <v>0</v>
      </c>
      <c r="AI4187">
        <v>0</v>
      </c>
      <c r="AJ4187">
        <v>210.69</v>
      </c>
      <c r="AK4187">
        <v>0</v>
      </c>
      <c r="AL4187" t="s">
        <v>53</v>
      </c>
      <c r="AM4187" t="s">
        <v>53</v>
      </c>
      <c r="AN4187" t="s">
        <v>53</v>
      </c>
      <c r="AO4187" t="s">
        <v>53</v>
      </c>
      <c r="AP4187" t="s">
        <v>53</v>
      </c>
    </row>
    <row r="4188" spans="2:42" x14ac:dyDescent="0.2">
      <c r="B4188" t="s">
        <v>44</v>
      </c>
      <c r="C4188" t="str">
        <f>HYPERLINK("https://us2.cloudbeds.com/connect/8493803454333002#/reservations/9080486845768758?display=1TV2R0EPAK&amp;reservation_id=9080486845768758", "1TV2R0EPAK")</f>
        <v>1TV2R0EPAK</v>
      </c>
      <c r="D4188" t="s">
        <v>45</v>
      </c>
      <c r="E4188" t="s">
        <v>78</v>
      </c>
      <c r="F4188" t="s">
        <v>61</v>
      </c>
      <c r="G4188" t="s">
        <v>48</v>
      </c>
      <c r="H4188" t="s">
        <v>49</v>
      </c>
      <c r="I4188" t="s">
        <v>50</v>
      </c>
      <c r="J4188" t="s">
        <v>6737</v>
      </c>
      <c r="K4188" t="s">
        <v>5519</v>
      </c>
      <c r="L4188" t="s">
        <v>53</v>
      </c>
      <c r="N4188" t="s">
        <v>7205</v>
      </c>
      <c r="P4188" t="s">
        <v>55</v>
      </c>
      <c r="R4188" t="s">
        <v>53</v>
      </c>
      <c r="T4188" t="s">
        <v>7206</v>
      </c>
      <c r="U4188" t="s">
        <v>58</v>
      </c>
      <c r="V4188">
        <v>1</v>
      </c>
      <c r="W4188">
        <v>1</v>
      </c>
      <c r="X4188">
        <v>2</v>
      </c>
      <c r="Y4188">
        <v>0</v>
      </c>
      <c r="Z4188">
        <v>2</v>
      </c>
      <c r="AA4188">
        <v>58.73</v>
      </c>
      <c r="AB4188">
        <v>58.73</v>
      </c>
      <c r="AC4188">
        <v>51.68</v>
      </c>
      <c r="AD4188">
        <v>0</v>
      </c>
      <c r="AE4188">
        <v>7.05</v>
      </c>
      <c r="AF4188">
        <v>0</v>
      </c>
      <c r="AG4188">
        <v>0</v>
      </c>
      <c r="AH4188">
        <v>0</v>
      </c>
      <c r="AI4188">
        <v>10.57</v>
      </c>
      <c r="AJ4188">
        <v>58.73</v>
      </c>
      <c r="AK4188">
        <v>0</v>
      </c>
      <c r="AL4188" t="s">
        <v>53</v>
      </c>
      <c r="AM4188" t="s">
        <v>53</v>
      </c>
      <c r="AN4188" t="s">
        <v>53</v>
      </c>
      <c r="AO4188" t="s">
        <v>53</v>
      </c>
      <c r="AP4188" t="s">
        <v>53</v>
      </c>
    </row>
    <row r="4189" spans="2:42" x14ac:dyDescent="0.2">
      <c r="B4189" t="s">
        <v>44</v>
      </c>
      <c r="C4189" t="str">
        <f>HYPERLINK("https://us2.cloudbeds.com/connect/8493803454333002#/reservations/9080486845768972?display=1TVXE4B0MA&amp;reservation_id=9080486845768972", "1TVXE4B0MA")</f>
        <v>1TVXE4B0MA</v>
      </c>
      <c r="D4189" t="s">
        <v>45</v>
      </c>
      <c r="E4189" t="s">
        <v>78</v>
      </c>
      <c r="F4189" t="s">
        <v>61</v>
      </c>
      <c r="G4189" t="s">
        <v>48</v>
      </c>
      <c r="H4189" t="s">
        <v>49</v>
      </c>
      <c r="I4189" t="s">
        <v>62</v>
      </c>
      <c r="J4189" t="s">
        <v>5892</v>
      </c>
      <c r="K4189" t="s">
        <v>5895</v>
      </c>
      <c r="L4189" t="s">
        <v>53</v>
      </c>
      <c r="N4189" t="s">
        <v>7207</v>
      </c>
      <c r="P4189" t="s">
        <v>55</v>
      </c>
      <c r="R4189" t="s">
        <v>56</v>
      </c>
      <c r="T4189" t="s">
        <v>7208</v>
      </c>
      <c r="U4189" t="s">
        <v>55</v>
      </c>
      <c r="V4189">
        <v>1</v>
      </c>
      <c r="W4189">
        <v>1</v>
      </c>
      <c r="X4189">
        <v>2</v>
      </c>
      <c r="Y4189">
        <v>0</v>
      </c>
      <c r="Z4189">
        <v>2</v>
      </c>
      <c r="AA4189">
        <v>61.75</v>
      </c>
      <c r="AB4189">
        <v>61.75</v>
      </c>
      <c r="AC4189">
        <v>61.75</v>
      </c>
      <c r="AD4189">
        <v>0</v>
      </c>
      <c r="AE4189">
        <v>0</v>
      </c>
      <c r="AF4189">
        <v>0</v>
      </c>
      <c r="AG4189">
        <v>0</v>
      </c>
      <c r="AH4189">
        <v>0</v>
      </c>
      <c r="AI4189">
        <v>11.12</v>
      </c>
      <c r="AJ4189">
        <v>61.75</v>
      </c>
      <c r="AK4189">
        <v>0</v>
      </c>
      <c r="AL4189" t="s">
        <v>53</v>
      </c>
      <c r="AM4189" t="s">
        <v>53</v>
      </c>
      <c r="AN4189" t="s">
        <v>53</v>
      </c>
      <c r="AO4189" t="s">
        <v>53</v>
      </c>
      <c r="AP4189" t="s">
        <v>53</v>
      </c>
    </row>
    <row r="4190" spans="2:42" x14ac:dyDescent="0.2">
      <c r="B4190" t="s">
        <v>44</v>
      </c>
      <c r="C4190" t="str">
        <f>HYPERLINK("https://us2.cloudbeds.com/connect/8493803454333002#/reservations/9080486845769177?display=1TW22G83U2&amp;reservation_id=9080486845769177", "1TW22G83U2")</f>
        <v>1TW22G83U2</v>
      </c>
      <c r="D4190" t="s">
        <v>45</v>
      </c>
      <c r="E4190" t="s">
        <v>165</v>
      </c>
      <c r="F4190" t="s">
        <v>61</v>
      </c>
      <c r="G4190" t="s">
        <v>48</v>
      </c>
      <c r="H4190" t="s">
        <v>49</v>
      </c>
      <c r="I4190" t="s">
        <v>50</v>
      </c>
      <c r="J4190" t="s">
        <v>6780</v>
      </c>
      <c r="K4190" t="s">
        <v>6930</v>
      </c>
      <c r="L4190" t="s">
        <v>53</v>
      </c>
      <c r="N4190" t="s">
        <v>7209</v>
      </c>
      <c r="P4190" t="s">
        <v>55</v>
      </c>
      <c r="R4190" t="s">
        <v>53</v>
      </c>
      <c r="T4190" t="s">
        <v>7210</v>
      </c>
      <c r="U4190" t="s">
        <v>58</v>
      </c>
      <c r="V4190">
        <v>1</v>
      </c>
      <c r="W4190">
        <v>1</v>
      </c>
      <c r="X4190">
        <v>1</v>
      </c>
      <c r="Y4190">
        <v>0</v>
      </c>
      <c r="Z4190">
        <v>1</v>
      </c>
      <c r="AA4190">
        <v>59.1</v>
      </c>
      <c r="AB4190">
        <v>59.1</v>
      </c>
      <c r="AC4190">
        <v>52</v>
      </c>
      <c r="AD4190">
        <v>0</v>
      </c>
      <c r="AE4190">
        <v>7.1</v>
      </c>
      <c r="AF4190">
        <v>0</v>
      </c>
      <c r="AG4190">
        <v>0</v>
      </c>
      <c r="AH4190">
        <v>0</v>
      </c>
      <c r="AI4190">
        <v>10.64</v>
      </c>
      <c r="AJ4190">
        <v>59.1</v>
      </c>
      <c r="AK4190">
        <v>0</v>
      </c>
      <c r="AL4190" t="s">
        <v>53</v>
      </c>
      <c r="AM4190" t="s">
        <v>53</v>
      </c>
      <c r="AN4190" t="s">
        <v>53</v>
      </c>
      <c r="AO4190" t="s">
        <v>53</v>
      </c>
      <c r="AP4190" t="s">
        <v>53</v>
      </c>
    </row>
    <row r="4191" spans="2:42" x14ac:dyDescent="0.2">
      <c r="B4191" t="s">
        <v>44</v>
      </c>
      <c r="C4191" t="str">
        <f>HYPERLINK("https://us2.cloudbeds.com/connect/8493803454333002#/reservations/9080486845769329?display=1TWFG6WPSJ&amp;reservation_id=9080486845769329", "1TWFG6WPSJ")</f>
        <v>1TWFG6WPSJ</v>
      </c>
      <c r="D4191" t="s">
        <v>45</v>
      </c>
      <c r="E4191" t="s">
        <v>190</v>
      </c>
      <c r="F4191" t="s">
        <v>61</v>
      </c>
      <c r="G4191" t="s">
        <v>48</v>
      </c>
      <c r="H4191" t="s">
        <v>49</v>
      </c>
      <c r="I4191" t="s">
        <v>50</v>
      </c>
      <c r="J4191" t="s">
        <v>6999</v>
      </c>
      <c r="K4191" t="s">
        <v>5963</v>
      </c>
      <c r="L4191" t="s">
        <v>53</v>
      </c>
      <c r="N4191" t="s">
        <v>7211</v>
      </c>
      <c r="P4191" t="s">
        <v>55</v>
      </c>
      <c r="R4191" t="s">
        <v>53</v>
      </c>
      <c r="T4191" t="s">
        <v>7212</v>
      </c>
      <c r="U4191" t="s">
        <v>58</v>
      </c>
      <c r="V4191">
        <v>1</v>
      </c>
      <c r="W4191">
        <v>1</v>
      </c>
      <c r="X4191">
        <v>1</v>
      </c>
      <c r="Y4191">
        <v>0</v>
      </c>
      <c r="Z4191">
        <v>1</v>
      </c>
      <c r="AA4191">
        <v>109.16</v>
      </c>
      <c r="AB4191">
        <v>109.16</v>
      </c>
      <c r="AC4191">
        <v>96.05</v>
      </c>
      <c r="AD4191">
        <v>0</v>
      </c>
      <c r="AE4191">
        <v>13.11</v>
      </c>
      <c r="AF4191">
        <v>0</v>
      </c>
      <c r="AG4191">
        <v>0</v>
      </c>
      <c r="AH4191">
        <v>0</v>
      </c>
      <c r="AI4191">
        <v>19.649999999999999</v>
      </c>
      <c r="AJ4191">
        <v>109.16</v>
      </c>
      <c r="AK4191">
        <v>0</v>
      </c>
      <c r="AL4191" t="s">
        <v>53</v>
      </c>
      <c r="AM4191" t="s">
        <v>53</v>
      </c>
      <c r="AN4191" t="s">
        <v>53</v>
      </c>
      <c r="AO4191" t="s">
        <v>53</v>
      </c>
      <c r="AP4191" t="s">
        <v>53</v>
      </c>
    </row>
    <row r="4192" spans="2:42" x14ac:dyDescent="0.2">
      <c r="B4192" t="s">
        <v>44</v>
      </c>
      <c r="C4192" t="str">
        <f>HYPERLINK("https://us2.cloudbeds.com/connect/8493803454333002#/reservations/88584749297852?display=1TWX9M1YX4&amp;reservation_id=88584749297852", "1TWX9M1YX4")</f>
        <v>1TWX9M1YX4</v>
      </c>
      <c r="D4192" t="s">
        <v>45</v>
      </c>
      <c r="E4192" t="s">
        <v>105</v>
      </c>
      <c r="F4192" t="s">
        <v>47</v>
      </c>
      <c r="G4192" t="s">
        <v>48</v>
      </c>
      <c r="H4192" t="s">
        <v>3957</v>
      </c>
      <c r="I4192" t="s">
        <v>3975</v>
      </c>
      <c r="J4192" t="s">
        <v>6819</v>
      </c>
      <c r="K4192" t="s">
        <v>4159</v>
      </c>
      <c r="L4192" t="s">
        <v>53</v>
      </c>
      <c r="P4192" t="s">
        <v>55</v>
      </c>
      <c r="R4192" t="s">
        <v>53</v>
      </c>
      <c r="T4192" t="s">
        <v>7213</v>
      </c>
      <c r="U4192" t="s">
        <v>58</v>
      </c>
      <c r="V4192">
        <v>1</v>
      </c>
      <c r="W4192">
        <v>1</v>
      </c>
      <c r="X4192">
        <v>2</v>
      </c>
      <c r="Y4192">
        <v>0</v>
      </c>
      <c r="Z4192">
        <v>2</v>
      </c>
      <c r="AA4192">
        <v>130.71</v>
      </c>
      <c r="AB4192">
        <v>130.71</v>
      </c>
      <c r="AC4192">
        <v>115</v>
      </c>
      <c r="AD4192">
        <v>0</v>
      </c>
      <c r="AE4192">
        <v>15.71</v>
      </c>
      <c r="AF4192">
        <v>0</v>
      </c>
      <c r="AG4192">
        <v>0</v>
      </c>
      <c r="AH4192">
        <v>0</v>
      </c>
      <c r="AI4192">
        <v>0</v>
      </c>
      <c r="AJ4192">
        <v>130.71</v>
      </c>
      <c r="AK4192">
        <v>0</v>
      </c>
      <c r="AL4192" t="s">
        <v>53</v>
      </c>
      <c r="AM4192" t="s">
        <v>53</v>
      </c>
      <c r="AN4192" t="s">
        <v>53</v>
      </c>
      <c r="AO4192" t="s">
        <v>53</v>
      </c>
      <c r="AP4192" t="s">
        <v>53</v>
      </c>
    </row>
    <row r="4193" spans="2:42" x14ac:dyDescent="0.2">
      <c r="B4193" t="s">
        <v>44</v>
      </c>
      <c r="C4193" t="str">
        <f>HYPERLINK("https://us2.cloudbeds.com/connect/8493803454333002#/reservations/9080486845770461?display=1U1TSFCCE5&amp;reservation_id=9080486845770461", "1U1TSFCCE5")</f>
        <v>1U1TSFCCE5</v>
      </c>
      <c r="D4193" t="s">
        <v>45</v>
      </c>
      <c r="E4193" t="s">
        <v>165</v>
      </c>
      <c r="F4193" t="s">
        <v>61</v>
      </c>
      <c r="G4193" t="s">
        <v>48</v>
      </c>
      <c r="H4193" t="s">
        <v>49</v>
      </c>
      <c r="I4193" t="s">
        <v>62</v>
      </c>
      <c r="J4193" t="s">
        <v>6930</v>
      </c>
      <c r="K4193" t="s">
        <v>6801</v>
      </c>
      <c r="L4193" t="s">
        <v>53</v>
      </c>
      <c r="N4193" t="s">
        <v>7214</v>
      </c>
      <c r="P4193" t="s">
        <v>55</v>
      </c>
      <c r="R4193" t="s">
        <v>56</v>
      </c>
      <c r="T4193" t="s">
        <v>7215</v>
      </c>
      <c r="U4193" t="s">
        <v>55</v>
      </c>
      <c r="V4193">
        <v>1</v>
      </c>
      <c r="W4193">
        <v>1</v>
      </c>
      <c r="X4193">
        <v>2</v>
      </c>
      <c r="Y4193">
        <v>0</v>
      </c>
      <c r="Z4193">
        <v>2</v>
      </c>
      <c r="AA4193">
        <v>65</v>
      </c>
      <c r="AB4193">
        <v>65</v>
      </c>
      <c r="AC4193">
        <v>65</v>
      </c>
      <c r="AD4193">
        <v>0</v>
      </c>
      <c r="AE4193">
        <v>0</v>
      </c>
      <c r="AF4193">
        <v>0</v>
      </c>
      <c r="AG4193">
        <v>0</v>
      </c>
      <c r="AH4193">
        <v>0</v>
      </c>
      <c r="AI4193">
        <v>11.7</v>
      </c>
      <c r="AJ4193">
        <v>65</v>
      </c>
      <c r="AK4193">
        <v>0</v>
      </c>
      <c r="AL4193" t="s">
        <v>53</v>
      </c>
      <c r="AM4193" t="s">
        <v>53</v>
      </c>
      <c r="AN4193" t="s">
        <v>53</v>
      </c>
      <c r="AO4193" t="s">
        <v>53</v>
      </c>
      <c r="AP4193" t="s">
        <v>53</v>
      </c>
    </row>
    <row r="4194" spans="2:42" x14ac:dyDescent="0.2">
      <c r="B4194" t="s">
        <v>44</v>
      </c>
      <c r="C4194" t="str">
        <f>HYPERLINK("https://us2.cloudbeds.com/connect/8493803454333002#/reservations/9080486845770710?display=1U2A4RJ8MQ&amp;reservation_id=9080486845770710", "1U2A4RJ8MQ")</f>
        <v>1U2A4RJ8MQ</v>
      </c>
      <c r="D4194" t="s">
        <v>45</v>
      </c>
      <c r="E4194" t="s">
        <v>110</v>
      </c>
      <c r="F4194" t="s">
        <v>47</v>
      </c>
      <c r="G4194" t="s">
        <v>48</v>
      </c>
      <c r="H4194" t="s">
        <v>49</v>
      </c>
      <c r="I4194" t="s">
        <v>50</v>
      </c>
      <c r="J4194" t="s">
        <v>4768</v>
      </c>
      <c r="K4194" t="s">
        <v>6586</v>
      </c>
      <c r="L4194" t="s">
        <v>53</v>
      </c>
      <c r="N4194" t="s">
        <v>7216</v>
      </c>
      <c r="P4194" t="s">
        <v>55</v>
      </c>
      <c r="R4194" t="s">
        <v>53</v>
      </c>
      <c r="T4194" t="s">
        <v>7217</v>
      </c>
      <c r="U4194" t="s">
        <v>58</v>
      </c>
      <c r="V4194">
        <v>1</v>
      </c>
      <c r="W4194">
        <v>1</v>
      </c>
      <c r="X4194">
        <v>2</v>
      </c>
      <c r="Y4194">
        <v>0</v>
      </c>
      <c r="Z4194">
        <v>2</v>
      </c>
      <c r="AA4194">
        <v>101.44</v>
      </c>
      <c r="AB4194">
        <v>101.44</v>
      </c>
      <c r="AC4194">
        <v>89.25</v>
      </c>
      <c r="AD4194">
        <v>0</v>
      </c>
      <c r="AE4194">
        <v>12.19</v>
      </c>
      <c r="AF4194">
        <v>0</v>
      </c>
      <c r="AG4194">
        <v>0</v>
      </c>
      <c r="AH4194">
        <v>0</v>
      </c>
      <c r="AI4194">
        <v>18.260000000000002</v>
      </c>
      <c r="AJ4194">
        <v>101.44</v>
      </c>
      <c r="AK4194">
        <v>0</v>
      </c>
      <c r="AL4194" t="s">
        <v>53</v>
      </c>
      <c r="AM4194" t="s">
        <v>53</v>
      </c>
      <c r="AN4194" t="s">
        <v>53</v>
      </c>
      <c r="AO4194" t="s">
        <v>53</v>
      </c>
      <c r="AP4194" t="s">
        <v>53</v>
      </c>
    </row>
    <row r="4195" spans="2:42" x14ac:dyDescent="0.2">
      <c r="B4195" t="s">
        <v>44</v>
      </c>
      <c r="C4195" t="str">
        <f>HYPERLINK("https://us2.cloudbeds.com/connect/8493803454333002#/reservations/9080486845770732?display=1U2B808US6&amp;reservation_id=9080486845770732", "1U2B808US6")</f>
        <v>1U2B808US6</v>
      </c>
      <c r="D4195" t="s">
        <v>45</v>
      </c>
      <c r="E4195" t="s">
        <v>190</v>
      </c>
      <c r="F4195" t="s">
        <v>61</v>
      </c>
      <c r="G4195" t="s">
        <v>48</v>
      </c>
      <c r="H4195" t="s">
        <v>49</v>
      </c>
      <c r="I4195" t="s">
        <v>50</v>
      </c>
      <c r="J4195" t="s">
        <v>7218</v>
      </c>
      <c r="K4195" t="s">
        <v>6661</v>
      </c>
      <c r="L4195" t="s">
        <v>53</v>
      </c>
      <c r="N4195" t="s">
        <v>7219</v>
      </c>
      <c r="P4195" t="s">
        <v>55</v>
      </c>
      <c r="R4195" t="s">
        <v>53</v>
      </c>
      <c r="T4195" t="s">
        <v>7220</v>
      </c>
      <c r="U4195" t="s">
        <v>58</v>
      </c>
      <c r="V4195">
        <v>1</v>
      </c>
      <c r="W4195">
        <v>1</v>
      </c>
      <c r="X4195">
        <v>2</v>
      </c>
      <c r="Y4195">
        <v>0</v>
      </c>
      <c r="Z4195">
        <v>2</v>
      </c>
      <c r="AA4195">
        <v>173.45</v>
      </c>
      <c r="AB4195">
        <v>173.45</v>
      </c>
      <c r="AC4195">
        <v>152.62</v>
      </c>
      <c r="AD4195">
        <v>0</v>
      </c>
      <c r="AE4195">
        <v>20.83</v>
      </c>
      <c r="AF4195">
        <v>0</v>
      </c>
      <c r="AG4195">
        <v>0</v>
      </c>
      <c r="AH4195">
        <v>0</v>
      </c>
      <c r="AI4195">
        <v>31.22</v>
      </c>
      <c r="AJ4195">
        <v>173.45</v>
      </c>
      <c r="AK4195">
        <v>0</v>
      </c>
      <c r="AL4195" t="s">
        <v>53</v>
      </c>
      <c r="AM4195" t="s">
        <v>53</v>
      </c>
      <c r="AN4195" t="s">
        <v>53</v>
      </c>
      <c r="AO4195" t="s">
        <v>53</v>
      </c>
      <c r="AP4195" t="s">
        <v>53</v>
      </c>
    </row>
    <row r="4196" spans="2:42" x14ac:dyDescent="0.2">
      <c r="B4196" t="s">
        <v>44</v>
      </c>
      <c r="C4196" t="str">
        <f>HYPERLINK("https://us2.cloudbeds.com/connect/8493803454333002#/reservations/88713880408206?display=1U2J98R508&amp;reservation_id=88713880408206", "1U2J98R508")</f>
        <v>1U2J98R508</v>
      </c>
      <c r="D4196" t="s">
        <v>45</v>
      </c>
      <c r="E4196" t="s">
        <v>179</v>
      </c>
      <c r="F4196" t="s">
        <v>47</v>
      </c>
      <c r="G4196" t="s">
        <v>48</v>
      </c>
      <c r="H4196" t="s">
        <v>3957</v>
      </c>
      <c r="I4196" t="s">
        <v>3975</v>
      </c>
      <c r="J4196" t="s">
        <v>6930</v>
      </c>
      <c r="K4196" t="s">
        <v>6801</v>
      </c>
      <c r="L4196" t="s">
        <v>53</v>
      </c>
      <c r="P4196" t="s">
        <v>55</v>
      </c>
      <c r="R4196" t="s">
        <v>53</v>
      </c>
      <c r="T4196" t="s">
        <v>7221</v>
      </c>
      <c r="U4196" t="s">
        <v>58</v>
      </c>
      <c r="V4196">
        <v>1</v>
      </c>
      <c r="W4196">
        <v>1</v>
      </c>
      <c r="X4196">
        <v>2</v>
      </c>
      <c r="Y4196">
        <v>0</v>
      </c>
      <c r="Z4196">
        <v>2</v>
      </c>
      <c r="AA4196">
        <v>68.19</v>
      </c>
      <c r="AB4196">
        <v>68.19</v>
      </c>
      <c r="AC4196">
        <v>60</v>
      </c>
      <c r="AD4196">
        <v>0</v>
      </c>
      <c r="AE4196">
        <v>8.19</v>
      </c>
      <c r="AF4196">
        <v>0</v>
      </c>
      <c r="AG4196">
        <v>0</v>
      </c>
      <c r="AH4196">
        <v>0</v>
      </c>
      <c r="AI4196">
        <v>0</v>
      </c>
      <c r="AJ4196">
        <v>68.19</v>
      </c>
      <c r="AK4196">
        <v>0</v>
      </c>
      <c r="AL4196" t="s">
        <v>53</v>
      </c>
      <c r="AM4196" t="s">
        <v>53</v>
      </c>
      <c r="AN4196" t="s">
        <v>53</v>
      </c>
      <c r="AO4196" t="s">
        <v>53</v>
      </c>
      <c r="AP4196" t="s">
        <v>53</v>
      </c>
    </row>
    <row r="4197" spans="2:42" x14ac:dyDescent="0.2">
      <c r="B4197" t="s">
        <v>44</v>
      </c>
      <c r="C4197" t="str">
        <f>HYPERLINK("https://us2.cloudbeds.com/connect/8493803454333002#/reservations/9080486845771092?display=1U2R2Y7CDP&amp;reservation_id=9080486845771092", "1U2R2Y7CDP")</f>
        <v>1U2R2Y7CDP</v>
      </c>
      <c r="D4197" t="s">
        <v>45</v>
      </c>
      <c r="E4197" t="s">
        <v>381</v>
      </c>
      <c r="F4197" t="s">
        <v>47</v>
      </c>
      <c r="G4197" t="s">
        <v>48</v>
      </c>
      <c r="H4197" t="s">
        <v>49</v>
      </c>
      <c r="I4197" t="s">
        <v>62</v>
      </c>
      <c r="J4197" t="s">
        <v>6529</v>
      </c>
      <c r="K4197" t="s">
        <v>6801</v>
      </c>
      <c r="L4197" t="s">
        <v>53</v>
      </c>
      <c r="N4197" t="s">
        <v>7222</v>
      </c>
      <c r="P4197" t="s">
        <v>55</v>
      </c>
      <c r="R4197" t="s">
        <v>56</v>
      </c>
      <c r="T4197" t="s">
        <v>7223</v>
      </c>
      <c r="U4197" t="s">
        <v>55</v>
      </c>
      <c r="V4197">
        <v>4</v>
      </c>
      <c r="W4197">
        <v>1</v>
      </c>
      <c r="X4197">
        <v>2</v>
      </c>
      <c r="Y4197">
        <v>0</v>
      </c>
      <c r="Z4197">
        <v>2</v>
      </c>
      <c r="AA4197">
        <v>245</v>
      </c>
      <c r="AB4197">
        <v>245</v>
      </c>
      <c r="AC4197">
        <v>245</v>
      </c>
      <c r="AD4197">
        <v>0</v>
      </c>
      <c r="AE4197">
        <v>0</v>
      </c>
      <c r="AF4197">
        <v>0</v>
      </c>
      <c r="AG4197">
        <v>0</v>
      </c>
      <c r="AH4197">
        <v>0</v>
      </c>
      <c r="AI4197">
        <v>44.1</v>
      </c>
      <c r="AJ4197">
        <v>245</v>
      </c>
      <c r="AK4197">
        <v>0</v>
      </c>
      <c r="AL4197" t="s">
        <v>53</v>
      </c>
      <c r="AM4197" t="s">
        <v>53</v>
      </c>
      <c r="AN4197" t="s">
        <v>53</v>
      </c>
      <c r="AO4197" t="s">
        <v>53</v>
      </c>
      <c r="AP4197" t="s">
        <v>53</v>
      </c>
    </row>
    <row r="4198" spans="2:42" x14ac:dyDescent="0.2">
      <c r="B4198" t="s">
        <v>44</v>
      </c>
      <c r="C4198" t="str">
        <f>HYPERLINK("https://us2.cloudbeds.com/connect/8493803454333002#/reservations/88740624855227?display=1U36WYEQSP&amp;reservation_id=88740624855227", "1U36WYEQSP")</f>
        <v>1U36WYEQSP</v>
      </c>
      <c r="D4198" t="s">
        <v>45</v>
      </c>
      <c r="E4198" t="s">
        <v>98</v>
      </c>
      <c r="F4198" t="s">
        <v>86</v>
      </c>
      <c r="G4198" t="s">
        <v>48</v>
      </c>
      <c r="H4198" t="s">
        <v>3957</v>
      </c>
      <c r="I4198" t="s">
        <v>3958</v>
      </c>
      <c r="J4198" t="s">
        <v>6780</v>
      </c>
      <c r="K4198" t="s">
        <v>6801</v>
      </c>
      <c r="L4198" t="s">
        <v>53</v>
      </c>
      <c r="P4198" t="s">
        <v>58</v>
      </c>
      <c r="R4198" t="s">
        <v>56</v>
      </c>
      <c r="T4198" t="s">
        <v>7224</v>
      </c>
      <c r="U4198" t="s">
        <v>58</v>
      </c>
      <c r="V4198">
        <v>2</v>
      </c>
      <c r="W4198">
        <v>1</v>
      </c>
      <c r="X4198">
        <v>1</v>
      </c>
      <c r="Y4198">
        <v>0</v>
      </c>
      <c r="Z4198">
        <v>1</v>
      </c>
      <c r="AA4198">
        <v>116.93</v>
      </c>
      <c r="AB4198">
        <v>116.93</v>
      </c>
      <c r="AC4198">
        <v>102.9</v>
      </c>
      <c r="AD4198">
        <v>0</v>
      </c>
      <c r="AE4198">
        <v>14.03</v>
      </c>
      <c r="AF4198">
        <v>0</v>
      </c>
      <c r="AG4198">
        <v>0</v>
      </c>
      <c r="AH4198">
        <v>0</v>
      </c>
      <c r="AI4198">
        <v>0</v>
      </c>
      <c r="AJ4198">
        <v>116.93</v>
      </c>
      <c r="AK4198">
        <v>0</v>
      </c>
      <c r="AL4198" t="s">
        <v>53</v>
      </c>
      <c r="AM4198" t="s">
        <v>53</v>
      </c>
      <c r="AN4198" t="s">
        <v>7225</v>
      </c>
      <c r="AO4198" t="s">
        <v>53</v>
      </c>
      <c r="AP4198" t="s">
        <v>53</v>
      </c>
    </row>
    <row r="4199" spans="2:42" x14ac:dyDescent="0.2">
      <c r="B4199" t="s">
        <v>44</v>
      </c>
      <c r="C4199" t="str">
        <f>HYPERLINK("https://us2.cloudbeds.com/connect/8493803454333002#/reservations/9080486845771857?display=1U3S1XSQMX&amp;reservation_id=9080486845771857", "1U3S1XSQMX")</f>
        <v>1U3S1XSQMX</v>
      </c>
      <c r="D4199" t="s">
        <v>45</v>
      </c>
      <c r="E4199" t="s">
        <v>128</v>
      </c>
      <c r="F4199" t="s">
        <v>86</v>
      </c>
      <c r="G4199" t="s">
        <v>48</v>
      </c>
      <c r="H4199" t="s">
        <v>49</v>
      </c>
      <c r="I4199" t="s">
        <v>50</v>
      </c>
      <c r="J4199" t="s">
        <v>6930</v>
      </c>
      <c r="K4199" t="s">
        <v>6801</v>
      </c>
      <c r="L4199" t="s">
        <v>53</v>
      </c>
      <c r="N4199" t="s">
        <v>7226</v>
      </c>
      <c r="P4199" t="s">
        <v>55</v>
      </c>
      <c r="R4199" t="s">
        <v>53</v>
      </c>
      <c r="T4199" t="s">
        <v>7227</v>
      </c>
      <c r="U4199" t="s">
        <v>58</v>
      </c>
      <c r="V4199">
        <v>1</v>
      </c>
      <c r="W4199">
        <v>1</v>
      </c>
      <c r="X4199">
        <v>4</v>
      </c>
      <c r="Y4199">
        <v>0</v>
      </c>
      <c r="Z4199">
        <v>4</v>
      </c>
      <c r="AA4199">
        <v>72.62</v>
      </c>
      <c r="AB4199">
        <v>72.62</v>
      </c>
      <c r="AC4199">
        <v>63.9</v>
      </c>
      <c r="AD4199">
        <v>0</v>
      </c>
      <c r="AE4199">
        <v>8.7200000000000006</v>
      </c>
      <c r="AF4199">
        <v>0</v>
      </c>
      <c r="AG4199">
        <v>0</v>
      </c>
      <c r="AH4199">
        <v>0</v>
      </c>
      <c r="AI4199">
        <v>13.07</v>
      </c>
      <c r="AJ4199">
        <v>72.62</v>
      </c>
      <c r="AK4199">
        <v>0</v>
      </c>
      <c r="AL4199" t="s">
        <v>53</v>
      </c>
      <c r="AM4199" t="s">
        <v>53</v>
      </c>
      <c r="AN4199" t="s">
        <v>53</v>
      </c>
      <c r="AO4199" t="s">
        <v>53</v>
      </c>
      <c r="AP4199" t="s">
        <v>53</v>
      </c>
    </row>
    <row r="4200" spans="2:42" x14ac:dyDescent="0.2">
      <c r="B4200" t="s">
        <v>44</v>
      </c>
      <c r="C4200" t="str">
        <f>HYPERLINK("https://us2.cloudbeds.com/connect/8493803454333002#/reservations/9080486845772182?display=1U480KF0UV&amp;reservation_id=9080486845772182", "1U480KF0UV")</f>
        <v>1U480KF0UV</v>
      </c>
      <c r="D4200" t="s">
        <v>45</v>
      </c>
      <c r="E4200" t="s">
        <v>98</v>
      </c>
      <c r="F4200" t="s">
        <v>86</v>
      </c>
      <c r="G4200" t="s">
        <v>48</v>
      </c>
      <c r="H4200" t="s">
        <v>49</v>
      </c>
      <c r="I4200" t="s">
        <v>62</v>
      </c>
      <c r="J4200" t="s">
        <v>6837</v>
      </c>
      <c r="K4200" t="s">
        <v>6813</v>
      </c>
      <c r="L4200" t="s">
        <v>53</v>
      </c>
      <c r="N4200" t="s">
        <v>7228</v>
      </c>
      <c r="P4200" t="s">
        <v>55</v>
      </c>
      <c r="R4200" t="s">
        <v>102</v>
      </c>
      <c r="T4200" t="s">
        <v>7229</v>
      </c>
      <c r="U4200" t="s">
        <v>55</v>
      </c>
      <c r="V4200">
        <v>2</v>
      </c>
      <c r="W4200">
        <v>1</v>
      </c>
      <c r="X4200">
        <v>3</v>
      </c>
      <c r="Y4200">
        <v>0</v>
      </c>
      <c r="Z4200">
        <v>3</v>
      </c>
      <c r="AA4200">
        <v>133</v>
      </c>
      <c r="AB4200">
        <v>133</v>
      </c>
      <c r="AC4200">
        <v>133</v>
      </c>
      <c r="AD4200">
        <v>0</v>
      </c>
      <c r="AE4200">
        <v>0</v>
      </c>
      <c r="AF4200">
        <v>0</v>
      </c>
      <c r="AG4200">
        <v>0</v>
      </c>
      <c r="AH4200">
        <v>0</v>
      </c>
      <c r="AI4200">
        <v>23.94</v>
      </c>
      <c r="AJ4200">
        <v>133</v>
      </c>
      <c r="AK4200">
        <v>0</v>
      </c>
      <c r="AL4200" t="s">
        <v>53</v>
      </c>
      <c r="AM4200" t="s">
        <v>53</v>
      </c>
      <c r="AN4200" t="s">
        <v>53</v>
      </c>
      <c r="AO4200" t="s">
        <v>53</v>
      </c>
      <c r="AP4200" t="s">
        <v>53</v>
      </c>
    </row>
    <row r="4201" spans="2:42" x14ac:dyDescent="0.2">
      <c r="B4201" t="s">
        <v>44</v>
      </c>
      <c r="C4201" t="str">
        <f>HYPERLINK("https://us2.cloudbeds.com/connect/8493803454333002#/reservations/9080486845772514?display=1U4NGVYFZR&amp;reservation_id=9080486845772514", "1U4NGVYFZR")</f>
        <v>1U4NGVYFZR</v>
      </c>
      <c r="D4201" t="s">
        <v>45</v>
      </c>
      <c r="E4201" t="s">
        <v>98</v>
      </c>
      <c r="F4201" t="s">
        <v>86</v>
      </c>
      <c r="G4201" t="s">
        <v>48</v>
      </c>
      <c r="H4201" t="s">
        <v>49</v>
      </c>
      <c r="I4201" t="s">
        <v>62</v>
      </c>
      <c r="J4201" t="s">
        <v>6592</v>
      </c>
      <c r="K4201" t="s">
        <v>6912</v>
      </c>
      <c r="L4201" t="s">
        <v>53</v>
      </c>
      <c r="N4201" t="s">
        <v>7230</v>
      </c>
      <c r="P4201" t="s">
        <v>55</v>
      </c>
      <c r="R4201" t="s">
        <v>56</v>
      </c>
      <c r="T4201" t="s">
        <v>7231</v>
      </c>
      <c r="U4201" t="s">
        <v>55</v>
      </c>
      <c r="V4201">
        <v>1</v>
      </c>
      <c r="W4201">
        <v>1</v>
      </c>
      <c r="X4201">
        <v>3</v>
      </c>
      <c r="Y4201">
        <v>0</v>
      </c>
      <c r="Z4201">
        <v>3</v>
      </c>
      <c r="AA4201">
        <v>88.35</v>
      </c>
      <c r="AB4201">
        <v>88.35</v>
      </c>
      <c r="AC4201">
        <v>88.35</v>
      </c>
      <c r="AD4201">
        <v>0</v>
      </c>
      <c r="AE4201">
        <v>0</v>
      </c>
      <c r="AF4201">
        <v>0</v>
      </c>
      <c r="AG4201">
        <v>0</v>
      </c>
      <c r="AH4201">
        <v>0</v>
      </c>
      <c r="AI4201">
        <v>15.9</v>
      </c>
      <c r="AJ4201">
        <v>88.35</v>
      </c>
      <c r="AK4201">
        <v>0</v>
      </c>
      <c r="AL4201" t="s">
        <v>53</v>
      </c>
      <c r="AM4201" t="s">
        <v>53</v>
      </c>
      <c r="AN4201" t="s">
        <v>53</v>
      </c>
      <c r="AO4201" t="s">
        <v>53</v>
      </c>
      <c r="AP4201" t="s">
        <v>53</v>
      </c>
    </row>
    <row r="4202" spans="2:42" x14ac:dyDescent="0.2">
      <c r="B4202" t="s">
        <v>44</v>
      </c>
      <c r="C4202" t="str">
        <f>HYPERLINK("https://us2.cloudbeds.com/connect/8493803454333002#/reservations/88837662130326?display=1U5G45S17K&amp;reservation_id=88837662130326", "1U5G45S17K")</f>
        <v>1U5G45S17K</v>
      </c>
      <c r="D4202" t="s">
        <v>45</v>
      </c>
      <c r="E4202" t="s">
        <v>113</v>
      </c>
      <c r="F4202" t="s">
        <v>61</v>
      </c>
      <c r="G4202" t="s">
        <v>48</v>
      </c>
      <c r="H4202" t="s">
        <v>3957</v>
      </c>
      <c r="I4202" t="s">
        <v>3958</v>
      </c>
      <c r="J4202" t="s">
        <v>6529</v>
      </c>
      <c r="K4202" t="s">
        <v>6801</v>
      </c>
      <c r="L4202" t="s">
        <v>53</v>
      </c>
      <c r="P4202" t="s">
        <v>58</v>
      </c>
      <c r="R4202" t="s">
        <v>56</v>
      </c>
      <c r="T4202" t="s">
        <v>7232</v>
      </c>
      <c r="U4202" t="s">
        <v>58</v>
      </c>
      <c r="V4202">
        <v>4</v>
      </c>
      <c r="W4202">
        <v>1</v>
      </c>
      <c r="X4202">
        <v>1</v>
      </c>
      <c r="Y4202">
        <v>0</v>
      </c>
      <c r="Z4202">
        <v>1</v>
      </c>
      <c r="AA4202">
        <v>328.47</v>
      </c>
      <c r="AB4202">
        <v>328.47</v>
      </c>
      <c r="AC4202">
        <v>289</v>
      </c>
      <c r="AD4202">
        <v>0</v>
      </c>
      <c r="AE4202">
        <v>39.47</v>
      </c>
      <c r="AF4202">
        <v>0</v>
      </c>
      <c r="AG4202">
        <v>0</v>
      </c>
      <c r="AH4202">
        <v>0</v>
      </c>
      <c r="AI4202">
        <v>0</v>
      </c>
      <c r="AJ4202">
        <v>328.47</v>
      </c>
      <c r="AK4202">
        <v>0</v>
      </c>
      <c r="AL4202" t="s">
        <v>53</v>
      </c>
      <c r="AM4202" t="s">
        <v>53</v>
      </c>
      <c r="AN4202" t="s">
        <v>53</v>
      </c>
      <c r="AO4202" t="s">
        <v>53</v>
      </c>
      <c r="AP4202" t="s">
        <v>53</v>
      </c>
    </row>
    <row r="4203" spans="2:42" x14ac:dyDescent="0.2">
      <c r="B4203" t="s">
        <v>44</v>
      </c>
      <c r="C4203" t="str">
        <f>HYPERLINK("https://us2.cloudbeds.com/connect/8493803454333002#/reservations/9080486845773462?display=1U6E07GXRT&amp;reservation_id=9080486845773462", "1U6E07GXRT")</f>
        <v>1U6E07GXRT</v>
      </c>
      <c r="D4203" t="s">
        <v>45</v>
      </c>
      <c r="E4203" t="s">
        <v>128</v>
      </c>
      <c r="F4203" t="s">
        <v>86</v>
      </c>
      <c r="G4203" t="s">
        <v>48</v>
      </c>
      <c r="H4203" t="s">
        <v>49</v>
      </c>
      <c r="I4203" t="s">
        <v>62</v>
      </c>
      <c r="J4203" t="s">
        <v>6530</v>
      </c>
      <c r="K4203" t="s">
        <v>6930</v>
      </c>
      <c r="L4203" t="s">
        <v>53</v>
      </c>
      <c r="N4203" t="s">
        <v>7233</v>
      </c>
      <c r="P4203" t="s">
        <v>55</v>
      </c>
      <c r="R4203" t="s">
        <v>56</v>
      </c>
      <c r="T4203" t="s">
        <v>7234</v>
      </c>
      <c r="U4203" t="s">
        <v>55</v>
      </c>
      <c r="V4203">
        <v>2</v>
      </c>
      <c r="W4203">
        <v>1</v>
      </c>
      <c r="X4203">
        <v>1</v>
      </c>
      <c r="Y4203">
        <v>0</v>
      </c>
      <c r="Z4203">
        <v>1</v>
      </c>
      <c r="AA4203">
        <v>146</v>
      </c>
      <c r="AB4203">
        <v>146</v>
      </c>
      <c r="AC4203">
        <v>146</v>
      </c>
      <c r="AD4203">
        <v>0</v>
      </c>
      <c r="AE4203">
        <v>0</v>
      </c>
      <c r="AF4203">
        <v>0</v>
      </c>
      <c r="AG4203">
        <v>0</v>
      </c>
      <c r="AH4203">
        <v>0</v>
      </c>
      <c r="AI4203">
        <v>26.28</v>
      </c>
      <c r="AJ4203">
        <v>146</v>
      </c>
      <c r="AK4203">
        <v>0</v>
      </c>
      <c r="AL4203" t="s">
        <v>53</v>
      </c>
      <c r="AM4203" t="s">
        <v>53</v>
      </c>
      <c r="AN4203" t="s">
        <v>53</v>
      </c>
      <c r="AO4203" t="s">
        <v>53</v>
      </c>
      <c r="AP4203" t="s">
        <v>53</v>
      </c>
    </row>
    <row r="4204" spans="2:42" x14ac:dyDescent="0.2">
      <c r="B4204" t="s">
        <v>44</v>
      </c>
      <c r="C4204" t="str">
        <f>HYPERLINK("https://us2.cloudbeds.com/connect/8493803454333002#/reservations/9080486845773839?display=1U75F961MM&amp;reservation_id=9080486845773839", "1U75F961MM")</f>
        <v>1U75F961MM</v>
      </c>
      <c r="D4204" t="s">
        <v>45</v>
      </c>
      <c r="E4204" t="s">
        <v>185</v>
      </c>
      <c r="F4204" t="s">
        <v>47</v>
      </c>
      <c r="G4204" t="s">
        <v>48</v>
      </c>
      <c r="H4204" t="s">
        <v>49</v>
      </c>
      <c r="I4204" t="s">
        <v>50</v>
      </c>
      <c r="J4204" t="s">
        <v>5895</v>
      </c>
      <c r="K4204" t="s">
        <v>6736</v>
      </c>
      <c r="L4204" t="s">
        <v>53</v>
      </c>
      <c r="N4204" t="s">
        <v>7235</v>
      </c>
      <c r="P4204" t="s">
        <v>55</v>
      </c>
      <c r="R4204" t="s">
        <v>53</v>
      </c>
      <c r="T4204" t="s">
        <v>7236</v>
      </c>
      <c r="U4204" t="s">
        <v>58</v>
      </c>
      <c r="V4204">
        <v>1</v>
      </c>
      <c r="W4204">
        <v>1</v>
      </c>
      <c r="X4204">
        <v>2</v>
      </c>
      <c r="Y4204">
        <v>0</v>
      </c>
      <c r="Z4204">
        <v>2</v>
      </c>
      <c r="AA4204">
        <v>58.31</v>
      </c>
      <c r="AB4204">
        <v>58.31</v>
      </c>
      <c r="AC4204">
        <v>51.3</v>
      </c>
      <c r="AD4204">
        <v>0</v>
      </c>
      <c r="AE4204">
        <v>7.01</v>
      </c>
      <c r="AF4204">
        <v>0</v>
      </c>
      <c r="AG4204">
        <v>0</v>
      </c>
      <c r="AH4204">
        <v>0</v>
      </c>
      <c r="AI4204">
        <v>10.5</v>
      </c>
      <c r="AJ4204">
        <v>58.31</v>
      </c>
      <c r="AK4204">
        <v>0</v>
      </c>
      <c r="AL4204" t="s">
        <v>53</v>
      </c>
      <c r="AM4204" t="s">
        <v>53</v>
      </c>
      <c r="AN4204" t="s">
        <v>53</v>
      </c>
      <c r="AO4204" t="s">
        <v>53</v>
      </c>
      <c r="AP4204" t="s">
        <v>53</v>
      </c>
    </row>
    <row r="4205" spans="2:42" x14ac:dyDescent="0.2">
      <c r="B4205" t="s">
        <v>44</v>
      </c>
      <c r="C4205" t="str">
        <f>HYPERLINK("https://us2.cloudbeds.com/connect/8493803454333002#/reservations/9080486845774281?display=1U8A6VS8Z0&amp;reservation_id=9080486845774281", "1U8A6VS8Z0")</f>
        <v>1U8A6VS8Z0</v>
      </c>
      <c r="D4205" t="s">
        <v>45</v>
      </c>
      <c r="E4205" t="s">
        <v>113</v>
      </c>
      <c r="F4205" t="s">
        <v>61</v>
      </c>
      <c r="G4205" t="s">
        <v>48</v>
      </c>
      <c r="H4205" t="s">
        <v>49</v>
      </c>
      <c r="I4205" t="s">
        <v>62</v>
      </c>
      <c r="J4205" t="s">
        <v>6801</v>
      </c>
      <c r="K4205" t="s">
        <v>6781</v>
      </c>
      <c r="L4205" t="s">
        <v>53</v>
      </c>
      <c r="N4205" t="s">
        <v>7237</v>
      </c>
      <c r="P4205" t="s">
        <v>55</v>
      </c>
      <c r="R4205" t="s">
        <v>56</v>
      </c>
      <c r="T4205" t="s">
        <v>7238</v>
      </c>
      <c r="U4205" t="s">
        <v>55</v>
      </c>
      <c r="V4205">
        <v>2</v>
      </c>
      <c r="W4205">
        <v>1</v>
      </c>
      <c r="X4205">
        <v>2</v>
      </c>
      <c r="Y4205">
        <v>0</v>
      </c>
      <c r="Z4205">
        <v>2</v>
      </c>
      <c r="AA4205">
        <v>158</v>
      </c>
      <c r="AB4205">
        <v>158</v>
      </c>
      <c r="AC4205">
        <v>158</v>
      </c>
      <c r="AD4205">
        <v>0</v>
      </c>
      <c r="AE4205">
        <v>0</v>
      </c>
      <c r="AF4205">
        <v>0</v>
      </c>
      <c r="AG4205">
        <v>0</v>
      </c>
      <c r="AH4205">
        <v>0</v>
      </c>
      <c r="AI4205">
        <v>28.44</v>
      </c>
      <c r="AJ4205">
        <v>158</v>
      </c>
      <c r="AK4205">
        <v>0</v>
      </c>
      <c r="AL4205" t="s">
        <v>53</v>
      </c>
      <c r="AM4205" t="s">
        <v>53</v>
      </c>
      <c r="AN4205" t="s">
        <v>53</v>
      </c>
      <c r="AO4205" t="s">
        <v>53</v>
      </c>
      <c r="AP4205" t="s">
        <v>53</v>
      </c>
    </row>
    <row r="4206" spans="2:42" x14ac:dyDescent="0.2">
      <c r="B4206" t="s">
        <v>44</v>
      </c>
      <c r="C4206" t="str">
        <f>HYPERLINK("https://us2.cloudbeds.com/connect/8493803454333002#/reservations/9080486845775256?display=1UA7T7M09T&amp;reservation_id=9080486845775256", "1UA7T7M09T")</f>
        <v>1UA7T7M09T</v>
      </c>
      <c r="D4206" t="s">
        <v>45</v>
      </c>
      <c r="E4206" t="s">
        <v>155</v>
      </c>
      <c r="F4206" t="s">
        <v>86</v>
      </c>
      <c r="G4206" t="s">
        <v>48</v>
      </c>
      <c r="H4206" t="s">
        <v>49</v>
      </c>
      <c r="I4206" t="s">
        <v>50</v>
      </c>
      <c r="J4206" t="s">
        <v>6591</v>
      </c>
      <c r="K4206" t="s">
        <v>7092</v>
      </c>
      <c r="L4206" t="s">
        <v>53</v>
      </c>
      <c r="N4206" t="s">
        <v>7239</v>
      </c>
      <c r="P4206" t="s">
        <v>55</v>
      </c>
      <c r="R4206" t="s">
        <v>53</v>
      </c>
      <c r="T4206" t="s">
        <v>7240</v>
      </c>
      <c r="U4206" t="s">
        <v>58</v>
      </c>
      <c r="V4206">
        <v>1</v>
      </c>
      <c r="W4206">
        <v>1</v>
      </c>
      <c r="X4206">
        <v>2</v>
      </c>
      <c r="Y4206">
        <v>0</v>
      </c>
      <c r="Z4206">
        <v>2</v>
      </c>
      <c r="AA4206">
        <v>122.74</v>
      </c>
      <c r="AB4206">
        <v>122.74</v>
      </c>
      <c r="AC4206">
        <v>108</v>
      </c>
      <c r="AD4206">
        <v>0</v>
      </c>
      <c r="AE4206">
        <v>14.74</v>
      </c>
      <c r="AF4206">
        <v>0</v>
      </c>
      <c r="AG4206">
        <v>0</v>
      </c>
      <c r="AH4206">
        <v>0</v>
      </c>
      <c r="AI4206">
        <v>22.09</v>
      </c>
      <c r="AJ4206">
        <v>122.74</v>
      </c>
      <c r="AK4206">
        <v>0</v>
      </c>
      <c r="AL4206" t="s">
        <v>53</v>
      </c>
      <c r="AM4206" t="s">
        <v>53</v>
      </c>
      <c r="AN4206" t="s">
        <v>53</v>
      </c>
      <c r="AO4206" t="s">
        <v>53</v>
      </c>
      <c r="AP4206" t="s">
        <v>53</v>
      </c>
    </row>
    <row r="4207" spans="2:42" x14ac:dyDescent="0.2">
      <c r="B4207" t="s">
        <v>44</v>
      </c>
      <c r="C4207" t="str">
        <f>HYPERLINK("https://us2.cloudbeds.com/connect/8493803454333002#/reservations/9080486845776239?display=1UBM576N1U&amp;reservation_id=9080486845776239", "1UBM576N1U")</f>
        <v>1UBM576N1U</v>
      </c>
      <c r="D4207" t="s">
        <v>45</v>
      </c>
      <c r="E4207" t="s">
        <v>165</v>
      </c>
      <c r="F4207" t="s">
        <v>61</v>
      </c>
      <c r="G4207" t="s">
        <v>48</v>
      </c>
      <c r="H4207" t="s">
        <v>49</v>
      </c>
      <c r="I4207" t="s">
        <v>50</v>
      </c>
      <c r="J4207" t="s">
        <v>6530</v>
      </c>
      <c r="K4207" t="s">
        <v>6780</v>
      </c>
      <c r="L4207" t="s">
        <v>53</v>
      </c>
      <c r="N4207" t="s">
        <v>7241</v>
      </c>
      <c r="P4207" t="s">
        <v>55</v>
      </c>
      <c r="R4207" t="s">
        <v>53</v>
      </c>
      <c r="T4207" t="s">
        <v>7242</v>
      </c>
      <c r="U4207" t="s">
        <v>58</v>
      </c>
      <c r="V4207">
        <v>1</v>
      </c>
      <c r="W4207">
        <v>1</v>
      </c>
      <c r="X4207">
        <v>1</v>
      </c>
      <c r="Y4207">
        <v>0</v>
      </c>
      <c r="Z4207">
        <v>1</v>
      </c>
      <c r="AA4207">
        <v>60.91</v>
      </c>
      <c r="AB4207">
        <v>60.91</v>
      </c>
      <c r="AC4207">
        <v>53.6</v>
      </c>
      <c r="AD4207">
        <v>0</v>
      </c>
      <c r="AE4207">
        <v>7.31</v>
      </c>
      <c r="AF4207">
        <v>0</v>
      </c>
      <c r="AG4207">
        <v>0</v>
      </c>
      <c r="AH4207">
        <v>0</v>
      </c>
      <c r="AI4207">
        <v>10.96</v>
      </c>
      <c r="AJ4207">
        <v>60.91</v>
      </c>
      <c r="AK4207">
        <v>0</v>
      </c>
      <c r="AL4207" t="s">
        <v>53</v>
      </c>
      <c r="AM4207" t="s">
        <v>53</v>
      </c>
      <c r="AN4207" t="s">
        <v>53</v>
      </c>
      <c r="AO4207" t="s">
        <v>53</v>
      </c>
      <c r="AP4207" t="s">
        <v>53</v>
      </c>
    </row>
    <row r="4208" spans="2:42" x14ac:dyDescent="0.2">
      <c r="B4208" t="s">
        <v>44</v>
      </c>
      <c r="C4208" t="str">
        <f>HYPERLINK("https://us2.cloudbeds.com/connect/8493803454333002#/reservations/9080486845776509?display=1UC26JMS36&amp;reservation_id=9080486845776509", "1UC26JMS36")</f>
        <v>1UC26JMS36</v>
      </c>
      <c r="D4208" t="s">
        <v>45</v>
      </c>
      <c r="E4208" t="s">
        <v>98</v>
      </c>
      <c r="F4208" t="s">
        <v>86</v>
      </c>
      <c r="G4208" t="s">
        <v>48</v>
      </c>
      <c r="H4208" t="s">
        <v>49</v>
      </c>
      <c r="I4208" t="s">
        <v>50</v>
      </c>
      <c r="J4208" t="s">
        <v>6819</v>
      </c>
      <c r="K4208" t="s">
        <v>4159</v>
      </c>
      <c r="L4208" t="s">
        <v>53</v>
      </c>
      <c r="N4208" t="s">
        <v>7243</v>
      </c>
      <c r="P4208" t="s">
        <v>55</v>
      </c>
      <c r="R4208" t="s">
        <v>53</v>
      </c>
      <c r="T4208" t="s">
        <v>7244</v>
      </c>
      <c r="U4208" t="s">
        <v>58</v>
      </c>
      <c r="V4208">
        <v>1</v>
      </c>
      <c r="W4208">
        <v>1</v>
      </c>
      <c r="X4208">
        <v>4</v>
      </c>
      <c r="Y4208">
        <v>0</v>
      </c>
      <c r="Z4208">
        <v>4</v>
      </c>
      <c r="AA4208">
        <v>138.08000000000001</v>
      </c>
      <c r="AB4208">
        <v>138.08000000000001</v>
      </c>
      <c r="AC4208">
        <v>121.5</v>
      </c>
      <c r="AD4208">
        <v>0</v>
      </c>
      <c r="AE4208">
        <v>16.579999999999998</v>
      </c>
      <c r="AF4208">
        <v>0</v>
      </c>
      <c r="AG4208">
        <v>0</v>
      </c>
      <c r="AH4208">
        <v>0</v>
      </c>
      <c r="AI4208">
        <v>24.85</v>
      </c>
      <c r="AJ4208">
        <v>138.08000000000001</v>
      </c>
      <c r="AK4208">
        <v>0</v>
      </c>
      <c r="AL4208" t="s">
        <v>53</v>
      </c>
      <c r="AM4208" t="s">
        <v>53</v>
      </c>
      <c r="AN4208" t="s">
        <v>53</v>
      </c>
      <c r="AO4208" t="s">
        <v>53</v>
      </c>
      <c r="AP4208" t="s">
        <v>53</v>
      </c>
    </row>
    <row r="4209" spans="2:42" x14ac:dyDescent="0.2">
      <c r="B4209" t="s">
        <v>44</v>
      </c>
      <c r="C4209" t="str">
        <f>HYPERLINK("https://us2.cloudbeds.com/connect/8493803454333002#/reservations/9080486845776587?display=1UC5Q78D9E&amp;reservation_id=9080486845776587", "1UC5Q78D9E")</f>
        <v>1UC5Q78D9E</v>
      </c>
      <c r="D4209" t="s">
        <v>45</v>
      </c>
      <c r="E4209" t="s">
        <v>185</v>
      </c>
      <c r="F4209" t="s">
        <v>47</v>
      </c>
      <c r="G4209" t="s">
        <v>48</v>
      </c>
      <c r="H4209" t="s">
        <v>49</v>
      </c>
      <c r="I4209" t="s">
        <v>62</v>
      </c>
      <c r="J4209" t="s">
        <v>6530</v>
      </c>
      <c r="K4209" t="s">
        <v>6780</v>
      </c>
      <c r="L4209" t="s">
        <v>53</v>
      </c>
      <c r="N4209" t="s">
        <v>7245</v>
      </c>
      <c r="P4209" t="s">
        <v>55</v>
      </c>
      <c r="R4209" t="s">
        <v>56</v>
      </c>
      <c r="T4209" t="s">
        <v>7246</v>
      </c>
      <c r="U4209" t="s">
        <v>55</v>
      </c>
      <c r="V4209">
        <v>1</v>
      </c>
      <c r="W4209">
        <v>1</v>
      </c>
      <c r="X4209">
        <v>1</v>
      </c>
      <c r="Y4209">
        <v>0</v>
      </c>
      <c r="Z4209">
        <v>1</v>
      </c>
      <c r="AA4209">
        <v>62</v>
      </c>
      <c r="AB4209">
        <v>62</v>
      </c>
      <c r="AC4209">
        <v>62</v>
      </c>
      <c r="AD4209">
        <v>0</v>
      </c>
      <c r="AE4209">
        <v>0</v>
      </c>
      <c r="AF4209">
        <v>0</v>
      </c>
      <c r="AG4209">
        <v>0</v>
      </c>
      <c r="AH4209">
        <v>0</v>
      </c>
      <c r="AI4209">
        <v>11.16</v>
      </c>
      <c r="AJ4209">
        <v>62</v>
      </c>
      <c r="AK4209">
        <v>0</v>
      </c>
      <c r="AL4209" t="s">
        <v>53</v>
      </c>
      <c r="AM4209" t="s">
        <v>53</v>
      </c>
      <c r="AN4209" t="s">
        <v>53</v>
      </c>
      <c r="AO4209" t="s">
        <v>53</v>
      </c>
      <c r="AP4209" t="s">
        <v>53</v>
      </c>
    </row>
    <row r="4210" spans="2:42" x14ac:dyDescent="0.2">
      <c r="B4210" t="s">
        <v>44</v>
      </c>
      <c r="C4210" t="str">
        <f>HYPERLINK("https://us2.cloudbeds.com/connect/8493803454333002#/reservations/89144275480733?display=1UCMHSBG9A&amp;reservation_id=89144275480733", "1UCMHSBG9A")</f>
        <v>1UCMHSBG9A</v>
      </c>
      <c r="D4210" t="s">
        <v>45</v>
      </c>
      <c r="E4210" t="s">
        <v>179</v>
      </c>
      <c r="F4210" t="s">
        <v>47</v>
      </c>
      <c r="G4210" t="s">
        <v>48</v>
      </c>
      <c r="H4210" t="s">
        <v>3957</v>
      </c>
      <c r="I4210" t="s">
        <v>3975</v>
      </c>
      <c r="J4210" t="s">
        <v>5891</v>
      </c>
      <c r="K4210" t="s">
        <v>5895</v>
      </c>
      <c r="L4210" t="s">
        <v>53</v>
      </c>
      <c r="P4210" t="s">
        <v>55</v>
      </c>
      <c r="R4210" t="s">
        <v>53</v>
      </c>
      <c r="T4210" t="s">
        <v>7247</v>
      </c>
      <c r="U4210" t="s">
        <v>58</v>
      </c>
      <c r="V4210">
        <v>2</v>
      </c>
      <c r="W4210">
        <v>1</v>
      </c>
      <c r="X4210">
        <v>2</v>
      </c>
      <c r="Y4210">
        <v>0</v>
      </c>
      <c r="Z4210">
        <v>2</v>
      </c>
      <c r="AA4210">
        <v>136.38</v>
      </c>
      <c r="AB4210">
        <v>136.38</v>
      </c>
      <c r="AC4210">
        <v>120</v>
      </c>
      <c r="AD4210">
        <v>0</v>
      </c>
      <c r="AE4210">
        <v>16.38</v>
      </c>
      <c r="AF4210">
        <v>0</v>
      </c>
      <c r="AG4210">
        <v>0</v>
      </c>
      <c r="AH4210">
        <v>0</v>
      </c>
      <c r="AI4210">
        <v>0</v>
      </c>
      <c r="AJ4210">
        <v>136.38</v>
      </c>
      <c r="AK4210">
        <v>0</v>
      </c>
      <c r="AL4210" t="s">
        <v>53</v>
      </c>
      <c r="AM4210" t="s">
        <v>53</v>
      </c>
      <c r="AN4210" t="s">
        <v>53</v>
      </c>
      <c r="AO4210" t="s">
        <v>53</v>
      </c>
      <c r="AP4210" t="s">
        <v>53</v>
      </c>
    </row>
    <row r="4211" spans="2:42" x14ac:dyDescent="0.2">
      <c r="B4211" t="s">
        <v>44</v>
      </c>
      <c r="C4211" t="str">
        <f>HYPERLINK("https://us2.cloudbeds.com/connect/8493803454333002#/reservations/9080486845777810?display=1UE38VX6E0&amp;reservation_id=9080486845777810", "1UE38VX6E0")</f>
        <v>1UE38VX6E0</v>
      </c>
      <c r="D4211" t="s">
        <v>45</v>
      </c>
      <c r="E4211" t="s">
        <v>223</v>
      </c>
      <c r="F4211" t="s">
        <v>47</v>
      </c>
      <c r="G4211" t="s">
        <v>48</v>
      </c>
      <c r="H4211" t="s">
        <v>49</v>
      </c>
      <c r="I4211" t="s">
        <v>50</v>
      </c>
      <c r="J4211" t="s">
        <v>6858</v>
      </c>
      <c r="K4211" t="s">
        <v>6591</v>
      </c>
      <c r="L4211" t="s">
        <v>53</v>
      </c>
      <c r="N4211" t="s">
        <v>7248</v>
      </c>
      <c r="P4211" t="s">
        <v>55</v>
      </c>
      <c r="R4211" t="s">
        <v>53</v>
      </c>
      <c r="T4211" t="s">
        <v>7249</v>
      </c>
      <c r="U4211" t="s">
        <v>58</v>
      </c>
      <c r="V4211">
        <v>1</v>
      </c>
      <c r="W4211">
        <v>1</v>
      </c>
      <c r="X4211">
        <v>1</v>
      </c>
      <c r="Y4211">
        <v>0</v>
      </c>
      <c r="Z4211">
        <v>1</v>
      </c>
      <c r="AA4211">
        <v>101.06</v>
      </c>
      <c r="AB4211">
        <v>101.06</v>
      </c>
      <c r="AC4211">
        <v>88.92</v>
      </c>
      <c r="AD4211">
        <v>0</v>
      </c>
      <c r="AE4211">
        <v>12.14</v>
      </c>
      <c r="AF4211">
        <v>0</v>
      </c>
      <c r="AG4211">
        <v>0</v>
      </c>
      <c r="AH4211">
        <v>0</v>
      </c>
      <c r="AI4211">
        <v>18.190000000000001</v>
      </c>
      <c r="AJ4211">
        <v>101.06</v>
      </c>
      <c r="AK4211">
        <v>0</v>
      </c>
      <c r="AL4211" t="s">
        <v>53</v>
      </c>
      <c r="AM4211" t="s">
        <v>53</v>
      </c>
      <c r="AN4211" t="s">
        <v>53</v>
      </c>
      <c r="AO4211" t="s">
        <v>53</v>
      </c>
      <c r="AP4211" t="s">
        <v>53</v>
      </c>
    </row>
    <row r="4212" spans="2:42" x14ac:dyDescent="0.2">
      <c r="B4212" t="s">
        <v>44</v>
      </c>
      <c r="C4212" t="str">
        <f>HYPERLINK("https://us2.cloudbeds.com/connect/8493803454333002#/reservations/9080486845777812?display=1UE3MBGRKH&amp;reservation_id=9080486845777812", "1UE3MBGRKH")</f>
        <v>1UE3MBGRKH</v>
      </c>
      <c r="D4212" t="s">
        <v>45</v>
      </c>
      <c r="E4212" t="s">
        <v>113</v>
      </c>
      <c r="F4212" t="s">
        <v>61</v>
      </c>
      <c r="G4212" t="s">
        <v>48</v>
      </c>
      <c r="H4212" t="s">
        <v>49</v>
      </c>
      <c r="I4212" t="s">
        <v>50</v>
      </c>
      <c r="J4212" t="s">
        <v>6586</v>
      </c>
      <c r="K4212" t="s">
        <v>6922</v>
      </c>
      <c r="L4212" t="s">
        <v>53</v>
      </c>
      <c r="N4212" t="s">
        <v>7250</v>
      </c>
      <c r="P4212" t="s">
        <v>55</v>
      </c>
      <c r="R4212" t="s">
        <v>53</v>
      </c>
      <c r="T4212" t="s">
        <v>7251</v>
      </c>
      <c r="U4212" t="s">
        <v>58</v>
      </c>
      <c r="V4212">
        <v>6</v>
      </c>
      <c r="W4212">
        <v>1</v>
      </c>
      <c r="X4212">
        <v>2</v>
      </c>
      <c r="Y4212">
        <v>0</v>
      </c>
      <c r="Z4212">
        <v>2</v>
      </c>
      <c r="AA4212">
        <v>786.11</v>
      </c>
      <c r="AB4212">
        <v>786.11</v>
      </c>
      <c r="AC4212">
        <v>691.69</v>
      </c>
      <c r="AD4212">
        <v>0</v>
      </c>
      <c r="AE4212">
        <v>94.42</v>
      </c>
      <c r="AF4212">
        <v>0</v>
      </c>
      <c r="AG4212">
        <v>0</v>
      </c>
      <c r="AH4212">
        <v>0</v>
      </c>
      <c r="AI4212">
        <v>141.5</v>
      </c>
      <c r="AJ4212">
        <v>786.11</v>
      </c>
      <c r="AK4212">
        <v>0</v>
      </c>
      <c r="AL4212" t="s">
        <v>53</v>
      </c>
      <c r="AM4212" t="s">
        <v>53</v>
      </c>
      <c r="AN4212" t="s">
        <v>53</v>
      </c>
      <c r="AO4212" t="s">
        <v>53</v>
      </c>
      <c r="AP4212" t="s">
        <v>53</v>
      </c>
    </row>
    <row r="4213" spans="2:42" x14ac:dyDescent="0.2">
      <c r="B4213" t="s">
        <v>44</v>
      </c>
      <c r="C4213" t="str">
        <f>HYPERLINK("https://us2.cloudbeds.com/connect/8493803454333002#/reservations/9080486845777931?display=1UEBBWBDX8&amp;reservation_id=9080486845777931", "1UEBBWBDX8")</f>
        <v>1UEBBWBDX8</v>
      </c>
      <c r="D4213" t="s">
        <v>45</v>
      </c>
      <c r="E4213" t="s">
        <v>78</v>
      </c>
      <c r="F4213" t="s">
        <v>61</v>
      </c>
      <c r="G4213" t="s">
        <v>48</v>
      </c>
      <c r="H4213" t="s">
        <v>49</v>
      </c>
      <c r="I4213" t="s">
        <v>62</v>
      </c>
      <c r="J4213" t="s">
        <v>6837</v>
      </c>
      <c r="K4213" t="s">
        <v>7144</v>
      </c>
      <c r="L4213" t="s">
        <v>53</v>
      </c>
      <c r="N4213" t="s">
        <v>7252</v>
      </c>
      <c r="P4213" t="s">
        <v>55</v>
      </c>
      <c r="R4213" t="s">
        <v>56</v>
      </c>
      <c r="T4213" t="s">
        <v>7253</v>
      </c>
      <c r="U4213" t="s">
        <v>55</v>
      </c>
      <c r="V4213">
        <v>1</v>
      </c>
      <c r="W4213">
        <v>1</v>
      </c>
      <c r="X4213">
        <v>2</v>
      </c>
      <c r="Y4213">
        <v>0</v>
      </c>
      <c r="Z4213">
        <v>2</v>
      </c>
      <c r="AA4213">
        <v>65</v>
      </c>
      <c r="AB4213">
        <v>65</v>
      </c>
      <c r="AC4213">
        <v>65</v>
      </c>
      <c r="AD4213">
        <v>0</v>
      </c>
      <c r="AE4213">
        <v>0</v>
      </c>
      <c r="AF4213">
        <v>0</v>
      </c>
      <c r="AG4213">
        <v>0</v>
      </c>
      <c r="AH4213">
        <v>0</v>
      </c>
      <c r="AI4213">
        <v>11.7</v>
      </c>
      <c r="AJ4213">
        <v>65</v>
      </c>
      <c r="AK4213">
        <v>0</v>
      </c>
      <c r="AL4213" t="s">
        <v>53</v>
      </c>
      <c r="AM4213" t="s">
        <v>53</v>
      </c>
      <c r="AN4213" t="s">
        <v>53</v>
      </c>
      <c r="AO4213" t="s">
        <v>53</v>
      </c>
      <c r="AP4213" t="s">
        <v>53</v>
      </c>
    </row>
    <row r="4214" spans="2:42" x14ac:dyDescent="0.2">
      <c r="B4214" t="s">
        <v>44</v>
      </c>
      <c r="C4214" t="str">
        <f>HYPERLINK("https://us2.cloudbeds.com/connect/8493803454333002#/reservations/9080486845778257?display=1UEW8NNF06&amp;reservation_id=9080486845778257", "1UEW8NNF06")</f>
        <v>1UEW8NNF06</v>
      </c>
      <c r="D4214" t="s">
        <v>45</v>
      </c>
      <c r="E4214" t="s">
        <v>213</v>
      </c>
      <c r="F4214" t="s">
        <v>86</v>
      </c>
      <c r="G4214" t="s">
        <v>48</v>
      </c>
      <c r="H4214" t="s">
        <v>49</v>
      </c>
      <c r="I4214" t="s">
        <v>50</v>
      </c>
      <c r="J4214" t="s">
        <v>5430</v>
      </c>
      <c r="K4214" t="s">
        <v>5431</v>
      </c>
      <c r="L4214" t="s">
        <v>53</v>
      </c>
      <c r="N4214" t="s">
        <v>7254</v>
      </c>
      <c r="P4214" t="s">
        <v>55</v>
      </c>
      <c r="R4214" t="s">
        <v>53</v>
      </c>
      <c r="T4214" t="s">
        <v>7255</v>
      </c>
      <c r="U4214" t="s">
        <v>58</v>
      </c>
      <c r="V4214">
        <v>1</v>
      </c>
      <c r="W4214">
        <v>1</v>
      </c>
      <c r="X4214">
        <v>2</v>
      </c>
      <c r="Y4214">
        <v>0</v>
      </c>
      <c r="Z4214">
        <v>2</v>
      </c>
      <c r="AA4214">
        <v>159.56</v>
      </c>
      <c r="AB4214">
        <v>159.56</v>
      </c>
      <c r="AC4214">
        <v>140.4</v>
      </c>
      <c r="AD4214">
        <v>0</v>
      </c>
      <c r="AE4214">
        <v>19.16</v>
      </c>
      <c r="AF4214">
        <v>0</v>
      </c>
      <c r="AG4214">
        <v>0</v>
      </c>
      <c r="AH4214">
        <v>0</v>
      </c>
      <c r="AI4214">
        <v>28.72</v>
      </c>
      <c r="AJ4214">
        <v>159.56</v>
      </c>
      <c r="AK4214">
        <v>0</v>
      </c>
      <c r="AL4214" t="s">
        <v>53</v>
      </c>
      <c r="AM4214" t="s">
        <v>53</v>
      </c>
      <c r="AN4214" t="s">
        <v>53</v>
      </c>
      <c r="AO4214" t="s">
        <v>53</v>
      </c>
      <c r="AP4214" t="s">
        <v>53</v>
      </c>
    </row>
    <row r="4215" spans="2:42" x14ac:dyDescent="0.2">
      <c r="B4215" t="s">
        <v>44</v>
      </c>
      <c r="C4215" t="str">
        <f>HYPERLINK("https://us2.cloudbeds.com/connect/8493803454333002#/reservations/9080486845778665?display=1UFZN18C7J&amp;reservation_id=9080486845778665", "1UFZN18C7J")</f>
        <v>1UFZN18C7J</v>
      </c>
      <c r="D4215" t="s">
        <v>45</v>
      </c>
      <c r="E4215" t="s">
        <v>190</v>
      </c>
      <c r="F4215" t="s">
        <v>61</v>
      </c>
      <c r="G4215" t="s">
        <v>48</v>
      </c>
      <c r="H4215" t="s">
        <v>49</v>
      </c>
      <c r="I4215" t="s">
        <v>62</v>
      </c>
      <c r="J4215" t="s">
        <v>5892</v>
      </c>
      <c r="K4215" t="s">
        <v>5895</v>
      </c>
      <c r="L4215" t="s">
        <v>53</v>
      </c>
      <c r="N4215" t="s">
        <v>7256</v>
      </c>
      <c r="P4215" t="s">
        <v>55</v>
      </c>
      <c r="R4215" t="s">
        <v>7257</v>
      </c>
      <c r="T4215" t="s">
        <v>7258</v>
      </c>
      <c r="U4215" t="s">
        <v>55</v>
      </c>
      <c r="V4215">
        <v>1</v>
      </c>
      <c r="W4215">
        <v>1</v>
      </c>
      <c r="X4215">
        <v>2</v>
      </c>
      <c r="Y4215">
        <v>0</v>
      </c>
      <c r="Z4215">
        <v>2</v>
      </c>
      <c r="AA4215">
        <v>73</v>
      </c>
      <c r="AB4215">
        <v>73</v>
      </c>
      <c r="AC4215">
        <v>73</v>
      </c>
      <c r="AD4215">
        <v>0</v>
      </c>
      <c r="AE4215">
        <v>0</v>
      </c>
      <c r="AF4215">
        <v>0</v>
      </c>
      <c r="AG4215">
        <v>0</v>
      </c>
      <c r="AH4215">
        <v>0</v>
      </c>
      <c r="AI4215">
        <v>13.14</v>
      </c>
      <c r="AJ4215">
        <v>73</v>
      </c>
      <c r="AK4215">
        <v>0</v>
      </c>
      <c r="AL4215" t="s">
        <v>53</v>
      </c>
      <c r="AM4215" t="s">
        <v>53</v>
      </c>
      <c r="AN4215" t="s">
        <v>53</v>
      </c>
      <c r="AO4215" t="s">
        <v>53</v>
      </c>
      <c r="AP4215" t="s">
        <v>53</v>
      </c>
    </row>
    <row r="4216" spans="2:42" x14ac:dyDescent="0.2">
      <c r="B4216" t="s">
        <v>44</v>
      </c>
      <c r="C4216" t="str">
        <f>HYPERLINK("https://us2.cloudbeds.com/connect/8493803454333002#/reservations/9080486845778988?display=1UGHXHW84A&amp;reservation_id=9080486845778988", "1UGHXHW84A")</f>
        <v>1UGHXHW84A</v>
      </c>
      <c r="D4216" t="s">
        <v>45</v>
      </c>
      <c r="E4216" t="s">
        <v>98</v>
      </c>
      <c r="F4216" t="s">
        <v>86</v>
      </c>
      <c r="G4216" t="s">
        <v>48</v>
      </c>
      <c r="H4216" t="s">
        <v>49</v>
      </c>
      <c r="I4216" t="s">
        <v>62</v>
      </c>
      <c r="J4216" t="s">
        <v>6912</v>
      </c>
      <c r="K4216" t="s">
        <v>6877</v>
      </c>
      <c r="L4216" t="s">
        <v>53</v>
      </c>
      <c r="N4216" t="s">
        <v>7259</v>
      </c>
      <c r="P4216" t="s">
        <v>55</v>
      </c>
      <c r="R4216" t="s">
        <v>56</v>
      </c>
      <c r="T4216" t="s">
        <v>7260</v>
      </c>
      <c r="U4216" t="s">
        <v>55</v>
      </c>
      <c r="V4216">
        <v>3</v>
      </c>
      <c r="W4216">
        <v>1</v>
      </c>
      <c r="X4216">
        <v>2</v>
      </c>
      <c r="Y4216">
        <v>0</v>
      </c>
      <c r="Z4216">
        <v>2</v>
      </c>
      <c r="AA4216">
        <v>279.64999999999998</v>
      </c>
      <c r="AB4216">
        <v>286.14999999999998</v>
      </c>
      <c r="AC4216">
        <v>279.64999999999998</v>
      </c>
      <c r="AD4216">
        <v>6</v>
      </c>
      <c r="AE4216">
        <v>0.5</v>
      </c>
      <c r="AF4216">
        <v>0</v>
      </c>
      <c r="AG4216">
        <v>0</v>
      </c>
      <c r="AH4216">
        <v>0</v>
      </c>
      <c r="AI4216">
        <v>51.51</v>
      </c>
      <c r="AJ4216">
        <v>286.14999999999998</v>
      </c>
      <c r="AK4216">
        <v>0</v>
      </c>
      <c r="AL4216" t="s">
        <v>53</v>
      </c>
      <c r="AM4216" t="s">
        <v>53</v>
      </c>
      <c r="AN4216" t="s">
        <v>53</v>
      </c>
      <c r="AO4216" t="s">
        <v>53</v>
      </c>
      <c r="AP4216" t="s">
        <v>53</v>
      </c>
    </row>
    <row r="4217" spans="2:42" x14ac:dyDescent="0.2">
      <c r="B4217" t="s">
        <v>44</v>
      </c>
      <c r="C4217" t="str">
        <f>HYPERLINK("https://us2.cloudbeds.com/connect/8493803454333002#/reservations/9080486845779019?display=1UGJHMKYJC&amp;reservation_id=9080486845779019", "1UGJHMKYJC")</f>
        <v>1UGJHMKYJC</v>
      </c>
      <c r="D4217" t="s">
        <v>45</v>
      </c>
      <c r="E4217" t="s">
        <v>179</v>
      </c>
      <c r="F4217" t="s">
        <v>47</v>
      </c>
      <c r="G4217" t="s">
        <v>48</v>
      </c>
      <c r="H4217" t="s">
        <v>49</v>
      </c>
      <c r="I4217" t="s">
        <v>50</v>
      </c>
      <c r="J4217" t="s">
        <v>5519</v>
      </c>
      <c r="K4217" t="s">
        <v>6836</v>
      </c>
      <c r="L4217" t="s">
        <v>53</v>
      </c>
      <c r="N4217" t="s">
        <v>7261</v>
      </c>
      <c r="P4217" t="s">
        <v>55</v>
      </c>
      <c r="R4217" t="s">
        <v>53</v>
      </c>
      <c r="T4217" t="s">
        <v>7262</v>
      </c>
      <c r="U4217" t="s">
        <v>58</v>
      </c>
      <c r="V4217">
        <v>2</v>
      </c>
      <c r="W4217">
        <v>1</v>
      </c>
      <c r="X4217">
        <v>1</v>
      </c>
      <c r="Y4217">
        <v>0</v>
      </c>
      <c r="Z4217">
        <v>1</v>
      </c>
      <c r="AA4217">
        <v>110.02</v>
      </c>
      <c r="AB4217">
        <v>110.02</v>
      </c>
      <c r="AC4217">
        <v>96.8</v>
      </c>
      <c r="AD4217">
        <v>0</v>
      </c>
      <c r="AE4217">
        <v>13.22</v>
      </c>
      <c r="AF4217">
        <v>0</v>
      </c>
      <c r="AG4217">
        <v>0</v>
      </c>
      <c r="AH4217">
        <v>0</v>
      </c>
      <c r="AI4217">
        <v>19.8</v>
      </c>
      <c r="AJ4217">
        <v>110.02</v>
      </c>
      <c r="AK4217">
        <v>0</v>
      </c>
      <c r="AL4217" t="s">
        <v>53</v>
      </c>
      <c r="AM4217" t="s">
        <v>53</v>
      </c>
      <c r="AN4217" t="s">
        <v>53</v>
      </c>
      <c r="AO4217" t="s">
        <v>53</v>
      </c>
      <c r="AP4217" t="s">
        <v>53</v>
      </c>
    </row>
    <row r="4218" spans="2:42" x14ac:dyDescent="0.2">
      <c r="B4218" t="s">
        <v>44</v>
      </c>
      <c r="C4218" t="str">
        <f>HYPERLINK("https://us2.cloudbeds.com/connect/8493803454333002#/reservations/89417744658644?display=1UJ39KQG7G&amp;reservation_id=89417744658644", "1UJ39KQG7G")</f>
        <v>1UJ39KQG7G</v>
      </c>
      <c r="D4218" t="s">
        <v>45</v>
      </c>
      <c r="E4218" t="s">
        <v>7263</v>
      </c>
      <c r="F4218" t="s">
        <v>7264</v>
      </c>
      <c r="G4218" t="s">
        <v>3974</v>
      </c>
      <c r="H4218" t="s">
        <v>3957</v>
      </c>
      <c r="I4218" t="s">
        <v>3975</v>
      </c>
      <c r="J4218" t="s">
        <v>5891</v>
      </c>
      <c r="K4218" t="s">
        <v>5892</v>
      </c>
      <c r="L4218" t="s">
        <v>53</v>
      </c>
      <c r="P4218" t="s">
        <v>55</v>
      </c>
      <c r="R4218" t="s">
        <v>53</v>
      </c>
      <c r="T4218" t="s">
        <v>7265</v>
      </c>
      <c r="U4218" t="s">
        <v>58</v>
      </c>
      <c r="V4218">
        <v>2</v>
      </c>
      <c r="W4218">
        <v>2</v>
      </c>
      <c r="X4218">
        <v>4</v>
      </c>
      <c r="Y4218">
        <v>0</v>
      </c>
      <c r="Z4218">
        <v>4</v>
      </c>
      <c r="AA4218">
        <v>152.22999999999999</v>
      </c>
      <c r="AB4218">
        <v>152.22999999999999</v>
      </c>
      <c r="AC4218">
        <v>133.94999999999999</v>
      </c>
      <c r="AD4218">
        <v>0</v>
      </c>
      <c r="AE4218">
        <v>18.28</v>
      </c>
      <c r="AF4218">
        <v>0</v>
      </c>
      <c r="AG4218">
        <v>0</v>
      </c>
      <c r="AH4218">
        <v>0</v>
      </c>
      <c r="AI4218">
        <v>0</v>
      </c>
      <c r="AJ4218">
        <v>152.22999999999999</v>
      </c>
      <c r="AK4218">
        <v>0</v>
      </c>
      <c r="AL4218" t="s">
        <v>53</v>
      </c>
      <c r="AM4218" t="s">
        <v>53</v>
      </c>
      <c r="AN4218" t="s">
        <v>53</v>
      </c>
      <c r="AO4218" t="s">
        <v>53</v>
      </c>
      <c r="AP4218" t="s">
        <v>53</v>
      </c>
    </row>
    <row r="4219" spans="2:42" x14ac:dyDescent="0.2">
      <c r="B4219" t="s">
        <v>44</v>
      </c>
      <c r="C4219" t="str">
        <f>HYPERLINK("https://us2.cloudbeds.com/connect/8493803454333002#/reservations/9080486845780427?display=1UJ9JUYHMC&amp;reservation_id=9080486845780427", "1UJ9JUYHMC")</f>
        <v>1UJ9JUYHMC</v>
      </c>
      <c r="D4219" t="s">
        <v>45</v>
      </c>
      <c r="E4219" t="s">
        <v>69</v>
      </c>
      <c r="F4219" t="s">
        <v>70</v>
      </c>
      <c r="G4219" t="s">
        <v>48</v>
      </c>
      <c r="H4219" t="s">
        <v>49</v>
      </c>
      <c r="I4219" t="s">
        <v>50</v>
      </c>
      <c r="J4219" t="s">
        <v>7092</v>
      </c>
      <c r="K4219" t="s">
        <v>6592</v>
      </c>
      <c r="L4219" t="s">
        <v>53</v>
      </c>
      <c r="N4219" t="s">
        <v>7266</v>
      </c>
      <c r="P4219" t="s">
        <v>55</v>
      </c>
      <c r="R4219" t="s">
        <v>53</v>
      </c>
      <c r="T4219" t="s">
        <v>7267</v>
      </c>
      <c r="U4219" t="s">
        <v>58</v>
      </c>
      <c r="V4219">
        <v>1</v>
      </c>
      <c r="W4219">
        <v>1</v>
      </c>
      <c r="X4219">
        <v>2</v>
      </c>
      <c r="Y4219">
        <v>0</v>
      </c>
      <c r="Z4219">
        <v>2</v>
      </c>
      <c r="AA4219">
        <v>96.18</v>
      </c>
      <c r="AB4219">
        <v>96.18</v>
      </c>
      <c r="AC4219">
        <v>84.64</v>
      </c>
      <c r="AD4219">
        <v>0</v>
      </c>
      <c r="AE4219">
        <v>11.54</v>
      </c>
      <c r="AF4219">
        <v>0</v>
      </c>
      <c r="AG4219">
        <v>0</v>
      </c>
      <c r="AH4219">
        <v>0</v>
      </c>
      <c r="AI4219">
        <v>17.309999999999999</v>
      </c>
      <c r="AJ4219">
        <v>96.18</v>
      </c>
      <c r="AK4219">
        <v>0</v>
      </c>
      <c r="AL4219" t="s">
        <v>53</v>
      </c>
      <c r="AM4219" t="s">
        <v>53</v>
      </c>
      <c r="AN4219" t="s">
        <v>53</v>
      </c>
      <c r="AO4219" t="s">
        <v>53</v>
      </c>
      <c r="AP4219" t="s">
        <v>53</v>
      </c>
    </row>
    <row r="4220" spans="2:42" x14ac:dyDescent="0.2">
      <c r="B4220" t="s">
        <v>44</v>
      </c>
      <c r="C4220" t="str">
        <f>HYPERLINK("https://us2.cloudbeds.com/connect/8493803454333002#/reservations/9080486845780852?display=1UJPB23MR1&amp;reservation_id=9080486845780852", "1UJPB23MR1")</f>
        <v>1UJPB23MR1</v>
      </c>
      <c r="D4220" t="s">
        <v>45</v>
      </c>
      <c r="E4220" t="s">
        <v>305</v>
      </c>
      <c r="F4220" t="s">
        <v>61</v>
      </c>
      <c r="G4220" t="s">
        <v>48</v>
      </c>
      <c r="H4220" t="s">
        <v>49</v>
      </c>
      <c r="I4220" t="s">
        <v>50</v>
      </c>
      <c r="J4220" t="s">
        <v>5623</v>
      </c>
      <c r="K4220" t="s">
        <v>4767</v>
      </c>
      <c r="L4220" t="s">
        <v>53</v>
      </c>
      <c r="N4220" t="s">
        <v>7268</v>
      </c>
      <c r="P4220" t="s">
        <v>55</v>
      </c>
      <c r="R4220" t="s">
        <v>53</v>
      </c>
      <c r="T4220" t="s">
        <v>7269</v>
      </c>
      <c r="U4220" t="s">
        <v>58</v>
      </c>
      <c r="V4220">
        <v>2</v>
      </c>
      <c r="W4220">
        <v>1</v>
      </c>
      <c r="X4220">
        <v>2</v>
      </c>
      <c r="Y4220">
        <v>0</v>
      </c>
      <c r="Z4220">
        <v>2</v>
      </c>
      <c r="AA4220">
        <v>404.02</v>
      </c>
      <c r="AB4220">
        <v>404.02</v>
      </c>
      <c r="AC4220">
        <v>355.5</v>
      </c>
      <c r="AD4220">
        <v>0</v>
      </c>
      <c r="AE4220">
        <v>48.52</v>
      </c>
      <c r="AF4220">
        <v>0</v>
      </c>
      <c r="AG4220">
        <v>0</v>
      </c>
      <c r="AH4220">
        <v>0</v>
      </c>
      <c r="AI4220">
        <v>72.72</v>
      </c>
      <c r="AJ4220">
        <v>404.02</v>
      </c>
      <c r="AK4220">
        <v>0</v>
      </c>
      <c r="AL4220" t="s">
        <v>53</v>
      </c>
      <c r="AM4220" t="s">
        <v>53</v>
      </c>
      <c r="AN4220" t="s">
        <v>53</v>
      </c>
      <c r="AO4220" t="s">
        <v>53</v>
      </c>
      <c r="AP4220" t="s">
        <v>53</v>
      </c>
    </row>
    <row r="4221" spans="2:42" x14ac:dyDescent="0.2">
      <c r="B4221" t="s">
        <v>44</v>
      </c>
      <c r="C4221" t="str">
        <f>HYPERLINK("https://us2.cloudbeds.com/connect/8493803454333002#/reservations/9080486845781219?display=1UK8KNVY5X&amp;reservation_id=9080486845781219", "1UK8KNVY5X")</f>
        <v>1UK8KNVY5X</v>
      </c>
      <c r="D4221" t="s">
        <v>45</v>
      </c>
      <c r="E4221" t="s">
        <v>85</v>
      </c>
      <c r="F4221" t="s">
        <v>86</v>
      </c>
      <c r="G4221" t="s">
        <v>48</v>
      </c>
      <c r="H4221" t="s">
        <v>49</v>
      </c>
      <c r="I4221" t="s">
        <v>50</v>
      </c>
      <c r="J4221" t="s">
        <v>6959</v>
      </c>
      <c r="K4221" t="s">
        <v>6233</v>
      </c>
      <c r="L4221" t="s">
        <v>53</v>
      </c>
      <c r="N4221" t="s">
        <v>7270</v>
      </c>
      <c r="P4221" t="s">
        <v>55</v>
      </c>
      <c r="R4221" t="s">
        <v>53</v>
      </c>
      <c r="T4221" t="s">
        <v>7271</v>
      </c>
      <c r="U4221" t="s">
        <v>58</v>
      </c>
      <c r="V4221">
        <v>1</v>
      </c>
      <c r="W4221">
        <v>1</v>
      </c>
      <c r="X4221">
        <v>3</v>
      </c>
      <c r="Y4221">
        <v>0</v>
      </c>
      <c r="Z4221">
        <v>3</v>
      </c>
      <c r="AA4221">
        <v>171.62</v>
      </c>
      <c r="AB4221">
        <v>171.62</v>
      </c>
      <c r="AC4221">
        <v>151</v>
      </c>
      <c r="AD4221">
        <v>0</v>
      </c>
      <c r="AE4221">
        <v>20.62</v>
      </c>
      <c r="AF4221">
        <v>0</v>
      </c>
      <c r="AG4221">
        <v>0</v>
      </c>
      <c r="AH4221">
        <v>0</v>
      </c>
      <c r="AI4221">
        <v>30.89</v>
      </c>
      <c r="AJ4221">
        <v>171.62</v>
      </c>
      <c r="AK4221">
        <v>0</v>
      </c>
      <c r="AL4221" t="s">
        <v>53</v>
      </c>
      <c r="AM4221" t="s">
        <v>53</v>
      </c>
      <c r="AN4221" t="s">
        <v>53</v>
      </c>
      <c r="AO4221" t="s">
        <v>53</v>
      </c>
      <c r="AP4221" t="s">
        <v>53</v>
      </c>
    </row>
    <row r="4222" spans="2:42" x14ac:dyDescent="0.2">
      <c r="B4222" t="s">
        <v>44</v>
      </c>
      <c r="C4222" t="str">
        <f>HYPERLINK("https://us2.cloudbeds.com/connect/8493803454333002#/reservations/89490627534991?display=1UKQNVXVQ0&amp;reservation_id=89490627534991", "1UKQNVXVQ0")</f>
        <v>1UKQNVXVQ0</v>
      </c>
      <c r="D4222" t="s">
        <v>45</v>
      </c>
      <c r="E4222" t="s">
        <v>5164</v>
      </c>
      <c r="F4222" t="s">
        <v>47</v>
      </c>
      <c r="G4222" t="s">
        <v>48</v>
      </c>
      <c r="H4222" t="s">
        <v>3957</v>
      </c>
      <c r="I4222" t="s">
        <v>3989</v>
      </c>
      <c r="J4222" t="s">
        <v>6818</v>
      </c>
      <c r="K4222" t="s">
        <v>6819</v>
      </c>
      <c r="L4222" t="s">
        <v>53</v>
      </c>
      <c r="P4222" t="s">
        <v>55</v>
      </c>
      <c r="R4222" t="s">
        <v>56</v>
      </c>
      <c r="T4222" t="s">
        <v>7272</v>
      </c>
      <c r="U4222" t="s">
        <v>58</v>
      </c>
      <c r="V4222">
        <v>2</v>
      </c>
      <c r="W4222">
        <v>2</v>
      </c>
      <c r="X4222">
        <v>2</v>
      </c>
      <c r="Y4222">
        <v>0</v>
      </c>
      <c r="Z4222">
        <v>2</v>
      </c>
      <c r="AA4222">
        <v>222.76</v>
      </c>
      <c r="AB4222">
        <v>222.76</v>
      </c>
      <c r="AC4222">
        <v>196</v>
      </c>
      <c r="AD4222">
        <v>0</v>
      </c>
      <c r="AE4222">
        <v>26.76</v>
      </c>
      <c r="AF4222">
        <v>0</v>
      </c>
      <c r="AG4222">
        <v>0</v>
      </c>
      <c r="AH4222">
        <v>0</v>
      </c>
      <c r="AI4222">
        <v>0</v>
      </c>
      <c r="AJ4222">
        <v>222.76</v>
      </c>
      <c r="AK4222">
        <v>0</v>
      </c>
      <c r="AL4222" t="s">
        <v>53</v>
      </c>
      <c r="AM4222" t="s">
        <v>53</v>
      </c>
      <c r="AN4222" t="s">
        <v>53</v>
      </c>
      <c r="AO4222" t="s">
        <v>53</v>
      </c>
      <c r="AP4222" t="s">
        <v>53</v>
      </c>
    </row>
    <row r="4223" spans="2:42" x14ac:dyDescent="0.2">
      <c r="B4223" t="s">
        <v>44</v>
      </c>
      <c r="C4223" t="str">
        <f>HYPERLINK("https://us2.cloudbeds.com/connect/8493803454333002#/reservations/9080486845781916?display=1UY8W0BH1P&amp;reservation_id=9080486845781916", "1UY8W0BH1P")</f>
        <v>1UY8W0BH1P</v>
      </c>
      <c r="D4223" t="s">
        <v>45</v>
      </c>
      <c r="E4223" t="s">
        <v>179</v>
      </c>
      <c r="F4223" t="s">
        <v>47</v>
      </c>
      <c r="G4223" t="s">
        <v>48</v>
      </c>
      <c r="H4223" t="s">
        <v>49</v>
      </c>
      <c r="I4223" t="s">
        <v>62</v>
      </c>
      <c r="J4223" t="s">
        <v>4159</v>
      </c>
      <c r="K4223" t="s">
        <v>7078</v>
      </c>
      <c r="L4223" t="s">
        <v>53</v>
      </c>
      <c r="N4223" t="s">
        <v>7273</v>
      </c>
      <c r="P4223" t="s">
        <v>55</v>
      </c>
      <c r="R4223" t="s">
        <v>201</v>
      </c>
      <c r="T4223" t="s">
        <v>7274</v>
      </c>
      <c r="U4223" t="s">
        <v>55</v>
      </c>
      <c r="V4223">
        <v>1</v>
      </c>
      <c r="W4223">
        <v>1</v>
      </c>
      <c r="X4223">
        <v>2</v>
      </c>
      <c r="Y4223">
        <v>0</v>
      </c>
      <c r="Z4223">
        <v>2</v>
      </c>
      <c r="AA4223">
        <v>103</v>
      </c>
      <c r="AB4223">
        <v>103</v>
      </c>
      <c r="AC4223">
        <v>103</v>
      </c>
      <c r="AD4223">
        <v>0</v>
      </c>
      <c r="AE4223">
        <v>0</v>
      </c>
      <c r="AF4223">
        <v>0</v>
      </c>
      <c r="AG4223">
        <v>0</v>
      </c>
      <c r="AH4223">
        <v>0</v>
      </c>
      <c r="AI4223">
        <v>18.54</v>
      </c>
      <c r="AJ4223">
        <v>103</v>
      </c>
      <c r="AK4223">
        <v>0</v>
      </c>
      <c r="AL4223" t="s">
        <v>53</v>
      </c>
      <c r="AM4223" t="s">
        <v>53</v>
      </c>
      <c r="AN4223" t="s">
        <v>53</v>
      </c>
      <c r="AO4223" t="s">
        <v>53</v>
      </c>
      <c r="AP4223" t="s">
        <v>53</v>
      </c>
    </row>
    <row r="4224" spans="2:42" x14ac:dyDescent="0.2">
      <c r="B4224" t="s">
        <v>44</v>
      </c>
      <c r="C4224" t="str">
        <f>HYPERLINK("https://us2.cloudbeds.com/connect/8493803454333002#/reservations/9080486845782073?display=1UYHH8UGUB&amp;reservation_id=9080486845782073", "1UYHH8UGUB")</f>
        <v>1UYHH8UGUB</v>
      </c>
      <c r="D4224" t="s">
        <v>45</v>
      </c>
      <c r="E4224" t="s">
        <v>165</v>
      </c>
      <c r="F4224" t="s">
        <v>61</v>
      </c>
      <c r="G4224" t="s">
        <v>48</v>
      </c>
      <c r="H4224" t="s">
        <v>49</v>
      </c>
      <c r="I4224" t="s">
        <v>50</v>
      </c>
      <c r="J4224" t="s">
        <v>7275</v>
      </c>
      <c r="K4224" t="s">
        <v>7276</v>
      </c>
      <c r="L4224" t="s">
        <v>53</v>
      </c>
      <c r="N4224" t="s">
        <v>7277</v>
      </c>
      <c r="P4224" t="s">
        <v>55</v>
      </c>
      <c r="R4224" t="s">
        <v>53</v>
      </c>
      <c r="T4224" t="s">
        <v>7278</v>
      </c>
      <c r="U4224" t="s">
        <v>58</v>
      </c>
      <c r="V4224">
        <v>4</v>
      </c>
      <c r="W4224">
        <v>1</v>
      </c>
      <c r="X4224">
        <v>2</v>
      </c>
      <c r="Y4224">
        <v>0</v>
      </c>
      <c r="Z4224">
        <v>2</v>
      </c>
      <c r="AA4224">
        <v>713.88</v>
      </c>
      <c r="AB4224">
        <v>713.88</v>
      </c>
      <c r="AC4224">
        <v>628.15</v>
      </c>
      <c r="AD4224">
        <v>0</v>
      </c>
      <c r="AE4224">
        <v>85.73</v>
      </c>
      <c r="AF4224">
        <v>0</v>
      </c>
      <c r="AG4224">
        <v>0</v>
      </c>
      <c r="AH4224">
        <v>0</v>
      </c>
      <c r="AI4224">
        <v>128.5</v>
      </c>
      <c r="AJ4224">
        <v>713.88</v>
      </c>
      <c r="AK4224">
        <v>0</v>
      </c>
      <c r="AL4224" t="s">
        <v>53</v>
      </c>
      <c r="AM4224" t="s">
        <v>53</v>
      </c>
      <c r="AN4224" t="s">
        <v>53</v>
      </c>
      <c r="AO4224" t="s">
        <v>53</v>
      </c>
      <c r="AP4224" t="s">
        <v>53</v>
      </c>
    </row>
    <row r="4225" spans="2:42" x14ac:dyDescent="0.2">
      <c r="B4225" t="s">
        <v>44</v>
      </c>
      <c r="C4225" t="str">
        <f>HYPERLINK("https://us2.cloudbeds.com/connect/8493803454333002#/reservations/9080486845782647?display=1UMZ4FFKPJ&amp;reservation_id=9080486845782647", "1UMZ4FFKPJ")</f>
        <v>1UMZ4FFKPJ</v>
      </c>
      <c r="D4225" t="s">
        <v>45</v>
      </c>
      <c r="E4225" t="s">
        <v>305</v>
      </c>
      <c r="F4225" t="s">
        <v>61</v>
      </c>
      <c r="G4225" t="s">
        <v>48</v>
      </c>
      <c r="H4225" t="s">
        <v>49</v>
      </c>
      <c r="I4225" t="s">
        <v>50</v>
      </c>
      <c r="J4225" t="s">
        <v>4159</v>
      </c>
      <c r="K4225" t="s">
        <v>6999</v>
      </c>
      <c r="L4225" t="s">
        <v>53</v>
      </c>
      <c r="N4225" t="s">
        <v>7279</v>
      </c>
      <c r="P4225" t="s">
        <v>55</v>
      </c>
      <c r="R4225" t="s">
        <v>53</v>
      </c>
      <c r="T4225" t="s">
        <v>7280</v>
      </c>
      <c r="U4225" t="s">
        <v>58</v>
      </c>
      <c r="V4225">
        <v>4</v>
      </c>
      <c r="W4225">
        <v>1</v>
      </c>
      <c r="X4225">
        <v>2</v>
      </c>
      <c r="Y4225">
        <v>0</v>
      </c>
      <c r="Z4225">
        <v>2</v>
      </c>
      <c r="AA4225">
        <v>447.45</v>
      </c>
      <c r="AB4225">
        <v>447.45</v>
      </c>
      <c r="AC4225">
        <v>393.7</v>
      </c>
      <c r="AD4225">
        <v>0</v>
      </c>
      <c r="AE4225">
        <v>53.75</v>
      </c>
      <c r="AF4225">
        <v>0</v>
      </c>
      <c r="AG4225">
        <v>0</v>
      </c>
      <c r="AH4225">
        <v>0</v>
      </c>
      <c r="AI4225">
        <v>80.540000000000006</v>
      </c>
      <c r="AJ4225">
        <v>447.45</v>
      </c>
      <c r="AK4225">
        <v>0</v>
      </c>
      <c r="AL4225" t="s">
        <v>53</v>
      </c>
      <c r="AM4225" t="s">
        <v>53</v>
      </c>
      <c r="AN4225" t="s">
        <v>53</v>
      </c>
      <c r="AO4225" t="s">
        <v>53</v>
      </c>
      <c r="AP4225" t="s">
        <v>53</v>
      </c>
    </row>
    <row r="4226" spans="2:42" x14ac:dyDescent="0.2">
      <c r="B4226" t="s">
        <v>44</v>
      </c>
      <c r="C4226" t="str">
        <f>HYPERLINK("https://us2.cloudbeds.com/connect/8493803454333002#/reservations/89606356549797?display=1UNHB3BD3K&amp;reservation_id=89606356549797", "1UNHB3BD3K")</f>
        <v>1UNHB3BD3K</v>
      </c>
      <c r="D4226" t="s">
        <v>45</v>
      </c>
      <c r="E4226" t="s">
        <v>46</v>
      </c>
      <c r="F4226" t="s">
        <v>47</v>
      </c>
      <c r="G4226" t="s">
        <v>48</v>
      </c>
      <c r="H4226" t="s">
        <v>3957</v>
      </c>
      <c r="I4226" t="s">
        <v>3975</v>
      </c>
      <c r="J4226" t="s">
        <v>6591</v>
      </c>
      <c r="K4226" t="s">
        <v>6592</v>
      </c>
      <c r="L4226" t="s">
        <v>53</v>
      </c>
      <c r="P4226" t="s">
        <v>55</v>
      </c>
      <c r="R4226" t="s">
        <v>53</v>
      </c>
      <c r="T4226" t="s">
        <v>7281</v>
      </c>
      <c r="U4226" t="s">
        <v>58</v>
      </c>
      <c r="V4226">
        <v>2</v>
      </c>
      <c r="W4226">
        <v>1</v>
      </c>
      <c r="X4226">
        <v>2</v>
      </c>
      <c r="Y4226">
        <v>0</v>
      </c>
      <c r="Z4226">
        <v>2</v>
      </c>
      <c r="AA4226">
        <v>233.21</v>
      </c>
      <c r="AB4226">
        <v>233.21</v>
      </c>
      <c r="AC4226">
        <v>205.2</v>
      </c>
      <c r="AD4226">
        <v>0</v>
      </c>
      <c r="AE4226">
        <v>28.01</v>
      </c>
      <c r="AF4226">
        <v>0</v>
      </c>
      <c r="AG4226">
        <v>0</v>
      </c>
      <c r="AH4226">
        <v>0</v>
      </c>
      <c r="AI4226">
        <v>0</v>
      </c>
      <c r="AJ4226">
        <v>233.21</v>
      </c>
      <c r="AK4226">
        <v>0</v>
      </c>
      <c r="AL4226" t="s">
        <v>53</v>
      </c>
      <c r="AM4226" t="s">
        <v>53</v>
      </c>
      <c r="AN4226" t="s">
        <v>53</v>
      </c>
      <c r="AO4226" t="s">
        <v>53</v>
      </c>
      <c r="AP4226" t="s">
        <v>53</v>
      </c>
    </row>
    <row r="4227" spans="2:42" x14ac:dyDescent="0.2">
      <c r="B4227" t="s">
        <v>44</v>
      </c>
      <c r="C4227" t="str">
        <f>HYPERLINK("https://us2.cloudbeds.com/connect/8493803454333002#/reservations/9080486845783165?display=1UNPUYU29K&amp;reservation_id=9080486845783165", "1UNPUYU29K")</f>
        <v>1UNPUYU29K</v>
      </c>
      <c r="D4227" t="s">
        <v>45</v>
      </c>
      <c r="E4227" t="s">
        <v>179</v>
      </c>
      <c r="F4227" t="s">
        <v>47</v>
      </c>
      <c r="G4227" t="s">
        <v>48</v>
      </c>
      <c r="H4227" t="s">
        <v>49</v>
      </c>
      <c r="I4227" t="s">
        <v>62</v>
      </c>
      <c r="J4227" t="s">
        <v>6737</v>
      </c>
      <c r="K4227" t="s">
        <v>5519</v>
      </c>
      <c r="L4227" t="s">
        <v>53</v>
      </c>
      <c r="N4227" t="s">
        <v>7282</v>
      </c>
      <c r="P4227" t="s">
        <v>55</v>
      </c>
      <c r="R4227" t="s">
        <v>56</v>
      </c>
      <c r="T4227" t="s">
        <v>7283</v>
      </c>
      <c r="U4227" t="s">
        <v>55</v>
      </c>
      <c r="V4227">
        <v>1</v>
      </c>
      <c r="W4227">
        <v>1</v>
      </c>
      <c r="X4227">
        <v>2</v>
      </c>
      <c r="Y4227">
        <v>0</v>
      </c>
      <c r="Z4227">
        <v>2</v>
      </c>
      <c r="AA4227">
        <v>67</v>
      </c>
      <c r="AB4227">
        <v>67</v>
      </c>
      <c r="AC4227">
        <v>67</v>
      </c>
      <c r="AD4227">
        <v>0</v>
      </c>
      <c r="AE4227">
        <v>0</v>
      </c>
      <c r="AF4227">
        <v>0</v>
      </c>
      <c r="AG4227">
        <v>0</v>
      </c>
      <c r="AH4227">
        <v>0</v>
      </c>
      <c r="AI4227">
        <v>12.06</v>
      </c>
      <c r="AJ4227">
        <v>67</v>
      </c>
      <c r="AK4227">
        <v>0</v>
      </c>
      <c r="AL4227" t="s">
        <v>53</v>
      </c>
      <c r="AM4227" t="s">
        <v>53</v>
      </c>
      <c r="AN4227" t="s">
        <v>53</v>
      </c>
      <c r="AO4227" t="s">
        <v>53</v>
      </c>
      <c r="AP4227" t="s">
        <v>53</v>
      </c>
    </row>
    <row r="4228" spans="2:42" x14ac:dyDescent="0.2">
      <c r="B4228" t="s">
        <v>44</v>
      </c>
      <c r="C4228" t="str">
        <f>HYPERLINK("https://us2.cloudbeds.com/connect/8493803454333002#/reservations/9080486845783287?display=1UZ2RQXAQX&amp;reservation_id=9080486845783287", "1UZ2RQXAQX")</f>
        <v>1UZ2RQXAQX</v>
      </c>
      <c r="D4228" t="s">
        <v>45</v>
      </c>
      <c r="E4228" t="s">
        <v>69</v>
      </c>
      <c r="F4228" t="s">
        <v>70</v>
      </c>
      <c r="G4228" t="s">
        <v>48</v>
      </c>
      <c r="H4228" t="s">
        <v>49</v>
      </c>
      <c r="I4228" t="s">
        <v>50</v>
      </c>
      <c r="J4228" t="s">
        <v>6959</v>
      </c>
      <c r="K4228" t="s">
        <v>6233</v>
      </c>
      <c r="L4228" t="s">
        <v>53</v>
      </c>
      <c r="N4228" t="s">
        <v>7284</v>
      </c>
      <c r="P4228" t="s">
        <v>55</v>
      </c>
      <c r="R4228" t="s">
        <v>53</v>
      </c>
      <c r="T4228" t="s">
        <v>7285</v>
      </c>
      <c r="U4228" t="s">
        <v>58</v>
      </c>
      <c r="V4228">
        <v>1</v>
      </c>
      <c r="W4228">
        <v>1</v>
      </c>
      <c r="X4228">
        <v>2</v>
      </c>
      <c r="Y4228">
        <v>0</v>
      </c>
      <c r="Z4228">
        <v>2</v>
      </c>
      <c r="AA4228">
        <v>152.4</v>
      </c>
      <c r="AB4228">
        <v>152.4</v>
      </c>
      <c r="AC4228">
        <v>134.1</v>
      </c>
      <c r="AD4228">
        <v>0</v>
      </c>
      <c r="AE4228">
        <v>18.3</v>
      </c>
      <c r="AF4228">
        <v>0</v>
      </c>
      <c r="AG4228">
        <v>0</v>
      </c>
      <c r="AH4228">
        <v>0</v>
      </c>
      <c r="AI4228">
        <v>27.43</v>
      </c>
      <c r="AJ4228">
        <v>152.4</v>
      </c>
      <c r="AK4228">
        <v>0</v>
      </c>
      <c r="AL4228" t="s">
        <v>53</v>
      </c>
      <c r="AM4228" t="s">
        <v>53</v>
      </c>
      <c r="AN4228" t="s">
        <v>53</v>
      </c>
      <c r="AO4228" t="s">
        <v>53</v>
      </c>
      <c r="AP4228" t="s">
        <v>53</v>
      </c>
    </row>
    <row r="4229" spans="2:42" x14ac:dyDescent="0.2">
      <c r="B4229" t="s">
        <v>44</v>
      </c>
      <c r="C4229" t="str">
        <f>HYPERLINK("https://us2.cloudbeds.com/connect/8493803454333002#/reservations/9080486845783966?display=1UP78U9YC6&amp;reservation_id=9080486845783966", "1UP78U9YC6")</f>
        <v>1UP78U9YC6</v>
      </c>
      <c r="D4229" t="s">
        <v>45</v>
      </c>
      <c r="E4229" t="s">
        <v>179</v>
      </c>
      <c r="F4229" t="s">
        <v>47</v>
      </c>
      <c r="G4229" t="s">
        <v>48</v>
      </c>
      <c r="H4229" t="s">
        <v>49</v>
      </c>
      <c r="I4229" t="s">
        <v>62</v>
      </c>
      <c r="J4229" t="s">
        <v>5518</v>
      </c>
      <c r="K4229" t="s">
        <v>6737</v>
      </c>
      <c r="L4229" t="s">
        <v>53</v>
      </c>
      <c r="N4229" t="s">
        <v>7286</v>
      </c>
      <c r="P4229" t="s">
        <v>55</v>
      </c>
      <c r="R4229" t="s">
        <v>125</v>
      </c>
      <c r="T4229" t="s">
        <v>7287</v>
      </c>
      <c r="U4229" t="s">
        <v>55</v>
      </c>
      <c r="V4229">
        <v>1</v>
      </c>
      <c r="W4229">
        <v>1</v>
      </c>
      <c r="X4229">
        <v>1</v>
      </c>
      <c r="Y4229">
        <v>0</v>
      </c>
      <c r="Z4229">
        <v>1</v>
      </c>
      <c r="AA4229">
        <v>59.85</v>
      </c>
      <c r="AB4229">
        <v>59.85</v>
      </c>
      <c r="AC4229">
        <v>59.85</v>
      </c>
      <c r="AD4229">
        <v>0</v>
      </c>
      <c r="AE4229">
        <v>0</v>
      </c>
      <c r="AF4229">
        <v>0</v>
      </c>
      <c r="AG4229">
        <v>0</v>
      </c>
      <c r="AH4229">
        <v>0</v>
      </c>
      <c r="AI4229">
        <v>10.77</v>
      </c>
      <c r="AJ4229">
        <v>59.85</v>
      </c>
      <c r="AK4229">
        <v>0</v>
      </c>
      <c r="AL4229" t="s">
        <v>53</v>
      </c>
      <c r="AM4229" t="s">
        <v>53</v>
      </c>
      <c r="AN4229" t="s">
        <v>53</v>
      </c>
      <c r="AO4229" t="s">
        <v>53</v>
      </c>
      <c r="AP4229" t="s">
        <v>53</v>
      </c>
    </row>
    <row r="4230" spans="2:42" x14ac:dyDescent="0.2">
      <c r="B4230" t="s">
        <v>44</v>
      </c>
      <c r="C4230" t="str">
        <f>HYPERLINK("https://us2.cloudbeds.com/connect/8493803454333002#/reservations/9080486845784341?display=1UPPPQYBAG&amp;reservation_id=9080486845784341", "1UPPPQYBAG")</f>
        <v>1UPPPQYBAG</v>
      </c>
      <c r="D4230" t="s">
        <v>45</v>
      </c>
      <c r="E4230" t="s">
        <v>223</v>
      </c>
      <c r="F4230" t="s">
        <v>47</v>
      </c>
      <c r="G4230" t="s">
        <v>48</v>
      </c>
      <c r="H4230" t="s">
        <v>49</v>
      </c>
      <c r="I4230" t="s">
        <v>50</v>
      </c>
      <c r="J4230" t="s">
        <v>6814</v>
      </c>
      <c r="K4230" t="s">
        <v>6858</v>
      </c>
      <c r="L4230" t="s">
        <v>53</v>
      </c>
      <c r="N4230" t="s">
        <v>7288</v>
      </c>
      <c r="P4230" t="s">
        <v>55</v>
      </c>
      <c r="R4230" t="s">
        <v>53</v>
      </c>
      <c r="T4230" t="s">
        <v>7289</v>
      </c>
      <c r="U4230" t="s">
        <v>58</v>
      </c>
      <c r="V4230">
        <v>1</v>
      </c>
      <c r="W4230">
        <v>1</v>
      </c>
      <c r="X4230">
        <v>1</v>
      </c>
      <c r="Y4230">
        <v>0</v>
      </c>
      <c r="Z4230">
        <v>1</v>
      </c>
      <c r="AA4230">
        <v>61.38</v>
      </c>
      <c r="AB4230">
        <v>0</v>
      </c>
      <c r="AC4230">
        <v>0</v>
      </c>
      <c r="AD4230">
        <v>0</v>
      </c>
      <c r="AE4230">
        <v>0</v>
      </c>
      <c r="AF4230">
        <v>0</v>
      </c>
      <c r="AG4230">
        <v>0</v>
      </c>
      <c r="AH4230">
        <v>0</v>
      </c>
      <c r="AI4230">
        <v>0</v>
      </c>
      <c r="AJ4230">
        <v>0</v>
      </c>
      <c r="AK4230">
        <v>0</v>
      </c>
      <c r="AL4230" t="s">
        <v>53</v>
      </c>
      <c r="AM4230" t="s">
        <v>53</v>
      </c>
      <c r="AN4230" t="s">
        <v>53</v>
      </c>
      <c r="AO4230" t="s">
        <v>53</v>
      </c>
      <c r="AP4230" t="s">
        <v>53</v>
      </c>
    </row>
    <row r="4231" spans="2:42" x14ac:dyDescent="0.2">
      <c r="B4231" t="s">
        <v>44</v>
      </c>
      <c r="C4231" t="str">
        <f>HYPERLINK("https://us2.cloudbeds.com/connect/8493803454333002#/reservations/9080486845785358?display=1URJ193QKX&amp;reservation_id=9080486845785358", "1URJ193QKX")</f>
        <v>1URJ193QKX</v>
      </c>
      <c r="D4231" t="s">
        <v>45</v>
      </c>
      <c r="E4231" t="s">
        <v>223</v>
      </c>
      <c r="F4231" t="s">
        <v>47</v>
      </c>
      <c r="G4231" t="s">
        <v>48</v>
      </c>
      <c r="H4231" t="s">
        <v>49</v>
      </c>
      <c r="I4231" t="s">
        <v>62</v>
      </c>
      <c r="J4231" t="s">
        <v>6813</v>
      </c>
      <c r="K4231" t="s">
        <v>6814</v>
      </c>
      <c r="L4231" t="s">
        <v>53</v>
      </c>
      <c r="N4231" t="s">
        <v>7290</v>
      </c>
      <c r="P4231" t="s">
        <v>55</v>
      </c>
      <c r="R4231" t="s">
        <v>118</v>
      </c>
      <c r="T4231" t="s">
        <v>7291</v>
      </c>
      <c r="U4231" t="s">
        <v>55</v>
      </c>
      <c r="V4231">
        <v>1</v>
      </c>
      <c r="W4231">
        <v>1</v>
      </c>
      <c r="X4231">
        <v>1</v>
      </c>
      <c r="Y4231">
        <v>0</v>
      </c>
      <c r="Z4231">
        <v>1</v>
      </c>
      <c r="AA4231">
        <v>57</v>
      </c>
      <c r="AB4231">
        <v>57</v>
      </c>
      <c r="AC4231">
        <v>57</v>
      </c>
      <c r="AD4231">
        <v>0</v>
      </c>
      <c r="AE4231">
        <v>0</v>
      </c>
      <c r="AF4231">
        <v>0</v>
      </c>
      <c r="AG4231">
        <v>0</v>
      </c>
      <c r="AH4231">
        <v>0</v>
      </c>
      <c r="AI4231">
        <v>10.26</v>
      </c>
      <c r="AJ4231">
        <v>57</v>
      </c>
      <c r="AK4231">
        <v>0</v>
      </c>
      <c r="AL4231" t="s">
        <v>53</v>
      </c>
      <c r="AM4231" t="s">
        <v>53</v>
      </c>
      <c r="AN4231" t="s">
        <v>53</v>
      </c>
      <c r="AO4231" t="s">
        <v>53</v>
      </c>
      <c r="AP4231" t="s">
        <v>53</v>
      </c>
    </row>
    <row r="4232" spans="2:42" x14ac:dyDescent="0.2">
      <c r="B4232" t="s">
        <v>44</v>
      </c>
      <c r="C4232" t="str">
        <f>HYPERLINK("https://us2.cloudbeds.com/connect/8493803454333002#/reservations/89808158732427?display=1US8JK9K12&amp;reservation_id=89808158732427", "1US8JK9K12")</f>
        <v>1US8JK9K12</v>
      </c>
      <c r="D4232" t="s">
        <v>45</v>
      </c>
      <c r="E4232" t="s">
        <v>381</v>
      </c>
      <c r="F4232" t="s">
        <v>47</v>
      </c>
      <c r="G4232" t="s">
        <v>48</v>
      </c>
      <c r="H4232" t="s">
        <v>3957</v>
      </c>
      <c r="I4232" t="s">
        <v>3975</v>
      </c>
      <c r="J4232" t="s">
        <v>6858</v>
      </c>
      <c r="K4232" t="s">
        <v>6592</v>
      </c>
      <c r="L4232" t="s">
        <v>53</v>
      </c>
      <c r="P4232" t="s">
        <v>55</v>
      </c>
      <c r="R4232" t="s">
        <v>53</v>
      </c>
      <c r="T4232" t="s">
        <v>7292</v>
      </c>
      <c r="U4232" t="s">
        <v>58</v>
      </c>
      <c r="V4232">
        <v>3</v>
      </c>
      <c r="W4232">
        <v>1</v>
      </c>
      <c r="X4232">
        <v>2</v>
      </c>
      <c r="Y4232">
        <v>0</v>
      </c>
      <c r="Z4232">
        <v>2</v>
      </c>
      <c r="AA4232">
        <v>349.81</v>
      </c>
      <c r="AB4232">
        <v>349.81</v>
      </c>
      <c r="AC4232">
        <v>307.8</v>
      </c>
      <c r="AD4232">
        <v>0</v>
      </c>
      <c r="AE4232">
        <v>42.01</v>
      </c>
      <c r="AF4232">
        <v>0</v>
      </c>
      <c r="AG4232">
        <v>0</v>
      </c>
      <c r="AH4232">
        <v>0</v>
      </c>
      <c r="AI4232">
        <v>0</v>
      </c>
      <c r="AJ4232">
        <v>349.81</v>
      </c>
      <c r="AK4232">
        <v>0</v>
      </c>
      <c r="AL4232" t="s">
        <v>53</v>
      </c>
      <c r="AM4232" t="s">
        <v>53</v>
      </c>
      <c r="AN4232" t="s">
        <v>53</v>
      </c>
      <c r="AO4232" t="s">
        <v>53</v>
      </c>
      <c r="AP4232" t="s">
        <v>53</v>
      </c>
    </row>
    <row r="4233" spans="2:42" x14ac:dyDescent="0.2">
      <c r="B4233" t="s">
        <v>44</v>
      </c>
      <c r="C4233" t="str">
        <f>HYPERLINK("https://us2.cloudbeds.com/connect/8493803454333002#/reservations/9080486845786090?display=1USGERYSRC&amp;reservation_id=9080486845786090", "1USGERYSRC")</f>
        <v>1USGERYSRC</v>
      </c>
      <c r="D4233" t="s">
        <v>45</v>
      </c>
      <c r="E4233" t="s">
        <v>138</v>
      </c>
      <c r="F4233" t="s">
        <v>70</v>
      </c>
      <c r="G4233" t="s">
        <v>48</v>
      </c>
      <c r="H4233" t="s">
        <v>49</v>
      </c>
      <c r="I4233" t="s">
        <v>50</v>
      </c>
      <c r="J4233" t="s">
        <v>7293</v>
      </c>
      <c r="K4233" t="s">
        <v>7294</v>
      </c>
      <c r="L4233" t="s">
        <v>53</v>
      </c>
      <c r="N4233" t="s">
        <v>7295</v>
      </c>
      <c r="P4233" t="s">
        <v>55</v>
      </c>
      <c r="R4233" t="s">
        <v>53</v>
      </c>
      <c r="T4233" t="s">
        <v>7296</v>
      </c>
      <c r="U4233" t="s">
        <v>58</v>
      </c>
      <c r="V4233">
        <v>1</v>
      </c>
      <c r="W4233">
        <v>1</v>
      </c>
      <c r="X4233">
        <v>1</v>
      </c>
      <c r="Y4233">
        <v>0</v>
      </c>
      <c r="Z4233">
        <v>1</v>
      </c>
      <c r="AA4233">
        <v>183.09</v>
      </c>
      <c r="AB4233">
        <v>183.09</v>
      </c>
      <c r="AC4233">
        <v>161.1</v>
      </c>
      <c r="AD4233">
        <v>0</v>
      </c>
      <c r="AE4233">
        <v>21.99</v>
      </c>
      <c r="AF4233">
        <v>0</v>
      </c>
      <c r="AG4233">
        <v>0</v>
      </c>
      <c r="AH4233">
        <v>0</v>
      </c>
      <c r="AI4233">
        <v>32.96</v>
      </c>
      <c r="AJ4233">
        <v>183.09</v>
      </c>
      <c r="AK4233">
        <v>0</v>
      </c>
      <c r="AL4233" t="s">
        <v>53</v>
      </c>
      <c r="AM4233" t="s">
        <v>53</v>
      </c>
      <c r="AN4233" t="s">
        <v>53</v>
      </c>
      <c r="AO4233" t="s">
        <v>53</v>
      </c>
      <c r="AP4233" t="s">
        <v>53</v>
      </c>
    </row>
    <row r="4234" spans="2:42" x14ac:dyDescent="0.2">
      <c r="B4234" t="s">
        <v>44</v>
      </c>
      <c r="C4234" t="str">
        <f>HYPERLINK("https://us2.cloudbeds.com/connect/8493803454333002#/reservations/9080486845786860?display=1UTB9ENCR2&amp;reservation_id=9080486845786860", "1UTB9ENCR2")</f>
        <v>1UTB9ENCR2</v>
      </c>
      <c r="D4234" t="s">
        <v>45</v>
      </c>
      <c r="E4234" t="s">
        <v>69</v>
      </c>
      <c r="F4234" t="s">
        <v>70</v>
      </c>
      <c r="G4234" t="s">
        <v>48</v>
      </c>
      <c r="H4234" t="s">
        <v>49</v>
      </c>
      <c r="I4234" t="s">
        <v>62</v>
      </c>
      <c r="J4234" t="s">
        <v>6781</v>
      </c>
      <c r="K4234" t="s">
        <v>6618</v>
      </c>
      <c r="L4234" t="s">
        <v>53</v>
      </c>
      <c r="N4234" t="s">
        <v>7297</v>
      </c>
      <c r="P4234" t="s">
        <v>55</v>
      </c>
      <c r="R4234" t="s">
        <v>56</v>
      </c>
      <c r="T4234" t="s">
        <v>7298</v>
      </c>
      <c r="U4234" t="s">
        <v>55</v>
      </c>
      <c r="V4234">
        <v>2</v>
      </c>
      <c r="W4234">
        <v>1</v>
      </c>
      <c r="X4234">
        <v>2</v>
      </c>
      <c r="Y4234">
        <v>0</v>
      </c>
      <c r="Z4234">
        <v>2</v>
      </c>
      <c r="AA4234">
        <v>127</v>
      </c>
      <c r="AB4234">
        <v>127</v>
      </c>
      <c r="AC4234">
        <v>127</v>
      </c>
      <c r="AD4234">
        <v>0</v>
      </c>
      <c r="AE4234">
        <v>0</v>
      </c>
      <c r="AF4234">
        <v>0</v>
      </c>
      <c r="AG4234">
        <v>0</v>
      </c>
      <c r="AH4234">
        <v>0</v>
      </c>
      <c r="AI4234">
        <v>22.86</v>
      </c>
      <c r="AJ4234">
        <v>127</v>
      </c>
      <c r="AK4234">
        <v>0</v>
      </c>
      <c r="AL4234" t="s">
        <v>53</v>
      </c>
      <c r="AM4234" t="s">
        <v>53</v>
      </c>
      <c r="AN4234" t="s">
        <v>53</v>
      </c>
      <c r="AO4234" t="s">
        <v>53</v>
      </c>
      <c r="AP4234" t="s">
        <v>53</v>
      </c>
    </row>
    <row r="4235" spans="2:42" x14ac:dyDescent="0.2">
      <c r="B4235" t="s">
        <v>44</v>
      </c>
      <c r="C4235" t="str">
        <f>HYPERLINK("https://us2.cloudbeds.com/connect/8493803454333002#/reservations/89874515587269?display=1UTQW64U15&amp;reservation_id=89874515587269", "1UTQW64U15")</f>
        <v>1UTQW64U15</v>
      </c>
      <c r="D4235" t="s">
        <v>45</v>
      </c>
      <c r="E4235" t="s">
        <v>381</v>
      </c>
      <c r="F4235" t="s">
        <v>47</v>
      </c>
      <c r="G4235" t="s">
        <v>48</v>
      </c>
      <c r="H4235" t="s">
        <v>3957</v>
      </c>
      <c r="I4235" t="s">
        <v>3975</v>
      </c>
      <c r="J4235" t="s">
        <v>6781</v>
      </c>
      <c r="K4235" t="s">
        <v>6727</v>
      </c>
      <c r="L4235" t="s">
        <v>53</v>
      </c>
      <c r="P4235" t="s">
        <v>55</v>
      </c>
      <c r="R4235" t="s">
        <v>53</v>
      </c>
      <c r="T4235" t="s">
        <v>7299</v>
      </c>
      <c r="U4235" t="s">
        <v>58</v>
      </c>
      <c r="V4235">
        <v>1</v>
      </c>
      <c r="W4235">
        <v>1</v>
      </c>
      <c r="X4235">
        <v>1</v>
      </c>
      <c r="Y4235">
        <v>0</v>
      </c>
      <c r="Z4235">
        <v>1</v>
      </c>
      <c r="AA4235">
        <v>79.56</v>
      </c>
      <c r="AB4235">
        <v>79.56</v>
      </c>
      <c r="AC4235">
        <v>70</v>
      </c>
      <c r="AD4235">
        <v>0</v>
      </c>
      <c r="AE4235">
        <v>9.56</v>
      </c>
      <c r="AF4235">
        <v>0</v>
      </c>
      <c r="AG4235">
        <v>0</v>
      </c>
      <c r="AH4235">
        <v>0</v>
      </c>
      <c r="AI4235">
        <v>0</v>
      </c>
      <c r="AJ4235">
        <v>79.56</v>
      </c>
      <c r="AK4235">
        <v>0</v>
      </c>
      <c r="AL4235" t="s">
        <v>53</v>
      </c>
      <c r="AM4235" t="s">
        <v>53</v>
      </c>
      <c r="AN4235" t="s">
        <v>53</v>
      </c>
      <c r="AO4235" t="s">
        <v>53</v>
      </c>
      <c r="AP4235" t="s">
        <v>53</v>
      </c>
    </row>
    <row r="4236" spans="2:42" x14ac:dyDescent="0.2">
      <c r="B4236" t="s">
        <v>44</v>
      </c>
      <c r="C4236" t="str">
        <f>HYPERLINK("https://us2.cloudbeds.com/connect/8493803454333002#/reservations/9080486845787359?display=1UU45RTG3S&amp;reservation_id=9080486845787359", "1UU45RTG3S")</f>
        <v>1UU45RTG3S</v>
      </c>
      <c r="D4236" t="s">
        <v>45</v>
      </c>
      <c r="E4236" t="s">
        <v>113</v>
      </c>
      <c r="F4236" t="s">
        <v>61</v>
      </c>
      <c r="G4236" t="s">
        <v>48</v>
      </c>
      <c r="H4236" t="s">
        <v>49</v>
      </c>
      <c r="I4236" t="s">
        <v>50</v>
      </c>
      <c r="J4236" t="s">
        <v>7275</v>
      </c>
      <c r="K4236" t="s">
        <v>6944</v>
      </c>
      <c r="L4236" t="s">
        <v>53</v>
      </c>
      <c r="N4236" t="s">
        <v>7300</v>
      </c>
      <c r="P4236" t="s">
        <v>55</v>
      </c>
      <c r="R4236" t="s">
        <v>53</v>
      </c>
      <c r="T4236" t="s">
        <v>7301</v>
      </c>
      <c r="U4236" t="s">
        <v>58</v>
      </c>
      <c r="V4236">
        <v>1</v>
      </c>
      <c r="W4236">
        <v>1</v>
      </c>
      <c r="X4236">
        <v>2</v>
      </c>
      <c r="Y4236">
        <v>0</v>
      </c>
      <c r="Z4236">
        <v>2</v>
      </c>
      <c r="AA4236">
        <v>172.53</v>
      </c>
      <c r="AB4236">
        <v>172.53</v>
      </c>
      <c r="AC4236">
        <v>151.81</v>
      </c>
      <c r="AD4236">
        <v>0</v>
      </c>
      <c r="AE4236">
        <v>20.72</v>
      </c>
      <c r="AF4236">
        <v>0</v>
      </c>
      <c r="AG4236">
        <v>0</v>
      </c>
      <c r="AH4236">
        <v>0</v>
      </c>
      <c r="AI4236">
        <v>31.06</v>
      </c>
      <c r="AJ4236">
        <v>172.53</v>
      </c>
      <c r="AK4236">
        <v>0</v>
      </c>
      <c r="AL4236" t="s">
        <v>53</v>
      </c>
      <c r="AM4236" t="s">
        <v>53</v>
      </c>
      <c r="AN4236" t="s">
        <v>53</v>
      </c>
      <c r="AO4236" t="s">
        <v>53</v>
      </c>
      <c r="AP4236" t="s">
        <v>53</v>
      </c>
    </row>
    <row r="4237" spans="2:42" x14ac:dyDescent="0.2">
      <c r="B4237" t="s">
        <v>44</v>
      </c>
      <c r="C4237" t="str">
        <f>HYPERLINK("https://us2.cloudbeds.com/connect/8493803454333002#/reservations/9080486845787681?display=1UUSK0GVS3&amp;reservation_id=9080486845787681", "1UUSK0GVS3")</f>
        <v>1UUSK0GVS3</v>
      </c>
      <c r="D4237" t="s">
        <v>45</v>
      </c>
      <c r="E4237" t="s">
        <v>128</v>
      </c>
      <c r="F4237" t="s">
        <v>86</v>
      </c>
      <c r="G4237" t="s">
        <v>48</v>
      </c>
      <c r="H4237" t="s">
        <v>49</v>
      </c>
      <c r="I4237" t="s">
        <v>50</v>
      </c>
      <c r="J4237" t="s">
        <v>7276</v>
      </c>
      <c r="K4237" t="s">
        <v>7302</v>
      </c>
      <c r="L4237" t="s">
        <v>53</v>
      </c>
      <c r="N4237" t="s">
        <v>7303</v>
      </c>
      <c r="P4237" t="s">
        <v>55</v>
      </c>
      <c r="R4237" t="s">
        <v>53</v>
      </c>
      <c r="T4237" t="s">
        <v>7304</v>
      </c>
      <c r="U4237" t="s">
        <v>58</v>
      </c>
      <c r="V4237">
        <v>2</v>
      </c>
      <c r="W4237">
        <v>1</v>
      </c>
      <c r="X4237">
        <v>2</v>
      </c>
      <c r="Y4237">
        <v>0</v>
      </c>
      <c r="Z4237">
        <v>2</v>
      </c>
      <c r="AA4237">
        <v>352.77</v>
      </c>
      <c r="AB4237">
        <v>352.77</v>
      </c>
      <c r="AC4237">
        <v>310.39999999999998</v>
      </c>
      <c r="AD4237">
        <v>0</v>
      </c>
      <c r="AE4237">
        <v>42.37</v>
      </c>
      <c r="AF4237">
        <v>0</v>
      </c>
      <c r="AG4237">
        <v>0</v>
      </c>
      <c r="AH4237">
        <v>0</v>
      </c>
      <c r="AI4237">
        <v>63.5</v>
      </c>
      <c r="AJ4237">
        <v>352.77</v>
      </c>
      <c r="AK4237">
        <v>0</v>
      </c>
      <c r="AL4237" t="s">
        <v>53</v>
      </c>
      <c r="AM4237" t="s">
        <v>53</v>
      </c>
      <c r="AN4237" t="s">
        <v>53</v>
      </c>
      <c r="AO4237" t="s">
        <v>53</v>
      </c>
      <c r="AP4237" t="s">
        <v>53</v>
      </c>
    </row>
    <row r="4238" spans="2:42" x14ac:dyDescent="0.2">
      <c r="B4238" t="s">
        <v>44</v>
      </c>
      <c r="C4238" t="str">
        <f>HYPERLINK("https://us2.cloudbeds.com/connect/8493803454333002#/reservations/9080486845787682?display=1UUSYZK7ZB&amp;reservation_id=9080486845787682", "1UUSYZK7ZB")</f>
        <v>1UUSYZK7ZB</v>
      </c>
      <c r="D4238" t="s">
        <v>45</v>
      </c>
      <c r="E4238" t="s">
        <v>85</v>
      </c>
      <c r="F4238" t="s">
        <v>86</v>
      </c>
      <c r="G4238" t="s">
        <v>48</v>
      </c>
      <c r="H4238" t="s">
        <v>49</v>
      </c>
      <c r="I4238" t="s">
        <v>50</v>
      </c>
      <c r="J4238" t="s">
        <v>7276</v>
      </c>
      <c r="K4238" t="s">
        <v>7302</v>
      </c>
      <c r="L4238" t="s">
        <v>53</v>
      </c>
      <c r="N4238" t="s">
        <v>7305</v>
      </c>
      <c r="P4238" t="s">
        <v>55</v>
      </c>
      <c r="R4238" t="s">
        <v>53</v>
      </c>
      <c r="T4238" t="s">
        <v>7306</v>
      </c>
      <c r="U4238" t="s">
        <v>58</v>
      </c>
      <c r="V4238">
        <v>2</v>
      </c>
      <c r="W4238">
        <v>1</v>
      </c>
      <c r="X4238">
        <v>1</v>
      </c>
      <c r="Y4238">
        <v>1</v>
      </c>
      <c r="Z4238">
        <v>2</v>
      </c>
      <c r="AA4238">
        <v>352.77</v>
      </c>
      <c r="AB4238">
        <v>352.77</v>
      </c>
      <c r="AC4238">
        <v>310.39999999999998</v>
      </c>
      <c r="AD4238">
        <v>0</v>
      </c>
      <c r="AE4238">
        <v>42.37</v>
      </c>
      <c r="AF4238">
        <v>0</v>
      </c>
      <c r="AG4238">
        <v>0</v>
      </c>
      <c r="AH4238">
        <v>0</v>
      </c>
      <c r="AI4238">
        <v>63.5</v>
      </c>
      <c r="AJ4238">
        <v>352.77</v>
      </c>
      <c r="AK4238">
        <v>0</v>
      </c>
      <c r="AL4238" t="s">
        <v>53</v>
      </c>
      <c r="AM4238" t="s">
        <v>53</v>
      </c>
      <c r="AN4238" t="s">
        <v>53</v>
      </c>
      <c r="AO4238" t="s">
        <v>53</v>
      </c>
      <c r="AP4238" t="s">
        <v>53</v>
      </c>
    </row>
    <row r="4239" spans="2:42" x14ac:dyDescent="0.2">
      <c r="B4239" t="s">
        <v>44</v>
      </c>
      <c r="C4239" t="str">
        <f>HYPERLINK("https://us2.cloudbeds.com/connect/8493803454333002#/reservations/9080486845787800?display=1UV43QGSZ5&amp;reservation_id=9080486845787800", "1UV43QGSZ5")</f>
        <v>1UV43QGSZ5</v>
      </c>
      <c r="D4239" t="s">
        <v>45</v>
      </c>
      <c r="E4239" t="s">
        <v>105</v>
      </c>
      <c r="F4239" t="s">
        <v>47</v>
      </c>
      <c r="G4239" t="s">
        <v>48</v>
      </c>
      <c r="H4239" t="s">
        <v>49</v>
      </c>
      <c r="I4239" t="s">
        <v>50</v>
      </c>
      <c r="J4239" t="s">
        <v>6807</v>
      </c>
      <c r="K4239" t="s">
        <v>6233</v>
      </c>
      <c r="L4239" t="s">
        <v>53</v>
      </c>
      <c r="N4239" t="s">
        <v>7307</v>
      </c>
      <c r="P4239" t="s">
        <v>55</v>
      </c>
      <c r="R4239" t="s">
        <v>53</v>
      </c>
      <c r="T4239" t="s">
        <v>7308</v>
      </c>
      <c r="U4239" t="s">
        <v>58</v>
      </c>
      <c r="V4239">
        <v>2</v>
      </c>
      <c r="W4239">
        <v>1</v>
      </c>
      <c r="X4239">
        <v>2</v>
      </c>
      <c r="Y4239">
        <v>0</v>
      </c>
      <c r="Z4239">
        <v>2</v>
      </c>
      <c r="AA4239">
        <v>341.97</v>
      </c>
      <c r="AB4239">
        <v>341.97</v>
      </c>
      <c r="AC4239">
        <v>300.89999999999998</v>
      </c>
      <c r="AD4239">
        <v>0</v>
      </c>
      <c r="AE4239">
        <v>41.07</v>
      </c>
      <c r="AF4239">
        <v>0</v>
      </c>
      <c r="AG4239">
        <v>0</v>
      </c>
      <c r="AH4239">
        <v>0</v>
      </c>
      <c r="AI4239">
        <v>61.55</v>
      </c>
      <c r="AJ4239">
        <v>341.97</v>
      </c>
      <c r="AK4239">
        <v>0</v>
      </c>
      <c r="AL4239" t="s">
        <v>53</v>
      </c>
      <c r="AM4239" t="s">
        <v>53</v>
      </c>
      <c r="AN4239" t="s">
        <v>53</v>
      </c>
      <c r="AO4239" t="s">
        <v>53</v>
      </c>
      <c r="AP4239" t="s">
        <v>53</v>
      </c>
    </row>
    <row r="4240" spans="2:42" x14ac:dyDescent="0.2">
      <c r="B4240" t="s">
        <v>44</v>
      </c>
      <c r="C4240" t="str">
        <f>HYPERLINK("https://us2.cloudbeds.com/connect/8493803454333002#/reservations/9080486845787868?display=1UV7S38R08&amp;reservation_id=9080486845787868", "1UV7S38R08")</f>
        <v>1UV7S38R08</v>
      </c>
      <c r="D4240" t="s">
        <v>45</v>
      </c>
      <c r="E4240" t="s">
        <v>138</v>
      </c>
      <c r="F4240" t="s">
        <v>70</v>
      </c>
      <c r="G4240" t="s">
        <v>48</v>
      </c>
      <c r="H4240" t="s">
        <v>49</v>
      </c>
      <c r="I4240" t="s">
        <v>62</v>
      </c>
      <c r="J4240" t="s">
        <v>7276</v>
      </c>
      <c r="K4240" t="s">
        <v>7302</v>
      </c>
      <c r="L4240" t="s">
        <v>53</v>
      </c>
      <c r="N4240" t="s">
        <v>7309</v>
      </c>
      <c r="P4240" t="s">
        <v>55</v>
      </c>
      <c r="R4240" t="s">
        <v>56</v>
      </c>
      <c r="T4240" t="s">
        <v>7310</v>
      </c>
      <c r="U4240" t="s">
        <v>55</v>
      </c>
      <c r="V4240">
        <v>2</v>
      </c>
      <c r="W4240">
        <v>1</v>
      </c>
      <c r="X4240">
        <v>2</v>
      </c>
      <c r="Y4240">
        <v>0</v>
      </c>
      <c r="Z4240">
        <v>2</v>
      </c>
      <c r="AA4240">
        <v>318.25</v>
      </c>
      <c r="AB4240">
        <v>318.25</v>
      </c>
      <c r="AC4240">
        <v>318.25</v>
      </c>
      <c r="AD4240">
        <v>0</v>
      </c>
      <c r="AE4240">
        <v>0</v>
      </c>
      <c r="AF4240">
        <v>0</v>
      </c>
      <c r="AG4240">
        <v>0</v>
      </c>
      <c r="AH4240">
        <v>0</v>
      </c>
      <c r="AI4240">
        <v>57.29</v>
      </c>
      <c r="AJ4240">
        <v>318.25</v>
      </c>
      <c r="AK4240">
        <v>0</v>
      </c>
      <c r="AL4240" t="s">
        <v>53</v>
      </c>
      <c r="AM4240" t="s">
        <v>53</v>
      </c>
      <c r="AN4240" t="s">
        <v>53</v>
      </c>
      <c r="AO4240" t="s">
        <v>53</v>
      </c>
      <c r="AP4240" t="s">
        <v>53</v>
      </c>
    </row>
    <row r="4241" spans="2:42" x14ac:dyDescent="0.2">
      <c r="B4241" t="s">
        <v>44</v>
      </c>
      <c r="C4241" t="str">
        <f>HYPERLINK("https://us2.cloudbeds.com/connect/8493803454333002#/reservations/9080486845788986?display=1V0ZMQ08BE&amp;reservation_id=9080486845788986", "1V0ZMQ08BE")</f>
        <v>1V0ZMQ08BE</v>
      </c>
      <c r="D4241" t="s">
        <v>45</v>
      </c>
      <c r="E4241" t="s">
        <v>46</v>
      </c>
      <c r="F4241" t="s">
        <v>47</v>
      </c>
      <c r="G4241" t="s">
        <v>48</v>
      </c>
      <c r="H4241" t="s">
        <v>49</v>
      </c>
      <c r="I4241" t="s">
        <v>50</v>
      </c>
      <c r="J4241" t="s">
        <v>6737</v>
      </c>
      <c r="K4241" t="s">
        <v>5519</v>
      </c>
      <c r="L4241" t="s">
        <v>53</v>
      </c>
      <c r="N4241" t="s">
        <v>7311</v>
      </c>
      <c r="P4241" t="s">
        <v>55</v>
      </c>
      <c r="R4241" t="s">
        <v>53</v>
      </c>
      <c r="T4241" t="s">
        <v>7312</v>
      </c>
      <c r="U4241" t="s">
        <v>58</v>
      </c>
      <c r="V4241">
        <v>1</v>
      </c>
      <c r="W4241">
        <v>1</v>
      </c>
      <c r="X4241">
        <v>1</v>
      </c>
      <c r="Y4241">
        <v>1</v>
      </c>
      <c r="Z4241">
        <v>2</v>
      </c>
      <c r="AA4241">
        <v>64.14</v>
      </c>
      <c r="AB4241">
        <v>64.14</v>
      </c>
      <c r="AC4241">
        <v>56.43</v>
      </c>
      <c r="AD4241">
        <v>0</v>
      </c>
      <c r="AE4241">
        <v>7.71</v>
      </c>
      <c r="AF4241">
        <v>0</v>
      </c>
      <c r="AG4241">
        <v>0</v>
      </c>
      <c r="AH4241">
        <v>0</v>
      </c>
      <c r="AI4241">
        <v>11.55</v>
      </c>
      <c r="AJ4241">
        <v>64.14</v>
      </c>
      <c r="AK4241">
        <v>0</v>
      </c>
      <c r="AL4241" t="s">
        <v>53</v>
      </c>
      <c r="AM4241" t="s">
        <v>53</v>
      </c>
      <c r="AN4241" t="s">
        <v>53</v>
      </c>
      <c r="AO4241" t="s">
        <v>53</v>
      </c>
      <c r="AP4241" t="s">
        <v>53</v>
      </c>
    </row>
    <row r="4242" spans="2:42" x14ac:dyDescent="0.2">
      <c r="B4242" t="s">
        <v>44</v>
      </c>
      <c r="C4242" t="str">
        <f>HYPERLINK("https://us2.cloudbeds.com/connect/8493803454333002#/reservations/9080486845790236?display=1V2VANQQ86&amp;reservation_id=9080486845790236", "1V2VANQQ86")</f>
        <v>1V2VANQQ86</v>
      </c>
      <c r="D4242" t="s">
        <v>45</v>
      </c>
      <c r="E4242" t="s">
        <v>487</v>
      </c>
      <c r="F4242" t="s">
        <v>61</v>
      </c>
      <c r="G4242" t="s">
        <v>48</v>
      </c>
      <c r="H4242" t="s">
        <v>49</v>
      </c>
      <c r="I4242" t="s">
        <v>50</v>
      </c>
      <c r="J4242" t="s">
        <v>6888</v>
      </c>
      <c r="K4242" t="s">
        <v>6836</v>
      </c>
      <c r="L4242" t="s">
        <v>53</v>
      </c>
      <c r="N4242" t="s">
        <v>7313</v>
      </c>
      <c r="P4242" t="s">
        <v>55</v>
      </c>
      <c r="R4242" t="s">
        <v>53</v>
      </c>
      <c r="T4242" t="s">
        <v>7314</v>
      </c>
      <c r="U4242" t="s">
        <v>58</v>
      </c>
      <c r="V4242">
        <v>1</v>
      </c>
      <c r="W4242">
        <v>1</v>
      </c>
      <c r="X4242">
        <v>2</v>
      </c>
      <c r="Y4242">
        <v>0</v>
      </c>
      <c r="Z4242">
        <v>2</v>
      </c>
      <c r="AA4242">
        <v>62.79</v>
      </c>
      <c r="AB4242">
        <v>62.79</v>
      </c>
      <c r="AC4242">
        <v>55.25</v>
      </c>
      <c r="AD4242">
        <v>0</v>
      </c>
      <c r="AE4242">
        <v>7.54</v>
      </c>
      <c r="AF4242">
        <v>0</v>
      </c>
      <c r="AG4242">
        <v>0</v>
      </c>
      <c r="AH4242">
        <v>0</v>
      </c>
      <c r="AI4242">
        <v>11.3</v>
      </c>
      <c r="AJ4242">
        <v>62.79</v>
      </c>
      <c r="AK4242">
        <v>0</v>
      </c>
      <c r="AL4242" t="s">
        <v>53</v>
      </c>
      <c r="AM4242" t="s">
        <v>53</v>
      </c>
      <c r="AN4242" t="s">
        <v>53</v>
      </c>
      <c r="AO4242" t="s">
        <v>53</v>
      </c>
      <c r="AP4242" t="s">
        <v>53</v>
      </c>
    </row>
    <row r="4243" spans="2:42" x14ac:dyDescent="0.2">
      <c r="B4243" t="s">
        <v>44</v>
      </c>
      <c r="C4243" t="str">
        <f>HYPERLINK("https://us2.cloudbeds.com/connect/8493803454333002#/reservations/90133112799419?display=1V2T6V5HP7&amp;reservation_id=90133112799419", "1V2T6V5HP7")</f>
        <v>1V2T6V5HP7</v>
      </c>
      <c r="D4243" t="s">
        <v>45</v>
      </c>
      <c r="E4243" t="s">
        <v>69</v>
      </c>
      <c r="F4243" t="s">
        <v>70</v>
      </c>
      <c r="G4243" t="s">
        <v>48</v>
      </c>
      <c r="H4243" t="s">
        <v>3957</v>
      </c>
      <c r="I4243" t="s">
        <v>3975</v>
      </c>
      <c r="J4243" t="s">
        <v>5891</v>
      </c>
      <c r="K4243" t="s">
        <v>5895</v>
      </c>
      <c r="L4243" t="s">
        <v>53</v>
      </c>
      <c r="P4243" t="s">
        <v>55</v>
      </c>
      <c r="R4243" t="s">
        <v>53</v>
      </c>
      <c r="T4243" t="s">
        <v>7315</v>
      </c>
      <c r="U4243" t="s">
        <v>58</v>
      </c>
      <c r="V4243">
        <v>2</v>
      </c>
      <c r="W4243">
        <v>1</v>
      </c>
      <c r="X4243">
        <v>1</v>
      </c>
      <c r="Y4243">
        <v>0</v>
      </c>
      <c r="Z4243">
        <v>1</v>
      </c>
      <c r="AA4243">
        <v>155.69999999999999</v>
      </c>
      <c r="AB4243">
        <v>155.69999999999999</v>
      </c>
      <c r="AC4243">
        <v>137</v>
      </c>
      <c r="AD4243">
        <v>0</v>
      </c>
      <c r="AE4243">
        <v>18.7</v>
      </c>
      <c r="AF4243">
        <v>0</v>
      </c>
      <c r="AG4243">
        <v>0</v>
      </c>
      <c r="AH4243">
        <v>0</v>
      </c>
      <c r="AI4243">
        <v>0</v>
      </c>
      <c r="AJ4243">
        <v>155.69999999999999</v>
      </c>
      <c r="AK4243">
        <v>0</v>
      </c>
      <c r="AL4243" t="s">
        <v>53</v>
      </c>
      <c r="AM4243" t="s">
        <v>53</v>
      </c>
      <c r="AN4243" t="s">
        <v>53</v>
      </c>
      <c r="AO4243" t="s">
        <v>53</v>
      </c>
      <c r="AP4243" t="s">
        <v>53</v>
      </c>
    </row>
    <row r="4244" spans="2:42" x14ac:dyDescent="0.2">
      <c r="B4244" t="s">
        <v>44</v>
      </c>
      <c r="C4244" t="str">
        <f>HYPERLINK("https://us2.cloudbeds.com/connect/8493803454333002#/reservations/9080486845794621?display=1VBTU4G728&amp;reservation_id=9080486845794621", "1VBTU4G728")</f>
        <v>1VBTU4G728</v>
      </c>
      <c r="D4244" t="s">
        <v>45</v>
      </c>
      <c r="E4244" t="s">
        <v>78</v>
      </c>
      <c r="F4244" t="s">
        <v>61</v>
      </c>
      <c r="G4244" t="s">
        <v>48</v>
      </c>
      <c r="H4244" t="s">
        <v>49</v>
      </c>
      <c r="I4244" t="s">
        <v>50</v>
      </c>
      <c r="J4244" t="s">
        <v>6819</v>
      </c>
      <c r="K4244" t="s">
        <v>7078</v>
      </c>
      <c r="L4244" t="s">
        <v>53</v>
      </c>
      <c r="N4244" t="s">
        <v>7316</v>
      </c>
      <c r="P4244" t="s">
        <v>55</v>
      </c>
      <c r="R4244" t="s">
        <v>53</v>
      </c>
      <c r="T4244" t="s">
        <v>7317</v>
      </c>
      <c r="U4244" t="s">
        <v>58</v>
      </c>
      <c r="V4244">
        <v>2</v>
      </c>
      <c r="W4244">
        <v>1</v>
      </c>
      <c r="X4244">
        <v>2</v>
      </c>
      <c r="Y4244">
        <v>0</v>
      </c>
      <c r="Z4244">
        <v>2</v>
      </c>
      <c r="AA4244">
        <v>234.75</v>
      </c>
      <c r="AB4244">
        <v>234.75</v>
      </c>
      <c r="AC4244">
        <v>206.55</v>
      </c>
      <c r="AD4244">
        <v>0</v>
      </c>
      <c r="AE4244">
        <v>28.2</v>
      </c>
      <c r="AF4244">
        <v>0</v>
      </c>
      <c r="AG4244">
        <v>0</v>
      </c>
      <c r="AH4244">
        <v>0</v>
      </c>
      <c r="AI4244">
        <v>42.26</v>
      </c>
      <c r="AJ4244">
        <v>234.75</v>
      </c>
      <c r="AK4244">
        <v>0</v>
      </c>
      <c r="AL4244" t="s">
        <v>53</v>
      </c>
      <c r="AM4244" t="s">
        <v>53</v>
      </c>
      <c r="AN4244" t="s">
        <v>7318</v>
      </c>
      <c r="AO4244" t="s">
        <v>53</v>
      </c>
      <c r="AP4244" t="s">
        <v>53</v>
      </c>
    </row>
    <row r="4245" spans="2:42" x14ac:dyDescent="0.2">
      <c r="B4245" t="s">
        <v>44</v>
      </c>
      <c r="C4245" t="str">
        <f>HYPERLINK("https://us2.cloudbeds.com/connect/8493803454333002#/reservations/9080486845795194?display=1VCTZRBKG4&amp;reservation_id=9080486845795194", "1VCTZRBKG4")</f>
        <v>1VCTZRBKG4</v>
      </c>
      <c r="D4245" t="s">
        <v>45</v>
      </c>
      <c r="E4245" t="s">
        <v>113</v>
      </c>
      <c r="F4245" t="s">
        <v>61</v>
      </c>
      <c r="G4245" t="s">
        <v>48</v>
      </c>
      <c r="H4245" t="s">
        <v>49</v>
      </c>
      <c r="I4245" t="s">
        <v>62</v>
      </c>
      <c r="J4245" t="s">
        <v>4442</v>
      </c>
      <c r="K4245" t="s">
        <v>4443</v>
      </c>
      <c r="L4245" t="s">
        <v>53</v>
      </c>
      <c r="N4245" t="s">
        <v>7319</v>
      </c>
      <c r="P4245" t="s">
        <v>55</v>
      </c>
      <c r="R4245" t="s">
        <v>56</v>
      </c>
      <c r="T4245" t="s">
        <v>7320</v>
      </c>
      <c r="U4245" t="s">
        <v>55</v>
      </c>
      <c r="V4245">
        <v>2</v>
      </c>
      <c r="W4245">
        <v>1</v>
      </c>
      <c r="X4245">
        <v>2</v>
      </c>
      <c r="Y4245">
        <v>0</v>
      </c>
      <c r="Z4245">
        <v>2</v>
      </c>
      <c r="AA4245">
        <v>266</v>
      </c>
      <c r="AB4245">
        <v>266</v>
      </c>
      <c r="AC4245">
        <v>266</v>
      </c>
      <c r="AD4245">
        <v>0</v>
      </c>
      <c r="AE4245">
        <v>0</v>
      </c>
      <c r="AF4245">
        <v>0</v>
      </c>
      <c r="AG4245">
        <v>0</v>
      </c>
      <c r="AH4245">
        <v>0</v>
      </c>
      <c r="AI4245">
        <v>47.88</v>
      </c>
      <c r="AJ4245">
        <v>266</v>
      </c>
      <c r="AK4245">
        <v>0</v>
      </c>
      <c r="AL4245" t="s">
        <v>53</v>
      </c>
      <c r="AM4245" t="s">
        <v>53</v>
      </c>
      <c r="AN4245" t="s">
        <v>53</v>
      </c>
      <c r="AO4245" t="s">
        <v>53</v>
      </c>
      <c r="AP4245" t="s">
        <v>53</v>
      </c>
    </row>
    <row r="4246" spans="2:42" x14ac:dyDescent="0.2">
      <c r="B4246" t="s">
        <v>44</v>
      </c>
      <c r="C4246" t="str">
        <f>HYPERLINK("https://us2.cloudbeds.com/connect/8493803454333002#/reservations/9080486845795776?display=1VE4B2MKV8&amp;reservation_id=9080486845795776", "1VE4B2MKV8")</f>
        <v>1VE4B2MKV8</v>
      </c>
      <c r="D4246" t="s">
        <v>45</v>
      </c>
      <c r="E4246" t="s">
        <v>213</v>
      </c>
      <c r="F4246" t="s">
        <v>86</v>
      </c>
      <c r="G4246" t="s">
        <v>48</v>
      </c>
      <c r="H4246" t="s">
        <v>49</v>
      </c>
      <c r="I4246" t="s">
        <v>50</v>
      </c>
      <c r="J4246" t="s">
        <v>6921</v>
      </c>
      <c r="K4246" t="s">
        <v>6488</v>
      </c>
      <c r="L4246" t="s">
        <v>53</v>
      </c>
      <c r="N4246" t="s">
        <v>7321</v>
      </c>
      <c r="P4246" t="s">
        <v>55</v>
      </c>
      <c r="R4246" t="s">
        <v>53</v>
      </c>
      <c r="T4246" t="s">
        <v>7322</v>
      </c>
      <c r="U4246" t="s">
        <v>58</v>
      </c>
      <c r="V4246">
        <v>5</v>
      </c>
      <c r="W4246">
        <v>1</v>
      </c>
      <c r="X4246">
        <v>2</v>
      </c>
      <c r="Y4246">
        <v>0</v>
      </c>
      <c r="Z4246">
        <v>2</v>
      </c>
      <c r="AA4246">
        <v>731.33</v>
      </c>
      <c r="AB4246">
        <v>731.33</v>
      </c>
      <c r="AC4246">
        <v>643.5</v>
      </c>
      <c r="AD4246">
        <v>0</v>
      </c>
      <c r="AE4246">
        <v>87.83</v>
      </c>
      <c r="AF4246">
        <v>0</v>
      </c>
      <c r="AG4246">
        <v>0</v>
      </c>
      <c r="AH4246">
        <v>0</v>
      </c>
      <c r="AI4246">
        <v>131.63999999999999</v>
      </c>
      <c r="AJ4246">
        <v>731.33</v>
      </c>
      <c r="AK4246">
        <v>0</v>
      </c>
      <c r="AL4246" t="s">
        <v>53</v>
      </c>
      <c r="AM4246" t="s">
        <v>53</v>
      </c>
      <c r="AN4246" t="s">
        <v>7323</v>
      </c>
      <c r="AO4246" t="s">
        <v>53</v>
      </c>
      <c r="AP4246" t="s">
        <v>53</v>
      </c>
    </row>
    <row r="4247" spans="2:42" x14ac:dyDescent="0.2">
      <c r="B4247" t="s">
        <v>44</v>
      </c>
      <c r="C4247" t="str">
        <f>HYPERLINK("https://us2.cloudbeds.com/connect/8493803454333002#/reservations/90616963985565?display=1VE7SFA1C5&amp;reservation_id=90616963985565", "1VE7SFA1C5")</f>
        <v>1VE7SFA1C5</v>
      </c>
      <c r="D4247" t="s">
        <v>45</v>
      </c>
      <c r="E4247" t="s">
        <v>190</v>
      </c>
      <c r="F4247" t="s">
        <v>61</v>
      </c>
      <c r="G4247" t="s">
        <v>48</v>
      </c>
      <c r="H4247" t="s">
        <v>3957</v>
      </c>
      <c r="I4247" t="s">
        <v>3975</v>
      </c>
      <c r="J4247" t="s">
        <v>6885</v>
      </c>
      <c r="K4247" t="s">
        <v>6999</v>
      </c>
      <c r="L4247" t="s">
        <v>53</v>
      </c>
      <c r="P4247" t="s">
        <v>55</v>
      </c>
      <c r="R4247" t="s">
        <v>53</v>
      </c>
      <c r="T4247" t="s">
        <v>7324</v>
      </c>
      <c r="U4247" t="s">
        <v>58</v>
      </c>
      <c r="V4247">
        <v>1</v>
      </c>
      <c r="W4247">
        <v>1</v>
      </c>
      <c r="X4247">
        <v>2</v>
      </c>
      <c r="Y4247">
        <v>0</v>
      </c>
      <c r="Z4247">
        <v>2</v>
      </c>
      <c r="AA4247">
        <v>100.41</v>
      </c>
      <c r="AB4247">
        <v>100.41</v>
      </c>
      <c r="AC4247">
        <v>88.35</v>
      </c>
      <c r="AD4247">
        <v>0</v>
      </c>
      <c r="AE4247">
        <v>12.06</v>
      </c>
      <c r="AF4247">
        <v>0</v>
      </c>
      <c r="AG4247">
        <v>0</v>
      </c>
      <c r="AH4247">
        <v>0</v>
      </c>
      <c r="AI4247">
        <v>0</v>
      </c>
      <c r="AJ4247">
        <v>100.41</v>
      </c>
      <c r="AK4247">
        <v>0</v>
      </c>
      <c r="AL4247" t="s">
        <v>53</v>
      </c>
      <c r="AM4247" t="s">
        <v>53</v>
      </c>
      <c r="AN4247" t="s">
        <v>53</v>
      </c>
      <c r="AO4247" t="s">
        <v>53</v>
      </c>
      <c r="AP4247" t="s">
        <v>53</v>
      </c>
    </row>
    <row r="4248" spans="2:42" x14ac:dyDescent="0.2">
      <c r="B4248" t="s">
        <v>44</v>
      </c>
      <c r="C4248" t="str">
        <f>HYPERLINK("https://us2.cloudbeds.com/connect/8493803454333002#/reservations/9080486845797585?display=1VXEYHN8CA&amp;reservation_id=9080486845797585", "1VXEYHN8CA")</f>
        <v>1VXEYHN8CA</v>
      </c>
      <c r="D4248" t="s">
        <v>45</v>
      </c>
      <c r="E4248" t="s">
        <v>165</v>
      </c>
      <c r="F4248" t="s">
        <v>61</v>
      </c>
      <c r="G4248" t="s">
        <v>48</v>
      </c>
      <c r="H4248" t="s">
        <v>49</v>
      </c>
      <c r="I4248" t="s">
        <v>62</v>
      </c>
      <c r="J4248" t="s">
        <v>5508</v>
      </c>
      <c r="K4248" t="s">
        <v>7325</v>
      </c>
      <c r="L4248" t="s">
        <v>53</v>
      </c>
      <c r="N4248" t="s">
        <v>7326</v>
      </c>
      <c r="P4248" t="s">
        <v>55</v>
      </c>
      <c r="R4248" t="s">
        <v>329</v>
      </c>
      <c r="T4248" t="s">
        <v>7327</v>
      </c>
      <c r="U4248" t="s">
        <v>55</v>
      </c>
      <c r="V4248">
        <v>2</v>
      </c>
      <c r="W4248">
        <v>1</v>
      </c>
      <c r="X4248">
        <v>2</v>
      </c>
      <c r="Y4248">
        <v>0</v>
      </c>
      <c r="Z4248">
        <v>2</v>
      </c>
      <c r="AA4248">
        <v>388</v>
      </c>
      <c r="AB4248">
        <v>388</v>
      </c>
      <c r="AC4248">
        <v>388</v>
      </c>
      <c r="AD4248">
        <v>0</v>
      </c>
      <c r="AE4248">
        <v>0</v>
      </c>
      <c r="AF4248">
        <v>0</v>
      </c>
      <c r="AG4248">
        <v>0</v>
      </c>
      <c r="AH4248">
        <v>0</v>
      </c>
      <c r="AI4248">
        <v>69.84</v>
      </c>
      <c r="AJ4248">
        <v>388</v>
      </c>
      <c r="AK4248">
        <v>0</v>
      </c>
      <c r="AL4248" t="s">
        <v>53</v>
      </c>
      <c r="AM4248" t="s">
        <v>53</v>
      </c>
      <c r="AN4248" t="s">
        <v>53</v>
      </c>
      <c r="AO4248" t="s">
        <v>53</v>
      </c>
      <c r="AP4248" t="s">
        <v>53</v>
      </c>
    </row>
    <row r="4249" spans="2:42" x14ac:dyDescent="0.2">
      <c r="B4249" t="s">
        <v>44</v>
      </c>
      <c r="C4249" t="str">
        <f>HYPERLINK("https://us2.cloudbeds.com/connect/8493803454333002#/reservations/9080486845797696?display=1VXKQU2434&amp;reservation_id=9080486845797696", "1VXKQU2434")</f>
        <v>1VXKQU2434</v>
      </c>
      <c r="D4249" t="s">
        <v>45</v>
      </c>
      <c r="E4249" t="s">
        <v>110</v>
      </c>
      <c r="F4249" t="s">
        <v>47</v>
      </c>
      <c r="G4249" t="s">
        <v>48</v>
      </c>
      <c r="H4249" t="s">
        <v>49</v>
      </c>
      <c r="I4249" t="s">
        <v>62</v>
      </c>
      <c r="J4249" t="s">
        <v>6586</v>
      </c>
      <c r="K4249" t="s">
        <v>5431</v>
      </c>
      <c r="L4249" t="s">
        <v>53</v>
      </c>
      <c r="N4249" t="s">
        <v>7328</v>
      </c>
      <c r="P4249" t="s">
        <v>55</v>
      </c>
      <c r="R4249" t="s">
        <v>118</v>
      </c>
      <c r="T4249" t="s">
        <v>7329</v>
      </c>
      <c r="U4249" t="s">
        <v>55</v>
      </c>
      <c r="V4249">
        <v>3</v>
      </c>
      <c r="W4249">
        <v>1</v>
      </c>
      <c r="X4249">
        <v>2</v>
      </c>
      <c r="Y4249">
        <v>0</v>
      </c>
      <c r="Z4249">
        <v>2</v>
      </c>
      <c r="AA4249">
        <v>368</v>
      </c>
      <c r="AB4249">
        <v>368</v>
      </c>
      <c r="AC4249">
        <v>368</v>
      </c>
      <c r="AD4249">
        <v>0</v>
      </c>
      <c r="AE4249">
        <v>0</v>
      </c>
      <c r="AF4249">
        <v>0</v>
      </c>
      <c r="AG4249">
        <v>0</v>
      </c>
      <c r="AH4249">
        <v>0</v>
      </c>
      <c r="AI4249">
        <v>66.239999999999995</v>
      </c>
      <c r="AJ4249">
        <v>368</v>
      </c>
      <c r="AK4249">
        <v>0</v>
      </c>
      <c r="AL4249" t="s">
        <v>53</v>
      </c>
      <c r="AM4249" t="s">
        <v>53</v>
      </c>
      <c r="AN4249" t="s">
        <v>53</v>
      </c>
      <c r="AO4249" t="s">
        <v>53</v>
      </c>
      <c r="AP4249" t="s">
        <v>53</v>
      </c>
    </row>
    <row r="4250" spans="2:42" x14ac:dyDescent="0.2">
      <c r="B4250" t="s">
        <v>44</v>
      </c>
      <c r="C4250" t="str">
        <f>HYPERLINK("https://us2.cloudbeds.com/connect/8493803454333002#/reservations/9080486845798439?display=1VJN7JU31N&amp;reservation_id=9080486845798439", "1VJN7JU31N")</f>
        <v>1VJN7JU31N</v>
      </c>
      <c r="D4250" t="s">
        <v>45</v>
      </c>
      <c r="E4250" t="s">
        <v>381</v>
      </c>
      <c r="F4250" t="s">
        <v>47</v>
      </c>
      <c r="G4250" t="s">
        <v>48</v>
      </c>
      <c r="H4250" t="s">
        <v>49</v>
      </c>
      <c r="I4250" t="s">
        <v>62</v>
      </c>
      <c r="J4250" t="s">
        <v>6888</v>
      </c>
      <c r="K4250" t="s">
        <v>6837</v>
      </c>
      <c r="L4250" t="s">
        <v>53</v>
      </c>
      <c r="N4250" t="s">
        <v>7330</v>
      </c>
      <c r="P4250" t="s">
        <v>55</v>
      </c>
      <c r="R4250" t="s">
        <v>56</v>
      </c>
      <c r="T4250" t="s">
        <v>7331</v>
      </c>
      <c r="U4250" t="s">
        <v>55</v>
      </c>
      <c r="V4250">
        <v>2</v>
      </c>
      <c r="W4250">
        <v>1</v>
      </c>
      <c r="X4250">
        <v>2</v>
      </c>
      <c r="Y4250">
        <v>0</v>
      </c>
      <c r="Z4250">
        <v>2</v>
      </c>
      <c r="AA4250">
        <v>147.25</v>
      </c>
      <c r="AB4250">
        <v>147.25</v>
      </c>
      <c r="AC4250">
        <v>147.25</v>
      </c>
      <c r="AD4250">
        <v>0</v>
      </c>
      <c r="AE4250">
        <v>0</v>
      </c>
      <c r="AF4250">
        <v>0</v>
      </c>
      <c r="AG4250">
        <v>0</v>
      </c>
      <c r="AH4250">
        <v>0</v>
      </c>
      <c r="AI4250">
        <v>26.51</v>
      </c>
      <c r="AJ4250">
        <v>147.25</v>
      </c>
      <c r="AK4250">
        <v>0</v>
      </c>
      <c r="AL4250" t="s">
        <v>53</v>
      </c>
      <c r="AM4250" t="s">
        <v>53</v>
      </c>
      <c r="AN4250" t="s">
        <v>53</v>
      </c>
      <c r="AO4250" t="s">
        <v>53</v>
      </c>
      <c r="AP4250" t="s">
        <v>53</v>
      </c>
    </row>
    <row r="4251" spans="2:42" x14ac:dyDescent="0.2">
      <c r="B4251" t="s">
        <v>44</v>
      </c>
      <c r="C4251" t="str">
        <f>HYPERLINK("https://us2.cloudbeds.com/connect/8493803454333002#/reservations/9080486845799192?display=1VKY00RNNF&amp;reservation_id=9080486845799192", "1VKY00RNNF")</f>
        <v>1VKY00RNNF</v>
      </c>
      <c r="D4251" t="s">
        <v>45</v>
      </c>
      <c r="E4251" t="s">
        <v>138</v>
      </c>
      <c r="F4251" t="s">
        <v>70</v>
      </c>
      <c r="G4251" t="s">
        <v>48</v>
      </c>
      <c r="H4251" t="s">
        <v>49</v>
      </c>
      <c r="I4251" t="s">
        <v>50</v>
      </c>
      <c r="J4251" t="s">
        <v>4442</v>
      </c>
      <c r="K4251" t="s">
        <v>6487</v>
      </c>
      <c r="L4251" t="s">
        <v>53</v>
      </c>
      <c r="N4251" t="s">
        <v>7332</v>
      </c>
      <c r="P4251" t="s">
        <v>55</v>
      </c>
      <c r="R4251" t="s">
        <v>53</v>
      </c>
      <c r="T4251" t="s">
        <v>7333</v>
      </c>
      <c r="U4251" t="s">
        <v>58</v>
      </c>
      <c r="V4251">
        <v>1</v>
      </c>
      <c r="W4251">
        <v>1</v>
      </c>
      <c r="X4251">
        <v>2</v>
      </c>
      <c r="Y4251">
        <v>0</v>
      </c>
      <c r="Z4251">
        <v>2</v>
      </c>
      <c r="AA4251">
        <v>112.06</v>
      </c>
      <c r="AB4251">
        <v>112.06</v>
      </c>
      <c r="AC4251">
        <v>98.6</v>
      </c>
      <c r="AD4251">
        <v>0</v>
      </c>
      <c r="AE4251">
        <v>13.46</v>
      </c>
      <c r="AF4251">
        <v>0</v>
      </c>
      <c r="AG4251">
        <v>0</v>
      </c>
      <c r="AH4251">
        <v>0</v>
      </c>
      <c r="AI4251">
        <v>20.170000000000002</v>
      </c>
      <c r="AJ4251">
        <v>112.06</v>
      </c>
      <c r="AK4251">
        <v>0</v>
      </c>
      <c r="AL4251" t="s">
        <v>53</v>
      </c>
      <c r="AM4251" t="s">
        <v>53</v>
      </c>
      <c r="AN4251" t="s">
        <v>53</v>
      </c>
      <c r="AO4251" t="s">
        <v>53</v>
      </c>
      <c r="AP4251" t="s">
        <v>53</v>
      </c>
    </row>
    <row r="4252" spans="2:42" x14ac:dyDescent="0.2">
      <c r="B4252" t="s">
        <v>44</v>
      </c>
      <c r="C4252" t="str">
        <f>HYPERLINK("https://us2.cloudbeds.com/connect/8493803454333002#/reservations/9080486845799829?display=1VYG01KARV&amp;reservation_id=9080486845799829", "1VYG01KARV")</f>
        <v>1VYG01KARV</v>
      </c>
      <c r="D4252" t="s">
        <v>602</v>
      </c>
      <c r="E4252" t="s">
        <v>53</v>
      </c>
      <c r="F4252" t="s">
        <v>86</v>
      </c>
      <c r="G4252" t="s">
        <v>48</v>
      </c>
      <c r="H4252" t="s">
        <v>49</v>
      </c>
      <c r="I4252" t="s">
        <v>50</v>
      </c>
      <c r="J4252" t="s">
        <v>6999</v>
      </c>
      <c r="K4252" t="s">
        <v>5963</v>
      </c>
      <c r="L4252" t="s">
        <v>53</v>
      </c>
      <c r="N4252" t="s">
        <v>7334</v>
      </c>
      <c r="P4252" t="s">
        <v>55</v>
      </c>
      <c r="R4252" t="s">
        <v>53</v>
      </c>
      <c r="T4252" t="s">
        <v>7335</v>
      </c>
      <c r="U4252" t="s">
        <v>58</v>
      </c>
      <c r="V4252">
        <v>1</v>
      </c>
      <c r="W4252">
        <v>1</v>
      </c>
      <c r="X4252">
        <v>2</v>
      </c>
      <c r="Y4252">
        <v>0</v>
      </c>
      <c r="Z4252">
        <v>2</v>
      </c>
      <c r="AA4252">
        <v>120.7</v>
      </c>
      <c r="AB4252">
        <v>120.7</v>
      </c>
      <c r="AC4252">
        <v>0</v>
      </c>
      <c r="AD4252">
        <v>0</v>
      </c>
      <c r="AE4252">
        <v>0</v>
      </c>
      <c r="AF4252">
        <v>0</v>
      </c>
      <c r="AG4252">
        <v>0</v>
      </c>
      <c r="AH4252">
        <v>0</v>
      </c>
      <c r="AI4252">
        <v>21.73</v>
      </c>
      <c r="AJ4252">
        <v>0</v>
      </c>
      <c r="AK4252">
        <v>-120.7</v>
      </c>
      <c r="AL4252">
        <v>106.2</v>
      </c>
      <c r="AM4252">
        <v>120.7</v>
      </c>
      <c r="AN4252" t="s">
        <v>7336</v>
      </c>
      <c r="AO4252" t="s">
        <v>53</v>
      </c>
      <c r="AP4252" t="s">
        <v>53</v>
      </c>
    </row>
    <row r="4253" spans="2:42" x14ac:dyDescent="0.2">
      <c r="B4253" t="s">
        <v>44</v>
      </c>
      <c r="C4253" t="str">
        <f>HYPERLINK("https://us2.cloudbeds.com/connect/8493803454333002#/reservations/9080486845800658?display=1VN0P5F0W6&amp;reservation_id=9080486845800658", "1VN0P5F0W6")</f>
        <v>1VN0P5F0W6</v>
      </c>
      <c r="D4253" t="s">
        <v>45</v>
      </c>
      <c r="E4253" t="s">
        <v>121</v>
      </c>
      <c r="F4253" t="s">
        <v>86</v>
      </c>
      <c r="G4253" t="s">
        <v>48</v>
      </c>
      <c r="H4253" t="s">
        <v>49</v>
      </c>
      <c r="I4253" t="s">
        <v>50</v>
      </c>
      <c r="J4253" t="s">
        <v>6885</v>
      </c>
      <c r="K4253" t="s">
        <v>5963</v>
      </c>
      <c r="L4253" t="s">
        <v>53</v>
      </c>
      <c r="N4253" t="s">
        <v>7337</v>
      </c>
      <c r="P4253" t="s">
        <v>55</v>
      </c>
      <c r="R4253" t="s">
        <v>53</v>
      </c>
      <c r="T4253" t="s">
        <v>7338</v>
      </c>
      <c r="U4253" t="s">
        <v>58</v>
      </c>
      <c r="V4253">
        <v>2</v>
      </c>
      <c r="W4253">
        <v>1</v>
      </c>
      <c r="X4253">
        <v>3</v>
      </c>
      <c r="Y4253">
        <v>0</v>
      </c>
      <c r="Z4253">
        <v>3</v>
      </c>
      <c r="AA4253">
        <v>222.99</v>
      </c>
      <c r="AB4253">
        <v>222.99</v>
      </c>
      <c r="AC4253">
        <v>196.2</v>
      </c>
      <c r="AD4253">
        <v>0</v>
      </c>
      <c r="AE4253">
        <v>26.79</v>
      </c>
      <c r="AF4253">
        <v>0</v>
      </c>
      <c r="AG4253">
        <v>0</v>
      </c>
      <c r="AH4253">
        <v>0</v>
      </c>
      <c r="AI4253">
        <v>40.14</v>
      </c>
      <c r="AJ4253">
        <v>222.99</v>
      </c>
      <c r="AK4253">
        <v>0</v>
      </c>
      <c r="AL4253" t="s">
        <v>53</v>
      </c>
      <c r="AM4253" t="s">
        <v>53</v>
      </c>
      <c r="AN4253" t="s">
        <v>53</v>
      </c>
      <c r="AO4253" t="s">
        <v>53</v>
      </c>
      <c r="AP4253" t="s">
        <v>53</v>
      </c>
    </row>
    <row r="4254" spans="2:42" x14ac:dyDescent="0.2">
      <c r="B4254" t="s">
        <v>44</v>
      </c>
      <c r="C4254" t="str">
        <f>HYPERLINK("https://us2.cloudbeds.com/connect/8493803454333002#/reservations/9080486845801078?display=1VNS3AN3MJ&amp;reservation_id=9080486845801078", "1VNS3AN3MJ")</f>
        <v>1VNS3AN3MJ</v>
      </c>
      <c r="D4254" t="s">
        <v>45</v>
      </c>
      <c r="E4254" t="s">
        <v>138</v>
      </c>
      <c r="F4254" t="s">
        <v>70</v>
      </c>
      <c r="G4254" t="s">
        <v>48</v>
      </c>
      <c r="H4254" t="s">
        <v>49</v>
      </c>
      <c r="I4254" t="s">
        <v>50</v>
      </c>
      <c r="J4254" t="s">
        <v>6488</v>
      </c>
      <c r="K4254" t="s">
        <v>6274</v>
      </c>
      <c r="L4254" t="s">
        <v>53</v>
      </c>
      <c r="N4254" t="s">
        <v>7339</v>
      </c>
      <c r="P4254" t="s">
        <v>55</v>
      </c>
      <c r="R4254" t="s">
        <v>53</v>
      </c>
      <c r="T4254" t="s">
        <v>7340</v>
      </c>
      <c r="U4254" t="s">
        <v>58</v>
      </c>
      <c r="V4254">
        <v>1</v>
      </c>
      <c r="W4254">
        <v>1</v>
      </c>
      <c r="X4254">
        <v>2</v>
      </c>
      <c r="Y4254">
        <v>0</v>
      </c>
      <c r="Z4254">
        <v>2</v>
      </c>
      <c r="AA4254">
        <v>115.62</v>
      </c>
      <c r="AB4254">
        <v>115.62</v>
      </c>
      <c r="AC4254">
        <v>101.74</v>
      </c>
      <c r="AD4254">
        <v>0</v>
      </c>
      <c r="AE4254">
        <v>13.88</v>
      </c>
      <c r="AF4254">
        <v>0</v>
      </c>
      <c r="AG4254">
        <v>0</v>
      </c>
      <c r="AH4254">
        <v>0</v>
      </c>
      <c r="AI4254">
        <v>20.81</v>
      </c>
      <c r="AJ4254">
        <v>115.62</v>
      </c>
      <c r="AK4254">
        <v>0</v>
      </c>
      <c r="AL4254" t="s">
        <v>53</v>
      </c>
      <c r="AM4254" t="s">
        <v>53</v>
      </c>
      <c r="AN4254" t="s">
        <v>53</v>
      </c>
      <c r="AO4254" t="s">
        <v>53</v>
      </c>
      <c r="AP4254" t="s">
        <v>53</v>
      </c>
    </row>
    <row r="4255" spans="2:42" x14ac:dyDescent="0.2">
      <c r="B4255" t="s">
        <v>44</v>
      </c>
      <c r="C4255" t="str">
        <f>HYPERLINK("https://us2.cloudbeds.com/connect/8493803454333002#/reservations/9080486845801444?display=1VZRNHR71E&amp;reservation_id=9080486845801444", "1VZRNHR71E")</f>
        <v>1VZRNHR71E</v>
      </c>
      <c r="D4255" t="s">
        <v>45</v>
      </c>
      <c r="E4255" t="s">
        <v>190</v>
      </c>
      <c r="F4255" t="s">
        <v>61</v>
      </c>
      <c r="G4255" t="s">
        <v>48</v>
      </c>
      <c r="H4255" t="s">
        <v>49</v>
      </c>
      <c r="I4255" t="s">
        <v>62</v>
      </c>
      <c r="J4255" t="s">
        <v>6837</v>
      </c>
      <c r="K4255" t="s">
        <v>7144</v>
      </c>
      <c r="L4255" t="s">
        <v>53</v>
      </c>
      <c r="N4255" t="s">
        <v>7341</v>
      </c>
      <c r="P4255" t="s">
        <v>55</v>
      </c>
      <c r="R4255" t="s">
        <v>56</v>
      </c>
      <c r="T4255" t="s">
        <v>7342</v>
      </c>
      <c r="U4255" t="s">
        <v>55</v>
      </c>
      <c r="V4255">
        <v>1</v>
      </c>
      <c r="W4255">
        <v>1</v>
      </c>
      <c r="X4255">
        <v>2</v>
      </c>
      <c r="Y4255">
        <v>0</v>
      </c>
      <c r="Z4255">
        <v>2</v>
      </c>
      <c r="AA4255">
        <v>73</v>
      </c>
      <c r="AB4255">
        <v>73</v>
      </c>
      <c r="AC4255">
        <v>73</v>
      </c>
      <c r="AD4255">
        <v>0</v>
      </c>
      <c r="AE4255">
        <v>0</v>
      </c>
      <c r="AF4255">
        <v>0</v>
      </c>
      <c r="AG4255">
        <v>0</v>
      </c>
      <c r="AH4255">
        <v>0</v>
      </c>
      <c r="AI4255">
        <v>13.14</v>
      </c>
      <c r="AJ4255">
        <v>73</v>
      </c>
      <c r="AK4255">
        <v>0</v>
      </c>
      <c r="AL4255" t="s">
        <v>53</v>
      </c>
      <c r="AM4255" t="s">
        <v>53</v>
      </c>
      <c r="AN4255" t="s">
        <v>53</v>
      </c>
      <c r="AO4255" t="s">
        <v>53</v>
      </c>
      <c r="AP4255" t="s">
        <v>53</v>
      </c>
    </row>
    <row r="4256" spans="2:42" x14ac:dyDescent="0.2">
      <c r="B4256" t="s">
        <v>44</v>
      </c>
      <c r="C4256" t="str">
        <f>HYPERLINK("https://us2.cloudbeds.com/connect/8493803454333002#/reservations/9080486845802656?display=1VR2Z6RJGV&amp;reservation_id=9080486845802656", "1VR2Z6RJGV")</f>
        <v>1VR2Z6RJGV</v>
      </c>
      <c r="D4256" t="s">
        <v>45</v>
      </c>
      <c r="E4256" t="s">
        <v>7343</v>
      </c>
      <c r="F4256" t="s">
        <v>5257</v>
      </c>
      <c r="G4256" t="s">
        <v>48</v>
      </c>
      <c r="H4256" t="s">
        <v>49</v>
      </c>
      <c r="I4256" t="s">
        <v>62</v>
      </c>
      <c r="J4256" t="s">
        <v>4443</v>
      </c>
      <c r="K4256" t="s">
        <v>6488</v>
      </c>
      <c r="L4256" t="s">
        <v>53</v>
      </c>
      <c r="N4256" t="s">
        <v>7344</v>
      </c>
      <c r="P4256" t="s">
        <v>55</v>
      </c>
      <c r="R4256" t="s">
        <v>513</v>
      </c>
      <c r="T4256" t="s">
        <v>7345</v>
      </c>
      <c r="U4256" t="s">
        <v>55</v>
      </c>
      <c r="V4256">
        <v>6</v>
      </c>
      <c r="W4256">
        <v>6</v>
      </c>
      <c r="X4256">
        <v>12</v>
      </c>
      <c r="Y4256">
        <v>1</v>
      </c>
      <c r="Z4256">
        <v>13</v>
      </c>
      <c r="AA4256">
        <v>939</v>
      </c>
      <c r="AB4256">
        <v>939</v>
      </c>
      <c r="AC4256">
        <v>939</v>
      </c>
      <c r="AD4256">
        <v>0</v>
      </c>
      <c r="AE4256">
        <v>0</v>
      </c>
      <c r="AF4256">
        <v>0</v>
      </c>
      <c r="AG4256">
        <v>0</v>
      </c>
      <c r="AH4256">
        <v>0</v>
      </c>
      <c r="AI4256">
        <v>169.02</v>
      </c>
      <c r="AJ4256">
        <v>939</v>
      </c>
      <c r="AK4256">
        <v>0</v>
      </c>
      <c r="AL4256" t="s">
        <v>53</v>
      </c>
      <c r="AM4256" t="s">
        <v>53</v>
      </c>
      <c r="AN4256" t="s">
        <v>53</v>
      </c>
      <c r="AO4256" t="s">
        <v>53</v>
      </c>
      <c r="AP4256" t="s">
        <v>53</v>
      </c>
    </row>
    <row r="4257" spans="2:42" x14ac:dyDescent="0.2">
      <c r="B4257" t="s">
        <v>44</v>
      </c>
      <c r="C4257" t="str">
        <f>HYPERLINK("https://us2.cloudbeds.com/connect/8493803454333002#/reservations/9080486845803578?display=1VSCW1WK6C&amp;reservation_id=9080486845803578", "1VSCW1WK6C")</f>
        <v>1VSCW1WK6C</v>
      </c>
      <c r="D4257" t="s">
        <v>45</v>
      </c>
      <c r="E4257" t="s">
        <v>190</v>
      </c>
      <c r="F4257" t="s">
        <v>61</v>
      </c>
      <c r="G4257" t="s">
        <v>48</v>
      </c>
      <c r="H4257" t="s">
        <v>49</v>
      </c>
      <c r="I4257" t="s">
        <v>50</v>
      </c>
      <c r="J4257" t="s">
        <v>6544</v>
      </c>
      <c r="K4257" t="s">
        <v>6234</v>
      </c>
      <c r="L4257" t="s">
        <v>53</v>
      </c>
      <c r="N4257" t="s">
        <v>7346</v>
      </c>
      <c r="P4257" t="s">
        <v>55</v>
      </c>
      <c r="R4257" t="s">
        <v>53</v>
      </c>
      <c r="T4257" t="s">
        <v>7347</v>
      </c>
      <c r="U4257" t="s">
        <v>58</v>
      </c>
      <c r="V4257">
        <v>1</v>
      </c>
      <c r="W4257">
        <v>1</v>
      </c>
      <c r="X4257">
        <v>2</v>
      </c>
      <c r="Y4257">
        <v>0</v>
      </c>
      <c r="Z4257">
        <v>2</v>
      </c>
      <c r="AA4257">
        <v>90.01</v>
      </c>
      <c r="AB4257">
        <v>90.01</v>
      </c>
      <c r="AC4257">
        <v>79.2</v>
      </c>
      <c r="AD4257">
        <v>0</v>
      </c>
      <c r="AE4257">
        <v>10.81</v>
      </c>
      <c r="AF4257">
        <v>0</v>
      </c>
      <c r="AG4257">
        <v>0</v>
      </c>
      <c r="AH4257">
        <v>0</v>
      </c>
      <c r="AI4257">
        <v>16.2</v>
      </c>
      <c r="AJ4257">
        <v>90.01</v>
      </c>
      <c r="AK4257">
        <v>0</v>
      </c>
      <c r="AL4257" t="s">
        <v>53</v>
      </c>
      <c r="AM4257" t="s">
        <v>53</v>
      </c>
      <c r="AN4257" t="s">
        <v>53</v>
      </c>
      <c r="AO4257" t="s">
        <v>53</v>
      </c>
      <c r="AP4257" t="s">
        <v>53</v>
      </c>
    </row>
    <row r="4258" spans="2:42" x14ac:dyDescent="0.2">
      <c r="B4258" t="s">
        <v>44</v>
      </c>
      <c r="C4258" t="str">
        <f>HYPERLINK("https://us2.cloudbeds.com/connect/8493803454333002#/reservations/9080486845803911?display=1VSRA84FUC&amp;reservation_id=9080486845803911", "1VSRA84FUC")</f>
        <v>1VSRA84FUC</v>
      </c>
      <c r="D4258" t="s">
        <v>45</v>
      </c>
      <c r="E4258" t="s">
        <v>406</v>
      </c>
      <c r="F4258" t="s">
        <v>61</v>
      </c>
      <c r="G4258" t="s">
        <v>48</v>
      </c>
      <c r="H4258" t="s">
        <v>49</v>
      </c>
      <c r="I4258" t="s">
        <v>62</v>
      </c>
      <c r="J4258" t="s">
        <v>6888</v>
      </c>
      <c r="K4258" t="s">
        <v>7144</v>
      </c>
      <c r="L4258" t="s">
        <v>53</v>
      </c>
      <c r="N4258" t="s">
        <v>7348</v>
      </c>
      <c r="P4258" t="s">
        <v>55</v>
      </c>
      <c r="R4258" t="s">
        <v>56</v>
      </c>
      <c r="T4258" t="s">
        <v>7349</v>
      </c>
      <c r="U4258" t="s">
        <v>55</v>
      </c>
      <c r="V4258">
        <v>3</v>
      </c>
      <c r="W4258">
        <v>1</v>
      </c>
      <c r="X4258">
        <v>2</v>
      </c>
      <c r="Y4258">
        <v>0</v>
      </c>
      <c r="Z4258">
        <v>2</v>
      </c>
      <c r="AA4258">
        <v>242</v>
      </c>
      <c r="AB4258">
        <v>242</v>
      </c>
      <c r="AC4258">
        <v>242</v>
      </c>
      <c r="AD4258">
        <v>0</v>
      </c>
      <c r="AE4258">
        <v>0</v>
      </c>
      <c r="AF4258">
        <v>0</v>
      </c>
      <c r="AG4258">
        <v>0</v>
      </c>
      <c r="AH4258">
        <v>0</v>
      </c>
      <c r="AI4258">
        <v>43.56</v>
      </c>
      <c r="AJ4258">
        <v>242</v>
      </c>
      <c r="AK4258">
        <v>0</v>
      </c>
      <c r="AL4258" t="s">
        <v>53</v>
      </c>
      <c r="AM4258" t="s">
        <v>53</v>
      </c>
      <c r="AN4258" t="s">
        <v>53</v>
      </c>
      <c r="AO4258" t="s">
        <v>53</v>
      </c>
      <c r="AP4258" t="s">
        <v>53</v>
      </c>
    </row>
    <row r="4259" spans="2:42" x14ac:dyDescent="0.2">
      <c r="B4259" t="s">
        <v>44</v>
      </c>
      <c r="C4259" t="str">
        <f>HYPERLINK("https://us2.cloudbeds.com/connect/8493803454333002#/reservations/9080486845804002?display=1VSUS5JBZS&amp;reservation_id=9080486845804002", "1VSUS5JBZS")</f>
        <v>1VSUS5JBZS</v>
      </c>
      <c r="D4259" t="s">
        <v>45</v>
      </c>
      <c r="E4259" t="s">
        <v>373</v>
      </c>
      <c r="F4259" t="s">
        <v>47</v>
      </c>
      <c r="G4259" t="s">
        <v>48</v>
      </c>
      <c r="H4259" t="s">
        <v>49</v>
      </c>
      <c r="I4259" t="s">
        <v>50</v>
      </c>
      <c r="J4259" t="s">
        <v>6858</v>
      </c>
      <c r="K4259" t="s">
        <v>7092</v>
      </c>
      <c r="L4259" t="s">
        <v>53</v>
      </c>
      <c r="N4259" t="s">
        <v>7350</v>
      </c>
      <c r="P4259" t="s">
        <v>55</v>
      </c>
      <c r="R4259" t="s">
        <v>53</v>
      </c>
      <c r="T4259" t="s">
        <v>7351</v>
      </c>
      <c r="U4259" t="s">
        <v>58</v>
      </c>
      <c r="V4259">
        <v>2</v>
      </c>
      <c r="W4259">
        <v>1</v>
      </c>
      <c r="X4259">
        <v>1</v>
      </c>
      <c r="Y4259">
        <v>0</v>
      </c>
      <c r="Z4259">
        <v>1</v>
      </c>
      <c r="AA4259">
        <v>305.76</v>
      </c>
      <c r="AB4259">
        <v>305.76</v>
      </c>
      <c r="AC4259">
        <v>269.04000000000002</v>
      </c>
      <c r="AD4259">
        <v>0</v>
      </c>
      <c r="AE4259">
        <v>36.72</v>
      </c>
      <c r="AF4259">
        <v>0</v>
      </c>
      <c r="AG4259">
        <v>0</v>
      </c>
      <c r="AH4259">
        <v>0</v>
      </c>
      <c r="AI4259">
        <v>55.04</v>
      </c>
      <c r="AJ4259">
        <v>305.76</v>
      </c>
      <c r="AK4259">
        <v>0</v>
      </c>
      <c r="AL4259" t="s">
        <v>53</v>
      </c>
      <c r="AM4259" t="s">
        <v>53</v>
      </c>
      <c r="AN4259" t="s">
        <v>53</v>
      </c>
      <c r="AO4259" t="s">
        <v>53</v>
      </c>
      <c r="AP4259" t="s">
        <v>53</v>
      </c>
    </row>
    <row r="4260" spans="2:42" x14ac:dyDescent="0.2">
      <c r="B4260" t="s">
        <v>44</v>
      </c>
      <c r="C4260" t="str">
        <f>HYPERLINK("https://us2.cloudbeds.com/connect/8493803454333002#/reservations/9080486845804414?display=1VTG73N0VW&amp;reservation_id=9080486845804414", "1VTG73N0VW")</f>
        <v>1VTG73N0VW</v>
      </c>
      <c r="D4260" t="s">
        <v>45</v>
      </c>
      <c r="E4260" t="s">
        <v>138</v>
      </c>
      <c r="F4260" t="s">
        <v>70</v>
      </c>
      <c r="G4260" t="s">
        <v>48</v>
      </c>
      <c r="H4260" t="s">
        <v>49</v>
      </c>
      <c r="I4260" t="s">
        <v>62</v>
      </c>
      <c r="J4260" t="s">
        <v>7352</v>
      </c>
      <c r="K4260" t="s">
        <v>7353</v>
      </c>
      <c r="L4260" t="s">
        <v>53</v>
      </c>
      <c r="N4260" t="s">
        <v>7354</v>
      </c>
      <c r="P4260" t="s">
        <v>55</v>
      </c>
      <c r="R4260" t="s">
        <v>118</v>
      </c>
      <c r="T4260" t="s">
        <v>7355</v>
      </c>
      <c r="U4260" t="s">
        <v>55</v>
      </c>
      <c r="V4260">
        <v>2</v>
      </c>
      <c r="W4260">
        <v>1</v>
      </c>
      <c r="X4260">
        <v>2</v>
      </c>
      <c r="Y4260">
        <v>0</v>
      </c>
      <c r="Z4260">
        <v>2</v>
      </c>
      <c r="AA4260">
        <v>380.95</v>
      </c>
      <c r="AB4260">
        <v>380.95</v>
      </c>
      <c r="AC4260">
        <v>380.95</v>
      </c>
      <c r="AD4260">
        <v>0</v>
      </c>
      <c r="AE4260">
        <v>0</v>
      </c>
      <c r="AF4260">
        <v>0</v>
      </c>
      <c r="AG4260">
        <v>0</v>
      </c>
      <c r="AH4260">
        <v>0</v>
      </c>
      <c r="AI4260">
        <v>68.569999999999993</v>
      </c>
      <c r="AJ4260">
        <v>380.95</v>
      </c>
      <c r="AK4260">
        <v>0</v>
      </c>
      <c r="AL4260" t="s">
        <v>53</v>
      </c>
      <c r="AM4260" t="s">
        <v>53</v>
      </c>
      <c r="AN4260" t="s">
        <v>53</v>
      </c>
      <c r="AO4260" t="s">
        <v>53</v>
      </c>
      <c r="AP4260" t="s">
        <v>53</v>
      </c>
    </row>
    <row r="4261" spans="2:42" x14ac:dyDescent="0.2">
      <c r="B4261" t="s">
        <v>44</v>
      </c>
      <c r="C4261" t="str">
        <f>HYPERLINK("https://us2.cloudbeds.com/connect/8493803454333002#/reservations/9080486845804501?display=1VTJWKZ5UD&amp;reservation_id=9080486845804501", "1VTJWKZ5UD")</f>
        <v>1VTJWKZ5UD</v>
      </c>
      <c r="D4261" t="s">
        <v>45</v>
      </c>
      <c r="E4261" t="s">
        <v>165</v>
      </c>
      <c r="F4261" t="s">
        <v>61</v>
      </c>
      <c r="G4261" t="s">
        <v>48</v>
      </c>
      <c r="H4261" t="s">
        <v>49</v>
      </c>
      <c r="I4261" t="s">
        <v>62</v>
      </c>
      <c r="J4261" t="s">
        <v>4768</v>
      </c>
      <c r="K4261" t="s">
        <v>6586</v>
      </c>
      <c r="L4261" t="s">
        <v>53</v>
      </c>
      <c r="N4261" t="s">
        <v>7356</v>
      </c>
      <c r="P4261" t="s">
        <v>55</v>
      </c>
      <c r="R4261" t="s">
        <v>56</v>
      </c>
      <c r="T4261" t="s">
        <v>7357</v>
      </c>
      <c r="U4261" t="s">
        <v>55</v>
      </c>
      <c r="V4261">
        <v>1</v>
      </c>
      <c r="W4261">
        <v>1</v>
      </c>
      <c r="X4261">
        <v>2</v>
      </c>
      <c r="Y4261">
        <v>0</v>
      </c>
      <c r="Z4261">
        <v>2</v>
      </c>
      <c r="AA4261">
        <v>104.5</v>
      </c>
      <c r="AB4261">
        <v>104.5</v>
      </c>
      <c r="AC4261">
        <v>104.5</v>
      </c>
      <c r="AD4261">
        <v>0</v>
      </c>
      <c r="AE4261">
        <v>0</v>
      </c>
      <c r="AF4261">
        <v>0</v>
      </c>
      <c r="AG4261">
        <v>0</v>
      </c>
      <c r="AH4261">
        <v>0</v>
      </c>
      <c r="AI4261">
        <v>18.809999999999999</v>
      </c>
      <c r="AJ4261">
        <v>104.5</v>
      </c>
      <c r="AK4261">
        <v>0</v>
      </c>
      <c r="AL4261" t="s">
        <v>53</v>
      </c>
      <c r="AM4261" t="s">
        <v>53</v>
      </c>
      <c r="AN4261" t="s">
        <v>53</v>
      </c>
      <c r="AO4261" t="s">
        <v>53</v>
      </c>
      <c r="AP4261" t="s">
        <v>53</v>
      </c>
    </row>
    <row r="4262" spans="2:42" x14ac:dyDescent="0.2">
      <c r="B4262" t="s">
        <v>44</v>
      </c>
      <c r="C4262" t="str">
        <f>HYPERLINK("https://us2.cloudbeds.com/connect/8493803454333002#/reservations/91297513705681?display=1VU6R2S6RX&amp;reservation_id=91297513705681", "1VU6R2S6RX")</f>
        <v>1VU6R2S6RX</v>
      </c>
      <c r="D4262" t="s">
        <v>45</v>
      </c>
      <c r="E4262" t="s">
        <v>105</v>
      </c>
      <c r="F4262" t="s">
        <v>47</v>
      </c>
      <c r="G4262" t="s">
        <v>48</v>
      </c>
      <c r="H4262" t="s">
        <v>3957</v>
      </c>
      <c r="I4262" t="s">
        <v>3975</v>
      </c>
      <c r="J4262" t="s">
        <v>5891</v>
      </c>
      <c r="K4262" t="s">
        <v>5895</v>
      </c>
      <c r="L4262" t="s">
        <v>53</v>
      </c>
      <c r="P4262" t="s">
        <v>55</v>
      </c>
      <c r="R4262" t="s">
        <v>53</v>
      </c>
      <c r="T4262" t="s">
        <v>7358</v>
      </c>
      <c r="U4262" t="s">
        <v>58</v>
      </c>
      <c r="V4262">
        <v>2</v>
      </c>
      <c r="W4262">
        <v>1</v>
      </c>
      <c r="X4262">
        <v>2</v>
      </c>
      <c r="Y4262">
        <v>0</v>
      </c>
      <c r="Z4262">
        <v>2</v>
      </c>
      <c r="AA4262">
        <v>211.4</v>
      </c>
      <c r="AB4262">
        <v>211.4</v>
      </c>
      <c r="AC4262">
        <v>186</v>
      </c>
      <c r="AD4262">
        <v>0</v>
      </c>
      <c r="AE4262">
        <v>25.4</v>
      </c>
      <c r="AF4262">
        <v>0</v>
      </c>
      <c r="AG4262">
        <v>0</v>
      </c>
      <c r="AH4262">
        <v>0</v>
      </c>
      <c r="AI4262">
        <v>0</v>
      </c>
      <c r="AJ4262">
        <v>211.4</v>
      </c>
      <c r="AK4262">
        <v>0</v>
      </c>
      <c r="AL4262" t="s">
        <v>53</v>
      </c>
      <c r="AM4262" t="s">
        <v>53</v>
      </c>
      <c r="AN4262" t="s">
        <v>53</v>
      </c>
      <c r="AO4262" t="s">
        <v>53</v>
      </c>
      <c r="AP4262" t="s">
        <v>53</v>
      </c>
    </row>
    <row r="4263" spans="2:42" x14ac:dyDescent="0.2">
      <c r="B4263" t="s">
        <v>44</v>
      </c>
      <c r="C4263" t="str">
        <f>HYPERLINK("https://us2.cloudbeds.com/connect/8493803454333002#/reservations/9080486845804961?display=1VUA5JYXAR&amp;reservation_id=9080486845804961", "1VUA5JYXAR")</f>
        <v>1VUA5JYXAR</v>
      </c>
      <c r="D4263" t="s">
        <v>45</v>
      </c>
      <c r="E4263" t="s">
        <v>179</v>
      </c>
      <c r="F4263" t="s">
        <v>47</v>
      </c>
      <c r="G4263" t="s">
        <v>48</v>
      </c>
      <c r="H4263" t="s">
        <v>49</v>
      </c>
      <c r="I4263" t="s">
        <v>50</v>
      </c>
      <c r="J4263" t="s">
        <v>6619</v>
      </c>
      <c r="K4263" t="s">
        <v>5891</v>
      </c>
      <c r="L4263" t="s">
        <v>53</v>
      </c>
      <c r="N4263" t="s">
        <v>7359</v>
      </c>
      <c r="P4263" t="s">
        <v>55</v>
      </c>
      <c r="R4263" t="s">
        <v>53</v>
      </c>
      <c r="T4263" t="s">
        <v>7360</v>
      </c>
      <c r="U4263" t="s">
        <v>58</v>
      </c>
      <c r="V4263">
        <v>2</v>
      </c>
      <c r="W4263">
        <v>1</v>
      </c>
      <c r="X4263">
        <v>2</v>
      </c>
      <c r="Y4263">
        <v>0</v>
      </c>
      <c r="Z4263">
        <v>2</v>
      </c>
      <c r="AA4263">
        <v>136.05000000000001</v>
      </c>
      <c r="AB4263">
        <v>136.05000000000001</v>
      </c>
      <c r="AC4263">
        <v>119.7</v>
      </c>
      <c r="AD4263">
        <v>0</v>
      </c>
      <c r="AE4263">
        <v>16.350000000000001</v>
      </c>
      <c r="AF4263">
        <v>0</v>
      </c>
      <c r="AG4263">
        <v>0</v>
      </c>
      <c r="AH4263">
        <v>0</v>
      </c>
      <c r="AI4263">
        <v>24.49</v>
      </c>
      <c r="AJ4263">
        <v>136.05000000000001</v>
      </c>
      <c r="AK4263">
        <v>0</v>
      </c>
      <c r="AL4263" t="s">
        <v>53</v>
      </c>
      <c r="AM4263" t="s">
        <v>53</v>
      </c>
      <c r="AN4263" t="s">
        <v>53</v>
      </c>
      <c r="AO4263" t="s">
        <v>53</v>
      </c>
      <c r="AP4263" t="s">
        <v>53</v>
      </c>
    </row>
    <row r="4264" spans="2:42" x14ac:dyDescent="0.2">
      <c r="B4264" t="s">
        <v>44</v>
      </c>
      <c r="C4264" t="str">
        <f>HYPERLINK("https://us2.cloudbeds.com/connect/8493803454333002#/reservations/9080486845805024?display=1VUF8644WM&amp;reservation_id=9080486845805024", "1VUF8644WM")</f>
        <v>1VUF8644WM</v>
      </c>
      <c r="D4264" t="s">
        <v>45</v>
      </c>
      <c r="E4264" t="s">
        <v>138</v>
      </c>
      <c r="F4264" t="s">
        <v>70</v>
      </c>
      <c r="G4264" t="s">
        <v>48</v>
      </c>
      <c r="H4264" t="s">
        <v>49</v>
      </c>
      <c r="I4264" t="s">
        <v>62</v>
      </c>
      <c r="J4264" t="s">
        <v>7078</v>
      </c>
      <c r="K4264" t="s">
        <v>6885</v>
      </c>
      <c r="L4264" t="s">
        <v>53</v>
      </c>
      <c r="N4264" t="s">
        <v>7361</v>
      </c>
      <c r="P4264" t="s">
        <v>55</v>
      </c>
      <c r="R4264" t="s">
        <v>56</v>
      </c>
      <c r="T4264" t="s">
        <v>7362</v>
      </c>
      <c r="U4264" t="s">
        <v>55</v>
      </c>
      <c r="V4264">
        <v>2</v>
      </c>
      <c r="W4264">
        <v>1</v>
      </c>
      <c r="X4264">
        <v>2</v>
      </c>
      <c r="Y4264">
        <v>0</v>
      </c>
      <c r="Z4264">
        <v>2</v>
      </c>
      <c r="AA4264">
        <v>144.4</v>
      </c>
      <c r="AB4264">
        <v>144.4</v>
      </c>
      <c r="AC4264">
        <v>144.4</v>
      </c>
      <c r="AD4264">
        <v>0</v>
      </c>
      <c r="AE4264">
        <v>0</v>
      </c>
      <c r="AF4264">
        <v>0</v>
      </c>
      <c r="AG4264">
        <v>0</v>
      </c>
      <c r="AH4264">
        <v>0</v>
      </c>
      <c r="AI4264">
        <v>25.99</v>
      </c>
      <c r="AJ4264">
        <v>144.4</v>
      </c>
      <c r="AK4264">
        <v>0</v>
      </c>
      <c r="AL4264" t="s">
        <v>53</v>
      </c>
      <c r="AM4264" t="s">
        <v>53</v>
      </c>
      <c r="AN4264" t="s">
        <v>53</v>
      </c>
      <c r="AO4264" t="s">
        <v>53</v>
      </c>
      <c r="AP4264" t="s">
        <v>53</v>
      </c>
    </row>
    <row r="4265" spans="2:42" x14ac:dyDescent="0.2">
      <c r="B4265" t="s">
        <v>44</v>
      </c>
      <c r="C4265" t="str">
        <f>HYPERLINK("https://us2.cloudbeds.com/connect/8493803454333002#/reservations/9080486845805266?display=1VUVK7JB6C&amp;reservation_id=9080486845805266", "1VUVK7JB6C")</f>
        <v>1VUVK7JB6C</v>
      </c>
      <c r="D4265" t="s">
        <v>45</v>
      </c>
      <c r="E4265" t="s">
        <v>179</v>
      </c>
      <c r="F4265" t="s">
        <v>47</v>
      </c>
      <c r="G4265" t="s">
        <v>48</v>
      </c>
      <c r="H4265" t="s">
        <v>49</v>
      </c>
      <c r="I4265" t="s">
        <v>62</v>
      </c>
      <c r="J4265" t="s">
        <v>6727</v>
      </c>
      <c r="K4265" t="s">
        <v>6618</v>
      </c>
      <c r="L4265" t="s">
        <v>53</v>
      </c>
      <c r="N4265" t="s">
        <v>7363</v>
      </c>
      <c r="P4265" t="s">
        <v>55</v>
      </c>
      <c r="R4265" t="s">
        <v>56</v>
      </c>
      <c r="T4265" t="s">
        <v>7364</v>
      </c>
      <c r="U4265" t="s">
        <v>55</v>
      </c>
      <c r="V4265">
        <v>1</v>
      </c>
      <c r="W4265">
        <v>1</v>
      </c>
      <c r="X4265">
        <v>2</v>
      </c>
      <c r="Y4265">
        <v>0</v>
      </c>
      <c r="Z4265">
        <v>2</v>
      </c>
      <c r="AA4265">
        <v>80</v>
      </c>
      <c r="AB4265">
        <v>80</v>
      </c>
      <c r="AC4265">
        <v>80</v>
      </c>
      <c r="AD4265">
        <v>0</v>
      </c>
      <c r="AE4265">
        <v>0</v>
      </c>
      <c r="AF4265">
        <v>0</v>
      </c>
      <c r="AG4265">
        <v>0</v>
      </c>
      <c r="AH4265">
        <v>0</v>
      </c>
      <c r="AI4265">
        <v>14.4</v>
      </c>
      <c r="AJ4265">
        <v>80</v>
      </c>
      <c r="AK4265">
        <v>0</v>
      </c>
      <c r="AL4265" t="s">
        <v>53</v>
      </c>
      <c r="AM4265" t="s">
        <v>53</v>
      </c>
      <c r="AN4265" t="s">
        <v>53</v>
      </c>
      <c r="AO4265" t="s">
        <v>53</v>
      </c>
      <c r="AP4265" t="s">
        <v>53</v>
      </c>
    </row>
    <row r="4266" spans="2:42" x14ac:dyDescent="0.2">
      <c r="B4266" t="s">
        <v>44</v>
      </c>
      <c r="C4266" t="str">
        <f>HYPERLINK("https://us2.cloudbeds.com/connect/8493803454333002#/reservations/9080486845805342?display=1VV44ZPN3R&amp;reservation_id=9080486845805342", "1VV44ZPN3R")</f>
        <v>1VV44ZPN3R</v>
      </c>
      <c r="D4266" t="s">
        <v>45</v>
      </c>
      <c r="E4266" t="s">
        <v>78</v>
      </c>
      <c r="F4266" t="s">
        <v>61</v>
      </c>
      <c r="G4266" t="s">
        <v>48</v>
      </c>
      <c r="H4266" t="s">
        <v>49</v>
      </c>
      <c r="I4266" t="s">
        <v>50</v>
      </c>
      <c r="J4266" t="s">
        <v>6618</v>
      </c>
      <c r="K4266" t="s">
        <v>5891</v>
      </c>
      <c r="L4266" t="s">
        <v>53</v>
      </c>
      <c r="N4266" t="s">
        <v>7365</v>
      </c>
      <c r="P4266" t="s">
        <v>55</v>
      </c>
      <c r="R4266" t="s">
        <v>53</v>
      </c>
      <c r="T4266" t="s">
        <v>7366</v>
      </c>
      <c r="U4266" t="s">
        <v>58</v>
      </c>
      <c r="V4266">
        <v>3</v>
      </c>
      <c r="W4266">
        <v>1</v>
      </c>
      <c r="X4266">
        <v>1</v>
      </c>
      <c r="Y4266">
        <v>0</v>
      </c>
      <c r="Z4266">
        <v>1</v>
      </c>
      <c r="AA4266">
        <v>223.15</v>
      </c>
      <c r="AB4266">
        <v>223.15</v>
      </c>
      <c r="AC4266">
        <v>196.35</v>
      </c>
      <c r="AD4266">
        <v>0</v>
      </c>
      <c r="AE4266">
        <v>26.8</v>
      </c>
      <c r="AF4266">
        <v>0</v>
      </c>
      <c r="AG4266">
        <v>0</v>
      </c>
      <c r="AH4266">
        <v>0</v>
      </c>
      <c r="AI4266">
        <v>40.17</v>
      </c>
      <c r="AJ4266">
        <v>223.15</v>
      </c>
      <c r="AK4266">
        <v>0</v>
      </c>
      <c r="AL4266" t="s">
        <v>53</v>
      </c>
      <c r="AM4266" t="s">
        <v>53</v>
      </c>
      <c r="AN4266" t="s">
        <v>53</v>
      </c>
      <c r="AO4266" t="s">
        <v>53</v>
      </c>
      <c r="AP4266" t="s">
        <v>53</v>
      </c>
    </row>
    <row r="4267" spans="2:42" x14ac:dyDescent="0.2">
      <c r="B4267" t="s">
        <v>44</v>
      </c>
      <c r="C4267" t="str">
        <f>HYPERLINK("https://us2.cloudbeds.com/connect/8493803454333002#/reservations/9080486845805731?display=1VVVQ2P1K7&amp;reservation_id=9080486845805731", "1VVVQ2P1K7")</f>
        <v>1VVVQ2P1K7</v>
      </c>
      <c r="D4267" t="s">
        <v>45</v>
      </c>
      <c r="E4267" t="s">
        <v>46</v>
      </c>
      <c r="F4267" t="s">
        <v>47</v>
      </c>
      <c r="G4267" t="s">
        <v>48</v>
      </c>
      <c r="H4267" t="s">
        <v>49</v>
      </c>
      <c r="I4267" t="s">
        <v>62</v>
      </c>
      <c r="J4267" t="s">
        <v>6837</v>
      </c>
      <c r="K4267" t="s">
        <v>7144</v>
      </c>
      <c r="L4267" t="s">
        <v>53</v>
      </c>
      <c r="N4267" t="s">
        <v>7367</v>
      </c>
      <c r="P4267" t="s">
        <v>55</v>
      </c>
      <c r="R4267" t="s">
        <v>56</v>
      </c>
      <c r="T4267" t="s">
        <v>7368</v>
      </c>
      <c r="U4267" t="s">
        <v>55</v>
      </c>
      <c r="V4267">
        <v>1</v>
      </c>
      <c r="W4267">
        <v>1</v>
      </c>
      <c r="X4267">
        <v>2</v>
      </c>
      <c r="Y4267">
        <v>0</v>
      </c>
      <c r="Z4267">
        <v>2</v>
      </c>
      <c r="AA4267">
        <v>60.8</v>
      </c>
      <c r="AB4267">
        <v>60.8</v>
      </c>
      <c r="AC4267">
        <v>60.8</v>
      </c>
      <c r="AD4267">
        <v>0</v>
      </c>
      <c r="AE4267">
        <v>0</v>
      </c>
      <c r="AF4267">
        <v>0</v>
      </c>
      <c r="AG4267">
        <v>0</v>
      </c>
      <c r="AH4267">
        <v>0</v>
      </c>
      <c r="AI4267">
        <v>10.94</v>
      </c>
      <c r="AJ4267">
        <v>60.8</v>
      </c>
      <c r="AK4267">
        <v>0</v>
      </c>
      <c r="AL4267" t="s">
        <v>53</v>
      </c>
      <c r="AM4267" t="s">
        <v>53</v>
      </c>
      <c r="AN4267" t="s">
        <v>53</v>
      </c>
      <c r="AO4267" t="s">
        <v>53</v>
      </c>
      <c r="AP4267" t="s">
        <v>53</v>
      </c>
    </row>
    <row r="4268" spans="2:42" x14ac:dyDescent="0.2">
      <c r="B4268" t="s">
        <v>44</v>
      </c>
      <c r="C4268" t="str">
        <f>HYPERLINK("https://us2.cloudbeds.com/connect/8493803454333002#/reservations/9080486845805906?display=1VWB0REG7F&amp;reservation_id=9080486845805906", "1VWB0REG7F")</f>
        <v>1VWB0REG7F</v>
      </c>
      <c r="D4268" t="s">
        <v>45</v>
      </c>
      <c r="E4268" t="s">
        <v>105</v>
      </c>
      <c r="F4268" t="s">
        <v>47</v>
      </c>
      <c r="G4268" t="s">
        <v>48</v>
      </c>
      <c r="H4268" t="s">
        <v>49</v>
      </c>
      <c r="I4268" t="s">
        <v>62</v>
      </c>
      <c r="J4268" t="s">
        <v>6836</v>
      </c>
      <c r="K4268" t="s">
        <v>6837</v>
      </c>
      <c r="L4268" t="s">
        <v>53</v>
      </c>
      <c r="N4268" t="s">
        <v>7369</v>
      </c>
      <c r="P4268" t="s">
        <v>55</v>
      </c>
      <c r="R4268" t="s">
        <v>56</v>
      </c>
      <c r="T4268" t="s">
        <v>7370</v>
      </c>
      <c r="U4268" t="s">
        <v>55</v>
      </c>
      <c r="V4268">
        <v>1</v>
      </c>
      <c r="W4268">
        <v>1</v>
      </c>
      <c r="X4268">
        <v>2</v>
      </c>
      <c r="Y4268">
        <v>0</v>
      </c>
      <c r="Z4268">
        <v>2</v>
      </c>
      <c r="AA4268">
        <v>75</v>
      </c>
      <c r="AB4268">
        <v>75</v>
      </c>
      <c r="AC4268">
        <v>75</v>
      </c>
      <c r="AD4268">
        <v>0</v>
      </c>
      <c r="AE4268">
        <v>0</v>
      </c>
      <c r="AF4268">
        <v>0</v>
      </c>
      <c r="AG4268">
        <v>0</v>
      </c>
      <c r="AH4268">
        <v>0</v>
      </c>
      <c r="AI4268">
        <v>13.5</v>
      </c>
      <c r="AJ4268">
        <v>75</v>
      </c>
      <c r="AK4268">
        <v>0</v>
      </c>
      <c r="AL4268" t="s">
        <v>53</v>
      </c>
      <c r="AM4268" t="s">
        <v>53</v>
      </c>
      <c r="AN4268" t="s">
        <v>53</v>
      </c>
      <c r="AO4268" t="s">
        <v>53</v>
      </c>
      <c r="AP4268" t="s">
        <v>53</v>
      </c>
    </row>
    <row r="4269" spans="2:42" x14ac:dyDescent="0.2">
      <c r="B4269" t="s">
        <v>44</v>
      </c>
      <c r="C4269" t="str">
        <f>HYPERLINK("https://us2.cloudbeds.com/connect/8493803454333002#/reservations/9080486845806070?display=1VWNGCW0YR&amp;reservation_id=9080486845806070", "1VWNGCW0YR")</f>
        <v>1VWNGCW0YR</v>
      </c>
      <c r="D4269" t="s">
        <v>45</v>
      </c>
      <c r="E4269" t="s">
        <v>138</v>
      </c>
      <c r="F4269" t="s">
        <v>70</v>
      </c>
      <c r="G4269" t="s">
        <v>48</v>
      </c>
      <c r="H4269" t="s">
        <v>49</v>
      </c>
      <c r="I4269" t="s">
        <v>50</v>
      </c>
      <c r="J4269" t="s">
        <v>5967</v>
      </c>
      <c r="K4269" t="s">
        <v>5431</v>
      </c>
      <c r="L4269" t="s">
        <v>53</v>
      </c>
      <c r="N4269" t="s">
        <v>7371</v>
      </c>
      <c r="P4269" t="s">
        <v>55</v>
      </c>
      <c r="R4269" t="s">
        <v>53</v>
      </c>
      <c r="T4269" t="s">
        <v>7372</v>
      </c>
      <c r="U4269" t="s">
        <v>58</v>
      </c>
      <c r="V4269">
        <v>2</v>
      </c>
      <c r="W4269">
        <v>1</v>
      </c>
      <c r="X4269">
        <v>1</v>
      </c>
      <c r="Y4269">
        <v>0</v>
      </c>
      <c r="Z4269">
        <v>1</v>
      </c>
      <c r="AA4269">
        <v>234.03</v>
      </c>
      <c r="AB4269">
        <v>234.03</v>
      </c>
      <c r="AC4269">
        <v>205.91</v>
      </c>
      <c r="AD4269">
        <v>0</v>
      </c>
      <c r="AE4269">
        <v>28.12</v>
      </c>
      <c r="AF4269">
        <v>0</v>
      </c>
      <c r="AG4269">
        <v>0</v>
      </c>
      <c r="AH4269">
        <v>0</v>
      </c>
      <c r="AI4269">
        <v>42.13</v>
      </c>
      <c r="AJ4269">
        <v>234.03</v>
      </c>
      <c r="AK4269">
        <v>0</v>
      </c>
      <c r="AL4269" t="s">
        <v>53</v>
      </c>
      <c r="AM4269" t="s">
        <v>53</v>
      </c>
      <c r="AN4269" t="s">
        <v>53</v>
      </c>
      <c r="AO4269" t="s">
        <v>53</v>
      </c>
      <c r="AP4269" t="s">
        <v>53</v>
      </c>
    </row>
    <row r="4270" spans="2:42" x14ac:dyDescent="0.2">
      <c r="B4270" t="s">
        <v>44</v>
      </c>
      <c r="C4270" t="str">
        <f>HYPERLINK("https://us2.cloudbeds.com/connect/8493803454333002#/reservations/9080486845806132?display=1VWSBP4WET&amp;reservation_id=9080486845806132", "1VWSBP4WET")</f>
        <v>1VWSBP4WET</v>
      </c>
      <c r="D4270" t="s">
        <v>45</v>
      </c>
      <c r="E4270" t="s">
        <v>373</v>
      </c>
      <c r="F4270" t="s">
        <v>47</v>
      </c>
      <c r="G4270" t="s">
        <v>48</v>
      </c>
      <c r="H4270" t="s">
        <v>49</v>
      </c>
      <c r="I4270" t="s">
        <v>62</v>
      </c>
      <c r="J4270" t="s">
        <v>6618</v>
      </c>
      <c r="K4270" t="s">
        <v>6753</v>
      </c>
      <c r="L4270" t="s">
        <v>53</v>
      </c>
      <c r="N4270" t="s">
        <v>7373</v>
      </c>
      <c r="P4270" t="s">
        <v>55</v>
      </c>
      <c r="R4270" t="s">
        <v>56</v>
      </c>
      <c r="T4270" t="s">
        <v>7374</v>
      </c>
      <c r="U4270" t="s">
        <v>55</v>
      </c>
      <c r="V4270">
        <v>2</v>
      </c>
      <c r="W4270">
        <v>1</v>
      </c>
      <c r="X4270">
        <v>2</v>
      </c>
      <c r="Y4270">
        <v>0</v>
      </c>
      <c r="Z4270">
        <v>2</v>
      </c>
      <c r="AA4270">
        <v>145</v>
      </c>
      <c r="AB4270">
        <v>145</v>
      </c>
      <c r="AC4270">
        <v>145</v>
      </c>
      <c r="AD4270">
        <v>0</v>
      </c>
      <c r="AE4270">
        <v>0</v>
      </c>
      <c r="AF4270">
        <v>0</v>
      </c>
      <c r="AG4270">
        <v>0</v>
      </c>
      <c r="AH4270">
        <v>0</v>
      </c>
      <c r="AI4270">
        <v>26.1</v>
      </c>
      <c r="AJ4270">
        <v>145</v>
      </c>
      <c r="AK4270">
        <v>0</v>
      </c>
      <c r="AL4270" t="s">
        <v>53</v>
      </c>
      <c r="AM4270" t="s">
        <v>53</v>
      </c>
      <c r="AN4270" t="s">
        <v>53</v>
      </c>
      <c r="AO4270" t="s">
        <v>53</v>
      </c>
      <c r="AP4270" t="s">
        <v>53</v>
      </c>
    </row>
    <row r="4271" spans="2:42" x14ac:dyDescent="0.2">
      <c r="B4271" t="s">
        <v>44</v>
      </c>
      <c r="C4271" t="str">
        <f>HYPERLINK("https://us2.cloudbeds.com/connect/8493803454333002#/reservations/91570586386577?display=1W3K8NW30M&amp;reservation_id=91570586386577", "1W3K8NW30M")</f>
        <v>1W3K8NW30M</v>
      </c>
      <c r="D4271" t="s">
        <v>45</v>
      </c>
      <c r="E4271" t="s">
        <v>223</v>
      </c>
      <c r="F4271" t="s">
        <v>47</v>
      </c>
      <c r="G4271" t="s">
        <v>48</v>
      </c>
      <c r="H4271" t="s">
        <v>3957</v>
      </c>
      <c r="I4271" t="s">
        <v>3989</v>
      </c>
      <c r="J4271" t="s">
        <v>6619</v>
      </c>
      <c r="K4271" t="s">
        <v>5891</v>
      </c>
      <c r="L4271" t="s">
        <v>53</v>
      </c>
      <c r="P4271" t="s">
        <v>55</v>
      </c>
      <c r="R4271" t="s">
        <v>56</v>
      </c>
      <c r="T4271" t="s">
        <v>7375</v>
      </c>
      <c r="U4271" t="s">
        <v>58</v>
      </c>
      <c r="V4271">
        <v>2</v>
      </c>
      <c r="W4271">
        <v>1</v>
      </c>
      <c r="X4271">
        <v>1</v>
      </c>
      <c r="Y4271">
        <v>0</v>
      </c>
      <c r="Z4271">
        <v>1</v>
      </c>
      <c r="AA4271">
        <v>152.30000000000001</v>
      </c>
      <c r="AB4271">
        <v>152.30000000000001</v>
      </c>
      <c r="AC4271">
        <v>134</v>
      </c>
      <c r="AD4271">
        <v>0</v>
      </c>
      <c r="AE4271">
        <v>18.3</v>
      </c>
      <c r="AF4271">
        <v>0</v>
      </c>
      <c r="AG4271">
        <v>0</v>
      </c>
      <c r="AH4271">
        <v>0</v>
      </c>
      <c r="AI4271">
        <v>0</v>
      </c>
      <c r="AJ4271">
        <v>152.30000000000001</v>
      </c>
      <c r="AK4271">
        <v>0</v>
      </c>
      <c r="AL4271" t="s">
        <v>53</v>
      </c>
      <c r="AM4271" t="s">
        <v>53</v>
      </c>
      <c r="AN4271" t="s">
        <v>53</v>
      </c>
      <c r="AO4271" t="s">
        <v>53</v>
      </c>
      <c r="AP4271" t="s">
        <v>53</v>
      </c>
    </row>
    <row r="4272" spans="2:42" x14ac:dyDescent="0.2">
      <c r="B4272" t="s">
        <v>44</v>
      </c>
      <c r="C4272" t="str">
        <f>HYPERLINK("https://us2.cloudbeds.com/connect/8493803454333002#/reservations/91585907351778?display=1W3W470HJE&amp;reservation_id=91585907351778", "1W3W470HJE")</f>
        <v>1W3W470HJE</v>
      </c>
      <c r="D4272" t="s">
        <v>45</v>
      </c>
      <c r="E4272" t="s">
        <v>128</v>
      </c>
      <c r="F4272" t="s">
        <v>86</v>
      </c>
      <c r="G4272" t="s">
        <v>48</v>
      </c>
      <c r="H4272" t="s">
        <v>3957</v>
      </c>
      <c r="I4272" t="s">
        <v>3975</v>
      </c>
      <c r="J4272" t="s">
        <v>7218</v>
      </c>
      <c r="K4272" t="s">
        <v>7376</v>
      </c>
      <c r="L4272" t="s">
        <v>53</v>
      </c>
      <c r="P4272" t="s">
        <v>55</v>
      </c>
      <c r="R4272" t="s">
        <v>53</v>
      </c>
      <c r="T4272" t="s">
        <v>7377</v>
      </c>
      <c r="U4272" t="s">
        <v>58</v>
      </c>
      <c r="V4272">
        <v>2</v>
      </c>
      <c r="W4272">
        <v>1</v>
      </c>
      <c r="X4272">
        <v>1</v>
      </c>
      <c r="Y4272">
        <v>2</v>
      </c>
      <c r="Z4272">
        <v>3</v>
      </c>
      <c r="AA4272">
        <v>365.96</v>
      </c>
      <c r="AB4272">
        <v>365.96</v>
      </c>
      <c r="AC4272">
        <v>322</v>
      </c>
      <c r="AD4272">
        <v>0</v>
      </c>
      <c r="AE4272">
        <v>43.96</v>
      </c>
      <c r="AF4272">
        <v>0</v>
      </c>
      <c r="AG4272">
        <v>0</v>
      </c>
      <c r="AH4272">
        <v>0</v>
      </c>
      <c r="AI4272">
        <v>0</v>
      </c>
      <c r="AJ4272">
        <v>365.96</v>
      </c>
      <c r="AK4272">
        <v>0</v>
      </c>
      <c r="AL4272" t="s">
        <v>53</v>
      </c>
      <c r="AM4272" t="s">
        <v>53</v>
      </c>
      <c r="AN4272" t="s">
        <v>53</v>
      </c>
      <c r="AO4272" t="s">
        <v>53</v>
      </c>
      <c r="AP4272" t="s">
        <v>53</v>
      </c>
    </row>
    <row r="4273" spans="2:42" x14ac:dyDescent="0.2">
      <c r="B4273" t="s">
        <v>44</v>
      </c>
      <c r="C4273" t="str">
        <f>HYPERLINK("https://us2.cloudbeds.com/connect/8493803454333002#/reservations/9080486845809029?display=1W4QDC63ZA&amp;reservation_id=9080486845809029", "1W4QDC63ZA")</f>
        <v>1W4QDC63ZA</v>
      </c>
      <c r="D4273" t="s">
        <v>45</v>
      </c>
      <c r="E4273" t="s">
        <v>110</v>
      </c>
      <c r="F4273" t="s">
        <v>47</v>
      </c>
      <c r="G4273" t="s">
        <v>48</v>
      </c>
      <c r="H4273" t="s">
        <v>49</v>
      </c>
      <c r="I4273" t="s">
        <v>62</v>
      </c>
      <c r="J4273" t="s">
        <v>6855</v>
      </c>
      <c r="K4273" t="s">
        <v>6885</v>
      </c>
      <c r="L4273" t="s">
        <v>53</v>
      </c>
      <c r="N4273" t="s">
        <v>7378</v>
      </c>
      <c r="P4273" t="s">
        <v>55</v>
      </c>
      <c r="R4273" t="s">
        <v>56</v>
      </c>
      <c r="T4273" t="s">
        <v>7379</v>
      </c>
      <c r="U4273" t="s">
        <v>55</v>
      </c>
      <c r="V4273">
        <v>1</v>
      </c>
      <c r="W4273">
        <v>1</v>
      </c>
      <c r="X4273">
        <v>2</v>
      </c>
      <c r="Y4273">
        <v>0</v>
      </c>
      <c r="Z4273">
        <v>2</v>
      </c>
      <c r="AA4273">
        <v>80</v>
      </c>
      <c r="AB4273">
        <v>80</v>
      </c>
      <c r="AC4273">
        <v>80</v>
      </c>
      <c r="AD4273">
        <v>0</v>
      </c>
      <c r="AE4273">
        <v>0</v>
      </c>
      <c r="AF4273">
        <v>0</v>
      </c>
      <c r="AG4273">
        <v>0</v>
      </c>
      <c r="AH4273">
        <v>0</v>
      </c>
      <c r="AI4273">
        <v>14.4</v>
      </c>
      <c r="AJ4273">
        <v>80</v>
      </c>
      <c r="AK4273">
        <v>0</v>
      </c>
      <c r="AL4273" t="s">
        <v>53</v>
      </c>
      <c r="AM4273" t="s">
        <v>53</v>
      </c>
      <c r="AN4273" t="s">
        <v>53</v>
      </c>
      <c r="AO4273" t="s">
        <v>53</v>
      </c>
      <c r="AP4273" t="s">
        <v>53</v>
      </c>
    </row>
    <row r="4274" spans="2:42" x14ac:dyDescent="0.2">
      <c r="B4274" t="s">
        <v>44</v>
      </c>
      <c r="C4274" t="str">
        <f>HYPERLINK("https://us2.cloudbeds.com/connect/8493803454333002#/reservations/91624197914783?display=1W4SPKKTFG&amp;reservation_id=91624197914783", "1W4SPKKTFG")</f>
        <v>1W4SPKKTFG</v>
      </c>
      <c r="D4274" t="s">
        <v>45</v>
      </c>
      <c r="E4274" t="s">
        <v>69</v>
      </c>
      <c r="F4274" t="s">
        <v>70</v>
      </c>
      <c r="G4274" t="s">
        <v>4520</v>
      </c>
      <c r="H4274" t="s">
        <v>3957</v>
      </c>
      <c r="I4274" t="s">
        <v>3958</v>
      </c>
      <c r="J4274" t="s">
        <v>7275</v>
      </c>
      <c r="K4274" t="s">
        <v>6944</v>
      </c>
      <c r="L4274" t="s">
        <v>53</v>
      </c>
      <c r="P4274" t="s">
        <v>55</v>
      </c>
      <c r="R4274" t="s">
        <v>56</v>
      </c>
      <c r="T4274" t="s">
        <v>7380</v>
      </c>
      <c r="U4274" t="s">
        <v>58</v>
      </c>
      <c r="V4274">
        <v>1</v>
      </c>
      <c r="W4274">
        <v>1</v>
      </c>
      <c r="X4274">
        <v>1</v>
      </c>
      <c r="Y4274">
        <v>0</v>
      </c>
      <c r="Z4274">
        <v>1</v>
      </c>
      <c r="AA4274">
        <v>181.05</v>
      </c>
      <c r="AB4274">
        <v>181.05</v>
      </c>
      <c r="AC4274">
        <v>159.30000000000001</v>
      </c>
      <c r="AD4274">
        <v>0</v>
      </c>
      <c r="AE4274">
        <v>21.75</v>
      </c>
      <c r="AF4274">
        <v>0</v>
      </c>
      <c r="AG4274">
        <v>0</v>
      </c>
      <c r="AH4274">
        <v>0</v>
      </c>
      <c r="AI4274">
        <v>0</v>
      </c>
      <c r="AJ4274">
        <v>181.05</v>
      </c>
      <c r="AK4274">
        <v>0</v>
      </c>
      <c r="AL4274" t="s">
        <v>53</v>
      </c>
      <c r="AM4274" t="s">
        <v>53</v>
      </c>
      <c r="AN4274" t="s">
        <v>53</v>
      </c>
      <c r="AO4274" t="s">
        <v>53</v>
      </c>
      <c r="AP4274" t="s">
        <v>53</v>
      </c>
    </row>
    <row r="4275" spans="2:42" x14ac:dyDescent="0.2">
      <c r="B4275" t="s">
        <v>44</v>
      </c>
      <c r="C4275" t="str">
        <f>HYPERLINK("https://us2.cloudbeds.com/connect/8493803454333002#/reservations/91649400426740?display=1W5F9K1V01&amp;reservation_id=91649400426740", "1W5F9K1V01")</f>
        <v>1W5F9K1V01</v>
      </c>
      <c r="D4275" t="s">
        <v>45</v>
      </c>
      <c r="E4275" t="s">
        <v>381</v>
      </c>
      <c r="F4275" t="s">
        <v>47</v>
      </c>
      <c r="G4275" t="s">
        <v>48</v>
      </c>
      <c r="H4275" t="s">
        <v>3957</v>
      </c>
      <c r="I4275" t="s">
        <v>3975</v>
      </c>
      <c r="J4275" t="s">
        <v>6618</v>
      </c>
      <c r="K4275" t="s">
        <v>6619</v>
      </c>
      <c r="L4275" t="s">
        <v>53</v>
      </c>
      <c r="P4275" t="s">
        <v>55</v>
      </c>
      <c r="R4275" t="s">
        <v>53</v>
      </c>
      <c r="T4275" t="s">
        <v>7381</v>
      </c>
      <c r="U4275" t="s">
        <v>58</v>
      </c>
      <c r="V4275">
        <v>1</v>
      </c>
      <c r="W4275">
        <v>1</v>
      </c>
      <c r="X4275">
        <v>2</v>
      </c>
      <c r="Y4275">
        <v>0</v>
      </c>
      <c r="Z4275">
        <v>2</v>
      </c>
      <c r="AA4275">
        <v>96.61</v>
      </c>
      <c r="AB4275">
        <v>96.61</v>
      </c>
      <c r="AC4275">
        <v>85</v>
      </c>
      <c r="AD4275">
        <v>0</v>
      </c>
      <c r="AE4275">
        <v>11.61</v>
      </c>
      <c r="AF4275">
        <v>0</v>
      </c>
      <c r="AG4275">
        <v>0</v>
      </c>
      <c r="AH4275">
        <v>0</v>
      </c>
      <c r="AI4275">
        <v>0</v>
      </c>
      <c r="AJ4275">
        <v>96.61</v>
      </c>
      <c r="AK4275">
        <v>0</v>
      </c>
      <c r="AL4275" t="s">
        <v>53</v>
      </c>
      <c r="AM4275" t="s">
        <v>53</v>
      </c>
      <c r="AN4275" t="s">
        <v>53</v>
      </c>
      <c r="AO4275" t="s">
        <v>53</v>
      </c>
      <c r="AP4275" t="s">
        <v>53</v>
      </c>
    </row>
    <row r="4276" spans="2:42" x14ac:dyDescent="0.2">
      <c r="B4276" t="s">
        <v>44</v>
      </c>
      <c r="C4276" t="str">
        <f>HYPERLINK("https://us2.cloudbeds.com/connect/8493803454333002#/reservations/9080486845809827?display=1W65V97R63&amp;reservation_id=9080486845809827", "1W65V97R63")</f>
        <v>1W65V97R63</v>
      </c>
      <c r="D4276" t="s">
        <v>45</v>
      </c>
      <c r="E4276" t="s">
        <v>110</v>
      </c>
      <c r="F4276" t="s">
        <v>47</v>
      </c>
      <c r="G4276" t="s">
        <v>48</v>
      </c>
      <c r="H4276" t="s">
        <v>49</v>
      </c>
      <c r="I4276" t="s">
        <v>50</v>
      </c>
      <c r="J4276" t="s">
        <v>5623</v>
      </c>
      <c r="K4276" t="s">
        <v>4767</v>
      </c>
      <c r="L4276" t="s">
        <v>53</v>
      </c>
      <c r="N4276" t="s">
        <v>7382</v>
      </c>
      <c r="P4276" t="s">
        <v>55</v>
      </c>
      <c r="R4276" t="s">
        <v>53</v>
      </c>
      <c r="T4276" t="s">
        <v>7383</v>
      </c>
      <c r="U4276" t="s">
        <v>58</v>
      </c>
      <c r="V4276">
        <v>2</v>
      </c>
      <c r="W4276">
        <v>1</v>
      </c>
      <c r="X4276">
        <v>2</v>
      </c>
      <c r="Y4276">
        <v>0</v>
      </c>
      <c r="Z4276">
        <v>2</v>
      </c>
      <c r="AA4276">
        <v>369.25</v>
      </c>
      <c r="AB4276">
        <v>369.25</v>
      </c>
      <c r="AC4276">
        <v>324.89999999999998</v>
      </c>
      <c r="AD4276">
        <v>0</v>
      </c>
      <c r="AE4276">
        <v>44.35</v>
      </c>
      <c r="AF4276">
        <v>0</v>
      </c>
      <c r="AG4276">
        <v>0</v>
      </c>
      <c r="AH4276">
        <v>0</v>
      </c>
      <c r="AI4276">
        <v>66.47</v>
      </c>
      <c r="AJ4276">
        <v>369.25</v>
      </c>
      <c r="AK4276">
        <v>0</v>
      </c>
      <c r="AL4276" t="s">
        <v>53</v>
      </c>
      <c r="AM4276" t="s">
        <v>53</v>
      </c>
      <c r="AN4276" t="s">
        <v>53</v>
      </c>
      <c r="AO4276" t="s">
        <v>53</v>
      </c>
      <c r="AP4276" t="s">
        <v>53</v>
      </c>
    </row>
    <row r="4277" spans="2:42" x14ac:dyDescent="0.2">
      <c r="B4277" t="s">
        <v>44</v>
      </c>
      <c r="C4277" t="str">
        <f>HYPERLINK("https://us2.cloudbeds.com/connect/8493803454333002#/reservations/9080486845810149?display=1W6R91C3HV&amp;reservation_id=9080486845810149", "1W6R91C3HV")</f>
        <v>1W6R91C3HV</v>
      </c>
      <c r="D4277" t="s">
        <v>45</v>
      </c>
      <c r="E4277" t="s">
        <v>110</v>
      </c>
      <c r="F4277" t="s">
        <v>47</v>
      </c>
      <c r="G4277" t="s">
        <v>48</v>
      </c>
      <c r="H4277" t="s">
        <v>49</v>
      </c>
      <c r="I4277" t="s">
        <v>50</v>
      </c>
      <c r="J4277" t="s">
        <v>5431</v>
      </c>
      <c r="K4277" t="s">
        <v>6335</v>
      </c>
      <c r="L4277" t="s">
        <v>53</v>
      </c>
      <c r="N4277" t="s">
        <v>7384</v>
      </c>
      <c r="P4277" t="s">
        <v>55</v>
      </c>
      <c r="R4277" t="s">
        <v>53</v>
      </c>
      <c r="T4277" t="s">
        <v>7385</v>
      </c>
      <c r="U4277" t="s">
        <v>58</v>
      </c>
      <c r="V4277">
        <v>1</v>
      </c>
      <c r="W4277">
        <v>1</v>
      </c>
      <c r="X4277">
        <v>2</v>
      </c>
      <c r="Y4277">
        <v>0</v>
      </c>
      <c r="Z4277">
        <v>2</v>
      </c>
      <c r="AA4277">
        <v>144.22</v>
      </c>
      <c r="AB4277">
        <v>149.63999999999999</v>
      </c>
      <c r="AC4277">
        <v>126.9</v>
      </c>
      <c r="AD4277">
        <v>5</v>
      </c>
      <c r="AE4277">
        <v>17.739999999999998</v>
      </c>
      <c r="AF4277">
        <v>0</v>
      </c>
      <c r="AG4277">
        <v>0</v>
      </c>
      <c r="AH4277">
        <v>0</v>
      </c>
      <c r="AI4277">
        <v>26.94</v>
      </c>
      <c r="AJ4277">
        <v>149.63999999999999</v>
      </c>
      <c r="AK4277">
        <v>0</v>
      </c>
      <c r="AL4277" t="s">
        <v>53</v>
      </c>
      <c r="AM4277" t="s">
        <v>53</v>
      </c>
      <c r="AN4277" t="s">
        <v>53</v>
      </c>
      <c r="AO4277" t="s">
        <v>53</v>
      </c>
      <c r="AP4277" t="s">
        <v>53</v>
      </c>
    </row>
    <row r="4278" spans="2:42" x14ac:dyDescent="0.2">
      <c r="B4278" t="s">
        <v>44</v>
      </c>
      <c r="C4278" t="str">
        <f>HYPERLINK("https://us2.cloudbeds.com/connect/8493803454333002#/reservations/9080486845810465?display=1W7DPRM61S&amp;reservation_id=9080486845810465", "1W7DPRM61S")</f>
        <v>1W7DPRM61S</v>
      </c>
      <c r="D4278" t="s">
        <v>45</v>
      </c>
      <c r="E4278" t="s">
        <v>381</v>
      </c>
      <c r="F4278" t="s">
        <v>47</v>
      </c>
      <c r="G4278" t="s">
        <v>48</v>
      </c>
      <c r="H4278" t="s">
        <v>49</v>
      </c>
      <c r="I4278" t="s">
        <v>50</v>
      </c>
      <c r="J4278" t="s">
        <v>6619</v>
      </c>
      <c r="K4278" t="s">
        <v>6753</v>
      </c>
      <c r="L4278" t="s">
        <v>53</v>
      </c>
      <c r="N4278" t="s">
        <v>7386</v>
      </c>
      <c r="P4278" t="s">
        <v>55</v>
      </c>
      <c r="R4278" t="s">
        <v>53</v>
      </c>
      <c r="T4278" t="s">
        <v>7387</v>
      </c>
      <c r="U4278" t="s">
        <v>58</v>
      </c>
      <c r="V4278">
        <v>1</v>
      </c>
      <c r="W4278">
        <v>1</v>
      </c>
      <c r="X4278">
        <v>2</v>
      </c>
      <c r="Y4278">
        <v>0</v>
      </c>
      <c r="Z4278">
        <v>2</v>
      </c>
      <c r="AA4278">
        <v>61.38</v>
      </c>
      <c r="AB4278">
        <v>61.38</v>
      </c>
      <c r="AC4278">
        <v>54</v>
      </c>
      <c r="AD4278">
        <v>0</v>
      </c>
      <c r="AE4278">
        <v>7.38</v>
      </c>
      <c r="AF4278">
        <v>0</v>
      </c>
      <c r="AG4278">
        <v>0</v>
      </c>
      <c r="AH4278">
        <v>0</v>
      </c>
      <c r="AI4278">
        <v>11.05</v>
      </c>
      <c r="AJ4278">
        <v>61.38</v>
      </c>
      <c r="AK4278">
        <v>0</v>
      </c>
      <c r="AL4278" t="s">
        <v>53</v>
      </c>
      <c r="AM4278" t="s">
        <v>53</v>
      </c>
      <c r="AN4278" t="s">
        <v>53</v>
      </c>
      <c r="AO4278" t="s">
        <v>53</v>
      </c>
      <c r="AP4278" t="s">
        <v>53</v>
      </c>
    </row>
    <row r="4279" spans="2:42" x14ac:dyDescent="0.2">
      <c r="B4279" t="s">
        <v>44</v>
      </c>
      <c r="C4279" t="str">
        <f>HYPERLINK("https://us2.cloudbeds.com/connect/8493803454333002#/reservations/9080486845810529?display=1W7HZ8UX9X&amp;reservation_id=9080486845810529", "1W7HZ8UX9X")</f>
        <v>1W7HZ8UX9X</v>
      </c>
      <c r="D4279" t="s">
        <v>45</v>
      </c>
      <c r="E4279" t="s">
        <v>190</v>
      </c>
      <c r="F4279" t="s">
        <v>61</v>
      </c>
      <c r="G4279" t="s">
        <v>48</v>
      </c>
      <c r="H4279" t="s">
        <v>49</v>
      </c>
      <c r="I4279" t="s">
        <v>62</v>
      </c>
      <c r="J4279" t="s">
        <v>6619</v>
      </c>
      <c r="K4279" t="s">
        <v>6753</v>
      </c>
      <c r="L4279" t="s">
        <v>53</v>
      </c>
      <c r="N4279" t="s">
        <v>7388</v>
      </c>
      <c r="P4279" t="s">
        <v>55</v>
      </c>
      <c r="R4279" t="s">
        <v>56</v>
      </c>
      <c r="T4279" t="s">
        <v>7389</v>
      </c>
      <c r="U4279" t="s">
        <v>55</v>
      </c>
      <c r="V4279">
        <v>1</v>
      </c>
      <c r="W4279">
        <v>1</v>
      </c>
      <c r="X4279">
        <v>2</v>
      </c>
      <c r="Y4279">
        <v>0</v>
      </c>
      <c r="Z4279">
        <v>2</v>
      </c>
      <c r="AA4279">
        <v>73</v>
      </c>
      <c r="AB4279">
        <v>73</v>
      </c>
      <c r="AC4279">
        <v>73</v>
      </c>
      <c r="AD4279">
        <v>0</v>
      </c>
      <c r="AE4279">
        <v>0</v>
      </c>
      <c r="AF4279">
        <v>0</v>
      </c>
      <c r="AG4279">
        <v>0</v>
      </c>
      <c r="AH4279">
        <v>0</v>
      </c>
      <c r="AI4279">
        <v>13.14</v>
      </c>
      <c r="AJ4279">
        <v>73</v>
      </c>
      <c r="AK4279">
        <v>0</v>
      </c>
      <c r="AL4279" t="s">
        <v>53</v>
      </c>
      <c r="AM4279" t="s">
        <v>53</v>
      </c>
      <c r="AN4279" t="s">
        <v>53</v>
      </c>
      <c r="AO4279" t="s">
        <v>53</v>
      </c>
      <c r="AP4279" t="s">
        <v>53</v>
      </c>
    </row>
    <row r="4280" spans="2:42" x14ac:dyDescent="0.2">
      <c r="B4280" t="s">
        <v>44</v>
      </c>
      <c r="C4280" t="str">
        <f>HYPERLINK("https://us2.cloudbeds.com/connect/8493803454333002#/reservations/9080486845810544?display=1W7XPWWUUX&amp;reservation_id=9080486845810544", "1W7XPWWUUX")</f>
        <v>1W7XPWWUUX</v>
      </c>
      <c r="D4280" t="s">
        <v>45</v>
      </c>
      <c r="E4280" t="s">
        <v>373</v>
      </c>
      <c r="F4280" t="s">
        <v>47</v>
      </c>
      <c r="G4280" t="s">
        <v>48</v>
      </c>
      <c r="H4280" t="s">
        <v>49</v>
      </c>
      <c r="I4280" t="s">
        <v>50</v>
      </c>
      <c r="J4280" t="s">
        <v>6753</v>
      </c>
      <c r="K4280" t="s">
        <v>5895</v>
      </c>
      <c r="L4280" t="s">
        <v>53</v>
      </c>
      <c r="N4280" t="s">
        <v>7390</v>
      </c>
      <c r="P4280" t="s">
        <v>55</v>
      </c>
      <c r="R4280" t="s">
        <v>53</v>
      </c>
      <c r="T4280" t="s">
        <v>7391</v>
      </c>
      <c r="U4280" t="s">
        <v>58</v>
      </c>
      <c r="V4280">
        <v>3</v>
      </c>
      <c r="W4280">
        <v>1</v>
      </c>
      <c r="X4280">
        <v>2</v>
      </c>
      <c r="Y4280">
        <v>0</v>
      </c>
      <c r="Z4280">
        <v>2</v>
      </c>
      <c r="AA4280">
        <v>256.73</v>
      </c>
      <c r="AB4280">
        <v>256.73</v>
      </c>
      <c r="AC4280">
        <v>225.9</v>
      </c>
      <c r="AD4280">
        <v>0</v>
      </c>
      <c r="AE4280">
        <v>30.83</v>
      </c>
      <c r="AF4280">
        <v>0</v>
      </c>
      <c r="AG4280">
        <v>0</v>
      </c>
      <c r="AH4280">
        <v>0</v>
      </c>
      <c r="AI4280">
        <v>46.21</v>
      </c>
      <c r="AJ4280">
        <v>256.73</v>
      </c>
      <c r="AK4280">
        <v>0</v>
      </c>
      <c r="AL4280" t="s">
        <v>53</v>
      </c>
      <c r="AM4280" t="s">
        <v>53</v>
      </c>
      <c r="AN4280" t="s">
        <v>53</v>
      </c>
      <c r="AO4280" t="s">
        <v>53</v>
      </c>
      <c r="AP4280" t="s">
        <v>53</v>
      </c>
    </row>
    <row r="4281" spans="2:42" x14ac:dyDescent="0.2">
      <c r="B4281" t="s">
        <v>44</v>
      </c>
      <c r="C4281" t="str">
        <f>HYPERLINK("https://us2.cloudbeds.com/connect/8493803454333002#/reservations/9080486845810811?display=1W85E159NY&amp;reservation_id=9080486845810811", "1W85E159NY")</f>
        <v>1W85E159NY</v>
      </c>
      <c r="D4281" t="s">
        <v>45</v>
      </c>
      <c r="E4281" t="s">
        <v>305</v>
      </c>
      <c r="F4281" t="s">
        <v>61</v>
      </c>
      <c r="G4281" t="s">
        <v>48</v>
      </c>
      <c r="H4281" t="s">
        <v>49</v>
      </c>
      <c r="I4281" t="s">
        <v>50</v>
      </c>
      <c r="J4281" t="s">
        <v>6888</v>
      </c>
      <c r="K4281" t="s">
        <v>6836</v>
      </c>
      <c r="L4281" t="s">
        <v>53</v>
      </c>
      <c r="N4281" t="s">
        <v>7392</v>
      </c>
      <c r="P4281" t="s">
        <v>55</v>
      </c>
      <c r="R4281" t="s">
        <v>53</v>
      </c>
      <c r="T4281" t="s">
        <v>7393</v>
      </c>
      <c r="U4281" t="s">
        <v>58</v>
      </c>
      <c r="V4281">
        <v>1</v>
      </c>
      <c r="W4281">
        <v>1</v>
      </c>
      <c r="X4281">
        <v>1</v>
      </c>
      <c r="Y4281">
        <v>0</v>
      </c>
      <c r="Z4281">
        <v>1</v>
      </c>
      <c r="AA4281">
        <v>92.3</v>
      </c>
      <c r="AB4281">
        <v>92.3</v>
      </c>
      <c r="AC4281">
        <v>81.22</v>
      </c>
      <c r="AD4281">
        <v>0</v>
      </c>
      <c r="AE4281">
        <v>11.08</v>
      </c>
      <c r="AF4281">
        <v>0</v>
      </c>
      <c r="AG4281">
        <v>0</v>
      </c>
      <c r="AH4281">
        <v>0</v>
      </c>
      <c r="AI4281">
        <v>16.61</v>
      </c>
      <c r="AJ4281">
        <v>92.3</v>
      </c>
      <c r="AK4281">
        <v>0</v>
      </c>
      <c r="AL4281" t="s">
        <v>53</v>
      </c>
      <c r="AM4281" t="s">
        <v>53</v>
      </c>
      <c r="AN4281" t="s">
        <v>53</v>
      </c>
      <c r="AO4281" t="s">
        <v>53</v>
      </c>
      <c r="AP4281" t="s">
        <v>53</v>
      </c>
    </row>
    <row r="4282" spans="2:42" x14ac:dyDescent="0.2">
      <c r="B4282" t="s">
        <v>44</v>
      </c>
      <c r="C4282" t="str">
        <f>HYPERLINK("https://us2.cloudbeds.com/connect/8493803454333002#/reservations/9080486845812768?display=1WBRQNBVBX&amp;reservation_id=9080486845812768", "1WBRQNBVBX")</f>
        <v>1WBRQNBVBX</v>
      </c>
      <c r="D4282" t="s">
        <v>45</v>
      </c>
      <c r="E4282" t="s">
        <v>138</v>
      </c>
      <c r="F4282" t="s">
        <v>70</v>
      </c>
      <c r="G4282" t="s">
        <v>48</v>
      </c>
      <c r="H4282" t="s">
        <v>49</v>
      </c>
      <c r="I4282" t="s">
        <v>50</v>
      </c>
      <c r="J4282" t="s">
        <v>7394</v>
      </c>
      <c r="K4282" t="s">
        <v>7218</v>
      </c>
      <c r="L4282" t="s">
        <v>53</v>
      </c>
      <c r="N4282" t="s">
        <v>7395</v>
      </c>
      <c r="P4282" t="s">
        <v>55</v>
      </c>
      <c r="R4282" t="s">
        <v>53</v>
      </c>
      <c r="T4282" t="s">
        <v>7396</v>
      </c>
      <c r="U4282" t="s">
        <v>58</v>
      </c>
      <c r="V4282">
        <v>1</v>
      </c>
      <c r="W4282">
        <v>1</v>
      </c>
      <c r="X4282">
        <v>1</v>
      </c>
      <c r="Y4282">
        <v>0</v>
      </c>
      <c r="Z4282">
        <v>1</v>
      </c>
      <c r="AA4282">
        <v>148.66999999999999</v>
      </c>
      <c r="AB4282">
        <v>148.66999999999999</v>
      </c>
      <c r="AC4282">
        <v>130.81</v>
      </c>
      <c r="AD4282">
        <v>0</v>
      </c>
      <c r="AE4282">
        <v>17.86</v>
      </c>
      <c r="AF4282">
        <v>0</v>
      </c>
      <c r="AG4282">
        <v>0</v>
      </c>
      <c r="AH4282">
        <v>0</v>
      </c>
      <c r="AI4282">
        <v>26.76</v>
      </c>
      <c r="AJ4282">
        <v>148.66999999999999</v>
      </c>
      <c r="AK4282">
        <v>0</v>
      </c>
      <c r="AL4282" t="s">
        <v>53</v>
      </c>
      <c r="AM4282" t="s">
        <v>53</v>
      </c>
      <c r="AN4282" t="s">
        <v>53</v>
      </c>
      <c r="AO4282" t="s">
        <v>53</v>
      </c>
      <c r="AP4282" t="s">
        <v>53</v>
      </c>
    </row>
    <row r="4283" spans="2:42" x14ac:dyDescent="0.2">
      <c r="B4283" t="s">
        <v>44</v>
      </c>
      <c r="C4283" t="str">
        <f>HYPERLINK("https://us2.cloudbeds.com/connect/8493803454333002#/reservations/9080486845812769?display=1WBRWDNBQQ&amp;reservation_id=9080486845812769", "1WBRWDNBQQ")</f>
        <v>1WBRWDNBQQ</v>
      </c>
      <c r="D4283" t="s">
        <v>45</v>
      </c>
      <c r="E4283" t="s">
        <v>69</v>
      </c>
      <c r="F4283" t="s">
        <v>70</v>
      </c>
      <c r="G4283" t="s">
        <v>48</v>
      </c>
      <c r="H4283" t="s">
        <v>49</v>
      </c>
      <c r="I4283" t="s">
        <v>50</v>
      </c>
      <c r="J4283" t="s">
        <v>7394</v>
      </c>
      <c r="K4283" t="s">
        <v>7218</v>
      </c>
      <c r="L4283" t="s">
        <v>53</v>
      </c>
      <c r="N4283" t="s">
        <v>7397</v>
      </c>
      <c r="P4283" t="s">
        <v>55</v>
      </c>
      <c r="R4283" t="s">
        <v>53</v>
      </c>
      <c r="T4283" t="s">
        <v>7398</v>
      </c>
      <c r="U4283" t="s">
        <v>58</v>
      </c>
      <c r="V4283">
        <v>1</v>
      </c>
      <c r="W4283">
        <v>1</v>
      </c>
      <c r="X4283">
        <v>1</v>
      </c>
      <c r="Y4283">
        <v>0</v>
      </c>
      <c r="Z4283">
        <v>1</v>
      </c>
      <c r="AA4283">
        <v>148.66999999999999</v>
      </c>
      <c r="AB4283">
        <v>148.66999999999999</v>
      </c>
      <c r="AC4283">
        <v>130.81</v>
      </c>
      <c r="AD4283">
        <v>0</v>
      </c>
      <c r="AE4283">
        <v>17.86</v>
      </c>
      <c r="AF4283">
        <v>0</v>
      </c>
      <c r="AG4283">
        <v>0</v>
      </c>
      <c r="AH4283">
        <v>0</v>
      </c>
      <c r="AI4283">
        <v>26.76</v>
      </c>
      <c r="AJ4283">
        <v>148.66999999999999</v>
      </c>
      <c r="AK4283">
        <v>0</v>
      </c>
      <c r="AL4283" t="s">
        <v>53</v>
      </c>
      <c r="AM4283" t="s">
        <v>53</v>
      </c>
      <c r="AN4283" t="s">
        <v>53</v>
      </c>
      <c r="AO4283" t="s">
        <v>53</v>
      </c>
      <c r="AP4283" t="s">
        <v>53</v>
      </c>
    </row>
    <row r="4284" spans="2:42" x14ac:dyDescent="0.2">
      <c r="B4284" t="s">
        <v>44</v>
      </c>
      <c r="C4284" t="str">
        <f>HYPERLINK("https://us2.cloudbeds.com/connect/8493803454333002#/reservations/9080486845812886?display=1WC0Q4YM76&amp;reservation_id=9080486845812886", "1WC0Q4YM76")</f>
        <v>1WC0Q4YM76</v>
      </c>
      <c r="D4284" t="s">
        <v>45</v>
      </c>
      <c r="E4284" t="s">
        <v>78</v>
      </c>
      <c r="F4284" t="s">
        <v>61</v>
      </c>
      <c r="G4284" t="s">
        <v>48</v>
      </c>
      <c r="H4284" t="s">
        <v>49</v>
      </c>
      <c r="I4284" t="s">
        <v>50</v>
      </c>
      <c r="J4284" t="s">
        <v>5967</v>
      </c>
      <c r="K4284" t="s">
        <v>6922</v>
      </c>
      <c r="L4284" t="s">
        <v>53</v>
      </c>
      <c r="N4284" t="s">
        <v>7399</v>
      </c>
      <c r="P4284" t="s">
        <v>55</v>
      </c>
      <c r="R4284" t="s">
        <v>53</v>
      </c>
      <c r="T4284" t="s">
        <v>7400</v>
      </c>
      <c r="U4284" t="s">
        <v>58</v>
      </c>
      <c r="V4284">
        <v>5</v>
      </c>
      <c r="W4284">
        <v>1</v>
      </c>
      <c r="X4284">
        <v>2</v>
      </c>
      <c r="Y4284">
        <v>0</v>
      </c>
      <c r="Z4284">
        <v>2</v>
      </c>
      <c r="AA4284">
        <v>739.51</v>
      </c>
      <c r="AB4284">
        <v>739.51</v>
      </c>
      <c r="AC4284">
        <v>650.70000000000005</v>
      </c>
      <c r="AD4284">
        <v>0</v>
      </c>
      <c r="AE4284">
        <v>88.81</v>
      </c>
      <c r="AF4284">
        <v>0</v>
      </c>
      <c r="AG4284">
        <v>0</v>
      </c>
      <c r="AH4284">
        <v>0</v>
      </c>
      <c r="AI4284">
        <v>133.11000000000001</v>
      </c>
      <c r="AJ4284">
        <v>739.51</v>
      </c>
      <c r="AK4284">
        <v>0</v>
      </c>
      <c r="AL4284" t="s">
        <v>53</v>
      </c>
      <c r="AM4284" t="s">
        <v>53</v>
      </c>
      <c r="AN4284" t="s">
        <v>53</v>
      </c>
      <c r="AO4284" t="s">
        <v>53</v>
      </c>
      <c r="AP4284" t="s">
        <v>53</v>
      </c>
    </row>
    <row r="4285" spans="2:42" x14ac:dyDescent="0.2">
      <c r="B4285" t="s">
        <v>44</v>
      </c>
      <c r="C4285" t="str">
        <f>HYPERLINK("https://us2.cloudbeds.com/connect/8493803454333002#/reservations/91950607368344?display=1WCHH4Z3AV&amp;reservation_id=91950607368344", "1WCHH4Z3AV")</f>
        <v>1WCHH4Z3AV</v>
      </c>
      <c r="D4285" t="s">
        <v>45</v>
      </c>
      <c r="E4285" t="s">
        <v>155</v>
      </c>
      <c r="F4285" t="s">
        <v>86</v>
      </c>
      <c r="G4285" t="s">
        <v>48</v>
      </c>
      <c r="H4285" t="s">
        <v>3957</v>
      </c>
      <c r="I4285" t="s">
        <v>3989</v>
      </c>
      <c r="J4285" t="s">
        <v>4158</v>
      </c>
      <c r="K4285" t="s">
        <v>6544</v>
      </c>
      <c r="L4285" t="s">
        <v>53</v>
      </c>
      <c r="P4285" t="s">
        <v>55</v>
      </c>
      <c r="R4285" t="s">
        <v>56</v>
      </c>
      <c r="T4285" t="s">
        <v>7401</v>
      </c>
      <c r="U4285" t="s">
        <v>58</v>
      </c>
      <c r="V4285">
        <v>1</v>
      </c>
      <c r="W4285">
        <v>1</v>
      </c>
      <c r="X4285">
        <v>1</v>
      </c>
      <c r="Y4285">
        <v>0</v>
      </c>
      <c r="Z4285">
        <v>1</v>
      </c>
      <c r="AA4285">
        <v>108.43</v>
      </c>
      <c r="AB4285">
        <v>108.43</v>
      </c>
      <c r="AC4285">
        <v>95.4</v>
      </c>
      <c r="AD4285">
        <v>0</v>
      </c>
      <c r="AE4285">
        <v>13.03</v>
      </c>
      <c r="AF4285">
        <v>0</v>
      </c>
      <c r="AG4285">
        <v>0</v>
      </c>
      <c r="AH4285">
        <v>0</v>
      </c>
      <c r="AI4285">
        <v>0</v>
      </c>
      <c r="AJ4285">
        <v>108.43</v>
      </c>
      <c r="AK4285">
        <v>0</v>
      </c>
      <c r="AL4285" t="s">
        <v>53</v>
      </c>
      <c r="AM4285" t="s">
        <v>53</v>
      </c>
      <c r="AN4285" t="s">
        <v>53</v>
      </c>
      <c r="AO4285" t="s">
        <v>53</v>
      </c>
      <c r="AP4285" t="s">
        <v>53</v>
      </c>
    </row>
    <row r="4286" spans="2:42" x14ac:dyDescent="0.2">
      <c r="B4286" t="s">
        <v>44</v>
      </c>
      <c r="C4286" t="str">
        <f>HYPERLINK("https://us2.cloudbeds.com/connect/8493803454333002#/reservations/9080486845813589?display=1WD0KKTJBU&amp;reservation_id=9080486845813589", "1WD0KKTJBU")</f>
        <v>1WD0KKTJBU</v>
      </c>
      <c r="D4286" t="s">
        <v>45</v>
      </c>
      <c r="E4286" t="s">
        <v>98</v>
      </c>
      <c r="F4286" t="s">
        <v>86</v>
      </c>
      <c r="G4286" t="s">
        <v>48</v>
      </c>
      <c r="H4286" t="s">
        <v>49</v>
      </c>
      <c r="I4286" t="s">
        <v>50</v>
      </c>
      <c r="J4286" t="s">
        <v>6274</v>
      </c>
      <c r="K4286" t="s">
        <v>7402</v>
      </c>
      <c r="L4286" t="s">
        <v>53</v>
      </c>
      <c r="N4286" t="s">
        <v>7403</v>
      </c>
      <c r="P4286" t="s">
        <v>55</v>
      </c>
      <c r="R4286" t="s">
        <v>53</v>
      </c>
      <c r="T4286" t="s">
        <v>7404</v>
      </c>
      <c r="U4286" t="s">
        <v>58</v>
      </c>
      <c r="V4286">
        <v>2</v>
      </c>
      <c r="W4286">
        <v>1</v>
      </c>
      <c r="X4286">
        <v>2</v>
      </c>
      <c r="Y4286">
        <v>0</v>
      </c>
      <c r="Z4286">
        <v>2</v>
      </c>
      <c r="AA4286">
        <v>379.59</v>
      </c>
      <c r="AB4286">
        <v>379.59</v>
      </c>
      <c r="AC4286">
        <v>334</v>
      </c>
      <c r="AD4286">
        <v>0</v>
      </c>
      <c r="AE4286">
        <v>45.59</v>
      </c>
      <c r="AF4286">
        <v>0</v>
      </c>
      <c r="AG4286">
        <v>0</v>
      </c>
      <c r="AH4286">
        <v>0</v>
      </c>
      <c r="AI4286">
        <v>68.33</v>
      </c>
      <c r="AJ4286">
        <v>379.59</v>
      </c>
      <c r="AK4286">
        <v>0</v>
      </c>
      <c r="AL4286" t="s">
        <v>53</v>
      </c>
      <c r="AM4286" t="s">
        <v>53</v>
      </c>
      <c r="AN4286" t="s">
        <v>53</v>
      </c>
      <c r="AO4286" t="s">
        <v>53</v>
      </c>
      <c r="AP4286" t="s">
        <v>53</v>
      </c>
    </row>
    <row r="4287" spans="2:42" x14ac:dyDescent="0.2">
      <c r="B4287" t="s">
        <v>44</v>
      </c>
      <c r="C4287" t="str">
        <f>HYPERLINK("https://us2.cloudbeds.com/connect/8493803454333002#/reservations/9080486845814403?display=1WEGESGFX5&amp;reservation_id=9080486845814403", "1WEGESGFX5")</f>
        <v>1WEGESGFX5</v>
      </c>
      <c r="D4287" t="s">
        <v>45</v>
      </c>
      <c r="E4287" t="s">
        <v>105</v>
      </c>
      <c r="F4287" t="s">
        <v>47</v>
      </c>
      <c r="G4287" t="s">
        <v>48</v>
      </c>
      <c r="H4287" t="s">
        <v>49</v>
      </c>
      <c r="I4287" t="s">
        <v>50</v>
      </c>
      <c r="J4287" t="s">
        <v>6233</v>
      </c>
      <c r="K4287" t="s">
        <v>4158</v>
      </c>
      <c r="L4287" t="s">
        <v>53</v>
      </c>
      <c r="N4287" t="s">
        <v>7405</v>
      </c>
      <c r="P4287" t="s">
        <v>55</v>
      </c>
      <c r="R4287" t="s">
        <v>53</v>
      </c>
      <c r="T4287" t="s">
        <v>7406</v>
      </c>
      <c r="U4287" t="s">
        <v>58</v>
      </c>
      <c r="V4287">
        <v>1</v>
      </c>
      <c r="W4287">
        <v>1</v>
      </c>
      <c r="X4287">
        <v>2</v>
      </c>
      <c r="Y4287">
        <v>0</v>
      </c>
      <c r="Z4287">
        <v>2</v>
      </c>
      <c r="AA4287">
        <v>87.96</v>
      </c>
      <c r="AB4287">
        <v>87.96</v>
      </c>
      <c r="AC4287">
        <v>77.400000000000006</v>
      </c>
      <c r="AD4287">
        <v>0</v>
      </c>
      <c r="AE4287">
        <v>10.56</v>
      </c>
      <c r="AF4287">
        <v>0</v>
      </c>
      <c r="AG4287">
        <v>0</v>
      </c>
      <c r="AH4287">
        <v>0</v>
      </c>
      <c r="AI4287">
        <v>15.83</v>
      </c>
      <c r="AJ4287">
        <v>87.96</v>
      </c>
      <c r="AK4287">
        <v>0</v>
      </c>
      <c r="AL4287" t="s">
        <v>53</v>
      </c>
      <c r="AM4287" t="s">
        <v>53</v>
      </c>
      <c r="AN4287" t="s">
        <v>53</v>
      </c>
      <c r="AO4287" t="s">
        <v>53</v>
      </c>
      <c r="AP4287" t="s">
        <v>53</v>
      </c>
    </row>
    <row r="4288" spans="2:42" x14ac:dyDescent="0.2">
      <c r="B4288" t="s">
        <v>44</v>
      </c>
      <c r="C4288" t="str">
        <f>HYPERLINK("https://us2.cloudbeds.com/connect/8493803454333002#/reservations/9080486845814478?display=1WEKQ98E5Q&amp;reservation_id=9080486845814478", "1WEKQ98E5Q")</f>
        <v>1WEKQ98E5Q</v>
      </c>
      <c r="D4288" t="s">
        <v>45</v>
      </c>
      <c r="E4288" t="s">
        <v>128</v>
      </c>
      <c r="F4288" t="s">
        <v>86</v>
      </c>
      <c r="G4288" t="s">
        <v>48</v>
      </c>
      <c r="H4288" t="s">
        <v>49</v>
      </c>
      <c r="I4288" t="s">
        <v>50</v>
      </c>
      <c r="J4288" t="s">
        <v>4442</v>
      </c>
      <c r="K4288" t="s">
        <v>6487</v>
      </c>
      <c r="L4288" t="s">
        <v>53</v>
      </c>
      <c r="N4288" t="s">
        <v>7407</v>
      </c>
      <c r="P4288" t="s">
        <v>55</v>
      </c>
      <c r="R4288" t="s">
        <v>53</v>
      </c>
      <c r="T4288" t="s">
        <v>7408</v>
      </c>
      <c r="U4288" t="s">
        <v>58</v>
      </c>
      <c r="V4288">
        <v>1</v>
      </c>
      <c r="W4288">
        <v>1</v>
      </c>
      <c r="X4288">
        <v>2</v>
      </c>
      <c r="Y4288">
        <v>0</v>
      </c>
      <c r="Z4288">
        <v>2</v>
      </c>
      <c r="AA4288">
        <v>154.44999999999999</v>
      </c>
      <c r="AB4288">
        <v>154.44999999999999</v>
      </c>
      <c r="AC4288">
        <v>135.9</v>
      </c>
      <c r="AD4288">
        <v>0</v>
      </c>
      <c r="AE4288">
        <v>18.55</v>
      </c>
      <c r="AF4288">
        <v>0</v>
      </c>
      <c r="AG4288">
        <v>0</v>
      </c>
      <c r="AH4288">
        <v>0</v>
      </c>
      <c r="AI4288">
        <v>27.8</v>
      </c>
      <c r="AJ4288">
        <v>154.44999999999999</v>
      </c>
      <c r="AK4288">
        <v>0</v>
      </c>
      <c r="AL4288" t="s">
        <v>53</v>
      </c>
      <c r="AM4288" t="s">
        <v>53</v>
      </c>
      <c r="AN4288" t="s">
        <v>53</v>
      </c>
      <c r="AO4288" t="s">
        <v>53</v>
      </c>
      <c r="AP4288" t="s">
        <v>53</v>
      </c>
    </row>
    <row r="4289" spans="2:42" x14ac:dyDescent="0.2">
      <c r="B4289" t="s">
        <v>44</v>
      </c>
      <c r="C4289" t="str">
        <f>HYPERLINK("https://us2.cloudbeds.com/connect/8493803454333002#/reservations/9080486845814574?display=1WERPWCGH3&amp;reservation_id=9080486845814574", "1WERPWCGH3")</f>
        <v>1WERPWCGH3</v>
      </c>
      <c r="D4289" t="s">
        <v>45</v>
      </c>
      <c r="E4289" t="s">
        <v>185</v>
      </c>
      <c r="F4289" t="s">
        <v>47</v>
      </c>
      <c r="G4289" t="s">
        <v>48</v>
      </c>
      <c r="H4289" t="s">
        <v>49</v>
      </c>
      <c r="I4289" t="s">
        <v>50</v>
      </c>
      <c r="J4289" t="s">
        <v>6836</v>
      </c>
      <c r="K4289" t="s">
        <v>6837</v>
      </c>
      <c r="L4289" t="s">
        <v>53</v>
      </c>
      <c r="N4289" t="s">
        <v>7409</v>
      </c>
      <c r="P4289" t="s">
        <v>55</v>
      </c>
      <c r="R4289" t="s">
        <v>53</v>
      </c>
      <c r="T4289" t="s">
        <v>7410</v>
      </c>
      <c r="U4289" t="s">
        <v>58</v>
      </c>
      <c r="V4289">
        <v>1</v>
      </c>
      <c r="W4289">
        <v>1</v>
      </c>
      <c r="X4289">
        <v>2</v>
      </c>
      <c r="Y4289">
        <v>0</v>
      </c>
      <c r="Z4289">
        <v>2</v>
      </c>
      <c r="AA4289">
        <v>75.78</v>
      </c>
      <c r="AB4289">
        <v>75.78</v>
      </c>
      <c r="AC4289">
        <v>66.69</v>
      </c>
      <c r="AD4289">
        <v>0</v>
      </c>
      <c r="AE4289">
        <v>9.09</v>
      </c>
      <c r="AF4289">
        <v>0</v>
      </c>
      <c r="AG4289">
        <v>0</v>
      </c>
      <c r="AH4289">
        <v>0</v>
      </c>
      <c r="AI4289">
        <v>13.64</v>
      </c>
      <c r="AJ4289">
        <v>75.78</v>
      </c>
      <c r="AK4289">
        <v>0</v>
      </c>
      <c r="AL4289" t="s">
        <v>53</v>
      </c>
      <c r="AM4289" t="s">
        <v>53</v>
      </c>
      <c r="AN4289" t="s">
        <v>53</v>
      </c>
      <c r="AO4289" t="s">
        <v>53</v>
      </c>
      <c r="AP4289" t="s">
        <v>53</v>
      </c>
    </row>
    <row r="4290" spans="2:42" x14ac:dyDescent="0.2">
      <c r="B4290" t="s">
        <v>44</v>
      </c>
      <c r="C4290" t="str">
        <f>HYPERLINK("https://us2.cloudbeds.com/connect/8493803454333002#/reservations/9080486845817996?display=1WKK4DM352&amp;reservation_id=9080486845817996", "1WKK4DM352")</f>
        <v>1WKK4DM352</v>
      </c>
      <c r="D4290" t="s">
        <v>45</v>
      </c>
      <c r="E4290" t="s">
        <v>138</v>
      </c>
      <c r="F4290" t="s">
        <v>70</v>
      </c>
      <c r="G4290" t="s">
        <v>48</v>
      </c>
      <c r="H4290" t="s">
        <v>49</v>
      </c>
      <c r="I4290" t="s">
        <v>50</v>
      </c>
      <c r="J4290" t="s">
        <v>6736</v>
      </c>
      <c r="K4290" t="s">
        <v>5518</v>
      </c>
      <c r="L4290" t="s">
        <v>53</v>
      </c>
      <c r="N4290" t="s">
        <v>7411</v>
      </c>
      <c r="P4290" t="s">
        <v>55</v>
      </c>
      <c r="R4290" t="s">
        <v>53</v>
      </c>
      <c r="T4290" t="s">
        <v>7412</v>
      </c>
      <c r="U4290" t="s">
        <v>58</v>
      </c>
      <c r="V4290">
        <v>1</v>
      </c>
      <c r="W4290">
        <v>1</v>
      </c>
      <c r="X4290">
        <v>1</v>
      </c>
      <c r="Y4290">
        <v>0</v>
      </c>
      <c r="Z4290">
        <v>1</v>
      </c>
      <c r="AA4290">
        <v>78.77</v>
      </c>
      <c r="AB4290">
        <v>78.77</v>
      </c>
      <c r="AC4290">
        <v>69.3</v>
      </c>
      <c r="AD4290">
        <v>0</v>
      </c>
      <c r="AE4290">
        <v>9.4700000000000006</v>
      </c>
      <c r="AF4290">
        <v>0</v>
      </c>
      <c r="AG4290">
        <v>0</v>
      </c>
      <c r="AH4290">
        <v>0</v>
      </c>
      <c r="AI4290">
        <v>14.18</v>
      </c>
      <c r="AJ4290">
        <v>78.77</v>
      </c>
      <c r="AK4290">
        <v>0</v>
      </c>
      <c r="AL4290" t="s">
        <v>53</v>
      </c>
      <c r="AM4290" t="s">
        <v>53</v>
      </c>
      <c r="AN4290" t="s">
        <v>53</v>
      </c>
      <c r="AO4290" t="s">
        <v>53</v>
      </c>
      <c r="AP4290" t="s">
        <v>53</v>
      </c>
    </row>
    <row r="4291" spans="2:42" x14ac:dyDescent="0.2">
      <c r="B4291" t="s">
        <v>44</v>
      </c>
      <c r="C4291" t="str">
        <f>HYPERLINK("https://us2.cloudbeds.com/connect/8493803454333002#/reservations/92375666069713?display=1WMGYCG1K3&amp;reservation_id=92375666069713", "1WMGYCG1K3")</f>
        <v>1WMGYCG1K3</v>
      </c>
      <c r="D4291" t="s">
        <v>45</v>
      </c>
      <c r="E4291" t="s">
        <v>7413</v>
      </c>
      <c r="F4291" t="s">
        <v>47</v>
      </c>
      <c r="G4291" t="s">
        <v>48</v>
      </c>
      <c r="H4291" t="s">
        <v>3957</v>
      </c>
      <c r="I4291" t="s">
        <v>3958</v>
      </c>
      <c r="J4291" t="s">
        <v>6944</v>
      </c>
      <c r="K4291" t="s">
        <v>7414</v>
      </c>
      <c r="L4291" t="s">
        <v>53</v>
      </c>
      <c r="P4291" t="s">
        <v>55</v>
      </c>
      <c r="R4291" t="s">
        <v>56</v>
      </c>
      <c r="T4291" t="s">
        <v>7415</v>
      </c>
      <c r="U4291" t="s">
        <v>58</v>
      </c>
      <c r="V4291">
        <v>2</v>
      </c>
      <c r="W4291">
        <v>2</v>
      </c>
      <c r="X4291">
        <v>2</v>
      </c>
      <c r="Y4291">
        <v>0</v>
      </c>
      <c r="Z4291">
        <v>2</v>
      </c>
      <c r="AA4291">
        <v>351.88</v>
      </c>
      <c r="AB4291">
        <v>351.88</v>
      </c>
      <c r="AC4291">
        <v>309.60000000000002</v>
      </c>
      <c r="AD4291">
        <v>0</v>
      </c>
      <c r="AE4291">
        <v>42.28</v>
      </c>
      <c r="AF4291">
        <v>0</v>
      </c>
      <c r="AG4291">
        <v>0</v>
      </c>
      <c r="AH4291">
        <v>0</v>
      </c>
      <c r="AI4291">
        <v>0</v>
      </c>
      <c r="AJ4291">
        <v>351.88</v>
      </c>
      <c r="AK4291">
        <v>0</v>
      </c>
      <c r="AL4291" t="s">
        <v>53</v>
      </c>
      <c r="AM4291" t="s">
        <v>53</v>
      </c>
      <c r="AN4291" t="s">
        <v>53</v>
      </c>
      <c r="AO4291" t="s">
        <v>53</v>
      </c>
      <c r="AP4291" t="s">
        <v>53</v>
      </c>
    </row>
    <row r="4292" spans="2:42" x14ac:dyDescent="0.2">
      <c r="B4292" t="s">
        <v>44</v>
      </c>
      <c r="C4292" t="str">
        <f>HYPERLINK("https://us2.cloudbeds.com/connect/8493803454333002#/reservations/9080486845819482?display=1WN9RF7YVT&amp;reservation_id=9080486845819482", "1WN9RF7YVT")</f>
        <v>1WN9RF7YVT</v>
      </c>
      <c r="D4292" t="s">
        <v>45</v>
      </c>
      <c r="E4292" t="s">
        <v>138</v>
      </c>
      <c r="F4292" t="s">
        <v>70</v>
      </c>
      <c r="G4292" t="s">
        <v>48</v>
      </c>
      <c r="H4292" t="s">
        <v>49</v>
      </c>
      <c r="I4292" t="s">
        <v>50</v>
      </c>
      <c r="J4292" t="s">
        <v>6753</v>
      </c>
      <c r="K4292" t="s">
        <v>5891</v>
      </c>
      <c r="L4292" t="s">
        <v>53</v>
      </c>
      <c r="N4292" t="s">
        <v>7416</v>
      </c>
      <c r="P4292" t="s">
        <v>55</v>
      </c>
      <c r="R4292" t="s">
        <v>53</v>
      </c>
      <c r="T4292" t="s">
        <v>7417</v>
      </c>
      <c r="U4292" t="s">
        <v>58</v>
      </c>
      <c r="V4292">
        <v>1</v>
      </c>
      <c r="W4292">
        <v>1</v>
      </c>
      <c r="X4292">
        <v>2</v>
      </c>
      <c r="Y4292">
        <v>0</v>
      </c>
      <c r="Z4292">
        <v>2</v>
      </c>
      <c r="AA4292">
        <v>92.06</v>
      </c>
      <c r="AB4292">
        <v>92.06</v>
      </c>
      <c r="AC4292">
        <v>81</v>
      </c>
      <c r="AD4292">
        <v>0</v>
      </c>
      <c r="AE4292">
        <v>11.06</v>
      </c>
      <c r="AF4292">
        <v>0</v>
      </c>
      <c r="AG4292">
        <v>0</v>
      </c>
      <c r="AH4292">
        <v>0</v>
      </c>
      <c r="AI4292">
        <v>16.57</v>
      </c>
      <c r="AJ4292">
        <v>92.06</v>
      </c>
      <c r="AK4292">
        <v>0</v>
      </c>
      <c r="AL4292" t="s">
        <v>53</v>
      </c>
      <c r="AM4292" t="s">
        <v>53</v>
      </c>
      <c r="AN4292" t="s">
        <v>53</v>
      </c>
      <c r="AO4292" t="s">
        <v>53</v>
      </c>
      <c r="AP4292" t="s">
        <v>53</v>
      </c>
    </row>
    <row r="4293" spans="2:42" x14ac:dyDescent="0.2">
      <c r="B4293" t="s">
        <v>44</v>
      </c>
      <c r="C4293" t="str">
        <f>HYPERLINK("https://us2.cloudbeds.com/connect/8493803454333002#/reservations/9080486845820923?display=1WQXP9094T&amp;reservation_id=9080486845820923", "1WQXP9094T")</f>
        <v>1WQXP9094T</v>
      </c>
      <c r="D4293" t="s">
        <v>45</v>
      </c>
      <c r="E4293" t="s">
        <v>85</v>
      </c>
      <c r="F4293" t="s">
        <v>86</v>
      </c>
      <c r="G4293" t="s">
        <v>48</v>
      </c>
      <c r="H4293" t="s">
        <v>49</v>
      </c>
      <c r="I4293" t="s">
        <v>50</v>
      </c>
      <c r="J4293" t="s">
        <v>6488</v>
      </c>
      <c r="K4293" t="s">
        <v>6274</v>
      </c>
      <c r="L4293" t="s">
        <v>53</v>
      </c>
      <c r="N4293" t="s">
        <v>7418</v>
      </c>
      <c r="P4293" t="s">
        <v>55</v>
      </c>
      <c r="R4293" t="s">
        <v>53</v>
      </c>
      <c r="T4293" t="s">
        <v>7419</v>
      </c>
      <c r="U4293" t="s">
        <v>58</v>
      </c>
      <c r="V4293">
        <v>1</v>
      </c>
      <c r="W4293">
        <v>1</v>
      </c>
      <c r="X4293">
        <v>3</v>
      </c>
      <c r="Y4293">
        <v>0</v>
      </c>
      <c r="Z4293">
        <v>3</v>
      </c>
      <c r="AA4293">
        <v>175.94</v>
      </c>
      <c r="AB4293">
        <v>175.94</v>
      </c>
      <c r="AC4293">
        <v>154.80000000000001</v>
      </c>
      <c r="AD4293">
        <v>0</v>
      </c>
      <c r="AE4293">
        <v>21.14</v>
      </c>
      <c r="AF4293">
        <v>0</v>
      </c>
      <c r="AG4293">
        <v>0</v>
      </c>
      <c r="AH4293">
        <v>0</v>
      </c>
      <c r="AI4293">
        <v>31.67</v>
      </c>
      <c r="AJ4293">
        <v>175.94</v>
      </c>
      <c r="AK4293">
        <v>0</v>
      </c>
      <c r="AL4293" t="s">
        <v>53</v>
      </c>
      <c r="AM4293" t="s">
        <v>53</v>
      </c>
      <c r="AN4293" t="s">
        <v>53</v>
      </c>
      <c r="AO4293" t="s">
        <v>53</v>
      </c>
      <c r="AP4293" t="s">
        <v>53</v>
      </c>
    </row>
    <row r="4294" spans="2:42" x14ac:dyDescent="0.2">
      <c r="B4294" t="s">
        <v>44</v>
      </c>
      <c r="C4294" t="str">
        <f>HYPERLINK("https://us2.cloudbeds.com/connect/8493803454333002#/reservations/9080486845822230?display=1WSNA6QCPW&amp;reservation_id=9080486845822230", "1WSNA6QCPW")</f>
        <v>1WSNA6QCPW</v>
      </c>
      <c r="D4294" t="s">
        <v>45</v>
      </c>
      <c r="E4294" t="s">
        <v>98</v>
      </c>
      <c r="F4294" t="s">
        <v>86</v>
      </c>
      <c r="G4294" t="s">
        <v>48</v>
      </c>
      <c r="H4294" t="s">
        <v>49</v>
      </c>
      <c r="I4294" t="s">
        <v>50</v>
      </c>
      <c r="J4294" t="s">
        <v>6487</v>
      </c>
      <c r="K4294" t="s">
        <v>6274</v>
      </c>
      <c r="L4294" t="s">
        <v>53</v>
      </c>
      <c r="N4294" t="s">
        <v>7420</v>
      </c>
      <c r="P4294" t="s">
        <v>55</v>
      </c>
      <c r="R4294" t="s">
        <v>53</v>
      </c>
      <c r="T4294" t="s">
        <v>7421</v>
      </c>
      <c r="U4294" t="s">
        <v>58</v>
      </c>
      <c r="V4294">
        <v>3</v>
      </c>
      <c r="W4294">
        <v>1</v>
      </c>
      <c r="X4294">
        <v>4</v>
      </c>
      <c r="Y4294">
        <v>0</v>
      </c>
      <c r="Z4294">
        <v>4</v>
      </c>
      <c r="AA4294">
        <v>513.92999999999995</v>
      </c>
      <c r="AB4294">
        <v>513.92999999999995</v>
      </c>
      <c r="AC4294">
        <v>452.2</v>
      </c>
      <c r="AD4294">
        <v>0</v>
      </c>
      <c r="AE4294">
        <v>61.73</v>
      </c>
      <c r="AF4294">
        <v>0</v>
      </c>
      <c r="AG4294">
        <v>0</v>
      </c>
      <c r="AH4294">
        <v>0</v>
      </c>
      <c r="AI4294">
        <v>92.51</v>
      </c>
      <c r="AJ4294">
        <v>513.92999999999995</v>
      </c>
      <c r="AK4294">
        <v>0</v>
      </c>
      <c r="AL4294" t="s">
        <v>53</v>
      </c>
      <c r="AM4294" t="s">
        <v>53</v>
      </c>
      <c r="AN4294" t="s">
        <v>53</v>
      </c>
      <c r="AO4294" t="s">
        <v>53</v>
      </c>
      <c r="AP4294" t="s">
        <v>53</v>
      </c>
    </row>
    <row r="4295" spans="2:42" x14ac:dyDescent="0.2">
      <c r="B4295" t="s">
        <v>44</v>
      </c>
      <c r="C4295" t="str">
        <f>HYPERLINK("https://us2.cloudbeds.com/connect/8493803454333002#/reservations/9080486845822258?display=1WSZS4MF71&amp;reservation_id=9080486845822258", "1WSZS4MF71")</f>
        <v>1WSZS4MF71</v>
      </c>
      <c r="D4295" t="s">
        <v>45</v>
      </c>
      <c r="E4295" t="s">
        <v>190</v>
      </c>
      <c r="F4295" t="s">
        <v>61</v>
      </c>
      <c r="G4295" t="s">
        <v>48</v>
      </c>
      <c r="H4295" t="s">
        <v>49</v>
      </c>
      <c r="I4295" t="s">
        <v>62</v>
      </c>
      <c r="J4295" t="s">
        <v>5891</v>
      </c>
      <c r="K4295" t="s">
        <v>5892</v>
      </c>
      <c r="L4295" t="s">
        <v>53</v>
      </c>
      <c r="N4295" t="s">
        <v>7422</v>
      </c>
      <c r="P4295" t="s">
        <v>55</v>
      </c>
      <c r="R4295" t="s">
        <v>56</v>
      </c>
      <c r="T4295" t="s">
        <v>7423</v>
      </c>
      <c r="U4295" t="s">
        <v>55</v>
      </c>
      <c r="V4295">
        <v>1</v>
      </c>
      <c r="W4295">
        <v>1</v>
      </c>
      <c r="X4295">
        <v>2</v>
      </c>
      <c r="Y4295">
        <v>0</v>
      </c>
      <c r="Z4295">
        <v>2</v>
      </c>
      <c r="AA4295">
        <v>109</v>
      </c>
      <c r="AB4295">
        <v>109</v>
      </c>
      <c r="AC4295">
        <v>109</v>
      </c>
      <c r="AD4295">
        <v>0</v>
      </c>
      <c r="AE4295">
        <v>0</v>
      </c>
      <c r="AF4295">
        <v>0</v>
      </c>
      <c r="AG4295">
        <v>0</v>
      </c>
      <c r="AH4295">
        <v>0</v>
      </c>
      <c r="AI4295">
        <v>19.62</v>
      </c>
      <c r="AJ4295">
        <v>109</v>
      </c>
      <c r="AK4295">
        <v>0</v>
      </c>
      <c r="AL4295" t="s">
        <v>53</v>
      </c>
      <c r="AM4295" t="s">
        <v>53</v>
      </c>
      <c r="AN4295" t="s">
        <v>53</v>
      </c>
      <c r="AO4295" t="s">
        <v>53</v>
      </c>
      <c r="AP4295" t="s">
        <v>53</v>
      </c>
    </row>
    <row r="4296" spans="2:42" x14ac:dyDescent="0.2">
      <c r="B4296" t="s">
        <v>44</v>
      </c>
      <c r="C4296" t="str">
        <f>HYPERLINK("https://us2.cloudbeds.com/connect/8493803454333002#/reservations/9080486845822700?display=1WTFXDC4Z9&amp;reservation_id=9080486845822700", "1WTFXDC4Z9")</f>
        <v>1WTFXDC4Z9</v>
      </c>
      <c r="D4296" t="s">
        <v>45</v>
      </c>
      <c r="E4296" t="s">
        <v>98</v>
      </c>
      <c r="F4296" t="s">
        <v>86</v>
      </c>
      <c r="G4296" t="s">
        <v>48</v>
      </c>
      <c r="H4296" t="s">
        <v>49</v>
      </c>
      <c r="I4296" t="s">
        <v>62</v>
      </c>
      <c r="J4296" t="s">
        <v>6818</v>
      </c>
      <c r="K4296" t="s">
        <v>6819</v>
      </c>
      <c r="L4296" t="s">
        <v>53</v>
      </c>
      <c r="N4296" t="s">
        <v>7424</v>
      </c>
      <c r="P4296" t="s">
        <v>55</v>
      </c>
      <c r="R4296" t="s">
        <v>56</v>
      </c>
      <c r="T4296" t="s">
        <v>7425</v>
      </c>
      <c r="U4296" t="s">
        <v>55</v>
      </c>
      <c r="V4296">
        <v>1</v>
      </c>
      <c r="W4296">
        <v>1</v>
      </c>
      <c r="X4296">
        <v>4</v>
      </c>
      <c r="Y4296">
        <v>0</v>
      </c>
      <c r="Z4296">
        <v>4</v>
      </c>
      <c r="AA4296">
        <v>113</v>
      </c>
      <c r="AB4296">
        <v>113</v>
      </c>
      <c r="AC4296">
        <v>113</v>
      </c>
      <c r="AD4296">
        <v>0</v>
      </c>
      <c r="AE4296">
        <v>0</v>
      </c>
      <c r="AF4296">
        <v>0</v>
      </c>
      <c r="AG4296">
        <v>0</v>
      </c>
      <c r="AH4296">
        <v>0</v>
      </c>
      <c r="AI4296">
        <v>20.34</v>
      </c>
      <c r="AJ4296">
        <v>113</v>
      </c>
      <c r="AK4296">
        <v>0</v>
      </c>
      <c r="AL4296" t="s">
        <v>53</v>
      </c>
      <c r="AM4296" t="s">
        <v>53</v>
      </c>
      <c r="AN4296" t="s">
        <v>53</v>
      </c>
      <c r="AO4296" t="s">
        <v>53</v>
      </c>
      <c r="AP4296" t="s">
        <v>53</v>
      </c>
    </row>
    <row r="4297" spans="2:42" x14ac:dyDescent="0.2">
      <c r="B4297" t="s">
        <v>44</v>
      </c>
      <c r="C4297" t="str">
        <f>HYPERLINK("https://us2.cloudbeds.com/connect/8493803454333002#/reservations/92980590043372?display=203N1JDB5U&amp;reservation_id=92980590043372", "203N1JDB5U")</f>
        <v>203N1JDB5U</v>
      </c>
      <c r="D4297" t="s">
        <v>45</v>
      </c>
      <c r="E4297" t="s">
        <v>190</v>
      </c>
      <c r="F4297" t="s">
        <v>61</v>
      </c>
      <c r="G4297" t="s">
        <v>3974</v>
      </c>
      <c r="H4297" t="s">
        <v>3957</v>
      </c>
      <c r="I4297" t="s">
        <v>3975</v>
      </c>
      <c r="J4297" t="s">
        <v>6807</v>
      </c>
      <c r="K4297" t="s">
        <v>6233</v>
      </c>
      <c r="L4297" t="s">
        <v>53</v>
      </c>
      <c r="P4297" t="s">
        <v>55</v>
      </c>
      <c r="R4297" t="s">
        <v>53</v>
      </c>
      <c r="T4297" t="s">
        <v>7426</v>
      </c>
      <c r="U4297" t="s">
        <v>58</v>
      </c>
      <c r="V4297">
        <v>2</v>
      </c>
      <c r="W4297">
        <v>1</v>
      </c>
      <c r="X4297">
        <v>2</v>
      </c>
      <c r="Y4297">
        <v>0</v>
      </c>
      <c r="Z4297">
        <v>2</v>
      </c>
      <c r="AA4297">
        <v>480.46</v>
      </c>
      <c r="AB4297">
        <v>480.46</v>
      </c>
      <c r="AC4297">
        <v>422.75</v>
      </c>
      <c r="AD4297">
        <v>0</v>
      </c>
      <c r="AE4297">
        <v>57.71</v>
      </c>
      <c r="AF4297">
        <v>0</v>
      </c>
      <c r="AG4297">
        <v>0</v>
      </c>
      <c r="AH4297">
        <v>0</v>
      </c>
      <c r="AI4297">
        <v>0</v>
      </c>
      <c r="AJ4297">
        <v>480.46</v>
      </c>
      <c r="AK4297">
        <v>0</v>
      </c>
      <c r="AL4297" t="s">
        <v>53</v>
      </c>
      <c r="AM4297" t="s">
        <v>53</v>
      </c>
      <c r="AN4297" t="s">
        <v>53</v>
      </c>
      <c r="AO4297" t="s">
        <v>53</v>
      </c>
      <c r="AP4297" t="s">
        <v>53</v>
      </c>
    </row>
    <row r="4298" spans="2:42" x14ac:dyDescent="0.2">
      <c r="B4298" t="s">
        <v>44</v>
      </c>
      <c r="C4298" t="str">
        <f>HYPERLINK("https://us2.cloudbeds.com/connect/8493803454333002#/reservations/9080486845826117?display=203QN6N395&amp;reservation_id=9080486845826117", "203QN6N395")</f>
        <v>203QN6N395</v>
      </c>
      <c r="D4298" t="s">
        <v>45</v>
      </c>
      <c r="E4298" t="s">
        <v>155</v>
      </c>
      <c r="F4298" t="s">
        <v>86</v>
      </c>
      <c r="G4298" t="s">
        <v>48</v>
      </c>
      <c r="H4298" t="s">
        <v>49</v>
      </c>
      <c r="I4298" t="s">
        <v>50</v>
      </c>
      <c r="J4298" t="s">
        <v>6855</v>
      </c>
      <c r="K4298" t="s">
        <v>6999</v>
      </c>
      <c r="L4298" t="s">
        <v>53</v>
      </c>
      <c r="N4298" t="s">
        <v>7427</v>
      </c>
      <c r="P4298" t="s">
        <v>55</v>
      </c>
      <c r="R4298" t="s">
        <v>53</v>
      </c>
      <c r="T4298" t="s">
        <v>7428</v>
      </c>
      <c r="U4298" t="s">
        <v>58</v>
      </c>
      <c r="V4298">
        <v>2</v>
      </c>
      <c r="W4298">
        <v>1</v>
      </c>
      <c r="X4298">
        <v>2</v>
      </c>
      <c r="Y4298">
        <v>0</v>
      </c>
      <c r="Z4298">
        <v>2</v>
      </c>
      <c r="AA4298">
        <v>193.48</v>
      </c>
      <c r="AB4298">
        <v>193.48</v>
      </c>
      <c r="AC4298">
        <v>170.24</v>
      </c>
      <c r="AD4298">
        <v>0</v>
      </c>
      <c r="AE4298">
        <v>23.24</v>
      </c>
      <c r="AF4298">
        <v>0</v>
      </c>
      <c r="AG4298">
        <v>0</v>
      </c>
      <c r="AH4298">
        <v>0</v>
      </c>
      <c r="AI4298">
        <v>34.83</v>
      </c>
      <c r="AJ4298">
        <v>193.48</v>
      </c>
      <c r="AK4298">
        <v>0</v>
      </c>
      <c r="AL4298" t="s">
        <v>53</v>
      </c>
      <c r="AM4298" t="s">
        <v>53</v>
      </c>
      <c r="AN4298" t="s">
        <v>53</v>
      </c>
      <c r="AO4298" t="s">
        <v>53</v>
      </c>
      <c r="AP4298" t="s">
        <v>53</v>
      </c>
    </row>
    <row r="4299" spans="2:42" x14ac:dyDescent="0.2">
      <c r="B4299" t="s">
        <v>44</v>
      </c>
      <c r="C4299" t="str">
        <f>HYPERLINK("https://us2.cloudbeds.com/connect/8493803454333002#/reservations/9080486845826177?display=203TMWBD5P&amp;reservation_id=9080486845826177", "203TMWBD5P")</f>
        <v>203TMWBD5P</v>
      </c>
      <c r="D4299" t="s">
        <v>45</v>
      </c>
      <c r="E4299" t="s">
        <v>138</v>
      </c>
      <c r="F4299" t="s">
        <v>70</v>
      </c>
      <c r="G4299" t="s">
        <v>48</v>
      </c>
      <c r="H4299" t="s">
        <v>49</v>
      </c>
      <c r="I4299" t="s">
        <v>62</v>
      </c>
      <c r="J4299" t="s">
        <v>7109</v>
      </c>
      <c r="K4299" t="s">
        <v>6877</v>
      </c>
      <c r="L4299" t="s">
        <v>53</v>
      </c>
      <c r="N4299" t="s">
        <v>7429</v>
      </c>
      <c r="P4299" t="s">
        <v>55</v>
      </c>
      <c r="R4299" t="s">
        <v>56</v>
      </c>
      <c r="T4299" t="s">
        <v>7430</v>
      </c>
      <c r="U4299" t="s">
        <v>55</v>
      </c>
      <c r="V4299">
        <v>1</v>
      </c>
      <c r="W4299">
        <v>1</v>
      </c>
      <c r="X4299">
        <v>2</v>
      </c>
      <c r="Y4299">
        <v>0</v>
      </c>
      <c r="Z4299">
        <v>2</v>
      </c>
      <c r="AA4299">
        <v>80</v>
      </c>
      <c r="AB4299">
        <v>80</v>
      </c>
      <c r="AC4299">
        <v>80</v>
      </c>
      <c r="AD4299">
        <v>0</v>
      </c>
      <c r="AE4299">
        <v>0</v>
      </c>
      <c r="AF4299">
        <v>0</v>
      </c>
      <c r="AG4299">
        <v>0</v>
      </c>
      <c r="AH4299">
        <v>0</v>
      </c>
      <c r="AI4299">
        <v>14.4</v>
      </c>
      <c r="AJ4299">
        <v>80</v>
      </c>
      <c r="AK4299">
        <v>0</v>
      </c>
      <c r="AL4299" t="s">
        <v>53</v>
      </c>
      <c r="AM4299" t="s">
        <v>53</v>
      </c>
      <c r="AN4299" t="s">
        <v>53</v>
      </c>
      <c r="AO4299" t="s">
        <v>53</v>
      </c>
      <c r="AP4299" t="s">
        <v>53</v>
      </c>
    </row>
    <row r="4300" spans="2:42" x14ac:dyDescent="0.2">
      <c r="B4300" t="s">
        <v>44</v>
      </c>
      <c r="C4300" t="str">
        <f>HYPERLINK("https://us2.cloudbeds.com/connect/8493803454333002#/reservations/9080486845827184?display=205MM96ZYG&amp;reservation_id=9080486845827184", "205MM96ZYG")</f>
        <v>205MM96ZYG</v>
      </c>
      <c r="D4300" t="s">
        <v>45</v>
      </c>
      <c r="E4300" t="s">
        <v>105</v>
      </c>
      <c r="F4300" t="s">
        <v>47</v>
      </c>
      <c r="G4300" t="s">
        <v>48</v>
      </c>
      <c r="H4300" t="s">
        <v>49</v>
      </c>
      <c r="I4300" t="s">
        <v>50</v>
      </c>
      <c r="J4300" t="s">
        <v>6855</v>
      </c>
      <c r="K4300" t="s">
        <v>6885</v>
      </c>
      <c r="L4300" t="s">
        <v>53</v>
      </c>
      <c r="N4300" t="s">
        <v>7431</v>
      </c>
      <c r="P4300" t="s">
        <v>55</v>
      </c>
      <c r="R4300" t="s">
        <v>53</v>
      </c>
      <c r="T4300" t="s">
        <v>7432</v>
      </c>
      <c r="U4300" t="s">
        <v>58</v>
      </c>
      <c r="V4300">
        <v>1</v>
      </c>
      <c r="W4300">
        <v>1</v>
      </c>
      <c r="X4300">
        <v>2</v>
      </c>
      <c r="Y4300">
        <v>0</v>
      </c>
      <c r="Z4300">
        <v>2</v>
      </c>
      <c r="AA4300">
        <v>81.680000000000007</v>
      </c>
      <c r="AB4300">
        <v>81.680000000000007</v>
      </c>
      <c r="AC4300">
        <v>71.87</v>
      </c>
      <c r="AD4300">
        <v>0</v>
      </c>
      <c r="AE4300">
        <v>9.81</v>
      </c>
      <c r="AF4300">
        <v>0</v>
      </c>
      <c r="AG4300">
        <v>0</v>
      </c>
      <c r="AH4300">
        <v>0</v>
      </c>
      <c r="AI4300">
        <v>14.7</v>
      </c>
      <c r="AJ4300">
        <v>81.680000000000007</v>
      </c>
      <c r="AK4300">
        <v>0</v>
      </c>
      <c r="AL4300" t="s">
        <v>53</v>
      </c>
      <c r="AM4300" t="s">
        <v>53</v>
      </c>
      <c r="AN4300" t="s">
        <v>53</v>
      </c>
      <c r="AO4300" t="s">
        <v>53</v>
      </c>
      <c r="AP4300" t="s">
        <v>53</v>
      </c>
    </row>
    <row r="4301" spans="2:42" x14ac:dyDescent="0.2">
      <c r="B4301" t="s">
        <v>44</v>
      </c>
      <c r="C4301" t="str">
        <f>HYPERLINK("https://us2.cloudbeds.com/connect/8493803454333002#/reservations/9080486845827190?display=205MNPW910&amp;reservation_id=9080486845827190", "205MNPW910")</f>
        <v>205MNPW910</v>
      </c>
      <c r="D4301" t="s">
        <v>45</v>
      </c>
      <c r="E4301" t="s">
        <v>179</v>
      </c>
      <c r="F4301" t="s">
        <v>47</v>
      </c>
      <c r="G4301" t="s">
        <v>48</v>
      </c>
      <c r="H4301" t="s">
        <v>49</v>
      </c>
      <c r="I4301" t="s">
        <v>62</v>
      </c>
      <c r="J4301" t="s">
        <v>5895</v>
      </c>
      <c r="K4301" t="s">
        <v>6736</v>
      </c>
      <c r="L4301" t="s">
        <v>53</v>
      </c>
      <c r="N4301" t="s">
        <v>7433</v>
      </c>
      <c r="P4301" t="s">
        <v>55</v>
      </c>
      <c r="R4301" t="s">
        <v>56</v>
      </c>
      <c r="T4301" t="s">
        <v>7434</v>
      </c>
      <c r="U4301" t="s">
        <v>55</v>
      </c>
      <c r="V4301">
        <v>1</v>
      </c>
      <c r="W4301">
        <v>1</v>
      </c>
      <c r="X4301">
        <v>1</v>
      </c>
      <c r="Y4301">
        <v>0</v>
      </c>
      <c r="Z4301">
        <v>1</v>
      </c>
      <c r="AA4301">
        <v>68</v>
      </c>
      <c r="AB4301">
        <v>68</v>
      </c>
      <c r="AC4301">
        <v>68</v>
      </c>
      <c r="AD4301">
        <v>0</v>
      </c>
      <c r="AE4301">
        <v>0</v>
      </c>
      <c r="AF4301">
        <v>0</v>
      </c>
      <c r="AG4301">
        <v>0</v>
      </c>
      <c r="AH4301">
        <v>0</v>
      </c>
      <c r="AI4301">
        <v>12.24</v>
      </c>
      <c r="AJ4301">
        <v>68</v>
      </c>
      <c r="AK4301">
        <v>0</v>
      </c>
      <c r="AL4301" t="s">
        <v>53</v>
      </c>
      <c r="AM4301" t="s">
        <v>53</v>
      </c>
      <c r="AN4301" t="s">
        <v>53</v>
      </c>
      <c r="AO4301" t="s">
        <v>53</v>
      </c>
      <c r="AP4301" t="s">
        <v>53</v>
      </c>
    </row>
    <row r="4302" spans="2:42" x14ac:dyDescent="0.2">
      <c r="B4302" t="s">
        <v>44</v>
      </c>
      <c r="C4302" t="str">
        <f>HYPERLINK("https://us2.cloudbeds.com/connect/8493803454333002#/reservations/93106990112970?display=206YUD9JT8&amp;reservation_id=93106990112970", "206YUD9JT8")</f>
        <v>206YUD9JT8</v>
      </c>
      <c r="D4302" t="s">
        <v>45</v>
      </c>
      <c r="E4302" t="s">
        <v>373</v>
      </c>
      <c r="F4302" t="s">
        <v>47</v>
      </c>
      <c r="G4302" t="s">
        <v>48</v>
      </c>
      <c r="H4302" t="s">
        <v>3957</v>
      </c>
      <c r="I4302" t="s">
        <v>3975</v>
      </c>
      <c r="J4302" t="s">
        <v>5518</v>
      </c>
      <c r="K4302" t="s">
        <v>6737</v>
      </c>
      <c r="L4302" t="s">
        <v>53</v>
      </c>
      <c r="P4302" t="s">
        <v>55</v>
      </c>
      <c r="R4302" t="s">
        <v>53</v>
      </c>
      <c r="T4302" t="s">
        <v>7435</v>
      </c>
      <c r="U4302" t="s">
        <v>58</v>
      </c>
      <c r="V4302">
        <v>1</v>
      </c>
      <c r="W4302">
        <v>1</v>
      </c>
      <c r="X4302">
        <v>2</v>
      </c>
      <c r="Y4302">
        <v>0</v>
      </c>
      <c r="Z4302">
        <v>2</v>
      </c>
      <c r="AA4302">
        <v>95.47</v>
      </c>
      <c r="AB4302">
        <v>95.47</v>
      </c>
      <c r="AC4302">
        <v>84</v>
      </c>
      <c r="AD4302">
        <v>0</v>
      </c>
      <c r="AE4302">
        <v>11.47</v>
      </c>
      <c r="AF4302">
        <v>0</v>
      </c>
      <c r="AG4302">
        <v>0</v>
      </c>
      <c r="AH4302">
        <v>0</v>
      </c>
      <c r="AI4302">
        <v>0</v>
      </c>
      <c r="AJ4302">
        <v>95.47</v>
      </c>
      <c r="AK4302">
        <v>0</v>
      </c>
      <c r="AL4302" t="s">
        <v>53</v>
      </c>
      <c r="AM4302" t="s">
        <v>53</v>
      </c>
      <c r="AN4302" t="s">
        <v>53</v>
      </c>
      <c r="AO4302" t="s">
        <v>53</v>
      </c>
      <c r="AP4302" t="s">
        <v>53</v>
      </c>
    </row>
    <row r="4303" spans="2:42" x14ac:dyDescent="0.2">
      <c r="B4303" t="s">
        <v>44</v>
      </c>
      <c r="C4303" t="str">
        <f>HYPERLINK("https://us2.cloudbeds.com/connect/8493803454333002#/reservations/9080486845827721?display=20704EBWJR&amp;reservation_id=9080486845827721", "20704EBWJR")</f>
        <v>20704EBWJR</v>
      </c>
      <c r="D4303" t="s">
        <v>45</v>
      </c>
      <c r="E4303" t="s">
        <v>69</v>
      </c>
      <c r="F4303" t="s">
        <v>70</v>
      </c>
      <c r="G4303" t="s">
        <v>48</v>
      </c>
      <c r="H4303" t="s">
        <v>49</v>
      </c>
      <c r="I4303" t="s">
        <v>50</v>
      </c>
      <c r="J4303" t="s">
        <v>6999</v>
      </c>
      <c r="K4303" t="s">
        <v>5963</v>
      </c>
      <c r="L4303" t="s">
        <v>53</v>
      </c>
      <c r="N4303" t="s">
        <v>7436</v>
      </c>
      <c r="P4303" t="s">
        <v>55</v>
      </c>
      <c r="R4303" t="s">
        <v>53</v>
      </c>
      <c r="T4303" t="s">
        <v>7437</v>
      </c>
      <c r="U4303" t="s">
        <v>58</v>
      </c>
      <c r="V4303">
        <v>1</v>
      </c>
      <c r="W4303">
        <v>1</v>
      </c>
      <c r="X4303">
        <v>2</v>
      </c>
      <c r="Y4303">
        <v>0</v>
      </c>
      <c r="Z4303">
        <v>2</v>
      </c>
      <c r="AA4303">
        <v>92.69</v>
      </c>
      <c r="AB4303">
        <v>92.69</v>
      </c>
      <c r="AC4303">
        <v>81.56</v>
      </c>
      <c r="AD4303">
        <v>0</v>
      </c>
      <c r="AE4303">
        <v>11.13</v>
      </c>
      <c r="AF4303">
        <v>0</v>
      </c>
      <c r="AG4303">
        <v>0</v>
      </c>
      <c r="AH4303">
        <v>0</v>
      </c>
      <c r="AI4303">
        <v>16.68</v>
      </c>
      <c r="AJ4303">
        <v>92.69</v>
      </c>
      <c r="AK4303">
        <v>0</v>
      </c>
      <c r="AL4303" t="s">
        <v>53</v>
      </c>
      <c r="AM4303" t="s">
        <v>53</v>
      </c>
      <c r="AN4303" t="s">
        <v>53</v>
      </c>
      <c r="AO4303" t="s">
        <v>53</v>
      </c>
      <c r="AP4303" t="s">
        <v>53</v>
      </c>
    </row>
    <row r="4304" spans="2:42" x14ac:dyDescent="0.2">
      <c r="B4304" t="s">
        <v>44</v>
      </c>
      <c r="C4304" t="str">
        <f>HYPERLINK("https://us2.cloudbeds.com/connect/8493803454333002#/reservations/9080486845827784?display=207670AZDQ&amp;reservation_id=9080486845827784", "207670AZDQ")</f>
        <v>207670AZDQ</v>
      </c>
      <c r="D4304" t="s">
        <v>45</v>
      </c>
      <c r="E4304" t="s">
        <v>381</v>
      </c>
      <c r="F4304" t="s">
        <v>47</v>
      </c>
      <c r="G4304" t="s">
        <v>48</v>
      </c>
      <c r="H4304" t="s">
        <v>49</v>
      </c>
      <c r="I4304" t="s">
        <v>50</v>
      </c>
      <c r="J4304" t="s">
        <v>7438</v>
      </c>
      <c r="K4304" t="s">
        <v>7439</v>
      </c>
      <c r="L4304" t="s">
        <v>53</v>
      </c>
      <c r="N4304" t="s">
        <v>7440</v>
      </c>
      <c r="P4304" t="s">
        <v>55</v>
      </c>
      <c r="R4304" t="s">
        <v>53</v>
      </c>
      <c r="T4304" t="s">
        <v>7441</v>
      </c>
      <c r="U4304" t="s">
        <v>58</v>
      </c>
      <c r="V4304">
        <v>4</v>
      </c>
      <c r="W4304">
        <v>1</v>
      </c>
      <c r="X4304">
        <v>2</v>
      </c>
      <c r="Y4304">
        <v>0</v>
      </c>
      <c r="Z4304">
        <v>2</v>
      </c>
      <c r="AA4304">
        <v>576.24</v>
      </c>
      <c r="AB4304">
        <v>506.64</v>
      </c>
      <c r="AC4304">
        <v>437.4</v>
      </c>
      <c r="AD4304">
        <v>0</v>
      </c>
      <c r="AE4304">
        <v>59.74</v>
      </c>
      <c r="AF4304">
        <v>0</v>
      </c>
      <c r="AG4304">
        <v>0</v>
      </c>
      <c r="AH4304">
        <v>0</v>
      </c>
      <c r="AI4304">
        <v>89.49</v>
      </c>
      <c r="AJ4304">
        <v>497.14</v>
      </c>
      <c r="AK4304">
        <v>-9.5</v>
      </c>
      <c r="AL4304" t="s">
        <v>53</v>
      </c>
      <c r="AM4304" t="s">
        <v>53</v>
      </c>
      <c r="AN4304" t="s">
        <v>53</v>
      </c>
      <c r="AO4304" t="s">
        <v>53</v>
      </c>
      <c r="AP4304" t="s">
        <v>53</v>
      </c>
    </row>
    <row r="4305" spans="2:42" x14ac:dyDescent="0.2">
      <c r="B4305" t="s">
        <v>44</v>
      </c>
      <c r="C4305" t="str">
        <f>HYPERLINK("https://us2.cloudbeds.com/connect/8493803454333002#/reservations/9080486845827836?display=207ADB4379&amp;reservation_id=9080486845827836", "207ADB4379")</f>
        <v>207ADB4379</v>
      </c>
      <c r="D4305" t="s">
        <v>45</v>
      </c>
      <c r="E4305" t="s">
        <v>110</v>
      </c>
      <c r="F4305" t="s">
        <v>47</v>
      </c>
      <c r="G4305" t="s">
        <v>48</v>
      </c>
      <c r="H4305" t="s">
        <v>49</v>
      </c>
      <c r="I4305" t="s">
        <v>50</v>
      </c>
      <c r="J4305" t="s">
        <v>4767</v>
      </c>
      <c r="K4305" t="s">
        <v>4768</v>
      </c>
      <c r="L4305" t="s">
        <v>53</v>
      </c>
      <c r="N4305" t="s">
        <v>7442</v>
      </c>
      <c r="P4305" t="s">
        <v>55</v>
      </c>
      <c r="R4305" t="s">
        <v>53</v>
      </c>
      <c r="T4305" t="s">
        <v>7443</v>
      </c>
      <c r="U4305" t="s">
        <v>58</v>
      </c>
      <c r="V4305">
        <v>1</v>
      </c>
      <c r="W4305">
        <v>1</v>
      </c>
      <c r="X4305">
        <v>2</v>
      </c>
      <c r="Y4305">
        <v>0</v>
      </c>
      <c r="Z4305">
        <v>2</v>
      </c>
      <c r="AA4305">
        <v>103.36</v>
      </c>
      <c r="AB4305">
        <v>103.36</v>
      </c>
      <c r="AC4305">
        <v>90.95</v>
      </c>
      <c r="AD4305">
        <v>0</v>
      </c>
      <c r="AE4305">
        <v>12.41</v>
      </c>
      <c r="AF4305">
        <v>0</v>
      </c>
      <c r="AG4305">
        <v>0</v>
      </c>
      <c r="AH4305">
        <v>0</v>
      </c>
      <c r="AI4305">
        <v>18.600000000000001</v>
      </c>
      <c r="AJ4305">
        <v>103.36</v>
      </c>
      <c r="AK4305">
        <v>0</v>
      </c>
      <c r="AL4305" t="s">
        <v>53</v>
      </c>
      <c r="AM4305" t="s">
        <v>53</v>
      </c>
      <c r="AN4305" t="s">
        <v>53</v>
      </c>
      <c r="AO4305" t="s">
        <v>53</v>
      </c>
      <c r="AP4305" t="s">
        <v>53</v>
      </c>
    </row>
    <row r="4306" spans="2:42" x14ac:dyDescent="0.2">
      <c r="B4306" t="s">
        <v>44</v>
      </c>
      <c r="C4306" t="str">
        <f>HYPERLINK("https://us2.cloudbeds.com/connect/8493803454333002#/reservations/9080486845830117?display=20CGMPCF98&amp;reservation_id=9080486845830117", "20CGMPCF98")</f>
        <v>20CGMPCF98</v>
      </c>
      <c r="D4306" t="s">
        <v>45</v>
      </c>
      <c r="E4306" t="s">
        <v>138</v>
      </c>
      <c r="F4306" t="s">
        <v>70</v>
      </c>
      <c r="G4306" t="s">
        <v>48</v>
      </c>
      <c r="H4306" t="s">
        <v>49</v>
      </c>
      <c r="I4306" t="s">
        <v>50</v>
      </c>
      <c r="J4306" t="s">
        <v>6639</v>
      </c>
      <c r="K4306" t="s">
        <v>4767</v>
      </c>
      <c r="L4306" t="s">
        <v>53</v>
      </c>
      <c r="N4306" t="s">
        <v>7444</v>
      </c>
      <c r="P4306" t="s">
        <v>55</v>
      </c>
      <c r="R4306" t="s">
        <v>53</v>
      </c>
      <c r="T4306" t="s">
        <v>7445</v>
      </c>
      <c r="U4306" t="s">
        <v>58</v>
      </c>
      <c r="V4306">
        <v>1</v>
      </c>
      <c r="W4306">
        <v>1</v>
      </c>
      <c r="X4306">
        <v>2</v>
      </c>
      <c r="Y4306">
        <v>0</v>
      </c>
      <c r="Z4306">
        <v>2</v>
      </c>
      <c r="AA4306">
        <v>140.9</v>
      </c>
      <c r="AB4306">
        <v>140.9</v>
      </c>
      <c r="AC4306">
        <v>123.97</v>
      </c>
      <c r="AD4306">
        <v>0</v>
      </c>
      <c r="AE4306">
        <v>16.93</v>
      </c>
      <c r="AF4306">
        <v>0</v>
      </c>
      <c r="AG4306">
        <v>0</v>
      </c>
      <c r="AH4306">
        <v>0</v>
      </c>
      <c r="AI4306">
        <v>25.36</v>
      </c>
      <c r="AJ4306">
        <v>140.9</v>
      </c>
      <c r="AK4306">
        <v>0</v>
      </c>
      <c r="AL4306" t="s">
        <v>53</v>
      </c>
      <c r="AM4306" t="s">
        <v>53</v>
      </c>
      <c r="AN4306" t="s">
        <v>53</v>
      </c>
      <c r="AO4306" t="s">
        <v>53</v>
      </c>
      <c r="AP4306" t="s">
        <v>53</v>
      </c>
    </row>
    <row r="4307" spans="2:42" x14ac:dyDescent="0.2">
      <c r="B4307" t="s">
        <v>44</v>
      </c>
      <c r="C4307" t="str">
        <f>HYPERLINK("https://us2.cloudbeds.com/connect/8493803454333002#/reservations/9080486845830238?display=20CNTRBKCS&amp;reservation_id=9080486845830238", "20CNTRBKCS")</f>
        <v>20CNTRBKCS</v>
      </c>
      <c r="D4307" t="s">
        <v>45</v>
      </c>
      <c r="E4307" t="s">
        <v>78</v>
      </c>
      <c r="F4307" t="s">
        <v>61</v>
      </c>
      <c r="G4307" t="s">
        <v>48</v>
      </c>
      <c r="H4307" t="s">
        <v>49</v>
      </c>
      <c r="I4307" t="s">
        <v>62</v>
      </c>
      <c r="J4307" t="s">
        <v>5895</v>
      </c>
      <c r="K4307" t="s">
        <v>6736</v>
      </c>
      <c r="L4307" t="s">
        <v>53</v>
      </c>
      <c r="N4307" t="s">
        <v>7446</v>
      </c>
      <c r="P4307" t="s">
        <v>55</v>
      </c>
      <c r="R4307" t="s">
        <v>56</v>
      </c>
      <c r="T4307" t="s">
        <v>7447</v>
      </c>
      <c r="U4307" t="s">
        <v>55</v>
      </c>
      <c r="V4307">
        <v>1</v>
      </c>
      <c r="W4307">
        <v>1</v>
      </c>
      <c r="X4307">
        <v>2</v>
      </c>
      <c r="Y4307">
        <v>0</v>
      </c>
      <c r="Z4307">
        <v>2</v>
      </c>
      <c r="AA4307">
        <v>75</v>
      </c>
      <c r="AB4307">
        <v>75</v>
      </c>
      <c r="AC4307">
        <v>75</v>
      </c>
      <c r="AD4307">
        <v>0</v>
      </c>
      <c r="AE4307">
        <v>0</v>
      </c>
      <c r="AF4307">
        <v>0</v>
      </c>
      <c r="AG4307">
        <v>0</v>
      </c>
      <c r="AH4307">
        <v>0</v>
      </c>
      <c r="AI4307">
        <v>13.5</v>
      </c>
      <c r="AJ4307">
        <v>75</v>
      </c>
      <c r="AK4307">
        <v>0</v>
      </c>
      <c r="AL4307" t="s">
        <v>53</v>
      </c>
      <c r="AM4307" t="s">
        <v>53</v>
      </c>
      <c r="AN4307" t="s">
        <v>53</v>
      </c>
      <c r="AO4307" t="s">
        <v>53</v>
      </c>
      <c r="AP4307" t="s">
        <v>53</v>
      </c>
    </row>
    <row r="4308" spans="2:42" x14ac:dyDescent="0.2">
      <c r="B4308" t="s">
        <v>44</v>
      </c>
      <c r="C4308" t="str">
        <f>HYPERLINK("https://us2.cloudbeds.com/connect/8493803454333002#/reservations/9080486845830286?display=20CQAA7K9J&amp;reservation_id=9080486845830286", "20CQAA7K9J")</f>
        <v>20CQAA7K9J</v>
      </c>
      <c r="D4308" t="s">
        <v>45</v>
      </c>
      <c r="E4308" t="s">
        <v>128</v>
      </c>
      <c r="F4308" t="s">
        <v>86</v>
      </c>
      <c r="G4308" t="s">
        <v>48</v>
      </c>
      <c r="H4308" t="s">
        <v>49</v>
      </c>
      <c r="I4308" t="s">
        <v>50</v>
      </c>
      <c r="J4308" t="s">
        <v>7376</v>
      </c>
      <c r="K4308" t="s">
        <v>6662</v>
      </c>
      <c r="L4308" t="s">
        <v>53</v>
      </c>
      <c r="N4308" t="s">
        <v>7448</v>
      </c>
      <c r="P4308" t="s">
        <v>55</v>
      </c>
      <c r="R4308" t="s">
        <v>53</v>
      </c>
      <c r="T4308" t="s">
        <v>7449</v>
      </c>
      <c r="U4308" t="s">
        <v>58</v>
      </c>
      <c r="V4308">
        <v>2</v>
      </c>
      <c r="W4308">
        <v>1</v>
      </c>
      <c r="X4308">
        <v>2</v>
      </c>
      <c r="Y4308">
        <v>0</v>
      </c>
      <c r="Z4308">
        <v>2</v>
      </c>
      <c r="AA4308">
        <v>325.25</v>
      </c>
      <c r="AB4308">
        <v>325.25</v>
      </c>
      <c r="AC4308">
        <v>286.2</v>
      </c>
      <c r="AD4308">
        <v>0</v>
      </c>
      <c r="AE4308">
        <v>39.049999999999997</v>
      </c>
      <c r="AF4308">
        <v>0</v>
      </c>
      <c r="AG4308">
        <v>0</v>
      </c>
      <c r="AH4308">
        <v>0</v>
      </c>
      <c r="AI4308">
        <v>58.55</v>
      </c>
      <c r="AJ4308">
        <v>325.25</v>
      </c>
      <c r="AK4308">
        <v>0</v>
      </c>
      <c r="AL4308" t="s">
        <v>53</v>
      </c>
      <c r="AM4308" t="s">
        <v>53</v>
      </c>
      <c r="AN4308" t="s">
        <v>7450</v>
      </c>
      <c r="AO4308" t="s">
        <v>53</v>
      </c>
      <c r="AP4308" t="s">
        <v>53</v>
      </c>
    </row>
    <row r="4309" spans="2:42" x14ac:dyDescent="0.2">
      <c r="B4309" t="s">
        <v>44</v>
      </c>
      <c r="C4309" t="str">
        <f>HYPERLINK("https://us2.cloudbeds.com/connect/8493803454333002#/reservations/9080486845830632?display=20DDD4E29V&amp;reservation_id=9080486845830632", "20DDD4E29V")</f>
        <v>20DDD4E29V</v>
      </c>
      <c r="D4309" t="s">
        <v>45</v>
      </c>
      <c r="E4309" t="s">
        <v>265</v>
      </c>
      <c r="F4309" t="s">
        <v>61</v>
      </c>
      <c r="G4309" t="s">
        <v>48</v>
      </c>
      <c r="H4309" t="s">
        <v>49</v>
      </c>
      <c r="I4309" t="s">
        <v>50</v>
      </c>
      <c r="J4309" t="s">
        <v>4768</v>
      </c>
      <c r="K4309" t="s">
        <v>6586</v>
      </c>
      <c r="L4309" t="s">
        <v>53</v>
      </c>
      <c r="N4309" t="s">
        <v>7451</v>
      </c>
      <c r="P4309" t="s">
        <v>55</v>
      </c>
      <c r="R4309" t="s">
        <v>53</v>
      </c>
      <c r="T4309" t="s">
        <v>7452</v>
      </c>
      <c r="U4309" t="s">
        <v>58</v>
      </c>
      <c r="V4309">
        <v>1</v>
      </c>
      <c r="W4309">
        <v>1</v>
      </c>
      <c r="X4309">
        <v>2</v>
      </c>
      <c r="Y4309">
        <v>0</v>
      </c>
      <c r="Z4309">
        <v>2</v>
      </c>
      <c r="AA4309">
        <v>134</v>
      </c>
      <c r="AB4309">
        <v>134</v>
      </c>
      <c r="AC4309">
        <v>117.9</v>
      </c>
      <c r="AD4309">
        <v>0</v>
      </c>
      <c r="AE4309">
        <v>16.100000000000001</v>
      </c>
      <c r="AF4309">
        <v>0</v>
      </c>
      <c r="AG4309">
        <v>0</v>
      </c>
      <c r="AH4309">
        <v>0</v>
      </c>
      <c r="AI4309">
        <v>24.12</v>
      </c>
      <c r="AJ4309">
        <v>134</v>
      </c>
      <c r="AK4309">
        <v>0</v>
      </c>
      <c r="AL4309" t="s">
        <v>53</v>
      </c>
      <c r="AM4309" t="s">
        <v>53</v>
      </c>
      <c r="AN4309" t="s">
        <v>53</v>
      </c>
      <c r="AO4309" t="s">
        <v>53</v>
      </c>
      <c r="AP4309" t="s">
        <v>53</v>
      </c>
    </row>
    <row r="4310" spans="2:42" x14ac:dyDescent="0.2">
      <c r="B4310" t="s">
        <v>44</v>
      </c>
      <c r="C4310" t="str">
        <f>HYPERLINK("https://us2.cloudbeds.com/connect/8493803454333002#/reservations/9080486845830828?display=20DP1KPS86&amp;reservation_id=9080486845830828", "20DP1KPS86")</f>
        <v>20DP1KPS86</v>
      </c>
      <c r="D4310" t="s">
        <v>45</v>
      </c>
      <c r="E4310" t="s">
        <v>190</v>
      </c>
      <c r="F4310" t="s">
        <v>61</v>
      </c>
      <c r="G4310" t="s">
        <v>48</v>
      </c>
      <c r="H4310" t="s">
        <v>49</v>
      </c>
      <c r="I4310" t="s">
        <v>50</v>
      </c>
      <c r="J4310" t="s">
        <v>5895</v>
      </c>
      <c r="K4310" t="s">
        <v>6736</v>
      </c>
      <c r="L4310" t="s">
        <v>53</v>
      </c>
      <c r="N4310" t="s">
        <v>7453</v>
      </c>
      <c r="P4310" t="s">
        <v>55</v>
      </c>
      <c r="R4310" t="s">
        <v>53</v>
      </c>
      <c r="T4310" t="s">
        <v>7454</v>
      </c>
      <c r="U4310" t="s">
        <v>58</v>
      </c>
      <c r="V4310">
        <v>1</v>
      </c>
      <c r="W4310">
        <v>1</v>
      </c>
      <c r="X4310">
        <v>2</v>
      </c>
      <c r="Y4310">
        <v>0</v>
      </c>
      <c r="Z4310">
        <v>2</v>
      </c>
      <c r="AA4310">
        <v>76.709999999999994</v>
      </c>
      <c r="AB4310">
        <v>76.709999999999994</v>
      </c>
      <c r="AC4310">
        <v>67.5</v>
      </c>
      <c r="AD4310">
        <v>0</v>
      </c>
      <c r="AE4310">
        <v>9.2100000000000009</v>
      </c>
      <c r="AF4310">
        <v>0</v>
      </c>
      <c r="AG4310">
        <v>0</v>
      </c>
      <c r="AH4310">
        <v>0</v>
      </c>
      <c r="AI4310">
        <v>13.81</v>
      </c>
      <c r="AJ4310">
        <v>76.709999999999994</v>
      </c>
      <c r="AK4310">
        <v>0</v>
      </c>
      <c r="AL4310" t="s">
        <v>53</v>
      </c>
      <c r="AM4310" t="s">
        <v>53</v>
      </c>
      <c r="AN4310" t="s">
        <v>53</v>
      </c>
      <c r="AO4310" t="s">
        <v>53</v>
      </c>
      <c r="AP4310" t="s">
        <v>53</v>
      </c>
    </row>
    <row r="4311" spans="2:42" x14ac:dyDescent="0.2">
      <c r="B4311" t="s">
        <v>44</v>
      </c>
      <c r="C4311" t="str">
        <f>HYPERLINK("https://us2.cloudbeds.com/connect/8493803454333002#/reservations/9080486845831148?display=20EE2EVEW7&amp;reservation_id=9080486845831148", "20EE2EVEW7")</f>
        <v>20EE2EVEW7</v>
      </c>
      <c r="D4311" t="s">
        <v>45</v>
      </c>
      <c r="E4311" t="s">
        <v>190</v>
      </c>
      <c r="F4311" t="s">
        <v>61</v>
      </c>
      <c r="G4311" t="s">
        <v>48</v>
      </c>
      <c r="H4311" t="s">
        <v>49</v>
      </c>
      <c r="I4311" t="s">
        <v>50</v>
      </c>
      <c r="J4311" t="s">
        <v>6819</v>
      </c>
      <c r="K4311" t="s">
        <v>7078</v>
      </c>
      <c r="L4311" t="s">
        <v>53</v>
      </c>
      <c r="N4311" t="s">
        <v>7455</v>
      </c>
      <c r="P4311" t="s">
        <v>55</v>
      </c>
      <c r="R4311" t="s">
        <v>53</v>
      </c>
      <c r="T4311" t="s">
        <v>7456</v>
      </c>
      <c r="U4311" t="s">
        <v>58</v>
      </c>
      <c r="V4311">
        <v>2</v>
      </c>
      <c r="W4311">
        <v>1</v>
      </c>
      <c r="X4311">
        <v>2</v>
      </c>
      <c r="Y4311">
        <v>0</v>
      </c>
      <c r="Z4311">
        <v>2</v>
      </c>
      <c r="AA4311">
        <v>264.3</v>
      </c>
      <c r="AB4311">
        <v>264.3</v>
      </c>
      <c r="AC4311">
        <v>232.55</v>
      </c>
      <c r="AD4311">
        <v>0</v>
      </c>
      <c r="AE4311">
        <v>31.75</v>
      </c>
      <c r="AF4311">
        <v>0</v>
      </c>
      <c r="AG4311">
        <v>0</v>
      </c>
      <c r="AH4311">
        <v>0</v>
      </c>
      <c r="AI4311">
        <v>47.57</v>
      </c>
      <c r="AJ4311">
        <v>264.3</v>
      </c>
      <c r="AK4311">
        <v>0</v>
      </c>
      <c r="AL4311" t="s">
        <v>53</v>
      </c>
      <c r="AM4311" t="s">
        <v>53</v>
      </c>
      <c r="AN4311" t="s">
        <v>53</v>
      </c>
      <c r="AO4311" t="s">
        <v>53</v>
      </c>
      <c r="AP4311" t="s">
        <v>53</v>
      </c>
    </row>
    <row r="4312" spans="2:42" x14ac:dyDescent="0.2">
      <c r="B4312" t="s">
        <v>44</v>
      </c>
      <c r="C4312" t="str">
        <f>HYPERLINK("https://us2.cloudbeds.com/connect/8493803454333002#/reservations/9080486845831222?display=20EK4U9HD8&amp;reservation_id=9080486845831222", "20EK4U9HD8")</f>
        <v>20EK4U9HD8</v>
      </c>
      <c r="D4312" t="s">
        <v>45</v>
      </c>
      <c r="E4312" t="s">
        <v>223</v>
      </c>
      <c r="F4312" t="s">
        <v>47</v>
      </c>
      <c r="G4312" t="s">
        <v>48</v>
      </c>
      <c r="H4312" t="s">
        <v>49</v>
      </c>
      <c r="I4312" t="s">
        <v>50</v>
      </c>
      <c r="J4312" t="s">
        <v>7092</v>
      </c>
      <c r="K4312" t="s">
        <v>6592</v>
      </c>
      <c r="L4312" t="s">
        <v>53</v>
      </c>
      <c r="N4312" t="s">
        <v>7457</v>
      </c>
      <c r="P4312" t="s">
        <v>55</v>
      </c>
      <c r="R4312" t="s">
        <v>53</v>
      </c>
      <c r="T4312" t="s">
        <v>7458</v>
      </c>
      <c r="U4312" t="s">
        <v>58</v>
      </c>
      <c r="V4312">
        <v>1</v>
      </c>
      <c r="W4312">
        <v>1</v>
      </c>
      <c r="X4312">
        <v>2</v>
      </c>
      <c r="Y4312">
        <v>0</v>
      </c>
      <c r="Z4312">
        <v>2</v>
      </c>
      <c r="AA4312">
        <v>165.2</v>
      </c>
      <c r="AB4312">
        <v>165.2</v>
      </c>
      <c r="AC4312">
        <v>145.35</v>
      </c>
      <c r="AD4312">
        <v>0</v>
      </c>
      <c r="AE4312">
        <v>19.850000000000001</v>
      </c>
      <c r="AF4312">
        <v>0</v>
      </c>
      <c r="AG4312">
        <v>0</v>
      </c>
      <c r="AH4312">
        <v>0</v>
      </c>
      <c r="AI4312">
        <v>29.74</v>
      </c>
      <c r="AJ4312">
        <v>165.2</v>
      </c>
      <c r="AK4312">
        <v>0</v>
      </c>
      <c r="AL4312" t="s">
        <v>53</v>
      </c>
      <c r="AM4312" t="s">
        <v>53</v>
      </c>
      <c r="AN4312" t="s">
        <v>53</v>
      </c>
      <c r="AO4312" t="s">
        <v>53</v>
      </c>
      <c r="AP4312" t="s">
        <v>53</v>
      </c>
    </row>
    <row r="4313" spans="2:42" x14ac:dyDescent="0.2">
      <c r="B4313" t="s">
        <v>44</v>
      </c>
      <c r="C4313" t="str">
        <f>HYPERLINK("https://us2.cloudbeds.com/connect/8493803454333002#/reservations/9080486845831373?display=20EWBVS7NG&amp;reservation_id=9080486845831373", "20EWBVS7NG")</f>
        <v>20EWBVS7NG</v>
      </c>
      <c r="D4313" t="s">
        <v>45</v>
      </c>
      <c r="E4313" t="s">
        <v>179</v>
      </c>
      <c r="F4313" t="s">
        <v>47</v>
      </c>
      <c r="G4313" t="s">
        <v>48</v>
      </c>
      <c r="H4313" t="s">
        <v>49</v>
      </c>
      <c r="I4313" t="s">
        <v>50</v>
      </c>
      <c r="J4313" t="s">
        <v>6836</v>
      </c>
      <c r="K4313" t="s">
        <v>6837</v>
      </c>
      <c r="L4313" t="s">
        <v>53</v>
      </c>
      <c r="N4313" t="s">
        <v>7459</v>
      </c>
      <c r="P4313" t="s">
        <v>55</v>
      </c>
      <c r="R4313" t="s">
        <v>53</v>
      </c>
      <c r="T4313" t="s">
        <v>7460</v>
      </c>
      <c r="U4313" t="s">
        <v>58</v>
      </c>
      <c r="V4313">
        <v>1</v>
      </c>
      <c r="W4313">
        <v>1</v>
      </c>
      <c r="X4313">
        <v>2</v>
      </c>
      <c r="Y4313">
        <v>0</v>
      </c>
      <c r="Z4313">
        <v>2</v>
      </c>
      <c r="AA4313">
        <v>85.02</v>
      </c>
      <c r="AB4313">
        <v>85.02</v>
      </c>
      <c r="AC4313">
        <v>74.8</v>
      </c>
      <c r="AD4313">
        <v>0</v>
      </c>
      <c r="AE4313">
        <v>10.220000000000001</v>
      </c>
      <c r="AF4313">
        <v>0</v>
      </c>
      <c r="AG4313">
        <v>0</v>
      </c>
      <c r="AH4313">
        <v>0</v>
      </c>
      <c r="AI4313">
        <v>15.3</v>
      </c>
      <c r="AJ4313">
        <v>85.02</v>
      </c>
      <c r="AK4313">
        <v>0</v>
      </c>
      <c r="AL4313" t="s">
        <v>53</v>
      </c>
      <c r="AM4313" t="s">
        <v>53</v>
      </c>
      <c r="AN4313" t="s">
        <v>53</v>
      </c>
      <c r="AO4313" t="s">
        <v>53</v>
      </c>
      <c r="AP4313" t="s">
        <v>53</v>
      </c>
    </row>
    <row r="4314" spans="2:42" x14ac:dyDescent="0.2">
      <c r="B4314" t="s">
        <v>44</v>
      </c>
      <c r="C4314" t="str">
        <f>HYPERLINK("https://us2.cloudbeds.com/connect/8493803454333002#/reservations/9080486845831452?display=20F404VU56&amp;reservation_id=9080486845831452", "20F404VU56")</f>
        <v>20F404VU56</v>
      </c>
      <c r="D4314" t="s">
        <v>45</v>
      </c>
      <c r="E4314" t="s">
        <v>69</v>
      </c>
      <c r="F4314" t="s">
        <v>70</v>
      </c>
      <c r="G4314" t="s">
        <v>48</v>
      </c>
      <c r="H4314" t="s">
        <v>49</v>
      </c>
      <c r="I4314" t="s">
        <v>50</v>
      </c>
      <c r="J4314" t="s">
        <v>5895</v>
      </c>
      <c r="K4314" t="s">
        <v>6736</v>
      </c>
      <c r="L4314" t="s">
        <v>53</v>
      </c>
      <c r="N4314" t="s">
        <v>7461</v>
      </c>
      <c r="P4314" t="s">
        <v>55</v>
      </c>
      <c r="R4314" t="s">
        <v>53</v>
      </c>
      <c r="T4314" t="s">
        <v>7462</v>
      </c>
      <c r="U4314" t="s">
        <v>58</v>
      </c>
      <c r="V4314">
        <v>1</v>
      </c>
      <c r="W4314">
        <v>1</v>
      </c>
      <c r="X4314">
        <v>1</v>
      </c>
      <c r="Y4314">
        <v>0</v>
      </c>
      <c r="Z4314">
        <v>1</v>
      </c>
      <c r="AA4314">
        <v>63.76</v>
      </c>
      <c r="AB4314">
        <v>63.76</v>
      </c>
      <c r="AC4314">
        <v>56.1</v>
      </c>
      <c r="AD4314">
        <v>0</v>
      </c>
      <c r="AE4314">
        <v>7.66</v>
      </c>
      <c r="AF4314">
        <v>0</v>
      </c>
      <c r="AG4314">
        <v>0</v>
      </c>
      <c r="AH4314">
        <v>0</v>
      </c>
      <c r="AI4314">
        <v>11.48</v>
      </c>
      <c r="AJ4314">
        <v>63.76</v>
      </c>
      <c r="AK4314">
        <v>0</v>
      </c>
      <c r="AL4314" t="s">
        <v>53</v>
      </c>
      <c r="AM4314" t="s">
        <v>53</v>
      </c>
      <c r="AN4314" t="s">
        <v>53</v>
      </c>
      <c r="AO4314" t="s">
        <v>53</v>
      </c>
      <c r="AP4314" t="s">
        <v>53</v>
      </c>
    </row>
    <row r="4315" spans="2:42" x14ac:dyDescent="0.2">
      <c r="B4315" t="s">
        <v>44</v>
      </c>
      <c r="C4315" t="str">
        <f>HYPERLINK("https://us2.cloudbeds.com/connect/8493803454333002#/reservations/9080486845831493?display=20F6QKNBMB&amp;reservation_id=9080486845831493", "20F6QKNBMB")</f>
        <v>20F6QKNBMB</v>
      </c>
      <c r="D4315" t="s">
        <v>45</v>
      </c>
      <c r="E4315" t="s">
        <v>138</v>
      </c>
      <c r="F4315" t="s">
        <v>70</v>
      </c>
      <c r="G4315" t="s">
        <v>48</v>
      </c>
      <c r="H4315" t="s">
        <v>49</v>
      </c>
      <c r="I4315" t="s">
        <v>62</v>
      </c>
      <c r="J4315" t="s">
        <v>5519</v>
      </c>
      <c r="K4315" t="s">
        <v>6888</v>
      </c>
      <c r="L4315" t="s">
        <v>53</v>
      </c>
      <c r="N4315" t="s">
        <v>7463</v>
      </c>
      <c r="P4315" t="s">
        <v>55</v>
      </c>
      <c r="R4315" t="s">
        <v>56</v>
      </c>
      <c r="T4315" t="s">
        <v>7464</v>
      </c>
      <c r="U4315" t="s">
        <v>55</v>
      </c>
      <c r="V4315">
        <v>1</v>
      </c>
      <c r="W4315">
        <v>1</v>
      </c>
      <c r="X4315">
        <v>2</v>
      </c>
      <c r="Y4315">
        <v>0</v>
      </c>
      <c r="Z4315">
        <v>2</v>
      </c>
      <c r="AA4315">
        <v>73</v>
      </c>
      <c r="AB4315">
        <v>73</v>
      </c>
      <c r="AC4315">
        <v>73</v>
      </c>
      <c r="AD4315">
        <v>0</v>
      </c>
      <c r="AE4315">
        <v>0</v>
      </c>
      <c r="AF4315">
        <v>0</v>
      </c>
      <c r="AG4315">
        <v>0</v>
      </c>
      <c r="AH4315">
        <v>0</v>
      </c>
      <c r="AI4315">
        <v>13.14</v>
      </c>
      <c r="AJ4315">
        <v>73</v>
      </c>
      <c r="AK4315">
        <v>0</v>
      </c>
      <c r="AL4315" t="s">
        <v>53</v>
      </c>
      <c r="AM4315" t="s">
        <v>53</v>
      </c>
      <c r="AN4315" t="s">
        <v>53</v>
      </c>
      <c r="AO4315" t="s">
        <v>53</v>
      </c>
      <c r="AP4315" t="s">
        <v>53</v>
      </c>
    </row>
    <row r="4316" spans="2:42" x14ac:dyDescent="0.2">
      <c r="B4316" t="s">
        <v>44</v>
      </c>
      <c r="C4316" t="str">
        <f>HYPERLINK("https://us2.cloudbeds.com/connect/8493803454333002#/reservations/9080486845831500?display=20F7X5XKGJ&amp;reservation_id=9080486845831500", "20F7X5XKGJ")</f>
        <v>20F7X5XKGJ</v>
      </c>
      <c r="D4316" t="s">
        <v>45</v>
      </c>
      <c r="E4316" t="s">
        <v>69</v>
      </c>
      <c r="F4316" t="s">
        <v>70</v>
      </c>
      <c r="G4316" t="s">
        <v>48</v>
      </c>
      <c r="H4316" t="s">
        <v>49</v>
      </c>
      <c r="I4316" t="s">
        <v>50</v>
      </c>
      <c r="J4316" t="s">
        <v>6488</v>
      </c>
      <c r="K4316" t="s">
        <v>6274</v>
      </c>
      <c r="L4316" t="s">
        <v>53</v>
      </c>
      <c r="N4316" t="s">
        <v>7465</v>
      </c>
      <c r="P4316" t="s">
        <v>55</v>
      </c>
      <c r="R4316" t="s">
        <v>53</v>
      </c>
      <c r="T4316" t="s">
        <v>7466</v>
      </c>
      <c r="U4316" t="s">
        <v>58</v>
      </c>
      <c r="V4316">
        <v>1</v>
      </c>
      <c r="W4316">
        <v>1</v>
      </c>
      <c r="X4316">
        <v>1</v>
      </c>
      <c r="Y4316">
        <v>0</v>
      </c>
      <c r="Z4316">
        <v>1</v>
      </c>
      <c r="AA4316">
        <v>142.83000000000001</v>
      </c>
      <c r="AB4316">
        <v>142.83000000000001</v>
      </c>
      <c r="AC4316">
        <v>125.68</v>
      </c>
      <c r="AD4316">
        <v>0</v>
      </c>
      <c r="AE4316">
        <v>17.149999999999999</v>
      </c>
      <c r="AF4316">
        <v>0</v>
      </c>
      <c r="AG4316">
        <v>0</v>
      </c>
      <c r="AH4316">
        <v>0</v>
      </c>
      <c r="AI4316">
        <v>25.71</v>
      </c>
      <c r="AJ4316">
        <v>142.83000000000001</v>
      </c>
      <c r="AK4316">
        <v>0</v>
      </c>
      <c r="AL4316" t="s">
        <v>53</v>
      </c>
      <c r="AM4316" t="s">
        <v>53</v>
      </c>
      <c r="AN4316" t="s">
        <v>53</v>
      </c>
      <c r="AO4316" t="s">
        <v>53</v>
      </c>
      <c r="AP4316" t="s">
        <v>53</v>
      </c>
    </row>
    <row r="4317" spans="2:42" x14ac:dyDescent="0.2">
      <c r="B4317" t="s">
        <v>44</v>
      </c>
      <c r="C4317" t="str">
        <f>HYPERLINK("https://us2.cloudbeds.com/connect/8493803454333002#/reservations/9080486845833246?display=20J4YMG5ZF&amp;reservation_id=9080486845833246", "20J4YMG5ZF")</f>
        <v>20J4YMG5ZF</v>
      </c>
      <c r="D4317" t="s">
        <v>45</v>
      </c>
      <c r="E4317" t="s">
        <v>69</v>
      </c>
      <c r="F4317" t="s">
        <v>70</v>
      </c>
      <c r="G4317" t="s">
        <v>48</v>
      </c>
      <c r="H4317" t="s">
        <v>49</v>
      </c>
      <c r="I4317" t="s">
        <v>62</v>
      </c>
      <c r="J4317" t="s">
        <v>6639</v>
      </c>
      <c r="K4317" t="s">
        <v>4767</v>
      </c>
      <c r="L4317" t="s">
        <v>53</v>
      </c>
      <c r="N4317" t="s">
        <v>7467</v>
      </c>
      <c r="P4317" t="s">
        <v>55</v>
      </c>
      <c r="R4317" t="s">
        <v>125</v>
      </c>
      <c r="T4317" t="s">
        <v>7468</v>
      </c>
      <c r="U4317" t="s">
        <v>55</v>
      </c>
      <c r="V4317">
        <v>1</v>
      </c>
      <c r="W4317">
        <v>1</v>
      </c>
      <c r="X4317">
        <v>2</v>
      </c>
      <c r="Y4317">
        <v>0</v>
      </c>
      <c r="Z4317">
        <v>2</v>
      </c>
      <c r="AA4317">
        <v>138.69999999999999</v>
      </c>
      <c r="AB4317">
        <v>343.9</v>
      </c>
      <c r="AC4317">
        <v>0</v>
      </c>
      <c r="AD4317">
        <v>0</v>
      </c>
      <c r="AE4317">
        <v>0</v>
      </c>
      <c r="AF4317">
        <v>0</v>
      </c>
      <c r="AG4317">
        <v>0</v>
      </c>
      <c r="AH4317">
        <v>0</v>
      </c>
      <c r="AI4317">
        <v>0</v>
      </c>
      <c r="AJ4317">
        <v>0</v>
      </c>
      <c r="AK4317">
        <v>0</v>
      </c>
      <c r="AL4317" t="s">
        <v>53</v>
      </c>
      <c r="AM4317" t="s">
        <v>53</v>
      </c>
      <c r="AN4317" t="s">
        <v>7469</v>
      </c>
      <c r="AO4317" t="s">
        <v>53</v>
      </c>
      <c r="AP4317" t="s">
        <v>53</v>
      </c>
    </row>
    <row r="4318" spans="2:42" x14ac:dyDescent="0.2">
      <c r="B4318" t="s">
        <v>44</v>
      </c>
      <c r="C4318" t="str">
        <f>HYPERLINK("https://us2.cloudbeds.com/connect/8493803454333002#/reservations/93650671423628?display=20JDTNPH1A&amp;reservation_id=93650671423628", "20JDTNPH1A")</f>
        <v>20JDTNPH1A</v>
      </c>
      <c r="D4318" t="s">
        <v>45</v>
      </c>
      <c r="E4318" t="s">
        <v>105</v>
      </c>
      <c r="F4318" t="s">
        <v>47</v>
      </c>
      <c r="G4318" t="s">
        <v>48</v>
      </c>
      <c r="H4318" t="s">
        <v>3957</v>
      </c>
      <c r="I4318" t="s">
        <v>3975</v>
      </c>
      <c r="J4318" t="s">
        <v>6736</v>
      </c>
      <c r="K4318" t="s">
        <v>5518</v>
      </c>
      <c r="L4318" t="s">
        <v>53</v>
      </c>
      <c r="P4318" t="s">
        <v>58</v>
      </c>
      <c r="R4318" t="s">
        <v>56</v>
      </c>
      <c r="T4318" t="s">
        <v>7470</v>
      </c>
      <c r="U4318" t="s">
        <v>58</v>
      </c>
      <c r="V4318">
        <v>1</v>
      </c>
      <c r="W4318">
        <v>1</v>
      </c>
      <c r="X4318">
        <v>1</v>
      </c>
      <c r="Y4318">
        <v>0</v>
      </c>
      <c r="Z4318">
        <v>1</v>
      </c>
      <c r="AA4318">
        <v>72.739999999999995</v>
      </c>
      <c r="AB4318">
        <v>72.739999999999995</v>
      </c>
      <c r="AC4318">
        <v>64</v>
      </c>
      <c r="AD4318">
        <v>0</v>
      </c>
      <c r="AE4318">
        <v>8.74</v>
      </c>
      <c r="AF4318">
        <v>0</v>
      </c>
      <c r="AG4318">
        <v>0</v>
      </c>
      <c r="AH4318">
        <v>0</v>
      </c>
      <c r="AI4318">
        <v>0</v>
      </c>
      <c r="AJ4318">
        <v>72.739999999999995</v>
      </c>
      <c r="AK4318">
        <v>0</v>
      </c>
      <c r="AL4318" t="s">
        <v>53</v>
      </c>
      <c r="AM4318" t="s">
        <v>53</v>
      </c>
      <c r="AN4318" t="s">
        <v>53</v>
      </c>
      <c r="AO4318" t="s">
        <v>53</v>
      </c>
      <c r="AP4318" t="s">
        <v>53</v>
      </c>
    </row>
    <row r="4319" spans="2:42" x14ac:dyDescent="0.2">
      <c r="B4319" t="s">
        <v>44</v>
      </c>
      <c r="C4319" t="str">
        <f>HYPERLINK("https://us2.cloudbeds.com/connect/8493803454333002#/reservations/93673194430608?display=20JVB7PCPB&amp;reservation_id=93673194430608", "20JVB7PCPB")</f>
        <v>20JVB7PCPB</v>
      </c>
      <c r="D4319" t="s">
        <v>45</v>
      </c>
      <c r="E4319" t="s">
        <v>185</v>
      </c>
      <c r="F4319" t="s">
        <v>47</v>
      </c>
      <c r="G4319" t="s">
        <v>48</v>
      </c>
      <c r="H4319" t="s">
        <v>3957</v>
      </c>
      <c r="I4319" t="s">
        <v>3975</v>
      </c>
      <c r="J4319" t="s">
        <v>6736</v>
      </c>
      <c r="K4319" t="s">
        <v>5518</v>
      </c>
      <c r="L4319" t="s">
        <v>53</v>
      </c>
      <c r="P4319" t="s">
        <v>58</v>
      </c>
      <c r="R4319" t="s">
        <v>56</v>
      </c>
      <c r="T4319" t="s">
        <v>7471</v>
      </c>
      <c r="U4319" t="s">
        <v>58</v>
      </c>
      <c r="V4319">
        <v>1</v>
      </c>
      <c r="W4319">
        <v>1</v>
      </c>
      <c r="X4319">
        <v>2</v>
      </c>
      <c r="Y4319">
        <v>0</v>
      </c>
      <c r="Z4319">
        <v>2</v>
      </c>
      <c r="AA4319">
        <v>72.739999999999995</v>
      </c>
      <c r="AB4319">
        <v>72.739999999999995</v>
      </c>
      <c r="AC4319">
        <v>64</v>
      </c>
      <c r="AD4319">
        <v>0</v>
      </c>
      <c r="AE4319">
        <v>8.74</v>
      </c>
      <c r="AF4319">
        <v>0</v>
      </c>
      <c r="AG4319">
        <v>0</v>
      </c>
      <c r="AH4319">
        <v>0</v>
      </c>
      <c r="AI4319">
        <v>0</v>
      </c>
      <c r="AJ4319">
        <v>72.739999999999995</v>
      </c>
      <c r="AK4319">
        <v>0</v>
      </c>
      <c r="AL4319" t="s">
        <v>53</v>
      </c>
      <c r="AM4319" t="s">
        <v>53</v>
      </c>
      <c r="AN4319" t="s">
        <v>53</v>
      </c>
      <c r="AO4319" t="s">
        <v>53</v>
      </c>
      <c r="AP4319" t="s">
        <v>53</v>
      </c>
    </row>
    <row r="4320" spans="2:42" x14ac:dyDescent="0.2">
      <c r="B4320" t="s">
        <v>44</v>
      </c>
      <c r="C4320" t="str">
        <f>HYPERLINK("https://us2.cloudbeds.com/connect/8493803454333002#/reservations/93681378697357?display=20K4MBVM7Y&amp;reservation_id=93681378697357", "20K4MBVM7Y")</f>
        <v>20K4MBVM7Y</v>
      </c>
      <c r="D4320" t="s">
        <v>45</v>
      </c>
      <c r="E4320" t="s">
        <v>185</v>
      </c>
      <c r="F4320" t="s">
        <v>47</v>
      </c>
      <c r="G4320" t="s">
        <v>48</v>
      </c>
      <c r="H4320" t="s">
        <v>3957</v>
      </c>
      <c r="I4320" t="s">
        <v>3989</v>
      </c>
      <c r="J4320" t="s">
        <v>7144</v>
      </c>
      <c r="K4320" t="s">
        <v>6814</v>
      </c>
      <c r="L4320" t="s">
        <v>53</v>
      </c>
      <c r="P4320" t="s">
        <v>55</v>
      </c>
      <c r="R4320" t="s">
        <v>56</v>
      </c>
      <c r="T4320" t="s">
        <v>7472</v>
      </c>
      <c r="U4320" t="s">
        <v>58</v>
      </c>
      <c r="V4320">
        <v>2</v>
      </c>
      <c r="W4320">
        <v>1</v>
      </c>
      <c r="X4320">
        <v>1</v>
      </c>
      <c r="Y4320">
        <v>0</v>
      </c>
      <c r="Z4320">
        <v>1</v>
      </c>
      <c r="AA4320">
        <v>154.57</v>
      </c>
      <c r="AB4320">
        <v>154.57</v>
      </c>
      <c r="AC4320">
        <v>136</v>
      </c>
      <c r="AD4320">
        <v>0</v>
      </c>
      <c r="AE4320">
        <v>18.57</v>
      </c>
      <c r="AF4320">
        <v>0</v>
      </c>
      <c r="AG4320">
        <v>0</v>
      </c>
      <c r="AH4320">
        <v>0</v>
      </c>
      <c r="AI4320">
        <v>0</v>
      </c>
      <c r="AJ4320">
        <v>154.57</v>
      </c>
      <c r="AK4320">
        <v>0</v>
      </c>
      <c r="AL4320" t="s">
        <v>53</v>
      </c>
      <c r="AM4320" t="s">
        <v>53</v>
      </c>
      <c r="AN4320" t="s">
        <v>53</v>
      </c>
      <c r="AO4320" t="s">
        <v>53</v>
      </c>
      <c r="AP4320" t="s">
        <v>53</v>
      </c>
    </row>
    <row r="4321" spans="2:42" x14ac:dyDescent="0.2">
      <c r="B4321" t="s">
        <v>44</v>
      </c>
      <c r="C4321" t="str">
        <f>HYPERLINK("https://us2.cloudbeds.com/connect/8493803454333002#/reservations/9080486845834376?display=20KHQBQNJN&amp;reservation_id=9080486845834376", "20KHQBQNJN")</f>
        <v>20KHQBQNJN</v>
      </c>
      <c r="D4321" t="s">
        <v>45</v>
      </c>
      <c r="E4321" t="s">
        <v>105</v>
      </c>
      <c r="F4321" t="s">
        <v>47</v>
      </c>
      <c r="G4321" t="s">
        <v>48</v>
      </c>
      <c r="H4321" t="s">
        <v>49</v>
      </c>
      <c r="I4321" t="s">
        <v>50</v>
      </c>
      <c r="J4321" t="s">
        <v>4767</v>
      </c>
      <c r="K4321" t="s">
        <v>4768</v>
      </c>
      <c r="L4321" t="s">
        <v>53</v>
      </c>
      <c r="N4321" t="s">
        <v>7473</v>
      </c>
      <c r="P4321" t="s">
        <v>55</v>
      </c>
      <c r="R4321" t="s">
        <v>53</v>
      </c>
      <c r="T4321" t="s">
        <v>7474</v>
      </c>
      <c r="U4321" t="s">
        <v>58</v>
      </c>
      <c r="V4321">
        <v>1</v>
      </c>
      <c r="W4321">
        <v>1</v>
      </c>
      <c r="X4321">
        <v>2</v>
      </c>
      <c r="Y4321">
        <v>0</v>
      </c>
      <c r="Z4321">
        <v>2</v>
      </c>
      <c r="AA4321">
        <v>116.61</v>
      </c>
      <c r="AB4321">
        <v>116.61</v>
      </c>
      <c r="AC4321">
        <v>102.6</v>
      </c>
      <c r="AD4321">
        <v>0</v>
      </c>
      <c r="AE4321">
        <v>14.01</v>
      </c>
      <c r="AF4321">
        <v>0</v>
      </c>
      <c r="AG4321">
        <v>0</v>
      </c>
      <c r="AH4321">
        <v>0</v>
      </c>
      <c r="AI4321">
        <v>20.99</v>
      </c>
      <c r="AJ4321">
        <v>116.61</v>
      </c>
      <c r="AK4321">
        <v>0</v>
      </c>
      <c r="AL4321" t="s">
        <v>53</v>
      </c>
      <c r="AM4321" t="s">
        <v>53</v>
      </c>
      <c r="AN4321" t="s">
        <v>53</v>
      </c>
      <c r="AO4321" t="s">
        <v>53</v>
      </c>
      <c r="AP4321" t="s">
        <v>53</v>
      </c>
    </row>
    <row r="4322" spans="2:42" x14ac:dyDescent="0.2">
      <c r="B4322" t="s">
        <v>44</v>
      </c>
      <c r="C4322" t="str">
        <f>HYPERLINK("https://us2.cloudbeds.com/connect/8493803454333002#/reservations/9080486845834640?display=20KTY69FQT&amp;reservation_id=9080486845834640", "20KTY69FQT")</f>
        <v>20KTY69FQT</v>
      </c>
      <c r="D4322" t="s">
        <v>45</v>
      </c>
      <c r="E4322" t="s">
        <v>138</v>
      </c>
      <c r="F4322" t="s">
        <v>70</v>
      </c>
      <c r="G4322" t="s">
        <v>48</v>
      </c>
      <c r="H4322" t="s">
        <v>49</v>
      </c>
      <c r="I4322" t="s">
        <v>62</v>
      </c>
      <c r="J4322" t="s">
        <v>7144</v>
      </c>
      <c r="K4322" t="s">
        <v>6813</v>
      </c>
      <c r="L4322" t="s">
        <v>53</v>
      </c>
      <c r="N4322" t="s">
        <v>7475</v>
      </c>
      <c r="P4322" t="s">
        <v>55</v>
      </c>
      <c r="R4322" t="s">
        <v>56</v>
      </c>
      <c r="T4322" t="s">
        <v>7476</v>
      </c>
      <c r="U4322" t="s">
        <v>55</v>
      </c>
      <c r="V4322">
        <v>1</v>
      </c>
      <c r="W4322">
        <v>1</v>
      </c>
      <c r="X4322">
        <v>1</v>
      </c>
      <c r="Y4322">
        <v>0</v>
      </c>
      <c r="Z4322">
        <v>1</v>
      </c>
      <c r="AA4322">
        <v>60.8</v>
      </c>
      <c r="AB4322">
        <v>60.8</v>
      </c>
      <c r="AC4322">
        <v>60.8</v>
      </c>
      <c r="AD4322">
        <v>0</v>
      </c>
      <c r="AE4322">
        <v>0</v>
      </c>
      <c r="AF4322">
        <v>0</v>
      </c>
      <c r="AG4322">
        <v>0</v>
      </c>
      <c r="AH4322">
        <v>0</v>
      </c>
      <c r="AI4322">
        <v>10.94</v>
      </c>
      <c r="AJ4322">
        <v>60.8</v>
      </c>
      <c r="AK4322">
        <v>0</v>
      </c>
      <c r="AL4322" t="s">
        <v>53</v>
      </c>
      <c r="AM4322" t="s">
        <v>53</v>
      </c>
      <c r="AN4322" t="s">
        <v>53</v>
      </c>
      <c r="AO4322" t="s">
        <v>53</v>
      </c>
      <c r="AP4322" t="s">
        <v>53</v>
      </c>
    </row>
    <row r="4323" spans="2:42" x14ac:dyDescent="0.2">
      <c r="B4323" t="s">
        <v>44</v>
      </c>
      <c r="C4323" t="str">
        <f>HYPERLINK("https://us2.cloudbeds.com/connect/8493803454333002#/reservations/9080486845834796?display=20Y2W20SG1&amp;reservation_id=9080486845834796", "20Y2W20SG1")</f>
        <v>20Y2W20SG1</v>
      </c>
      <c r="D4323" t="s">
        <v>45</v>
      </c>
      <c r="E4323" t="s">
        <v>213</v>
      </c>
      <c r="F4323" t="s">
        <v>86</v>
      </c>
      <c r="G4323" t="s">
        <v>48</v>
      </c>
      <c r="H4323" t="s">
        <v>49</v>
      </c>
      <c r="I4323" t="s">
        <v>50</v>
      </c>
      <c r="J4323" t="s">
        <v>6488</v>
      </c>
      <c r="K4323" t="s">
        <v>6416</v>
      </c>
      <c r="L4323" t="s">
        <v>53</v>
      </c>
      <c r="N4323" t="s">
        <v>7477</v>
      </c>
      <c r="P4323" t="s">
        <v>55</v>
      </c>
      <c r="R4323" t="s">
        <v>53</v>
      </c>
      <c r="T4323" t="s">
        <v>7478</v>
      </c>
      <c r="U4323" t="s">
        <v>58</v>
      </c>
      <c r="V4323">
        <v>2</v>
      </c>
      <c r="W4323">
        <v>1</v>
      </c>
      <c r="X4323">
        <v>2</v>
      </c>
      <c r="Y4323">
        <v>1</v>
      </c>
      <c r="Z4323">
        <v>3</v>
      </c>
      <c r="AA4323">
        <v>322.64</v>
      </c>
      <c r="AB4323">
        <v>322.64</v>
      </c>
      <c r="AC4323">
        <v>283.89999999999998</v>
      </c>
      <c r="AD4323">
        <v>0</v>
      </c>
      <c r="AE4323">
        <v>38.74</v>
      </c>
      <c r="AF4323">
        <v>0</v>
      </c>
      <c r="AG4323">
        <v>0</v>
      </c>
      <c r="AH4323">
        <v>0</v>
      </c>
      <c r="AI4323">
        <v>58.08</v>
      </c>
      <c r="AJ4323">
        <v>322.64</v>
      </c>
      <c r="AK4323">
        <v>0</v>
      </c>
      <c r="AL4323" t="s">
        <v>53</v>
      </c>
      <c r="AM4323" t="s">
        <v>53</v>
      </c>
      <c r="AN4323" t="s">
        <v>53</v>
      </c>
      <c r="AO4323" t="s">
        <v>53</v>
      </c>
      <c r="AP4323" t="s">
        <v>53</v>
      </c>
    </row>
    <row r="4324" spans="2:42" x14ac:dyDescent="0.2">
      <c r="B4324" t="s">
        <v>44</v>
      </c>
      <c r="C4324" t="str">
        <f>HYPERLINK("https://us2.cloudbeds.com/connect/8493803454333002#/reservations/93773214171333?display=20M9PW23NE&amp;reservation_id=93773214171333", "20M9PW23NE")</f>
        <v>20M9PW23NE</v>
      </c>
      <c r="D4324" t="s">
        <v>45</v>
      </c>
      <c r="E4324" t="s">
        <v>98</v>
      </c>
      <c r="F4324" t="s">
        <v>86</v>
      </c>
      <c r="G4324" t="s">
        <v>48</v>
      </c>
      <c r="H4324" t="s">
        <v>3957</v>
      </c>
      <c r="I4324" t="s">
        <v>3989</v>
      </c>
      <c r="J4324" t="s">
        <v>6885</v>
      </c>
      <c r="K4324" t="s">
        <v>5963</v>
      </c>
      <c r="L4324" t="s">
        <v>53</v>
      </c>
      <c r="P4324" t="s">
        <v>55</v>
      </c>
      <c r="R4324" t="s">
        <v>56</v>
      </c>
      <c r="T4324" t="s">
        <v>7479</v>
      </c>
      <c r="U4324" t="s">
        <v>58</v>
      </c>
      <c r="V4324">
        <v>2</v>
      </c>
      <c r="W4324">
        <v>1</v>
      </c>
      <c r="X4324">
        <v>2</v>
      </c>
      <c r="Y4324">
        <v>0</v>
      </c>
      <c r="Z4324">
        <v>2</v>
      </c>
      <c r="AA4324">
        <v>262.54000000000002</v>
      </c>
      <c r="AB4324">
        <v>262.54000000000002</v>
      </c>
      <c r="AC4324">
        <v>231</v>
      </c>
      <c r="AD4324">
        <v>0</v>
      </c>
      <c r="AE4324">
        <v>31.54</v>
      </c>
      <c r="AF4324">
        <v>0</v>
      </c>
      <c r="AG4324">
        <v>0</v>
      </c>
      <c r="AH4324">
        <v>0</v>
      </c>
      <c r="AI4324">
        <v>0</v>
      </c>
      <c r="AJ4324">
        <v>262.54000000000002</v>
      </c>
      <c r="AK4324">
        <v>0</v>
      </c>
      <c r="AL4324" t="s">
        <v>53</v>
      </c>
      <c r="AM4324" t="s">
        <v>53</v>
      </c>
      <c r="AN4324" t="s">
        <v>53</v>
      </c>
      <c r="AO4324" t="s">
        <v>53</v>
      </c>
      <c r="AP4324" t="s">
        <v>53</v>
      </c>
    </row>
    <row r="4325" spans="2:42" x14ac:dyDescent="0.2">
      <c r="B4325" t="s">
        <v>44</v>
      </c>
      <c r="C4325" t="str">
        <f>HYPERLINK("https://us2.cloudbeds.com/connect/8493803454333002#/reservations/9080486845835978?display=20MTMED2NN&amp;reservation_id=9080486845835978", "20MTMED2NN")</f>
        <v>20MTMED2NN</v>
      </c>
      <c r="D4325" t="s">
        <v>45</v>
      </c>
      <c r="E4325" t="s">
        <v>46</v>
      </c>
      <c r="F4325" t="s">
        <v>47</v>
      </c>
      <c r="G4325" t="s">
        <v>48</v>
      </c>
      <c r="H4325" t="s">
        <v>49</v>
      </c>
      <c r="I4325" t="s">
        <v>62</v>
      </c>
      <c r="J4325" t="s">
        <v>5518</v>
      </c>
      <c r="K4325" t="s">
        <v>6737</v>
      </c>
      <c r="L4325" t="s">
        <v>53</v>
      </c>
      <c r="N4325" t="s">
        <v>7480</v>
      </c>
      <c r="P4325" t="s">
        <v>55</v>
      </c>
      <c r="R4325" t="s">
        <v>56</v>
      </c>
      <c r="T4325" t="s">
        <v>7481</v>
      </c>
      <c r="U4325" t="s">
        <v>55</v>
      </c>
      <c r="V4325">
        <v>1</v>
      </c>
      <c r="W4325">
        <v>1</v>
      </c>
      <c r="X4325">
        <v>1</v>
      </c>
      <c r="Y4325">
        <v>0</v>
      </c>
      <c r="Z4325">
        <v>1</v>
      </c>
      <c r="AA4325">
        <v>86</v>
      </c>
      <c r="AB4325">
        <v>86</v>
      </c>
      <c r="AC4325">
        <v>86</v>
      </c>
      <c r="AD4325">
        <v>0</v>
      </c>
      <c r="AE4325">
        <v>0</v>
      </c>
      <c r="AF4325">
        <v>0</v>
      </c>
      <c r="AG4325">
        <v>0</v>
      </c>
      <c r="AH4325">
        <v>0</v>
      </c>
      <c r="AI4325">
        <v>15.48</v>
      </c>
      <c r="AJ4325">
        <v>86</v>
      </c>
      <c r="AK4325">
        <v>0</v>
      </c>
      <c r="AL4325" t="s">
        <v>53</v>
      </c>
      <c r="AM4325" t="s">
        <v>53</v>
      </c>
      <c r="AN4325" t="s">
        <v>53</v>
      </c>
      <c r="AO4325" t="s">
        <v>53</v>
      </c>
      <c r="AP4325" t="s">
        <v>53</v>
      </c>
    </row>
    <row r="4326" spans="2:42" x14ac:dyDescent="0.2">
      <c r="B4326" t="s">
        <v>44</v>
      </c>
      <c r="C4326" t="str">
        <f>HYPERLINK("https://us2.cloudbeds.com/connect/8493803454333002#/reservations/9080486845836087?display=20N44AZY9D&amp;reservation_id=9080486845836087", "20N44AZY9D")</f>
        <v>20N44AZY9D</v>
      </c>
      <c r="D4326" t="s">
        <v>45</v>
      </c>
      <c r="E4326" t="s">
        <v>179</v>
      </c>
      <c r="F4326" t="s">
        <v>47</v>
      </c>
      <c r="G4326" t="s">
        <v>48</v>
      </c>
      <c r="H4326" t="s">
        <v>49</v>
      </c>
      <c r="I4326" t="s">
        <v>62</v>
      </c>
      <c r="J4326" t="s">
        <v>6736</v>
      </c>
      <c r="K4326" t="s">
        <v>5518</v>
      </c>
      <c r="L4326" t="s">
        <v>53</v>
      </c>
      <c r="N4326" t="s">
        <v>7482</v>
      </c>
      <c r="P4326" t="s">
        <v>55</v>
      </c>
      <c r="R4326" t="s">
        <v>56</v>
      </c>
      <c r="T4326" t="s">
        <v>7483</v>
      </c>
      <c r="U4326" t="s">
        <v>55</v>
      </c>
      <c r="V4326">
        <v>1</v>
      </c>
      <c r="W4326">
        <v>1</v>
      </c>
      <c r="X4326">
        <v>1</v>
      </c>
      <c r="Y4326">
        <v>0</v>
      </c>
      <c r="Z4326">
        <v>1</v>
      </c>
      <c r="AA4326">
        <v>64</v>
      </c>
      <c r="AB4326">
        <v>64</v>
      </c>
      <c r="AC4326">
        <v>64</v>
      </c>
      <c r="AD4326">
        <v>0</v>
      </c>
      <c r="AE4326">
        <v>0</v>
      </c>
      <c r="AF4326">
        <v>0</v>
      </c>
      <c r="AG4326">
        <v>0</v>
      </c>
      <c r="AH4326">
        <v>0</v>
      </c>
      <c r="AI4326">
        <v>11.52</v>
      </c>
      <c r="AJ4326">
        <v>64</v>
      </c>
      <c r="AK4326">
        <v>0</v>
      </c>
      <c r="AL4326" t="s">
        <v>53</v>
      </c>
      <c r="AM4326" t="s">
        <v>53</v>
      </c>
      <c r="AN4326" t="s">
        <v>53</v>
      </c>
      <c r="AO4326" t="s">
        <v>53</v>
      </c>
      <c r="AP4326" t="s">
        <v>53</v>
      </c>
    </row>
    <row r="4327" spans="2:42" x14ac:dyDescent="0.2">
      <c r="B4327" t="s">
        <v>44</v>
      </c>
      <c r="C4327" t="str">
        <f>HYPERLINK("https://us2.cloudbeds.com/connect/8493803454333002#/reservations/93836073914618?display=20NPF624B1&amp;reservation_id=93836073914618", "20NPF624B1")</f>
        <v>20NPF624B1</v>
      </c>
      <c r="D4327" t="s">
        <v>45</v>
      </c>
      <c r="E4327" t="s">
        <v>155</v>
      </c>
      <c r="F4327" t="s">
        <v>86</v>
      </c>
      <c r="G4327" t="s">
        <v>48</v>
      </c>
      <c r="H4327" t="s">
        <v>3957</v>
      </c>
      <c r="I4327" t="s">
        <v>3958</v>
      </c>
      <c r="J4327" t="s">
        <v>5518</v>
      </c>
      <c r="K4327" t="s">
        <v>6737</v>
      </c>
      <c r="L4327" t="s">
        <v>53</v>
      </c>
      <c r="P4327" t="s">
        <v>58</v>
      </c>
      <c r="R4327" t="s">
        <v>56</v>
      </c>
      <c r="T4327" t="s">
        <v>7484</v>
      </c>
      <c r="U4327" t="s">
        <v>58</v>
      </c>
      <c r="V4327">
        <v>1</v>
      </c>
      <c r="W4327">
        <v>1</v>
      </c>
      <c r="X4327">
        <v>1</v>
      </c>
      <c r="Y4327">
        <v>0</v>
      </c>
      <c r="Z4327">
        <v>1</v>
      </c>
      <c r="AA4327">
        <v>117.07</v>
      </c>
      <c r="AB4327">
        <v>117.07</v>
      </c>
      <c r="AC4327">
        <v>103</v>
      </c>
      <c r="AD4327">
        <v>0</v>
      </c>
      <c r="AE4327">
        <v>14.07</v>
      </c>
      <c r="AF4327">
        <v>0</v>
      </c>
      <c r="AG4327">
        <v>0</v>
      </c>
      <c r="AH4327">
        <v>0</v>
      </c>
      <c r="AI4327">
        <v>0</v>
      </c>
      <c r="AJ4327">
        <v>117.07</v>
      </c>
      <c r="AK4327">
        <v>0</v>
      </c>
      <c r="AL4327" t="s">
        <v>53</v>
      </c>
      <c r="AM4327" t="s">
        <v>53</v>
      </c>
      <c r="AN4327" t="s">
        <v>7485</v>
      </c>
      <c r="AO4327" t="s">
        <v>53</v>
      </c>
      <c r="AP4327" t="s">
        <v>53</v>
      </c>
    </row>
    <row r="4328" spans="2:42" x14ac:dyDescent="0.2">
      <c r="B4328" t="s">
        <v>44</v>
      </c>
      <c r="C4328" t="str">
        <f>HYPERLINK("https://us2.cloudbeds.com/connect/8493803454333002#/reservations/9080486845836752?display=20ZEGZ9FAC&amp;reservation_id=9080486845836752", "20ZEGZ9FAC")</f>
        <v>20ZEGZ9FAC</v>
      </c>
      <c r="D4328" t="s">
        <v>45</v>
      </c>
      <c r="E4328" t="s">
        <v>69</v>
      </c>
      <c r="F4328" t="s">
        <v>70</v>
      </c>
      <c r="G4328" t="s">
        <v>48</v>
      </c>
      <c r="H4328" t="s">
        <v>49</v>
      </c>
      <c r="I4328" t="s">
        <v>50</v>
      </c>
      <c r="J4328" t="s">
        <v>6274</v>
      </c>
      <c r="K4328" t="s">
        <v>7486</v>
      </c>
      <c r="L4328" t="s">
        <v>53</v>
      </c>
      <c r="N4328" t="s">
        <v>7487</v>
      </c>
      <c r="P4328" t="s">
        <v>55</v>
      </c>
      <c r="R4328" t="s">
        <v>53</v>
      </c>
      <c r="T4328" t="s">
        <v>7488</v>
      </c>
      <c r="U4328" t="s">
        <v>58</v>
      </c>
      <c r="V4328">
        <v>4</v>
      </c>
      <c r="W4328">
        <v>1</v>
      </c>
      <c r="X4328">
        <v>2</v>
      </c>
      <c r="Y4328">
        <v>0</v>
      </c>
      <c r="Z4328">
        <v>2</v>
      </c>
      <c r="AA4328">
        <v>514.02</v>
      </c>
      <c r="AB4328">
        <v>514.02</v>
      </c>
      <c r="AC4328">
        <v>452.29</v>
      </c>
      <c r="AD4328">
        <v>0</v>
      </c>
      <c r="AE4328">
        <v>61.73</v>
      </c>
      <c r="AF4328">
        <v>0</v>
      </c>
      <c r="AG4328">
        <v>0</v>
      </c>
      <c r="AH4328">
        <v>0</v>
      </c>
      <c r="AI4328">
        <v>92.52</v>
      </c>
      <c r="AJ4328">
        <v>514.02</v>
      </c>
      <c r="AK4328">
        <v>0</v>
      </c>
      <c r="AL4328" t="s">
        <v>53</v>
      </c>
      <c r="AM4328" t="s">
        <v>53</v>
      </c>
      <c r="AN4328" t="s">
        <v>53</v>
      </c>
      <c r="AO4328" t="s">
        <v>53</v>
      </c>
      <c r="AP4328" t="s">
        <v>53</v>
      </c>
    </row>
    <row r="4329" spans="2:42" x14ac:dyDescent="0.2">
      <c r="B4329" t="s">
        <v>44</v>
      </c>
      <c r="C4329" t="str">
        <f>HYPERLINK("https://us2.cloudbeds.com/connect/8493803454333002#/reservations/93872132452546?display=20ZKCXJ3DX&amp;reservation_id=93872132452546", "20ZKCXJ3DX")</f>
        <v>20ZKCXJ3DX</v>
      </c>
      <c r="D4329" t="s">
        <v>45</v>
      </c>
      <c r="E4329" t="s">
        <v>155</v>
      </c>
      <c r="F4329" t="s">
        <v>86</v>
      </c>
      <c r="G4329" t="s">
        <v>48</v>
      </c>
      <c r="H4329" t="s">
        <v>3957</v>
      </c>
      <c r="I4329" t="s">
        <v>3975</v>
      </c>
      <c r="J4329" t="s">
        <v>5967</v>
      </c>
      <c r="K4329" t="s">
        <v>5431</v>
      </c>
      <c r="L4329" t="s">
        <v>53</v>
      </c>
      <c r="P4329" t="s">
        <v>55</v>
      </c>
      <c r="R4329" t="s">
        <v>53</v>
      </c>
      <c r="T4329" t="s">
        <v>7489</v>
      </c>
      <c r="U4329" t="s">
        <v>58</v>
      </c>
      <c r="V4329">
        <v>2</v>
      </c>
      <c r="W4329">
        <v>1</v>
      </c>
      <c r="X4329">
        <v>2</v>
      </c>
      <c r="Y4329">
        <v>0</v>
      </c>
      <c r="Z4329">
        <v>2</v>
      </c>
      <c r="AA4329">
        <v>418.25</v>
      </c>
      <c r="AB4329">
        <v>418.25</v>
      </c>
      <c r="AC4329">
        <v>368</v>
      </c>
      <c r="AD4329">
        <v>0</v>
      </c>
      <c r="AE4329">
        <v>50.25</v>
      </c>
      <c r="AF4329">
        <v>0</v>
      </c>
      <c r="AG4329">
        <v>0</v>
      </c>
      <c r="AH4329">
        <v>0</v>
      </c>
      <c r="AI4329">
        <v>0</v>
      </c>
      <c r="AJ4329">
        <v>418.25</v>
      </c>
      <c r="AK4329">
        <v>0</v>
      </c>
      <c r="AL4329" t="s">
        <v>53</v>
      </c>
      <c r="AM4329" t="s">
        <v>53</v>
      </c>
      <c r="AN4329" t="s">
        <v>53</v>
      </c>
      <c r="AO4329" t="s">
        <v>53</v>
      </c>
      <c r="AP4329" t="s">
        <v>53</v>
      </c>
    </row>
    <row r="4330" spans="2:42" x14ac:dyDescent="0.2">
      <c r="B4330" t="s">
        <v>44</v>
      </c>
      <c r="C4330" t="str">
        <f>HYPERLINK("https://us2.cloudbeds.com/connect/8493803454333002#/reservations/94021559165173?display=20S42P4YXC&amp;reservation_id=94021559165173", "20S42P4YXC")</f>
        <v>20S42P4YXC</v>
      </c>
      <c r="D4330" t="s">
        <v>45</v>
      </c>
      <c r="E4330" t="s">
        <v>190</v>
      </c>
      <c r="F4330" t="s">
        <v>61</v>
      </c>
      <c r="G4330" t="s">
        <v>48</v>
      </c>
      <c r="H4330" t="s">
        <v>3957</v>
      </c>
      <c r="I4330" t="s">
        <v>3958</v>
      </c>
      <c r="J4330" t="s">
        <v>5518</v>
      </c>
      <c r="K4330" t="s">
        <v>6737</v>
      </c>
      <c r="L4330" t="s">
        <v>53</v>
      </c>
      <c r="P4330" t="s">
        <v>58</v>
      </c>
      <c r="R4330" t="s">
        <v>56</v>
      </c>
      <c r="T4330" t="s">
        <v>7490</v>
      </c>
      <c r="U4330" t="s">
        <v>58</v>
      </c>
      <c r="V4330">
        <v>1</v>
      </c>
      <c r="W4330">
        <v>1</v>
      </c>
      <c r="X4330">
        <v>1</v>
      </c>
      <c r="Y4330">
        <v>0</v>
      </c>
      <c r="Z4330">
        <v>1</v>
      </c>
      <c r="AA4330">
        <v>104.56</v>
      </c>
      <c r="AB4330">
        <v>104.56</v>
      </c>
      <c r="AC4330">
        <v>92</v>
      </c>
      <c r="AD4330">
        <v>0</v>
      </c>
      <c r="AE4330">
        <v>12.56</v>
      </c>
      <c r="AF4330">
        <v>0</v>
      </c>
      <c r="AG4330">
        <v>0</v>
      </c>
      <c r="AH4330">
        <v>0</v>
      </c>
      <c r="AI4330">
        <v>0</v>
      </c>
      <c r="AJ4330">
        <v>104.56</v>
      </c>
      <c r="AK4330">
        <v>0</v>
      </c>
      <c r="AL4330" t="s">
        <v>53</v>
      </c>
      <c r="AM4330" t="s">
        <v>53</v>
      </c>
      <c r="AN4330" t="s">
        <v>53</v>
      </c>
      <c r="AO4330" t="s">
        <v>53</v>
      </c>
      <c r="AP4330" t="s">
        <v>53</v>
      </c>
    </row>
    <row r="4331" spans="2:42" x14ac:dyDescent="0.2">
      <c r="B4331" t="s">
        <v>44</v>
      </c>
      <c r="C4331" t="str">
        <f>HYPERLINK("https://us2.cloudbeds.com/connect/8493803454333002#/reservations/94130939203717?display=20UMPM9F9U&amp;reservation_id=94130939203717", "20UMPM9F9U")</f>
        <v>20UMPM9F9U</v>
      </c>
      <c r="D4331" t="s">
        <v>45</v>
      </c>
      <c r="E4331" t="s">
        <v>110</v>
      </c>
      <c r="F4331" t="s">
        <v>47</v>
      </c>
      <c r="G4331" t="s">
        <v>48</v>
      </c>
      <c r="H4331" t="s">
        <v>3957</v>
      </c>
      <c r="I4331" t="s">
        <v>3958</v>
      </c>
      <c r="J4331" t="s">
        <v>7394</v>
      </c>
      <c r="K4331" t="s">
        <v>7376</v>
      </c>
      <c r="L4331" t="s">
        <v>53</v>
      </c>
      <c r="P4331" t="s">
        <v>55</v>
      </c>
      <c r="R4331" t="s">
        <v>56</v>
      </c>
      <c r="T4331" t="s">
        <v>7491</v>
      </c>
      <c r="U4331" t="s">
        <v>58</v>
      </c>
      <c r="V4331">
        <v>3</v>
      </c>
      <c r="W4331">
        <v>1</v>
      </c>
      <c r="X4331">
        <v>1</v>
      </c>
      <c r="Y4331">
        <v>0</v>
      </c>
      <c r="Z4331">
        <v>1</v>
      </c>
      <c r="AA4331">
        <v>566</v>
      </c>
      <c r="AB4331">
        <v>566</v>
      </c>
      <c r="AC4331">
        <v>498</v>
      </c>
      <c r="AD4331">
        <v>0</v>
      </c>
      <c r="AE4331">
        <v>68</v>
      </c>
      <c r="AF4331">
        <v>0</v>
      </c>
      <c r="AG4331">
        <v>0</v>
      </c>
      <c r="AH4331">
        <v>0</v>
      </c>
      <c r="AI4331">
        <v>0</v>
      </c>
      <c r="AJ4331">
        <v>566</v>
      </c>
      <c r="AK4331">
        <v>0</v>
      </c>
      <c r="AL4331" t="s">
        <v>53</v>
      </c>
      <c r="AM4331" t="s">
        <v>53</v>
      </c>
      <c r="AN4331" t="s">
        <v>53</v>
      </c>
      <c r="AO4331" t="s">
        <v>53</v>
      </c>
      <c r="AP4331" t="s">
        <v>53</v>
      </c>
    </row>
    <row r="4332" spans="2:42" x14ac:dyDescent="0.2">
      <c r="B4332" t="s">
        <v>44</v>
      </c>
      <c r="C4332" t="str">
        <f>HYPERLINK("https://us2.cloudbeds.com/connect/8493803454333002#/reservations/9080486845841754?display=20VGMWXASM&amp;reservation_id=9080486845841754", "20VGMWXASM")</f>
        <v>20VGMWXASM</v>
      </c>
      <c r="D4332" t="s">
        <v>45</v>
      </c>
      <c r="E4332" t="s">
        <v>113</v>
      </c>
      <c r="F4332" t="s">
        <v>61</v>
      </c>
      <c r="G4332" t="s">
        <v>48</v>
      </c>
      <c r="H4332" t="s">
        <v>49</v>
      </c>
      <c r="I4332" t="s">
        <v>50</v>
      </c>
      <c r="J4332" t="s">
        <v>7492</v>
      </c>
      <c r="K4332" t="s">
        <v>7493</v>
      </c>
      <c r="L4332" t="s">
        <v>53</v>
      </c>
      <c r="N4332" t="s">
        <v>7494</v>
      </c>
      <c r="P4332" t="s">
        <v>55</v>
      </c>
      <c r="R4332" t="s">
        <v>53</v>
      </c>
      <c r="T4332" t="s">
        <v>7495</v>
      </c>
      <c r="U4332" t="s">
        <v>58</v>
      </c>
      <c r="V4332">
        <v>1</v>
      </c>
      <c r="W4332">
        <v>1</v>
      </c>
      <c r="X4332">
        <v>2</v>
      </c>
      <c r="Y4332">
        <v>0</v>
      </c>
      <c r="Z4332">
        <v>2</v>
      </c>
      <c r="AA4332">
        <v>191.81</v>
      </c>
      <c r="AB4332">
        <v>191.81</v>
      </c>
      <c r="AC4332">
        <v>168.77</v>
      </c>
      <c r="AD4332">
        <v>0</v>
      </c>
      <c r="AE4332">
        <v>23.04</v>
      </c>
      <c r="AF4332">
        <v>0</v>
      </c>
      <c r="AG4332">
        <v>0</v>
      </c>
      <c r="AH4332">
        <v>0</v>
      </c>
      <c r="AI4332">
        <v>34.53</v>
      </c>
      <c r="AJ4332">
        <v>191.81</v>
      </c>
      <c r="AK4332">
        <v>0</v>
      </c>
      <c r="AL4332" t="s">
        <v>53</v>
      </c>
      <c r="AM4332" t="s">
        <v>53</v>
      </c>
      <c r="AN4332" t="s">
        <v>53</v>
      </c>
      <c r="AO4332" t="s">
        <v>53</v>
      </c>
      <c r="AP4332" t="s">
        <v>53</v>
      </c>
    </row>
    <row r="4333" spans="2:42" x14ac:dyDescent="0.2">
      <c r="B4333" t="s">
        <v>44</v>
      </c>
      <c r="C4333" t="str">
        <f>HYPERLINK("https://us2.cloudbeds.com/connect/8493803454333002#/reservations/9080486845841914?display=20VRBJ0XEB&amp;reservation_id=9080486845841914", "20VRBJ0XEB")</f>
        <v>20VRBJ0XEB</v>
      </c>
      <c r="D4333" t="s">
        <v>45</v>
      </c>
      <c r="E4333" t="s">
        <v>185</v>
      </c>
      <c r="F4333" t="s">
        <v>47</v>
      </c>
      <c r="G4333" t="s">
        <v>48</v>
      </c>
      <c r="H4333" t="s">
        <v>49</v>
      </c>
      <c r="I4333" t="s">
        <v>50</v>
      </c>
      <c r="J4333" t="s">
        <v>4767</v>
      </c>
      <c r="K4333" t="s">
        <v>6586</v>
      </c>
      <c r="L4333" t="s">
        <v>53</v>
      </c>
      <c r="N4333" t="s">
        <v>7496</v>
      </c>
      <c r="P4333" t="s">
        <v>55</v>
      </c>
      <c r="R4333" t="s">
        <v>53</v>
      </c>
      <c r="T4333" t="s">
        <v>7497</v>
      </c>
      <c r="U4333" t="s">
        <v>58</v>
      </c>
      <c r="V4333">
        <v>2</v>
      </c>
      <c r="W4333">
        <v>1</v>
      </c>
      <c r="X4333">
        <v>2</v>
      </c>
      <c r="Y4333">
        <v>0</v>
      </c>
      <c r="Z4333">
        <v>2</v>
      </c>
      <c r="AA4333">
        <v>232.19</v>
      </c>
      <c r="AB4333">
        <v>232.19</v>
      </c>
      <c r="AC4333">
        <v>204.3</v>
      </c>
      <c r="AD4333">
        <v>0</v>
      </c>
      <c r="AE4333">
        <v>27.89</v>
      </c>
      <c r="AF4333">
        <v>0</v>
      </c>
      <c r="AG4333">
        <v>0</v>
      </c>
      <c r="AH4333">
        <v>0</v>
      </c>
      <c r="AI4333">
        <v>41.79</v>
      </c>
      <c r="AJ4333">
        <v>232.19</v>
      </c>
      <c r="AK4333">
        <v>0</v>
      </c>
      <c r="AL4333" t="s">
        <v>53</v>
      </c>
      <c r="AM4333" t="s">
        <v>53</v>
      </c>
      <c r="AN4333" t="s">
        <v>53</v>
      </c>
      <c r="AO4333" t="s">
        <v>53</v>
      </c>
      <c r="AP4333" t="s">
        <v>53</v>
      </c>
    </row>
    <row r="4334" spans="2:42" x14ac:dyDescent="0.2">
      <c r="B4334" t="s">
        <v>44</v>
      </c>
      <c r="C4334" t="str">
        <f>HYPERLINK("https://us2.cloudbeds.com/connect/8493803454333002#/reservations/9080486845842071?display=20W4N4Q4V9&amp;reservation_id=9080486845842071", "20W4N4Q4V9")</f>
        <v>20W4N4Q4V9</v>
      </c>
      <c r="D4334" t="s">
        <v>45</v>
      </c>
      <c r="E4334" t="s">
        <v>155</v>
      </c>
      <c r="F4334" t="s">
        <v>86</v>
      </c>
      <c r="G4334" t="s">
        <v>48</v>
      </c>
      <c r="H4334" t="s">
        <v>49</v>
      </c>
      <c r="I4334" t="s">
        <v>50</v>
      </c>
      <c r="J4334" t="s">
        <v>6819</v>
      </c>
      <c r="K4334" t="s">
        <v>7078</v>
      </c>
      <c r="L4334" t="s">
        <v>53</v>
      </c>
      <c r="N4334" t="s">
        <v>7498</v>
      </c>
      <c r="P4334" t="s">
        <v>55</v>
      </c>
      <c r="R4334" t="s">
        <v>53</v>
      </c>
      <c r="T4334" t="s">
        <v>7499</v>
      </c>
      <c r="U4334" t="s">
        <v>58</v>
      </c>
      <c r="V4334">
        <v>2</v>
      </c>
      <c r="W4334">
        <v>1</v>
      </c>
      <c r="X4334">
        <v>2</v>
      </c>
      <c r="Y4334">
        <v>0</v>
      </c>
      <c r="Z4334">
        <v>2</v>
      </c>
      <c r="AA4334">
        <v>291.52</v>
      </c>
      <c r="AB4334">
        <v>291.52</v>
      </c>
      <c r="AC4334">
        <v>256.5</v>
      </c>
      <c r="AD4334">
        <v>0</v>
      </c>
      <c r="AE4334">
        <v>35.020000000000003</v>
      </c>
      <c r="AF4334">
        <v>0</v>
      </c>
      <c r="AG4334">
        <v>0</v>
      </c>
      <c r="AH4334">
        <v>0</v>
      </c>
      <c r="AI4334">
        <v>52.47</v>
      </c>
      <c r="AJ4334">
        <v>291.52</v>
      </c>
      <c r="AK4334">
        <v>0</v>
      </c>
      <c r="AL4334" t="s">
        <v>53</v>
      </c>
      <c r="AM4334" t="s">
        <v>53</v>
      </c>
      <c r="AN4334" t="s">
        <v>53</v>
      </c>
      <c r="AO4334" t="s">
        <v>53</v>
      </c>
      <c r="AP4334" t="s">
        <v>53</v>
      </c>
    </row>
    <row r="4335" spans="2:42" x14ac:dyDescent="0.2">
      <c r="B4335" t="s">
        <v>44</v>
      </c>
      <c r="C4335" t="str">
        <f>HYPERLINK("https://us2.cloudbeds.com/connect/8493803454333002#/reservations/9080486845842216?display=20WFJEAE6Z&amp;reservation_id=9080486845842216", "20WFJEAE6Z")</f>
        <v>20WFJEAE6Z</v>
      </c>
      <c r="D4335" t="s">
        <v>45</v>
      </c>
      <c r="E4335" t="s">
        <v>85</v>
      </c>
      <c r="F4335" t="s">
        <v>86</v>
      </c>
      <c r="G4335" t="s">
        <v>48</v>
      </c>
      <c r="H4335" t="s">
        <v>49</v>
      </c>
      <c r="I4335" t="s">
        <v>50</v>
      </c>
      <c r="J4335" t="s">
        <v>6335</v>
      </c>
      <c r="K4335" t="s">
        <v>6921</v>
      </c>
      <c r="L4335" t="s">
        <v>53</v>
      </c>
      <c r="N4335" t="s">
        <v>7500</v>
      </c>
      <c r="P4335" t="s">
        <v>55</v>
      </c>
      <c r="R4335" t="s">
        <v>56</v>
      </c>
      <c r="T4335" t="s">
        <v>7501</v>
      </c>
      <c r="U4335" t="s">
        <v>58</v>
      </c>
      <c r="V4335">
        <v>1</v>
      </c>
      <c r="W4335">
        <v>1</v>
      </c>
      <c r="X4335">
        <v>2</v>
      </c>
      <c r="Y4335">
        <v>0</v>
      </c>
      <c r="Z4335">
        <v>2</v>
      </c>
      <c r="AA4335">
        <v>146.26</v>
      </c>
      <c r="AB4335">
        <v>146.26</v>
      </c>
      <c r="AC4335">
        <v>128.69999999999999</v>
      </c>
      <c r="AD4335">
        <v>0</v>
      </c>
      <c r="AE4335">
        <v>17.559999999999999</v>
      </c>
      <c r="AF4335">
        <v>0</v>
      </c>
      <c r="AG4335">
        <v>0</v>
      </c>
      <c r="AH4335">
        <v>0</v>
      </c>
      <c r="AI4335">
        <v>26.33</v>
      </c>
      <c r="AJ4335">
        <v>146.26</v>
      </c>
      <c r="AK4335">
        <v>0</v>
      </c>
      <c r="AL4335" t="s">
        <v>53</v>
      </c>
      <c r="AM4335" t="s">
        <v>53</v>
      </c>
      <c r="AN4335" t="s">
        <v>53</v>
      </c>
      <c r="AO4335" t="s">
        <v>53</v>
      </c>
      <c r="AP4335" t="s">
        <v>53</v>
      </c>
    </row>
    <row r="4336" spans="2:42" x14ac:dyDescent="0.2">
      <c r="B4336" t="s">
        <v>44</v>
      </c>
      <c r="C4336" t="str">
        <f>HYPERLINK("https://us2.cloudbeds.com/connect/8493803454333002#/reservations/9080486845842218?display=20WFX5TVXF&amp;reservation_id=9080486845842218", "20WFX5TVXF")</f>
        <v>20WFX5TVXF</v>
      </c>
      <c r="D4336" t="s">
        <v>45</v>
      </c>
      <c r="E4336" t="s">
        <v>92</v>
      </c>
      <c r="F4336" t="s">
        <v>86</v>
      </c>
      <c r="G4336" t="s">
        <v>48</v>
      </c>
      <c r="H4336" t="s">
        <v>49</v>
      </c>
      <c r="I4336" t="s">
        <v>50</v>
      </c>
      <c r="J4336" t="s">
        <v>6335</v>
      </c>
      <c r="K4336" t="s">
        <v>6921</v>
      </c>
      <c r="L4336" t="s">
        <v>53</v>
      </c>
      <c r="N4336" t="s">
        <v>7502</v>
      </c>
      <c r="P4336" t="s">
        <v>55</v>
      </c>
      <c r="R4336" t="s">
        <v>53</v>
      </c>
      <c r="T4336" t="s">
        <v>7503</v>
      </c>
      <c r="U4336" t="s">
        <v>58</v>
      </c>
      <c r="V4336">
        <v>1</v>
      </c>
      <c r="W4336">
        <v>1</v>
      </c>
      <c r="X4336">
        <v>1</v>
      </c>
      <c r="Y4336">
        <v>3</v>
      </c>
      <c r="Z4336">
        <v>4</v>
      </c>
      <c r="AA4336">
        <v>146.26</v>
      </c>
      <c r="AB4336">
        <v>146.26</v>
      </c>
      <c r="AC4336">
        <v>128.69999999999999</v>
      </c>
      <c r="AD4336">
        <v>0</v>
      </c>
      <c r="AE4336">
        <v>17.559999999999999</v>
      </c>
      <c r="AF4336">
        <v>0</v>
      </c>
      <c r="AG4336">
        <v>0</v>
      </c>
      <c r="AH4336">
        <v>0</v>
      </c>
      <c r="AI4336">
        <v>26.33</v>
      </c>
      <c r="AJ4336">
        <v>146.26</v>
      </c>
      <c r="AK4336">
        <v>0</v>
      </c>
      <c r="AL4336" t="s">
        <v>53</v>
      </c>
      <c r="AM4336" t="s">
        <v>53</v>
      </c>
      <c r="AN4336" t="s">
        <v>53</v>
      </c>
      <c r="AO4336" t="s">
        <v>53</v>
      </c>
      <c r="AP4336" t="s">
        <v>53</v>
      </c>
    </row>
    <row r="4337" spans="2:42" x14ac:dyDescent="0.2">
      <c r="B4337" t="s">
        <v>44</v>
      </c>
      <c r="C4337" t="str">
        <f>HYPERLINK("https://us2.cloudbeds.com/connect/8493803454333002#/reservations/9080486845842217?display=20WFX5TVXE&amp;reservation_id=9080486845842217", "20WFX5TVXE")</f>
        <v>20WFX5TVXE</v>
      </c>
      <c r="D4337" t="s">
        <v>45</v>
      </c>
      <c r="E4337" t="s">
        <v>213</v>
      </c>
      <c r="F4337" t="s">
        <v>86</v>
      </c>
      <c r="G4337" t="s">
        <v>48</v>
      </c>
      <c r="H4337" t="s">
        <v>49</v>
      </c>
      <c r="I4337" t="s">
        <v>50</v>
      </c>
      <c r="J4337" t="s">
        <v>6335</v>
      </c>
      <c r="K4337" t="s">
        <v>6921</v>
      </c>
      <c r="L4337" t="s">
        <v>53</v>
      </c>
      <c r="N4337" t="s">
        <v>7504</v>
      </c>
      <c r="P4337" t="s">
        <v>55</v>
      </c>
      <c r="R4337" t="s">
        <v>53</v>
      </c>
      <c r="T4337" t="s">
        <v>7505</v>
      </c>
      <c r="U4337" t="s">
        <v>58</v>
      </c>
      <c r="V4337">
        <v>1</v>
      </c>
      <c r="W4337">
        <v>1</v>
      </c>
      <c r="X4337">
        <v>2</v>
      </c>
      <c r="Y4337">
        <v>2</v>
      </c>
      <c r="Z4337">
        <v>4</v>
      </c>
      <c r="AA4337">
        <v>146.26</v>
      </c>
      <c r="AB4337">
        <v>146.26</v>
      </c>
      <c r="AC4337">
        <v>128.69999999999999</v>
      </c>
      <c r="AD4337">
        <v>0</v>
      </c>
      <c r="AE4337">
        <v>17.559999999999999</v>
      </c>
      <c r="AF4337">
        <v>0</v>
      </c>
      <c r="AG4337">
        <v>0</v>
      </c>
      <c r="AH4337">
        <v>0</v>
      </c>
      <c r="AI4337">
        <v>26.33</v>
      </c>
      <c r="AJ4337">
        <v>146.26</v>
      </c>
      <c r="AK4337">
        <v>0</v>
      </c>
      <c r="AL4337" t="s">
        <v>53</v>
      </c>
      <c r="AM4337" t="s">
        <v>53</v>
      </c>
      <c r="AN4337" t="s">
        <v>53</v>
      </c>
      <c r="AO4337" t="s">
        <v>53</v>
      </c>
      <c r="AP4337" t="s">
        <v>53</v>
      </c>
    </row>
    <row r="4338" spans="2:42" x14ac:dyDescent="0.2">
      <c r="B4338" t="s">
        <v>44</v>
      </c>
      <c r="C4338" t="str">
        <f>HYPERLINK("https://us2.cloudbeds.com/connect/8493803454333002#/reservations/9080486845842254?display=20WHJKJ3PV&amp;reservation_id=9080486845842254", "20WHJKJ3PV")</f>
        <v>20WHJKJ3PV</v>
      </c>
      <c r="D4338" t="s">
        <v>45</v>
      </c>
      <c r="E4338" t="s">
        <v>185</v>
      </c>
      <c r="F4338" t="s">
        <v>47</v>
      </c>
      <c r="G4338" t="s">
        <v>48</v>
      </c>
      <c r="H4338" t="s">
        <v>49</v>
      </c>
      <c r="I4338" t="s">
        <v>50</v>
      </c>
      <c r="J4338" t="s">
        <v>5519</v>
      </c>
      <c r="K4338" t="s">
        <v>6888</v>
      </c>
      <c r="L4338" t="s">
        <v>53</v>
      </c>
      <c r="N4338" t="s">
        <v>7506</v>
      </c>
      <c r="P4338" t="s">
        <v>55</v>
      </c>
      <c r="R4338" t="s">
        <v>53</v>
      </c>
      <c r="T4338" t="s">
        <v>7507</v>
      </c>
      <c r="U4338" t="s">
        <v>58</v>
      </c>
      <c r="V4338">
        <v>1</v>
      </c>
      <c r="W4338">
        <v>1</v>
      </c>
      <c r="X4338">
        <v>2</v>
      </c>
      <c r="Y4338">
        <v>0</v>
      </c>
      <c r="Z4338">
        <v>2</v>
      </c>
      <c r="AA4338">
        <v>86.95</v>
      </c>
      <c r="AB4338">
        <v>86.95</v>
      </c>
      <c r="AC4338">
        <v>76.5</v>
      </c>
      <c r="AD4338">
        <v>0</v>
      </c>
      <c r="AE4338">
        <v>10.45</v>
      </c>
      <c r="AF4338">
        <v>0</v>
      </c>
      <c r="AG4338">
        <v>0</v>
      </c>
      <c r="AH4338">
        <v>0</v>
      </c>
      <c r="AI4338">
        <v>15.65</v>
      </c>
      <c r="AJ4338">
        <v>86.95</v>
      </c>
      <c r="AK4338">
        <v>0</v>
      </c>
      <c r="AL4338" t="s">
        <v>53</v>
      </c>
      <c r="AM4338" t="s">
        <v>53</v>
      </c>
      <c r="AN4338" t="s">
        <v>53</v>
      </c>
      <c r="AO4338" t="s">
        <v>53</v>
      </c>
      <c r="AP4338" t="s">
        <v>53</v>
      </c>
    </row>
    <row r="4339" spans="2:42" x14ac:dyDescent="0.2">
      <c r="B4339" t="s">
        <v>44</v>
      </c>
      <c r="C4339" t="str">
        <f>HYPERLINK("https://us2.cloudbeds.com/connect/8493803454333002#/reservations/9080486845842467?display=2100MCK48Q&amp;reservation_id=9080486845842467", "2100MCK48Q")</f>
        <v>2100MCK48Q</v>
      </c>
      <c r="D4339" t="s">
        <v>45</v>
      </c>
      <c r="E4339" t="s">
        <v>85</v>
      </c>
      <c r="F4339" t="s">
        <v>86</v>
      </c>
      <c r="G4339" t="s">
        <v>48</v>
      </c>
      <c r="H4339" t="s">
        <v>49</v>
      </c>
      <c r="I4339" t="s">
        <v>50</v>
      </c>
      <c r="J4339" t="s">
        <v>6416</v>
      </c>
      <c r="K4339" t="s">
        <v>7402</v>
      </c>
      <c r="L4339" t="s">
        <v>53</v>
      </c>
      <c r="N4339" t="s">
        <v>7508</v>
      </c>
      <c r="P4339" t="s">
        <v>55</v>
      </c>
      <c r="R4339" t="s">
        <v>53</v>
      </c>
      <c r="T4339" t="s">
        <v>7509</v>
      </c>
      <c r="U4339" t="s">
        <v>58</v>
      </c>
      <c r="V4339">
        <v>1</v>
      </c>
      <c r="W4339">
        <v>1</v>
      </c>
      <c r="X4339">
        <v>2</v>
      </c>
      <c r="Y4339">
        <v>2</v>
      </c>
      <c r="Z4339">
        <v>4</v>
      </c>
      <c r="AA4339">
        <v>169.79</v>
      </c>
      <c r="AB4339">
        <v>169.79</v>
      </c>
      <c r="AC4339">
        <v>149.4</v>
      </c>
      <c r="AD4339">
        <v>0</v>
      </c>
      <c r="AE4339">
        <v>20.39</v>
      </c>
      <c r="AF4339">
        <v>0</v>
      </c>
      <c r="AG4339">
        <v>0</v>
      </c>
      <c r="AH4339">
        <v>0</v>
      </c>
      <c r="AI4339">
        <v>30.56</v>
      </c>
      <c r="AJ4339">
        <v>169.79</v>
      </c>
      <c r="AK4339">
        <v>0</v>
      </c>
      <c r="AL4339" t="s">
        <v>53</v>
      </c>
      <c r="AM4339" t="s">
        <v>53</v>
      </c>
      <c r="AN4339" t="s">
        <v>53</v>
      </c>
      <c r="AO4339" t="s">
        <v>53</v>
      </c>
      <c r="AP4339" t="s">
        <v>53</v>
      </c>
    </row>
    <row r="4340" spans="2:42" x14ac:dyDescent="0.2">
      <c r="B4340" t="s">
        <v>44</v>
      </c>
      <c r="C4340" t="str">
        <f>HYPERLINK("https://us2.cloudbeds.com/connect/8493803454333002#/reservations/9080486845844772?display=214753JQGK&amp;reservation_id=9080486845844772", "214753JQGK")</f>
        <v>214753JQGK</v>
      </c>
      <c r="D4340" t="s">
        <v>45</v>
      </c>
      <c r="E4340" t="s">
        <v>69</v>
      </c>
      <c r="F4340" t="s">
        <v>70</v>
      </c>
      <c r="G4340" t="s">
        <v>48</v>
      </c>
      <c r="H4340" t="s">
        <v>49</v>
      </c>
      <c r="I4340" t="s">
        <v>62</v>
      </c>
      <c r="J4340" t="s">
        <v>5594</v>
      </c>
      <c r="K4340" t="s">
        <v>7510</v>
      </c>
      <c r="L4340" t="s">
        <v>53</v>
      </c>
      <c r="N4340" t="s">
        <v>7511</v>
      </c>
      <c r="P4340" t="s">
        <v>55</v>
      </c>
      <c r="R4340" t="s">
        <v>56</v>
      </c>
      <c r="T4340" t="s">
        <v>7512</v>
      </c>
      <c r="U4340" t="s">
        <v>55</v>
      </c>
      <c r="V4340">
        <v>3</v>
      </c>
      <c r="W4340">
        <v>1</v>
      </c>
      <c r="X4340">
        <v>2</v>
      </c>
      <c r="Y4340">
        <v>0</v>
      </c>
      <c r="Z4340">
        <v>2</v>
      </c>
      <c r="AA4340">
        <v>529</v>
      </c>
      <c r="AB4340">
        <v>529</v>
      </c>
      <c r="AC4340">
        <v>529</v>
      </c>
      <c r="AD4340">
        <v>0</v>
      </c>
      <c r="AE4340">
        <v>0</v>
      </c>
      <c r="AF4340">
        <v>0</v>
      </c>
      <c r="AG4340">
        <v>0</v>
      </c>
      <c r="AH4340">
        <v>0</v>
      </c>
      <c r="AI4340">
        <v>95.22</v>
      </c>
      <c r="AJ4340">
        <v>529</v>
      </c>
      <c r="AK4340">
        <v>0</v>
      </c>
      <c r="AL4340" t="s">
        <v>53</v>
      </c>
      <c r="AM4340" t="s">
        <v>53</v>
      </c>
      <c r="AN4340" t="s">
        <v>53</v>
      </c>
      <c r="AO4340" t="s">
        <v>53</v>
      </c>
      <c r="AP4340" t="s">
        <v>53</v>
      </c>
    </row>
    <row r="4341" spans="2:42" x14ac:dyDescent="0.2">
      <c r="B4341" t="s">
        <v>44</v>
      </c>
      <c r="C4341" t="str">
        <f>HYPERLINK("https://us2.cloudbeds.com/connect/8493803454333002#/reservations/9080486845845498?display=2156AD4BR8&amp;reservation_id=9080486845845498", "2156AD4BR8")</f>
        <v>2156AD4BR8</v>
      </c>
      <c r="D4341" t="s">
        <v>45</v>
      </c>
      <c r="E4341" t="s">
        <v>179</v>
      </c>
      <c r="F4341" t="s">
        <v>47</v>
      </c>
      <c r="G4341" t="s">
        <v>48</v>
      </c>
      <c r="H4341" t="s">
        <v>49</v>
      </c>
      <c r="I4341" t="s">
        <v>62</v>
      </c>
      <c r="J4341" t="s">
        <v>6959</v>
      </c>
      <c r="K4341" t="s">
        <v>6233</v>
      </c>
      <c r="L4341" t="s">
        <v>53</v>
      </c>
      <c r="N4341" t="s">
        <v>7513</v>
      </c>
      <c r="P4341" t="s">
        <v>55</v>
      </c>
      <c r="R4341" t="s">
        <v>56</v>
      </c>
      <c r="T4341" t="s">
        <v>7514</v>
      </c>
      <c r="U4341" t="s">
        <v>55</v>
      </c>
      <c r="V4341">
        <v>1</v>
      </c>
      <c r="W4341">
        <v>1</v>
      </c>
      <c r="X4341">
        <v>2</v>
      </c>
      <c r="Y4341">
        <v>0</v>
      </c>
      <c r="Z4341">
        <v>2</v>
      </c>
      <c r="AA4341">
        <v>185</v>
      </c>
      <c r="AB4341">
        <v>185</v>
      </c>
      <c r="AC4341">
        <v>185</v>
      </c>
      <c r="AD4341">
        <v>0</v>
      </c>
      <c r="AE4341">
        <v>0</v>
      </c>
      <c r="AF4341">
        <v>0</v>
      </c>
      <c r="AG4341">
        <v>0</v>
      </c>
      <c r="AH4341">
        <v>0</v>
      </c>
      <c r="AI4341">
        <v>33.299999999999997</v>
      </c>
      <c r="AJ4341">
        <v>185</v>
      </c>
      <c r="AK4341">
        <v>0</v>
      </c>
      <c r="AL4341" t="s">
        <v>53</v>
      </c>
      <c r="AM4341" t="s">
        <v>53</v>
      </c>
      <c r="AN4341" t="s">
        <v>53</v>
      </c>
      <c r="AO4341" t="s">
        <v>53</v>
      </c>
      <c r="AP4341" t="s">
        <v>53</v>
      </c>
    </row>
    <row r="4342" spans="2:42" x14ac:dyDescent="0.2">
      <c r="B4342" t="s">
        <v>44</v>
      </c>
      <c r="C4342" t="str">
        <f>HYPERLINK("https://us2.cloudbeds.com/connect/8493803454333002#/reservations/9080486845845790?display=215JZW1Z6X&amp;reservation_id=9080486845845790", "215JZW1Z6X")</f>
        <v>215JZW1Z6X</v>
      </c>
      <c r="D4342" t="s">
        <v>45</v>
      </c>
      <c r="E4342" t="s">
        <v>190</v>
      </c>
      <c r="F4342" t="s">
        <v>61</v>
      </c>
      <c r="G4342" t="s">
        <v>48</v>
      </c>
      <c r="H4342" t="s">
        <v>49</v>
      </c>
      <c r="I4342" t="s">
        <v>50</v>
      </c>
      <c r="J4342" t="s">
        <v>6813</v>
      </c>
      <c r="K4342" t="s">
        <v>6858</v>
      </c>
      <c r="L4342" t="s">
        <v>53</v>
      </c>
      <c r="N4342" t="s">
        <v>7515</v>
      </c>
      <c r="P4342" t="s">
        <v>55</v>
      </c>
      <c r="R4342" t="s">
        <v>53</v>
      </c>
      <c r="T4342" t="s">
        <v>7516</v>
      </c>
      <c r="U4342" t="s">
        <v>58</v>
      </c>
      <c r="V4342">
        <v>2</v>
      </c>
      <c r="W4342">
        <v>1</v>
      </c>
      <c r="X4342">
        <v>1</v>
      </c>
      <c r="Y4342">
        <v>0</v>
      </c>
      <c r="Z4342">
        <v>1</v>
      </c>
      <c r="AA4342">
        <v>149.74</v>
      </c>
      <c r="AB4342">
        <v>149.74</v>
      </c>
      <c r="AC4342">
        <v>131.75</v>
      </c>
      <c r="AD4342">
        <v>0</v>
      </c>
      <c r="AE4342">
        <v>17.989999999999998</v>
      </c>
      <c r="AF4342">
        <v>0</v>
      </c>
      <c r="AG4342">
        <v>0</v>
      </c>
      <c r="AH4342">
        <v>0</v>
      </c>
      <c r="AI4342">
        <v>26.95</v>
      </c>
      <c r="AJ4342">
        <v>149.74</v>
      </c>
      <c r="AK4342">
        <v>0</v>
      </c>
      <c r="AL4342" t="s">
        <v>53</v>
      </c>
      <c r="AM4342" t="s">
        <v>53</v>
      </c>
      <c r="AN4342" t="s">
        <v>53</v>
      </c>
      <c r="AO4342" t="s">
        <v>53</v>
      </c>
      <c r="AP4342" t="s">
        <v>53</v>
      </c>
    </row>
    <row r="4343" spans="2:42" x14ac:dyDescent="0.2">
      <c r="B4343" t="s">
        <v>44</v>
      </c>
      <c r="C4343" t="str">
        <f>HYPERLINK("https://us2.cloudbeds.com/connect/8493803454333002#/reservations/9080486845845859?display=215N5QFXAX&amp;reservation_id=9080486845845859", "215N5QFXAX")</f>
        <v>215N5QFXAX</v>
      </c>
      <c r="D4343" t="s">
        <v>45</v>
      </c>
      <c r="E4343" t="s">
        <v>138</v>
      </c>
      <c r="F4343" t="s">
        <v>70</v>
      </c>
      <c r="G4343" t="s">
        <v>48</v>
      </c>
      <c r="H4343" t="s">
        <v>49</v>
      </c>
      <c r="I4343" t="s">
        <v>50</v>
      </c>
      <c r="J4343" t="s">
        <v>6912</v>
      </c>
      <c r="K4343" t="s">
        <v>7109</v>
      </c>
      <c r="L4343" t="s">
        <v>53</v>
      </c>
      <c r="N4343" t="s">
        <v>7517</v>
      </c>
      <c r="P4343" t="s">
        <v>55</v>
      </c>
      <c r="R4343" t="s">
        <v>53</v>
      </c>
      <c r="T4343" t="s">
        <v>7518</v>
      </c>
      <c r="U4343" t="s">
        <v>58</v>
      </c>
      <c r="V4343">
        <v>2</v>
      </c>
      <c r="W4343">
        <v>1</v>
      </c>
      <c r="X4343">
        <v>1</v>
      </c>
      <c r="Y4343">
        <v>0</v>
      </c>
      <c r="Z4343">
        <v>1</v>
      </c>
      <c r="AA4343">
        <v>131.30000000000001</v>
      </c>
      <c r="AB4343">
        <v>131.30000000000001</v>
      </c>
      <c r="AC4343">
        <v>115.52</v>
      </c>
      <c r="AD4343">
        <v>0</v>
      </c>
      <c r="AE4343">
        <v>15.78</v>
      </c>
      <c r="AF4343">
        <v>0</v>
      </c>
      <c r="AG4343">
        <v>0</v>
      </c>
      <c r="AH4343">
        <v>0</v>
      </c>
      <c r="AI4343">
        <v>23.63</v>
      </c>
      <c r="AJ4343">
        <v>131.30000000000001</v>
      </c>
      <c r="AK4343">
        <v>0</v>
      </c>
      <c r="AL4343" t="s">
        <v>53</v>
      </c>
      <c r="AM4343" t="s">
        <v>53</v>
      </c>
      <c r="AN4343" t="s">
        <v>53</v>
      </c>
      <c r="AO4343" t="s">
        <v>53</v>
      </c>
      <c r="AP4343" t="s">
        <v>53</v>
      </c>
    </row>
    <row r="4344" spans="2:42" x14ac:dyDescent="0.2">
      <c r="B4344" t="s">
        <v>44</v>
      </c>
      <c r="C4344" t="str">
        <f>HYPERLINK("https://us2.cloudbeds.com/connect/8493803454333002#/reservations/9080486845846622?display=2175W8MUPS&amp;reservation_id=9080486845846622", "2175W8MUPS")</f>
        <v>2175W8MUPS</v>
      </c>
      <c r="D4344" t="s">
        <v>45</v>
      </c>
      <c r="E4344" t="s">
        <v>69</v>
      </c>
      <c r="F4344" t="s">
        <v>70</v>
      </c>
      <c r="G4344" t="s">
        <v>48</v>
      </c>
      <c r="H4344" t="s">
        <v>49</v>
      </c>
      <c r="I4344" t="s">
        <v>50</v>
      </c>
      <c r="J4344" t="s">
        <v>5967</v>
      </c>
      <c r="K4344" t="s">
        <v>5430</v>
      </c>
      <c r="L4344" t="s">
        <v>53</v>
      </c>
      <c r="N4344" t="s">
        <v>7519</v>
      </c>
      <c r="P4344" t="s">
        <v>55</v>
      </c>
      <c r="R4344" t="s">
        <v>53</v>
      </c>
      <c r="T4344" t="s">
        <v>7520</v>
      </c>
      <c r="U4344" t="s">
        <v>58</v>
      </c>
      <c r="V4344">
        <v>1</v>
      </c>
      <c r="W4344">
        <v>1</v>
      </c>
      <c r="X4344">
        <v>2</v>
      </c>
      <c r="Y4344">
        <v>0</v>
      </c>
      <c r="Z4344">
        <v>2</v>
      </c>
      <c r="AA4344">
        <v>122.43</v>
      </c>
      <c r="AB4344">
        <v>122.43</v>
      </c>
      <c r="AC4344">
        <v>107.73</v>
      </c>
      <c r="AD4344">
        <v>0</v>
      </c>
      <c r="AE4344">
        <v>14.7</v>
      </c>
      <c r="AF4344">
        <v>0</v>
      </c>
      <c r="AG4344">
        <v>0</v>
      </c>
      <c r="AH4344">
        <v>0</v>
      </c>
      <c r="AI4344">
        <v>22.04</v>
      </c>
      <c r="AJ4344">
        <v>122.43</v>
      </c>
      <c r="AK4344">
        <v>0</v>
      </c>
      <c r="AL4344" t="s">
        <v>53</v>
      </c>
      <c r="AM4344" t="s">
        <v>53</v>
      </c>
      <c r="AN4344" t="s">
        <v>53</v>
      </c>
      <c r="AO4344" t="s">
        <v>53</v>
      </c>
      <c r="AP4344" t="s">
        <v>53</v>
      </c>
    </row>
    <row r="4345" spans="2:42" x14ac:dyDescent="0.2">
      <c r="B4345" t="s">
        <v>44</v>
      </c>
      <c r="C4345" t="str">
        <f>HYPERLINK("https://us2.cloudbeds.com/connect/8493803454333002#/reservations/9080486845846639?display=2176YATPPG&amp;reservation_id=9080486845846639", "2176YATPPG")</f>
        <v>2176YATPPG</v>
      </c>
      <c r="D4345" t="s">
        <v>45</v>
      </c>
      <c r="E4345" t="s">
        <v>69</v>
      </c>
      <c r="F4345" t="s">
        <v>70</v>
      </c>
      <c r="G4345" t="s">
        <v>48</v>
      </c>
      <c r="H4345" t="s">
        <v>49</v>
      </c>
      <c r="I4345" t="s">
        <v>50</v>
      </c>
      <c r="J4345" t="s">
        <v>6335</v>
      </c>
      <c r="K4345" t="s">
        <v>6922</v>
      </c>
      <c r="L4345" t="s">
        <v>53</v>
      </c>
      <c r="N4345" t="s">
        <v>7521</v>
      </c>
      <c r="P4345" t="s">
        <v>55</v>
      </c>
      <c r="R4345" t="s">
        <v>53</v>
      </c>
      <c r="T4345" t="s">
        <v>7522</v>
      </c>
      <c r="U4345" t="s">
        <v>58</v>
      </c>
      <c r="V4345">
        <v>2</v>
      </c>
      <c r="W4345">
        <v>1</v>
      </c>
      <c r="X4345">
        <v>2</v>
      </c>
      <c r="Y4345">
        <v>0</v>
      </c>
      <c r="Z4345">
        <v>2</v>
      </c>
      <c r="AA4345">
        <v>235.48</v>
      </c>
      <c r="AB4345">
        <v>235.48</v>
      </c>
      <c r="AC4345">
        <v>207.2</v>
      </c>
      <c r="AD4345">
        <v>0</v>
      </c>
      <c r="AE4345">
        <v>28.28</v>
      </c>
      <c r="AF4345">
        <v>0</v>
      </c>
      <c r="AG4345">
        <v>0</v>
      </c>
      <c r="AH4345">
        <v>0</v>
      </c>
      <c r="AI4345">
        <v>42.39</v>
      </c>
      <c r="AJ4345">
        <v>235.48</v>
      </c>
      <c r="AK4345">
        <v>0</v>
      </c>
      <c r="AL4345" t="s">
        <v>53</v>
      </c>
      <c r="AM4345" t="s">
        <v>53</v>
      </c>
      <c r="AN4345" t="s">
        <v>53</v>
      </c>
      <c r="AO4345" t="s">
        <v>53</v>
      </c>
      <c r="AP4345" t="s">
        <v>53</v>
      </c>
    </row>
    <row r="4346" spans="2:42" x14ac:dyDescent="0.2">
      <c r="B4346" t="s">
        <v>44</v>
      </c>
      <c r="C4346" t="str">
        <f>HYPERLINK("https://us2.cloudbeds.com/connect/8493803454333002#/reservations/94538063405206?display=21780Y6GWZ&amp;reservation_id=94538063405206", "21780Y6GWZ")</f>
        <v>21780Y6GWZ</v>
      </c>
      <c r="D4346" t="s">
        <v>45</v>
      </c>
      <c r="E4346" t="s">
        <v>138</v>
      </c>
      <c r="F4346" t="s">
        <v>70</v>
      </c>
      <c r="G4346" t="s">
        <v>48</v>
      </c>
      <c r="H4346" t="s">
        <v>3957</v>
      </c>
      <c r="I4346" t="s">
        <v>3958</v>
      </c>
      <c r="J4346" t="s">
        <v>6737</v>
      </c>
      <c r="K4346" t="s">
        <v>5519</v>
      </c>
      <c r="L4346" t="s">
        <v>53</v>
      </c>
      <c r="P4346" t="s">
        <v>55</v>
      </c>
      <c r="R4346" t="s">
        <v>56</v>
      </c>
      <c r="T4346" t="s">
        <v>7523</v>
      </c>
      <c r="U4346" t="s">
        <v>58</v>
      </c>
      <c r="V4346">
        <v>1</v>
      </c>
      <c r="W4346">
        <v>1</v>
      </c>
      <c r="X4346">
        <v>1</v>
      </c>
      <c r="Y4346">
        <v>0</v>
      </c>
      <c r="Z4346">
        <v>1</v>
      </c>
      <c r="AA4346">
        <v>102.29</v>
      </c>
      <c r="AB4346">
        <v>102.29</v>
      </c>
      <c r="AC4346">
        <v>90</v>
      </c>
      <c r="AD4346">
        <v>0</v>
      </c>
      <c r="AE4346">
        <v>12.29</v>
      </c>
      <c r="AF4346">
        <v>0</v>
      </c>
      <c r="AG4346">
        <v>0</v>
      </c>
      <c r="AH4346">
        <v>0</v>
      </c>
      <c r="AI4346">
        <v>0</v>
      </c>
      <c r="AJ4346">
        <v>102.29</v>
      </c>
      <c r="AK4346">
        <v>0</v>
      </c>
      <c r="AL4346" t="s">
        <v>53</v>
      </c>
      <c r="AM4346" t="s">
        <v>53</v>
      </c>
      <c r="AN4346" t="s">
        <v>53</v>
      </c>
      <c r="AO4346" t="s">
        <v>53</v>
      </c>
      <c r="AP4346" t="s">
        <v>53</v>
      </c>
    </row>
    <row r="4347" spans="2:42" x14ac:dyDescent="0.2">
      <c r="B4347" t="s">
        <v>44</v>
      </c>
      <c r="C4347" t="str">
        <f>HYPERLINK("https://us2.cloudbeds.com/connect/8493803454333002#/reservations/9080486845846788?display=217GPCJZ24&amp;reservation_id=9080486845846788", "217GPCJZ24")</f>
        <v>217GPCJZ24</v>
      </c>
      <c r="D4347" t="s">
        <v>45</v>
      </c>
      <c r="E4347" t="s">
        <v>406</v>
      </c>
      <c r="F4347" t="s">
        <v>61</v>
      </c>
      <c r="G4347" t="s">
        <v>48</v>
      </c>
      <c r="H4347" t="s">
        <v>49</v>
      </c>
      <c r="I4347" t="s">
        <v>50</v>
      </c>
      <c r="J4347" t="s">
        <v>5519</v>
      </c>
      <c r="K4347" t="s">
        <v>6888</v>
      </c>
      <c r="L4347" t="s">
        <v>53</v>
      </c>
      <c r="N4347" t="s">
        <v>7524</v>
      </c>
      <c r="P4347" t="s">
        <v>55</v>
      </c>
      <c r="R4347" t="s">
        <v>53</v>
      </c>
      <c r="T4347" t="s">
        <v>7525</v>
      </c>
      <c r="U4347" t="s">
        <v>58</v>
      </c>
      <c r="V4347">
        <v>1</v>
      </c>
      <c r="W4347">
        <v>1</v>
      </c>
      <c r="X4347">
        <v>2</v>
      </c>
      <c r="Y4347">
        <v>0</v>
      </c>
      <c r="Z4347">
        <v>2</v>
      </c>
      <c r="AA4347">
        <v>95.12</v>
      </c>
      <c r="AB4347">
        <v>95.12</v>
      </c>
      <c r="AC4347">
        <v>83.7</v>
      </c>
      <c r="AD4347">
        <v>0</v>
      </c>
      <c r="AE4347">
        <v>11.42</v>
      </c>
      <c r="AF4347">
        <v>0</v>
      </c>
      <c r="AG4347">
        <v>0</v>
      </c>
      <c r="AH4347">
        <v>0</v>
      </c>
      <c r="AI4347">
        <v>17.12</v>
      </c>
      <c r="AJ4347">
        <v>95.12</v>
      </c>
      <c r="AK4347">
        <v>0</v>
      </c>
      <c r="AL4347" t="s">
        <v>53</v>
      </c>
      <c r="AM4347" t="s">
        <v>53</v>
      </c>
      <c r="AN4347" t="s">
        <v>53</v>
      </c>
      <c r="AO4347" t="s">
        <v>53</v>
      </c>
      <c r="AP4347" t="s">
        <v>53</v>
      </c>
    </row>
    <row r="4348" spans="2:42" x14ac:dyDescent="0.2">
      <c r="B4348" t="s">
        <v>44</v>
      </c>
      <c r="C4348" t="str">
        <f>HYPERLINK("https://us2.cloudbeds.com/connect/8493803454333002#/reservations/94720864563417?display=21BHXKW6VE&amp;reservation_id=94720864563417", "21BHXKW6VE")</f>
        <v>21BHXKW6VE</v>
      </c>
      <c r="D4348" t="s">
        <v>45</v>
      </c>
      <c r="E4348" t="s">
        <v>85</v>
      </c>
      <c r="F4348" t="s">
        <v>86</v>
      </c>
      <c r="G4348" t="s">
        <v>48</v>
      </c>
      <c r="H4348" t="s">
        <v>3957</v>
      </c>
      <c r="I4348" t="s">
        <v>3975</v>
      </c>
      <c r="J4348" t="s">
        <v>6274</v>
      </c>
      <c r="K4348" t="s">
        <v>6416</v>
      </c>
      <c r="L4348" t="s">
        <v>53</v>
      </c>
      <c r="P4348" t="s">
        <v>55</v>
      </c>
      <c r="R4348" t="s">
        <v>53</v>
      </c>
      <c r="T4348" t="s">
        <v>7526</v>
      </c>
      <c r="U4348" t="s">
        <v>58</v>
      </c>
      <c r="V4348">
        <v>1</v>
      </c>
      <c r="W4348">
        <v>1</v>
      </c>
      <c r="X4348">
        <v>3</v>
      </c>
      <c r="Y4348">
        <v>0</v>
      </c>
      <c r="Z4348">
        <v>3</v>
      </c>
      <c r="AA4348">
        <v>177.29</v>
      </c>
      <c r="AB4348">
        <v>177.29</v>
      </c>
      <c r="AC4348">
        <v>156</v>
      </c>
      <c r="AD4348">
        <v>0</v>
      </c>
      <c r="AE4348">
        <v>21.29</v>
      </c>
      <c r="AF4348">
        <v>0</v>
      </c>
      <c r="AG4348">
        <v>0</v>
      </c>
      <c r="AH4348">
        <v>0</v>
      </c>
      <c r="AI4348">
        <v>0</v>
      </c>
      <c r="AJ4348">
        <v>177.29</v>
      </c>
      <c r="AK4348">
        <v>0</v>
      </c>
      <c r="AL4348" t="s">
        <v>53</v>
      </c>
      <c r="AM4348" t="s">
        <v>53</v>
      </c>
      <c r="AN4348" t="s">
        <v>53</v>
      </c>
      <c r="AO4348" t="s">
        <v>53</v>
      </c>
      <c r="AP4348" t="s">
        <v>53</v>
      </c>
    </row>
    <row r="4349" spans="2:42" x14ac:dyDescent="0.2">
      <c r="B4349" t="s">
        <v>44</v>
      </c>
      <c r="C4349" t="str">
        <f>HYPERLINK("https://us2.cloudbeds.com/connect/8493803454333002#/reservations/94825737076871?display=21DWPC8G6J&amp;reservation_id=94825737076871", "21DWPC8G6J")</f>
        <v>21DWPC8G6J</v>
      </c>
      <c r="D4349" t="s">
        <v>45</v>
      </c>
      <c r="E4349" t="s">
        <v>138</v>
      </c>
      <c r="F4349" t="s">
        <v>70</v>
      </c>
      <c r="G4349" t="s">
        <v>48</v>
      </c>
      <c r="H4349" t="s">
        <v>3957</v>
      </c>
      <c r="I4349" t="s">
        <v>3975</v>
      </c>
      <c r="J4349" t="s">
        <v>6888</v>
      </c>
      <c r="K4349" t="s">
        <v>6836</v>
      </c>
      <c r="L4349" t="s">
        <v>53</v>
      </c>
      <c r="P4349" t="s">
        <v>55</v>
      </c>
      <c r="R4349" t="s">
        <v>53</v>
      </c>
      <c r="T4349" t="s">
        <v>7527</v>
      </c>
      <c r="U4349" t="s">
        <v>58</v>
      </c>
      <c r="V4349">
        <v>1</v>
      </c>
      <c r="W4349">
        <v>1</v>
      </c>
      <c r="X4349">
        <v>2</v>
      </c>
      <c r="Y4349">
        <v>0</v>
      </c>
      <c r="Z4349">
        <v>2</v>
      </c>
      <c r="AA4349">
        <v>94.34</v>
      </c>
      <c r="AB4349">
        <v>94.34</v>
      </c>
      <c r="AC4349">
        <v>83</v>
      </c>
      <c r="AD4349">
        <v>0</v>
      </c>
      <c r="AE4349">
        <v>11.34</v>
      </c>
      <c r="AF4349">
        <v>0</v>
      </c>
      <c r="AG4349">
        <v>0</v>
      </c>
      <c r="AH4349">
        <v>0</v>
      </c>
      <c r="AI4349">
        <v>0</v>
      </c>
      <c r="AJ4349">
        <v>94.34</v>
      </c>
      <c r="AK4349">
        <v>0</v>
      </c>
      <c r="AL4349" t="s">
        <v>53</v>
      </c>
      <c r="AM4349" t="s">
        <v>53</v>
      </c>
      <c r="AN4349" t="s">
        <v>53</v>
      </c>
      <c r="AO4349" t="s">
        <v>53</v>
      </c>
      <c r="AP4349" t="s">
        <v>53</v>
      </c>
    </row>
    <row r="4350" spans="2:42" x14ac:dyDescent="0.2">
      <c r="B4350" t="s">
        <v>44</v>
      </c>
      <c r="C4350" t="str">
        <f>HYPERLINK("https://us2.cloudbeds.com/connect/8493803454333002#/reservations/94839485739176?display=21EADMG9F1&amp;reservation_id=94839485739176", "21EADMG9F1")</f>
        <v>21EADMG9F1</v>
      </c>
      <c r="D4350" t="s">
        <v>45</v>
      </c>
      <c r="E4350" t="s">
        <v>185</v>
      </c>
      <c r="F4350" t="s">
        <v>47</v>
      </c>
      <c r="G4350" t="s">
        <v>48</v>
      </c>
      <c r="H4350" t="s">
        <v>3957</v>
      </c>
      <c r="I4350" t="s">
        <v>3975</v>
      </c>
      <c r="J4350" t="s">
        <v>6855</v>
      </c>
      <c r="K4350" t="s">
        <v>6885</v>
      </c>
      <c r="L4350" t="s">
        <v>53</v>
      </c>
      <c r="P4350" t="s">
        <v>55</v>
      </c>
      <c r="R4350" t="s">
        <v>53</v>
      </c>
      <c r="T4350" t="s">
        <v>7528</v>
      </c>
      <c r="U4350" t="s">
        <v>58</v>
      </c>
      <c r="V4350">
        <v>1</v>
      </c>
      <c r="W4350">
        <v>1</v>
      </c>
      <c r="X4350">
        <v>1</v>
      </c>
      <c r="Y4350">
        <v>0</v>
      </c>
      <c r="Z4350">
        <v>1</v>
      </c>
      <c r="AA4350">
        <v>104.56</v>
      </c>
      <c r="AB4350">
        <v>104.56</v>
      </c>
      <c r="AC4350">
        <v>92</v>
      </c>
      <c r="AD4350">
        <v>0</v>
      </c>
      <c r="AE4350">
        <v>12.56</v>
      </c>
      <c r="AF4350">
        <v>0</v>
      </c>
      <c r="AG4350">
        <v>0</v>
      </c>
      <c r="AH4350">
        <v>0</v>
      </c>
      <c r="AI4350">
        <v>0</v>
      </c>
      <c r="AJ4350">
        <v>104.56</v>
      </c>
      <c r="AK4350">
        <v>0</v>
      </c>
      <c r="AL4350" t="s">
        <v>53</v>
      </c>
      <c r="AM4350" t="s">
        <v>53</v>
      </c>
      <c r="AN4350" t="s">
        <v>53</v>
      </c>
      <c r="AO4350" t="s">
        <v>53</v>
      </c>
      <c r="AP4350" t="s">
        <v>53</v>
      </c>
    </row>
    <row r="4351" spans="2:42" x14ac:dyDescent="0.2">
      <c r="B4351" t="s">
        <v>44</v>
      </c>
      <c r="C4351" t="str">
        <f>HYPERLINK("https://us2.cloudbeds.com/connect/8493803454333002#/reservations/94841694073033?display=21EC43KE7R&amp;reservation_id=94841694073033", "21EC43KE7R")</f>
        <v>21EC43KE7R</v>
      </c>
      <c r="D4351" t="s">
        <v>45</v>
      </c>
      <c r="E4351" t="s">
        <v>179</v>
      </c>
      <c r="F4351" t="s">
        <v>47</v>
      </c>
      <c r="G4351" t="s">
        <v>3974</v>
      </c>
      <c r="H4351" t="s">
        <v>3957</v>
      </c>
      <c r="I4351" t="s">
        <v>3975</v>
      </c>
      <c r="J4351" t="s">
        <v>6855</v>
      </c>
      <c r="K4351" t="s">
        <v>6999</v>
      </c>
      <c r="L4351" t="s">
        <v>53</v>
      </c>
      <c r="P4351" t="s">
        <v>55</v>
      </c>
      <c r="R4351" t="s">
        <v>53</v>
      </c>
      <c r="T4351" t="s">
        <v>7529</v>
      </c>
      <c r="U4351" t="s">
        <v>58</v>
      </c>
      <c r="V4351">
        <v>2</v>
      </c>
      <c r="W4351">
        <v>1</v>
      </c>
      <c r="X4351">
        <v>2</v>
      </c>
      <c r="Y4351">
        <v>0</v>
      </c>
      <c r="Z4351">
        <v>2</v>
      </c>
      <c r="AA4351">
        <v>204.06</v>
      </c>
      <c r="AB4351">
        <v>204.06</v>
      </c>
      <c r="AC4351">
        <v>179.55</v>
      </c>
      <c r="AD4351">
        <v>0</v>
      </c>
      <c r="AE4351">
        <v>24.51</v>
      </c>
      <c r="AF4351">
        <v>0</v>
      </c>
      <c r="AG4351">
        <v>0</v>
      </c>
      <c r="AH4351">
        <v>0</v>
      </c>
      <c r="AI4351">
        <v>0</v>
      </c>
      <c r="AJ4351">
        <v>204.06</v>
      </c>
      <c r="AK4351">
        <v>0</v>
      </c>
      <c r="AL4351" t="s">
        <v>53</v>
      </c>
      <c r="AM4351" t="s">
        <v>53</v>
      </c>
      <c r="AN4351" t="s">
        <v>53</v>
      </c>
      <c r="AO4351" t="s">
        <v>53</v>
      </c>
      <c r="AP4351" t="s">
        <v>53</v>
      </c>
    </row>
    <row r="4352" spans="2:42" x14ac:dyDescent="0.2">
      <c r="B4352" t="s">
        <v>44</v>
      </c>
      <c r="C4352" t="str">
        <f>HYPERLINK("https://us2.cloudbeds.com/connect/8493803454333002#/reservations/9080486845850464?display=21EJH0M8E5&amp;reservation_id=9080486845850464", "21EJH0M8E5")</f>
        <v>21EJH0M8E5</v>
      </c>
      <c r="D4352" t="s">
        <v>45</v>
      </c>
      <c r="E4352" t="s">
        <v>373</v>
      </c>
      <c r="F4352" t="s">
        <v>47</v>
      </c>
      <c r="G4352" t="s">
        <v>48</v>
      </c>
      <c r="H4352" t="s">
        <v>49</v>
      </c>
      <c r="I4352" t="s">
        <v>50</v>
      </c>
      <c r="J4352" t="s">
        <v>6888</v>
      </c>
      <c r="K4352" t="s">
        <v>6837</v>
      </c>
      <c r="L4352" t="s">
        <v>53</v>
      </c>
      <c r="N4352" t="s">
        <v>7530</v>
      </c>
      <c r="P4352" t="s">
        <v>55</v>
      </c>
      <c r="R4352" t="s">
        <v>53</v>
      </c>
      <c r="T4352" t="s">
        <v>7531</v>
      </c>
      <c r="U4352" t="s">
        <v>58</v>
      </c>
      <c r="V4352">
        <v>2</v>
      </c>
      <c r="W4352">
        <v>1</v>
      </c>
      <c r="X4352">
        <v>2</v>
      </c>
      <c r="Y4352">
        <v>0</v>
      </c>
      <c r="Z4352">
        <v>2</v>
      </c>
      <c r="AA4352">
        <v>158.19999999999999</v>
      </c>
      <c r="AB4352">
        <v>158.19999999999999</v>
      </c>
      <c r="AC4352">
        <v>139.19999999999999</v>
      </c>
      <c r="AD4352">
        <v>0</v>
      </c>
      <c r="AE4352">
        <v>19</v>
      </c>
      <c r="AF4352">
        <v>0</v>
      </c>
      <c r="AG4352">
        <v>0</v>
      </c>
      <c r="AH4352">
        <v>0</v>
      </c>
      <c r="AI4352">
        <v>28.48</v>
      </c>
      <c r="AJ4352">
        <v>158.19999999999999</v>
      </c>
      <c r="AK4352">
        <v>0</v>
      </c>
      <c r="AL4352" t="s">
        <v>53</v>
      </c>
      <c r="AM4352" t="s">
        <v>53</v>
      </c>
      <c r="AN4352" t="s">
        <v>53</v>
      </c>
      <c r="AO4352" t="s">
        <v>53</v>
      </c>
      <c r="AP4352" t="s">
        <v>53</v>
      </c>
    </row>
    <row r="4353" spans="2:42" x14ac:dyDescent="0.2">
      <c r="B4353" t="s">
        <v>44</v>
      </c>
      <c r="C4353" t="str">
        <f>HYPERLINK("https://us2.cloudbeds.com/connect/8493803454333002#/reservations/94876014067849?display=21F5N24SWZ&amp;reservation_id=94876014067849", "21F5N24SWZ")</f>
        <v>21F5N24SWZ</v>
      </c>
      <c r="D4353" t="s">
        <v>45</v>
      </c>
      <c r="E4353" t="s">
        <v>487</v>
      </c>
      <c r="F4353" t="s">
        <v>61</v>
      </c>
      <c r="G4353" t="s">
        <v>48</v>
      </c>
      <c r="H4353" t="s">
        <v>3957</v>
      </c>
      <c r="I4353" t="s">
        <v>3958</v>
      </c>
      <c r="J4353" t="s">
        <v>6819</v>
      </c>
      <c r="K4353" t="s">
        <v>6855</v>
      </c>
      <c r="L4353" t="s">
        <v>53</v>
      </c>
      <c r="P4353" t="s">
        <v>55</v>
      </c>
      <c r="R4353" t="s">
        <v>56</v>
      </c>
      <c r="T4353" t="s">
        <v>7532</v>
      </c>
      <c r="U4353" t="s">
        <v>58</v>
      </c>
      <c r="V4353">
        <v>3</v>
      </c>
      <c r="W4353">
        <v>1</v>
      </c>
      <c r="X4353">
        <v>1</v>
      </c>
      <c r="Y4353">
        <v>0</v>
      </c>
      <c r="Z4353">
        <v>1</v>
      </c>
      <c r="AA4353">
        <v>426.19</v>
      </c>
      <c r="AB4353">
        <v>426.19</v>
      </c>
      <c r="AC4353">
        <v>375</v>
      </c>
      <c r="AD4353">
        <v>0</v>
      </c>
      <c r="AE4353">
        <v>51.19</v>
      </c>
      <c r="AF4353">
        <v>0</v>
      </c>
      <c r="AG4353">
        <v>0</v>
      </c>
      <c r="AH4353">
        <v>0</v>
      </c>
      <c r="AI4353">
        <v>0</v>
      </c>
      <c r="AJ4353">
        <v>426.19</v>
      </c>
      <c r="AK4353">
        <v>0</v>
      </c>
      <c r="AL4353" t="s">
        <v>53</v>
      </c>
      <c r="AM4353" t="s">
        <v>53</v>
      </c>
      <c r="AN4353" t="s">
        <v>53</v>
      </c>
      <c r="AO4353" t="s">
        <v>53</v>
      </c>
      <c r="AP4353" t="s">
        <v>53</v>
      </c>
    </row>
    <row r="4354" spans="2:42" x14ac:dyDescent="0.2">
      <c r="B4354" t="s">
        <v>44</v>
      </c>
      <c r="C4354" t="str">
        <f>HYPERLINK("https://us2.cloudbeds.com/connect/8493803454333002#/reservations/9080486845851037?display=21FNSB9U6C&amp;reservation_id=9080486845851037", "21FNSB9U6C")</f>
        <v>21FNSB9U6C</v>
      </c>
      <c r="D4354" t="s">
        <v>45</v>
      </c>
      <c r="E4354" t="s">
        <v>179</v>
      </c>
      <c r="F4354" t="s">
        <v>47</v>
      </c>
      <c r="G4354" t="s">
        <v>48</v>
      </c>
      <c r="H4354" t="s">
        <v>49</v>
      </c>
      <c r="I4354" t="s">
        <v>62</v>
      </c>
      <c r="J4354" t="s">
        <v>6837</v>
      </c>
      <c r="K4354" t="s">
        <v>6814</v>
      </c>
      <c r="L4354" t="s">
        <v>53</v>
      </c>
      <c r="N4354" t="s">
        <v>7533</v>
      </c>
      <c r="P4354" t="s">
        <v>55</v>
      </c>
      <c r="R4354" t="s">
        <v>56</v>
      </c>
      <c r="T4354" t="s">
        <v>7534</v>
      </c>
      <c r="U4354" t="s">
        <v>55</v>
      </c>
      <c r="V4354">
        <v>3</v>
      </c>
      <c r="W4354">
        <v>1</v>
      </c>
      <c r="X4354">
        <v>2</v>
      </c>
      <c r="Y4354">
        <v>0</v>
      </c>
      <c r="Z4354">
        <v>2</v>
      </c>
      <c r="AA4354">
        <v>211</v>
      </c>
      <c r="AB4354">
        <v>211</v>
      </c>
      <c r="AC4354">
        <v>211</v>
      </c>
      <c r="AD4354">
        <v>0</v>
      </c>
      <c r="AE4354">
        <v>0</v>
      </c>
      <c r="AF4354">
        <v>0</v>
      </c>
      <c r="AG4354">
        <v>0</v>
      </c>
      <c r="AH4354">
        <v>0</v>
      </c>
      <c r="AI4354">
        <v>37.979999999999997</v>
      </c>
      <c r="AJ4354">
        <v>211</v>
      </c>
      <c r="AK4354">
        <v>0</v>
      </c>
      <c r="AL4354" t="s">
        <v>53</v>
      </c>
      <c r="AM4354" t="s">
        <v>53</v>
      </c>
      <c r="AN4354" t="s">
        <v>53</v>
      </c>
      <c r="AO4354" t="s">
        <v>53</v>
      </c>
      <c r="AP4354" t="s">
        <v>53</v>
      </c>
    </row>
    <row r="4355" spans="2:42" x14ac:dyDescent="0.2">
      <c r="B4355" t="s">
        <v>44</v>
      </c>
      <c r="C4355" t="str">
        <f>HYPERLINK("https://us2.cloudbeds.com/connect/8493803454333002#/reservations/9080486845851151?display=21FVGAV9U0&amp;reservation_id=9080486845851151", "21FVGAV9U0")</f>
        <v>21FVGAV9U0</v>
      </c>
      <c r="D4355" t="s">
        <v>45</v>
      </c>
      <c r="E4355" t="s">
        <v>185</v>
      </c>
      <c r="F4355" t="s">
        <v>47</v>
      </c>
      <c r="G4355" t="s">
        <v>48</v>
      </c>
      <c r="H4355" t="s">
        <v>49</v>
      </c>
      <c r="I4355" t="s">
        <v>62</v>
      </c>
      <c r="J4355" t="s">
        <v>6888</v>
      </c>
      <c r="K4355" t="s">
        <v>6836</v>
      </c>
      <c r="L4355" t="s">
        <v>53</v>
      </c>
      <c r="N4355" t="s">
        <v>7535</v>
      </c>
      <c r="P4355" t="s">
        <v>55</v>
      </c>
      <c r="R4355" t="s">
        <v>201</v>
      </c>
      <c r="T4355" t="s">
        <v>7536</v>
      </c>
      <c r="U4355" t="s">
        <v>55</v>
      </c>
      <c r="V4355">
        <v>1</v>
      </c>
      <c r="W4355">
        <v>1</v>
      </c>
      <c r="X4355">
        <v>1</v>
      </c>
      <c r="Y4355">
        <v>0</v>
      </c>
      <c r="Z4355">
        <v>1</v>
      </c>
      <c r="AA4355">
        <v>87</v>
      </c>
      <c r="AB4355">
        <v>87</v>
      </c>
      <c r="AC4355">
        <v>87</v>
      </c>
      <c r="AD4355">
        <v>0</v>
      </c>
      <c r="AE4355">
        <v>0</v>
      </c>
      <c r="AF4355">
        <v>0</v>
      </c>
      <c r="AG4355">
        <v>0</v>
      </c>
      <c r="AH4355">
        <v>0</v>
      </c>
      <c r="AI4355">
        <v>15.66</v>
      </c>
      <c r="AJ4355">
        <v>87</v>
      </c>
      <c r="AK4355">
        <v>0</v>
      </c>
      <c r="AL4355" t="s">
        <v>53</v>
      </c>
      <c r="AM4355" t="s">
        <v>53</v>
      </c>
      <c r="AN4355" t="s">
        <v>53</v>
      </c>
      <c r="AO4355" t="s">
        <v>53</v>
      </c>
      <c r="AP4355" t="s">
        <v>53</v>
      </c>
    </row>
    <row r="4356" spans="2:42" x14ac:dyDescent="0.2">
      <c r="B4356" t="s">
        <v>44</v>
      </c>
      <c r="C4356" t="str">
        <f>HYPERLINK("https://us2.cloudbeds.com/connect/8493803454333002#/reservations/9080486845851201?display=21G35BAJUB&amp;reservation_id=9080486845851201", "21G35BAJUB")</f>
        <v>21G35BAJUB</v>
      </c>
      <c r="D4356" t="s">
        <v>45</v>
      </c>
      <c r="E4356" t="s">
        <v>155</v>
      </c>
      <c r="F4356" t="s">
        <v>86</v>
      </c>
      <c r="G4356" t="s">
        <v>48</v>
      </c>
      <c r="H4356" t="s">
        <v>49</v>
      </c>
      <c r="I4356" t="s">
        <v>50</v>
      </c>
      <c r="J4356" t="s">
        <v>4767</v>
      </c>
      <c r="K4356" t="s">
        <v>4768</v>
      </c>
      <c r="L4356" t="s">
        <v>53</v>
      </c>
      <c r="N4356" t="s">
        <v>7537</v>
      </c>
      <c r="P4356" t="s">
        <v>55</v>
      </c>
      <c r="R4356" t="s">
        <v>53</v>
      </c>
      <c r="T4356" t="s">
        <v>7538</v>
      </c>
      <c r="U4356" t="s">
        <v>58</v>
      </c>
      <c r="V4356">
        <v>1</v>
      </c>
      <c r="W4356">
        <v>1</v>
      </c>
      <c r="X4356">
        <v>2</v>
      </c>
      <c r="Y4356">
        <v>0</v>
      </c>
      <c r="Z4356">
        <v>2</v>
      </c>
      <c r="AA4356">
        <v>150.07</v>
      </c>
      <c r="AB4356">
        <v>150.07</v>
      </c>
      <c r="AC4356">
        <v>132.05000000000001</v>
      </c>
      <c r="AD4356">
        <v>0</v>
      </c>
      <c r="AE4356">
        <v>18.02</v>
      </c>
      <c r="AF4356">
        <v>0</v>
      </c>
      <c r="AG4356">
        <v>0</v>
      </c>
      <c r="AH4356">
        <v>0</v>
      </c>
      <c r="AI4356">
        <v>27.01</v>
      </c>
      <c r="AJ4356">
        <v>150.07</v>
      </c>
      <c r="AK4356">
        <v>0</v>
      </c>
      <c r="AL4356" t="s">
        <v>53</v>
      </c>
      <c r="AM4356" t="s">
        <v>53</v>
      </c>
      <c r="AN4356" t="s">
        <v>7539</v>
      </c>
      <c r="AO4356" t="s">
        <v>53</v>
      </c>
      <c r="AP4356" t="s">
        <v>53</v>
      </c>
    </row>
    <row r="4357" spans="2:42" x14ac:dyDescent="0.2">
      <c r="B4357" t="s">
        <v>44</v>
      </c>
      <c r="C4357" t="str">
        <f>HYPERLINK("https://us2.cloudbeds.com/connect/8493803454333002#/reservations/9080486845851311?display=21G9Y201X1&amp;reservation_id=9080486845851311", "21G9Y201X1")</f>
        <v>21G9Y201X1</v>
      </c>
      <c r="D4357" t="s">
        <v>45</v>
      </c>
      <c r="E4357" t="s">
        <v>190</v>
      </c>
      <c r="F4357" t="s">
        <v>61</v>
      </c>
      <c r="G4357" t="s">
        <v>48</v>
      </c>
      <c r="H4357" t="s">
        <v>49</v>
      </c>
      <c r="I4357" t="s">
        <v>62</v>
      </c>
      <c r="J4357" t="s">
        <v>6836</v>
      </c>
      <c r="K4357" t="s">
        <v>6837</v>
      </c>
      <c r="L4357" t="s">
        <v>53</v>
      </c>
      <c r="N4357" t="s">
        <v>7540</v>
      </c>
      <c r="P4357" t="s">
        <v>55</v>
      </c>
      <c r="R4357" t="s">
        <v>118</v>
      </c>
      <c r="T4357" t="s">
        <v>7541</v>
      </c>
      <c r="U4357" t="s">
        <v>55</v>
      </c>
      <c r="V4357">
        <v>1</v>
      </c>
      <c r="W4357">
        <v>1</v>
      </c>
      <c r="X4357">
        <v>2</v>
      </c>
      <c r="Y4357">
        <v>0</v>
      </c>
      <c r="Z4357">
        <v>2</v>
      </c>
      <c r="AA4357">
        <v>96</v>
      </c>
      <c r="AB4357">
        <v>96</v>
      </c>
      <c r="AC4357">
        <v>96</v>
      </c>
      <c r="AD4357">
        <v>0</v>
      </c>
      <c r="AE4357">
        <v>0</v>
      </c>
      <c r="AF4357">
        <v>0</v>
      </c>
      <c r="AG4357">
        <v>0</v>
      </c>
      <c r="AH4357">
        <v>0</v>
      </c>
      <c r="AI4357">
        <v>17.28</v>
      </c>
      <c r="AJ4357">
        <v>96</v>
      </c>
      <c r="AK4357">
        <v>0</v>
      </c>
      <c r="AL4357" t="s">
        <v>53</v>
      </c>
      <c r="AM4357" t="s">
        <v>53</v>
      </c>
      <c r="AN4357" t="s">
        <v>53</v>
      </c>
      <c r="AO4357" t="s">
        <v>53</v>
      </c>
      <c r="AP4357" t="s">
        <v>53</v>
      </c>
    </row>
    <row r="4358" spans="2:42" x14ac:dyDescent="0.2">
      <c r="B4358" t="s">
        <v>44</v>
      </c>
      <c r="C4358" t="str">
        <f>HYPERLINK("https://us2.cloudbeds.com/connect/8493803454333002#/reservations/9080486845853471?display=21KAZ9JCJ7&amp;reservation_id=9080486845853471", "21KAZ9JCJ7")</f>
        <v>21KAZ9JCJ7</v>
      </c>
      <c r="D4358" t="s">
        <v>45</v>
      </c>
      <c r="E4358" t="s">
        <v>138</v>
      </c>
      <c r="F4358" t="s">
        <v>70</v>
      </c>
      <c r="G4358" t="s">
        <v>48</v>
      </c>
      <c r="H4358" t="s">
        <v>49</v>
      </c>
      <c r="I4358" t="s">
        <v>62</v>
      </c>
      <c r="J4358" t="s">
        <v>7542</v>
      </c>
      <c r="K4358" t="s">
        <v>7543</v>
      </c>
      <c r="L4358" t="s">
        <v>53</v>
      </c>
      <c r="N4358" t="s">
        <v>7544</v>
      </c>
      <c r="P4358" t="s">
        <v>55</v>
      </c>
      <c r="R4358" t="s">
        <v>56</v>
      </c>
      <c r="T4358" t="s">
        <v>7545</v>
      </c>
      <c r="U4358" t="s">
        <v>55</v>
      </c>
      <c r="V4358">
        <v>1</v>
      </c>
      <c r="W4358">
        <v>1</v>
      </c>
      <c r="X4358">
        <v>1</v>
      </c>
      <c r="Y4358">
        <v>0</v>
      </c>
      <c r="Z4358">
        <v>1</v>
      </c>
      <c r="AA4358">
        <v>109</v>
      </c>
      <c r="AB4358">
        <v>109</v>
      </c>
      <c r="AC4358">
        <v>109</v>
      </c>
      <c r="AD4358">
        <v>0</v>
      </c>
      <c r="AE4358">
        <v>0</v>
      </c>
      <c r="AF4358">
        <v>0</v>
      </c>
      <c r="AG4358">
        <v>0</v>
      </c>
      <c r="AH4358">
        <v>0</v>
      </c>
      <c r="AI4358">
        <v>19.62</v>
      </c>
      <c r="AJ4358">
        <v>109</v>
      </c>
      <c r="AK4358">
        <v>0</v>
      </c>
      <c r="AL4358" t="s">
        <v>53</v>
      </c>
      <c r="AM4358" t="s">
        <v>53</v>
      </c>
      <c r="AN4358" t="s">
        <v>53</v>
      </c>
      <c r="AO4358" t="s">
        <v>53</v>
      </c>
      <c r="AP4358" t="s">
        <v>53</v>
      </c>
    </row>
    <row r="4359" spans="2:42" x14ac:dyDescent="0.2">
      <c r="B4359" t="s">
        <v>44</v>
      </c>
      <c r="C4359" t="str">
        <f>HYPERLINK("https://us2.cloudbeds.com/connect/8493803454333002#/reservations/9080486845853728?display=21KK4BV311&amp;reservation_id=9080486845853728", "21KK4BV311")</f>
        <v>21KK4BV311</v>
      </c>
      <c r="D4359" t="s">
        <v>45</v>
      </c>
      <c r="E4359" t="s">
        <v>265</v>
      </c>
      <c r="F4359" t="s">
        <v>61</v>
      </c>
      <c r="G4359" t="s">
        <v>48</v>
      </c>
      <c r="H4359" t="s">
        <v>49</v>
      </c>
      <c r="I4359" t="s">
        <v>50</v>
      </c>
      <c r="J4359" t="s">
        <v>6888</v>
      </c>
      <c r="K4359" t="s">
        <v>6836</v>
      </c>
      <c r="L4359" t="s">
        <v>53</v>
      </c>
      <c r="N4359" t="s">
        <v>7546</v>
      </c>
      <c r="P4359" t="s">
        <v>55</v>
      </c>
      <c r="R4359" t="s">
        <v>53</v>
      </c>
      <c r="T4359" t="s">
        <v>7547</v>
      </c>
      <c r="U4359" t="s">
        <v>58</v>
      </c>
      <c r="V4359">
        <v>1</v>
      </c>
      <c r="W4359">
        <v>1</v>
      </c>
      <c r="X4359">
        <v>2</v>
      </c>
      <c r="Y4359">
        <v>0</v>
      </c>
      <c r="Z4359">
        <v>2</v>
      </c>
      <c r="AA4359">
        <v>97.17</v>
      </c>
      <c r="AB4359">
        <v>97.17</v>
      </c>
      <c r="AC4359">
        <v>85.5</v>
      </c>
      <c r="AD4359">
        <v>0</v>
      </c>
      <c r="AE4359">
        <v>11.67</v>
      </c>
      <c r="AF4359">
        <v>0</v>
      </c>
      <c r="AG4359">
        <v>0</v>
      </c>
      <c r="AH4359">
        <v>0</v>
      </c>
      <c r="AI4359">
        <v>17.489999999999998</v>
      </c>
      <c r="AJ4359">
        <v>97.17</v>
      </c>
      <c r="AK4359">
        <v>0</v>
      </c>
      <c r="AL4359" t="s">
        <v>53</v>
      </c>
      <c r="AM4359" t="s">
        <v>53</v>
      </c>
      <c r="AN4359" t="s">
        <v>53</v>
      </c>
      <c r="AO4359" t="s">
        <v>53</v>
      </c>
      <c r="AP4359" t="s">
        <v>53</v>
      </c>
    </row>
    <row r="4360" spans="2:42" x14ac:dyDescent="0.2">
      <c r="B4360" t="s">
        <v>44</v>
      </c>
      <c r="C4360" t="str">
        <f>HYPERLINK("https://us2.cloudbeds.com/connect/8493803454333002#/reservations/95206449606859?display=21MUXF4S0X&amp;reservation_id=95206449606859", "21MUXF4S0X")</f>
        <v>21MUXF4S0X</v>
      </c>
      <c r="D4360" t="s">
        <v>45</v>
      </c>
      <c r="E4360" t="s">
        <v>155</v>
      </c>
      <c r="F4360" t="s">
        <v>86</v>
      </c>
      <c r="G4360" t="s">
        <v>48</v>
      </c>
      <c r="H4360" t="s">
        <v>3957</v>
      </c>
      <c r="I4360" t="s">
        <v>3975</v>
      </c>
      <c r="J4360" t="s">
        <v>6888</v>
      </c>
      <c r="K4360" t="s">
        <v>6836</v>
      </c>
      <c r="L4360" t="s">
        <v>53</v>
      </c>
      <c r="P4360" t="s">
        <v>55</v>
      </c>
      <c r="R4360" t="s">
        <v>53</v>
      </c>
      <c r="T4360" t="s">
        <v>7548</v>
      </c>
      <c r="U4360" t="s">
        <v>58</v>
      </c>
      <c r="V4360">
        <v>1</v>
      </c>
      <c r="W4360">
        <v>1</v>
      </c>
      <c r="X4360">
        <v>2</v>
      </c>
      <c r="Y4360">
        <v>0</v>
      </c>
      <c r="Z4360">
        <v>2</v>
      </c>
      <c r="AA4360">
        <v>127.29</v>
      </c>
      <c r="AB4360">
        <v>127.29</v>
      </c>
      <c r="AC4360">
        <v>112</v>
      </c>
      <c r="AD4360">
        <v>0</v>
      </c>
      <c r="AE4360">
        <v>15.29</v>
      </c>
      <c r="AF4360">
        <v>0</v>
      </c>
      <c r="AG4360">
        <v>0</v>
      </c>
      <c r="AH4360">
        <v>0</v>
      </c>
      <c r="AI4360">
        <v>0</v>
      </c>
      <c r="AJ4360">
        <v>127.29</v>
      </c>
      <c r="AK4360">
        <v>0</v>
      </c>
      <c r="AL4360" t="s">
        <v>53</v>
      </c>
      <c r="AM4360" t="s">
        <v>53</v>
      </c>
      <c r="AN4360" t="s">
        <v>53</v>
      </c>
      <c r="AO4360" t="s">
        <v>53</v>
      </c>
      <c r="AP4360" t="s">
        <v>53</v>
      </c>
    </row>
    <row r="4361" spans="2:42" x14ac:dyDescent="0.2">
      <c r="B4361" t="s">
        <v>44</v>
      </c>
      <c r="C4361" t="str">
        <f>HYPERLINK("https://us2.cloudbeds.com/connect/8493803454333002#/reservations/9080486845855392?display=21NETWVU6D&amp;reservation_id=9080486845855392", "21NETWVU6D")</f>
        <v>21NETWVU6D</v>
      </c>
      <c r="D4361" t="s">
        <v>45</v>
      </c>
      <c r="E4361" t="s">
        <v>85</v>
      </c>
      <c r="F4361" t="s">
        <v>86</v>
      </c>
      <c r="G4361" t="s">
        <v>48</v>
      </c>
      <c r="H4361" t="s">
        <v>49</v>
      </c>
      <c r="I4361" t="s">
        <v>50</v>
      </c>
      <c r="J4361" t="s">
        <v>5430</v>
      </c>
      <c r="K4361" t="s">
        <v>6335</v>
      </c>
      <c r="L4361" t="s">
        <v>53</v>
      </c>
      <c r="N4361" t="s">
        <v>7549</v>
      </c>
      <c r="P4361" t="s">
        <v>55</v>
      </c>
      <c r="R4361" t="s">
        <v>53</v>
      </c>
      <c r="T4361" t="s">
        <v>7550</v>
      </c>
      <c r="U4361" t="s">
        <v>58</v>
      </c>
      <c r="V4361">
        <v>2</v>
      </c>
      <c r="W4361">
        <v>1</v>
      </c>
      <c r="X4361">
        <v>2</v>
      </c>
      <c r="Y4361">
        <v>0</v>
      </c>
      <c r="Z4361">
        <v>2</v>
      </c>
      <c r="AA4361">
        <v>304.3</v>
      </c>
      <c r="AB4361">
        <v>304.3</v>
      </c>
      <c r="AC4361">
        <v>267.75</v>
      </c>
      <c r="AD4361">
        <v>0</v>
      </c>
      <c r="AE4361">
        <v>36.549999999999997</v>
      </c>
      <c r="AF4361">
        <v>0</v>
      </c>
      <c r="AG4361">
        <v>0</v>
      </c>
      <c r="AH4361">
        <v>0</v>
      </c>
      <c r="AI4361">
        <v>54.77</v>
      </c>
      <c r="AJ4361">
        <v>304.3</v>
      </c>
      <c r="AK4361">
        <v>0</v>
      </c>
      <c r="AL4361" t="s">
        <v>53</v>
      </c>
      <c r="AM4361" t="s">
        <v>53</v>
      </c>
      <c r="AN4361" t="s">
        <v>53</v>
      </c>
      <c r="AO4361" t="s">
        <v>53</v>
      </c>
      <c r="AP4361" t="s">
        <v>53</v>
      </c>
    </row>
    <row r="4362" spans="2:42" x14ac:dyDescent="0.2">
      <c r="B4362" t="s">
        <v>44</v>
      </c>
      <c r="C4362" t="str">
        <f>HYPERLINK("https://us2.cloudbeds.com/connect/8493803454333002#/reservations/95252967927990?display=21Z0J3KNBE&amp;reservation_id=95252967927990", "21Z0J3KNBE")</f>
        <v>21Z0J3KNBE</v>
      </c>
      <c r="D4362" t="s">
        <v>45</v>
      </c>
      <c r="E4362" t="s">
        <v>98</v>
      </c>
      <c r="F4362" t="s">
        <v>86</v>
      </c>
      <c r="G4362" t="s">
        <v>48</v>
      </c>
      <c r="H4362" t="s">
        <v>3957</v>
      </c>
      <c r="I4362" t="s">
        <v>3958</v>
      </c>
      <c r="J4362" t="s">
        <v>6888</v>
      </c>
      <c r="K4362" t="s">
        <v>6836</v>
      </c>
      <c r="L4362" t="s">
        <v>53</v>
      </c>
      <c r="P4362" t="s">
        <v>55</v>
      </c>
      <c r="R4362" t="s">
        <v>56</v>
      </c>
      <c r="T4362" t="s">
        <v>7551</v>
      </c>
      <c r="U4362" t="s">
        <v>58</v>
      </c>
      <c r="V4362">
        <v>1</v>
      </c>
      <c r="W4362">
        <v>1</v>
      </c>
      <c r="X4362">
        <v>1</v>
      </c>
      <c r="Y4362">
        <v>0</v>
      </c>
      <c r="Z4362">
        <v>1</v>
      </c>
      <c r="AA4362">
        <v>125.02</v>
      </c>
      <c r="AB4362">
        <v>125.02</v>
      </c>
      <c r="AC4362">
        <v>110</v>
      </c>
      <c r="AD4362">
        <v>0</v>
      </c>
      <c r="AE4362">
        <v>15.02</v>
      </c>
      <c r="AF4362">
        <v>0</v>
      </c>
      <c r="AG4362">
        <v>0</v>
      </c>
      <c r="AH4362">
        <v>0</v>
      </c>
      <c r="AI4362">
        <v>0</v>
      </c>
      <c r="AJ4362">
        <v>125.02</v>
      </c>
      <c r="AK4362">
        <v>0</v>
      </c>
      <c r="AL4362" t="s">
        <v>53</v>
      </c>
      <c r="AM4362" t="s">
        <v>53</v>
      </c>
      <c r="AN4362" t="s">
        <v>53</v>
      </c>
      <c r="AO4362" t="s">
        <v>53</v>
      </c>
      <c r="AP4362" t="s">
        <v>53</v>
      </c>
    </row>
    <row r="4363" spans="2:42" x14ac:dyDescent="0.2">
      <c r="B4363" t="s">
        <v>44</v>
      </c>
      <c r="C4363" t="str">
        <f>HYPERLINK("https://us2.cloudbeds.com/connect/8493803454333002#/reservations/9080486845855710?display=21Z55FGZCG&amp;reservation_id=9080486845855710", "21Z55FGZCG")</f>
        <v>21Z55FGZCG</v>
      </c>
      <c r="D4363" t="s">
        <v>45</v>
      </c>
      <c r="E4363" t="s">
        <v>98</v>
      </c>
      <c r="F4363" t="s">
        <v>86</v>
      </c>
      <c r="G4363" t="s">
        <v>48</v>
      </c>
      <c r="H4363" t="s">
        <v>49</v>
      </c>
      <c r="I4363" t="s">
        <v>50</v>
      </c>
      <c r="J4363" t="s">
        <v>5430</v>
      </c>
      <c r="K4363" t="s">
        <v>6922</v>
      </c>
      <c r="L4363" t="s">
        <v>53</v>
      </c>
      <c r="N4363" t="s">
        <v>7552</v>
      </c>
      <c r="P4363" t="s">
        <v>55</v>
      </c>
      <c r="R4363" t="s">
        <v>53</v>
      </c>
      <c r="T4363" t="s">
        <v>7553</v>
      </c>
      <c r="U4363" t="s">
        <v>58</v>
      </c>
      <c r="V4363">
        <v>4</v>
      </c>
      <c r="W4363">
        <v>1</v>
      </c>
      <c r="X4363">
        <v>3</v>
      </c>
      <c r="Y4363">
        <v>0</v>
      </c>
      <c r="Z4363">
        <v>3</v>
      </c>
      <c r="AA4363">
        <v>641.32000000000005</v>
      </c>
      <c r="AB4363">
        <v>641.32000000000005</v>
      </c>
      <c r="AC4363">
        <v>564.29999999999995</v>
      </c>
      <c r="AD4363">
        <v>0</v>
      </c>
      <c r="AE4363">
        <v>77.02</v>
      </c>
      <c r="AF4363">
        <v>0</v>
      </c>
      <c r="AG4363">
        <v>0</v>
      </c>
      <c r="AH4363">
        <v>0</v>
      </c>
      <c r="AI4363">
        <v>115.44</v>
      </c>
      <c r="AJ4363">
        <v>641.32000000000005</v>
      </c>
      <c r="AK4363">
        <v>0</v>
      </c>
      <c r="AL4363" t="s">
        <v>53</v>
      </c>
      <c r="AM4363" t="s">
        <v>53</v>
      </c>
      <c r="AN4363" t="s">
        <v>53</v>
      </c>
      <c r="AO4363" t="s">
        <v>53</v>
      </c>
      <c r="AP4363" t="s">
        <v>53</v>
      </c>
    </row>
    <row r="4364" spans="2:42" x14ac:dyDescent="0.2">
      <c r="B4364" t="s">
        <v>44</v>
      </c>
      <c r="C4364" t="str">
        <f>HYPERLINK("https://us2.cloudbeds.com/connect/8493803454333002#/reservations/95292339937488?display=21ZV254U1B&amp;reservation_id=95292339937488", "21ZV254U1B")</f>
        <v>21ZV254U1B</v>
      </c>
      <c r="D4364" t="s">
        <v>45</v>
      </c>
      <c r="E4364" t="s">
        <v>487</v>
      </c>
      <c r="F4364" t="s">
        <v>61</v>
      </c>
      <c r="G4364" t="s">
        <v>48</v>
      </c>
      <c r="H4364" t="s">
        <v>3957</v>
      </c>
      <c r="I4364" t="s">
        <v>3975</v>
      </c>
      <c r="J4364" t="s">
        <v>6836</v>
      </c>
      <c r="K4364" t="s">
        <v>6837</v>
      </c>
      <c r="L4364" t="s">
        <v>53</v>
      </c>
      <c r="P4364" t="s">
        <v>55</v>
      </c>
      <c r="R4364" t="s">
        <v>53</v>
      </c>
      <c r="T4364" t="s">
        <v>7554</v>
      </c>
      <c r="U4364" t="s">
        <v>58</v>
      </c>
      <c r="V4364">
        <v>1</v>
      </c>
      <c r="W4364">
        <v>1</v>
      </c>
      <c r="X4364">
        <v>2</v>
      </c>
      <c r="Y4364">
        <v>0</v>
      </c>
      <c r="Z4364">
        <v>2</v>
      </c>
      <c r="AA4364">
        <v>106.84</v>
      </c>
      <c r="AB4364">
        <v>112.27</v>
      </c>
      <c r="AC4364">
        <v>94</v>
      </c>
      <c r="AD4364">
        <v>5</v>
      </c>
      <c r="AE4364">
        <v>13.27</v>
      </c>
      <c r="AF4364">
        <v>0</v>
      </c>
      <c r="AG4364">
        <v>0</v>
      </c>
      <c r="AH4364">
        <v>0</v>
      </c>
      <c r="AI4364">
        <v>0</v>
      </c>
      <c r="AJ4364">
        <v>112.27</v>
      </c>
      <c r="AK4364">
        <v>0</v>
      </c>
      <c r="AL4364" t="s">
        <v>53</v>
      </c>
      <c r="AM4364" t="s">
        <v>53</v>
      </c>
      <c r="AN4364" t="s">
        <v>53</v>
      </c>
      <c r="AO4364" t="s">
        <v>53</v>
      </c>
      <c r="AP4364" t="s">
        <v>53</v>
      </c>
    </row>
    <row r="4365" spans="2:42" x14ac:dyDescent="0.2">
      <c r="B4365" t="s">
        <v>44</v>
      </c>
      <c r="C4365" t="str">
        <f>HYPERLINK("https://us2.cloudbeds.com/connect/8493803454333002#/reservations/9080486845857131?display=21RFSZ3ZAD&amp;reservation_id=9080486845857131", "21RFSZ3ZAD")</f>
        <v>21RFSZ3ZAD</v>
      </c>
      <c r="D4365" t="s">
        <v>45</v>
      </c>
      <c r="E4365" t="s">
        <v>138</v>
      </c>
      <c r="F4365" t="s">
        <v>70</v>
      </c>
      <c r="G4365" t="s">
        <v>48</v>
      </c>
      <c r="H4365" t="s">
        <v>49</v>
      </c>
      <c r="I4365" t="s">
        <v>50</v>
      </c>
      <c r="J4365" t="s">
        <v>6837</v>
      </c>
      <c r="K4365" t="s">
        <v>7144</v>
      </c>
      <c r="L4365" t="s">
        <v>53</v>
      </c>
      <c r="N4365" t="s">
        <v>7555</v>
      </c>
      <c r="P4365" t="s">
        <v>55</v>
      </c>
      <c r="R4365" t="s">
        <v>53</v>
      </c>
      <c r="T4365" t="s">
        <v>7556</v>
      </c>
      <c r="U4365" t="s">
        <v>58</v>
      </c>
      <c r="V4365">
        <v>1</v>
      </c>
      <c r="W4365">
        <v>1</v>
      </c>
      <c r="X4365">
        <v>1</v>
      </c>
      <c r="Y4365">
        <v>0</v>
      </c>
      <c r="Z4365">
        <v>1</v>
      </c>
      <c r="AA4365">
        <v>64.56</v>
      </c>
      <c r="AB4365">
        <v>64.56</v>
      </c>
      <c r="AC4365">
        <v>56.8</v>
      </c>
      <c r="AD4365">
        <v>0</v>
      </c>
      <c r="AE4365">
        <v>7.76</v>
      </c>
      <c r="AF4365">
        <v>0</v>
      </c>
      <c r="AG4365">
        <v>0</v>
      </c>
      <c r="AH4365">
        <v>0</v>
      </c>
      <c r="AI4365">
        <v>11.62</v>
      </c>
      <c r="AJ4365">
        <v>64.56</v>
      </c>
      <c r="AK4365">
        <v>0</v>
      </c>
      <c r="AL4365" t="s">
        <v>53</v>
      </c>
      <c r="AM4365" t="s">
        <v>53</v>
      </c>
      <c r="AN4365" t="s">
        <v>53</v>
      </c>
      <c r="AO4365" t="s">
        <v>53</v>
      </c>
      <c r="AP4365" t="s">
        <v>53</v>
      </c>
    </row>
    <row r="4366" spans="2:42" x14ac:dyDescent="0.2">
      <c r="B4366" t="s">
        <v>44</v>
      </c>
      <c r="C4366" t="str">
        <f>HYPERLINK("https://us2.cloudbeds.com/connect/8493803454333002#/reservations/9080486845857505?display=21S57UFXQ3&amp;reservation_id=9080486845857505", "21S57UFXQ3")</f>
        <v>21S57UFXQ3</v>
      </c>
      <c r="D4366" t="s">
        <v>45</v>
      </c>
      <c r="E4366" t="s">
        <v>138</v>
      </c>
      <c r="F4366" t="s">
        <v>70</v>
      </c>
      <c r="G4366" t="s">
        <v>48</v>
      </c>
      <c r="H4366" t="s">
        <v>49</v>
      </c>
      <c r="I4366" t="s">
        <v>62</v>
      </c>
      <c r="J4366" t="s">
        <v>6586</v>
      </c>
      <c r="K4366" t="s">
        <v>5967</v>
      </c>
      <c r="L4366" t="s">
        <v>53</v>
      </c>
      <c r="N4366" t="s">
        <v>7557</v>
      </c>
      <c r="P4366" t="s">
        <v>55</v>
      </c>
      <c r="R4366" t="s">
        <v>56</v>
      </c>
      <c r="T4366" t="s">
        <v>7558</v>
      </c>
      <c r="U4366" t="s">
        <v>55</v>
      </c>
      <c r="V4366">
        <v>1</v>
      </c>
      <c r="W4366">
        <v>1</v>
      </c>
      <c r="X4366">
        <v>2</v>
      </c>
      <c r="Y4366">
        <v>0</v>
      </c>
      <c r="Z4366">
        <v>2</v>
      </c>
      <c r="AA4366">
        <v>90</v>
      </c>
      <c r="AB4366">
        <v>90</v>
      </c>
      <c r="AC4366">
        <v>90</v>
      </c>
      <c r="AD4366">
        <v>0</v>
      </c>
      <c r="AE4366">
        <v>0</v>
      </c>
      <c r="AF4366">
        <v>0</v>
      </c>
      <c r="AG4366">
        <v>0</v>
      </c>
      <c r="AH4366">
        <v>0</v>
      </c>
      <c r="AI4366">
        <v>16.2</v>
      </c>
      <c r="AJ4366">
        <v>90</v>
      </c>
      <c r="AK4366">
        <v>0</v>
      </c>
      <c r="AL4366" t="s">
        <v>53</v>
      </c>
      <c r="AM4366" t="s">
        <v>53</v>
      </c>
      <c r="AN4366" t="s">
        <v>53</v>
      </c>
      <c r="AO4366" t="s">
        <v>53</v>
      </c>
      <c r="AP4366" t="s">
        <v>53</v>
      </c>
    </row>
    <row r="4367" spans="2:42" x14ac:dyDescent="0.2">
      <c r="B4367" t="s">
        <v>44</v>
      </c>
      <c r="C4367" t="str">
        <f>HYPERLINK("https://us2.cloudbeds.com/connect/8493803454333002#/reservations/9080486845857823?display=21SYHDP4BU&amp;reservation_id=9080486845857823", "21SYHDP4BU")</f>
        <v>21SYHDP4BU</v>
      </c>
      <c r="D4367" t="s">
        <v>45</v>
      </c>
      <c r="E4367" t="s">
        <v>69</v>
      </c>
      <c r="F4367" t="s">
        <v>70</v>
      </c>
      <c r="G4367" t="s">
        <v>48</v>
      </c>
      <c r="H4367" t="s">
        <v>49</v>
      </c>
      <c r="I4367" t="s">
        <v>62</v>
      </c>
      <c r="J4367" t="s">
        <v>7559</v>
      </c>
      <c r="K4367" t="s">
        <v>6662</v>
      </c>
      <c r="L4367" t="s">
        <v>53</v>
      </c>
      <c r="N4367" t="s">
        <v>7560</v>
      </c>
      <c r="P4367" t="s">
        <v>55</v>
      </c>
      <c r="R4367" t="s">
        <v>56</v>
      </c>
      <c r="T4367" t="s">
        <v>7561</v>
      </c>
      <c r="U4367" t="s">
        <v>55</v>
      </c>
      <c r="V4367">
        <v>1</v>
      </c>
      <c r="W4367">
        <v>1</v>
      </c>
      <c r="X4367">
        <v>1</v>
      </c>
      <c r="Y4367">
        <v>0</v>
      </c>
      <c r="Z4367">
        <v>1</v>
      </c>
      <c r="AA4367">
        <v>151</v>
      </c>
      <c r="AB4367">
        <v>151</v>
      </c>
      <c r="AC4367">
        <v>151</v>
      </c>
      <c r="AD4367">
        <v>0</v>
      </c>
      <c r="AE4367">
        <v>0</v>
      </c>
      <c r="AF4367">
        <v>0</v>
      </c>
      <c r="AG4367">
        <v>0</v>
      </c>
      <c r="AH4367">
        <v>0</v>
      </c>
      <c r="AI4367">
        <v>27.18</v>
      </c>
      <c r="AJ4367">
        <v>151</v>
      </c>
      <c r="AK4367">
        <v>0</v>
      </c>
      <c r="AL4367" t="s">
        <v>53</v>
      </c>
      <c r="AM4367" t="s">
        <v>53</v>
      </c>
      <c r="AN4367" t="s">
        <v>53</v>
      </c>
      <c r="AO4367" t="s">
        <v>53</v>
      </c>
      <c r="AP4367" t="s">
        <v>53</v>
      </c>
    </row>
    <row r="4368" spans="2:42" x14ac:dyDescent="0.2">
      <c r="B4368" t="s">
        <v>44</v>
      </c>
      <c r="C4368" t="str">
        <f>HYPERLINK("https://us2.cloudbeds.com/connect/8493803454333002#/reservations/9080486845858420?display=21TFRCK634&amp;reservation_id=9080486845858420", "21TFRCK634")</f>
        <v>21TFRCK634</v>
      </c>
      <c r="D4368" t="s">
        <v>45</v>
      </c>
      <c r="E4368" t="s">
        <v>113</v>
      </c>
      <c r="F4368" t="s">
        <v>61</v>
      </c>
      <c r="G4368" t="s">
        <v>48</v>
      </c>
      <c r="H4368" t="s">
        <v>49</v>
      </c>
      <c r="I4368" t="s">
        <v>50</v>
      </c>
      <c r="J4368" t="s">
        <v>6922</v>
      </c>
      <c r="K4368" t="s">
        <v>4442</v>
      </c>
      <c r="L4368" t="s">
        <v>53</v>
      </c>
      <c r="N4368" t="s">
        <v>7562</v>
      </c>
      <c r="P4368" t="s">
        <v>55</v>
      </c>
      <c r="R4368" t="s">
        <v>53</v>
      </c>
      <c r="T4368" t="s">
        <v>7563</v>
      </c>
      <c r="U4368" t="s">
        <v>58</v>
      </c>
      <c r="V4368">
        <v>1</v>
      </c>
      <c r="W4368">
        <v>1</v>
      </c>
      <c r="X4368">
        <v>2</v>
      </c>
      <c r="Y4368">
        <v>0</v>
      </c>
      <c r="Z4368">
        <v>2</v>
      </c>
      <c r="AA4368">
        <v>154.38999999999999</v>
      </c>
      <c r="AB4368">
        <v>154.38999999999999</v>
      </c>
      <c r="AC4368">
        <v>135.85</v>
      </c>
      <c r="AD4368">
        <v>0</v>
      </c>
      <c r="AE4368">
        <v>18.54</v>
      </c>
      <c r="AF4368">
        <v>0</v>
      </c>
      <c r="AG4368">
        <v>0</v>
      </c>
      <c r="AH4368">
        <v>0</v>
      </c>
      <c r="AI4368">
        <v>27.79</v>
      </c>
      <c r="AJ4368">
        <v>154.38999999999999</v>
      </c>
      <c r="AK4368">
        <v>0</v>
      </c>
      <c r="AL4368" t="s">
        <v>53</v>
      </c>
      <c r="AM4368" t="s">
        <v>53</v>
      </c>
      <c r="AN4368" t="s">
        <v>53</v>
      </c>
      <c r="AO4368" t="s">
        <v>53</v>
      </c>
      <c r="AP4368" t="s">
        <v>53</v>
      </c>
    </row>
    <row r="4369" spans="2:42" x14ac:dyDescent="0.2">
      <c r="B4369" t="s">
        <v>44</v>
      </c>
      <c r="C4369" t="str">
        <f>HYPERLINK("https://us2.cloudbeds.com/connect/8493803454333002#/reservations/9080486845858422?display=21TG2RKRYB&amp;reservation_id=9080486845858422", "21TG2RKRYB")</f>
        <v>21TG2RKRYB</v>
      </c>
      <c r="D4369" t="s">
        <v>45</v>
      </c>
      <c r="E4369" t="s">
        <v>78</v>
      </c>
      <c r="F4369" t="s">
        <v>61</v>
      </c>
      <c r="G4369" t="s">
        <v>48</v>
      </c>
      <c r="H4369" t="s">
        <v>49</v>
      </c>
      <c r="I4369" t="s">
        <v>50</v>
      </c>
      <c r="J4369" t="s">
        <v>6922</v>
      </c>
      <c r="K4369" t="s">
        <v>4442</v>
      </c>
      <c r="L4369" t="s">
        <v>53</v>
      </c>
      <c r="N4369" t="s">
        <v>7564</v>
      </c>
      <c r="P4369" t="s">
        <v>55</v>
      </c>
      <c r="R4369" t="s">
        <v>53</v>
      </c>
      <c r="T4369" t="s">
        <v>7565</v>
      </c>
      <c r="U4369" t="s">
        <v>58</v>
      </c>
      <c r="V4369">
        <v>1</v>
      </c>
      <c r="W4369">
        <v>1</v>
      </c>
      <c r="X4369">
        <v>1</v>
      </c>
      <c r="Y4369">
        <v>0</v>
      </c>
      <c r="Z4369">
        <v>1</v>
      </c>
      <c r="AA4369">
        <v>154.38999999999999</v>
      </c>
      <c r="AB4369">
        <v>154.38999999999999</v>
      </c>
      <c r="AC4369">
        <v>135.85</v>
      </c>
      <c r="AD4369">
        <v>0</v>
      </c>
      <c r="AE4369">
        <v>18.54</v>
      </c>
      <c r="AF4369">
        <v>0</v>
      </c>
      <c r="AG4369">
        <v>0</v>
      </c>
      <c r="AH4369">
        <v>0</v>
      </c>
      <c r="AI4369">
        <v>27.79</v>
      </c>
      <c r="AJ4369">
        <v>154.38999999999999</v>
      </c>
      <c r="AK4369">
        <v>0</v>
      </c>
      <c r="AL4369" t="s">
        <v>53</v>
      </c>
      <c r="AM4369" t="s">
        <v>53</v>
      </c>
      <c r="AN4369" t="s">
        <v>53</v>
      </c>
      <c r="AO4369" t="s">
        <v>53</v>
      </c>
      <c r="AP4369" t="s">
        <v>53</v>
      </c>
    </row>
    <row r="4370" spans="2:42" x14ac:dyDescent="0.2">
      <c r="B4370" t="s">
        <v>44</v>
      </c>
      <c r="C4370" t="str">
        <f>HYPERLINK("https://us2.cloudbeds.com/connect/8493803454333002#/reservations/9080486845858914?display=21U9FV3Y51&amp;reservation_id=9080486845858914", "21U9FV3Y51")</f>
        <v>21U9FV3Y51</v>
      </c>
      <c r="D4370" t="s">
        <v>45</v>
      </c>
      <c r="E4370" t="s">
        <v>138</v>
      </c>
      <c r="F4370" t="s">
        <v>70</v>
      </c>
      <c r="G4370" t="s">
        <v>48</v>
      </c>
      <c r="H4370" t="s">
        <v>49</v>
      </c>
      <c r="I4370" t="s">
        <v>50</v>
      </c>
      <c r="J4370" t="s">
        <v>6819</v>
      </c>
      <c r="K4370" t="s">
        <v>7078</v>
      </c>
      <c r="L4370" t="s">
        <v>53</v>
      </c>
      <c r="N4370" t="s">
        <v>7566</v>
      </c>
      <c r="P4370" t="s">
        <v>55</v>
      </c>
      <c r="R4370" t="s">
        <v>53</v>
      </c>
      <c r="T4370" t="s">
        <v>7567</v>
      </c>
      <c r="U4370" t="s">
        <v>58</v>
      </c>
      <c r="V4370">
        <v>2</v>
      </c>
      <c r="W4370">
        <v>1</v>
      </c>
      <c r="X4370">
        <v>2</v>
      </c>
      <c r="Y4370">
        <v>0</v>
      </c>
      <c r="Z4370">
        <v>2</v>
      </c>
      <c r="AA4370">
        <v>210.76</v>
      </c>
      <c r="AB4370">
        <v>210.76</v>
      </c>
      <c r="AC4370">
        <v>185.44</v>
      </c>
      <c r="AD4370">
        <v>0</v>
      </c>
      <c r="AE4370">
        <v>25.32</v>
      </c>
      <c r="AF4370">
        <v>0</v>
      </c>
      <c r="AG4370">
        <v>0</v>
      </c>
      <c r="AH4370">
        <v>0</v>
      </c>
      <c r="AI4370">
        <v>37.94</v>
      </c>
      <c r="AJ4370">
        <v>210.76</v>
      </c>
      <c r="AK4370">
        <v>0</v>
      </c>
      <c r="AL4370" t="s">
        <v>53</v>
      </c>
      <c r="AM4370" t="s">
        <v>53</v>
      </c>
      <c r="AN4370" t="s">
        <v>7568</v>
      </c>
      <c r="AO4370" t="s">
        <v>53</v>
      </c>
      <c r="AP4370" t="s">
        <v>53</v>
      </c>
    </row>
    <row r="4371" spans="2:42" x14ac:dyDescent="0.2">
      <c r="B4371" t="s">
        <v>44</v>
      </c>
      <c r="C4371" t="str">
        <f>HYPERLINK("https://us2.cloudbeds.com/connect/8493803454333002#/reservations/9080486845859627?display=21VP45Q9GS&amp;reservation_id=9080486845859627", "21VP45Q9GS")</f>
        <v>21VP45Q9GS</v>
      </c>
      <c r="D4371" t="s">
        <v>45</v>
      </c>
      <c r="E4371" t="s">
        <v>113</v>
      </c>
      <c r="F4371" t="s">
        <v>61</v>
      </c>
      <c r="G4371" t="s">
        <v>48</v>
      </c>
      <c r="H4371" t="s">
        <v>49</v>
      </c>
      <c r="I4371" t="s">
        <v>62</v>
      </c>
      <c r="J4371" t="s">
        <v>7486</v>
      </c>
      <c r="K4371" t="s">
        <v>6661</v>
      </c>
      <c r="L4371" t="s">
        <v>53</v>
      </c>
      <c r="N4371" t="s">
        <v>7569</v>
      </c>
      <c r="P4371" t="s">
        <v>55</v>
      </c>
      <c r="R4371" t="s">
        <v>56</v>
      </c>
      <c r="T4371" t="s">
        <v>7570</v>
      </c>
      <c r="U4371" t="s">
        <v>55</v>
      </c>
      <c r="V4371">
        <v>3</v>
      </c>
      <c r="W4371">
        <v>1</v>
      </c>
      <c r="X4371">
        <v>2</v>
      </c>
      <c r="Y4371">
        <v>0</v>
      </c>
      <c r="Z4371">
        <v>2</v>
      </c>
      <c r="AA4371">
        <v>541</v>
      </c>
      <c r="AB4371">
        <v>541</v>
      </c>
      <c r="AC4371">
        <v>541</v>
      </c>
      <c r="AD4371">
        <v>0</v>
      </c>
      <c r="AE4371">
        <v>0</v>
      </c>
      <c r="AF4371">
        <v>0</v>
      </c>
      <c r="AG4371">
        <v>0</v>
      </c>
      <c r="AH4371">
        <v>0</v>
      </c>
      <c r="AI4371">
        <v>97.38</v>
      </c>
      <c r="AJ4371">
        <v>541</v>
      </c>
      <c r="AK4371">
        <v>0</v>
      </c>
      <c r="AL4371" t="s">
        <v>53</v>
      </c>
      <c r="AM4371" t="s">
        <v>53</v>
      </c>
      <c r="AN4371" t="s">
        <v>7571</v>
      </c>
      <c r="AO4371" t="s">
        <v>53</v>
      </c>
      <c r="AP4371" t="s">
        <v>53</v>
      </c>
    </row>
    <row r="4372" spans="2:42" x14ac:dyDescent="0.2">
      <c r="B4372" t="s">
        <v>44</v>
      </c>
      <c r="C4372" t="str">
        <f>HYPERLINK("https://us2.cloudbeds.com/connect/8493803454333002#/reservations/9080486845859650?display=21VQTDQMJ2&amp;reservation_id=9080486845859650", "21VQTDQMJ2")</f>
        <v>21VQTDQMJ2</v>
      </c>
      <c r="D4372" t="s">
        <v>45</v>
      </c>
      <c r="E4372" t="s">
        <v>223</v>
      </c>
      <c r="F4372" t="s">
        <v>47</v>
      </c>
      <c r="G4372" t="s">
        <v>48</v>
      </c>
      <c r="H4372" t="s">
        <v>49</v>
      </c>
      <c r="I4372" t="s">
        <v>62</v>
      </c>
      <c r="J4372" t="s">
        <v>6836</v>
      </c>
      <c r="K4372" t="s">
        <v>7144</v>
      </c>
      <c r="L4372" t="s">
        <v>53</v>
      </c>
      <c r="N4372" t="s">
        <v>7572</v>
      </c>
      <c r="P4372" t="s">
        <v>55</v>
      </c>
      <c r="R4372" t="s">
        <v>56</v>
      </c>
      <c r="T4372" t="s">
        <v>7573</v>
      </c>
      <c r="U4372" t="s">
        <v>55</v>
      </c>
      <c r="V4372">
        <v>2</v>
      </c>
      <c r="W4372">
        <v>1</v>
      </c>
      <c r="X4372">
        <v>2</v>
      </c>
      <c r="Y4372">
        <v>0</v>
      </c>
      <c r="Z4372">
        <v>2</v>
      </c>
      <c r="AA4372">
        <v>161</v>
      </c>
      <c r="AB4372">
        <v>161</v>
      </c>
      <c r="AC4372">
        <v>161</v>
      </c>
      <c r="AD4372">
        <v>0</v>
      </c>
      <c r="AE4372">
        <v>0</v>
      </c>
      <c r="AF4372">
        <v>0</v>
      </c>
      <c r="AG4372">
        <v>0</v>
      </c>
      <c r="AH4372">
        <v>0</v>
      </c>
      <c r="AI4372">
        <v>28.98</v>
      </c>
      <c r="AJ4372">
        <v>161</v>
      </c>
      <c r="AK4372">
        <v>0</v>
      </c>
      <c r="AL4372" t="s">
        <v>53</v>
      </c>
      <c r="AM4372" t="s">
        <v>53</v>
      </c>
      <c r="AN4372" t="s">
        <v>53</v>
      </c>
      <c r="AO4372" t="s">
        <v>53</v>
      </c>
      <c r="AP4372" t="s">
        <v>53</v>
      </c>
    </row>
    <row r="4373" spans="2:42" x14ac:dyDescent="0.2">
      <c r="B4373" t="s">
        <v>44</v>
      </c>
      <c r="C4373" t="str">
        <f>HYPERLINK("https://us2.cloudbeds.com/connect/8493803454333002#/reservations/95588241055951?display=21VT63QNQR&amp;reservation_id=95588241055951", "21VT63QNQR")</f>
        <v>21VT63QNQR</v>
      </c>
      <c r="D4373" t="s">
        <v>45</v>
      </c>
      <c r="E4373" t="s">
        <v>78</v>
      </c>
      <c r="F4373" t="s">
        <v>61</v>
      </c>
      <c r="G4373" t="s">
        <v>48</v>
      </c>
      <c r="H4373" t="s">
        <v>3957</v>
      </c>
      <c r="I4373" t="s">
        <v>3975</v>
      </c>
      <c r="J4373" t="s">
        <v>6813</v>
      </c>
      <c r="K4373" t="s">
        <v>6814</v>
      </c>
      <c r="L4373" t="s">
        <v>53</v>
      </c>
      <c r="P4373" t="s">
        <v>55</v>
      </c>
      <c r="R4373" t="s">
        <v>53</v>
      </c>
      <c r="T4373" t="s">
        <v>7574</v>
      </c>
      <c r="U4373" t="s">
        <v>58</v>
      </c>
      <c r="V4373">
        <v>1</v>
      </c>
      <c r="W4373">
        <v>1</v>
      </c>
      <c r="X4373">
        <v>2</v>
      </c>
      <c r="Y4373">
        <v>0</v>
      </c>
      <c r="Z4373">
        <v>2</v>
      </c>
      <c r="AA4373">
        <v>90.92</v>
      </c>
      <c r="AB4373">
        <v>90.92</v>
      </c>
      <c r="AC4373">
        <v>80</v>
      </c>
      <c r="AD4373">
        <v>0</v>
      </c>
      <c r="AE4373">
        <v>10.92</v>
      </c>
      <c r="AF4373">
        <v>0</v>
      </c>
      <c r="AG4373">
        <v>0</v>
      </c>
      <c r="AH4373">
        <v>0</v>
      </c>
      <c r="AI4373">
        <v>0</v>
      </c>
      <c r="AJ4373">
        <v>90.92</v>
      </c>
      <c r="AK4373">
        <v>0</v>
      </c>
      <c r="AL4373" t="s">
        <v>53</v>
      </c>
      <c r="AM4373" t="s">
        <v>53</v>
      </c>
      <c r="AN4373" t="s">
        <v>53</v>
      </c>
      <c r="AO4373" t="s">
        <v>53</v>
      </c>
      <c r="AP4373" t="s">
        <v>53</v>
      </c>
    </row>
    <row r="4374" spans="2:42" x14ac:dyDescent="0.2">
      <c r="B4374" t="s">
        <v>44</v>
      </c>
      <c r="C4374" t="str">
        <f>HYPERLINK("https://us2.cloudbeds.com/connect/8493803454333002#/reservations/95592542118052?display=21VWH0J3Q0&amp;reservation_id=95592542118052", "21VWH0J3Q0")</f>
        <v>21VWH0J3Q0</v>
      </c>
      <c r="D4374" t="s">
        <v>45</v>
      </c>
      <c r="E4374" t="s">
        <v>487</v>
      </c>
      <c r="F4374" t="s">
        <v>61</v>
      </c>
      <c r="G4374" t="s">
        <v>48</v>
      </c>
      <c r="H4374" t="s">
        <v>3957</v>
      </c>
      <c r="I4374" t="s">
        <v>3975</v>
      </c>
      <c r="J4374" t="s">
        <v>6813</v>
      </c>
      <c r="K4374" t="s">
        <v>6814</v>
      </c>
      <c r="L4374" t="s">
        <v>53</v>
      </c>
      <c r="P4374" t="s">
        <v>55</v>
      </c>
      <c r="R4374" t="s">
        <v>53</v>
      </c>
      <c r="T4374" t="s">
        <v>7575</v>
      </c>
      <c r="U4374" t="s">
        <v>58</v>
      </c>
      <c r="V4374">
        <v>1</v>
      </c>
      <c r="W4374">
        <v>1</v>
      </c>
      <c r="X4374">
        <v>2</v>
      </c>
      <c r="Y4374">
        <v>0</v>
      </c>
      <c r="Z4374">
        <v>2</v>
      </c>
      <c r="AA4374">
        <v>90.92</v>
      </c>
      <c r="AB4374">
        <v>90.92</v>
      </c>
      <c r="AC4374">
        <v>80</v>
      </c>
      <c r="AD4374">
        <v>0</v>
      </c>
      <c r="AE4374">
        <v>10.92</v>
      </c>
      <c r="AF4374">
        <v>0</v>
      </c>
      <c r="AG4374">
        <v>0</v>
      </c>
      <c r="AH4374">
        <v>0</v>
      </c>
      <c r="AI4374">
        <v>0</v>
      </c>
      <c r="AJ4374">
        <v>90.92</v>
      </c>
      <c r="AK4374">
        <v>0</v>
      </c>
      <c r="AL4374" t="s">
        <v>53</v>
      </c>
      <c r="AM4374" t="s">
        <v>53</v>
      </c>
      <c r="AN4374" t="s">
        <v>53</v>
      </c>
      <c r="AO4374" t="s">
        <v>53</v>
      </c>
      <c r="AP4374" t="s">
        <v>53</v>
      </c>
    </row>
    <row r="4375" spans="2:42" x14ac:dyDescent="0.2">
      <c r="B4375" t="s">
        <v>44</v>
      </c>
      <c r="C4375" t="str">
        <f>HYPERLINK("https://us2.cloudbeds.com/connect/8493803454333002#/reservations/9080486845859788?display=21W562N3QK&amp;reservation_id=9080486845859788", "21W562N3QK")</f>
        <v>21W562N3QK</v>
      </c>
      <c r="D4375" t="s">
        <v>45</v>
      </c>
      <c r="E4375" t="s">
        <v>165</v>
      </c>
      <c r="F4375" t="s">
        <v>61</v>
      </c>
      <c r="G4375" t="s">
        <v>48</v>
      </c>
      <c r="H4375" t="s">
        <v>49</v>
      </c>
      <c r="I4375" t="s">
        <v>50</v>
      </c>
      <c r="J4375" t="s">
        <v>7402</v>
      </c>
      <c r="K4375" t="s">
        <v>7394</v>
      </c>
      <c r="L4375" t="s">
        <v>53</v>
      </c>
      <c r="N4375" t="s">
        <v>7576</v>
      </c>
      <c r="P4375" t="s">
        <v>55</v>
      </c>
      <c r="R4375" t="s">
        <v>56</v>
      </c>
      <c r="T4375" t="s">
        <v>7577</v>
      </c>
      <c r="U4375" t="s">
        <v>58</v>
      </c>
      <c r="V4375">
        <v>3</v>
      </c>
      <c r="W4375">
        <v>1</v>
      </c>
      <c r="X4375">
        <v>2</v>
      </c>
      <c r="Y4375">
        <v>0</v>
      </c>
      <c r="Z4375">
        <v>2</v>
      </c>
      <c r="AA4375">
        <v>485.85</v>
      </c>
      <c r="AB4375">
        <v>485.85</v>
      </c>
      <c r="AC4375">
        <v>427.5</v>
      </c>
      <c r="AD4375">
        <v>0</v>
      </c>
      <c r="AE4375">
        <v>58.35</v>
      </c>
      <c r="AF4375">
        <v>0</v>
      </c>
      <c r="AG4375">
        <v>0</v>
      </c>
      <c r="AH4375">
        <v>0</v>
      </c>
      <c r="AI4375">
        <v>87.45</v>
      </c>
      <c r="AJ4375">
        <v>485.85</v>
      </c>
      <c r="AK4375">
        <v>0</v>
      </c>
      <c r="AL4375" t="s">
        <v>53</v>
      </c>
      <c r="AM4375" t="s">
        <v>53</v>
      </c>
      <c r="AN4375" t="s">
        <v>53</v>
      </c>
      <c r="AO4375" t="s">
        <v>53</v>
      </c>
      <c r="AP4375" t="s">
        <v>53</v>
      </c>
    </row>
    <row r="4376" spans="2:42" x14ac:dyDescent="0.2">
      <c r="B4376" t="s">
        <v>44</v>
      </c>
      <c r="C4376" t="str">
        <f>HYPERLINK("https://us2.cloudbeds.com/connect/8493803454333002#/reservations/95602962829538?display=21W7J9JPGV&amp;reservation_id=95602962829538", "21W7J9JPGV")</f>
        <v>21W7J9JPGV</v>
      </c>
      <c r="D4376" t="s">
        <v>45</v>
      </c>
      <c r="E4376" t="s">
        <v>78</v>
      </c>
      <c r="F4376" t="s">
        <v>61</v>
      </c>
      <c r="G4376" t="s">
        <v>48</v>
      </c>
      <c r="H4376" t="s">
        <v>3957</v>
      </c>
      <c r="I4376" t="s">
        <v>3975</v>
      </c>
      <c r="J4376" t="s">
        <v>7486</v>
      </c>
      <c r="K4376" t="s">
        <v>6661</v>
      </c>
      <c r="L4376" t="s">
        <v>53</v>
      </c>
      <c r="P4376" t="s">
        <v>55</v>
      </c>
      <c r="R4376" t="s">
        <v>53</v>
      </c>
      <c r="T4376" t="s">
        <v>7578</v>
      </c>
      <c r="U4376" t="s">
        <v>58</v>
      </c>
      <c r="V4376">
        <v>3</v>
      </c>
      <c r="W4376">
        <v>1</v>
      </c>
      <c r="X4376">
        <v>2</v>
      </c>
      <c r="Y4376">
        <v>0</v>
      </c>
      <c r="Z4376">
        <v>2</v>
      </c>
      <c r="AA4376">
        <v>614.85</v>
      </c>
      <c r="AB4376">
        <v>614.85</v>
      </c>
      <c r="AC4376">
        <v>541</v>
      </c>
      <c r="AD4376">
        <v>0</v>
      </c>
      <c r="AE4376">
        <v>73.849999999999994</v>
      </c>
      <c r="AF4376">
        <v>0</v>
      </c>
      <c r="AG4376">
        <v>0</v>
      </c>
      <c r="AH4376">
        <v>0</v>
      </c>
      <c r="AI4376">
        <v>0</v>
      </c>
      <c r="AJ4376">
        <v>614.85</v>
      </c>
      <c r="AK4376">
        <v>0</v>
      </c>
      <c r="AL4376" t="s">
        <v>53</v>
      </c>
      <c r="AM4376" t="s">
        <v>53</v>
      </c>
      <c r="AN4376" t="s">
        <v>53</v>
      </c>
      <c r="AO4376" t="s">
        <v>53</v>
      </c>
      <c r="AP4376" t="s">
        <v>53</v>
      </c>
    </row>
    <row r="4377" spans="2:42" x14ac:dyDescent="0.2">
      <c r="B4377" t="s">
        <v>44</v>
      </c>
      <c r="C4377" t="str">
        <f>HYPERLINK("https://us2.cloudbeds.com/connect/8493803454333002#/reservations/9080486845861561?display=2232HED29R&amp;reservation_id=9080486845861561", "2232HED29R")</f>
        <v>2232HED29R</v>
      </c>
      <c r="D4377" t="s">
        <v>45</v>
      </c>
      <c r="E4377" t="s">
        <v>69</v>
      </c>
      <c r="F4377" t="s">
        <v>70</v>
      </c>
      <c r="G4377" t="s">
        <v>48</v>
      </c>
      <c r="H4377" t="s">
        <v>49</v>
      </c>
      <c r="I4377" t="s">
        <v>62</v>
      </c>
      <c r="J4377" t="s">
        <v>6912</v>
      </c>
      <c r="K4377" t="s">
        <v>7579</v>
      </c>
      <c r="L4377" t="s">
        <v>53</v>
      </c>
      <c r="N4377" t="s">
        <v>7580</v>
      </c>
      <c r="P4377" t="s">
        <v>55</v>
      </c>
      <c r="R4377" t="s">
        <v>201</v>
      </c>
      <c r="T4377" t="s">
        <v>7581</v>
      </c>
      <c r="U4377" t="s">
        <v>55</v>
      </c>
      <c r="V4377">
        <v>1</v>
      </c>
      <c r="W4377">
        <v>1</v>
      </c>
      <c r="X4377">
        <v>2</v>
      </c>
      <c r="Y4377">
        <v>0</v>
      </c>
      <c r="Z4377">
        <v>2</v>
      </c>
      <c r="AA4377">
        <v>72.2</v>
      </c>
      <c r="AB4377">
        <v>72.2</v>
      </c>
      <c r="AC4377">
        <v>72.2</v>
      </c>
      <c r="AD4377">
        <v>0</v>
      </c>
      <c r="AE4377">
        <v>0</v>
      </c>
      <c r="AF4377">
        <v>0</v>
      </c>
      <c r="AG4377">
        <v>0</v>
      </c>
      <c r="AH4377">
        <v>0</v>
      </c>
      <c r="AI4377">
        <v>13</v>
      </c>
      <c r="AJ4377">
        <v>72.2</v>
      </c>
      <c r="AK4377">
        <v>0</v>
      </c>
      <c r="AL4377" t="s">
        <v>53</v>
      </c>
      <c r="AM4377" t="s">
        <v>53</v>
      </c>
      <c r="AN4377" t="s">
        <v>53</v>
      </c>
      <c r="AO4377" t="s">
        <v>53</v>
      </c>
      <c r="AP4377" t="s">
        <v>53</v>
      </c>
    </row>
    <row r="4378" spans="2:42" x14ac:dyDescent="0.2">
      <c r="B4378" t="s">
        <v>44</v>
      </c>
      <c r="C4378" t="str">
        <f>HYPERLINK("https://us2.cloudbeds.com/connect/8493803454333002#/reservations/9080486845862343?display=2243P52S3D&amp;reservation_id=9080486845862343", "2243P52S3D")</f>
        <v>2243P52S3D</v>
      </c>
      <c r="D4378" t="s">
        <v>45</v>
      </c>
      <c r="E4378" t="s">
        <v>138</v>
      </c>
      <c r="F4378" t="s">
        <v>70</v>
      </c>
      <c r="G4378" t="s">
        <v>48</v>
      </c>
      <c r="H4378" t="s">
        <v>49</v>
      </c>
      <c r="I4378" t="s">
        <v>50</v>
      </c>
      <c r="J4378" t="s">
        <v>6234</v>
      </c>
      <c r="K4378" t="s">
        <v>6818</v>
      </c>
      <c r="L4378" t="s">
        <v>53</v>
      </c>
      <c r="N4378" t="s">
        <v>7582</v>
      </c>
      <c r="P4378" t="s">
        <v>55</v>
      </c>
      <c r="R4378" t="s">
        <v>53</v>
      </c>
      <c r="T4378" t="s">
        <v>7583</v>
      </c>
      <c r="U4378" t="s">
        <v>58</v>
      </c>
      <c r="V4378">
        <v>1</v>
      </c>
      <c r="W4378">
        <v>1</v>
      </c>
      <c r="X4378">
        <v>2</v>
      </c>
      <c r="Y4378">
        <v>0</v>
      </c>
      <c r="Z4378">
        <v>2</v>
      </c>
      <c r="AA4378">
        <v>74.819999999999993</v>
      </c>
      <c r="AB4378">
        <v>74.819999999999993</v>
      </c>
      <c r="AC4378">
        <v>65.83</v>
      </c>
      <c r="AD4378">
        <v>0</v>
      </c>
      <c r="AE4378">
        <v>8.99</v>
      </c>
      <c r="AF4378">
        <v>0</v>
      </c>
      <c r="AG4378">
        <v>0</v>
      </c>
      <c r="AH4378">
        <v>0</v>
      </c>
      <c r="AI4378">
        <v>13.47</v>
      </c>
      <c r="AJ4378">
        <v>74.819999999999993</v>
      </c>
      <c r="AK4378">
        <v>0</v>
      </c>
      <c r="AL4378" t="s">
        <v>53</v>
      </c>
      <c r="AM4378" t="s">
        <v>53</v>
      </c>
      <c r="AN4378" t="s">
        <v>53</v>
      </c>
      <c r="AO4378" t="s">
        <v>53</v>
      </c>
      <c r="AP4378" t="s">
        <v>53</v>
      </c>
    </row>
    <row r="4379" spans="2:42" x14ac:dyDescent="0.2">
      <c r="B4379" t="s">
        <v>44</v>
      </c>
      <c r="C4379" t="str">
        <f>HYPERLINK("https://us2.cloudbeds.com/connect/8493803454333002#/reservations/95821606858913?display=224BT516EM&amp;reservation_id=95821606858913", "224BT516EM")</f>
        <v>224BT516EM</v>
      </c>
      <c r="D4379" t="s">
        <v>45</v>
      </c>
      <c r="E4379" t="s">
        <v>185</v>
      </c>
      <c r="F4379" t="s">
        <v>47</v>
      </c>
      <c r="G4379" t="s">
        <v>48</v>
      </c>
      <c r="H4379" t="s">
        <v>3957</v>
      </c>
      <c r="I4379" t="s">
        <v>3989</v>
      </c>
      <c r="J4379" t="s">
        <v>6837</v>
      </c>
      <c r="K4379" t="s">
        <v>7144</v>
      </c>
      <c r="L4379" t="s">
        <v>53</v>
      </c>
      <c r="P4379" t="s">
        <v>55</v>
      </c>
      <c r="R4379" t="s">
        <v>56</v>
      </c>
      <c r="T4379" t="s">
        <v>7584</v>
      </c>
      <c r="U4379" t="s">
        <v>58</v>
      </c>
      <c r="V4379">
        <v>1</v>
      </c>
      <c r="W4379">
        <v>1</v>
      </c>
      <c r="X4379">
        <v>1</v>
      </c>
      <c r="Y4379">
        <v>0</v>
      </c>
      <c r="Z4379">
        <v>1</v>
      </c>
      <c r="AA4379">
        <v>88.65</v>
      </c>
      <c r="AB4379">
        <v>88.65</v>
      </c>
      <c r="AC4379">
        <v>78</v>
      </c>
      <c r="AD4379">
        <v>0</v>
      </c>
      <c r="AE4379">
        <v>10.65</v>
      </c>
      <c r="AF4379">
        <v>0</v>
      </c>
      <c r="AG4379">
        <v>0</v>
      </c>
      <c r="AH4379">
        <v>0</v>
      </c>
      <c r="AI4379">
        <v>0</v>
      </c>
      <c r="AJ4379">
        <v>88.65</v>
      </c>
      <c r="AK4379">
        <v>0</v>
      </c>
      <c r="AL4379" t="s">
        <v>53</v>
      </c>
      <c r="AM4379" t="s">
        <v>53</v>
      </c>
      <c r="AN4379" t="s">
        <v>53</v>
      </c>
      <c r="AO4379" t="s">
        <v>53</v>
      </c>
      <c r="AP4379" t="s">
        <v>53</v>
      </c>
    </row>
    <row r="4380" spans="2:42" x14ac:dyDescent="0.2">
      <c r="B4380" t="s">
        <v>44</v>
      </c>
      <c r="C4380" t="str">
        <f>HYPERLINK("https://us2.cloudbeds.com/connect/8493803454333002#/reservations/9080486845862750?display=224JXKQXMZ&amp;reservation_id=9080486845862750", "224JXKQXMZ")</f>
        <v>224JXKQXMZ</v>
      </c>
      <c r="D4380" t="s">
        <v>45</v>
      </c>
      <c r="E4380" t="s">
        <v>373</v>
      </c>
      <c r="F4380" t="s">
        <v>47</v>
      </c>
      <c r="G4380" t="s">
        <v>48</v>
      </c>
      <c r="H4380" t="s">
        <v>49</v>
      </c>
      <c r="I4380" t="s">
        <v>50</v>
      </c>
      <c r="J4380" t="s">
        <v>7092</v>
      </c>
      <c r="K4380" t="s">
        <v>6592</v>
      </c>
      <c r="L4380" t="s">
        <v>53</v>
      </c>
      <c r="N4380" t="s">
        <v>7585</v>
      </c>
      <c r="P4380" t="s">
        <v>55</v>
      </c>
      <c r="R4380" t="s">
        <v>53</v>
      </c>
      <c r="T4380" t="s">
        <v>7586</v>
      </c>
      <c r="U4380" t="s">
        <v>58</v>
      </c>
      <c r="V4380">
        <v>1</v>
      </c>
      <c r="W4380">
        <v>1</v>
      </c>
      <c r="X4380">
        <v>2</v>
      </c>
      <c r="Y4380">
        <v>0</v>
      </c>
      <c r="Z4380">
        <v>2</v>
      </c>
      <c r="AA4380">
        <v>137.16999999999999</v>
      </c>
      <c r="AB4380">
        <v>137.16999999999999</v>
      </c>
      <c r="AC4380">
        <v>120.7</v>
      </c>
      <c r="AD4380">
        <v>0</v>
      </c>
      <c r="AE4380">
        <v>16.47</v>
      </c>
      <c r="AF4380">
        <v>0</v>
      </c>
      <c r="AG4380">
        <v>0</v>
      </c>
      <c r="AH4380">
        <v>0</v>
      </c>
      <c r="AI4380">
        <v>24.69</v>
      </c>
      <c r="AJ4380">
        <v>137.16999999999999</v>
      </c>
      <c r="AK4380">
        <v>0</v>
      </c>
      <c r="AL4380" t="s">
        <v>53</v>
      </c>
      <c r="AM4380" t="s">
        <v>53</v>
      </c>
      <c r="AN4380" t="s">
        <v>53</v>
      </c>
      <c r="AO4380" t="s">
        <v>53</v>
      </c>
      <c r="AP4380" t="s">
        <v>53</v>
      </c>
    </row>
    <row r="4381" spans="2:42" x14ac:dyDescent="0.2">
      <c r="B4381" t="s">
        <v>44</v>
      </c>
      <c r="C4381" t="str">
        <f>HYPERLINK("https://us2.cloudbeds.com/connect/8493803454333002#/reservations/9080486845863251?display=2258XTJMPC&amp;reservation_id=9080486845863251", "2258XTJMPC")</f>
        <v>2258XTJMPC</v>
      </c>
      <c r="D4381" t="s">
        <v>45</v>
      </c>
      <c r="E4381" t="s">
        <v>85</v>
      </c>
      <c r="F4381" t="s">
        <v>86</v>
      </c>
      <c r="G4381" t="s">
        <v>48</v>
      </c>
      <c r="H4381" t="s">
        <v>49</v>
      </c>
      <c r="I4381" t="s">
        <v>50</v>
      </c>
      <c r="J4381" t="s">
        <v>6661</v>
      </c>
      <c r="K4381" t="s">
        <v>7376</v>
      </c>
      <c r="L4381" t="s">
        <v>53</v>
      </c>
      <c r="N4381" t="s">
        <v>7587</v>
      </c>
      <c r="P4381" t="s">
        <v>55</v>
      </c>
      <c r="R4381" t="s">
        <v>53</v>
      </c>
      <c r="T4381" t="s">
        <v>7588</v>
      </c>
      <c r="U4381" t="s">
        <v>58</v>
      </c>
      <c r="V4381">
        <v>1</v>
      </c>
      <c r="W4381">
        <v>1</v>
      </c>
      <c r="X4381">
        <v>2</v>
      </c>
      <c r="Y4381">
        <v>2</v>
      </c>
      <c r="Z4381">
        <v>4</v>
      </c>
      <c r="AA4381">
        <v>167.75</v>
      </c>
      <c r="AB4381">
        <v>167.75</v>
      </c>
      <c r="AC4381">
        <v>147.6</v>
      </c>
      <c r="AD4381">
        <v>0</v>
      </c>
      <c r="AE4381">
        <v>20.149999999999999</v>
      </c>
      <c r="AF4381">
        <v>0</v>
      </c>
      <c r="AG4381">
        <v>0</v>
      </c>
      <c r="AH4381">
        <v>0</v>
      </c>
      <c r="AI4381">
        <v>30.2</v>
      </c>
      <c r="AJ4381">
        <v>167.75</v>
      </c>
      <c r="AK4381">
        <v>0</v>
      </c>
      <c r="AL4381" t="s">
        <v>53</v>
      </c>
      <c r="AM4381" t="s">
        <v>53</v>
      </c>
      <c r="AN4381" t="s">
        <v>53</v>
      </c>
      <c r="AO4381" t="s">
        <v>53</v>
      </c>
      <c r="AP4381" t="s">
        <v>53</v>
      </c>
    </row>
    <row r="4382" spans="2:42" x14ac:dyDescent="0.2">
      <c r="B4382" t="s">
        <v>44</v>
      </c>
      <c r="C4382" t="str">
        <f>HYPERLINK("https://us2.cloudbeds.com/connect/8493803454333002#/reservations/95864033677504?display=225BZ8ES3U&amp;reservation_id=95864033677504", "225BZ8ES3U")</f>
        <v>225BZ8ES3U</v>
      </c>
      <c r="D4382" t="s">
        <v>45</v>
      </c>
      <c r="E4382" t="s">
        <v>110</v>
      </c>
      <c r="F4382" t="s">
        <v>47</v>
      </c>
      <c r="G4382" t="s">
        <v>3974</v>
      </c>
      <c r="H4382" t="s">
        <v>3957</v>
      </c>
      <c r="I4382" t="s">
        <v>3975</v>
      </c>
      <c r="J4382" t="s">
        <v>6943</v>
      </c>
      <c r="K4382" t="s">
        <v>7275</v>
      </c>
      <c r="L4382" t="s">
        <v>53</v>
      </c>
      <c r="P4382" t="s">
        <v>55</v>
      </c>
      <c r="R4382" t="s">
        <v>53</v>
      </c>
      <c r="T4382" t="s">
        <v>7589</v>
      </c>
      <c r="U4382" t="s">
        <v>58</v>
      </c>
      <c r="V4382">
        <v>1</v>
      </c>
      <c r="W4382">
        <v>1</v>
      </c>
      <c r="X4382">
        <v>1</v>
      </c>
      <c r="Y4382">
        <v>0</v>
      </c>
      <c r="Z4382">
        <v>1</v>
      </c>
      <c r="AA4382">
        <v>217.01</v>
      </c>
      <c r="AB4382">
        <v>217.01</v>
      </c>
      <c r="AC4382">
        <v>190.95</v>
      </c>
      <c r="AD4382">
        <v>0</v>
      </c>
      <c r="AE4382">
        <v>26.06</v>
      </c>
      <c r="AF4382">
        <v>0</v>
      </c>
      <c r="AG4382">
        <v>0</v>
      </c>
      <c r="AH4382">
        <v>0</v>
      </c>
      <c r="AI4382">
        <v>0</v>
      </c>
      <c r="AJ4382">
        <v>217.01</v>
      </c>
      <c r="AK4382">
        <v>0</v>
      </c>
      <c r="AL4382" t="s">
        <v>53</v>
      </c>
      <c r="AM4382" t="s">
        <v>53</v>
      </c>
      <c r="AN4382" t="s">
        <v>53</v>
      </c>
      <c r="AO4382" t="s">
        <v>53</v>
      </c>
      <c r="AP4382" t="s">
        <v>53</v>
      </c>
    </row>
    <row r="4383" spans="2:42" x14ac:dyDescent="0.2">
      <c r="B4383" t="s">
        <v>44</v>
      </c>
      <c r="C4383" t="str">
        <f>HYPERLINK("https://us2.cloudbeds.com/connect/8493803454333002#/reservations/9080486845863601?display=225P8G3UR7&amp;reservation_id=9080486845863601", "225P8G3UR7")</f>
        <v>225P8G3UR7</v>
      </c>
      <c r="D4383" t="s">
        <v>45</v>
      </c>
      <c r="E4383" t="s">
        <v>155</v>
      </c>
      <c r="F4383" t="s">
        <v>86</v>
      </c>
      <c r="G4383" t="s">
        <v>48</v>
      </c>
      <c r="H4383" t="s">
        <v>49</v>
      </c>
      <c r="I4383" t="s">
        <v>62</v>
      </c>
      <c r="J4383" t="s">
        <v>5431</v>
      </c>
      <c r="K4383" t="s">
        <v>6921</v>
      </c>
      <c r="L4383" t="s">
        <v>53</v>
      </c>
      <c r="N4383" t="s">
        <v>7590</v>
      </c>
      <c r="P4383" t="s">
        <v>55</v>
      </c>
      <c r="R4383" t="s">
        <v>56</v>
      </c>
      <c r="T4383" t="s">
        <v>7591</v>
      </c>
      <c r="U4383" t="s">
        <v>55</v>
      </c>
      <c r="V4383">
        <v>2</v>
      </c>
      <c r="W4383">
        <v>1</v>
      </c>
      <c r="X4383">
        <v>2</v>
      </c>
      <c r="Y4383">
        <v>0</v>
      </c>
      <c r="Z4383">
        <v>2</v>
      </c>
      <c r="AA4383">
        <v>320</v>
      </c>
      <c r="AB4383">
        <v>320</v>
      </c>
      <c r="AC4383">
        <v>320</v>
      </c>
      <c r="AD4383">
        <v>0</v>
      </c>
      <c r="AE4383">
        <v>0</v>
      </c>
      <c r="AF4383">
        <v>0</v>
      </c>
      <c r="AG4383">
        <v>0</v>
      </c>
      <c r="AH4383">
        <v>0</v>
      </c>
      <c r="AI4383">
        <v>57.6</v>
      </c>
      <c r="AJ4383">
        <v>320</v>
      </c>
      <c r="AK4383">
        <v>0</v>
      </c>
      <c r="AL4383" t="s">
        <v>53</v>
      </c>
      <c r="AM4383" t="s">
        <v>53</v>
      </c>
      <c r="AN4383" t="s">
        <v>53</v>
      </c>
      <c r="AO4383" t="s">
        <v>53</v>
      </c>
      <c r="AP4383" t="s">
        <v>53</v>
      </c>
    </row>
    <row r="4384" spans="2:42" x14ac:dyDescent="0.2">
      <c r="B4384" t="s">
        <v>44</v>
      </c>
      <c r="C4384" t="str">
        <f>HYPERLINK("https://us2.cloudbeds.com/connect/8493803454333002#/reservations/9080486845863624?display=225QB68C3V&amp;reservation_id=9080486845863624", "225QB68C3V")</f>
        <v>225QB68C3V</v>
      </c>
      <c r="D4384" t="s">
        <v>45</v>
      </c>
      <c r="E4384" t="s">
        <v>185</v>
      </c>
      <c r="F4384" t="s">
        <v>47</v>
      </c>
      <c r="G4384" t="s">
        <v>48</v>
      </c>
      <c r="H4384" t="s">
        <v>49</v>
      </c>
      <c r="I4384" t="s">
        <v>50</v>
      </c>
      <c r="J4384" t="s">
        <v>6999</v>
      </c>
      <c r="K4384" t="s">
        <v>5963</v>
      </c>
      <c r="L4384" t="s">
        <v>53</v>
      </c>
      <c r="N4384" t="s">
        <v>7592</v>
      </c>
      <c r="P4384" t="s">
        <v>55</v>
      </c>
      <c r="R4384" t="s">
        <v>53</v>
      </c>
      <c r="T4384" t="s">
        <v>7593</v>
      </c>
      <c r="U4384" t="s">
        <v>58</v>
      </c>
      <c r="V4384">
        <v>1</v>
      </c>
      <c r="W4384">
        <v>1</v>
      </c>
      <c r="X4384">
        <v>2</v>
      </c>
      <c r="Y4384">
        <v>0</v>
      </c>
      <c r="Z4384">
        <v>2</v>
      </c>
      <c r="AA4384">
        <v>112.52</v>
      </c>
      <c r="AB4384">
        <v>112.52</v>
      </c>
      <c r="AC4384">
        <v>99</v>
      </c>
      <c r="AD4384">
        <v>0</v>
      </c>
      <c r="AE4384">
        <v>13.52</v>
      </c>
      <c r="AF4384">
        <v>0</v>
      </c>
      <c r="AG4384">
        <v>0</v>
      </c>
      <c r="AH4384">
        <v>0</v>
      </c>
      <c r="AI4384">
        <v>20.25</v>
      </c>
      <c r="AJ4384">
        <v>112.52</v>
      </c>
      <c r="AK4384">
        <v>0</v>
      </c>
      <c r="AL4384" t="s">
        <v>53</v>
      </c>
      <c r="AM4384" t="s">
        <v>53</v>
      </c>
      <c r="AN4384" t="s">
        <v>53</v>
      </c>
      <c r="AO4384" t="s">
        <v>53</v>
      </c>
      <c r="AP4384" t="s">
        <v>53</v>
      </c>
    </row>
    <row r="4385" spans="2:42" x14ac:dyDescent="0.2">
      <c r="B4385" t="s">
        <v>44</v>
      </c>
      <c r="C4385" t="str">
        <f>HYPERLINK("https://us2.cloudbeds.com/connect/8493803454333002#/reservations/95891736678551?display=226064BQJA&amp;reservation_id=95891736678551", "226064BQJA")</f>
        <v>226064BQJA</v>
      </c>
      <c r="D4385" t="s">
        <v>45</v>
      </c>
      <c r="E4385" t="s">
        <v>373</v>
      </c>
      <c r="F4385" t="s">
        <v>47</v>
      </c>
      <c r="G4385" t="s">
        <v>48</v>
      </c>
      <c r="H4385" t="s">
        <v>3957</v>
      </c>
      <c r="I4385" t="s">
        <v>3958</v>
      </c>
      <c r="J4385" t="s">
        <v>6837</v>
      </c>
      <c r="K4385" t="s">
        <v>7144</v>
      </c>
      <c r="L4385" t="s">
        <v>53</v>
      </c>
      <c r="P4385" t="s">
        <v>58</v>
      </c>
      <c r="R4385" t="s">
        <v>56</v>
      </c>
      <c r="T4385" t="s">
        <v>7594</v>
      </c>
      <c r="U4385" t="s">
        <v>58</v>
      </c>
      <c r="V4385">
        <v>1</v>
      </c>
      <c r="W4385">
        <v>1</v>
      </c>
      <c r="X4385">
        <v>1</v>
      </c>
      <c r="Y4385">
        <v>0</v>
      </c>
      <c r="Z4385">
        <v>1</v>
      </c>
      <c r="AA4385">
        <v>88.65</v>
      </c>
      <c r="AB4385">
        <v>88.65</v>
      </c>
      <c r="AC4385">
        <v>78</v>
      </c>
      <c r="AD4385">
        <v>0</v>
      </c>
      <c r="AE4385">
        <v>10.65</v>
      </c>
      <c r="AF4385">
        <v>0</v>
      </c>
      <c r="AG4385">
        <v>0</v>
      </c>
      <c r="AH4385">
        <v>0</v>
      </c>
      <c r="AI4385">
        <v>0</v>
      </c>
      <c r="AJ4385">
        <v>88.65</v>
      </c>
      <c r="AK4385">
        <v>0</v>
      </c>
      <c r="AL4385" t="s">
        <v>53</v>
      </c>
      <c r="AM4385" t="s">
        <v>53</v>
      </c>
      <c r="AN4385" t="s">
        <v>53</v>
      </c>
      <c r="AO4385" t="s">
        <v>53</v>
      </c>
      <c r="AP4385" t="s">
        <v>53</v>
      </c>
    </row>
    <row r="4386" spans="2:42" x14ac:dyDescent="0.2">
      <c r="B4386" t="s">
        <v>44</v>
      </c>
      <c r="C4386" t="str">
        <f>HYPERLINK("https://us2.cloudbeds.com/connect/8493803454333002#/reservations/9080486845863806?display=2263R1Q18N&amp;reservation_id=9080486845863806", "2263R1Q18N")</f>
        <v>2263R1Q18N</v>
      </c>
      <c r="D4386" t="s">
        <v>45</v>
      </c>
      <c r="E4386" t="s">
        <v>128</v>
      </c>
      <c r="F4386" t="s">
        <v>86</v>
      </c>
      <c r="G4386" t="s">
        <v>48</v>
      </c>
      <c r="H4386" t="s">
        <v>49</v>
      </c>
      <c r="I4386" t="s">
        <v>50</v>
      </c>
      <c r="J4386" t="s">
        <v>7595</v>
      </c>
      <c r="K4386" t="s">
        <v>6943</v>
      </c>
      <c r="L4386" t="s">
        <v>53</v>
      </c>
      <c r="N4386" t="s">
        <v>7596</v>
      </c>
      <c r="P4386" t="s">
        <v>55</v>
      </c>
      <c r="R4386" t="s">
        <v>53</v>
      </c>
      <c r="T4386" t="s">
        <v>7597</v>
      </c>
      <c r="U4386" t="s">
        <v>58</v>
      </c>
      <c r="V4386">
        <v>1</v>
      </c>
      <c r="W4386">
        <v>1</v>
      </c>
      <c r="X4386">
        <v>2</v>
      </c>
      <c r="Y4386">
        <v>0</v>
      </c>
      <c r="Z4386">
        <v>2</v>
      </c>
      <c r="AA4386">
        <v>188.52</v>
      </c>
      <c r="AB4386">
        <v>188.52</v>
      </c>
      <c r="AC4386">
        <v>165.87</v>
      </c>
      <c r="AD4386">
        <v>0</v>
      </c>
      <c r="AE4386">
        <v>22.65</v>
      </c>
      <c r="AF4386">
        <v>0</v>
      </c>
      <c r="AG4386">
        <v>0</v>
      </c>
      <c r="AH4386">
        <v>0</v>
      </c>
      <c r="AI4386">
        <v>33.93</v>
      </c>
      <c r="AJ4386">
        <v>188.52</v>
      </c>
      <c r="AK4386">
        <v>0</v>
      </c>
      <c r="AL4386" t="s">
        <v>53</v>
      </c>
      <c r="AM4386" t="s">
        <v>53</v>
      </c>
      <c r="AN4386" t="s">
        <v>53</v>
      </c>
      <c r="AO4386" t="s">
        <v>53</v>
      </c>
      <c r="AP4386" t="s">
        <v>53</v>
      </c>
    </row>
    <row r="4387" spans="2:42" x14ac:dyDescent="0.2">
      <c r="B4387" t="s">
        <v>44</v>
      </c>
      <c r="C4387" t="str">
        <f>HYPERLINK("https://us2.cloudbeds.com/connect/8493803454333002#/reservations/9080486845863807?display=2263S4YUCD&amp;reservation_id=9080486845863807", "2263S4YUCD")</f>
        <v>2263S4YUCD</v>
      </c>
      <c r="D4387" t="s">
        <v>45</v>
      </c>
      <c r="E4387" t="s">
        <v>213</v>
      </c>
      <c r="F4387" t="s">
        <v>86</v>
      </c>
      <c r="G4387" t="s">
        <v>48</v>
      </c>
      <c r="H4387" t="s">
        <v>49</v>
      </c>
      <c r="I4387" t="s">
        <v>50</v>
      </c>
      <c r="J4387" t="s">
        <v>7595</v>
      </c>
      <c r="K4387" t="s">
        <v>6943</v>
      </c>
      <c r="L4387" t="s">
        <v>53</v>
      </c>
      <c r="N4387" t="s">
        <v>7598</v>
      </c>
      <c r="P4387" t="s">
        <v>55</v>
      </c>
      <c r="R4387" t="s">
        <v>53</v>
      </c>
      <c r="T4387" t="s">
        <v>7599</v>
      </c>
      <c r="U4387" t="s">
        <v>58</v>
      </c>
      <c r="V4387">
        <v>1</v>
      </c>
      <c r="W4387">
        <v>1</v>
      </c>
      <c r="X4387">
        <v>2</v>
      </c>
      <c r="Y4387">
        <v>0</v>
      </c>
      <c r="Z4387">
        <v>2</v>
      </c>
      <c r="AA4387">
        <v>188.52</v>
      </c>
      <c r="AB4387">
        <v>188.52</v>
      </c>
      <c r="AC4387">
        <v>165.87</v>
      </c>
      <c r="AD4387">
        <v>0</v>
      </c>
      <c r="AE4387">
        <v>22.65</v>
      </c>
      <c r="AF4387">
        <v>0</v>
      </c>
      <c r="AG4387">
        <v>0</v>
      </c>
      <c r="AH4387">
        <v>0</v>
      </c>
      <c r="AI4387">
        <v>33.93</v>
      </c>
      <c r="AJ4387">
        <v>188.52</v>
      </c>
      <c r="AK4387">
        <v>0</v>
      </c>
      <c r="AL4387" t="s">
        <v>53</v>
      </c>
      <c r="AM4387" t="s">
        <v>53</v>
      </c>
      <c r="AN4387" t="s">
        <v>53</v>
      </c>
      <c r="AO4387" t="s">
        <v>53</v>
      </c>
      <c r="AP4387" t="s">
        <v>53</v>
      </c>
    </row>
    <row r="4388" spans="2:42" x14ac:dyDescent="0.2">
      <c r="B4388" t="s">
        <v>44</v>
      </c>
      <c r="C4388" t="str">
        <f>HYPERLINK("https://us2.cloudbeds.com/connect/8493803454333002#/reservations/9080486845863808?display=2263S4YUCE&amp;reservation_id=9080486845863808", "2263S4YUCE")</f>
        <v>2263S4YUCE</v>
      </c>
      <c r="D4388" t="s">
        <v>45</v>
      </c>
      <c r="E4388" t="s">
        <v>85</v>
      </c>
      <c r="F4388" t="s">
        <v>86</v>
      </c>
      <c r="G4388" t="s">
        <v>48</v>
      </c>
      <c r="H4388" t="s">
        <v>49</v>
      </c>
      <c r="I4388" t="s">
        <v>50</v>
      </c>
      <c r="J4388" t="s">
        <v>7595</v>
      </c>
      <c r="K4388" t="s">
        <v>6943</v>
      </c>
      <c r="L4388" t="s">
        <v>53</v>
      </c>
      <c r="N4388" t="s">
        <v>7600</v>
      </c>
      <c r="P4388" t="s">
        <v>55</v>
      </c>
      <c r="R4388" t="s">
        <v>53</v>
      </c>
      <c r="T4388" t="s">
        <v>7601</v>
      </c>
      <c r="U4388" t="s">
        <v>58</v>
      </c>
      <c r="V4388">
        <v>1</v>
      </c>
      <c r="W4388">
        <v>1</v>
      </c>
      <c r="X4388">
        <v>2</v>
      </c>
      <c r="Y4388">
        <v>2</v>
      </c>
      <c r="Z4388">
        <v>4</v>
      </c>
      <c r="AA4388">
        <v>188.52</v>
      </c>
      <c r="AB4388">
        <v>188.52</v>
      </c>
      <c r="AC4388">
        <v>165.87</v>
      </c>
      <c r="AD4388">
        <v>0</v>
      </c>
      <c r="AE4388">
        <v>22.65</v>
      </c>
      <c r="AF4388">
        <v>0</v>
      </c>
      <c r="AG4388">
        <v>0</v>
      </c>
      <c r="AH4388">
        <v>0</v>
      </c>
      <c r="AI4388">
        <v>33.93</v>
      </c>
      <c r="AJ4388">
        <v>188.52</v>
      </c>
      <c r="AK4388">
        <v>0</v>
      </c>
      <c r="AL4388" t="s">
        <v>53</v>
      </c>
      <c r="AM4388" t="s">
        <v>53</v>
      </c>
      <c r="AN4388" t="s">
        <v>53</v>
      </c>
      <c r="AO4388" t="s">
        <v>53</v>
      </c>
      <c r="AP4388" t="s">
        <v>53</v>
      </c>
    </row>
    <row r="4389" spans="2:42" x14ac:dyDescent="0.2">
      <c r="B4389" t="s">
        <v>44</v>
      </c>
      <c r="C4389" t="str">
        <f>HYPERLINK("https://us2.cloudbeds.com/connect/8493803454333002#/reservations/9080486845863962?display=226CDMMP0B&amp;reservation_id=9080486845863962", "226CDMMP0B")</f>
        <v>226CDMMP0B</v>
      </c>
      <c r="D4389" t="s">
        <v>45</v>
      </c>
      <c r="E4389" t="s">
        <v>110</v>
      </c>
      <c r="F4389" t="s">
        <v>47</v>
      </c>
      <c r="G4389" t="s">
        <v>48</v>
      </c>
      <c r="H4389" t="s">
        <v>49</v>
      </c>
      <c r="I4389" t="s">
        <v>50</v>
      </c>
      <c r="J4389" t="s">
        <v>6488</v>
      </c>
      <c r="K4389" t="s">
        <v>6274</v>
      </c>
      <c r="L4389" t="s">
        <v>53</v>
      </c>
      <c r="N4389" t="s">
        <v>7602</v>
      </c>
      <c r="P4389" t="s">
        <v>55</v>
      </c>
      <c r="R4389" t="s">
        <v>53</v>
      </c>
      <c r="T4389" t="s">
        <v>7603</v>
      </c>
      <c r="U4389" t="s">
        <v>58</v>
      </c>
      <c r="V4389">
        <v>1</v>
      </c>
      <c r="W4389">
        <v>1</v>
      </c>
      <c r="X4389">
        <v>2</v>
      </c>
      <c r="Y4389">
        <v>0</v>
      </c>
      <c r="Z4389">
        <v>2</v>
      </c>
      <c r="AA4389">
        <v>163.25</v>
      </c>
      <c r="AB4389">
        <v>163.25</v>
      </c>
      <c r="AC4389">
        <v>143.63999999999999</v>
      </c>
      <c r="AD4389">
        <v>0</v>
      </c>
      <c r="AE4389">
        <v>19.61</v>
      </c>
      <c r="AF4389">
        <v>0</v>
      </c>
      <c r="AG4389">
        <v>0</v>
      </c>
      <c r="AH4389">
        <v>0</v>
      </c>
      <c r="AI4389">
        <v>29.39</v>
      </c>
      <c r="AJ4389">
        <v>163.25</v>
      </c>
      <c r="AK4389">
        <v>0</v>
      </c>
      <c r="AL4389" t="s">
        <v>53</v>
      </c>
      <c r="AM4389" t="s">
        <v>53</v>
      </c>
      <c r="AN4389" t="s">
        <v>53</v>
      </c>
      <c r="AO4389" t="s">
        <v>53</v>
      </c>
      <c r="AP4389" t="s">
        <v>53</v>
      </c>
    </row>
    <row r="4390" spans="2:42" x14ac:dyDescent="0.2">
      <c r="B4390" t="s">
        <v>44</v>
      </c>
      <c r="C4390" t="str">
        <f>HYPERLINK("https://us2.cloudbeds.com/connect/8493803454333002#/reservations/9080486845864000?display=226FF15D4K&amp;reservation_id=9080486845864000", "226FF15D4K")</f>
        <v>226FF15D4K</v>
      </c>
      <c r="D4390" t="s">
        <v>45</v>
      </c>
      <c r="E4390" t="s">
        <v>373</v>
      </c>
      <c r="F4390" t="s">
        <v>47</v>
      </c>
      <c r="G4390" t="s">
        <v>48</v>
      </c>
      <c r="H4390" t="s">
        <v>49</v>
      </c>
      <c r="I4390" t="s">
        <v>62</v>
      </c>
      <c r="J4390" t="s">
        <v>6488</v>
      </c>
      <c r="K4390" t="s">
        <v>6416</v>
      </c>
      <c r="L4390" t="s">
        <v>53</v>
      </c>
      <c r="N4390" t="s">
        <v>7604</v>
      </c>
      <c r="P4390" t="s">
        <v>55</v>
      </c>
      <c r="R4390" t="s">
        <v>56</v>
      </c>
      <c r="T4390" t="s">
        <v>7605</v>
      </c>
      <c r="U4390" t="s">
        <v>55</v>
      </c>
      <c r="V4390">
        <v>2</v>
      </c>
      <c r="W4390">
        <v>1</v>
      </c>
      <c r="X4390">
        <v>2</v>
      </c>
      <c r="Y4390">
        <v>0</v>
      </c>
      <c r="Z4390">
        <v>2</v>
      </c>
      <c r="AA4390">
        <v>314</v>
      </c>
      <c r="AB4390">
        <v>314</v>
      </c>
      <c r="AC4390">
        <v>314</v>
      </c>
      <c r="AD4390">
        <v>0</v>
      </c>
      <c r="AE4390">
        <v>0</v>
      </c>
      <c r="AF4390">
        <v>0</v>
      </c>
      <c r="AG4390">
        <v>0</v>
      </c>
      <c r="AH4390">
        <v>0</v>
      </c>
      <c r="AI4390">
        <v>56.52</v>
      </c>
      <c r="AJ4390">
        <v>314</v>
      </c>
      <c r="AK4390">
        <v>0</v>
      </c>
      <c r="AL4390" t="s">
        <v>53</v>
      </c>
      <c r="AM4390" t="s">
        <v>53</v>
      </c>
      <c r="AN4390" t="s">
        <v>53</v>
      </c>
      <c r="AO4390" t="s">
        <v>53</v>
      </c>
      <c r="AP4390" t="s">
        <v>53</v>
      </c>
    </row>
    <row r="4391" spans="2:42" x14ac:dyDescent="0.2">
      <c r="B4391" t="s">
        <v>44</v>
      </c>
      <c r="C4391" t="str">
        <f>HYPERLINK("https://us2.cloudbeds.com/connect/8493803454333002#/reservations/95958179279043?display=227XKTH3XE&amp;reservation_id=95958179279043", "227XKTH3XE")</f>
        <v>227XKTH3XE</v>
      </c>
      <c r="D4391" t="s">
        <v>45</v>
      </c>
      <c r="E4391" t="s">
        <v>213</v>
      </c>
      <c r="F4391" t="s">
        <v>86</v>
      </c>
      <c r="G4391" t="s">
        <v>48</v>
      </c>
      <c r="H4391" t="s">
        <v>3957</v>
      </c>
      <c r="I4391" t="s">
        <v>3975</v>
      </c>
      <c r="J4391" t="s">
        <v>6416</v>
      </c>
      <c r="K4391" t="s">
        <v>7402</v>
      </c>
      <c r="L4391" t="s">
        <v>53</v>
      </c>
      <c r="P4391" t="s">
        <v>55</v>
      </c>
      <c r="R4391" t="s">
        <v>53</v>
      </c>
      <c r="T4391" t="s">
        <v>7606</v>
      </c>
      <c r="U4391" t="s">
        <v>58</v>
      </c>
      <c r="V4391">
        <v>1</v>
      </c>
      <c r="W4391">
        <v>1</v>
      </c>
      <c r="X4391">
        <v>2</v>
      </c>
      <c r="Y4391">
        <v>0</v>
      </c>
      <c r="Z4391">
        <v>2</v>
      </c>
      <c r="AA4391">
        <v>204.57</v>
      </c>
      <c r="AB4391">
        <v>204.57</v>
      </c>
      <c r="AC4391">
        <v>180</v>
      </c>
      <c r="AD4391">
        <v>0</v>
      </c>
      <c r="AE4391">
        <v>24.57</v>
      </c>
      <c r="AF4391">
        <v>0</v>
      </c>
      <c r="AG4391">
        <v>0</v>
      </c>
      <c r="AH4391">
        <v>0</v>
      </c>
      <c r="AI4391">
        <v>0</v>
      </c>
      <c r="AJ4391">
        <v>204.57</v>
      </c>
      <c r="AK4391">
        <v>0</v>
      </c>
      <c r="AL4391" t="s">
        <v>53</v>
      </c>
      <c r="AM4391" t="s">
        <v>53</v>
      </c>
      <c r="AN4391" t="s">
        <v>53</v>
      </c>
      <c r="AO4391" t="s">
        <v>53</v>
      </c>
      <c r="AP4391" t="s">
        <v>53</v>
      </c>
    </row>
    <row r="4392" spans="2:42" x14ac:dyDescent="0.2">
      <c r="B4392" t="s">
        <v>44</v>
      </c>
      <c r="C4392" t="str">
        <f>HYPERLINK("https://us2.cloudbeds.com/connect/8493803454333002#/reservations/9080486845865403?display=229JKZ2PHW&amp;reservation_id=9080486845865403", "229JKZ2PHW")</f>
        <v>229JKZ2PHW</v>
      </c>
      <c r="D4392" t="s">
        <v>45</v>
      </c>
      <c r="E4392" t="s">
        <v>185</v>
      </c>
      <c r="F4392" t="s">
        <v>47</v>
      </c>
      <c r="G4392" t="s">
        <v>48</v>
      </c>
      <c r="H4392" t="s">
        <v>49</v>
      </c>
      <c r="I4392" t="s">
        <v>62</v>
      </c>
      <c r="J4392" t="s">
        <v>6912</v>
      </c>
      <c r="K4392" t="s">
        <v>7579</v>
      </c>
      <c r="L4392" t="s">
        <v>53</v>
      </c>
      <c r="N4392" t="s">
        <v>7607</v>
      </c>
      <c r="P4392" t="s">
        <v>55</v>
      </c>
      <c r="R4392" t="s">
        <v>56</v>
      </c>
      <c r="T4392" t="s">
        <v>7608</v>
      </c>
      <c r="U4392" t="s">
        <v>55</v>
      </c>
      <c r="V4392">
        <v>1</v>
      </c>
      <c r="W4392">
        <v>1</v>
      </c>
      <c r="X4392">
        <v>2</v>
      </c>
      <c r="Y4392">
        <v>0</v>
      </c>
      <c r="Z4392">
        <v>2</v>
      </c>
      <c r="AA4392">
        <v>86</v>
      </c>
      <c r="AB4392">
        <v>86</v>
      </c>
      <c r="AC4392">
        <v>86</v>
      </c>
      <c r="AD4392">
        <v>0</v>
      </c>
      <c r="AE4392">
        <v>0</v>
      </c>
      <c r="AF4392">
        <v>0</v>
      </c>
      <c r="AG4392">
        <v>0</v>
      </c>
      <c r="AH4392">
        <v>0</v>
      </c>
      <c r="AI4392">
        <v>15.48</v>
      </c>
      <c r="AJ4392">
        <v>86</v>
      </c>
      <c r="AK4392">
        <v>0</v>
      </c>
      <c r="AL4392" t="s">
        <v>53</v>
      </c>
      <c r="AM4392" t="s">
        <v>53</v>
      </c>
      <c r="AN4392" t="s">
        <v>53</v>
      </c>
      <c r="AO4392" t="s">
        <v>53</v>
      </c>
      <c r="AP4392" t="s">
        <v>53</v>
      </c>
    </row>
    <row r="4393" spans="2:42" x14ac:dyDescent="0.2">
      <c r="B4393" t="s">
        <v>44</v>
      </c>
      <c r="C4393" t="str">
        <f>HYPERLINK("https://us2.cloudbeds.com/connect/8493803454333002#/reservations/9080486845865781?display=22ACDRN01W&amp;reservation_id=9080486845865781", "22ACDRN01W")</f>
        <v>22ACDRN01W</v>
      </c>
      <c r="D4393" t="s">
        <v>45</v>
      </c>
      <c r="E4393" t="s">
        <v>98</v>
      </c>
      <c r="F4393" t="s">
        <v>86</v>
      </c>
      <c r="G4393" t="s">
        <v>48</v>
      </c>
      <c r="H4393" t="s">
        <v>49</v>
      </c>
      <c r="I4393" t="s">
        <v>62</v>
      </c>
      <c r="J4393" t="s">
        <v>6855</v>
      </c>
      <c r="K4393" t="s">
        <v>6885</v>
      </c>
      <c r="L4393" t="s">
        <v>53</v>
      </c>
      <c r="N4393" t="s">
        <v>7609</v>
      </c>
      <c r="P4393" t="s">
        <v>55</v>
      </c>
      <c r="R4393" t="s">
        <v>118</v>
      </c>
      <c r="T4393" t="s">
        <v>7610</v>
      </c>
      <c r="U4393" t="s">
        <v>55</v>
      </c>
      <c r="V4393">
        <v>1</v>
      </c>
      <c r="W4393">
        <v>1</v>
      </c>
      <c r="X4393">
        <v>2</v>
      </c>
      <c r="Y4393">
        <v>0</v>
      </c>
      <c r="Z4393">
        <v>2</v>
      </c>
      <c r="AA4393">
        <v>115.9</v>
      </c>
      <c r="AB4393">
        <v>115.9</v>
      </c>
      <c r="AC4393">
        <v>115.9</v>
      </c>
      <c r="AD4393">
        <v>0</v>
      </c>
      <c r="AE4393">
        <v>0</v>
      </c>
      <c r="AF4393">
        <v>0</v>
      </c>
      <c r="AG4393">
        <v>0</v>
      </c>
      <c r="AH4393">
        <v>0</v>
      </c>
      <c r="AI4393">
        <v>20.86</v>
      </c>
      <c r="AJ4393">
        <v>115.9</v>
      </c>
      <c r="AK4393">
        <v>0</v>
      </c>
      <c r="AL4393" t="s">
        <v>53</v>
      </c>
      <c r="AM4393" t="s">
        <v>53</v>
      </c>
      <c r="AN4393" t="s">
        <v>53</v>
      </c>
      <c r="AO4393" t="s">
        <v>53</v>
      </c>
      <c r="AP4393" t="s">
        <v>53</v>
      </c>
    </row>
    <row r="4394" spans="2:42" x14ac:dyDescent="0.2">
      <c r="B4394" t="s">
        <v>44</v>
      </c>
      <c r="C4394" t="str">
        <f>HYPERLINK("https://us2.cloudbeds.com/connect/8493803454333002#/reservations/9080486845866254?display=22BB1BMFV8&amp;reservation_id=9080486845866254", "22BB1BMFV8")</f>
        <v>22BB1BMFV8</v>
      </c>
      <c r="D4394" t="s">
        <v>45</v>
      </c>
      <c r="E4394" t="s">
        <v>46</v>
      </c>
      <c r="F4394" t="s">
        <v>47</v>
      </c>
      <c r="G4394" t="s">
        <v>48</v>
      </c>
      <c r="H4394" t="s">
        <v>49</v>
      </c>
      <c r="I4394" t="s">
        <v>50</v>
      </c>
      <c r="J4394" t="s">
        <v>7144</v>
      </c>
      <c r="K4394" t="s">
        <v>6814</v>
      </c>
      <c r="L4394" t="s">
        <v>53</v>
      </c>
      <c r="N4394" t="s">
        <v>7611</v>
      </c>
      <c r="P4394" t="s">
        <v>55</v>
      </c>
      <c r="R4394" t="s">
        <v>53</v>
      </c>
      <c r="T4394" t="s">
        <v>7612</v>
      </c>
      <c r="U4394" t="s">
        <v>58</v>
      </c>
      <c r="V4394">
        <v>2</v>
      </c>
      <c r="W4394">
        <v>1</v>
      </c>
      <c r="X4394">
        <v>1</v>
      </c>
      <c r="Y4394">
        <v>0</v>
      </c>
      <c r="Z4394">
        <v>1</v>
      </c>
      <c r="AA4394">
        <v>141.84</v>
      </c>
      <c r="AB4394">
        <v>141.84</v>
      </c>
      <c r="AC4394">
        <v>124.8</v>
      </c>
      <c r="AD4394">
        <v>0</v>
      </c>
      <c r="AE4394">
        <v>17.04</v>
      </c>
      <c r="AF4394">
        <v>0</v>
      </c>
      <c r="AG4394">
        <v>0</v>
      </c>
      <c r="AH4394">
        <v>0</v>
      </c>
      <c r="AI4394">
        <v>25.53</v>
      </c>
      <c r="AJ4394">
        <v>141.84</v>
      </c>
      <c r="AK4394">
        <v>0</v>
      </c>
      <c r="AL4394" t="s">
        <v>53</v>
      </c>
      <c r="AM4394" t="s">
        <v>53</v>
      </c>
      <c r="AN4394" t="s">
        <v>7613</v>
      </c>
      <c r="AO4394" t="s">
        <v>53</v>
      </c>
      <c r="AP4394" t="s">
        <v>53</v>
      </c>
    </row>
    <row r="4395" spans="2:42" x14ac:dyDescent="0.2">
      <c r="B4395" t="s">
        <v>44</v>
      </c>
      <c r="C4395" t="str">
        <f>HYPERLINK("https://us2.cloudbeds.com/connect/8493803454333002#/reservations/9080486845866756?display=22BZRYMDAX&amp;reservation_id=9080486845866756", "22BZRYMDAX")</f>
        <v>22BZRYMDAX</v>
      </c>
      <c r="D4395" t="s">
        <v>45</v>
      </c>
      <c r="E4395" t="s">
        <v>69</v>
      </c>
      <c r="F4395" t="s">
        <v>70</v>
      </c>
      <c r="G4395" t="s">
        <v>48</v>
      </c>
      <c r="H4395" t="s">
        <v>49</v>
      </c>
      <c r="I4395" t="s">
        <v>50</v>
      </c>
      <c r="J4395" t="s">
        <v>5430</v>
      </c>
      <c r="K4395" t="s">
        <v>6335</v>
      </c>
      <c r="L4395" t="s">
        <v>53</v>
      </c>
      <c r="N4395" t="s">
        <v>7614</v>
      </c>
      <c r="P4395" t="s">
        <v>55</v>
      </c>
      <c r="R4395" t="s">
        <v>53</v>
      </c>
      <c r="T4395" t="s">
        <v>7615</v>
      </c>
      <c r="U4395" t="s">
        <v>58</v>
      </c>
      <c r="V4395">
        <v>2</v>
      </c>
      <c r="W4395">
        <v>1</v>
      </c>
      <c r="X4395">
        <v>2</v>
      </c>
      <c r="Y4395">
        <v>0</v>
      </c>
      <c r="Z4395">
        <v>2</v>
      </c>
      <c r="AA4395">
        <v>255.56</v>
      </c>
      <c r="AB4395">
        <v>255.56</v>
      </c>
      <c r="AC4395">
        <v>224.86</v>
      </c>
      <c r="AD4395">
        <v>0</v>
      </c>
      <c r="AE4395">
        <v>30.7</v>
      </c>
      <c r="AF4395">
        <v>0</v>
      </c>
      <c r="AG4395">
        <v>0</v>
      </c>
      <c r="AH4395">
        <v>0</v>
      </c>
      <c r="AI4395">
        <v>46</v>
      </c>
      <c r="AJ4395">
        <v>255.56</v>
      </c>
      <c r="AK4395">
        <v>0</v>
      </c>
      <c r="AL4395" t="s">
        <v>53</v>
      </c>
      <c r="AM4395" t="s">
        <v>53</v>
      </c>
      <c r="AN4395" t="s">
        <v>53</v>
      </c>
      <c r="AO4395" t="s">
        <v>53</v>
      </c>
      <c r="AP4395" t="s">
        <v>53</v>
      </c>
    </row>
    <row r="4396" spans="2:42" x14ac:dyDescent="0.2">
      <c r="B4396" t="s">
        <v>44</v>
      </c>
      <c r="C4396" t="str">
        <f>HYPERLINK("https://us2.cloudbeds.com/connect/8493803454333002#/reservations/96161993085125?display=22CBEQNN9A&amp;reservation_id=96161993085125", "22CBEQNN9A")</f>
        <v>22CBEQNN9A</v>
      </c>
      <c r="D4396" t="s">
        <v>45</v>
      </c>
      <c r="E4396" t="s">
        <v>78</v>
      </c>
      <c r="F4396" t="s">
        <v>61</v>
      </c>
      <c r="G4396" t="s">
        <v>48</v>
      </c>
      <c r="H4396" t="s">
        <v>3957</v>
      </c>
      <c r="I4396" t="s">
        <v>3975</v>
      </c>
      <c r="J4396" t="s">
        <v>6858</v>
      </c>
      <c r="K4396" t="s">
        <v>6591</v>
      </c>
      <c r="L4396" t="s">
        <v>53</v>
      </c>
      <c r="P4396" t="s">
        <v>55</v>
      </c>
      <c r="R4396" t="s">
        <v>53</v>
      </c>
      <c r="T4396" t="s">
        <v>7616</v>
      </c>
      <c r="U4396" t="s">
        <v>58</v>
      </c>
      <c r="V4396">
        <v>1</v>
      </c>
      <c r="W4396">
        <v>1</v>
      </c>
      <c r="X4396">
        <v>1</v>
      </c>
      <c r="Y4396">
        <v>0</v>
      </c>
      <c r="Z4396">
        <v>1</v>
      </c>
      <c r="AA4396">
        <v>128.43</v>
      </c>
      <c r="AB4396">
        <v>128.43</v>
      </c>
      <c r="AC4396">
        <v>113</v>
      </c>
      <c r="AD4396">
        <v>0</v>
      </c>
      <c r="AE4396">
        <v>15.43</v>
      </c>
      <c r="AF4396">
        <v>0</v>
      </c>
      <c r="AG4396">
        <v>0</v>
      </c>
      <c r="AH4396">
        <v>0</v>
      </c>
      <c r="AI4396">
        <v>0</v>
      </c>
      <c r="AJ4396">
        <v>128.43</v>
      </c>
      <c r="AK4396">
        <v>0</v>
      </c>
      <c r="AL4396" t="s">
        <v>53</v>
      </c>
      <c r="AM4396" t="s">
        <v>53</v>
      </c>
      <c r="AN4396" t="s">
        <v>53</v>
      </c>
      <c r="AO4396" t="s">
        <v>53</v>
      </c>
      <c r="AP4396" t="s">
        <v>53</v>
      </c>
    </row>
    <row r="4397" spans="2:42" x14ac:dyDescent="0.2">
      <c r="B4397" t="s">
        <v>44</v>
      </c>
      <c r="C4397" t="str">
        <f>HYPERLINK("https://us2.cloudbeds.com/connect/8493803454333002#/reservations/9080486845867445?display=22CFX53D30&amp;reservation_id=9080486845867445", "22CFX53D30")</f>
        <v>22CFX53D30</v>
      </c>
      <c r="D4397" t="s">
        <v>45</v>
      </c>
      <c r="E4397" t="s">
        <v>223</v>
      </c>
      <c r="F4397" t="s">
        <v>47</v>
      </c>
      <c r="G4397" t="s">
        <v>48</v>
      </c>
      <c r="H4397" t="s">
        <v>49</v>
      </c>
      <c r="I4397" t="s">
        <v>62</v>
      </c>
      <c r="J4397" t="s">
        <v>7144</v>
      </c>
      <c r="K4397" t="s">
        <v>6813</v>
      </c>
      <c r="L4397" t="s">
        <v>53</v>
      </c>
      <c r="N4397" t="s">
        <v>7617</v>
      </c>
      <c r="P4397" t="s">
        <v>55</v>
      </c>
      <c r="R4397" t="s">
        <v>56</v>
      </c>
      <c r="T4397" t="s">
        <v>7618</v>
      </c>
      <c r="U4397" t="s">
        <v>55</v>
      </c>
      <c r="V4397">
        <v>1</v>
      </c>
      <c r="W4397">
        <v>1</v>
      </c>
      <c r="X4397">
        <v>1</v>
      </c>
      <c r="Y4397">
        <v>0</v>
      </c>
      <c r="Z4397">
        <v>1</v>
      </c>
      <c r="AA4397">
        <v>62</v>
      </c>
      <c r="AB4397">
        <v>62</v>
      </c>
      <c r="AC4397">
        <v>62</v>
      </c>
      <c r="AD4397">
        <v>0</v>
      </c>
      <c r="AE4397">
        <v>0</v>
      </c>
      <c r="AF4397">
        <v>0</v>
      </c>
      <c r="AG4397">
        <v>0</v>
      </c>
      <c r="AH4397">
        <v>0</v>
      </c>
      <c r="AI4397">
        <v>11.16</v>
      </c>
      <c r="AJ4397">
        <v>62</v>
      </c>
      <c r="AK4397">
        <v>0</v>
      </c>
      <c r="AL4397" t="s">
        <v>53</v>
      </c>
      <c r="AM4397" t="s">
        <v>53</v>
      </c>
      <c r="AN4397" t="s">
        <v>53</v>
      </c>
      <c r="AO4397" t="s">
        <v>53</v>
      </c>
      <c r="AP4397" t="s">
        <v>53</v>
      </c>
    </row>
    <row r="4398" spans="2:42" x14ac:dyDescent="0.2">
      <c r="B4398" t="s">
        <v>44</v>
      </c>
      <c r="C4398" t="str">
        <f>HYPERLINK("https://us2.cloudbeds.com/connect/8493803454333002#/reservations/96180149891297?display=22CPGP0JSV&amp;reservation_id=96180149891297", "22CPGP0JSV")</f>
        <v>22CPGP0JSV</v>
      </c>
      <c r="D4398" t="s">
        <v>45</v>
      </c>
      <c r="E4398" t="s">
        <v>110</v>
      </c>
      <c r="F4398" t="s">
        <v>47</v>
      </c>
      <c r="G4398" t="s">
        <v>48</v>
      </c>
      <c r="H4398" t="s">
        <v>3957</v>
      </c>
      <c r="I4398" t="s">
        <v>3989</v>
      </c>
      <c r="J4398" t="s">
        <v>7559</v>
      </c>
      <c r="K4398" t="s">
        <v>6943</v>
      </c>
      <c r="L4398" t="s">
        <v>53</v>
      </c>
      <c r="P4398" t="s">
        <v>55</v>
      </c>
      <c r="R4398" t="s">
        <v>56</v>
      </c>
      <c r="T4398" t="s">
        <v>7619</v>
      </c>
      <c r="U4398" t="s">
        <v>58</v>
      </c>
      <c r="V4398">
        <v>3</v>
      </c>
      <c r="W4398">
        <v>1</v>
      </c>
      <c r="X4398">
        <v>1</v>
      </c>
      <c r="Y4398">
        <v>0</v>
      </c>
      <c r="Z4398">
        <v>1</v>
      </c>
      <c r="AA4398">
        <v>576.21</v>
      </c>
      <c r="AB4398">
        <v>1152.42</v>
      </c>
      <c r="AC4398">
        <v>507</v>
      </c>
      <c r="AD4398">
        <v>0</v>
      </c>
      <c r="AE4398">
        <v>69.209999999999994</v>
      </c>
      <c r="AF4398">
        <v>0</v>
      </c>
      <c r="AG4398">
        <v>0</v>
      </c>
      <c r="AH4398">
        <v>0</v>
      </c>
      <c r="AI4398">
        <v>0</v>
      </c>
      <c r="AJ4398">
        <v>576.21</v>
      </c>
      <c r="AK4398">
        <v>0</v>
      </c>
      <c r="AL4398" t="s">
        <v>53</v>
      </c>
      <c r="AM4398" t="s">
        <v>53</v>
      </c>
      <c r="AN4398" t="s">
        <v>53</v>
      </c>
      <c r="AO4398" t="s">
        <v>53</v>
      </c>
      <c r="AP4398" t="s">
        <v>53</v>
      </c>
    </row>
    <row r="4399" spans="2:42" x14ac:dyDescent="0.2">
      <c r="B4399" t="s">
        <v>44</v>
      </c>
      <c r="C4399" t="str">
        <f>HYPERLINK("https://us2.cloudbeds.com/connect/8493803454333002#/reservations/9080486845868483?display=22DUMW79RK&amp;reservation_id=9080486845868483", "22DUMW79RK")</f>
        <v>22DUMW79RK</v>
      </c>
      <c r="D4399" t="s">
        <v>45</v>
      </c>
      <c r="E4399" t="s">
        <v>92</v>
      </c>
      <c r="F4399" t="s">
        <v>86</v>
      </c>
      <c r="G4399" t="s">
        <v>48</v>
      </c>
      <c r="H4399" t="s">
        <v>49</v>
      </c>
      <c r="I4399" t="s">
        <v>62</v>
      </c>
      <c r="J4399" t="s">
        <v>6912</v>
      </c>
      <c r="K4399" t="s">
        <v>7579</v>
      </c>
      <c r="L4399" t="s">
        <v>53</v>
      </c>
      <c r="N4399" t="s">
        <v>7620</v>
      </c>
      <c r="P4399" t="s">
        <v>55</v>
      </c>
      <c r="R4399" t="s">
        <v>56</v>
      </c>
      <c r="T4399" t="s">
        <v>7621</v>
      </c>
      <c r="U4399" t="s">
        <v>55</v>
      </c>
      <c r="V4399">
        <v>1</v>
      </c>
      <c r="W4399">
        <v>1</v>
      </c>
      <c r="X4399">
        <v>2</v>
      </c>
      <c r="Y4399">
        <v>0</v>
      </c>
      <c r="Z4399">
        <v>2</v>
      </c>
      <c r="AA4399">
        <v>102</v>
      </c>
      <c r="AB4399">
        <v>102</v>
      </c>
      <c r="AC4399">
        <v>102</v>
      </c>
      <c r="AD4399">
        <v>0</v>
      </c>
      <c r="AE4399">
        <v>0</v>
      </c>
      <c r="AF4399">
        <v>0</v>
      </c>
      <c r="AG4399">
        <v>0</v>
      </c>
      <c r="AH4399">
        <v>0</v>
      </c>
      <c r="AI4399">
        <v>18.36</v>
      </c>
      <c r="AJ4399">
        <v>102</v>
      </c>
      <c r="AK4399">
        <v>0</v>
      </c>
      <c r="AL4399" t="s">
        <v>53</v>
      </c>
      <c r="AM4399" t="s">
        <v>53</v>
      </c>
      <c r="AN4399" t="s">
        <v>53</v>
      </c>
      <c r="AO4399" t="s">
        <v>53</v>
      </c>
      <c r="AP4399" t="s">
        <v>53</v>
      </c>
    </row>
    <row r="4400" spans="2:42" x14ac:dyDescent="0.2">
      <c r="B4400" t="s">
        <v>44</v>
      </c>
      <c r="C4400" t="str">
        <f>HYPERLINK("https://us2.cloudbeds.com/connect/8493803454333002#/reservations/96248609513608?display=22ECH1WGRC&amp;reservation_id=96248609513608", "22ECH1WGRC")</f>
        <v>22ECH1WGRC</v>
      </c>
      <c r="D4400" t="s">
        <v>45</v>
      </c>
      <c r="E4400" t="s">
        <v>373</v>
      </c>
      <c r="F4400" t="s">
        <v>47</v>
      </c>
      <c r="G4400" t="s">
        <v>48</v>
      </c>
      <c r="H4400" t="s">
        <v>3957</v>
      </c>
      <c r="I4400" t="s">
        <v>3958</v>
      </c>
      <c r="J4400" t="s">
        <v>7144</v>
      </c>
      <c r="K4400" t="s">
        <v>6813</v>
      </c>
      <c r="L4400" t="s">
        <v>53</v>
      </c>
      <c r="P4400" t="s">
        <v>58</v>
      </c>
      <c r="R4400" t="s">
        <v>56</v>
      </c>
      <c r="T4400" t="s">
        <v>7622</v>
      </c>
      <c r="U4400" t="s">
        <v>58</v>
      </c>
      <c r="V4400">
        <v>1</v>
      </c>
      <c r="W4400">
        <v>1</v>
      </c>
      <c r="X4400">
        <v>2</v>
      </c>
      <c r="Y4400">
        <v>0</v>
      </c>
      <c r="Z4400">
        <v>2</v>
      </c>
      <c r="AA4400">
        <v>70.47</v>
      </c>
      <c r="AB4400">
        <v>70.47</v>
      </c>
      <c r="AC4400">
        <v>62</v>
      </c>
      <c r="AD4400">
        <v>0</v>
      </c>
      <c r="AE4400">
        <v>8.4700000000000006</v>
      </c>
      <c r="AF4400">
        <v>0</v>
      </c>
      <c r="AG4400">
        <v>0</v>
      </c>
      <c r="AH4400">
        <v>0</v>
      </c>
      <c r="AI4400">
        <v>0</v>
      </c>
      <c r="AJ4400">
        <v>70.47</v>
      </c>
      <c r="AK4400">
        <v>0</v>
      </c>
      <c r="AL4400" t="s">
        <v>53</v>
      </c>
      <c r="AM4400" t="s">
        <v>53</v>
      </c>
      <c r="AN4400" t="s">
        <v>53</v>
      </c>
      <c r="AO4400" t="s">
        <v>53</v>
      </c>
      <c r="AP4400" t="s">
        <v>53</v>
      </c>
    </row>
    <row r="4401" spans="2:42" x14ac:dyDescent="0.2">
      <c r="B4401" t="s">
        <v>44</v>
      </c>
      <c r="C4401" t="str">
        <f>HYPERLINK("https://us2.cloudbeds.com/connect/8493803454333002#/reservations/9080486845868754?display=22ECJF9YMC&amp;reservation_id=9080486845868754", "22ECJF9YMC")</f>
        <v>22ECJF9YMC</v>
      </c>
      <c r="D4401" t="s">
        <v>45</v>
      </c>
      <c r="E4401" t="s">
        <v>46</v>
      </c>
      <c r="F4401" t="s">
        <v>47</v>
      </c>
      <c r="G4401" t="s">
        <v>48</v>
      </c>
      <c r="H4401" t="s">
        <v>49</v>
      </c>
      <c r="I4401" t="s">
        <v>50</v>
      </c>
      <c r="J4401" t="s">
        <v>7623</v>
      </c>
      <c r="K4401" t="s">
        <v>7624</v>
      </c>
      <c r="L4401" t="s">
        <v>53</v>
      </c>
      <c r="N4401" t="s">
        <v>7625</v>
      </c>
      <c r="P4401" t="s">
        <v>55</v>
      </c>
      <c r="R4401" t="s">
        <v>53</v>
      </c>
      <c r="T4401" t="s">
        <v>7626</v>
      </c>
      <c r="U4401" t="s">
        <v>58</v>
      </c>
      <c r="V4401">
        <v>1</v>
      </c>
      <c r="W4401">
        <v>1</v>
      </c>
      <c r="X4401">
        <v>2</v>
      </c>
      <c r="Y4401">
        <v>0</v>
      </c>
      <c r="Z4401">
        <v>2</v>
      </c>
      <c r="AA4401">
        <v>152.63</v>
      </c>
      <c r="AB4401">
        <v>152.63</v>
      </c>
      <c r="AC4401">
        <v>134.30000000000001</v>
      </c>
      <c r="AD4401">
        <v>0</v>
      </c>
      <c r="AE4401">
        <v>18.329999999999998</v>
      </c>
      <c r="AF4401">
        <v>0</v>
      </c>
      <c r="AG4401">
        <v>0</v>
      </c>
      <c r="AH4401">
        <v>0</v>
      </c>
      <c r="AI4401">
        <v>27.47</v>
      </c>
      <c r="AJ4401">
        <v>152.63</v>
      </c>
      <c r="AK4401">
        <v>0</v>
      </c>
      <c r="AL4401" t="s">
        <v>53</v>
      </c>
      <c r="AM4401" t="s">
        <v>53</v>
      </c>
      <c r="AN4401" t="s">
        <v>53</v>
      </c>
      <c r="AO4401" t="s">
        <v>53</v>
      </c>
      <c r="AP4401" t="s">
        <v>53</v>
      </c>
    </row>
    <row r="4402" spans="2:42" x14ac:dyDescent="0.2">
      <c r="B4402" t="s">
        <v>44</v>
      </c>
      <c r="C4402" t="str">
        <f>HYPERLINK("https://us2.cloudbeds.com/connect/8493803454333002#/reservations/9080486845868857?display=22EJHM4RTF&amp;reservation_id=9080486845868857", "22EJHM4RTF")</f>
        <v>22EJHM4RTF</v>
      </c>
      <c r="D4402" t="s">
        <v>45</v>
      </c>
      <c r="E4402" t="s">
        <v>138</v>
      </c>
      <c r="F4402" t="s">
        <v>70</v>
      </c>
      <c r="G4402" t="s">
        <v>48</v>
      </c>
      <c r="H4402" t="s">
        <v>49</v>
      </c>
      <c r="I4402" t="s">
        <v>62</v>
      </c>
      <c r="J4402" t="s">
        <v>6814</v>
      </c>
      <c r="K4402" t="s">
        <v>6858</v>
      </c>
      <c r="L4402" t="s">
        <v>53</v>
      </c>
      <c r="N4402" t="s">
        <v>7627</v>
      </c>
      <c r="P4402" t="s">
        <v>55</v>
      </c>
      <c r="R4402" t="s">
        <v>118</v>
      </c>
      <c r="T4402" t="s">
        <v>7628</v>
      </c>
      <c r="U4402" t="s">
        <v>55</v>
      </c>
      <c r="V4402">
        <v>1</v>
      </c>
      <c r="W4402">
        <v>1</v>
      </c>
      <c r="X4402">
        <v>2</v>
      </c>
      <c r="Y4402">
        <v>0</v>
      </c>
      <c r="Z4402">
        <v>2</v>
      </c>
      <c r="AA4402">
        <v>60</v>
      </c>
      <c r="AB4402">
        <v>60</v>
      </c>
      <c r="AC4402">
        <v>60</v>
      </c>
      <c r="AD4402">
        <v>0</v>
      </c>
      <c r="AE4402">
        <v>0</v>
      </c>
      <c r="AF4402">
        <v>0</v>
      </c>
      <c r="AG4402">
        <v>0</v>
      </c>
      <c r="AH4402">
        <v>0</v>
      </c>
      <c r="AI4402">
        <v>10.8</v>
      </c>
      <c r="AJ4402">
        <v>60</v>
      </c>
      <c r="AK4402">
        <v>0</v>
      </c>
      <c r="AL4402" t="s">
        <v>53</v>
      </c>
      <c r="AM4402" t="s">
        <v>53</v>
      </c>
      <c r="AN4402" t="s">
        <v>53</v>
      </c>
      <c r="AO4402" t="s">
        <v>53</v>
      </c>
      <c r="AP4402" t="s">
        <v>53</v>
      </c>
    </row>
    <row r="4403" spans="2:42" x14ac:dyDescent="0.2">
      <c r="B4403" t="s">
        <v>44</v>
      </c>
      <c r="C4403" t="str">
        <f>HYPERLINK("https://us2.cloudbeds.com/connect/8493803454333002#/reservations/96268330057949?display=22ERPVSNW4&amp;reservation_id=96268330057949", "22ERPVSNW4")</f>
        <v>22ERPVSNW4</v>
      </c>
      <c r="D4403" t="s">
        <v>45</v>
      </c>
      <c r="E4403" t="s">
        <v>381</v>
      </c>
      <c r="F4403" t="s">
        <v>47</v>
      </c>
      <c r="G4403" t="s">
        <v>48</v>
      </c>
      <c r="H4403" t="s">
        <v>3957</v>
      </c>
      <c r="I4403" t="s">
        <v>3975</v>
      </c>
      <c r="J4403" t="s">
        <v>7144</v>
      </c>
      <c r="K4403" t="s">
        <v>6813</v>
      </c>
      <c r="L4403" t="s">
        <v>53</v>
      </c>
      <c r="P4403" t="s">
        <v>55</v>
      </c>
      <c r="R4403" t="s">
        <v>53</v>
      </c>
      <c r="T4403" t="s">
        <v>7629</v>
      </c>
      <c r="U4403" t="s">
        <v>58</v>
      </c>
      <c r="V4403">
        <v>1</v>
      </c>
      <c r="W4403">
        <v>1</v>
      </c>
      <c r="X4403">
        <v>1</v>
      </c>
      <c r="Y4403">
        <v>0</v>
      </c>
      <c r="Z4403">
        <v>1</v>
      </c>
      <c r="AA4403">
        <v>70.47</v>
      </c>
      <c r="AB4403">
        <v>70.47</v>
      </c>
      <c r="AC4403">
        <v>62</v>
      </c>
      <c r="AD4403">
        <v>0</v>
      </c>
      <c r="AE4403">
        <v>8.4700000000000006</v>
      </c>
      <c r="AF4403">
        <v>0</v>
      </c>
      <c r="AG4403">
        <v>0</v>
      </c>
      <c r="AH4403">
        <v>0</v>
      </c>
      <c r="AI4403">
        <v>0</v>
      </c>
      <c r="AJ4403">
        <v>70.47</v>
      </c>
      <c r="AK4403">
        <v>0</v>
      </c>
      <c r="AL4403" t="s">
        <v>53</v>
      </c>
      <c r="AM4403" t="s">
        <v>53</v>
      </c>
      <c r="AN4403" t="s">
        <v>53</v>
      </c>
      <c r="AO4403" t="s">
        <v>53</v>
      </c>
      <c r="AP4403" t="s">
        <v>53</v>
      </c>
    </row>
    <row r="4404" spans="2:42" x14ac:dyDescent="0.2">
      <c r="B4404" t="s">
        <v>44</v>
      </c>
      <c r="C4404" t="str">
        <f>HYPERLINK("https://us2.cloudbeds.com/connect/8493803454333002#/reservations/96271044321507?display=22ETTAK3YW&amp;reservation_id=96271044321507", "22ETTAK3YW")</f>
        <v>22ETTAK3YW</v>
      </c>
      <c r="D4404" t="s">
        <v>45</v>
      </c>
      <c r="E4404" t="s">
        <v>165</v>
      </c>
      <c r="F4404" t="s">
        <v>61</v>
      </c>
      <c r="G4404" t="s">
        <v>48</v>
      </c>
      <c r="H4404" t="s">
        <v>3957</v>
      </c>
      <c r="I4404" t="s">
        <v>3989</v>
      </c>
      <c r="J4404" t="s">
        <v>7559</v>
      </c>
      <c r="K4404" t="s">
        <v>6943</v>
      </c>
      <c r="L4404" t="s">
        <v>53</v>
      </c>
      <c r="P4404" t="s">
        <v>55</v>
      </c>
      <c r="R4404" t="s">
        <v>56</v>
      </c>
      <c r="T4404" t="s">
        <v>7630</v>
      </c>
      <c r="U4404" t="s">
        <v>58</v>
      </c>
      <c r="V4404">
        <v>3</v>
      </c>
      <c r="W4404">
        <v>1</v>
      </c>
      <c r="X4404">
        <v>1</v>
      </c>
      <c r="Y4404">
        <v>0</v>
      </c>
      <c r="Z4404">
        <v>1</v>
      </c>
      <c r="AA4404">
        <v>608.04</v>
      </c>
      <c r="AB4404">
        <v>1824.12</v>
      </c>
      <c r="AC4404">
        <v>535</v>
      </c>
      <c r="AD4404">
        <v>0</v>
      </c>
      <c r="AE4404">
        <v>73.040000000000006</v>
      </c>
      <c r="AF4404">
        <v>0</v>
      </c>
      <c r="AG4404">
        <v>0</v>
      </c>
      <c r="AH4404">
        <v>0</v>
      </c>
      <c r="AI4404">
        <v>0</v>
      </c>
      <c r="AJ4404">
        <v>608.04</v>
      </c>
      <c r="AK4404">
        <v>0</v>
      </c>
      <c r="AL4404" t="s">
        <v>53</v>
      </c>
      <c r="AM4404" t="s">
        <v>53</v>
      </c>
      <c r="AN4404" t="s">
        <v>7631</v>
      </c>
      <c r="AO4404" t="s">
        <v>53</v>
      </c>
      <c r="AP4404" t="s">
        <v>53</v>
      </c>
    </row>
    <row r="4405" spans="2:42" x14ac:dyDescent="0.2">
      <c r="B4405" t="s">
        <v>44</v>
      </c>
      <c r="C4405" t="str">
        <f>HYPERLINK("https://us2.cloudbeds.com/connect/8493803454333002#/reservations/9080486845869061?display=22EWDXG7N4&amp;reservation_id=9080486845869061", "22EWDXG7N4")</f>
        <v>22EWDXG7N4</v>
      </c>
      <c r="D4405" t="s">
        <v>45</v>
      </c>
      <c r="E4405" t="s">
        <v>113</v>
      </c>
      <c r="F4405" t="s">
        <v>61</v>
      </c>
      <c r="G4405" t="s">
        <v>48</v>
      </c>
      <c r="H4405" t="s">
        <v>49</v>
      </c>
      <c r="I4405" t="s">
        <v>50</v>
      </c>
      <c r="J4405" t="s">
        <v>6662</v>
      </c>
      <c r="K4405" t="s">
        <v>7595</v>
      </c>
      <c r="L4405" t="s">
        <v>53</v>
      </c>
      <c r="N4405" t="s">
        <v>7632</v>
      </c>
      <c r="P4405" t="s">
        <v>55</v>
      </c>
      <c r="R4405" t="s">
        <v>53</v>
      </c>
      <c r="T4405" t="s">
        <v>7633</v>
      </c>
      <c r="U4405" t="s">
        <v>58</v>
      </c>
      <c r="V4405">
        <v>1</v>
      </c>
      <c r="W4405">
        <v>1</v>
      </c>
      <c r="X4405">
        <v>2</v>
      </c>
      <c r="Y4405">
        <v>0</v>
      </c>
      <c r="Z4405">
        <v>2</v>
      </c>
      <c r="AA4405">
        <v>169.79</v>
      </c>
      <c r="AB4405">
        <v>169.79</v>
      </c>
      <c r="AC4405">
        <v>149.4</v>
      </c>
      <c r="AD4405">
        <v>0</v>
      </c>
      <c r="AE4405">
        <v>20.39</v>
      </c>
      <c r="AF4405">
        <v>0</v>
      </c>
      <c r="AG4405">
        <v>0</v>
      </c>
      <c r="AH4405">
        <v>0</v>
      </c>
      <c r="AI4405">
        <v>30.56</v>
      </c>
      <c r="AJ4405">
        <v>169.79</v>
      </c>
      <c r="AK4405">
        <v>0</v>
      </c>
      <c r="AL4405" t="s">
        <v>53</v>
      </c>
      <c r="AM4405" t="s">
        <v>53</v>
      </c>
      <c r="AN4405" t="s">
        <v>53</v>
      </c>
      <c r="AO4405" t="s">
        <v>53</v>
      </c>
      <c r="AP4405" t="s">
        <v>53</v>
      </c>
    </row>
    <row r="4406" spans="2:42" x14ac:dyDescent="0.2">
      <c r="B4406" t="s">
        <v>44</v>
      </c>
      <c r="C4406" t="str">
        <f>HYPERLINK("https://us2.cloudbeds.com/connect/8493803454333002#/reservations/9080486845869330?display=22FJCP1H2H&amp;reservation_id=9080486845869330", "22FJCP1H2H")</f>
        <v>22FJCP1H2H</v>
      </c>
      <c r="D4406" t="s">
        <v>45</v>
      </c>
      <c r="E4406" t="s">
        <v>155</v>
      </c>
      <c r="F4406" t="s">
        <v>86</v>
      </c>
      <c r="G4406" t="s">
        <v>48</v>
      </c>
      <c r="H4406" t="s">
        <v>49</v>
      </c>
      <c r="I4406" t="s">
        <v>62</v>
      </c>
      <c r="J4406" t="s">
        <v>7144</v>
      </c>
      <c r="K4406" t="s">
        <v>6858</v>
      </c>
      <c r="L4406" t="s">
        <v>53</v>
      </c>
      <c r="N4406" t="s">
        <v>7634</v>
      </c>
      <c r="P4406" t="s">
        <v>55</v>
      </c>
      <c r="R4406" t="s">
        <v>56</v>
      </c>
      <c r="T4406" t="s">
        <v>7635</v>
      </c>
      <c r="U4406" t="s">
        <v>55</v>
      </c>
      <c r="V4406">
        <v>3</v>
      </c>
      <c r="W4406">
        <v>1</v>
      </c>
      <c r="X4406">
        <v>2</v>
      </c>
      <c r="Y4406">
        <v>0</v>
      </c>
      <c r="Z4406">
        <v>2</v>
      </c>
      <c r="AA4406">
        <v>237</v>
      </c>
      <c r="AB4406">
        <v>237</v>
      </c>
      <c r="AC4406">
        <v>237</v>
      </c>
      <c r="AD4406">
        <v>0</v>
      </c>
      <c r="AE4406">
        <v>0</v>
      </c>
      <c r="AF4406">
        <v>0</v>
      </c>
      <c r="AG4406">
        <v>0</v>
      </c>
      <c r="AH4406">
        <v>0</v>
      </c>
      <c r="AI4406">
        <v>42.66</v>
      </c>
      <c r="AJ4406">
        <v>237</v>
      </c>
      <c r="AK4406">
        <v>0</v>
      </c>
      <c r="AL4406" t="s">
        <v>53</v>
      </c>
      <c r="AM4406" t="s">
        <v>53</v>
      </c>
      <c r="AN4406" t="s">
        <v>7636</v>
      </c>
      <c r="AO4406" t="s">
        <v>53</v>
      </c>
      <c r="AP4406" t="s">
        <v>53</v>
      </c>
    </row>
    <row r="4407" spans="2:42" x14ac:dyDescent="0.2">
      <c r="B4407" t="s">
        <v>44</v>
      </c>
      <c r="C4407" t="str">
        <f>HYPERLINK("https://us2.cloudbeds.com/connect/8493803454333002#/reservations/9080486845869453?display=22FRASZEG0&amp;reservation_id=9080486845869453", "22FRASZEG0")</f>
        <v>22FRASZEG0</v>
      </c>
      <c r="D4407" t="s">
        <v>45</v>
      </c>
      <c r="E4407" t="s">
        <v>179</v>
      </c>
      <c r="F4407" t="s">
        <v>47</v>
      </c>
      <c r="G4407" t="s">
        <v>48</v>
      </c>
      <c r="H4407" t="s">
        <v>49</v>
      </c>
      <c r="I4407" t="s">
        <v>50</v>
      </c>
      <c r="J4407" t="s">
        <v>6858</v>
      </c>
      <c r="K4407" t="s">
        <v>6591</v>
      </c>
      <c r="L4407" t="s">
        <v>53</v>
      </c>
      <c r="N4407" t="s">
        <v>7637</v>
      </c>
      <c r="P4407" t="s">
        <v>55</v>
      </c>
      <c r="R4407" t="s">
        <v>53</v>
      </c>
      <c r="T4407" t="s">
        <v>7638</v>
      </c>
      <c r="U4407" t="s">
        <v>58</v>
      </c>
      <c r="V4407">
        <v>1</v>
      </c>
      <c r="W4407">
        <v>1</v>
      </c>
      <c r="X4407">
        <v>1</v>
      </c>
      <c r="Y4407">
        <v>0</v>
      </c>
      <c r="Z4407">
        <v>1</v>
      </c>
      <c r="AA4407">
        <v>102.29</v>
      </c>
      <c r="AB4407">
        <v>102.29</v>
      </c>
      <c r="AC4407">
        <v>90</v>
      </c>
      <c r="AD4407">
        <v>0</v>
      </c>
      <c r="AE4407">
        <v>12.29</v>
      </c>
      <c r="AF4407">
        <v>0</v>
      </c>
      <c r="AG4407">
        <v>0</v>
      </c>
      <c r="AH4407">
        <v>0</v>
      </c>
      <c r="AI4407">
        <v>18.41</v>
      </c>
      <c r="AJ4407">
        <v>102.29</v>
      </c>
      <c r="AK4407">
        <v>0</v>
      </c>
      <c r="AL4407" t="s">
        <v>53</v>
      </c>
      <c r="AM4407" t="s">
        <v>53</v>
      </c>
      <c r="AN4407" t="s">
        <v>53</v>
      </c>
      <c r="AO4407" t="s">
        <v>53</v>
      </c>
      <c r="AP4407" t="s">
        <v>53</v>
      </c>
    </row>
    <row r="4408" spans="2:42" x14ac:dyDescent="0.2">
      <c r="B4408" t="s">
        <v>44</v>
      </c>
      <c r="C4408" t="str">
        <f>HYPERLINK("https://us2.cloudbeds.com/connect/8493803454333002#/reservations/96375710306442?display=22HBUPZE75&amp;reservation_id=96375710306442", "22HBUPZE75")</f>
        <v>22HBUPZE75</v>
      </c>
      <c r="D4408" t="s">
        <v>45</v>
      </c>
      <c r="E4408" t="s">
        <v>78</v>
      </c>
      <c r="F4408" t="s">
        <v>61</v>
      </c>
      <c r="G4408" t="s">
        <v>48</v>
      </c>
      <c r="H4408" t="s">
        <v>3957</v>
      </c>
      <c r="I4408" t="s">
        <v>3975</v>
      </c>
      <c r="J4408" t="s">
        <v>6592</v>
      </c>
      <c r="K4408" t="s">
        <v>6912</v>
      </c>
      <c r="L4408" t="s">
        <v>53</v>
      </c>
      <c r="P4408" t="s">
        <v>55</v>
      </c>
      <c r="R4408" t="s">
        <v>53</v>
      </c>
      <c r="T4408" t="s">
        <v>7639</v>
      </c>
      <c r="U4408" t="s">
        <v>58</v>
      </c>
      <c r="V4408">
        <v>1</v>
      </c>
      <c r="W4408">
        <v>1</v>
      </c>
      <c r="X4408">
        <v>2</v>
      </c>
      <c r="Y4408">
        <v>0</v>
      </c>
      <c r="Z4408">
        <v>2</v>
      </c>
      <c r="AA4408">
        <v>104.56</v>
      </c>
      <c r="AB4408">
        <v>104.56</v>
      </c>
      <c r="AC4408">
        <v>92</v>
      </c>
      <c r="AD4408">
        <v>0</v>
      </c>
      <c r="AE4408">
        <v>12.56</v>
      </c>
      <c r="AF4408">
        <v>0</v>
      </c>
      <c r="AG4408">
        <v>0</v>
      </c>
      <c r="AH4408">
        <v>0</v>
      </c>
      <c r="AI4408">
        <v>0</v>
      </c>
      <c r="AJ4408">
        <v>104.56</v>
      </c>
      <c r="AK4408">
        <v>0</v>
      </c>
      <c r="AL4408" t="s">
        <v>53</v>
      </c>
      <c r="AM4408" t="s">
        <v>53</v>
      </c>
      <c r="AN4408" t="s">
        <v>53</v>
      </c>
      <c r="AO4408" t="s">
        <v>53</v>
      </c>
      <c r="AP4408" t="s">
        <v>53</v>
      </c>
    </row>
    <row r="4409" spans="2:42" x14ac:dyDescent="0.2">
      <c r="B4409" t="s">
        <v>44</v>
      </c>
      <c r="C4409" t="str">
        <f>HYPERLINK("https://us2.cloudbeds.com/connect/8493803454333002#/reservations/9080486845870464?display=22HV9M8UJP&amp;reservation_id=9080486845870464", "22HV9M8UJP")</f>
        <v>22HV9M8UJP</v>
      </c>
      <c r="D4409" t="s">
        <v>45</v>
      </c>
      <c r="E4409" t="s">
        <v>92</v>
      </c>
      <c r="F4409" t="s">
        <v>86</v>
      </c>
      <c r="G4409" t="s">
        <v>48</v>
      </c>
      <c r="H4409" t="s">
        <v>49</v>
      </c>
      <c r="I4409" t="s">
        <v>62</v>
      </c>
      <c r="J4409" t="s">
        <v>6813</v>
      </c>
      <c r="K4409" t="s">
        <v>6814</v>
      </c>
      <c r="L4409" t="s">
        <v>53</v>
      </c>
      <c r="N4409" t="s">
        <v>7640</v>
      </c>
      <c r="P4409" t="s">
        <v>55</v>
      </c>
      <c r="R4409" t="s">
        <v>1414</v>
      </c>
      <c r="T4409" t="s">
        <v>7641</v>
      </c>
      <c r="U4409" t="s">
        <v>55</v>
      </c>
      <c r="V4409">
        <v>1</v>
      </c>
      <c r="W4409">
        <v>1</v>
      </c>
      <c r="X4409">
        <v>4</v>
      </c>
      <c r="Y4409">
        <v>0</v>
      </c>
      <c r="Z4409">
        <v>4</v>
      </c>
      <c r="AA4409">
        <v>88</v>
      </c>
      <c r="AB4409">
        <v>88</v>
      </c>
      <c r="AC4409">
        <v>88</v>
      </c>
      <c r="AD4409">
        <v>0</v>
      </c>
      <c r="AE4409">
        <v>0</v>
      </c>
      <c r="AF4409">
        <v>0</v>
      </c>
      <c r="AG4409">
        <v>0</v>
      </c>
      <c r="AH4409">
        <v>0</v>
      </c>
      <c r="AI4409">
        <v>15.84</v>
      </c>
      <c r="AJ4409">
        <v>88</v>
      </c>
      <c r="AK4409">
        <v>0</v>
      </c>
      <c r="AL4409" t="s">
        <v>53</v>
      </c>
      <c r="AM4409" t="s">
        <v>53</v>
      </c>
      <c r="AN4409" t="s">
        <v>53</v>
      </c>
      <c r="AO4409" t="s">
        <v>53</v>
      </c>
      <c r="AP4409" t="s">
        <v>53</v>
      </c>
    </row>
    <row r="4410" spans="2:42" x14ac:dyDescent="0.2">
      <c r="B4410" t="s">
        <v>44</v>
      </c>
      <c r="C4410" t="str">
        <f>HYPERLINK("https://us2.cloudbeds.com/connect/8493803454333002#/reservations/9080486845870480?display=22HW8GPM9P&amp;reservation_id=9080486845870480", "22HW8GPM9P")</f>
        <v>22HW8GPM9P</v>
      </c>
      <c r="D4410" t="s">
        <v>45</v>
      </c>
      <c r="E4410" t="s">
        <v>7642</v>
      </c>
      <c r="F4410" t="s">
        <v>61</v>
      </c>
      <c r="G4410" t="s">
        <v>48</v>
      </c>
      <c r="H4410" t="s">
        <v>49</v>
      </c>
      <c r="I4410" t="s">
        <v>62</v>
      </c>
      <c r="J4410" t="s">
        <v>6813</v>
      </c>
      <c r="K4410" t="s">
        <v>6814</v>
      </c>
      <c r="L4410" t="s">
        <v>53</v>
      </c>
      <c r="N4410" t="s">
        <v>7643</v>
      </c>
      <c r="P4410" t="s">
        <v>55</v>
      </c>
      <c r="R4410" t="s">
        <v>1414</v>
      </c>
      <c r="T4410" t="s">
        <v>7644</v>
      </c>
      <c r="U4410" t="s">
        <v>55</v>
      </c>
      <c r="V4410">
        <v>2</v>
      </c>
      <c r="W4410">
        <v>2</v>
      </c>
      <c r="X4410">
        <v>2</v>
      </c>
      <c r="Y4410">
        <v>0</v>
      </c>
      <c r="Z4410">
        <v>2</v>
      </c>
      <c r="AA4410">
        <v>156</v>
      </c>
      <c r="AB4410">
        <v>156</v>
      </c>
      <c r="AC4410">
        <v>156</v>
      </c>
      <c r="AD4410">
        <v>0</v>
      </c>
      <c r="AE4410">
        <v>0</v>
      </c>
      <c r="AF4410">
        <v>0</v>
      </c>
      <c r="AG4410">
        <v>0</v>
      </c>
      <c r="AH4410">
        <v>0</v>
      </c>
      <c r="AI4410">
        <v>28.08</v>
      </c>
      <c r="AJ4410">
        <v>156</v>
      </c>
      <c r="AK4410">
        <v>0</v>
      </c>
      <c r="AL4410" t="s">
        <v>53</v>
      </c>
      <c r="AM4410" t="s">
        <v>53</v>
      </c>
      <c r="AN4410" t="s">
        <v>53</v>
      </c>
      <c r="AO4410" t="s">
        <v>53</v>
      </c>
      <c r="AP4410" t="s">
        <v>53</v>
      </c>
    </row>
    <row r="4411" spans="2:42" x14ac:dyDescent="0.2">
      <c r="B4411" t="s">
        <v>44</v>
      </c>
      <c r="C4411" t="str">
        <f>HYPERLINK("https://us2.cloudbeds.com/connect/8493803454333002#/reservations/9080486845873250?display=22M6NXD8EK&amp;reservation_id=9080486845873250", "22M6NXD8EK")</f>
        <v>22M6NXD8EK</v>
      </c>
      <c r="D4411" t="s">
        <v>45</v>
      </c>
      <c r="E4411" t="s">
        <v>185</v>
      </c>
      <c r="F4411" t="s">
        <v>47</v>
      </c>
      <c r="G4411" t="s">
        <v>48</v>
      </c>
      <c r="H4411" t="s">
        <v>49</v>
      </c>
      <c r="I4411" t="s">
        <v>50</v>
      </c>
      <c r="J4411" t="s">
        <v>6814</v>
      </c>
      <c r="K4411" t="s">
        <v>6858</v>
      </c>
      <c r="L4411" t="s">
        <v>53</v>
      </c>
      <c r="N4411" t="s">
        <v>7645</v>
      </c>
      <c r="P4411" t="s">
        <v>55</v>
      </c>
      <c r="R4411" t="s">
        <v>53</v>
      </c>
      <c r="T4411" t="s">
        <v>7646</v>
      </c>
      <c r="U4411" t="s">
        <v>58</v>
      </c>
      <c r="V4411">
        <v>1</v>
      </c>
      <c r="W4411">
        <v>1</v>
      </c>
      <c r="X4411">
        <v>1</v>
      </c>
      <c r="Y4411">
        <v>0</v>
      </c>
      <c r="Z4411">
        <v>1</v>
      </c>
      <c r="AA4411">
        <v>62.39</v>
      </c>
      <c r="AB4411">
        <v>62.39</v>
      </c>
      <c r="AC4411">
        <v>54.9</v>
      </c>
      <c r="AD4411">
        <v>0</v>
      </c>
      <c r="AE4411">
        <v>7.49</v>
      </c>
      <c r="AF4411">
        <v>0</v>
      </c>
      <c r="AG4411">
        <v>0</v>
      </c>
      <c r="AH4411">
        <v>0</v>
      </c>
      <c r="AI4411">
        <v>11.23</v>
      </c>
      <c r="AJ4411">
        <v>62.39</v>
      </c>
      <c r="AK4411">
        <v>0</v>
      </c>
      <c r="AL4411" t="s">
        <v>53</v>
      </c>
      <c r="AM4411" t="s">
        <v>53</v>
      </c>
      <c r="AN4411" t="s">
        <v>53</v>
      </c>
      <c r="AO4411" t="s">
        <v>53</v>
      </c>
      <c r="AP4411" t="s">
        <v>53</v>
      </c>
    </row>
    <row r="4412" spans="2:42" x14ac:dyDescent="0.2">
      <c r="B4412" t="s">
        <v>44</v>
      </c>
      <c r="C4412" t="str">
        <f>HYPERLINK("https://us2.cloudbeds.com/connect/8493803454333002#/reservations/9080486845873252?display=22M6W4KVZ2&amp;reservation_id=9080486845873252", "22M6W4KVZ2")</f>
        <v>22M6W4KVZ2</v>
      </c>
      <c r="D4412" t="s">
        <v>45</v>
      </c>
      <c r="E4412" t="s">
        <v>179</v>
      </c>
      <c r="F4412" t="s">
        <v>47</v>
      </c>
      <c r="G4412" t="s">
        <v>48</v>
      </c>
      <c r="H4412" t="s">
        <v>49</v>
      </c>
      <c r="I4412" t="s">
        <v>50</v>
      </c>
      <c r="J4412" t="s">
        <v>6814</v>
      </c>
      <c r="K4412" t="s">
        <v>6858</v>
      </c>
      <c r="L4412" t="s">
        <v>53</v>
      </c>
      <c r="N4412" t="s">
        <v>7647</v>
      </c>
      <c r="P4412" t="s">
        <v>55</v>
      </c>
      <c r="R4412" t="s">
        <v>53</v>
      </c>
      <c r="T4412" t="s">
        <v>7648</v>
      </c>
      <c r="U4412" t="s">
        <v>58</v>
      </c>
      <c r="V4412">
        <v>1</v>
      </c>
      <c r="W4412">
        <v>1</v>
      </c>
      <c r="X4412">
        <v>1</v>
      </c>
      <c r="Y4412">
        <v>0</v>
      </c>
      <c r="Z4412">
        <v>1</v>
      </c>
      <c r="AA4412">
        <v>62.39</v>
      </c>
      <c r="AB4412">
        <v>62.39</v>
      </c>
      <c r="AC4412">
        <v>54.9</v>
      </c>
      <c r="AD4412">
        <v>0</v>
      </c>
      <c r="AE4412">
        <v>7.49</v>
      </c>
      <c r="AF4412">
        <v>0</v>
      </c>
      <c r="AG4412">
        <v>0</v>
      </c>
      <c r="AH4412">
        <v>0</v>
      </c>
      <c r="AI4412">
        <v>11.23</v>
      </c>
      <c r="AJ4412">
        <v>62.39</v>
      </c>
      <c r="AK4412">
        <v>0</v>
      </c>
      <c r="AL4412" t="s">
        <v>53</v>
      </c>
      <c r="AM4412" t="s">
        <v>53</v>
      </c>
      <c r="AN4412" t="s">
        <v>53</v>
      </c>
      <c r="AO4412" t="s">
        <v>53</v>
      </c>
      <c r="AP4412" t="s">
        <v>53</v>
      </c>
    </row>
    <row r="4413" spans="2:42" x14ac:dyDescent="0.2">
      <c r="B4413" t="s">
        <v>44</v>
      </c>
      <c r="C4413" t="str">
        <f>HYPERLINK("https://us2.cloudbeds.com/connect/8493803454333002#/reservations/9080486845873805?display=22N3KVV47U&amp;reservation_id=9080486845873805", "22N3KVV47U")</f>
        <v>22N3KVV47U</v>
      </c>
      <c r="D4413" t="s">
        <v>45</v>
      </c>
      <c r="E4413" t="s">
        <v>487</v>
      </c>
      <c r="F4413" t="s">
        <v>61</v>
      </c>
      <c r="G4413" t="s">
        <v>48</v>
      </c>
      <c r="H4413" t="s">
        <v>49</v>
      </c>
      <c r="I4413" t="s">
        <v>50</v>
      </c>
      <c r="J4413" t="s">
        <v>6814</v>
      </c>
      <c r="K4413" t="s">
        <v>6858</v>
      </c>
      <c r="L4413" t="s">
        <v>53</v>
      </c>
      <c r="N4413" t="s">
        <v>7649</v>
      </c>
      <c r="P4413" t="s">
        <v>55</v>
      </c>
      <c r="R4413" t="s">
        <v>53</v>
      </c>
      <c r="T4413" t="s">
        <v>7650</v>
      </c>
      <c r="U4413" t="s">
        <v>58</v>
      </c>
      <c r="V4413">
        <v>1</v>
      </c>
      <c r="W4413">
        <v>1</v>
      </c>
      <c r="X4413">
        <v>2</v>
      </c>
      <c r="Y4413">
        <v>0</v>
      </c>
      <c r="Z4413">
        <v>2</v>
      </c>
      <c r="AA4413">
        <v>67.510000000000005</v>
      </c>
      <c r="AB4413">
        <v>67.510000000000005</v>
      </c>
      <c r="AC4413">
        <v>59.4</v>
      </c>
      <c r="AD4413">
        <v>0</v>
      </c>
      <c r="AE4413">
        <v>8.11</v>
      </c>
      <c r="AF4413">
        <v>0</v>
      </c>
      <c r="AG4413">
        <v>0</v>
      </c>
      <c r="AH4413">
        <v>0</v>
      </c>
      <c r="AI4413">
        <v>12.15</v>
      </c>
      <c r="AJ4413">
        <v>67.510000000000005</v>
      </c>
      <c r="AK4413">
        <v>0</v>
      </c>
      <c r="AL4413" t="s">
        <v>53</v>
      </c>
      <c r="AM4413" t="s">
        <v>53</v>
      </c>
      <c r="AN4413" t="s">
        <v>53</v>
      </c>
      <c r="AO4413" t="s">
        <v>53</v>
      </c>
      <c r="AP4413" t="s">
        <v>53</v>
      </c>
    </row>
    <row r="4414" spans="2:42" x14ac:dyDescent="0.2">
      <c r="B4414" t="s">
        <v>44</v>
      </c>
      <c r="C4414" t="str">
        <f>HYPERLINK("https://us2.cloudbeds.com/connect/8493803454333002#/reservations/9080486845874092?display=22NMB5VY8E&amp;reservation_id=9080486845874092", "22NMB5VY8E")</f>
        <v>22NMB5VY8E</v>
      </c>
      <c r="D4414" t="s">
        <v>45</v>
      </c>
      <c r="E4414" t="s">
        <v>46</v>
      </c>
      <c r="F4414" t="s">
        <v>47</v>
      </c>
      <c r="G4414" t="s">
        <v>48</v>
      </c>
      <c r="H4414" t="s">
        <v>49</v>
      </c>
      <c r="I4414" t="s">
        <v>62</v>
      </c>
      <c r="J4414" t="s">
        <v>6814</v>
      </c>
      <c r="K4414" t="s">
        <v>6858</v>
      </c>
      <c r="L4414" t="s">
        <v>53</v>
      </c>
      <c r="N4414" t="s">
        <v>7651</v>
      </c>
      <c r="P4414" t="s">
        <v>55</v>
      </c>
      <c r="R4414" t="s">
        <v>56</v>
      </c>
      <c r="T4414" t="s">
        <v>7652</v>
      </c>
      <c r="U4414" t="s">
        <v>55</v>
      </c>
      <c r="V4414">
        <v>1</v>
      </c>
      <c r="W4414">
        <v>1</v>
      </c>
      <c r="X4414">
        <v>1</v>
      </c>
      <c r="Y4414">
        <v>0</v>
      </c>
      <c r="Z4414">
        <v>1</v>
      </c>
      <c r="AA4414">
        <v>61</v>
      </c>
      <c r="AB4414">
        <v>61</v>
      </c>
      <c r="AC4414">
        <v>61</v>
      </c>
      <c r="AD4414">
        <v>0</v>
      </c>
      <c r="AE4414">
        <v>0</v>
      </c>
      <c r="AF4414">
        <v>0</v>
      </c>
      <c r="AG4414">
        <v>0</v>
      </c>
      <c r="AH4414">
        <v>0</v>
      </c>
      <c r="AI4414">
        <v>10.98</v>
      </c>
      <c r="AJ4414">
        <v>61</v>
      </c>
      <c r="AK4414">
        <v>0</v>
      </c>
      <c r="AL4414" t="s">
        <v>53</v>
      </c>
      <c r="AM4414" t="s">
        <v>53</v>
      </c>
      <c r="AN4414" t="s">
        <v>53</v>
      </c>
      <c r="AO4414" t="s">
        <v>53</v>
      </c>
      <c r="AP4414" t="s">
        <v>53</v>
      </c>
    </row>
    <row r="4415" spans="2:42" x14ac:dyDescent="0.2">
      <c r="B4415" t="s">
        <v>44</v>
      </c>
      <c r="C4415" t="str">
        <f>HYPERLINK("https://us2.cloudbeds.com/connect/8493803454333002#/reservations/96647244841169?display=22NZ63S4AA&amp;reservation_id=96647244841169", "22NZ63S4AA")</f>
        <v>22NZ63S4AA</v>
      </c>
      <c r="D4415" t="s">
        <v>45</v>
      </c>
      <c r="E4415" t="s">
        <v>381</v>
      </c>
      <c r="F4415" t="s">
        <v>47</v>
      </c>
      <c r="G4415" t="s">
        <v>48</v>
      </c>
      <c r="H4415" t="s">
        <v>3957</v>
      </c>
      <c r="I4415" t="s">
        <v>3958</v>
      </c>
      <c r="J4415" t="s">
        <v>6814</v>
      </c>
      <c r="K4415" t="s">
        <v>6858</v>
      </c>
      <c r="L4415" t="s">
        <v>53</v>
      </c>
      <c r="P4415" t="s">
        <v>58</v>
      </c>
      <c r="R4415" t="s">
        <v>56</v>
      </c>
      <c r="T4415" t="s">
        <v>7653</v>
      </c>
      <c r="U4415" t="s">
        <v>58</v>
      </c>
      <c r="V4415">
        <v>1</v>
      </c>
      <c r="W4415">
        <v>1</v>
      </c>
      <c r="X4415">
        <v>1</v>
      </c>
      <c r="Y4415">
        <v>0</v>
      </c>
      <c r="Z4415">
        <v>1</v>
      </c>
      <c r="AA4415">
        <v>69.33</v>
      </c>
      <c r="AB4415">
        <v>138.66</v>
      </c>
      <c r="AC4415">
        <v>61</v>
      </c>
      <c r="AD4415">
        <v>0</v>
      </c>
      <c r="AE4415">
        <v>8.33</v>
      </c>
      <c r="AF4415">
        <v>0</v>
      </c>
      <c r="AG4415">
        <v>0</v>
      </c>
      <c r="AH4415">
        <v>0</v>
      </c>
      <c r="AI4415">
        <v>0</v>
      </c>
      <c r="AJ4415">
        <v>69.33</v>
      </c>
      <c r="AK4415">
        <v>0</v>
      </c>
      <c r="AL4415" t="s">
        <v>53</v>
      </c>
      <c r="AM4415" t="s">
        <v>53</v>
      </c>
      <c r="AN4415" t="s">
        <v>53</v>
      </c>
      <c r="AO4415" t="s">
        <v>53</v>
      </c>
      <c r="AP4415" t="s">
        <v>53</v>
      </c>
    </row>
    <row r="4416" spans="2:42" x14ac:dyDescent="0.2">
      <c r="B4416" t="s">
        <v>44</v>
      </c>
      <c r="C4416" t="str">
        <f>HYPERLINK("https://us2.cloudbeds.com/connect/8493803454333002#/reservations/9080486845874174?display=22NSZSEYP3&amp;reservation_id=9080486845874174", "22NSZSEYP3")</f>
        <v>22NSZSEYP3</v>
      </c>
      <c r="D4416" t="s">
        <v>45</v>
      </c>
      <c r="E4416" t="s">
        <v>85</v>
      </c>
      <c r="F4416" t="s">
        <v>86</v>
      </c>
      <c r="G4416" t="s">
        <v>48</v>
      </c>
      <c r="H4416" t="s">
        <v>49</v>
      </c>
      <c r="I4416" t="s">
        <v>50</v>
      </c>
      <c r="J4416" t="s">
        <v>6417</v>
      </c>
      <c r="K4416" t="s">
        <v>6661</v>
      </c>
      <c r="L4416" t="s">
        <v>53</v>
      </c>
      <c r="N4416" t="s">
        <v>7654</v>
      </c>
      <c r="P4416" t="s">
        <v>55</v>
      </c>
      <c r="R4416" t="s">
        <v>53</v>
      </c>
      <c r="T4416" t="s">
        <v>7655</v>
      </c>
      <c r="U4416" t="s">
        <v>58</v>
      </c>
      <c r="V4416">
        <v>4</v>
      </c>
      <c r="W4416">
        <v>1</v>
      </c>
      <c r="X4416">
        <v>2</v>
      </c>
      <c r="Y4416">
        <v>0</v>
      </c>
      <c r="Z4416">
        <v>2</v>
      </c>
      <c r="AA4416">
        <v>733.62</v>
      </c>
      <c r="AB4416">
        <v>733.62</v>
      </c>
      <c r="AC4416">
        <v>645.51</v>
      </c>
      <c r="AD4416">
        <v>0</v>
      </c>
      <c r="AE4416">
        <v>88.11</v>
      </c>
      <c r="AF4416">
        <v>0</v>
      </c>
      <c r="AG4416">
        <v>0</v>
      </c>
      <c r="AH4416">
        <v>0</v>
      </c>
      <c r="AI4416">
        <v>132.05000000000001</v>
      </c>
      <c r="AJ4416">
        <v>733.62</v>
      </c>
      <c r="AK4416">
        <v>0</v>
      </c>
      <c r="AL4416" t="s">
        <v>53</v>
      </c>
      <c r="AM4416" t="s">
        <v>53</v>
      </c>
      <c r="AN4416" t="s">
        <v>53</v>
      </c>
      <c r="AO4416" t="s">
        <v>53</v>
      </c>
      <c r="AP4416" t="s">
        <v>53</v>
      </c>
    </row>
    <row r="4417" spans="2:42" x14ac:dyDescent="0.2">
      <c r="B4417" t="s">
        <v>44</v>
      </c>
      <c r="C4417" t="str">
        <f>HYPERLINK("https://us2.cloudbeds.com/connect/8493803454333002#/reservations/9080486845875959?display=22RH94FKBE&amp;reservation_id=9080486845875959", "22RH94FKBE")</f>
        <v>22RH94FKBE</v>
      </c>
      <c r="D4417" t="s">
        <v>45</v>
      </c>
      <c r="E4417" t="s">
        <v>487</v>
      </c>
      <c r="F4417" t="s">
        <v>61</v>
      </c>
      <c r="G4417" t="s">
        <v>48</v>
      </c>
      <c r="H4417" t="s">
        <v>49</v>
      </c>
      <c r="I4417" t="s">
        <v>62</v>
      </c>
      <c r="J4417" t="s">
        <v>7109</v>
      </c>
      <c r="K4417" t="s">
        <v>6877</v>
      </c>
      <c r="L4417" t="s">
        <v>53</v>
      </c>
      <c r="N4417" t="s">
        <v>7656</v>
      </c>
      <c r="P4417" t="s">
        <v>55</v>
      </c>
      <c r="R4417" t="s">
        <v>56</v>
      </c>
      <c r="T4417" t="s">
        <v>7657</v>
      </c>
      <c r="U4417" t="s">
        <v>55</v>
      </c>
      <c r="V4417">
        <v>1</v>
      </c>
      <c r="W4417">
        <v>1</v>
      </c>
      <c r="X4417">
        <v>2</v>
      </c>
      <c r="Y4417">
        <v>0</v>
      </c>
      <c r="Z4417">
        <v>2</v>
      </c>
      <c r="AA4417">
        <v>89</v>
      </c>
      <c r="AB4417">
        <v>89</v>
      </c>
      <c r="AC4417">
        <v>89</v>
      </c>
      <c r="AD4417">
        <v>0</v>
      </c>
      <c r="AE4417">
        <v>0</v>
      </c>
      <c r="AF4417">
        <v>0</v>
      </c>
      <c r="AG4417">
        <v>0</v>
      </c>
      <c r="AH4417">
        <v>0</v>
      </c>
      <c r="AI4417">
        <v>16.02</v>
      </c>
      <c r="AJ4417">
        <v>89</v>
      </c>
      <c r="AK4417">
        <v>0</v>
      </c>
      <c r="AL4417" t="s">
        <v>53</v>
      </c>
      <c r="AM4417" t="s">
        <v>53</v>
      </c>
      <c r="AN4417" t="s">
        <v>53</v>
      </c>
      <c r="AO4417" t="s">
        <v>53</v>
      </c>
      <c r="AP4417" t="s">
        <v>53</v>
      </c>
    </row>
    <row r="4418" spans="2:42" x14ac:dyDescent="0.2">
      <c r="B4418" t="s">
        <v>44</v>
      </c>
      <c r="C4418" t="str">
        <f>HYPERLINK("https://us2.cloudbeds.com/connect/8493803454333002#/reservations/9080486845877843?display=22T8CYP5WD&amp;reservation_id=9080486845877843", "22T8CYP5WD")</f>
        <v>22T8CYP5WD</v>
      </c>
      <c r="D4418" t="s">
        <v>45</v>
      </c>
      <c r="E4418" t="s">
        <v>165</v>
      </c>
      <c r="F4418" t="s">
        <v>61</v>
      </c>
      <c r="G4418" t="s">
        <v>48</v>
      </c>
      <c r="H4418" t="s">
        <v>49</v>
      </c>
      <c r="I4418" t="s">
        <v>62</v>
      </c>
      <c r="J4418" t="s">
        <v>7376</v>
      </c>
      <c r="K4418" t="s">
        <v>7559</v>
      </c>
      <c r="L4418" t="s">
        <v>53</v>
      </c>
      <c r="N4418" t="s">
        <v>7658</v>
      </c>
      <c r="P4418" t="s">
        <v>55</v>
      </c>
      <c r="R4418" t="s">
        <v>56</v>
      </c>
      <c r="T4418" t="s">
        <v>7659</v>
      </c>
      <c r="U4418" t="s">
        <v>55</v>
      </c>
      <c r="V4418">
        <v>1</v>
      </c>
      <c r="W4418">
        <v>1</v>
      </c>
      <c r="X4418">
        <v>2</v>
      </c>
      <c r="Y4418">
        <v>0</v>
      </c>
      <c r="Z4418">
        <v>2</v>
      </c>
      <c r="AA4418">
        <v>144.4</v>
      </c>
      <c r="AB4418">
        <v>144.4</v>
      </c>
      <c r="AC4418">
        <v>144.4</v>
      </c>
      <c r="AD4418">
        <v>0</v>
      </c>
      <c r="AE4418">
        <v>0</v>
      </c>
      <c r="AF4418">
        <v>0</v>
      </c>
      <c r="AG4418">
        <v>0</v>
      </c>
      <c r="AH4418">
        <v>0</v>
      </c>
      <c r="AI4418">
        <v>25.99</v>
      </c>
      <c r="AJ4418">
        <v>144.4</v>
      </c>
      <c r="AK4418">
        <v>0</v>
      </c>
      <c r="AL4418" t="s">
        <v>53</v>
      </c>
      <c r="AM4418" t="s">
        <v>53</v>
      </c>
      <c r="AN4418" t="s">
        <v>53</v>
      </c>
      <c r="AO4418" t="s">
        <v>53</v>
      </c>
      <c r="AP4418" t="s">
        <v>53</v>
      </c>
    </row>
    <row r="4419" spans="2:42" x14ac:dyDescent="0.2">
      <c r="B4419" t="s">
        <v>44</v>
      </c>
      <c r="C4419" t="str">
        <f>HYPERLINK("https://us2.cloudbeds.com/connect/8493803454333002#/reservations/9080486845878858?display=22US7SCCKQ&amp;reservation_id=9080486845878858", "22US7SCCKQ")</f>
        <v>22US7SCCKQ</v>
      </c>
      <c r="D4419" t="s">
        <v>45</v>
      </c>
      <c r="E4419" t="s">
        <v>46</v>
      </c>
      <c r="F4419" t="s">
        <v>47</v>
      </c>
      <c r="G4419" t="s">
        <v>48</v>
      </c>
      <c r="H4419" t="s">
        <v>49</v>
      </c>
      <c r="I4419" t="s">
        <v>62</v>
      </c>
      <c r="J4419" t="s">
        <v>6592</v>
      </c>
      <c r="K4419" t="s">
        <v>7579</v>
      </c>
      <c r="L4419" t="s">
        <v>53</v>
      </c>
      <c r="N4419" t="s">
        <v>7660</v>
      </c>
      <c r="P4419" t="s">
        <v>55</v>
      </c>
      <c r="R4419" t="s">
        <v>56</v>
      </c>
      <c r="T4419" t="s">
        <v>7661</v>
      </c>
      <c r="U4419" t="s">
        <v>55</v>
      </c>
      <c r="V4419">
        <v>2</v>
      </c>
      <c r="W4419">
        <v>1</v>
      </c>
      <c r="X4419">
        <v>1</v>
      </c>
      <c r="Y4419">
        <v>0</v>
      </c>
      <c r="Z4419">
        <v>1</v>
      </c>
      <c r="AA4419">
        <v>166</v>
      </c>
      <c r="AB4419">
        <v>166</v>
      </c>
      <c r="AC4419">
        <v>166</v>
      </c>
      <c r="AD4419">
        <v>0</v>
      </c>
      <c r="AE4419">
        <v>0</v>
      </c>
      <c r="AF4419">
        <v>0</v>
      </c>
      <c r="AG4419">
        <v>0</v>
      </c>
      <c r="AH4419">
        <v>0</v>
      </c>
      <c r="AI4419">
        <v>29.88</v>
      </c>
      <c r="AJ4419">
        <v>166</v>
      </c>
      <c r="AK4419">
        <v>0</v>
      </c>
      <c r="AL4419" t="s">
        <v>53</v>
      </c>
      <c r="AM4419" t="s">
        <v>53</v>
      </c>
      <c r="AN4419" t="s">
        <v>53</v>
      </c>
      <c r="AO4419" t="s">
        <v>53</v>
      </c>
      <c r="AP4419" t="s">
        <v>53</v>
      </c>
    </row>
    <row r="4420" spans="2:42" x14ac:dyDescent="0.2">
      <c r="B4420" t="s">
        <v>44</v>
      </c>
      <c r="C4420" t="str">
        <f>HYPERLINK("https://us2.cloudbeds.com/connect/8493803454333002#/reservations/9080486845879029?display=22V4FBFSHB&amp;reservation_id=9080486845879029", "22V4FBFSHB")</f>
        <v>22V4FBFSHB</v>
      </c>
      <c r="D4420" t="s">
        <v>45</v>
      </c>
      <c r="E4420" t="s">
        <v>7662</v>
      </c>
      <c r="F4420" t="s">
        <v>2145</v>
      </c>
      <c r="G4420" t="s">
        <v>48</v>
      </c>
      <c r="H4420" t="s">
        <v>49</v>
      </c>
      <c r="I4420" t="s">
        <v>62</v>
      </c>
      <c r="J4420" t="s">
        <v>7092</v>
      </c>
      <c r="K4420" t="s">
        <v>6592</v>
      </c>
      <c r="L4420" t="s">
        <v>53</v>
      </c>
      <c r="N4420" t="s">
        <v>7663</v>
      </c>
      <c r="P4420" t="s">
        <v>55</v>
      </c>
      <c r="R4420" t="s">
        <v>56</v>
      </c>
      <c r="T4420" t="s">
        <v>7664</v>
      </c>
      <c r="U4420" t="s">
        <v>55</v>
      </c>
      <c r="V4420">
        <v>2</v>
      </c>
      <c r="W4420">
        <v>2</v>
      </c>
      <c r="X4420">
        <v>3</v>
      </c>
      <c r="Y4420">
        <v>0</v>
      </c>
      <c r="Z4420">
        <v>3</v>
      </c>
      <c r="AA4420">
        <v>330</v>
      </c>
      <c r="AB4420">
        <v>330</v>
      </c>
      <c r="AC4420">
        <v>330</v>
      </c>
      <c r="AD4420">
        <v>0</v>
      </c>
      <c r="AE4420">
        <v>0</v>
      </c>
      <c r="AF4420">
        <v>0</v>
      </c>
      <c r="AG4420">
        <v>0</v>
      </c>
      <c r="AH4420">
        <v>0</v>
      </c>
      <c r="AI4420">
        <v>59.4</v>
      </c>
      <c r="AJ4420">
        <v>330</v>
      </c>
      <c r="AK4420">
        <v>0</v>
      </c>
      <c r="AL4420" t="s">
        <v>53</v>
      </c>
      <c r="AM4420" t="s">
        <v>53</v>
      </c>
      <c r="AN4420" t="s">
        <v>7665</v>
      </c>
      <c r="AO4420" t="s">
        <v>53</v>
      </c>
      <c r="AP4420" t="s">
        <v>53</v>
      </c>
    </row>
    <row r="4421" spans="2:42" x14ac:dyDescent="0.2">
      <c r="B4421" t="s">
        <v>44</v>
      </c>
      <c r="C4421" t="str">
        <f>HYPERLINK("https://us2.cloudbeds.com/connect/8493803454333002#/reservations/9080486845879309?display=22VMSB5EWX&amp;reservation_id=9080486845879309", "22VMSB5EWX")</f>
        <v>22VMSB5EWX</v>
      </c>
      <c r="D4421" t="s">
        <v>45</v>
      </c>
      <c r="E4421" t="s">
        <v>85</v>
      </c>
      <c r="F4421" t="s">
        <v>86</v>
      </c>
      <c r="G4421" t="s">
        <v>48</v>
      </c>
      <c r="H4421" t="s">
        <v>49</v>
      </c>
      <c r="I4421" t="s">
        <v>50</v>
      </c>
      <c r="J4421" t="s">
        <v>4442</v>
      </c>
      <c r="K4421" t="s">
        <v>6487</v>
      </c>
      <c r="L4421" t="s">
        <v>53</v>
      </c>
      <c r="N4421" t="s">
        <v>7666</v>
      </c>
      <c r="P4421" t="s">
        <v>55</v>
      </c>
      <c r="R4421" t="s">
        <v>53</v>
      </c>
      <c r="T4421" t="s">
        <v>7667</v>
      </c>
      <c r="U4421" t="s">
        <v>58</v>
      </c>
      <c r="V4421">
        <v>1</v>
      </c>
      <c r="W4421">
        <v>1</v>
      </c>
      <c r="X4421">
        <v>2</v>
      </c>
      <c r="Y4421">
        <v>0</v>
      </c>
      <c r="Z4421">
        <v>2</v>
      </c>
      <c r="AA4421">
        <v>153.44</v>
      </c>
      <c r="AB4421">
        <v>153.44</v>
      </c>
      <c r="AC4421">
        <v>135</v>
      </c>
      <c r="AD4421">
        <v>0</v>
      </c>
      <c r="AE4421">
        <v>18.440000000000001</v>
      </c>
      <c r="AF4421">
        <v>0</v>
      </c>
      <c r="AG4421">
        <v>0</v>
      </c>
      <c r="AH4421">
        <v>0</v>
      </c>
      <c r="AI4421">
        <v>27.62</v>
      </c>
      <c r="AJ4421">
        <v>153.44</v>
      </c>
      <c r="AK4421">
        <v>0</v>
      </c>
      <c r="AL4421" t="s">
        <v>53</v>
      </c>
      <c r="AM4421" t="s">
        <v>53</v>
      </c>
      <c r="AN4421" t="s">
        <v>53</v>
      </c>
      <c r="AO4421" t="s">
        <v>53</v>
      </c>
      <c r="AP4421" t="s">
        <v>53</v>
      </c>
    </row>
    <row r="4422" spans="2:42" x14ac:dyDescent="0.2">
      <c r="B4422" t="s">
        <v>44</v>
      </c>
      <c r="C4422" t="str">
        <f>HYPERLINK("https://us2.cloudbeds.com/connect/8493803454333002#/reservations/9080486845882353?display=234DD86NET&amp;reservation_id=9080486845882353", "234DD86NET")</f>
        <v>234DD86NET</v>
      </c>
      <c r="D4422" t="s">
        <v>45</v>
      </c>
      <c r="E4422" t="s">
        <v>46</v>
      </c>
      <c r="F4422" t="s">
        <v>47</v>
      </c>
      <c r="G4422" t="s">
        <v>48</v>
      </c>
      <c r="H4422" t="s">
        <v>49</v>
      </c>
      <c r="I4422" t="s">
        <v>50</v>
      </c>
      <c r="J4422" t="s">
        <v>6858</v>
      </c>
      <c r="K4422" t="s">
        <v>6591</v>
      </c>
      <c r="L4422" t="s">
        <v>53</v>
      </c>
      <c r="N4422" t="s">
        <v>7668</v>
      </c>
      <c r="P4422" t="s">
        <v>55</v>
      </c>
      <c r="R4422" t="s">
        <v>53</v>
      </c>
      <c r="T4422" t="s">
        <v>7669</v>
      </c>
      <c r="U4422" t="s">
        <v>58</v>
      </c>
      <c r="V4422">
        <v>1</v>
      </c>
      <c r="W4422">
        <v>1</v>
      </c>
      <c r="X4422">
        <v>2</v>
      </c>
      <c r="Y4422">
        <v>0</v>
      </c>
      <c r="Z4422">
        <v>2</v>
      </c>
      <c r="AA4422">
        <v>114.56</v>
      </c>
      <c r="AB4422">
        <v>114.56</v>
      </c>
      <c r="AC4422">
        <v>100.8</v>
      </c>
      <c r="AD4422">
        <v>0</v>
      </c>
      <c r="AE4422">
        <v>13.76</v>
      </c>
      <c r="AF4422">
        <v>0</v>
      </c>
      <c r="AG4422">
        <v>0</v>
      </c>
      <c r="AH4422">
        <v>0</v>
      </c>
      <c r="AI4422">
        <v>20.62</v>
      </c>
      <c r="AJ4422">
        <v>114.56</v>
      </c>
      <c r="AK4422">
        <v>0</v>
      </c>
      <c r="AL4422" t="s">
        <v>53</v>
      </c>
      <c r="AM4422" t="s">
        <v>53</v>
      </c>
      <c r="AN4422" t="s">
        <v>53</v>
      </c>
      <c r="AO4422" t="s">
        <v>53</v>
      </c>
      <c r="AP4422" t="s">
        <v>53</v>
      </c>
    </row>
    <row r="4423" spans="2:42" x14ac:dyDescent="0.2">
      <c r="B4423" t="s">
        <v>44</v>
      </c>
      <c r="C4423" t="str">
        <f>HYPERLINK("https://us2.cloudbeds.com/connect/8493803454333002#/reservations/97301297311909?display=2362KM78WU&amp;reservation_id=97301297311909", "2362KM78WU")</f>
        <v>2362KM78WU</v>
      </c>
      <c r="D4423" t="s">
        <v>45</v>
      </c>
      <c r="E4423" t="s">
        <v>190</v>
      </c>
      <c r="F4423" t="s">
        <v>61</v>
      </c>
      <c r="G4423" t="s">
        <v>48</v>
      </c>
      <c r="H4423" t="s">
        <v>3957</v>
      </c>
      <c r="I4423" t="s">
        <v>3958</v>
      </c>
      <c r="J4423" t="s">
        <v>6858</v>
      </c>
      <c r="K4423" t="s">
        <v>6591</v>
      </c>
      <c r="L4423" t="s">
        <v>53</v>
      </c>
      <c r="P4423" t="s">
        <v>58</v>
      </c>
      <c r="R4423" t="s">
        <v>56</v>
      </c>
      <c r="T4423" t="s">
        <v>7670</v>
      </c>
      <c r="U4423" t="s">
        <v>58</v>
      </c>
      <c r="V4423">
        <v>1</v>
      </c>
      <c r="W4423">
        <v>1</v>
      </c>
      <c r="X4423">
        <v>1</v>
      </c>
      <c r="Y4423">
        <v>0</v>
      </c>
      <c r="Z4423">
        <v>1</v>
      </c>
      <c r="AA4423">
        <v>142.07</v>
      </c>
      <c r="AB4423">
        <v>142.07</v>
      </c>
      <c r="AC4423">
        <v>125</v>
      </c>
      <c r="AD4423">
        <v>0</v>
      </c>
      <c r="AE4423">
        <v>17.07</v>
      </c>
      <c r="AF4423">
        <v>0</v>
      </c>
      <c r="AG4423">
        <v>0</v>
      </c>
      <c r="AH4423">
        <v>0</v>
      </c>
      <c r="AI4423">
        <v>0</v>
      </c>
      <c r="AJ4423">
        <v>142.07</v>
      </c>
      <c r="AK4423">
        <v>0</v>
      </c>
      <c r="AL4423" t="s">
        <v>53</v>
      </c>
      <c r="AM4423" t="s">
        <v>53</v>
      </c>
      <c r="AN4423" t="s">
        <v>53</v>
      </c>
      <c r="AO4423" t="s">
        <v>53</v>
      </c>
      <c r="AP4423" t="s">
        <v>53</v>
      </c>
    </row>
    <row r="4424" spans="2:42" x14ac:dyDescent="0.2">
      <c r="B4424" t="s">
        <v>44</v>
      </c>
      <c r="C4424" t="str">
        <f>HYPERLINK("https://us2.cloudbeds.com/connect/8493803454333002#/reservations/9080486845883680?display=2364ZHV6HB&amp;reservation_id=9080486845883680", "2364ZHV6HB")</f>
        <v>2364ZHV6HB</v>
      </c>
      <c r="D4424" t="s">
        <v>45</v>
      </c>
      <c r="E4424" t="s">
        <v>487</v>
      </c>
      <c r="F4424" t="s">
        <v>61</v>
      </c>
      <c r="G4424" t="s">
        <v>48</v>
      </c>
      <c r="H4424" t="s">
        <v>49</v>
      </c>
      <c r="I4424" t="s">
        <v>62</v>
      </c>
      <c r="J4424" t="s">
        <v>6858</v>
      </c>
      <c r="K4424" t="s">
        <v>6591</v>
      </c>
      <c r="L4424" t="s">
        <v>53</v>
      </c>
      <c r="N4424" t="s">
        <v>7671</v>
      </c>
      <c r="P4424" t="s">
        <v>55</v>
      </c>
      <c r="R4424" t="s">
        <v>56</v>
      </c>
      <c r="T4424" t="s">
        <v>7672</v>
      </c>
      <c r="U4424" t="s">
        <v>55</v>
      </c>
      <c r="V4424">
        <v>1</v>
      </c>
      <c r="W4424">
        <v>1</v>
      </c>
      <c r="X4424">
        <v>2</v>
      </c>
      <c r="Y4424">
        <v>0</v>
      </c>
      <c r="Z4424">
        <v>2</v>
      </c>
      <c r="AA4424">
        <v>125</v>
      </c>
      <c r="AB4424">
        <v>125</v>
      </c>
      <c r="AC4424">
        <v>125</v>
      </c>
      <c r="AD4424">
        <v>0</v>
      </c>
      <c r="AE4424">
        <v>0</v>
      </c>
      <c r="AF4424">
        <v>0</v>
      </c>
      <c r="AG4424">
        <v>0</v>
      </c>
      <c r="AH4424">
        <v>0</v>
      </c>
      <c r="AI4424">
        <v>22.5</v>
      </c>
      <c r="AJ4424">
        <v>125</v>
      </c>
      <c r="AK4424">
        <v>0</v>
      </c>
      <c r="AL4424" t="s">
        <v>53</v>
      </c>
      <c r="AM4424" t="s">
        <v>53</v>
      </c>
      <c r="AN4424" t="s">
        <v>53</v>
      </c>
      <c r="AO4424" t="s">
        <v>53</v>
      </c>
      <c r="AP4424" t="s">
        <v>53</v>
      </c>
    </row>
    <row r="4425" spans="2:42" x14ac:dyDescent="0.2">
      <c r="B4425" t="s">
        <v>44</v>
      </c>
      <c r="C4425" t="str">
        <f>HYPERLINK("https://us2.cloudbeds.com/connect/8493803454333002#/reservations/9080486845883685?display=2364V72SW4&amp;reservation_id=9080486845883685", "2364V72SW4")</f>
        <v>2364V72SW4</v>
      </c>
      <c r="D4425" t="s">
        <v>45</v>
      </c>
      <c r="E4425" t="s">
        <v>69</v>
      </c>
      <c r="F4425" t="s">
        <v>70</v>
      </c>
      <c r="G4425" t="s">
        <v>48</v>
      </c>
      <c r="H4425" t="s">
        <v>49</v>
      </c>
      <c r="I4425" t="s">
        <v>50</v>
      </c>
      <c r="J4425" t="s">
        <v>6885</v>
      </c>
      <c r="K4425" t="s">
        <v>6999</v>
      </c>
      <c r="L4425" t="s">
        <v>53</v>
      </c>
      <c r="N4425" t="s">
        <v>7673</v>
      </c>
      <c r="P4425" t="s">
        <v>55</v>
      </c>
      <c r="R4425" t="s">
        <v>53</v>
      </c>
      <c r="T4425" t="s">
        <v>7674</v>
      </c>
      <c r="U4425" t="s">
        <v>58</v>
      </c>
      <c r="V4425">
        <v>1</v>
      </c>
      <c r="W4425">
        <v>1</v>
      </c>
      <c r="X4425">
        <v>1</v>
      </c>
      <c r="Y4425">
        <v>0</v>
      </c>
      <c r="Z4425">
        <v>1</v>
      </c>
      <c r="AA4425">
        <v>78.599999999999994</v>
      </c>
      <c r="AB4425">
        <v>78.599999999999994</v>
      </c>
      <c r="AC4425">
        <v>69.16</v>
      </c>
      <c r="AD4425">
        <v>0</v>
      </c>
      <c r="AE4425">
        <v>9.44</v>
      </c>
      <c r="AF4425">
        <v>0</v>
      </c>
      <c r="AG4425">
        <v>0</v>
      </c>
      <c r="AH4425">
        <v>0</v>
      </c>
      <c r="AI4425">
        <v>14.15</v>
      </c>
      <c r="AJ4425">
        <v>78.599999999999994</v>
      </c>
      <c r="AK4425">
        <v>0</v>
      </c>
      <c r="AL4425" t="s">
        <v>53</v>
      </c>
      <c r="AM4425" t="s">
        <v>53</v>
      </c>
      <c r="AN4425" t="s">
        <v>53</v>
      </c>
      <c r="AO4425" t="s">
        <v>53</v>
      </c>
      <c r="AP4425" t="s">
        <v>53</v>
      </c>
    </row>
    <row r="4426" spans="2:42" x14ac:dyDescent="0.2">
      <c r="B4426" t="s">
        <v>44</v>
      </c>
      <c r="C4426" t="str">
        <f>HYPERLINK("https://us2.cloudbeds.com/connect/8493803454333002#/reservations/97320553767127?display=236HHNPHAU&amp;reservation_id=97320553767127", "236HHNPHAU")</f>
        <v>236HHNPHAU</v>
      </c>
      <c r="D4426" t="s">
        <v>45</v>
      </c>
      <c r="E4426" t="s">
        <v>110</v>
      </c>
      <c r="F4426" t="s">
        <v>47</v>
      </c>
      <c r="G4426" t="s">
        <v>48</v>
      </c>
      <c r="H4426" t="s">
        <v>3957</v>
      </c>
      <c r="I4426" t="s">
        <v>3975</v>
      </c>
      <c r="J4426" t="s">
        <v>7078</v>
      </c>
      <c r="K4426" t="s">
        <v>6855</v>
      </c>
      <c r="L4426" t="s">
        <v>53</v>
      </c>
      <c r="P4426" t="s">
        <v>55</v>
      </c>
      <c r="R4426" t="s">
        <v>53</v>
      </c>
      <c r="T4426" t="s">
        <v>7675</v>
      </c>
      <c r="U4426" t="s">
        <v>58</v>
      </c>
      <c r="V4426">
        <v>1</v>
      </c>
      <c r="W4426">
        <v>1</v>
      </c>
      <c r="X4426">
        <v>2</v>
      </c>
      <c r="Y4426">
        <v>0</v>
      </c>
      <c r="Z4426">
        <v>2</v>
      </c>
      <c r="AA4426">
        <v>104.56</v>
      </c>
      <c r="AB4426">
        <v>104.56</v>
      </c>
      <c r="AC4426">
        <v>92</v>
      </c>
      <c r="AD4426">
        <v>0</v>
      </c>
      <c r="AE4426">
        <v>12.56</v>
      </c>
      <c r="AF4426">
        <v>0</v>
      </c>
      <c r="AG4426">
        <v>0</v>
      </c>
      <c r="AH4426">
        <v>0</v>
      </c>
      <c r="AI4426">
        <v>0</v>
      </c>
      <c r="AJ4426">
        <v>104.56</v>
      </c>
      <c r="AK4426">
        <v>0</v>
      </c>
      <c r="AL4426" t="s">
        <v>53</v>
      </c>
      <c r="AM4426" t="s">
        <v>53</v>
      </c>
      <c r="AN4426" t="s">
        <v>53</v>
      </c>
      <c r="AO4426" t="s">
        <v>53</v>
      </c>
      <c r="AP4426" t="s">
        <v>53</v>
      </c>
    </row>
    <row r="4427" spans="2:42" x14ac:dyDescent="0.2">
      <c r="B4427" t="s">
        <v>44</v>
      </c>
      <c r="C4427" t="str">
        <f>HYPERLINK("https://us2.cloudbeds.com/connect/8493803454333002#/reservations/9080486845883962?display=236KU16298&amp;reservation_id=9080486845883962", "236KU16298")</f>
        <v>236KU16298</v>
      </c>
      <c r="D4427" t="s">
        <v>45</v>
      </c>
      <c r="E4427" t="s">
        <v>98</v>
      </c>
      <c r="F4427" t="s">
        <v>86</v>
      </c>
      <c r="G4427" t="s">
        <v>48</v>
      </c>
      <c r="H4427" t="s">
        <v>49</v>
      </c>
      <c r="I4427" t="s">
        <v>50</v>
      </c>
      <c r="J4427" t="s">
        <v>6591</v>
      </c>
      <c r="K4427" t="s">
        <v>7092</v>
      </c>
      <c r="L4427" t="s">
        <v>53</v>
      </c>
      <c r="N4427" t="s">
        <v>7676</v>
      </c>
      <c r="P4427" t="s">
        <v>55</v>
      </c>
      <c r="R4427" t="s">
        <v>53</v>
      </c>
      <c r="T4427" t="s">
        <v>7677</v>
      </c>
      <c r="U4427" t="s">
        <v>58</v>
      </c>
      <c r="V4427">
        <v>1</v>
      </c>
      <c r="W4427">
        <v>1</v>
      </c>
      <c r="X4427">
        <v>2</v>
      </c>
      <c r="Y4427">
        <v>2</v>
      </c>
      <c r="Z4427">
        <v>4</v>
      </c>
      <c r="AA4427">
        <v>162.63</v>
      </c>
      <c r="AB4427">
        <v>162.63</v>
      </c>
      <c r="AC4427">
        <v>143.1</v>
      </c>
      <c r="AD4427">
        <v>0</v>
      </c>
      <c r="AE4427">
        <v>19.53</v>
      </c>
      <c r="AF4427">
        <v>0</v>
      </c>
      <c r="AG4427">
        <v>0</v>
      </c>
      <c r="AH4427">
        <v>0</v>
      </c>
      <c r="AI4427">
        <v>29.27</v>
      </c>
      <c r="AJ4427">
        <v>162.63</v>
      </c>
      <c r="AK4427">
        <v>0</v>
      </c>
      <c r="AL4427" t="s">
        <v>53</v>
      </c>
      <c r="AM4427" t="s">
        <v>53</v>
      </c>
      <c r="AN4427" t="s">
        <v>53</v>
      </c>
      <c r="AO4427" t="s">
        <v>53</v>
      </c>
      <c r="AP4427" t="s">
        <v>53</v>
      </c>
    </row>
    <row r="4428" spans="2:42" x14ac:dyDescent="0.2">
      <c r="B4428" t="s">
        <v>44</v>
      </c>
      <c r="C4428" t="str">
        <f>HYPERLINK("https://us2.cloudbeds.com/connect/8493803454333002#/reservations/97364152709347?display=237X9PXBV6&amp;reservation_id=97364152709347", "237X9PXBV6")</f>
        <v>237X9PXBV6</v>
      </c>
      <c r="D4428" t="s">
        <v>45</v>
      </c>
      <c r="E4428" t="s">
        <v>305</v>
      </c>
      <c r="F4428" t="s">
        <v>61</v>
      </c>
      <c r="G4428" t="s">
        <v>48</v>
      </c>
      <c r="H4428" t="s">
        <v>3957</v>
      </c>
      <c r="I4428" t="s">
        <v>3958</v>
      </c>
      <c r="J4428" t="s">
        <v>6858</v>
      </c>
      <c r="K4428" t="s">
        <v>6591</v>
      </c>
      <c r="L4428" t="s">
        <v>53</v>
      </c>
      <c r="P4428" t="s">
        <v>55</v>
      </c>
      <c r="R4428" t="s">
        <v>56</v>
      </c>
      <c r="T4428" t="s">
        <v>7678</v>
      </c>
      <c r="U4428" t="s">
        <v>58</v>
      </c>
      <c r="V4428">
        <v>1</v>
      </c>
      <c r="W4428">
        <v>1</v>
      </c>
      <c r="X4428">
        <v>1</v>
      </c>
      <c r="Y4428">
        <v>0</v>
      </c>
      <c r="Z4428">
        <v>1</v>
      </c>
      <c r="AA4428">
        <v>142.07</v>
      </c>
      <c r="AB4428">
        <v>142.07</v>
      </c>
      <c r="AC4428">
        <v>125</v>
      </c>
      <c r="AD4428">
        <v>0</v>
      </c>
      <c r="AE4428">
        <v>17.07</v>
      </c>
      <c r="AF4428">
        <v>0</v>
      </c>
      <c r="AG4428">
        <v>0</v>
      </c>
      <c r="AH4428">
        <v>0</v>
      </c>
      <c r="AI4428">
        <v>0</v>
      </c>
      <c r="AJ4428">
        <v>142.07</v>
      </c>
      <c r="AK4428">
        <v>0</v>
      </c>
      <c r="AL4428" t="s">
        <v>53</v>
      </c>
      <c r="AM4428" t="s">
        <v>53</v>
      </c>
      <c r="AN4428" t="s">
        <v>53</v>
      </c>
      <c r="AO4428" t="s">
        <v>53</v>
      </c>
      <c r="AP4428" t="s">
        <v>53</v>
      </c>
    </row>
    <row r="4429" spans="2:42" x14ac:dyDescent="0.2">
      <c r="B4429" t="s">
        <v>44</v>
      </c>
      <c r="C4429" t="str">
        <f>HYPERLINK("https://us2.cloudbeds.com/connect/8493803454333002#/reservations/9080486845885416?display=239JTQ7TSP&amp;reservation_id=9080486845885416", "239JTQ7TSP")</f>
        <v>239JTQ7TSP</v>
      </c>
      <c r="D4429" t="s">
        <v>45</v>
      </c>
      <c r="E4429" t="s">
        <v>190</v>
      </c>
      <c r="F4429" t="s">
        <v>61</v>
      </c>
      <c r="G4429" t="s">
        <v>48</v>
      </c>
      <c r="H4429" t="s">
        <v>49</v>
      </c>
      <c r="I4429" t="s">
        <v>50</v>
      </c>
      <c r="J4429" t="s">
        <v>7078</v>
      </c>
      <c r="K4429" t="s">
        <v>6855</v>
      </c>
      <c r="L4429" t="s">
        <v>53</v>
      </c>
      <c r="N4429" t="s">
        <v>7679</v>
      </c>
      <c r="P4429" t="s">
        <v>55</v>
      </c>
      <c r="R4429" t="s">
        <v>53</v>
      </c>
      <c r="T4429" t="s">
        <v>7680</v>
      </c>
      <c r="U4429" t="s">
        <v>58</v>
      </c>
      <c r="V4429">
        <v>1</v>
      </c>
      <c r="W4429">
        <v>1</v>
      </c>
      <c r="X4429">
        <v>2</v>
      </c>
      <c r="Y4429">
        <v>0</v>
      </c>
      <c r="Z4429">
        <v>2</v>
      </c>
      <c r="AA4429">
        <v>95.45</v>
      </c>
      <c r="AB4429">
        <v>95.45</v>
      </c>
      <c r="AC4429">
        <v>83.98</v>
      </c>
      <c r="AD4429">
        <v>0</v>
      </c>
      <c r="AE4429">
        <v>11.47</v>
      </c>
      <c r="AF4429">
        <v>0</v>
      </c>
      <c r="AG4429">
        <v>0</v>
      </c>
      <c r="AH4429">
        <v>0</v>
      </c>
      <c r="AI4429">
        <v>17.18</v>
      </c>
      <c r="AJ4429">
        <v>95.45</v>
      </c>
      <c r="AK4429">
        <v>0</v>
      </c>
      <c r="AL4429" t="s">
        <v>53</v>
      </c>
      <c r="AM4429" t="s">
        <v>53</v>
      </c>
      <c r="AN4429" t="s">
        <v>53</v>
      </c>
      <c r="AO4429" t="s">
        <v>53</v>
      </c>
      <c r="AP4429" t="s">
        <v>53</v>
      </c>
    </row>
    <row r="4430" spans="2:42" x14ac:dyDescent="0.2">
      <c r="B4430" t="s">
        <v>44</v>
      </c>
      <c r="C4430" t="str">
        <f>HYPERLINK("https://us2.cloudbeds.com/connect/8493803454333002#/reservations/9080486845886814?display=23C2ENN75Y&amp;reservation_id=9080486845886814", "23C2ENN75Y")</f>
        <v>23C2ENN75Y</v>
      </c>
      <c r="D4430" t="s">
        <v>45</v>
      </c>
      <c r="E4430" t="s">
        <v>487</v>
      </c>
      <c r="F4430" t="s">
        <v>61</v>
      </c>
      <c r="G4430" t="s">
        <v>48</v>
      </c>
      <c r="H4430" t="s">
        <v>49</v>
      </c>
      <c r="I4430" t="s">
        <v>62</v>
      </c>
      <c r="J4430" t="s">
        <v>6959</v>
      </c>
      <c r="K4430" t="s">
        <v>4158</v>
      </c>
      <c r="L4430" t="s">
        <v>53</v>
      </c>
      <c r="N4430" t="s">
        <v>7681</v>
      </c>
      <c r="P4430" t="s">
        <v>55</v>
      </c>
      <c r="R4430" t="s">
        <v>1475</v>
      </c>
      <c r="T4430" t="s">
        <v>7682</v>
      </c>
      <c r="U4430" t="s">
        <v>55</v>
      </c>
      <c r="V4430">
        <v>2</v>
      </c>
      <c r="W4430">
        <v>1</v>
      </c>
      <c r="X4430">
        <v>2</v>
      </c>
      <c r="Y4430">
        <v>0</v>
      </c>
      <c r="Z4430">
        <v>2</v>
      </c>
      <c r="AA4430">
        <v>265.05</v>
      </c>
      <c r="AB4430">
        <v>265.05</v>
      </c>
      <c r="AC4430">
        <v>265.05</v>
      </c>
      <c r="AD4430">
        <v>0</v>
      </c>
      <c r="AE4430">
        <v>0</v>
      </c>
      <c r="AF4430">
        <v>0</v>
      </c>
      <c r="AG4430">
        <v>0</v>
      </c>
      <c r="AH4430">
        <v>0</v>
      </c>
      <c r="AI4430">
        <v>47.71</v>
      </c>
      <c r="AJ4430">
        <v>265.05</v>
      </c>
      <c r="AK4430">
        <v>0</v>
      </c>
      <c r="AL4430" t="s">
        <v>53</v>
      </c>
      <c r="AM4430" t="s">
        <v>53</v>
      </c>
      <c r="AN4430" t="s">
        <v>53</v>
      </c>
      <c r="AO4430" t="s">
        <v>53</v>
      </c>
      <c r="AP4430" t="s">
        <v>53</v>
      </c>
    </row>
    <row r="4431" spans="2:42" x14ac:dyDescent="0.2">
      <c r="B4431" t="s">
        <v>44</v>
      </c>
      <c r="C4431" t="str">
        <f>HYPERLINK("https://us2.cloudbeds.com/connect/8493803454333002#/reservations/97555286900990?display=23C19MVWTG&amp;reservation_id=97555286900990", "23C19MVWTG")</f>
        <v>23C19MVWTG</v>
      </c>
      <c r="D4431" t="s">
        <v>45</v>
      </c>
      <c r="E4431" t="s">
        <v>373</v>
      </c>
      <c r="F4431" t="s">
        <v>47</v>
      </c>
      <c r="G4431" t="s">
        <v>48</v>
      </c>
      <c r="H4431" t="s">
        <v>3957</v>
      </c>
      <c r="I4431" t="s">
        <v>3975</v>
      </c>
      <c r="J4431" t="s">
        <v>4767</v>
      </c>
      <c r="K4431" t="s">
        <v>4768</v>
      </c>
      <c r="L4431" t="s">
        <v>53</v>
      </c>
      <c r="P4431" t="s">
        <v>55</v>
      </c>
      <c r="R4431" t="s">
        <v>53</v>
      </c>
      <c r="T4431" t="s">
        <v>7683</v>
      </c>
      <c r="U4431" t="s">
        <v>58</v>
      </c>
      <c r="V4431">
        <v>1</v>
      </c>
      <c r="W4431">
        <v>1</v>
      </c>
      <c r="X4431">
        <v>1</v>
      </c>
      <c r="Y4431">
        <v>0</v>
      </c>
      <c r="Z4431">
        <v>1</v>
      </c>
      <c r="AA4431">
        <v>113.65</v>
      </c>
      <c r="AB4431">
        <v>113.65</v>
      </c>
      <c r="AC4431">
        <v>100</v>
      </c>
      <c r="AD4431">
        <v>0</v>
      </c>
      <c r="AE4431">
        <v>13.65</v>
      </c>
      <c r="AF4431">
        <v>0</v>
      </c>
      <c r="AG4431">
        <v>0</v>
      </c>
      <c r="AH4431">
        <v>0</v>
      </c>
      <c r="AI4431">
        <v>0</v>
      </c>
      <c r="AJ4431">
        <v>113.65</v>
      </c>
      <c r="AK4431">
        <v>0</v>
      </c>
      <c r="AL4431" t="s">
        <v>53</v>
      </c>
      <c r="AM4431" t="s">
        <v>53</v>
      </c>
      <c r="AN4431" t="s">
        <v>7684</v>
      </c>
      <c r="AO4431" t="s">
        <v>53</v>
      </c>
      <c r="AP4431" t="s">
        <v>53</v>
      </c>
    </row>
    <row r="4432" spans="2:42" x14ac:dyDescent="0.2">
      <c r="B4432" t="s">
        <v>44</v>
      </c>
      <c r="C4432" t="str">
        <f>HYPERLINK("https://us2.cloudbeds.com/connect/8493803454333002#/reservations/9080486845887024?display=23CA3BAM65&amp;reservation_id=9080486845887024", "23CA3BAM65")</f>
        <v>23CA3BAM65</v>
      </c>
      <c r="D4432" t="s">
        <v>45</v>
      </c>
      <c r="E4432" t="s">
        <v>110</v>
      </c>
      <c r="F4432" t="s">
        <v>47</v>
      </c>
      <c r="G4432" t="s">
        <v>48</v>
      </c>
      <c r="H4432" t="s">
        <v>49</v>
      </c>
      <c r="I4432" t="s">
        <v>50</v>
      </c>
      <c r="J4432" t="s">
        <v>6877</v>
      </c>
      <c r="K4432" t="s">
        <v>6807</v>
      </c>
      <c r="L4432" t="s">
        <v>53</v>
      </c>
      <c r="N4432" t="s">
        <v>7685</v>
      </c>
      <c r="P4432" t="s">
        <v>55</v>
      </c>
      <c r="R4432" t="s">
        <v>53</v>
      </c>
      <c r="T4432" t="s">
        <v>7686</v>
      </c>
      <c r="U4432" t="s">
        <v>58</v>
      </c>
      <c r="V4432">
        <v>1</v>
      </c>
      <c r="W4432">
        <v>1</v>
      </c>
      <c r="X4432">
        <v>1</v>
      </c>
      <c r="Y4432">
        <v>0</v>
      </c>
      <c r="Z4432">
        <v>1</v>
      </c>
      <c r="AA4432">
        <v>82.85</v>
      </c>
      <c r="AB4432">
        <v>82.85</v>
      </c>
      <c r="AC4432">
        <v>72.900000000000006</v>
      </c>
      <c r="AD4432">
        <v>0</v>
      </c>
      <c r="AE4432">
        <v>9.9499999999999993</v>
      </c>
      <c r="AF4432">
        <v>0</v>
      </c>
      <c r="AG4432">
        <v>0</v>
      </c>
      <c r="AH4432">
        <v>0</v>
      </c>
      <c r="AI4432">
        <v>14.91</v>
      </c>
      <c r="AJ4432">
        <v>82.85</v>
      </c>
      <c r="AK4432">
        <v>0</v>
      </c>
      <c r="AL4432" t="s">
        <v>53</v>
      </c>
      <c r="AM4432" t="s">
        <v>53</v>
      </c>
      <c r="AN4432" t="s">
        <v>53</v>
      </c>
      <c r="AO4432" t="s">
        <v>53</v>
      </c>
      <c r="AP4432" t="s">
        <v>53</v>
      </c>
    </row>
    <row r="4433" spans="2:42" x14ac:dyDescent="0.2">
      <c r="B4433" t="s">
        <v>44</v>
      </c>
      <c r="C4433" t="str">
        <f>HYPERLINK("https://us2.cloudbeds.com/connect/8493803454333002#/reservations/9080486845887041?display=23CB0M74CQ&amp;reservation_id=9080486845887041", "23CB0M74CQ")</f>
        <v>23CB0M74CQ</v>
      </c>
      <c r="D4433" t="s">
        <v>45</v>
      </c>
      <c r="E4433" t="s">
        <v>105</v>
      </c>
      <c r="F4433" t="s">
        <v>47</v>
      </c>
      <c r="G4433" t="s">
        <v>48</v>
      </c>
      <c r="H4433" t="s">
        <v>49</v>
      </c>
      <c r="I4433" t="s">
        <v>50</v>
      </c>
      <c r="J4433" t="s">
        <v>4158</v>
      </c>
      <c r="K4433" t="s">
        <v>6544</v>
      </c>
      <c r="L4433" t="s">
        <v>53</v>
      </c>
      <c r="N4433" t="s">
        <v>7687</v>
      </c>
      <c r="P4433" t="s">
        <v>55</v>
      </c>
      <c r="R4433" t="s">
        <v>53</v>
      </c>
      <c r="T4433" t="s">
        <v>7688</v>
      </c>
      <c r="U4433" t="s">
        <v>58</v>
      </c>
      <c r="V4433">
        <v>1</v>
      </c>
      <c r="W4433">
        <v>1</v>
      </c>
      <c r="X4433">
        <v>1</v>
      </c>
      <c r="Y4433">
        <v>0</v>
      </c>
      <c r="Z4433">
        <v>1</v>
      </c>
      <c r="AA4433">
        <v>80.650000000000006</v>
      </c>
      <c r="AB4433">
        <v>80.650000000000006</v>
      </c>
      <c r="AC4433">
        <v>70.959999999999994</v>
      </c>
      <c r="AD4433">
        <v>0</v>
      </c>
      <c r="AE4433">
        <v>9.69</v>
      </c>
      <c r="AF4433">
        <v>0</v>
      </c>
      <c r="AG4433">
        <v>0</v>
      </c>
      <c r="AH4433">
        <v>0</v>
      </c>
      <c r="AI4433">
        <v>14.52</v>
      </c>
      <c r="AJ4433">
        <v>80.650000000000006</v>
      </c>
      <c r="AK4433">
        <v>0</v>
      </c>
      <c r="AL4433" t="s">
        <v>53</v>
      </c>
      <c r="AM4433" t="s">
        <v>53</v>
      </c>
      <c r="AN4433" t="s">
        <v>53</v>
      </c>
      <c r="AO4433" t="s">
        <v>53</v>
      </c>
      <c r="AP4433" t="s">
        <v>53</v>
      </c>
    </row>
    <row r="4434" spans="2:42" x14ac:dyDescent="0.2">
      <c r="B4434" t="s">
        <v>44</v>
      </c>
      <c r="C4434" t="str">
        <f>HYPERLINK("https://us2.cloudbeds.com/connect/8493803454333002#/reservations/9080486845888262?display=23E0YKY8EW&amp;reservation_id=9080486845888262", "23E0YKY8EW")</f>
        <v>23E0YKY8EW</v>
      </c>
      <c r="D4434" t="s">
        <v>45</v>
      </c>
      <c r="E4434" t="s">
        <v>190</v>
      </c>
      <c r="F4434" t="s">
        <v>61</v>
      </c>
      <c r="G4434" t="s">
        <v>48</v>
      </c>
      <c r="H4434" t="s">
        <v>49</v>
      </c>
      <c r="I4434" t="s">
        <v>50</v>
      </c>
      <c r="J4434" t="s">
        <v>6591</v>
      </c>
      <c r="K4434" t="s">
        <v>7092</v>
      </c>
      <c r="L4434" t="s">
        <v>53</v>
      </c>
      <c r="N4434" t="s">
        <v>7689</v>
      </c>
      <c r="P4434" t="s">
        <v>55</v>
      </c>
      <c r="R4434" t="s">
        <v>53</v>
      </c>
      <c r="T4434" t="s">
        <v>7690</v>
      </c>
      <c r="U4434" t="s">
        <v>58</v>
      </c>
      <c r="V4434">
        <v>1</v>
      </c>
      <c r="W4434">
        <v>1</v>
      </c>
      <c r="X4434">
        <v>2</v>
      </c>
      <c r="Y4434">
        <v>0</v>
      </c>
      <c r="Z4434">
        <v>2</v>
      </c>
      <c r="AA4434">
        <v>144.56</v>
      </c>
      <c r="AB4434">
        <v>144.56</v>
      </c>
      <c r="AC4434">
        <v>127.2</v>
      </c>
      <c r="AD4434">
        <v>0</v>
      </c>
      <c r="AE4434">
        <v>17.36</v>
      </c>
      <c r="AF4434">
        <v>0</v>
      </c>
      <c r="AG4434">
        <v>0</v>
      </c>
      <c r="AH4434">
        <v>0</v>
      </c>
      <c r="AI4434">
        <v>26.02</v>
      </c>
      <c r="AJ4434">
        <v>144.56</v>
      </c>
      <c r="AK4434">
        <v>0</v>
      </c>
      <c r="AL4434" t="s">
        <v>53</v>
      </c>
      <c r="AM4434" t="s">
        <v>53</v>
      </c>
      <c r="AN4434" t="s">
        <v>53</v>
      </c>
      <c r="AO4434" t="s">
        <v>53</v>
      </c>
      <c r="AP4434" t="s">
        <v>53</v>
      </c>
    </row>
    <row r="4435" spans="2:42" x14ac:dyDescent="0.2">
      <c r="B4435" t="s">
        <v>44</v>
      </c>
      <c r="C4435" t="str">
        <f>HYPERLINK("https://us2.cloudbeds.com/connect/8493803454333002#/reservations/97652266823923?display=23EACP0A8U&amp;reservation_id=97652266823923", "23EACP0A8U")</f>
        <v>23EACP0A8U</v>
      </c>
      <c r="D4435" t="s">
        <v>45</v>
      </c>
      <c r="E4435" t="s">
        <v>487</v>
      </c>
      <c r="F4435" t="s">
        <v>61</v>
      </c>
      <c r="G4435" t="s">
        <v>48</v>
      </c>
      <c r="H4435" t="s">
        <v>3957</v>
      </c>
      <c r="I4435" t="s">
        <v>3975</v>
      </c>
      <c r="J4435" t="s">
        <v>6591</v>
      </c>
      <c r="K4435" t="s">
        <v>7092</v>
      </c>
      <c r="L4435" t="s">
        <v>53</v>
      </c>
      <c r="P4435" t="s">
        <v>55</v>
      </c>
      <c r="R4435" t="s">
        <v>53</v>
      </c>
      <c r="T4435" t="s">
        <v>7691</v>
      </c>
      <c r="U4435" t="s">
        <v>58</v>
      </c>
      <c r="V4435">
        <v>1</v>
      </c>
      <c r="W4435">
        <v>1</v>
      </c>
      <c r="X4435">
        <v>2</v>
      </c>
      <c r="Y4435">
        <v>0</v>
      </c>
      <c r="Z4435">
        <v>2</v>
      </c>
      <c r="AA4435">
        <v>180.71</v>
      </c>
      <c r="AB4435">
        <v>180.71</v>
      </c>
      <c r="AC4435">
        <v>159</v>
      </c>
      <c r="AD4435">
        <v>0</v>
      </c>
      <c r="AE4435">
        <v>21.71</v>
      </c>
      <c r="AF4435">
        <v>0</v>
      </c>
      <c r="AG4435">
        <v>0</v>
      </c>
      <c r="AH4435">
        <v>0</v>
      </c>
      <c r="AI4435">
        <v>0</v>
      </c>
      <c r="AJ4435">
        <v>180.71</v>
      </c>
      <c r="AK4435">
        <v>0</v>
      </c>
      <c r="AL4435" t="s">
        <v>53</v>
      </c>
      <c r="AM4435" t="s">
        <v>53</v>
      </c>
      <c r="AN4435" t="s">
        <v>53</v>
      </c>
      <c r="AO4435" t="s">
        <v>53</v>
      </c>
      <c r="AP4435" t="s">
        <v>53</v>
      </c>
    </row>
    <row r="4436" spans="2:42" x14ac:dyDescent="0.2">
      <c r="B4436" t="s">
        <v>44</v>
      </c>
      <c r="C4436" t="str">
        <f>HYPERLINK("https://us2.cloudbeds.com/connect/8493803454333002#/reservations/9080486845888912?display=23EU0CR8FR&amp;reservation_id=9080486845888912", "23EU0CR8FR")</f>
        <v>23EU0CR8FR</v>
      </c>
      <c r="D4436" t="s">
        <v>45</v>
      </c>
      <c r="E4436" t="s">
        <v>223</v>
      </c>
      <c r="F4436" t="s">
        <v>47</v>
      </c>
      <c r="G4436" t="s">
        <v>48</v>
      </c>
      <c r="H4436" t="s">
        <v>49</v>
      </c>
      <c r="I4436" t="s">
        <v>50</v>
      </c>
      <c r="J4436" t="s">
        <v>6591</v>
      </c>
      <c r="K4436" t="s">
        <v>7092</v>
      </c>
      <c r="L4436" t="s">
        <v>53</v>
      </c>
      <c r="N4436" t="s">
        <v>7692</v>
      </c>
      <c r="P4436" t="s">
        <v>55</v>
      </c>
      <c r="R4436" t="s">
        <v>53</v>
      </c>
      <c r="T4436" t="s">
        <v>7693</v>
      </c>
      <c r="U4436" t="s">
        <v>58</v>
      </c>
      <c r="V4436">
        <v>1</v>
      </c>
      <c r="W4436">
        <v>1</v>
      </c>
      <c r="X4436">
        <v>2</v>
      </c>
      <c r="Y4436">
        <v>0</v>
      </c>
      <c r="Z4436">
        <v>2</v>
      </c>
      <c r="AA4436">
        <v>128.19999999999999</v>
      </c>
      <c r="AB4436">
        <v>128.19999999999999</v>
      </c>
      <c r="AC4436">
        <v>112.8</v>
      </c>
      <c r="AD4436">
        <v>0</v>
      </c>
      <c r="AE4436">
        <v>15.4</v>
      </c>
      <c r="AF4436">
        <v>0</v>
      </c>
      <c r="AG4436">
        <v>0</v>
      </c>
      <c r="AH4436">
        <v>0</v>
      </c>
      <c r="AI4436">
        <v>23.08</v>
      </c>
      <c r="AJ4436">
        <v>128.19999999999999</v>
      </c>
      <c r="AK4436">
        <v>0</v>
      </c>
      <c r="AL4436" t="s">
        <v>53</v>
      </c>
      <c r="AM4436" t="s">
        <v>53</v>
      </c>
      <c r="AN4436" t="s">
        <v>53</v>
      </c>
      <c r="AO4436" t="s">
        <v>53</v>
      </c>
      <c r="AP4436" t="s">
        <v>53</v>
      </c>
    </row>
    <row r="4437" spans="2:42" x14ac:dyDescent="0.2">
      <c r="B4437" t="s">
        <v>44</v>
      </c>
      <c r="C4437" t="str">
        <f>HYPERLINK("https://us2.cloudbeds.com/connect/8493803454333002#/reservations/9080486845889574?display=23GCXCFKVJ&amp;reservation_id=9080486845889574", "23GCXCFKVJ")</f>
        <v>23GCXCFKVJ</v>
      </c>
      <c r="D4437" t="s">
        <v>45</v>
      </c>
      <c r="E4437" t="s">
        <v>179</v>
      </c>
      <c r="F4437" t="s">
        <v>47</v>
      </c>
      <c r="G4437" t="s">
        <v>48</v>
      </c>
      <c r="H4437" t="s">
        <v>49</v>
      </c>
      <c r="I4437" t="s">
        <v>50</v>
      </c>
      <c r="J4437" t="s">
        <v>6818</v>
      </c>
      <c r="K4437" t="s">
        <v>6819</v>
      </c>
      <c r="L4437" t="s">
        <v>53</v>
      </c>
      <c r="N4437" t="s">
        <v>7694</v>
      </c>
      <c r="P4437" t="s">
        <v>55</v>
      </c>
      <c r="R4437" t="s">
        <v>53</v>
      </c>
      <c r="T4437" t="s">
        <v>7695</v>
      </c>
      <c r="U4437" t="s">
        <v>58</v>
      </c>
      <c r="V4437">
        <v>1</v>
      </c>
      <c r="W4437">
        <v>1</v>
      </c>
      <c r="X4437">
        <v>1</v>
      </c>
      <c r="Y4437">
        <v>0</v>
      </c>
      <c r="Z4437">
        <v>1</v>
      </c>
      <c r="AA4437">
        <v>96.61</v>
      </c>
      <c r="AB4437">
        <v>96.61</v>
      </c>
      <c r="AC4437">
        <v>85</v>
      </c>
      <c r="AD4437">
        <v>0</v>
      </c>
      <c r="AE4437">
        <v>11.61</v>
      </c>
      <c r="AF4437">
        <v>0</v>
      </c>
      <c r="AG4437">
        <v>0</v>
      </c>
      <c r="AH4437">
        <v>0</v>
      </c>
      <c r="AI4437">
        <v>17.39</v>
      </c>
      <c r="AJ4437">
        <v>96.61</v>
      </c>
      <c r="AK4437">
        <v>0</v>
      </c>
      <c r="AL4437" t="s">
        <v>53</v>
      </c>
      <c r="AM4437" t="s">
        <v>53</v>
      </c>
      <c r="AN4437" t="s">
        <v>53</v>
      </c>
      <c r="AO4437" t="s">
        <v>53</v>
      </c>
      <c r="AP4437" t="s">
        <v>53</v>
      </c>
    </row>
    <row r="4438" spans="2:42" x14ac:dyDescent="0.2">
      <c r="B4438" t="s">
        <v>44</v>
      </c>
      <c r="C4438" t="str">
        <f>HYPERLINK("https://us2.cloudbeds.com/connect/8493803454333002#/reservations/97773271269577?display=23H52N5CNC&amp;reservation_id=97773271269577", "23H52N5CNC")</f>
        <v>23H52N5CNC</v>
      </c>
      <c r="D4438" t="s">
        <v>45</v>
      </c>
      <c r="E4438" t="s">
        <v>185</v>
      </c>
      <c r="F4438" t="s">
        <v>47</v>
      </c>
      <c r="G4438" t="s">
        <v>48</v>
      </c>
      <c r="H4438" t="s">
        <v>3957</v>
      </c>
      <c r="I4438" t="s">
        <v>3975</v>
      </c>
      <c r="J4438" t="s">
        <v>6959</v>
      </c>
      <c r="K4438" t="s">
        <v>6818</v>
      </c>
      <c r="L4438" t="s">
        <v>53</v>
      </c>
      <c r="P4438" t="s">
        <v>55</v>
      </c>
      <c r="R4438" t="s">
        <v>53</v>
      </c>
      <c r="T4438" t="s">
        <v>7696</v>
      </c>
      <c r="U4438" t="s">
        <v>58</v>
      </c>
      <c r="V4438">
        <v>5</v>
      </c>
      <c r="W4438">
        <v>1</v>
      </c>
      <c r="X4438">
        <v>1</v>
      </c>
      <c r="Y4438">
        <v>0</v>
      </c>
      <c r="Z4438">
        <v>1</v>
      </c>
      <c r="AA4438">
        <v>553.48</v>
      </c>
      <c r="AB4438">
        <v>553.48</v>
      </c>
      <c r="AC4438">
        <v>487</v>
      </c>
      <c r="AD4438">
        <v>0</v>
      </c>
      <c r="AE4438">
        <v>66.48</v>
      </c>
      <c r="AF4438">
        <v>0</v>
      </c>
      <c r="AG4438">
        <v>0</v>
      </c>
      <c r="AH4438">
        <v>0</v>
      </c>
      <c r="AI4438">
        <v>0</v>
      </c>
      <c r="AJ4438">
        <v>553.48</v>
      </c>
      <c r="AK4438">
        <v>0</v>
      </c>
      <c r="AL4438" t="s">
        <v>53</v>
      </c>
      <c r="AM4438" t="s">
        <v>53</v>
      </c>
      <c r="AN4438" t="s">
        <v>53</v>
      </c>
      <c r="AO4438" t="s">
        <v>53</v>
      </c>
      <c r="AP4438" t="s">
        <v>53</v>
      </c>
    </row>
    <row r="4439" spans="2:42" x14ac:dyDescent="0.2">
      <c r="B4439" t="s">
        <v>44</v>
      </c>
      <c r="C4439" t="str">
        <f>HYPERLINK("https://us2.cloudbeds.com/connect/8493803454333002#/reservations/9080486845891194?display=23JU2CV23E&amp;reservation_id=9080486845891194", "23JU2CV23E")</f>
        <v>23JU2CV23E</v>
      </c>
      <c r="D4439" t="s">
        <v>45</v>
      </c>
      <c r="E4439" t="s">
        <v>69</v>
      </c>
      <c r="F4439" t="s">
        <v>70</v>
      </c>
      <c r="G4439" t="s">
        <v>48</v>
      </c>
      <c r="H4439" t="s">
        <v>49</v>
      </c>
      <c r="I4439" t="s">
        <v>50</v>
      </c>
      <c r="J4439" t="s">
        <v>6807</v>
      </c>
      <c r="K4439" t="s">
        <v>6959</v>
      </c>
      <c r="L4439" t="s">
        <v>53</v>
      </c>
      <c r="N4439" t="s">
        <v>7697</v>
      </c>
      <c r="P4439" t="s">
        <v>55</v>
      </c>
      <c r="R4439" t="s">
        <v>53</v>
      </c>
      <c r="T4439" t="s">
        <v>7698</v>
      </c>
      <c r="U4439" t="s">
        <v>58</v>
      </c>
      <c r="V4439">
        <v>1</v>
      </c>
      <c r="W4439">
        <v>1</v>
      </c>
      <c r="X4439">
        <v>2</v>
      </c>
      <c r="Y4439">
        <v>0</v>
      </c>
      <c r="Z4439">
        <v>2</v>
      </c>
      <c r="AA4439">
        <v>120.7</v>
      </c>
      <c r="AB4439">
        <v>120.7</v>
      </c>
      <c r="AC4439">
        <v>106.2</v>
      </c>
      <c r="AD4439">
        <v>0</v>
      </c>
      <c r="AE4439">
        <v>14.5</v>
      </c>
      <c r="AF4439">
        <v>0</v>
      </c>
      <c r="AG4439">
        <v>0</v>
      </c>
      <c r="AH4439">
        <v>0</v>
      </c>
      <c r="AI4439">
        <v>21.73</v>
      </c>
      <c r="AJ4439">
        <v>120.7</v>
      </c>
      <c r="AK4439">
        <v>0</v>
      </c>
      <c r="AL4439" t="s">
        <v>53</v>
      </c>
      <c r="AM4439" t="s">
        <v>53</v>
      </c>
      <c r="AN4439" t="s">
        <v>53</v>
      </c>
      <c r="AO4439" t="s">
        <v>53</v>
      </c>
      <c r="AP4439" t="s">
        <v>53</v>
      </c>
    </row>
    <row r="4440" spans="2:42" x14ac:dyDescent="0.2">
      <c r="B4440" t="s">
        <v>44</v>
      </c>
      <c r="C4440" t="str">
        <f>HYPERLINK("https://us2.cloudbeds.com/connect/8493803454333002#/reservations/9080486845891445?display=23KAJMT8GJ&amp;reservation_id=9080486845891445", "23KAJMT8GJ")</f>
        <v>23KAJMT8GJ</v>
      </c>
      <c r="D4440" t="s">
        <v>45</v>
      </c>
      <c r="E4440" t="s">
        <v>92</v>
      </c>
      <c r="F4440" t="s">
        <v>86</v>
      </c>
      <c r="G4440" t="s">
        <v>48</v>
      </c>
      <c r="H4440" t="s">
        <v>49</v>
      </c>
      <c r="I4440" t="s">
        <v>50</v>
      </c>
      <c r="J4440" t="s">
        <v>4442</v>
      </c>
      <c r="K4440" t="s">
        <v>4443</v>
      </c>
      <c r="L4440" t="s">
        <v>53</v>
      </c>
      <c r="N4440" t="s">
        <v>7699</v>
      </c>
      <c r="P4440" t="s">
        <v>55</v>
      </c>
      <c r="R4440" t="s">
        <v>53</v>
      </c>
      <c r="T4440" t="s">
        <v>7700</v>
      </c>
      <c r="U4440" t="s">
        <v>58</v>
      </c>
      <c r="V4440">
        <v>2</v>
      </c>
      <c r="W4440">
        <v>1</v>
      </c>
      <c r="X4440">
        <v>2</v>
      </c>
      <c r="Y4440">
        <v>0</v>
      </c>
      <c r="Z4440">
        <v>2</v>
      </c>
      <c r="AA4440">
        <v>331.87</v>
      </c>
      <c r="AB4440">
        <v>331.87</v>
      </c>
      <c r="AC4440">
        <v>292</v>
      </c>
      <c r="AD4440">
        <v>0</v>
      </c>
      <c r="AE4440">
        <v>39.869999999999997</v>
      </c>
      <c r="AF4440">
        <v>0</v>
      </c>
      <c r="AG4440">
        <v>0</v>
      </c>
      <c r="AH4440">
        <v>0</v>
      </c>
      <c r="AI4440">
        <v>59.74</v>
      </c>
      <c r="AJ4440">
        <v>331.87</v>
      </c>
      <c r="AK4440">
        <v>0</v>
      </c>
      <c r="AL4440" t="s">
        <v>53</v>
      </c>
      <c r="AM4440" t="s">
        <v>53</v>
      </c>
      <c r="AN4440" t="s">
        <v>53</v>
      </c>
      <c r="AO4440" t="s">
        <v>53</v>
      </c>
      <c r="AP4440" t="s">
        <v>53</v>
      </c>
    </row>
    <row r="4441" spans="2:42" x14ac:dyDescent="0.2">
      <c r="B4441" t="s">
        <v>44</v>
      </c>
      <c r="C4441" t="str">
        <f>HYPERLINK("https://us2.cloudbeds.com/connect/8493803454333002#/reservations/97917101261005?display=23KHETDU93&amp;reservation_id=97917101261005", "23KHETDU93")</f>
        <v>23KHETDU93</v>
      </c>
      <c r="D4441" t="s">
        <v>45</v>
      </c>
      <c r="E4441" t="s">
        <v>105</v>
      </c>
      <c r="F4441" t="s">
        <v>47</v>
      </c>
      <c r="G4441" t="s">
        <v>3974</v>
      </c>
      <c r="H4441" t="s">
        <v>3957</v>
      </c>
      <c r="I4441" t="s">
        <v>3975</v>
      </c>
      <c r="J4441" t="s">
        <v>6544</v>
      </c>
      <c r="K4441" t="s">
        <v>6234</v>
      </c>
      <c r="L4441" t="s">
        <v>53</v>
      </c>
      <c r="P4441" t="s">
        <v>55</v>
      </c>
      <c r="R4441" t="s">
        <v>53</v>
      </c>
      <c r="T4441" t="s">
        <v>7701</v>
      </c>
      <c r="U4441" t="s">
        <v>58</v>
      </c>
      <c r="V4441">
        <v>1</v>
      </c>
      <c r="W4441">
        <v>1</v>
      </c>
      <c r="X4441">
        <v>2</v>
      </c>
      <c r="Y4441">
        <v>0</v>
      </c>
      <c r="Z4441">
        <v>2</v>
      </c>
      <c r="AA4441">
        <v>86.37</v>
      </c>
      <c r="AB4441">
        <v>86.37</v>
      </c>
      <c r="AC4441">
        <v>76</v>
      </c>
      <c r="AD4441">
        <v>0</v>
      </c>
      <c r="AE4441">
        <v>10.37</v>
      </c>
      <c r="AF4441">
        <v>0</v>
      </c>
      <c r="AG4441">
        <v>0</v>
      </c>
      <c r="AH4441">
        <v>0</v>
      </c>
      <c r="AI4441">
        <v>0</v>
      </c>
      <c r="AJ4441">
        <v>86.37</v>
      </c>
      <c r="AK4441">
        <v>0</v>
      </c>
      <c r="AL4441" t="s">
        <v>53</v>
      </c>
      <c r="AM4441" t="s">
        <v>53</v>
      </c>
      <c r="AN4441" t="s">
        <v>53</v>
      </c>
      <c r="AO4441" t="s">
        <v>53</v>
      </c>
      <c r="AP4441" t="s">
        <v>53</v>
      </c>
    </row>
    <row r="4442" spans="2:42" x14ac:dyDescent="0.2">
      <c r="B4442" t="s">
        <v>44</v>
      </c>
      <c r="C4442" t="str">
        <f>HYPERLINK("https://us2.cloudbeds.com/connect/8493803454333002#/reservations/9080486845892021?display=23Y4JBKZM1&amp;reservation_id=9080486845892021", "23Y4JBKZM1")</f>
        <v>23Y4JBKZM1</v>
      </c>
      <c r="D4442" t="s">
        <v>45</v>
      </c>
      <c r="E4442" t="s">
        <v>223</v>
      </c>
      <c r="F4442" t="s">
        <v>47</v>
      </c>
      <c r="G4442" t="s">
        <v>48</v>
      </c>
      <c r="H4442" t="s">
        <v>49</v>
      </c>
      <c r="I4442" t="s">
        <v>62</v>
      </c>
      <c r="J4442" t="s">
        <v>4158</v>
      </c>
      <c r="K4442" t="s">
        <v>6544</v>
      </c>
      <c r="L4442" t="s">
        <v>53</v>
      </c>
      <c r="N4442" t="s">
        <v>7702</v>
      </c>
      <c r="P4442" t="s">
        <v>55</v>
      </c>
      <c r="R4442" t="s">
        <v>56</v>
      </c>
      <c r="T4442" t="s">
        <v>7703</v>
      </c>
      <c r="U4442" t="s">
        <v>55</v>
      </c>
      <c r="V4442">
        <v>1</v>
      </c>
      <c r="W4442">
        <v>1</v>
      </c>
      <c r="X4442">
        <v>2</v>
      </c>
      <c r="Y4442">
        <v>0</v>
      </c>
      <c r="Z4442">
        <v>2</v>
      </c>
      <c r="AA4442">
        <v>86</v>
      </c>
      <c r="AB4442">
        <v>86</v>
      </c>
      <c r="AC4442">
        <v>86</v>
      </c>
      <c r="AD4442">
        <v>0</v>
      </c>
      <c r="AE4442">
        <v>0</v>
      </c>
      <c r="AF4442">
        <v>0</v>
      </c>
      <c r="AG4442">
        <v>0</v>
      </c>
      <c r="AH4442">
        <v>0</v>
      </c>
      <c r="AI4442">
        <v>15.48</v>
      </c>
      <c r="AJ4442">
        <v>86</v>
      </c>
      <c r="AK4442">
        <v>0</v>
      </c>
      <c r="AL4442" t="s">
        <v>53</v>
      </c>
      <c r="AM4442" t="s">
        <v>53</v>
      </c>
      <c r="AN4442" t="s">
        <v>53</v>
      </c>
      <c r="AO4442" t="s">
        <v>53</v>
      </c>
      <c r="AP4442" t="s">
        <v>53</v>
      </c>
    </row>
    <row r="4443" spans="2:42" x14ac:dyDescent="0.2">
      <c r="B4443" t="s">
        <v>44</v>
      </c>
      <c r="C4443" t="str">
        <f>HYPERLINK("https://us2.cloudbeds.com/connect/8493803454333002#/reservations/9080486845892749?display=23M40SRQX1&amp;reservation_id=9080486845892749", "23M40SRQX1")</f>
        <v>23M40SRQX1</v>
      </c>
      <c r="D4443" t="s">
        <v>45</v>
      </c>
      <c r="E4443" t="s">
        <v>223</v>
      </c>
      <c r="F4443" t="s">
        <v>47</v>
      </c>
      <c r="G4443" t="s">
        <v>48</v>
      </c>
      <c r="H4443" t="s">
        <v>49</v>
      </c>
      <c r="I4443" t="s">
        <v>50</v>
      </c>
      <c r="J4443" t="s">
        <v>6544</v>
      </c>
      <c r="K4443" t="s">
        <v>6818</v>
      </c>
      <c r="L4443" t="s">
        <v>53</v>
      </c>
      <c r="N4443" t="s">
        <v>7704</v>
      </c>
      <c r="P4443" t="s">
        <v>55</v>
      </c>
      <c r="R4443" t="s">
        <v>53</v>
      </c>
      <c r="T4443" t="s">
        <v>7705</v>
      </c>
      <c r="U4443" t="s">
        <v>58</v>
      </c>
      <c r="V4443">
        <v>2</v>
      </c>
      <c r="W4443">
        <v>1</v>
      </c>
      <c r="X4443">
        <v>2</v>
      </c>
      <c r="Y4443">
        <v>0</v>
      </c>
      <c r="Z4443">
        <v>2</v>
      </c>
      <c r="AA4443">
        <v>145.47999999999999</v>
      </c>
      <c r="AB4443">
        <v>145.47999999999999</v>
      </c>
      <c r="AC4443">
        <v>128</v>
      </c>
      <c r="AD4443">
        <v>0</v>
      </c>
      <c r="AE4443">
        <v>17.48</v>
      </c>
      <c r="AF4443">
        <v>0</v>
      </c>
      <c r="AG4443">
        <v>0</v>
      </c>
      <c r="AH4443">
        <v>0</v>
      </c>
      <c r="AI4443">
        <v>26.19</v>
      </c>
      <c r="AJ4443">
        <v>145.47999999999999</v>
      </c>
      <c r="AK4443">
        <v>0</v>
      </c>
      <c r="AL4443" t="s">
        <v>53</v>
      </c>
      <c r="AM4443" t="s">
        <v>53</v>
      </c>
      <c r="AN4443" t="s">
        <v>53</v>
      </c>
      <c r="AO4443" t="s">
        <v>53</v>
      </c>
      <c r="AP4443" t="s">
        <v>53</v>
      </c>
    </row>
    <row r="4444" spans="2:42" x14ac:dyDescent="0.2">
      <c r="B4444" t="s">
        <v>44</v>
      </c>
      <c r="C4444" t="str">
        <f>HYPERLINK("https://us2.cloudbeds.com/connect/8493803454333002#/reservations/9080486845892846?display=23M9X3FEQA&amp;reservation_id=9080486845892846", "23M9X3FEQA")</f>
        <v>23M9X3FEQA</v>
      </c>
      <c r="D4444" t="s">
        <v>45</v>
      </c>
      <c r="E4444" t="s">
        <v>128</v>
      </c>
      <c r="F4444" t="s">
        <v>86</v>
      </c>
      <c r="G4444" t="s">
        <v>48</v>
      </c>
      <c r="H4444" t="s">
        <v>49</v>
      </c>
      <c r="I4444" t="s">
        <v>50</v>
      </c>
      <c r="J4444" t="s">
        <v>5594</v>
      </c>
      <c r="K4444" t="s">
        <v>7706</v>
      </c>
      <c r="L4444" t="s">
        <v>53</v>
      </c>
      <c r="N4444" t="s">
        <v>7707</v>
      </c>
      <c r="P4444" t="s">
        <v>55</v>
      </c>
      <c r="R4444" t="s">
        <v>53</v>
      </c>
      <c r="T4444" t="s">
        <v>7708</v>
      </c>
      <c r="U4444" t="s">
        <v>58</v>
      </c>
      <c r="V4444">
        <v>1</v>
      </c>
      <c r="W4444">
        <v>1</v>
      </c>
      <c r="X4444">
        <v>1</v>
      </c>
      <c r="Y4444">
        <v>0</v>
      </c>
      <c r="Z4444">
        <v>1</v>
      </c>
      <c r="AA4444">
        <v>194.35</v>
      </c>
      <c r="AB4444">
        <v>194.35</v>
      </c>
      <c r="AC4444">
        <v>171</v>
      </c>
      <c r="AD4444">
        <v>0</v>
      </c>
      <c r="AE4444">
        <v>23.35</v>
      </c>
      <c r="AF4444">
        <v>0</v>
      </c>
      <c r="AG4444">
        <v>0</v>
      </c>
      <c r="AH4444">
        <v>0</v>
      </c>
      <c r="AI4444">
        <v>34.979999999999997</v>
      </c>
      <c r="AJ4444">
        <v>194.35</v>
      </c>
      <c r="AK4444">
        <v>0</v>
      </c>
      <c r="AL4444" t="s">
        <v>53</v>
      </c>
      <c r="AM4444" t="s">
        <v>53</v>
      </c>
      <c r="AN4444" t="s">
        <v>53</v>
      </c>
      <c r="AO4444" t="s">
        <v>53</v>
      </c>
      <c r="AP4444" t="s">
        <v>53</v>
      </c>
    </row>
    <row r="4445" spans="2:42" x14ac:dyDescent="0.2">
      <c r="B4445" t="s">
        <v>44</v>
      </c>
      <c r="C4445" t="str">
        <f>HYPERLINK("https://us2.cloudbeds.com/connect/8493803454333002#/reservations/9080486845893108?display=23MP67KDPN&amp;reservation_id=9080486845893108", "23MP67KDPN")</f>
        <v>23MP67KDPN</v>
      </c>
      <c r="D4445" t="s">
        <v>45</v>
      </c>
      <c r="E4445" t="s">
        <v>98</v>
      </c>
      <c r="F4445" t="s">
        <v>86</v>
      </c>
      <c r="G4445" t="s">
        <v>48</v>
      </c>
      <c r="H4445" t="s">
        <v>49</v>
      </c>
      <c r="I4445" t="s">
        <v>50</v>
      </c>
      <c r="J4445" t="s">
        <v>6233</v>
      </c>
      <c r="K4445" t="s">
        <v>6818</v>
      </c>
      <c r="L4445" t="s">
        <v>53</v>
      </c>
      <c r="N4445" t="s">
        <v>7709</v>
      </c>
      <c r="P4445" t="s">
        <v>55</v>
      </c>
      <c r="R4445" t="s">
        <v>53</v>
      </c>
      <c r="T4445" t="s">
        <v>7710</v>
      </c>
      <c r="U4445" t="s">
        <v>58</v>
      </c>
      <c r="V4445">
        <v>4</v>
      </c>
      <c r="W4445">
        <v>1</v>
      </c>
      <c r="X4445">
        <v>2</v>
      </c>
      <c r="Y4445">
        <v>0</v>
      </c>
      <c r="Z4445">
        <v>2</v>
      </c>
      <c r="AA4445">
        <v>395.84</v>
      </c>
      <c r="AB4445">
        <v>395.84</v>
      </c>
      <c r="AC4445">
        <v>348.3</v>
      </c>
      <c r="AD4445">
        <v>0</v>
      </c>
      <c r="AE4445">
        <v>47.54</v>
      </c>
      <c r="AF4445">
        <v>0</v>
      </c>
      <c r="AG4445">
        <v>0</v>
      </c>
      <c r="AH4445">
        <v>0</v>
      </c>
      <c r="AI4445">
        <v>71.25</v>
      </c>
      <c r="AJ4445">
        <v>395.84</v>
      </c>
      <c r="AK4445">
        <v>0</v>
      </c>
      <c r="AL4445" t="s">
        <v>53</v>
      </c>
      <c r="AM4445" t="s">
        <v>53</v>
      </c>
      <c r="AN4445" t="s">
        <v>53</v>
      </c>
      <c r="AO4445" t="s">
        <v>53</v>
      </c>
      <c r="AP4445" t="s">
        <v>53</v>
      </c>
    </row>
    <row r="4446" spans="2:42" x14ac:dyDescent="0.2">
      <c r="B4446" t="s">
        <v>44</v>
      </c>
      <c r="C4446" t="str">
        <f>HYPERLINK("https://us2.cloudbeds.com/connect/8493803454333002#/reservations/98022798127294?display=23N09MR106&amp;reservation_id=98022798127294", "23N09MR106")</f>
        <v>23N09MR106</v>
      </c>
      <c r="D4446" t="s">
        <v>45</v>
      </c>
      <c r="E4446" t="s">
        <v>381</v>
      </c>
      <c r="F4446" t="s">
        <v>47</v>
      </c>
      <c r="G4446" t="s">
        <v>48</v>
      </c>
      <c r="H4446" t="s">
        <v>3957</v>
      </c>
      <c r="I4446" t="s">
        <v>3958</v>
      </c>
      <c r="J4446" t="s">
        <v>6586</v>
      </c>
      <c r="K4446" t="s">
        <v>5430</v>
      </c>
      <c r="L4446" t="s">
        <v>53</v>
      </c>
      <c r="P4446" t="s">
        <v>58</v>
      </c>
      <c r="R4446" t="s">
        <v>56</v>
      </c>
      <c r="T4446" t="s">
        <v>7711</v>
      </c>
      <c r="U4446" t="s">
        <v>58</v>
      </c>
      <c r="V4446">
        <v>2</v>
      </c>
      <c r="W4446">
        <v>1</v>
      </c>
      <c r="X4446">
        <v>1</v>
      </c>
      <c r="Y4446">
        <v>0</v>
      </c>
      <c r="Z4446">
        <v>1</v>
      </c>
      <c r="AA4446">
        <v>229.58</v>
      </c>
      <c r="AB4446">
        <v>229.58</v>
      </c>
      <c r="AC4446">
        <v>202</v>
      </c>
      <c r="AD4446">
        <v>0</v>
      </c>
      <c r="AE4446">
        <v>27.58</v>
      </c>
      <c r="AF4446">
        <v>0</v>
      </c>
      <c r="AG4446">
        <v>0</v>
      </c>
      <c r="AH4446">
        <v>0</v>
      </c>
      <c r="AI4446">
        <v>0</v>
      </c>
      <c r="AJ4446">
        <v>229.58</v>
      </c>
      <c r="AK4446">
        <v>0</v>
      </c>
      <c r="AL4446" t="s">
        <v>53</v>
      </c>
      <c r="AM4446" t="s">
        <v>53</v>
      </c>
      <c r="AN4446" t="s">
        <v>53</v>
      </c>
      <c r="AO4446" t="s">
        <v>53</v>
      </c>
      <c r="AP4446" t="s">
        <v>53</v>
      </c>
    </row>
    <row r="4447" spans="2:42" x14ac:dyDescent="0.2">
      <c r="B4447" t="s">
        <v>44</v>
      </c>
      <c r="C4447" t="str">
        <f>HYPERLINK("https://us2.cloudbeds.com/connect/8493803454333002#/reservations/9080486845893476?display=23NG0KHFYX&amp;reservation_id=9080486845893476", "23NG0KHFYX")</f>
        <v>23NG0KHFYX</v>
      </c>
      <c r="D4447" t="s">
        <v>45</v>
      </c>
      <c r="E4447" t="s">
        <v>105</v>
      </c>
      <c r="F4447" t="s">
        <v>47</v>
      </c>
      <c r="G4447" t="s">
        <v>48</v>
      </c>
      <c r="H4447" t="s">
        <v>49</v>
      </c>
      <c r="I4447" t="s">
        <v>50</v>
      </c>
      <c r="J4447" t="s">
        <v>5623</v>
      </c>
      <c r="K4447" t="s">
        <v>4767</v>
      </c>
      <c r="L4447" t="s">
        <v>53</v>
      </c>
      <c r="N4447" t="s">
        <v>7712</v>
      </c>
      <c r="P4447" t="s">
        <v>55</v>
      </c>
      <c r="R4447" t="s">
        <v>53</v>
      </c>
      <c r="T4447" t="s">
        <v>7713</v>
      </c>
      <c r="U4447" t="s">
        <v>58</v>
      </c>
      <c r="V4447">
        <v>2</v>
      </c>
      <c r="W4447">
        <v>1</v>
      </c>
      <c r="X4447">
        <v>2</v>
      </c>
      <c r="Y4447">
        <v>0</v>
      </c>
      <c r="Z4447">
        <v>2</v>
      </c>
      <c r="AA4447">
        <v>385.6</v>
      </c>
      <c r="AB4447">
        <v>385.6</v>
      </c>
      <c r="AC4447">
        <v>339.3</v>
      </c>
      <c r="AD4447">
        <v>0</v>
      </c>
      <c r="AE4447">
        <v>46.3</v>
      </c>
      <c r="AF4447">
        <v>0</v>
      </c>
      <c r="AG4447">
        <v>0</v>
      </c>
      <c r="AH4447">
        <v>0</v>
      </c>
      <c r="AI4447">
        <v>69.41</v>
      </c>
      <c r="AJ4447">
        <v>385.6</v>
      </c>
      <c r="AK4447">
        <v>0</v>
      </c>
      <c r="AL4447" t="s">
        <v>53</v>
      </c>
      <c r="AM4447" t="s">
        <v>53</v>
      </c>
      <c r="AN4447" t="s">
        <v>53</v>
      </c>
      <c r="AO4447" t="s">
        <v>53</v>
      </c>
      <c r="AP4447" t="s">
        <v>53</v>
      </c>
    </row>
    <row r="4448" spans="2:42" x14ac:dyDescent="0.2">
      <c r="B4448" t="s">
        <v>44</v>
      </c>
      <c r="C4448" t="str">
        <f>HYPERLINK("https://us2.cloudbeds.com/connect/8493803454333002#/reservations/9080486845893485?display=23NGEAR0P2&amp;reservation_id=9080486845893485", "23NGEAR0P2")</f>
        <v>23NGEAR0P2</v>
      </c>
      <c r="D4448" t="s">
        <v>45</v>
      </c>
      <c r="E4448" t="s">
        <v>373</v>
      </c>
      <c r="F4448" t="s">
        <v>47</v>
      </c>
      <c r="G4448" t="s">
        <v>48</v>
      </c>
      <c r="H4448" t="s">
        <v>49</v>
      </c>
      <c r="I4448" t="s">
        <v>62</v>
      </c>
      <c r="J4448" t="s">
        <v>6234</v>
      </c>
      <c r="K4448" t="s">
        <v>6818</v>
      </c>
      <c r="L4448" t="s">
        <v>53</v>
      </c>
      <c r="N4448" t="s">
        <v>7714</v>
      </c>
      <c r="P4448" t="s">
        <v>55</v>
      </c>
      <c r="R4448" t="s">
        <v>56</v>
      </c>
      <c r="T4448" t="s">
        <v>7715</v>
      </c>
      <c r="U4448" t="s">
        <v>55</v>
      </c>
      <c r="V4448">
        <v>1</v>
      </c>
      <c r="W4448">
        <v>1</v>
      </c>
      <c r="X4448">
        <v>2</v>
      </c>
      <c r="Y4448">
        <v>0</v>
      </c>
      <c r="Z4448">
        <v>2</v>
      </c>
      <c r="AA4448">
        <v>80</v>
      </c>
      <c r="AB4448">
        <v>80</v>
      </c>
      <c r="AC4448">
        <v>80</v>
      </c>
      <c r="AD4448">
        <v>0</v>
      </c>
      <c r="AE4448">
        <v>0</v>
      </c>
      <c r="AF4448">
        <v>0</v>
      </c>
      <c r="AG4448">
        <v>0</v>
      </c>
      <c r="AH4448">
        <v>0</v>
      </c>
      <c r="AI4448">
        <v>14.4</v>
      </c>
      <c r="AJ4448">
        <v>80</v>
      </c>
      <c r="AK4448">
        <v>0</v>
      </c>
      <c r="AL4448" t="s">
        <v>53</v>
      </c>
      <c r="AM4448" t="s">
        <v>53</v>
      </c>
      <c r="AN4448" t="s">
        <v>53</v>
      </c>
      <c r="AO4448" t="s">
        <v>53</v>
      </c>
      <c r="AP4448" t="s">
        <v>53</v>
      </c>
    </row>
    <row r="4449" spans="2:42" x14ac:dyDescent="0.2">
      <c r="B4449" t="s">
        <v>44</v>
      </c>
      <c r="C4449" t="str">
        <f>HYPERLINK("https://us2.cloudbeds.com/connect/8493803454333002#/reservations/9080486845893666?display=23NVJ2NXDS&amp;reservation_id=9080486845893666", "23NVJ2NXDS")</f>
        <v>23NVJ2NXDS</v>
      </c>
      <c r="D4449" t="s">
        <v>45</v>
      </c>
      <c r="E4449" t="s">
        <v>105</v>
      </c>
      <c r="F4449" t="s">
        <v>47</v>
      </c>
      <c r="G4449" t="s">
        <v>48</v>
      </c>
      <c r="H4449" t="s">
        <v>49</v>
      </c>
      <c r="I4449" t="s">
        <v>50</v>
      </c>
      <c r="J4449" t="s">
        <v>7092</v>
      </c>
      <c r="K4449" t="s">
        <v>6592</v>
      </c>
      <c r="L4449" t="s">
        <v>53</v>
      </c>
      <c r="N4449" t="s">
        <v>7716</v>
      </c>
      <c r="P4449" t="s">
        <v>55</v>
      </c>
      <c r="R4449" t="s">
        <v>53</v>
      </c>
      <c r="T4449" t="s">
        <v>7717</v>
      </c>
      <c r="U4449" t="s">
        <v>58</v>
      </c>
      <c r="V4449">
        <v>1</v>
      </c>
      <c r="W4449">
        <v>1</v>
      </c>
      <c r="X4449">
        <v>2</v>
      </c>
      <c r="Y4449">
        <v>0</v>
      </c>
      <c r="Z4449">
        <v>2</v>
      </c>
      <c r="AA4449">
        <v>137.29</v>
      </c>
      <c r="AB4449">
        <v>137.29</v>
      </c>
      <c r="AC4449">
        <v>120.8</v>
      </c>
      <c r="AD4449">
        <v>0</v>
      </c>
      <c r="AE4449">
        <v>16.489999999999998</v>
      </c>
      <c r="AF4449">
        <v>0</v>
      </c>
      <c r="AG4449">
        <v>0</v>
      </c>
      <c r="AH4449">
        <v>0</v>
      </c>
      <c r="AI4449">
        <v>24.71</v>
      </c>
      <c r="AJ4449">
        <v>137.29</v>
      </c>
      <c r="AK4449">
        <v>0</v>
      </c>
      <c r="AL4449" t="s">
        <v>53</v>
      </c>
      <c r="AM4449" t="s">
        <v>53</v>
      </c>
      <c r="AN4449" t="s">
        <v>53</v>
      </c>
      <c r="AO4449" t="s">
        <v>53</v>
      </c>
      <c r="AP4449" t="s">
        <v>53</v>
      </c>
    </row>
    <row r="4450" spans="2:42" x14ac:dyDescent="0.2">
      <c r="B4450" t="s">
        <v>44</v>
      </c>
      <c r="C4450" t="str">
        <f>HYPERLINK("https://us2.cloudbeds.com/connect/8493803454333002#/reservations/9080486845893901?display=23ZFG7946S&amp;reservation_id=9080486845893901", "23ZFG7946S")</f>
        <v>23ZFG7946S</v>
      </c>
      <c r="D4450" t="s">
        <v>45</v>
      </c>
      <c r="E4450" t="s">
        <v>7718</v>
      </c>
      <c r="F4450" t="s">
        <v>7264</v>
      </c>
      <c r="G4450" t="s">
        <v>48</v>
      </c>
      <c r="H4450" t="s">
        <v>49</v>
      </c>
      <c r="I4450" t="s">
        <v>62</v>
      </c>
      <c r="J4450" t="s">
        <v>4768</v>
      </c>
      <c r="K4450" t="s">
        <v>6586</v>
      </c>
      <c r="L4450" t="s">
        <v>53</v>
      </c>
      <c r="N4450" t="s">
        <v>7719</v>
      </c>
      <c r="P4450" t="s">
        <v>55</v>
      </c>
      <c r="R4450" t="s">
        <v>56</v>
      </c>
      <c r="T4450" t="s">
        <v>7720</v>
      </c>
      <c r="U4450" t="s">
        <v>55</v>
      </c>
      <c r="V4450">
        <v>2</v>
      </c>
      <c r="W4450">
        <v>2</v>
      </c>
      <c r="X4450">
        <v>2</v>
      </c>
      <c r="Y4450">
        <v>0</v>
      </c>
      <c r="Z4450">
        <v>2</v>
      </c>
      <c r="AA4450">
        <v>208</v>
      </c>
      <c r="AB4450">
        <v>208</v>
      </c>
      <c r="AC4450">
        <v>208</v>
      </c>
      <c r="AD4450">
        <v>0</v>
      </c>
      <c r="AE4450">
        <v>0</v>
      </c>
      <c r="AF4450">
        <v>0</v>
      </c>
      <c r="AG4450">
        <v>0</v>
      </c>
      <c r="AH4450">
        <v>0</v>
      </c>
      <c r="AI4450">
        <v>37.44</v>
      </c>
      <c r="AJ4450">
        <v>208</v>
      </c>
      <c r="AK4450">
        <v>0</v>
      </c>
      <c r="AL4450" t="s">
        <v>53</v>
      </c>
      <c r="AM4450" t="s">
        <v>53</v>
      </c>
      <c r="AN4450" t="s">
        <v>53</v>
      </c>
      <c r="AO4450" t="s">
        <v>53</v>
      </c>
      <c r="AP4450" t="s">
        <v>53</v>
      </c>
    </row>
    <row r="4451" spans="2:42" x14ac:dyDescent="0.2">
      <c r="B4451" t="s">
        <v>44</v>
      </c>
      <c r="C4451" t="str">
        <f>HYPERLINK("https://us2.cloudbeds.com/connect/8493803454333002#/reservations/9080486845893927?display=23ZHBU03K0&amp;reservation_id=9080486845893927", "23ZHBU03K0")</f>
        <v>23ZHBU03K0</v>
      </c>
      <c r="D4451" t="s">
        <v>45</v>
      </c>
      <c r="E4451" t="s">
        <v>128</v>
      </c>
      <c r="F4451" t="s">
        <v>86</v>
      </c>
      <c r="G4451" t="s">
        <v>48</v>
      </c>
      <c r="H4451" t="s">
        <v>49</v>
      </c>
      <c r="I4451" t="s">
        <v>50</v>
      </c>
      <c r="J4451" t="s">
        <v>4768</v>
      </c>
      <c r="K4451" t="s">
        <v>6586</v>
      </c>
      <c r="L4451" t="s">
        <v>53</v>
      </c>
      <c r="N4451" t="s">
        <v>7721</v>
      </c>
      <c r="P4451" t="s">
        <v>55</v>
      </c>
      <c r="R4451" t="s">
        <v>53</v>
      </c>
      <c r="T4451" t="s">
        <v>7722</v>
      </c>
      <c r="U4451" t="s">
        <v>58</v>
      </c>
      <c r="V4451">
        <v>1</v>
      </c>
      <c r="W4451">
        <v>1</v>
      </c>
      <c r="X4451">
        <v>2</v>
      </c>
      <c r="Y4451">
        <v>0</v>
      </c>
      <c r="Z4451">
        <v>2</v>
      </c>
      <c r="AA4451">
        <v>112.72</v>
      </c>
      <c r="AB4451">
        <v>112.72</v>
      </c>
      <c r="AC4451">
        <v>99.18</v>
      </c>
      <c r="AD4451">
        <v>0</v>
      </c>
      <c r="AE4451">
        <v>13.54</v>
      </c>
      <c r="AF4451">
        <v>0</v>
      </c>
      <c r="AG4451">
        <v>0</v>
      </c>
      <c r="AH4451">
        <v>0</v>
      </c>
      <c r="AI4451">
        <v>20.29</v>
      </c>
      <c r="AJ4451">
        <v>112.72</v>
      </c>
      <c r="AK4451">
        <v>0</v>
      </c>
      <c r="AL4451" t="s">
        <v>53</v>
      </c>
      <c r="AM4451" t="s">
        <v>53</v>
      </c>
      <c r="AN4451" t="s">
        <v>53</v>
      </c>
      <c r="AO4451" t="s">
        <v>53</v>
      </c>
      <c r="AP4451" t="s">
        <v>53</v>
      </c>
    </row>
    <row r="4452" spans="2:42" x14ac:dyDescent="0.2">
      <c r="B4452" t="s">
        <v>44</v>
      </c>
      <c r="C4452" t="str">
        <f>HYPERLINK("https://us2.cloudbeds.com/connect/8493803454333002#/reservations/9080486845893937?display=23ZX90Z9TG&amp;reservation_id=9080486845893937", "23ZX90Z9TG")</f>
        <v>23ZX90Z9TG</v>
      </c>
      <c r="D4452" t="s">
        <v>45</v>
      </c>
      <c r="E4452" t="s">
        <v>179</v>
      </c>
      <c r="F4452" t="s">
        <v>47</v>
      </c>
      <c r="G4452" t="s">
        <v>48</v>
      </c>
      <c r="H4452" t="s">
        <v>49</v>
      </c>
      <c r="I4452" t="s">
        <v>62</v>
      </c>
      <c r="J4452" t="s">
        <v>4768</v>
      </c>
      <c r="K4452" t="s">
        <v>6586</v>
      </c>
      <c r="L4452" t="s">
        <v>53</v>
      </c>
      <c r="N4452" t="s">
        <v>7723</v>
      </c>
      <c r="P4452" t="s">
        <v>55</v>
      </c>
      <c r="R4452" t="s">
        <v>56</v>
      </c>
      <c r="T4452" t="s">
        <v>7724</v>
      </c>
      <c r="U4452" t="s">
        <v>55</v>
      </c>
      <c r="V4452">
        <v>1</v>
      </c>
      <c r="W4452">
        <v>1</v>
      </c>
      <c r="X4452">
        <v>2</v>
      </c>
      <c r="Y4452">
        <v>0</v>
      </c>
      <c r="Z4452">
        <v>2</v>
      </c>
      <c r="AA4452">
        <v>93.1</v>
      </c>
      <c r="AB4452">
        <v>93.1</v>
      </c>
      <c r="AC4452">
        <v>93.1</v>
      </c>
      <c r="AD4452">
        <v>0</v>
      </c>
      <c r="AE4452">
        <v>0</v>
      </c>
      <c r="AF4452">
        <v>0</v>
      </c>
      <c r="AG4452">
        <v>0</v>
      </c>
      <c r="AH4452">
        <v>0</v>
      </c>
      <c r="AI4452">
        <v>16.760000000000002</v>
      </c>
      <c r="AJ4452">
        <v>93.1</v>
      </c>
      <c r="AK4452">
        <v>0</v>
      </c>
      <c r="AL4452" t="s">
        <v>53</v>
      </c>
      <c r="AM4452" t="s">
        <v>53</v>
      </c>
      <c r="AN4452" t="s">
        <v>53</v>
      </c>
      <c r="AO4452" t="s">
        <v>53</v>
      </c>
      <c r="AP4452" t="s">
        <v>53</v>
      </c>
    </row>
    <row r="4453" spans="2:42" x14ac:dyDescent="0.2">
      <c r="B4453" t="s">
        <v>44</v>
      </c>
      <c r="C4453" t="str">
        <f>HYPERLINK("https://us2.cloudbeds.com/connect/8493803454333002#/reservations/9080486845893956?display=23ZJ8XHR4N&amp;reservation_id=9080486845893956", "23ZJ8XHR4N")</f>
        <v>23ZJ8XHR4N</v>
      </c>
      <c r="D4453" t="s">
        <v>45</v>
      </c>
      <c r="E4453" t="s">
        <v>85</v>
      </c>
      <c r="F4453" t="s">
        <v>86</v>
      </c>
      <c r="G4453" t="s">
        <v>48</v>
      </c>
      <c r="H4453" t="s">
        <v>49</v>
      </c>
      <c r="I4453" t="s">
        <v>50</v>
      </c>
      <c r="J4453" t="s">
        <v>4768</v>
      </c>
      <c r="K4453" t="s">
        <v>6586</v>
      </c>
      <c r="L4453" t="s">
        <v>53</v>
      </c>
      <c r="N4453" t="s">
        <v>7725</v>
      </c>
      <c r="P4453" t="s">
        <v>55</v>
      </c>
      <c r="R4453" t="s">
        <v>53</v>
      </c>
      <c r="T4453" t="s">
        <v>7726</v>
      </c>
      <c r="U4453" t="s">
        <v>58</v>
      </c>
      <c r="V4453">
        <v>1</v>
      </c>
      <c r="W4453">
        <v>1</v>
      </c>
      <c r="X4453">
        <v>2</v>
      </c>
      <c r="Y4453">
        <v>0</v>
      </c>
      <c r="Z4453">
        <v>2</v>
      </c>
      <c r="AA4453">
        <v>112.72</v>
      </c>
      <c r="AB4453">
        <v>112.72</v>
      </c>
      <c r="AC4453">
        <v>99.18</v>
      </c>
      <c r="AD4453">
        <v>0</v>
      </c>
      <c r="AE4453">
        <v>13.54</v>
      </c>
      <c r="AF4453">
        <v>0</v>
      </c>
      <c r="AG4453">
        <v>0</v>
      </c>
      <c r="AH4453">
        <v>0</v>
      </c>
      <c r="AI4453">
        <v>20.29</v>
      </c>
      <c r="AJ4453">
        <v>112.72</v>
      </c>
      <c r="AK4453">
        <v>0</v>
      </c>
      <c r="AL4453" t="s">
        <v>53</v>
      </c>
      <c r="AM4453" t="s">
        <v>53</v>
      </c>
      <c r="AN4453" t="s">
        <v>53</v>
      </c>
      <c r="AO4453" t="s">
        <v>53</v>
      </c>
      <c r="AP4453" t="s">
        <v>53</v>
      </c>
    </row>
    <row r="4454" spans="2:42" x14ac:dyDescent="0.2">
      <c r="B4454" t="s">
        <v>44</v>
      </c>
      <c r="C4454" t="str">
        <f>HYPERLINK("https://us2.cloudbeds.com/connect/8493803454333002#/reservations/9080486845894028?display=23ZZ7E5JFY&amp;reservation_id=9080486845894028", "23ZZ7E5JFY")</f>
        <v>23ZZ7E5JFY</v>
      </c>
      <c r="D4454" t="s">
        <v>45</v>
      </c>
      <c r="E4454" t="s">
        <v>105</v>
      </c>
      <c r="F4454" t="s">
        <v>47</v>
      </c>
      <c r="G4454" t="s">
        <v>48</v>
      </c>
      <c r="H4454" t="s">
        <v>49</v>
      </c>
      <c r="I4454" t="s">
        <v>50</v>
      </c>
      <c r="J4454" t="s">
        <v>6592</v>
      </c>
      <c r="K4454" t="s">
        <v>6912</v>
      </c>
      <c r="L4454" t="s">
        <v>53</v>
      </c>
      <c r="N4454" t="s">
        <v>7727</v>
      </c>
      <c r="P4454" t="s">
        <v>55</v>
      </c>
      <c r="R4454" t="s">
        <v>53</v>
      </c>
      <c r="T4454" t="s">
        <v>7728</v>
      </c>
      <c r="U4454" t="s">
        <v>58</v>
      </c>
      <c r="V4454">
        <v>1</v>
      </c>
      <c r="W4454">
        <v>1</v>
      </c>
      <c r="X4454">
        <v>2</v>
      </c>
      <c r="Y4454">
        <v>0</v>
      </c>
      <c r="Z4454">
        <v>2</v>
      </c>
      <c r="AA4454">
        <v>94.11</v>
      </c>
      <c r="AB4454">
        <v>94.11</v>
      </c>
      <c r="AC4454">
        <v>82.8</v>
      </c>
      <c r="AD4454">
        <v>0</v>
      </c>
      <c r="AE4454">
        <v>11.31</v>
      </c>
      <c r="AF4454">
        <v>0</v>
      </c>
      <c r="AG4454">
        <v>0</v>
      </c>
      <c r="AH4454">
        <v>0</v>
      </c>
      <c r="AI4454">
        <v>16.940000000000001</v>
      </c>
      <c r="AJ4454">
        <v>94.11</v>
      </c>
      <c r="AK4454">
        <v>0</v>
      </c>
      <c r="AL4454" t="s">
        <v>53</v>
      </c>
      <c r="AM4454" t="s">
        <v>53</v>
      </c>
      <c r="AN4454" t="s">
        <v>53</v>
      </c>
      <c r="AO4454" t="s">
        <v>53</v>
      </c>
      <c r="AP4454" t="s">
        <v>53</v>
      </c>
    </row>
    <row r="4455" spans="2:42" x14ac:dyDescent="0.2">
      <c r="B4455" t="s">
        <v>44</v>
      </c>
      <c r="C4455" t="str">
        <f>HYPERLINK("https://us2.cloudbeds.com/connect/8493803454333002#/reservations/9080486845894029?display=23ZZFT2FRX&amp;reservation_id=9080486845894029", "23ZZFT2FRX")</f>
        <v>23ZZFT2FRX</v>
      </c>
      <c r="D4455" t="s">
        <v>45</v>
      </c>
      <c r="E4455" t="s">
        <v>223</v>
      </c>
      <c r="F4455" t="s">
        <v>47</v>
      </c>
      <c r="G4455" t="s">
        <v>48</v>
      </c>
      <c r="H4455" t="s">
        <v>49</v>
      </c>
      <c r="I4455" t="s">
        <v>50</v>
      </c>
      <c r="J4455" t="s">
        <v>6592</v>
      </c>
      <c r="K4455" t="s">
        <v>6912</v>
      </c>
      <c r="L4455" t="s">
        <v>53</v>
      </c>
      <c r="N4455" t="s">
        <v>7729</v>
      </c>
      <c r="P4455" t="s">
        <v>55</v>
      </c>
      <c r="R4455" t="s">
        <v>53</v>
      </c>
      <c r="T4455" t="s">
        <v>7730</v>
      </c>
      <c r="U4455" t="s">
        <v>58</v>
      </c>
      <c r="V4455">
        <v>1</v>
      </c>
      <c r="W4455">
        <v>1</v>
      </c>
      <c r="X4455">
        <v>2</v>
      </c>
      <c r="Y4455">
        <v>0</v>
      </c>
      <c r="Z4455">
        <v>2</v>
      </c>
      <c r="AA4455">
        <v>94.11</v>
      </c>
      <c r="AB4455">
        <v>94.11</v>
      </c>
      <c r="AC4455">
        <v>82.8</v>
      </c>
      <c r="AD4455">
        <v>0</v>
      </c>
      <c r="AE4455">
        <v>11.31</v>
      </c>
      <c r="AF4455">
        <v>0</v>
      </c>
      <c r="AG4455">
        <v>0</v>
      </c>
      <c r="AH4455">
        <v>0</v>
      </c>
      <c r="AI4455">
        <v>16.940000000000001</v>
      </c>
      <c r="AJ4455">
        <v>94.11</v>
      </c>
      <c r="AK4455">
        <v>0</v>
      </c>
      <c r="AL4455" t="s">
        <v>53</v>
      </c>
      <c r="AM4455" t="s">
        <v>53</v>
      </c>
      <c r="AN4455" t="s">
        <v>53</v>
      </c>
      <c r="AO4455" t="s">
        <v>53</v>
      </c>
      <c r="AP4455" t="s">
        <v>53</v>
      </c>
    </row>
    <row r="4456" spans="2:42" x14ac:dyDescent="0.2">
      <c r="B4456" t="s">
        <v>44</v>
      </c>
      <c r="C4456" t="str">
        <f>HYPERLINK("https://us2.cloudbeds.com/connect/8493803454333002#/reservations/9080486845894118?display=23ZVN7H5AZ&amp;reservation_id=9080486845894118", "23ZVN7H5AZ")</f>
        <v>23ZVN7H5AZ</v>
      </c>
      <c r="D4456" t="s">
        <v>45</v>
      </c>
      <c r="E4456" t="s">
        <v>406</v>
      </c>
      <c r="F4456" t="s">
        <v>61</v>
      </c>
      <c r="G4456" t="s">
        <v>48</v>
      </c>
      <c r="H4456" t="s">
        <v>49</v>
      </c>
      <c r="I4456" t="s">
        <v>50</v>
      </c>
      <c r="J4456" t="s">
        <v>6959</v>
      </c>
      <c r="K4456" t="s">
        <v>6233</v>
      </c>
      <c r="L4456" t="s">
        <v>53</v>
      </c>
      <c r="N4456" t="s">
        <v>7731</v>
      </c>
      <c r="P4456" t="s">
        <v>55</v>
      </c>
      <c r="R4456" t="s">
        <v>53</v>
      </c>
      <c r="T4456" t="s">
        <v>7732</v>
      </c>
      <c r="U4456" t="s">
        <v>58</v>
      </c>
      <c r="V4456">
        <v>1</v>
      </c>
      <c r="W4456">
        <v>1</v>
      </c>
      <c r="X4456">
        <v>2</v>
      </c>
      <c r="Y4456">
        <v>0</v>
      </c>
      <c r="Z4456">
        <v>2</v>
      </c>
      <c r="AA4456">
        <v>184.12</v>
      </c>
      <c r="AB4456">
        <v>184.12</v>
      </c>
      <c r="AC4456">
        <v>162</v>
      </c>
      <c r="AD4456">
        <v>0</v>
      </c>
      <c r="AE4456">
        <v>22.12</v>
      </c>
      <c r="AF4456">
        <v>0</v>
      </c>
      <c r="AG4456">
        <v>0</v>
      </c>
      <c r="AH4456">
        <v>0</v>
      </c>
      <c r="AI4456">
        <v>33.14</v>
      </c>
      <c r="AJ4456">
        <v>184.12</v>
      </c>
      <c r="AK4456">
        <v>0</v>
      </c>
      <c r="AL4456" t="s">
        <v>53</v>
      </c>
      <c r="AM4456" t="s">
        <v>53</v>
      </c>
      <c r="AN4456" t="s">
        <v>53</v>
      </c>
      <c r="AO4456" t="s">
        <v>53</v>
      </c>
      <c r="AP4456" t="s">
        <v>53</v>
      </c>
    </row>
    <row r="4457" spans="2:42" x14ac:dyDescent="0.2">
      <c r="B4457" t="s">
        <v>44</v>
      </c>
      <c r="C4457" t="str">
        <f>HYPERLINK("https://us2.cloudbeds.com/connect/8493803454333002#/reservations/9080486845894189?display=23P539S06A&amp;reservation_id=9080486845894189", "23P539S06A")</f>
        <v>23P539S06A</v>
      </c>
      <c r="D4457" t="s">
        <v>45</v>
      </c>
      <c r="E4457" t="s">
        <v>7733</v>
      </c>
      <c r="F4457" t="s">
        <v>7734</v>
      </c>
      <c r="G4457" t="s">
        <v>48</v>
      </c>
      <c r="H4457" t="s">
        <v>49</v>
      </c>
      <c r="I4457" t="s">
        <v>62</v>
      </c>
      <c r="J4457" t="s">
        <v>7376</v>
      </c>
      <c r="K4457" t="s">
        <v>7559</v>
      </c>
      <c r="L4457" t="s">
        <v>53</v>
      </c>
      <c r="N4457" t="s">
        <v>7735</v>
      </c>
      <c r="P4457" t="s">
        <v>55</v>
      </c>
      <c r="R4457" t="s">
        <v>56</v>
      </c>
      <c r="T4457" t="s">
        <v>7736</v>
      </c>
      <c r="U4457" t="s">
        <v>55</v>
      </c>
      <c r="V4457">
        <v>3</v>
      </c>
      <c r="W4457">
        <v>3</v>
      </c>
      <c r="X4457">
        <v>7</v>
      </c>
      <c r="Y4457">
        <v>0</v>
      </c>
      <c r="Z4457">
        <v>7</v>
      </c>
      <c r="AA4457">
        <v>444.6</v>
      </c>
      <c r="AB4457">
        <v>444.6</v>
      </c>
      <c r="AC4457">
        <v>444.6</v>
      </c>
      <c r="AD4457">
        <v>0</v>
      </c>
      <c r="AE4457">
        <v>0</v>
      </c>
      <c r="AF4457">
        <v>0</v>
      </c>
      <c r="AG4457">
        <v>0</v>
      </c>
      <c r="AH4457">
        <v>0</v>
      </c>
      <c r="AI4457">
        <v>80.03</v>
      </c>
      <c r="AJ4457">
        <v>444.6</v>
      </c>
      <c r="AK4457">
        <v>0</v>
      </c>
      <c r="AL4457" t="s">
        <v>53</v>
      </c>
      <c r="AM4457" t="s">
        <v>53</v>
      </c>
      <c r="AN4457" t="s">
        <v>53</v>
      </c>
      <c r="AO4457" t="s">
        <v>53</v>
      </c>
      <c r="AP4457" t="s">
        <v>53</v>
      </c>
    </row>
    <row r="4458" spans="2:42" x14ac:dyDescent="0.2">
      <c r="B4458" t="s">
        <v>44</v>
      </c>
      <c r="C4458" t="str">
        <f>HYPERLINK("https://us2.cloudbeds.com/connect/8493803454333002#/reservations/9080486845894576?display=23Q1E1JUTV&amp;reservation_id=9080486845894576", "23Q1E1JUTV")</f>
        <v>23Q1E1JUTV</v>
      </c>
      <c r="D4458" t="s">
        <v>45</v>
      </c>
      <c r="E4458" t="s">
        <v>69</v>
      </c>
      <c r="F4458" t="s">
        <v>70</v>
      </c>
      <c r="G4458" t="s">
        <v>48</v>
      </c>
      <c r="H4458" t="s">
        <v>49</v>
      </c>
      <c r="I4458" t="s">
        <v>50</v>
      </c>
      <c r="J4458" t="s">
        <v>5623</v>
      </c>
      <c r="K4458" t="s">
        <v>6639</v>
      </c>
      <c r="L4458" t="s">
        <v>53</v>
      </c>
      <c r="N4458" t="s">
        <v>7737</v>
      </c>
      <c r="P4458" t="s">
        <v>55</v>
      </c>
      <c r="R4458" t="s">
        <v>53</v>
      </c>
      <c r="T4458" t="s">
        <v>7738</v>
      </c>
      <c r="U4458" t="s">
        <v>58</v>
      </c>
      <c r="V4458">
        <v>1</v>
      </c>
      <c r="W4458">
        <v>1</v>
      </c>
      <c r="X4458">
        <v>1</v>
      </c>
      <c r="Y4458">
        <v>0</v>
      </c>
      <c r="Z4458">
        <v>1</v>
      </c>
      <c r="AA4458">
        <v>199.11</v>
      </c>
      <c r="AB4458">
        <v>199.11</v>
      </c>
      <c r="AC4458">
        <v>175.2</v>
      </c>
      <c r="AD4458">
        <v>0</v>
      </c>
      <c r="AE4458">
        <v>23.91</v>
      </c>
      <c r="AF4458">
        <v>0</v>
      </c>
      <c r="AG4458">
        <v>0</v>
      </c>
      <c r="AH4458">
        <v>0</v>
      </c>
      <c r="AI4458">
        <v>35.840000000000003</v>
      </c>
      <c r="AJ4458">
        <v>199.11</v>
      </c>
      <c r="AK4458">
        <v>0</v>
      </c>
      <c r="AL4458" t="s">
        <v>53</v>
      </c>
      <c r="AM4458" t="s">
        <v>53</v>
      </c>
      <c r="AN4458" t="s">
        <v>53</v>
      </c>
      <c r="AO4458" t="s">
        <v>53</v>
      </c>
      <c r="AP4458" t="s">
        <v>53</v>
      </c>
    </row>
    <row r="4459" spans="2:42" x14ac:dyDescent="0.2">
      <c r="B4459" t="s">
        <v>44</v>
      </c>
      <c r="C4459" t="str">
        <f>HYPERLINK("https://us2.cloudbeds.com/connect/8493803454333002#/reservations/9080486845895809?display=23SB3FKNR5&amp;reservation_id=9080486845895809", "23SB3FKNR5")</f>
        <v>23SB3FKNR5</v>
      </c>
      <c r="D4459" t="s">
        <v>45</v>
      </c>
      <c r="E4459" t="s">
        <v>69</v>
      </c>
      <c r="F4459" t="s">
        <v>70</v>
      </c>
      <c r="G4459" t="s">
        <v>48</v>
      </c>
      <c r="H4459" t="s">
        <v>49</v>
      </c>
      <c r="I4459" t="s">
        <v>62</v>
      </c>
      <c r="J4459" t="s">
        <v>7579</v>
      </c>
      <c r="K4459" t="s">
        <v>6807</v>
      </c>
      <c r="L4459" t="s">
        <v>53</v>
      </c>
      <c r="N4459" t="s">
        <v>7739</v>
      </c>
      <c r="P4459" t="s">
        <v>55</v>
      </c>
      <c r="R4459" t="s">
        <v>56</v>
      </c>
      <c r="T4459" t="s">
        <v>7740</v>
      </c>
      <c r="U4459" t="s">
        <v>55</v>
      </c>
      <c r="V4459">
        <v>3</v>
      </c>
      <c r="W4459">
        <v>1</v>
      </c>
      <c r="X4459">
        <v>1</v>
      </c>
      <c r="Y4459">
        <v>0</v>
      </c>
      <c r="Z4459">
        <v>1</v>
      </c>
      <c r="AA4459">
        <v>214</v>
      </c>
      <c r="AB4459">
        <v>214</v>
      </c>
      <c r="AC4459">
        <v>214</v>
      </c>
      <c r="AD4459">
        <v>0</v>
      </c>
      <c r="AE4459">
        <v>0</v>
      </c>
      <c r="AF4459">
        <v>0</v>
      </c>
      <c r="AG4459">
        <v>0</v>
      </c>
      <c r="AH4459">
        <v>0</v>
      </c>
      <c r="AI4459">
        <v>38.520000000000003</v>
      </c>
      <c r="AJ4459">
        <v>214</v>
      </c>
      <c r="AK4459">
        <v>0</v>
      </c>
      <c r="AL4459" t="s">
        <v>53</v>
      </c>
      <c r="AM4459" t="s">
        <v>53</v>
      </c>
      <c r="AN4459" t="s">
        <v>53</v>
      </c>
      <c r="AO4459" t="s">
        <v>53</v>
      </c>
      <c r="AP4459" t="s">
        <v>53</v>
      </c>
    </row>
    <row r="4460" spans="2:42" x14ac:dyDescent="0.2">
      <c r="B4460" t="s">
        <v>44</v>
      </c>
      <c r="C4460" t="str">
        <f>HYPERLINK("https://us2.cloudbeds.com/connect/8493803454333002#/reservations/9080486845895817?display=23SBXHZUFH&amp;reservation_id=9080486845895817", "23SBXHZUFH")</f>
        <v>23SBXHZUFH</v>
      </c>
      <c r="D4460" t="s">
        <v>45</v>
      </c>
      <c r="E4460" t="s">
        <v>69</v>
      </c>
      <c r="F4460" t="s">
        <v>70</v>
      </c>
      <c r="G4460" t="s">
        <v>48</v>
      </c>
      <c r="H4460" t="s">
        <v>49</v>
      </c>
      <c r="I4460" t="s">
        <v>62</v>
      </c>
      <c r="J4460" t="s">
        <v>6592</v>
      </c>
      <c r="K4460" t="s">
        <v>6912</v>
      </c>
      <c r="L4460" t="s">
        <v>53</v>
      </c>
      <c r="N4460" t="s">
        <v>7741</v>
      </c>
      <c r="P4460" t="s">
        <v>55</v>
      </c>
      <c r="R4460" t="s">
        <v>118</v>
      </c>
      <c r="T4460" t="s">
        <v>7742</v>
      </c>
      <c r="U4460" t="s">
        <v>55</v>
      </c>
      <c r="V4460">
        <v>1</v>
      </c>
      <c r="W4460">
        <v>1</v>
      </c>
      <c r="X4460">
        <v>2</v>
      </c>
      <c r="Y4460">
        <v>0</v>
      </c>
      <c r="Z4460">
        <v>2</v>
      </c>
      <c r="AA4460">
        <v>83</v>
      </c>
      <c r="AB4460">
        <v>83</v>
      </c>
      <c r="AC4460">
        <v>83</v>
      </c>
      <c r="AD4460">
        <v>0</v>
      </c>
      <c r="AE4460">
        <v>0</v>
      </c>
      <c r="AF4460">
        <v>0</v>
      </c>
      <c r="AG4460">
        <v>0</v>
      </c>
      <c r="AH4460">
        <v>0</v>
      </c>
      <c r="AI4460">
        <v>14.94</v>
      </c>
      <c r="AJ4460">
        <v>83</v>
      </c>
      <c r="AK4460">
        <v>0</v>
      </c>
      <c r="AL4460" t="s">
        <v>53</v>
      </c>
      <c r="AM4460" t="s">
        <v>53</v>
      </c>
      <c r="AN4460" t="s">
        <v>53</v>
      </c>
      <c r="AO4460" t="s">
        <v>53</v>
      </c>
      <c r="AP4460" t="s">
        <v>53</v>
      </c>
    </row>
    <row r="4461" spans="2:42" x14ac:dyDescent="0.2">
      <c r="B4461" t="s">
        <v>44</v>
      </c>
      <c r="C4461" t="str">
        <f>HYPERLINK("https://us2.cloudbeds.com/connect/8493803454333002#/reservations/9080486845895960?display=23SX2DQP8B&amp;reservation_id=9080486845895960", "23SX2DQP8B")</f>
        <v>23SX2DQP8B</v>
      </c>
      <c r="D4461" t="s">
        <v>45</v>
      </c>
      <c r="E4461" t="s">
        <v>105</v>
      </c>
      <c r="F4461" t="s">
        <v>47</v>
      </c>
      <c r="G4461" t="s">
        <v>48</v>
      </c>
      <c r="H4461" t="s">
        <v>49</v>
      </c>
      <c r="I4461" t="s">
        <v>62</v>
      </c>
      <c r="J4461" t="s">
        <v>6943</v>
      </c>
      <c r="K4461" t="s">
        <v>6944</v>
      </c>
      <c r="L4461" t="s">
        <v>53</v>
      </c>
      <c r="N4461" t="s">
        <v>7743</v>
      </c>
      <c r="P4461" t="s">
        <v>55</v>
      </c>
      <c r="R4461" t="s">
        <v>56</v>
      </c>
      <c r="T4461" t="s">
        <v>7744</v>
      </c>
      <c r="U4461" t="s">
        <v>55</v>
      </c>
      <c r="V4461">
        <v>2</v>
      </c>
      <c r="W4461">
        <v>1</v>
      </c>
      <c r="X4461">
        <v>2</v>
      </c>
      <c r="Y4461">
        <v>0</v>
      </c>
      <c r="Z4461">
        <v>2</v>
      </c>
      <c r="AA4461">
        <v>374.3</v>
      </c>
      <c r="AB4461">
        <v>374.3</v>
      </c>
      <c r="AC4461">
        <v>374.3</v>
      </c>
      <c r="AD4461">
        <v>0</v>
      </c>
      <c r="AE4461">
        <v>0</v>
      </c>
      <c r="AF4461">
        <v>0</v>
      </c>
      <c r="AG4461">
        <v>0</v>
      </c>
      <c r="AH4461">
        <v>0</v>
      </c>
      <c r="AI4461">
        <v>67.37</v>
      </c>
      <c r="AJ4461">
        <v>374.3</v>
      </c>
      <c r="AK4461">
        <v>0</v>
      </c>
      <c r="AL4461" t="s">
        <v>53</v>
      </c>
      <c r="AM4461" t="s">
        <v>53</v>
      </c>
      <c r="AN4461" t="s">
        <v>7745</v>
      </c>
      <c r="AO4461" t="s">
        <v>53</v>
      </c>
      <c r="AP4461" t="s">
        <v>53</v>
      </c>
    </row>
    <row r="4462" spans="2:42" x14ac:dyDescent="0.2">
      <c r="B4462" t="s">
        <v>44</v>
      </c>
      <c r="C4462" t="str">
        <f>HYPERLINK("https://us2.cloudbeds.com/connect/8493803454333002#/reservations/9080486845896188?display=23SQMQGK99&amp;reservation_id=9080486845896188", "23SQMQGK99")</f>
        <v>23SQMQGK99</v>
      </c>
      <c r="D4462" t="s">
        <v>45</v>
      </c>
      <c r="E4462" t="s">
        <v>92</v>
      </c>
      <c r="F4462" t="s">
        <v>86</v>
      </c>
      <c r="G4462" t="s">
        <v>48</v>
      </c>
      <c r="H4462" t="s">
        <v>49</v>
      </c>
      <c r="I4462" t="s">
        <v>62</v>
      </c>
      <c r="J4462" t="s">
        <v>6592</v>
      </c>
      <c r="K4462" t="s">
        <v>6912</v>
      </c>
      <c r="L4462" t="s">
        <v>53</v>
      </c>
      <c r="N4462" t="s">
        <v>7746</v>
      </c>
      <c r="P4462" t="s">
        <v>55</v>
      </c>
      <c r="R4462" t="s">
        <v>56</v>
      </c>
      <c r="T4462" t="s">
        <v>7747</v>
      </c>
      <c r="U4462" t="s">
        <v>55</v>
      </c>
      <c r="V4462">
        <v>1</v>
      </c>
      <c r="W4462">
        <v>1</v>
      </c>
      <c r="X4462">
        <v>3</v>
      </c>
      <c r="Y4462">
        <v>0</v>
      </c>
      <c r="Z4462">
        <v>3</v>
      </c>
      <c r="AA4462">
        <v>105</v>
      </c>
      <c r="AB4462">
        <v>105</v>
      </c>
      <c r="AC4462">
        <v>105</v>
      </c>
      <c r="AD4462">
        <v>0</v>
      </c>
      <c r="AE4462">
        <v>0</v>
      </c>
      <c r="AF4462">
        <v>0</v>
      </c>
      <c r="AG4462">
        <v>0</v>
      </c>
      <c r="AH4462">
        <v>0</v>
      </c>
      <c r="AI4462">
        <v>18.899999999999999</v>
      </c>
      <c r="AJ4462">
        <v>105</v>
      </c>
      <c r="AK4462">
        <v>0</v>
      </c>
      <c r="AL4462" t="s">
        <v>53</v>
      </c>
      <c r="AM4462" t="s">
        <v>53</v>
      </c>
      <c r="AN4462" t="s">
        <v>53</v>
      </c>
      <c r="AO4462" t="s">
        <v>53</v>
      </c>
      <c r="AP4462" t="s">
        <v>53</v>
      </c>
    </row>
    <row r="4463" spans="2:42" x14ac:dyDescent="0.2">
      <c r="B4463" t="s">
        <v>44</v>
      </c>
      <c r="C4463" t="str">
        <f>HYPERLINK("https://us2.cloudbeds.com/connect/8493803454333002#/reservations/9080486845896224?display=23SS2Y6MG2&amp;reservation_id=9080486845896224", "23SS2Y6MG2")</f>
        <v>23SS2Y6MG2</v>
      </c>
      <c r="D4463" t="s">
        <v>45</v>
      </c>
      <c r="E4463" t="s">
        <v>305</v>
      </c>
      <c r="F4463" t="s">
        <v>61</v>
      </c>
      <c r="G4463" t="s">
        <v>48</v>
      </c>
      <c r="H4463" t="s">
        <v>49</v>
      </c>
      <c r="I4463" t="s">
        <v>50</v>
      </c>
      <c r="J4463" t="s">
        <v>6959</v>
      </c>
      <c r="K4463" t="s">
        <v>6233</v>
      </c>
      <c r="L4463" t="s">
        <v>53</v>
      </c>
      <c r="N4463" t="s">
        <v>7748</v>
      </c>
      <c r="P4463" t="s">
        <v>55</v>
      </c>
      <c r="R4463" t="s">
        <v>53</v>
      </c>
      <c r="T4463" t="s">
        <v>7749</v>
      </c>
      <c r="U4463" t="s">
        <v>58</v>
      </c>
      <c r="V4463">
        <v>1</v>
      </c>
      <c r="W4463">
        <v>1</v>
      </c>
      <c r="X4463">
        <v>2</v>
      </c>
      <c r="Y4463">
        <v>0</v>
      </c>
      <c r="Z4463">
        <v>2</v>
      </c>
      <c r="AA4463">
        <v>170.82</v>
      </c>
      <c r="AB4463">
        <v>170.82</v>
      </c>
      <c r="AC4463">
        <v>150.30000000000001</v>
      </c>
      <c r="AD4463">
        <v>0</v>
      </c>
      <c r="AE4463">
        <v>20.52</v>
      </c>
      <c r="AF4463">
        <v>0</v>
      </c>
      <c r="AG4463">
        <v>0</v>
      </c>
      <c r="AH4463">
        <v>0</v>
      </c>
      <c r="AI4463">
        <v>30.75</v>
      </c>
      <c r="AJ4463">
        <v>170.82</v>
      </c>
      <c r="AK4463">
        <v>0</v>
      </c>
      <c r="AL4463" t="s">
        <v>53</v>
      </c>
      <c r="AM4463" t="s">
        <v>53</v>
      </c>
      <c r="AN4463" t="s">
        <v>53</v>
      </c>
      <c r="AO4463" t="s">
        <v>53</v>
      </c>
      <c r="AP4463" t="s">
        <v>53</v>
      </c>
    </row>
    <row r="4464" spans="2:42" x14ac:dyDescent="0.2">
      <c r="B4464" t="s">
        <v>44</v>
      </c>
      <c r="C4464" t="str">
        <f>HYPERLINK("https://us2.cloudbeds.com/connect/8493803454333002#/reservations/9080486845896265?display=23STQZBPEN&amp;reservation_id=9080486845896265", "23STQZBPEN")</f>
        <v>23STQZBPEN</v>
      </c>
      <c r="D4464" t="s">
        <v>45</v>
      </c>
      <c r="E4464" t="s">
        <v>138</v>
      </c>
      <c r="F4464" t="s">
        <v>70</v>
      </c>
      <c r="G4464" t="s">
        <v>48</v>
      </c>
      <c r="H4464" t="s">
        <v>49</v>
      </c>
      <c r="I4464" t="s">
        <v>50</v>
      </c>
      <c r="J4464" t="s">
        <v>7750</v>
      </c>
      <c r="K4464" t="s">
        <v>7751</v>
      </c>
      <c r="L4464" t="s">
        <v>53</v>
      </c>
      <c r="N4464" t="s">
        <v>7752</v>
      </c>
      <c r="P4464" t="s">
        <v>55</v>
      </c>
      <c r="R4464" t="s">
        <v>53</v>
      </c>
      <c r="T4464" t="s">
        <v>7753</v>
      </c>
      <c r="U4464" t="s">
        <v>58</v>
      </c>
      <c r="V4464">
        <v>2</v>
      </c>
      <c r="W4464">
        <v>1</v>
      </c>
      <c r="X4464">
        <v>2</v>
      </c>
      <c r="Y4464">
        <v>0</v>
      </c>
      <c r="Z4464">
        <v>2</v>
      </c>
      <c r="AA4464">
        <v>427.32</v>
      </c>
      <c r="AB4464">
        <v>427.32</v>
      </c>
      <c r="AC4464">
        <v>376</v>
      </c>
      <c r="AD4464">
        <v>0</v>
      </c>
      <c r="AE4464">
        <v>51.32</v>
      </c>
      <c r="AF4464">
        <v>0</v>
      </c>
      <c r="AG4464">
        <v>0</v>
      </c>
      <c r="AH4464">
        <v>0</v>
      </c>
      <c r="AI4464">
        <v>76.92</v>
      </c>
      <c r="AJ4464">
        <v>427.32</v>
      </c>
      <c r="AK4464">
        <v>0</v>
      </c>
      <c r="AL4464" t="s">
        <v>53</v>
      </c>
      <c r="AM4464" t="s">
        <v>53</v>
      </c>
      <c r="AN4464" t="s">
        <v>53</v>
      </c>
      <c r="AO4464" t="s">
        <v>53</v>
      </c>
      <c r="AP4464" t="s">
        <v>53</v>
      </c>
    </row>
    <row r="4465" spans="2:42" x14ac:dyDescent="0.2">
      <c r="B4465" t="s">
        <v>44</v>
      </c>
      <c r="C4465" t="str">
        <f>HYPERLINK("https://us2.cloudbeds.com/connect/8493803454333002#/reservations/9080486845896302?display=23SVHS0Z4V&amp;reservation_id=9080486845896302", "23SVHS0Z4V")</f>
        <v>23SVHS0Z4V</v>
      </c>
      <c r="D4465" t="s">
        <v>45</v>
      </c>
      <c r="E4465" t="s">
        <v>185</v>
      </c>
      <c r="F4465" t="s">
        <v>47</v>
      </c>
      <c r="G4465" t="s">
        <v>48</v>
      </c>
      <c r="H4465" t="s">
        <v>49</v>
      </c>
      <c r="I4465" t="s">
        <v>50</v>
      </c>
      <c r="J4465" t="s">
        <v>4442</v>
      </c>
      <c r="K4465" t="s">
        <v>6487</v>
      </c>
      <c r="L4465" t="s">
        <v>53</v>
      </c>
      <c r="N4465" t="s">
        <v>7754</v>
      </c>
      <c r="P4465" t="s">
        <v>55</v>
      </c>
      <c r="R4465" t="s">
        <v>53</v>
      </c>
      <c r="T4465" t="s">
        <v>7755</v>
      </c>
      <c r="U4465" t="s">
        <v>58</v>
      </c>
      <c r="V4465">
        <v>1</v>
      </c>
      <c r="W4465">
        <v>1</v>
      </c>
      <c r="X4465">
        <v>1</v>
      </c>
      <c r="Y4465">
        <v>0</v>
      </c>
      <c r="Z4465">
        <v>1</v>
      </c>
      <c r="AA4465">
        <v>140.9</v>
      </c>
      <c r="AB4465">
        <v>140.9</v>
      </c>
      <c r="AC4465">
        <v>123.97</v>
      </c>
      <c r="AD4465">
        <v>0</v>
      </c>
      <c r="AE4465">
        <v>16.93</v>
      </c>
      <c r="AF4465">
        <v>0</v>
      </c>
      <c r="AG4465">
        <v>0</v>
      </c>
      <c r="AH4465">
        <v>0</v>
      </c>
      <c r="AI4465">
        <v>25.36</v>
      </c>
      <c r="AJ4465">
        <v>140.9</v>
      </c>
      <c r="AK4465">
        <v>0</v>
      </c>
      <c r="AL4465" t="s">
        <v>53</v>
      </c>
      <c r="AM4465" t="s">
        <v>53</v>
      </c>
      <c r="AN4465" t="s">
        <v>53</v>
      </c>
      <c r="AO4465" t="s">
        <v>53</v>
      </c>
      <c r="AP4465" t="s">
        <v>53</v>
      </c>
    </row>
    <row r="4466" spans="2:42" x14ac:dyDescent="0.2">
      <c r="B4466" t="s">
        <v>44</v>
      </c>
      <c r="C4466" t="str">
        <f>HYPERLINK("https://us2.cloudbeds.com/connect/8493803454333002#/reservations/9080486845897360?display=23U80BQ4Y4&amp;reservation_id=9080486845897360", "23U80BQ4Y4")</f>
        <v>23U80BQ4Y4</v>
      </c>
      <c r="D4466" t="s">
        <v>45</v>
      </c>
      <c r="E4466" t="s">
        <v>185</v>
      </c>
      <c r="F4466" t="s">
        <v>47</v>
      </c>
      <c r="G4466" t="s">
        <v>48</v>
      </c>
      <c r="H4466" t="s">
        <v>49</v>
      </c>
      <c r="I4466" t="s">
        <v>50</v>
      </c>
      <c r="J4466" t="s">
        <v>5623</v>
      </c>
      <c r="K4466" t="s">
        <v>6639</v>
      </c>
      <c r="L4466" t="s">
        <v>53</v>
      </c>
      <c r="N4466" t="s">
        <v>7756</v>
      </c>
      <c r="P4466" t="s">
        <v>55</v>
      </c>
      <c r="R4466" t="s">
        <v>53</v>
      </c>
      <c r="T4466" t="s">
        <v>7757</v>
      </c>
      <c r="U4466" t="s">
        <v>58</v>
      </c>
      <c r="V4466">
        <v>1</v>
      </c>
      <c r="W4466">
        <v>1</v>
      </c>
      <c r="X4466">
        <v>1</v>
      </c>
      <c r="Y4466">
        <v>0</v>
      </c>
      <c r="Z4466">
        <v>1</v>
      </c>
      <c r="AA4466">
        <v>174.36</v>
      </c>
      <c r="AB4466">
        <v>174.36</v>
      </c>
      <c r="AC4466">
        <v>153.41999999999999</v>
      </c>
      <c r="AD4466">
        <v>0</v>
      </c>
      <c r="AE4466">
        <v>20.94</v>
      </c>
      <c r="AF4466">
        <v>0</v>
      </c>
      <c r="AG4466">
        <v>0</v>
      </c>
      <c r="AH4466">
        <v>0</v>
      </c>
      <c r="AI4466">
        <v>31.38</v>
      </c>
      <c r="AJ4466">
        <v>174.36</v>
      </c>
      <c r="AK4466">
        <v>0</v>
      </c>
      <c r="AL4466" t="s">
        <v>53</v>
      </c>
      <c r="AM4466" t="s">
        <v>53</v>
      </c>
      <c r="AN4466" t="s">
        <v>53</v>
      </c>
      <c r="AO4466" t="s">
        <v>53</v>
      </c>
      <c r="AP4466" t="s">
        <v>53</v>
      </c>
    </row>
    <row r="4467" spans="2:42" x14ac:dyDescent="0.2">
      <c r="B4467" t="s">
        <v>44</v>
      </c>
      <c r="C4467" t="str">
        <f>HYPERLINK("https://us2.cloudbeds.com/connect/8493803454333002#/reservations/9080486845897370?display=23U8H871AB&amp;reservation_id=9080486845897370", "23U8H871AB")</f>
        <v>23U8H871AB</v>
      </c>
      <c r="D4467" t="s">
        <v>45</v>
      </c>
      <c r="E4467" t="s">
        <v>213</v>
      </c>
      <c r="F4467" t="s">
        <v>86</v>
      </c>
      <c r="G4467" t="s">
        <v>48</v>
      </c>
      <c r="H4467" t="s">
        <v>49</v>
      </c>
      <c r="I4467" t="s">
        <v>50</v>
      </c>
      <c r="J4467" t="s">
        <v>5623</v>
      </c>
      <c r="K4467" t="s">
        <v>6639</v>
      </c>
      <c r="L4467" t="s">
        <v>53</v>
      </c>
      <c r="N4467" t="s">
        <v>7758</v>
      </c>
      <c r="P4467" t="s">
        <v>55</v>
      </c>
      <c r="R4467" t="s">
        <v>53</v>
      </c>
      <c r="T4467" t="s">
        <v>7759</v>
      </c>
      <c r="U4467" t="s">
        <v>58</v>
      </c>
      <c r="V4467">
        <v>1</v>
      </c>
      <c r="W4467">
        <v>1</v>
      </c>
      <c r="X4467">
        <v>2</v>
      </c>
      <c r="Y4467">
        <v>0</v>
      </c>
      <c r="Z4467">
        <v>2</v>
      </c>
      <c r="AA4467">
        <v>207.4</v>
      </c>
      <c r="AB4467">
        <v>207.4</v>
      </c>
      <c r="AC4467">
        <v>182.49</v>
      </c>
      <c r="AD4467">
        <v>0</v>
      </c>
      <c r="AE4467">
        <v>24.91</v>
      </c>
      <c r="AF4467">
        <v>0</v>
      </c>
      <c r="AG4467">
        <v>0</v>
      </c>
      <c r="AH4467">
        <v>0</v>
      </c>
      <c r="AI4467">
        <v>37.33</v>
      </c>
      <c r="AJ4467">
        <v>207.4</v>
      </c>
      <c r="AK4467">
        <v>0</v>
      </c>
      <c r="AL4467" t="s">
        <v>53</v>
      </c>
      <c r="AM4467" t="s">
        <v>53</v>
      </c>
      <c r="AN4467" t="s">
        <v>53</v>
      </c>
      <c r="AO4467" t="s">
        <v>53</v>
      </c>
      <c r="AP4467" t="s">
        <v>53</v>
      </c>
    </row>
    <row r="4468" spans="2:42" x14ac:dyDescent="0.2">
      <c r="B4468" t="s">
        <v>44</v>
      </c>
      <c r="C4468" t="str">
        <f>HYPERLINK("https://us2.cloudbeds.com/connect/8493803454333002#/reservations/98354468180163?display=23UQ3KQ5XT&amp;reservation_id=98354468180163", "23UQ3KQ5XT")</f>
        <v>23UQ3KQ5XT</v>
      </c>
      <c r="D4468" t="s">
        <v>45</v>
      </c>
      <c r="E4468" t="s">
        <v>138</v>
      </c>
      <c r="F4468" t="s">
        <v>70</v>
      </c>
      <c r="G4468" t="s">
        <v>48</v>
      </c>
      <c r="H4468" t="s">
        <v>3957</v>
      </c>
      <c r="I4468" t="s">
        <v>3975</v>
      </c>
      <c r="J4468" t="s">
        <v>7706</v>
      </c>
      <c r="K4468" t="s">
        <v>7352</v>
      </c>
      <c r="L4468" t="s">
        <v>53</v>
      </c>
      <c r="P4468" t="s">
        <v>55</v>
      </c>
      <c r="R4468" t="s">
        <v>53</v>
      </c>
      <c r="T4468" t="s">
        <v>7760</v>
      </c>
      <c r="U4468" t="s">
        <v>58</v>
      </c>
      <c r="V4468">
        <v>1</v>
      </c>
      <c r="W4468">
        <v>1</v>
      </c>
      <c r="X4468">
        <v>2</v>
      </c>
      <c r="Y4468">
        <v>0</v>
      </c>
      <c r="Z4468">
        <v>2</v>
      </c>
      <c r="AA4468">
        <v>187.53</v>
      </c>
      <c r="AB4468">
        <v>187.53</v>
      </c>
      <c r="AC4468">
        <v>165</v>
      </c>
      <c r="AD4468">
        <v>0</v>
      </c>
      <c r="AE4468">
        <v>22.53</v>
      </c>
      <c r="AF4468">
        <v>0</v>
      </c>
      <c r="AG4468">
        <v>0</v>
      </c>
      <c r="AH4468">
        <v>0</v>
      </c>
      <c r="AI4468">
        <v>0</v>
      </c>
      <c r="AJ4468">
        <v>187.53</v>
      </c>
      <c r="AK4468">
        <v>0</v>
      </c>
      <c r="AL4468" t="s">
        <v>53</v>
      </c>
      <c r="AM4468" t="s">
        <v>53</v>
      </c>
      <c r="AN4468" t="s">
        <v>53</v>
      </c>
      <c r="AO4468" t="s">
        <v>53</v>
      </c>
      <c r="AP4468" t="s">
        <v>53</v>
      </c>
    </row>
    <row r="4469" spans="2:42" x14ac:dyDescent="0.2">
      <c r="B4469" t="s">
        <v>44</v>
      </c>
      <c r="C4469" t="str">
        <f>HYPERLINK("https://us2.cloudbeds.com/connect/8493803454333002#/reservations/98373408604370?display=23V7PJSCVJ&amp;reservation_id=98373408604370", "23V7PJSCVJ")</f>
        <v>23V7PJSCVJ</v>
      </c>
      <c r="D4469" t="s">
        <v>45</v>
      </c>
      <c r="E4469" t="s">
        <v>185</v>
      </c>
      <c r="F4469" t="s">
        <v>47</v>
      </c>
      <c r="G4469" t="s">
        <v>48</v>
      </c>
      <c r="H4469" t="s">
        <v>3957</v>
      </c>
      <c r="I4469" t="s">
        <v>3975</v>
      </c>
      <c r="J4469" t="s">
        <v>7579</v>
      </c>
      <c r="K4469" t="s">
        <v>7109</v>
      </c>
      <c r="L4469" t="s">
        <v>53</v>
      </c>
      <c r="P4469" t="s">
        <v>55</v>
      </c>
      <c r="R4469" t="s">
        <v>53</v>
      </c>
      <c r="T4469" t="s">
        <v>7761</v>
      </c>
      <c r="U4469" t="s">
        <v>58</v>
      </c>
      <c r="V4469">
        <v>1</v>
      </c>
      <c r="W4469">
        <v>1</v>
      </c>
      <c r="X4469">
        <v>1</v>
      </c>
      <c r="Y4469">
        <v>0</v>
      </c>
      <c r="Z4469">
        <v>1</v>
      </c>
      <c r="AA4469">
        <v>90.92</v>
      </c>
      <c r="AB4469">
        <v>90.92</v>
      </c>
      <c r="AC4469">
        <v>80</v>
      </c>
      <c r="AD4469">
        <v>0</v>
      </c>
      <c r="AE4469">
        <v>10.92</v>
      </c>
      <c r="AF4469">
        <v>0</v>
      </c>
      <c r="AG4469">
        <v>0</v>
      </c>
      <c r="AH4469">
        <v>0</v>
      </c>
      <c r="AI4469">
        <v>0</v>
      </c>
      <c r="AJ4469">
        <v>90.92</v>
      </c>
      <c r="AK4469">
        <v>0</v>
      </c>
      <c r="AL4469" t="s">
        <v>53</v>
      </c>
      <c r="AM4469" t="s">
        <v>53</v>
      </c>
      <c r="AN4469" t="s">
        <v>53</v>
      </c>
      <c r="AO4469" t="s">
        <v>53</v>
      </c>
      <c r="AP4469" t="s">
        <v>53</v>
      </c>
    </row>
    <row r="4470" spans="2:42" x14ac:dyDescent="0.2">
      <c r="B4470" t="s">
        <v>44</v>
      </c>
      <c r="C4470" t="str">
        <f>HYPERLINK("https://us2.cloudbeds.com/connect/8493803454333002#/reservations/9080486845898149?display=23VB6W3MAU&amp;reservation_id=9080486845898149", "23VB6W3MAU")</f>
        <v>23VB6W3MAU</v>
      </c>
      <c r="D4470" t="s">
        <v>45</v>
      </c>
      <c r="E4470" t="s">
        <v>128</v>
      </c>
      <c r="F4470" t="s">
        <v>86</v>
      </c>
      <c r="G4470" t="s">
        <v>48</v>
      </c>
      <c r="H4470" t="s">
        <v>49</v>
      </c>
      <c r="I4470" t="s">
        <v>50</v>
      </c>
      <c r="J4470" t="s">
        <v>6959</v>
      </c>
      <c r="K4470" t="s">
        <v>6233</v>
      </c>
      <c r="L4470" t="s">
        <v>53</v>
      </c>
      <c r="N4470" t="s">
        <v>7762</v>
      </c>
      <c r="P4470" t="s">
        <v>55</v>
      </c>
      <c r="R4470" t="s">
        <v>53</v>
      </c>
      <c r="T4470" t="s">
        <v>7763</v>
      </c>
      <c r="U4470" t="s">
        <v>58</v>
      </c>
      <c r="V4470">
        <v>1</v>
      </c>
      <c r="W4470">
        <v>1</v>
      </c>
      <c r="X4470">
        <v>3</v>
      </c>
      <c r="Y4470">
        <v>0</v>
      </c>
      <c r="Z4470">
        <v>3</v>
      </c>
      <c r="AA4470">
        <v>180.02</v>
      </c>
      <c r="AB4470">
        <v>180.02</v>
      </c>
      <c r="AC4470">
        <v>158.4</v>
      </c>
      <c r="AD4470">
        <v>0</v>
      </c>
      <c r="AE4470">
        <v>21.62</v>
      </c>
      <c r="AF4470">
        <v>0</v>
      </c>
      <c r="AG4470">
        <v>0</v>
      </c>
      <c r="AH4470">
        <v>0</v>
      </c>
      <c r="AI4470">
        <v>32.4</v>
      </c>
      <c r="AJ4470">
        <v>180.02</v>
      </c>
      <c r="AK4470">
        <v>0</v>
      </c>
      <c r="AL4470" t="s">
        <v>53</v>
      </c>
      <c r="AM4470" t="s">
        <v>53</v>
      </c>
      <c r="AN4470" t="s">
        <v>53</v>
      </c>
      <c r="AO4470" t="s">
        <v>53</v>
      </c>
      <c r="AP4470" t="s">
        <v>53</v>
      </c>
    </row>
    <row r="4471" spans="2:42" x14ac:dyDescent="0.2">
      <c r="B4471" t="s">
        <v>44</v>
      </c>
      <c r="C4471" t="str">
        <f>HYPERLINK("https://us2.cloudbeds.com/connect/8493803454333002#/reservations/9080486845898266?display=23VJSQHF66&amp;reservation_id=9080486845898266", "23VJSQHF66")</f>
        <v>23VJSQHF66</v>
      </c>
      <c r="D4471" t="s">
        <v>45</v>
      </c>
      <c r="E4471" t="s">
        <v>265</v>
      </c>
      <c r="F4471" t="s">
        <v>61</v>
      </c>
      <c r="G4471" t="s">
        <v>48</v>
      </c>
      <c r="H4471" t="s">
        <v>49</v>
      </c>
      <c r="I4471" t="s">
        <v>50</v>
      </c>
      <c r="J4471" t="s">
        <v>6807</v>
      </c>
      <c r="K4471" t="s">
        <v>4159</v>
      </c>
      <c r="L4471" t="s">
        <v>53</v>
      </c>
      <c r="N4471" t="s">
        <v>7764</v>
      </c>
      <c r="P4471" t="s">
        <v>55</v>
      </c>
      <c r="R4471" t="s">
        <v>53</v>
      </c>
      <c r="T4471" t="s">
        <v>7765</v>
      </c>
      <c r="U4471" t="s">
        <v>58</v>
      </c>
      <c r="V4471">
        <v>8</v>
      </c>
      <c r="W4471">
        <v>1</v>
      </c>
      <c r="X4471">
        <v>2</v>
      </c>
      <c r="Y4471">
        <v>0</v>
      </c>
      <c r="Z4471">
        <v>2</v>
      </c>
      <c r="AA4471">
        <v>881.92</v>
      </c>
      <c r="AB4471">
        <v>881.92</v>
      </c>
      <c r="AC4471">
        <v>776</v>
      </c>
      <c r="AD4471">
        <v>0</v>
      </c>
      <c r="AE4471">
        <v>105.92</v>
      </c>
      <c r="AF4471">
        <v>0</v>
      </c>
      <c r="AG4471">
        <v>0</v>
      </c>
      <c r="AH4471">
        <v>0</v>
      </c>
      <c r="AI4471">
        <v>158.75</v>
      </c>
      <c r="AJ4471">
        <v>881.92</v>
      </c>
      <c r="AK4471">
        <v>0</v>
      </c>
      <c r="AL4471" t="s">
        <v>53</v>
      </c>
      <c r="AM4471" t="s">
        <v>53</v>
      </c>
      <c r="AN4471" t="s">
        <v>7766</v>
      </c>
      <c r="AO4471" t="s">
        <v>53</v>
      </c>
      <c r="AP4471" t="s">
        <v>53</v>
      </c>
    </row>
    <row r="4472" spans="2:42" x14ac:dyDescent="0.2">
      <c r="B4472" t="s">
        <v>44</v>
      </c>
      <c r="C4472" t="str">
        <f>HYPERLINK("https://us2.cloudbeds.com/connect/8493803454333002#/reservations/9080486845898332?display=23VNN996NP&amp;reservation_id=9080486845898332", "23VNN996NP")</f>
        <v>23VNN996NP</v>
      </c>
      <c r="D4472" t="s">
        <v>45</v>
      </c>
      <c r="E4472" t="s">
        <v>105</v>
      </c>
      <c r="F4472" t="s">
        <v>47</v>
      </c>
      <c r="G4472" t="s">
        <v>48</v>
      </c>
      <c r="H4472" t="s">
        <v>49</v>
      </c>
      <c r="I4472" t="s">
        <v>50</v>
      </c>
      <c r="J4472" t="s">
        <v>7579</v>
      </c>
      <c r="K4472" t="s">
        <v>6877</v>
      </c>
      <c r="L4472" t="s">
        <v>53</v>
      </c>
      <c r="N4472" t="s">
        <v>7767</v>
      </c>
      <c r="P4472" t="s">
        <v>55</v>
      </c>
      <c r="R4472" t="s">
        <v>53</v>
      </c>
      <c r="T4472" t="s">
        <v>7768</v>
      </c>
      <c r="U4472" t="s">
        <v>58</v>
      </c>
      <c r="V4472">
        <v>2</v>
      </c>
      <c r="W4472">
        <v>1</v>
      </c>
      <c r="X4472">
        <v>2</v>
      </c>
      <c r="Y4472">
        <v>0</v>
      </c>
      <c r="Z4472">
        <v>2</v>
      </c>
      <c r="AA4472">
        <v>163.66</v>
      </c>
      <c r="AB4472">
        <v>163.66</v>
      </c>
      <c r="AC4472">
        <v>144</v>
      </c>
      <c r="AD4472">
        <v>0</v>
      </c>
      <c r="AE4472">
        <v>19.66</v>
      </c>
      <c r="AF4472">
        <v>0</v>
      </c>
      <c r="AG4472">
        <v>0</v>
      </c>
      <c r="AH4472">
        <v>0</v>
      </c>
      <c r="AI4472">
        <v>29.46</v>
      </c>
      <c r="AJ4472">
        <v>163.66</v>
      </c>
      <c r="AK4472">
        <v>0</v>
      </c>
      <c r="AL4472" t="s">
        <v>53</v>
      </c>
      <c r="AM4472" t="s">
        <v>53</v>
      </c>
      <c r="AN4472" t="s">
        <v>53</v>
      </c>
      <c r="AO4472" t="s">
        <v>53</v>
      </c>
      <c r="AP4472" t="s">
        <v>53</v>
      </c>
    </row>
    <row r="4473" spans="2:42" x14ac:dyDescent="0.2">
      <c r="B4473" t="s">
        <v>44</v>
      </c>
      <c r="C4473" t="str">
        <f>HYPERLINK("https://us2.cloudbeds.com/connect/8493803454333002#/reservations/9080486845898339?display=23VZ1T6ZXN&amp;reservation_id=9080486845898339", "23VZ1T6ZXN")</f>
        <v>23VZ1T6ZXN</v>
      </c>
      <c r="D4473" t="s">
        <v>45</v>
      </c>
      <c r="E4473" t="s">
        <v>381</v>
      </c>
      <c r="F4473" t="s">
        <v>47</v>
      </c>
      <c r="G4473" t="s">
        <v>48</v>
      </c>
      <c r="H4473" t="s">
        <v>49</v>
      </c>
      <c r="I4473" t="s">
        <v>62</v>
      </c>
      <c r="J4473" t="s">
        <v>6592</v>
      </c>
      <c r="K4473" t="s">
        <v>6912</v>
      </c>
      <c r="L4473" t="s">
        <v>53</v>
      </c>
      <c r="N4473" t="s">
        <v>7769</v>
      </c>
      <c r="P4473" t="s">
        <v>55</v>
      </c>
      <c r="R4473" t="s">
        <v>56</v>
      </c>
      <c r="T4473" t="s">
        <v>7770</v>
      </c>
      <c r="U4473" t="s">
        <v>55</v>
      </c>
      <c r="V4473">
        <v>1</v>
      </c>
      <c r="W4473">
        <v>1</v>
      </c>
      <c r="X4473">
        <v>2</v>
      </c>
      <c r="Y4473">
        <v>0</v>
      </c>
      <c r="Z4473">
        <v>2</v>
      </c>
      <c r="AA4473">
        <v>88</v>
      </c>
      <c r="AB4473">
        <v>90.71</v>
      </c>
      <c r="AC4473">
        <v>88</v>
      </c>
      <c r="AD4473">
        <v>2.5</v>
      </c>
      <c r="AE4473">
        <v>0.21</v>
      </c>
      <c r="AF4473">
        <v>0</v>
      </c>
      <c r="AG4473">
        <v>0</v>
      </c>
      <c r="AH4473">
        <v>0</v>
      </c>
      <c r="AI4473">
        <v>16.329999999999998</v>
      </c>
      <c r="AJ4473">
        <v>90.71</v>
      </c>
      <c r="AK4473">
        <v>0</v>
      </c>
      <c r="AL4473" t="s">
        <v>53</v>
      </c>
      <c r="AM4473" t="s">
        <v>53</v>
      </c>
      <c r="AN4473" t="s">
        <v>53</v>
      </c>
      <c r="AO4473" t="s">
        <v>53</v>
      </c>
      <c r="AP4473" t="s">
        <v>53</v>
      </c>
    </row>
    <row r="4474" spans="2:42" x14ac:dyDescent="0.2">
      <c r="B4474" t="s">
        <v>44</v>
      </c>
      <c r="C4474" t="str">
        <f>HYPERLINK("https://us2.cloudbeds.com/connect/8493803454333002#/reservations/9080486845898375?display=23VPF8X08Y&amp;reservation_id=9080486845898375", "23VPF8X08Y")</f>
        <v>23VPF8X08Y</v>
      </c>
      <c r="D4474" t="s">
        <v>45</v>
      </c>
      <c r="E4474" t="s">
        <v>78</v>
      </c>
      <c r="F4474" t="s">
        <v>61</v>
      </c>
      <c r="G4474" t="s">
        <v>48</v>
      </c>
      <c r="H4474" t="s">
        <v>49</v>
      </c>
      <c r="I4474" t="s">
        <v>50</v>
      </c>
      <c r="J4474" t="s">
        <v>6234</v>
      </c>
      <c r="K4474" t="s">
        <v>6819</v>
      </c>
      <c r="L4474" t="s">
        <v>53</v>
      </c>
      <c r="N4474" t="s">
        <v>7771</v>
      </c>
      <c r="P4474" t="s">
        <v>55</v>
      </c>
      <c r="R4474" t="s">
        <v>53</v>
      </c>
      <c r="T4474" t="s">
        <v>7772</v>
      </c>
      <c r="U4474" t="s">
        <v>58</v>
      </c>
      <c r="V4474">
        <v>2</v>
      </c>
      <c r="W4474">
        <v>1</v>
      </c>
      <c r="X4474">
        <v>2</v>
      </c>
      <c r="Y4474">
        <v>0</v>
      </c>
      <c r="Z4474">
        <v>2</v>
      </c>
      <c r="AA4474">
        <v>204.05</v>
      </c>
      <c r="AB4474">
        <v>204.05</v>
      </c>
      <c r="AC4474">
        <v>179.55</v>
      </c>
      <c r="AD4474">
        <v>0</v>
      </c>
      <c r="AE4474">
        <v>24.5</v>
      </c>
      <c r="AF4474">
        <v>0</v>
      </c>
      <c r="AG4474">
        <v>0</v>
      </c>
      <c r="AH4474">
        <v>0</v>
      </c>
      <c r="AI4474">
        <v>36.729999999999997</v>
      </c>
      <c r="AJ4474">
        <v>204.05</v>
      </c>
      <c r="AK4474">
        <v>0</v>
      </c>
      <c r="AL4474" t="s">
        <v>53</v>
      </c>
      <c r="AM4474" t="s">
        <v>53</v>
      </c>
      <c r="AN4474" t="s">
        <v>53</v>
      </c>
      <c r="AO4474" t="s">
        <v>53</v>
      </c>
      <c r="AP4474" t="s">
        <v>53</v>
      </c>
    </row>
    <row r="4475" spans="2:42" x14ac:dyDescent="0.2">
      <c r="B4475" t="s">
        <v>44</v>
      </c>
      <c r="C4475" t="str">
        <f>HYPERLINK("https://us2.cloudbeds.com/connect/8493803454333002#/reservations/98401735422098?display=23VTNDPS4J&amp;reservation_id=98401735422098", "23VTNDPS4J")</f>
        <v>23VTNDPS4J</v>
      </c>
      <c r="D4475" t="s">
        <v>45</v>
      </c>
      <c r="E4475" t="s">
        <v>373</v>
      </c>
      <c r="F4475" t="s">
        <v>47</v>
      </c>
      <c r="G4475" t="s">
        <v>48</v>
      </c>
      <c r="H4475" t="s">
        <v>3957</v>
      </c>
      <c r="I4475" t="s">
        <v>3958</v>
      </c>
      <c r="J4475" t="s">
        <v>6592</v>
      </c>
      <c r="K4475" t="s">
        <v>7579</v>
      </c>
      <c r="L4475" t="s">
        <v>53</v>
      </c>
      <c r="P4475" t="s">
        <v>55</v>
      </c>
      <c r="R4475" t="s">
        <v>56</v>
      </c>
      <c r="T4475" t="s">
        <v>7773</v>
      </c>
      <c r="U4475" t="s">
        <v>58</v>
      </c>
      <c r="V4475">
        <v>2</v>
      </c>
      <c r="W4475">
        <v>1</v>
      </c>
      <c r="X4475">
        <v>1</v>
      </c>
      <c r="Y4475">
        <v>0</v>
      </c>
      <c r="Z4475">
        <v>1</v>
      </c>
      <c r="AA4475">
        <v>193.21</v>
      </c>
      <c r="AB4475">
        <v>193.21</v>
      </c>
      <c r="AC4475">
        <v>170</v>
      </c>
      <c r="AD4475">
        <v>0</v>
      </c>
      <c r="AE4475">
        <v>23.21</v>
      </c>
      <c r="AF4475">
        <v>0</v>
      </c>
      <c r="AG4475">
        <v>0</v>
      </c>
      <c r="AH4475">
        <v>0</v>
      </c>
      <c r="AI4475">
        <v>0</v>
      </c>
      <c r="AJ4475">
        <v>193.21</v>
      </c>
      <c r="AK4475">
        <v>0</v>
      </c>
      <c r="AL4475" t="s">
        <v>53</v>
      </c>
      <c r="AM4475" t="s">
        <v>53</v>
      </c>
      <c r="AN4475" t="s">
        <v>53</v>
      </c>
      <c r="AO4475" t="s">
        <v>53</v>
      </c>
      <c r="AP4475" t="s">
        <v>53</v>
      </c>
    </row>
    <row r="4476" spans="2:42" x14ac:dyDescent="0.2">
      <c r="B4476" t="s">
        <v>44</v>
      </c>
      <c r="C4476" t="str">
        <f>HYPERLINK("https://us2.cloudbeds.com/connect/8493803454333002#/reservations/98429315023057?display=23WX24KTS6&amp;reservation_id=98429315023057", "23WX24KTS6")</f>
        <v>23WX24KTS6</v>
      </c>
      <c r="D4476" t="s">
        <v>45</v>
      </c>
      <c r="E4476" t="s">
        <v>213</v>
      </c>
      <c r="F4476" t="s">
        <v>86</v>
      </c>
      <c r="G4476" t="s">
        <v>48</v>
      </c>
      <c r="H4476" t="s">
        <v>3957</v>
      </c>
      <c r="I4476" t="s">
        <v>3958</v>
      </c>
      <c r="J4476" t="s">
        <v>4768</v>
      </c>
      <c r="K4476" t="s">
        <v>6586</v>
      </c>
      <c r="L4476" t="s">
        <v>53</v>
      </c>
      <c r="O4476" t="s">
        <v>6056</v>
      </c>
      <c r="P4476" t="s">
        <v>58</v>
      </c>
      <c r="R4476" t="s">
        <v>56</v>
      </c>
      <c r="T4476" t="s">
        <v>7774</v>
      </c>
      <c r="U4476" t="s">
        <v>58</v>
      </c>
      <c r="V4476">
        <v>1</v>
      </c>
      <c r="W4476">
        <v>1</v>
      </c>
      <c r="X4476">
        <v>1</v>
      </c>
      <c r="Y4476">
        <v>0</v>
      </c>
      <c r="Z4476">
        <v>1</v>
      </c>
      <c r="AA4476">
        <v>0</v>
      </c>
      <c r="AB4476">
        <v>0</v>
      </c>
      <c r="AC4476">
        <v>0</v>
      </c>
      <c r="AD4476">
        <v>0</v>
      </c>
      <c r="AE4476">
        <v>0</v>
      </c>
      <c r="AF4476">
        <v>0</v>
      </c>
      <c r="AG4476">
        <v>0</v>
      </c>
      <c r="AH4476">
        <v>0</v>
      </c>
      <c r="AI4476">
        <v>0</v>
      </c>
      <c r="AJ4476">
        <v>0</v>
      </c>
      <c r="AK4476">
        <v>0</v>
      </c>
      <c r="AL4476" t="s">
        <v>53</v>
      </c>
      <c r="AM4476" t="s">
        <v>53</v>
      </c>
      <c r="AN4476" t="s">
        <v>53</v>
      </c>
      <c r="AO4476" t="s">
        <v>53</v>
      </c>
      <c r="AP4476" t="s">
        <v>53</v>
      </c>
    </row>
    <row r="4477" spans="2:42" x14ac:dyDescent="0.2">
      <c r="B4477" t="s">
        <v>44</v>
      </c>
      <c r="C4477" t="str">
        <f>HYPERLINK("https://us2.cloudbeds.com/connect/8493803454333002#/reservations/9080486845898960?display=23WT4RQR47&amp;reservation_id=9080486845898960", "23WT4RQR47")</f>
        <v>23WT4RQR47</v>
      </c>
      <c r="D4477" t="s">
        <v>45</v>
      </c>
      <c r="E4477" t="s">
        <v>138</v>
      </c>
      <c r="F4477" t="s">
        <v>70</v>
      </c>
      <c r="G4477" t="s">
        <v>48</v>
      </c>
      <c r="H4477" t="s">
        <v>49</v>
      </c>
      <c r="I4477" t="s">
        <v>62</v>
      </c>
      <c r="J4477" t="s">
        <v>6885</v>
      </c>
      <c r="K4477" t="s">
        <v>6999</v>
      </c>
      <c r="L4477" t="s">
        <v>53</v>
      </c>
      <c r="N4477" t="s">
        <v>7775</v>
      </c>
      <c r="P4477" t="s">
        <v>55</v>
      </c>
      <c r="R4477" t="s">
        <v>56</v>
      </c>
      <c r="T4477" t="s">
        <v>7776</v>
      </c>
      <c r="U4477" t="s">
        <v>55</v>
      </c>
      <c r="V4477">
        <v>1</v>
      </c>
      <c r="W4477">
        <v>1</v>
      </c>
      <c r="X4477">
        <v>2</v>
      </c>
      <c r="Y4477">
        <v>0</v>
      </c>
      <c r="Z4477">
        <v>2</v>
      </c>
      <c r="AA4477">
        <v>95</v>
      </c>
      <c r="AB4477">
        <v>95</v>
      </c>
      <c r="AC4477">
        <v>95</v>
      </c>
      <c r="AD4477">
        <v>0</v>
      </c>
      <c r="AE4477">
        <v>0</v>
      </c>
      <c r="AF4477">
        <v>0</v>
      </c>
      <c r="AG4477">
        <v>0</v>
      </c>
      <c r="AH4477">
        <v>0</v>
      </c>
      <c r="AI4477">
        <v>17.100000000000001</v>
      </c>
      <c r="AJ4477">
        <v>95</v>
      </c>
      <c r="AK4477">
        <v>0</v>
      </c>
      <c r="AL4477" t="s">
        <v>53</v>
      </c>
      <c r="AM4477" t="s">
        <v>53</v>
      </c>
      <c r="AN4477" t="s">
        <v>53</v>
      </c>
      <c r="AO4477" t="s">
        <v>53</v>
      </c>
      <c r="AP4477" t="s">
        <v>53</v>
      </c>
    </row>
    <row r="4478" spans="2:42" x14ac:dyDescent="0.2">
      <c r="B4478" t="s">
        <v>44</v>
      </c>
      <c r="C4478" t="str">
        <f>HYPERLINK("https://us2.cloudbeds.com/connect/8493803454333002#/reservations/9080486845901477?display=2449RBAMVG&amp;reservation_id=9080486845901477", "2449RBAMVG")</f>
        <v>2449RBAMVG</v>
      </c>
      <c r="D4478" t="s">
        <v>45</v>
      </c>
      <c r="E4478" t="s">
        <v>381</v>
      </c>
      <c r="F4478" t="s">
        <v>47</v>
      </c>
      <c r="G4478" t="s">
        <v>48</v>
      </c>
      <c r="H4478" t="s">
        <v>49</v>
      </c>
      <c r="I4478" t="s">
        <v>50</v>
      </c>
      <c r="J4478" t="s">
        <v>6912</v>
      </c>
      <c r="K4478" t="s">
        <v>6877</v>
      </c>
      <c r="L4478" t="s">
        <v>53</v>
      </c>
      <c r="N4478" t="s">
        <v>7777</v>
      </c>
      <c r="P4478" t="s">
        <v>55</v>
      </c>
      <c r="R4478" t="s">
        <v>53</v>
      </c>
      <c r="T4478" t="s">
        <v>7778</v>
      </c>
      <c r="U4478" t="s">
        <v>58</v>
      </c>
      <c r="V4478">
        <v>3</v>
      </c>
      <c r="W4478">
        <v>1</v>
      </c>
      <c r="X4478">
        <v>2</v>
      </c>
      <c r="Y4478">
        <v>0</v>
      </c>
      <c r="Z4478">
        <v>2</v>
      </c>
      <c r="AA4478">
        <v>245.49</v>
      </c>
      <c r="AB4478">
        <v>248.2</v>
      </c>
      <c r="AC4478">
        <v>216</v>
      </c>
      <c r="AD4478">
        <v>2.5</v>
      </c>
      <c r="AE4478">
        <v>29.7</v>
      </c>
      <c r="AF4478">
        <v>0</v>
      </c>
      <c r="AG4478">
        <v>0</v>
      </c>
      <c r="AH4478">
        <v>0</v>
      </c>
      <c r="AI4478">
        <v>44.68</v>
      </c>
      <c r="AJ4478">
        <v>248.2</v>
      </c>
      <c r="AK4478">
        <v>0</v>
      </c>
      <c r="AL4478" t="s">
        <v>53</v>
      </c>
      <c r="AM4478" t="s">
        <v>53</v>
      </c>
      <c r="AN4478" t="s">
        <v>53</v>
      </c>
      <c r="AO4478" t="s">
        <v>53</v>
      </c>
      <c r="AP4478" t="s">
        <v>53</v>
      </c>
    </row>
    <row r="4479" spans="2:42" x14ac:dyDescent="0.2">
      <c r="B4479" t="s">
        <v>44</v>
      </c>
      <c r="C4479" t="str">
        <f>HYPERLINK("https://us2.cloudbeds.com/connect/8493803454333002#/reservations/9080486845902782?display=245FHX6YZM&amp;reservation_id=9080486845902782", "245FHX6YZM")</f>
        <v>245FHX6YZM</v>
      </c>
      <c r="D4479" t="s">
        <v>602</v>
      </c>
      <c r="E4479" t="s">
        <v>53</v>
      </c>
      <c r="F4479" t="s">
        <v>61</v>
      </c>
      <c r="G4479" t="s">
        <v>48</v>
      </c>
      <c r="H4479" t="s">
        <v>49</v>
      </c>
      <c r="I4479" t="s">
        <v>50</v>
      </c>
      <c r="J4479" t="s">
        <v>7579</v>
      </c>
      <c r="K4479" t="s">
        <v>7109</v>
      </c>
      <c r="L4479" t="s">
        <v>53</v>
      </c>
      <c r="N4479" t="s">
        <v>7779</v>
      </c>
      <c r="P4479" t="s">
        <v>55</v>
      </c>
      <c r="R4479" t="s">
        <v>53</v>
      </c>
      <c r="T4479" t="s">
        <v>7780</v>
      </c>
      <c r="U4479" t="s">
        <v>58</v>
      </c>
      <c r="V4479">
        <v>1</v>
      </c>
      <c r="W4479">
        <v>1</v>
      </c>
      <c r="X4479">
        <v>2</v>
      </c>
      <c r="Y4479">
        <v>0</v>
      </c>
      <c r="Z4479">
        <v>2</v>
      </c>
      <c r="AA4479">
        <v>96.61</v>
      </c>
      <c r="AB4479">
        <v>0</v>
      </c>
      <c r="AC4479">
        <v>85</v>
      </c>
      <c r="AD4479">
        <v>0</v>
      </c>
      <c r="AE4479">
        <v>11.61</v>
      </c>
      <c r="AF4479">
        <v>0</v>
      </c>
      <c r="AG4479">
        <v>0</v>
      </c>
      <c r="AH4479">
        <v>0</v>
      </c>
      <c r="AI4479">
        <v>17.39</v>
      </c>
      <c r="AJ4479">
        <v>96.61</v>
      </c>
      <c r="AK4479">
        <v>96.61</v>
      </c>
      <c r="AL4479">
        <v>85</v>
      </c>
      <c r="AM4479">
        <v>96.61</v>
      </c>
      <c r="AN4479" t="s">
        <v>53</v>
      </c>
      <c r="AO4479" t="s">
        <v>53</v>
      </c>
      <c r="AP4479" t="s">
        <v>53</v>
      </c>
    </row>
    <row r="4480" spans="2:42" x14ac:dyDescent="0.2">
      <c r="B4480" t="s">
        <v>44</v>
      </c>
      <c r="C4480" t="str">
        <f>HYPERLINK("https://us2.cloudbeds.com/connect/8493803454333002#/reservations/9080486845903354?display=2460XJF933&amp;reservation_id=9080486845903354", "2460XJF933")</f>
        <v>2460XJF933</v>
      </c>
      <c r="D4480" t="s">
        <v>45</v>
      </c>
      <c r="E4480" t="s">
        <v>110</v>
      </c>
      <c r="F4480" t="s">
        <v>47</v>
      </c>
      <c r="G4480" t="s">
        <v>48</v>
      </c>
      <c r="H4480" t="s">
        <v>49</v>
      </c>
      <c r="I4480" t="s">
        <v>62</v>
      </c>
      <c r="J4480" t="s">
        <v>7109</v>
      </c>
      <c r="K4480" t="s">
        <v>6877</v>
      </c>
      <c r="L4480" t="s">
        <v>53</v>
      </c>
      <c r="N4480" t="s">
        <v>7781</v>
      </c>
      <c r="P4480" t="s">
        <v>55</v>
      </c>
      <c r="R4480" t="s">
        <v>56</v>
      </c>
      <c r="T4480" t="s">
        <v>7782</v>
      </c>
      <c r="U4480" t="s">
        <v>55</v>
      </c>
      <c r="V4480">
        <v>1</v>
      </c>
      <c r="W4480">
        <v>1</v>
      </c>
      <c r="X4480">
        <v>2</v>
      </c>
      <c r="Y4480">
        <v>0</v>
      </c>
      <c r="Z4480">
        <v>2</v>
      </c>
      <c r="AA4480">
        <v>80</v>
      </c>
      <c r="AB4480">
        <v>80</v>
      </c>
      <c r="AC4480">
        <v>80</v>
      </c>
      <c r="AD4480">
        <v>0</v>
      </c>
      <c r="AE4480">
        <v>0</v>
      </c>
      <c r="AF4480">
        <v>0</v>
      </c>
      <c r="AG4480">
        <v>0</v>
      </c>
      <c r="AH4480">
        <v>0</v>
      </c>
      <c r="AI4480">
        <v>14.4</v>
      </c>
      <c r="AJ4480">
        <v>80</v>
      </c>
      <c r="AK4480">
        <v>0</v>
      </c>
      <c r="AL4480" t="s">
        <v>53</v>
      </c>
      <c r="AM4480" t="s">
        <v>53</v>
      </c>
      <c r="AN4480" t="s">
        <v>53</v>
      </c>
      <c r="AO4480" t="s">
        <v>53</v>
      </c>
      <c r="AP4480" t="s">
        <v>53</v>
      </c>
    </row>
    <row r="4481" spans="2:42" x14ac:dyDescent="0.2">
      <c r="B4481" t="s">
        <v>44</v>
      </c>
      <c r="C4481" t="str">
        <f>HYPERLINK("https://us2.cloudbeds.com/connect/8493803454333002#/reservations/9080486845903511?display=2467GEPX4W&amp;reservation_id=9080486845903511", "2467GEPX4W")</f>
        <v>2467GEPX4W</v>
      </c>
      <c r="D4481" t="s">
        <v>45</v>
      </c>
      <c r="E4481" t="s">
        <v>105</v>
      </c>
      <c r="F4481" t="s">
        <v>47</v>
      </c>
      <c r="G4481" t="s">
        <v>48</v>
      </c>
      <c r="H4481" t="s">
        <v>49</v>
      </c>
      <c r="I4481" t="s">
        <v>50</v>
      </c>
      <c r="J4481" t="s">
        <v>6586</v>
      </c>
      <c r="K4481" t="s">
        <v>5967</v>
      </c>
      <c r="L4481" t="s">
        <v>53</v>
      </c>
      <c r="N4481" t="s">
        <v>7783</v>
      </c>
      <c r="P4481" t="s">
        <v>55</v>
      </c>
      <c r="R4481" t="s">
        <v>53</v>
      </c>
      <c r="T4481" t="s">
        <v>7784</v>
      </c>
      <c r="U4481" t="s">
        <v>58</v>
      </c>
      <c r="V4481">
        <v>1</v>
      </c>
      <c r="W4481">
        <v>1</v>
      </c>
      <c r="X4481">
        <v>2</v>
      </c>
      <c r="Y4481">
        <v>0</v>
      </c>
      <c r="Z4481">
        <v>2</v>
      </c>
      <c r="AA4481">
        <v>84.53</v>
      </c>
      <c r="AB4481">
        <v>84.53</v>
      </c>
      <c r="AC4481">
        <v>74.38</v>
      </c>
      <c r="AD4481">
        <v>0</v>
      </c>
      <c r="AE4481">
        <v>10.15</v>
      </c>
      <c r="AF4481">
        <v>0</v>
      </c>
      <c r="AG4481">
        <v>0</v>
      </c>
      <c r="AH4481">
        <v>0</v>
      </c>
      <c r="AI4481">
        <v>15.22</v>
      </c>
      <c r="AJ4481">
        <v>84.53</v>
      </c>
      <c r="AK4481">
        <v>0</v>
      </c>
      <c r="AL4481" t="s">
        <v>53</v>
      </c>
      <c r="AM4481" t="s">
        <v>53</v>
      </c>
      <c r="AN4481" t="s">
        <v>53</v>
      </c>
      <c r="AO4481" t="s">
        <v>53</v>
      </c>
      <c r="AP4481" t="s">
        <v>53</v>
      </c>
    </row>
    <row r="4482" spans="2:42" x14ac:dyDescent="0.2">
      <c r="B4482" t="s">
        <v>44</v>
      </c>
      <c r="C4482" t="str">
        <f>HYPERLINK("https://us2.cloudbeds.com/connect/8493803454333002#/reservations/9080486845903520?display=2467SDSZNZ&amp;reservation_id=9080486845903520", "2467SDSZNZ")</f>
        <v>2467SDSZNZ</v>
      </c>
      <c r="D4482" t="s">
        <v>45</v>
      </c>
      <c r="E4482" t="s">
        <v>190</v>
      </c>
      <c r="F4482" t="s">
        <v>61</v>
      </c>
      <c r="G4482" t="s">
        <v>48</v>
      </c>
      <c r="H4482" t="s">
        <v>49</v>
      </c>
      <c r="I4482" t="s">
        <v>50</v>
      </c>
      <c r="J4482" t="s">
        <v>5430</v>
      </c>
      <c r="K4482" t="s">
        <v>6335</v>
      </c>
      <c r="L4482" t="s">
        <v>53</v>
      </c>
      <c r="N4482" t="s">
        <v>7785</v>
      </c>
      <c r="P4482" t="s">
        <v>55</v>
      </c>
      <c r="R4482" t="s">
        <v>53</v>
      </c>
      <c r="T4482" t="s">
        <v>7786</v>
      </c>
      <c r="U4482" t="s">
        <v>58</v>
      </c>
      <c r="V4482">
        <v>2</v>
      </c>
      <c r="W4482">
        <v>1</v>
      </c>
      <c r="X4482">
        <v>2</v>
      </c>
      <c r="Y4482">
        <v>0</v>
      </c>
      <c r="Z4482">
        <v>2</v>
      </c>
      <c r="AA4482">
        <v>296.56</v>
      </c>
      <c r="AB4482">
        <v>296.56</v>
      </c>
      <c r="AC4482">
        <v>260.95</v>
      </c>
      <c r="AD4482">
        <v>0</v>
      </c>
      <c r="AE4482">
        <v>35.61</v>
      </c>
      <c r="AF4482">
        <v>0</v>
      </c>
      <c r="AG4482">
        <v>0</v>
      </c>
      <c r="AH4482">
        <v>0</v>
      </c>
      <c r="AI4482">
        <v>53.38</v>
      </c>
      <c r="AJ4482">
        <v>296.56</v>
      </c>
      <c r="AK4482">
        <v>0</v>
      </c>
      <c r="AL4482" t="s">
        <v>53</v>
      </c>
      <c r="AM4482" t="s">
        <v>53</v>
      </c>
      <c r="AN4482" t="s">
        <v>53</v>
      </c>
      <c r="AO4482" t="s">
        <v>53</v>
      </c>
      <c r="AP4482" t="s">
        <v>53</v>
      </c>
    </row>
    <row r="4483" spans="2:42" x14ac:dyDescent="0.2">
      <c r="B4483" t="s">
        <v>44</v>
      </c>
      <c r="C4483" t="str">
        <f>HYPERLINK("https://us2.cloudbeds.com/connect/8493803454333002#/reservations/9080486845903631?display=246CP7R4C0&amp;reservation_id=9080486845903631", "246CP7R4C0")</f>
        <v>246CP7R4C0</v>
      </c>
      <c r="D4483" t="s">
        <v>45</v>
      </c>
      <c r="E4483" t="s">
        <v>85</v>
      </c>
      <c r="F4483" t="s">
        <v>86</v>
      </c>
      <c r="G4483" t="s">
        <v>48</v>
      </c>
      <c r="H4483" t="s">
        <v>49</v>
      </c>
      <c r="I4483" t="s">
        <v>50</v>
      </c>
      <c r="J4483" t="s">
        <v>6586</v>
      </c>
      <c r="K4483" t="s">
        <v>5430</v>
      </c>
      <c r="L4483" t="s">
        <v>53</v>
      </c>
      <c r="N4483" t="s">
        <v>7787</v>
      </c>
      <c r="P4483" t="s">
        <v>55</v>
      </c>
      <c r="R4483" t="s">
        <v>53</v>
      </c>
      <c r="T4483" t="s">
        <v>7788</v>
      </c>
      <c r="U4483" t="s">
        <v>58</v>
      </c>
      <c r="V4483">
        <v>2</v>
      </c>
      <c r="W4483">
        <v>1</v>
      </c>
      <c r="X4483">
        <v>2</v>
      </c>
      <c r="Y4483">
        <v>0</v>
      </c>
      <c r="Z4483">
        <v>2</v>
      </c>
      <c r="AA4483">
        <v>268.23</v>
      </c>
      <c r="AB4483">
        <v>268.23</v>
      </c>
      <c r="AC4483">
        <v>236</v>
      </c>
      <c r="AD4483">
        <v>0</v>
      </c>
      <c r="AE4483">
        <v>32.229999999999997</v>
      </c>
      <c r="AF4483">
        <v>0</v>
      </c>
      <c r="AG4483">
        <v>0</v>
      </c>
      <c r="AH4483">
        <v>0</v>
      </c>
      <c r="AI4483">
        <v>48.28</v>
      </c>
      <c r="AJ4483">
        <v>268.23</v>
      </c>
      <c r="AK4483">
        <v>0</v>
      </c>
      <c r="AL4483" t="s">
        <v>53</v>
      </c>
      <c r="AM4483" t="s">
        <v>53</v>
      </c>
      <c r="AN4483" t="s">
        <v>53</v>
      </c>
      <c r="AO4483" t="s">
        <v>53</v>
      </c>
      <c r="AP4483" t="s">
        <v>53</v>
      </c>
    </row>
    <row r="4484" spans="2:42" x14ac:dyDescent="0.2">
      <c r="B4484" t="s">
        <v>44</v>
      </c>
      <c r="C4484" t="str">
        <f>HYPERLINK("https://us2.cloudbeds.com/connect/8493803454333002#/reservations/9080486845903732?display=246X6U8BM9&amp;reservation_id=9080486845903732", "246X6U8BM9")</f>
        <v>246X6U8BM9</v>
      </c>
      <c r="D4484" t="s">
        <v>45</v>
      </c>
      <c r="E4484" t="s">
        <v>406</v>
      </c>
      <c r="F4484" t="s">
        <v>61</v>
      </c>
      <c r="G4484" t="s">
        <v>48</v>
      </c>
      <c r="H4484" t="s">
        <v>49</v>
      </c>
      <c r="I4484" t="s">
        <v>50</v>
      </c>
      <c r="J4484" t="s">
        <v>7078</v>
      </c>
      <c r="K4484" t="s">
        <v>6855</v>
      </c>
      <c r="L4484" t="s">
        <v>53</v>
      </c>
      <c r="N4484" t="s">
        <v>7789</v>
      </c>
      <c r="P4484" t="s">
        <v>55</v>
      </c>
      <c r="R4484" t="s">
        <v>53</v>
      </c>
      <c r="T4484" t="s">
        <v>7790</v>
      </c>
      <c r="U4484" t="s">
        <v>58</v>
      </c>
      <c r="V4484">
        <v>1</v>
      </c>
      <c r="W4484">
        <v>1</v>
      </c>
      <c r="X4484">
        <v>2</v>
      </c>
      <c r="Y4484">
        <v>0</v>
      </c>
      <c r="Z4484">
        <v>2</v>
      </c>
      <c r="AA4484">
        <v>94.55</v>
      </c>
      <c r="AB4484">
        <v>94.55</v>
      </c>
      <c r="AC4484">
        <v>83.2</v>
      </c>
      <c r="AD4484">
        <v>0</v>
      </c>
      <c r="AE4484">
        <v>11.35</v>
      </c>
      <c r="AF4484">
        <v>0</v>
      </c>
      <c r="AG4484">
        <v>0</v>
      </c>
      <c r="AH4484">
        <v>0</v>
      </c>
      <c r="AI4484">
        <v>17.02</v>
      </c>
      <c r="AJ4484">
        <v>94.55</v>
      </c>
      <c r="AK4484">
        <v>0</v>
      </c>
      <c r="AL4484" t="s">
        <v>53</v>
      </c>
      <c r="AM4484" t="s">
        <v>53</v>
      </c>
      <c r="AN4484" t="s">
        <v>53</v>
      </c>
      <c r="AO4484" t="s">
        <v>53</v>
      </c>
      <c r="AP4484" t="s">
        <v>53</v>
      </c>
    </row>
    <row r="4485" spans="2:42" x14ac:dyDescent="0.2">
      <c r="B4485" t="s">
        <v>44</v>
      </c>
      <c r="C4485" t="str">
        <f>HYPERLINK("https://us2.cloudbeds.com/connect/8493803454333002#/reservations/9080486845903735?display=246X9KN0NN&amp;reservation_id=9080486845903735", "246X9KN0NN")</f>
        <v>246X9KN0NN</v>
      </c>
      <c r="D4485" t="s">
        <v>45</v>
      </c>
      <c r="E4485" t="s">
        <v>265</v>
      </c>
      <c r="F4485" t="s">
        <v>61</v>
      </c>
      <c r="G4485" t="s">
        <v>48</v>
      </c>
      <c r="H4485" t="s">
        <v>49</v>
      </c>
      <c r="I4485" t="s">
        <v>50</v>
      </c>
      <c r="J4485" t="s">
        <v>7078</v>
      </c>
      <c r="K4485" t="s">
        <v>6855</v>
      </c>
      <c r="L4485" t="s">
        <v>53</v>
      </c>
      <c r="N4485" t="s">
        <v>7791</v>
      </c>
      <c r="P4485" t="s">
        <v>55</v>
      </c>
      <c r="R4485" t="s">
        <v>53</v>
      </c>
      <c r="T4485" t="s">
        <v>7792</v>
      </c>
      <c r="U4485" t="s">
        <v>58</v>
      </c>
      <c r="V4485">
        <v>1</v>
      </c>
      <c r="W4485">
        <v>1</v>
      </c>
      <c r="X4485">
        <v>2</v>
      </c>
      <c r="Y4485">
        <v>0</v>
      </c>
      <c r="Z4485">
        <v>2</v>
      </c>
      <c r="AA4485">
        <v>94.55</v>
      </c>
      <c r="AB4485">
        <v>94.55</v>
      </c>
      <c r="AC4485">
        <v>83.2</v>
      </c>
      <c r="AD4485">
        <v>0</v>
      </c>
      <c r="AE4485">
        <v>11.35</v>
      </c>
      <c r="AF4485">
        <v>0</v>
      </c>
      <c r="AG4485">
        <v>0</v>
      </c>
      <c r="AH4485">
        <v>0</v>
      </c>
      <c r="AI4485">
        <v>17.02</v>
      </c>
      <c r="AJ4485">
        <v>94.55</v>
      </c>
      <c r="AK4485">
        <v>0</v>
      </c>
      <c r="AL4485" t="s">
        <v>53</v>
      </c>
      <c r="AM4485" t="s">
        <v>53</v>
      </c>
      <c r="AN4485" t="s">
        <v>53</v>
      </c>
      <c r="AO4485" t="s">
        <v>53</v>
      </c>
      <c r="AP4485" t="s">
        <v>53</v>
      </c>
    </row>
    <row r="4486" spans="2:42" x14ac:dyDescent="0.2">
      <c r="B4486" t="s">
        <v>44</v>
      </c>
      <c r="C4486" t="str">
        <f>HYPERLINK("https://us2.cloudbeds.com/connect/8493803454333002#/reservations/9080486845904084?display=24761GQZND&amp;reservation_id=9080486845904084", "24761GQZND")</f>
        <v>24761GQZND</v>
      </c>
      <c r="D4486" t="s">
        <v>45</v>
      </c>
      <c r="E4486" t="s">
        <v>105</v>
      </c>
      <c r="F4486" t="s">
        <v>47</v>
      </c>
      <c r="G4486" t="s">
        <v>48</v>
      </c>
      <c r="H4486" t="s">
        <v>49</v>
      </c>
      <c r="I4486" t="s">
        <v>62</v>
      </c>
      <c r="J4486" t="s">
        <v>6912</v>
      </c>
      <c r="K4486" t="s">
        <v>7579</v>
      </c>
      <c r="L4486" t="s">
        <v>53</v>
      </c>
      <c r="N4486" t="s">
        <v>7793</v>
      </c>
      <c r="P4486" t="s">
        <v>55</v>
      </c>
      <c r="R4486" t="s">
        <v>56</v>
      </c>
      <c r="T4486" t="s">
        <v>7794</v>
      </c>
      <c r="U4486" t="s">
        <v>55</v>
      </c>
      <c r="V4486">
        <v>1</v>
      </c>
      <c r="W4486">
        <v>1</v>
      </c>
      <c r="X4486">
        <v>2</v>
      </c>
      <c r="Y4486">
        <v>0</v>
      </c>
      <c r="Z4486">
        <v>2</v>
      </c>
      <c r="AA4486">
        <v>80</v>
      </c>
      <c r="AB4486">
        <v>80</v>
      </c>
      <c r="AC4486">
        <v>80</v>
      </c>
      <c r="AD4486">
        <v>0</v>
      </c>
      <c r="AE4486">
        <v>0</v>
      </c>
      <c r="AF4486">
        <v>0</v>
      </c>
      <c r="AG4486">
        <v>0</v>
      </c>
      <c r="AH4486">
        <v>0</v>
      </c>
      <c r="AI4486">
        <v>14.4</v>
      </c>
      <c r="AJ4486">
        <v>80</v>
      </c>
      <c r="AK4486">
        <v>0</v>
      </c>
      <c r="AL4486" t="s">
        <v>53</v>
      </c>
      <c r="AM4486" t="s">
        <v>53</v>
      </c>
      <c r="AN4486" t="s">
        <v>53</v>
      </c>
      <c r="AO4486" t="s">
        <v>53</v>
      </c>
      <c r="AP4486" t="s">
        <v>53</v>
      </c>
    </row>
    <row r="4487" spans="2:42" x14ac:dyDescent="0.2">
      <c r="B4487" t="s">
        <v>44</v>
      </c>
      <c r="C4487" t="str">
        <f>HYPERLINK("https://us2.cloudbeds.com/connect/8493803454333002#/reservations/9080486845904167?display=247AMSSUXD&amp;reservation_id=9080486845904167", "247AMSSUXD")</f>
        <v>247AMSSUXD</v>
      </c>
      <c r="D4487" t="s">
        <v>45</v>
      </c>
      <c r="E4487" t="s">
        <v>138</v>
      </c>
      <c r="F4487" t="s">
        <v>70</v>
      </c>
      <c r="G4487" t="s">
        <v>48</v>
      </c>
      <c r="H4487" t="s">
        <v>49</v>
      </c>
      <c r="I4487" t="s">
        <v>50</v>
      </c>
      <c r="J4487" t="s">
        <v>7294</v>
      </c>
      <c r="K4487" t="s">
        <v>5743</v>
      </c>
      <c r="L4487" t="s">
        <v>53</v>
      </c>
      <c r="N4487" t="s">
        <v>7795</v>
      </c>
      <c r="P4487" t="s">
        <v>55</v>
      </c>
      <c r="R4487" t="s">
        <v>56</v>
      </c>
      <c r="T4487" t="s">
        <v>7796</v>
      </c>
      <c r="U4487" t="s">
        <v>58</v>
      </c>
      <c r="V4487">
        <v>1</v>
      </c>
      <c r="W4487">
        <v>1</v>
      </c>
      <c r="X4487">
        <v>2</v>
      </c>
      <c r="Y4487">
        <v>0</v>
      </c>
      <c r="Z4487">
        <v>2</v>
      </c>
      <c r="AA4487">
        <v>250.03</v>
      </c>
      <c r="AB4487">
        <v>250.03</v>
      </c>
      <c r="AC4487">
        <v>220</v>
      </c>
      <c r="AD4487">
        <v>0</v>
      </c>
      <c r="AE4487">
        <v>30.03</v>
      </c>
      <c r="AF4487">
        <v>0</v>
      </c>
      <c r="AG4487">
        <v>0</v>
      </c>
      <c r="AH4487">
        <v>0</v>
      </c>
      <c r="AI4487">
        <v>45.01</v>
      </c>
      <c r="AJ4487">
        <v>250.03</v>
      </c>
      <c r="AK4487">
        <v>0</v>
      </c>
      <c r="AL4487" t="s">
        <v>53</v>
      </c>
      <c r="AM4487" t="s">
        <v>53</v>
      </c>
      <c r="AN4487" t="s">
        <v>53</v>
      </c>
      <c r="AO4487" t="s">
        <v>53</v>
      </c>
      <c r="AP4487" t="s">
        <v>53</v>
      </c>
    </row>
    <row r="4488" spans="2:42" x14ac:dyDescent="0.2">
      <c r="B4488" t="s">
        <v>44</v>
      </c>
      <c r="C4488" t="str">
        <f>HYPERLINK("https://us2.cloudbeds.com/connect/8493803454333002#/reservations/9080486845904195?display=247CXM2U2G&amp;reservation_id=9080486845904195", "247CXM2U2G")</f>
        <v>247CXM2U2G</v>
      </c>
      <c r="D4488" t="s">
        <v>45</v>
      </c>
      <c r="E4488" t="s">
        <v>185</v>
      </c>
      <c r="F4488" t="s">
        <v>47</v>
      </c>
      <c r="G4488" t="s">
        <v>48</v>
      </c>
      <c r="H4488" t="s">
        <v>49</v>
      </c>
      <c r="I4488" t="s">
        <v>62</v>
      </c>
      <c r="J4488" t="s">
        <v>7109</v>
      </c>
      <c r="K4488" t="s">
        <v>6807</v>
      </c>
      <c r="L4488" t="s">
        <v>53</v>
      </c>
      <c r="N4488" t="s">
        <v>7797</v>
      </c>
      <c r="P4488" t="s">
        <v>55</v>
      </c>
      <c r="R4488" t="s">
        <v>56</v>
      </c>
      <c r="T4488" t="s">
        <v>7798</v>
      </c>
      <c r="U4488" t="s">
        <v>55</v>
      </c>
      <c r="V4488">
        <v>2</v>
      </c>
      <c r="W4488">
        <v>1</v>
      </c>
      <c r="X4488">
        <v>2</v>
      </c>
      <c r="Y4488">
        <v>0</v>
      </c>
      <c r="Z4488">
        <v>2</v>
      </c>
      <c r="AA4488">
        <v>160</v>
      </c>
      <c r="AB4488">
        <v>160</v>
      </c>
      <c r="AC4488">
        <v>160</v>
      </c>
      <c r="AD4488">
        <v>0</v>
      </c>
      <c r="AE4488">
        <v>0</v>
      </c>
      <c r="AF4488">
        <v>0</v>
      </c>
      <c r="AG4488">
        <v>0</v>
      </c>
      <c r="AH4488">
        <v>0</v>
      </c>
      <c r="AI4488">
        <v>28.8</v>
      </c>
      <c r="AJ4488">
        <v>160</v>
      </c>
      <c r="AK4488">
        <v>0</v>
      </c>
      <c r="AL4488" t="s">
        <v>53</v>
      </c>
      <c r="AM4488" t="s">
        <v>53</v>
      </c>
      <c r="AN4488" t="s">
        <v>53</v>
      </c>
      <c r="AO4488" t="s">
        <v>53</v>
      </c>
      <c r="AP4488" t="s">
        <v>53</v>
      </c>
    </row>
    <row r="4489" spans="2:42" x14ac:dyDescent="0.2">
      <c r="B4489" t="s">
        <v>44</v>
      </c>
      <c r="C4489" t="str">
        <f>HYPERLINK("https://us2.cloudbeds.com/connect/8493803454333002#/reservations/9080486845904295?display=247X6HHWSS&amp;reservation_id=9080486845904295", "247X6HHWSS")</f>
        <v>247X6HHWSS</v>
      </c>
      <c r="D4489" t="s">
        <v>45</v>
      </c>
      <c r="E4489" t="s">
        <v>487</v>
      </c>
      <c r="F4489" t="s">
        <v>61</v>
      </c>
      <c r="G4489" t="s">
        <v>48</v>
      </c>
      <c r="H4489" t="s">
        <v>49</v>
      </c>
      <c r="I4489" t="s">
        <v>50</v>
      </c>
      <c r="J4489" t="s">
        <v>6807</v>
      </c>
      <c r="K4489" t="s">
        <v>6959</v>
      </c>
      <c r="L4489" t="s">
        <v>53</v>
      </c>
      <c r="N4489" t="s">
        <v>7799</v>
      </c>
      <c r="P4489" t="s">
        <v>55</v>
      </c>
      <c r="R4489" t="s">
        <v>53</v>
      </c>
      <c r="T4489" t="s">
        <v>7800</v>
      </c>
      <c r="U4489" t="s">
        <v>58</v>
      </c>
      <c r="V4489">
        <v>1</v>
      </c>
      <c r="W4489">
        <v>1</v>
      </c>
      <c r="X4489">
        <v>2</v>
      </c>
      <c r="Y4489">
        <v>0</v>
      </c>
      <c r="Z4489">
        <v>2</v>
      </c>
      <c r="AA4489">
        <v>131.83000000000001</v>
      </c>
      <c r="AB4489">
        <v>131.83000000000001</v>
      </c>
      <c r="AC4489">
        <v>116</v>
      </c>
      <c r="AD4489">
        <v>0</v>
      </c>
      <c r="AE4489">
        <v>15.83</v>
      </c>
      <c r="AF4489">
        <v>0</v>
      </c>
      <c r="AG4489">
        <v>0</v>
      </c>
      <c r="AH4489">
        <v>0</v>
      </c>
      <c r="AI4489">
        <v>23.73</v>
      </c>
      <c r="AJ4489">
        <v>131.83000000000001</v>
      </c>
      <c r="AK4489">
        <v>0</v>
      </c>
      <c r="AL4489" t="s">
        <v>53</v>
      </c>
      <c r="AM4489" t="s">
        <v>53</v>
      </c>
      <c r="AN4489" t="s">
        <v>53</v>
      </c>
      <c r="AO4489" t="s">
        <v>53</v>
      </c>
      <c r="AP4489" t="s">
        <v>53</v>
      </c>
    </row>
    <row r="4490" spans="2:42" x14ac:dyDescent="0.2">
      <c r="B4490" t="s">
        <v>44</v>
      </c>
      <c r="C4490" t="str">
        <f>HYPERLINK("https://us2.cloudbeds.com/connect/8493803454333002#/reservations/9080486845904822?display=248KRCKPRN&amp;reservation_id=9080486845904822", "248KRCKPRN")</f>
        <v>248KRCKPRN</v>
      </c>
      <c r="D4490" t="s">
        <v>45</v>
      </c>
      <c r="E4490" t="s">
        <v>46</v>
      </c>
      <c r="F4490" t="s">
        <v>47</v>
      </c>
      <c r="G4490" t="s">
        <v>7801</v>
      </c>
      <c r="H4490" t="s">
        <v>49</v>
      </c>
      <c r="I4490" t="s">
        <v>50</v>
      </c>
      <c r="J4490" t="s">
        <v>7802</v>
      </c>
      <c r="K4490" t="s">
        <v>7803</v>
      </c>
      <c r="L4490" t="s">
        <v>53</v>
      </c>
      <c r="N4490" t="s">
        <v>7804</v>
      </c>
      <c r="P4490" t="s">
        <v>55</v>
      </c>
      <c r="R4490" t="s">
        <v>53</v>
      </c>
      <c r="T4490" t="s">
        <v>7805</v>
      </c>
      <c r="U4490" t="s">
        <v>58</v>
      </c>
      <c r="V4490">
        <v>2</v>
      </c>
      <c r="W4490">
        <v>1</v>
      </c>
      <c r="X4490">
        <v>1</v>
      </c>
      <c r="Y4490">
        <v>0</v>
      </c>
      <c r="Z4490">
        <v>1</v>
      </c>
      <c r="AA4490">
        <v>332.42</v>
      </c>
      <c r="AB4490">
        <v>332.42</v>
      </c>
      <c r="AC4490">
        <v>292.5</v>
      </c>
      <c r="AD4490">
        <v>0</v>
      </c>
      <c r="AE4490">
        <v>39.92</v>
      </c>
      <c r="AF4490">
        <v>0</v>
      </c>
      <c r="AG4490">
        <v>0</v>
      </c>
      <c r="AH4490">
        <v>0</v>
      </c>
      <c r="AI4490">
        <v>59.84</v>
      </c>
      <c r="AJ4490">
        <v>332.42</v>
      </c>
      <c r="AK4490">
        <v>0</v>
      </c>
      <c r="AL4490" t="s">
        <v>53</v>
      </c>
      <c r="AM4490" t="s">
        <v>53</v>
      </c>
      <c r="AN4490" t="s">
        <v>53</v>
      </c>
      <c r="AO4490" t="s">
        <v>53</v>
      </c>
      <c r="AP4490" t="s">
        <v>53</v>
      </c>
    </row>
    <row r="4491" spans="2:42" x14ac:dyDescent="0.2">
      <c r="B4491" t="s">
        <v>44</v>
      </c>
      <c r="C4491" t="str">
        <f>HYPERLINK("https://us2.cloudbeds.com/connect/8493803454333002#/reservations/98966991012014?display=24C5D08TBP&amp;reservation_id=98966991012014", "24C5D08TBP")</f>
        <v>24C5D08TBP</v>
      </c>
      <c r="D4491" t="s">
        <v>45</v>
      </c>
      <c r="E4491" t="s">
        <v>179</v>
      </c>
      <c r="F4491" t="s">
        <v>47</v>
      </c>
      <c r="G4491" t="s">
        <v>48</v>
      </c>
      <c r="H4491" t="s">
        <v>3957</v>
      </c>
      <c r="I4491" t="s">
        <v>3975</v>
      </c>
      <c r="J4491" t="s">
        <v>6544</v>
      </c>
      <c r="K4491" t="s">
        <v>6234</v>
      </c>
      <c r="L4491" t="s">
        <v>53</v>
      </c>
      <c r="P4491" t="s">
        <v>55</v>
      </c>
      <c r="R4491" t="s">
        <v>53</v>
      </c>
      <c r="T4491" t="s">
        <v>7806</v>
      </c>
      <c r="U4491" t="s">
        <v>58</v>
      </c>
      <c r="V4491">
        <v>1</v>
      </c>
      <c r="W4491">
        <v>1</v>
      </c>
      <c r="X4491">
        <v>2</v>
      </c>
      <c r="Y4491">
        <v>0</v>
      </c>
      <c r="Z4491">
        <v>2</v>
      </c>
      <c r="AA4491">
        <v>90.92</v>
      </c>
      <c r="AB4491">
        <v>90.92</v>
      </c>
      <c r="AC4491">
        <v>80</v>
      </c>
      <c r="AD4491">
        <v>0</v>
      </c>
      <c r="AE4491">
        <v>10.92</v>
      </c>
      <c r="AF4491">
        <v>0</v>
      </c>
      <c r="AG4491">
        <v>0</v>
      </c>
      <c r="AH4491">
        <v>0</v>
      </c>
      <c r="AI4491">
        <v>0</v>
      </c>
      <c r="AJ4491">
        <v>90.92</v>
      </c>
      <c r="AK4491">
        <v>0</v>
      </c>
      <c r="AL4491" t="s">
        <v>53</v>
      </c>
      <c r="AM4491" t="s">
        <v>53</v>
      </c>
      <c r="AN4491" t="s">
        <v>53</v>
      </c>
      <c r="AO4491" t="s">
        <v>53</v>
      </c>
      <c r="AP4491" t="s">
        <v>53</v>
      </c>
    </row>
    <row r="4492" spans="2:42" x14ac:dyDescent="0.2">
      <c r="B4492" t="s">
        <v>44</v>
      </c>
      <c r="C4492" t="str">
        <f>HYPERLINK("https://us2.cloudbeds.com/connect/8493803454333002#/reservations/9080486845906676?display=24C6QW0JF1&amp;reservation_id=9080486845906676", "24C6QW0JF1")</f>
        <v>24C6QW0JF1</v>
      </c>
      <c r="D4492" t="s">
        <v>45</v>
      </c>
      <c r="E4492" t="s">
        <v>138</v>
      </c>
      <c r="F4492" t="s">
        <v>70</v>
      </c>
      <c r="G4492" t="s">
        <v>48</v>
      </c>
      <c r="H4492" t="s">
        <v>49</v>
      </c>
      <c r="I4492" t="s">
        <v>50</v>
      </c>
      <c r="J4492" t="s">
        <v>5963</v>
      </c>
      <c r="K4492" t="s">
        <v>5622</v>
      </c>
      <c r="L4492" t="s">
        <v>53</v>
      </c>
      <c r="N4492" t="s">
        <v>7807</v>
      </c>
      <c r="P4492" t="s">
        <v>55</v>
      </c>
      <c r="R4492" t="s">
        <v>53</v>
      </c>
      <c r="T4492" t="s">
        <v>7808</v>
      </c>
      <c r="U4492" t="s">
        <v>58</v>
      </c>
      <c r="V4492">
        <v>1</v>
      </c>
      <c r="W4492">
        <v>1</v>
      </c>
      <c r="X4492">
        <v>1</v>
      </c>
      <c r="Y4492">
        <v>0</v>
      </c>
      <c r="Z4492">
        <v>1</v>
      </c>
      <c r="AA4492">
        <v>134</v>
      </c>
      <c r="AB4492">
        <v>134</v>
      </c>
      <c r="AC4492">
        <v>117.9</v>
      </c>
      <c r="AD4492">
        <v>0</v>
      </c>
      <c r="AE4492">
        <v>16.100000000000001</v>
      </c>
      <c r="AF4492">
        <v>0</v>
      </c>
      <c r="AG4492">
        <v>0</v>
      </c>
      <c r="AH4492">
        <v>0</v>
      </c>
      <c r="AI4492">
        <v>24.12</v>
      </c>
      <c r="AJ4492">
        <v>134</v>
      </c>
      <c r="AK4492">
        <v>0</v>
      </c>
      <c r="AL4492" t="s">
        <v>53</v>
      </c>
      <c r="AM4492" t="s">
        <v>53</v>
      </c>
      <c r="AN4492" t="s">
        <v>53</v>
      </c>
      <c r="AO4492" t="s">
        <v>53</v>
      </c>
      <c r="AP4492" t="s">
        <v>53</v>
      </c>
    </row>
    <row r="4493" spans="2:42" x14ac:dyDescent="0.2">
      <c r="B4493" t="s">
        <v>44</v>
      </c>
      <c r="C4493" t="str">
        <f>HYPERLINK("https://us2.cloudbeds.com/connect/8493803454333002#/reservations/9080486845907393?display=24CUUB7Y5K&amp;reservation_id=9080486845907393", "24CUUB7Y5K")</f>
        <v>24CUUB7Y5K</v>
      </c>
      <c r="D4493" t="s">
        <v>45</v>
      </c>
      <c r="E4493" t="s">
        <v>110</v>
      </c>
      <c r="F4493" t="s">
        <v>47</v>
      </c>
      <c r="G4493" t="s">
        <v>48</v>
      </c>
      <c r="H4493" t="s">
        <v>49</v>
      </c>
      <c r="I4493" t="s">
        <v>50</v>
      </c>
      <c r="J4493" t="s">
        <v>5593</v>
      </c>
      <c r="K4493" t="s">
        <v>5594</v>
      </c>
      <c r="L4493" t="s">
        <v>53</v>
      </c>
      <c r="N4493" t="s">
        <v>7809</v>
      </c>
      <c r="P4493" t="s">
        <v>55</v>
      </c>
      <c r="R4493" t="s">
        <v>53</v>
      </c>
      <c r="T4493" t="s">
        <v>7810</v>
      </c>
      <c r="U4493" t="s">
        <v>58</v>
      </c>
      <c r="V4493">
        <v>1</v>
      </c>
      <c r="W4493">
        <v>1</v>
      </c>
      <c r="X4493">
        <v>2</v>
      </c>
      <c r="Y4493">
        <v>0</v>
      </c>
      <c r="Z4493">
        <v>2</v>
      </c>
      <c r="AA4493">
        <v>166.11</v>
      </c>
      <c r="AB4493">
        <v>166.11</v>
      </c>
      <c r="AC4493">
        <v>146.16</v>
      </c>
      <c r="AD4493">
        <v>0</v>
      </c>
      <c r="AE4493">
        <v>19.95</v>
      </c>
      <c r="AF4493">
        <v>0</v>
      </c>
      <c r="AG4493">
        <v>0</v>
      </c>
      <c r="AH4493">
        <v>0</v>
      </c>
      <c r="AI4493">
        <v>29.9</v>
      </c>
      <c r="AJ4493">
        <v>166.11</v>
      </c>
      <c r="AK4493">
        <v>0</v>
      </c>
      <c r="AL4493" t="s">
        <v>53</v>
      </c>
      <c r="AM4493" t="s">
        <v>53</v>
      </c>
      <c r="AN4493" t="s">
        <v>53</v>
      </c>
      <c r="AO4493" t="s">
        <v>53</v>
      </c>
      <c r="AP4493" t="s">
        <v>53</v>
      </c>
    </row>
    <row r="4494" spans="2:42" x14ac:dyDescent="0.2">
      <c r="B4494" t="s">
        <v>44</v>
      </c>
      <c r="C4494" t="str">
        <f>HYPERLINK("https://us2.cloudbeds.com/connect/8493803454333002#/reservations/9080486845909104?display=24F829RTS5&amp;reservation_id=9080486845909104", "24F829RTS5")</f>
        <v>24F829RTS5</v>
      </c>
      <c r="D4494" t="s">
        <v>45</v>
      </c>
      <c r="E4494" t="s">
        <v>190</v>
      </c>
      <c r="F4494" t="s">
        <v>61</v>
      </c>
      <c r="G4494" t="s">
        <v>48</v>
      </c>
      <c r="H4494" t="s">
        <v>49</v>
      </c>
      <c r="I4494" t="s">
        <v>62</v>
      </c>
      <c r="J4494" t="s">
        <v>7579</v>
      </c>
      <c r="K4494" t="s">
        <v>7109</v>
      </c>
      <c r="L4494" t="s">
        <v>53</v>
      </c>
      <c r="N4494" t="s">
        <v>7811</v>
      </c>
      <c r="P4494" t="s">
        <v>55</v>
      </c>
      <c r="R4494" t="s">
        <v>125</v>
      </c>
      <c r="T4494" t="s">
        <v>7812</v>
      </c>
      <c r="U4494" t="s">
        <v>55</v>
      </c>
      <c r="V4494">
        <v>1</v>
      </c>
      <c r="W4494">
        <v>1</v>
      </c>
      <c r="X4494">
        <v>1</v>
      </c>
      <c r="Y4494">
        <v>0</v>
      </c>
      <c r="Z4494">
        <v>1</v>
      </c>
      <c r="AA4494">
        <v>85</v>
      </c>
      <c r="AB4494">
        <v>85</v>
      </c>
      <c r="AC4494">
        <v>85</v>
      </c>
      <c r="AD4494">
        <v>0</v>
      </c>
      <c r="AE4494">
        <v>0</v>
      </c>
      <c r="AF4494">
        <v>0</v>
      </c>
      <c r="AG4494">
        <v>0</v>
      </c>
      <c r="AH4494">
        <v>0</v>
      </c>
      <c r="AI4494">
        <v>15.3</v>
      </c>
      <c r="AJ4494">
        <v>85</v>
      </c>
      <c r="AK4494">
        <v>0</v>
      </c>
      <c r="AL4494" t="s">
        <v>53</v>
      </c>
      <c r="AM4494" t="s">
        <v>53</v>
      </c>
      <c r="AN4494" t="s">
        <v>53</v>
      </c>
      <c r="AO4494" t="s">
        <v>53</v>
      </c>
      <c r="AP4494" t="s">
        <v>53</v>
      </c>
    </row>
    <row r="4495" spans="2:42" x14ac:dyDescent="0.2">
      <c r="B4495" t="s">
        <v>44</v>
      </c>
      <c r="C4495" t="str">
        <f>HYPERLINK("https://us2.cloudbeds.com/connect/8493803454333002#/reservations/9080486845909417?display=24FS661226&amp;reservation_id=9080486845909417", "24FS661226")</f>
        <v>24FS661226</v>
      </c>
      <c r="D4495" t="s">
        <v>45</v>
      </c>
      <c r="E4495" t="s">
        <v>110</v>
      </c>
      <c r="F4495" t="s">
        <v>47</v>
      </c>
      <c r="G4495" t="s">
        <v>48</v>
      </c>
      <c r="H4495" t="s">
        <v>49</v>
      </c>
      <c r="I4495" t="s">
        <v>62</v>
      </c>
      <c r="J4495" t="s">
        <v>6234</v>
      </c>
      <c r="K4495" t="s">
        <v>6818</v>
      </c>
      <c r="L4495" t="s">
        <v>53</v>
      </c>
      <c r="N4495" t="s">
        <v>7813</v>
      </c>
      <c r="P4495" t="s">
        <v>55</v>
      </c>
      <c r="R4495" t="s">
        <v>56</v>
      </c>
      <c r="T4495" t="s">
        <v>7814</v>
      </c>
      <c r="U4495" t="s">
        <v>55</v>
      </c>
      <c r="V4495">
        <v>1</v>
      </c>
      <c r="W4495">
        <v>1</v>
      </c>
      <c r="X4495">
        <v>2</v>
      </c>
      <c r="Y4495">
        <v>0</v>
      </c>
      <c r="Z4495">
        <v>2</v>
      </c>
      <c r="AA4495">
        <v>79.8</v>
      </c>
      <c r="AB4495">
        <v>79.8</v>
      </c>
      <c r="AC4495">
        <v>79.8</v>
      </c>
      <c r="AD4495">
        <v>0</v>
      </c>
      <c r="AE4495">
        <v>0</v>
      </c>
      <c r="AF4495">
        <v>0</v>
      </c>
      <c r="AG4495">
        <v>0</v>
      </c>
      <c r="AH4495">
        <v>0</v>
      </c>
      <c r="AI4495">
        <v>14.36</v>
      </c>
      <c r="AJ4495">
        <v>79.8</v>
      </c>
      <c r="AK4495">
        <v>0</v>
      </c>
      <c r="AL4495" t="s">
        <v>53</v>
      </c>
      <c r="AM4495" t="s">
        <v>53</v>
      </c>
      <c r="AN4495" t="s">
        <v>53</v>
      </c>
      <c r="AO4495" t="s">
        <v>53</v>
      </c>
      <c r="AP4495" t="s">
        <v>53</v>
      </c>
    </row>
    <row r="4496" spans="2:42" x14ac:dyDescent="0.2">
      <c r="B4496" t="s">
        <v>44</v>
      </c>
      <c r="C4496" t="str">
        <f>HYPERLINK("https://us2.cloudbeds.com/connect/8493803454333002#/reservations/9080486845909508?display=24FWP8867G&amp;reservation_id=9080486845909508", "24FWP8867G")</f>
        <v>24FWP8867G</v>
      </c>
      <c r="D4496" t="s">
        <v>45</v>
      </c>
      <c r="E4496" t="s">
        <v>487</v>
      </c>
      <c r="F4496" t="s">
        <v>61</v>
      </c>
      <c r="G4496" t="s">
        <v>48</v>
      </c>
      <c r="H4496" t="s">
        <v>49</v>
      </c>
      <c r="I4496" t="s">
        <v>62</v>
      </c>
      <c r="J4496" t="s">
        <v>7579</v>
      </c>
      <c r="K4496" t="s">
        <v>7109</v>
      </c>
      <c r="L4496" t="s">
        <v>53</v>
      </c>
      <c r="N4496" t="s">
        <v>7815</v>
      </c>
      <c r="P4496" t="s">
        <v>55</v>
      </c>
      <c r="R4496" t="s">
        <v>56</v>
      </c>
      <c r="T4496" t="s">
        <v>7816</v>
      </c>
      <c r="U4496" t="s">
        <v>55</v>
      </c>
      <c r="V4496">
        <v>1</v>
      </c>
      <c r="W4496">
        <v>1</v>
      </c>
      <c r="X4496">
        <v>2</v>
      </c>
      <c r="Y4496">
        <v>0</v>
      </c>
      <c r="Z4496">
        <v>2</v>
      </c>
      <c r="AA4496">
        <v>85</v>
      </c>
      <c r="AB4496">
        <v>85</v>
      </c>
      <c r="AC4496">
        <v>85</v>
      </c>
      <c r="AD4496">
        <v>0</v>
      </c>
      <c r="AE4496">
        <v>0</v>
      </c>
      <c r="AF4496">
        <v>0</v>
      </c>
      <c r="AG4496">
        <v>0</v>
      </c>
      <c r="AH4496">
        <v>0</v>
      </c>
      <c r="AI4496">
        <v>15.3</v>
      </c>
      <c r="AJ4496">
        <v>85</v>
      </c>
      <c r="AK4496">
        <v>0</v>
      </c>
      <c r="AL4496" t="s">
        <v>53</v>
      </c>
      <c r="AM4496" t="s">
        <v>53</v>
      </c>
      <c r="AN4496" t="s">
        <v>53</v>
      </c>
      <c r="AO4496" t="s">
        <v>53</v>
      </c>
      <c r="AP4496" t="s">
        <v>53</v>
      </c>
    </row>
    <row r="4497" spans="2:42" x14ac:dyDescent="0.2">
      <c r="B4497" t="s">
        <v>44</v>
      </c>
      <c r="C4497" t="str">
        <f>HYPERLINK("https://us2.cloudbeds.com/connect/8493803454333002#/reservations/9080486845909649?display=24G8AS699T&amp;reservation_id=9080486845909649", "24G8AS699T")</f>
        <v>24G8AS699T</v>
      </c>
      <c r="D4497" t="s">
        <v>45</v>
      </c>
      <c r="E4497" t="s">
        <v>105</v>
      </c>
      <c r="F4497" t="s">
        <v>47</v>
      </c>
      <c r="G4497" t="s">
        <v>48</v>
      </c>
      <c r="H4497" t="s">
        <v>49</v>
      </c>
      <c r="I4497" t="s">
        <v>62</v>
      </c>
      <c r="J4497" t="s">
        <v>6662</v>
      </c>
      <c r="K4497" t="s">
        <v>6943</v>
      </c>
      <c r="L4497" t="s">
        <v>53</v>
      </c>
      <c r="N4497" t="s">
        <v>7817</v>
      </c>
      <c r="P4497" t="s">
        <v>55</v>
      </c>
      <c r="R4497" t="s">
        <v>56</v>
      </c>
      <c r="T4497" t="s">
        <v>7818</v>
      </c>
      <c r="U4497" t="s">
        <v>55</v>
      </c>
      <c r="V4497">
        <v>2</v>
      </c>
      <c r="W4497">
        <v>1</v>
      </c>
      <c r="X4497">
        <v>1</v>
      </c>
      <c r="Y4497">
        <v>0</v>
      </c>
      <c r="Z4497">
        <v>1</v>
      </c>
      <c r="AA4497">
        <v>327.75</v>
      </c>
      <c r="AB4497">
        <v>327.75</v>
      </c>
      <c r="AC4497">
        <v>327.75</v>
      </c>
      <c r="AD4497">
        <v>0</v>
      </c>
      <c r="AE4497">
        <v>0</v>
      </c>
      <c r="AF4497">
        <v>0</v>
      </c>
      <c r="AG4497">
        <v>0</v>
      </c>
      <c r="AH4497">
        <v>0</v>
      </c>
      <c r="AI4497">
        <v>59</v>
      </c>
      <c r="AJ4497">
        <v>327.75</v>
      </c>
      <c r="AK4497">
        <v>0</v>
      </c>
      <c r="AL4497" t="s">
        <v>53</v>
      </c>
      <c r="AM4497" t="s">
        <v>53</v>
      </c>
      <c r="AN4497" t="s">
        <v>53</v>
      </c>
      <c r="AO4497" t="s">
        <v>53</v>
      </c>
      <c r="AP4497" t="s">
        <v>53</v>
      </c>
    </row>
    <row r="4498" spans="2:42" x14ac:dyDescent="0.2">
      <c r="B4498" t="s">
        <v>44</v>
      </c>
      <c r="C4498" t="str">
        <f>HYPERLINK("https://us2.cloudbeds.com/connect/8493803454333002#/reservations/9080486845909653?display=24G88G38HF&amp;reservation_id=9080486845909653", "24G88G38HF")</f>
        <v>24G88G38HF</v>
      </c>
      <c r="D4498" t="s">
        <v>45</v>
      </c>
      <c r="E4498" t="s">
        <v>190</v>
      </c>
      <c r="F4498" t="s">
        <v>61</v>
      </c>
      <c r="G4498" t="s">
        <v>48</v>
      </c>
      <c r="H4498" t="s">
        <v>49</v>
      </c>
      <c r="I4498" t="s">
        <v>62</v>
      </c>
      <c r="J4498" t="s">
        <v>7109</v>
      </c>
      <c r="K4498" t="s">
        <v>6877</v>
      </c>
      <c r="L4498" t="s">
        <v>53</v>
      </c>
      <c r="N4498" t="s">
        <v>7819</v>
      </c>
      <c r="P4498" t="s">
        <v>55</v>
      </c>
      <c r="R4498" t="s">
        <v>125</v>
      </c>
      <c r="T4498" t="s">
        <v>7820</v>
      </c>
      <c r="U4498" t="s">
        <v>55</v>
      </c>
      <c r="V4498">
        <v>1</v>
      </c>
      <c r="W4498">
        <v>1</v>
      </c>
      <c r="X4498">
        <v>1</v>
      </c>
      <c r="Y4498">
        <v>0</v>
      </c>
      <c r="Z4498">
        <v>1</v>
      </c>
      <c r="AA4498">
        <v>85</v>
      </c>
      <c r="AB4498">
        <v>85</v>
      </c>
      <c r="AC4498">
        <v>85</v>
      </c>
      <c r="AD4498">
        <v>0</v>
      </c>
      <c r="AE4498">
        <v>0</v>
      </c>
      <c r="AF4498">
        <v>0</v>
      </c>
      <c r="AG4498">
        <v>0</v>
      </c>
      <c r="AH4498">
        <v>0</v>
      </c>
      <c r="AI4498">
        <v>15.3</v>
      </c>
      <c r="AJ4498">
        <v>85</v>
      </c>
      <c r="AK4498">
        <v>0</v>
      </c>
      <c r="AL4498" t="s">
        <v>53</v>
      </c>
      <c r="AM4498" t="s">
        <v>53</v>
      </c>
      <c r="AN4498" t="s">
        <v>53</v>
      </c>
      <c r="AO4498" t="s">
        <v>53</v>
      </c>
      <c r="AP4498" t="s">
        <v>53</v>
      </c>
    </row>
    <row r="4499" spans="2:42" x14ac:dyDescent="0.2">
      <c r="B4499" t="s">
        <v>44</v>
      </c>
      <c r="C4499" t="str">
        <f>HYPERLINK("https://us2.cloudbeds.com/connect/8493803454333002#/reservations/9080486845911612?display=24K78VY79V&amp;reservation_id=9080486845911612", "24K78VY79V")</f>
        <v>24K78VY79V</v>
      </c>
      <c r="D4499" t="s">
        <v>45</v>
      </c>
      <c r="E4499" t="s">
        <v>138</v>
      </c>
      <c r="F4499" t="s">
        <v>70</v>
      </c>
      <c r="G4499" t="s">
        <v>48</v>
      </c>
      <c r="H4499" t="s">
        <v>49</v>
      </c>
      <c r="I4499" t="s">
        <v>50</v>
      </c>
      <c r="J4499" t="s">
        <v>7821</v>
      </c>
      <c r="K4499" t="s">
        <v>7822</v>
      </c>
      <c r="L4499" t="s">
        <v>53</v>
      </c>
      <c r="N4499" t="s">
        <v>7823</v>
      </c>
      <c r="P4499" t="s">
        <v>55</v>
      </c>
      <c r="R4499" t="s">
        <v>53</v>
      </c>
      <c r="T4499" t="s">
        <v>7824</v>
      </c>
      <c r="U4499" t="s">
        <v>58</v>
      </c>
      <c r="V4499">
        <v>2</v>
      </c>
      <c r="W4499">
        <v>1</v>
      </c>
      <c r="X4499">
        <v>2</v>
      </c>
      <c r="Y4499">
        <v>0</v>
      </c>
      <c r="Z4499">
        <v>2</v>
      </c>
      <c r="AA4499">
        <v>306.63</v>
      </c>
      <c r="AB4499">
        <v>306.63</v>
      </c>
      <c r="AC4499">
        <v>269.8</v>
      </c>
      <c r="AD4499">
        <v>0</v>
      </c>
      <c r="AE4499">
        <v>36.83</v>
      </c>
      <c r="AF4499">
        <v>0</v>
      </c>
      <c r="AG4499">
        <v>0</v>
      </c>
      <c r="AH4499">
        <v>0</v>
      </c>
      <c r="AI4499">
        <v>55.19</v>
      </c>
      <c r="AJ4499">
        <v>306.63</v>
      </c>
      <c r="AK4499">
        <v>0</v>
      </c>
      <c r="AL4499" t="s">
        <v>53</v>
      </c>
      <c r="AM4499" t="s">
        <v>53</v>
      </c>
      <c r="AN4499" t="s">
        <v>53</v>
      </c>
      <c r="AO4499" t="s">
        <v>53</v>
      </c>
      <c r="AP4499" t="s">
        <v>53</v>
      </c>
    </row>
    <row r="4500" spans="2:42" x14ac:dyDescent="0.2">
      <c r="B4500" t="s">
        <v>44</v>
      </c>
      <c r="C4500" t="str">
        <f>HYPERLINK("https://us2.cloudbeds.com/connect/8493803454333002#/reservations/9080486845911640?display=24K8KBAX2V&amp;reservation_id=9080486845911640", "24K8KBAX2V")</f>
        <v>24K8KBAX2V</v>
      </c>
      <c r="D4500" t="s">
        <v>45</v>
      </c>
      <c r="E4500" t="s">
        <v>110</v>
      </c>
      <c r="F4500" t="s">
        <v>47</v>
      </c>
      <c r="G4500" t="s">
        <v>48</v>
      </c>
      <c r="H4500" t="s">
        <v>49</v>
      </c>
      <c r="I4500" t="s">
        <v>50</v>
      </c>
      <c r="J4500" t="s">
        <v>6807</v>
      </c>
      <c r="K4500" t="s">
        <v>6959</v>
      </c>
      <c r="L4500" t="s">
        <v>53</v>
      </c>
      <c r="N4500" t="s">
        <v>7825</v>
      </c>
      <c r="P4500" t="s">
        <v>55</v>
      </c>
      <c r="R4500" t="s">
        <v>53</v>
      </c>
      <c r="T4500" t="s">
        <v>7826</v>
      </c>
      <c r="U4500" t="s">
        <v>58</v>
      </c>
      <c r="V4500">
        <v>1</v>
      </c>
      <c r="W4500">
        <v>1</v>
      </c>
      <c r="X4500">
        <v>2</v>
      </c>
      <c r="Y4500">
        <v>0</v>
      </c>
      <c r="Z4500">
        <v>2</v>
      </c>
      <c r="AA4500">
        <v>122.69</v>
      </c>
      <c r="AB4500">
        <v>122.69</v>
      </c>
      <c r="AC4500">
        <v>107.95</v>
      </c>
      <c r="AD4500">
        <v>0</v>
      </c>
      <c r="AE4500">
        <v>14.74</v>
      </c>
      <c r="AF4500">
        <v>0</v>
      </c>
      <c r="AG4500">
        <v>0</v>
      </c>
      <c r="AH4500">
        <v>0</v>
      </c>
      <c r="AI4500">
        <v>22.08</v>
      </c>
      <c r="AJ4500">
        <v>122.69</v>
      </c>
      <c r="AK4500">
        <v>0</v>
      </c>
      <c r="AL4500" t="s">
        <v>53</v>
      </c>
      <c r="AM4500" t="s">
        <v>53</v>
      </c>
      <c r="AN4500" t="s">
        <v>53</v>
      </c>
      <c r="AO4500" t="s">
        <v>53</v>
      </c>
      <c r="AP4500" t="s">
        <v>53</v>
      </c>
    </row>
    <row r="4501" spans="2:42" x14ac:dyDescent="0.2">
      <c r="B4501" t="s">
        <v>44</v>
      </c>
      <c r="C4501" t="str">
        <f>HYPERLINK("https://us2.cloudbeds.com/connect/8493803454333002#/reservations/9080486845912870?display=24YZQM7B99&amp;reservation_id=9080486845912870", "24YZQM7B99")</f>
        <v>24YZQM7B99</v>
      </c>
      <c r="D4501" t="s">
        <v>45</v>
      </c>
      <c r="E4501" t="s">
        <v>179</v>
      </c>
      <c r="F4501" t="s">
        <v>47</v>
      </c>
      <c r="G4501" t="s">
        <v>48</v>
      </c>
      <c r="H4501" t="s">
        <v>49</v>
      </c>
      <c r="I4501" t="s">
        <v>50</v>
      </c>
      <c r="J4501" t="s">
        <v>6233</v>
      </c>
      <c r="K4501" t="s">
        <v>4158</v>
      </c>
      <c r="L4501" t="s">
        <v>53</v>
      </c>
      <c r="N4501" t="s">
        <v>7827</v>
      </c>
      <c r="P4501" t="s">
        <v>55</v>
      </c>
      <c r="R4501" t="s">
        <v>53</v>
      </c>
      <c r="T4501" t="s">
        <v>7828</v>
      </c>
      <c r="U4501" t="s">
        <v>58</v>
      </c>
      <c r="V4501">
        <v>1</v>
      </c>
      <c r="W4501">
        <v>1</v>
      </c>
      <c r="X4501">
        <v>2</v>
      </c>
      <c r="Y4501">
        <v>0</v>
      </c>
      <c r="Z4501">
        <v>2</v>
      </c>
      <c r="AA4501">
        <v>84.89</v>
      </c>
      <c r="AB4501">
        <v>84.89</v>
      </c>
      <c r="AC4501">
        <v>74.7</v>
      </c>
      <c r="AD4501">
        <v>0</v>
      </c>
      <c r="AE4501">
        <v>10.19</v>
      </c>
      <c r="AF4501">
        <v>0</v>
      </c>
      <c r="AG4501">
        <v>0</v>
      </c>
      <c r="AH4501">
        <v>0</v>
      </c>
      <c r="AI4501">
        <v>15.28</v>
      </c>
      <c r="AJ4501">
        <v>84.89</v>
      </c>
      <c r="AK4501">
        <v>0</v>
      </c>
      <c r="AL4501" t="s">
        <v>53</v>
      </c>
      <c r="AM4501" t="s">
        <v>53</v>
      </c>
      <c r="AN4501" t="s">
        <v>53</v>
      </c>
      <c r="AO4501" t="s">
        <v>53</v>
      </c>
      <c r="AP4501" t="s">
        <v>53</v>
      </c>
    </row>
    <row r="4502" spans="2:42" x14ac:dyDescent="0.2">
      <c r="B4502" t="s">
        <v>44</v>
      </c>
      <c r="C4502" t="str">
        <f>HYPERLINK("https://us2.cloudbeds.com/connect/8493803454333002#/reservations/9080486845913601?display=24MY39D2R8&amp;reservation_id=9080486845913601", "24MY39D2R8")</f>
        <v>24MY39D2R8</v>
      </c>
      <c r="D4502" t="s">
        <v>45</v>
      </c>
      <c r="E4502" t="s">
        <v>128</v>
      </c>
      <c r="F4502" t="s">
        <v>86</v>
      </c>
      <c r="G4502" t="s">
        <v>48</v>
      </c>
      <c r="H4502" t="s">
        <v>49</v>
      </c>
      <c r="I4502" t="s">
        <v>50</v>
      </c>
      <c r="J4502" t="s">
        <v>7829</v>
      </c>
      <c r="K4502" t="s">
        <v>7830</v>
      </c>
      <c r="L4502" t="s">
        <v>53</v>
      </c>
      <c r="N4502" t="s">
        <v>7831</v>
      </c>
      <c r="P4502" t="s">
        <v>55</v>
      </c>
      <c r="R4502" t="s">
        <v>53</v>
      </c>
      <c r="T4502" t="s">
        <v>7832</v>
      </c>
      <c r="U4502" t="s">
        <v>58</v>
      </c>
      <c r="V4502">
        <v>1</v>
      </c>
      <c r="W4502">
        <v>1</v>
      </c>
      <c r="X4502">
        <v>3</v>
      </c>
      <c r="Y4502">
        <v>0</v>
      </c>
      <c r="Z4502">
        <v>3</v>
      </c>
      <c r="AA4502">
        <v>175.28</v>
      </c>
      <c r="AB4502">
        <v>175.28</v>
      </c>
      <c r="AC4502">
        <v>154.22999999999999</v>
      </c>
      <c r="AD4502">
        <v>0</v>
      </c>
      <c r="AE4502">
        <v>21.05</v>
      </c>
      <c r="AF4502">
        <v>0</v>
      </c>
      <c r="AG4502">
        <v>0</v>
      </c>
      <c r="AH4502">
        <v>0</v>
      </c>
      <c r="AI4502">
        <v>31.55</v>
      </c>
      <c r="AJ4502">
        <v>175.28</v>
      </c>
      <c r="AK4502">
        <v>0</v>
      </c>
      <c r="AL4502" t="s">
        <v>53</v>
      </c>
      <c r="AM4502" t="s">
        <v>53</v>
      </c>
      <c r="AN4502" t="s">
        <v>53</v>
      </c>
      <c r="AO4502" t="s">
        <v>53</v>
      </c>
      <c r="AP4502" t="s">
        <v>53</v>
      </c>
    </row>
    <row r="4503" spans="2:42" x14ac:dyDescent="0.2">
      <c r="B4503" t="s">
        <v>44</v>
      </c>
      <c r="C4503" t="str">
        <f>HYPERLINK("https://us2.cloudbeds.com/connect/8493803454333002#/reservations/9080486845913653?display=24MMMC43WU&amp;reservation_id=9080486845913653", "24MMMC43WU")</f>
        <v>24MMMC43WU</v>
      </c>
      <c r="D4503" t="s">
        <v>45</v>
      </c>
      <c r="E4503" t="s">
        <v>155</v>
      </c>
      <c r="F4503" t="s">
        <v>86</v>
      </c>
      <c r="G4503" t="s">
        <v>48</v>
      </c>
      <c r="H4503" t="s">
        <v>49</v>
      </c>
      <c r="I4503" t="s">
        <v>50</v>
      </c>
      <c r="J4503" t="s">
        <v>6922</v>
      </c>
      <c r="K4503" t="s">
        <v>6487</v>
      </c>
      <c r="L4503" t="s">
        <v>53</v>
      </c>
      <c r="N4503" t="s">
        <v>7833</v>
      </c>
      <c r="P4503" t="s">
        <v>55</v>
      </c>
      <c r="R4503" t="s">
        <v>53</v>
      </c>
      <c r="T4503" t="s">
        <v>7834</v>
      </c>
      <c r="U4503" t="s">
        <v>58</v>
      </c>
      <c r="V4503">
        <v>2</v>
      </c>
      <c r="W4503">
        <v>1</v>
      </c>
      <c r="X4503">
        <v>3</v>
      </c>
      <c r="Y4503">
        <v>0</v>
      </c>
      <c r="Z4503">
        <v>3</v>
      </c>
      <c r="AA4503">
        <v>296.37</v>
      </c>
      <c r="AB4503">
        <v>296.37</v>
      </c>
      <c r="AC4503">
        <v>260.77</v>
      </c>
      <c r="AD4503">
        <v>0</v>
      </c>
      <c r="AE4503">
        <v>35.6</v>
      </c>
      <c r="AF4503">
        <v>0</v>
      </c>
      <c r="AG4503">
        <v>0</v>
      </c>
      <c r="AH4503">
        <v>0</v>
      </c>
      <c r="AI4503">
        <v>53.35</v>
      </c>
      <c r="AJ4503">
        <v>296.37</v>
      </c>
      <c r="AK4503">
        <v>0</v>
      </c>
      <c r="AL4503" t="s">
        <v>53</v>
      </c>
      <c r="AM4503" t="s">
        <v>53</v>
      </c>
      <c r="AN4503" t="s">
        <v>53</v>
      </c>
      <c r="AO4503" t="s">
        <v>53</v>
      </c>
      <c r="AP4503" t="s">
        <v>53</v>
      </c>
    </row>
    <row r="4504" spans="2:42" x14ac:dyDescent="0.2">
      <c r="B4504" t="s">
        <v>44</v>
      </c>
      <c r="C4504" t="str">
        <f>HYPERLINK("https://us2.cloudbeds.com/connect/8493803454333002#/reservations/9080486845913665?display=24MMQRC2PV&amp;reservation_id=9080486845913665", "24MMQRC2PV")</f>
        <v>24MMQRC2PV</v>
      </c>
      <c r="D4504" t="s">
        <v>45</v>
      </c>
      <c r="E4504" t="s">
        <v>406</v>
      </c>
      <c r="F4504" t="s">
        <v>61</v>
      </c>
      <c r="G4504" t="s">
        <v>48</v>
      </c>
      <c r="H4504" t="s">
        <v>49</v>
      </c>
      <c r="I4504" t="s">
        <v>62</v>
      </c>
      <c r="J4504" t="s">
        <v>7109</v>
      </c>
      <c r="K4504" t="s">
        <v>6807</v>
      </c>
      <c r="L4504" t="s">
        <v>53</v>
      </c>
      <c r="N4504" t="s">
        <v>7835</v>
      </c>
      <c r="P4504" t="s">
        <v>55</v>
      </c>
      <c r="R4504" t="s">
        <v>56</v>
      </c>
      <c r="T4504" t="s">
        <v>7836</v>
      </c>
      <c r="U4504" t="s">
        <v>55</v>
      </c>
      <c r="V4504">
        <v>2</v>
      </c>
      <c r="W4504">
        <v>1</v>
      </c>
      <c r="X4504">
        <v>1</v>
      </c>
      <c r="Y4504">
        <v>0</v>
      </c>
      <c r="Z4504">
        <v>1</v>
      </c>
      <c r="AA4504">
        <v>184</v>
      </c>
      <c r="AB4504">
        <v>184</v>
      </c>
      <c r="AC4504">
        <v>184</v>
      </c>
      <c r="AD4504">
        <v>0</v>
      </c>
      <c r="AE4504">
        <v>0</v>
      </c>
      <c r="AF4504">
        <v>0</v>
      </c>
      <c r="AG4504">
        <v>0</v>
      </c>
      <c r="AH4504">
        <v>0</v>
      </c>
      <c r="AI4504">
        <v>33.119999999999997</v>
      </c>
      <c r="AJ4504">
        <v>184</v>
      </c>
      <c r="AK4504">
        <v>0</v>
      </c>
      <c r="AL4504" t="s">
        <v>53</v>
      </c>
      <c r="AM4504" t="s">
        <v>53</v>
      </c>
      <c r="AN4504" t="s">
        <v>53</v>
      </c>
      <c r="AO4504" t="s">
        <v>53</v>
      </c>
      <c r="AP4504" t="s">
        <v>53</v>
      </c>
    </row>
    <row r="4505" spans="2:42" x14ac:dyDescent="0.2">
      <c r="B4505" t="s">
        <v>44</v>
      </c>
      <c r="C4505" t="str">
        <f>HYPERLINK("https://us2.cloudbeds.com/connect/8493803454333002#/reservations/9080486845913694?display=24MZ21GYT1&amp;reservation_id=9080486845913694", "24MZ21GYT1")</f>
        <v>24MZ21GYT1</v>
      </c>
      <c r="D4505" t="s">
        <v>45</v>
      </c>
      <c r="E4505" t="s">
        <v>179</v>
      </c>
      <c r="F4505" t="s">
        <v>47</v>
      </c>
      <c r="G4505" t="s">
        <v>48</v>
      </c>
      <c r="H4505" t="s">
        <v>49</v>
      </c>
      <c r="I4505" t="s">
        <v>50</v>
      </c>
      <c r="J4505" t="s">
        <v>6488</v>
      </c>
      <c r="K4505" t="s">
        <v>6417</v>
      </c>
      <c r="L4505" t="s">
        <v>53</v>
      </c>
      <c r="N4505" t="s">
        <v>7837</v>
      </c>
      <c r="P4505" t="s">
        <v>55</v>
      </c>
      <c r="R4505" t="s">
        <v>53</v>
      </c>
      <c r="T4505" t="s">
        <v>7838</v>
      </c>
      <c r="U4505" t="s">
        <v>58</v>
      </c>
      <c r="V4505">
        <v>4</v>
      </c>
      <c r="W4505">
        <v>1</v>
      </c>
      <c r="X4505">
        <v>2</v>
      </c>
      <c r="Y4505">
        <v>0</v>
      </c>
      <c r="Z4505">
        <v>2</v>
      </c>
      <c r="AA4505">
        <v>656.7</v>
      </c>
      <c r="AB4505">
        <v>656.7</v>
      </c>
      <c r="AC4505">
        <v>577.79999999999995</v>
      </c>
      <c r="AD4505">
        <v>0</v>
      </c>
      <c r="AE4505">
        <v>78.900000000000006</v>
      </c>
      <c r="AF4505">
        <v>0</v>
      </c>
      <c r="AG4505">
        <v>0</v>
      </c>
      <c r="AH4505">
        <v>0</v>
      </c>
      <c r="AI4505">
        <v>118.21</v>
      </c>
      <c r="AJ4505">
        <v>656.7</v>
      </c>
      <c r="AK4505">
        <v>0</v>
      </c>
      <c r="AL4505" t="s">
        <v>53</v>
      </c>
      <c r="AM4505" t="s">
        <v>53</v>
      </c>
      <c r="AN4505" t="s">
        <v>53</v>
      </c>
      <c r="AO4505" t="s">
        <v>53</v>
      </c>
      <c r="AP4505" t="s">
        <v>53</v>
      </c>
    </row>
    <row r="4506" spans="2:42" x14ac:dyDescent="0.2">
      <c r="B4506" t="s">
        <v>44</v>
      </c>
      <c r="C4506" t="str">
        <f>HYPERLINK("https://us2.cloudbeds.com/connect/8493803454333002#/reservations/9080486845914038?display=24NA2YT7X5&amp;reservation_id=9080486845914038", "24NA2YT7X5")</f>
        <v>24NA2YT7X5</v>
      </c>
      <c r="D4506" t="s">
        <v>45</v>
      </c>
      <c r="E4506" t="s">
        <v>305</v>
      </c>
      <c r="F4506" t="s">
        <v>61</v>
      </c>
      <c r="G4506" t="s">
        <v>48</v>
      </c>
      <c r="H4506" t="s">
        <v>49</v>
      </c>
      <c r="I4506" t="s">
        <v>50</v>
      </c>
      <c r="J4506" t="s">
        <v>7109</v>
      </c>
      <c r="K4506" t="s">
        <v>6877</v>
      </c>
      <c r="L4506" t="s">
        <v>53</v>
      </c>
      <c r="N4506" t="s">
        <v>7839</v>
      </c>
      <c r="P4506" t="s">
        <v>55</v>
      </c>
      <c r="R4506" t="s">
        <v>53</v>
      </c>
      <c r="T4506" t="s">
        <v>7840</v>
      </c>
      <c r="U4506" t="s">
        <v>58</v>
      </c>
      <c r="V4506">
        <v>1</v>
      </c>
      <c r="W4506">
        <v>1</v>
      </c>
      <c r="X4506">
        <v>2</v>
      </c>
      <c r="Y4506">
        <v>0</v>
      </c>
      <c r="Z4506">
        <v>2</v>
      </c>
      <c r="AA4506">
        <v>99.22</v>
      </c>
      <c r="AB4506">
        <v>99.22</v>
      </c>
      <c r="AC4506">
        <v>87.3</v>
      </c>
      <c r="AD4506">
        <v>0</v>
      </c>
      <c r="AE4506">
        <v>11.92</v>
      </c>
      <c r="AF4506">
        <v>0</v>
      </c>
      <c r="AG4506">
        <v>0</v>
      </c>
      <c r="AH4506">
        <v>0</v>
      </c>
      <c r="AI4506">
        <v>17.86</v>
      </c>
      <c r="AJ4506">
        <v>99.22</v>
      </c>
      <c r="AK4506">
        <v>0</v>
      </c>
      <c r="AL4506" t="s">
        <v>53</v>
      </c>
      <c r="AM4506" t="s">
        <v>53</v>
      </c>
      <c r="AN4506" t="s">
        <v>53</v>
      </c>
      <c r="AO4506" t="s">
        <v>53</v>
      </c>
      <c r="AP4506" t="s">
        <v>53</v>
      </c>
    </row>
    <row r="4507" spans="2:42" x14ac:dyDescent="0.2">
      <c r="B4507" t="s">
        <v>44</v>
      </c>
      <c r="C4507" t="str">
        <f>HYPERLINK("https://us2.cloudbeds.com/connect/8493803454333002#/reservations/9080486845914057?display=24NBE2CQ78&amp;reservation_id=9080486845914057", "24NBE2CQ78")</f>
        <v>24NBE2CQ78</v>
      </c>
      <c r="D4507" t="s">
        <v>45</v>
      </c>
      <c r="E4507" t="s">
        <v>185</v>
      </c>
      <c r="F4507" t="s">
        <v>47</v>
      </c>
      <c r="G4507" t="s">
        <v>48</v>
      </c>
      <c r="H4507" t="s">
        <v>49</v>
      </c>
      <c r="I4507" t="s">
        <v>50</v>
      </c>
      <c r="J4507" t="s">
        <v>6639</v>
      </c>
      <c r="K4507" t="s">
        <v>4767</v>
      </c>
      <c r="L4507" t="s">
        <v>53</v>
      </c>
      <c r="N4507" t="s">
        <v>7841</v>
      </c>
      <c r="P4507" t="s">
        <v>55</v>
      </c>
      <c r="R4507" t="s">
        <v>53</v>
      </c>
      <c r="T4507" t="s">
        <v>7842</v>
      </c>
      <c r="U4507" t="s">
        <v>58</v>
      </c>
      <c r="V4507">
        <v>1</v>
      </c>
      <c r="W4507">
        <v>1</v>
      </c>
      <c r="X4507">
        <v>2</v>
      </c>
      <c r="Y4507">
        <v>0</v>
      </c>
      <c r="Z4507">
        <v>2</v>
      </c>
      <c r="AA4507">
        <v>109.7</v>
      </c>
      <c r="AB4507">
        <v>109.7</v>
      </c>
      <c r="AC4507">
        <v>96.52</v>
      </c>
      <c r="AD4507">
        <v>0</v>
      </c>
      <c r="AE4507">
        <v>13.18</v>
      </c>
      <c r="AF4507">
        <v>0</v>
      </c>
      <c r="AG4507">
        <v>0</v>
      </c>
      <c r="AH4507">
        <v>0</v>
      </c>
      <c r="AI4507">
        <v>19.75</v>
      </c>
      <c r="AJ4507">
        <v>109.7</v>
      </c>
      <c r="AK4507">
        <v>0</v>
      </c>
      <c r="AL4507" t="s">
        <v>53</v>
      </c>
      <c r="AM4507" t="s">
        <v>53</v>
      </c>
      <c r="AN4507" t="s">
        <v>53</v>
      </c>
      <c r="AO4507" t="s">
        <v>53</v>
      </c>
      <c r="AP4507" t="s">
        <v>53</v>
      </c>
    </row>
    <row r="4508" spans="2:42" x14ac:dyDescent="0.2">
      <c r="B4508" t="s">
        <v>44</v>
      </c>
      <c r="C4508" t="str">
        <f>HYPERLINK("https://us2.cloudbeds.com/connect/8493803454333002#/reservations/9080486845914224?display=24NK7S3A8V&amp;reservation_id=9080486845914224", "24NK7S3A8V")</f>
        <v>24NK7S3A8V</v>
      </c>
      <c r="D4508" t="s">
        <v>45</v>
      </c>
      <c r="E4508" t="s">
        <v>105</v>
      </c>
      <c r="F4508" t="s">
        <v>47</v>
      </c>
      <c r="G4508" t="s">
        <v>48</v>
      </c>
      <c r="H4508" t="s">
        <v>49</v>
      </c>
      <c r="I4508" t="s">
        <v>62</v>
      </c>
      <c r="J4508" t="s">
        <v>6877</v>
      </c>
      <c r="K4508" t="s">
        <v>6807</v>
      </c>
      <c r="L4508" t="s">
        <v>53</v>
      </c>
      <c r="N4508" t="s">
        <v>7843</v>
      </c>
      <c r="P4508" t="s">
        <v>55</v>
      </c>
      <c r="R4508" t="s">
        <v>56</v>
      </c>
      <c r="T4508" t="s">
        <v>7844</v>
      </c>
      <c r="U4508" t="s">
        <v>55</v>
      </c>
      <c r="V4508">
        <v>1</v>
      </c>
      <c r="W4508">
        <v>1</v>
      </c>
      <c r="X4508">
        <v>2</v>
      </c>
      <c r="Y4508">
        <v>0</v>
      </c>
      <c r="Z4508">
        <v>2</v>
      </c>
      <c r="AA4508">
        <v>80</v>
      </c>
      <c r="AB4508">
        <v>80</v>
      </c>
      <c r="AC4508">
        <v>80</v>
      </c>
      <c r="AD4508">
        <v>0</v>
      </c>
      <c r="AE4508">
        <v>0</v>
      </c>
      <c r="AF4508">
        <v>0</v>
      </c>
      <c r="AG4508">
        <v>0</v>
      </c>
      <c r="AH4508">
        <v>0</v>
      </c>
      <c r="AI4508">
        <v>14.4</v>
      </c>
      <c r="AJ4508">
        <v>80</v>
      </c>
      <c r="AK4508">
        <v>0</v>
      </c>
      <c r="AL4508" t="s">
        <v>53</v>
      </c>
      <c r="AM4508" t="s">
        <v>53</v>
      </c>
      <c r="AN4508" t="s">
        <v>53</v>
      </c>
      <c r="AO4508" t="s">
        <v>53</v>
      </c>
      <c r="AP4508" t="s">
        <v>53</v>
      </c>
    </row>
    <row r="4509" spans="2:42" x14ac:dyDescent="0.2">
      <c r="B4509" t="s">
        <v>44</v>
      </c>
      <c r="C4509" t="str">
        <f>HYPERLINK("https://us2.cloudbeds.com/connect/8493803454333002#/reservations/9080486845914573?display=24Z9QSWD3P&amp;reservation_id=9080486845914573", "24Z9QSWD3P")</f>
        <v>24Z9QSWD3P</v>
      </c>
      <c r="D4509" t="s">
        <v>45</v>
      </c>
      <c r="E4509" t="s">
        <v>165</v>
      </c>
      <c r="F4509" t="s">
        <v>61</v>
      </c>
      <c r="G4509" t="s">
        <v>48</v>
      </c>
      <c r="H4509" t="s">
        <v>49</v>
      </c>
      <c r="I4509" t="s">
        <v>50</v>
      </c>
      <c r="J4509" t="s">
        <v>6943</v>
      </c>
      <c r="K4509" t="s">
        <v>7275</v>
      </c>
      <c r="L4509" t="s">
        <v>53</v>
      </c>
      <c r="N4509" t="s">
        <v>7845</v>
      </c>
      <c r="P4509" t="s">
        <v>55</v>
      </c>
      <c r="R4509" t="s">
        <v>53</v>
      </c>
      <c r="T4509" t="s">
        <v>7846</v>
      </c>
      <c r="U4509" t="s">
        <v>58</v>
      </c>
      <c r="V4509">
        <v>1</v>
      </c>
      <c r="W4509">
        <v>1</v>
      </c>
      <c r="X4509">
        <v>2</v>
      </c>
      <c r="Y4509">
        <v>0</v>
      </c>
      <c r="Z4509">
        <v>2</v>
      </c>
      <c r="AA4509">
        <v>190.02</v>
      </c>
      <c r="AB4509">
        <v>190.02</v>
      </c>
      <c r="AC4509">
        <v>167.2</v>
      </c>
      <c r="AD4509">
        <v>0</v>
      </c>
      <c r="AE4509">
        <v>22.82</v>
      </c>
      <c r="AF4509">
        <v>0</v>
      </c>
      <c r="AG4509">
        <v>0</v>
      </c>
      <c r="AH4509">
        <v>0</v>
      </c>
      <c r="AI4509">
        <v>34.200000000000003</v>
      </c>
      <c r="AJ4509">
        <v>190.02</v>
      </c>
      <c r="AK4509">
        <v>0</v>
      </c>
      <c r="AL4509" t="s">
        <v>53</v>
      </c>
      <c r="AM4509" t="s">
        <v>53</v>
      </c>
      <c r="AN4509" t="s">
        <v>53</v>
      </c>
      <c r="AO4509" t="s">
        <v>53</v>
      </c>
      <c r="AP4509" t="s">
        <v>53</v>
      </c>
    </row>
    <row r="4510" spans="2:42" x14ac:dyDescent="0.2">
      <c r="B4510" t="s">
        <v>44</v>
      </c>
      <c r="C4510" t="str">
        <f>HYPERLINK("https://us2.cloudbeds.com/connect/8493803454333002#/reservations/9080486845914702?display=24ZH9S9FAB&amp;reservation_id=9080486845914702", "24ZH9S9FAB")</f>
        <v>24ZH9S9FAB</v>
      </c>
      <c r="D4510" t="s">
        <v>45</v>
      </c>
      <c r="E4510" t="s">
        <v>223</v>
      </c>
      <c r="F4510" t="s">
        <v>47</v>
      </c>
      <c r="G4510" t="s">
        <v>48</v>
      </c>
      <c r="H4510" t="s">
        <v>49</v>
      </c>
      <c r="I4510" t="s">
        <v>50</v>
      </c>
      <c r="J4510" t="s">
        <v>4767</v>
      </c>
      <c r="K4510" t="s">
        <v>4768</v>
      </c>
      <c r="L4510" t="s">
        <v>53</v>
      </c>
      <c r="N4510" t="s">
        <v>7847</v>
      </c>
      <c r="P4510" t="s">
        <v>55</v>
      </c>
      <c r="R4510" t="s">
        <v>53</v>
      </c>
      <c r="T4510" t="s">
        <v>7848</v>
      </c>
      <c r="U4510" t="s">
        <v>58</v>
      </c>
      <c r="V4510">
        <v>1</v>
      </c>
      <c r="W4510">
        <v>1</v>
      </c>
      <c r="X4510">
        <v>2</v>
      </c>
      <c r="Y4510">
        <v>0</v>
      </c>
      <c r="Z4510">
        <v>2</v>
      </c>
      <c r="AA4510">
        <v>101.06</v>
      </c>
      <c r="AB4510">
        <v>101.06</v>
      </c>
      <c r="AC4510">
        <v>88.92</v>
      </c>
      <c r="AD4510">
        <v>0</v>
      </c>
      <c r="AE4510">
        <v>12.14</v>
      </c>
      <c r="AF4510">
        <v>0</v>
      </c>
      <c r="AG4510">
        <v>0</v>
      </c>
      <c r="AH4510">
        <v>0</v>
      </c>
      <c r="AI4510">
        <v>18.190000000000001</v>
      </c>
      <c r="AJ4510">
        <v>101.06</v>
      </c>
      <c r="AK4510">
        <v>0</v>
      </c>
      <c r="AL4510" t="s">
        <v>53</v>
      </c>
      <c r="AM4510" t="s">
        <v>53</v>
      </c>
      <c r="AN4510" t="s">
        <v>53</v>
      </c>
      <c r="AO4510" t="s">
        <v>53</v>
      </c>
      <c r="AP4510" t="s">
        <v>53</v>
      </c>
    </row>
    <row r="4511" spans="2:42" x14ac:dyDescent="0.2">
      <c r="B4511" t="s">
        <v>44</v>
      </c>
      <c r="C4511" t="str">
        <f>HYPERLINK("https://us2.cloudbeds.com/connect/8493803454333002#/reservations/9080486845914732?display=24ZXRFBTSH&amp;reservation_id=9080486845914732", "24ZXRFBTSH")</f>
        <v>24ZXRFBTSH</v>
      </c>
      <c r="D4511" t="s">
        <v>45</v>
      </c>
      <c r="E4511" t="s">
        <v>113</v>
      </c>
      <c r="F4511" t="s">
        <v>61</v>
      </c>
      <c r="G4511" t="s">
        <v>48</v>
      </c>
      <c r="H4511" t="s">
        <v>49</v>
      </c>
      <c r="I4511" t="s">
        <v>50</v>
      </c>
      <c r="J4511" t="s">
        <v>6943</v>
      </c>
      <c r="K4511" t="s">
        <v>7275</v>
      </c>
      <c r="L4511" t="s">
        <v>53</v>
      </c>
      <c r="N4511" t="s">
        <v>7849</v>
      </c>
      <c r="P4511" t="s">
        <v>55</v>
      </c>
      <c r="R4511" t="s">
        <v>53</v>
      </c>
      <c r="T4511" t="s">
        <v>7850</v>
      </c>
      <c r="U4511" t="s">
        <v>58</v>
      </c>
      <c r="V4511">
        <v>1</v>
      </c>
      <c r="W4511">
        <v>1</v>
      </c>
      <c r="X4511">
        <v>2</v>
      </c>
      <c r="Y4511">
        <v>0</v>
      </c>
      <c r="Z4511">
        <v>2</v>
      </c>
      <c r="AA4511">
        <v>225.03</v>
      </c>
      <c r="AB4511">
        <v>225.03</v>
      </c>
      <c r="AC4511">
        <v>198</v>
      </c>
      <c r="AD4511">
        <v>0</v>
      </c>
      <c r="AE4511">
        <v>27.03</v>
      </c>
      <c r="AF4511">
        <v>0</v>
      </c>
      <c r="AG4511">
        <v>0</v>
      </c>
      <c r="AH4511">
        <v>0</v>
      </c>
      <c r="AI4511">
        <v>40.51</v>
      </c>
      <c r="AJ4511">
        <v>225.03</v>
      </c>
      <c r="AK4511">
        <v>0</v>
      </c>
      <c r="AL4511" t="s">
        <v>53</v>
      </c>
      <c r="AM4511" t="s">
        <v>53</v>
      </c>
      <c r="AN4511" t="s">
        <v>53</v>
      </c>
      <c r="AO4511" t="s">
        <v>53</v>
      </c>
      <c r="AP4511" t="s">
        <v>53</v>
      </c>
    </row>
    <row r="4512" spans="2:42" x14ac:dyDescent="0.2">
      <c r="B4512" t="s">
        <v>44</v>
      </c>
      <c r="C4512" t="str">
        <f>HYPERLINK("https://us2.cloudbeds.com/connect/8493803454333002#/reservations/9080486845914876?display=24ZRJXX07J&amp;reservation_id=9080486845914876", "24ZRJXX07J")</f>
        <v>24ZRJXX07J</v>
      </c>
      <c r="D4512" t="s">
        <v>45</v>
      </c>
      <c r="E4512" t="s">
        <v>185</v>
      </c>
      <c r="F4512" t="s">
        <v>47</v>
      </c>
      <c r="G4512" t="s">
        <v>48</v>
      </c>
      <c r="H4512" t="s">
        <v>49</v>
      </c>
      <c r="I4512" t="s">
        <v>50</v>
      </c>
      <c r="J4512" t="s">
        <v>6807</v>
      </c>
      <c r="K4512" t="s">
        <v>6959</v>
      </c>
      <c r="L4512" t="s">
        <v>53</v>
      </c>
      <c r="N4512" t="s">
        <v>7851</v>
      </c>
      <c r="P4512" t="s">
        <v>55</v>
      </c>
      <c r="R4512" t="s">
        <v>53</v>
      </c>
      <c r="T4512" t="s">
        <v>7852</v>
      </c>
      <c r="U4512" t="s">
        <v>58</v>
      </c>
      <c r="V4512">
        <v>1</v>
      </c>
      <c r="W4512">
        <v>1</v>
      </c>
      <c r="X4512">
        <v>2</v>
      </c>
      <c r="Y4512">
        <v>0</v>
      </c>
      <c r="Z4512">
        <v>2</v>
      </c>
      <c r="AA4512">
        <v>129.9</v>
      </c>
      <c r="AB4512">
        <v>129.9</v>
      </c>
      <c r="AC4512">
        <v>114.3</v>
      </c>
      <c r="AD4512">
        <v>0</v>
      </c>
      <c r="AE4512">
        <v>15.6</v>
      </c>
      <c r="AF4512">
        <v>0</v>
      </c>
      <c r="AG4512">
        <v>0</v>
      </c>
      <c r="AH4512">
        <v>0</v>
      </c>
      <c r="AI4512">
        <v>23.38</v>
      </c>
      <c r="AJ4512">
        <v>129.9</v>
      </c>
      <c r="AK4512">
        <v>0</v>
      </c>
      <c r="AL4512" t="s">
        <v>53</v>
      </c>
      <c r="AM4512" t="s">
        <v>53</v>
      </c>
      <c r="AN4512" t="s">
        <v>53</v>
      </c>
      <c r="AO4512" t="s">
        <v>53</v>
      </c>
      <c r="AP4512" t="s">
        <v>53</v>
      </c>
    </row>
    <row r="4513" spans="2:42" x14ac:dyDescent="0.2">
      <c r="B4513" t="s">
        <v>44</v>
      </c>
      <c r="C4513" t="str">
        <f>HYPERLINK("https://us2.cloudbeds.com/connect/8493803454333002#/reservations/9080486845914880?display=24ZRJXX40D&amp;reservation_id=9080486845914880", "24ZRJXX40D")</f>
        <v>24ZRJXX40D</v>
      </c>
      <c r="D4513" t="s">
        <v>45</v>
      </c>
      <c r="E4513" t="s">
        <v>78</v>
      </c>
      <c r="F4513" t="s">
        <v>61</v>
      </c>
      <c r="G4513" t="s">
        <v>48</v>
      </c>
      <c r="H4513" t="s">
        <v>49</v>
      </c>
      <c r="I4513" t="s">
        <v>62</v>
      </c>
      <c r="J4513" t="s">
        <v>6877</v>
      </c>
      <c r="K4513" t="s">
        <v>6807</v>
      </c>
      <c r="L4513" t="s">
        <v>53</v>
      </c>
      <c r="N4513" t="s">
        <v>7853</v>
      </c>
      <c r="P4513" t="s">
        <v>55</v>
      </c>
      <c r="R4513" t="s">
        <v>1445</v>
      </c>
      <c r="T4513" t="s">
        <v>7854</v>
      </c>
      <c r="U4513" t="s">
        <v>55</v>
      </c>
      <c r="V4513">
        <v>1</v>
      </c>
      <c r="W4513">
        <v>1</v>
      </c>
      <c r="X4513">
        <v>2</v>
      </c>
      <c r="Y4513">
        <v>0</v>
      </c>
      <c r="Z4513">
        <v>2</v>
      </c>
      <c r="AA4513">
        <v>87</v>
      </c>
      <c r="AB4513">
        <v>87</v>
      </c>
      <c r="AC4513">
        <v>87</v>
      </c>
      <c r="AD4513">
        <v>0</v>
      </c>
      <c r="AE4513">
        <v>0</v>
      </c>
      <c r="AF4513">
        <v>0</v>
      </c>
      <c r="AG4513">
        <v>0</v>
      </c>
      <c r="AH4513">
        <v>0</v>
      </c>
      <c r="AI4513">
        <v>15.66</v>
      </c>
      <c r="AJ4513">
        <v>87</v>
      </c>
      <c r="AK4513">
        <v>0</v>
      </c>
      <c r="AL4513" t="s">
        <v>53</v>
      </c>
      <c r="AM4513" t="s">
        <v>53</v>
      </c>
      <c r="AN4513" t="s">
        <v>53</v>
      </c>
      <c r="AO4513" t="s">
        <v>53</v>
      </c>
      <c r="AP4513" t="s">
        <v>53</v>
      </c>
    </row>
    <row r="4514" spans="2:42" x14ac:dyDescent="0.2">
      <c r="B4514" t="s">
        <v>44</v>
      </c>
      <c r="C4514" t="str">
        <f>HYPERLINK("https://us2.cloudbeds.com/connect/8493803454333002#/reservations/9080486845914916?display=24ZTZH4JAZ&amp;reservation_id=9080486845914916", "24ZTZH4JAZ")</f>
        <v>24ZTZH4JAZ</v>
      </c>
      <c r="D4514" t="s">
        <v>45</v>
      </c>
      <c r="E4514" t="s">
        <v>179</v>
      </c>
      <c r="F4514" t="s">
        <v>47</v>
      </c>
      <c r="G4514" t="s">
        <v>48</v>
      </c>
      <c r="H4514" t="s">
        <v>49</v>
      </c>
      <c r="I4514" t="s">
        <v>50</v>
      </c>
      <c r="J4514" t="s">
        <v>6877</v>
      </c>
      <c r="K4514" t="s">
        <v>6807</v>
      </c>
      <c r="L4514" t="s">
        <v>53</v>
      </c>
      <c r="N4514" t="s">
        <v>7855</v>
      </c>
      <c r="P4514" t="s">
        <v>55</v>
      </c>
      <c r="R4514" t="s">
        <v>53</v>
      </c>
      <c r="T4514" t="s">
        <v>7856</v>
      </c>
      <c r="U4514" t="s">
        <v>58</v>
      </c>
      <c r="V4514">
        <v>1</v>
      </c>
      <c r="W4514">
        <v>1</v>
      </c>
      <c r="X4514">
        <v>2</v>
      </c>
      <c r="Y4514">
        <v>0</v>
      </c>
      <c r="Z4514">
        <v>2</v>
      </c>
      <c r="AA4514">
        <v>77.28</v>
      </c>
      <c r="AB4514">
        <v>77.28</v>
      </c>
      <c r="AC4514">
        <v>68</v>
      </c>
      <c r="AD4514">
        <v>0</v>
      </c>
      <c r="AE4514">
        <v>9.2799999999999994</v>
      </c>
      <c r="AF4514">
        <v>0</v>
      </c>
      <c r="AG4514">
        <v>0</v>
      </c>
      <c r="AH4514">
        <v>0</v>
      </c>
      <c r="AI4514">
        <v>13.91</v>
      </c>
      <c r="AJ4514">
        <v>77.28</v>
      </c>
      <c r="AK4514">
        <v>0</v>
      </c>
      <c r="AL4514" t="s">
        <v>53</v>
      </c>
      <c r="AM4514" t="s">
        <v>53</v>
      </c>
      <c r="AN4514" t="s">
        <v>53</v>
      </c>
      <c r="AO4514" t="s">
        <v>53</v>
      </c>
      <c r="AP4514" t="s">
        <v>53</v>
      </c>
    </row>
    <row r="4515" spans="2:42" x14ac:dyDescent="0.2">
      <c r="B4515" t="s">
        <v>44</v>
      </c>
      <c r="C4515" t="str">
        <f>HYPERLINK("https://us2.cloudbeds.com/connect/8493803454333002#/reservations/9080486845914939?display=24ZUUTQHZP&amp;reservation_id=9080486845914939", "24ZUUTQHZP")</f>
        <v>24ZUUTQHZP</v>
      </c>
      <c r="D4515" t="s">
        <v>45</v>
      </c>
      <c r="E4515" t="s">
        <v>128</v>
      </c>
      <c r="F4515" t="s">
        <v>86</v>
      </c>
      <c r="G4515" t="s">
        <v>48</v>
      </c>
      <c r="H4515" t="s">
        <v>49</v>
      </c>
      <c r="I4515" t="s">
        <v>50</v>
      </c>
      <c r="J4515" t="s">
        <v>6943</v>
      </c>
      <c r="K4515" t="s">
        <v>7275</v>
      </c>
      <c r="L4515" t="s">
        <v>53</v>
      </c>
      <c r="N4515" t="s">
        <v>7857</v>
      </c>
      <c r="P4515" t="s">
        <v>55</v>
      </c>
      <c r="R4515" t="s">
        <v>53</v>
      </c>
      <c r="T4515" t="s">
        <v>7858</v>
      </c>
      <c r="U4515" t="s">
        <v>58</v>
      </c>
      <c r="V4515">
        <v>1</v>
      </c>
      <c r="W4515">
        <v>1</v>
      </c>
      <c r="X4515">
        <v>2</v>
      </c>
      <c r="Y4515">
        <v>0</v>
      </c>
      <c r="Z4515">
        <v>2</v>
      </c>
      <c r="AA4515">
        <v>234.23</v>
      </c>
      <c r="AB4515">
        <v>239.66</v>
      </c>
      <c r="AC4515">
        <v>206.1</v>
      </c>
      <c r="AD4515">
        <v>5</v>
      </c>
      <c r="AE4515">
        <v>28.56</v>
      </c>
      <c r="AF4515">
        <v>0</v>
      </c>
      <c r="AG4515">
        <v>0</v>
      </c>
      <c r="AH4515">
        <v>0</v>
      </c>
      <c r="AI4515">
        <v>43.14</v>
      </c>
      <c r="AJ4515">
        <v>239.66</v>
      </c>
      <c r="AK4515">
        <v>0</v>
      </c>
      <c r="AL4515" t="s">
        <v>53</v>
      </c>
      <c r="AM4515" t="s">
        <v>53</v>
      </c>
      <c r="AN4515" t="s">
        <v>53</v>
      </c>
      <c r="AO4515" t="s">
        <v>53</v>
      </c>
      <c r="AP4515" t="s">
        <v>53</v>
      </c>
    </row>
    <row r="4516" spans="2:42" x14ac:dyDescent="0.2">
      <c r="B4516" t="s">
        <v>44</v>
      </c>
      <c r="C4516" t="str">
        <f>HYPERLINK("https://us2.cloudbeds.com/connect/8493803454333002#/reservations/9080486845916875?display=24SNRPFK0V&amp;reservation_id=9080486845916875", "24SNRPFK0V")</f>
        <v>24SNRPFK0V</v>
      </c>
      <c r="D4516" t="s">
        <v>45</v>
      </c>
      <c r="E4516" t="s">
        <v>179</v>
      </c>
      <c r="F4516" t="s">
        <v>47</v>
      </c>
      <c r="G4516" t="s">
        <v>48</v>
      </c>
      <c r="H4516" t="s">
        <v>49</v>
      </c>
      <c r="I4516" t="s">
        <v>50</v>
      </c>
      <c r="J4516" t="s">
        <v>6807</v>
      </c>
      <c r="K4516" t="s">
        <v>6959</v>
      </c>
      <c r="L4516" t="s">
        <v>53</v>
      </c>
      <c r="N4516" t="s">
        <v>7859</v>
      </c>
      <c r="P4516" t="s">
        <v>55</v>
      </c>
      <c r="R4516" t="s">
        <v>53</v>
      </c>
      <c r="T4516" t="s">
        <v>7860</v>
      </c>
      <c r="U4516" t="s">
        <v>58</v>
      </c>
      <c r="V4516">
        <v>1</v>
      </c>
      <c r="W4516">
        <v>1</v>
      </c>
      <c r="X4516">
        <v>1</v>
      </c>
      <c r="Y4516">
        <v>0</v>
      </c>
      <c r="Z4516">
        <v>1</v>
      </c>
      <c r="AA4516">
        <v>118.2</v>
      </c>
      <c r="AB4516">
        <v>118.2</v>
      </c>
      <c r="AC4516">
        <v>104</v>
      </c>
      <c r="AD4516">
        <v>0</v>
      </c>
      <c r="AE4516">
        <v>14.2</v>
      </c>
      <c r="AF4516">
        <v>0</v>
      </c>
      <c r="AG4516">
        <v>0</v>
      </c>
      <c r="AH4516">
        <v>0</v>
      </c>
      <c r="AI4516">
        <v>21.28</v>
      </c>
      <c r="AJ4516">
        <v>118.2</v>
      </c>
      <c r="AK4516">
        <v>0</v>
      </c>
      <c r="AL4516" t="s">
        <v>53</v>
      </c>
      <c r="AM4516" t="s">
        <v>53</v>
      </c>
      <c r="AN4516" t="s">
        <v>53</v>
      </c>
      <c r="AO4516" t="s">
        <v>53</v>
      </c>
      <c r="AP4516" t="s">
        <v>53</v>
      </c>
    </row>
    <row r="4517" spans="2:42" x14ac:dyDescent="0.2">
      <c r="B4517" t="s">
        <v>44</v>
      </c>
      <c r="C4517" t="str">
        <f>HYPERLINK("https://us2.cloudbeds.com/connect/8493803454333002#/reservations/9080486845917230?display=24T79HWSJ5&amp;reservation_id=9080486845917230", "24T79HWSJ5")</f>
        <v>24T79HWSJ5</v>
      </c>
      <c r="D4517" t="s">
        <v>45</v>
      </c>
      <c r="E4517" t="s">
        <v>213</v>
      </c>
      <c r="F4517" t="s">
        <v>86</v>
      </c>
      <c r="G4517" t="s">
        <v>48</v>
      </c>
      <c r="H4517" t="s">
        <v>49</v>
      </c>
      <c r="I4517" t="s">
        <v>50</v>
      </c>
      <c r="J4517" t="s">
        <v>6944</v>
      </c>
      <c r="K4517" t="s">
        <v>7861</v>
      </c>
      <c r="L4517" t="s">
        <v>53</v>
      </c>
      <c r="N4517" t="s">
        <v>7862</v>
      </c>
      <c r="P4517" t="s">
        <v>55</v>
      </c>
      <c r="R4517" t="s">
        <v>53</v>
      </c>
      <c r="T4517" t="s">
        <v>7863</v>
      </c>
      <c r="U4517" t="s">
        <v>58</v>
      </c>
      <c r="V4517">
        <v>4</v>
      </c>
      <c r="W4517">
        <v>1</v>
      </c>
      <c r="X4517">
        <v>1</v>
      </c>
      <c r="Y4517">
        <v>0</v>
      </c>
      <c r="Z4517">
        <v>1</v>
      </c>
      <c r="AA4517">
        <v>737.48</v>
      </c>
      <c r="AB4517">
        <v>737.48</v>
      </c>
      <c r="AC4517">
        <v>648.9</v>
      </c>
      <c r="AD4517">
        <v>0</v>
      </c>
      <c r="AE4517">
        <v>88.58</v>
      </c>
      <c r="AF4517">
        <v>0</v>
      </c>
      <c r="AG4517">
        <v>0</v>
      </c>
      <c r="AH4517">
        <v>0</v>
      </c>
      <c r="AI4517">
        <v>132.75</v>
      </c>
      <c r="AJ4517">
        <v>737.48</v>
      </c>
      <c r="AK4517">
        <v>0</v>
      </c>
      <c r="AL4517" t="s">
        <v>53</v>
      </c>
      <c r="AM4517" t="s">
        <v>53</v>
      </c>
      <c r="AN4517" t="s">
        <v>53</v>
      </c>
      <c r="AO4517" t="s">
        <v>53</v>
      </c>
      <c r="AP4517" t="s">
        <v>53</v>
      </c>
    </row>
    <row r="4518" spans="2:42" x14ac:dyDescent="0.2">
      <c r="B4518" t="s">
        <v>44</v>
      </c>
      <c r="C4518" t="str">
        <f>HYPERLINK("https://us2.cloudbeds.com/connect/8493803454333002#/reservations/9080486845917964?display=24U47X439H&amp;reservation_id=9080486845917964", "24U47X439H")</f>
        <v>24U47X439H</v>
      </c>
      <c r="D4518" t="s">
        <v>45</v>
      </c>
      <c r="E4518" t="s">
        <v>98</v>
      </c>
      <c r="F4518" t="s">
        <v>86</v>
      </c>
      <c r="G4518" t="s">
        <v>48</v>
      </c>
      <c r="H4518" t="s">
        <v>49</v>
      </c>
      <c r="I4518" t="s">
        <v>50</v>
      </c>
      <c r="J4518" t="s">
        <v>7864</v>
      </c>
      <c r="K4518" t="s">
        <v>6373</v>
      </c>
      <c r="L4518" t="s">
        <v>53</v>
      </c>
      <c r="N4518" t="s">
        <v>7865</v>
      </c>
      <c r="P4518" t="s">
        <v>55</v>
      </c>
      <c r="R4518" t="s">
        <v>53</v>
      </c>
      <c r="T4518" t="s">
        <v>7866</v>
      </c>
      <c r="U4518" t="s">
        <v>58</v>
      </c>
      <c r="V4518">
        <v>2</v>
      </c>
      <c r="W4518">
        <v>1</v>
      </c>
      <c r="X4518">
        <v>2</v>
      </c>
      <c r="Y4518">
        <v>0</v>
      </c>
      <c r="Z4518">
        <v>2</v>
      </c>
      <c r="AA4518">
        <v>411.18</v>
      </c>
      <c r="AB4518">
        <v>411.18</v>
      </c>
      <c r="AC4518">
        <v>361.8</v>
      </c>
      <c r="AD4518">
        <v>0</v>
      </c>
      <c r="AE4518">
        <v>49.38</v>
      </c>
      <c r="AF4518">
        <v>0</v>
      </c>
      <c r="AG4518">
        <v>0</v>
      </c>
      <c r="AH4518">
        <v>0</v>
      </c>
      <c r="AI4518">
        <v>74.010000000000005</v>
      </c>
      <c r="AJ4518">
        <v>411.18</v>
      </c>
      <c r="AK4518">
        <v>0</v>
      </c>
      <c r="AL4518" t="s">
        <v>53</v>
      </c>
      <c r="AM4518" t="s">
        <v>53</v>
      </c>
      <c r="AN4518" t="s">
        <v>53</v>
      </c>
      <c r="AO4518" t="s">
        <v>53</v>
      </c>
      <c r="AP4518" t="s">
        <v>53</v>
      </c>
    </row>
    <row r="4519" spans="2:42" x14ac:dyDescent="0.2">
      <c r="B4519" t="s">
        <v>44</v>
      </c>
      <c r="C4519" t="str">
        <f>HYPERLINK("https://us2.cloudbeds.com/connect/8493803454333002#/reservations/9080486845917987?display=24U5AW876T&amp;reservation_id=9080486845917987", "24U5AW876T")</f>
        <v>24U5AW876T</v>
      </c>
      <c r="D4519" t="s">
        <v>45</v>
      </c>
      <c r="E4519" t="s">
        <v>213</v>
      </c>
      <c r="F4519" t="s">
        <v>86</v>
      </c>
      <c r="G4519" t="s">
        <v>48</v>
      </c>
      <c r="H4519" t="s">
        <v>49</v>
      </c>
      <c r="I4519" t="s">
        <v>50</v>
      </c>
      <c r="J4519" t="s">
        <v>7864</v>
      </c>
      <c r="K4519" t="s">
        <v>6373</v>
      </c>
      <c r="L4519" t="s">
        <v>53</v>
      </c>
      <c r="N4519" t="s">
        <v>7867</v>
      </c>
      <c r="P4519" t="s">
        <v>55</v>
      </c>
      <c r="R4519" t="s">
        <v>53</v>
      </c>
      <c r="T4519" t="s">
        <v>7868</v>
      </c>
      <c r="U4519" t="s">
        <v>58</v>
      </c>
      <c r="V4519">
        <v>2</v>
      </c>
      <c r="W4519">
        <v>1</v>
      </c>
      <c r="X4519">
        <v>2</v>
      </c>
      <c r="Y4519">
        <v>0</v>
      </c>
      <c r="Z4519">
        <v>2</v>
      </c>
      <c r="AA4519">
        <v>390.61</v>
      </c>
      <c r="AB4519">
        <v>390.61</v>
      </c>
      <c r="AC4519">
        <v>343.7</v>
      </c>
      <c r="AD4519">
        <v>0</v>
      </c>
      <c r="AE4519">
        <v>46.91</v>
      </c>
      <c r="AF4519">
        <v>0</v>
      </c>
      <c r="AG4519">
        <v>0</v>
      </c>
      <c r="AH4519">
        <v>0</v>
      </c>
      <c r="AI4519">
        <v>70.31</v>
      </c>
      <c r="AJ4519">
        <v>390.61</v>
      </c>
      <c r="AK4519">
        <v>0</v>
      </c>
      <c r="AL4519" t="s">
        <v>53</v>
      </c>
      <c r="AM4519" t="s">
        <v>53</v>
      </c>
      <c r="AN4519" t="s">
        <v>53</v>
      </c>
      <c r="AO4519" t="s">
        <v>53</v>
      </c>
      <c r="AP4519" t="s">
        <v>53</v>
      </c>
    </row>
    <row r="4520" spans="2:42" x14ac:dyDescent="0.2">
      <c r="B4520" t="s">
        <v>44</v>
      </c>
      <c r="C4520" t="str">
        <f>HYPERLINK("https://us2.cloudbeds.com/connect/8493803454333002#/reservations/99744615002294?display=24UDH3DNPJ&amp;reservation_id=99744615002294", "24UDH3DNPJ")</f>
        <v>24UDH3DNPJ</v>
      </c>
      <c r="D4520" t="s">
        <v>45</v>
      </c>
      <c r="E4520" t="s">
        <v>78</v>
      </c>
      <c r="F4520" t="s">
        <v>61</v>
      </c>
      <c r="G4520" t="s">
        <v>48</v>
      </c>
      <c r="H4520" t="s">
        <v>3957</v>
      </c>
      <c r="I4520" t="s">
        <v>3975</v>
      </c>
      <c r="J4520" t="s">
        <v>5963</v>
      </c>
      <c r="K4520" t="s">
        <v>5622</v>
      </c>
      <c r="L4520" t="s">
        <v>53</v>
      </c>
      <c r="P4520" t="s">
        <v>55</v>
      </c>
      <c r="R4520" t="s">
        <v>53</v>
      </c>
      <c r="T4520" t="s">
        <v>7869</v>
      </c>
      <c r="U4520" t="s">
        <v>58</v>
      </c>
      <c r="V4520">
        <v>1</v>
      </c>
      <c r="W4520">
        <v>1</v>
      </c>
      <c r="X4520">
        <v>2</v>
      </c>
      <c r="Y4520">
        <v>0</v>
      </c>
      <c r="Z4520">
        <v>2</v>
      </c>
      <c r="AA4520">
        <v>162.53</v>
      </c>
      <c r="AB4520">
        <v>162.53</v>
      </c>
      <c r="AC4520">
        <v>143</v>
      </c>
      <c r="AD4520">
        <v>0</v>
      </c>
      <c r="AE4520">
        <v>19.53</v>
      </c>
      <c r="AF4520">
        <v>0</v>
      </c>
      <c r="AG4520">
        <v>0</v>
      </c>
      <c r="AH4520">
        <v>0</v>
      </c>
      <c r="AI4520">
        <v>0</v>
      </c>
      <c r="AJ4520">
        <v>162.53</v>
      </c>
      <c r="AK4520">
        <v>0</v>
      </c>
      <c r="AL4520" t="s">
        <v>53</v>
      </c>
      <c r="AM4520" t="s">
        <v>53</v>
      </c>
      <c r="AN4520" t="s">
        <v>53</v>
      </c>
      <c r="AO4520" t="s">
        <v>53</v>
      </c>
      <c r="AP4520" t="s">
        <v>53</v>
      </c>
    </row>
    <row r="4521" spans="2:42" x14ac:dyDescent="0.2">
      <c r="B4521" t="s">
        <v>44</v>
      </c>
      <c r="C4521" t="str">
        <f>HYPERLINK("https://us2.cloudbeds.com/connect/8493803454333002#/reservations/9080486845918734?display=24V3UVEG8D&amp;reservation_id=9080486845918734", "24V3UVEG8D")</f>
        <v>24V3UVEG8D</v>
      </c>
      <c r="D4521" t="s">
        <v>45</v>
      </c>
      <c r="E4521" t="s">
        <v>223</v>
      </c>
      <c r="F4521" t="s">
        <v>47</v>
      </c>
      <c r="G4521" t="s">
        <v>48</v>
      </c>
      <c r="H4521" t="s">
        <v>49</v>
      </c>
      <c r="I4521" t="s">
        <v>50</v>
      </c>
      <c r="J4521" t="s">
        <v>6807</v>
      </c>
      <c r="K4521" t="s">
        <v>6959</v>
      </c>
      <c r="L4521" t="s">
        <v>53</v>
      </c>
      <c r="N4521" t="s">
        <v>7870</v>
      </c>
      <c r="P4521" t="s">
        <v>55</v>
      </c>
      <c r="R4521" t="s">
        <v>53</v>
      </c>
      <c r="T4521" t="s">
        <v>7871</v>
      </c>
      <c r="U4521" t="s">
        <v>58</v>
      </c>
      <c r="V4521">
        <v>1</v>
      </c>
      <c r="W4521">
        <v>1</v>
      </c>
      <c r="X4521">
        <v>2</v>
      </c>
      <c r="Y4521">
        <v>0</v>
      </c>
      <c r="Z4521">
        <v>2</v>
      </c>
      <c r="AA4521">
        <v>125.58</v>
      </c>
      <c r="AB4521">
        <v>125.58</v>
      </c>
      <c r="AC4521">
        <v>110.5</v>
      </c>
      <c r="AD4521">
        <v>0</v>
      </c>
      <c r="AE4521">
        <v>15.08</v>
      </c>
      <c r="AF4521">
        <v>0</v>
      </c>
      <c r="AG4521">
        <v>0</v>
      </c>
      <c r="AH4521">
        <v>0</v>
      </c>
      <c r="AI4521">
        <v>22.6</v>
      </c>
      <c r="AJ4521">
        <v>125.58</v>
      </c>
      <c r="AK4521">
        <v>0</v>
      </c>
      <c r="AL4521" t="s">
        <v>53</v>
      </c>
      <c r="AM4521" t="s">
        <v>53</v>
      </c>
      <c r="AN4521" t="s">
        <v>53</v>
      </c>
      <c r="AO4521" t="s">
        <v>53</v>
      </c>
      <c r="AP4521" t="s">
        <v>53</v>
      </c>
    </row>
    <row r="4522" spans="2:42" x14ac:dyDescent="0.2">
      <c r="B4522" t="s">
        <v>44</v>
      </c>
      <c r="C4522" t="str">
        <f>HYPERLINK("https://us2.cloudbeds.com/connect/8493803454333002#/reservations/9080486845919069?display=24VNMB2Y3B&amp;reservation_id=9080486845919069", "24VNMB2Y3B")</f>
        <v>24VNMB2Y3B</v>
      </c>
      <c r="D4522" t="s">
        <v>45</v>
      </c>
      <c r="E4522" t="s">
        <v>138</v>
      </c>
      <c r="F4522" t="s">
        <v>70</v>
      </c>
      <c r="G4522" t="s">
        <v>48</v>
      </c>
      <c r="H4522" t="s">
        <v>49</v>
      </c>
      <c r="I4522" t="s">
        <v>62</v>
      </c>
      <c r="J4522" t="s">
        <v>7414</v>
      </c>
      <c r="K4522" t="s">
        <v>7872</v>
      </c>
      <c r="L4522" t="s">
        <v>53</v>
      </c>
      <c r="N4522" t="s">
        <v>7873</v>
      </c>
      <c r="P4522" t="s">
        <v>55</v>
      </c>
      <c r="R4522" t="s">
        <v>56</v>
      </c>
      <c r="T4522" t="s">
        <v>7874</v>
      </c>
      <c r="U4522" t="s">
        <v>55</v>
      </c>
      <c r="V4522">
        <v>1</v>
      </c>
      <c r="W4522">
        <v>1</v>
      </c>
      <c r="X4522">
        <v>1</v>
      </c>
      <c r="Y4522">
        <v>0</v>
      </c>
      <c r="Z4522">
        <v>1</v>
      </c>
      <c r="AA4522">
        <v>143.44999999999999</v>
      </c>
      <c r="AB4522">
        <v>143.44999999999999</v>
      </c>
      <c r="AC4522">
        <v>143.44999999999999</v>
      </c>
      <c r="AD4522">
        <v>0</v>
      </c>
      <c r="AE4522">
        <v>0</v>
      </c>
      <c r="AF4522">
        <v>0</v>
      </c>
      <c r="AG4522">
        <v>0</v>
      </c>
      <c r="AH4522">
        <v>0</v>
      </c>
      <c r="AI4522">
        <v>25.82</v>
      </c>
      <c r="AJ4522">
        <v>143.44999999999999</v>
      </c>
      <c r="AK4522">
        <v>0</v>
      </c>
      <c r="AL4522" t="s">
        <v>53</v>
      </c>
      <c r="AM4522" t="s">
        <v>53</v>
      </c>
      <c r="AN4522" t="s">
        <v>53</v>
      </c>
      <c r="AO4522" t="s">
        <v>53</v>
      </c>
      <c r="AP4522" t="s">
        <v>53</v>
      </c>
    </row>
    <row r="4523" spans="2:42" x14ac:dyDescent="0.2">
      <c r="B4523" t="s">
        <v>44</v>
      </c>
      <c r="C4523" t="str">
        <f>HYPERLINK("https://us2.cloudbeds.com/connect/8493803454333002#/reservations/9080486845919142?display=24VS0DE0HC&amp;reservation_id=9080486845919142", "24VS0DE0HC")</f>
        <v>24VS0DE0HC</v>
      </c>
      <c r="D4523" t="s">
        <v>45</v>
      </c>
      <c r="E4523" t="s">
        <v>179</v>
      </c>
      <c r="F4523" t="s">
        <v>47</v>
      </c>
      <c r="G4523" t="s">
        <v>48</v>
      </c>
      <c r="H4523" t="s">
        <v>49</v>
      </c>
      <c r="I4523" t="s">
        <v>50</v>
      </c>
      <c r="J4523" t="s">
        <v>4158</v>
      </c>
      <c r="K4523" t="s">
        <v>6544</v>
      </c>
      <c r="L4523" t="s">
        <v>53</v>
      </c>
      <c r="N4523" t="s">
        <v>7875</v>
      </c>
      <c r="P4523" t="s">
        <v>55</v>
      </c>
      <c r="R4523" t="s">
        <v>53</v>
      </c>
      <c r="T4523" t="s">
        <v>7876</v>
      </c>
      <c r="U4523" t="s">
        <v>58</v>
      </c>
      <c r="V4523">
        <v>1</v>
      </c>
      <c r="W4523">
        <v>1</v>
      </c>
      <c r="X4523">
        <v>1</v>
      </c>
      <c r="Y4523">
        <v>0</v>
      </c>
      <c r="Z4523">
        <v>1</v>
      </c>
      <c r="AA4523">
        <v>83.87</v>
      </c>
      <c r="AB4523">
        <v>83.87</v>
      </c>
      <c r="AC4523">
        <v>73.8</v>
      </c>
      <c r="AD4523">
        <v>0</v>
      </c>
      <c r="AE4523">
        <v>10.07</v>
      </c>
      <c r="AF4523">
        <v>0</v>
      </c>
      <c r="AG4523">
        <v>0</v>
      </c>
      <c r="AH4523">
        <v>0</v>
      </c>
      <c r="AI4523">
        <v>15.1</v>
      </c>
      <c r="AJ4523">
        <v>83.87</v>
      </c>
      <c r="AK4523">
        <v>0</v>
      </c>
      <c r="AL4523" t="s">
        <v>53</v>
      </c>
      <c r="AM4523" t="s">
        <v>53</v>
      </c>
      <c r="AN4523" t="s">
        <v>53</v>
      </c>
      <c r="AO4523" t="s">
        <v>53</v>
      </c>
      <c r="AP4523" t="s">
        <v>53</v>
      </c>
    </row>
    <row r="4524" spans="2:42" x14ac:dyDescent="0.2">
      <c r="B4524" t="s">
        <v>44</v>
      </c>
      <c r="C4524" t="str">
        <f>HYPERLINK("https://us2.cloudbeds.com/connect/8493803454333002#/reservations/9080486845919215?display=24VWES9JW0&amp;reservation_id=9080486845919215", "24VWES9JW0")</f>
        <v>24VWES9JW0</v>
      </c>
      <c r="D4524" t="s">
        <v>45</v>
      </c>
      <c r="E4524" t="s">
        <v>487</v>
      </c>
      <c r="F4524" t="s">
        <v>61</v>
      </c>
      <c r="G4524" t="s">
        <v>48</v>
      </c>
      <c r="H4524" t="s">
        <v>49</v>
      </c>
      <c r="I4524" t="s">
        <v>62</v>
      </c>
      <c r="J4524" t="s">
        <v>6544</v>
      </c>
      <c r="K4524" t="s">
        <v>6818</v>
      </c>
      <c r="L4524" t="s">
        <v>53</v>
      </c>
      <c r="N4524" t="s">
        <v>7877</v>
      </c>
      <c r="P4524" t="s">
        <v>55</v>
      </c>
      <c r="R4524" t="s">
        <v>56</v>
      </c>
      <c r="T4524" t="s">
        <v>7878</v>
      </c>
      <c r="U4524" t="s">
        <v>55</v>
      </c>
      <c r="V4524">
        <v>2</v>
      </c>
      <c r="W4524">
        <v>1</v>
      </c>
      <c r="X4524">
        <v>2</v>
      </c>
      <c r="Y4524">
        <v>0</v>
      </c>
      <c r="Z4524">
        <v>2</v>
      </c>
      <c r="AA4524">
        <v>186</v>
      </c>
      <c r="AB4524">
        <v>186</v>
      </c>
      <c r="AC4524">
        <v>186</v>
      </c>
      <c r="AD4524">
        <v>0</v>
      </c>
      <c r="AE4524">
        <v>0</v>
      </c>
      <c r="AF4524">
        <v>0</v>
      </c>
      <c r="AG4524">
        <v>0</v>
      </c>
      <c r="AH4524">
        <v>0</v>
      </c>
      <c r="AI4524">
        <v>33.479999999999997</v>
      </c>
      <c r="AJ4524">
        <v>186</v>
      </c>
      <c r="AK4524">
        <v>0</v>
      </c>
      <c r="AL4524" t="s">
        <v>53</v>
      </c>
      <c r="AM4524" t="s">
        <v>53</v>
      </c>
      <c r="AN4524" t="s">
        <v>53</v>
      </c>
      <c r="AO4524" t="s">
        <v>53</v>
      </c>
      <c r="AP4524" t="s">
        <v>53</v>
      </c>
    </row>
    <row r="4525" spans="2:42" x14ac:dyDescent="0.2">
      <c r="B4525" t="s">
        <v>44</v>
      </c>
      <c r="C4525" t="str">
        <f>HYPERLINK("https://us2.cloudbeds.com/connect/8493803454333002#/reservations/9080486845919489?display=24WX78V211&amp;reservation_id=9080486845919489", "24WX78V211")</f>
        <v>24WX78V211</v>
      </c>
      <c r="D4525" t="s">
        <v>45</v>
      </c>
      <c r="E4525" t="s">
        <v>190</v>
      </c>
      <c r="F4525" t="s">
        <v>61</v>
      </c>
      <c r="G4525" t="s">
        <v>48</v>
      </c>
      <c r="H4525" t="s">
        <v>49</v>
      </c>
      <c r="I4525" t="s">
        <v>50</v>
      </c>
      <c r="J4525" t="s">
        <v>6877</v>
      </c>
      <c r="K4525" t="s">
        <v>6807</v>
      </c>
      <c r="L4525" t="s">
        <v>53</v>
      </c>
      <c r="N4525" t="s">
        <v>7879</v>
      </c>
      <c r="P4525" t="s">
        <v>55</v>
      </c>
      <c r="R4525" t="s">
        <v>53</v>
      </c>
      <c r="T4525" t="s">
        <v>7880</v>
      </c>
      <c r="U4525" t="s">
        <v>58</v>
      </c>
      <c r="V4525">
        <v>1</v>
      </c>
      <c r="W4525">
        <v>1</v>
      </c>
      <c r="X4525">
        <v>2</v>
      </c>
      <c r="Y4525">
        <v>0</v>
      </c>
      <c r="Z4525">
        <v>2</v>
      </c>
      <c r="AA4525">
        <v>95.12</v>
      </c>
      <c r="AB4525">
        <v>95.12</v>
      </c>
      <c r="AC4525">
        <v>83.7</v>
      </c>
      <c r="AD4525">
        <v>0</v>
      </c>
      <c r="AE4525">
        <v>11.42</v>
      </c>
      <c r="AF4525">
        <v>0</v>
      </c>
      <c r="AG4525">
        <v>0</v>
      </c>
      <c r="AH4525">
        <v>0</v>
      </c>
      <c r="AI4525">
        <v>17.12</v>
      </c>
      <c r="AJ4525">
        <v>95.12</v>
      </c>
      <c r="AK4525">
        <v>0</v>
      </c>
      <c r="AL4525" t="s">
        <v>53</v>
      </c>
      <c r="AM4525" t="s">
        <v>53</v>
      </c>
      <c r="AN4525" t="s">
        <v>53</v>
      </c>
      <c r="AO4525" t="s">
        <v>53</v>
      </c>
      <c r="AP4525" t="s">
        <v>53</v>
      </c>
    </row>
    <row r="4526" spans="2:42" x14ac:dyDescent="0.2">
      <c r="B4526" t="s">
        <v>44</v>
      </c>
      <c r="C4526" t="str">
        <f>HYPERLINK("https://us2.cloudbeds.com/connect/8493803454333002#/reservations/9080486845919626?display=24WR29AHWR&amp;reservation_id=9080486845919626", "24WR29AHWR")</f>
        <v>24WR29AHWR</v>
      </c>
      <c r="D4526" t="s">
        <v>45</v>
      </c>
      <c r="E4526" t="s">
        <v>381</v>
      </c>
      <c r="F4526" t="s">
        <v>47</v>
      </c>
      <c r="G4526" t="s">
        <v>48</v>
      </c>
      <c r="H4526" t="s">
        <v>49</v>
      </c>
      <c r="I4526" t="s">
        <v>62</v>
      </c>
      <c r="J4526" t="s">
        <v>6233</v>
      </c>
      <c r="K4526" t="s">
        <v>6819</v>
      </c>
      <c r="L4526" t="s">
        <v>53</v>
      </c>
      <c r="N4526" t="s">
        <v>7881</v>
      </c>
      <c r="P4526" t="s">
        <v>55</v>
      </c>
      <c r="R4526" t="s">
        <v>56</v>
      </c>
      <c r="T4526" t="s">
        <v>7882</v>
      </c>
      <c r="U4526" t="s">
        <v>55</v>
      </c>
      <c r="V4526">
        <v>5</v>
      </c>
      <c r="W4526">
        <v>1</v>
      </c>
      <c r="X4526">
        <v>2</v>
      </c>
      <c r="Y4526">
        <v>0</v>
      </c>
      <c r="Z4526">
        <v>2</v>
      </c>
      <c r="AA4526">
        <v>433</v>
      </c>
      <c r="AB4526">
        <v>433</v>
      </c>
      <c r="AC4526">
        <v>433</v>
      </c>
      <c r="AD4526">
        <v>0</v>
      </c>
      <c r="AE4526">
        <v>0</v>
      </c>
      <c r="AF4526">
        <v>0</v>
      </c>
      <c r="AG4526">
        <v>0</v>
      </c>
      <c r="AH4526">
        <v>0</v>
      </c>
      <c r="AI4526">
        <v>77.94</v>
      </c>
      <c r="AJ4526">
        <v>433</v>
      </c>
      <c r="AK4526">
        <v>0</v>
      </c>
      <c r="AL4526" t="s">
        <v>53</v>
      </c>
      <c r="AM4526" t="s">
        <v>53</v>
      </c>
      <c r="AN4526" t="s">
        <v>53</v>
      </c>
      <c r="AO4526" t="s">
        <v>53</v>
      </c>
      <c r="AP4526" t="s">
        <v>53</v>
      </c>
    </row>
    <row r="4527" spans="2:42" x14ac:dyDescent="0.2">
      <c r="B4527" t="s">
        <v>44</v>
      </c>
      <c r="C4527" t="str">
        <f>HYPERLINK("https://us2.cloudbeds.com/connect/8493803454333002#/reservations/9080486845919688?display=24WU6TUN24&amp;reservation_id=9080486845919688", "24WU6TUN24")</f>
        <v>24WU6TUN24</v>
      </c>
      <c r="D4527" t="s">
        <v>45</v>
      </c>
      <c r="E4527" t="s">
        <v>121</v>
      </c>
      <c r="F4527" t="s">
        <v>86</v>
      </c>
      <c r="G4527" t="s">
        <v>48</v>
      </c>
      <c r="H4527" t="s">
        <v>49</v>
      </c>
      <c r="I4527" t="s">
        <v>62</v>
      </c>
      <c r="J4527" t="s">
        <v>6335</v>
      </c>
      <c r="K4527" t="s">
        <v>4442</v>
      </c>
      <c r="L4527" t="s">
        <v>53</v>
      </c>
      <c r="N4527" t="s">
        <v>7883</v>
      </c>
      <c r="P4527" t="s">
        <v>55</v>
      </c>
      <c r="R4527" t="s">
        <v>56</v>
      </c>
      <c r="T4527" t="s">
        <v>7884</v>
      </c>
      <c r="U4527" t="s">
        <v>55</v>
      </c>
      <c r="V4527">
        <v>3</v>
      </c>
      <c r="W4527">
        <v>1</v>
      </c>
      <c r="X4527">
        <v>2</v>
      </c>
      <c r="Y4527">
        <v>0</v>
      </c>
      <c r="Z4527">
        <v>2</v>
      </c>
      <c r="AA4527">
        <v>462</v>
      </c>
      <c r="AB4527">
        <v>470.13</v>
      </c>
      <c r="AC4527">
        <v>462</v>
      </c>
      <c r="AD4527">
        <v>7.5</v>
      </c>
      <c r="AE4527">
        <v>0.63</v>
      </c>
      <c r="AF4527">
        <v>0</v>
      </c>
      <c r="AG4527">
        <v>0</v>
      </c>
      <c r="AH4527">
        <v>0</v>
      </c>
      <c r="AI4527">
        <v>84.62</v>
      </c>
      <c r="AJ4527">
        <v>470.13</v>
      </c>
      <c r="AK4527">
        <v>0</v>
      </c>
      <c r="AL4527" t="s">
        <v>53</v>
      </c>
      <c r="AM4527" t="s">
        <v>53</v>
      </c>
      <c r="AN4527" t="s">
        <v>53</v>
      </c>
      <c r="AO4527" t="s">
        <v>53</v>
      </c>
      <c r="AP4527" t="s">
        <v>53</v>
      </c>
    </row>
    <row r="4528" spans="2:42" x14ac:dyDescent="0.2">
      <c r="B4528" t="s">
        <v>44</v>
      </c>
      <c r="C4528" t="str">
        <f>HYPERLINK("https://us2.cloudbeds.com/connect/8493803454333002#/reservations/9080486845919800?display=2504PJ9X95&amp;reservation_id=9080486845919800", "2504PJ9X95")</f>
        <v>2504PJ9X95</v>
      </c>
      <c r="D4528" t="s">
        <v>45</v>
      </c>
      <c r="E4528" t="s">
        <v>487</v>
      </c>
      <c r="F4528" t="s">
        <v>61</v>
      </c>
      <c r="G4528" t="s">
        <v>48</v>
      </c>
      <c r="H4528" t="s">
        <v>49</v>
      </c>
      <c r="I4528" t="s">
        <v>50</v>
      </c>
      <c r="J4528" t="s">
        <v>5430</v>
      </c>
      <c r="K4528" t="s">
        <v>6335</v>
      </c>
      <c r="L4528" t="s">
        <v>53</v>
      </c>
      <c r="N4528" t="s">
        <v>7885</v>
      </c>
      <c r="P4528" t="s">
        <v>55</v>
      </c>
      <c r="R4528" t="s">
        <v>53</v>
      </c>
      <c r="T4528" t="s">
        <v>7886</v>
      </c>
      <c r="U4528" t="s">
        <v>58</v>
      </c>
      <c r="V4528">
        <v>2</v>
      </c>
      <c r="W4528">
        <v>1</v>
      </c>
      <c r="X4528">
        <v>2</v>
      </c>
      <c r="Y4528">
        <v>0</v>
      </c>
      <c r="Z4528">
        <v>2</v>
      </c>
      <c r="AA4528">
        <v>312.99</v>
      </c>
      <c r="AB4528">
        <v>312.99</v>
      </c>
      <c r="AC4528">
        <v>275.39999999999998</v>
      </c>
      <c r="AD4528">
        <v>0</v>
      </c>
      <c r="AE4528">
        <v>37.590000000000003</v>
      </c>
      <c r="AF4528">
        <v>0</v>
      </c>
      <c r="AG4528">
        <v>0</v>
      </c>
      <c r="AH4528">
        <v>0</v>
      </c>
      <c r="AI4528">
        <v>56.34</v>
      </c>
      <c r="AJ4528">
        <v>312.99</v>
      </c>
      <c r="AK4528">
        <v>0</v>
      </c>
      <c r="AL4528" t="s">
        <v>53</v>
      </c>
      <c r="AM4528" t="s">
        <v>53</v>
      </c>
      <c r="AN4528" t="s">
        <v>53</v>
      </c>
      <c r="AO4528" t="s">
        <v>53</v>
      </c>
      <c r="AP4528" t="s">
        <v>53</v>
      </c>
    </row>
    <row r="4529" spans="2:42" x14ac:dyDescent="0.2">
      <c r="B4529" t="s">
        <v>44</v>
      </c>
      <c r="C4529" t="str">
        <f>HYPERLINK("https://us2.cloudbeds.com/connect/8493803454333002#/reservations/9080486845921455?display=253Z7JBUYT&amp;reservation_id=9080486845921455", "253Z7JBUYT")</f>
        <v>253Z7JBUYT</v>
      </c>
      <c r="D4529" t="s">
        <v>45</v>
      </c>
      <c r="E4529" t="s">
        <v>128</v>
      </c>
      <c r="F4529" t="s">
        <v>86</v>
      </c>
      <c r="G4529" t="s">
        <v>48</v>
      </c>
      <c r="H4529" t="s">
        <v>49</v>
      </c>
      <c r="I4529" t="s">
        <v>62</v>
      </c>
      <c r="J4529" t="s">
        <v>6639</v>
      </c>
      <c r="K4529" t="s">
        <v>4767</v>
      </c>
      <c r="L4529" t="s">
        <v>53</v>
      </c>
      <c r="N4529" t="s">
        <v>7887</v>
      </c>
      <c r="P4529" t="s">
        <v>55</v>
      </c>
      <c r="R4529" t="s">
        <v>56</v>
      </c>
      <c r="T4529" t="s">
        <v>7888</v>
      </c>
      <c r="U4529" t="s">
        <v>55</v>
      </c>
      <c r="V4529">
        <v>1</v>
      </c>
      <c r="W4529">
        <v>1</v>
      </c>
      <c r="X4529">
        <v>2</v>
      </c>
      <c r="Y4529">
        <v>0</v>
      </c>
      <c r="Z4529">
        <v>2</v>
      </c>
      <c r="AA4529">
        <v>144.4</v>
      </c>
      <c r="AB4529">
        <v>144.4</v>
      </c>
      <c r="AC4529">
        <v>144.4</v>
      </c>
      <c r="AD4529">
        <v>0</v>
      </c>
      <c r="AE4529">
        <v>0</v>
      </c>
      <c r="AF4529">
        <v>0</v>
      </c>
      <c r="AG4529">
        <v>0</v>
      </c>
      <c r="AH4529">
        <v>0</v>
      </c>
      <c r="AI4529">
        <v>25.99</v>
      </c>
      <c r="AJ4529">
        <v>144.4</v>
      </c>
      <c r="AK4529">
        <v>0</v>
      </c>
      <c r="AL4529" t="s">
        <v>53</v>
      </c>
      <c r="AM4529" t="s">
        <v>53</v>
      </c>
      <c r="AN4529" t="s">
        <v>53</v>
      </c>
      <c r="AO4529" t="s">
        <v>53</v>
      </c>
      <c r="AP4529" t="s">
        <v>53</v>
      </c>
    </row>
    <row r="4530" spans="2:42" x14ac:dyDescent="0.2">
      <c r="B4530" t="s">
        <v>44</v>
      </c>
      <c r="C4530" t="str">
        <f>HYPERLINK("https://us2.cloudbeds.com/connect/8493803454333002#/reservations/9080486845921910?display=254C9GP43P&amp;reservation_id=9080486845921910", "254C9GP43P")</f>
        <v>254C9GP43P</v>
      </c>
      <c r="D4530" t="s">
        <v>45</v>
      </c>
      <c r="E4530" t="s">
        <v>46</v>
      </c>
      <c r="F4530" t="s">
        <v>47</v>
      </c>
      <c r="G4530" t="s">
        <v>48</v>
      </c>
      <c r="H4530" t="s">
        <v>49</v>
      </c>
      <c r="I4530" t="s">
        <v>62</v>
      </c>
      <c r="J4530" t="s">
        <v>6544</v>
      </c>
      <c r="K4530" t="s">
        <v>6819</v>
      </c>
      <c r="L4530" t="s">
        <v>53</v>
      </c>
      <c r="N4530" t="s">
        <v>7889</v>
      </c>
      <c r="P4530" t="s">
        <v>55</v>
      </c>
      <c r="R4530" t="s">
        <v>56</v>
      </c>
      <c r="T4530" t="s">
        <v>7890</v>
      </c>
      <c r="U4530" t="s">
        <v>55</v>
      </c>
      <c r="V4530">
        <v>3</v>
      </c>
      <c r="W4530">
        <v>1</v>
      </c>
      <c r="X4530">
        <v>2</v>
      </c>
      <c r="Y4530">
        <v>0</v>
      </c>
      <c r="Z4530">
        <v>2</v>
      </c>
      <c r="AA4530">
        <v>271</v>
      </c>
      <c r="AB4530">
        <v>271</v>
      </c>
      <c r="AC4530">
        <v>271</v>
      </c>
      <c r="AD4530">
        <v>0</v>
      </c>
      <c r="AE4530">
        <v>0</v>
      </c>
      <c r="AF4530">
        <v>0</v>
      </c>
      <c r="AG4530">
        <v>0</v>
      </c>
      <c r="AH4530">
        <v>0</v>
      </c>
      <c r="AI4530">
        <v>48.78</v>
      </c>
      <c r="AJ4530">
        <v>271</v>
      </c>
      <c r="AK4530">
        <v>0</v>
      </c>
      <c r="AL4530" t="s">
        <v>53</v>
      </c>
      <c r="AM4530" t="s">
        <v>53</v>
      </c>
      <c r="AN4530" t="s">
        <v>53</v>
      </c>
      <c r="AO4530" t="s">
        <v>53</v>
      </c>
      <c r="AP4530" t="s">
        <v>53</v>
      </c>
    </row>
    <row r="4531" spans="2:42" x14ac:dyDescent="0.2">
      <c r="B4531" t="s">
        <v>44</v>
      </c>
      <c r="C4531" t="str">
        <f>HYPERLINK("https://us2.cloudbeds.com/connect/8493803454333002#/reservations/9080486845923033?display=255WKJPNPV&amp;reservation_id=9080486845923033", "255WKJPNPV")</f>
        <v>255WKJPNPV</v>
      </c>
      <c r="D4531" t="s">
        <v>45</v>
      </c>
      <c r="E4531" t="s">
        <v>46</v>
      </c>
      <c r="F4531" t="s">
        <v>47</v>
      </c>
      <c r="G4531" t="s">
        <v>48</v>
      </c>
      <c r="H4531" t="s">
        <v>49</v>
      </c>
      <c r="I4531" t="s">
        <v>62</v>
      </c>
      <c r="J4531" t="s">
        <v>6807</v>
      </c>
      <c r="K4531" t="s">
        <v>6959</v>
      </c>
      <c r="L4531" t="s">
        <v>53</v>
      </c>
      <c r="N4531" t="s">
        <v>7891</v>
      </c>
      <c r="P4531" t="s">
        <v>55</v>
      </c>
      <c r="R4531" t="s">
        <v>56</v>
      </c>
      <c r="T4531" t="s">
        <v>7892</v>
      </c>
      <c r="U4531" t="s">
        <v>55</v>
      </c>
      <c r="V4531">
        <v>1</v>
      </c>
      <c r="W4531">
        <v>1</v>
      </c>
      <c r="X4531">
        <v>1</v>
      </c>
      <c r="Y4531">
        <v>0</v>
      </c>
      <c r="Z4531">
        <v>1</v>
      </c>
      <c r="AA4531">
        <v>135</v>
      </c>
      <c r="AB4531">
        <v>135</v>
      </c>
      <c r="AC4531">
        <v>135</v>
      </c>
      <c r="AD4531">
        <v>0</v>
      </c>
      <c r="AE4531">
        <v>0</v>
      </c>
      <c r="AF4531">
        <v>0</v>
      </c>
      <c r="AG4531">
        <v>0</v>
      </c>
      <c r="AH4531">
        <v>0</v>
      </c>
      <c r="AI4531">
        <v>24.3</v>
      </c>
      <c r="AJ4531">
        <v>135</v>
      </c>
      <c r="AK4531">
        <v>0</v>
      </c>
      <c r="AL4531" t="s">
        <v>53</v>
      </c>
      <c r="AM4531" t="s">
        <v>53</v>
      </c>
      <c r="AN4531" t="s">
        <v>53</v>
      </c>
      <c r="AO4531" t="s">
        <v>53</v>
      </c>
      <c r="AP4531" t="s">
        <v>53</v>
      </c>
    </row>
    <row r="4532" spans="2:42" x14ac:dyDescent="0.2">
      <c r="B4532" t="s">
        <v>44</v>
      </c>
      <c r="C4532" t="str">
        <f>HYPERLINK("https://us2.cloudbeds.com/connect/8493803454333002#/reservations/9080486845923109?display=2563ERESMS&amp;reservation_id=9080486845923109", "2563ERESMS")</f>
        <v>2563ERESMS</v>
      </c>
      <c r="D4532" t="s">
        <v>45</v>
      </c>
      <c r="E4532" t="s">
        <v>373</v>
      </c>
      <c r="F4532" t="s">
        <v>47</v>
      </c>
      <c r="G4532" t="s">
        <v>48</v>
      </c>
      <c r="H4532" t="s">
        <v>49</v>
      </c>
      <c r="I4532" t="s">
        <v>50</v>
      </c>
      <c r="J4532" t="s">
        <v>4158</v>
      </c>
      <c r="K4532" t="s">
        <v>6234</v>
      </c>
      <c r="L4532" t="s">
        <v>53</v>
      </c>
      <c r="N4532" t="s">
        <v>7893</v>
      </c>
      <c r="P4532" t="s">
        <v>55</v>
      </c>
      <c r="R4532" t="s">
        <v>53</v>
      </c>
      <c r="T4532" t="s">
        <v>7894</v>
      </c>
      <c r="U4532" t="s">
        <v>58</v>
      </c>
      <c r="V4532">
        <v>2</v>
      </c>
      <c r="W4532">
        <v>1</v>
      </c>
      <c r="X4532">
        <v>1</v>
      </c>
      <c r="Y4532">
        <v>0</v>
      </c>
      <c r="Z4532">
        <v>1</v>
      </c>
      <c r="AA4532">
        <v>154.57</v>
      </c>
      <c r="AB4532">
        <v>157.28</v>
      </c>
      <c r="AC4532">
        <v>136</v>
      </c>
      <c r="AD4532">
        <v>2.5</v>
      </c>
      <c r="AE4532">
        <v>18.78</v>
      </c>
      <c r="AF4532">
        <v>0</v>
      </c>
      <c r="AG4532">
        <v>0</v>
      </c>
      <c r="AH4532">
        <v>0</v>
      </c>
      <c r="AI4532">
        <v>28.31</v>
      </c>
      <c r="AJ4532">
        <v>157.28</v>
      </c>
      <c r="AK4532">
        <v>0</v>
      </c>
      <c r="AL4532" t="s">
        <v>53</v>
      </c>
      <c r="AM4532" t="s">
        <v>53</v>
      </c>
      <c r="AN4532" t="s">
        <v>53</v>
      </c>
      <c r="AO4532" t="s">
        <v>53</v>
      </c>
      <c r="AP4532" t="s">
        <v>53</v>
      </c>
    </row>
    <row r="4533" spans="2:42" x14ac:dyDescent="0.2">
      <c r="B4533" t="s">
        <v>44</v>
      </c>
      <c r="C4533" t="str">
        <f>HYPERLINK("https://us2.cloudbeds.com/connect/8493803454333002#/reservations/9080486845923208?display=25685UQ2D2&amp;reservation_id=9080486845923208", "25685UQ2D2")</f>
        <v>25685UQ2D2</v>
      </c>
      <c r="D4533" t="s">
        <v>45</v>
      </c>
      <c r="E4533" t="s">
        <v>223</v>
      </c>
      <c r="F4533" t="s">
        <v>47</v>
      </c>
      <c r="G4533" t="s">
        <v>48</v>
      </c>
      <c r="H4533" t="s">
        <v>49</v>
      </c>
      <c r="I4533" t="s">
        <v>50</v>
      </c>
      <c r="J4533" t="s">
        <v>6818</v>
      </c>
      <c r="K4533" t="s">
        <v>7078</v>
      </c>
      <c r="L4533" t="s">
        <v>53</v>
      </c>
      <c r="N4533" t="s">
        <v>7895</v>
      </c>
      <c r="P4533" t="s">
        <v>55</v>
      </c>
      <c r="R4533" t="s">
        <v>53</v>
      </c>
      <c r="T4533" t="s">
        <v>7896</v>
      </c>
      <c r="U4533" t="s">
        <v>58</v>
      </c>
      <c r="V4533">
        <v>3</v>
      </c>
      <c r="W4533">
        <v>1</v>
      </c>
      <c r="X4533">
        <v>2</v>
      </c>
      <c r="Y4533">
        <v>0</v>
      </c>
      <c r="Z4533">
        <v>2</v>
      </c>
      <c r="AA4533">
        <v>321.85000000000002</v>
      </c>
      <c r="AB4533">
        <v>321.85000000000002</v>
      </c>
      <c r="AC4533">
        <v>283.2</v>
      </c>
      <c r="AD4533">
        <v>0</v>
      </c>
      <c r="AE4533">
        <v>38.65</v>
      </c>
      <c r="AF4533">
        <v>0</v>
      </c>
      <c r="AG4533">
        <v>0</v>
      </c>
      <c r="AH4533">
        <v>0</v>
      </c>
      <c r="AI4533">
        <v>57.93</v>
      </c>
      <c r="AJ4533">
        <v>321.85000000000002</v>
      </c>
      <c r="AK4533">
        <v>0</v>
      </c>
      <c r="AL4533" t="s">
        <v>53</v>
      </c>
      <c r="AM4533" t="s">
        <v>53</v>
      </c>
      <c r="AN4533" t="s">
        <v>53</v>
      </c>
      <c r="AO4533" t="s">
        <v>53</v>
      </c>
      <c r="AP4533" t="s">
        <v>53</v>
      </c>
    </row>
    <row r="4534" spans="2:42" x14ac:dyDescent="0.2">
      <c r="B4534" t="s">
        <v>44</v>
      </c>
      <c r="C4534" t="str">
        <f>HYPERLINK("https://us2.cloudbeds.com/connect/8493803454333002#/reservations/9080486845923496?display=256MWDHXDS&amp;reservation_id=9080486845923496", "256MWDHXDS")</f>
        <v>256MWDHXDS</v>
      </c>
      <c r="D4534" t="s">
        <v>45</v>
      </c>
      <c r="E4534" t="s">
        <v>373</v>
      </c>
      <c r="F4534" t="s">
        <v>47</v>
      </c>
      <c r="G4534" t="s">
        <v>48</v>
      </c>
      <c r="H4534" t="s">
        <v>49</v>
      </c>
      <c r="I4534" t="s">
        <v>50</v>
      </c>
      <c r="J4534" t="s">
        <v>6807</v>
      </c>
      <c r="K4534" t="s">
        <v>6959</v>
      </c>
      <c r="L4534" t="s">
        <v>53</v>
      </c>
      <c r="N4534" t="s">
        <v>7897</v>
      </c>
      <c r="P4534" t="s">
        <v>55</v>
      </c>
      <c r="R4534" t="s">
        <v>53</v>
      </c>
      <c r="T4534" t="s">
        <v>7898</v>
      </c>
      <c r="U4534" t="s">
        <v>58</v>
      </c>
      <c r="V4534">
        <v>1</v>
      </c>
      <c r="W4534">
        <v>1</v>
      </c>
      <c r="X4534">
        <v>2</v>
      </c>
      <c r="Y4534">
        <v>0</v>
      </c>
      <c r="Z4534">
        <v>2</v>
      </c>
      <c r="AA4534">
        <v>138.08000000000001</v>
      </c>
      <c r="AB4534">
        <v>138.08000000000001</v>
      </c>
      <c r="AC4534">
        <v>121.5</v>
      </c>
      <c r="AD4534">
        <v>0</v>
      </c>
      <c r="AE4534">
        <v>16.579999999999998</v>
      </c>
      <c r="AF4534">
        <v>0</v>
      </c>
      <c r="AG4534">
        <v>0</v>
      </c>
      <c r="AH4534">
        <v>0</v>
      </c>
      <c r="AI4534">
        <v>24.85</v>
      </c>
      <c r="AJ4534">
        <v>138.08000000000001</v>
      </c>
      <c r="AK4534">
        <v>0</v>
      </c>
      <c r="AL4534" t="s">
        <v>53</v>
      </c>
      <c r="AM4534" t="s">
        <v>53</v>
      </c>
      <c r="AN4534" t="s">
        <v>53</v>
      </c>
      <c r="AO4534" t="s">
        <v>53</v>
      </c>
      <c r="AP4534" t="s">
        <v>53</v>
      </c>
    </row>
    <row r="4535" spans="2:42" x14ac:dyDescent="0.2">
      <c r="B4535" t="s">
        <v>44</v>
      </c>
      <c r="C4535" t="str">
        <f>HYPERLINK("https://us2.cloudbeds.com/connect/8493803454333002#/reservations/9080486845923554?display=256RC5ZKRE&amp;reservation_id=9080486845923554", "256RC5ZKRE")</f>
        <v>256RC5ZKRE</v>
      </c>
      <c r="D4535" t="s">
        <v>45</v>
      </c>
      <c r="E4535" t="s">
        <v>98</v>
      </c>
      <c r="F4535" t="s">
        <v>86</v>
      </c>
      <c r="G4535" t="s">
        <v>48</v>
      </c>
      <c r="H4535" t="s">
        <v>49</v>
      </c>
      <c r="I4535" t="s">
        <v>50</v>
      </c>
      <c r="J4535" t="s">
        <v>6807</v>
      </c>
      <c r="K4535" t="s">
        <v>6959</v>
      </c>
      <c r="L4535" t="s">
        <v>53</v>
      </c>
      <c r="N4535" t="s">
        <v>7899</v>
      </c>
      <c r="P4535" t="s">
        <v>55</v>
      </c>
      <c r="R4535" t="s">
        <v>53</v>
      </c>
      <c r="T4535" t="s">
        <v>7900</v>
      </c>
      <c r="U4535" t="s">
        <v>58</v>
      </c>
      <c r="V4535">
        <v>1</v>
      </c>
      <c r="W4535">
        <v>1</v>
      </c>
      <c r="X4535">
        <v>2</v>
      </c>
      <c r="Y4535">
        <v>0</v>
      </c>
      <c r="Z4535">
        <v>2</v>
      </c>
      <c r="AA4535">
        <v>163.66</v>
      </c>
      <c r="AB4535">
        <v>163.66</v>
      </c>
      <c r="AC4535">
        <v>144</v>
      </c>
      <c r="AD4535">
        <v>0</v>
      </c>
      <c r="AE4535">
        <v>19.66</v>
      </c>
      <c r="AF4535">
        <v>0</v>
      </c>
      <c r="AG4535">
        <v>0</v>
      </c>
      <c r="AH4535">
        <v>0</v>
      </c>
      <c r="AI4535">
        <v>29.46</v>
      </c>
      <c r="AJ4535">
        <v>163.66</v>
      </c>
      <c r="AK4535">
        <v>0</v>
      </c>
      <c r="AL4535" t="s">
        <v>53</v>
      </c>
      <c r="AM4535" t="s">
        <v>53</v>
      </c>
      <c r="AN4535" t="s">
        <v>53</v>
      </c>
      <c r="AO4535" t="s">
        <v>53</v>
      </c>
      <c r="AP4535" t="s">
        <v>53</v>
      </c>
    </row>
    <row r="4536" spans="2:42" x14ac:dyDescent="0.2">
      <c r="B4536" t="s">
        <v>44</v>
      </c>
      <c r="C4536" t="str">
        <f>HYPERLINK("https://us2.cloudbeds.com/connect/8493803454333002#/reservations/9080486845923642?display=257001AFNB&amp;reservation_id=9080486845923642", "257001AFNB")</f>
        <v>257001AFNB</v>
      </c>
      <c r="D4536" t="s">
        <v>45</v>
      </c>
      <c r="E4536" t="s">
        <v>155</v>
      </c>
      <c r="F4536" t="s">
        <v>86</v>
      </c>
      <c r="G4536" t="s">
        <v>48</v>
      </c>
      <c r="H4536" t="s">
        <v>49</v>
      </c>
      <c r="I4536" t="s">
        <v>50</v>
      </c>
      <c r="J4536" t="s">
        <v>6416</v>
      </c>
      <c r="K4536" t="s">
        <v>7402</v>
      </c>
      <c r="L4536" t="s">
        <v>53</v>
      </c>
      <c r="N4536" t="s">
        <v>7901</v>
      </c>
      <c r="P4536" t="s">
        <v>55</v>
      </c>
      <c r="R4536" t="s">
        <v>53</v>
      </c>
      <c r="T4536" t="s">
        <v>7902</v>
      </c>
      <c r="U4536" t="s">
        <v>58</v>
      </c>
      <c r="V4536">
        <v>1</v>
      </c>
      <c r="W4536">
        <v>1</v>
      </c>
      <c r="X4536">
        <v>1</v>
      </c>
      <c r="Y4536">
        <v>1</v>
      </c>
      <c r="Z4536">
        <v>2</v>
      </c>
      <c r="AA4536">
        <v>187.18</v>
      </c>
      <c r="AB4536">
        <v>187.18</v>
      </c>
      <c r="AC4536">
        <v>164.7</v>
      </c>
      <c r="AD4536">
        <v>0</v>
      </c>
      <c r="AE4536">
        <v>22.48</v>
      </c>
      <c r="AF4536">
        <v>0</v>
      </c>
      <c r="AG4536">
        <v>0</v>
      </c>
      <c r="AH4536">
        <v>0</v>
      </c>
      <c r="AI4536">
        <v>33.69</v>
      </c>
      <c r="AJ4536">
        <v>187.18</v>
      </c>
      <c r="AK4536">
        <v>0</v>
      </c>
      <c r="AL4536" t="s">
        <v>53</v>
      </c>
      <c r="AM4536" t="s">
        <v>53</v>
      </c>
      <c r="AN4536" t="s">
        <v>53</v>
      </c>
      <c r="AO4536" t="s">
        <v>53</v>
      </c>
      <c r="AP4536" t="s">
        <v>53</v>
      </c>
    </row>
    <row r="4537" spans="2:42" x14ac:dyDescent="0.2">
      <c r="B4537" t="s">
        <v>44</v>
      </c>
      <c r="C4537" t="str">
        <f>HYPERLINK("https://us2.cloudbeds.com/connect/8493803454333002#/reservations/9080486845923643?display=257001W0JU&amp;reservation_id=9080486845923643", "257001W0JU")</f>
        <v>257001W0JU</v>
      </c>
      <c r="D4537" t="s">
        <v>45</v>
      </c>
      <c r="E4537" t="s">
        <v>92</v>
      </c>
      <c r="F4537" t="s">
        <v>86</v>
      </c>
      <c r="G4537" t="s">
        <v>48</v>
      </c>
      <c r="H4537" t="s">
        <v>49</v>
      </c>
      <c r="I4537" t="s">
        <v>50</v>
      </c>
      <c r="J4537" t="s">
        <v>6416</v>
      </c>
      <c r="K4537" t="s">
        <v>7402</v>
      </c>
      <c r="L4537" t="s">
        <v>53</v>
      </c>
      <c r="N4537" t="s">
        <v>7903</v>
      </c>
      <c r="P4537" t="s">
        <v>55</v>
      </c>
      <c r="R4537" t="s">
        <v>53</v>
      </c>
      <c r="T4537" t="s">
        <v>7904</v>
      </c>
      <c r="U4537" t="s">
        <v>58</v>
      </c>
      <c r="V4537">
        <v>1</v>
      </c>
      <c r="W4537">
        <v>1</v>
      </c>
      <c r="X4537">
        <v>1</v>
      </c>
      <c r="Y4537">
        <v>1</v>
      </c>
      <c r="Z4537">
        <v>2</v>
      </c>
      <c r="AA4537">
        <v>187.18</v>
      </c>
      <c r="AB4537">
        <v>187.18</v>
      </c>
      <c r="AC4537">
        <v>164.7</v>
      </c>
      <c r="AD4537">
        <v>0</v>
      </c>
      <c r="AE4537">
        <v>22.48</v>
      </c>
      <c r="AF4537">
        <v>0</v>
      </c>
      <c r="AG4537">
        <v>0</v>
      </c>
      <c r="AH4537">
        <v>0</v>
      </c>
      <c r="AI4537">
        <v>33.69</v>
      </c>
      <c r="AJ4537">
        <v>187.18</v>
      </c>
      <c r="AK4537">
        <v>0</v>
      </c>
      <c r="AL4537" t="s">
        <v>53</v>
      </c>
      <c r="AM4537" t="s">
        <v>53</v>
      </c>
      <c r="AN4537" t="s">
        <v>53</v>
      </c>
      <c r="AO4537" t="s">
        <v>53</v>
      </c>
      <c r="AP4537" t="s">
        <v>53</v>
      </c>
    </row>
    <row r="4538" spans="2:42" x14ac:dyDescent="0.2">
      <c r="B4538" t="s">
        <v>44</v>
      </c>
      <c r="C4538" t="str">
        <f>HYPERLINK("https://us2.cloudbeds.com/connect/8493803454333002#/reservations/9080486845923665?display=2571FT5JU1&amp;reservation_id=9080486845923665", "2571FT5JU1")</f>
        <v>2571FT5JU1</v>
      </c>
      <c r="D4538" t="s">
        <v>45</v>
      </c>
      <c r="E4538" t="s">
        <v>138</v>
      </c>
      <c r="F4538" t="s">
        <v>70</v>
      </c>
      <c r="G4538" t="s">
        <v>48</v>
      </c>
      <c r="H4538" t="s">
        <v>49</v>
      </c>
      <c r="I4538" t="s">
        <v>50</v>
      </c>
      <c r="J4538" t="s">
        <v>7905</v>
      </c>
      <c r="K4538" t="s">
        <v>7906</v>
      </c>
      <c r="L4538" t="s">
        <v>53</v>
      </c>
      <c r="N4538" t="s">
        <v>7907</v>
      </c>
      <c r="P4538" t="s">
        <v>55</v>
      </c>
      <c r="R4538" t="s">
        <v>53</v>
      </c>
      <c r="T4538" t="s">
        <v>7908</v>
      </c>
      <c r="U4538" t="s">
        <v>58</v>
      </c>
      <c r="V4538">
        <v>1</v>
      </c>
      <c r="W4538">
        <v>1</v>
      </c>
      <c r="X4538">
        <v>2</v>
      </c>
      <c r="Y4538">
        <v>0</v>
      </c>
      <c r="Z4538">
        <v>2</v>
      </c>
      <c r="AA4538">
        <v>169.79</v>
      </c>
      <c r="AB4538">
        <v>169.79</v>
      </c>
      <c r="AC4538">
        <v>149.4</v>
      </c>
      <c r="AD4538">
        <v>0</v>
      </c>
      <c r="AE4538">
        <v>20.39</v>
      </c>
      <c r="AF4538">
        <v>0</v>
      </c>
      <c r="AG4538">
        <v>0</v>
      </c>
      <c r="AH4538">
        <v>0</v>
      </c>
      <c r="AI4538">
        <v>30.56</v>
      </c>
      <c r="AJ4538">
        <v>169.79</v>
      </c>
      <c r="AK4538">
        <v>0</v>
      </c>
      <c r="AL4538" t="s">
        <v>53</v>
      </c>
      <c r="AM4538" t="s">
        <v>53</v>
      </c>
      <c r="AN4538" t="s">
        <v>53</v>
      </c>
      <c r="AO4538" t="s">
        <v>53</v>
      </c>
      <c r="AP4538" t="s">
        <v>53</v>
      </c>
    </row>
    <row r="4539" spans="2:42" x14ac:dyDescent="0.2">
      <c r="B4539" t="s">
        <v>44</v>
      </c>
      <c r="C4539" t="str">
        <f>HYPERLINK("https://us2.cloudbeds.com/connect/8493803454333002#/reservations/9080486845923669?display=2571PJKZQZ&amp;reservation_id=9080486845923669", "2571PJKZQZ")</f>
        <v>2571PJKZQZ</v>
      </c>
      <c r="D4539" t="s">
        <v>45</v>
      </c>
      <c r="E4539" t="s">
        <v>381</v>
      </c>
      <c r="F4539" t="s">
        <v>47</v>
      </c>
      <c r="G4539" t="s">
        <v>48</v>
      </c>
      <c r="H4539" t="s">
        <v>49</v>
      </c>
      <c r="I4539" t="s">
        <v>62</v>
      </c>
      <c r="J4539" t="s">
        <v>6807</v>
      </c>
      <c r="K4539" t="s">
        <v>6959</v>
      </c>
      <c r="L4539" t="s">
        <v>53</v>
      </c>
      <c r="N4539" t="s">
        <v>7909</v>
      </c>
      <c r="P4539" t="s">
        <v>55</v>
      </c>
      <c r="R4539" t="s">
        <v>56</v>
      </c>
      <c r="T4539" t="s">
        <v>7910</v>
      </c>
      <c r="U4539" t="s">
        <v>55</v>
      </c>
      <c r="V4539">
        <v>1</v>
      </c>
      <c r="W4539">
        <v>1</v>
      </c>
      <c r="X4539">
        <v>2</v>
      </c>
      <c r="Y4539">
        <v>0</v>
      </c>
      <c r="Z4539">
        <v>2</v>
      </c>
      <c r="AA4539">
        <v>135</v>
      </c>
      <c r="AB4539">
        <v>135</v>
      </c>
      <c r="AC4539">
        <v>135</v>
      </c>
      <c r="AD4539">
        <v>0</v>
      </c>
      <c r="AE4539">
        <v>0</v>
      </c>
      <c r="AF4539">
        <v>0</v>
      </c>
      <c r="AG4539">
        <v>0</v>
      </c>
      <c r="AH4539">
        <v>0</v>
      </c>
      <c r="AI4539">
        <v>24.3</v>
      </c>
      <c r="AJ4539">
        <v>135</v>
      </c>
      <c r="AK4539">
        <v>0</v>
      </c>
      <c r="AL4539" t="s">
        <v>53</v>
      </c>
      <c r="AM4539" t="s">
        <v>53</v>
      </c>
      <c r="AN4539" t="s">
        <v>53</v>
      </c>
      <c r="AO4539" t="s">
        <v>53</v>
      </c>
      <c r="AP4539" t="s">
        <v>53</v>
      </c>
    </row>
    <row r="4540" spans="2:42" x14ac:dyDescent="0.2">
      <c r="B4540" t="s">
        <v>44</v>
      </c>
      <c r="C4540" t="str">
        <f>HYPERLINK("https://us2.cloudbeds.com/connect/8493803454333002#/reservations/9080486845923819?display=257DV91TCU&amp;reservation_id=9080486845923819", "257DV91TCU")</f>
        <v>257DV91TCU</v>
      </c>
      <c r="D4540" t="s">
        <v>45</v>
      </c>
      <c r="E4540" t="s">
        <v>128</v>
      </c>
      <c r="F4540" t="s">
        <v>86</v>
      </c>
      <c r="G4540" t="s">
        <v>48</v>
      </c>
      <c r="H4540" t="s">
        <v>49</v>
      </c>
      <c r="I4540" t="s">
        <v>50</v>
      </c>
      <c r="J4540" t="s">
        <v>7302</v>
      </c>
      <c r="K4540" t="s">
        <v>5593</v>
      </c>
      <c r="L4540" t="s">
        <v>53</v>
      </c>
      <c r="N4540" t="s">
        <v>7911</v>
      </c>
      <c r="P4540" t="s">
        <v>55</v>
      </c>
      <c r="R4540" t="s">
        <v>53</v>
      </c>
      <c r="T4540" t="s">
        <v>7912</v>
      </c>
      <c r="U4540" t="s">
        <v>58</v>
      </c>
      <c r="V4540">
        <v>1</v>
      </c>
      <c r="W4540">
        <v>1</v>
      </c>
      <c r="X4540">
        <v>2</v>
      </c>
      <c r="Y4540">
        <v>0</v>
      </c>
      <c r="Z4540">
        <v>2</v>
      </c>
      <c r="AA4540">
        <v>198.21</v>
      </c>
      <c r="AB4540">
        <v>198.21</v>
      </c>
      <c r="AC4540">
        <v>174.4</v>
      </c>
      <c r="AD4540">
        <v>0</v>
      </c>
      <c r="AE4540">
        <v>23.81</v>
      </c>
      <c r="AF4540">
        <v>0</v>
      </c>
      <c r="AG4540">
        <v>0</v>
      </c>
      <c r="AH4540">
        <v>0</v>
      </c>
      <c r="AI4540">
        <v>35.68</v>
      </c>
      <c r="AJ4540">
        <v>198.21</v>
      </c>
      <c r="AK4540">
        <v>0</v>
      </c>
      <c r="AL4540" t="s">
        <v>53</v>
      </c>
      <c r="AM4540" t="s">
        <v>53</v>
      </c>
      <c r="AN4540" t="s">
        <v>53</v>
      </c>
      <c r="AO4540" t="s">
        <v>53</v>
      </c>
      <c r="AP4540" t="s">
        <v>53</v>
      </c>
    </row>
    <row r="4541" spans="2:42" x14ac:dyDescent="0.2">
      <c r="B4541" t="s">
        <v>44</v>
      </c>
      <c r="C4541" t="str">
        <f>HYPERLINK("https://us2.cloudbeds.com/connect/8493803454333002#/reservations/9080486845923880?display=257XHJRMCY&amp;reservation_id=9080486845923880", "257XHJRMCY")</f>
        <v>257XHJRMCY</v>
      </c>
      <c r="D4541" t="s">
        <v>45</v>
      </c>
      <c r="E4541" t="s">
        <v>46</v>
      </c>
      <c r="F4541" t="s">
        <v>47</v>
      </c>
      <c r="G4541" t="s">
        <v>48</v>
      </c>
      <c r="H4541" t="s">
        <v>49</v>
      </c>
      <c r="I4541" t="s">
        <v>62</v>
      </c>
      <c r="J4541" t="s">
        <v>4767</v>
      </c>
      <c r="K4541" t="s">
        <v>4768</v>
      </c>
      <c r="L4541" t="s">
        <v>53</v>
      </c>
      <c r="N4541" t="s">
        <v>7913</v>
      </c>
      <c r="P4541" t="s">
        <v>55</v>
      </c>
      <c r="R4541" t="s">
        <v>56</v>
      </c>
      <c r="T4541" t="s">
        <v>7914</v>
      </c>
      <c r="U4541" t="s">
        <v>55</v>
      </c>
      <c r="V4541">
        <v>1</v>
      </c>
      <c r="W4541">
        <v>1</v>
      </c>
      <c r="X4541">
        <v>2</v>
      </c>
      <c r="Y4541">
        <v>0</v>
      </c>
      <c r="Z4541">
        <v>2</v>
      </c>
      <c r="AA4541">
        <v>110</v>
      </c>
      <c r="AB4541">
        <v>110</v>
      </c>
      <c r="AC4541">
        <v>110</v>
      </c>
      <c r="AD4541">
        <v>0</v>
      </c>
      <c r="AE4541">
        <v>0</v>
      </c>
      <c r="AF4541">
        <v>0</v>
      </c>
      <c r="AG4541">
        <v>0</v>
      </c>
      <c r="AH4541">
        <v>0</v>
      </c>
      <c r="AI4541">
        <v>19.8</v>
      </c>
      <c r="AJ4541">
        <v>110</v>
      </c>
      <c r="AK4541">
        <v>0</v>
      </c>
      <c r="AL4541" t="s">
        <v>53</v>
      </c>
      <c r="AM4541" t="s">
        <v>53</v>
      </c>
      <c r="AN4541" t="s">
        <v>53</v>
      </c>
      <c r="AO4541" t="s">
        <v>53</v>
      </c>
      <c r="AP4541" t="s">
        <v>53</v>
      </c>
    </row>
    <row r="4542" spans="2:42" x14ac:dyDescent="0.2">
      <c r="B4542" t="s">
        <v>44</v>
      </c>
      <c r="C4542" t="str">
        <f>HYPERLINK("https://us2.cloudbeds.com/connect/8493803454333002#/reservations/9080486845924274?display=258FD0ZHB4&amp;reservation_id=9080486845924274", "258FD0ZHB4")</f>
        <v>258FD0ZHB4</v>
      </c>
      <c r="D4542" t="s">
        <v>45</v>
      </c>
      <c r="E4542" t="s">
        <v>110</v>
      </c>
      <c r="F4542" t="s">
        <v>47</v>
      </c>
      <c r="G4542" t="s">
        <v>48</v>
      </c>
      <c r="H4542" t="s">
        <v>49</v>
      </c>
      <c r="I4542" t="s">
        <v>50</v>
      </c>
      <c r="J4542" t="s">
        <v>6417</v>
      </c>
      <c r="K4542" t="s">
        <v>7394</v>
      </c>
      <c r="L4542" t="s">
        <v>53</v>
      </c>
      <c r="N4542" t="s">
        <v>7915</v>
      </c>
      <c r="P4542" t="s">
        <v>55</v>
      </c>
      <c r="R4542" t="s">
        <v>53</v>
      </c>
      <c r="T4542" t="s">
        <v>7916</v>
      </c>
      <c r="U4542" t="s">
        <v>58</v>
      </c>
      <c r="V4542">
        <v>2</v>
      </c>
      <c r="W4542">
        <v>1</v>
      </c>
      <c r="X4542">
        <v>2</v>
      </c>
      <c r="Y4542">
        <v>0</v>
      </c>
      <c r="Z4542">
        <v>2</v>
      </c>
      <c r="AA4542">
        <v>313</v>
      </c>
      <c r="AB4542">
        <v>313</v>
      </c>
      <c r="AC4542">
        <v>275.39999999999998</v>
      </c>
      <c r="AD4542">
        <v>0</v>
      </c>
      <c r="AE4542">
        <v>37.6</v>
      </c>
      <c r="AF4542">
        <v>0</v>
      </c>
      <c r="AG4542">
        <v>0</v>
      </c>
      <c r="AH4542">
        <v>0</v>
      </c>
      <c r="AI4542">
        <v>56.34</v>
      </c>
      <c r="AJ4542">
        <v>313</v>
      </c>
      <c r="AK4542">
        <v>0</v>
      </c>
      <c r="AL4542" t="s">
        <v>53</v>
      </c>
      <c r="AM4542" t="s">
        <v>53</v>
      </c>
      <c r="AN4542" t="s">
        <v>53</v>
      </c>
      <c r="AO4542" t="s">
        <v>53</v>
      </c>
      <c r="AP4542" t="s">
        <v>53</v>
      </c>
    </row>
    <row r="4543" spans="2:42" x14ac:dyDescent="0.2">
      <c r="B4543" t="s">
        <v>44</v>
      </c>
      <c r="C4543" t="str">
        <f>HYPERLINK("https://us2.cloudbeds.com/connect/8493803454333002#/reservations/9080486845924641?display=259H52HK8P&amp;reservation_id=9080486845924641", "259H52HK8P")</f>
        <v>259H52HK8P</v>
      </c>
      <c r="D4543" t="s">
        <v>45</v>
      </c>
      <c r="E4543" t="s">
        <v>185</v>
      </c>
      <c r="F4543" t="s">
        <v>47</v>
      </c>
      <c r="G4543" t="s">
        <v>48</v>
      </c>
      <c r="H4543" t="s">
        <v>49</v>
      </c>
      <c r="I4543" t="s">
        <v>62</v>
      </c>
      <c r="J4543" t="s">
        <v>6885</v>
      </c>
      <c r="K4543" t="s">
        <v>6999</v>
      </c>
      <c r="L4543" t="s">
        <v>53</v>
      </c>
      <c r="N4543" t="s">
        <v>7917</v>
      </c>
      <c r="P4543" t="s">
        <v>55</v>
      </c>
      <c r="R4543" t="s">
        <v>1445</v>
      </c>
      <c r="T4543" t="s">
        <v>7918</v>
      </c>
      <c r="U4543" t="s">
        <v>55</v>
      </c>
      <c r="V4543">
        <v>1</v>
      </c>
      <c r="W4543">
        <v>1</v>
      </c>
      <c r="X4543">
        <v>1</v>
      </c>
      <c r="Y4543">
        <v>0</v>
      </c>
      <c r="Z4543">
        <v>1</v>
      </c>
      <c r="AA4543">
        <v>95</v>
      </c>
      <c r="AB4543">
        <v>95</v>
      </c>
      <c r="AC4543">
        <v>95</v>
      </c>
      <c r="AD4543">
        <v>0</v>
      </c>
      <c r="AE4543">
        <v>0</v>
      </c>
      <c r="AF4543">
        <v>0</v>
      </c>
      <c r="AG4543">
        <v>0</v>
      </c>
      <c r="AH4543">
        <v>0</v>
      </c>
      <c r="AI4543">
        <v>17.100000000000001</v>
      </c>
      <c r="AJ4543">
        <v>95</v>
      </c>
      <c r="AK4543">
        <v>0</v>
      </c>
      <c r="AL4543" t="s">
        <v>53</v>
      </c>
      <c r="AM4543" t="s">
        <v>53</v>
      </c>
      <c r="AN4543" t="s">
        <v>7919</v>
      </c>
      <c r="AO4543" t="s">
        <v>53</v>
      </c>
      <c r="AP4543" t="s">
        <v>53</v>
      </c>
    </row>
    <row r="4544" spans="2:42" x14ac:dyDescent="0.2">
      <c r="B4544" t="s">
        <v>44</v>
      </c>
      <c r="C4544" t="str">
        <f>HYPERLINK("https://us2.cloudbeds.com/connect/8493803454333002#/reservations/100430131589344?display=25DGAY5986&amp;reservation_id=100430131589344", "25DGAY5986")</f>
        <v>25DGAY5986</v>
      </c>
      <c r="D4544" t="s">
        <v>45</v>
      </c>
      <c r="E4544" t="s">
        <v>406</v>
      </c>
      <c r="F4544" t="s">
        <v>61</v>
      </c>
      <c r="G4544" t="s">
        <v>48</v>
      </c>
      <c r="H4544" t="s">
        <v>3957</v>
      </c>
      <c r="I4544" t="s">
        <v>3975</v>
      </c>
      <c r="J4544" t="s">
        <v>4158</v>
      </c>
      <c r="K4544" t="s">
        <v>6819</v>
      </c>
      <c r="L4544" t="s">
        <v>53</v>
      </c>
      <c r="P4544" t="s">
        <v>55</v>
      </c>
      <c r="R4544" t="s">
        <v>53</v>
      </c>
      <c r="T4544" t="s">
        <v>7920</v>
      </c>
      <c r="U4544" t="s">
        <v>58</v>
      </c>
      <c r="V4544">
        <v>4</v>
      </c>
      <c r="W4544">
        <v>1</v>
      </c>
      <c r="X4544">
        <v>2</v>
      </c>
      <c r="Y4544">
        <v>0</v>
      </c>
      <c r="Z4544">
        <v>2</v>
      </c>
      <c r="AA4544">
        <v>480.75</v>
      </c>
      <c r="AB4544">
        <v>480.75</v>
      </c>
      <c r="AC4544">
        <v>423</v>
      </c>
      <c r="AD4544">
        <v>0</v>
      </c>
      <c r="AE4544">
        <v>57.75</v>
      </c>
      <c r="AF4544">
        <v>0</v>
      </c>
      <c r="AG4544">
        <v>0</v>
      </c>
      <c r="AH4544">
        <v>0</v>
      </c>
      <c r="AI4544">
        <v>0</v>
      </c>
      <c r="AJ4544">
        <v>480.75</v>
      </c>
      <c r="AK4544">
        <v>0</v>
      </c>
      <c r="AL4544" t="s">
        <v>53</v>
      </c>
      <c r="AM4544" t="s">
        <v>53</v>
      </c>
      <c r="AN4544" t="s">
        <v>53</v>
      </c>
      <c r="AO4544" t="s">
        <v>53</v>
      </c>
      <c r="AP4544" t="s">
        <v>53</v>
      </c>
    </row>
    <row r="4545" spans="2:42" x14ac:dyDescent="0.2">
      <c r="B4545" t="s">
        <v>44</v>
      </c>
      <c r="C4545" t="str">
        <f>HYPERLINK("https://us2.cloudbeds.com/connect/8493803454333002#/reservations/9080486845927255?display=25EAE4NAQJ&amp;reservation_id=9080486845927255", "25EAE4NAQJ")</f>
        <v>25EAE4NAQJ</v>
      </c>
      <c r="D4545" t="s">
        <v>45</v>
      </c>
      <c r="E4545" t="s">
        <v>85</v>
      </c>
      <c r="F4545" t="s">
        <v>86</v>
      </c>
      <c r="G4545" t="s">
        <v>48</v>
      </c>
      <c r="H4545" t="s">
        <v>49</v>
      </c>
      <c r="I4545" t="s">
        <v>50</v>
      </c>
      <c r="J4545" t="s">
        <v>7402</v>
      </c>
      <c r="K4545" t="s">
        <v>6417</v>
      </c>
      <c r="L4545" t="s">
        <v>53</v>
      </c>
      <c r="N4545" t="s">
        <v>7921</v>
      </c>
      <c r="P4545" t="s">
        <v>55</v>
      </c>
      <c r="R4545" t="s">
        <v>53</v>
      </c>
      <c r="T4545" t="s">
        <v>7922</v>
      </c>
      <c r="U4545" t="s">
        <v>58</v>
      </c>
      <c r="V4545">
        <v>1</v>
      </c>
      <c r="W4545">
        <v>1</v>
      </c>
      <c r="X4545">
        <v>3</v>
      </c>
      <c r="Y4545">
        <v>0</v>
      </c>
      <c r="Z4545">
        <v>3</v>
      </c>
      <c r="AA4545">
        <v>153.74</v>
      </c>
      <c r="AB4545">
        <v>153.74</v>
      </c>
      <c r="AC4545">
        <v>135.28</v>
      </c>
      <c r="AD4545">
        <v>0</v>
      </c>
      <c r="AE4545">
        <v>18.46</v>
      </c>
      <c r="AF4545">
        <v>0</v>
      </c>
      <c r="AG4545">
        <v>0</v>
      </c>
      <c r="AH4545">
        <v>0</v>
      </c>
      <c r="AI4545">
        <v>27.67</v>
      </c>
      <c r="AJ4545">
        <v>153.74</v>
      </c>
      <c r="AK4545">
        <v>0</v>
      </c>
      <c r="AL4545" t="s">
        <v>53</v>
      </c>
      <c r="AM4545" t="s">
        <v>53</v>
      </c>
      <c r="AN4545" t="s">
        <v>53</v>
      </c>
      <c r="AO4545" t="s">
        <v>53</v>
      </c>
      <c r="AP4545" t="s">
        <v>53</v>
      </c>
    </row>
    <row r="4546" spans="2:42" x14ac:dyDescent="0.2">
      <c r="B4546" t="s">
        <v>44</v>
      </c>
      <c r="C4546" t="str">
        <f>HYPERLINK("https://us2.cloudbeds.com/connect/8493803454333002#/reservations/9080486845927313?display=25ED8RXNU4&amp;reservation_id=9080486845927313", "25ED8RXNU4")</f>
        <v>25ED8RXNU4</v>
      </c>
      <c r="D4546" t="s">
        <v>45</v>
      </c>
      <c r="E4546" t="s">
        <v>128</v>
      </c>
      <c r="F4546" t="s">
        <v>86</v>
      </c>
      <c r="G4546" t="s">
        <v>48</v>
      </c>
      <c r="H4546" t="s">
        <v>49</v>
      </c>
      <c r="I4546" t="s">
        <v>50</v>
      </c>
      <c r="J4546" t="s">
        <v>7830</v>
      </c>
      <c r="K4546" t="s">
        <v>7905</v>
      </c>
      <c r="L4546" t="s">
        <v>53</v>
      </c>
      <c r="N4546" t="s">
        <v>7923</v>
      </c>
      <c r="P4546" t="s">
        <v>55</v>
      </c>
      <c r="R4546" t="s">
        <v>53</v>
      </c>
      <c r="T4546" t="s">
        <v>7924</v>
      </c>
      <c r="U4546" t="s">
        <v>58</v>
      </c>
      <c r="V4546">
        <v>1</v>
      </c>
      <c r="W4546">
        <v>1</v>
      </c>
      <c r="X4546">
        <v>3</v>
      </c>
      <c r="Y4546">
        <v>0</v>
      </c>
      <c r="Z4546">
        <v>3</v>
      </c>
      <c r="AA4546">
        <v>182.62</v>
      </c>
      <c r="AB4546">
        <v>182.62</v>
      </c>
      <c r="AC4546">
        <v>160.69</v>
      </c>
      <c r="AD4546">
        <v>0</v>
      </c>
      <c r="AE4546">
        <v>21.93</v>
      </c>
      <c r="AF4546">
        <v>0</v>
      </c>
      <c r="AG4546">
        <v>0</v>
      </c>
      <c r="AH4546">
        <v>0</v>
      </c>
      <c r="AI4546">
        <v>32.869999999999997</v>
      </c>
      <c r="AJ4546">
        <v>182.62</v>
      </c>
      <c r="AK4546">
        <v>0</v>
      </c>
      <c r="AL4546" t="s">
        <v>53</v>
      </c>
      <c r="AM4546" t="s">
        <v>53</v>
      </c>
      <c r="AN4546" t="s">
        <v>53</v>
      </c>
      <c r="AO4546" t="s">
        <v>53</v>
      </c>
      <c r="AP4546" t="s">
        <v>53</v>
      </c>
    </row>
    <row r="4547" spans="2:42" x14ac:dyDescent="0.2">
      <c r="B4547" t="s">
        <v>44</v>
      </c>
      <c r="C4547" t="str">
        <f>HYPERLINK("https://us2.cloudbeds.com/connect/8493803454333002#/reservations/9080486845927381?display=25EGDSVDSG&amp;reservation_id=9080486845927381", "25EGDSVDSG")</f>
        <v>25EGDSVDSG</v>
      </c>
      <c r="D4547" t="s">
        <v>45</v>
      </c>
      <c r="E4547" t="s">
        <v>128</v>
      </c>
      <c r="F4547" t="s">
        <v>86</v>
      </c>
      <c r="G4547" t="s">
        <v>48</v>
      </c>
      <c r="H4547" t="s">
        <v>49</v>
      </c>
      <c r="I4547" t="s">
        <v>50</v>
      </c>
      <c r="J4547" t="s">
        <v>7925</v>
      </c>
      <c r="K4547" t="s">
        <v>7926</v>
      </c>
      <c r="L4547" t="s">
        <v>53</v>
      </c>
      <c r="N4547" t="s">
        <v>7927</v>
      </c>
      <c r="P4547" t="s">
        <v>55</v>
      </c>
      <c r="R4547" t="s">
        <v>53</v>
      </c>
      <c r="T4547" t="s">
        <v>7928</v>
      </c>
      <c r="U4547" t="s">
        <v>58</v>
      </c>
      <c r="V4547">
        <v>1</v>
      </c>
      <c r="W4547">
        <v>1</v>
      </c>
      <c r="X4547">
        <v>3</v>
      </c>
      <c r="Y4547">
        <v>0</v>
      </c>
      <c r="Z4547">
        <v>3</v>
      </c>
      <c r="AA4547">
        <v>166.11</v>
      </c>
      <c r="AB4547">
        <v>169.9</v>
      </c>
      <c r="AC4547">
        <v>146.16</v>
      </c>
      <c r="AD4547">
        <v>3.5</v>
      </c>
      <c r="AE4547">
        <v>20.239999999999998</v>
      </c>
      <c r="AF4547">
        <v>0</v>
      </c>
      <c r="AG4547">
        <v>0</v>
      </c>
      <c r="AH4547">
        <v>0</v>
      </c>
      <c r="AI4547">
        <v>30.58</v>
      </c>
      <c r="AJ4547">
        <v>169.9</v>
      </c>
      <c r="AK4547">
        <v>0</v>
      </c>
      <c r="AL4547" t="s">
        <v>53</v>
      </c>
      <c r="AM4547" t="s">
        <v>53</v>
      </c>
      <c r="AN4547" t="s">
        <v>53</v>
      </c>
      <c r="AO4547" t="s">
        <v>53</v>
      </c>
      <c r="AP4547" t="s">
        <v>53</v>
      </c>
    </row>
    <row r="4548" spans="2:42" x14ac:dyDescent="0.2">
      <c r="B4548" t="s">
        <v>44</v>
      </c>
      <c r="C4548" t="str">
        <f>HYPERLINK("https://us2.cloudbeds.com/connect/8493803454333002#/reservations/9080486845928648?display=25H9QPMPWU&amp;reservation_id=9080486845928648", "25H9QPMPWU")</f>
        <v>25H9QPMPWU</v>
      </c>
      <c r="D4548" t="s">
        <v>45</v>
      </c>
      <c r="E4548" t="s">
        <v>185</v>
      </c>
      <c r="F4548" t="s">
        <v>47</v>
      </c>
      <c r="G4548" t="s">
        <v>48</v>
      </c>
      <c r="H4548" t="s">
        <v>49</v>
      </c>
      <c r="I4548" t="s">
        <v>50</v>
      </c>
      <c r="J4548" t="s">
        <v>6943</v>
      </c>
      <c r="K4548" t="s">
        <v>7275</v>
      </c>
      <c r="L4548" t="s">
        <v>53</v>
      </c>
      <c r="N4548" t="s">
        <v>7929</v>
      </c>
      <c r="P4548" t="s">
        <v>55</v>
      </c>
      <c r="R4548" t="s">
        <v>53</v>
      </c>
      <c r="T4548" t="s">
        <v>7930</v>
      </c>
      <c r="U4548" t="s">
        <v>58</v>
      </c>
      <c r="V4548">
        <v>1</v>
      </c>
      <c r="W4548">
        <v>1</v>
      </c>
      <c r="X4548">
        <v>2</v>
      </c>
      <c r="Y4548">
        <v>0</v>
      </c>
      <c r="Z4548">
        <v>2</v>
      </c>
      <c r="AA4548">
        <v>203.73</v>
      </c>
      <c r="AB4548">
        <v>203.73</v>
      </c>
      <c r="AC4548">
        <v>179.26</v>
      </c>
      <c r="AD4548">
        <v>0</v>
      </c>
      <c r="AE4548">
        <v>24.47</v>
      </c>
      <c r="AF4548">
        <v>0</v>
      </c>
      <c r="AG4548">
        <v>0</v>
      </c>
      <c r="AH4548">
        <v>0</v>
      </c>
      <c r="AI4548">
        <v>36.67</v>
      </c>
      <c r="AJ4548">
        <v>203.73</v>
      </c>
      <c r="AK4548">
        <v>0</v>
      </c>
      <c r="AL4548" t="s">
        <v>53</v>
      </c>
      <c r="AM4548" t="s">
        <v>53</v>
      </c>
      <c r="AN4548" t="s">
        <v>53</v>
      </c>
      <c r="AO4548" t="s">
        <v>53</v>
      </c>
      <c r="AP4548" t="s">
        <v>53</v>
      </c>
    </row>
    <row r="4549" spans="2:42" x14ac:dyDescent="0.2">
      <c r="B4549" t="s">
        <v>44</v>
      </c>
      <c r="C4549" t="str">
        <f>HYPERLINK("https://us2.cloudbeds.com/connect/8493803454333002#/reservations/9080486845929661?display=25JNMHTBQV&amp;reservation_id=9080486845929661", "25JNMHTBQV")</f>
        <v>25JNMHTBQV</v>
      </c>
      <c r="D4549" t="s">
        <v>45</v>
      </c>
      <c r="E4549" t="s">
        <v>265</v>
      </c>
      <c r="F4549" t="s">
        <v>61</v>
      </c>
      <c r="G4549" t="s">
        <v>48</v>
      </c>
      <c r="H4549" t="s">
        <v>49</v>
      </c>
      <c r="I4549" t="s">
        <v>62</v>
      </c>
      <c r="J4549" t="s">
        <v>5905</v>
      </c>
      <c r="K4549" t="s">
        <v>7931</v>
      </c>
      <c r="L4549" t="s">
        <v>53</v>
      </c>
      <c r="N4549" t="s">
        <v>7932</v>
      </c>
      <c r="P4549" t="s">
        <v>55</v>
      </c>
      <c r="R4549" t="s">
        <v>118</v>
      </c>
      <c r="T4549" t="s">
        <v>7933</v>
      </c>
      <c r="U4549" t="s">
        <v>55</v>
      </c>
      <c r="V4549">
        <v>5</v>
      </c>
      <c r="W4549">
        <v>1</v>
      </c>
      <c r="X4549">
        <v>2</v>
      </c>
      <c r="Y4549">
        <v>0</v>
      </c>
      <c r="Z4549">
        <v>2</v>
      </c>
      <c r="AA4549">
        <v>1199</v>
      </c>
      <c r="AB4549">
        <v>1199</v>
      </c>
      <c r="AC4549">
        <v>1199</v>
      </c>
      <c r="AD4549">
        <v>0</v>
      </c>
      <c r="AE4549">
        <v>0</v>
      </c>
      <c r="AF4549">
        <v>0</v>
      </c>
      <c r="AG4549">
        <v>0</v>
      </c>
      <c r="AH4549">
        <v>0</v>
      </c>
      <c r="AI4549">
        <v>215.82</v>
      </c>
      <c r="AJ4549">
        <v>1199</v>
      </c>
      <c r="AK4549">
        <v>0</v>
      </c>
      <c r="AL4549" t="s">
        <v>53</v>
      </c>
      <c r="AM4549" t="s">
        <v>53</v>
      </c>
      <c r="AN4549" t="s">
        <v>7934</v>
      </c>
      <c r="AO4549" t="s">
        <v>53</v>
      </c>
      <c r="AP4549" t="s">
        <v>53</v>
      </c>
    </row>
    <row r="4550" spans="2:42" x14ac:dyDescent="0.2">
      <c r="B4550" t="s">
        <v>44</v>
      </c>
      <c r="C4550" t="str">
        <f>HYPERLINK("https://us2.cloudbeds.com/connect/8493803454333002#/reservations/9080486845931310?display=25M260HEMZ&amp;reservation_id=9080486845931310", "25M260HEMZ")</f>
        <v>25M260HEMZ</v>
      </c>
      <c r="D4550" t="s">
        <v>45</v>
      </c>
      <c r="E4550" t="s">
        <v>138</v>
      </c>
      <c r="F4550" t="s">
        <v>70</v>
      </c>
      <c r="G4550" t="s">
        <v>48</v>
      </c>
      <c r="H4550" t="s">
        <v>49</v>
      </c>
      <c r="I4550" t="s">
        <v>50</v>
      </c>
      <c r="J4550" t="s">
        <v>7402</v>
      </c>
      <c r="K4550" t="s">
        <v>7486</v>
      </c>
      <c r="L4550" t="s">
        <v>53</v>
      </c>
      <c r="N4550" t="s">
        <v>7935</v>
      </c>
      <c r="P4550" t="s">
        <v>55</v>
      </c>
      <c r="R4550" t="s">
        <v>53</v>
      </c>
      <c r="T4550" t="s">
        <v>7936</v>
      </c>
      <c r="U4550" t="s">
        <v>58</v>
      </c>
      <c r="V4550">
        <v>2</v>
      </c>
      <c r="W4550">
        <v>1</v>
      </c>
      <c r="X4550">
        <v>2</v>
      </c>
      <c r="Y4550">
        <v>0</v>
      </c>
      <c r="Z4550">
        <v>2</v>
      </c>
      <c r="AA4550">
        <v>268.20999999999998</v>
      </c>
      <c r="AB4550">
        <v>268.20999999999998</v>
      </c>
      <c r="AC4550">
        <v>236</v>
      </c>
      <c r="AD4550">
        <v>0</v>
      </c>
      <c r="AE4550">
        <v>32.21</v>
      </c>
      <c r="AF4550">
        <v>0</v>
      </c>
      <c r="AG4550">
        <v>0</v>
      </c>
      <c r="AH4550">
        <v>0</v>
      </c>
      <c r="AI4550">
        <v>48.28</v>
      </c>
      <c r="AJ4550">
        <v>268.20999999999998</v>
      </c>
      <c r="AK4550">
        <v>0</v>
      </c>
      <c r="AL4550" t="s">
        <v>53</v>
      </c>
      <c r="AM4550" t="s">
        <v>53</v>
      </c>
      <c r="AN4550" t="s">
        <v>53</v>
      </c>
      <c r="AO4550" t="s">
        <v>53</v>
      </c>
      <c r="AP4550" t="s">
        <v>53</v>
      </c>
    </row>
    <row r="4551" spans="2:42" x14ac:dyDescent="0.2">
      <c r="B4551" t="s">
        <v>44</v>
      </c>
      <c r="C4551" t="str">
        <f>HYPERLINK("https://us2.cloudbeds.com/connect/8493803454333002#/reservations/9080486845931374?display=25M66AZ3NB&amp;reservation_id=9080486845931374", "25M66AZ3NB")</f>
        <v>25M66AZ3NB</v>
      </c>
      <c r="D4551" t="s">
        <v>45</v>
      </c>
      <c r="E4551" t="s">
        <v>190</v>
      </c>
      <c r="F4551" t="s">
        <v>61</v>
      </c>
      <c r="G4551" t="s">
        <v>48</v>
      </c>
      <c r="H4551" t="s">
        <v>49</v>
      </c>
      <c r="I4551" t="s">
        <v>50</v>
      </c>
      <c r="J4551" t="s">
        <v>4158</v>
      </c>
      <c r="K4551" t="s">
        <v>6544</v>
      </c>
      <c r="L4551" t="s">
        <v>53</v>
      </c>
      <c r="N4551" t="s">
        <v>7937</v>
      </c>
      <c r="P4551" t="s">
        <v>55</v>
      </c>
      <c r="R4551" t="s">
        <v>53</v>
      </c>
      <c r="T4551" t="s">
        <v>7938</v>
      </c>
      <c r="U4551" t="s">
        <v>58</v>
      </c>
      <c r="V4551">
        <v>1</v>
      </c>
      <c r="W4551">
        <v>1</v>
      </c>
      <c r="X4551">
        <v>2</v>
      </c>
      <c r="Y4551">
        <v>0</v>
      </c>
      <c r="Z4551">
        <v>2</v>
      </c>
      <c r="AA4551">
        <v>101.26</v>
      </c>
      <c r="AB4551">
        <v>101.26</v>
      </c>
      <c r="AC4551">
        <v>89.1</v>
      </c>
      <c r="AD4551">
        <v>0</v>
      </c>
      <c r="AE4551">
        <v>12.16</v>
      </c>
      <c r="AF4551">
        <v>0</v>
      </c>
      <c r="AG4551">
        <v>0</v>
      </c>
      <c r="AH4551">
        <v>0</v>
      </c>
      <c r="AI4551">
        <v>18.23</v>
      </c>
      <c r="AJ4551">
        <v>101.26</v>
      </c>
      <c r="AK4551">
        <v>0</v>
      </c>
      <c r="AL4551" t="s">
        <v>53</v>
      </c>
      <c r="AM4551" t="s">
        <v>53</v>
      </c>
      <c r="AN4551" t="s">
        <v>53</v>
      </c>
      <c r="AO4551" t="s">
        <v>53</v>
      </c>
      <c r="AP4551" t="s">
        <v>53</v>
      </c>
    </row>
    <row r="4552" spans="2:42" x14ac:dyDescent="0.2">
      <c r="B4552" t="s">
        <v>44</v>
      </c>
      <c r="C4552" t="str">
        <f>HYPERLINK("https://us2.cloudbeds.com/connect/8493803454333002#/reservations/9080486845931608?display=25MF5A0XG8&amp;reservation_id=9080486845931608", "25MF5A0XG8")</f>
        <v>25MF5A0XG8</v>
      </c>
      <c r="D4552" t="s">
        <v>45</v>
      </c>
      <c r="E4552" t="s">
        <v>185</v>
      </c>
      <c r="F4552" t="s">
        <v>47</v>
      </c>
      <c r="G4552" t="s">
        <v>48</v>
      </c>
      <c r="H4552" t="s">
        <v>49</v>
      </c>
      <c r="I4552" t="s">
        <v>50</v>
      </c>
      <c r="J4552" t="s">
        <v>6586</v>
      </c>
      <c r="K4552" t="s">
        <v>5967</v>
      </c>
      <c r="L4552" t="s">
        <v>53</v>
      </c>
      <c r="N4552" t="s">
        <v>7939</v>
      </c>
      <c r="P4552" t="s">
        <v>55</v>
      </c>
      <c r="R4552" t="s">
        <v>53</v>
      </c>
      <c r="T4552" t="s">
        <v>7940</v>
      </c>
      <c r="U4552" t="s">
        <v>58</v>
      </c>
      <c r="V4552">
        <v>1</v>
      </c>
      <c r="W4552">
        <v>1</v>
      </c>
      <c r="X4552">
        <v>1</v>
      </c>
      <c r="Y4552">
        <v>0</v>
      </c>
      <c r="Z4552">
        <v>1</v>
      </c>
      <c r="AA4552">
        <v>94.24</v>
      </c>
      <c r="AB4552">
        <v>94.24</v>
      </c>
      <c r="AC4552">
        <v>82.93</v>
      </c>
      <c r="AD4552">
        <v>0</v>
      </c>
      <c r="AE4552">
        <v>11.31</v>
      </c>
      <c r="AF4552">
        <v>0</v>
      </c>
      <c r="AG4552">
        <v>0</v>
      </c>
      <c r="AH4552">
        <v>0</v>
      </c>
      <c r="AI4552">
        <v>16.96</v>
      </c>
      <c r="AJ4552">
        <v>94.24</v>
      </c>
      <c r="AK4552">
        <v>0</v>
      </c>
      <c r="AL4552" t="s">
        <v>53</v>
      </c>
      <c r="AM4552" t="s">
        <v>53</v>
      </c>
      <c r="AN4552" t="s">
        <v>53</v>
      </c>
      <c r="AO4552" t="s">
        <v>53</v>
      </c>
      <c r="AP4552" t="s">
        <v>53</v>
      </c>
    </row>
    <row r="4553" spans="2:42" x14ac:dyDescent="0.2">
      <c r="B4553" t="s">
        <v>44</v>
      </c>
      <c r="C4553" t="str">
        <f>HYPERLINK("https://us2.cloudbeds.com/connect/8493803454333002#/reservations/100825228964032?display=25MZ1EKCCJ&amp;reservation_id=100825228964032", "25MZ1EKCCJ")</f>
        <v>25MZ1EKCCJ</v>
      </c>
      <c r="D4553" t="s">
        <v>45</v>
      </c>
      <c r="E4553" t="s">
        <v>46</v>
      </c>
      <c r="F4553" t="s">
        <v>47</v>
      </c>
      <c r="G4553" t="s">
        <v>48</v>
      </c>
      <c r="H4553" t="s">
        <v>3957</v>
      </c>
      <c r="I4553" t="s">
        <v>3958</v>
      </c>
      <c r="J4553" t="s">
        <v>6233</v>
      </c>
      <c r="K4553" t="s">
        <v>6544</v>
      </c>
      <c r="L4553" t="s">
        <v>53</v>
      </c>
      <c r="P4553" t="s">
        <v>58</v>
      </c>
      <c r="R4553" t="s">
        <v>56</v>
      </c>
      <c r="T4553" t="s">
        <v>7941</v>
      </c>
      <c r="U4553" t="s">
        <v>58</v>
      </c>
      <c r="V4553">
        <v>2</v>
      </c>
      <c r="W4553">
        <v>1</v>
      </c>
      <c r="X4553">
        <v>1</v>
      </c>
      <c r="Y4553">
        <v>0</v>
      </c>
      <c r="Z4553">
        <v>1</v>
      </c>
      <c r="AA4553">
        <v>195.48</v>
      </c>
      <c r="AB4553">
        <v>195.48</v>
      </c>
      <c r="AC4553">
        <v>172</v>
      </c>
      <c r="AD4553">
        <v>0</v>
      </c>
      <c r="AE4553">
        <v>23.48</v>
      </c>
      <c r="AF4553">
        <v>0</v>
      </c>
      <c r="AG4553">
        <v>0</v>
      </c>
      <c r="AH4553">
        <v>0</v>
      </c>
      <c r="AI4553">
        <v>0</v>
      </c>
      <c r="AJ4553">
        <v>195.48</v>
      </c>
      <c r="AK4553">
        <v>0</v>
      </c>
      <c r="AL4553" t="s">
        <v>53</v>
      </c>
      <c r="AM4553" t="s">
        <v>53</v>
      </c>
      <c r="AN4553" t="s">
        <v>53</v>
      </c>
      <c r="AO4553" t="s">
        <v>53</v>
      </c>
      <c r="AP4553" t="s">
        <v>53</v>
      </c>
    </row>
    <row r="4554" spans="2:42" x14ac:dyDescent="0.2">
      <c r="B4554" t="s">
        <v>44</v>
      </c>
      <c r="C4554" t="str">
        <f>HYPERLINK("https://us2.cloudbeds.com/connect/8493803454333002#/reservations/100834957672670?display=25MWPT7QJM&amp;reservation_id=100834957672670", "25MWPT7QJM")</f>
        <v>25MWPT7QJM</v>
      </c>
      <c r="D4554" t="s">
        <v>45</v>
      </c>
      <c r="E4554" t="s">
        <v>373</v>
      </c>
      <c r="F4554" t="s">
        <v>47</v>
      </c>
      <c r="G4554" t="s">
        <v>48</v>
      </c>
      <c r="H4554" t="s">
        <v>3957</v>
      </c>
      <c r="I4554" t="s">
        <v>3958</v>
      </c>
      <c r="J4554" t="s">
        <v>6233</v>
      </c>
      <c r="K4554" t="s">
        <v>4158</v>
      </c>
      <c r="L4554" t="s">
        <v>53</v>
      </c>
      <c r="P4554" t="s">
        <v>55</v>
      </c>
      <c r="R4554" t="s">
        <v>56</v>
      </c>
      <c r="T4554" t="s">
        <v>7942</v>
      </c>
      <c r="U4554" t="s">
        <v>58</v>
      </c>
      <c r="V4554">
        <v>1</v>
      </c>
      <c r="W4554">
        <v>1</v>
      </c>
      <c r="X4554">
        <v>1</v>
      </c>
      <c r="Y4554">
        <v>0</v>
      </c>
      <c r="Z4554">
        <v>1</v>
      </c>
      <c r="AA4554">
        <v>95.47</v>
      </c>
      <c r="AB4554">
        <v>95.47</v>
      </c>
      <c r="AC4554">
        <v>84</v>
      </c>
      <c r="AD4554">
        <v>0</v>
      </c>
      <c r="AE4554">
        <v>11.47</v>
      </c>
      <c r="AF4554">
        <v>0</v>
      </c>
      <c r="AG4554">
        <v>0</v>
      </c>
      <c r="AH4554">
        <v>0</v>
      </c>
      <c r="AI4554">
        <v>0</v>
      </c>
      <c r="AJ4554">
        <v>95.47</v>
      </c>
      <c r="AK4554">
        <v>0</v>
      </c>
      <c r="AL4554" t="s">
        <v>53</v>
      </c>
      <c r="AM4554" t="s">
        <v>53</v>
      </c>
      <c r="AN4554" t="s">
        <v>53</v>
      </c>
      <c r="AO4554" t="s">
        <v>53</v>
      </c>
      <c r="AP4554" t="s">
        <v>53</v>
      </c>
    </row>
    <row r="4555" spans="2:42" x14ac:dyDescent="0.2">
      <c r="B4555" t="s">
        <v>44</v>
      </c>
      <c r="C4555" t="str">
        <f>HYPERLINK("https://us2.cloudbeds.com/connect/8493803454333002#/reservations/9080486845932190?display=25N8HNTCMZ&amp;reservation_id=9080486845932190", "25N8HNTCMZ")</f>
        <v>25N8HNTCMZ</v>
      </c>
      <c r="D4555" t="s">
        <v>45</v>
      </c>
      <c r="E4555" t="s">
        <v>190</v>
      </c>
      <c r="F4555" t="s">
        <v>61</v>
      </c>
      <c r="G4555" t="s">
        <v>48</v>
      </c>
      <c r="H4555" t="s">
        <v>49</v>
      </c>
      <c r="I4555" t="s">
        <v>62</v>
      </c>
      <c r="J4555" t="s">
        <v>6233</v>
      </c>
      <c r="K4555" t="s">
        <v>4158</v>
      </c>
      <c r="L4555" t="s">
        <v>53</v>
      </c>
      <c r="N4555" t="s">
        <v>7943</v>
      </c>
      <c r="P4555" t="s">
        <v>55</v>
      </c>
      <c r="R4555" t="s">
        <v>56</v>
      </c>
      <c r="T4555" t="s">
        <v>7944</v>
      </c>
      <c r="U4555" t="s">
        <v>55</v>
      </c>
      <c r="V4555">
        <v>1</v>
      </c>
      <c r="W4555">
        <v>1</v>
      </c>
      <c r="X4555">
        <v>2</v>
      </c>
      <c r="Y4555">
        <v>0</v>
      </c>
      <c r="Z4555">
        <v>2</v>
      </c>
      <c r="AA4555">
        <v>95</v>
      </c>
      <c r="AB4555">
        <v>95</v>
      </c>
      <c r="AC4555">
        <v>95</v>
      </c>
      <c r="AD4555">
        <v>0</v>
      </c>
      <c r="AE4555">
        <v>0</v>
      </c>
      <c r="AF4555">
        <v>0</v>
      </c>
      <c r="AG4555">
        <v>0</v>
      </c>
      <c r="AH4555">
        <v>0</v>
      </c>
      <c r="AI4555">
        <v>17.100000000000001</v>
      </c>
      <c r="AJ4555">
        <v>95</v>
      </c>
      <c r="AK4555">
        <v>0</v>
      </c>
      <c r="AL4555" t="s">
        <v>53</v>
      </c>
      <c r="AM4555" t="s">
        <v>53</v>
      </c>
      <c r="AN4555" t="s">
        <v>53</v>
      </c>
      <c r="AO4555" t="s">
        <v>53</v>
      </c>
      <c r="AP4555" t="s">
        <v>53</v>
      </c>
    </row>
    <row r="4556" spans="2:42" x14ac:dyDescent="0.2">
      <c r="B4556" t="s">
        <v>44</v>
      </c>
      <c r="C4556" t="str">
        <f>HYPERLINK("https://us2.cloudbeds.com/connect/8493803454333002#/reservations/9080486845932372?display=25NHVDKTS5&amp;reservation_id=9080486845932372", "25NHVDKTS5")</f>
        <v>25NHVDKTS5</v>
      </c>
      <c r="D4556" t="s">
        <v>45</v>
      </c>
      <c r="E4556" t="s">
        <v>69</v>
      </c>
      <c r="F4556" t="s">
        <v>70</v>
      </c>
      <c r="G4556" t="s">
        <v>48</v>
      </c>
      <c r="H4556" t="s">
        <v>49</v>
      </c>
      <c r="I4556" t="s">
        <v>62</v>
      </c>
      <c r="J4556" t="s">
        <v>6233</v>
      </c>
      <c r="K4556" t="s">
        <v>4158</v>
      </c>
      <c r="L4556" t="s">
        <v>53</v>
      </c>
      <c r="N4556" t="s">
        <v>7945</v>
      </c>
      <c r="P4556" t="s">
        <v>55</v>
      </c>
      <c r="R4556" t="s">
        <v>56</v>
      </c>
      <c r="T4556" t="s">
        <v>7946</v>
      </c>
      <c r="U4556" t="s">
        <v>55</v>
      </c>
      <c r="V4556">
        <v>1</v>
      </c>
      <c r="W4556">
        <v>1</v>
      </c>
      <c r="X4556">
        <v>2</v>
      </c>
      <c r="Y4556">
        <v>0</v>
      </c>
      <c r="Z4556">
        <v>2</v>
      </c>
      <c r="AA4556">
        <v>79</v>
      </c>
      <c r="AB4556">
        <v>79</v>
      </c>
      <c r="AC4556">
        <v>79</v>
      </c>
      <c r="AD4556">
        <v>0</v>
      </c>
      <c r="AE4556">
        <v>0</v>
      </c>
      <c r="AF4556">
        <v>0</v>
      </c>
      <c r="AG4556">
        <v>0</v>
      </c>
      <c r="AH4556">
        <v>0</v>
      </c>
      <c r="AI4556">
        <v>14.22</v>
      </c>
      <c r="AJ4556">
        <v>79</v>
      </c>
      <c r="AK4556">
        <v>0</v>
      </c>
      <c r="AL4556" t="s">
        <v>53</v>
      </c>
      <c r="AM4556" t="s">
        <v>53</v>
      </c>
      <c r="AN4556" t="s">
        <v>53</v>
      </c>
      <c r="AO4556" t="s">
        <v>53</v>
      </c>
      <c r="AP4556" t="s">
        <v>53</v>
      </c>
    </row>
    <row r="4557" spans="2:42" x14ac:dyDescent="0.2">
      <c r="B4557" t="s">
        <v>44</v>
      </c>
      <c r="C4557" t="str">
        <f>HYPERLINK("https://us2.cloudbeds.com/connect/8493803454333002#/reservations/9080486845932404?display=25NJM77Z74&amp;reservation_id=9080486845932404", "25NJM77Z74")</f>
        <v>25NJM77Z74</v>
      </c>
      <c r="D4557" t="s">
        <v>45</v>
      </c>
      <c r="E4557" t="s">
        <v>223</v>
      </c>
      <c r="F4557" t="s">
        <v>47</v>
      </c>
      <c r="G4557" t="s">
        <v>48</v>
      </c>
      <c r="H4557" t="s">
        <v>49</v>
      </c>
      <c r="I4557" t="s">
        <v>50</v>
      </c>
      <c r="J4557" t="s">
        <v>6233</v>
      </c>
      <c r="K4557" t="s">
        <v>4158</v>
      </c>
      <c r="L4557" t="s">
        <v>53</v>
      </c>
      <c r="N4557" t="s">
        <v>7947</v>
      </c>
      <c r="P4557" t="s">
        <v>55</v>
      </c>
      <c r="R4557" t="s">
        <v>53</v>
      </c>
      <c r="T4557" t="s">
        <v>7948</v>
      </c>
      <c r="U4557" t="s">
        <v>58</v>
      </c>
      <c r="V4557">
        <v>1</v>
      </c>
      <c r="W4557">
        <v>1</v>
      </c>
      <c r="X4557">
        <v>2</v>
      </c>
      <c r="Y4557">
        <v>0</v>
      </c>
      <c r="Z4557">
        <v>2</v>
      </c>
      <c r="AA4557">
        <v>85.92</v>
      </c>
      <c r="AB4557">
        <v>85.92</v>
      </c>
      <c r="AC4557">
        <v>75.599999999999994</v>
      </c>
      <c r="AD4557">
        <v>0</v>
      </c>
      <c r="AE4557">
        <v>10.32</v>
      </c>
      <c r="AF4557">
        <v>0</v>
      </c>
      <c r="AG4557">
        <v>0</v>
      </c>
      <c r="AH4557">
        <v>0</v>
      </c>
      <c r="AI4557">
        <v>15.47</v>
      </c>
      <c r="AJ4557">
        <v>85.92</v>
      </c>
      <c r="AK4557">
        <v>0</v>
      </c>
      <c r="AL4557" t="s">
        <v>53</v>
      </c>
      <c r="AM4557" t="s">
        <v>53</v>
      </c>
      <c r="AN4557" t="s">
        <v>53</v>
      </c>
      <c r="AO4557" t="s">
        <v>53</v>
      </c>
      <c r="AP4557" t="s">
        <v>53</v>
      </c>
    </row>
    <row r="4558" spans="2:42" x14ac:dyDescent="0.2">
      <c r="B4558" t="s">
        <v>44</v>
      </c>
      <c r="C4558" t="str">
        <f>HYPERLINK("https://us2.cloudbeds.com/connect/8493803454333002#/reservations/100871111520478?display=25NRPN3U7C&amp;reservation_id=100871111520478", "25NRPN3U7C")</f>
        <v>25NRPN3U7C</v>
      </c>
      <c r="D4558" t="s">
        <v>45</v>
      </c>
      <c r="E4558" t="s">
        <v>155</v>
      </c>
      <c r="F4558" t="s">
        <v>86</v>
      </c>
      <c r="G4558" t="s">
        <v>48</v>
      </c>
      <c r="H4558" t="s">
        <v>3957</v>
      </c>
      <c r="I4558" t="s">
        <v>3975</v>
      </c>
      <c r="J4558" t="s">
        <v>7218</v>
      </c>
      <c r="K4558" t="s">
        <v>6661</v>
      </c>
      <c r="L4558" t="s">
        <v>53</v>
      </c>
      <c r="P4558" t="s">
        <v>55</v>
      </c>
      <c r="R4558" t="s">
        <v>53</v>
      </c>
      <c r="T4558" t="s">
        <v>7949</v>
      </c>
      <c r="U4558" t="s">
        <v>58</v>
      </c>
      <c r="V4558">
        <v>1</v>
      </c>
      <c r="W4558">
        <v>1</v>
      </c>
      <c r="X4558">
        <v>2</v>
      </c>
      <c r="Y4558">
        <v>2</v>
      </c>
      <c r="Z4558">
        <v>4</v>
      </c>
      <c r="AA4558">
        <v>239.81</v>
      </c>
      <c r="AB4558">
        <v>239.81</v>
      </c>
      <c r="AC4558">
        <v>211</v>
      </c>
      <c r="AD4558">
        <v>0</v>
      </c>
      <c r="AE4558">
        <v>28.81</v>
      </c>
      <c r="AF4558">
        <v>0</v>
      </c>
      <c r="AG4558">
        <v>0</v>
      </c>
      <c r="AH4558">
        <v>0</v>
      </c>
      <c r="AI4558">
        <v>0</v>
      </c>
      <c r="AJ4558">
        <v>239.81</v>
      </c>
      <c r="AK4558">
        <v>0</v>
      </c>
      <c r="AL4558" t="s">
        <v>53</v>
      </c>
      <c r="AM4558" t="s">
        <v>53</v>
      </c>
      <c r="AN4558" t="s">
        <v>53</v>
      </c>
      <c r="AO4558" t="s">
        <v>53</v>
      </c>
      <c r="AP4558" t="s">
        <v>53</v>
      </c>
    </row>
    <row r="4559" spans="2:42" x14ac:dyDescent="0.2">
      <c r="B4559" t="s">
        <v>44</v>
      </c>
      <c r="C4559" t="str">
        <f>HYPERLINK("https://us2.cloudbeds.com/connect/8493803454333002#/reservations/9080486845932777?display=25Z9TJP7XZ&amp;reservation_id=9080486845932777", "25Z9TJP7XZ")</f>
        <v>25Z9TJP7XZ</v>
      </c>
      <c r="D4559" t="s">
        <v>45</v>
      </c>
      <c r="E4559" t="s">
        <v>78</v>
      </c>
      <c r="F4559" t="s">
        <v>61</v>
      </c>
      <c r="G4559" t="s">
        <v>48</v>
      </c>
      <c r="H4559" t="s">
        <v>49</v>
      </c>
      <c r="I4559" t="s">
        <v>50</v>
      </c>
      <c r="J4559" t="s">
        <v>6943</v>
      </c>
      <c r="K4559" t="s">
        <v>7275</v>
      </c>
      <c r="L4559" t="s">
        <v>53</v>
      </c>
      <c r="N4559" t="s">
        <v>7950</v>
      </c>
      <c r="P4559" t="s">
        <v>55</v>
      </c>
      <c r="R4559" t="s">
        <v>53</v>
      </c>
      <c r="T4559" t="s">
        <v>7951</v>
      </c>
      <c r="U4559" t="s">
        <v>58</v>
      </c>
      <c r="V4559">
        <v>1</v>
      </c>
      <c r="W4559">
        <v>1</v>
      </c>
      <c r="X4559">
        <v>1</v>
      </c>
      <c r="Y4559">
        <v>0</v>
      </c>
      <c r="Z4559">
        <v>1</v>
      </c>
      <c r="AA4559">
        <v>226.05</v>
      </c>
      <c r="AB4559">
        <v>226.05</v>
      </c>
      <c r="AC4559">
        <v>198.9</v>
      </c>
      <c r="AD4559">
        <v>0</v>
      </c>
      <c r="AE4559">
        <v>27.15</v>
      </c>
      <c r="AF4559">
        <v>0</v>
      </c>
      <c r="AG4559">
        <v>0</v>
      </c>
      <c r="AH4559">
        <v>0</v>
      </c>
      <c r="AI4559">
        <v>40.69</v>
      </c>
      <c r="AJ4559">
        <v>226.05</v>
      </c>
      <c r="AK4559">
        <v>0</v>
      </c>
      <c r="AL4559" t="s">
        <v>53</v>
      </c>
      <c r="AM4559" t="s">
        <v>53</v>
      </c>
      <c r="AN4559" t="s">
        <v>53</v>
      </c>
      <c r="AO4559" t="s">
        <v>53</v>
      </c>
      <c r="AP4559" t="s">
        <v>53</v>
      </c>
    </row>
    <row r="4560" spans="2:42" x14ac:dyDescent="0.2">
      <c r="B4560" t="s">
        <v>44</v>
      </c>
      <c r="C4560" t="str">
        <f>HYPERLINK("https://us2.cloudbeds.com/connect/8493803454333002#/reservations/9080486845932964?display=25ZMSFKBVY&amp;reservation_id=9080486845932964", "25ZMSFKBVY")</f>
        <v>25ZMSFKBVY</v>
      </c>
      <c r="D4560" t="s">
        <v>45</v>
      </c>
      <c r="E4560" t="s">
        <v>406</v>
      </c>
      <c r="F4560" t="s">
        <v>61</v>
      </c>
      <c r="G4560" t="s">
        <v>48</v>
      </c>
      <c r="H4560" t="s">
        <v>49</v>
      </c>
      <c r="I4560" t="s">
        <v>62</v>
      </c>
      <c r="J4560" t="s">
        <v>6233</v>
      </c>
      <c r="K4560" t="s">
        <v>4158</v>
      </c>
      <c r="L4560" t="s">
        <v>53</v>
      </c>
      <c r="N4560" t="s">
        <v>7952</v>
      </c>
      <c r="P4560" t="s">
        <v>55</v>
      </c>
      <c r="R4560" t="s">
        <v>56</v>
      </c>
      <c r="T4560" t="s">
        <v>7953</v>
      </c>
      <c r="U4560" t="s">
        <v>55</v>
      </c>
      <c r="V4560">
        <v>1</v>
      </c>
      <c r="W4560">
        <v>1</v>
      </c>
      <c r="X4560">
        <v>2</v>
      </c>
      <c r="Y4560">
        <v>0</v>
      </c>
      <c r="Z4560">
        <v>2</v>
      </c>
      <c r="AA4560">
        <v>95</v>
      </c>
      <c r="AB4560">
        <v>95</v>
      </c>
      <c r="AC4560">
        <v>95</v>
      </c>
      <c r="AD4560">
        <v>0</v>
      </c>
      <c r="AE4560">
        <v>0</v>
      </c>
      <c r="AF4560">
        <v>0</v>
      </c>
      <c r="AG4560">
        <v>0</v>
      </c>
      <c r="AH4560">
        <v>0</v>
      </c>
      <c r="AI4560">
        <v>17.100000000000001</v>
      </c>
      <c r="AJ4560">
        <v>95</v>
      </c>
      <c r="AK4560">
        <v>0</v>
      </c>
      <c r="AL4560" t="s">
        <v>53</v>
      </c>
      <c r="AM4560" t="s">
        <v>53</v>
      </c>
      <c r="AN4560" t="s">
        <v>53</v>
      </c>
      <c r="AO4560" t="s">
        <v>53</v>
      </c>
      <c r="AP4560" t="s">
        <v>53</v>
      </c>
    </row>
    <row r="4561" spans="2:42" x14ac:dyDescent="0.2">
      <c r="B4561" t="s">
        <v>44</v>
      </c>
      <c r="C4561" t="str">
        <f>HYPERLINK("https://us2.cloudbeds.com/connect/8493803454333002#/reservations/9080486845932998?display=25ZZJHMTGX&amp;reservation_id=9080486845932998", "25ZZJHMTGX")</f>
        <v>25ZZJHMTGX</v>
      </c>
      <c r="D4561" t="s">
        <v>45</v>
      </c>
      <c r="E4561" t="s">
        <v>155</v>
      </c>
      <c r="F4561" t="s">
        <v>86</v>
      </c>
      <c r="G4561" t="s">
        <v>48</v>
      </c>
      <c r="H4561" t="s">
        <v>49</v>
      </c>
      <c r="I4561" t="s">
        <v>50</v>
      </c>
      <c r="J4561" t="s">
        <v>7078</v>
      </c>
      <c r="K4561" t="s">
        <v>6855</v>
      </c>
      <c r="L4561" t="s">
        <v>53</v>
      </c>
      <c r="N4561" t="s">
        <v>7954</v>
      </c>
      <c r="P4561" t="s">
        <v>55</v>
      </c>
      <c r="R4561" t="s">
        <v>53</v>
      </c>
      <c r="T4561" t="s">
        <v>7955</v>
      </c>
      <c r="U4561" t="s">
        <v>58</v>
      </c>
      <c r="V4561">
        <v>1</v>
      </c>
      <c r="W4561">
        <v>1</v>
      </c>
      <c r="X4561">
        <v>2</v>
      </c>
      <c r="Y4561">
        <v>0</v>
      </c>
      <c r="Z4561">
        <v>2</v>
      </c>
      <c r="AA4561">
        <v>109.2</v>
      </c>
      <c r="AB4561">
        <v>109.2</v>
      </c>
      <c r="AC4561">
        <v>96.09</v>
      </c>
      <c r="AD4561">
        <v>0</v>
      </c>
      <c r="AE4561">
        <v>13.11</v>
      </c>
      <c r="AF4561">
        <v>0</v>
      </c>
      <c r="AG4561">
        <v>0</v>
      </c>
      <c r="AH4561">
        <v>0</v>
      </c>
      <c r="AI4561">
        <v>19.66</v>
      </c>
      <c r="AJ4561">
        <v>109.2</v>
      </c>
      <c r="AK4561">
        <v>0</v>
      </c>
      <c r="AL4561" t="s">
        <v>53</v>
      </c>
      <c r="AM4561" t="s">
        <v>53</v>
      </c>
      <c r="AN4561" t="s">
        <v>53</v>
      </c>
      <c r="AO4561" t="s">
        <v>53</v>
      </c>
      <c r="AP4561" t="s">
        <v>53</v>
      </c>
    </row>
    <row r="4562" spans="2:42" x14ac:dyDescent="0.2">
      <c r="B4562" t="s">
        <v>44</v>
      </c>
      <c r="C4562" t="str">
        <f>HYPERLINK("https://us2.cloudbeds.com/connect/8493803454333002#/reservations/9080486845935332?display=25T29Y1554&amp;reservation_id=9080486845935332", "25T29Y1554")</f>
        <v>25T29Y1554</v>
      </c>
      <c r="D4562" t="s">
        <v>45</v>
      </c>
      <c r="E4562" t="s">
        <v>46</v>
      </c>
      <c r="F4562" t="s">
        <v>47</v>
      </c>
      <c r="G4562" t="s">
        <v>48</v>
      </c>
      <c r="H4562" t="s">
        <v>49</v>
      </c>
      <c r="I4562" t="s">
        <v>50</v>
      </c>
      <c r="J4562" t="s">
        <v>6819</v>
      </c>
      <c r="K4562" t="s">
        <v>7078</v>
      </c>
      <c r="L4562" t="s">
        <v>53</v>
      </c>
      <c r="N4562" t="s">
        <v>7956</v>
      </c>
      <c r="P4562" t="s">
        <v>55</v>
      </c>
      <c r="R4562" t="s">
        <v>53</v>
      </c>
      <c r="T4562" t="s">
        <v>7957</v>
      </c>
      <c r="U4562" t="s">
        <v>58</v>
      </c>
      <c r="V4562">
        <v>2</v>
      </c>
      <c r="W4562">
        <v>1</v>
      </c>
      <c r="X4562">
        <v>1</v>
      </c>
      <c r="Y4562">
        <v>0</v>
      </c>
      <c r="Z4562">
        <v>1</v>
      </c>
      <c r="AA4562">
        <v>245.49</v>
      </c>
      <c r="AB4562">
        <v>245.49</v>
      </c>
      <c r="AC4562">
        <v>216</v>
      </c>
      <c r="AD4562">
        <v>0</v>
      </c>
      <c r="AE4562">
        <v>29.49</v>
      </c>
      <c r="AF4562">
        <v>0</v>
      </c>
      <c r="AG4562">
        <v>0</v>
      </c>
      <c r="AH4562">
        <v>0</v>
      </c>
      <c r="AI4562">
        <v>44.19</v>
      </c>
      <c r="AJ4562">
        <v>245.49</v>
      </c>
      <c r="AK4562">
        <v>0</v>
      </c>
      <c r="AL4562" t="s">
        <v>53</v>
      </c>
      <c r="AM4562" t="s">
        <v>53</v>
      </c>
      <c r="AN4562" t="s">
        <v>53</v>
      </c>
      <c r="AO4562" t="s">
        <v>53</v>
      </c>
      <c r="AP4562" t="s">
        <v>53</v>
      </c>
    </row>
    <row r="4563" spans="2:42" x14ac:dyDescent="0.2">
      <c r="B4563" t="s">
        <v>44</v>
      </c>
      <c r="C4563" t="str">
        <f>HYPERLINK("https://us2.cloudbeds.com/connect/8493803454333002#/reservations/101113111072939?display=25TH5BX6FU&amp;reservation_id=101113111072939", "25TH5BX6FU")</f>
        <v>25TH5BX6FU</v>
      </c>
      <c r="D4563" t="s">
        <v>45</v>
      </c>
      <c r="E4563" t="s">
        <v>179</v>
      </c>
      <c r="F4563" t="s">
        <v>47</v>
      </c>
      <c r="G4563" t="s">
        <v>48</v>
      </c>
      <c r="H4563" t="s">
        <v>3957</v>
      </c>
      <c r="I4563" t="s">
        <v>3989</v>
      </c>
      <c r="J4563" t="s">
        <v>6661</v>
      </c>
      <c r="K4563" t="s">
        <v>7376</v>
      </c>
      <c r="L4563" t="s">
        <v>53</v>
      </c>
      <c r="P4563" t="s">
        <v>55</v>
      </c>
      <c r="R4563" t="s">
        <v>56</v>
      </c>
      <c r="T4563" t="s">
        <v>7958</v>
      </c>
      <c r="U4563" t="s">
        <v>58</v>
      </c>
      <c r="V4563">
        <v>1</v>
      </c>
      <c r="W4563">
        <v>1</v>
      </c>
      <c r="X4563">
        <v>1</v>
      </c>
      <c r="Y4563">
        <v>0</v>
      </c>
      <c r="Z4563">
        <v>1</v>
      </c>
      <c r="AA4563">
        <v>176.17</v>
      </c>
      <c r="AB4563">
        <v>176.17</v>
      </c>
      <c r="AC4563">
        <v>155</v>
      </c>
      <c r="AD4563">
        <v>0</v>
      </c>
      <c r="AE4563">
        <v>21.17</v>
      </c>
      <c r="AF4563">
        <v>0</v>
      </c>
      <c r="AG4563">
        <v>0</v>
      </c>
      <c r="AH4563">
        <v>0</v>
      </c>
      <c r="AI4563">
        <v>0</v>
      </c>
      <c r="AJ4563">
        <v>176.17</v>
      </c>
      <c r="AK4563">
        <v>0</v>
      </c>
      <c r="AL4563" t="s">
        <v>53</v>
      </c>
      <c r="AM4563" t="s">
        <v>53</v>
      </c>
      <c r="AN4563" t="s">
        <v>53</v>
      </c>
      <c r="AO4563" t="s">
        <v>53</v>
      </c>
      <c r="AP4563" t="s">
        <v>53</v>
      </c>
    </row>
    <row r="4564" spans="2:42" x14ac:dyDescent="0.2">
      <c r="B4564" t="s">
        <v>44</v>
      </c>
      <c r="C4564" t="str">
        <f>HYPERLINK("https://us2.cloudbeds.com/connect/8493803454333002#/reservations/101121892790478?display=25TNVZHE8K&amp;reservation_id=101121892790478", "25TNVZHE8K")</f>
        <v>25TNVZHE8K</v>
      </c>
      <c r="D4564" t="s">
        <v>45</v>
      </c>
      <c r="E4564" t="s">
        <v>185</v>
      </c>
      <c r="F4564" t="s">
        <v>47</v>
      </c>
      <c r="G4564" t="s">
        <v>48</v>
      </c>
      <c r="H4564" t="s">
        <v>3957</v>
      </c>
      <c r="I4564" t="s">
        <v>3958</v>
      </c>
      <c r="J4564" t="s">
        <v>6819</v>
      </c>
      <c r="K4564" t="s">
        <v>4159</v>
      </c>
      <c r="L4564" t="s">
        <v>53</v>
      </c>
      <c r="P4564" t="s">
        <v>58</v>
      </c>
      <c r="R4564" t="s">
        <v>56</v>
      </c>
      <c r="T4564" t="s">
        <v>7959</v>
      </c>
      <c r="U4564" t="s">
        <v>58</v>
      </c>
      <c r="V4564">
        <v>1</v>
      </c>
      <c r="W4564">
        <v>1</v>
      </c>
      <c r="X4564">
        <v>1</v>
      </c>
      <c r="Y4564">
        <v>0</v>
      </c>
      <c r="Z4564">
        <v>1</v>
      </c>
      <c r="AA4564">
        <v>137.52000000000001</v>
      </c>
      <c r="AB4564">
        <v>137.52000000000001</v>
      </c>
      <c r="AC4564">
        <v>121</v>
      </c>
      <c r="AD4564">
        <v>0</v>
      </c>
      <c r="AE4564">
        <v>16.52</v>
      </c>
      <c r="AF4564">
        <v>0</v>
      </c>
      <c r="AG4564">
        <v>0</v>
      </c>
      <c r="AH4564">
        <v>0</v>
      </c>
      <c r="AI4564">
        <v>0</v>
      </c>
      <c r="AJ4564">
        <v>137.52000000000001</v>
      </c>
      <c r="AK4564">
        <v>0</v>
      </c>
      <c r="AL4564" t="s">
        <v>53</v>
      </c>
      <c r="AM4564" t="s">
        <v>53</v>
      </c>
      <c r="AN4564" t="s">
        <v>53</v>
      </c>
      <c r="AO4564" t="s">
        <v>53</v>
      </c>
      <c r="AP4564" t="s">
        <v>53</v>
      </c>
    </row>
    <row r="4565" spans="2:42" x14ac:dyDescent="0.2">
      <c r="B4565" t="s">
        <v>44</v>
      </c>
      <c r="C4565" t="str">
        <f>HYPERLINK("https://us2.cloudbeds.com/connect/8493803454333002#/reservations/9080486845936539?display=25UG27VM8A&amp;reservation_id=9080486845936539", "25UG27VM8A")</f>
        <v>25UG27VM8A</v>
      </c>
      <c r="D4565" t="s">
        <v>45</v>
      </c>
      <c r="E4565" t="s">
        <v>121</v>
      </c>
      <c r="F4565" t="s">
        <v>86</v>
      </c>
      <c r="G4565" t="s">
        <v>48</v>
      </c>
      <c r="H4565" t="s">
        <v>49</v>
      </c>
      <c r="I4565" t="s">
        <v>50</v>
      </c>
      <c r="J4565" t="s">
        <v>4158</v>
      </c>
      <c r="K4565" t="s">
        <v>6544</v>
      </c>
      <c r="L4565" t="s">
        <v>53</v>
      </c>
      <c r="N4565" t="s">
        <v>7960</v>
      </c>
      <c r="P4565" t="s">
        <v>55</v>
      </c>
      <c r="R4565" t="s">
        <v>53</v>
      </c>
      <c r="T4565" t="s">
        <v>7961</v>
      </c>
      <c r="U4565" t="s">
        <v>58</v>
      </c>
      <c r="V4565">
        <v>1</v>
      </c>
      <c r="W4565">
        <v>1</v>
      </c>
      <c r="X4565">
        <v>2</v>
      </c>
      <c r="Y4565">
        <v>0</v>
      </c>
      <c r="Z4565">
        <v>2</v>
      </c>
      <c r="AA4565">
        <v>112.52</v>
      </c>
      <c r="AB4565">
        <v>112.52</v>
      </c>
      <c r="AC4565">
        <v>99</v>
      </c>
      <c r="AD4565">
        <v>0</v>
      </c>
      <c r="AE4565">
        <v>13.52</v>
      </c>
      <c r="AF4565">
        <v>0</v>
      </c>
      <c r="AG4565">
        <v>0</v>
      </c>
      <c r="AH4565">
        <v>0</v>
      </c>
      <c r="AI4565">
        <v>20.25</v>
      </c>
      <c r="AJ4565">
        <v>112.52</v>
      </c>
      <c r="AK4565">
        <v>0</v>
      </c>
      <c r="AL4565" t="s">
        <v>53</v>
      </c>
      <c r="AM4565" t="s">
        <v>53</v>
      </c>
      <c r="AN4565" t="s">
        <v>53</v>
      </c>
      <c r="AO4565" t="s">
        <v>53</v>
      </c>
      <c r="AP4565" t="s">
        <v>53</v>
      </c>
    </row>
    <row r="4566" spans="2:42" x14ac:dyDescent="0.2">
      <c r="B4566" t="s">
        <v>44</v>
      </c>
      <c r="C4566" t="str">
        <f>HYPERLINK("https://us2.cloudbeds.com/connect/8493803454333002#/reservations/9080486845936708?display=25UM1SRWBY&amp;reservation_id=9080486845936708", "25UM1SRWBY")</f>
        <v>25UM1SRWBY</v>
      </c>
      <c r="D4566" t="s">
        <v>45</v>
      </c>
      <c r="E4566" t="s">
        <v>69</v>
      </c>
      <c r="F4566" t="s">
        <v>70</v>
      </c>
      <c r="G4566" t="s">
        <v>48</v>
      </c>
      <c r="H4566" t="s">
        <v>49</v>
      </c>
      <c r="I4566" t="s">
        <v>62</v>
      </c>
      <c r="J4566" t="s">
        <v>7152</v>
      </c>
      <c r="K4566" t="s">
        <v>7962</v>
      </c>
      <c r="L4566" t="s">
        <v>53</v>
      </c>
      <c r="N4566" t="s">
        <v>7963</v>
      </c>
      <c r="P4566" t="s">
        <v>55</v>
      </c>
      <c r="R4566" t="s">
        <v>56</v>
      </c>
      <c r="T4566" t="s">
        <v>7964</v>
      </c>
      <c r="U4566" t="s">
        <v>55</v>
      </c>
      <c r="V4566">
        <v>1</v>
      </c>
      <c r="W4566">
        <v>1</v>
      </c>
      <c r="X4566">
        <v>1</v>
      </c>
      <c r="Y4566">
        <v>0</v>
      </c>
      <c r="Z4566">
        <v>1</v>
      </c>
      <c r="AA4566">
        <v>151.05000000000001</v>
      </c>
      <c r="AB4566">
        <v>151.05000000000001</v>
      </c>
      <c r="AC4566">
        <v>151.05000000000001</v>
      </c>
      <c r="AD4566">
        <v>0</v>
      </c>
      <c r="AE4566">
        <v>0</v>
      </c>
      <c r="AF4566">
        <v>0</v>
      </c>
      <c r="AG4566">
        <v>0</v>
      </c>
      <c r="AH4566">
        <v>0</v>
      </c>
      <c r="AI4566">
        <v>27.19</v>
      </c>
      <c r="AJ4566">
        <v>151.05000000000001</v>
      </c>
      <c r="AK4566">
        <v>0</v>
      </c>
      <c r="AL4566" t="s">
        <v>53</v>
      </c>
      <c r="AM4566" t="s">
        <v>53</v>
      </c>
      <c r="AN4566" t="s">
        <v>53</v>
      </c>
      <c r="AO4566" t="s">
        <v>53</v>
      </c>
      <c r="AP4566" t="s">
        <v>53</v>
      </c>
    </row>
    <row r="4567" spans="2:42" x14ac:dyDescent="0.2">
      <c r="B4567" t="s">
        <v>44</v>
      </c>
      <c r="C4567" t="str">
        <f>HYPERLINK("https://us2.cloudbeds.com/connect/8493803454333002#/reservations/9080486845937220?display=25V838SNCT&amp;reservation_id=9080486845937220", "25V838SNCT")</f>
        <v>25V838SNCT</v>
      </c>
      <c r="D4567" t="s">
        <v>45</v>
      </c>
      <c r="E4567" t="s">
        <v>7965</v>
      </c>
      <c r="F4567" t="s">
        <v>70</v>
      </c>
      <c r="G4567" t="s">
        <v>48</v>
      </c>
      <c r="H4567" t="s">
        <v>49</v>
      </c>
      <c r="I4567" t="s">
        <v>62</v>
      </c>
      <c r="J4567" t="s">
        <v>7966</v>
      </c>
      <c r="K4567" t="s">
        <v>7967</v>
      </c>
      <c r="L4567" t="s">
        <v>53</v>
      </c>
      <c r="N4567" t="s">
        <v>7968</v>
      </c>
      <c r="P4567" t="s">
        <v>55</v>
      </c>
      <c r="R4567" t="s">
        <v>118</v>
      </c>
      <c r="T4567" t="s">
        <v>7969</v>
      </c>
      <c r="U4567" t="s">
        <v>55</v>
      </c>
      <c r="V4567">
        <v>2</v>
      </c>
      <c r="W4567">
        <v>2</v>
      </c>
      <c r="X4567">
        <v>2</v>
      </c>
      <c r="Y4567">
        <v>0</v>
      </c>
      <c r="Z4567">
        <v>2</v>
      </c>
      <c r="AA4567">
        <v>285</v>
      </c>
      <c r="AB4567">
        <v>285</v>
      </c>
      <c r="AC4567">
        <v>285</v>
      </c>
      <c r="AD4567">
        <v>0</v>
      </c>
      <c r="AE4567">
        <v>0</v>
      </c>
      <c r="AF4567">
        <v>0</v>
      </c>
      <c r="AG4567">
        <v>0</v>
      </c>
      <c r="AH4567">
        <v>0</v>
      </c>
      <c r="AI4567">
        <v>51.3</v>
      </c>
      <c r="AJ4567">
        <v>285</v>
      </c>
      <c r="AK4567">
        <v>0</v>
      </c>
      <c r="AL4567" t="s">
        <v>53</v>
      </c>
      <c r="AM4567" t="s">
        <v>53</v>
      </c>
      <c r="AN4567" t="s">
        <v>7970</v>
      </c>
      <c r="AO4567" t="s">
        <v>53</v>
      </c>
      <c r="AP4567" t="s">
        <v>53</v>
      </c>
    </row>
    <row r="4568" spans="2:42" x14ac:dyDescent="0.2">
      <c r="B4568" t="s">
        <v>44</v>
      </c>
      <c r="C4568" t="str">
        <f>HYPERLINK("https://us2.cloudbeds.com/connect/8493803454333002#/reservations/101192770777221?display=25VCRRNTHN&amp;reservation_id=101192770777221", "25VCRRNTHN")</f>
        <v>25VCRRNTHN</v>
      </c>
      <c r="D4568" t="s">
        <v>45</v>
      </c>
      <c r="E4568" t="s">
        <v>138</v>
      </c>
      <c r="F4568" t="s">
        <v>70</v>
      </c>
      <c r="G4568" t="s">
        <v>48</v>
      </c>
      <c r="H4568" t="s">
        <v>3957</v>
      </c>
      <c r="I4568" t="s">
        <v>3975</v>
      </c>
      <c r="J4568" t="s">
        <v>6487</v>
      </c>
      <c r="K4568" t="s">
        <v>6488</v>
      </c>
      <c r="L4568" t="s">
        <v>53</v>
      </c>
      <c r="P4568" t="s">
        <v>55</v>
      </c>
      <c r="R4568" t="s">
        <v>53</v>
      </c>
      <c r="T4568" t="s">
        <v>7971</v>
      </c>
      <c r="U4568" t="s">
        <v>58</v>
      </c>
      <c r="V4568">
        <v>2</v>
      </c>
      <c r="W4568">
        <v>1</v>
      </c>
      <c r="X4568">
        <v>1</v>
      </c>
      <c r="Y4568">
        <v>0</v>
      </c>
      <c r="Z4568">
        <v>1</v>
      </c>
      <c r="AA4568">
        <v>358.01</v>
      </c>
      <c r="AB4568">
        <v>358.01</v>
      </c>
      <c r="AC4568">
        <v>315</v>
      </c>
      <c r="AD4568">
        <v>0</v>
      </c>
      <c r="AE4568">
        <v>43.01</v>
      </c>
      <c r="AF4568">
        <v>0</v>
      </c>
      <c r="AG4568">
        <v>0</v>
      </c>
      <c r="AH4568">
        <v>0</v>
      </c>
      <c r="AI4568">
        <v>0</v>
      </c>
      <c r="AJ4568">
        <v>358.01</v>
      </c>
      <c r="AK4568">
        <v>0</v>
      </c>
      <c r="AL4568" t="s">
        <v>53</v>
      </c>
      <c r="AM4568" t="s">
        <v>53</v>
      </c>
      <c r="AN4568" t="s">
        <v>53</v>
      </c>
      <c r="AO4568" t="s">
        <v>53</v>
      </c>
      <c r="AP4568" t="s">
        <v>53</v>
      </c>
    </row>
    <row r="4569" spans="2:42" x14ac:dyDescent="0.2">
      <c r="B4569" t="s">
        <v>44</v>
      </c>
      <c r="C4569" t="str">
        <f>HYPERLINK("https://us2.cloudbeds.com/connect/8493803454333002#/reservations/9080486845937653?display=25VRPQ6WKA&amp;reservation_id=9080486845937653", "25VRPQ6WKA")</f>
        <v>25VRPQ6WKA</v>
      </c>
      <c r="D4569" t="s">
        <v>45</v>
      </c>
      <c r="E4569" t="s">
        <v>305</v>
      </c>
      <c r="F4569" t="s">
        <v>61</v>
      </c>
      <c r="G4569" t="s">
        <v>48</v>
      </c>
      <c r="H4569" t="s">
        <v>49</v>
      </c>
      <c r="I4569" t="s">
        <v>50</v>
      </c>
      <c r="J4569" t="s">
        <v>6544</v>
      </c>
      <c r="K4569" t="s">
        <v>6234</v>
      </c>
      <c r="L4569" t="s">
        <v>53</v>
      </c>
      <c r="N4569" t="s">
        <v>7972</v>
      </c>
      <c r="P4569" t="s">
        <v>55</v>
      </c>
      <c r="R4569" t="s">
        <v>53</v>
      </c>
      <c r="T4569" t="s">
        <v>7973</v>
      </c>
      <c r="U4569" t="s">
        <v>58</v>
      </c>
      <c r="V4569">
        <v>1</v>
      </c>
      <c r="W4569">
        <v>1</v>
      </c>
      <c r="X4569">
        <v>2</v>
      </c>
      <c r="Y4569">
        <v>0</v>
      </c>
      <c r="Z4569">
        <v>2</v>
      </c>
      <c r="AA4569">
        <v>102.39</v>
      </c>
      <c r="AB4569">
        <v>102.39</v>
      </c>
      <c r="AC4569">
        <v>90.1</v>
      </c>
      <c r="AD4569">
        <v>0</v>
      </c>
      <c r="AE4569">
        <v>12.29</v>
      </c>
      <c r="AF4569">
        <v>0</v>
      </c>
      <c r="AG4569">
        <v>0</v>
      </c>
      <c r="AH4569">
        <v>0</v>
      </c>
      <c r="AI4569">
        <v>18.43</v>
      </c>
      <c r="AJ4569">
        <v>102.39</v>
      </c>
      <c r="AK4569">
        <v>0</v>
      </c>
      <c r="AL4569" t="s">
        <v>53</v>
      </c>
      <c r="AM4569" t="s">
        <v>53</v>
      </c>
      <c r="AN4569" t="s">
        <v>53</v>
      </c>
      <c r="AO4569" t="s">
        <v>53</v>
      </c>
      <c r="AP4569" t="s">
        <v>53</v>
      </c>
    </row>
    <row r="4570" spans="2:42" x14ac:dyDescent="0.2">
      <c r="B4570" t="s">
        <v>44</v>
      </c>
      <c r="C4570" t="str">
        <f>HYPERLINK("https://us2.cloudbeds.com/connect/8493803454333002#/reservations/9080486845937834?display=25W6XQ9SES&amp;reservation_id=9080486845937834", "25W6XQ9SES")</f>
        <v>25W6XQ9SES</v>
      </c>
      <c r="D4570" t="s">
        <v>45</v>
      </c>
      <c r="E4570" t="s">
        <v>138</v>
      </c>
      <c r="F4570" t="s">
        <v>70</v>
      </c>
      <c r="G4570" t="s">
        <v>48</v>
      </c>
      <c r="H4570" t="s">
        <v>49</v>
      </c>
      <c r="I4570" t="s">
        <v>62</v>
      </c>
      <c r="J4570" t="s">
        <v>7974</v>
      </c>
      <c r="K4570" t="s">
        <v>7975</v>
      </c>
      <c r="L4570" t="s">
        <v>53</v>
      </c>
      <c r="N4570" t="s">
        <v>7976</v>
      </c>
      <c r="P4570" t="s">
        <v>55</v>
      </c>
      <c r="R4570" t="s">
        <v>56</v>
      </c>
      <c r="T4570" t="s">
        <v>7977</v>
      </c>
      <c r="U4570" t="s">
        <v>55</v>
      </c>
      <c r="V4570">
        <v>1</v>
      </c>
      <c r="W4570">
        <v>1</v>
      </c>
      <c r="X4570">
        <v>2</v>
      </c>
      <c r="Y4570">
        <v>0</v>
      </c>
      <c r="Z4570">
        <v>2</v>
      </c>
      <c r="AA4570">
        <v>142.5</v>
      </c>
      <c r="AB4570">
        <v>142.5</v>
      </c>
      <c r="AC4570">
        <v>142.5</v>
      </c>
      <c r="AD4570">
        <v>0</v>
      </c>
      <c r="AE4570">
        <v>0</v>
      </c>
      <c r="AF4570">
        <v>0</v>
      </c>
      <c r="AG4570">
        <v>0</v>
      </c>
      <c r="AH4570">
        <v>0</v>
      </c>
      <c r="AI4570">
        <v>25.65</v>
      </c>
      <c r="AJ4570">
        <v>142.5</v>
      </c>
      <c r="AK4570">
        <v>0</v>
      </c>
      <c r="AL4570" t="s">
        <v>53</v>
      </c>
      <c r="AM4570" t="s">
        <v>53</v>
      </c>
      <c r="AN4570" t="s">
        <v>53</v>
      </c>
      <c r="AO4570" t="s">
        <v>53</v>
      </c>
      <c r="AP4570" t="s">
        <v>53</v>
      </c>
    </row>
    <row r="4571" spans="2:42" x14ac:dyDescent="0.2">
      <c r="B4571" t="s">
        <v>44</v>
      </c>
      <c r="C4571" t="str">
        <f>HYPERLINK("https://us2.cloudbeds.com/connect/8493803454333002#/reservations/101249879302377?display=25WZ234Q42&amp;reservation_id=101249879302377", "25WZ234Q42")</f>
        <v>25WZ234Q42</v>
      </c>
      <c r="D4571" t="s">
        <v>45</v>
      </c>
      <c r="E4571" t="s">
        <v>92</v>
      </c>
      <c r="F4571" t="s">
        <v>86</v>
      </c>
      <c r="G4571" t="s">
        <v>48</v>
      </c>
      <c r="H4571" t="s">
        <v>3957</v>
      </c>
      <c r="I4571" t="s">
        <v>3975</v>
      </c>
      <c r="J4571" t="s">
        <v>4158</v>
      </c>
      <c r="K4571" t="s">
        <v>6544</v>
      </c>
      <c r="L4571" t="s">
        <v>53</v>
      </c>
      <c r="P4571" t="s">
        <v>55</v>
      </c>
      <c r="R4571" t="s">
        <v>53</v>
      </c>
      <c r="T4571" t="s">
        <v>7978</v>
      </c>
      <c r="U4571" t="s">
        <v>58</v>
      </c>
      <c r="V4571">
        <v>1</v>
      </c>
      <c r="W4571">
        <v>1</v>
      </c>
      <c r="X4571">
        <v>2</v>
      </c>
      <c r="Y4571">
        <v>0</v>
      </c>
      <c r="Z4571">
        <v>2</v>
      </c>
      <c r="AA4571">
        <v>125.02</v>
      </c>
      <c r="AB4571">
        <v>125.02</v>
      </c>
      <c r="AC4571">
        <v>110</v>
      </c>
      <c r="AD4571">
        <v>0</v>
      </c>
      <c r="AE4571">
        <v>15.02</v>
      </c>
      <c r="AF4571">
        <v>0</v>
      </c>
      <c r="AG4571">
        <v>0</v>
      </c>
      <c r="AH4571">
        <v>0</v>
      </c>
      <c r="AI4571">
        <v>0</v>
      </c>
      <c r="AJ4571">
        <v>125.02</v>
      </c>
      <c r="AK4571">
        <v>0</v>
      </c>
      <c r="AL4571" t="s">
        <v>53</v>
      </c>
      <c r="AM4571" t="s">
        <v>53</v>
      </c>
      <c r="AN4571" t="s">
        <v>53</v>
      </c>
      <c r="AO4571" t="s">
        <v>53</v>
      </c>
      <c r="AP4571" t="s">
        <v>53</v>
      </c>
    </row>
    <row r="4572" spans="2:42" x14ac:dyDescent="0.2">
      <c r="B4572" t="s">
        <v>44</v>
      </c>
      <c r="C4572" t="str">
        <f>HYPERLINK("https://us2.cloudbeds.com/connect/8493803454333002#/reservations/9080486845938215?display=25WTUTVBRP&amp;reservation_id=9080486845938215", "25WTUTVBRP")</f>
        <v>25WTUTVBRP</v>
      </c>
      <c r="D4572" t="s">
        <v>45</v>
      </c>
      <c r="E4572" t="s">
        <v>381</v>
      </c>
      <c r="F4572" t="s">
        <v>47</v>
      </c>
      <c r="G4572" t="s">
        <v>48</v>
      </c>
      <c r="H4572" t="s">
        <v>49</v>
      </c>
      <c r="I4572" t="s">
        <v>62</v>
      </c>
      <c r="J4572" t="s">
        <v>4767</v>
      </c>
      <c r="K4572" t="s">
        <v>4768</v>
      </c>
      <c r="L4572" t="s">
        <v>53</v>
      </c>
      <c r="N4572" t="s">
        <v>7979</v>
      </c>
      <c r="P4572" t="s">
        <v>55</v>
      </c>
      <c r="R4572" t="s">
        <v>56</v>
      </c>
      <c r="T4572" t="s">
        <v>7980</v>
      </c>
      <c r="U4572" t="s">
        <v>55</v>
      </c>
      <c r="V4572">
        <v>1</v>
      </c>
      <c r="W4572">
        <v>1</v>
      </c>
      <c r="X4572">
        <v>2</v>
      </c>
      <c r="Y4572">
        <v>0</v>
      </c>
      <c r="Z4572">
        <v>2</v>
      </c>
      <c r="AA4572">
        <v>99.75</v>
      </c>
      <c r="AB4572">
        <v>99.75</v>
      </c>
      <c r="AC4572">
        <v>99.75</v>
      </c>
      <c r="AD4572">
        <v>0</v>
      </c>
      <c r="AE4572">
        <v>0</v>
      </c>
      <c r="AF4572">
        <v>0</v>
      </c>
      <c r="AG4572">
        <v>0</v>
      </c>
      <c r="AH4572">
        <v>0</v>
      </c>
      <c r="AI4572">
        <v>17.96</v>
      </c>
      <c r="AJ4572">
        <v>99.75</v>
      </c>
      <c r="AK4572">
        <v>0</v>
      </c>
      <c r="AL4572" t="s">
        <v>53</v>
      </c>
      <c r="AM4572" t="s">
        <v>53</v>
      </c>
      <c r="AN4572" t="s">
        <v>53</v>
      </c>
      <c r="AO4572" t="s">
        <v>53</v>
      </c>
      <c r="AP4572" t="s">
        <v>53</v>
      </c>
    </row>
    <row r="4573" spans="2:42" x14ac:dyDescent="0.2">
      <c r="B4573" t="s">
        <v>44</v>
      </c>
      <c r="C4573" t="str">
        <f>HYPERLINK("https://us2.cloudbeds.com/connect/8493803454333002#/reservations/9080486845938252?display=25WWA344N4&amp;reservation_id=9080486845938252", "25WWA344N4")</f>
        <v>25WWA344N4</v>
      </c>
      <c r="D4573" t="s">
        <v>45</v>
      </c>
      <c r="E4573" t="s">
        <v>185</v>
      </c>
      <c r="F4573" t="s">
        <v>47</v>
      </c>
      <c r="G4573" t="s">
        <v>48</v>
      </c>
      <c r="H4573" t="s">
        <v>49</v>
      </c>
      <c r="I4573" t="s">
        <v>62</v>
      </c>
      <c r="J4573" t="s">
        <v>6274</v>
      </c>
      <c r="K4573" t="s">
        <v>6416</v>
      </c>
      <c r="L4573" t="s">
        <v>53</v>
      </c>
      <c r="N4573" t="s">
        <v>7981</v>
      </c>
      <c r="P4573" t="s">
        <v>55</v>
      </c>
      <c r="R4573" t="s">
        <v>56</v>
      </c>
      <c r="T4573" t="s">
        <v>7982</v>
      </c>
      <c r="U4573" t="s">
        <v>55</v>
      </c>
      <c r="V4573">
        <v>1</v>
      </c>
      <c r="W4573">
        <v>1</v>
      </c>
      <c r="X4573">
        <v>2</v>
      </c>
      <c r="Y4573">
        <v>0</v>
      </c>
      <c r="Z4573">
        <v>2</v>
      </c>
      <c r="AA4573">
        <v>138.69999999999999</v>
      </c>
      <c r="AB4573">
        <v>138.69999999999999</v>
      </c>
      <c r="AC4573">
        <v>138.69999999999999</v>
      </c>
      <c r="AD4573">
        <v>0</v>
      </c>
      <c r="AE4573">
        <v>0</v>
      </c>
      <c r="AF4573">
        <v>0</v>
      </c>
      <c r="AG4573">
        <v>0</v>
      </c>
      <c r="AH4573">
        <v>0</v>
      </c>
      <c r="AI4573">
        <v>24.97</v>
      </c>
      <c r="AJ4573">
        <v>138.69999999999999</v>
      </c>
      <c r="AK4573">
        <v>0</v>
      </c>
      <c r="AL4573" t="s">
        <v>53</v>
      </c>
      <c r="AM4573" t="s">
        <v>53</v>
      </c>
      <c r="AN4573" t="s">
        <v>53</v>
      </c>
      <c r="AO4573" t="s">
        <v>53</v>
      </c>
      <c r="AP4573" t="s">
        <v>53</v>
      </c>
    </row>
    <row r="4574" spans="2:42" x14ac:dyDescent="0.2">
      <c r="B4574" t="s">
        <v>44</v>
      </c>
      <c r="C4574" t="str">
        <f>HYPERLINK("https://us2.cloudbeds.com/connect/8493803454333002#/reservations/9080486845938330?display=2603CX949S&amp;reservation_id=9080486845938330", "2603CX949S")</f>
        <v>2603CX949S</v>
      </c>
      <c r="D4574" t="s">
        <v>45</v>
      </c>
      <c r="E4574" t="s">
        <v>69</v>
      </c>
      <c r="F4574" t="s">
        <v>70</v>
      </c>
      <c r="G4574" t="s">
        <v>48</v>
      </c>
      <c r="H4574" t="s">
        <v>49</v>
      </c>
      <c r="I4574" t="s">
        <v>50</v>
      </c>
      <c r="J4574" t="s">
        <v>6487</v>
      </c>
      <c r="K4574" t="s">
        <v>4443</v>
      </c>
      <c r="L4574" t="s">
        <v>53</v>
      </c>
      <c r="N4574" t="s">
        <v>7983</v>
      </c>
      <c r="P4574" t="s">
        <v>55</v>
      </c>
      <c r="R4574" t="s">
        <v>53</v>
      </c>
      <c r="T4574" t="s">
        <v>7984</v>
      </c>
      <c r="U4574" t="s">
        <v>58</v>
      </c>
      <c r="V4574">
        <v>1</v>
      </c>
      <c r="W4574">
        <v>1</v>
      </c>
      <c r="X4574">
        <v>1</v>
      </c>
      <c r="Y4574">
        <v>0</v>
      </c>
      <c r="Z4574">
        <v>1</v>
      </c>
      <c r="AA4574">
        <v>131.18</v>
      </c>
      <c r="AB4574">
        <v>131.18</v>
      </c>
      <c r="AC4574">
        <v>115.42</v>
      </c>
      <c r="AD4574">
        <v>0</v>
      </c>
      <c r="AE4574">
        <v>15.76</v>
      </c>
      <c r="AF4574">
        <v>0</v>
      </c>
      <c r="AG4574">
        <v>0</v>
      </c>
      <c r="AH4574">
        <v>0</v>
      </c>
      <c r="AI4574">
        <v>23.61</v>
      </c>
      <c r="AJ4574">
        <v>131.18</v>
      </c>
      <c r="AK4574">
        <v>0</v>
      </c>
      <c r="AL4574" t="s">
        <v>53</v>
      </c>
      <c r="AM4574" t="s">
        <v>53</v>
      </c>
      <c r="AN4574" t="s">
        <v>53</v>
      </c>
      <c r="AO4574" t="s">
        <v>53</v>
      </c>
      <c r="AP4574" t="s">
        <v>53</v>
      </c>
    </row>
    <row r="4575" spans="2:42" x14ac:dyDescent="0.2">
      <c r="B4575" t="s">
        <v>44</v>
      </c>
      <c r="C4575" t="str">
        <f>HYPERLINK("https://us2.cloudbeds.com/connect/8493803454333002#/reservations/9080486845938487?display=260CXN0MMG&amp;reservation_id=9080486845938487", "260CXN0MMG")</f>
        <v>260CXN0MMG</v>
      </c>
      <c r="D4575" t="s">
        <v>45</v>
      </c>
      <c r="E4575" t="s">
        <v>179</v>
      </c>
      <c r="F4575" t="s">
        <v>47</v>
      </c>
      <c r="G4575" t="s">
        <v>48</v>
      </c>
      <c r="H4575" t="s">
        <v>49</v>
      </c>
      <c r="I4575" t="s">
        <v>50</v>
      </c>
      <c r="J4575" t="s">
        <v>5623</v>
      </c>
      <c r="K4575" t="s">
        <v>4767</v>
      </c>
      <c r="L4575" t="s">
        <v>53</v>
      </c>
      <c r="N4575" t="s">
        <v>7985</v>
      </c>
      <c r="P4575" t="s">
        <v>55</v>
      </c>
      <c r="R4575" t="s">
        <v>53</v>
      </c>
      <c r="T4575" t="s">
        <v>7986</v>
      </c>
      <c r="U4575" t="s">
        <v>58</v>
      </c>
      <c r="V4575">
        <v>2</v>
      </c>
      <c r="W4575">
        <v>1</v>
      </c>
      <c r="X4575">
        <v>2</v>
      </c>
      <c r="Y4575">
        <v>0</v>
      </c>
      <c r="Z4575">
        <v>2</v>
      </c>
      <c r="AA4575">
        <v>376.04</v>
      </c>
      <c r="AB4575">
        <v>376.04</v>
      </c>
      <c r="AC4575">
        <v>330.88</v>
      </c>
      <c r="AD4575">
        <v>0</v>
      </c>
      <c r="AE4575">
        <v>45.16</v>
      </c>
      <c r="AF4575">
        <v>0</v>
      </c>
      <c r="AG4575">
        <v>0</v>
      </c>
      <c r="AH4575">
        <v>0</v>
      </c>
      <c r="AI4575">
        <v>67.69</v>
      </c>
      <c r="AJ4575">
        <v>376.04</v>
      </c>
      <c r="AK4575">
        <v>0</v>
      </c>
      <c r="AL4575" t="s">
        <v>53</v>
      </c>
      <c r="AM4575" t="s">
        <v>53</v>
      </c>
      <c r="AN4575" t="s">
        <v>53</v>
      </c>
      <c r="AO4575" t="s">
        <v>53</v>
      </c>
      <c r="AP4575" t="s">
        <v>53</v>
      </c>
    </row>
    <row r="4576" spans="2:42" x14ac:dyDescent="0.2">
      <c r="B4576" t="s">
        <v>44</v>
      </c>
      <c r="C4576" t="str">
        <f>HYPERLINK("https://us2.cloudbeds.com/connect/8493803454333002#/reservations/9080486845938562?display=260H8YW6JX&amp;reservation_id=9080486845938562", "260H8YW6JX")</f>
        <v>260H8YW6JX</v>
      </c>
      <c r="D4576" t="s">
        <v>45</v>
      </c>
      <c r="E4576" t="s">
        <v>213</v>
      </c>
      <c r="F4576" t="s">
        <v>86</v>
      </c>
      <c r="G4576" t="s">
        <v>48</v>
      </c>
      <c r="H4576" t="s">
        <v>49</v>
      </c>
      <c r="I4576" t="s">
        <v>62</v>
      </c>
      <c r="J4576" t="s">
        <v>5967</v>
      </c>
      <c r="K4576" t="s">
        <v>5430</v>
      </c>
      <c r="L4576" t="s">
        <v>53</v>
      </c>
      <c r="N4576" t="s">
        <v>7987</v>
      </c>
      <c r="P4576" t="s">
        <v>55</v>
      </c>
      <c r="R4576" t="s">
        <v>56</v>
      </c>
      <c r="T4576" t="s">
        <v>7988</v>
      </c>
      <c r="U4576" t="s">
        <v>55</v>
      </c>
      <c r="V4576">
        <v>1</v>
      </c>
      <c r="W4576">
        <v>1</v>
      </c>
      <c r="X4576">
        <v>2</v>
      </c>
      <c r="Y4576">
        <v>0</v>
      </c>
      <c r="Z4576">
        <v>2</v>
      </c>
      <c r="AA4576">
        <v>127.3</v>
      </c>
      <c r="AB4576">
        <v>127.3</v>
      </c>
      <c r="AC4576">
        <v>127.3</v>
      </c>
      <c r="AD4576">
        <v>0</v>
      </c>
      <c r="AE4576">
        <v>0</v>
      </c>
      <c r="AF4576">
        <v>0</v>
      </c>
      <c r="AG4576">
        <v>0</v>
      </c>
      <c r="AH4576">
        <v>0</v>
      </c>
      <c r="AI4576">
        <v>22.91</v>
      </c>
      <c r="AJ4576">
        <v>127.3</v>
      </c>
      <c r="AK4576">
        <v>0</v>
      </c>
      <c r="AL4576" t="s">
        <v>53</v>
      </c>
      <c r="AM4576" t="s">
        <v>53</v>
      </c>
      <c r="AN4576" t="s">
        <v>53</v>
      </c>
      <c r="AO4576" t="s">
        <v>53</v>
      </c>
      <c r="AP4576" t="s">
        <v>53</v>
      </c>
    </row>
    <row r="4577" spans="2:42" x14ac:dyDescent="0.2">
      <c r="B4577" t="s">
        <v>44</v>
      </c>
      <c r="C4577" t="str">
        <f>HYPERLINK("https://us2.cloudbeds.com/connect/8493803454333002#/reservations/9080486845938595?display=260JDWT799&amp;reservation_id=9080486845938595", "260JDWT799")</f>
        <v>260JDWT799</v>
      </c>
      <c r="D4577" t="s">
        <v>45</v>
      </c>
      <c r="E4577" t="s">
        <v>110</v>
      </c>
      <c r="F4577" t="s">
        <v>47</v>
      </c>
      <c r="G4577" t="s">
        <v>48</v>
      </c>
      <c r="H4577" t="s">
        <v>49</v>
      </c>
      <c r="I4577" t="s">
        <v>50</v>
      </c>
      <c r="J4577" t="s">
        <v>7967</v>
      </c>
      <c r="K4577" t="s">
        <v>7989</v>
      </c>
      <c r="L4577" t="s">
        <v>53</v>
      </c>
      <c r="N4577" t="s">
        <v>7990</v>
      </c>
      <c r="P4577" t="s">
        <v>55</v>
      </c>
      <c r="R4577" t="s">
        <v>53</v>
      </c>
      <c r="T4577" t="s">
        <v>7991</v>
      </c>
      <c r="U4577" t="s">
        <v>58</v>
      </c>
      <c r="V4577">
        <v>2</v>
      </c>
      <c r="W4577">
        <v>1</v>
      </c>
      <c r="X4577">
        <v>2</v>
      </c>
      <c r="Y4577">
        <v>0</v>
      </c>
      <c r="Z4577">
        <v>2</v>
      </c>
      <c r="AA4577">
        <v>355.63</v>
      </c>
      <c r="AB4577">
        <v>355.63</v>
      </c>
      <c r="AC4577">
        <v>312.92</v>
      </c>
      <c r="AD4577">
        <v>0</v>
      </c>
      <c r="AE4577">
        <v>42.71</v>
      </c>
      <c r="AF4577">
        <v>0</v>
      </c>
      <c r="AG4577">
        <v>0</v>
      </c>
      <c r="AH4577">
        <v>0</v>
      </c>
      <c r="AI4577">
        <v>64.010000000000005</v>
      </c>
      <c r="AJ4577">
        <v>355.63</v>
      </c>
      <c r="AK4577">
        <v>0</v>
      </c>
      <c r="AL4577" t="s">
        <v>53</v>
      </c>
      <c r="AM4577" t="s">
        <v>53</v>
      </c>
      <c r="AN4577" t="s">
        <v>53</v>
      </c>
      <c r="AO4577" t="s">
        <v>53</v>
      </c>
      <c r="AP4577" t="s">
        <v>53</v>
      </c>
    </row>
    <row r="4578" spans="2:42" x14ac:dyDescent="0.2">
      <c r="B4578" t="s">
        <v>44</v>
      </c>
      <c r="C4578" t="str">
        <f>HYPERLINK("https://us2.cloudbeds.com/connect/8493803454333002#/reservations/9080486845938596?display=260JYCBFYM&amp;reservation_id=9080486845938596", "260JYCBFYM")</f>
        <v>260JYCBFYM</v>
      </c>
      <c r="D4578" t="s">
        <v>45</v>
      </c>
      <c r="E4578" t="s">
        <v>105</v>
      </c>
      <c r="F4578" t="s">
        <v>47</v>
      </c>
      <c r="G4578" t="s">
        <v>48</v>
      </c>
      <c r="H4578" t="s">
        <v>49</v>
      </c>
      <c r="I4578" t="s">
        <v>50</v>
      </c>
      <c r="J4578" t="s">
        <v>7967</v>
      </c>
      <c r="K4578" t="s">
        <v>7989</v>
      </c>
      <c r="L4578" t="s">
        <v>53</v>
      </c>
      <c r="N4578" t="s">
        <v>7992</v>
      </c>
      <c r="P4578" t="s">
        <v>55</v>
      </c>
      <c r="R4578" t="s">
        <v>53</v>
      </c>
      <c r="T4578" t="s">
        <v>7993</v>
      </c>
      <c r="U4578" t="s">
        <v>58</v>
      </c>
      <c r="V4578">
        <v>2</v>
      </c>
      <c r="W4578">
        <v>1</v>
      </c>
      <c r="X4578">
        <v>1</v>
      </c>
      <c r="Y4578">
        <v>0</v>
      </c>
      <c r="Z4578">
        <v>1</v>
      </c>
      <c r="AA4578">
        <v>355.63</v>
      </c>
      <c r="AB4578">
        <v>355.63</v>
      </c>
      <c r="AC4578">
        <v>312.92</v>
      </c>
      <c r="AD4578">
        <v>0</v>
      </c>
      <c r="AE4578">
        <v>42.71</v>
      </c>
      <c r="AF4578">
        <v>0</v>
      </c>
      <c r="AG4578">
        <v>0</v>
      </c>
      <c r="AH4578">
        <v>0</v>
      </c>
      <c r="AI4578">
        <v>64.010000000000005</v>
      </c>
      <c r="AJ4578">
        <v>355.63</v>
      </c>
      <c r="AK4578">
        <v>0</v>
      </c>
      <c r="AL4578" t="s">
        <v>53</v>
      </c>
      <c r="AM4578" t="s">
        <v>53</v>
      </c>
      <c r="AN4578" t="s">
        <v>53</v>
      </c>
      <c r="AO4578" t="s">
        <v>53</v>
      </c>
      <c r="AP4578" t="s">
        <v>53</v>
      </c>
    </row>
    <row r="4579" spans="2:42" x14ac:dyDescent="0.2">
      <c r="B4579" t="s">
        <v>44</v>
      </c>
      <c r="C4579" t="str">
        <f>HYPERLINK("https://us2.cloudbeds.com/connect/8493803454333002#/reservations/9080486845938667?display=260NSEQKPS&amp;reservation_id=9080486845938667", "260NSEQKPS")</f>
        <v>260NSEQKPS</v>
      </c>
      <c r="D4579" t="s">
        <v>45</v>
      </c>
      <c r="E4579" t="s">
        <v>213</v>
      </c>
      <c r="F4579" t="s">
        <v>86</v>
      </c>
      <c r="G4579" t="s">
        <v>48</v>
      </c>
      <c r="H4579" t="s">
        <v>49</v>
      </c>
      <c r="I4579" t="s">
        <v>50</v>
      </c>
      <c r="J4579" t="s">
        <v>6639</v>
      </c>
      <c r="K4579" t="s">
        <v>4767</v>
      </c>
      <c r="L4579" t="s">
        <v>53</v>
      </c>
      <c r="N4579" t="s">
        <v>7994</v>
      </c>
      <c r="P4579" t="s">
        <v>55</v>
      </c>
      <c r="R4579" t="s">
        <v>53</v>
      </c>
      <c r="T4579" t="s">
        <v>7995</v>
      </c>
      <c r="U4579" t="s">
        <v>58</v>
      </c>
      <c r="V4579">
        <v>1</v>
      </c>
      <c r="W4579">
        <v>1</v>
      </c>
      <c r="X4579">
        <v>2</v>
      </c>
      <c r="Y4579">
        <v>1</v>
      </c>
      <c r="Z4579">
        <v>3</v>
      </c>
      <c r="AA4579">
        <v>133.01</v>
      </c>
      <c r="AB4579">
        <v>133.01</v>
      </c>
      <c r="AC4579">
        <v>117.04</v>
      </c>
      <c r="AD4579">
        <v>0</v>
      </c>
      <c r="AE4579">
        <v>15.97</v>
      </c>
      <c r="AF4579">
        <v>0</v>
      </c>
      <c r="AG4579">
        <v>0</v>
      </c>
      <c r="AH4579">
        <v>0</v>
      </c>
      <c r="AI4579">
        <v>23.94</v>
      </c>
      <c r="AJ4579">
        <v>133.01</v>
      </c>
      <c r="AK4579">
        <v>0</v>
      </c>
      <c r="AL4579" t="s">
        <v>53</v>
      </c>
      <c r="AM4579" t="s">
        <v>53</v>
      </c>
      <c r="AN4579" t="s">
        <v>53</v>
      </c>
      <c r="AO4579" t="s">
        <v>53</v>
      </c>
      <c r="AP4579" t="s">
        <v>53</v>
      </c>
    </row>
    <row r="4580" spans="2:42" x14ac:dyDescent="0.2">
      <c r="B4580" t="s">
        <v>44</v>
      </c>
      <c r="C4580" t="str">
        <f>HYPERLINK("https://us2.cloudbeds.com/connect/8493803454333002#/reservations/9080486845938746?display=260SNHAQG9&amp;reservation_id=9080486845938746", "260SNHAQG9")</f>
        <v>260SNHAQG9</v>
      </c>
      <c r="D4580" t="s">
        <v>45</v>
      </c>
      <c r="E4580" t="s">
        <v>121</v>
      </c>
      <c r="F4580" t="s">
        <v>86</v>
      </c>
      <c r="G4580" t="s">
        <v>48</v>
      </c>
      <c r="H4580" t="s">
        <v>49</v>
      </c>
      <c r="I4580" t="s">
        <v>62</v>
      </c>
      <c r="J4580" t="s">
        <v>6544</v>
      </c>
      <c r="K4580" t="s">
        <v>6819</v>
      </c>
      <c r="L4580" t="s">
        <v>53</v>
      </c>
      <c r="N4580" t="s">
        <v>7996</v>
      </c>
      <c r="P4580" t="s">
        <v>55</v>
      </c>
      <c r="R4580" t="s">
        <v>56</v>
      </c>
      <c r="T4580" t="s">
        <v>7997</v>
      </c>
      <c r="U4580" t="s">
        <v>55</v>
      </c>
      <c r="V4580">
        <v>3</v>
      </c>
      <c r="W4580">
        <v>2</v>
      </c>
      <c r="X4580">
        <v>6</v>
      </c>
      <c r="Y4580">
        <v>0</v>
      </c>
      <c r="Z4580">
        <v>6</v>
      </c>
      <c r="AA4580">
        <v>355</v>
      </c>
      <c r="AB4580">
        <v>355</v>
      </c>
      <c r="AC4580">
        <v>355</v>
      </c>
      <c r="AD4580">
        <v>0</v>
      </c>
      <c r="AE4580">
        <v>0</v>
      </c>
      <c r="AF4580">
        <v>0</v>
      </c>
      <c r="AG4580">
        <v>0</v>
      </c>
      <c r="AH4580">
        <v>0</v>
      </c>
      <c r="AI4580">
        <v>63.9</v>
      </c>
      <c r="AJ4580">
        <v>355</v>
      </c>
      <c r="AK4580">
        <v>0</v>
      </c>
      <c r="AL4580" t="s">
        <v>53</v>
      </c>
      <c r="AM4580" t="s">
        <v>53</v>
      </c>
      <c r="AN4580" t="s">
        <v>53</v>
      </c>
      <c r="AO4580" t="s">
        <v>53</v>
      </c>
      <c r="AP4580" t="s">
        <v>53</v>
      </c>
    </row>
    <row r="4581" spans="2:42" x14ac:dyDescent="0.2">
      <c r="B4581" t="s">
        <v>44</v>
      </c>
      <c r="C4581" t="str">
        <f>HYPERLINK("https://us2.cloudbeds.com/connect/8493803454333002#/reservations/9080486845938774?display=260UFG1JZX&amp;reservation_id=9080486845938774", "260UFG1JZX")</f>
        <v>260UFG1JZX</v>
      </c>
      <c r="D4581" t="s">
        <v>45</v>
      </c>
      <c r="E4581" t="s">
        <v>85</v>
      </c>
      <c r="F4581" t="s">
        <v>86</v>
      </c>
      <c r="G4581" t="s">
        <v>48</v>
      </c>
      <c r="H4581" t="s">
        <v>49</v>
      </c>
      <c r="I4581" t="s">
        <v>50</v>
      </c>
      <c r="J4581" t="s">
        <v>5623</v>
      </c>
      <c r="K4581" t="s">
        <v>4768</v>
      </c>
      <c r="L4581" t="s">
        <v>53</v>
      </c>
      <c r="N4581" t="s">
        <v>7998</v>
      </c>
      <c r="P4581" t="s">
        <v>55</v>
      </c>
      <c r="R4581" t="s">
        <v>53</v>
      </c>
      <c r="T4581" t="s">
        <v>7999</v>
      </c>
      <c r="U4581" t="s">
        <v>58</v>
      </c>
      <c r="V4581">
        <v>3</v>
      </c>
      <c r="W4581">
        <v>1</v>
      </c>
      <c r="X4581">
        <v>2</v>
      </c>
      <c r="Y4581">
        <v>0</v>
      </c>
      <c r="Z4581">
        <v>2</v>
      </c>
      <c r="AA4581">
        <v>571.36</v>
      </c>
      <c r="AB4581">
        <v>571.36</v>
      </c>
      <c r="AC4581">
        <v>502.73</v>
      </c>
      <c r="AD4581">
        <v>0</v>
      </c>
      <c r="AE4581">
        <v>68.63</v>
      </c>
      <c r="AF4581">
        <v>0</v>
      </c>
      <c r="AG4581">
        <v>0</v>
      </c>
      <c r="AH4581">
        <v>0</v>
      </c>
      <c r="AI4581">
        <v>102.84</v>
      </c>
      <c r="AJ4581">
        <v>571.36</v>
      </c>
      <c r="AK4581">
        <v>0</v>
      </c>
      <c r="AL4581" t="s">
        <v>53</v>
      </c>
      <c r="AM4581" t="s">
        <v>53</v>
      </c>
      <c r="AN4581" t="s">
        <v>53</v>
      </c>
      <c r="AO4581" t="s">
        <v>53</v>
      </c>
      <c r="AP4581" t="s">
        <v>53</v>
      </c>
    </row>
    <row r="4582" spans="2:42" x14ac:dyDescent="0.2">
      <c r="B4582" t="s">
        <v>44</v>
      </c>
      <c r="C4582" t="str">
        <f>HYPERLINK("https://us2.cloudbeds.com/connect/8493803454333002#/reservations/9080486845938849?display=2613KBP35M&amp;reservation_id=9080486845938849", "2613KBP35M")</f>
        <v>2613KBP35M</v>
      </c>
      <c r="D4582" t="s">
        <v>45</v>
      </c>
      <c r="E4582" t="s">
        <v>98</v>
      </c>
      <c r="F4582" t="s">
        <v>86</v>
      </c>
      <c r="G4582" t="s">
        <v>48</v>
      </c>
      <c r="H4582" t="s">
        <v>49</v>
      </c>
      <c r="I4582" t="s">
        <v>50</v>
      </c>
      <c r="J4582" t="s">
        <v>4159</v>
      </c>
      <c r="K4582" t="s">
        <v>7078</v>
      </c>
      <c r="L4582" t="s">
        <v>53</v>
      </c>
      <c r="N4582" t="s">
        <v>8000</v>
      </c>
      <c r="P4582" t="s">
        <v>55</v>
      </c>
      <c r="R4582" t="s">
        <v>53</v>
      </c>
      <c r="T4582" t="s">
        <v>8001</v>
      </c>
      <c r="U4582" t="s">
        <v>58</v>
      </c>
      <c r="V4582">
        <v>1</v>
      </c>
      <c r="W4582">
        <v>1</v>
      </c>
      <c r="X4582">
        <v>1</v>
      </c>
      <c r="Y4582">
        <v>1</v>
      </c>
      <c r="Z4582">
        <v>2</v>
      </c>
      <c r="AA4582">
        <v>142.97</v>
      </c>
      <c r="AB4582">
        <v>142.97</v>
      </c>
      <c r="AC4582">
        <v>125.8</v>
      </c>
      <c r="AD4582">
        <v>0</v>
      </c>
      <c r="AE4582">
        <v>17.170000000000002</v>
      </c>
      <c r="AF4582">
        <v>0</v>
      </c>
      <c r="AG4582">
        <v>0</v>
      </c>
      <c r="AH4582">
        <v>0</v>
      </c>
      <c r="AI4582">
        <v>25.73</v>
      </c>
      <c r="AJ4582">
        <v>142.97</v>
      </c>
      <c r="AK4582">
        <v>0</v>
      </c>
      <c r="AL4582" t="s">
        <v>53</v>
      </c>
      <c r="AM4582" t="s">
        <v>53</v>
      </c>
      <c r="AN4582" t="s">
        <v>53</v>
      </c>
      <c r="AO4582" t="s">
        <v>53</v>
      </c>
      <c r="AP4582" t="s">
        <v>53</v>
      </c>
    </row>
    <row r="4583" spans="2:42" x14ac:dyDescent="0.2">
      <c r="B4583" t="s">
        <v>44</v>
      </c>
      <c r="C4583" t="str">
        <f>HYPERLINK("https://us2.cloudbeds.com/connect/8493803454333002#/reservations/101335353327765?display=261Z853X0H&amp;reservation_id=101335353327765", "261Z853X0H")</f>
        <v>261Z853X0H</v>
      </c>
      <c r="D4583" t="s">
        <v>45</v>
      </c>
      <c r="E4583" t="s">
        <v>105</v>
      </c>
      <c r="F4583" t="s">
        <v>47</v>
      </c>
      <c r="G4583" t="s">
        <v>48</v>
      </c>
      <c r="H4583" t="s">
        <v>3957</v>
      </c>
      <c r="I4583" t="s">
        <v>3975</v>
      </c>
      <c r="J4583" t="s">
        <v>6234</v>
      </c>
      <c r="K4583" t="s">
        <v>6818</v>
      </c>
      <c r="L4583" t="s">
        <v>53</v>
      </c>
      <c r="P4583" t="s">
        <v>55</v>
      </c>
      <c r="R4583" t="s">
        <v>53</v>
      </c>
      <c r="T4583" t="s">
        <v>8002</v>
      </c>
      <c r="U4583" t="s">
        <v>58</v>
      </c>
      <c r="V4583">
        <v>1</v>
      </c>
      <c r="W4583">
        <v>1</v>
      </c>
      <c r="X4583">
        <v>1</v>
      </c>
      <c r="Y4583">
        <v>0</v>
      </c>
      <c r="Z4583">
        <v>1</v>
      </c>
      <c r="AA4583">
        <v>102.29</v>
      </c>
      <c r="AB4583">
        <v>102.29</v>
      </c>
      <c r="AC4583">
        <v>90</v>
      </c>
      <c r="AD4583">
        <v>0</v>
      </c>
      <c r="AE4583">
        <v>12.29</v>
      </c>
      <c r="AF4583">
        <v>0</v>
      </c>
      <c r="AG4583">
        <v>0</v>
      </c>
      <c r="AH4583">
        <v>0</v>
      </c>
      <c r="AI4583">
        <v>0</v>
      </c>
      <c r="AJ4583">
        <v>102.29</v>
      </c>
      <c r="AK4583">
        <v>0</v>
      </c>
      <c r="AL4583" t="s">
        <v>53</v>
      </c>
      <c r="AM4583" t="s">
        <v>53</v>
      </c>
      <c r="AN4583" t="s">
        <v>53</v>
      </c>
      <c r="AO4583" t="s">
        <v>53</v>
      </c>
      <c r="AP4583" t="s">
        <v>53</v>
      </c>
    </row>
    <row r="4584" spans="2:42" x14ac:dyDescent="0.2">
      <c r="B4584" t="s">
        <v>44</v>
      </c>
      <c r="C4584" t="str">
        <f>HYPERLINK("https://us2.cloudbeds.com/connect/8493803454333002#/reservations/9080486845939392?display=262A2RNYG0&amp;reservation_id=9080486845939392", "262A2RNYG0")</f>
        <v>262A2RNYG0</v>
      </c>
      <c r="D4584" t="s">
        <v>45</v>
      </c>
      <c r="E4584" t="s">
        <v>185</v>
      </c>
      <c r="F4584" t="s">
        <v>47</v>
      </c>
      <c r="G4584" t="s">
        <v>48</v>
      </c>
      <c r="H4584" t="s">
        <v>49</v>
      </c>
      <c r="I4584" t="s">
        <v>50</v>
      </c>
      <c r="J4584" t="s">
        <v>7486</v>
      </c>
      <c r="K4584" t="s">
        <v>7376</v>
      </c>
      <c r="L4584" t="s">
        <v>53</v>
      </c>
      <c r="N4584" t="s">
        <v>8003</v>
      </c>
      <c r="P4584" t="s">
        <v>55</v>
      </c>
      <c r="R4584" t="s">
        <v>53</v>
      </c>
      <c r="T4584" t="s">
        <v>8004</v>
      </c>
      <c r="U4584" t="s">
        <v>58</v>
      </c>
      <c r="V4584">
        <v>4</v>
      </c>
      <c r="W4584">
        <v>1</v>
      </c>
      <c r="X4584">
        <v>1</v>
      </c>
      <c r="Y4584">
        <v>1</v>
      </c>
      <c r="Z4584">
        <v>2</v>
      </c>
      <c r="AA4584">
        <v>655.23</v>
      </c>
      <c r="AB4584">
        <v>655.23</v>
      </c>
      <c r="AC4584">
        <v>576.54</v>
      </c>
      <c r="AD4584">
        <v>0</v>
      </c>
      <c r="AE4584">
        <v>78.69</v>
      </c>
      <c r="AF4584">
        <v>0</v>
      </c>
      <c r="AG4584">
        <v>0</v>
      </c>
      <c r="AH4584">
        <v>0</v>
      </c>
      <c r="AI4584">
        <v>117.94</v>
      </c>
      <c r="AJ4584">
        <v>655.23</v>
      </c>
      <c r="AK4584">
        <v>0</v>
      </c>
      <c r="AL4584" t="s">
        <v>53</v>
      </c>
      <c r="AM4584" t="s">
        <v>53</v>
      </c>
      <c r="AN4584" t="s">
        <v>53</v>
      </c>
      <c r="AO4584" t="s">
        <v>53</v>
      </c>
      <c r="AP4584" t="s">
        <v>53</v>
      </c>
    </row>
    <row r="4585" spans="2:42" x14ac:dyDescent="0.2">
      <c r="B4585" t="s">
        <v>44</v>
      </c>
      <c r="C4585" t="str">
        <f>HYPERLINK("https://us2.cloudbeds.com/connect/8493803454333002#/reservations/9080486845939918?display=263BZMFHC0&amp;reservation_id=9080486845939918", "263BZMFHC0")</f>
        <v>263BZMFHC0</v>
      </c>
      <c r="D4585" t="s">
        <v>45</v>
      </c>
      <c r="E4585" t="s">
        <v>138</v>
      </c>
      <c r="F4585" t="s">
        <v>70</v>
      </c>
      <c r="G4585" t="s">
        <v>48</v>
      </c>
      <c r="H4585" t="s">
        <v>49</v>
      </c>
      <c r="I4585" t="s">
        <v>50</v>
      </c>
      <c r="J4585" t="s">
        <v>6818</v>
      </c>
      <c r="K4585" t="s">
        <v>6819</v>
      </c>
      <c r="L4585" t="s">
        <v>53</v>
      </c>
      <c r="N4585" t="s">
        <v>8005</v>
      </c>
      <c r="P4585" t="s">
        <v>55</v>
      </c>
      <c r="R4585" t="s">
        <v>53</v>
      </c>
      <c r="T4585" t="s">
        <v>8006</v>
      </c>
      <c r="U4585" t="s">
        <v>58</v>
      </c>
      <c r="V4585">
        <v>1</v>
      </c>
      <c r="W4585">
        <v>1</v>
      </c>
      <c r="X4585">
        <v>2</v>
      </c>
      <c r="Y4585">
        <v>0</v>
      </c>
      <c r="Z4585">
        <v>2</v>
      </c>
      <c r="AA4585">
        <v>97.57</v>
      </c>
      <c r="AB4585">
        <v>97.57</v>
      </c>
      <c r="AC4585">
        <v>85.85</v>
      </c>
      <c r="AD4585">
        <v>0</v>
      </c>
      <c r="AE4585">
        <v>11.72</v>
      </c>
      <c r="AF4585">
        <v>0</v>
      </c>
      <c r="AG4585">
        <v>0</v>
      </c>
      <c r="AH4585">
        <v>0</v>
      </c>
      <c r="AI4585">
        <v>17.559999999999999</v>
      </c>
      <c r="AJ4585">
        <v>97.57</v>
      </c>
      <c r="AK4585">
        <v>0</v>
      </c>
      <c r="AL4585" t="s">
        <v>53</v>
      </c>
      <c r="AM4585" t="s">
        <v>53</v>
      </c>
      <c r="AN4585" t="s">
        <v>53</v>
      </c>
      <c r="AO4585" t="s">
        <v>53</v>
      </c>
      <c r="AP4585" t="s">
        <v>53</v>
      </c>
    </row>
    <row r="4586" spans="2:42" x14ac:dyDescent="0.2">
      <c r="B4586" t="s">
        <v>44</v>
      </c>
      <c r="C4586" t="str">
        <f>HYPERLINK("https://us2.cloudbeds.com/connect/8493803454333002#/reservations/9080486845940222?display=263S6AWU02&amp;reservation_id=9080486845940222", "263S6AWU02")</f>
        <v>263S6AWU02</v>
      </c>
      <c r="D4586" t="s">
        <v>45</v>
      </c>
      <c r="E4586" t="s">
        <v>113</v>
      </c>
      <c r="F4586" t="s">
        <v>61</v>
      </c>
      <c r="G4586" t="s">
        <v>48</v>
      </c>
      <c r="H4586" t="s">
        <v>49</v>
      </c>
      <c r="I4586" t="s">
        <v>50</v>
      </c>
      <c r="J4586" t="s">
        <v>6661</v>
      </c>
      <c r="K4586" t="s">
        <v>7376</v>
      </c>
      <c r="L4586" t="s">
        <v>53</v>
      </c>
      <c r="N4586" t="s">
        <v>8007</v>
      </c>
      <c r="P4586" t="s">
        <v>55</v>
      </c>
      <c r="R4586" t="s">
        <v>53</v>
      </c>
      <c r="T4586" t="s">
        <v>8008</v>
      </c>
      <c r="U4586" t="s">
        <v>58</v>
      </c>
      <c r="V4586">
        <v>1</v>
      </c>
      <c r="W4586">
        <v>1</v>
      </c>
      <c r="X4586">
        <v>2</v>
      </c>
      <c r="Y4586">
        <v>0</v>
      </c>
      <c r="Z4586">
        <v>2</v>
      </c>
      <c r="AA4586">
        <v>179</v>
      </c>
      <c r="AB4586">
        <v>179</v>
      </c>
      <c r="AC4586">
        <v>157.5</v>
      </c>
      <c r="AD4586">
        <v>0</v>
      </c>
      <c r="AE4586">
        <v>21.5</v>
      </c>
      <c r="AF4586">
        <v>0</v>
      </c>
      <c r="AG4586">
        <v>0</v>
      </c>
      <c r="AH4586">
        <v>0</v>
      </c>
      <c r="AI4586">
        <v>32.22</v>
      </c>
      <c r="AJ4586">
        <v>179</v>
      </c>
      <c r="AK4586">
        <v>0</v>
      </c>
      <c r="AL4586" t="s">
        <v>53</v>
      </c>
      <c r="AM4586" t="s">
        <v>53</v>
      </c>
      <c r="AN4586" t="s">
        <v>53</v>
      </c>
      <c r="AO4586" t="s">
        <v>53</v>
      </c>
      <c r="AP4586" t="s">
        <v>53</v>
      </c>
    </row>
    <row r="4587" spans="2:42" x14ac:dyDescent="0.2">
      <c r="B4587" t="s">
        <v>44</v>
      </c>
      <c r="C4587" t="str">
        <f>HYPERLINK("https://us2.cloudbeds.com/connect/8493803454333002#/reservations/9080486845940583?display=26495VWJXM&amp;reservation_id=9080486845940583", "26495VWJXM")</f>
        <v>26495VWJXM</v>
      </c>
      <c r="D4587" t="s">
        <v>45</v>
      </c>
      <c r="E4587" t="s">
        <v>92</v>
      </c>
      <c r="F4587" t="s">
        <v>86</v>
      </c>
      <c r="G4587" t="s">
        <v>48</v>
      </c>
      <c r="H4587" t="s">
        <v>49</v>
      </c>
      <c r="I4587" t="s">
        <v>50</v>
      </c>
      <c r="J4587" t="s">
        <v>6234</v>
      </c>
      <c r="K4587" t="s">
        <v>6818</v>
      </c>
      <c r="L4587" t="s">
        <v>53</v>
      </c>
      <c r="N4587" t="s">
        <v>8009</v>
      </c>
      <c r="P4587" t="s">
        <v>55</v>
      </c>
      <c r="R4587" t="s">
        <v>53</v>
      </c>
      <c r="T4587" t="s">
        <v>8010</v>
      </c>
      <c r="U4587" t="s">
        <v>58</v>
      </c>
      <c r="V4587">
        <v>1</v>
      </c>
      <c r="W4587">
        <v>1</v>
      </c>
      <c r="X4587">
        <v>1</v>
      </c>
      <c r="Y4587">
        <v>0</v>
      </c>
      <c r="Z4587">
        <v>1</v>
      </c>
      <c r="AA4587">
        <v>103.36</v>
      </c>
      <c r="AB4587">
        <v>103.36</v>
      </c>
      <c r="AC4587">
        <v>90.95</v>
      </c>
      <c r="AD4587">
        <v>0</v>
      </c>
      <c r="AE4587">
        <v>12.41</v>
      </c>
      <c r="AF4587">
        <v>0</v>
      </c>
      <c r="AG4587">
        <v>0</v>
      </c>
      <c r="AH4587">
        <v>0</v>
      </c>
      <c r="AI4587">
        <v>18.600000000000001</v>
      </c>
      <c r="AJ4587">
        <v>103.36</v>
      </c>
      <c r="AK4587">
        <v>0</v>
      </c>
      <c r="AL4587" t="s">
        <v>53</v>
      </c>
      <c r="AM4587" t="s">
        <v>53</v>
      </c>
      <c r="AN4587" t="s">
        <v>53</v>
      </c>
      <c r="AO4587" t="s">
        <v>53</v>
      </c>
      <c r="AP4587" t="s">
        <v>53</v>
      </c>
    </row>
    <row r="4588" spans="2:42" x14ac:dyDescent="0.2">
      <c r="B4588" t="s">
        <v>44</v>
      </c>
      <c r="C4588" t="str">
        <f>HYPERLINK("https://us2.cloudbeds.com/connect/8493803454333002#/reservations/9080486845941570?display=265FC2MS52&amp;reservation_id=9080486845941570", "265FC2MS52")</f>
        <v>265FC2MS52</v>
      </c>
      <c r="D4588" t="s">
        <v>45</v>
      </c>
      <c r="E4588" t="s">
        <v>487</v>
      </c>
      <c r="F4588" t="s">
        <v>61</v>
      </c>
      <c r="G4588" t="s">
        <v>48</v>
      </c>
      <c r="H4588" t="s">
        <v>49</v>
      </c>
      <c r="I4588" t="s">
        <v>50</v>
      </c>
      <c r="J4588" t="s">
        <v>4443</v>
      </c>
      <c r="K4588" t="s">
        <v>6488</v>
      </c>
      <c r="L4588" t="s">
        <v>53</v>
      </c>
      <c r="N4588" t="s">
        <v>8011</v>
      </c>
      <c r="P4588" t="s">
        <v>55</v>
      </c>
      <c r="R4588" t="s">
        <v>53</v>
      </c>
      <c r="T4588" t="s">
        <v>8012</v>
      </c>
      <c r="U4588" t="s">
        <v>58</v>
      </c>
      <c r="V4588">
        <v>1</v>
      </c>
      <c r="W4588">
        <v>1</v>
      </c>
      <c r="X4588">
        <v>2</v>
      </c>
      <c r="Y4588">
        <v>0</v>
      </c>
      <c r="Z4588">
        <v>2</v>
      </c>
      <c r="AA4588">
        <v>177.12</v>
      </c>
      <c r="AB4588">
        <v>177.12</v>
      </c>
      <c r="AC4588">
        <v>155.85</v>
      </c>
      <c r="AD4588">
        <v>0</v>
      </c>
      <c r="AE4588">
        <v>21.27</v>
      </c>
      <c r="AF4588">
        <v>0</v>
      </c>
      <c r="AG4588">
        <v>0</v>
      </c>
      <c r="AH4588">
        <v>0</v>
      </c>
      <c r="AI4588">
        <v>31.88</v>
      </c>
      <c r="AJ4588">
        <v>177.12</v>
      </c>
      <c r="AK4588">
        <v>0</v>
      </c>
      <c r="AL4588" t="s">
        <v>53</v>
      </c>
      <c r="AM4588" t="s">
        <v>53</v>
      </c>
      <c r="AN4588" t="s">
        <v>53</v>
      </c>
      <c r="AO4588" t="s">
        <v>53</v>
      </c>
      <c r="AP4588" t="s">
        <v>53</v>
      </c>
    </row>
    <row r="4589" spans="2:42" x14ac:dyDescent="0.2">
      <c r="B4589" t="s">
        <v>44</v>
      </c>
      <c r="C4589" t="str">
        <f>HYPERLINK("https://us2.cloudbeds.com/connect/8493803454333002#/reservations/9080486845941614?display=265GGB755E&amp;reservation_id=9080486845941614", "265GGB755E")</f>
        <v>265GGB755E</v>
      </c>
      <c r="D4589" t="s">
        <v>45</v>
      </c>
      <c r="E4589" t="s">
        <v>138</v>
      </c>
      <c r="F4589" t="s">
        <v>70</v>
      </c>
      <c r="G4589" t="s">
        <v>48</v>
      </c>
      <c r="H4589" t="s">
        <v>49</v>
      </c>
      <c r="I4589" t="s">
        <v>62</v>
      </c>
      <c r="J4589" t="s">
        <v>6544</v>
      </c>
      <c r="K4589" t="s">
        <v>6234</v>
      </c>
      <c r="L4589" t="s">
        <v>53</v>
      </c>
      <c r="N4589" t="s">
        <v>8013</v>
      </c>
      <c r="P4589" t="s">
        <v>55</v>
      </c>
      <c r="R4589" t="s">
        <v>56</v>
      </c>
      <c r="T4589" t="s">
        <v>8014</v>
      </c>
      <c r="U4589" t="s">
        <v>55</v>
      </c>
      <c r="V4589">
        <v>1</v>
      </c>
      <c r="W4589">
        <v>1</v>
      </c>
      <c r="X4589">
        <v>1</v>
      </c>
      <c r="Y4589">
        <v>0</v>
      </c>
      <c r="Z4589">
        <v>1</v>
      </c>
      <c r="AA4589">
        <v>89</v>
      </c>
      <c r="AB4589">
        <v>89</v>
      </c>
      <c r="AC4589">
        <v>89</v>
      </c>
      <c r="AD4589">
        <v>0</v>
      </c>
      <c r="AE4589">
        <v>0</v>
      </c>
      <c r="AF4589">
        <v>0</v>
      </c>
      <c r="AG4589">
        <v>0</v>
      </c>
      <c r="AH4589">
        <v>0</v>
      </c>
      <c r="AI4589">
        <v>16.02</v>
      </c>
      <c r="AJ4589">
        <v>89</v>
      </c>
      <c r="AK4589">
        <v>0</v>
      </c>
      <c r="AL4589" t="s">
        <v>53</v>
      </c>
      <c r="AM4589" t="s">
        <v>53</v>
      </c>
      <c r="AN4589" t="s">
        <v>53</v>
      </c>
      <c r="AO4589" t="s">
        <v>53</v>
      </c>
      <c r="AP4589" t="s">
        <v>53</v>
      </c>
    </row>
    <row r="4590" spans="2:42" x14ac:dyDescent="0.2">
      <c r="B4590" t="s">
        <v>44</v>
      </c>
      <c r="C4590" t="str">
        <f>HYPERLINK("https://us2.cloudbeds.com/connect/8493803454333002#/reservations/9080486845941914?display=265RRPVDZM&amp;reservation_id=9080486845941914", "265RRPVDZM")</f>
        <v>265RRPVDZM</v>
      </c>
      <c r="D4590" t="s">
        <v>45</v>
      </c>
      <c r="E4590" t="s">
        <v>179</v>
      </c>
      <c r="F4590" t="s">
        <v>47</v>
      </c>
      <c r="G4590" t="s">
        <v>48</v>
      </c>
      <c r="H4590" t="s">
        <v>49</v>
      </c>
      <c r="I4590" t="s">
        <v>50</v>
      </c>
      <c r="J4590" t="s">
        <v>6586</v>
      </c>
      <c r="K4590" t="s">
        <v>5967</v>
      </c>
      <c r="L4590" t="s">
        <v>53</v>
      </c>
      <c r="N4590" t="s">
        <v>8015</v>
      </c>
      <c r="P4590" t="s">
        <v>55</v>
      </c>
      <c r="R4590" t="s">
        <v>53</v>
      </c>
      <c r="T4590" t="s">
        <v>8016</v>
      </c>
      <c r="U4590" t="s">
        <v>58</v>
      </c>
      <c r="V4590">
        <v>1</v>
      </c>
      <c r="W4590">
        <v>1</v>
      </c>
      <c r="X4590">
        <v>2</v>
      </c>
      <c r="Y4590">
        <v>0</v>
      </c>
      <c r="Z4590">
        <v>2</v>
      </c>
      <c r="AA4590">
        <v>102.29</v>
      </c>
      <c r="AB4590">
        <v>102.29</v>
      </c>
      <c r="AC4590">
        <v>90</v>
      </c>
      <c r="AD4590">
        <v>0</v>
      </c>
      <c r="AE4590">
        <v>12.29</v>
      </c>
      <c r="AF4590">
        <v>0</v>
      </c>
      <c r="AG4590">
        <v>0</v>
      </c>
      <c r="AH4590">
        <v>0</v>
      </c>
      <c r="AI4590">
        <v>18.41</v>
      </c>
      <c r="AJ4590">
        <v>102.29</v>
      </c>
      <c r="AK4590">
        <v>0</v>
      </c>
      <c r="AL4590" t="s">
        <v>53</v>
      </c>
      <c r="AM4590" t="s">
        <v>53</v>
      </c>
      <c r="AN4590" t="s">
        <v>53</v>
      </c>
      <c r="AO4590" t="s">
        <v>53</v>
      </c>
      <c r="AP4590" t="s">
        <v>53</v>
      </c>
    </row>
    <row r="4591" spans="2:42" x14ac:dyDescent="0.2">
      <c r="B4591" t="s">
        <v>44</v>
      </c>
      <c r="C4591" t="str">
        <f>HYPERLINK("https://us2.cloudbeds.com/connect/8493803454333002#/reservations/9080486845942454?display=266HD530KD&amp;reservation_id=9080486845942454", "266HD530KD")</f>
        <v>266HD530KD</v>
      </c>
      <c r="D4591" t="s">
        <v>45</v>
      </c>
      <c r="E4591" t="s">
        <v>179</v>
      </c>
      <c r="F4591" t="s">
        <v>47</v>
      </c>
      <c r="G4591" t="s">
        <v>48</v>
      </c>
      <c r="H4591" t="s">
        <v>49</v>
      </c>
      <c r="I4591" t="s">
        <v>50</v>
      </c>
      <c r="J4591" t="s">
        <v>6234</v>
      </c>
      <c r="K4591" t="s">
        <v>6818</v>
      </c>
      <c r="L4591" t="s">
        <v>53</v>
      </c>
      <c r="N4591" t="s">
        <v>8017</v>
      </c>
      <c r="P4591" t="s">
        <v>55</v>
      </c>
      <c r="R4591" t="s">
        <v>53</v>
      </c>
      <c r="T4591" t="s">
        <v>8018</v>
      </c>
      <c r="U4591" t="s">
        <v>58</v>
      </c>
      <c r="V4591">
        <v>1</v>
      </c>
      <c r="W4591">
        <v>1</v>
      </c>
      <c r="X4591">
        <v>2</v>
      </c>
      <c r="Y4591">
        <v>0</v>
      </c>
      <c r="Z4591">
        <v>2</v>
      </c>
      <c r="AA4591">
        <v>92.06</v>
      </c>
      <c r="AB4591">
        <v>92.06</v>
      </c>
      <c r="AC4591">
        <v>81</v>
      </c>
      <c r="AD4591">
        <v>0</v>
      </c>
      <c r="AE4591">
        <v>11.06</v>
      </c>
      <c r="AF4591">
        <v>0</v>
      </c>
      <c r="AG4591">
        <v>0</v>
      </c>
      <c r="AH4591">
        <v>0</v>
      </c>
      <c r="AI4591">
        <v>16.57</v>
      </c>
      <c r="AJ4591">
        <v>92.06</v>
      </c>
      <c r="AK4591">
        <v>0</v>
      </c>
      <c r="AL4591" t="s">
        <v>53</v>
      </c>
      <c r="AM4591" t="s">
        <v>53</v>
      </c>
      <c r="AN4591" t="s">
        <v>53</v>
      </c>
      <c r="AO4591" t="s">
        <v>53</v>
      </c>
      <c r="AP4591" t="s">
        <v>53</v>
      </c>
    </row>
    <row r="4592" spans="2:42" x14ac:dyDescent="0.2">
      <c r="B4592" t="s">
        <v>44</v>
      </c>
      <c r="C4592" t="str">
        <f>HYPERLINK("https://us2.cloudbeds.com/connect/8493803454333002#/reservations/101544629674237?display=266Y9YFCKC&amp;reservation_id=101544629674237", "266Y9YFCKC")</f>
        <v>266Y9YFCKC</v>
      </c>
      <c r="D4592" t="s">
        <v>45</v>
      </c>
      <c r="E4592" t="s">
        <v>185</v>
      </c>
      <c r="F4592" t="s">
        <v>47</v>
      </c>
      <c r="G4592" t="s">
        <v>48</v>
      </c>
      <c r="H4592" t="s">
        <v>3957</v>
      </c>
      <c r="I4592" t="s">
        <v>3958</v>
      </c>
      <c r="J4592" t="s">
        <v>6335</v>
      </c>
      <c r="K4592" t="s">
        <v>6922</v>
      </c>
      <c r="L4592" t="s">
        <v>53</v>
      </c>
      <c r="P4592" t="s">
        <v>55</v>
      </c>
      <c r="R4592" t="s">
        <v>56</v>
      </c>
      <c r="T4592" t="s">
        <v>8019</v>
      </c>
      <c r="U4592" t="s">
        <v>58</v>
      </c>
      <c r="V4592">
        <v>2</v>
      </c>
      <c r="W4592">
        <v>1</v>
      </c>
      <c r="X4592">
        <v>1</v>
      </c>
      <c r="Y4592">
        <v>0</v>
      </c>
      <c r="Z4592">
        <v>1</v>
      </c>
      <c r="AA4592">
        <v>318.23</v>
      </c>
      <c r="AB4592">
        <v>318.23</v>
      </c>
      <c r="AC4592">
        <v>280</v>
      </c>
      <c r="AD4592">
        <v>0</v>
      </c>
      <c r="AE4592">
        <v>38.229999999999997</v>
      </c>
      <c r="AF4592">
        <v>0</v>
      </c>
      <c r="AG4592">
        <v>0</v>
      </c>
      <c r="AH4592">
        <v>0</v>
      </c>
      <c r="AI4592">
        <v>0</v>
      </c>
      <c r="AJ4592">
        <v>318.23</v>
      </c>
      <c r="AK4592">
        <v>38.229999999999997</v>
      </c>
      <c r="AL4592" t="s">
        <v>53</v>
      </c>
      <c r="AM4592" t="s">
        <v>53</v>
      </c>
      <c r="AN4592" t="s">
        <v>8020</v>
      </c>
      <c r="AO4592" t="s">
        <v>53</v>
      </c>
      <c r="AP4592" t="s">
        <v>53</v>
      </c>
    </row>
    <row r="4593" spans="2:42" x14ac:dyDescent="0.2">
      <c r="B4593" t="s">
        <v>44</v>
      </c>
      <c r="C4593" t="str">
        <f>HYPERLINK("https://us2.cloudbeds.com/connect/8493803454333002#/reservations/9080486845942866?display=267508NGC6&amp;reservation_id=9080486845942866", "267508NGC6")</f>
        <v>267508NGC6</v>
      </c>
      <c r="D4593" t="s">
        <v>45</v>
      </c>
      <c r="E4593" t="s">
        <v>138</v>
      </c>
      <c r="F4593" t="s">
        <v>70</v>
      </c>
      <c r="G4593" t="s">
        <v>48</v>
      </c>
      <c r="H4593" t="s">
        <v>49</v>
      </c>
      <c r="I4593" t="s">
        <v>50</v>
      </c>
      <c r="J4593" t="s">
        <v>7439</v>
      </c>
      <c r="K4593" t="s">
        <v>8021</v>
      </c>
      <c r="L4593" t="s">
        <v>53</v>
      </c>
      <c r="N4593" t="s">
        <v>8022</v>
      </c>
      <c r="P4593" t="s">
        <v>55</v>
      </c>
      <c r="R4593" t="s">
        <v>53</v>
      </c>
      <c r="T4593" t="s">
        <v>8023</v>
      </c>
      <c r="U4593" t="s">
        <v>58</v>
      </c>
      <c r="V4593">
        <v>2</v>
      </c>
      <c r="W4593">
        <v>1</v>
      </c>
      <c r="X4593">
        <v>2</v>
      </c>
      <c r="Y4593">
        <v>0</v>
      </c>
      <c r="Z4593">
        <v>2</v>
      </c>
      <c r="AA4593">
        <v>260.42</v>
      </c>
      <c r="AB4593">
        <v>263.13</v>
      </c>
      <c r="AC4593">
        <v>229.13</v>
      </c>
      <c r="AD4593">
        <v>2.5</v>
      </c>
      <c r="AE4593">
        <v>31.5</v>
      </c>
      <c r="AF4593">
        <v>0</v>
      </c>
      <c r="AG4593">
        <v>0</v>
      </c>
      <c r="AH4593">
        <v>0</v>
      </c>
      <c r="AI4593">
        <v>47.36</v>
      </c>
      <c r="AJ4593">
        <v>263.13</v>
      </c>
      <c r="AK4593">
        <v>0</v>
      </c>
      <c r="AL4593" t="s">
        <v>53</v>
      </c>
      <c r="AM4593" t="s">
        <v>53</v>
      </c>
      <c r="AN4593" t="s">
        <v>53</v>
      </c>
      <c r="AO4593" t="s">
        <v>53</v>
      </c>
      <c r="AP4593" t="s">
        <v>53</v>
      </c>
    </row>
    <row r="4594" spans="2:42" x14ac:dyDescent="0.2">
      <c r="B4594" t="s">
        <v>44</v>
      </c>
      <c r="C4594" t="str">
        <f>HYPERLINK("https://us2.cloudbeds.com/connect/8493803454333002#/reservations/101586099802288?display=267KDA5R9C&amp;reservation_id=101586099802288", "267KDA5R9C")</f>
        <v>267KDA5R9C</v>
      </c>
      <c r="D4594" t="s">
        <v>45</v>
      </c>
      <c r="E4594" t="s">
        <v>128</v>
      </c>
      <c r="F4594" t="s">
        <v>86</v>
      </c>
      <c r="G4594" t="s">
        <v>48</v>
      </c>
      <c r="H4594" t="s">
        <v>3957</v>
      </c>
      <c r="I4594" t="s">
        <v>3975</v>
      </c>
      <c r="J4594" t="s">
        <v>6832</v>
      </c>
      <c r="K4594" t="s">
        <v>6379</v>
      </c>
      <c r="L4594" t="s">
        <v>53</v>
      </c>
      <c r="P4594" t="s">
        <v>55</v>
      </c>
      <c r="R4594" t="s">
        <v>53</v>
      </c>
      <c r="T4594" t="s">
        <v>8024</v>
      </c>
      <c r="U4594" t="s">
        <v>58</v>
      </c>
      <c r="V4594">
        <v>2</v>
      </c>
      <c r="W4594">
        <v>1</v>
      </c>
      <c r="X4594">
        <v>2</v>
      </c>
      <c r="Y4594">
        <v>0</v>
      </c>
      <c r="Z4594">
        <v>2</v>
      </c>
      <c r="AA4594">
        <v>467.11</v>
      </c>
      <c r="AB4594">
        <v>467.11</v>
      </c>
      <c r="AC4594">
        <v>411</v>
      </c>
      <c r="AD4594">
        <v>0</v>
      </c>
      <c r="AE4594">
        <v>56.11</v>
      </c>
      <c r="AF4594">
        <v>0</v>
      </c>
      <c r="AG4594">
        <v>0</v>
      </c>
      <c r="AH4594">
        <v>0</v>
      </c>
      <c r="AI4594">
        <v>0</v>
      </c>
      <c r="AJ4594">
        <v>467.11</v>
      </c>
      <c r="AK4594">
        <v>0</v>
      </c>
      <c r="AL4594" t="s">
        <v>53</v>
      </c>
      <c r="AM4594" t="s">
        <v>53</v>
      </c>
      <c r="AN4594" t="s">
        <v>53</v>
      </c>
      <c r="AO4594" t="s">
        <v>53</v>
      </c>
      <c r="AP4594" t="s">
        <v>53</v>
      </c>
    </row>
    <row r="4595" spans="2:42" x14ac:dyDescent="0.2">
      <c r="B4595" t="s">
        <v>44</v>
      </c>
      <c r="C4595" t="str">
        <f>HYPERLINK("https://us2.cloudbeds.com/connect/8493803454333002#/reservations/101591383703802?display=267ZGAN5Q2&amp;reservation_id=101591383703802", "267ZGAN5Q2")</f>
        <v>267ZGAN5Q2</v>
      </c>
      <c r="D4595" t="s">
        <v>45</v>
      </c>
      <c r="E4595" t="s">
        <v>138</v>
      </c>
      <c r="F4595" t="s">
        <v>70</v>
      </c>
      <c r="G4595" t="s">
        <v>48</v>
      </c>
      <c r="H4595" t="s">
        <v>3957</v>
      </c>
      <c r="I4595" t="s">
        <v>3975</v>
      </c>
      <c r="J4595" t="s">
        <v>6335</v>
      </c>
      <c r="K4595" t="s">
        <v>6922</v>
      </c>
      <c r="L4595" t="s">
        <v>53</v>
      </c>
      <c r="P4595" t="s">
        <v>55</v>
      </c>
      <c r="R4595" t="s">
        <v>53</v>
      </c>
      <c r="T4595" t="s">
        <v>8025</v>
      </c>
      <c r="U4595" t="s">
        <v>58</v>
      </c>
      <c r="V4595">
        <v>2</v>
      </c>
      <c r="W4595">
        <v>1</v>
      </c>
      <c r="X4595">
        <v>2</v>
      </c>
      <c r="Y4595">
        <v>0</v>
      </c>
      <c r="Z4595">
        <v>2</v>
      </c>
      <c r="AA4595">
        <v>302.32</v>
      </c>
      <c r="AB4595">
        <v>302.32</v>
      </c>
      <c r="AC4595">
        <v>266</v>
      </c>
      <c r="AD4595">
        <v>0</v>
      </c>
      <c r="AE4595">
        <v>36.32</v>
      </c>
      <c r="AF4595">
        <v>0</v>
      </c>
      <c r="AG4595">
        <v>0</v>
      </c>
      <c r="AH4595">
        <v>0</v>
      </c>
      <c r="AI4595">
        <v>0</v>
      </c>
      <c r="AJ4595">
        <v>302.32</v>
      </c>
      <c r="AK4595">
        <v>0</v>
      </c>
      <c r="AL4595" t="s">
        <v>53</v>
      </c>
      <c r="AM4595" t="s">
        <v>53</v>
      </c>
      <c r="AN4595" t="s">
        <v>53</v>
      </c>
      <c r="AO4595" t="s">
        <v>53</v>
      </c>
      <c r="AP4595" t="s">
        <v>53</v>
      </c>
    </row>
    <row r="4596" spans="2:42" x14ac:dyDescent="0.2">
      <c r="B4596" t="s">
        <v>44</v>
      </c>
      <c r="C4596" t="str">
        <f>HYPERLINK("https://us2.cloudbeds.com/connect/8493803454333002#/reservations/9080486845943208?display=267PFP29JA&amp;reservation_id=9080486845943208", "267PFP29JA")</f>
        <v>267PFP29JA</v>
      </c>
      <c r="D4596" t="s">
        <v>45</v>
      </c>
      <c r="E4596" t="s">
        <v>155</v>
      </c>
      <c r="F4596" t="s">
        <v>86</v>
      </c>
      <c r="G4596" t="s">
        <v>48</v>
      </c>
      <c r="H4596" t="s">
        <v>49</v>
      </c>
      <c r="I4596" t="s">
        <v>62</v>
      </c>
      <c r="J4596" t="s">
        <v>6544</v>
      </c>
      <c r="K4596" t="s">
        <v>6234</v>
      </c>
      <c r="L4596" t="s">
        <v>53</v>
      </c>
      <c r="N4596" t="s">
        <v>8026</v>
      </c>
      <c r="P4596" t="s">
        <v>55</v>
      </c>
      <c r="R4596" t="s">
        <v>56</v>
      </c>
      <c r="T4596" t="s">
        <v>8027</v>
      </c>
      <c r="U4596" t="s">
        <v>55</v>
      </c>
      <c r="V4596">
        <v>1</v>
      </c>
      <c r="W4596">
        <v>1</v>
      </c>
      <c r="X4596">
        <v>2</v>
      </c>
      <c r="Y4596">
        <v>0</v>
      </c>
      <c r="Z4596">
        <v>2</v>
      </c>
      <c r="AA4596">
        <v>112</v>
      </c>
      <c r="AB4596">
        <v>112</v>
      </c>
      <c r="AC4596">
        <v>112</v>
      </c>
      <c r="AD4596">
        <v>0</v>
      </c>
      <c r="AE4596">
        <v>0</v>
      </c>
      <c r="AF4596">
        <v>0</v>
      </c>
      <c r="AG4596">
        <v>0</v>
      </c>
      <c r="AH4596">
        <v>0</v>
      </c>
      <c r="AI4596">
        <v>20.16</v>
      </c>
      <c r="AJ4596">
        <v>112</v>
      </c>
      <c r="AK4596">
        <v>0</v>
      </c>
      <c r="AL4596" t="s">
        <v>53</v>
      </c>
      <c r="AM4596" t="s">
        <v>53</v>
      </c>
      <c r="AN4596" t="s">
        <v>53</v>
      </c>
      <c r="AO4596" t="s">
        <v>53</v>
      </c>
      <c r="AP4596" t="s">
        <v>53</v>
      </c>
    </row>
    <row r="4597" spans="2:42" x14ac:dyDescent="0.2">
      <c r="B4597" t="s">
        <v>44</v>
      </c>
      <c r="C4597" t="str">
        <f>HYPERLINK("https://us2.cloudbeds.com/connect/8493803454333002#/reservations/9080486845943288?display=267TVN48FH&amp;reservation_id=9080486845943288", "267TVN48FH")</f>
        <v>267TVN48FH</v>
      </c>
      <c r="D4597" t="s">
        <v>45</v>
      </c>
      <c r="E4597" t="s">
        <v>98</v>
      </c>
      <c r="F4597" t="s">
        <v>86</v>
      </c>
      <c r="G4597" t="s">
        <v>48</v>
      </c>
      <c r="H4597" t="s">
        <v>49</v>
      </c>
      <c r="I4597" t="s">
        <v>50</v>
      </c>
      <c r="J4597" t="s">
        <v>4767</v>
      </c>
      <c r="K4597" t="s">
        <v>4768</v>
      </c>
      <c r="L4597" t="s">
        <v>53</v>
      </c>
      <c r="N4597" t="s">
        <v>8028</v>
      </c>
      <c r="P4597" t="s">
        <v>55</v>
      </c>
      <c r="R4597" t="s">
        <v>53</v>
      </c>
      <c r="T4597" t="s">
        <v>8029</v>
      </c>
      <c r="U4597" t="s">
        <v>58</v>
      </c>
      <c r="V4597">
        <v>1</v>
      </c>
      <c r="W4597">
        <v>1</v>
      </c>
      <c r="X4597">
        <v>3</v>
      </c>
      <c r="Y4597">
        <v>0</v>
      </c>
      <c r="Z4597">
        <v>3</v>
      </c>
      <c r="AA4597">
        <v>135.03</v>
      </c>
      <c r="AB4597">
        <v>135.03</v>
      </c>
      <c r="AC4597">
        <v>118.8</v>
      </c>
      <c r="AD4597">
        <v>0</v>
      </c>
      <c r="AE4597">
        <v>16.23</v>
      </c>
      <c r="AF4597">
        <v>0</v>
      </c>
      <c r="AG4597">
        <v>0</v>
      </c>
      <c r="AH4597">
        <v>0</v>
      </c>
      <c r="AI4597">
        <v>24.31</v>
      </c>
      <c r="AJ4597">
        <v>135.03</v>
      </c>
      <c r="AK4597">
        <v>0</v>
      </c>
      <c r="AL4597" t="s">
        <v>53</v>
      </c>
      <c r="AM4597" t="s">
        <v>53</v>
      </c>
      <c r="AN4597" t="s">
        <v>53</v>
      </c>
      <c r="AO4597" t="s">
        <v>53</v>
      </c>
      <c r="AP4597" t="s">
        <v>53</v>
      </c>
    </row>
    <row r="4598" spans="2:42" x14ac:dyDescent="0.2">
      <c r="B4598" t="s">
        <v>44</v>
      </c>
      <c r="C4598" t="str">
        <f>HYPERLINK("https://us2.cloudbeds.com/connect/8493803454333002#/reservations/9080486845943355?display=26816V7BU0&amp;reservation_id=9080486845943355", "26816V7BU0")</f>
        <v>26816V7BU0</v>
      </c>
      <c r="D4598" t="s">
        <v>45</v>
      </c>
      <c r="E4598" t="s">
        <v>381</v>
      </c>
      <c r="F4598" t="s">
        <v>47</v>
      </c>
      <c r="G4598" t="s">
        <v>48</v>
      </c>
      <c r="H4598" t="s">
        <v>49</v>
      </c>
      <c r="I4598" t="s">
        <v>50</v>
      </c>
      <c r="J4598" t="s">
        <v>6819</v>
      </c>
      <c r="K4598" t="s">
        <v>4159</v>
      </c>
      <c r="L4598" t="s">
        <v>53</v>
      </c>
      <c r="N4598" t="s">
        <v>8030</v>
      </c>
      <c r="P4598" t="s">
        <v>55</v>
      </c>
      <c r="R4598" t="s">
        <v>53</v>
      </c>
      <c r="T4598" t="s">
        <v>8031</v>
      </c>
      <c r="U4598" t="s">
        <v>58</v>
      </c>
      <c r="V4598">
        <v>1</v>
      </c>
      <c r="W4598">
        <v>1</v>
      </c>
      <c r="X4598">
        <v>1</v>
      </c>
      <c r="Y4598">
        <v>0</v>
      </c>
      <c r="Z4598">
        <v>1</v>
      </c>
      <c r="AA4598">
        <v>127.86</v>
      </c>
      <c r="AB4598">
        <v>127.86</v>
      </c>
      <c r="AC4598">
        <v>112.5</v>
      </c>
      <c r="AD4598">
        <v>0</v>
      </c>
      <c r="AE4598">
        <v>15.36</v>
      </c>
      <c r="AF4598">
        <v>0</v>
      </c>
      <c r="AG4598">
        <v>0</v>
      </c>
      <c r="AH4598">
        <v>0</v>
      </c>
      <c r="AI4598">
        <v>23.01</v>
      </c>
      <c r="AJ4598">
        <v>127.86</v>
      </c>
      <c r="AK4598">
        <v>0</v>
      </c>
      <c r="AL4598" t="s">
        <v>53</v>
      </c>
      <c r="AM4598" t="s">
        <v>53</v>
      </c>
      <c r="AN4598" t="s">
        <v>53</v>
      </c>
      <c r="AO4598" t="s">
        <v>53</v>
      </c>
      <c r="AP4598" t="s">
        <v>53</v>
      </c>
    </row>
    <row r="4599" spans="2:42" x14ac:dyDescent="0.2">
      <c r="B4599" t="s">
        <v>44</v>
      </c>
      <c r="C4599" t="str">
        <f>HYPERLINK("https://us2.cloudbeds.com/connect/8493803454333002#/reservations/9080486845943436?display=2685NQQABD&amp;reservation_id=9080486845943436", "2685NQQABD")</f>
        <v>2685NQQABD</v>
      </c>
      <c r="D4599" t="s">
        <v>45</v>
      </c>
      <c r="E4599" t="s">
        <v>92</v>
      </c>
      <c r="F4599" t="s">
        <v>86</v>
      </c>
      <c r="G4599" t="s">
        <v>48</v>
      </c>
      <c r="H4599" t="s">
        <v>49</v>
      </c>
      <c r="I4599" t="s">
        <v>50</v>
      </c>
      <c r="J4599" t="s">
        <v>6544</v>
      </c>
      <c r="K4599" t="s">
        <v>6234</v>
      </c>
      <c r="L4599" t="s">
        <v>53</v>
      </c>
      <c r="N4599" t="s">
        <v>8032</v>
      </c>
      <c r="P4599" t="s">
        <v>55</v>
      </c>
      <c r="R4599" t="s">
        <v>53</v>
      </c>
      <c r="T4599" t="s">
        <v>8033</v>
      </c>
      <c r="U4599" t="s">
        <v>58</v>
      </c>
      <c r="V4599">
        <v>1</v>
      </c>
      <c r="W4599">
        <v>1</v>
      </c>
      <c r="X4599">
        <v>2</v>
      </c>
      <c r="Y4599">
        <v>0</v>
      </c>
      <c r="Z4599">
        <v>2</v>
      </c>
      <c r="AA4599">
        <v>114.56</v>
      </c>
      <c r="AB4599">
        <v>114.56</v>
      </c>
      <c r="AC4599">
        <v>100.8</v>
      </c>
      <c r="AD4599">
        <v>0</v>
      </c>
      <c r="AE4599">
        <v>13.76</v>
      </c>
      <c r="AF4599">
        <v>0</v>
      </c>
      <c r="AG4599">
        <v>0</v>
      </c>
      <c r="AH4599">
        <v>0</v>
      </c>
      <c r="AI4599">
        <v>20.62</v>
      </c>
      <c r="AJ4599">
        <v>114.56</v>
      </c>
      <c r="AK4599">
        <v>0</v>
      </c>
      <c r="AL4599" t="s">
        <v>53</v>
      </c>
      <c r="AM4599" t="s">
        <v>53</v>
      </c>
      <c r="AN4599" t="s">
        <v>53</v>
      </c>
      <c r="AO4599" t="s">
        <v>53</v>
      </c>
      <c r="AP4599" t="s">
        <v>53</v>
      </c>
    </row>
    <row r="4600" spans="2:42" x14ac:dyDescent="0.2">
      <c r="B4600" t="s">
        <v>44</v>
      </c>
      <c r="C4600" t="str">
        <f>HYPERLINK("https://us2.cloudbeds.com/connect/8493803454333002#/reservations/9080486845944013?display=2695GA3S9X&amp;reservation_id=9080486845944013", "2695GA3S9X")</f>
        <v>2695GA3S9X</v>
      </c>
      <c r="D4600" t="s">
        <v>45</v>
      </c>
      <c r="E4600" t="s">
        <v>121</v>
      </c>
      <c r="F4600" t="s">
        <v>86</v>
      </c>
      <c r="G4600" t="s">
        <v>48</v>
      </c>
      <c r="H4600" t="s">
        <v>49</v>
      </c>
      <c r="I4600" t="s">
        <v>50</v>
      </c>
      <c r="J4600" t="s">
        <v>6639</v>
      </c>
      <c r="K4600" t="s">
        <v>4767</v>
      </c>
      <c r="L4600" t="s">
        <v>53</v>
      </c>
      <c r="N4600" t="s">
        <v>8034</v>
      </c>
      <c r="P4600" t="s">
        <v>55</v>
      </c>
      <c r="R4600" t="s">
        <v>53</v>
      </c>
      <c r="T4600" t="s">
        <v>8035</v>
      </c>
      <c r="U4600" t="s">
        <v>58</v>
      </c>
      <c r="V4600">
        <v>1</v>
      </c>
      <c r="W4600">
        <v>1</v>
      </c>
      <c r="X4600">
        <v>2</v>
      </c>
      <c r="Y4600">
        <v>1</v>
      </c>
      <c r="Z4600">
        <v>3</v>
      </c>
      <c r="AA4600">
        <v>160.6</v>
      </c>
      <c r="AB4600">
        <v>160.6</v>
      </c>
      <c r="AC4600">
        <v>141.30000000000001</v>
      </c>
      <c r="AD4600">
        <v>0</v>
      </c>
      <c r="AE4600">
        <v>19.3</v>
      </c>
      <c r="AF4600">
        <v>0</v>
      </c>
      <c r="AG4600">
        <v>0</v>
      </c>
      <c r="AH4600">
        <v>0</v>
      </c>
      <c r="AI4600">
        <v>28.91</v>
      </c>
      <c r="AJ4600">
        <v>160.6</v>
      </c>
      <c r="AK4600">
        <v>0</v>
      </c>
      <c r="AL4600" t="s">
        <v>53</v>
      </c>
      <c r="AM4600" t="s">
        <v>53</v>
      </c>
      <c r="AN4600" t="s">
        <v>53</v>
      </c>
      <c r="AO4600" t="s">
        <v>53</v>
      </c>
      <c r="AP4600" t="s">
        <v>53</v>
      </c>
    </row>
    <row r="4601" spans="2:42" x14ac:dyDescent="0.2">
      <c r="B4601" t="s">
        <v>44</v>
      </c>
      <c r="C4601" t="str">
        <f>HYPERLINK("https://us2.cloudbeds.com/connect/8493803454333002#/reservations/9080486845945982?display=26CNBQPRWZ&amp;reservation_id=9080486845945982", "26CNBQPRWZ")</f>
        <v>26CNBQPRWZ</v>
      </c>
      <c r="D4601" t="s">
        <v>45</v>
      </c>
      <c r="E4601" t="s">
        <v>265</v>
      </c>
      <c r="F4601" t="s">
        <v>61</v>
      </c>
      <c r="G4601" t="s">
        <v>48</v>
      </c>
      <c r="H4601" t="s">
        <v>49</v>
      </c>
      <c r="I4601" t="s">
        <v>50</v>
      </c>
      <c r="J4601" t="s">
        <v>4159</v>
      </c>
      <c r="K4601" t="s">
        <v>7078</v>
      </c>
      <c r="L4601" t="s">
        <v>53</v>
      </c>
      <c r="N4601" t="s">
        <v>8036</v>
      </c>
      <c r="P4601" t="s">
        <v>55</v>
      </c>
      <c r="R4601" t="s">
        <v>53</v>
      </c>
      <c r="T4601" t="s">
        <v>8037</v>
      </c>
      <c r="U4601" t="s">
        <v>58</v>
      </c>
      <c r="V4601">
        <v>1</v>
      </c>
      <c r="W4601">
        <v>1</v>
      </c>
      <c r="X4601">
        <v>2</v>
      </c>
      <c r="Y4601">
        <v>0</v>
      </c>
      <c r="Z4601">
        <v>2</v>
      </c>
      <c r="AA4601">
        <v>113.65</v>
      </c>
      <c r="AB4601">
        <v>113.65</v>
      </c>
      <c r="AC4601">
        <v>100</v>
      </c>
      <c r="AD4601">
        <v>0</v>
      </c>
      <c r="AE4601">
        <v>13.65</v>
      </c>
      <c r="AF4601">
        <v>0</v>
      </c>
      <c r="AG4601">
        <v>0</v>
      </c>
      <c r="AH4601">
        <v>0</v>
      </c>
      <c r="AI4601">
        <v>20.46</v>
      </c>
      <c r="AJ4601">
        <v>113.65</v>
      </c>
      <c r="AK4601">
        <v>0</v>
      </c>
      <c r="AL4601" t="s">
        <v>53</v>
      </c>
      <c r="AM4601" t="s">
        <v>53</v>
      </c>
      <c r="AN4601" t="s">
        <v>8038</v>
      </c>
      <c r="AO4601" t="s">
        <v>53</v>
      </c>
      <c r="AP4601" t="s">
        <v>53</v>
      </c>
    </row>
    <row r="4602" spans="2:42" x14ac:dyDescent="0.2">
      <c r="B4602" t="s">
        <v>44</v>
      </c>
      <c r="C4602" t="str">
        <f>HYPERLINK("https://us2.cloudbeds.com/connect/8493803454333002#/reservations/9080486845946180?display=26CWS0YU3Z&amp;reservation_id=9080486845946180", "26CWS0YU3Z")</f>
        <v>26CWS0YU3Z</v>
      </c>
      <c r="D4602" t="s">
        <v>45</v>
      </c>
      <c r="E4602" t="s">
        <v>190</v>
      </c>
      <c r="F4602" t="s">
        <v>61</v>
      </c>
      <c r="G4602" t="s">
        <v>48</v>
      </c>
      <c r="H4602" t="s">
        <v>49</v>
      </c>
      <c r="I4602" t="s">
        <v>50</v>
      </c>
      <c r="J4602" t="s">
        <v>6234</v>
      </c>
      <c r="K4602" t="s">
        <v>6818</v>
      </c>
      <c r="L4602" t="s">
        <v>53</v>
      </c>
      <c r="N4602" t="s">
        <v>8039</v>
      </c>
      <c r="P4602" t="s">
        <v>55</v>
      </c>
      <c r="R4602" t="s">
        <v>53</v>
      </c>
      <c r="T4602" t="s">
        <v>8040</v>
      </c>
      <c r="U4602" t="s">
        <v>58</v>
      </c>
      <c r="V4602">
        <v>1</v>
      </c>
      <c r="W4602">
        <v>1</v>
      </c>
      <c r="X4602">
        <v>2</v>
      </c>
      <c r="Y4602">
        <v>0</v>
      </c>
      <c r="Z4602">
        <v>2</v>
      </c>
      <c r="AA4602">
        <v>115.58</v>
      </c>
      <c r="AB4602">
        <v>115.58</v>
      </c>
      <c r="AC4602">
        <v>101.7</v>
      </c>
      <c r="AD4602">
        <v>0</v>
      </c>
      <c r="AE4602">
        <v>13.88</v>
      </c>
      <c r="AF4602">
        <v>0</v>
      </c>
      <c r="AG4602">
        <v>0</v>
      </c>
      <c r="AH4602">
        <v>0</v>
      </c>
      <c r="AI4602">
        <v>20.8</v>
      </c>
      <c r="AJ4602">
        <v>115.58</v>
      </c>
      <c r="AK4602">
        <v>0</v>
      </c>
      <c r="AL4602" t="s">
        <v>53</v>
      </c>
      <c r="AM4602" t="s">
        <v>53</v>
      </c>
      <c r="AN4602" t="s">
        <v>53</v>
      </c>
      <c r="AO4602" t="s">
        <v>53</v>
      </c>
      <c r="AP4602" t="s">
        <v>53</v>
      </c>
    </row>
    <row r="4603" spans="2:42" x14ac:dyDescent="0.2">
      <c r="B4603" t="s">
        <v>44</v>
      </c>
      <c r="C4603" t="str">
        <f>HYPERLINK("https://us2.cloudbeds.com/connect/8493803454333002#/reservations/101816996675785?display=26D168HN1R&amp;reservation_id=101816996675785", "26D168HN1R")</f>
        <v>26D168HN1R</v>
      </c>
      <c r="D4603" t="s">
        <v>45</v>
      </c>
      <c r="E4603" t="s">
        <v>487</v>
      </c>
      <c r="F4603" t="s">
        <v>61</v>
      </c>
      <c r="G4603" t="s">
        <v>48</v>
      </c>
      <c r="H4603" t="s">
        <v>3957</v>
      </c>
      <c r="I4603" t="s">
        <v>3958</v>
      </c>
      <c r="J4603" t="s">
        <v>6885</v>
      </c>
      <c r="K4603" t="s">
        <v>6999</v>
      </c>
      <c r="L4603" t="s">
        <v>53</v>
      </c>
      <c r="P4603" t="s">
        <v>58</v>
      </c>
      <c r="R4603" t="s">
        <v>56</v>
      </c>
      <c r="T4603" t="s">
        <v>8041</v>
      </c>
      <c r="U4603" t="s">
        <v>58</v>
      </c>
      <c r="V4603">
        <v>1</v>
      </c>
      <c r="W4603">
        <v>1</v>
      </c>
      <c r="X4603">
        <v>1</v>
      </c>
      <c r="Y4603">
        <v>0</v>
      </c>
      <c r="Z4603">
        <v>1</v>
      </c>
      <c r="AA4603">
        <v>113.65</v>
      </c>
      <c r="AB4603">
        <v>113.65</v>
      </c>
      <c r="AC4603">
        <v>100</v>
      </c>
      <c r="AD4603">
        <v>0</v>
      </c>
      <c r="AE4603">
        <v>13.65</v>
      </c>
      <c r="AF4603">
        <v>0</v>
      </c>
      <c r="AG4603">
        <v>0</v>
      </c>
      <c r="AH4603">
        <v>0</v>
      </c>
      <c r="AI4603">
        <v>0</v>
      </c>
      <c r="AJ4603">
        <v>113.65</v>
      </c>
      <c r="AK4603">
        <v>0</v>
      </c>
      <c r="AL4603" t="s">
        <v>53</v>
      </c>
      <c r="AM4603" t="s">
        <v>53</v>
      </c>
      <c r="AN4603" t="s">
        <v>53</v>
      </c>
      <c r="AO4603" t="s">
        <v>53</v>
      </c>
      <c r="AP4603" t="s">
        <v>53</v>
      </c>
    </row>
    <row r="4604" spans="2:42" x14ac:dyDescent="0.2">
      <c r="B4604" t="s">
        <v>44</v>
      </c>
      <c r="C4604" t="str">
        <f>HYPERLINK("https://us2.cloudbeds.com/connect/8493803454333002#/reservations/9080486845946255?display=26D2VA541J&amp;reservation_id=9080486845946255", "26D2VA541J")</f>
        <v>26D2VA541J</v>
      </c>
      <c r="D4604" t="s">
        <v>45</v>
      </c>
      <c r="E4604" t="s">
        <v>381</v>
      </c>
      <c r="F4604" t="s">
        <v>47</v>
      </c>
      <c r="G4604" t="s">
        <v>48</v>
      </c>
      <c r="H4604" t="s">
        <v>49</v>
      </c>
      <c r="I4604" t="s">
        <v>62</v>
      </c>
      <c r="J4604" t="s">
        <v>6417</v>
      </c>
      <c r="K4604" t="s">
        <v>7486</v>
      </c>
      <c r="L4604" t="s">
        <v>53</v>
      </c>
      <c r="N4604" t="s">
        <v>8042</v>
      </c>
      <c r="P4604" t="s">
        <v>55</v>
      </c>
      <c r="R4604" t="s">
        <v>56</v>
      </c>
      <c r="T4604" t="s">
        <v>8043</v>
      </c>
      <c r="U4604" t="s">
        <v>55</v>
      </c>
      <c r="V4604">
        <v>1</v>
      </c>
      <c r="W4604">
        <v>1</v>
      </c>
      <c r="X4604">
        <v>1</v>
      </c>
      <c r="Y4604">
        <v>0</v>
      </c>
      <c r="Z4604">
        <v>1</v>
      </c>
      <c r="AA4604">
        <v>141</v>
      </c>
      <c r="AB4604">
        <v>141</v>
      </c>
      <c r="AC4604">
        <v>141</v>
      </c>
      <c r="AD4604">
        <v>0</v>
      </c>
      <c r="AE4604">
        <v>0</v>
      </c>
      <c r="AF4604">
        <v>0</v>
      </c>
      <c r="AG4604">
        <v>0</v>
      </c>
      <c r="AH4604">
        <v>0</v>
      </c>
      <c r="AI4604">
        <v>25.38</v>
      </c>
      <c r="AJ4604">
        <v>141</v>
      </c>
      <c r="AK4604">
        <v>0</v>
      </c>
      <c r="AL4604" t="s">
        <v>53</v>
      </c>
      <c r="AM4604" t="s">
        <v>53</v>
      </c>
      <c r="AN4604" t="s">
        <v>53</v>
      </c>
      <c r="AO4604" t="s">
        <v>53</v>
      </c>
      <c r="AP4604" t="s">
        <v>53</v>
      </c>
    </row>
    <row r="4605" spans="2:42" x14ac:dyDescent="0.2">
      <c r="B4605" t="s">
        <v>44</v>
      </c>
      <c r="C4605" t="str">
        <f>HYPERLINK("https://us2.cloudbeds.com/connect/8493803454333002#/reservations/101835198148759?display=26DF9BGGWU&amp;reservation_id=101835198148759", "26DF9BGGWU")</f>
        <v>26DF9BGGWU</v>
      </c>
      <c r="D4605" t="s">
        <v>45</v>
      </c>
      <c r="E4605" t="s">
        <v>190</v>
      </c>
      <c r="F4605" t="s">
        <v>61</v>
      </c>
      <c r="G4605" t="s">
        <v>48</v>
      </c>
      <c r="H4605" t="s">
        <v>3957</v>
      </c>
      <c r="I4605" t="s">
        <v>3958</v>
      </c>
      <c r="J4605" t="s">
        <v>6818</v>
      </c>
      <c r="K4605" t="s">
        <v>6819</v>
      </c>
      <c r="L4605" t="s">
        <v>53</v>
      </c>
      <c r="P4605" t="s">
        <v>55</v>
      </c>
      <c r="R4605" t="s">
        <v>56</v>
      </c>
      <c r="T4605" t="s">
        <v>8044</v>
      </c>
      <c r="U4605" t="s">
        <v>58</v>
      </c>
      <c r="V4605">
        <v>1</v>
      </c>
      <c r="W4605">
        <v>1</v>
      </c>
      <c r="X4605">
        <v>1</v>
      </c>
      <c r="Y4605">
        <v>0</v>
      </c>
      <c r="Z4605">
        <v>1</v>
      </c>
      <c r="AA4605">
        <v>131.83000000000001</v>
      </c>
      <c r="AB4605">
        <v>131.83000000000001</v>
      </c>
      <c r="AC4605">
        <v>116</v>
      </c>
      <c r="AD4605">
        <v>0</v>
      </c>
      <c r="AE4605">
        <v>15.83</v>
      </c>
      <c r="AF4605">
        <v>0</v>
      </c>
      <c r="AG4605">
        <v>0</v>
      </c>
      <c r="AH4605">
        <v>0</v>
      </c>
      <c r="AI4605">
        <v>0</v>
      </c>
      <c r="AJ4605">
        <v>131.83000000000001</v>
      </c>
      <c r="AK4605">
        <v>0</v>
      </c>
      <c r="AL4605" t="s">
        <v>53</v>
      </c>
      <c r="AM4605" t="s">
        <v>53</v>
      </c>
      <c r="AN4605" t="s">
        <v>53</v>
      </c>
      <c r="AO4605" t="s">
        <v>53</v>
      </c>
      <c r="AP4605" t="s">
        <v>53</v>
      </c>
    </row>
    <row r="4606" spans="2:42" x14ac:dyDescent="0.2">
      <c r="B4606" t="s">
        <v>44</v>
      </c>
      <c r="C4606" t="str">
        <f>HYPERLINK("https://us2.cloudbeds.com/connect/8493803454333002#/reservations/9080486845946715?display=26DMB3VZHJ&amp;reservation_id=9080486845946715", "26DMB3VZHJ")</f>
        <v>26DMB3VZHJ</v>
      </c>
      <c r="D4606" t="s">
        <v>45</v>
      </c>
      <c r="E4606" t="s">
        <v>305</v>
      </c>
      <c r="F4606" t="s">
        <v>61</v>
      </c>
      <c r="G4606" t="s">
        <v>48</v>
      </c>
      <c r="H4606" t="s">
        <v>49</v>
      </c>
      <c r="I4606" t="s">
        <v>62</v>
      </c>
      <c r="J4606" t="s">
        <v>6234</v>
      </c>
      <c r="K4606" t="s">
        <v>6818</v>
      </c>
      <c r="L4606" t="s">
        <v>53</v>
      </c>
      <c r="N4606" t="s">
        <v>8045</v>
      </c>
      <c r="P4606" t="s">
        <v>55</v>
      </c>
      <c r="R4606" t="s">
        <v>56</v>
      </c>
      <c r="T4606" t="s">
        <v>8046</v>
      </c>
      <c r="U4606" t="s">
        <v>55</v>
      </c>
      <c r="V4606">
        <v>1</v>
      </c>
      <c r="W4606">
        <v>1</v>
      </c>
      <c r="X4606">
        <v>2</v>
      </c>
      <c r="Y4606">
        <v>0</v>
      </c>
      <c r="Z4606">
        <v>2</v>
      </c>
      <c r="AA4606">
        <v>113</v>
      </c>
      <c r="AB4606">
        <v>113</v>
      </c>
      <c r="AC4606">
        <v>113</v>
      </c>
      <c r="AD4606">
        <v>0</v>
      </c>
      <c r="AE4606">
        <v>0</v>
      </c>
      <c r="AF4606">
        <v>0</v>
      </c>
      <c r="AG4606">
        <v>0</v>
      </c>
      <c r="AH4606">
        <v>0</v>
      </c>
      <c r="AI4606">
        <v>20.34</v>
      </c>
      <c r="AJ4606">
        <v>113</v>
      </c>
      <c r="AK4606">
        <v>0</v>
      </c>
      <c r="AL4606" t="s">
        <v>53</v>
      </c>
      <c r="AM4606" t="s">
        <v>53</v>
      </c>
      <c r="AN4606" t="s">
        <v>53</v>
      </c>
      <c r="AO4606" t="s">
        <v>53</v>
      </c>
      <c r="AP4606" t="s">
        <v>53</v>
      </c>
    </row>
    <row r="4607" spans="2:42" x14ac:dyDescent="0.2">
      <c r="B4607" t="s">
        <v>44</v>
      </c>
      <c r="C4607" t="str">
        <f>HYPERLINK("https://us2.cloudbeds.com/connect/8493803454333002#/reservations/101910141210770?display=26F7AAFMP1&amp;reservation_id=101910141210770", "26F7AAFMP1")</f>
        <v>26F7AAFMP1</v>
      </c>
      <c r="D4607" t="s">
        <v>45</v>
      </c>
      <c r="E4607" t="s">
        <v>121</v>
      </c>
      <c r="F4607" t="s">
        <v>86</v>
      </c>
      <c r="G4607" t="s">
        <v>48</v>
      </c>
      <c r="H4607" t="s">
        <v>3957</v>
      </c>
      <c r="I4607" t="s">
        <v>3975</v>
      </c>
      <c r="J4607" t="s">
        <v>7543</v>
      </c>
      <c r="K4607" t="s">
        <v>8047</v>
      </c>
      <c r="L4607" t="s">
        <v>53</v>
      </c>
      <c r="P4607" t="s">
        <v>58</v>
      </c>
      <c r="R4607" t="s">
        <v>56</v>
      </c>
      <c r="T4607" t="s">
        <v>8048</v>
      </c>
      <c r="U4607" t="s">
        <v>58</v>
      </c>
      <c r="V4607">
        <v>1</v>
      </c>
      <c r="W4607">
        <v>1</v>
      </c>
      <c r="X4607">
        <v>1</v>
      </c>
      <c r="Y4607">
        <v>0</v>
      </c>
      <c r="Z4607">
        <v>1</v>
      </c>
      <c r="AA4607">
        <v>161.38999999999999</v>
      </c>
      <c r="AB4607">
        <v>161.38999999999999</v>
      </c>
      <c r="AC4607">
        <v>142</v>
      </c>
      <c r="AD4607">
        <v>0</v>
      </c>
      <c r="AE4607">
        <v>19.39</v>
      </c>
      <c r="AF4607">
        <v>0</v>
      </c>
      <c r="AG4607">
        <v>0</v>
      </c>
      <c r="AH4607">
        <v>0</v>
      </c>
      <c r="AI4607">
        <v>0</v>
      </c>
      <c r="AJ4607">
        <v>161.38999999999999</v>
      </c>
      <c r="AK4607">
        <v>0</v>
      </c>
      <c r="AL4607" t="s">
        <v>53</v>
      </c>
      <c r="AM4607" t="s">
        <v>53</v>
      </c>
      <c r="AN4607" t="s">
        <v>53</v>
      </c>
      <c r="AO4607" t="s">
        <v>53</v>
      </c>
      <c r="AP4607" t="s">
        <v>53</v>
      </c>
    </row>
    <row r="4608" spans="2:42" x14ac:dyDescent="0.2">
      <c r="B4608" t="s">
        <v>44</v>
      </c>
      <c r="C4608" t="str">
        <f>HYPERLINK("https://us2.cloudbeds.com/connect/8493803454333002#/reservations/9080486845947987?display=26FAF2T1EG&amp;reservation_id=9080486845947987", "26FAF2T1EG")</f>
        <v>26FAF2T1EG</v>
      </c>
      <c r="D4608" t="s">
        <v>45</v>
      </c>
      <c r="E4608" t="s">
        <v>138</v>
      </c>
      <c r="F4608" t="s">
        <v>70</v>
      </c>
      <c r="G4608" t="s">
        <v>48</v>
      </c>
      <c r="H4608" t="s">
        <v>49</v>
      </c>
      <c r="I4608" t="s">
        <v>62</v>
      </c>
      <c r="J4608" t="s">
        <v>5622</v>
      </c>
      <c r="K4608" t="s">
        <v>6639</v>
      </c>
      <c r="L4608" t="s">
        <v>53</v>
      </c>
      <c r="N4608" t="s">
        <v>8049</v>
      </c>
      <c r="P4608" t="s">
        <v>55</v>
      </c>
      <c r="R4608" t="s">
        <v>56</v>
      </c>
      <c r="T4608" t="s">
        <v>8050</v>
      </c>
      <c r="U4608" t="s">
        <v>55</v>
      </c>
      <c r="V4608">
        <v>2</v>
      </c>
      <c r="W4608">
        <v>1</v>
      </c>
      <c r="X4608">
        <v>2</v>
      </c>
      <c r="Y4608">
        <v>0</v>
      </c>
      <c r="Z4608">
        <v>2</v>
      </c>
      <c r="AA4608">
        <v>474.05</v>
      </c>
      <c r="AB4608">
        <v>474.05</v>
      </c>
      <c r="AC4608">
        <v>474.05</v>
      </c>
      <c r="AD4608">
        <v>0</v>
      </c>
      <c r="AE4608">
        <v>0</v>
      </c>
      <c r="AF4608">
        <v>0</v>
      </c>
      <c r="AG4608">
        <v>0</v>
      </c>
      <c r="AH4608">
        <v>0</v>
      </c>
      <c r="AI4608">
        <v>85.33</v>
      </c>
      <c r="AJ4608">
        <v>474.05</v>
      </c>
      <c r="AK4608">
        <v>0</v>
      </c>
      <c r="AL4608" t="s">
        <v>53</v>
      </c>
      <c r="AM4608" t="s">
        <v>53</v>
      </c>
      <c r="AN4608" t="s">
        <v>53</v>
      </c>
      <c r="AO4608" t="s">
        <v>53</v>
      </c>
      <c r="AP4608" t="s">
        <v>53</v>
      </c>
    </row>
    <row r="4609" spans="2:42" x14ac:dyDescent="0.2">
      <c r="B4609" t="s">
        <v>44</v>
      </c>
      <c r="C4609" t="str">
        <f>HYPERLINK("https://us2.cloudbeds.com/connect/8493803454333002#/reservations/101924045447393?display=26FX2JTXQP&amp;reservation_id=101924045447393", "26FX2JTXQP")</f>
        <v>26FX2JTXQP</v>
      </c>
      <c r="D4609" t="s">
        <v>45</v>
      </c>
      <c r="E4609" t="s">
        <v>46</v>
      </c>
      <c r="F4609" t="s">
        <v>47</v>
      </c>
      <c r="G4609" t="s">
        <v>48</v>
      </c>
      <c r="H4609" t="s">
        <v>3957</v>
      </c>
      <c r="I4609" t="s">
        <v>3975</v>
      </c>
      <c r="J4609" t="s">
        <v>5623</v>
      </c>
      <c r="K4609" t="s">
        <v>4767</v>
      </c>
      <c r="L4609" t="s">
        <v>53</v>
      </c>
      <c r="P4609" t="s">
        <v>55</v>
      </c>
      <c r="R4609" t="s">
        <v>53</v>
      </c>
      <c r="T4609" t="s">
        <v>8051</v>
      </c>
      <c r="U4609" t="s">
        <v>58</v>
      </c>
      <c r="V4609">
        <v>2</v>
      </c>
      <c r="W4609">
        <v>1</v>
      </c>
      <c r="X4609">
        <v>2</v>
      </c>
      <c r="Y4609">
        <v>0</v>
      </c>
      <c r="Z4609">
        <v>2</v>
      </c>
      <c r="AA4609">
        <v>431.87</v>
      </c>
      <c r="AB4609">
        <v>431.87</v>
      </c>
      <c r="AC4609">
        <v>380</v>
      </c>
      <c r="AD4609">
        <v>0</v>
      </c>
      <c r="AE4609">
        <v>51.87</v>
      </c>
      <c r="AF4609">
        <v>0</v>
      </c>
      <c r="AG4609">
        <v>0</v>
      </c>
      <c r="AH4609">
        <v>0</v>
      </c>
      <c r="AI4609">
        <v>0</v>
      </c>
      <c r="AJ4609">
        <v>431.87</v>
      </c>
      <c r="AK4609">
        <v>0</v>
      </c>
      <c r="AL4609" t="s">
        <v>53</v>
      </c>
      <c r="AM4609" t="s">
        <v>53</v>
      </c>
      <c r="AN4609" t="s">
        <v>53</v>
      </c>
      <c r="AO4609" t="s">
        <v>53</v>
      </c>
      <c r="AP4609" t="s">
        <v>53</v>
      </c>
    </row>
    <row r="4610" spans="2:42" x14ac:dyDescent="0.2">
      <c r="B4610" t="s">
        <v>44</v>
      </c>
      <c r="C4610" t="str">
        <f>HYPERLINK("https://us2.cloudbeds.com/connect/8493803454333002#/reservations/101965172830371?display=26GGUGJKNE&amp;reservation_id=101965172830371", "26GGUGJKNE")</f>
        <v>26GGUGJKNE</v>
      </c>
      <c r="D4610" t="s">
        <v>45</v>
      </c>
      <c r="E4610" t="s">
        <v>373</v>
      </c>
      <c r="F4610" t="s">
        <v>47</v>
      </c>
      <c r="G4610" t="s">
        <v>48</v>
      </c>
      <c r="H4610" t="s">
        <v>3957</v>
      </c>
      <c r="I4610" t="s">
        <v>3975</v>
      </c>
      <c r="J4610" t="s">
        <v>6818</v>
      </c>
      <c r="K4610" t="s">
        <v>6819</v>
      </c>
      <c r="L4610" t="s">
        <v>53</v>
      </c>
      <c r="P4610" t="s">
        <v>55</v>
      </c>
      <c r="R4610" t="s">
        <v>53</v>
      </c>
      <c r="T4610" t="s">
        <v>8052</v>
      </c>
      <c r="U4610" t="s">
        <v>58</v>
      </c>
      <c r="V4610">
        <v>1</v>
      </c>
      <c r="W4610">
        <v>1</v>
      </c>
      <c r="X4610">
        <v>2</v>
      </c>
      <c r="Y4610">
        <v>0</v>
      </c>
      <c r="Z4610">
        <v>2</v>
      </c>
      <c r="AA4610">
        <v>128.43</v>
      </c>
      <c r="AB4610">
        <v>128.43</v>
      </c>
      <c r="AC4610">
        <v>113</v>
      </c>
      <c r="AD4610">
        <v>0</v>
      </c>
      <c r="AE4610">
        <v>15.43</v>
      </c>
      <c r="AF4610">
        <v>0</v>
      </c>
      <c r="AG4610">
        <v>0</v>
      </c>
      <c r="AH4610">
        <v>0</v>
      </c>
      <c r="AI4610">
        <v>0</v>
      </c>
      <c r="AJ4610">
        <v>128.43</v>
      </c>
      <c r="AK4610">
        <v>0</v>
      </c>
      <c r="AL4610" t="s">
        <v>53</v>
      </c>
      <c r="AM4610" t="s">
        <v>53</v>
      </c>
      <c r="AN4610" t="s">
        <v>53</v>
      </c>
      <c r="AO4610" t="s">
        <v>53</v>
      </c>
      <c r="AP4610" t="s">
        <v>53</v>
      </c>
    </row>
    <row r="4611" spans="2:42" x14ac:dyDescent="0.2">
      <c r="B4611" t="s">
        <v>44</v>
      </c>
      <c r="C4611" t="str">
        <f>HYPERLINK("https://us2.cloudbeds.com/connect/8493803454333002#/reservations/9080486845948768?display=26GKUJMKD3&amp;reservation_id=9080486845948768", "26GKUJMKD3")</f>
        <v>26GKUJMKD3</v>
      </c>
      <c r="D4611" t="s">
        <v>45</v>
      </c>
      <c r="E4611" t="s">
        <v>213</v>
      </c>
      <c r="F4611" t="s">
        <v>86</v>
      </c>
      <c r="G4611" t="s">
        <v>48</v>
      </c>
      <c r="H4611" t="s">
        <v>49</v>
      </c>
      <c r="I4611" t="s">
        <v>62</v>
      </c>
      <c r="J4611" t="s">
        <v>7802</v>
      </c>
      <c r="K4611" t="s">
        <v>8053</v>
      </c>
      <c r="L4611" t="s">
        <v>53</v>
      </c>
      <c r="N4611" t="s">
        <v>8054</v>
      </c>
      <c r="P4611" t="s">
        <v>55</v>
      </c>
      <c r="R4611" t="s">
        <v>56</v>
      </c>
      <c r="T4611" t="s">
        <v>8055</v>
      </c>
      <c r="U4611" t="s">
        <v>55</v>
      </c>
      <c r="V4611">
        <v>1</v>
      </c>
      <c r="W4611">
        <v>1</v>
      </c>
      <c r="X4611">
        <v>2</v>
      </c>
      <c r="Y4611">
        <v>2</v>
      </c>
      <c r="Z4611">
        <v>4</v>
      </c>
      <c r="AA4611">
        <v>191</v>
      </c>
      <c r="AB4611">
        <v>191</v>
      </c>
      <c r="AC4611">
        <v>191</v>
      </c>
      <c r="AD4611">
        <v>0</v>
      </c>
      <c r="AE4611">
        <v>0</v>
      </c>
      <c r="AF4611">
        <v>0</v>
      </c>
      <c r="AG4611">
        <v>0</v>
      </c>
      <c r="AH4611">
        <v>0</v>
      </c>
      <c r="AI4611">
        <v>34.380000000000003</v>
      </c>
      <c r="AJ4611">
        <v>191</v>
      </c>
      <c r="AK4611">
        <v>0</v>
      </c>
      <c r="AL4611" t="s">
        <v>53</v>
      </c>
      <c r="AM4611" t="s">
        <v>53</v>
      </c>
      <c r="AN4611" t="s">
        <v>8056</v>
      </c>
      <c r="AO4611" t="s">
        <v>53</v>
      </c>
      <c r="AP4611" t="s">
        <v>53</v>
      </c>
    </row>
    <row r="4612" spans="2:42" x14ac:dyDescent="0.2">
      <c r="B4612" t="s">
        <v>44</v>
      </c>
      <c r="C4612" t="str">
        <f>HYPERLINK("https://us2.cloudbeds.com/connect/8493803454333002#/reservations/101976535113950?display=26GPNRXU91&amp;reservation_id=101976535113950", "26GPNRXU91")</f>
        <v>26GPNRXU91</v>
      </c>
      <c r="D4612" t="s">
        <v>45</v>
      </c>
      <c r="E4612" t="s">
        <v>128</v>
      </c>
      <c r="F4612" t="s">
        <v>86</v>
      </c>
      <c r="G4612" t="s">
        <v>48</v>
      </c>
      <c r="H4612" t="s">
        <v>3957</v>
      </c>
      <c r="I4612" t="s">
        <v>3975</v>
      </c>
      <c r="J4612" t="s">
        <v>6417</v>
      </c>
      <c r="K4612" t="s">
        <v>7486</v>
      </c>
      <c r="L4612" t="s">
        <v>53</v>
      </c>
      <c r="P4612" t="s">
        <v>55</v>
      </c>
      <c r="R4612" t="s">
        <v>53</v>
      </c>
      <c r="T4612" t="s">
        <v>8057</v>
      </c>
      <c r="U4612" t="s">
        <v>58</v>
      </c>
      <c r="V4612">
        <v>1</v>
      </c>
      <c r="W4612">
        <v>1</v>
      </c>
      <c r="X4612">
        <v>3</v>
      </c>
      <c r="Y4612">
        <v>0</v>
      </c>
      <c r="Z4612">
        <v>3</v>
      </c>
      <c r="AA4612">
        <v>176.17</v>
      </c>
      <c r="AB4612">
        <v>176.17</v>
      </c>
      <c r="AC4612">
        <v>155</v>
      </c>
      <c r="AD4612">
        <v>0</v>
      </c>
      <c r="AE4612">
        <v>21.17</v>
      </c>
      <c r="AF4612">
        <v>0</v>
      </c>
      <c r="AG4612">
        <v>0</v>
      </c>
      <c r="AH4612">
        <v>0</v>
      </c>
      <c r="AI4612">
        <v>0</v>
      </c>
      <c r="AJ4612">
        <v>176.17</v>
      </c>
      <c r="AK4612">
        <v>0</v>
      </c>
      <c r="AL4612" t="s">
        <v>53</v>
      </c>
      <c r="AM4612" t="s">
        <v>53</v>
      </c>
      <c r="AN4612" t="s">
        <v>53</v>
      </c>
      <c r="AO4612" t="s">
        <v>53</v>
      </c>
      <c r="AP4612" t="s">
        <v>53</v>
      </c>
    </row>
    <row r="4613" spans="2:42" x14ac:dyDescent="0.2">
      <c r="B4613" t="s">
        <v>44</v>
      </c>
      <c r="C4613" t="str">
        <f>HYPERLINK("https://us2.cloudbeds.com/connect/8493803454333002#/reservations/9080486845949518?display=26X1G8CBJ4&amp;reservation_id=9080486845949518", "26X1G8CBJ4")</f>
        <v>26X1G8CBJ4</v>
      </c>
      <c r="D4613" t="s">
        <v>45</v>
      </c>
      <c r="E4613" t="s">
        <v>155</v>
      </c>
      <c r="F4613" t="s">
        <v>86</v>
      </c>
      <c r="G4613" t="s">
        <v>48</v>
      </c>
      <c r="H4613" t="s">
        <v>49</v>
      </c>
      <c r="I4613" t="s">
        <v>62</v>
      </c>
      <c r="J4613" t="s">
        <v>4768</v>
      </c>
      <c r="K4613" t="s">
        <v>6586</v>
      </c>
      <c r="L4613" t="s">
        <v>53</v>
      </c>
      <c r="N4613" t="s">
        <v>8058</v>
      </c>
      <c r="P4613" t="s">
        <v>55</v>
      </c>
      <c r="R4613" t="s">
        <v>56</v>
      </c>
      <c r="T4613" t="s">
        <v>8059</v>
      </c>
      <c r="U4613" t="s">
        <v>55</v>
      </c>
      <c r="V4613">
        <v>1</v>
      </c>
      <c r="W4613">
        <v>1</v>
      </c>
      <c r="X4613">
        <v>2</v>
      </c>
      <c r="Y4613">
        <v>0</v>
      </c>
      <c r="Z4613">
        <v>2</v>
      </c>
      <c r="AA4613">
        <v>122.55</v>
      </c>
      <c r="AB4613">
        <v>122.55</v>
      </c>
      <c r="AC4613">
        <v>122.55</v>
      </c>
      <c r="AD4613">
        <v>0</v>
      </c>
      <c r="AE4613">
        <v>0</v>
      </c>
      <c r="AF4613">
        <v>0</v>
      </c>
      <c r="AG4613">
        <v>0</v>
      </c>
      <c r="AH4613">
        <v>0</v>
      </c>
      <c r="AI4613">
        <v>22.06</v>
      </c>
      <c r="AJ4613">
        <v>122.55</v>
      </c>
      <c r="AK4613">
        <v>0</v>
      </c>
      <c r="AL4613" t="s">
        <v>53</v>
      </c>
      <c r="AM4613" t="s">
        <v>53</v>
      </c>
      <c r="AN4613" t="s">
        <v>53</v>
      </c>
      <c r="AO4613" t="s">
        <v>53</v>
      </c>
      <c r="AP4613" t="s">
        <v>53</v>
      </c>
    </row>
    <row r="4614" spans="2:42" x14ac:dyDescent="0.2">
      <c r="B4614" t="s">
        <v>44</v>
      </c>
      <c r="C4614" t="str">
        <f>HYPERLINK("https://us2.cloudbeds.com/connect/8493803454333002#/reservations/9080486845949862?display=26XQX0BBJV&amp;reservation_id=9080486845949862", "26XQX0BBJV")</f>
        <v>26XQX0BBJV</v>
      </c>
      <c r="D4614" t="s">
        <v>45</v>
      </c>
      <c r="E4614" t="s">
        <v>406</v>
      </c>
      <c r="F4614" t="s">
        <v>61</v>
      </c>
      <c r="G4614" t="s">
        <v>48</v>
      </c>
      <c r="H4614" t="s">
        <v>49</v>
      </c>
      <c r="I4614" t="s">
        <v>62</v>
      </c>
      <c r="J4614" t="s">
        <v>8060</v>
      </c>
      <c r="K4614" t="s">
        <v>7967</v>
      </c>
      <c r="L4614" t="s">
        <v>53</v>
      </c>
      <c r="N4614" t="s">
        <v>8061</v>
      </c>
      <c r="P4614" t="s">
        <v>55</v>
      </c>
      <c r="R4614" t="s">
        <v>513</v>
      </c>
      <c r="T4614" t="s">
        <v>8062</v>
      </c>
      <c r="U4614" t="s">
        <v>55</v>
      </c>
      <c r="V4614">
        <v>1</v>
      </c>
      <c r="W4614">
        <v>1</v>
      </c>
      <c r="X4614">
        <v>2</v>
      </c>
      <c r="Y4614">
        <v>0</v>
      </c>
      <c r="Z4614">
        <v>2</v>
      </c>
      <c r="AA4614">
        <v>161</v>
      </c>
      <c r="AB4614">
        <v>161</v>
      </c>
      <c r="AC4614">
        <v>161</v>
      </c>
      <c r="AD4614">
        <v>0</v>
      </c>
      <c r="AE4614">
        <v>0</v>
      </c>
      <c r="AF4614">
        <v>0</v>
      </c>
      <c r="AG4614">
        <v>0</v>
      </c>
      <c r="AH4614">
        <v>0</v>
      </c>
      <c r="AI4614">
        <v>28.98</v>
      </c>
      <c r="AJ4614">
        <v>161</v>
      </c>
      <c r="AK4614">
        <v>0</v>
      </c>
      <c r="AL4614" t="s">
        <v>53</v>
      </c>
      <c r="AM4614" t="s">
        <v>53</v>
      </c>
      <c r="AN4614" t="s">
        <v>53</v>
      </c>
      <c r="AO4614" t="s">
        <v>53</v>
      </c>
      <c r="AP4614" t="s">
        <v>53</v>
      </c>
    </row>
    <row r="4615" spans="2:42" x14ac:dyDescent="0.2">
      <c r="B4615" t="s">
        <v>44</v>
      </c>
      <c r="C4615" t="str">
        <f>HYPERLINK("https://us2.cloudbeds.com/connect/8493803454333002#/reservations/102165473632452?display=26Y70YHNEK&amp;reservation_id=102165473632452", "26Y70YHNEK")</f>
        <v>26Y70YHNEK</v>
      </c>
      <c r="D4615" t="s">
        <v>45</v>
      </c>
      <c r="E4615" t="s">
        <v>98</v>
      </c>
      <c r="F4615" t="s">
        <v>86</v>
      </c>
      <c r="G4615" t="s">
        <v>48</v>
      </c>
      <c r="H4615" t="s">
        <v>3957</v>
      </c>
      <c r="I4615" t="s">
        <v>3975</v>
      </c>
      <c r="J4615" t="s">
        <v>7829</v>
      </c>
      <c r="K4615" t="s">
        <v>7905</v>
      </c>
      <c r="L4615" t="s">
        <v>53</v>
      </c>
      <c r="P4615" t="s">
        <v>55</v>
      </c>
      <c r="R4615" t="s">
        <v>53</v>
      </c>
      <c r="T4615" t="s">
        <v>8063</v>
      </c>
      <c r="U4615" t="s">
        <v>58</v>
      </c>
      <c r="V4615">
        <v>2</v>
      </c>
      <c r="W4615">
        <v>1</v>
      </c>
      <c r="X4615">
        <v>2</v>
      </c>
      <c r="Y4615">
        <v>0</v>
      </c>
      <c r="Z4615">
        <v>2</v>
      </c>
      <c r="AA4615">
        <v>448.93</v>
      </c>
      <c r="AB4615">
        <v>448.93</v>
      </c>
      <c r="AC4615">
        <v>395</v>
      </c>
      <c r="AD4615">
        <v>0</v>
      </c>
      <c r="AE4615">
        <v>53.93</v>
      </c>
      <c r="AF4615">
        <v>0</v>
      </c>
      <c r="AG4615">
        <v>0</v>
      </c>
      <c r="AH4615">
        <v>0</v>
      </c>
      <c r="AI4615">
        <v>0</v>
      </c>
      <c r="AJ4615">
        <v>448.93</v>
      </c>
      <c r="AK4615">
        <v>0</v>
      </c>
      <c r="AL4615" t="s">
        <v>53</v>
      </c>
      <c r="AM4615" t="s">
        <v>53</v>
      </c>
      <c r="AN4615" t="s">
        <v>53</v>
      </c>
      <c r="AO4615" t="s">
        <v>53</v>
      </c>
      <c r="AP4615" t="s">
        <v>53</v>
      </c>
    </row>
    <row r="4616" spans="2:42" x14ac:dyDescent="0.2">
      <c r="B4616" t="s">
        <v>44</v>
      </c>
      <c r="C4616" t="str">
        <f>HYPERLINK("https://us2.cloudbeds.com/connect/8493803454333002#/reservations/9080486845951851?display=26YZMENPVF&amp;reservation_id=9080486845951851", "26YZMENPVF")</f>
        <v>26YZMENPVF</v>
      </c>
      <c r="D4616" t="s">
        <v>45</v>
      </c>
      <c r="E4616" t="s">
        <v>165</v>
      </c>
      <c r="F4616" t="s">
        <v>61</v>
      </c>
      <c r="G4616" t="s">
        <v>48</v>
      </c>
      <c r="H4616" t="s">
        <v>49</v>
      </c>
      <c r="I4616" t="s">
        <v>62</v>
      </c>
      <c r="J4616" t="s">
        <v>5431</v>
      </c>
      <c r="K4616" t="s">
        <v>6335</v>
      </c>
      <c r="L4616" t="s">
        <v>53</v>
      </c>
      <c r="N4616" t="s">
        <v>8064</v>
      </c>
      <c r="P4616" t="s">
        <v>55</v>
      </c>
      <c r="R4616" t="s">
        <v>56</v>
      </c>
      <c r="T4616" t="s">
        <v>8065</v>
      </c>
      <c r="U4616" t="s">
        <v>55</v>
      </c>
      <c r="V4616">
        <v>1</v>
      </c>
      <c r="W4616">
        <v>1</v>
      </c>
      <c r="X4616">
        <v>2</v>
      </c>
      <c r="Y4616">
        <v>0</v>
      </c>
      <c r="Z4616">
        <v>2</v>
      </c>
      <c r="AA4616">
        <v>141.55000000000001</v>
      </c>
      <c r="AB4616">
        <v>141.55000000000001</v>
      </c>
      <c r="AC4616">
        <v>141.55000000000001</v>
      </c>
      <c r="AD4616">
        <v>0</v>
      </c>
      <c r="AE4616">
        <v>0</v>
      </c>
      <c r="AF4616">
        <v>0</v>
      </c>
      <c r="AG4616">
        <v>0</v>
      </c>
      <c r="AH4616">
        <v>0</v>
      </c>
      <c r="AI4616">
        <v>25.48</v>
      </c>
      <c r="AJ4616">
        <v>141.55000000000001</v>
      </c>
      <c r="AK4616">
        <v>0</v>
      </c>
      <c r="AL4616" t="s">
        <v>53</v>
      </c>
      <c r="AM4616" t="s">
        <v>53</v>
      </c>
      <c r="AN4616" t="s">
        <v>53</v>
      </c>
      <c r="AO4616" t="s">
        <v>53</v>
      </c>
      <c r="AP4616" t="s">
        <v>53</v>
      </c>
    </row>
    <row r="4617" spans="2:42" x14ac:dyDescent="0.2">
      <c r="B4617" t="s">
        <v>44</v>
      </c>
      <c r="C4617" t="str">
        <f>HYPERLINK("https://us2.cloudbeds.com/connect/8493803454333002#/reservations/102219810336916?display=26MG32MK4X&amp;reservation_id=102219810336916", "26MG32MK4X")</f>
        <v>26MG32MK4X</v>
      </c>
      <c r="D4617" t="s">
        <v>45</v>
      </c>
      <c r="E4617" t="s">
        <v>373</v>
      </c>
      <c r="F4617" t="s">
        <v>47</v>
      </c>
      <c r="G4617" t="s">
        <v>48</v>
      </c>
      <c r="H4617" t="s">
        <v>3957</v>
      </c>
      <c r="I4617" t="s">
        <v>3975</v>
      </c>
      <c r="J4617" t="s">
        <v>6819</v>
      </c>
      <c r="K4617" t="s">
        <v>4159</v>
      </c>
      <c r="L4617" t="s">
        <v>53</v>
      </c>
      <c r="P4617" t="s">
        <v>55</v>
      </c>
      <c r="R4617" t="s">
        <v>53</v>
      </c>
      <c r="T4617" t="s">
        <v>8066</v>
      </c>
      <c r="U4617" t="s">
        <v>58</v>
      </c>
      <c r="V4617">
        <v>1</v>
      </c>
      <c r="W4617">
        <v>1</v>
      </c>
      <c r="X4617">
        <v>1</v>
      </c>
      <c r="Y4617">
        <v>0</v>
      </c>
      <c r="Z4617">
        <v>1</v>
      </c>
      <c r="AA4617">
        <v>150.02000000000001</v>
      </c>
      <c r="AB4617">
        <v>150.02000000000001</v>
      </c>
      <c r="AC4617">
        <v>132</v>
      </c>
      <c r="AD4617">
        <v>0</v>
      </c>
      <c r="AE4617">
        <v>18.02</v>
      </c>
      <c r="AF4617">
        <v>0</v>
      </c>
      <c r="AG4617">
        <v>0</v>
      </c>
      <c r="AH4617">
        <v>0</v>
      </c>
      <c r="AI4617">
        <v>0</v>
      </c>
      <c r="AJ4617">
        <v>150.02000000000001</v>
      </c>
      <c r="AK4617">
        <v>0</v>
      </c>
      <c r="AL4617" t="s">
        <v>53</v>
      </c>
      <c r="AM4617" t="s">
        <v>53</v>
      </c>
      <c r="AN4617" t="s">
        <v>53</v>
      </c>
      <c r="AO4617" t="s">
        <v>53</v>
      </c>
      <c r="AP4617" t="s">
        <v>53</v>
      </c>
    </row>
    <row r="4618" spans="2:42" x14ac:dyDescent="0.2">
      <c r="B4618" t="s">
        <v>44</v>
      </c>
      <c r="C4618" t="str">
        <f>HYPERLINK("https://us2.cloudbeds.com/connect/8493803454333002#/reservations/9080486845952488?display=26MJ9FR3M2&amp;reservation_id=9080486845952488", "26MJ9FR3M2")</f>
        <v>26MJ9FR3M2</v>
      </c>
      <c r="D4618" t="s">
        <v>45</v>
      </c>
      <c r="E4618" t="s">
        <v>165</v>
      </c>
      <c r="F4618" t="s">
        <v>61</v>
      </c>
      <c r="G4618" t="s">
        <v>48</v>
      </c>
      <c r="H4618" t="s">
        <v>49</v>
      </c>
      <c r="I4618" t="s">
        <v>50</v>
      </c>
      <c r="J4618" t="s">
        <v>7802</v>
      </c>
      <c r="K4618" t="s">
        <v>7803</v>
      </c>
      <c r="L4618" t="s">
        <v>53</v>
      </c>
      <c r="N4618" t="s">
        <v>8067</v>
      </c>
      <c r="P4618" t="s">
        <v>55</v>
      </c>
      <c r="R4618" t="s">
        <v>53</v>
      </c>
      <c r="T4618" t="s">
        <v>8068</v>
      </c>
      <c r="U4618" t="s">
        <v>58</v>
      </c>
      <c r="V4618">
        <v>2</v>
      </c>
      <c r="W4618">
        <v>1</v>
      </c>
      <c r="X4618">
        <v>1</v>
      </c>
      <c r="Y4618">
        <v>0</v>
      </c>
      <c r="Z4618">
        <v>1</v>
      </c>
      <c r="AA4618">
        <v>328.43</v>
      </c>
      <c r="AB4618">
        <v>328.43</v>
      </c>
      <c r="AC4618">
        <v>288.98</v>
      </c>
      <c r="AD4618">
        <v>0</v>
      </c>
      <c r="AE4618">
        <v>39.450000000000003</v>
      </c>
      <c r="AF4618">
        <v>0</v>
      </c>
      <c r="AG4618">
        <v>0</v>
      </c>
      <c r="AH4618">
        <v>0</v>
      </c>
      <c r="AI4618">
        <v>59.12</v>
      </c>
      <c r="AJ4618">
        <v>328.43</v>
      </c>
      <c r="AK4618">
        <v>0</v>
      </c>
      <c r="AL4618" t="s">
        <v>53</v>
      </c>
      <c r="AM4618" t="s">
        <v>53</v>
      </c>
      <c r="AN4618" t="s">
        <v>53</v>
      </c>
      <c r="AO4618" t="s">
        <v>53</v>
      </c>
      <c r="AP4618" t="s">
        <v>53</v>
      </c>
    </row>
    <row r="4619" spans="2:42" x14ac:dyDescent="0.2">
      <c r="B4619" t="s">
        <v>44</v>
      </c>
      <c r="C4619" t="str">
        <f>HYPERLINK("https://us2.cloudbeds.com/connect/8493803454333002#/reservations/9080486845952490?display=26MJG9KPGW&amp;reservation_id=9080486845952490", "26MJG9KPGW")</f>
        <v>26MJG9KPGW</v>
      </c>
      <c r="D4619" t="s">
        <v>45</v>
      </c>
      <c r="E4619" t="s">
        <v>113</v>
      </c>
      <c r="F4619" t="s">
        <v>61</v>
      </c>
      <c r="G4619" t="s">
        <v>48</v>
      </c>
      <c r="H4619" t="s">
        <v>49</v>
      </c>
      <c r="I4619" t="s">
        <v>50</v>
      </c>
      <c r="J4619" t="s">
        <v>7802</v>
      </c>
      <c r="K4619" t="s">
        <v>7803</v>
      </c>
      <c r="L4619" t="s">
        <v>53</v>
      </c>
      <c r="N4619" t="s">
        <v>8069</v>
      </c>
      <c r="P4619" t="s">
        <v>55</v>
      </c>
      <c r="R4619" t="s">
        <v>53</v>
      </c>
      <c r="T4619" t="s">
        <v>8070</v>
      </c>
      <c r="U4619" t="s">
        <v>58</v>
      </c>
      <c r="V4619">
        <v>2</v>
      </c>
      <c r="W4619">
        <v>1</v>
      </c>
      <c r="X4619">
        <v>1</v>
      </c>
      <c r="Y4619">
        <v>0</v>
      </c>
      <c r="Z4619">
        <v>1</v>
      </c>
      <c r="AA4619">
        <v>328.43</v>
      </c>
      <c r="AB4619">
        <v>331.14</v>
      </c>
      <c r="AC4619">
        <v>288.98</v>
      </c>
      <c r="AD4619">
        <v>2.5</v>
      </c>
      <c r="AE4619">
        <v>39.659999999999997</v>
      </c>
      <c r="AF4619">
        <v>0</v>
      </c>
      <c r="AG4619">
        <v>0</v>
      </c>
      <c r="AH4619">
        <v>0</v>
      </c>
      <c r="AI4619">
        <v>59.61</v>
      </c>
      <c r="AJ4619">
        <v>331.14</v>
      </c>
      <c r="AK4619">
        <v>0</v>
      </c>
      <c r="AL4619" t="s">
        <v>53</v>
      </c>
      <c r="AM4619" t="s">
        <v>53</v>
      </c>
      <c r="AN4619" t="s">
        <v>53</v>
      </c>
      <c r="AO4619" t="s">
        <v>53</v>
      </c>
      <c r="AP4619" t="s">
        <v>53</v>
      </c>
    </row>
    <row r="4620" spans="2:42" x14ac:dyDescent="0.2">
      <c r="B4620" t="s">
        <v>44</v>
      </c>
      <c r="C4620" t="str">
        <f>HYPERLINK("https://us2.cloudbeds.com/connect/8493803454333002#/reservations/102264546234506?display=26NHZ65TTS&amp;reservation_id=102264546234506", "26NHZ65TTS")</f>
        <v>26NHZ65TTS</v>
      </c>
      <c r="D4620" t="s">
        <v>45</v>
      </c>
      <c r="E4620" t="s">
        <v>128</v>
      </c>
      <c r="F4620" t="s">
        <v>86</v>
      </c>
      <c r="G4620" t="s">
        <v>48</v>
      </c>
      <c r="H4620" t="s">
        <v>3957</v>
      </c>
      <c r="I4620" t="s">
        <v>3975</v>
      </c>
      <c r="J4620" t="s">
        <v>8071</v>
      </c>
      <c r="K4620" t="s">
        <v>4008</v>
      </c>
      <c r="L4620" t="s">
        <v>53</v>
      </c>
      <c r="P4620" t="s">
        <v>55</v>
      </c>
      <c r="R4620" t="s">
        <v>53</v>
      </c>
      <c r="T4620" t="s">
        <v>8072</v>
      </c>
      <c r="U4620" t="s">
        <v>58</v>
      </c>
      <c r="V4620">
        <v>1</v>
      </c>
      <c r="W4620">
        <v>1</v>
      </c>
      <c r="X4620">
        <v>2</v>
      </c>
      <c r="Y4620">
        <v>0</v>
      </c>
      <c r="Z4620">
        <v>2</v>
      </c>
      <c r="AA4620">
        <v>195.48</v>
      </c>
      <c r="AB4620">
        <v>195.48</v>
      </c>
      <c r="AC4620">
        <v>172</v>
      </c>
      <c r="AD4620">
        <v>0</v>
      </c>
      <c r="AE4620">
        <v>23.48</v>
      </c>
      <c r="AF4620">
        <v>0</v>
      </c>
      <c r="AG4620">
        <v>0</v>
      </c>
      <c r="AH4620">
        <v>0</v>
      </c>
      <c r="AI4620">
        <v>0</v>
      </c>
      <c r="AJ4620">
        <v>195.48</v>
      </c>
      <c r="AK4620">
        <v>0</v>
      </c>
      <c r="AL4620" t="s">
        <v>53</v>
      </c>
      <c r="AM4620" t="s">
        <v>53</v>
      </c>
      <c r="AN4620" t="s">
        <v>53</v>
      </c>
      <c r="AO4620" t="s">
        <v>53</v>
      </c>
      <c r="AP4620" t="s">
        <v>53</v>
      </c>
    </row>
    <row r="4621" spans="2:42" x14ac:dyDescent="0.2">
      <c r="B4621" t="s">
        <v>44</v>
      </c>
      <c r="C4621" t="str">
        <f>HYPERLINK("https://us2.cloudbeds.com/connect/8493803454333002#/reservations/102269742670035?display=26NYZVVCN5&amp;reservation_id=102269742670035", "26NYZVVCN5")</f>
        <v>26NYZVVCN5</v>
      </c>
      <c r="D4621" t="s">
        <v>45</v>
      </c>
      <c r="E4621" t="s">
        <v>305</v>
      </c>
      <c r="F4621" t="s">
        <v>61</v>
      </c>
      <c r="G4621" t="s">
        <v>48</v>
      </c>
      <c r="H4621" t="s">
        <v>3957</v>
      </c>
      <c r="I4621" t="s">
        <v>3975</v>
      </c>
      <c r="J4621" t="s">
        <v>6818</v>
      </c>
      <c r="K4621" t="s">
        <v>4159</v>
      </c>
      <c r="L4621" t="s">
        <v>53</v>
      </c>
      <c r="P4621" t="s">
        <v>55</v>
      </c>
      <c r="R4621" t="s">
        <v>53</v>
      </c>
      <c r="T4621" t="s">
        <v>8073</v>
      </c>
      <c r="U4621" t="s">
        <v>58</v>
      </c>
      <c r="V4621">
        <v>2</v>
      </c>
      <c r="W4621">
        <v>1</v>
      </c>
      <c r="X4621">
        <v>2</v>
      </c>
      <c r="Y4621">
        <v>0</v>
      </c>
      <c r="Z4621">
        <v>2</v>
      </c>
      <c r="AA4621">
        <v>323.89999999999998</v>
      </c>
      <c r="AB4621">
        <v>323.89999999999998</v>
      </c>
      <c r="AC4621">
        <v>285</v>
      </c>
      <c r="AD4621">
        <v>0</v>
      </c>
      <c r="AE4621">
        <v>38.9</v>
      </c>
      <c r="AF4621">
        <v>0</v>
      </c>
      <c r="AG4621">
        <v>0</v>
      </c>
      <c r="AH4621">
        <v>0</v>
      </c>
      <c r="AI4621">
        <v>0</v>
      </c>
      <c r="AJ4621">
        <v>323.89999999999998</v>
      </c>
      <c r="AK4621">
        <v>0</v>
      </c>
      <c r="AL4621" t="s">
        <v>53</v>
      </c>
      <c r="AM4621" t="s">
        <v>53</v>
      </c>
      <c r="AN4621" t="s">
        <v>53</v>
      </c>
      <c r="AO4621" t="s">
        <v>53</v>
      </c>
      <c r="AP4621" t="s">
        <v>53</v>
      </c>
    </row>
    <row r="4622" spans="2:42" x14ac:dyDescent="0.2">
      <c r="B4622" t="s">
        <v>44</v>
      </c>
      <c r="C4622" t="str">
        <f>HYPERLINK("https://us2.cloudbeds.com/connect/8493803454333002#/reservations/9080486845953310?display=26NSFWACYD&amp;reservation_id=9080486845953310", "26NSFWACYD")</f>
        <v>26NSFWACYD</v>
      </c>
      <c r="D4622" t="s">
        <v>45</v>
      </c>
      <c r="E4622" t="s">
        <v>69</v>
      </c>
      <c r="F4622" t="s">
        <v>70</v>
      </c>
      <c r="G4622" t="s">
        <v>48</v>
      </c>
      <c r="H4622" t="s">
        <v>49</v>
      </c>
      <c r="I4622" t="s">
        <v>50</v>
      </c>
      <c r="J4622" t="s">
        <v>5963</v>
      </c>
      <c r="K4622" t="s">
        <v>5623</v>
      </c>
      <c r="L4622" t="s">
        <v>53</v>
      </c>
      <c r="N4622" t="s">
        <v>8074</v>
      </c>
      <c r="P4622" t="s">
        <v>55</v>
      </c>
      <c r="R4622" t="s">
        <v>53</v>
      </c>
      <c r="T4622" t="s">
        <v>8075</v>
      </c>
      <c r="U4622" t="s">
        <v>58</v>
      </c>
      <c r="V4622">
        <v>2</v>
      </c>
      <c r="W4622">
        <v>1</v>
      </c>
      <c r="X4622">
        <v>2</v>
      </c>
      <c r="Y4622">
        <v>0</v>
      </c>
      <c r="Z4622">
        <v>2</v>
      </c>
      <c r="AA4622">
        <v>329.41</v>
      </c>
      <c r="AB4622">
        <v>329.41</v>
      </c>
      <c r="AC4622">
        <v>289.83999999999997</v>
      </c>
      <c r="AD4622">
        <v>0</v>
      </c>
      <c r="AE4622">
        <v>39.57</v>
      </c>
      <c r="AF4622">
        <v>0</v>
      </c>
      <c r="AG4622">
        <v>0</v>
      </c>
      <c r="AH4622">
        <v>0</v>
      </c>
      <c r="AI4622">
        <v>59.29</v>
      </c>
      <c r="AJ4622">
        <v>329.41</v>
      </c>
      <c r="AK4622">
        <v>0</v>
      </c>
      <c r="AL4622" t="s">
        <v>53</v>
      </c>
      <c r="AM4622" t="s">
        <v>53</v>
      </c>
      <c r="AN4622" t="s">
        <v>53</v>
      </c>
      <c r="AO4622" t="s">
        <v>53</v>
      </c>
      <c r="AP4622" t="s">
        <v>53</v>
      </c>
    </row>
    <row r="4623" spans="2:42" x14ac:dyDescent="0.2">
      <c r="B4623" t="s">
        <v>44</v>
      </c>
      <c r="C4623" t="str">
        <f>HYPERLINK("https://us2.cloudbeds.com/connect/8493803454333002#/reservations/9080486845953344?display=26NTHPMXX3&amp;reservation_id=9080486845953344", "26NTHPMXX3")</f>
        <v>26NTHPMXX3</v>
      </c>
      <c r="D4623" t="s">
        <v>45</v>
      </c>
      <c r="E4623" t="s">
        <v>128</v>
      </c>
      <c r="F4623" t="s">
        <v>86</v>
      </c>
      <c r="G4623" t="s">
        <v>48</v>
      </c>
      <c r="H4623" t="s">
        <v>49</v>
      </c>
      <c r="I4623" t="s">
        <v>50</v>
      </c>
      <c r="J4623" t="s">
        <v>7486</v>
      </c>
      <c r="K4623" t="s">
        <v>7394</v>
      </c>
      <c r="L4623" t="s">
        <v>53</v>
      </c>
      <c r="N4623" t="s">
        <v>8076</v>
      </c>
      <c r="P4623" t="s">
        <v>55</v>
      </c>
      <c r="R4623" t="s">
        <v>53</v>
      </c>
      <c r="T4623" t="s">
        <v>8077</v>
      </c>
      <c r="U4623" t="s">
        <v>58</v>
      </c>
      <c r="V4623">
        <v>1</v>
      </c>
      <c r="W4623">
        <v>1</v>
      </c>
      <c r="X4623">
        <v>4</v>
      </c>
      <c r="Y4623">
        <v>0</v>
      </c>
      <c r="Z4623">
        <v>4</v>
      </c>
      <c r="AA4623">
        <v>159.11000000000001</v>
      </c>
      <c r="AB4623">
        <v>159.11000000000001</v>
      </c>
      <c r="AC4623">
        <v>140</v>
      </c>
      <c r="AD4623">
        <v>0</v>
      </c>
      <c r="AE4623">
        <v>19.11</v>
      </c>
      <c r="AF4623">
        <v>0</v>
      </c>
      <c r="AG4623">
        <v>0</v>
      </c>
      <c r="AH4623">
        <v>0</v>
      </c>
      <c r="AI4623">
        <v>28.64</v>
      </c>
      <c r="AJ4623">
        <v>159.11000000000001</v>
      </c>
      <c r="AK4623">
        <v>0</v>
      </c>
      <c r="AL4623" t="s">
        <v>53</v>
      </c>
      <c r="AM4623" t="s">
        <v>53</v>
      </c>
      <c r="AN4623" t="s">
        <v>53</v>
      </c>
      <c r="AO4623" t="s">
        <v>53</v>
      </c>
      <c r="AP4623" t="s">
        <v>53</v>
      </c>
    </row>
    <row r="4624" spans="2:42" x14ac:dyDescent="0.2">
      <c r="B4624" t="s">
        <v>44</v>
      </c>
      <c r="C4624" t="str">
        <f>HYPERLINK("https://us2.cloudbeds.com/connect/8493803454333002#/reservations/9080486845953395?display=26Z0816WZP&amp;reservation_id=9080486845953395", "26Z0816WZP")</f>
        <v>26Z0816WZP</v>
      </c>
      <c r="D4624" t="s">
        <v>45</v>
      </c>
      <c r="E4624" t="s">
        <v>487</v>
      </c>
      <c r="F4624" t="s">
        <v>61</v>
      </c>
      <c r="G4624" t="s">
        <v>48</v>
      </c>
      <c r="H4624" t="s">
        <v>49</v>
      </c>
      <c r="I4624" t="s">
        <v>50</v>
      </c>
      <c r="J4624" t="s">
        <v>6818</v>
      </c>
      <c r="K4624" t="s">
        <v>6819</v>
      </c>
      <c r="L4624" t="s">
        <v>53</v>
      </c>
      <c r="N4624" t="s">
        <v>8078</v>
      </c>
      <c r="P4624" t="s">
        <v>55</v>
      </c>
      <c r="R4624" t="s">
        <v>53</v>
      </c>
      <c r="T4624" t="s">
        <v>8079</v>
      </c>
      <c r="U4624" t="s">
        <v>58</v>
      </c>
      <c r="V4624">
        <v>1</v>
      </c>
      <c r="W4624">
        <v>1</v>
      </c>
      <c r="X4624">
        <v>2</v>
      </c>
      <c r="Y4624">
        <v>0</v>
      </c>
      <c r="Z4624">
        <v>2</v>
      </c>
      <c r="AA4624">
        <v>139.11000000000001</v>
      </c>
      <c r="AB4624">
        <v>139.11000000000001</v>
      </c>
      <c r="AC4624">
        <v>122.4</v>
      </c>
      <c r="AD4624">
        <v>0</v>
      </c>
      <c r="AE4624">
        <v>16.71</v>
      </c>
      <c r="AF4624">
        <v>0</v>
      </c>
      <c r="AG4624">
        <v>0</v>
      </c>
      <c r="AH4624">
        <v>0</v>
      </c>
      <c r="AI4624">
        <v>25.04</v>
      </c>
      <c r="AJ4624">
        <v>139.11000000000001</v>
      </c>
      <c r="AK4624">
        <v>0</v>
      </c>
      <c r="AL4624" t="s">
        <v>53</v>
      </c>
      <c r="AM4624" t="s">
        <v>53</v>
      </c>
      <c r="AN4624" t="s">
        <v>53</v>
      </c>
      <c r="AO4624" t="s">
        <v>53</v>
      </c>
      <c r="AP4624" t="s">
        <v>53</v>
      </c>
    </row>
    <row r="4625" spans="2:42" x14ac:dyDescent="0.2">
      <c r="B4625" t="s">
        <v>44</v>
      </c>
      <c r="C4625" t="str">
        <f>HYPERLINK("https://us2.cloudbeds.com/connect/8493803454333002#/reservations/9080486845954276?display=26PH7D38QQ&amp;reservation_id=9080486845954276", "26PH7D38QQ")</f>
        <v>26PH7D38QQ</v>
      </c>
      <c r="D4625" t="s">
        <v>45</v>
      </c>
      <c r="E4625" t="s">
        <v>179</v>
      </c>
      <c r="F4625" t="s">
        <v>47</v>
      </c>
      <c r="G4625" t="s">
        <v>48</v>
      </c>
      <c r="H4625" t="s">
        <v>49</v>
      </c>
      <c r="I4625" t="s">
        <v>62</v>
      </c>
      <c r="J4625" t="s">
        <v>6819</v>
      </c>
      <c r="K4625" t="s">
        <v>4159</v>
      </c>
      <c r="L4625" t="s">
        <v>53</v>
      </c>
      <c r="N4625" t="s">
        <v>8080</v>
      </c>
      <c r="P4625" t="s">
        <v>55</v>
      </c>
      <c r="R4625" t="s">
        <v>56</v>
      </c>
      <c r="T4625" t="s">
        <v>8081</v>
      </c>
      <c r="U4625" t="s">
        <v>55</v>
      </c>
      <c r="V4625">
        <v>1</v>
      </c>
      <c r="W4625">
        <v>1</v>
      </c>
      <c r="X4625">
        <v>1</v>
      </c>
      <c r="Y4625">
        <v>0</v>
      </c>
      <c r="Z4625">
        <v>1</v>
      </c>
      <c r="AA4625">
        <v>132</v>
      </c>
      <c r="AB4625">
        <v>132</v>
      </c>
      <c r="AC4625">
        <v>132</v>
      </c>
      <c r="AD4625">
        <v>0</v>
      </c>
      <c r="AE4625">
        <v>0</v>
      </c>
      <c r="AF4625">
        <v>0</v>
      </c>
      <c r="AG4625">
        <v>0</v>
      </c>
      <c r="AH4625">
        <v>0</v>
      </c>
      <c r="AI4625">
        <v>23.76</v>
      </c>
      <c r="AJ4625">
        <v>132</v>
      </c>
      <c r="AK4625">
        <v>0</v>
      </c>
      <c r="AL4625" t="s">
        <v>53</v>
      </c>
      <c r="AM4625" t="s">
        <v>53</v>
      </c>
      <c r="AN4625" t="s">
        <v>53</v>
      </c>
      <c r="AO4625" t="s">
        <v>53</v>
      </c>
      <c r="AP4625" t="s">
        <v>53</v>
      </c>
    </row>
    <row r="4626" spans="2:42" x14ac:dyDescent="0.2">
      <c r="B4626" t="s">
        <v>44</v>
      </c>
      <c r="C4626" t="str">
        <f>HYPERLINK("https://us2.cloudbeds.com/connect/8493803454333002#/reservations/9080486845954360?display=26PM6NR3RQ&amp;reservation_id=9080486845954360", "26PM6NR3RQ")</f>
        <v>26PM6NR3RQ</v>
      </c>
      <c r="D4626" t="s">
        <v>45</v>
      </c>
      <c r="E4626" t="s">
        <v>85</v>
      </c>
      <c r="F4626" t="s">
        <v>86</v>
      </c>
      <c r="G4626" t="s">
        <v>48</v>
      </c>
      <c r="H4626" t="s">
        <v>49</v>
      </c>
      <c r="I4626" t="s">
        <v>50</v>
      </c>
      <c r="J4626" t="s">
        <v>6922</v>
      </c>
      <c r="K4626" t="s">
        <v>4442</v>
      </c>
      <c r="L4626" t="s">
        <v>53</v>
      </c>
      <c r="N4626" t="s">
        <v>8082</v>
      </c>
      <c r="P4626" t="s">
        <v>55</v>
      </c>
      <c r="R4626" t="s">
        <v>53</v>
      </c>
      <c r="T4626" t="s">
        <v>8083</v>
      </c>
      <c r="U4626" t="s">
        <v>58</v>
      </c>
      <c r="V4626">
        <v>1</v>
      </c>
      <c r="W4626">
        <v>1</v>
      </c>
      <c r="X4626">
        <v>2</v>
      </c>
      <c r="Y4626">
        <v>0</v>
      </c>
      <c r="Z4626">
        <v>2</v>
      </c>
      <c r="AA4626">
        <v>157.52000000000001</v>
      </c>
      <c r="AB4626">
        <v>157.52000000000001</v>
      </c>
      <c r="AC4626">
        <v>138.6</v>
      </c>
      <c r="AD4626">
        <v>0</v>
      </c>
      <c r="AE4626">
        <v>18.920000000000002</v>
      </c>
      <c r="AF4626">
        <v>0</v>
      </c>
      <c r="AG4626">
        <v>0</v>
      </c>
      <c r="AH4626">
        <v>0</v>
      </c>
      <c r="AI4626">
        <v>28.35</v>
      </c>
      <c r="AJ4626">
        <v>157.52000000000001</v>
      </c>
      <c r="AK4626">
        <v>0</v>
      </c>
      <c r="AL4626" t="s">
        <v>53</v>
      </c>
      <c r="AM4626" t="s">
        <v>53</v>
      </c>
      <c r="AN4626" t="s">
        <v>53</v>
      </c>
      <c r="AO4626" t="s">
        <v>53</v>
      </c>
      <c r="AP4626" t="s">
        <v>53</v>
      </c>
    </row>
    <row r="4627" spans="2:42" x14ac:dyDescent="0.2">
      <c r="B4627" t="s">
        <v>44</v>
      </c>
      <c r="C4627" t="str">
        <f>HYPERLINK("https://us2.cloudbeds.com/connect/8493803454333002#/reservations/9080486845956684?display=26TMPNGBFW&amp;reservation_id=9080486845956684", "26TMPNGBFW")</f>
        <v>26TMPNGBFW</v>
      </c>
      <c r="D4627" t="s">
        <v>45</v>
      </c>
      <c r="E4627" t="s">
        <v>69</v>
      </c>
      <c r="F4627" t="s">
        <v>70</v>
      </c>
      <c r="G4627" t="s">
        <v>48</v>
      </c>
      <c r="H4627" t="s">
        <v>49</v>
      </c>
      <c r="I4627" t="s">
        <v>50</v>
      </c>
      <c r="J4627" t="s">
        <v>4443</v>
      </c>
      <c r="K4627" t="s">
        <v>6488</v>
      </c>
      <c r="L4627" t="s">
        <v>53</v>
      </c>
      <c r="N4627" t="s">
        <v>8084</v>
      </c>
      <c r="P4627" t="s">
        <v>55</v>
      </c>
      <c r="R4627" t="s">
        <v>53</v>
      </c>
      <c r="T4627" t="s">
        <v>8085</v>
      </c>
      <c r="U4627" t="s">
        <v>58</v>
      </c>
      <c r="V4627">
        <v>1</v>
      </c>
      <c r="W4627">
        <v>1</v>
      </c>
      <c r="X4627">
        <v>1</v>
      </c>
      <c r="Y4627">
        <v>0</v>
      </c>
      <c r="Z4627">
        <v>1</v>
      </c>
      <c r="AA4627">
        <v>173.93</v>
      </c>
      <c r="AB4627">
        <v>173.93</v>
      </c>
      <c r="AC4627">
        <v>153.04</v>
      </c>
      <c r="AD4627">
        <v>0</v>
      </c>
      <c r="AE4627">
        <v>20.89</v>
      </c>
      <c r="AF4627">
        <v>0</v>
      </c>
      <c r="AG4627">
        <v>0</v>
      </c>
      <c r="AH4627">
        <v>0</v>
      </c>
      <c r="AI4627">
        <v>31.31</v>
      </c>
      <c r="AJ4627">
        <v>173.93</v>
      </c>
      <c r="AK4627">
        <v>0</v>
      </c>
      <c r="AL4627" t="s">
        <v>53</v>
      </c>
      <c r="AM4627" t="s">
        <v>53</v>
      </c>
      <c r="AN4627" t="s">
        <v>53</v>
      </c>
      <c r="AO4627" t="s">
        <v>53</v>
      </c>
      <c r="AP4627" t="s">
        <v>53</v>
      </c>
    </row>
    <row r="4628" spans="2:42" x14ac:dyDescent="0.2">
      <c r="B4628" t="s">
        <v>44</v>
      </c>
      <c r="C4628" t="str">
        <f>HYPERLINK("https://us2.cloudbeds.com/connect/8493803454333002#/reservations/9080486845957001?display=26U2XUMQN3&amp;reservation_id=9080486845957001", "26U2XUMQN3")</f>
        <v>26U2XUMQN3</v>
      </c>
      <c r="D4628" t="s">
        <v>45</v>
      </c>
      <c r="E4628" t="s">
        <v>223</v>
      </c>
      <c r="F4628" t="s">
        <v>47</v>
      </c>
      <c r="G4628" t="s">
        <v>48</v>
      </c>
      <c r="H4628" t="s">
        <v>49</v>
      </c>
      <c r="I4628" t="s">
        <v>50</v>
      </c>
      <c r="J4628" t="s">
        <v>6885</v>
      </c>
      <c r="K4628" t="s">
        <v>6999</v>
      </c>
      <c r="L4628" t="s">
        <v>53</v>
      </c>
      <c r="N4628" t="s">
        <v>8086</v>
      </c>
      <c r="P4628" t="s">
        <v>55</v>
      </c>
      <c r="R4628" t="s">
        <v>53</v>
      </c>
      <c r="T4628" t="s">
        <v>8087</v>
      </c>
      <c r="U4628" t="s">
        <v>58</v>
      </c>
      <c r="V4628">
        <v>1</v>
      </c>
      <c r="W4628">
        <v>1</v>
      </c>
      <c r="X4628">
        <v>2</v>
      </c>
      <c r="Y4628">
        <v>0</v>
      </c>
      <c r="Z4628">
        <v>2</v>
      </c>
      <c r="AA4628">
        <v>104.33</v>
      </c>
      <c r="AB4628">
        <v>208.66</v>
      </c>
      <c r="AC4628">
        <v>76.8</v>
      </c>
      <c r="AD4628">
        <v>0</v>
      </c>
      <c r="AE4628">
        <v>12.53</v>
      </c>
      <c r="AF4628">
        <v>0</v>
      </c>
      <c r="AG4628">
        <v>0</v>
      </c>
      <c r="AH4628">
        <v>0</v>
      </c>
      <c r="AI4628">
        <v>16.079999999999998</v>
      </c>
      <c r="AJ4628">
        <v>89.33</v>
      </c>
      <c r="AK4628">
        <v>0</v>
      </c>
      <c r="AL4628" t="s">
        <v>53</v>
      </c>
      <c r="AM4628" t="s">
        <v>53</v>
      </c>
      <c r="AN4628" t="s">
        <v>8088</v>
      </c>
      <c r="AO4628" t="s">
        <v>53</v>
      </c>
      <c r="AP4628" t="s">
        <v>53</v>
      </c>
    </row>
    <row r="4629" spans="2:42" x14ac:dyDescent="0.2">
      <c r="B4629" t="s">
        <v>44</v>
      </c>
      <c r="C4629" t="str">
        <f>HYPERLINK("https://us2.cloudbeds.com/connect/8493803454333002#/reservations/9080486845957731?display=26V252Y5GN&amp;reservation_id=9080486845957731", "26V252Y5GN")</f>
        <v>26V252Y5GN</v>
      </c>
      <c r="D4629" t="s">
        <v>45</v>
      </c>
      <c r="E4629" t="s">
        <v>406</v>
      </c>
      <c r="F4629" t="s">
        <v>61</v>
      </c>
      <c r="G4629" t="s">
        <v>48</v>
      </c>
      <c r="H4629" t="s">
        <v>49</v>
      </c>
      <c r="I4629" t="s">
        <v>50</v>
      </c>
      <c r="J4629" t="s">
        <v>5431</v>
      </c>
      <c r="K4629" t="s">
        <v>6921</v>
      </c>
      <c r="L4629" t="s">
        <v>53</v>
      </c>
      <c r="N4629" t="s">
        <v>8089</v>
      </c>
      <c r="P4629" t="s">
        <v>58</v>
      </c>
      <c r="R4629" t="s">
        <v>53</v>
      </c>
      <c r="T4629" t="s">
        <v>8090</v>
      </c>
      <c r="U4629" t="s">
        <v>58</v>
      </c>
      <c r="V4629">
        <v>2</v>
      </c>
      <c r="W4629">
        <v>1</v>
      </c>
      <c r="X4629">
        <v>2</v>
      </c>
      <c r="Y4629">
        <v>0</v>
      </c>
      <c r="Z4629">
        <v>2</v>
      </c>
      <c r="AA4629">
        <v>299.69</v>
      </c>
      <c r="AB4629">
        <v>299.69</v>
      </c>
      <c r="AC4629">
        <v>263.7</v>
      </c>
      <c r="AD4629">
        <v>0</v>
      </c>
      <c r="AE4629">
        <v>35.99</v>
      </c>
      <c r="AF4629">
        <v>0</v>
      </c>
      <c r="AG4629">
        <v>0</v>
      </c>
      <c r="AH4629">
        <v>0</v>
      </c>
      <c r="AI4629">
        <v>53.94</v>
      </c>
      <c r="AJ4629">
        <v>299.69</v>
      </c>
      <c r="AK4629">
        <v>0</v>
      </c>
      <c r="AL4629" t="s">
        <v>53</v>
      </c>
      <c r="AM4629" t="s">
        <v>53</v>
      </c>
      <c r="AN4629" t="s">
        <v>53</v>
      </c>
      <c r="AO4629" t="s">
        <v>53</v>
      </c>
      <c r="AP4629" t="s">
        <v>53</v>
      </c>
    </row>
    <row r="4630" spans="2:42" x14ac:dyDescent="0.2">
      <c r="B4630" t="s">
        <v>44</v>
      </c>
      <c r="C4630" t="str">
        <f>HYPERLINK("https://us2.cloudbeds.com/connect/8493803454333002#/reservations/9080486845957790?display=26V5UF68YE&amp;reservation_id=9080486845957790", "26V5UF68YE")</f>
        <v>26V5UF68YE</v>
      </c>
      <c r="D4630" t="s">
        <v>45</v>
      </c>
      <c r="E4630" t="s">
        <v>223</v>
      </c>
      <c r="F4630" t="s">
        <v>47</v>
      </c>
      <c r="G4630" t="s">
        <v>48</v>
      </c>
      <c r="H4630" t="s">
        <v>49</v>
      </c>
      <c r="I4630" t="s">
        <v>62</v>
      </c>
      <c r="J4630" t="s">
        <v>4443</v>
      </c>
      <c r="K4630" t="s">
        <v>6274</v>
      </c>
      <c r="L4630" t="s">
        <v>53</v>
      </c>
      <c r="N4630" t="s">
        <v>8091</v>
      </c>
      <c r="P4630" t="s">
        <v>55</v>
      </c>
      <c r="R4630" t="s">
        <v>56</v>
      </c>
      <c r="T4630" t="s">
        <v>8092</v>
      </c>
      <c r="U4630" t="s">
        <v>55</v>
      </c>
      <c r="V4630">
        <v>2</v>
      </c>
      <c r="W4630">
        <v>1</v>
      </c>
      <c r="X4630">
        <v>2</v>
      </c>
      <c r="Y4630">
        <v>0</v>
      </c>
      <c r="Z4630">
        <v>2</v>
      </c>
      <c r="AA4630">
        <v>352</v>
      </c>
      <c r="AB4630">
        <v>352</v>
      </c>
      <c r="AC4630">
        <v>352</v>
      </c>
      <c r="AD4630">
        <v>0</v>
      </c>
      <c r="AE4630">
        <v>0</v>
      </c>
      <c r="AF4630">
        <v>0</v>
      </c>
      <c r="AG4630">
        <v>0</v>
      </c>
      <c r="AH4630">
        <v>0</v>
      </c>
      <c r="AI4630">
        <v>63.36</v>
      </c>
      <c r="AJ4630">
        <v>352</v>
      </c>
      <c r="AK4630">
        <v>0</v>
      </c>
      <c r="AL4630" t="s">
        <v>53</v>
      </c>
      <c r="AM4630" t="s">
        <v>53</v>
      </c>
      <c r="AN4630" t="s">
        <v>53</v>
      </c>
      <c r="AO4630" t="s">
        <v>53</v>
      </c>
      <c r="AP4630" t="s">
        <v>53</v>
      </c>
    </row>
    <row r="4631" spans="2:42" x14ac:dyDescent="0.2">
      <c r="B4631" t="s">
        <v>44</v>
      </c>
      <c r="C4631" t="str">
        <f>HYPERLINK("https://us2.cloudbeds.com/connect/8493803454333002#/reservations/102603788763289?display=26VGDKFBHY&amp;reservation_id=102603788763289", "26VGDKFBHY")</f>
        <v>26VGDKFBHY</v>
      </c>
      <c r="D4631" t="s">
        <v>45</v>
      </c>
      <c r="E4631" t="s">
        <v>110</v>
      </c>
      <c r="F4631" t="s">
        <v>47</v>
      </c>
      <c r="G4631" t="s">
        <v>48</v>
      </c>
      <c r="H4631" t="s">
        <v>3957</v>
      </c>
      <c r="I4631" t="s">
        <v>3975</v>
      </c>
      <c r="J4631" t="s">
        <v>5963</v>
      </c>
      <c r="K4631" t="s">
        <v>5622</v>
      </c>
      <c r="L4631" t="s">
        <v>53</v>
      </c>
      <c r="P4631" t="s">
        <v>55</v>
      </c>
      <c r="R4631" t="s">
        <v>53</v>
      </c>
      <c r="T4631" t="s">
        <v>8093</v>
      </c>
      <c r="U4631" t="s">
        <v>58</v>
      </c>
      <c r="V4631">
        <v>1</v>
      </c>
      <c r="W4631">
        <v>1</v>
      </c>
      <c r="X4631">
        <v>1</v>
      </c>
      <c r="Y4631">
        <v>0</v>
      </c>
      <c r="Z4631">
        <v>1</v>
      </c>
      <c r="AA4631">
        <v>123.88</v>
      </c>
      <c r="AB4631">
        <v>123.88</v>
      </c>
      <c r="AC4631">
        <v>109</v>
      </c>
      <c r="AD4631">
        <v>0</v>
      </c>
      <c r="AE4631">
        <v>14.88</v>
      </c>
      <c r="AF4631">
        <v>0</v>
      </c>
      <c r="AG4631">
        <v>0</v>
      </c>
      <c r="AH4631">
        <v>0</v>
      </c>
      <c r="AI4631">
        <v>0</v>
      </c>
      <c r="AJ4631">
        <v>123.88</v>
      </c>
      <c r="AK4631">
        <v>0</v>
      </c>
      <c r="AL4631" t="s">
        <v>53</v>
      </c>
      <c r="AM4631" t="s">
        <v>53</v>
      </c>
      <c r="AN4631" t="s">
        <v>53</v>
      </c>
      <c r="AO4631" t="s">
        <v>53</v>
      </c>
      <c r="AP4631" t="s">
        <v>53</v>
      </c>
    </row>
    <row r="4632" spans="2:42" x14ac:dyDescent="0.2">
      <c r="B4632" t="s">
        <v>44</v>
      </c>
      <c r="C4632" t="str">
        <f>HYPERLINK("https://us2.cloudbeds.com/connect/8493803454333002#/reservations/9080486845958587?display=26WJK0E02Z&amp;reservation_id=9080486845958587", "26WJK0E02Z")</f>
        <v>26WJK0E02Z</v>
      </c>
      <c r="D4632" t="s">
        <v>45</v>
      </c>
      <c r="E4632" t="s">
        <v>98</v>
      </c>
      <c r="F4632" t="s">
        <v>86</v>
      </c>
      <c r="G4632" t="s">
        <v>48</v>
      </c>
      <c r="H4632" t="s">
        <v>49</v>
      </c>
      <c r="I4632" t="s">
        <v>50</v>
      </c>
      <c r="J4632" t="s">
        <v>7394</v>
      </c>
      <c r="K4632" t="s">
        <v>6661</v>
      </c>
      <c r="L4632" t="s">
        <v>53</v>
      </c>
      <c r="N4632" t="s">
        <v>8094</v>
      </c>
      <c r="P4632" t="s">
        <v>55</v>
      </c>
      <c r="R4632" t="s">
        <v>53</v>
      </c>
      <c r="T4632" t="s">
        <v>8095</v>
      </c>
      <c r="U4632" t="s">
        <v>58</v>
      </c>
      <c r="V4632">
        <v>2</v>
      </c>
      <c r="W4632">
        <v>1</v>
      </c>
      <c r="X4632">
        <v>2</v>
      </c>
      <c r="Y4632">
        <v>0</v>
      </c>
      <c r="Z4632">
        <v>2</v>
      </c>
      <c r="AA4632">
        <v>412.22</v>
      </c>
      <c r="AB4632">
        <v>412.22</v>
      </c>
      <c r="AC4632">
        <v>362.7</v>
      </c>
      <c r="AD4632">
        <v>0</v>
      </c>
      <c r="AE4632">
        <v>49.52</v>
      </c>
      <c r="AF4632">
        <v>0</v>
      </c>
      <c r="AG4632">
        <v>0</v>
      </c>
      <c r="AH4632">
        <v>0</v>
      </c>
      <c r="AI4632">
        <v>74.2</v>
      </c>
      <c r="AJ4632">
        <v>412.22</v>
      </c>
      <c r="AK4632">
        <v>0</v>
      </c>
      <c r="AL4632" t="s">
        <v>53</v>
      </c>
      <c r="AM4632" t="s">
        <v>53</v>
      </c>
      <c r="AN4632" t="s">
        <v>53</v>
      </c>
      <c r="AO4632" t="s">
        <v>53</v>
      </c>
      <c r="AP4632" t="s">
        <v>53</v>
      </c>
    </row>
    <row r="4633" spans="2:42" x14ac:dyDescent="0.2">
      <c r="B4633" t="s">
        <v>44</v>
      </c>
      <c r="C4633" t="str">
        <f>HYPERLINK("https://us2.cloudbeds.com/connect/8493803454333002#/reservations/9080486845958876?display=27068FR1VY&amp;reservation_id=9080486845958876", "27068FR1VY")</f>
        <v>27068FR1VY</v>
      </c>
      <c r="D4633" t="s">
        <v>45</v>
      </c>
      <c r="E4633" t="s">
        <v>69</v>
      </c>
      <c r="F4633" t="s">
        <v>70</v>
      </c>
      <c r="G4633" t="s">
        <v>48</v>
      </c>
      <c r="H4633" t="s">
        <v>49</v>
      </c>
      <c r="I4633" t="s">
        <v>62</v>
      </c>
      <c r="J4633" t="s">
        <v>7218</v>
      </c>
      <c r="K4633" t="s">
        <v>6661</v>
      </c>
      <c r="L4633" t="s">
        <v>53</v>
      </c>
      <c r="N4633" t="s">
        <v>8096</v>
      </c>
      <c r="P4633" t="s">
        <v>55</v>
      </c>
      <c r="R4633" t="s">
        <v>56</v>
      </c>
      <c r="T4633" t="s">
        <v>8097</v>
      </c>
      <c r="U4633" t="s">
        <v>55</v>
      </c>
      <c r="V4633">
        <v>1</v>
      </c>
      <c r="W4633">
        <v>1</v>
      </c>
      <c r="X4633">
        <v>2</v>
      </c>
      <c r="Y4633">
        <v>0</v>
      </c>
      <c r="Z4633">
        <v>2</v>
      </c>
      <c r="AA4633">
        <v>162.44999999999999</v>
      </c>
      <c r="AB4633">
        <v>162.44999999999999</v>
      </c>
      <c r="AC4633">
        <v>162.44999999999999</v>
      </c>
      <c r="AD4633">
        <v>0</v>
      </c>
      <c r="AE4633">
        <v>0</v>
      </c>
      <c r="AF4633">
        <v>0</v>
      </c>
      <c r="AG4633">
        <v>0</v>
      </c>
      <c r="AH4633">
        <v>0</v>
      </c>
      <c r="AI4633">
        <v>29.24</v>
      </c>
      <c r="AJ4633">
        <v>162.44999999999999</v>
      </c>
      <c r="AK4633">
        <v>0</v>
      </c>
      <c r="AL4633" t="s">
        <v>53</v>
      </c>
      <c r="AM4633" t="s">
        <v>53</v>
      </c>
      <c r="AN4633" t="s">
        <v>53</v>
      </c>
      <c r="AO4633" t="s">
        <v>53</v>
      </c>
      <c r="AP4633" t="s">
        <v>53</v>
      </c>
    </row>
    <row r="4634" spans="2:42" x14ac:dyDescent="0.2">
      <c r="B4634" t="s">
        <v>44</v>
      </c>
      <c r="C4634" t="str">
        <f>HYPERLINK("https://us2.cloudbeds.com/connect/8493803454333002#/reservations/9080486845958915?display=2709XQETQ4&amp;reservation_id=9080486845958915", "2709XQETQ4")</f>
        <v>2709XQETQ4</v>
      </c>
      <c r="D4634" t="s">
        <v>45</v>
      </c>
      <c r="E4634" t="s">
        <v>223</v>
      </c>
      <c r="F4634" t="s">
        <v>47</v>
      </c>
      <c r="G4634" t="s">
        <v>48</v>
      </c>
      <c r="H4634" t="s">
        <v>49</v>
      </c>
      <c r="I4634" t="s">
        <v>62</v>
      </c>
      <c r="J4634" t="s">
        <v>5623</v>
      </c>
      <c r="K4634" t="s">
        <v>6639</v>
      </c>
      <c r="L4634" t="s">
        <v>53</v>
      </c>
      <c r="N4634" t="s">
        <v>8098</v>
      </c>
      <c r="P4634" t="s">
        <v>55</v>
      </c>
      <c r="R4634" t="s">
        <v>56</v>
      </c>
      <c r="T4634" t="s">
        <v>8099</v>
      </c>
      <c r="U4634" t="s">
        <v>55</v>
      </c>
      <c r="V4634">
        <v>1</v>
      </c>
      <c r="W4634">
        <v>1</v>
      </c>
      <c r="X4634">
        <v>2</v>
      </c>
      <c r="Y4634">
        <v>0</v>
      </c>
      <c r="Z4634">
        <v>2</v>
      </c>
      <c r="AA4634">
        <v>208.05</v>
      </c>
      <c r="AB4634">
        <v>208.05</v>
      </c>
      <c r="AC4634">
        <v>208.05</v>
      </c>
      <c r="AD4634">
        <v>0</v>
      </c>
      <c r="AE4634">
        <v>0</v>
      </c>
      <c r="AF4634">
        <v>0</v>
      </c>
      <c r="AG4634">
        <v>0</v>
      </c>
      <c r="AH4634">
        <v>0</v>
      </c>
      <c r="AI4634">
        <v>37.450000000000003</v>
      </c>
      <c r="AJ4634">
        <v>208.05</v>
      </c>
      <c r="AK4634">
        <v>0</v>
      </c>
      <c r="AL4634" t="s">
        <v>53</v>
      </c>
      <c r="AM4634" t="s">
        <v>53</v>
      </c>
      <c r="AN4634" t="s">
        <v>53</v>
      </c>
      <c r="AO4634" t="s">
        <v>53</v>
      </c>
      <c r="AP4634" t="s">
        <v>53</v>
      </c>
    </row>
    <row r="4635" spans="2:42" x14ac:dyDescent="0.2">
      <c r="B4635" t="s">
        <v>44</v>
      </c>
      <c r="C4635" t="str">
        <f>HYPERLINK("https://us2.cloudbeds.com/connect/8493803454333002#/reservations/9080486845961099?display=274PEK4U93&amp;reservation_id=9080486845961099", "274PEK4U93")</f>
        <v>274PEK4U93</v>
      </c>
      <c r="D4635" t="s">
        <v>45</v>
      </c>
      <c r="E4635" t="s">
        <v>223</v>
      </c>
      <c r="F4635" t="s">
        <v>47</v>
      </c>
      <c r="G4635" t="s">
        <v>48</v>
      </c>
      <c r="H4635" t="s">
        <v>49</v>
      </c>
      <c r="I4635" t="s">
        <v>50</v>
      </c>
      <c r="J4635" t="s">
        <v>4768</v>
      </c>
      <c r="K4635" t="s">
        <v>6586</v>
      </c>
      <c r="L4635" t="s">
        <v>53</v>
      </c>
      <c r="N4635" t="s">
        <v>8100</v>
      </c>
      <c r="P4635" t="s">
        <v>55</v>
      </c>
      <c r="R4635" t="s">
        <v>53</v>
      </c>
      <c r="T4635" t="s">
        <v>8101</v>
      </c>
      <c r="U4635" t="s">
        <v>58</v>
      </c>
      <c r="V4635">
        <v>1</v>
      </c>
      <c r="W4635">
        <v>1</v>
      </c>
      <c r="X4635">
        <v>2</v>
      </c>
      <c r="Y4635">
        <v>0</v>
      </c>
      <c r="Z4635">
        <v>2</v>
      </c>
      <c r="AA4635">
        <v>103</v>
      </c>
      <c r="AB4635">
        <v>103</v>
      </c>
      <c r="AC4635">
        <v>90.63</v>
      </c>
      <c r="AD4635">
        <v>0</v>
      </c>
      <c r="AE4635">
        <v>12.37</v>
      </c>
      <c r="AF4635">
        <v>0</v>
      </c>
      <c r="AG4635">
        <v>0</v>
      </c>
      <c r="AH4635">
        <v>0</v>
      </c>
      <c r="AI4635">
        <v>18.54</v>
      </c>
      <c r="AJ4635">
        <v>103</v>
      </c>
      <c r="AK4635">
        <v>0</v>
      </c>
      <c r="AL4635" t="s">
        <v>53</v>
      </c>
      <c r="AM4635" t="s">
        <v>53</v>
      </c>
      <c r="AN4635" t="s">
        <v>53</v>
      </c>
      <c r="AO4635" t="s">
        <v>53</v>
      </c>
      <c r="AP4635" t="s">
        <v>53</v>
      </c>
    </row>
    <row r="4636" spans="2:42" x14ac:dyDescent="0.2">
      <c r="B4636" t="s">
        <v>44</v>
      </c>
      <c r="C4636" t="str">
        <f>HYPERLINK("https://us2.cloudbeds.com/connect/8493803454333002#/reservations/102907267428562?display=275KD6NXRZ&amp;reservation_id=102907267428562", "275KD6NXRZ")</f>
        <v>275KD6NXRZ</v>
      </c>
      <c r="D4636" t="s">
        <v>45</v>
      </c>
      <c r="E4636" t="s">
        <v>190</v>
      </c>
      <c r="F4636" t="s">
        <v>61</v>
      </c>
      <c r="G4636" t="s">
        <v>48</v>
      </c>
      <c r="H4636" t="s">
        <v>3957</v>
      </c>
      <c r="I4636" t="s">
        <v>3975</v>
      </c>
      <c r="J4636" t="s">
        <v>4768</v>
      </c>
      <c r="K4636" t="s">
        <v>6586</v>
      </c>
      <c r="L4636" t="s">
        <v>53</v>
      </c>
      <c r="P4636" t="s">
        <v>55</v>
      </c>
      <c r="R4636" t="s">
        <v>53</v>
      </c>
      <c r="T4636" t="s">
        <v>8102</v>
      </c>
      <c r="U4636" t="s">
        <v>58</v>
      </c>
      <c r="V4636">
        <v>1</v>
      </c>
      <c r="W4636">
        <v>1</v>
      </c>
      <c r="X4636">
        <v>2</v>
      </c>
      <c r="Y4636">
        <v>0</v>
      </c>
      <c r="Z4636">
        <v>2</v>
      </c>
      <c r="AA4636">
        <v>132.97</v>
      </c>
      <c r="AB4636">
        <v>132.97</v>
      </c>
      <c r="AC4636">
        <v>117</v>
      </c>
      <c r="AD4636">
        <v>0</v>
      </c>
      <c r="AE4636">
        <v>15.97</v>
      </c>
      <c r="AF4636">
        <v>0</v>
      </c>
      <c r="AG4636">
        <v>0</v>
      </c>
      <c r="AH4636">
        <v>0</v>
      </c>
      <c r="AI4636">
        <v>0</v>
      </c>
      <c r="AJ4636">
        <v>132.97</v>
      </c>
      <c r="AK4636">
        <v>0</v>
      </c>
      <c r="AL4636" t="s">
        <v>53</v>
      </c>
      <c r="AM4636" t="s">
        <v>53</v>
      </c>
      <c r="AN4636" t="s">
        <v>53</v>
      </c>
      <c r="AO4636" t="s">
        <v>53</v>
      </c>
      <c r="AP4636" t="s">
        <v>53</v>
      </c>
    </row>
    <row r="4637" spans="2:42" x14ac:dyDescent="0.2">
      <c r="B4637" t="s">
        <v>44</v>
      </c>
      <c r="C4637" t="str">
        <f>HYPERLINK("https://us2.cloudbeds.com/connect/8493803454333002#/reservations/9080486845961798?display=275P319PW4&amp;reservation_id=9080486845961798", "275P319PW4")</f>
        <v>275P319PW4</v>
      </c>
      <c r="D4637" t="s">
        <v>45</v>
      </c>
      <c r="E4637" t="s">
        <v>185</v>
      </c>
      <c r="F4637" t="s">
        <v>47</v>
      </c>
      <c r="G4637" t="s">
        <v>48</v>
      </c>
      <c r="H4637" t="s">
        <v>49</v>
      </c>
      <c r="I4637" t="s">
        <v>62</v>
      </c>
      <c r="J4637" t="s">
        <v>5963</v>
      </c>
      <c r="K4637" t="s">
        <v>5622</v>
      </c>
      <c r="L4637" t="s">
        <v>53</v>
      </c>
      <c r="N4637" t="s">
        <v>8103</v>
      </c>
      <c r="P4637" t="s">
        <v>55</v>
      </c>
      <c r="R4637" t="s">
        <v>56</v>
      </c>
      <c r="T4637" t="s">
        <v>8104</v>
      </c>
      <c r="U4637" t="s">
        <v>55</v>
      </c>
      <c r="V4637">
        <v>1</v>
      </c>
      <c r="W4637">
        <v>1</v>
      </c>
      <c r="X4637">
        <v>2</v>
      </c>
      <c r="Y4637">
        <v>0</v>
      </c>
      <c r="Z4637">
        <v>2</v>
      </c>
      <c r="AA4637">
        <v>109</v>
      </c>
      <c r="AB4637">
        <v>109</v>
      </c>
      <c r="AC4637">
        <v>109</v>
      </c>
      <c r="AD4637">
        <v>0</v>
      </c>
      <c r="AE4637">
        <v>0</v>
      </c>
      <c r="AF4637">
        <v>0</v>
      </c>
      <c r="AG4637">
        <v>0</v>
      </c>
      <c r="AH4637">
        <v>0</v>
      </c>
      <c r="AI4637">
        <v>19.62</v>
      </c>
      <c r="AJ4637">
        <v>109</v>
      </c>
      <c r="AK4637">
        <v>0</v>
      </c>
      <c r="AL4637" t="s">
        <v>53</v>
      </c>
      <c r="AM4637" t="s">
        <v>53</v>
      </c>
      <c r="AN4637" t="s">
        <v>53</v>
      </c>
      <c r="AO4637" t="s">
        <v>53</v>
      </c>
      <c r="AP4637" t="s">
        <v>53</v>
      </c>
    </row>
    <row r="4638" spans="2:42" x14ac:dyDescent="0.2">
      <c r="B4638" t="s">
        <v>44</v>
      </c>
      <c r="C4638" t="str">
        <f>HYPERLINK("https://us2.cloudbeds.com/connect/8493803454333002#/reservations/9080486845961830?display=275R1WKGX6&amp;reservation_id=9080486845961830", "275R1WKGX6")</f>
        <v>275R1WKGX6</v>
      </c>
      <c r="D4638" t="s">
        <v>45</v>
      </c>
      <c r="E4638" t="s">
        <v>373</v>
      </c>
      <c r="F4638" t="s">
        <v>47</v>
      </c>
      <c r="G4638" t="s">
        <v>48</v>
      </c>
      <c r="H4638" t="s">
        <v>49</v>
      </c>
      <c r="I4638" t="s">
        <v>50</v>
      </c>
      <c r="J4638" t="s">
        <v>4159</v>
      </c>
      <c r="K4638" t="s">
        <v>7078</v>
      </c>
      <c r="L4638" t="s">
        <v>53</v>
      </c>
      <c r="N4638" t="s">
        <v>8105</v>
      </c>
      <c r="P4638" t="s">
        <v>55</v>
      </c>
      <c r="R4638" t="s">
        <v>53</v>
      </c>
      <c r="T4638" t="s">
        <v>8106</v>
      </c>
      <c r="U4638" t="s">
        <v>58</v>
      </c>
      <c r="V4638">
        <v>1</v>
      </c>
      <c r="W4638">
        <v>1</v>
      </c>
      <c r="X4638">
        <v>2</v>
      </c>
      <c r="Y4638">
        <v>0</v>
      </c>
      <c r="Z4638">
        <v>2</v>
      </c>
      <c r="AA4638">
        <v>135.03</v>
      </c>
      <c r="AB4638">
        <v>135.03</v>
      </c>
      <c r="AC4638">
        <v>118.8</v>
      </c>
      <c r="AD4638">
        <v>0</v>
      </c>
      <c r="AE4638">
        <v>16.23</v>
      </c>
      <c r="AF4638">
        <v>0</v>
      </c>
      <c r="AG4638">
        <v>0</v>
      </c>
      <c r="AH4638">
        <v>0</v>
      </c>
      <c r="AI4638">
        <v>24.31</v>
      </c>
      <c r="AJ4638">
        <v>135.03</v>
      </c>
      <c r="AK4638">
        <v>0</v>
      </c>
      <c r="AL4638" t="s">
        <v>53</v>
      </c>
      <c r="AM4638" t="s">
        <v>53</v>
      </c>
      <c r="AN4638" t="s">
        <v>53</v>
      </c>
      <c r="AO4638" t="s">
        <v>53</v>
      </c>
      <c r="AP4638" t="s">
        <v>53</v>
      </c>
    </row>
    <row r="4639" spans="2:42" x14ac:dyDescent="0.2">
      <c r="B4639" t="s">
        <v>44</v>
      </c>
      <c r="C4639" t="str">
        <f>HYPERLINK("https://us2.cloudbeds.com/connect/8493803454333002#/reservations/9080486845962108?display=2768BP1G0M&amp;reservation_id=9080486845962108", "2768BP1G0M")</f>
        <v>2768BP1G0M</v>
      </c>
      <c r="D4639" t="s">
        <v>45</v>
      </c>
      <c r="E4639" t="s">
        <v>105</v>
      </c>
      <c r="F4639" t="s">
        <v>47</v>
      </c>
      <c r="G4639" t="s">
        <v>48</v>
      </c>
      <c r="H4639" t="s">
        <v>49</v>
      </c>
      <c r="I4639" t="s">
        <v>62</v>
      </c>
      <c r="J4639" t="s">
        <v>5967</v>
      </c>
      <c r="K4639" t="s">
        <v>6335</v>
      </c>
      <c r="L4639" t="s">
        <v>53</v>
      </c>
      <c r="N4639" t="s">
        <v>8107</v>
      </c>
      <c r="P4639" t="s">
        <v>55</v>
      </c>
      <c r="R4639" t="s">
        <v>56</v>
      </c>
      <c r="T4639" t="s">
        <v>8108</v>
      </c>
      <c r="U4639" t="s">
        <v>55</v>
      </c>
      <c r="V4639">
        <v>3</v>
      </c>
      <c r="W4639">
        <v>1</v>
      </c>
      <c r="X4639">
        <v>1</v>
      </c>
      <c r="Y4639">
        <v>0</v>
      </c>
      <c r="Z4639">
        <v>1</v>
      </c>
      <c r="AA4639">
        <v>351.5</v>
      </c>
      <c r="AB4639">
        <v>354.21</v>
      </c>
      <c r="AC4639">
        <v>351.5</v>
      </c>
      <c r="AD4639">
        <v>2.5</v>
      </c>
      <c r="AE4639">
        <v>0.21</v>
      </c>
      <c r="AF4639">
        <v>0</v>
      </c>
      <c r="AG4639">
        <v>0</v>
      </c>
      <c r="AH4639">
        <v>0</v>
      </c>
      <c r="AI4639">
        <v>63.76</v>
      </c>
      <c r="AJ4639">
        <v>354.21</v>
      </c>
      <c r="AK4639">
        <v>0</v>
      </c>
      <c r="AL4639" t="s">
        <v>53</v>
      </c>
      <c r="AM4639" t="s">
        <v>53</v>
      </c>
      <c r="AN4639" t="s">
        <v>53</v>
      </c>
      <c r="AO4639" t="s">
        <v>53</v>
      </c>
      <c r="AP4639" t="s">
        <v>53</v>
      </c>
    </row>
    <row r="4640" spans="2:42" x14ac:dyDescent="0.2">
      <c r="B4640" t="s">
        <v>44</v>
      </c>
      <c r="C4640" t="str">
        <f>HYPERLINK("https://us2.cloudbeds.com/connect/8493803454333002#/reservations/9080486845962759?display=27778JX1GN&amp;reservation_id=9080486845962759", "27778JX1GN")</f>
        <v>27778JX1GN</v>
      </c>
      <c r="D4640" t="s">
        <v>45</v>
      </c>
      <c r="E4640" t="s">
        <v>8109</v>
      </c>
      <c r="F4640" t="s">
        <v>47</v>
      </c>
      <c r="G4640" t="s">
        <v>48</v>
      </c>
      <c r="H4640" t="s">
        <v>49</v>
      </c>
      <c r="I4640" t="s">
        <v>62</v>
      </c>
      <c r="J4640" t="s">
        <v>6999</v>
      </c>
      <c r="K4640" t="s">
        <v>5963</v>
      </c>
      <c r="L4640" t="s">
        <v>53</v>
      </c>
      <c r="N4640" t="s">
        <v>8110</v>
      </c>
      <c r="P4640" t="s">
        <v>55</v>
      </c>
      <c r="R4640" t="s">
        <v>56</v>
      </c>
      <c r="T4640" t="s">
        <v>8111</v>
      </c>
      <c r="U4640" t="s">
        <v>55</v>
      </c>
      <c r="V4640">
        <v>2</v>
      </c>
      <c r="W4640">
        <v>2</v>
      </c>
      <c r="X4640">
        <v>2</v>
      </c>
      <c r="Y4640">
        <v>0</v>
      </c>
      <c r="Z4640">
        <v>2</v>
      </c>
      <c r="AA4640">
        <v>196</v>
      </c>
      <c r="AB4640">
        <v>196</v>
      </c>
      <c r="AC4640">
        <v>196</v>
      </c>
      <c r="AD4640">
        <v>0</v>
      </c>
      <c r="AE4640">
        <v>0</v>
      </c>
      <c r="AF4640">
        <v>0</v>
      </c>
      <c r="AG4640">
        <v>0</v>
      </c>
      <c r="AH4640">
        <v>0</v>
      </c>
      <c r="AI4640">
        <v>35.28</v>
      </c>
      <c r="AJ4640">
        <v>196</v>
      </c>
      <c r="AK4640">
        <v>0</v>
      </c>
      <c r="AL4640" t="s">
        <v>53</v>
      </c>
      <c r="AM4640" t="s">
        <v>53</v>
      </c>
      <c r="AN4640" t="s">
        <v>53</v>
      </c>
      <c r="AO4640" t="s">
        <v>53</v>
      </c>
      <c r="AP4640" t="s">
        <v>53</v>
      </c>
    </row>
    <row r="4641" spans="2:42" x14ac:dyDescent="0.2">
      <c r="B4641" t="s">
        <v>44</v>
      </c>
      <c r="C4641" t="str">
        <f>HYPERLINK("https://us2.cloudbeds.com/connect/8493803454333002#/reservations/9080486845962881?display=277D7VFFE2&amp;reservation_id=9080486845962881", "277D7VFFE2")</f>
        <v>277D7VFFE2</v>
      </c>
      <c r="D4641" t="s">
        <v>45</v>
      </c>
      <c r="E4641" t="s">
        <v>381</v>
      </c>
      <c r="F4641" t="s">
        <v>47</v>
      </c>
      <c r="G4641" t="s">
        <v>48</v>
      </c>
      <c r="H4641" t="s">
        <v>49</v>
      </c>
      <c r="I4641" t="s">
        <v>62</v>
      </c>
      <c r="J4641" t="s">
        <v>4159</v>
      </c>
      <c r="K4641" t="s">
        <v>7078</v>
      </c>
      <c r="L4641" t="s">
        <v>53</v>
      </c>
      <c r="N4641" t="s">
        <v>8112</v>
      </c>
      <c r="P4641" t="s">
        <v>55</v>
      </c>
      <c r="R4641" t="s">
        <v>56</v>
      </c>
      <c r="T4641" t="s">
        <v>8113</v>
      </c>
      <c r="U4641" t="s">
        <v>55</v>
      </c>
      <c r="V4641">
        <v>1</v>
      </c>
      <c r="W4641">
        <v>1</v>
      </c>
      <c r="X4641">
        <v>2</v>
      </c>
      <c r="Y4641">
        <v>0</v>
      </c>
      <c r="Z4641">
        <v>2</v>
      </c>
      <c r="AA4641">
        <v>132</v>
      </c>
      <c r="AB4641">
        <v>132</v>
      </c>
      <c r="AC4641">
        <v>132</v>
      </c>
      <c r="AD4641">
        <v>0</v>
      </c>
      <c r="AE4641">
        <v>0</v>
      </c>
      <c r="AF4641">
        <v>0</v>
      </c>
      <c r="AG4641">
        <v>0</v>
      </c>
      <c r="AH4641">
        <v>0</v>
      </c>
      <c r="AI4641">
        <v>23.76</v>
      </c>
      <c r="AJ4641">
        <v>132</v>
      </c>
      <c r="AK4641">
        <v>0</v>
      </c>
      <c r="AL4641" t="s">
        <v>53</v>
      </c>
      <c r="AM4641" t="s">
        <v>53</v>
      </c>
      <c r="AN4641" t="s">
        <v>53</v>
      </c>
      <c r="AO4641" t="s">
        <v>53</v>
      </c>
      <c r="AP4641" t="s">
        <v>53</v>
      </c>
    </row>
    <row r="4642" spans="2:42" x14ac:dyDescent="0.2">
      <c r="B4642" t="s">
        <v>44</v>
      </c>
      <c r="C4642" t="str">
        <f>HYPERLINK("https://us2.cloudbeds.com/connect/8493803454333002#/reservations/9080486845963029?display=277MQFHDM1&amp;reservation_id=9080486845963029", "277MQFHDM1")</f>
        <v>277MQFHDM1</v>
      </c>
      <c r="D4642" t="s">
        <v>45</v>
      </c>
      <c r="E4642" t="s">
        <v>69</v>
      </c>
      <c r="F4642" t="s">
        <v>70</v>
      </c>
      <c r="G4642" t="s">
        <v>48</v>
      </c>
      <c r="H4642" t="s">
        <v>49</v>
      </c>
      <c r="I4642" t="s">
        <v>50</v>
      </c>
      <c r="J4642" t="s">
        <v>4159</v>
      </c>
      <c r="K4642" t="s">
        <v>6855</v>
      </c>
      <c r="L4642" t="s">
        <v>53</v>
      </c>
      <c r="N4642" t="s">
        <v>8114</v>
      </c>
      <c r="P4642" t="s">
        <v>55</v>
      </c>
      <c r="R4642" t="s">
        <v>53</v>
      </c>
      <c r="T4642" t="s">
        <v>8115</v>
      </c>
      <c r="U4642" t="s">
        <v>58</v>
      </c>
      <c r="V4642">
        <v>2</v>
      </c>
      <c r="W4642">
        <v>1</v>
      </c>
      <c r="X4642">
        <v>2</v>
      </c>
      <c r="Y4642">
        <v>0</v>
      </c>
      <c r="Z4642">
        <v>2</v>
      </c>
      <c r="AA4642">
        <v>200.03</v>
      </c>
      <c r="AB4642">
        <v>200.03</v>
      </c>
      <c r="AC4642">
        <v>176</v>
      </c>
      <c r="AD4642">
        <v>0</v>
      </c>
      <c r="AE4642">
        <v>24.03</v>
      </c>
      <c r="AF4642">
        <v>0</v>
      </c>
      <c r="AG4642">
        <v>0</v>
      </c>
      <c r="AH4642">
        <v>0</v>
      </c>
      <c r="AI4642">
        <v>36.01</v>
      </c>
      <c r="AJ4642">
        <v>200.03</v>
      </c>
      <c r="AK4642">
        <v>0</v>
      </c>
      <c r="AL4642" t="s">
        <v>53</v>
      </c>
      <c r="AM4642" t="s">
        <v>53</v>
      </c>
      <c r="AN4642" t="s">
        <v>53</v>
      </c>
      <c r="AO4642" t="s">
        <v>53</v>
      </c>
      <c r="AP4642" t="s">
        <v>53</v>
      </c>
    </row>
    <row r="4643" spans="2:42" x14ac:dyDescent="0.2">
      <c r="B4643" t="s">
        <v>44</v>
      </c>
      <c r="C4643" t="str">
        <f>HYPERLINK("https://us2.cloudbeds.com/connect/8493803454333002#/reservations/9080486845963249?display=2786M27PV4&amp;reservation_id=9080486845963249", "2786M27PV4")</f>
        <v>2786M27PV4</v>
      </c>
      <c r="D4643" t="s">
        <v>45</v>
      </c>
      <c r="E4643" t="s">
        <v>110</v>
      </c>
      <c r="F4643" t="s">
        <v>47</v>
      </c>
      <c r="G4643" t="s">
        <v>48</v>
      </c>
      <c r="H4643" t="s">
        <v>49</v>
      </c>
      <c r="I4643" t="s">
        <v>50</v>
      </c>
      <c r="J4643" t="s">
        <v>7706</v>
      </c>
      <c r="K4643" t="s">
        <v>7352</v>
      </c>
      <c r="L4643" t="s">
        <v>53</v>
      </c>
      <c r="N4643" t="s">
        <v>8116</v>
      </c>
      <c r="P4643" t="s">
        <v>55</v>
      </c>
      <c r="R4643" t="s">
        <v>53</v>
      </c>
      <c r="T4643" t="s">
        <v>8117</v>
      </c>
      <c r="U4643" t="s">
        <v>58</v>
      </c>
      <c r="V4643">
        <v>1</v>
      </c>
      <c r="W4643">
        <v>1</v>
      </c>
      <c r="X4643">
        <v>2</v>
      </c>
      <c r="Y4643">
        <v>0</v>
      </c>
      <c r="Z4643">
        <v>2</v>
      </c>
      <c r="AA4643">
        <v>176.95</v>
      </c>
      <c r="AB4643">
        <v>176.95</v>
      </c>
      <c r="AC4643">
        <v>155.69999999999999</v>
      </c>
      <c r="AD4643">
        <v>0</v>
      </c>
      <c r="AE4643">
        <v>21.25</v>
      </c>
      <c r="AF4643">
        <v>0</v>
      </c>
      <c r="AG4643">
        <v>0</v>
      </c>
      <c r="AH4643">
        <v>0</v>
      </c>
      <c r="AI4643">
        <v>31.85</v>
      </c>
      <c r="AJ4643">
        <v>176.95</v>
      </c>
      <c r="AK4643">
        <v>0</v>
      </c>
      <c r="AL4643" t="s">
        <v>53</v>
      </c>
      <c r="AM4643" t="s">
        <v>53</v>
      </c>
      <c r="AN4643" t="s">
        <v>53</v>
      </c>
      <c r="AO4643" t="s">
        <v>53</v>
      </c>
      <c r="AP4643" t="s">
        <v>53</v>
      </c>
    </row>
    <row r="4644" spans="2:42" x14ac:dyDescent="0.2">
      <c r="B4644" t="s">
        <v>44</v>
      </c>
      <c r="C4644" t="str">
        <f>HYPERLINK("https://us2.cloudbeds.com/connect/8493803454333002#/reservations/103029990289604?display=278GE1T2RP&amp;reservation_id=103029990289604", "278GE1T2RP")</f>
        <v>278GE1T2RP</v>
      </c>
      <c r="D4644" t="s">
        <v>45</v>
      </c>
      <c r="E4644" t="s">
        <v>223</v>
      </c>
      <c r="F4644" t="s">
        <v>47</v>
      </c>
      <c r="G4644" t="s">
        <v>48</v>
      </c>
      <c r="H4644" t="s">
        <v>3957</v>
      </c>
      <c r="I4644" t="s">
        <v>3958</v>
      </c>
      <c r="J4644" t="s">
        <v>5967</v>
      </c>
      <c r="K4644" t="s">
        <v>5430</v>
      </c>
      <c r="L4644" t="s">
        <v>53</v>
      </c>
      <c r="P4644" t="s">
        <v>55</v>
      </c>
      <c r="R4644" t="s">
        <v>56</v>
      </c>
      <c r="T4644" t="s">
        <v>8118</v>
      </c>
      <c r="U4644" t="s">
        <v>58</v>
      </c>
      <c r="V4644">
        <v>1</v>
      </c>
      <c r="W4644">
        <v>1</v>
      </c>
      <c r="X4644">
        <v>1</v>
      </c>
      <c r="Y4644">
        <v>0</v>
      </c>
      <c r="Z4644">
        <v>1</v>
      </c>
      <c r="AA4644">
        <v>125.02</v>
      </c>
      <c r="AB4644">
        <v>125.02</v>
      </c>
      <c r="AC4644">
        <v>110</v>
      </c>
      <c r="AD4644">
        <v>0</v>
      </c>
      <c r="AE4644">
        <v>15.02</v>
      </c>
      <c r="AF4644">
        <v>0</v>
      </c>
      <c r="AG4644">
        <v>0</v>
      </c>
      <c r="AH4644">
        <v>0</v>
      </c>
      <c r="AI4644">
        <v>0</v>
      </c>
      <c r="AJ4644">
        <v>125.02</v>
      </c>
      <c r="AK4644">
        <v>0</v>
      </c>
      <c r="AL4644" t="s">
        <v>53</v>
      </c>
      <c r="AM4644" t="s">
        <v>53</v>
      </c>
      <c r="AN4644" t="s">
        <v>53</v>
      </c>
      <c r="AO4644" t="s">
        <v>53</v>
      </c>
      <c r="AP4644" t="s">
        <v>53</v>
      </c>
    </row>
    <row r="4645" spans="2:42" x14ac:dyDescent="0.2">
      <c r="B4645" t="s">
        <v>44</v>
      </c>
      <c r="C4645" t="str">
        <f>HYPERLINK("https://us2.cloudbeds.com/connect/8493803454333002#/reservations/9080486845963458?display=278YMTSRJK&amp;reservation_id=9080486845963458", "278YMTSRJK")</f>
        <v>278YMTSRJK</v>
      </c>
      <c r="D4645" t="s">
        <v>45</v>
      </c>
      <c r="E4645" t="s">
        <v>138</v>
      </c>
      <c r="F4645" t="s">
        <v>70</v>
      </c>
      <c r="G4645" t="s">
        <v>48</v>
      </c>
      <c r="H4645" t="s">
        <v>49</v>
      </c>
      <c r="I4645" t="s">
        <v>62</v>
      </c>
      <c r="J4645" t="s">
        <v>8119</v>
      </c>
      <c r="K4645" t="s">
        <v>7864</v>
      </c>
      <c r="L4645" t="s">
        <v>53</v>
      </c>
      <c r="N4645" t="s">
        <v>8120</v>
      </c>
      <c r="P4645" t="s">
        <v>55</v>
      </c>
      <c r="R4645" t="s">
        <v>56</v>
      </c>
      <c r="T4645" t="s">
        <v>8121</v>
      </c>
      <c r="U4645" t="s">
        <v>55</v>
      </c>
      <c r="V4645">
        <v>1</v>
      </c>
      <c r="W4645">
        <v>1</v>
      </c>
      <c r="X4645">
        <v>1</v>
      </c>
      <c r="Y4645">
        <v>0</v>
      </c>
      <c r="Z4645">
        <v>1</v>
      </c>
      <c r="AA4645">
        <v>164.35</v>
      </c>
      <c r="AB4645">
        <v>164.35</v>
      </c>
      <c r="AC4645">
        <v>164.35</v>
      </c>
      <c r="AD4645">
        <v>0</v>
      </c>
      <c r="AE4645">
        <v>0</v>
      </c>
      <c r="AF4645">
        <v>0</v>
      </c>
      <c r="AG4645">
        <v>0</v>
      </c>
      <c r="AH4645">
        <v>0</v>
      </c>
      <c r="AI4645">
        <v>29.58</v>
      </c>
      <c r="AJ4645">
        <v>164.35</v>
      </c>
      <c r="AK4645">
        <v>0</v>
      </c>
      <c r="AL4645" t="s">
        <v>53</v>
      </c>
      <c r="AM4645" t="s">
        <v>53</v>
      </c>
      <c r="AN4645" t="s">
        <v>53</v>
      </c>
      <c r="AO4645" t="s">
        <v>53</v>
      </c>
      <c r="AP4645" t="s">
        <v>53</v>
      </c>
    </row>
    <row r="4646" spans="2:42" x14ac:dyDescent="0.2">
      <c r="B4646" t="s">
        <v>44</v>
      </c>
      <c r="C4646" t="str">
        <f>HYPERLINK("https://us2.cloudbeds.com/connect/8493803454333002#/reservations/103269621244101?display=27E3W61Y0E&amp;reservation_id=103269621244101", "27E3W61Y0E")</f>
        <v>27E3W61Y0E</v>
      </c>
      <c r="D4646" t="s">
        <v>45</v>
      </c>
      <c r="E4646" t="s">
        <v>46</v>
      </c>
      <c r="F4646" t="s">
        <v>47</v>
      </c>
      <c r="G4646" t="s">
        <v>48</v>
      </c>
      <c r="H4646" t="s">
        <v>3957</v>
      </c>
      <c r="I4646" t="s">
        <v>3989</v>
      </c>
      <c r="J4646" t="s">
        <v>6885</v>
      </c>
      <c r="K4646" t="s">
        <v>5963</v>
      </c>
      <c r="L4646" t="s">
        <v>53</v>
      </c>
      <c r="P4646" t="s">
        <v>55</v>
      </c>
      <c r="R4646" t="s">
        <v>56</v>
      </c>
      <c r="T4646" t="s">
        <v>8122</v>
      </c>
      <c r="U4646" t="s">
        <v>58</v>
      </c>
      <c r="V4646">
        <v>2</v>
      </c>
      <c r="W4646">
        <v>1</v>
      </c>
      <c r="X4646">
        <v>1</v>
      </c>
      <c r="Y4646">
        <v>0</v>
      </c>
      <c r="Z4646">
        <v>1</v>
      </c>
      <c r="AA4646">
        <v>253.44</v>
      </c>
      <c r="AB4646">
        <v>253.44</v>
      </c>
      <c r="AC4646">
        <v>223</v>
      </c>
      <c r="AD4646">
        <v>0</v>
      </c>
      <c r="AE4646">
        <v>30.44</v>
      </c>
      <c r="AF4646">
        <v>0</v>
      </c>
      <c r="AG4646">
        <v>0</v>
      </c>
      <c r="AH4646">
        <v>0</v>
      </c>
      <c r="AI4646">
        <v>0</v>
      </c>
      <c r="AJ4646">
        <v>253.44</v>
      </c>
      <c r="AK4646">
        <v>0</v>
      </c>
      <c r="AL4646" t="s">
        <v>53</v>
      </c>
      <c r="AM4646" t="s">
        <v>53</v>
      </c>
      <c r="AN4646" t="s">
        <v>53</v>
      </c>
      <c r="AO4646" t="s">
        <v>53</v>
      </c>
      <c r="AP4646" t="s">
        <v>53</v>
      </c>
    </row>
    <row r="4647" spans="2:42" x14ac:dyDescent="0.2">
      <c r="B4647" t="s">
        <v>44</v>
      </c>
      <c r="C4647" t="str">
        <f>HYPERLINK("https://us2.cloudbeds.com/connect/8493803454333002#/reservations/9080486845966906?display=27EY6Q0VKM&amp;reservation_id=9080486845966906", "27EY6Q0VKM")</f>
        <v>27EY6Q0VKM</v>
      </c>
      <c r="D4647" t="s">
        <v>45</v>
      </c>
      <c r="E4647" t="s">
        <v>98</v>
      </c>
      <c r="F4647" t="s">
        <v>86</v>
      </c>
      <c r="G4647" t="s">
        <v>48</v>
      </c>
      <c r="H4647" t="s">
        <v>49</v>
      </c>
      <c r="I4647" t="s">
        <v>62</v>
      </c>
      <c r="J4647" t="s">
        <v>4768</v>
      </c>
      <c r="K4647" t="s">
        <v>6586</v>
      </c>
      <c r="L4647" t="s">
        <v>53</v>
      </c>
      <c r="N4647" t="s">
        <v>8123</v>
      </c>
      <c r="P4647" t="s">
        <v>55</v>
      </c>
      <c r="R4647" t="s">
        <v>56</v>
      </c>
      <c r="T4647" t="s">
        <v>8124</v>
      </c>
      <c r="U4647" t="s">
        <v>55</v>
      </c>
      <c r="V4647">
        <v>1</v>
      </c>
      <c r="W4647">
        <v>1</v>
      </c>
      <c r="X4647">
        <v>2</v>
      </c>
      <c r="Y4647">
        <v>0</v>
      </c>
      <c r="Z4647">
        <v>2</v>
      </c>
      <c r="AA4647">
        <v>123</v>
      </c>
      <c r="AB4647">
        <v>123</v>
      </c>
      <c r="AC4647">
        <v>123</v>
      </c>
      <c r="AD4647">
        <v>0</v>
      </c>
      <c r="AE4647">
        <v>0</v>
      </c>
      <c r="AF4647">
        <v>0</v>
      </c>
      <c r="AG4647">
        <v>0</v>
      </c>
      <c r="AH4647">
        <v>0</v>
      </c>
      <c r="AI4647">
        <v>22.14</v>
      </c>
      <c r="AJ4647">
        <v>123</v>
      </c>
      <c r="AK4647">
        <v>0</v>
      </c>
      <c r="AL4647" t="s">
        <v>53</v>
      </c>
      <c r="AM4647" t="s">
        <v>53</v>
      </c>
      <c r="AN4647" t="s">
        <v>53</v>
      </c>
      <c r="AO4647" t="s">
        <v>53</v>
      </c>
      <c r="AP4647" t="s">
        <v>53</v>
      </c>
    </row>
    <row r="4648" spans="2:42" x14ac:dyDescent="0.2">
      <c r="B4648" t="s">
        <v>44</v>
      </c>
      <c r="C4648" t="str">
        <f>HYPERLINK("https://us2.cloudbeds.com/connect/8493803454333002#/reservations/9080486845967233?display=27F2CQ4M7U&amp;reservation_id=9080486845967233", "27F2CQ4M7U")</f>
        <v>27F2CQ4M7U</v>
      </c>
      <c r="D4648" t="s">
        <v>45</v>
      </c>
      <c r="E4648" t="s">
        <v>185</v>
      </c>
      <c r="F4648" t="s">
        <v>47</v>
      </c>
      <c r="G4648" t="s">
        <v>48</v>
      </c>
      <c r="H4648" t="s">
        <v>49</v>
      </c>
      <c r="I4648" t="s">
        <v>50</v>
      </c>
      <c r="J4648" t="s">
        <v>6416</v>
      </c>
      <c r="K4648" t="s">
        <v>7402</v>
      </c>
      <c r="L4648" t="s">
        <v>53</v>
      </c>
      <c r="N4648" t="s">
        <v>8125</v>
      </c>
      <c r="P4648" t="s">
        <v>55</v>
      </c>
      <c r="R4648" t="s">
        <v>53</v>
      </c>
      <c r="T4648" t="s">
        <v>8126</v>
      </c>
      <c r="U4648" t="s">
        <v>58</v>
      </c>
      <c r="V4648">
        <v>1</v>
      </c>
      <c r="W4648">
        <v>1</v>
      </c>
      <c r="X4648">
        <v>2</v>
      </c>
      <c r="Y4648">
        <v>0</v>
      </c>
      <c r="Z4648">
        <v>2</v>
      </c>
      <c r="AA4648">
        <v>142.97</v>
      </c>
      <c r="AB4648">
        <v>142.97</v>
      </c>
      <c r="AC4648">
        <v>125.8</v>
      </c>
      <c r="AD4648">
        <v>0</v>
      </c>
      <c r="AE4648">
        <v>17.170000000000002</v>
      </c>
      <c r="AF4648">
        <v>0</v>
      </c>
      <c r="AG4648">
        <v>0</v>
      </c>
      <c r="AH4648">
        <v>0</v>
      </c>
      <c r="AI4648">
        <v>25.73</v>
      </c>
      <c r="AJ4648">
        <v>142.97</v>
      </c>
      <c r="AK4648">
        <v>0</v>
      </c>
      <c r="AL4648" t="s">
        <v>53</v>
      </c>
      <c r="AM4648" t="s">
        <v>53</v>
      </c>
      <c r="AN4648" t="s">
        <v>53</v>
      </c>
      <c r="AO4648" t="s">
        <v>53</v>
      </c>
      <c r="AP4648" t="s">
        <v>53</v>
      </c>
    </row>
    <row r="4649" spans="2:42" x14ac:dyDescent="0.2">
      <c r="B4649" t="s">
        <v>44</v>
      </c>
      <c r="C4649" t="str">
        <f>HYPERLINK("https://us2.cloudbeds.com/connect/8493803454333002#/reservations/9080486845967378?display=27F8JE863Y&amp;reservation_id=9080486845967378", "27F8JE863Y")</f>
        <v>27F8JE863Y</v>
      </c>
      <c r="D4649" t="s">
        <v>45</v>
      </c>
      <c r="E4649" t="s">
        <v>105</v>
      </c>
      <c r="F4649" t="s">
        <v>47</v>
      </c>
      <c r="G4649" t="s">
        <v>48</v>
      </c>
      <c r="H4649" t="s">
        <v>49</v>
      </c>
      <c r="I4649" t="s">
        <v>50</v>
      </c>
      <c r="J4649" t="s">
        <v>7078</v>
      </c>
      <c r="K4649" t="s">
        <v>6855</v>
      </c>
      <c r="L4649" t="s">
        <v>53</v>
      </c>
      <c r="N4649" t="s">
        <v>8127</v>
      </c>
      <c r="P4649" t="s">
        <v>55</v>
      </c>
      <c r="R4649" t="s">
        <v>53</v>
      </c>
      <c r="T4649" t="s">
        <v>8128</v>
      </c>
      <c r="U4649" t="s">
        <v>58</v>
      </c>
      <c r="V4649">
        <v>1</v>
      </c>
      <c r="W4649">
        <v>1</v>
      </c>
      <c r="X4649">
        <v>2</v>
      </c>
      <c r="Y4649">
        <v>0</v>
      </c>
      <c r="Z4649">
        <v>2</v>
      </c>
      <c r="AA4649">
        <v>105.35</v>
      </c>
      <c r="AB4649">
        <v>105.35</v>
      </c>
      <c r="AC4649">
        <v>92.7</v>
      </c>
      <c r="AD4649">
        <v>0</v>
      </c>
      <c r="AE4649">
        <v>12.65</v>
      </c>
      <c r="AF4649">
        <v>0</v>
      </c>
      <c r="AG4649">
        <v>0</v>
      </c>
      <c r="AH4649">
        <v>0</v>
      </c>
      <c r="AI4649">
        <v>18.96</v>
      </c>
      <c r="AJ4649">
        <v>105.35</v>
      </c>
      <c r="AK4649">
        <v>0</v>
      </c>
      <c r="AL4649" t="s">
        <v>53</v>
      </c>
      <c r="AM4649" t="s">
        <v>53</v>
      </c>
      <c r="AN4649" t="s">
        <v>53</v>
      </c>
      <c r="AO4649" t="s">
        <v>53</v>
      </c>
      <c r="AP4649" t="s">
        <v>53</v>
      </c>
    </row>
    <row r="4650" spans="2:42" x14ac:dyDescent="0.2">
      <c r="B4650" t="s">
        <v>44</v>
      </c>
      <c r="C4650" t="str">
        <f>HYPERLINK("https://us2.cloudbeds.com/connect/8493803454333002#/reservations/103349414088918?display=27FWP2G5GT&amp;reservation_id=103349414088918", "27FWP2G5GT")</f>
        <v>27FWP2G5GT</v>
      </c>
      <c r="D4650" t="s">
        <v>45</v>
      </c>
      <c r="E4650" t="s">
        <v>373</v>
      </c>
      <c r="F4650" t="s">
        <v>47</v>
      </c>
      <c r="G4650" t="s">
        <v>48</v>
      </c>
      <c r="H4650" t="s">
        <v>3957</v>
      </c>
      <c r="I4650" t="s">
        <v>3958</v>
      </c>
      <c r="J4650" t="s">
        <v>7078</v>
      </c>
      <c r="K4650" t="s">
        <v>6855</v>
      </c>
      <c r="L4650" t="s">
        <v>53</v>
      </c>
      <c r="P4650" t="s">
        <v>55</v>
      </c>
      <c r="R4650" t="s">
        <v>56</v>
      </c>
      <c r="T4650" t="s">
        <v>8129</v>
      </c>
      <c r="U4650" t="s">
        <v>58</v>
      </c>
      <c r="V4650">
        <v>1</v>
      </c>
      <c r="W4650">
        <v>1</v>
      </c>
      <c r="X4650">
        <v>1</v>
      </c>
      <c r="Y4650">
        <v>0</v>
      </c>
      <c r="Z4650">
        <v>1</v>
      </c>
      <c r="AA4650">
        <v>117.07</v>
      </c>
      <c r="AB4650">
        <v>117.07</v>
      </c>
      <c r="AC4650">
        <v>103</v>
      </c>
      <c r="AD4650">
        <v>0</v>
      </c>
      <c r="AE4650">
        <v>14.07</v>
      </c>
      <c r="AF4650">
        <v>0</v>
      </c>
      <c r="AG4650">
        <v>0</v>
      </c>
      <c r="AH4650">
        <v>0</v>
      </c>
      <c r="AI4650">
        <v>0</v>
      </c>
      <c r="AJ4650">
        <v>117.07</v>
      </c>
      <c r="AK4650">
        <v>0</v>
      </c>
      <c r="AL4650" t="s">
        <v>53</v>
      </c>
      <c r="AM4650" t="s">
        <v>53</v>
      </c>
      <c r="AN4650" t="s">
        <v>53</v>
      </c>
      <c r="AO4650" t="s">
        <v>53</v>
      </c>
      <c r="AP4650" t="s">
        <v>53</v>
      </c>
    </row>
    <row r="4651" spans="2:42" x14ac:dyDescent="0.2">
      <c r="B4651" t="s">
        <v>44</v>
      </c>
      <c r="C4651" t="str">
        <f>HYPERLINK("https://us2.cloudbeds.com/connect/8493803454333002#/reservations/9080486845967863?display=27G1YJDV7X&amp;reservation_id=9080486845967863", "27G1YJDV7X")</f>
        <v>27G1YJDV7X</v>
      </c>
      <c r="D4651" t="s">
        <v>45</v>
      </c>
      <c r="E4651" t="s">
        <v>85</v>
      </c>
      <c r="F4651" t="s">
        <v>86</v>
      </c>
      <c r="G4651" t="s">
        <v>48</v>
      </c>
      <c r="H4651" t="s">
        <v>49</v>
      </c>
      <c r="I4651" t="s">
        <v>50</v>
      </c>
      <c r="J4651" t="s">
        <v>6944</v>
      </c>
      <c r="K4651" t="s">
        <v>7276</v>
      </c>
      <c r="L4651" t="s">
        <v>53</v>
      </c>
      <c r="N4651" t="s">
        <v>8130</v>
      </c>
      <c r="P4651" t="s">
        <v>55</v>
      </c>
      <c r="R4651" t="s">
        <v>53</v>
      </c>
      <c r="T4651" t="s">
        <v>8131</v>
      </c>
      <c r="U4651" t="s">
        <v>58</v>
      </c>
      <c r="V4651">
        <v>3</v>
      </c>
      <c r="W4651">
        <v>1</v>
      </c>
      <c r="X4651">
        <v>2</v>
      </c>
      <c r="Y4651">
        <v>0</v>
      </c>
      <c r="Z4651">
        <v>2</v>
      </c>
      <c r="AA4651">
        <v>510.06</v>
      </c>
      <c r="AB4651">
        <v>510.06</v>
      </c>
      <c r="AC4651">
        <v>448.8</v>
      </c>
      <c r="AD4651">
        <v>0</v>
      </c>
      <c r="AE4651">
        <v>61.26</v>
      </c>
      <c r="AF4651">
        <v>0</v>
      </c>
      <c r="AG4651">
        <v>0</v>
      </c>
      <c r="AH4651">
        <v>0</v>
      </c>
      <c r="AI4651">
        <v>91.81</v>
      </c>
      <c r="AJ4651">
        <v>510.06</v>
      </c>
      <c r="AK4651">
        <v>0</v>
      </c>
      <c r="AL4651" t="s">
        <v>53</v>
      </c>
      <c r="AM4651" t="s">
        <v>53</v>
      </c>
      <c r="AN4651" t="s">
        <v>53</v>
      </c>
      <c r="AO4651" t="s">
        <v>53</v>
      </c>
      <c r="AP4651" t="s">
        <v>53</v>
      </c>
    </row>
    <row r="4652" spans="2:42" x14ac:dyDescent="0.2">
      <c r="B4652" t="s">
        <v>44</v>
      </c>
      <c r="C4652" t="str">
        <f>HYPERLINK("https://us2.cloudbeds.com/connect/8493803454333002#/reservations/103370416357533?display=27GG0Z5895&amp;reservation_id=103370416357533", "27GG0Z5895")</f>
        <v>27GG0Z5895</v>
      </c>
      <c r="D4652" t="s">
        <v>45</v>
      </c>
      <c r="E4652" t="s">
        <v>155</v>
      </c>
      <c r="F4652" t="s">
        <v>86</v>
      </c>
      <c r="G4652" t="s">
        <v>48</v>
      </c>
      <c r="H4652" t="s">
        <v>3957</v>
      </c>
      <c r="I4652" t="s">
        <v>3975</v>
      </c>
      <c r="J4652" t="s">
        <v>7275</v>
      </c>
      <c r="K4652" t="s">
        <v>7872</v>
      </c>
      <c r="L4652" t="s">
        <v>53</v>
      </c>
      <c r="P4652" t="s">
        <v>55</v>
      </c>
      <c r="R4652" t="s">
        <v>53</v>
      </c>
      <c r="T4652" t="s">
        <v>8132</v>
      </c>
      <c r="U4652" t="s">
        <v>58</v>
      </c>
      <c r="V4652">
        <v>3</v>
      </c>
      <c r="W4652">
        <v>1</v>
      </c>
      <c r="X4652">
        <v>2</v>
      </c>
      <c r="Y4652">
        <v>2</v>
      </c>
      <c r="Z4652">
        <v>4</v>
      </c>
      <c r="AA4652">
        <v>667.14</v>
      </c>
      <c r="AB4652">
        <v>667.14</v>
      </c>
      <c r="AC4652">
        <v>587</v>
      </c>
      <c r="AD4652">
        <v>0</v>
      </c>
      <c r="AE4652">
        <v>80.14</v>
      </c>
      <c r="AF4652">
        <v>0</v>
      </c>
      <c r="AG4652">
        <v>0</v>
      </c>
      <c r="AH4652">
        <v>0</v>
      </c>
      <c r="AI4652">
        <v>0</v>
      </c>
      <c r="AJ4652">
        <v>667.14</v>
      </c>
      <c r="AK4652">
        <v>0</v>
      </c>
      <c r="AL4652" t="s">
        <v>53</v>
      </c>
      <c r="AM4652" t="s">
        <v>53</v>
      </c>
      <c r="AN4652" t="s">
        <v>53</v>
      </c>
      <c r="AO4652" t="s">
        <v>53</v>
      </c>
      <c r="AP4652" t="s">
        <v>53</v>
      </c>
    </row>
    <row r="4653" spans="2:42" x14ac:dyDescent="0.2">
      <c r="B4653" t="s">
        <v>44</v>
      </c>
      <c r="C4653" t="str">
        <f>HYPERLINK("https://us2.cloudbeds.com/connect/8493803454333002#/reservations/103388528967818?display=27GU1X6AVG&amp;reservation_id=103388528967818", "27GU1X6AVG")</f>
        <v>27GU1X6AVG</v>
      </c>
      <c r="D4653" t="s">
        <v>45</v>
      </c>
      <c r="E4653" t="s">
        <v>128</v>
      </c>
      <c r="F4653" t="s">
        <v>86</v>
      </c>
      <c r="G4653" t="s">
        <v>3974</v>
      </c>
      <c r="H4653" t="s">
        <v>3957</v>
      </c>
      <c r="I4653" t="s">
        <v>3975</v>
      </c>
      <c r="J4653" t="s">
        <v>8133</v>
      </c>
      <c r="K4653" t="s">
        <v>7822</v>
      </c>
      <c r="L4653" t="s">
        <v>53</v>
      </c>
      <c r="P4653" t="s">
        <v>55</v>
      </c>
      <c r="R4653" t="s">
        <v>53</v>
      </c>
      <c r="T4653" t="s">
        <v>8134</v>
      </c>
      <c r="U4653" t="s">
        <v>58</v>
      </c>
      <c r="V4653">
        <v>1</v>
      </c>
      <c r="W4653">
        <v>1</v>
      </c>
      <c r="X4653">
        <v>2</v>
      </c>
      <c r="Y4653">
        <v>1</v>
      </c>
      <c r="Z4653">
        <v>3</v>
      </c>
      <c r="AA4653">
        <v>237.53</v>
      </c>
      <c r="AB4653">
        <v>237.53</v>
      </c>
      <c r="AC4653">
        <v>209</v>
      </c>
      <c r="AD4653">
        <v>0</v>
      </c>
      <c r="AE4653">
        <v>28.53</v>
      </c>
      <c r="AF4653">
        <v>0</v>
      </c>
      <c r="AG4653">
        <v>0</v>
      </c>
      <c r="AH4653">
        <v>0</v>
      </c>
      <c r="AI4653">
        <v>0</v>
      </c>
      <c r="AJ4653">
        <v>237.53</v>
      </c>
      <c r="AK4653">
        <v>0</v>
      </c>
      <c r="AL4653" t="s">
        <v>53</v>
      </c>
      <c r="AM4653" t="s">
        <v>53</v>
      </c>
      <c r="AN4653" t="s">
        <v>53</v>
      </c>
      <c r="AO4653" t="s">
        <v>53</v>
      </c>
      <c r="AP4653" t="s">
        <v>53</v>
      </c>
    </row>
    <row r="4654" spans="2:42" x14ac:dyDescent="0.2">
      <c r="B4654" t="s">
        <v>44</v>
      </c>
      <c r="C4654" t="str">
        <f>HYPERLINK("https://us2.cloudbeds.com/connect/8493803454333002#/reservations/103388528971925?display=27GU1X6ENV&amp;reservation_id=103388528971925", "27GU1X6ENV")</f>
        <v>27GU1X6ENV</v>
      </c>
      <c r="D4654" t="s">
        <v>45</v>
      </c>
      <c r="E4654" t="s">
        <v>185</v>
      </c>
      <c r="F4654" t="s">
        <v>47</v>
      </c>
      <c r="G4654" t="s">
        <v>48</v>
      </c>
      <c r="H4654" t="s">
        <v>3957</v>
      </c>
      <c r="I4654" t="s">
        <v>3975</v>
      </c>
      <c r="J4654" t="s">
        <v>7078</v>
      </c>
      <c r="K4654" t="s">
        <v>6855</v>
      </c>
      <c r="L4654" t="s">
        <v>53</v>
      </c>
      <c r="P4654" t="s">
        <v>55</v>
      </c>
      <c r="R4654" t="s">
        <v>53</v>
      </c>
      <c r="T4654" t="s">
        <v>8135</v>
      </c>
      <c r="U4654" t="s">
        <v>58</v>
      </c>
      <c r="V4654">
        <v>1</v>
      </c>
      <c r="W4654">
        <v>1</v>
      </c>
      <c r="X4654">
        <v>2</v>
      </c>
      <c r="Y4654">
        <v>0</v>
      </c>
      <c r="Z4654">
        <v>2</v>
      </c>
      <c r="AA4654">
        <v>117.07</v>
      </c>
      <c r="AB4654">
        <v>117.07</v>
      </c>
      <c r="AC4654">
        <v>103</v>
      </c>
      <c r="AD4654">
        <v>0</v>
      </c>
      <c r="AE4654">
        <v>14.07</v>
      </c>
      <c r="AF4654">
        <v>0</v>
      </c>
      <c r="AG4654">
        <v>0</v>
      </c>
      <c r="AH4654">
        <v>0</v>
      </c>
      <c r="AI4654">
        <v>0</v>
      </c>
      <c r="AJ4654">
        <v>117.07</v>
      </c>
      <c r="AK4654">
        <v>0</v>
      </c>
      <c r="AL4654" t="s">
        <v>53</v>
      </c>
      <c r="AM4654" t="s">
        <v>53</v>
      </c>
      <c r="AN4654" t="s">
        <v>53</v>
      </c>
      <c r="AO4654" t="s">
        <v>53</v>
      </c>
      <c r="AP4654" t="s">
        <v>53</v>
      </c>
    </row>
    <row r="4655" spans="2:42" x14ac:dyDescent="0.2">
      <c r="B4655" t="s">
        <v>44</v>
      </c>
      <c r="C4655" t="str">
        <f>HYPERLINK("https://us2.cloudbeds.com/connect/8493803454333002#/reservations/9080486845968405?display=27H0D13CTA&amp;reservation_id=9080486845968405", "27H0D13CTA")</f>
        <v>27H0D13CTA</v>
      </c>
      <c r="D4655" t="s">
        <v>45</v>
      </c>
      <c r="E4655" t="s">
        <v>179</v>
      </c>
      <c r="F4655" t="s">
        <v>47</v>
      </c>
      <c r="G4655" t="s">
        <v>48</v>
      </c>
      <c r="H4655" t="s">
        <v>49</v>
      </c>
      <c r="I4655" t="s">
        <v>62</v>
      </c>
      <c r="J4655" t="s">
        <v>7078</v>
      </c>
      <c r="K4655" t="s">
        <v>6855</v>
      </c>
      <c r="L4655" t="s">
        <v>53</v>
      </c>
      <c r="N4655" t="s">
        <v>8136</v>
      </c>
      <c r="P4655" t="s">
        <v>55</v>
      </c>
      <c r="R4655" t="s">
        <v>56</v>
      </c>
      <c r="T4655" t="s">
        <v>8137</v>
      </c>
      <c r="U4655" t="s">
        <v>55</v>
      </c>
      <c r="V4655">
        <v>1</v>
      </c>
      <c r="W4655">
        <v>1</v>
      </c>
      <c r="X4655">
        <v>2</v>
      </c>
      <c r="Y4655">
        <v>0</v>
      </c>
      <c r="Z4655">
        <v>2</v>
      </c>
      <c r="AA4655">
        <v>103</v>
      </c>
      <c r="AB4655">
        <v>103</v>
      </c>
      <c r="AC4655">
        <v>103</v>
      </c>
      <c r="AD4655">
        <v>0</v>
      </c>
      <c r="AE4655">
        <v>0</v>
      </c>
      <c r="AF4655">
        <v>0</v>
      </c>
      <c r="AG4655">
        <v>0</v>
      </c>
      <c r="AH4655">
        <v>0</v>
      </c>
      <c r="AI4655">
        <v>18.54</v>
      </c>
      <c r="AJ4655">
        <v>103</v>
      </c>
      <c r="AK4655">
        <v>0</v>
      </c>
      <c r="AL4655" t="s">
        <v>53</v>
      </c>
      <c r="AM4655" t="s">
        <v>53</v>
      </c>
      <c r="AN4655" t="s">
        <v>53</v>
      </c>
      <c r="AO4655" t="s">
        <v>53</v>
      </c>
      <c r="AP4655" t="s">
        <v>53</v>
      </c>
    </row>
    <row r="4656" spans="2:42" x14ac:dyDescent="0.2">
      <c r="B4656" t="s">
        <v>44</v>
      </c>
      <c r="C4656" t="str">
        <f>HYPERLINK("https://us2.cloudbeds.com/connect/8493803454333002#/reservations/9080486845968745?display=27HNBVRHF9&amp;reservation_id=9080486845968745", "27HNBVRHF9")</f>
        <v>27HNBVRHF9</v>
      </c>
      <c r="D4656" t="s">
        <v>45</v>
      </c>
      <c r="E4656" t="s">
        <v>138</v>
      </c>
      <c r="F4656" t="s">
        <v>70</v>
      </c>
      <c r="G4656" t="s">
        <v>48</v>
      </c>
      <c r="H4656" t="s">
        <v>49</v>
      </c>
      <c r="I4656" t="s">
        <v>62</v>
      </c>
      <c r="J4656" t="s">
        <v>8138</v>
      </c>
      <c r="K4656" t="s">
        <v>8139</v>
      </c>
      <c r="L4656" t="s">
        <v>53</v>
      </c>
      <c r="N4656" t="s">
        <v>8140</v>
      </c>
      <c r="P4656" t="s">
        <v>55</v>
      </c>
      <c r="R4656" t="s">
        <v>56</v>
      </c>
      <c r="T4656" t="s">
        <v>8141</v>
      </c>
      <c r="U4656" t="s">
        <v>55</v>
      </c>
      <c r="V4656">
        <v>4</v>
      </c>
      <c r="W4656">
        <v>1</v>
      </c>
      <c r="X4656">
        <v>2</v>
      </c>
      <c r="Y4656">
        <v>0</v>
      </c>
      <c r="Z4656">
        <v>2</v>
      </c>
      <c r="AA4656">
        <v>899</v>
      </c>
      <c r="AB4656">
        <v>899</v>
      </c>
      <c r="AC4656">
        <v>899</v>
      </c>
      <c r="AD4656">
        <v>0</v>
      </c>
      <c r="AE4656">
        <v>0</v>
      </c>
      <c r="AF4656">
        <v>0</v>
      </c>
      <c r="AG4656">
        <v>0</v>
      </c>
      <c r="AH4656">
        <v>0</v>
      </c>
      <c r="AI4656">
        <v>161.82</v>
      </c>
      <c r="AJ4656">
        <v>899</v>
      </c>
      <c r="AK4656">
        <v>0</v>
      </c>
      <c r="AL4656" t="s">
        <v>53</v>
      </c>
      <c r="AM4656" t="s">
        <v>53</v>
      </c>
      <c r="AN4656" t="s">
        <v>53</v>
      </c>
      <c r="AO4656" t="s">
        <v>53</v>
      </c>
      <c r="AP4656" t="s">
        <v>53</v>
      </c>
    </row>
    <row r="4657" spans="2:42" x14ac:dyDescent="0.2">
      <c r="B4657" t="s">
        <v>44</v>
      </c>
      <c r="C4657" t="str">
        <f>HYPERLINK("https://us2.cloudbeds.com/connect/8493803454333002#/reservations/103510170927350?display=27JP7PU5JA&amp;reservation_id=103510170927350", "27JP7PU5JA")</f>
        <v>27JP7PU5JA</v>
      </c>
      <c r="D4657" t="s">
        <v>45</v>
      </c>
      <c r="E4657" t="s">
        <v>213</v>
      </c>
      <c r="F4657" t="s">
        <v>86</v>
      </c>
      <c r="G4657" t="s">
        <v>3974</v>
      </c>
      <c r="H4657" t="s">
        <v>3957</v>
      </c>
      <c r="I4657" t="s">
        <v>3975</v>
      </c>
      <c r="J4657" t="s">
        <v>6586</v>
      </c>
      <c r="K4657" t="s">
        <v>5967</v>
      </c>
      <c r="L4657" t="s">
        <v>53</v>
      </c>
      <c r="P4657" t="s">
        <v>55</v>
      </c>
      <c r="R4657" t="s">
        <v>53</v>
      </c>
      <c r="T4657" t="s">
        <v>8142</v>
      </c>
      <c r="U4657" t="s">
        <v>58</v>
      </c>
      <c r="V4657">
        <v>1</v>
      </c>
      <c r="W4657">
        <v>1</v>
      </c>
      <c r="X4657">
        <v>2</v>
      </c>
      <c r="Y4657">
        <v>0</v>
      </c>
      <c r="Z4657">
        <v>2</v>
      </c>
      <c r="AA4657">
        <v>125.25</v>
      </c>
      <c r="AB4657">
        <v>125.25</v>
      </c>
      <c r="AC4657">
        <v>110.2</v>
      </c>
      <c r="AD4657">
        <v>0</v>
      </c>
      <c r="AE4657">
        <v>15.05</v>
      </c>
      <c r="AF4657">
        <v>0</v>
      </c>
      <c r="AG4657">
        <v>0</v>
      </c>
      <c r="AH4657">
        <v>0</v>
      </c>
      <c r="AI4657">
        <v>0</v>
      </c>
      <c r="AJ4657">
        <v>125.25</v>
      </c>
      <c r="AK4657">
        <v>0</v>
      </c>
      <c r="AL4657" t="s">
        <v>53</v>
      </c>
      <c r="AM4657" t="s">
        <v>53</v>
      </c>
      <c r="AN4657" t="s">
        <v>53</v>
      </c>
      <c r="AO4657" t="s">
        <v>53</v>
      </c>
      <c r="AP4657" t="s">
        <v>53</v>
      </c>
    </row>
    <row r="4658" spans="2:42" x14ac:dyDescent="0.2">
      <c r="B4658" t="s">
        <v>44</v>
      </c>
      <c r="C4658" t="str">
        <f>HYPERLINK("https://us2.cloudbeds.com/connect/8493803454333002#/reservations/9080486845969901?display=27JU4CJD78&amp;reservation_id=9080486845969901", "27JU4CJD78")</f>
        <v>27JU4CJD78</v>
      </c>
      <c r="D4658" t="s">
        <v>45</v>
      </c>
      <c r="E4658" t="s">
        <v>138</v>
      </c>
      <c r="F4658" t="s">
        <v>70</v>
      </c>
      <c r="G4658" t="s">
        <v>48</v>
      </c>
      <c r="H4658" t="s">
        <v>49</v>
      </c>
      <c r="I4658" t="s">
        <v>62</v>
      </c>
      <c r="J4658" t="s">
        <v>7822</v>
      </c>
      <c r="K4658" t="s">
        <v>8143</v>
      </c>
      <c r="L4658" t="s">
        <v>53</v>
      </c>
      <c r="N4658" t="s">
        <v>8144</v>
      </c>
      <c r="P4658" t="s">
        <v>55</v>
      </c>
      <c r="R4658" t="s">
        <v>56</v>
      </c>
      <c r="T4658" t="s">
        <v>8145</v>
      </c>
      <c r="U4658" t="s">
        <v>55</v>
      </c>
      <c r="V4658">
        <v>1</v>
      </c>
      <c r="W4658">
        <v>1</v>
      </c>
      <c r="X4658">
        <v>2</v>
      </c>
      <c r="Y4658">
        <v>0</v>
      </c>
      <c r="Z4658">
        <v>2</v>
      </c>
      <c r="AA4658">
        <v>169.1</v>
      </c>
      <c r="AB4658">
        <v>169.1</v>
      </c>
      <c r="AC4658">
        <v>169.1</v>
      </c>
      <c r="AD4658">
        <v>0</v>
      </c>
      <c r="AE4658">
        <v>0</v>
      </c>
      <c r="AF4658">
        <v>0</v>
      </c>
      <c r="AG4658">
        <v>0</v>
      </c>
      <c r="AH4658">
        <v>0</v>
      </c>
      <c r="AI4658">
        <v>30.44</v>
      </c>
      <c r="AJ4658">
        <v>169.1</v>
      </c>
      <c r="AK4658">
        <v>0</v>
      </c>
      <c r="AL4658" t="s">
        <v>53</v>
      </c>
      <c r="AM4658" t="s">
        <v>53</v>
      </c>
      <c r="AN4658" t="s">
        <v>53</v>
      </c>
      <c r="AO4658" t="s">
        <v>53</v>
      </c>
      <c r="AP4658" t="s">
        <v>53</v>
      </c>
    </row>
    <row r="4659" spans="2:42" x14ac:dyDescent="0.2">
      <c r="B4659" t="s">
        <v>44</v>
      </c>
      <c r="C4659" t="str">
        <f>HYPERLINK("https://us2.cloudbeds.com/connect/8493803454333002#/reservations/9080486845970735?display=27Y6F4HTNP&amp;reservation_id=9080486845970735", "27Y6F4HTNP")</f>
        <v>27Y6F4HTNP</v>
      </c>
      <c r="D4659" t="s">
        <v>45</v>
      </c>
      <c r="E4659" t="s">
        <v>92</v>
      </c>
      <c r="F4659" t="s">
        <v>86</v>
      </c>
      <c r="G4659" t="s">
        <v>48</v>
      </c>
      <c r="H4659" t="s">
        <v>49</v>
      </c>
      <c r="I4659" t="s">
        <v>50</v>
      </c>
      <c r="J4659" t="s">
        <v>5967</v>
      </c>
      <c r="K4659" t="s">
        <v>5431</v>
      </c>
      <c r="L4659" t="s">
        <v>53</v>
      </c>
      <c r="N4659" t="s">
        <v>8146</v>
      </c>
      <c r="P4659" t="s">
        <v>55</v>
      </c>
      <c r="R4659" t="s">
        <v>53</v>
      </c>
      <c r="T4659" t="s">
        <v>8147</v>
      </c>
      <c r="U4659" t="s">
        <v>58</v>
      </c>
      <c r="V4659">
        <v>2</v>
      </c>
      <c r="W4659">
        <v>1</v>
      </c>
      <c r="X4659">
        <v>2</v>
      </c>
      <c r="Y4659">
        <v>0</v>
      </c>
      <c r="Z4659">
        <v>2</v>
      </c>
      <c r="AA4659">
        <v>281.79000000000002</v>
      </c>
      <c r="AB4659">
        <v>281.79000000000002</v>
      </c>
      <c r="AC4659">
        <v>247.95</v>
      </c>
      <c r="AD4659">
        <v>0</v>
      </c>
      <c r="AE4659">
        <v>33.840000000000003</v>
      </c>
      <c r="AF4659">
        <v>0</v>
      </c>
      <c r="AG4659">
        <v>0</v>
      </c>
      <c r="AH4659">
        <v>0</v>
      </c>
      <c r="AI4659">
        <v>50.72</v>
      </c>
      <c r="AJ4659">
        <v>281.79000000000002</v>
      </c>
      <c r="AK4659">
        <v>0</v>
      </c>
      <c r="AL4659" t="s">
        <v>53</v>
      </c>
      <c r="AM4659" t="s">
        <v>53</v>
      </c>
      <c r="AN4659" t="s">
        <v>8148</v>
      </c>
      <c r="AO4659" t="s">
        <v>53</v>
      </c>
      <c r="AP4659" t="s">
        <v>53</v>
      </c>
    </row>
    <row r="4660" spans="2:42" x14ac:dyDescent="0.2">
      <c r="B4660" t="s">
        <v>44</v>
      </c>
      <c r="C4660" t="str">
        <f>HYPERLINK("https://us2.cloudbeds.com/connect/8493803454333002#/reservations/9080486845971128?display=27YMMDFFJ4&amp;reservation_id=9080486845971128", "27YMMDFFJ4")</f>
        <v>27YMMDFFJ4</v>
      </c>
      <c r="D4660" t="s">
        <v>45</v>
      </c>
      <c r="E4660" t="s">
        <v>373</v>
      </c>
      <c r="F4660" t="s">
        <v>47</v>
      </c>
      <c r="G4660" t="s">
        <v>48</v>
      </c>
      <c r="H4660" t="s">
        <v>49</v>
      </c>
      <c r="I4660" t="s">
        <v>50</v>
      </c>
      <c r="J4660" t="s">
        <v>6885</v>
      </c>
      <c r="K4660" t="s">
        <v>6999</v>
      </c>
      <c r="L4660" t="s">
        <v>53</v>
      </c>
      <c r="N4660" t="s">
        <v>8149</v>
      </c>
      <c r="P4660" t="s">
        <v>55</v>
      </c>
      <c r="R4660" t="s">
        <v>53</v>
      </c>
      <c r="T4660" t="s">
        <v>8150</v>
      </c>
      <c r="U4660" t="s">
        <v>58</v>
      </c>
      <c r="V4660">
        <v>1</v>
      </c>
      <c r="W4660">
        <v>1</v>
      </c>
      <c r="X4660">
        <v>2</v>
      </c>
      <c r="Y4660">
        <v>0</v>
      </c>
      <c r="Z4660">
        <v>2</v>
      </c>
      <c r="AA4660">
        <v>108.43</v>
      </c>
      <c r="AB4660">
        <v>108.43</v>
      </c>
      <c r="AC4660">
        <v>95.4</v>
      </c>
      <c r="AD4660">
        <v>0</v>
      </c>
      <c r="AE4660">
        <v>13.03</v>
      </c>
      <c r="AF4660">
        <v>0</v>
      </c>
      <c r="AG4660">
        <v>0</v>
      </c>
      <c r="AH4660">
        <v>0</v>
      </c>
      <c r="AI4660">
        <v>19.52</v>
      </c>
      <c r="AJ4660">
        <v>108.43</v>
      </c>
      <c r="AK4660">
        <v>0</v>
      </c>
      <c r="AL4660" t="s">
        <v>53</v>
      </c>
      <c r="AM4660" t="s">
        <v>53</v>
      </c>
      <c r="AN4660" t="s">
        <v>8151</v>
      </c>
      <c r="AO4660" t="s">
        <v>53</v>
      </c>
      <c r="AP4660" t="s">
        <v>53</v>
      </c>
    </row>
    <row r="4661" spans="2:42" x14ac:dyDescent="0.2">
      <c r="B4661" t="s">
        <v>44</v>
      </c>
      <c r="C4661" t="str">
        <f>HYPERLINK("https://us2.cloudbeds.com/connect/8493803454333002#/reservations/9080486845971333?display=27YTZJUWM5&amp;reservation_id=9080486845971333", "27YTZJUWM5")</f>
        <v>27YTZJUWM5</v>
      </c>
      <c r="D4661" t="s">
        <v>45</v>
      </c>
      <c r="E4661" t="s">
        <v>190</v>
      </c>
      <c r="F4661" t="s">
        <v>61</v>
      </c>
      <c r="G4661" t="s">
        <v>48</v>
      </c>
      <c r="H4661" t="s">
        <v>49</v>
      </c>
      <c r="I4661" t="s">
        <v>50</v>
      </c>
      <c r="J4661" t="s">
        <v>6855</v>
      </c>
      <c r="K4661" t="s">
        <v>6885</v>
      </c>
      <c r="L4661" t="s">
        <v>53</v>
      </c>
      <c r="N4661" t="s">
        <v>8152</v>
      </c>
      <c r="P4661" t="s">
        <v>55</v>
      </c>
      <c r="R4661" t="s">
        <v>53</v>
      </c>
      <c r="T4661" t="s">
        <v>8153</v>
      </c>
      <c r="U4661" t="s">
        <v>58</v>
      </c>
      <c r="V4661">
        <v>1</v>
      </c>
      <c r="W4661">
        <v>1</v>
      </c>
      <c r="X4661">
        <v>2</v>
      </c>
      <c r="Y4661">
        <v>0</v>
      </c>
      <c r="Z4661">
        <v>2</v>
      </c>
      <c r="AA4661">
        <v>109.45</v>
      </c>
      <c r="AB4661">
        <v>109.45</v>
      </c>
      <c r="AC4661">
        <v>96.3</v>
      </c>
      <c r="AD4661">
        <v>0</v>
      </c>
      <c r="AE4661">
        <v>13.15</v>
      </c>
      <c r="AF4661">
        <v>0</v>
      </c>
      <c r="AG4661">
        <v>0</v>
      </c>
      <c r="AH4661">
        <v>0</v>
      </c>
      <c r="AI4661">
        <v>19.7</v>
      </c>
      <c r="AJ4661">
        <v>109.45</v>
      </c>
      <c r="AK4661">
        <v>0</v>
      </c>
      <c r="AL4661" t="s">
        <v>53</v>
      </c>
      <c r="AM4661" t="s">
        <v>53</v>
      </c>
      <c r="AN4661" t="s">
        <v>53</v>
      </c>
      <c r="AO4661" t="s">
        <v>53</v>
      </c>
      <c r="AP4661" t="s">
        <v>53</v>
      </c>
    </row>
    <row r="4662" spans="2:42" x14ac:dyDescent="0.2">
      <c r="B4662" t="s">
        <v>44</v>
      </c>
      <c r="C4662" t="str">
        <f>HYPERLINK("https://us2.cloudbeds.com/connect/8493803454333002#/reservations/103626951184626?display=27MGYQ3W5B&amp;reservation_id=103626951184626", "27MGYQ3W5B")</f>
        <v>27MGYQ3W5B</v>
      </c>
      <c r="D4662" t="s">
        <v>45</v>
      </c>
      <c r="E4662" t="s">
        <v>46</v>
      </c>
      <c r="F4662" t="s">
        <v>47</v>
      </c>
      <c r="G4662" t="s">
        <v>48</v>
      </c>
      <c r="H4662" t="s">
        <v>3957</v>
      </c>
      <c r="I4662" t="s">
        <v>3958</v>
      </c>
      <c r="J4662" t="s">
        <v>5622</v>
      </c>
      <c r="K4662" t="s">
        <v>5623</v>
      </c>
      <c r="L4662" t="s">
        <v>53</v>
      </c>
      <c r="P4662" t="s">
        <v>55</v>
      </c>
      <c r="R4662" t="s">
        <v>56</v>
      </c>
      <c r="T4662" t="s">
        <v>8154</v>
      </c>
      <c r="U4662" t="s">
        <v>58</v>
      </c>
      <c r="V4662">
        <v>1</v>
      </c>
      <c r="W4662">
        <v>1</v>
      </c>
      <c r="X4662">
        <v>1</v>
      </c>
      <c r="Y4662">
        <v>0</v>
      </c>
      <c r="Z4662">
        <v>1</v>
      </c>
      <c r="AA4662">
        <v>202.3</v>
      </c>
      <c r="AB4662">
        <v>202.3</v>
      </c>
      <c r="AC4662">
        <v>178</v>
      </c>
      <c r="AD4662">
        <v>0</v>
      </c>
      <c r="AE4662">
        <v>24.3</v>
      </c>
      <c r="AF4662">
        <v>0</v>
      </c>
      <c r="AG4662">
        <v>0</v>
      </c>
      <c r="AH4662">
        <v>0</v>
      </c>
      <c r="AI4662">
        <v>0</v>
      </c>
      <c r="AJ4662">
        <v>202.3</v>
      </c>
      <c r="AK4662">
        <v>0</v>
      </c>
      <c r="AL4662" t="s">
        <v>53</v>
      </c>
      <c r="AM4662" t="s">
        <v>53</v>
      </c>
      <c r="AN4662" t="s">
        <v>53</v>
      </c>
      <c r="AO4662" t="s">
        <v>53</v>
      </c>
      <c r="AP4662" t="s">
        <v>53</v>
      </c>
    </row>
    <row r="4663" spans="2:42" x14ac:dyDescent="0.2">
      <c r="B4663" t="s">
        <v>44</v>
      </c>
      <c r="C4663" t="str">
        <f>HYPERLINK("https://us2.cloudbeds.com/connect/8493803454333002#/reservations/9080486845972463?display=27MV7PWUV7&amp;reservation_id=9080486845972463", "27MV7PWUV7")</f>
        <v>27MV7PWUV7</v>
      </c>
      <c r="D4663" t="s">
        <v>45</v>
      </c>
      <c r="E4663" t="s">
        <v>121</v>
      </c>
      <c r="F4663" t="s">
        <v>86</v>
      </c>
      <c r="G4663" t="s">
        <v>48</v>
      </c>
      <c r="H4663" t="s">
        <v>49</v>
      </c>
      <c r="I4663" t="s">
        <v>50</v>
      </c>
      <c r="J4663" t="s">
        <v>6855</v>
      </c>
      <c r="K4663" t="s">
        <v>6885</v>
      </c>
      <c r="L4663" t="s">
        <v>53</v>
      </c>
      <c r="N4663" t="s">
        <v>8155</v>
      </c>
      <c r="P4663" t="s">
        <v>55</v>
      </c>
      <c r="R4663" t="s">
        <v>53</v>
      </c>
      <c r="T4663" t="s">
        <v>8156</v>
      </c>
      <c r="U4663" t="s">
        <v>58</v>
      </c>
      <c r="V4663">
        <v>1</v>
      </c>
      <c r="W4663">
        <v>1</v>
      </c>
      <c r="X4663">
        <v>2</v>
      </c>
      <c r="Y4663">
        <v>0</v>
      </c>
      <c r="Z4663">
        <v>2</v>
      </c>
      <c r="AA4663">
        <v>101.83</v>
      </c>
      <c r="AB4663">
        <v>101.83</v>
      </c>
      <c r="AC4663">
        <v>89.6</v>
      </c>
      <c r="AD4663">
        <v>0</v>
      </c>
      <c r="AE4663">
        <v>12.23</v>
      </c>
      <c r="AF4663">
        <v>0</v>
      </c>
      <c r="AG4663">
        <v>0</v>
      </c>
      <c r="AH4663">
        <v>0</v>
      </c>
      <c r="AI4663">
        <v>18.329999999999998</v>
      </c>
      <c r="AJ4663">
        <v>101.83</v>
      </c>
      <c r="AK4663">
        <v>0</v>
      </c>
      <c r="AL4663" t="s">
        <v>53</v>
      </c>
      <c r="AM4663" t="s">
        <v>53</v>
      </c>
      <c r="AN4663" t="s">
        <v>53</v>
      </c>
      <c r="AO4663" t="s">
        <v>53</v>
      </c>
      <c r="AP4663" t="s">
        <v>53</v>
      </c>
    </row>
    <row r="4664" spans="2:42" x14ac:dyDescent="0.2">
      <c r="B4664" t="s">
        <v>44</v>
      </c>
      <c r="C4664" t="str">
        <f>HYPERLINK("https://us2.cloudbeds.com/connect/8493803454333002#/reservations/9080486845972565?display=27N1QZ42TC&amp;reservation_id=9080486845972565", "27N1QZ42TC")</f>
        <v>27N1QZ42TC</v>
      </c>
      <c r="D4664" t="s">
        <v>45</v>
      </c>
      <c r="E4664" t="s">
        <v>381</v>
      </c>
      <c r="F4664" t="s">
        <v>47</v>
      </c>
      <c r="G4664" t="s">
        <v>48</v>
      </c>
      <c r="H4664" t="s">
        <v>49</v>
      </c>
      <c r="I4664" t="s">
        <v>62</v>
      </c>
      <c r="J4664" t="s">
        <v>6855</v>
      </c>
      <c r="K4664" t="s">
        <v>6885</v>
      </c>
      <c r="L4664" t="s">
        <v>53</v>
      </c>
      <c r="N4664" t="s">
        <v>8157</v>
      </c>
      <c r="P4664" t="s">
        <v>55</v>
      </c>
      <c r="R4664" t="s">
        <v>56</v>
      </c>
      <c r="T4664" t="s">
        <v>8158</v>
      </c>
      <c r="U4664" t="s">
        <v>55</v>
      </c>
      <c r="V4664">
        <v>1</v>
      </c>
      <c r="W4664">
        <v>1</v>
      </c>
      <c r="X4664">
        <v>2</v>
      </c>
      <c r="Y4664">
        <v>0</v>
      </c>
      <c r="Z4664">
        <v>2</v>
      </c>
      <c r="AA4664">
        <v>95</v>
      </c>
      <c r="AB4664">
        <v>95</v>
      </c>
      <c r="AC4664">
        <v>95</v>
      </c>
      <c r="AD4664">
        <v>0</v>
      </c>
      <c r="AE4664">
        <v>0</v>
      </c>
      <c r="AF4664">
        <v>0</v>
      </c>
      <c r="AG4664">
        <v>0</v>
      </c>
      <c r="AH4664">
        <v>0</v>
      </c>
      <c r="AI4664">
        <v>17.100000000000001</v>
      </c>
      <c r="AJ4664">
        <v>95</v>
      </c>
      <c r="AK4664">
        <v>0</v>
      </c>
      <c r="AL4664" t="s">
        <v>53</v>
      </c>
      <c r="AM4664" t="s">
        <v>53</v>
      </c>
      <c r="AN4664" t="s">
        <v>53</v>
      </c>
      <c r="AO4664" t="s">
        <v>53</v>
      </c>
      <c r="AP4664" t="s">
        <v>53</v>
      </c>
    </row>
    <row r="4665" spans="2:42" x14ac:dyDescent="0.2">
      <c r="B4665" t="s">
        <v>44</v>
      </c>
      <c r="C4665" t="str">
        <f>HYPERLINK("https://us2.cloudbeds.com/connect/8493803454333002#/reservations/9080486845972971?display=27NFKF42CM&amp;reservation_id=9080486845972971", "27NFKF42CM")</f>
        <v>27NFKF42CM</v>
      </c>
      <c r="D4665" t="s">
        <v>45</v>
      </c>
      <c r="E4665" t="s">
        <v>46</v>
      </c>
      <c r="F4665" t="s">
        <v>47</v>
      </c>
      <c r="G4665" t="s">
        <v>48</v>
      </c>
      <c r="H4665" t="s">
        <v>49</v>
      </c>
      <c r="I4665" t="s">
        <v>62</v>
      </c>
      <c r="J4665" t="s">
        <v>6855</v>
      </c>
      <c r="K4665" t="s">
        <v>6885</v>
      </c>
      <c r="L4665" t="s">
        <v>53</v>
      </c>
      <c r="N4665" t="s">
        <v>8159</v>
      </c>
      <c r="P4665" t="s">
        <v>55</v>
      </c>
      <c r="R4665" t="s">
        <v>56</v>
      </c>
      <c r="T4665" t="s">
        <v>8160</v>
      </c>
      <c r="U4665" t="s">
        <v>55</v>
      </c>
      <c r="V4665">
        <v>1</v>
      </c>
      <c r="W4665">
        <v>1</v>
      </c>
      <c r="X4665">
        <v>1</v>
      </c>
      <c r="Y4665">
        <v>0</v>
      </c>
      <c r="Z4665">
        <v>1</v>
      </c>
      <c r="AA4665">
        <v>95</v>
      </c>
      <c r="AB4665">
        <v>95</v>
      </c>
      <c r="AC4665">
        <v>95</v>
      </c>
      <c r="AD4665">
        <v>0</v>
      </c>
      <c r="AE4665">
        <v>0</v>
      </c>
      <c r="AF4665">
        <v>0</v>
      </c>
      <c r="AG4665">
        <v>0</v>
      </c>
      <c r="AH4665">
        <v>0</v>
      </c>
      <c r="AI4665">
        <v>17.100000000000001</v>
      </c>
      <c r="AJ4665">
        <v>95</v>
      </c>
      <c r="AK4665">
        <v>0</v>
      </c>
      <c r="AL4665" t="s">
        <v>53</v>
      </c>
      <c r="AM4665" t="s">
        <v>53</v>
      </c>
      <c r="AN4665" t="s">
        <v>53</v>
      </c>
      <c r="AO4665" t="s">
        <v>53</v>
      </c>
      <c r="AP4665" t="s">
        <v>53</v>
      </c>
    </row>
    <row r="4666" spans="2:42" x14ac:dyDescent="0.2">
      <c r="B4666" t="s">
        <v>44</v>
      </c>
      <c r="C4666" t="str">
        <f>HYPERLINK("https://us2.cloudbeds.com/connect/8493803454333002#/reservations/9080486845972991?display=27NGYR7ZQX&amp;reservation_id=9080486845972991", "27NGYR7ZQX")</f>
        <v>27NGYR7ZQX</v>
      </c>
      <c r="D4666" t="s">
        <v>45</v>
      </c>
      <c r="E4666" t="s">
        <v>487</v>
      </c>
      <c r="F4666" t="s">
        <v>61</v>
      </c>
      <c r="G4666" t="s">
        <v>48</v>
      </c>
      <c r="H4666" t="s">
        <v>49</v>
      </c>
      <c r="I4666" t="s">
        <v>62</v>
      </c>
      <c r="J4666" t="s">
        <v>6855</v>
      </c>
      <c r="K4666" t="s">
        <v>6885</v>
      </c>
      <c r="L4666" t="s">
        <v>53</v>
      </c>
      <c r="N4666" t="s">
        <v>8161</v>
      </c>
      <c r="P4666" t="s">
        <v>55</v>
      </c>
      <c r="R4666" t="s">
        <v>56</v>
      </c>
      <c r="T4666" t="s">
        <v>8162</v>
      </c>
      <c r="U4666" t="s">
        <v>55</v>
      </c>
      <c r="V4666">
        <v>1</v>
      </c>
      <c r="W4666">
        <v>1</v>
      </c>
      <c r="X4666">
        <v>2</v>
      </c>
      <c r="Y4666">
        <v>0</v>
      </c>
      <c r="Z4666">
        <v>2</v>
      </c>
      <c r="AA4666">
        <v>107</v>
      </c>
      <c r="AB4666">
        <v>107</v>
      </c>
      <c r="AC4666">
        <v>107</v>
      </c>
      <c r="AD4666">
        <v>0</v>
      </c>
      <c r="AE4666">
        <v>0</v>
      </c>
      <c r="AF4666">
        <v>0</v>
      </c>
      <c r="AG4666">
        <v>0</v>
      </c>
      <c r="AH4666">
        <v>0</v>
      </c>
      <c r="AI4666">
        <v>19.260000000000002</v>
      </c>
      <c r="AJ4666">
        <v>107</v>
      </c>
      <c r="AK4666">
        <v>0</v>
      </c>
      <c r="AL4666" t="s">
        <v>53</v>
      </c>
      <c r="AM4666" t="s">
        <v>53</v>
      </c>
      <c r="AN4666" t="s">
        <v>53</v>
      </c>
      <c r="AO4666" t="s">
        <v>53</v>
      </c>
      <c r="AP4666" t="s">
        <v>53</v>
      </c>
    </row>
    <row r="4667" spans="2:42" x14ac:dyDescent="0.2">
      <c r="B4667" t="s">
        <v>44</v>
      </c>
      <c r="C4667" t="str">
        <f>HYPERLINK("https://us2.cloudbeds.com/connect/8493803454333002#/reservations/9080486845973073?display=27NJRB1FFW&amp;reservation_id=9080486845973073", "27NJRB1FFW")</f>
        <v>27NJRB1FFW</v>
      </c>
      <c r="D4667" t="s">
        <v>45</v>
      </c>
      <c r="E4667" t="s">
        <v>373</v>
      </c>
      <c r="F4667" t="s">
        <v>47</v>
      </c>
      <c r="G4667" t="s">
        <v>48</v>
      </c>
      <c r="H4667" t="s">
        <v>49</v>
      </c>
      <c r="I4667" t="s">
        <v>50</v>
      </c>
      <c r="J4667" t="s">
        <v>6855</v>
      </c>
      <c r="K4667" t="s">
        <v>6885</v>
      </c>
      <c r="L4667" t="s">
        <v>53</v>
      </c>
      <c r="N4667" t="s">
        <v>8163</v>
      </c>
      <c r="P4667" t="s">
        <v>55</v>
      </c>
      <c r="R4667" t="s">
        <v>53</v>
      </c>
      <c r="T4667" t="s">
        <v>8164</v>
      </c>
      <c r="U4667" t="s">
        <v>58</v>
      </c>
      <c r="V4667">
        <v>1</v>
      </c>
      <c r="W4667">
        <v>1</v>
      </c>
      <c r="X4667">
        <v>2</v>
      </c>
      <c r="Y4667">
        <v>0</v>
      </c>
      <c r="Z4667">
        <v>2</v>
      </c>
      <c r="AA4667">
        <v>97.17</v>
      </c>
      <c r="AB4667">
        <v>97.17</v>
      </c>
      <c r="AC4667">
        <v>85.5</v>
      </c>
      <c r="AD4667">
        <v>0</v>
      </c>
      <c r="AE4667">
        <v>11.67</v>
      </c>
      <c r="AF4667">
        <v>0</v>
      </c>
      <c r="AG4667">
        <v>0</v>
      </c>
      <c r="AH4667">
        <v>0</v>
      </c>
      <c r="AI4667">
        <v>17.489999999999998</v>
      </c>
      <c r="AJ4667">
        <v>97.17</v>
      </c>
      <c r="AK4667">
        <v>0</v>
      </c>
      <c r="AL4667" t="s">
        <v>53</v>
      </c>
      <c r="AM4667" t="s">
        <v>53</v>
      </c>
      <c r="AN4667" t="s">
        <v>53</v>
      </c>
      <c r="AO4667" t="s">
        <v>53</v>
      </c>
      <c r="AP4667" t="s">
        <v>53</v>
      </c>
    </row>
    <row r="4668" spans="2:42" x14ac:dyDescent="0.2">
      <c r="B4668" t="s">
        <v>44</v>
      </c>
      <c r="C4668" t="str">
        <f>HYPERLINK("https://us2.cloudbeds.com/connect/8493803454333002#/reservations/103676679839916?display=27NM5FY3ZH&amp;reservation_id=103676679839916", "27NM5FY3ZH")</f>
        <v>27NM5FY3ZH</v>
      </c>
      <c r="D4668" t="s">
        <v>45</v>
      </c>
      <c r="E4668" t="s">
        <v>8165</v>
      </c>
      <c r="F4668" t="s">
        <v>7264</v>
      </c>
      <c r="G4668" t="s">
        <v>48</v>
      </c>
      <c r="H4668" t="s">
        <v>3957</v>
      </c>
      <c r="I4668" t="s">
        <v>3989</v>
      </c>
      <c r="J4668" t="s">
        <v>5623</v>
      </c>
      <c r="K4668" t="s">
        <v>4767</v>
      </c>
      <c r="L4668" t="s">
        <v>53</v>
      </c>
      <c r="P4668" t="s">
        <v>58</v>
      </c>
      <c r="R4668" t="s">
        <v>56</v>
      </c>
      <c r="T4668" t="s">
        <v>8166</v>
      </c>
      <c r="U4668" t="s">
        <v>58</v>
      </c>
      <c r="V4668">
        <v>4</v>
      </c>
      <c r="W4668">
        <v>2</v>
      </c>
      <c r="X4668">
        <v>3</v>
      </c>
      <c r="Y4668">
        <v>0</v>
      </c>
      <c r="Z4668">
        <v>3</v>
      </c>
      <c r="AA4668">
        <v>817.15</v>
      </c>
      <c r="AB4668">
        <v>817.15</v>
      </c>
      <c r="AC4668">
        <v>719</v>
      </c>
      <c r="AD4668">
        <v>0</v>
      </c>
      <c r="AE4668">
        <v>98.15</v>
      </c>
      <c r="AF4668">
        <v>0</v>
      </c>
      <c r="AG4668">
        <v>0</v>
      </c>
      <c r="AH4668">
        <v>0</v>
      </c>
      <c r="AI4668">
        <v>0</v>
      </c>
      <c r="AJ4668">
        <v>817.15</v>
      </c>
      <c r="AK4668">
        <v>0</v>
      </c>
      <c r="AL4668" t="s">
        <v>53</v>
      </c>
      <c r="AM4668" t="s">
        <v>53</v>
      </c>
      <c r="AN4668" t="s">
        <v>53</v>
      </c>
      <c r="AO4668" t="s">
        <v>53</v>
      </c>
      <c r="AP4668" t="s">
        <v>53</v>
      </c>
    </row>
    <row r="4669" spans="2:42" x14ac:dyDescent="0.2">
      <c r="B4669" t="s">
        <v>44</v>
      </c>
      <c r="C4669" t="str">
        <f>HYPERLINK("https://us2.cloudbeds.com/connect/8493803454333002#/reservations/9080486845973434?display=27Z4HA9KNC&amp;reservation_id=9080486845973434", "27Z4HA9KNC")</f>
        <v>27Z4HA9KNC</v>
      </c>
      <c r="D4669" t="s">
        <v>45</v>
      </c>
      <c r="E4669" t="s">
        <v>406</v>
      </c>
      <c r="F4669" t="s">
        <v>61</v>
      </c>
      <c r="G4669" t="s">
        <v>48</v>
      </c>
      <c r="H4669" t="s">
        <v>49</v>
      </c>
      <c r="I4669" t="s">
        <v>50</v>
      </c>
      <c r="J4669" t="s">
        <v>6855</v>
      </c>
      <c r="K4669" t="s">
        <v>6885</v>
      </c>
      <c r="L4669" t="s">
        <v>53</v>
      </c>
      <c r="N4669" t="s">
        <v>8167</v>
      </c>
      <c r="P4669" t="s">
        <v>55</v>
      </c>
      <c r="R4669" t="s">
        <v>53</v>
      </c>
      <c r="T4669" t="s">
        <v>8168</v>
      </c>
      <c r="U4669" t="s">
        <v>58</v>
      </c>
      <c r="V4669">
        <v>1</v>
      </c>
      <c r="W4669">
        <v>1</v>
      </c>
      <c r="X4669">
        <v>2</v>
      </c>
      <c r="Y4669">
        <v>0</v>
      </c>
      <c r="Z4669">
        <v>2</v>
      </c>
      <c r="AA4669">
        <v>120.7</v>
      </c>
      <c r="AB4669">
        <v>120.7</v>
      </c>
      <c r="AC4669">
        <v>106.2</v>
      </c>
      <c r="AD4669">
        <v>0</v>
      </c>
      <c r="AE4669">
        <v>14.5</v>
      </c>
      <c r="AF4669">
        <v>0</v>
      </c>
      <c r="AG4669">
        <v>0</v>
      </c>
      <c r="AH4669">
        <v>0</v>
      </c>
      <c r="AI4669">
        <v>21.73</v>
      </c>
      <c r="AJ4669">
        <v>120.7</v>
      </c>
      <c r="AK4669">
        <v>0</v>
      </c>
      <c r="AL4669" t="s">
        <v>53</v>
      </c>
      <c r="AM4669" t="s">
        <v>53</v>
      </c>
      <c r="AN4669" t="s">
        <v>53</v>
      </c>
      <c r="AO4669" t="s">
        <v>53</v>
      </c>
      <c r="AP4669" t="s">
        <v>53</v>
      </c>
    </row>
    <row r="4670" spans="2:42" x14ac:dyDescent="0.2">
      <c r="B4670" t="s">
        <v>44</v>
      </c>
      <c r="C4670" t="str">
        <f>HYPERLINK("https://us2.cloudbeds.com/connect/8493803454333002#/reservations/103704870437117?display=27ZAWQN16P&amp;reservation_id=103704870437117", "27ZAWQN16P")</f>
        <v>27ZAWQN16P</v>
      </c>
      <c r="D4670" t="s">
        <v>45</v>
      </c>
      <c r="E4670" t="s">
        <v>265</v>
      </c>
      <c r="F4670" t="s">
        <v>61</v>
      </c>
      <c r="G4670" t="s">
        <v>48</v>
      </c>
      <c r="H4670" t="s">
        <v>3957</v>
      </c>
      <c r="I4670" t="s">
        <v>3958</v>
      </c>
      <c r="J4670" t="s">
        <v>6855</v>
      </c>
      <c r="K4670" t="s">
        <v>6885</v>
      </c>
      <c r="L4670" t="s">
        <v>53</v>
      </c>
      <c r="P4670" t="s">
        <v>58</v>
      </c>
      <c r="R4670" t="s">
        <v>56</v>
      </c>
      <c r="T4670" t="s">
        <v>8169</v>
      </c>
      <c r="U4670" t="s">
        <v>58</v>
      </c>
      <c r="V4670">
        <v>1</v>
      </c>
      <c r="W4670">
        <v>1</v>
      </c>
      <c r="X4670">
        <v>1</v>
      </c>
      <c r="Y4670">
        <v>0</v>
      </c>
      <c r="Z4670">
        <v>1</v>
      </c>
      <c r="AA4670">
        <v>134.11000000000001</v>
      </c>
      <c r="AB4670">
        <v>134.11000000000001</v>
      </c>
      <c r="AC4670">
        <v>118</v>
      </c>
      <c r="AD4670">
        <v>0</v>
      </c>
      <c r="AE4670">
        <v>16.11</v>
      </c>
      <c r="AF4670">
        <v>0</v>
      </c>
      <c r="AG4670">
        <v>0</v>
      </c>
      <c r="AH4670">
        <v>0</v>
      </c>
      <c r="AI4670">
        <v>0</v>
      </c>
      <c r="AJ4670">
        <v>134.11000000000001</v>
      </c>
      <c r="AK4670">
        <v>0</v>
      </c>
      <c r="AL4670" t="s">
        <v>53</v>
      </c>
      <c r="AM4670" t="s">
        <v>53</v>
      </c>
      <c r="AN4670" t="s">
        <v>53</v>
      </c>
      <c r="AO4670" t="s">
        <v>53</v>
      </c>
      <c r="AP4670" t="s">
        <v>53</v>
      </c>
    </row>
    <row r="4671" spans="2:42" x14ac:dyDescent="0.2">
      <c r="B4671" t="s">
        <v>44</v>
      </c>
      <c r="C4671" t="str">
        <f>HYPERLINK("https://us2.cloudbeds.com/connect/8493803454333002#/reservations/9080486845973916?display=27P1WS2CYM&amp;reservation_id=9080486845973916", "27P1WS2CYM")</f>
        <v>27P1WS2CYM</v>
      </c>
      <c r="D4671" t="s">
        <v>45</v>
      </c>
      <c r="E4671" t="s">
        <v>110</v>
      </c>
      <c r="F4671" t="s">
        <v>47</v>
      </c>
      <c r="G4671" t="s">
        <v>48</v>
      </c>
      <c r="H4671" t="s">
        <v>49</v>
      </c>
      <c r="I4671" t="s">
        <v>50</v>
      </c>
      <c r="J4671" t="s">
        <v>5622</v>
      </c>
      <c r="K4671" t="s">
        <v>5623</v>
      </c>
      <c r="L4671" t="s">
        <v>53</v>
      </c>
      <c r="N4671" t="s">
        <v>8170</v>
      </c>
      <c r="P4671" t="s">
        <v>55</v>
      </c>
      <c r="R4671" t="s">
        <v>53</v>
      </c>
      <c r="T4671" t="s">
        <v>8171</v>
      </c>
      <c r="U4671" t="s">
        <v>58</v>
      </c>
      <c r="V4671">
        <v>1</v>
      </c>
      <c r="W4671">
        <v>1</v>
      </c>
      <c r="X4671">
        <v>2</v>
      </c>
      <c r="Y4671">
        <v>0</v>
      </c>
      <c r="Z4671">
        <v>2</v>
      </c>
      <c r="AA4671">
        <v>192.29</v>
      </c>
      <c r="AB4671">
        <v>192.29</v>
      </c>
      <c r="AC4671">
        <v>169.2</v>
      </c>
      <c r="AD4671">
        <v>0</v>
      </c>
      <c r="AE4671">
        <v>23.09</v>
      </c>
      <c r="AF4671">
        <v>0</v>
      </c>
      <c r="AG4671">
        <v>0</v>
      </c>
      <c r="AH4671">
        <v>0</v>
      </c>
      <c r="AI4671">
        <v>34.61</v>
      </c>
      <c r="AJ4671">
        <v>192.29</v>
      </c>
      <c r="AK4671">
        <v>0</v>
      </c>
      <c r="AL4671" t="s">
        <v>53</v>
      </c>
      <c r="AM4671" t="s">
        <v>53</v>
      </c>
      <c r="AN4671" t="s">
        <v>53</v>
      </c>
      <c r="AO4671" t="s">
        <v>53</v>
      </c>
      <c r="AP4671" t="s">
        <v>53</v>
      </c>
    </row>
    <row r="4672" spans="2:42" x14ac:dyDescent="0.2">
      <c r="B4672" t="s">
        <v>44</v>
      </c>
      <c r="C4672" t="str">
        <f>HYPERLINK("https://us2.cloudbeds.com/connect/8493803454333002#/reservations/9080486845974043?display=27P8W9YUNA&amp;reservation_id=9080486845974043", "27P8W9YUNA")</f>
        <v>27P8W9YUNA</v>
      </c>
      <c r="D4672" t="s">
        <v>45</v>
      </c>
      <c r="E4672" t="s">
        <v>121</v>
      </c>
      <c r="F4672" t="s">
        <v>86</v>
      </c>
      <c r="G4672" t="s">
        <v>48</v>
      </c>
      <c r="H4672" t="s">
        <v>49</v>
      </c>
      <c r="I4672" t="s">
        <v>50</v>
      </c>
      <c r="J4672" t="s">
        <v>5623</v>
      </c>
      <c r="K4672" t="s">
        <v>6639</v>
      </c>
      <c r="L4672" t="s">
        <v>53</v>
      </c>
      <c r="N4672" t="s">
        <v>8172</v>
      </c>
      <c r="P4672" t="s">
        <v>55</v>
      </c>
      <c r="R4672" t="s">
        <v>53</v>
      </c>
      <c r="T4672" t="s">
        <v>8173</v>
      </c>
      <c r="U4672" t="s">
        <v>58</v>
      </c>
      <c r="V4672">
        <v>1</v>
      </c>
      <c r="W4672">
        <v>1</v>
      </c>
      <c r="X4672">
        <v>3</v>
      </c>
      <c r="Y4672">
        <v>0</v>
      </c>
      <c r="Z4672">
        <v>3</v>
      </c>
      <c r="AA4672">
        <v>218.32</v>
      </c>
      <c r="AB4672">
        <v>218.32</v>
      </c>
      <c r="AC4672">
        <v>192.1</v>
      </c>
      <c r="AD4672">
        <v>0</v>
      </c>
      <c r="AE4672">
        <v>26.22</v>
      </c>
      <c r="AF4672">
        <v>0</v>
      </c>
      <c r="AG4672">
        <v>0</v>
      </c>
      <c r="AH4672">
        <v>0</v>
      </c>
      <c r="AI4672">
        <v>39.299999999999997</v>
      </c>
      <c r="AJ4672">
        <v>218.32</v>
      </c>
      <c r="AK4672">
        <v>0</v>
      </c>
      <c r="AL4672" t="s">
        <v>53</v>
      </c>
      <c r="AM4672" t="s">
        <v>53</v>
      </c>
      <c r="AN4672" t="s">
        <v>53</v>
      </c>
      <c r="AO4672" t="s">
        <v>53</v>
      </c>
      <c r="AP4672" t="s">
        <v>53</v>
      </c>
    </row>
    <row r="4673" spans="2:42" x14ac:dyDescent="0.2">
      <c r="B4673" t="s">
        <v>44</v>
      </c>
      <c r="C4673" t="str">
        <f>HYPERLINK("https://us2.cloudbeds.com/connect/8493803454333002#/reservations/103774239981762?display=27PVNBUSS8&amp;reservation_id=103774239981762", "27PVNBUSS8")</f>
        <v>27PVNBUSS8</v>
      </c>
      <c r="D4673" t="s">
        <v>45</v>
      </c>
      <c r="E4673" t="s">
        <v>381</v>
      </c>
      <c r="F4673" t="s">
        <v>47</v>
      </c>
      <c r="G4673" t="s">
        <v>48</v>
      </c>
      <c r="H4673" t="s">
        <v>3957</v>
      </c>
      <c r="I4673" t="s">
        <v>3975</v>
      </c>
      <c r="J4673" t="s">
        <v>6885</v>
      </c>
      <c r="K4673" t="s">
        <v>6999</v>
      </c>
      <c r="L4673" t="s">
        <v>53</v>
      </c>
      <c r="P4673" t="s">
        <v>55</v>
      </c>
      <c r="R4673" t="s">
        <v>53</v>
      </c>
      <c r="T4673" t="s">
        <v>8174</v>
      </c>
      <c r="U4673" t="s">
        <v>58</v>
      </c>
      <c r="V4673">
        <v>1</v>
      </c>
      <c r="W4673">
        <v>1</v>
      </c>
      <c r="X4673">
        <v>1</v>
      </c>
      <c r="Y4673">
        <v>0</v>
      </c>
      <c r="Z4673">
        <v>1</v>
      </c>
      <c r="AA4673">
        <v>130.71</v>
      </c>
      <c r="AB4673">
        <v>130.71</v>
      </c>
      <c r="AC4673">
        <v>115</v>
      </c>
      <c r="AD4673">
        <v>0</v>
      </c>
      <c r="AE4673">
        <v>15.71</v>
      </c>
      <c r="AF4673">
        <v>0</v>
      </c>
      <c r="AG4673">
        <v>0</v>
      </c>
      <c r="AH4673">
        <v>0</v>
      </c>
      <c r="AI4673">
        <v>0</v>
      </c>
      <c r="AJ4673">
        <v>130.71</v>
      </c>
      <c r="AK4673">
        <v>0</v>
      </c>
      <c r="AL4673" t="s">
        <v>53</v>
      </c>
      <c r="AM4673" t="s">
        <v>53</v>
      </c>
      <c r="AN4673" t="s">
        <v>53</v>
      </c>
      <c r="AO4673" t="s">
        <v>53</v>
      </c>
      <c r="AP4673" t="s">
        <v>53</v>
      </c>
    </row>
    <row r="4674" spans="2:42" x14ac:dyDescent="0.2">
      <c r="B4674" t="s">
        <v>44</v>
      </c>
      <c r="C4674" t="str">
        <f>HYPERLINK("https://us2.cloudbeds.com/connect/8493803454333002#/reservations/103938290008210?display=27TQZ78MMU&amp;reservation_id=103938290008210", "27TQZ78MMU")</f>
        <v>27TQZ78MMU</v>
      </c>
      <c r="D4674" t="s">
        <v>45</v>
      </c>
      <c r="E4674" t="s">
        <v>138</v>
      </c>
      <c r="F4674" t="s">
        <v>70</v>
      </c>
      <c r="G4674" t="s">
        <v>48</v>
      </c>
      <c r="H4674" t="s">
        <v>3957</v>
      </c>
      <c r="I4674" t="s">
        <v>3975</v>
      </c>
      <c r="J4674" t="s">
        <v>6999</v>
      </c>
      <c r="K4674" t="s">
        <v>5963</v>
      </c>
      <c r="L4674" t="s">
        <v>53</v>
      </c>
      <c r="P4674" t="s">
        <v>58</v>
      </c>
      <c r="R4674" t="s">
        <v>56</v>
      </c>
      <c r="T4674" t="s">
        <v>8175</v>
      </c>
      <c r="U4674" t="s">
        <v>58</v>
      </c>
      <c r="V4674">
        <v>1</v>
      </c>
      <c r="W4674">
        <v>1</v>
      </c>
      <c r="X4674">
        <v>1</v>
      </c>
      <c r="Y4674">
        <v>0</v>
      </c>
      <c r="Z4674">
        <v>1</v>
      </c>
      <c r="AA4674">
        <v>112.52</v>
      </c>
      <c r="AB4674">
        <v>112.52</v>
      </c>
      <c r="AC4674">
        <v>99</v>
      </c>
      <c r="AD4674">
        <v>0</v>
      </c>
      <c r="AE4674">
        <v>13.52</v>
      </c>
      <c r="AF4674">
        <v>0</v>
      </c>
      <c r="AG4674">
        <v>0</v>
      </c>
      <c r="AH4674">
        <v>0</v>
      </c>
      <c r="AI4674">
        <v>0</v>
      </c>
      <c r="AJ4674">
        <v>112.52</v>
      </c>
      <c r="AK4674">
        <v>0</v>
      </c>
      <c r="AL4674" t="s">
        <v>53</v>
      </c>
      <c r="AM4674" t="s">
        <v>53</v>
      </c>
      <c r="AN4674" t="s">
        <v>53</v>
      </c>
      <c r="AO4674" t="s">
        <v>53</v>
      </c>
      <c r="AP4674" t="s">
        <v>53</v>
      </c>
    </row>
    <row r="4675" spans="2:42" x14ac:dyDescent="0.2">
      <c r="B4675" t="s">
        <v>44</v>
      </c>
      <c r="C4675" t="str">
        <f>HYPERLINK("https://us2.cloudbeds.com/connect/8493803454333002#/reservations/9080486845976713?display=27TUQ7XBFA&amp;reservation_id=9080486845976713", "27TUQ7XBFA")</f>
        <v>27TUQ7XBFA</v>
      </c>
      <c r="D4675" t="s">
        <v>45</v>
      </c>
      <c r="E4675" t="s">
        <v>190</v>
      </c>
      <c r="F4675" t="s">
        <v>61</v>
      </c>
      <c r="G4675" t="s">
        <v>48</v>
      </c>
      <c r="H4675" t="s">
        <v>49</v>
      </c>
      <c r="I4675" t="s">
        <v>50</v>
      </c>
      <c r="J4675" t="s">
        <v>6922</v>
      </c>
      <c r="K4675" t="s">
        <v>4443</v>
      </c>
      <c r="L4675" t="s">
        <v>53</v>
      </c>
      <c r="N4675" t="s">
        <v>8176</v>
      </c>
      <c r="P4675" t="s">
        <v>55</v>
      </c>
      <c r="R4675" t="s">
        <v>53</v>
      </c>
      <c r="T4675" t="s">
        <v>8177</v>
      </c>
      <c r="U4675" t="s">
        <v>58</v>
      </c>
      <c r="V4675">
        <v>3</v>
      </c>
      <c r="W4675">
        <v>1</v>
      </c>
      <c r="X4675">
        <v>2</v>
      </c>
      <c r="Y4675">
        <v>0</v>
      </c>
      <c r="Z4675">
        <v>2</v>
      </c>
      <c r="AA4675">
        <v>394.61</v>
      </c>
      <c r="AB4675">
        <v>394.61</v>
      </c>
      <c r="AC4675">
        <v>347.22</v>
      </c>
      <c r="AD4675">
        <v>0</v>
      </c>
      <c r="AE4675">
        <v>47.39</v>
      </c>
      <c r="AF4675">
        <v>0</v>
      </c>
      <c r="AG4675">
        <v>0</v>
      </c>
      <c r="AH4675">
        <v>0</v>
      </c>
      <c r="AI4675">
        <v>71.03</v>
      </c>
      <c r="AJ4675">
        <v>394.61</v>
      </c>
      <c r="AK4675">
        <v>0</v>
      </c>
      <c r="AL4675" t="s">
        <v>53</v>
      </c>
      <c r="AM4675" t="s">
        <v>53</v>
      </c>
      <c r="AN4675" t="s">
        <v>8178</v>
      </c>
      <c r="AO4675" t="s">
        <v>53</v>
      </c>
      <c r="AP4675" t="s">
        <v>53</v>
      </c>
    </row>
    <row r="4676" spans="2:42" x14ac:dyDescent="0.2">
      <c r="B4676" t="s">
        <v>44</v>
      </c>
      <c r="C4676" t="str">
        <f>HYPERLINK("https://us2.cloudbeds.com/connect/8493803454333002#/reservations/9080486845977101?display=27U6SRSVMF&amp;reservation_id=9080486845977101", "27U6SRSVMF")</f>
        <v>27U6SRSVMF</v>
      </c>
      <c r="D4676" t="s">
        <v>45</v>
      </c>
      <c r="E4676" t="s">
        <v>373</v>
      </c>
      <c r="F4676" t="s">
        <v>47</v>
      </c>
      <c r="G4676" t="s">
        <v>48</v>
      </c>
      <c r="H4676" t="s">
        <v>49</v>
      </c>
      <c r="I4676" t="s">
        <v>62</v>
      </c>
      <c r="J4676" t="s">
        <v>5622</v>
      </c>
      <c r="K4676" t="s">
        <v>6639</v>
      </c>
      <c r="L4676" t="s">
        <v>53</v>
      </c>
      <c r="N4676" t="s">
        <v>8179</v>
      </c>
      <c r="P4676" t="s">
        <v>55</v>
      </c>
      <c r="R4676" t="s">
        <v>56</v>
      </c>
      <c r="T4676" t="s">
        <v>8180</v>
      </c>
      <c r="U4676" t="s">
        <v>55</v>
      </c>
      <c r="V4676">
        <v>2</v>
      </c>
      <c r="W4676">
        <v>1</v>
      </c>
      <c r="X4676">
        <v>2</v>
      </c>
      <c r="Y4676">
        <v>0</v>
      </c>
      <c r="Z4676">
        <v>2</v>
      </c>
      <c r="AA4676">
        <v>388</v>
      </c>
      <c r="AB4676">
        <v>388</v>
      </c>
      <c r="AC4676">
        <v>388</v>
      </c>
      <c r="AD4676">
        <v>0</v>
      </c>
      <c r="AE4676">
        <v>0</v>
      </c>
      <c r="AF4676">
        <v>0</v>
      </c>
      <c r="AG4676">
        <v>0</v>
      </c>
      <c r="AH4676">
        <v>0</v>
      </c>
      <c r="AI4676">
        <v>69.84</v>
      </c>
      <c r="AJ4676">
        <v>388</v>
      </c>
      <c r="AK4676">
        <v>0</v>
      </c>
      <c r="AL4676" t="s">
        <v>53</v>
      </c>
      <c r="AM4676" t="s">
        <v>53</v>
      </c>
      <c r="AN4676" t="s">
        <v>53</v>
      </c>
      <c r="AO4676" t="s">
        <v>53</v>
      </c>
      <c r="AP4676" t="s">
        <v>53</v>
      </c>
    </row>
    <row r="4677" spans="2:42" x14ac:dyDescent="0.2">
      <c r="B4677" t="s">
        <v>44</v>
      </c>
      <c r="C4677" t="str">
        <f>HYPERLINK("https://us2.cloudbeds.com/connect/8493803454333002#/reservations/9080486845977863?display=27UNU05Q44&amp;reservation_id=9080486845977863", "27UNU05Q44")</f>
        <v>27UNU05Q44</v>
      </c>
      <c r="D4677" t="s">
        <v>45</v>
      </c>
      <c r="E4677" t="s">
        <v>78</v>
      </c>
      <c r="F4677" t="s">
        <v>61</v>
      </c>
      <c r="G4677" t="s">
        <v>48</v>
      </c>
      <c r="H4677" t="s">
        <v>49</v>
      </c>
      <c r="I4677" t="s">
        <v>50</v>
      </c>
      <c r="J4677" t="s">
        <v>6885</v>
      </c>
      <c r="K4677" t="s">
        <v>5963</v>
      </c>
      <c r="L4677" t="s">
        <v>53</v>
      </c>
      <c r="N4677" t="s">
        <v>8181</v>
      </c>
      <c r="P4677" t="s">
        <v>55</v>
      </c>
      <c r="R4677" t="s">
        <v>53</v>
      </c>
      <c r="T4677" t="s">
        <v>8182</v>
      </c>
      <c r="U4677" t="s">
        <v>58</v>
      </c>
      <c r="V4677">
        <v>2</v>
      </c>
      <c r="W4677">
        <v>1</v>
      </c>
      <c r="X4677">
        <v>1</v>
      </c>
      <c r="Y4677">
        <v>0</v>
      </c>
      <c r="Z4677">
        <v>1</v>
      </c>
      <c r="AA4677">
        <v>254.69</v>
      </c>
      <c r="AB4677">
        <v>254.69</v>
      </c>
      <c r="AC4677">
        <v>224.1</v>
      </c>
      <c r="AD4677">
        <v>0</v>
      </c>
      <c r="AE4677">
        <v>30.59</v>
      </c>
      <c r="AF4677">
        <v>0</v>
      </c>
      <c r="AG4677">
        <v>0</v>
      </c>
      <c r="AH4677">
        <v>0</v>
      </c>
      <c r="AI4677">
        <v>45.84</v>
      </c>
      <c r="AJ4677">
        <v>254.69</v>
      </c>
      <c r="AK4677">
        <v>0</v>
      </c>
      <c r="AL4677" t="s">
        <v>53</v>
      </c>
      <c r="AM4677" t="s">
        <v>53</v>
      </c>
      <c r="AN4677" t="s">
        <v>53</v>
      </c>
      <c r="AO4677" t="s">
        <v>53</v>
      </c>
      <c r="AP4677" t="s">
        <v>53</v>
      </c>
    </row>
    <row r="4678" spans="2:42" x14ac:dyDescent="0.2">
      <c r="B4678" t="s">
        <v>44</v>
      </c>
      <c r="C4678" t="str">
        <f>HYPERLINK("https://us2.cloudbeds.com/connect/8493803454333002#/reservations/9080486845978168?display=27V2AFSCP6&amp;reservation_id=9080486845978168", "27V2AFSCP6")</f>
        <v>27V2AFSCP6</v>
      </c>
      <c r="D4678" t="s">
        <v>45</v>
      </c>
      <c r="E4678" t="s">
        <v>155</v>
      </c>
      <c r="F4678" t="s">
        <v>86</v>
      </c>
      <c r="G4678" t="s">
        <v>48</v>
      </c>
      <c r="H4678" t="s">
        <v>49</v>
      </c>
      <c r="I4678" t="s">
        <v>50</v>
      </c>
      <c r="J4678" t="s">
        <v>5963</v>
      </c>
      <c r="K4678" t="s">
        <v>5622</v>
      </c>
      <c r="L4678" t="s">
        <v>53</v>
      </c>
      <c r="N4678" t="s">
        <v>8183</v>
      </c>
      <c r="P4678" t="s">
        <v>55</v>
      </c>
      <c r="R4678" t="s">
        <v>53</v>
      </c>
      <c r="T4678" t="s">
        <v>8184</v>
      </c>
      <c r="U4678" t="s">
        <v>58</v>
      </c>
      <c r="V4678">
        <v>1</v>
      </c>
      <c r="W4678">
        <v>1</v>
      </c>
      <c r="X4678">
        <v>2</v>
      </c>
      <c r="Y4678">
        <v>0</v>
      </c>
      <c r="Z4678">
        <v>2</v>
      </c>
      <c r="AA4678">
        <v>123.77</v>
      </c>
      <c r="AB4678">
        <v>123.77</v>
      </c>
      <c r="AC4678">
        <v>108.9</v>
      </c>
      <c r="AD4678">
        <v>0</v>
      </c>
      <c r="AE4678">
        <v>14.87</v>
      </c>
      <c r="AF4678">
        <v>0</v>
      </c>
      <c r="AG4678">
        <v>0</v>
      </c>
      <c r="AH4678">
        <v>0</v>
      </c>
      <c r="AI4678">
        <v>22.28</v>
      </c>
      <c r="AJ4678">
        <v>123.77</v>
      </c>
      <c r="AK4678">
        <v>0</v>
      </c>
      <c r="AL4678" t="s">
        <v>53</v>
      </c>
      <c r="AM4678" t="s">
        <v>53</v>
      </c>
      <c r="AN4678" t="s">
        <v>53</v>
      </c>
      <c r="AO4678" t="s">
        <v>53</v>
      </c>
      <c r="AP4678" t="s">
        <v>53</v>
      </c>
    </row>
    <row r="4679" spans="2:42" x14ac:dyDescent="0.2">
      <c r="B4679" t="s">
        <v>44</v>
      </c>
      <c r="C4679" t="str">
        <f>HYPERLINK("https://us2.cloudbeds.com/connect/8493803454333002#/reservations/104000816267404?display=27V94U20M0&amp;reservation_id=104000816267404", "27V94U20M0")</f>
        <v>27V94U20M0</v>
      </c>
      <c r="D4679" t="s">
        <v>45</v>
      </c>
      <c r="E4679" t="s">
        <v>373</v>
      </c>
      <c r="F4679" t="s">
        <v>47</v>
      </c>
      <c r="G4679" t="s">
        <v>48</v>
      </c>
      <c r="H4679" t="s">
        <v>3957</v>
      </c>
      <c r="I4679" t="s">
        <v>3958</v>
      </c>
      <c r="J4679" t="s">
        <v>7559</v>
      </c>
      <c r="K4679" t="s">
        <v>7595</v>
      </c>
      <c r="L4679" t="s">
        <v>53</v>
      </c>
      <c r="P4679" t="s">
        <v>58</v>
      </c>
      <c r="R4679" t="s">
        <v>56</v>
      </c>
      <c r="T4679" t="s">
        <v>8185</v>
      </c>
      <c r="U4679" t="s">
        <v>58</v>
      </c>
      <c r="V4679">
        <v>2</v>
      </c>
      <c r="W4679">
        <v>1</v>
      </c>
      <c r="X4679">
        <v>1</v>
      </c>
      <c r="Y4679">
        <v>0</v>
      </c>
      <c r="Z4679">
        <v>1</v>
      </c>
      <c r="AA4679">
        <v>352.34</v>
      </c>
      <c r="AB4679">
        <v>352.34</v>
      </c>
      <c r="AC4679">
        <v>310</v>
      </c>
      <c r="AD4679">
        <v>0</v>
      </c>
      <c r="AE4679">
        <v>42.34</v>
      </c>
      <c r="AF4679">
        <v>0</v>
      </c>
      <c r="AG4679">
        <v>0</v>
      </c>
      <c r="AH4679">
        <v>0</v>
      </c>
      <c r="AI4679">
        <v>0</v>
      </c>
      <c r="AJ4679">
        <v>352.34</v>
      </c>
      <c r="AK4679">
        <v>0</v>
      </c>
      <c r="AL4679" t="s">
        <v>53</v>
      </c>
      <c r="AM4679" t="s">
        <v>53</v>
      </c>
      <c r="AN4679" t="s">
        <v>53</v>
      </c>
      <c r="AO4679" t="s">
        <v>53</v>
      </c>
      <c r="AP4679" t="s">
        <v>53</v>
      </c>
    </row>
    <row r="4680" spans="2:42" x14ac:dyDescent="0.2">
      <c r="B4680" t="s">
        <v>44</v>
      </c>
      <c r="C4680" t="str">
        <f>HYPERLINK("https://us2.cloudbeds.com/connect/8493803454333002#/reservations/9080486845979191?display=27WCKQZMD5&amp;reservation_id=9080486845979191", "27WCKQZMD5")</f>
        <v>27WCKQZMD5</v>
      </c>
      <c r="D4680" t="s">
        <v>45</v>
      </c>
      <c r="E4680" t="s">
        <v>223</v>
      </c>
      <c r="F4680" t="s">
        <v>47</v>
      </c>
      <c r="G4680" t="s">
        <v>48</v>
      </c>
      <c r="H4680" t="s">
        <v>49</v>
      </c>
      <c r="I4680" t="s">
        <v>50</v>
      </c>
      <c r="J4680" t="s">
        <v>6999</v>
      </c>
      <c r="K4680" t="s">
        <v>5622</v>
      </c>
      <c r="L4680" t="s">
        <v>53</v>
      </c>
      <c r="N4680" t="s">
        <v>8186</v>
      </c>
      <c r="P4680" t="s">
        <v>55</v>
      </c>
      <c r="R4680" t="s">
        <v>53</v>
      </c>
      <c r="T4680" t="s">
        <v>8187</v>
      </c>
      <c r="U4680" t="s">
        <v>58</v>
      </c>
      <c r="V4680">
        <v>2</v>
      </c>
      <c r="W4680">
        <v>1</v>
      </c>
      <c r="X4680">
        <v>1</v>
      </c>
      <c r="Y4680">
        <v>0</v>
      </c>
      <c r="Z4680">
        <v>1</v>
      </c>
      <c r="AA4680">
        <v>189.12</v>
      </c>
      <c r="AB4680">
        <v>189.12</v>
      </c>
      <c r="AC4680">
        <v>166.4</v>
      </c>
      <c r="AD4680">
        <v>0</v>
      </c>
      <c r="AE4680">
        <v>22.72</v>
      </c>
      <c r="AF4680">
        <v>0</v>
      </c>
      <c r="AG4680">
        <v>0</v>
      </c>
      <c r="AH4680">
        <v>0</v>
      </c>
      <c r="AI4680">
        <v>34.04</v>
      </c>
      <c r="AJ4680">
        <v>189.12</v>
      </c>
      <c r="AK4680">
        <v>0</v>
      </c>
      <c r="AL4680" t="s">
        <v>53</v>
      </c>
      <c r="AM4680" t="s">
        <v>53</v>
      </c>
      <c r="AN4680" t="s">
        <v>53</v>
      </c>
      <c r="AO4680" t="s">
        <v>53</v>
      </c>
      <c r="AP4680" t="s">
        <v>53</v>
      </c>
    </row>
    <row r="4681" spans="2:42" x14ac:dyDescent="0.2">
      <c r="B4681" t="s">
        <v>44</v>
      </c>
      <c r="C4681" t="str">
        <f>HYPERLINK("https://us2.cloudbeds.com/connect/8493803454333002#/reservations/9080486845979318?display=27WJYUPESW&amp;reservation_id=9080486845979318", "27WJYUPESW")</f>
        <v>27WJYUPESW</v>
      </c>
      <c r="D4681" t="s">
        <v>45</v>
      </c>
      <c r="E4681" t="s">
        <v>185</v>
      </c>
      <c r="F4681" t="s">
        <v>47</v>
      </c>
      <c r="G4681" t="s">
        <v>48</v>
      </c>
      <c r="H4681" t="s">
        <v>49</v>
      </c>
      <c r="I4681" t="s">
        <v>50</v>
      </c>
      <c r="J4681" t="s">
        <v>5967</v>
      </c>
      <c r="K4681" t="s">
        <v>5430</v>
      </c>
      <c r="L4681" t="s">
        <v>53</v>
      </c>
      <c r="N4681" t="s">
        <v>8188</v>
      </c>
      <c r="P4681" t="s">
        <v>55</v>
      </c>
      <c r="R4681" t="s">
        <v>53</v>
      </c>
      <c r="T4681" t="s">
        <v>8189</v>
      </c>
      <c r="U4681" t="s">
        <v>58</v>
      </c>
      <c r="V4681">
        <v>1</v>
      </c>
      <c r="W4681">
        <v>1</v>
      </c>
      <c r="X4681">
        <v>1</v>
      </c>
      <c r="Y4681">
        <v>0</v>
      </c>
      <c r="Z4681">
        <v>1</v>
      </c>
      <c r="AA4681">
        <v>114.67</v>
      </c>
      <c r="AB4681">
        <v>114.67</v>
      </c>
      <c r="AC4681">
        <v>100.89</v>
      </c>
      <c r="AD4681">
        <v>0</v>
      </c>
      <c r="AE4681">
        <v>13.78</v>
      </c>
      <c r="AF4681">
        <v>0</v>
      </c>
      <c r="AG4681">
        <v>0</v>
      </c>
      <c r="AH4681">
        <v>0</v>
      </c>
      <c r="AI4681">
        <v>20.64</v>
      </c>
      <c r="AJ4681">
        <v>114.67</v>
      </c>
      <c r="AK4681">
        <v>0</v>
      </c>
      <c r="AL4681" t="s">
        <v>53</v>
      </c>
      <c r="AM4681" t="s">
        <v>53</v>
      </c>
      <c r="AN4681" t="s">
        <v>53</v>
      </c>
      <c r="AO4681" t="s">
        <v>53</v>
      </c>
      <c r="AP4681" t="s">
        <v>53</v>
      </c>
    </row>
    <row r="4682" spans="2:42" x14ac:dyDescent="0.2">
      <c r="B4682" t="s">
        <v>44</v>
      </c>
      <c r="C4682" t="str">
        <f>HYPERLINK("https://us2.cloudbeds.com/connect/8493803454333002#/reservations/9080486845979397?display=27WQKQ3QHF&amp;reservation_id=9080486845979397", "27WQKQ3QHF")</f>
        <v>27WQKQ3QHF</v>
      </c>
      <c r="D4682" t="s">
        <v>45</v>
      </c>
      <c r="E4682" t="s">
        <v>265</v>
      </c>
      <c r="F4682" t="s">
        <v>61</v>
      </c>
      <c r="G4682" t="s">
        <v>48</v>
      </c>
      <c r="H4682" t="s">
        <v>49</v>
      </c>
      <c r="I4682" t="s">
        <v>50</v>
      </c>
      <c r="J4682" t="s">
        <v>6885</v>
      </c>
      <c r="K4682" t="s">
        <v>6999</v>
      </c>
      <c r="L4682" t="s">
        <v>53</v>
      </c>
      <c r="N4682" t="s">
        <v>8190</v>
      </c>
      <c r="P4682" t="s">
        <v>55</v>
      </c>
      <c r="R4682" t="s">
        <v>53</v>
      </c>
      <c r="T4682" t="s">
        <v>8191</v>
      </c>
      <c r="U4682" t="s">
        <v>58</v>
      </c>
      <c r="V4682">
        <v>1</v>
      </c>
      <c r="W4682">
        <v>1</v>
      </c>
      <c r="X4682">
        <v>2</v>
      </c>
      <c r="Y4682">
        <v>0</v>
      </c>
      <c r="Z4682">
        <v>2</v>
      </c>
      <c r="AA4682">
        <v>118.2</v>
      </c>
      <c r="AB4682">
        <v>120.91</v>
      </c>
      <c r="AC4682">
        <v>104</v>
      </c>
      <c r="AD4682">
        <v>2.5</v>
      </c>
      <c r="AE4682">
        <v>14.41</v>
      </c>
      <c r="AF4682">
        <v>0</v>
      </c>
      <c r="AG4682">
        <v>0</v>
      </c>
      <c r="AH4682">
        <v>0</v>
      </c>
      <c r="AI4682">
        <v>21.76</v>
      </c>
      <c r="AJ4682">
        <v>120.91</v>
      </c>
      <c r="AK4682">
        <v>0</v>
      </c>
      <c r="AL4682" t="s">
        <v>53</v>
      </c>
      <c r="AM4682" t="s">
        <v>53</v>
      </c>
      <c r="AN4682" t="s">
        <v>53</v>
      </c>
      <c r="AO4682" t="s">
        <v>53</v>
      </c>
      <c r="AP4682" t="s">
        <v>53</v>
      </c>
    </row>
    <row r="4683" spans="2:42" x14ac:dyDescent="0.2">
      <c r="B4683" t="s">
        <v>44</v>
      </c>
      <c r="C4683" t="str">
        <f>HYPERLINK("https://us2.cloudbeds.com/connect/8493803454333002#/reservations/104073905205415?display=27WWZGJF7C&amp;reservation_id=104073905205415", "27WWZGJF7C")</f>
        <v>27WWZGJF7C</v>
      </c>
      <c r="D4683" t="s">
        <v>45</v>
      </c>
      <c r="E4683" t="s">
        <v>179</v>
      </c>
      <c r="F4683" t="s">
        <v>47</v>
      </c>
      <c r="G4683" t="s">
        <v>3974</v>
      </c>
      <c r="H4683" t="s">
        <v>3957</v>
      </c>
      <c r="I4683" t="s">
        <v>3975</v>
      </c>
      <c r="J4683" t="s">
        <v>6943</v>
      </c>
      <c r="K4683" t="s">
        <v>7414</v>
      </c>
      <c r="L4683" t="s">
        <v>53</v>
      </c>
      <c r="P4683" t="s">
        <v>55</v>
      </c>
      <c r="R4683" t="s">
        <v>53</v>
      </c>
      <c r="T4683" t="s">
        <v>8192</v>
      </c>
      <c r="U4683" t="s">
        <v>58</v>
      </c>
      <c r="V4683">
        <v>3</v>
      </c>
      <c r="W4683">
        <v>1</v>
      </c>
      <c r="X4683">
        <v>2</v>
      </c>
      <c r="Y4683">
        <v>0</v>
      </c>
      <c r="Z4683">
        <v>2</v>
      </c>
      <c r="AA4683">
        <v>666.16</v>
      </c>
      <c r="AB4683">
        <v>666.16</v>
      </c>
      <c r="AC4683">
        <v>586.15</v>
      </c>
      <c r="AD4683">
        <v>0</v>
      </c>
      <c r="AE4683">
        <v>80.010000000000005</v>
      </c>
      <c r="AF4683">
        <v>0</v>
      </c>
      <c r="AG4683">
        <v>0</v>
      </c>
      <c r="AH4683">
        <v>0</v>
      </c>
      <c r="AI4683">
        <v>0</v>
      </c>
      <c r="AJ4683">
        <v>666.16</v>
      </c>
      <c r="AK4683">
        <v>0</v>
      </c>
      <c r="AL4683" t="s">
        <v>53</v>
      </c>
      <c r="AM4683" t="s">
        <v>53</v>
      </c>
      <c r="AN4683" t="s">
        <v>53</v>
      </c>
      <c r="AO4683" t="s">
        <v>53</v>
      </c>
      <c r="AP4683" t="s">
        <v>53</v>
      </c>
    </row>
    <row r="4684" spans="2:42" x14ac:dyDescent="0.2">
      <c r="B4684" t="s">
        <v>44</v>
      </c>
      <c r="C4684" t="str">
        <f>HYPERLINK("https://us2.cloudbeds.com/connect/8493803454333002#/reservations/104088487874716?display=280B142Z43&amp;reservation_id=104088487874716", "280B142Z43")</f>
        <v>280B142Z43</v>
      </c>
      <c r="D4684" t="s">
        <v>45</v>
      </c>
      <c r="E4684" t="s">
        <v>406</v>
      </c>
      <c r="F4684" t="s">
        <v>61</v>
      </c>
      <c r="G4684" t="s">
        <v>48</v>
      </c>
      <c r="H4684" t="s">
        <v>3957</v>
      </c>
      <c r="I4684" t="s">
        <v>3975</v>
      </c>
      <c r="J4684" t="s">
        <v>5963</v>
      </c>
      <c r="K4684" t="s">
        <v>6639</v>
      </c>
      <c r="L4684" t="s">
        <v>53</v>
      </c>
      <c r="P4684" t="s">
        <v>55</v>
      </c>
      <c r="R4684" t="s">
        <v>53</v>
      </c>
      <c r="T4684" t="s">
        <v>8193</v>
      </c>
      <c r="U4684" t="s">
        <v>58</v>
      </c>
      <c r="V4684">
        <v>3</v>
      </c>
      <c r="W4684">
        <v>1</v>
      </c>
      <c r="X4684">
        <v>2</v>
      </c>
      <c r="Y4684">
        <v>0</v>
      </c>
      <c r="Z4684">
        <v>2</v>
      </c>
      <c r="AA4684">
        <v>628.51</v>
      </c>
      <c r="AB4684">
        <v>628.51</v>
      </c>
      <c r="AC4684">
        <v>553</v>
      </c>
      <c r="AD4684">
        <v>0</v>
      </c>
      <c r="AE4684">
        <v>75.510000000000005</v>
      </c>
      <c r="AF4684">
        <v>0</v>
      </c>
      <c r="AG4684">
        <v>0</v>
      </c>
      <c r="AH4684">
        <v>0</v>
      </c>
      <c r="AI4684">
        <v>0</v>
      </c>
      <c r="AJ4684">
        <v>628.51</v>
      </c>
      <c r="AK4684">
        <v>0</v>
      </c>
      <c r="AL4684" t="s">
        <v>53</v>
      </c>
      <c r="AM4684" t="s">
        <v>53</v>
      </c>
      <c r="AN4684" t="s">
        <v>53</v>
      </c>
      <c r="AO4684" t="s">
        <v>53</v>
      </c>
      <c r="AP4684" t="s">
        <v>53</v>
      </c>
    </row>
    <row r="4685" spans="2:42" x14ac:dyDescent="0.2">
      <c r="B4685" t="s">
        <v>44</v>
      </c>
      <c r="C4685" t="str">
        <f>HYPERLINK("https://us2.cloudbeds.com/connect/8493803454333002#/reservations/9080486845979815?display=280XECUTP8&amp;reservation_id=9080486845979815", "280XECUTP8")</f>
        <v>280XECUTP8</v>
      </c>
      <c r="D4685" t="s">
        <v>45</v>
      </c>
      <c r="E4685" t="s">
        <v>190</v>
      </c>
      <c r="F4685" t="s">
        <v>61</v>
      </c>
      <c r="G4685" t="s">
        <v>48</v>
      </c>
      <c r="H4685" t="s">
        <v>49</v>
      </c>
      <c r="I4685" t="s">
        <v>50</v>
      </c>
      <c r="J4685" t="s">
        <v>7486</v>
      </c>
      <c r="K4685" t="s">
        <v>7218</v>
      </c>
      <c r="L4685" t="s">
        <v>53</v>
      </c>
      <c r="N4685" t="s">
        <v>8194</v>
      </c>
      <c r="P4685" t="s">
        <v>55</v>
      </c>
      <c r="R4685" t="s">
        <v>53</v>
      </c>
      <c r="T4685" t="s">
        <v>8195</v>
      </c>
      <c r="U4685" t="s">
        <v>58</v>
      </c>
      <c r="V4685">
        <v>2</v>
      </c>
      <c r="W4685">
        <v>1</v>
      </c>
      <c r="X4685">
        <v>2</v>
      </c>
      <c r="Y4685">
        <v>0</v>
      </c>
      <c r="Z4685">
        <v>2</v>
      </c>
      <c r="AA4685">
        <v>352.61</v>
      </c>
      <c r="AB4685">
        <v>537.12</v>
      </c>
      <c r="AC4685">
        <v>310.25</v>
      </c>
      <c r="AD4685">
        <v>0</v>
      </c>
      <c r="AE4685">
        <v>42.36</v>
      </c>
      <c r="AF4685">
        <v>0</v>
      </c>
      <c r="AG4685">
        <v>0</v>
      </c>
      <c r="AH4685">
        <v>0</v>
      </c>
      <c r="AI4685">
        <v>63.47</v>
      </c>
      <c r="AJ4685">
        <v>352.61</v>
      </c>
      <c r="AK4685">
        <v>0</v>
      </c>
      <c r="AL4685" t="s">
        <v>53</v>
      </c>
      <c r="AM4685" t="s">
        <v>53</v>
      </c>
      <c r="AN4685" t="s">
        <v>8196</v>
      </c>
      <c r="AO4685" t="s">
        <v>53</v>
      </c>
      <c r="AP4685" t="s">
        <v>53</v>
      </c>
    </row>
    <row r="4686" spans="2:42" x14ac:dyDescent="0.2">
      <c r="B4686" t="s">
        <v>44</v>
      </c>
      <c r="C4686" t="str">
        <f>HYPERLINK("https://us2.cloudbeds.com/connect/8493803454333002#/reservations/9080486845980124?display=2812XZSVHX&amp;reservation_id=9080486845980124", "2812XZSVHX")</f>
        <v>2812XZSVHX</v>
      </c>
      <c r="D4686" t="s">
        <v>45</v>
      </c>
      <c r="E4686" t="s">
        <v>373</v>
      </c>
      <c r="F4686" t="s">
        <v>47</v>
      </c>
      <c r="G4686" t="s">
        <v>48</v>
      </c>
      <c r="H4686" t="s">
        <v>49</v>
      </c>
      <c r="I4686" t="s">
        <v>50</v>
      </c>
      <c r="J4686" t="s">
        <v>6999</v>
      </c>
      <c r="K4686" t="s">
        <v>5963</v>
      </c>
      <c r="L4686" t="s">
        <v>53</v>
      </c>
      <c r="N4686" t="s">
        <v>8197</v>
      </c>
      <c r="P4686" t="s">
        <v>55</v>
      </c>
      <c r="R4686" t="s">
        <v>53</v>
      </c>
      <c r="T4686" t="s">
        <v>8198</v>
      </c>
      <c r="U4686" t="s">
        <v>58</v>
      </c>
      <c r="V4686">
        <v>1</v>
      </c>
      <c r="W4686">
        <v>1</v>
      </c>
      <c r="X4686">
        <v>1</v>
      </c>
      <c r="Y4686">
        <v>0</v>
      </c>
      <c r="Z4686">
        <v>1</v>
      </c>
      <c r="AA4686">
        <v>108.43</v>
      </c>
      <c r="AB4686">
        <v>108.43</v>
      </c>
      <c r="AC4686">
        <v>95.4</v>
      </c>
      <c r="AD4686">
        <v>0</v>
      </c>
      <c r="AE4686">
        <v>13.03</v>
      </c>
      <c r="AF4686">
        <v>0</v>
      </c>
      <c r="AG4686">
        <v>0</v>
      </c>
      <c r="AH4686">
        <v>0</v>
      </c>
      <c r="AI4686">
        <v>19.52</v>
      </c>
      <c r="AJ4686">
        <v>108.43</v>
      </c>
      <c r="AK4686">
        <v>0</v>
      </c>
      <c r="AL4686" t="s">
        <v>53</v>
      </c>
      <c r="AM4686" t="s">
        <v>53</v>
      </c>
      <c r="AN4686" t="s">
        <v>53</v>
      </c>
      <c r="AO4686" t="s">
        <v>53</v>
      </c>
      <c r="AP4686" t="s">
        <v>53</v>
      </c>
    </row>
    <row r="4687" spans="2:42" x14ac:dyDescent="0.2">
      <c r="B4687" t="s">
        <v>44</v>
      </c>
      <c r="C4687" t="str">
        <f>HYPERLINK("https://us2.cloudbeds.com/connect/8493803454333002#/reservations/9080486845980126?display=2812MEX4P0&amp;reservation_id=9080486845980126", "2812MEX4P0")</f>
        <v>2812MEX4P0</v>
      </c>
      <c r="D4687" t="s">
        <v>45</v>
      </c>
      <c r="E4687" t="s">
        <v>381</v>
      </c>
      <c r="F4687" t="s">
        <v>47</v>
      </c>
      <c r="G4687" t="s">
        <v>48</v>
      </c>
      <c r="H4687" t="s">
        <v>49</v>
      </c>
      <c r="I4687" t="s">
        <v>50</v>
      </c>
      <c r="J4687" t="s">
        <v>6999</v>
      </c>
      <c r="K4687" t="s">
        <v>5963</v>
      </c>
      <c r="L4687" t="s">
        <v>53</v>
      </c>
      <c r="N4687" t="s">
        <v>8199</v>
      </c>
      <c r="P4687" t="s">
        <v>55</v>
      </c>
      <c r="R4687" t="s">
        <v>53</v>
      </c>
      <c r="T4687" t="s">
        <v>8200</v>
      </c>
      <c r="U4687" t="s">
        <v>58</v>
      </c>
      <c r="V4687">
        <v>1</v>
      </c>
      <c r="W4687">
        <v>1</v>
      </c>
      <c r="X4687">
        <v>2</v>
      </c>
      <c r="Y4687">
        <v>0</v>
      </c>
      <c r="Z4687">
        <v>2</v>
      </c>
      <c r="AA4687">
        <v>108.43</v>
      </c>
      <c r="AB4687">
        <v>108.43</v>
      </c>
      <c r="AC4687">
        <v>95.4</v>
      </c>
      <c r="AD4687">
        <v>0</v>
      </c>
      <c r="AE4687">
        <v>13.03</v>
      </c>
      <c r="AF4687">
        <v>0</v>
      </c>
      <c r="AG4687">
        <v>0</v>
      </c>
      <c r="AH4687">
        <v>0</v>
      </c>
      <c r="AI4687">
        <v>19.52</v>
      </c>
      <c r="AJ4687">
        <v>108.43</v>
      </c>
      <c r="AK4687">
        <v>0</v>
      </c>
      <c r="AL4687" t="s">
        <v>53</v>
      </c>
      <c r="AM4687" t="s">
        <v>53</v>
      </c>
      <c r="AN4687" t="s">
        <v>53</v>
      </c>
      <c r="AO4687" t="s">
        <v>53</v>
      </c>
      <c r="AP4687" t="s">
        <v>53</v>
      </c>
    </row>
    <row r="4688" spans="2:42" x14ac:dyDescent="0.2">
      <c r="B4688" t="s">
        <v>44</v>
      </c>
      <c r="C4688" t="str">
        <f>HYPERLINK("https://us2.cloudbeds.com/connect/8493803454333002#/reservations/9080486845980227?display=2819E3EXK9&amp;reservation_id=9080486845980227", "2819E3EXK9")</f>
        <v>2819E3EXK9</v>
      </c>
      <c r="D4688" t="s">
        <v>45</v>
      </c>
      <c r="E4688" t="s">
        <v>78</v>
      </c>
      <c r="F4688" t="s">
        <v>61</v>
      </c>
      <c r="G4688" t="s">
        <v>48</v>
      </c>
      <c r="H4688" t="s">
        <v>49</v>
      </c>
      <c r="I4688" t="s">
        <v>50</v>
      </c>
      <c r="J4688" t="s">
        <v>6488</v>
      </c>
      <c r="K4688" t="s">
        <v>6416</v>
      </c>
      <c r="L4688" t="s">
        <v>53</v>
      </c>
      <c r="N4688" t="s">
        <v>8201</v>
      </c>
      <c r="P4688" t="s">
        <v>55</v>
      </c>
      <c r="R4688" t="s">
        <v>53</v>
      </c>
      <c r="T4688" t="s">
        <v>8202</v>
      </c>
      <c r="U4688" t="s">
        <v>58</v>
      </c>
      <c r="V4688">
        <v>2</v>
      </c>
      <c r="W4688">
        <v>1</v>
      </c>
      <c r="X4688">
        <v>1</v>
      </c>
      <c r="Y4688">
        <v>0</v>
      </c>
      <c r="Z4688">
        <v>1</v>
      </c>
      <c r="AA4688">
        <v>310.08999999999997</v>
      </c>
      <c r="AB4688">
        <v>310.08999999999997</v>
      </c>
      <c r="AC4688">
        <v>272.85000000000002</v>
      </c>
      <c r="AD4688">
        <v>0</v>
      </c>
      <c r="AE4688">
        <v>37.24</v>
      </c>
      <c r="AF4688">
        <v>0</v>
      </c>
      <c r="AG4688">
        <v>0</v>
      </c>
      <c r="AH4688">
        <v>0</v>
      </c>
      <c r="AI4688">
        <v>55.82</v>
      </c>
      <c r="AJ4688">
        <v>310.08999999999997</v>
      </c>
      <c r="AK4688">
        <v>0</v>
      </c>
      <c r="AL4688" t="s">
        <v>53</v>
      </c>
      <c r="AM4688" t="s">
        <v>53</v>
      </c>
      <c r="AN4688" t="s">
        <v>53</v>
      </c>
      <c r="AO4688" t="s">
        <v>53</v>
      </c>
      <c r="AP4688" t="s">
        <v>53</v>
      </c>
    </row>
    <row r="4689" spans="2:42" x14ac:dyDescent="0.2">
      <c r="B4689" t="s">
        <v>44</v>
      </c>
      <c r="C4689" t="str">
        <f>HYPERLINK("https://us2.cloudbeds.com/connect/8493803454333002#/reservations/9080486845980245?display=281ASQQUF0&amp;reservation_id=9080486845980245", "281ASQQUF0")</f>
        <v>281ASQQUF0</v>
      </c>
      <c r="D4689" t="s">
        <v>45</v>
      </c>
      <c r="E4689" t="s">
        <v>69</v>
      </c>
      <c r="F4689" t="s">
        <v>70</v>
      </c>
      <c r="G4689" t="s">
        <v>5966</v>
      </c>
      <c r="H4689" t="s">
        <v>49</v>
      </c>
      <c r="I4689" t="s">
        <v>50</v>
      </c>
      <c r="J4689" t="s">
        <v>4442</v>
      </c>
      <c r="K4689" t="s">
        <v>6487</v>
      </c>
      <c r="L4689" t="s">
        <v>53</v>
      </c>
      <c r="N4689" t="s">
        <v>8203</v>
      </c>
      <c r="P4689" t="s">
        <v>55</v>
      </c>
      <c r="R4689" t="s">
        <v>53</v>
      </c>
      <c r="T4689" t="s">
        <v>8204</v>
      </c>
      <c r="U4689" t="s">
        <v>58</v>
      </c>
      <c r="V4689">
        <v>1</v>
      </c>
      <c r="W4689">
        <v>1</v>
      </c>
      <c r="X4689">
        <v>1</v>
      </c>
      <c r="Y4689">
        <v>0</v>
      </c>
      <c r="Z4689">
        <v>1</v>
      </c>
      <c r="AA4689">
        <v>102.63</v>
      </c>
      <c r="AB4689">
        <v>102.63</v>
      </c>
      <c r="AC4689">
        <v>90.3</v>
      </c>
      <c r="AD4689">
        <v>0</v>
      </c>
      <c r="AE4689">
        <v>12.33</v>
      </c>
      <c r="AF4689">
        <v>0</v>
      </c>
      <c r="AG4689">
        <v>0</v>
      </c>
      <c r="AH4689">
        <v>0</v>
      </c>
      <c r="AI4689">
        <v>18.47</v>
      </c>
      <c r="AJ4689">
        <v>102.63</v>
      </c>
      <c r="AK4689">
        <v>0</v>
      </c>
      <c r="AL4689" t="s">
        <v>53</v>
      </c>
      <c r="AM4689" t="s">
        <v>53</v>
      </c>
      <c r="AN4689" t="s">
        <v>53</v>
      </c>
      <c r="AO4689" t="s">
        <v>53</v>
      </c>
      <c r="AP4689" t="s">
        <v>53</v>
      </c>
    </row>
    <row r="4690" spans="2:42" x14ac:dyDescent="0.2">
      <c r="B4690" t="s">
        <v>44</v>
      </c>
      <c r="C4690" t="str">
        <f>HYPERLINK("https://us2.cloudbeds.com/connect/8493803454333002#/reservations/9080486845981531?display=283UKMBH7P&amp;reservation_id=9080486845981531", "283UKMBH7P")</f>
        <v>283UKMBH7P</v>
      </c>
      <c r="D4690" t="s">
        <v>45</v>
      </c>
      <c r="E4690" t="s">
        <v>110</v>
      </c>
      <c r="F4690" t="s">
        <v>47</v>
      </c>
      <c r="G4690" t="s">
        <v>48</v>
      </c>
      <c r="H4690" t="s">
        <v>49</v>
      </c>
      <c r="I4690" t="s">
        <v>50</v>
      </c>
      <c r="J4690" t="s">
        <v>7861</v>
      </c>
      <c r="K4690" t="s">
        <v>5593</v>
      </c>
      <c r="L4690" t="s">
        <v>53</v>
      </c>
      <c r="N4690" t="s">
        <v>8205</v>
      </c>
      <c r="P4690" t="s">
        <v>55</v>
      </c>
      <c r="R4690" t="s">
        <v>53</v>
      </c>
      <c r="T4690" t="s">
        <v>8206</v>
      </c>
      <c r="U4690" t="s">
        <v>58</v>
      </c>
      <c r="V4690">
        <v>2</v>
      </c>
      <c r="W4690">
        <v>1</v>
      </c>
      <c r="X4690">
        <v>1</v>
      </c>
      <c r="Y4690">
        <v>0</v>
      </c>
      <c r="Z4690">
        <v>1</v>
      </c>
      <c r="AA4690">
        <v>376.05</v>
      </c>
      <c r="AB4690">
        <v>376.05</v>
      </c>
      <c r="AC4690">
        <v>330.88</v>
      </c>
      <c r="AD4690">
        <v>0</v>
      </c>
      <c r="AE4690">
        <v>45.17</v>
      </c>
      <c r="AF4690">
        <v>0</v>
      </c>
      <c r="AG4690">
        <v>0</v>
      </c>
      <c r="AH4690">
        <v>0</v>
      </c>
      <c r="AI4690">
        <v>67.69</v>
      </c>
      <c r="AJ4690">
        <v>376.05</v>
      </c>
      <c r="AK4690">
        <v>0</v>
      </c>
      <c r="AL4690" t="s">
        <v>53</v>
      </c>
      <c r="AM4690" t="s">
        <v>53</v>
      </c>
      <c r="AN4690" t="s">
        <v>53</v>
      </c>
      <c r="AO4690" t="s">
        <v>53</v>
      </c>
      <c r="AP4690" t="s">
        <v>53</v>
      </c>
    </row>
    <row r="4691" spans="2:42" x14ac:dyDescent="0.2">
      <c r="B4691" t="s">
        <v>44</v>
      </c>
      <c r="C4691" t="str">
        <f>HYPERLINK("https://us2.cloudbeds.com/connect/8493803454333002#/reservations/104321842036880?display=285QNSG9AG&amp;reservation_id=104321842036880", "285QNSG9AG")</f>
        <v>285QNSG9AG</v>
      </c>
      <c r="D4691" t="s">
        <v>45</v>
      </c>
      <c r="E4691" t="s">
        <v>487</v>
      </c>
      <c r="F4691" t="s">
        <v>61</v>
      </c>
      <c r="G4691" t="s">
        <v>4520</v>
      </c>
      <c r="H4691" t="s">
        <v>3957</v>
      </c>
      <c r="I4691" t="s">
        <v>3989</v>
      </c>
      <c r="J4691" t="s">
        <v>6999</v>
      </c>
      <c r="K4691" t="s">
        <v>5963</v>
      </c>
      <c r="L4691" t="s">
        <v>53</v>
      </c>
      <c r="P4691" t="s">
        <v>55</v>
      </c>
      <c r="R4691" t="s">
        <v>56</v>
      </c>
      <c r="T4691" t="s">
        <v>8207</v>
      </c>
      <c r="U4691" t="s">
        <v>58</v>
      </c>
      <c r="V4691">
        <v>1</v>
      </c>
      <c r="W4691">
        <v>1</v>
      </c>
      <c r="X4691">
        <v>1</v>
      </c>
      <c r="Y4691">
        <v>0</v>
      </c>
      <c r="Z4691">
        <v>1</v>
      </c>
      <c r="AA4691">
        <v>134</v>
      </c>
      <c r="AB4691">
        <v>134</v>
      </c>
      <c r="AC4691">
        <v>92.9</v>
      </c>
      <c r="AD4691">
        <v>0</v>
      </c>
      <c r="AE4691">
        <v>16.100000000000001</v>
      </c>
      <c r="AF4691">
        <v>0</v>
      </c>
      <c r="AG4691">
        <v>0</v>
      </c>
      <c r="AH4691">
        <v>0</v>
      </c>
      <c r="AI4691">
        <v>0</v>
      </c>
      <c r="AJ4691">
        <v>109</v>
      </c>
      <c r="AK4691">
        <v>0</v>
      </c>
      <c r="AL4691" t="s">
        <v>53</v>
      </c>
      <c r="AM4691" t="s">
        <v>53</v>
      </c>
      <c r="AN4691" t="s">
        <v>8208</v>
      </c>
      <c r="AO4691" t="s">
        <v>53</v>
      </c>
      <c r="AP4691" t="s">
        <v>53</v>
      </c>
    </row>
    <row r="4692" spans="2:42" x14ac:dyDescent="0.2">
      <c r="B4692" t="s">
        <v>44</v>
      </c>
      <c r="C4692" t="str">
        <f>HYPERLINK("https://us2.cloudbeds.com/connect/8493803454333002#/reservations/9080486845983061?display=285UPP0JG0&amp;reservation_id=9080486845983061", "285UPP0JG0")</f>
        <v>285UPP0JG0</v>
      </c>
      <c r="D4692" t="s">
        <v>45</v>
      </c>
      <c r="E4692" t="s">
        <v>305</v>
      </c>
      <c r="F4692" t="s">
        <v>61</v>
      </c>
      <c r="G4692" t="s">
        <v>48</v>
      </c>
      <c r="H4692" t="s">
        <v>49</v>
      </c>
      <c r="I4692" t="s">
        <v>50</v>
      </c>
      <c r="J4692" t="s">
        <v>6999</v>
      </c>
      <c r="K4692" t="s">
        <v>5622</v>
      </c>
      <c r="L4692" t="s">
        <v>53</v>
      </c>
      <c r="N4692" t="s">
        <v>8209</v>
      </c>
      <c r="P4692" t="s">
        <v>55</v>
      </c>
      <c r="R4692" t="s">
        <v>53</v>
      </c>
      <c r="T4692" t="s">
        <v>8210</v>
      </c>
      <c r="U4692" t="s">
        <v>58</v>
      </c>
      <c r="V4692">
        <v>2</v>
      </c>
      <c r="W4692">
        <v>1</v>
      </c>
      <c r="X4692">
        <v>2</v>
      </c>
      <c r="Y4692">
        <v>0</v>
      </c>
      <c r="Z4692">
        <v>2</v>
      </c>
      <c r="AA4692">
        <v>263.89999999999998</v>
      </c>
      <c r="AB4692">
        <v>263.89999999999998</v>
      </c>
      <c r="AC4692">
        <v>232.2</v>
      </c>
      <c r="AD4692">
        <v>0</v>
      </c>
      <c r="AE4692">
        <v>31.7</v>
      </c>
      <c r="AF4692">
        <v>0</v>
      </c>
      <c r="AG4692">
        <v>0</v>
      </c>
      <c r="AH4692">
        <v>0</v>
      </c>
      <c r="AI4692">
        <v>47.5</v>
      </c>
      <c r="AJ4692">
        <v>263.89999999999998</v>
      </c>
      <c r="AK4692">
        <v>0</v>
      </c>
      <c r="AL4692" t="s">
        <v>53</v>
      </c>
      <c r="AM4692" t="s">
        <v>53</v>
      </c>
      <c r="AN4692" t="s">
        <v>53</v>
      </c>
      <c r="AO4692" t="s">
        <v>53</v>
      </c>
      <c r="AP4692" t="s">
        <v>53</v>
      </c>
    </row>
    <row r="4693" spans="2:42" x14ac:dyDescent="0.2">
      <c r="B4693" t="s">
        <v>44</v>
      </c>
      <c r="C4693" t="str">
        <f>HYPERLINK("https://us2.cloudbeds.com/connect/8493803454333002#/reservations/9080486845983223?display=28648KVGPV&amp;reservation_id=9080486845983223", "28648KVGPV")</f>
        <v>28648KVGPV</v>
      </c>
      <c r="D4693" t="s">
        <v>45</v>
      </c>
      <c r="E4693" t="s">
        <v>185</v>
      </c>
      <c r="F4693" t="s">
        <v>47</v>
      </c>
      <c r="G4693" t="s">
        <v>48</v>
      </c>
      <c r="H4693" t="s">
        <v>49</v>
      </c>
      <c r="I4693" t="s">
        <v>62</v>
      </c>
      <c r="J4693" t="s">
        <v>5430</v>
      </c>
      <c r="K4693" t="s">
        <v>6335</v>
      </c>
      <c r="L4693" t="s">
        <v>53</v>
      </c>
      <c r="N4693" t="s">
        <v>8211</v>
      </c>
      <c r="P4693" t="s">
        <v>55</v>
      </c>
      <c r="R4693" t="s">
        <v>56</v>
      </c>
      <c r="T4693" t="s">
        <v>8212</v>
      </c>
      <c r="U4693" t="s">
        <v>55</v>
      </c>
      <c r="V4693">
        <v>2</v>
      </c>
      <c r="W4693">
        <v>1</v>
      </c>
      <c r="X4693">
        <v>1</v>
      </c>
      <c r="Y4693">
        <v>0</v>
      </c>
      <c r="Z4693">
        <v>1</v>
      </c>
      <c r="AA4693">
        <v>255</v>
      </c>
      <c r="AB4693">
        <v>255</v>
      </c>
      <c r="AC4693">
        <v>255</v>
      </c>
      <c r="AD4693">
        <v>0</v>
      </c>
      <c r="AE4693">
        <v>0</v>
      </c>
      <c r="AF4693">
        <v>0</v>
      </c>
      <c r="AG4693">
        <v>0</v>
      </c>
      <c r="AH4693">
        <v>0</v>
      </c>
      <c r="AI4693">
        <v>45.9</v>
      </c>
      <c r="AJ4693">
        <v>255</v>
      </c>
      <c r="AK4693">
        <v>0</v>
      </c>
      <c r="AL4693" t="s">
        <v>53</v>
      </c>
      <c r="AM4693" t="s">
        <v>53</v>
      </c>
      <c r="AN4693" t="s">
        <v>53</v>
      </c>
      <c r="AO4693" t="s">
        <v>53</v>
      </c>
      <c r="AP4693" t="s">
        <v>53</v>
      </c>
    </row>
    <row r="4694" spans="2:42" x14ac:dyDescent="0.2">
      <c r="B4694" t="s">
        <v>44</v>
      </c>
      <c r="C4694" t="str">
        <f>HYPERLINK("https://us2.cloudbeds.com/connect/8493803454333002#/reservations/9080486845983393?display=286BBTEDKF&amp;reservation_id=9080486845983393", "286BBTEDKF")</f>
        <v>286BBTEDKF</v>
      </c>
      <c r="D4694" t="s">
        <v>45</v>
      </c>
      <c r="E4694" t="s">
        <v>179</v>
      </c>
      <c r="F4694" t="s">
        <v>47</v>
      </c>
      <c r="G4694" t="s">
        <v>48</v>
      </c>
      <c r="H4694" t="s">
        <v>49</v>
      </c>
      <c r="I4694" t="s">
        <v>50</v>
      </c>
      <c r="J4694" t="s">
        <v>5963</v>
      </c>
      <c r="K4694" t="s">
        <v>5622</v>
      </c>
      <c r="L4694" t="s">
        <v>53</v>
      </c>
      <c r="N4694" t="s">
        <v>8213</v>
      </c>
      <c r="P4694" t="s">
        <v>55</v>
      </c>
      <c r="R4694" t="s">
        <v>53</v>
      </c>
      <c r="T4694" t="s">
        <v>8214</v>
      </c>
      <c r="U4694" t="s">
        <v>58</v>
      </c>
      <c r="V4694">
        <v>1</v>
      </c>
      <c r="W4694">
        <v>1</v>
      </c>
      <c r="X4694">
        <v>2</v>
      </c>
      <c r="Y4694">
        <v>0</v>
      </c>
      <c r="Z4694">
        <v>2</v>
      </c>
      <c r="AA4694">
        <v>108.19</v>
      </c>
      <c r="AB4694">
        <v>108.19</v>
      </c>
      <c r="AC4694">
        <v>95.2</v>
      </c>
      <c r="AD4694">
        <v>0</v>
      </c>
      <c r="AE4694">
        <v>12.99</v>
      </c>
      <c r="AF4694">
        <v>0</v>
      </c>
      <c r="AG4694">
        <v>0</v>
      </c>
      <c r="AH4694">
        <v>0</v>
      </c>
      <c r="AI4694">
        <v>19.47</v>
      </c>
      <c r="AJ4694">
        <v>108.19</v>
      </c>
      <c r="AK4694">
        <v>0</v>
      </c>
      <c r="AL4694" t="s">
        <v>53</v>
      </c>
      <c r="AM4694" t="s">
        <v>53</v>
      </c>
      <c r="AN4694" t="s">
        <v>53</v>
      </c>
      <c r="AO4694" t="s">
        <v>53</v>
      </c>
      <c r="AP4694" t="s">
        <v>53</v>
      </c>
    </row>
    <row r="4695" spans="2:42" x14ac:dyDescent="0.2">
      <c r="B4695" t="s">
        <v>44</v>
      </c>
      <c r="C4695" t="str">
        <f>HYPERLINK("https://us2.cloudbeds.com/connect/8493803454333002#/reservations/9080486845983523?display=286GPY1926&amp;reservation_id=9080486845983523", "286GPY1926")</f>
        <v>286GPY1926</v>
      </c>
      <c r="D4695" t="s">
        <v>45</v>
      </c>
      <c r="E4695" t="s">
        <v>381</v>
      </c>
      <c r="F4695" t="s">
        <v>47</v>
      </c>
      <c r="G4695" t="s">
        <v>48</v>
      </c>
      <c r="H4695" t="s">
        <v>49</v>
      </c>
      <c r="I4695" t="s">
        <v>50</v>
      </c>
      <c r="J4695" t="s">
        <v>7750</v>
      </c>
      <c r="K4695" t="s">
        <v>8071</v>
      </c>
      <c r="L4695" t="s">
        <v>53</v>
      </c>
      <c r="N4695" t="s">
        <v>8215</v>
      </c>
      <c r="P4695" t="s">
        <v>58</v>
      </c>
      <c r="R4695" t="s">
        <v>56</v>
      </c>
      <c r="T4695" t="s">
        <v>8216</v>
      </c>
      <c r="U4695" t="s">
        <v>58</v>
      </c>
      <c r="V4695">
        <v>3</v>
      </c>
      <c r="W4695">
        <v>1</v>
      </c>
      <c r="X4695">
        <v>2</v>
      </c>
      <c r="Y4695">
        <v>0</v>
      </c>
      <c r="Z4695">
        <v>2</v>
      </c>
      <c r="AA4695">
        <v>497.51</v>
      </c>
      <c r="AB4695">
        <v>497.51</v>
      </c>
      <c r="AC4695">
        <v>437.75</v>
      </c>
      <c r="AD4695">
        <v>0</v>
      </c>
      <c r="AE4695">
        <v>59.76</v>
      </c>
      <c r="AF4695">
        <v>0</v>
      </c>
      <c r="AG4695">
        <v>0</v>
      </c>
      <c r="AH4695">
        <v>0</v>
      </c>
      <c r="AI4695">
        <v>89.55</v>
      </c>
      <c r="AJ4695">
        <v>497.51</v>
      </c>
      <c r="AK4695">
        <v>0</v>
      </c>
      <c r="AL4695" t="s">
        <v>53</v>
      </c>
      <c r="AM4695" t="s">
        <v>53</v>
      </c>
      <c r="AN4695" t="s">
        <v>53</v>
      </c>
      <c r="AO4695" t="s">
        <v>53</v>
      </c>
      <c r="AP4695" t="s">
        <v>53</v>
      </c>
    </row>
    <row r="4696" spans="2:42" x14ac:dyDescent="0.2">
      <c r="B4696" t="s">
        <v>44</v>
      </c>
      <c r="C4696" t="str">
        <f>HYPERLINK("https://us2.cloudbeds.com/connect/8493803454333002#/reservations/9080486845983688?display=286MEP3APD&amp;reservation_id=9080486845983688", "286MEP3APD")</f>
        <v>286MEP3APD</v>
      </c>
      <c r="D4696" t="s">
        <v>45</v>
      </c>
      <c r="E4696" t="s">
        <v>110</v>
      </c>
      <c r="F4696" t="s">
        <v>47</v>
      </c>
      <c r="G4696" t="s">
        <v>48</v>
      </c>
      <c r="H4696" t="s">
        <v>49</v>
      </c>
      <c r="I4696" t="s">
        <v>62</v>
      </c>
      <c r="J4696" t="s">
        <v>6921</v>
      </c>
      <c r="K4696" t="s">
        <v>6922</v>
      </c>
      <c r="L4696" t="s">
        <v>53</v>
      </c>
      <c r="N4696" t="s">
        <v>8217</v>
      </c>
      <c r="P4696" t="s">
        <v>55</v>
      </c>
      <c r="R4696" t="s">
        <v>56</v>
      </c>
      <c r="T4696" t="s">
        <v>8218</v>
      </c>
      <c r="U4696" t="s">
        <v>55</v>
      </c>
      <c r="V4696">
        <v>1</v>
      </c>
      <c r="W4696">
        <v>1</v>
      </c>
      <c r="X4696">
        <v>2</v>
      </c>
      <c r="Y4696">
        <v>0</v>
      </c>
      <c r="Z4696">
        <v>2</v>
      </c>
      <c r="AA4696">
        <v>125.4</v>
      </c>
      <c r="AB4696">
        <v>125.4</v>
      </c>
      <c r="AC4696">
        <v>125.4</v>
      </c>
      <c r="AD4696">
        <v>0</v>
      </c>
      <c r="AE4696">
        <v>0</v>
      </c>
      <c r="AF4696">
        <v>0</v>
      </c>
      <c r="AG4696">
        <v>0</v>
      </c>
      <c r="AH4696">
        <v>0</v>
      </c>
      <c r="AI4696">
        <v>22.57</v>
      </c>
      <c r="AJ4696">
        <v>125.4</v>
      </c>
      <c r="AK4696">
        <v>0</v>
      </c>
      <c r="AL4696" t="s">
        <v>53</v>
      </c>
      <c r="AM4696" t="s">
        <v>53</v>
      </c>
      <c r="AN4696" t="s">
        <v>53</v>
      </c>
      <c r="AO4696" t="s">
        <v>53</v>
      </c>
      <c r="AP4696" t="s">
        <v>53</v>
      </c>
    </row>
    <row r="4697" spans="2:42" x14ac:dyDescent="0.2">
      <c r="B4697" t="s">
        <v>44</v>
      </c>
      <c r="C4697" t="str">
        <f>HYPERLINK("https://us2.cloudbeds.com/connect/8493803454333002#/reservations/9080486845984285?display=287EG1WBVH&amp;reservation_id=9080486845984285", "287EG1WBVH")</f>
        <v>287EG1WBVH</v>
      </c>
      <c r="D4697" t="s">
        <v>45</v>
      </c>
      <c r="E4697" t="s">
        <v>265</v>
      </c>
      <c r="F4697" t="s">
        <v>61</v>
      </c>
      <c r="G4697" t="s">
        <v>48</v>
      </c>
      <c r="H4697" t="s">
        <v>49</v>
      </c>
      <c r="I4697" t="s">
        <v>50</v>
      </c>
      <c r="J4697" t="s">
        <v>6999</v>
      </c>
      <c r="K4697" t="s">
        <v>5963</v>
      </c>
      <c r="L4697" t="s">
        <v>53</v>
      </c>
      <c r="N4697" t="s">
        <v>8219</v>
      </c>
      <c r="P4697" t="s">
        <v>55</v>
      </c>
      <c r="R4697" t="s">
        <v>53</v>
      </c>
      <c r="T4697" t="s">
        <v>8220</v>
      </c>
      <c r="U4697" t="s">
        <v>58</v>
      </c>
      <c r="V4697">
        <v>1</v>
      </c>
      <c r="W4697">
        <v>1</v>
      </c>
      <c r="X4697">
        <v>1</v>
      </c>
      <c r="Y4697">
        <v>0</v>
      </c>
      <c r="Z4697">
        <v>1</v>
      </c>
      <c r="AA4697">
        <v>134</v>
      </c>
      <c r="AB4697">
        <v>134</v>
      </c>
      <c r="AC4697">
        <v>117.9</v>
      </c>
      <c r="AD4697">
        <v>0</v>
      </c>
      <c r="AE4697">
        <v>16.100000000000001</v>
      </c>
      <c r="AF4697">
        <v>0</v>
      </c>
      <c r="AG4697">
        <v>0</v>
      </c>
      <c r="AH4697">
        <v>0</v>
      </c>
      <c r="AI4697">
        <v>24.12</v>
      </c>
      <c r="AJ4697">
        <v>134</v>
      </c>
      <c r="AK4697">
        <v>0</v>
      </c>
      <c r="AL4697" t="s">
        <v>53</v>
      </c>
      <c r="AM4697" t="s">
        <v>53</v>
      </c>
      <c r="AN4697" t="s">
        <v>53</v>
      </c>
      <c r="AO4697" t="s">
        <v>53</v>
      </c>
      <c r="AP4697" t="s">
        <v>53</v>
      </c>
    </row>
    <row r="4698" spans="2:42" x14ac:dyDescent="0.2">
      <c r="B4698" t="s">
        <v>44</v>
      </c>
      <c r="C4698" t="str">
        <f>HYPERLINK("https://us2.cloudbeds.com/connect/8493803454333002#/reservations/9080486845984888?display=288XC25JYN&amp;reservation_id=9080486845984888", "288XC25JYN")</f>
        <v>288XC25JYN</v>
      </c>
      <c r="D4698" t="s">
        <v>45</v>
      </c>
      <c r="E4698" t="s">
        <v>381</v>
      </c>
      <c r="F4698" t="s">
        <v>47</v>
      </c>
      <c r="G4698" t="s">
        <v>48</v>
      </c>
      <c r="H4698" t="s">
        <v>49</v>
      </c>
      <c r="I4698" t="s">
        <v>50</v>
      </c>
      <c r="J4698" t="s">
        <v>5963</v>
      </c>
      <c r="K4698" t="s">
        <v>5623</v>
      </c>
      <c r="L4698" t="s">
        <v>53</v>
      </c>
      <c r="N4698" t="s">
        <v>8221</v>
      </c>
      <c r="P4698" t="s">
        <v>55</v>
      </c>
      <c r="R4698" t="s">
        <v>53</v>
      </c>
      <c r="T4698" t="s">
        <v>8222</v>
      </c>
      <c r="U4698" t="s">
        <v>58</v>
      </c>
      <c r="V4698">
        <v>2</v>
      </c>
      <c r="W4698">
        <v>1</v>
      </c>
      <c r="X4698">
        <v>2</v>
      </c>
      <c r="Y4698">
        <v>0</v>
      </c>
      <c r="Z4698">
        <v>2</v>
      </c>
      <c r="AA4698">
        <v>317.77</v>
      </c>
      <c r="AB4698">
        <v>317.77</v>
      </c>
      <c r="AC4698">
        <v>279.60000000000002</v>
      </c>
      <c r="AD4698">
        <v>0</v>
      </c>
      <c r="AE4698">
        <v>38.17</v>
      </c>
      <c r="AF4698">
        <v>0</v>
      </c>
      <c r="AG4698">
        <v>0</v>
      </c>
      <c r="AH4698">
        <v>0</v>
      </c>
      <c r="AI4698">
        <v>57.2</v>
      </c>
      <c r="AJ4698">
        <v>317.77</v>
      </c>
      <c r="AK4698">
        <v>0</v>
      </c>
      <c r="AL4698" t="s">
        <v>53</v>
      </c>
      <c r="AM4698" t="s">
        <v>53</v>
      </c>
      <c r="AN4698" t="s">
        <v>53</v>
      </c>
      <c r="AO4698" t="s">
        <v>53</v>
      </c>
      <c r="AP4698" t="s">
        <v>53</v>
      </c>
    </row>
    <row r="4699" spans="2:42" x14ac:dyDescent="0.2">
      <c r="B4699" t="s">
        <v>44</v>
      </c>
      <c r="C4699" t="str">
        <f>HYPERLINK("https://us2.cloudbeds.com/connect/8493803454333002#/reservations/104454863458455?display=288UNSME1E&amp;reservation_id=104454863458455", "288UNSME1E")</f>
        <v>288UNSME1E</v>
      </c>
      <c r="D4699" t="s">
        <v>45</v>
      </c>
      <c r="E4699" t="s">
        <v>98</v>
      </c>
      <c r="F4699" t="s">
        <v>86</v>
      </c>
      <c r="G4699" t="s">
        <v>48</v>
      </c>
      <c r="H4699" t="s">
        <v>3957</v>
      </c>
      <c r="I4699" t="s">
        <v>3975</v>
      </c>
      <c r="J4699" t="s">
        <v>5623</v>
      </c>
      <c r="K4699" t="s">
        <v>6639</v>
      </c>
      <c r="L4699" t="s">
        <v>53</v>
      </c>
      <c r="P4699" t="s">
        <v>55</v>
      </c>
      <c r="R4699" t="s">
        <v>53</v>
      </c>
      <c r="T4699" t="s">
        <v>8223</v>
      </c>
      <c r="U4699" t="s">
        <v>58</v>
      </c>
      <c r="V4699">
        <v>1</v>
      </c>
      <c r="W4699">
        <v>1</v>
      </c>
      <c r="X4699">
        <v>2</v>
      </c>
      <c r="Y4699">
        <v>0</v>
      </c>
      <c r="Z4699">
        <v>2</v>
      </c>
      <c r="AA4699">
        <v>262.54000000000002</v>
      </c>
      <c r="AB4699">
        <v>262.54000000000002</v>
      </c>
      <c r="AC4699">
        <v>231</v>
      </c>
      <c r="AD4699">
        <v>0</v>
      </c>
      <c r="AE4699">
        <v>31.54</v>
      </c>
      <c r="AF4699">
        <v>0</v>
      </c>
      <c r="AG4699">
        <v>0</v>
      </c>
      <c r="AH4699">
        <v>0</v>
      </c>
      <c r="AI4699">
        <v>0</v>
      </c>
      <c r="AJ4699">
        <v>262.54000000000002</v>
      </c>
      <c r="AK4699">
        <v>0</v>
      </c>
      <c r="AL4699" t="s">
        <v>53</v>
      </c>
      <c r="AM4699" t="s">
        <v>53</v>
      </c>
      <c r="AN4699" t="s">
        <v>53</v>
      </c>
      <c r="AO4699" t="s">
        <v>53</v>
      </c>
      <c r="AP4699" t="s">
        <v>53</v>
      </c>
    </row>
    <row r="4700" spans="2:42" x14ac:dyDescent="0.2">
      <c r="B4700" t="s">
        <v>44</v>
      </c>
      <c r="C4700" t="str">
        <f>HYPERLINK("https://us2.cloudbeds.com/connect/8493803454333002#/reservations/9080486845985129?display=288WJ28MBX&amp;reservation_id=9080486845985129", "288WJ28MBX")</f>
        <v>288WJ28MBX</v>
      </c>
      <c r="D4700" t="s">
        <v>45</v>
      </c>
      <c r="E4700" t="s">
        <v>128</v>
      </c>
      <c r="F4700" t="s">
        <v>86</v>
      </c>
      <c r="G4700" t="s">
        <v>48</v>
      </c>
      <c r="H4700" t="s">
        <v>49</v>
      </c>
      <c r="I4700" t="s">
        <v>50</v>
      </c>
      <c r="J4700" t="s">
        <v>5430</v>
      </c>
      <c r="K4700" t="s">
        <v>5431</v>
      </c>
      <c r="L4700" t="s">
        <v>53</v>
      </c>
      <c r="N4700" t="s">
        <v>8224</v>
      </c>
      <c r="P4700" t="s">
        <v>55</v>
      </c>
      <c r="R4700" t="s">
        <v>53</v>
      </c>
      <c r="T4700" t="s">
        <v>8225</v>
      </c>
      <c r="U4700" t="s">
        <v>58</v>
      </c>
      <c r="V4700">
        <v>1</v>
      </c>
      <c r="W4700">
        <v>1</v>
      </c>
      <c r="X4700">
        <v>2</v>
      </c>
      <c r="Y4700">
        <v>0</v>
      </c>
      <c r="Z4700">
        <v>2</v>
      </c>
      <c r="AA4700">
        <v>146.72</v>
      </c>
      <c r="AB4700">
        <v>146.72</v>
      </c>
      <c r="AC4700">
        <v>129.1</v>
      </c>
      <c r="AD4700">
        <v>0</v>
      </c>
      <c r="AE4700">
        <v>17.62</v>
      </c>
      <c r="AF4700">
        <v>0</v>
      </c>
      <c r="AG4700">
        <v>0</v>
      </c>
      <c r="AH4700">
        <v>0</v>
      </c>
      <c r="AI4700">
        <v>26.41</v>
      </c>
      <c r="AJ4700">
        <v>146.72</v>
      </c>
      <c r="AK4700">
        <v>0</v>
      </c>
      <c r="AL4700" t="s">
        <v>53</v>
      </c>
      <c r="AM4700" t="s">
        <v>53</v>
      </c>
      <c r="AN4700" t="s">
        <v>53</v>
      </c>
      <c r="AO4700" t="s">
        <v>53</v>
      </c>
      <c r="AP4700" t="s">
        <v>53</v>
      </c>
    </row>
    <row r="4701" spans="2:42" x14ac:dyDescent="0.2">
      <c r="B4701" t="s">
        <v>44</v>
      </c>
      <c r="C4701" t="str">
        <f>HYPERLINK("https://us2.cloudbeds.com/connect/8493803454333002#/reservations/9080486845985154?display=2891ZD5BRD&amp;reservation_id=9080486845985154", "2891ZD5BRD")</f>
        <v>2891ZD5BRD</v>
      </c>
      <c r="D4701" t="s">
        <v>45</v>
      </c>
      <c r="E4701" t="s">
        <v>190</v>
      </c>
      <c r="F4701" t="s">
        <v>61</v>
      </c>
      <c r="G4701" t="s">
        <v>48</v>
      </c>
      <c r="H4701" t="s">
        <v>49</v>
      </c>
      <c r="I4701" t="s">
        <v>50</v>
      </c>
      <c r="J4701" t="s">
        <v>5967</v>
      </c>
      <c r="K4701" t="s">
        <v>5430</v>
      </c>
      <c r="L4701" t="s">
        <v>53</v>
      </c>
      <c r="N4701" t="s">
        <v>8226</v>
      </c>
      <c r="P4701" t="s">
        <v>55</v>
      </c>
      <c r="R4701" t="s">
        <v>53</v>
      </c>
      <c r="T4701" t="s">
        <v>8227</v>
      </c>
      <c r="U4701" t="s">
        <v>58</v>
      </c>
      <c r="V4701">
        <v>1</v>
      </c>
      <c r="W4701">
        <v>1</v>
      </c>
      <c r="X4701">
        <v>2</v>
      </c>
      <c r="Y4701">
        <v>0</v>
      </c>
      <c r="Z4701">
        <v>2</v>
      </c>
      <c r="AA4701">
        <v>125.73</v>
      </c>
      <c r="AB4701">
        <v>125.73</v>
      </c>
      <c r="AC4701">
        <v>110.63</v>
      </c>
      <c r="AD4701">
        <v>0</v>
      </c>
      <c r="AE4701">
        <v>15.1</v>
      </c>
      <c r="AF4701">
        <v>0</v>
      </c>
      <c r="AG4701">
        <v>0</v>
      </c>
      <c r="AH4701">
        <v>0</v>
      </c>
      <c r="AI4701">
        <v>22.63</v>
      </c>
      <c r="AJ4701">
        <v>125.73</v>
      </c>
      <c r="AK4701">
        <v>0</v>
      </c>
      <c r="AL4701" t="s">
        <v>53</v>
      </c>
      <c r="AM4701" t="s">
        <v>53</v>
      </c>
      <c r="AN4701" t="s">
        <v>53</v>
      </c>
      <c r="AO4701" t="s">
        <v>53</v>
      </c>
      <c r="AP4701" t="s">
        <v>53</v>
      </c>
    </row>
    <row r="4702" spans="2:42" x14ac:dyDescent="0.2">
      <c r="B4702" t="s">
        <v>44</v>
      </c>
      <c r="C4702" t="str">
        <f>HYPERLINK("https://us2.cloudbeds.com/connect/8493803454333002#/reservations/9080486845985165?display=2892B864MM&amp;reservation_id=9080486845985165", "2892B864MM")</f>
        <v>2892B864MM</v>
      </c>
      <c r="D4702" t="s">
        <v>45</v>
      </c>
      <c r="E4702" t="s">
        <v>179</v>
      </c>
      <c r="F4702" t="s">
        <v>47</v>
      </c>
      <c r="G4702" t="s">
        <v>48</v>
      </c>
      <c r="H4702" t="s">
        <v>49</v>
      </c>
      <c r="I4702" t="s">
        <v>50</v>
      </c>
      <c r="J4702" t="s">
        <v>5967</v>
      </c>
      <c r="K4702" t="s">
        <v>5430</v>
      </c>
      <c r="L4702" t="s">
        <v>53</v>
      </c>
      <c r="N4702" t="s">
        <v>8228</v>
      </c>
      <c r="P4702" t="s">
        <v>55</v>
      </c>
      <c r="R4702" t="s">
        <v>53</v>
      </c>
      <c r="T4702" t="s">
        <v>8229</v>
      </c>
      <c r="U4702" t="s">
        <v>58</v>
      </c>
      <c r="V4702">
        <v>1</v>
      </c>
      <c r="W4702">
        <v>1</v>
      </c>
      <c r="X4702">
        <v>1</v>
      </c>
      <c r="Y4702">
        <v>0</v>
      </c>
      <c r="Z4702">
        <v>1</v>
      </c>
      <c r="AA4702">
        <v>111.04</v>
      </c>
      <c r="AB4702">
        <v>111.04</v>
      </c>
      <c r="AC4702">
        <v>97.71</v>
      </c>
      <c r="AD4702">
        <v>0</v>
      </c>
      <c r="AE4702">
        <v>13.33</v>
      </c>
      <c r="AF4702">
        <v>0</v>
      </c>
      <c r="AG4702">
        <v>0</v>
      </c>
      <c r="AH4702">
        <v>0</v>
      </c>
      <c r="AI4702">
        <v>19.989999999999998</v>
      </c>
      <c r="AJ4702">
        <v>111.04</v>
      </c>
      <c r="AK4702">
        <v>0</v>
      </c>
      <c r="AL4702" t="s">
        <v>53</v>
      </c>
      <c r="AM4702" t="s">
        <v>53</v>
      </c>
      <c r="AN4702" t="s">
        <v>53</v>
      </c>
      <c r="AO4702" t="s">
        <v>53</v>
      </c>
      <c r="AP4702" t="s">
        <v>53</v>
      </c>
    </row>
    <row r="4703" spans="2:42" x14ac:dyDescent="0.2">
      <c r="B4703" t="s">
        <v>44</v>
      </c>
      <c r="C4703" t="str">
        <f>HYPERLINK("https://us2.cloudbeds.com/connect/8493803454333002#/reservations/9080486845987260?display=28CU6HPJXS&amp;reservation_id=9080486845987260", "28CU6HPJXS")</f>
        <v>28CU6HPJXS</v>
      </c>
      <c r="D4703" t="s">
        <v>45</v>
      </c>
      <c r="E4703" t="s">
        <v>46</v>
      </c>
      <c r="F4703" t="s">
        <v>47</v>
      </c>
      <c r="G4703" t="s">
        <v>48</v>
      </c>
      <c r="H4703" t="s">
        <v>49</v>
      </c>
      <c r="I4703" t="s">
        <v>50</v>
      </c>
      <c r="J4703" t="s">
        <v>5963</v>
      </c>
      <c r="K4703" t="s">
        <v>5622</v>
      </c>
      <c r="L4703" t="s">
        <v>53</v>
      </c>
      <c r="N4703" t="s">
        <v>8230</v>
      </c>
      <c r="P4703" t="s">
        <v>55</v>
      </c>
      <c r="R4703" t="s">
        <v>53</v>
      </c>
      <c r="T4703" t="s">
        <v>8231</v>
      </c>
      <c r="U4703" t="s">
        <v>58</v>
      </c>
      <c r="V4703">
        <v>1</v>
      </c>
      <c r="W4703">
        <v>1</v>
      </c>
      <c r="X4703">
        <v>1</v>
      </c>
      <c r="Y4703">
        <v>0</v>
      </c>
      <c r="Z4703">
        <v>1</v>
      </c>
      <c r="AA4703">
        <v>121.72</v>
      </c>
      <c r="AB4703">
        <v>121.72</v>
      </c>
      <c r="AC4703">
        <v>107.1</v>
      </c>
      <c r="AD4703">
        <v>0</v>
      </c>
      <c r="AE4703">
        <v>14.62</v>
      </c>
      <c r="AF4703">
        <v>0</v>
      </c>
      <c r="AG4703">
        <v>0</v>
      </c>
      <c r="AH4703">
        <v>0</v>
      </c>
      <c r="AI4703">
        <v>21.91</v>
      </c>
      <c r="AJ4703">
        <v>121.72</v>
      </c>
      <c r="AK4703">
        <v>0</v>
      </c>
      <c r="AL4703" t="s">
        <v>53</v>
      </c>
      <c r="AM4703" t="s">
        <v>53</v>
      </c>
      <c r="AN4703" t="s">
        <v>53</v>
      </c>
      <c r="AO4703" t="s">
        <v>53</v>
      </c>
      <c r="AP4703" t="s">
        <v>53</v>
      </c>
    </row>
    <row r="4704" spans="2:42" x14ac:dyDescent="0.2">
      <c r="B4704" t="s">
        <v>44</v>
      </c>
      <c r="C4704" t="str">
        <f>HYPERLINK("https://us2.cloudbeds.com/connect/8493803454333002#/reservations/9080486845987499?display=28D7DK9NXX&amp;reservation_id=9080486845987499", "28D7DK9NXX")</f>
        <v>28D7DK9NXX</v>
      </c>
      <c r="D4704" t="s">
        <v>45</v>
      </c>
      <c r="E4704" t="s">
        <v>98</v>
      </c>
      <c r="F4704" t="s">
        <v>86</v>
      </c>
      <c r="G4704" t="s">
        <v>48</v>
      </c>
      <c r="H4704" t="s">
        <v>49</v>
      </c>
      <c r="I4704" t="s">
        <v>50</v>
      </c>
      <c r="J4704" t="s">
        <v>5963</v>
      </c>
      <c r="K4704" t="s">
        <v>5622</v>
      </c>
      <c r="L4704" t="s">
        <v>53</v>
      </c>
      <c r="N4704" t="s">
        <v>8232</v>
      </c>
      <c r="P4704" t="s">
        <v>55</v>
      </c>
      <c r="R4704" t="s">
        <v>53</v>
      </c>
      <c r="T4704" t="s">
        <v>8233</v>
      </c>
      <c r="U4704" t="s">
        <v>58</v>
      </c>
      <c r="V4704">
        <v>1</v>
      </c>
      <c r="W4704">
        <v>1</v>
      </c>
      <c r="X4704">
        <v>2</v>
      </c>
      <c r="Y4704">
        <v>0</v>
      </c>
      <c r="Z4704">
        <v>2</v>
      </c>
      <c r="AA4704">
        <v>121.83</v>
      </c>
      <c r="AB4704">
        <v>121.83</v>
      </c>
      <c r="AC4704">
        <v>107.2</v>
      </c>
      <c r="AD4704">
        <v>0</v>
      </c>
      <c r="AE4704">
        <v>14.63</v>
      </c>
      <c r="AF4704">
        <v>0</v>
      </c>
      <c r="AG4704">
        <v>0</v>
      </c>
      <c r="AH4704">
        <v>0</v>
      </c>
      <c r="AI4704">
        <v>21.93</v>
      </c>
      <c r="AJ4704">
        <v>121.83</v>
      </c>
      <c r="AK4704">
        <v>0</v>
      </c>
      <c r="AL4704" t="s">
        <v>53</v>
      </c>
      <c r="AM4704" t="s">
        <v>53</v>
      </c>
      <c r="AN4704" t="s">
        <v>53</v>
      </c>
      <c r="AO4704" t="s">
        <v>53</v>
      </c>
      <c r="AP4704" t="s">
        <v>53</v>
      </c>
    </row>
    <row r="4705" spans="2:42" x14ac:dyDescent="0.2">
      <c r="B4705" t="s">
        <v>44</v>
      </c>
      <c r="C4705" t="str">
        <f>HYPERLINK("https://us2.cloudbeds.com/connect/8493803454333002#/reservations/104648600375438?display=28DFZ9PZ2J&amp;reservation_id=104648600375438", "28DFZ9PZ2J")</f>
        <v>28DFZ9PZ2J</v>
      </c>
      <c r="D4705" t="s">
        <v>45</v>
      </c>
      <c r="E4705" t="s">
        <v>78</v>
      </c>
      <c r="F4705" t="s">
        <v>61</v>
      </c>
      <c r="G4705" t="s">
        <v>48</v>
      </c>
      <c r="H4705" t="s">
        <v>3957</v>
      </c>
      <c r="I4705" t="s">
        <v>3975</v>
      </c>
      <c r="J4705" t="s">
        <v>5623</v>
      </c>
      <c r="K4705" t="s">
        <v>6639</v>
      </c>
      <c r="L4705" t="s">
        <v>53</v>
      </c>
      <c r="P4705" t="s">
        <v>55</v>
      </c>
      <c r="R4705" t="s">
        <v>53</v>
      </c>
      <c r="T4705" t="s">
        <v>8234</v>
      </c>
      <c r="U4705" t="s">
        <v>58</v>
      </c>
      <c r="V4705">
        <v>1</v>
      </c>
      <c r="W4705">
        <v>1</v>
      </c>
      <c r="X4705">
        <v>2</v>
      </c>
      <c r="Y4705">
        <v>0</v>
      </c>
      <c r="Z4705">
        <v>2</v>
      </c>
      <c r="AA4705">
        <v>261.39999999999998</v>
      </c>
      <c r="AB4705">
        <v>261.39999999999998</v>
      </c>
      <c r="AC4705">
        <v>230</v>
      </c>
      <c r="AD4705">
        <v>0</v>
      </c>
      <c r="AE4705">
        <v>31.4</v>
      </c>
      <c r="AF4705">
        <v>0</v>
      </c>
      <c r="AG4705">
        <v>0</v>
      </c>
      <c r="AH4705">
        <v>0</v>
      </c>
      <c r="AI4705">
        <v>0</v>
      </c>
      <c r="AJ4705">
        <v>261.39999999999998</v>
      </c>
      <c r="AK4705">
        <v>0</v>
      </c>
      <c r="AL4705" t="s">
        <v>53</v>
      </c>
      <c r="AM4705" t="s">
        <v>53</v>
      </c>
      <c r="AN4705" t="s">
        <v>53</v>
      </c>
      <c r="AO4705" t="s">
        <v>53</v>
      </c>
      <c r="AP4705" t="s">
        <v>53</v>
      </c>
    </row>
    <row r="4706" spans="2:42" x14ac:dyDescent="0.2">
      <c r="B4706" t="s">
        <v>44</v>
      </c>
      <c r="C4706" t="str">
        <f>HYPERLINK("https://us2.cloudbeds.com/connect/8493803454333002#/reservations/9080486845987827?display=28DM9K166K&amp;reservation_id=9080486845987827", "28DM9K166K")</f>
        <v>28DM9K166K</v>
      </c>
      <c r="D4706" t="s">
        <v>45</v>
      </c>
      <c r="E4706" t="s">
        <v>190</v>
      </c>
      <c r="F4706" t="s">
        <v>61</v>
      </c>
      <c r="G4706" t="s">
        <v>48</v>
      </c>
      <c r="H4706" t="s">
        <v>49</v>
      </c>
      <c r="I4706" t="s">
        <v>62</v>
      </c>
      <c r="J4706" t="s">
        <v>5963</v>
      </c>
      <c r="K4706" t="s">
        <v>5623</v>
      </c>
      <c r="L4706" t="s">
        <v>53</v>
      </c>
      <c r="N4706" t="s">
        <v>8235</v>
      </c>
      <c r="P4706" t="s">
        <v>55</v>
      </c>
      <c r="R4706" t="s">
        <v>56</v>
      </c>
      <c r="T4706" t="s">
        <v>8236</v>
      </c>
      <c r="U4706" t="s">
        <v>55</v>
      </c>
      <c r="V4706">
        <v>2</v>
      </c>
      <c r="W4706">
        <v>1</v>
      </c>
      <c r="X4706">
        <v>2</v>
      </c>
      <c r="Y4706">
        <v>0</v>
      </c>
      <c r="Z4706">
        <v>2</v>
      </c>
      <c r="AA4706">
        <v>361</v>
      </c>
      <c r="AB4706">
        <v>361</v>
      </c>
      <c r="AC4706">
        <v>361</v>
      </c>
      <c r="AD4706">
        <v>0</v>
      </c>
      <c r="AE4706">
        <v>0</v>
      </c>
      <c r="AF4706">
        <v>0</v>
      </c>
      <c r="AG4706">
        <v>0</v>
      </c>
      <c r="AH4706">
        <v>0</v>
      </c>
      <c r="AI4706">
        <v>64.98</v>
      </c>
      <c r="AJ4706">
        <v>361</v>
      </c>
      <c r="AK4706">
        <v>0</v>
      </c>
      <c r="AL4706" t="s">
        <v>53</v>
      </c>
      <c r="AM4706" t="s">
        <v>53</v>
      </c>
      <c r="AN4706" t="s">
        <v>53</v>
      </c>
      <c r="AO4706" t="s">
        <v>53</v>
      </c>
      <c r="AP4706" t="s">
        <v>53</v>
      </c>
    </row>
    <row r="4707" spans="2:42" x14ac:dyDescent="0.2">
      <c r="B4707" t="s">
        <v>44</v>
      </c>
      <c r="C4707" t="str">
        <f>HYPERLINK("https://us2.cloudbeds.com/connect/8493803454333002#/reservations/9080486845988129?display=28E1WU985Y&amp;reservation_id=9080486845988129", "28E1WU985Y")</f>
        <v>28E1WU985Y</v>
      </c>
      <c r="D4707" t="s">
        <v>45</v>
      </c>
      <c r="E4707" t="s">
        <v>121</v>
      </c>
      <c r="F4707" t="s">
        <v>86</v>
      </c>
      <c r="G4707" t="s">
        <v>48</v>
      </c>
      <c r="H4707" t="s">
        <v>49</v>
      </c>
      <c r="I4707" t="s">
        <v>50</v>
      </c>
      <c r="J4707" t="s">
        <v>5963</v>
      </c>
      <c r="K4707" t="s">
        <v>5622</v>
      </c>
      <c r="L4707" t="s">
        <v>53</v>
      </c>
      <c r="N4707" t="s">
        <v>8237</v>
      </c>
      <c r="P4707" t="s">
        <v>55</v>
      </c>
      <c r="R4707" t="s">
        <v>53</v>
      </c>
      <c r="T4707" t="s">
        <v>8238</v>
      </c>
      <c r="U4707" t="s">
        <v>58</v>
      </c>
      <c r="V4707">
        <v>1</v>
      </c>
      <c r="W4707">
        <v>1</v>
      </c>
      <c r="X4707">
        <v>2</v>
      </c>
      <c r="Y4707">
        <v>0</v>
      </c>
      <c r="Z4707">
        <v>2</v>
      </c>
      <c r="AA4707">
        <v>137.06</v>
      </c>
      <c r="AB4707">
        <v>137.06</v>
      </c>
      <c r="AC4707">
        <v>120.6</v>
      </c>
      <c r="AD4707">
        <v>0</v>
      </c>
      <c r="AE4707">
        <v>16.46</v>
      </c>
      <c r="AF4707">
        <v>0</v>
      </c>
      <c r="AG4707">
        <v>0</v>
      </c>
      <c r="AH4707">
        <v>0</v>
      </c>
      <c r="AI4707">
        <v>24.67</v>
      </c>
      <c r="AJ4707">
        <v>137.06</v>
      </c>
      <c r="AK4707">
        <v>0</v>
      </c>
      <c r="AL4707" t="s">
        <v>53</v>
      </c>
      <c r="AM4707" t="s">
        <v>53</v>
      </c>
      <c r="AN4707" t="s">
        <v>53</v>
      </c>
      <c r="AO4707" t="s">
        <v>53</v>
      </c>
      <c r="AP4707" t="s">
        <v>53</v>
      </c>
    </row>
    <row r="4708" spans="2:42" x14ac:dyDescent="0.2">
      <c r="B4708" t="s">
        <v>44</v>
      </c>
      <c r="C4708" t="str">
        <f>HYPERLINK("https://us2.cloudbeds.com/connect/8493803454333002#/reservations/9080486845988659?display=28EZGFQG2V&amp;reservation_id=9080486845988659", "28EZGFQG2V")</f>
        <v>28EZGFQG2V</v>
      </c>
      <c r="D4708" t="s">
        <v>45</v>
      </c>
      <c r="E4708" t="s">
        <v>185</v>
      </c>
      <c r="F4708" t="s">
        <v>47</v>
      </c>
      <c r="G4708" t="s">
        <v>48</v>
      </c>
      <c r="H4708" t="s">
        <v>49</v>
      </c>
      <c r="I4708" t="s">
        <v>50</v>
      </c>
      <c r="J4708" t="s">
        <v>5622</v>
      </c>
      <c r="K4708" t="s">
        <v>5623</v>
      </c>
      <c r="L4708" t="s">
        <v>53</v>
      </c>
      <c r="N4708" t="s">
        <v>8239</v>
      </c>
      <c r="P4708" t="s">
        <v>55</v>
      </c>
      <c r="R4708" t="s">
        <v>53</v>
      </c>
      <c r="T4708" t="s">
        <v>8240</v>
      </c>
      <c r="U4708" t="s">
        <v>58</v>
      </c>
      <c r="V4708">
        <v>1</v>
      </c>
      <c r="W4708">
        <v>1</v>
      </c>
      <c r="X4708">
        <v>2</v>
      </c>
      <c r="Y4708">
        <v>0</v>
      </c>
      <c r="Z4708">
        <v>2</v>
      </c>
      <c r="AA4708">
        <v>228.44</v>
      </c>
      <c r="AB4708">
        <v>228.44</v>
      </c>
      <c r="AC4708">
        <v>201</v>
      </c>
      <c r="AD4708">
        <v>0</v>
      </c>
      <c r="AE4708">
        <v>27.44</v>
      </c>
      <c r="AF4708">
        <v>0</v>
      </c>
      <c r="AG4708">
        <v>0</v>
      </c>
      <c r="AH4708">
        <v>0</v>
      </c>
      <c r="AI4708">
        <v>41.12</v>
      </c>
      <c r="AJ4708">
        <v>228.44</v>
      </c>
      <c r="AK4708">
        <v>0</v>
      </c>
      <c r="AL4708" t="s">
        <v>53</v>
      </c>
      <c r="AM4708" t="s">
        <v>53</v>
      </c>
      <c r="AN4708" t="s">
        <v>53</v>
      </c>
      <c r="AO4708" t="s">
        <v>53</v>
      </c>
      <c r="AP4708" t="s">
        <v>53</v>
      </c>
    </row>
    <row r="4709" spans="2:42" x14ac:dyDescent="0.2">
      <c r="B4709" t="s">
        <v>44</v>
      </c>
      <c r="C4709" t="str">
        <f>HYPERLINK("https://us2.cloudbeds.com/connect/8493803454333002#/reservations/104712754446473?display=28EWDJ6AP7&amp;reservation_id=104712754446473", "28EWDJ6AP7")</f>
        <v>28EWDJ6AP7</v>
      </c>
      <c r="D4709" t="s">
        <v>45</v>
      </c>
      <c r="E4709" t="s">
        <v>78</v>
      </c>
      <c r="F4709" t="s">
        <v>61</v>
      </c>
      <c r="G4709" t="s">
        <v>48</v>
      </c>
      <c r="H4709" t="s">
        <v>3957</v>
      </c>
      <c r="I4709" t="s">
        <v>3958</v>
      </c>
      <c r="J4709" t="s">
        <v>4767</v>
      </c>
      <c r="K4709" t="s">
        <v>4768</v>
      </c>
      <c r="L4709" t="s">
        <v>53</v>
      </c>
      <c r="P4709" t="s">
        <v>58</v>
      </c>
      <c r="R4709" t="s">
        <v>56</v>
      </c>
      <c r="T4709" t="s">
        <v>8241</v>
      </c>
      <c r="U4709" t="s">
        <v>58</v>
      </c>
      <c r="V4709">
        <v>1</v>
      </c>
      <c r="W4709">
        <v>1</v>
      </c>
      <c r="X4709">
        <v>1</v>
      </c>
      <c r="Y4709">
        <v>0</v>
      </c>
      <c r="Z4709">
        <v>1</v>
      </c>
      <c r="AA4709">
        <v>151.16</v>
      </c>
      <c r="AB4709">
        <v>151.16</v>
      </c>
      <c r="AC4709">
        <v>133</v>
      </c>
      <c r="AD4709">
        <v>0</v>
      </c>
      <c r="AE4709">
        <v>18.16</v>
      </c>
      <c r="AF4709">
        <v>0</v>
      </c>
      <c r="AG4709">
        <v>0</v>
      </c>
      <c r="AH4709">
        <v>0</v>
      </c>
      <c r="AI4709">
        <v>0</v>
      </c>
      <c r="AJ4709">
        <v>151.16</v>
      </c>
      <c r="AK4709">
        <v>0</v>
      </c>
      <c r="AL4709" t="s">
        <v>53</v>
      </c>
      <c r="AM4709" t="s">
        <v>53</v>
      </c>
      <c r="AN4709" t="s">
        <v>53</v>
      </c>
      <c r="AO4709" t="s">
        <v>53</v>
      </c>
      <c r="AP4709" t="s">
        <v>53</v>
      </c>
    </row>
    <row r="4710" spans="2:42" x14ac:dyDescent="0.2">
      <c r="B4710" t="s">
        <v>44</v>
      </c>
      <c r="C4710" t="str">
        <f>HYPERLINK("https://us2.cloudbeds.com/connect/8493803454333002#/reservations/9080486845988961?display=28F48XC1QP&amp;reservation_id=9080486845988961", "28F48XC1QP")</f>
        <v>28F48XC1QP</v>
      </c>
      <c r="D4710" t="s">
        <v>45</v>
      </c>
      <c r="E4710" t="s">
        <v>487</v>
      </c>
      <c r="F4710" t="s">
        <v>61</v>
      </c>
      <c r="G4710" t="s">
        <v>48</v>
      </c>
      <c r="H4710" t="s">
        <v>49</v>
      </c>
      <c r="I4710" t="s">
        <v>50</v>
      </c>
      <c r="J4710" t="s">
        <v>5963</v>
      </c>
      <c r="K4710" t="s">
        <v>5622</v>
      </c>
      <c r="L4710" t="s">
        <v>53</v>
      </c>
      <c r="N4710" t="s">
        <v>8242</v>
      </c>
      <c r="P4710" t="s">
        <v>55</v>
      </c>
      <c r="R4710" t="s">
        <v>53</v>
      </c>
      <c r="T4710" t="s">
        <v>8243</v>
      </c>
      <c r="U4710" t="s">
        <v>58</v>
      </c>
      <c r="V4710">
        <v>1</v>
      </c>
      <c r="W4710">
        <v>1</v>
      </c>
      <c r="X4710">
        <v>2</v>
      </c>
      <c r="Y4710">
        <v>0</v>
      </c>
      <c r="Z4710">
        <v>2</v>
      </c>
      <c r="AA4710">
        <v>137.06</v>
      </c>
      <c r="AB4710">
        <v>137.06</v>
      </c>
      <c r="AC4710">
        <v>120.6</v>
      </c>
      <c r="AD4710">
        <v>0</v>
      </c>
      <c r="AE4710">
        <v>16.46</v>
      </c>
      <c r="AF4710">
        <v>0</v>
      </c>
      <c r="AG4710">
        <v>0</v>
      </c>
      <c r="AH4710">
        <v>0</v>
      </c>
      <c r="AI4710">
        <v>24.67</v>
      </c>
      <c r="AJ4710">
        <v>137.06</v>
      </c>
      <c r="AK4710">
        <v>0</v>
      </c>
      <c r="AL4710" t="s">
        <v>53</v>
      </c>
      <c r="AM4710" t="s">
        <v>53</v>
      </c>
      <c r="AN4710" t="s">
        <v>53</v>
      </c>
      <c r="AO4710" t="s">
        <v>53</v>
      </c>
      <c r="AP4710" t="s">
        <v>53</v>
      </c>
    </row>
    <row r="4711" spans="2:42" x14ac:dyDescent="0.2">
      <c r="B4711" t="s">
        <v>44</v>
      </c>
      <c r="C4711" t="str">
        <f>HYPERLINK("https://us2.cloudbeds.com/connect/8493803454333002#/reservations/104722009624727?display=28F6J2DA1A&amp;reservation_id=104722009624727", "28F6J2DA1A")</f>
        <v>28F6J2DA1A</v>
      </c>
      <c r="D4711" t="s">
        <v>45</v>
      </c>
      <c r="E4711" t="s">
        <v>179</v>
      </c>
      <c r="F4711" t="s">
        <v>47</v>
      </c>
      <c r="G4711" t="s">
        <v>48</v>
      </c>
      <c r="H4711" t="s">
        <v>3957</v>
      </c>
      <c r="I4711" t="s">
        <v>3975</v>
      </c>
      <c r="J4711" t="s">
        <v>5622</v>
      </c>
      <c r="K4711" t="s">
        <v>5623</v>
      </c>
      <c r="L4711" t="s">
        <v>53</v>
      </c>
      <c r="P4711" t="s">
        <v>55</v>
      </c>
      <c r="R4711" t="s">
        <v>53</v>
      </c>
      <c r="T4711" t="s">
        <v>8244</v>
      </c>
      <c r="U4711" t="s">
        <v>58</v>
      </c>
      <c r="V4711">
        <v>1</v>
      </c>
      <c r="W4711">
        <v>1</v>
      </c>
      <c r="X4711">
        <v>2</v>
      </c>
      <c r="Y4711">
        <v>0</v>
      </c>
      <c r="Z4711">
        <v>2</v>
      </c>
      <c r="AA4711">
        <v>228.44</v>
      </c>
      <c r="AB4711">
        <v>228.44</v>
      </c>
      <c r="AC4711">
        <v>201</v>
      </c>
      <c r="AD4711">
        <v>0</v>
      </c>
      <c r="AE4711">
        <v>27.44</v>
      </c>
      <c r="AF4711">
        <v>0</v>
      </c>
      <c r="AG4711">
        <v>0</v>
      </c>
      <c r="AH4711">
        <v>0</v>
      </c>
      <c r="AI4711">
        <v>0</v>
      </c>
      <c r="AJ4711">
        <v>228.44</v>
      </c>
      <c r="AK4711">
        <v>0</v>
      </c>
      <c r="AL4711" t="s">
        <v>53</v>
      </c>
      <c r="AM4711" t="s">
        <v>53</v>
      </c>
      <c r="AN4711" t="s">
        <v>53</v>
      </c>
      <c r="AO4711" t="s">
        <v>53</v>
      </c>
      <c r="AP4711" t="s">
        <v>53</v>
      </c>
    </row>
    <row r="4712" spans="2:42" x14ac:dyDescent="0.2">
      <c r="B4712" t="s">
        <v>44</v>
      </c>
      <c r="C4712" t="str">
        <f>HYPERLINK("https://us2.cloudbeds.com/connect/8493803454333002#/reservations/9080486845989081?display=28F9AYVQQJ&amp;reservation_id=9080486845989081", "28F9AYVQQJ")</f>
        <v>28F9AYVQQJ</v>
      </c>
      <c r="D4712" t="s">
        <v>45</v>
      </c>
      <c r="E4712" t="s">
        <v>373</v>
      </c>
      <c r="F4712" t="s">
        <v>47</v>
      </c>
      <c r="G4712" t="s">
        <v>48</v>
      </c>
      <c r="H4712" t="s">
        <v>49</v>
      </c>
      <c r="I4712" t="s">
        <v>50</v>
      </c>
      <c r="J4712" t="s">
        <v>5963</v>
      </c>
      <c r="K4712" t="s">
        <v>5622</v>
      </c>
      <c r="L4712" t="s">
        <v>53</v>
      </c>
      <c r="N4712" t="s">
        <v>8245</v>
      </c>
      <c r="P4712" t="s">
        <v>55</v>
      </c>
      <c r="R4712" t="s">
        <v>53</v>
      </c>
      <c r="T4712" t="s">
        <v>8246</v>
      </c>
      <c r="U4712" t="s">
        <v>58</v>
      </c>
      <c r="V4712">
        <v>1</v>
      </c>
      <c r="W4712">
        <v>1</v>
      </c>
      <c r="X4712">
        <v>2</v>
      </c>
      <c r="Y4712">
        <v>0</v>
      </c>
      <c r="Z4712">
        <v>2</v>
      </c>
      <c r="AA4712">
        <v>121.72</v>
      </c>
      <c r="AB4712">
        <v>121.72</v>
      </c>
      <c r="AC4712">
        <v>107.1</v>
      </c>
      <c r="AD4712">
        <v>0</v>
      </c>
      <c r="AE4712">
        <v>14.62</v>
      </c>
      <c r="AF4712">
        <v>0</v>
      </c>
      <c r="AG4712">
        <v>0</v>
      </c>
      <c r="AH4712">
        <v>0</v>
      </c>
      <c r="AI4712">
        <v>21.91</v>
      </c>
      <c r="AJ4712">
        <v>121.72</v>
      </c>
      <c r="AK4712">
        <v>0</v>
      </c>
      <c r="AL4712" t="s">
        <v>53</v>
      </c>
      <c r="AM4712" t="s">
        <v>53</v>
      </c>
      <c r="AN4712" t="s">
        <v>53</v>
      </c>
      <c r="AO4712" t="s">
        <v>53</v>
      </c>
      <c r="AP4712" t="s">
        <v>53</v>
      </c>
    </row>
    <row r="4713" spans="2:42" x14ac:dyDescent="0.2">
      <c r="B4713" t="s">
        <v>44</v>
      </c>
      <c r="C4713" t="str">
        <f>HYPERLINK("https://us2.cloudbeds.com/connect/8493803454333002#/reservations/9080486845989896?display=28GZTZ1R53&amp;reservation_id=9080486845989896", "28GZTZ1R53")</f>
        <v>28GZTZ1R53</v>
      </c>
      <c r="D4713" t="s">
        <v>45</v>
      </c>
      <c r="E4713" t="s">
        <v>113</v>
      </c>
      <c r="F4713" t="s">
        <v>61</v>
      </c>
      <c r="G4713" t="s">
        <v>48</v>
      </c>
      <c r="H4713" t="s">
        <v>49</v>
      </c>
      <c r="I4713" t="s">
        <v>50</v>
      </c>
      <c r="J4713" t="s">
        <v>7402</v>
      </c>
      <c r="K4713" t="s">
        <v>6417</v>
      </c>
      <c r="L4713" t="s">
        <v>53</v>
      </c>
      <c r="N4713" t="s">
        <v>8247</v>
      </c>
      <c r="P4713" t="s">
        <v>55</v>
      </c>
      <c r="R4713" t="s">
        <v>53</v>
      </c>
      <c r="T4713" t="s">
        <v>8248</v>
      </c>
      <c r="U4713" t="s">
        <v>58</v>
      </c>
      <c r="V4713">
        <v>1</v>
      </c>
      <c r="W4713">
        <v>1</v>
      </c>
      <c r="X4713">
        <v>2</v>
      </c>
      <c r="Y4713">
        <v>0</v>
      </c>
      <c r="Z4713">
        <v>2</v>
      </c>
      <c r="AA4713">
        <v>165.7</v>
      </c>
      <c r="AB4713">
        <v>165.7</v>
      </c>
      <c r="AC4713">
        <v>145.80000000000001</v>
      </c>
      <c r="AD4713">
        <v>0</v>
      </c>
      <c r="AE4713">
        <v>19.899999999999999</v>
      </c>
      <c r="AF4713">
        <v>0</v>
      </c>
      <c r="AG4713">
        <v>0</v>
      </c>
      <c r="AH4713">
        <v>0</v>
      </c>
      <c r="AI4713">
        <v>29.83</v>
      </c>
      <c r="AJ4713">
        <v>165.7</v>
      </c>
      <c r="AK4713">
        <v>0</v>
      </c>
      <c r="AL4713" t="s">
        <v>53</v>
      </c>
      <c r="AM4713" t="s">
        <v>53</v>
      </c>
      <c r="AN4713" t="s">
        <v>53</v>
      </c>
      <c r="AO4713" t="s">
        <v>53</v>
      </c>
      <c r="AP4713" t="s">
        <v>53</v>
      </c>
    </row>
    <row r="4714" spans="2:42" x14ac:dyDescent="0.2">
      <c r="B4714" t="s">
        <v>44</v>
      </c>
      <c r="C4714" t="str">
        <f>HYPERLINK("https://us2.cloudbeds.com/connect/8493803454333002#/reservations/9080486845989919?display=28GQ1FVCCF&amp;reservation_id=9080486845989919", "28GQ1FVCCF")</f>
        <v>28GQ1FVCCF</v>
      </c>
      <c r="D4714" t="s">
        <v>45</v>
      </c>
      <c r="E4714" t="s">
        <v>98</v>
      </c>
      <c r="F4714" t="s">
        <v>86</v>
      </c>
      <c r="G4714" t="s">
        <v>48</v>
      </c>
      <c r="H4714" t="s">
        <v>49</v>
      </c>
      <c r="I4714" t="s">
        <v>50</v>
      </c>
      <c r="J4714" t="s">
        <v>7926</v>
      </c>
      <c r="K4714" t="s">
        <v>8249</v>
      </c>
      <c r="L4714" t="s">
        <v>53</v>
      </c>
      <c r="N4714" t="s">
        <v>8250</v>
      </c>
      <c r="P4714" t="s">
        <v>55</v>
      </c>
      <c r="R4714" t="s">
        <v>53</v>
      </c>
      <c r="T4714" t="s">
        <v>8251</v>
      </c>
      <c r="U4714" t="s">
        <v>58</v>
      </c>
      <c r="V4714">
        <v>1</v>
      </c>
      <c r="W4714">
        <v>1</v>
      </c>
      <c r="X4714">
        <v>3</v>
      </c>
      <c r="Y4714">
        <v>0</v>
      </c>
      <c r="Z4714">
        <v>3</v>
      </c>
      <c r="AA4714">
        <v>163.66</v>
      </c>
      <c r="AB4714">
        <v>169.09</v>
      </c>
      <c r="AC4714">
        <v>144</v>
      </c>
      <c r="AD4714">
        <v>5</v>
      </c>
      <c r="AE4714">
        <v>20.09</v>
      </c>
      <c r="AF4714">
        <v>0</v>
      </c>
      <c r="AG4714">
        <v>0</v>
      </c>
      <c r="AH4714">
        <v>0</v>
      </c>
      <c r="AI4714">
        <v>30.44</v>
      </c>
      <c r="AJ4714">
        <v>169.09</v>
      </c>
      <c r="AK4714">
        <v>0</v>
      </c>
      <c r="AL4714" t="s">
        <v>53</v>
      </c>
      <c r="AM4714" t="s">
        <v>53</v>
      </c>
      <c r="AN4714" t="s">
        <v>53</v>
      </c>
      <c r="AO4714" t="s">
        <v>53</v>
      </c>
      <c r="AP4714" t="s">
        <v>53</v>
      </c>
    </row>
    <row r="4715" spans="2:42" x14ac:dyDescent="0.2">
      <c r="B4715" t="s">
        <v>44</v>
      </c>
      <c r="C4715" t="str">
        <f>HYPERLINK("https://us2.cloudbeds.com/connect/8493803454333002#/reservations/9080486845992782?display=28YS85H217&amp;reservation_id=9080486845992782", "28YS85H217")</f>
        <v>28YS85H217</v>
      </c>
      <c r="D4715" t="s">
        <v>45</v>
      </c>
      <c r="E4715" t="s">
        <v>406</v>
      </c>
      <c r="F4715" t="s">
        <v>61</v>
      </c>
      <c r="G4715" t="s">
        <v>48</v>
      </c>
      <c r="H4715" t="s">
        <v>49</v>
      </c>
      <c r="I4715" t="s">
        <v>50</v>
      </c>
      <c r="J4715" t="s">
        <v>4443</v>
      </c>
      <c r="K4715" t="s">
        <v>6274</v>
      </c>
      <c r="L4715" t="s">
        <v>53</v>
      </c>
      <c r="N4715" t="s">
        <v>8252</v>
      </c>
      <c r="P4715" t="s">
        <v>55</v>
      </c>
      <c r="R4715" t="s">
        <v>53</v>
      </c>
      <c r="T4715" t="s">
        <v>8253</v>
      </c>
      <c r="U4715" t="s">
        <v>58</v>
      </c>
      <c r="V4715">
        <v>2</v>
      </c>
      <c r="W4715">
        <v>1</v>
      </c>
      <c r="X4715">
        <v>2</v>
      </c>
      <c r="Y4715">
        <v>0</v>
      </c>
      <c r="Z4715">
        <v>2</v>
      </c>
      <c r="AA4715">
        <v>368.05</v>
      </c>
      <c r="AB4715">
        <v>368.05</v>
      </c>
      <c r="AC4715">
        <v>323.85000000000002</v>
      </c>
      <c r="AD4715">
        <v>0</v>
      </c>
      <c r="AE4715">
        <v>44.2</v>
      </c>
      <c r="AF4715">
        <v>0</v>
      </c>
      <c r="AG4715">
        <v>0</v>
      </c>
      <c r="AH4715">
        <v>0</v>
      </c>
      <c r="AI4715">
        <v>66.25</v>
      </c>
      <c r="AJ4715">
        <v>368.05</v>
      </c>
      <c r="AK4715">
        <v>0</v>
      </c>
      <c r="AL4715" t="s">
        <v>53</v>
      </c>
      <c r="AM4715" t="s">
        <v>53</v>
      </c>
      <c r="AN4715" t="s">
        <v>53</v>
      </c>
      <c r="AO4715" t="s">
        <v>53</v>
      </c>
      <c r="AP4715" t="s">
        <v>53</v>
      </c>
    </row>
    <row r="4716" spans="2:42" x14ac:dyDescent="0.2">
      <c r="B4716" t="s">
        <v>44</v>
      </c>
      <c r="C4716" t="str">
        <f>HYPERLINK("https://us2.cloudbeds.com/connect/8493803454333002#/reservations/9080486845993024?display=28M43VA2G0&amp;reservation_id=9080486845993024", "28M43VA2G0")</f>
        <v>28M43VA2G0</v>
      </c>
      <c r="D4716" t="s">
        <v>45</v>
      </c>
      <c r="E4716" t="s">
        <v>487</v>
      </c>
      <c r="F4716" t="s">
        <v>61</v>
      </c>
      <c r="G4716" t="s">
        <v>48</v>
      </c>
      <c r="H4716" t="s">
        <v>49</v>
      </c>
      <c r="I4716" t="s">
        <v>50</v>
      </c>
      <c r="J4716" t="s">
        <v>4442</v>
      </c>
      <c r="K4716" t="s">
        <v>4443</v>
      </c>
      <c r="L4716" t="s">
        <v>53</v>
      </c>
      <c r="N4716" t="s">
        <v>8254</v>
      </c>
      <c r="P4716" t="s">
        <v>55</v>
      </c>
      <c r="R4716" t="s">
        <v>53</v>
      </c>
      <c r="T4716" t="s">
        <v>8255</v>
      </c>
      <c r="U4716" t="s">
        <v>58</v>
      </c>
      <c r="V4716">
        <v>2</v>
      </c>
      <c r="W4716">
        <v>1</v>
      </c>
      <c r="X4716">
        <v>2</v>
      </c>
      <c r="Y4716">
        <v>0</v>
      </c>
      <c r="Z4716">
        <v>2</v>
      </c>
      <c r="AA4716">
        <v>295.60000000000002</v>
      </c>
      <c r="AB4716">
        <v>295.60000000000002</v>
      </c>
      <c r="AC4716">
        <v>260.10000000000002</v>
      </c>
      <c r="AD4716">
        <v>0</v>
      </c>
      <c r="AE4716">
        <v>35.5</v>
      </c>
      <c r="AF4716">
        <v>0</v>
      </c>
      <c r="AG4716">
        <v>0</v>
      </c>
      <c r="AH4716">
        <v>0</v>
      </c>
      <c r="AI4716">
        <v>53.21</v>
      </c>
      <c r="AJ4716">
        <v>295.60000000000002</v>
      </c>
      <c r="AK4716">
        <v>0</v>
      </c>
      <c r="AL4716" t="s">
        <v>53</v>
      </c>
      <c r="AM4716" t="s">
        <v>53</v>
      </c>
      <c r="AN4716" t="s">
        <v>53</v>
      </c>
      <c r="AO4716" t="s">
        <v>53</v>
      </c>
      <c r="AP4716" t="s">
        <v>53</v>
      </c>
    </row>
    <row r="4717" spans="2:42" x14ac:dyDescent="0.2">
      <c r="B4717" t="s">
        <v>44</v>
      </c>
      <c r="C4717" t="str">
        <f>HYPERLINK("https://us2.cloudbeds.com/connect/8493803454333002#/reservations/105025924276410?display=28MATQ9G5Q&amp;reservation_id=105025924276410", "28MATQ9G5Q")</f>
        <v>28MATQ9G5Q</v>
      </c>
      <c r="D4717" t="s">
        <v>45</v>
      </c>
      <c r="E4717" t="s">
        <v>165</v>
      </c>
      <c r="F4717" t="s">
        <v>61</v>
      </c>
      <c r="G4717" t="s">
        <v>48</v>
      </c>
      <c r="H4717" t="s">
        <v>3957</v>
      </c>
      <c r="I4717" t="s">
        <v>3975</v>
      </c>
      <c r="J4717" t="s">
        <v>5622</v>
      </c>
      <c r="K4717" t="s">
        <v>4767</v>
      </c>
      <c r="L4717" t="s">
        <v>53</v>
      </c>
      <c r="P4717" t="s">
        <v>55</v>
      </c>
      <c r="R4717" t="s">
        <v>53</v>
      </c>
      <c r="T4717" t="s">
        <v>8256</v>
      </c>
      <c r="U4717" t="s">
        <v>58</v>
      </c>
      <c r="V4717">
        <v>3</v>
      </c>
      <c r="W4717">
        <v>1</v>
      </c>
      <c r="X4717">
        <v>2</v>
      </c>
      <c r="Y4717">
        <v>0</v>
      </c>
      <c r="Z4717">
        <v>2</v>
      </c>
      <c r="AA4717">
        <v>777.37</v>
      </c>
      <c r="AB4717">
        <v>777.37</v>
      </c>
      <c r="AC4717">
        <v>684</v>
      </c>
      <c r="AD4717">
        <v>0</v>
      </c>
      <c r="AE4717">
        <v>93.37</v>
      </c>
      <c r="AF4717">
        <v>0</v>
      </c>
      <c r="AG4717">
        <v>0</v>
      </c>
      <c r="AH4717">
        <v>0</v>
      </c>
      <c r="AI4717">
        <v>0</v>
      </c>
      <c r="AJ4717">
        <v>777.37</v>
      </c>
      <c r="AK4717">
        <v>0</v>
      </c>
      <c r="AL4717" t="s">
        <v>53</v>
      </c>
      <c r="AM4717" t="s">
        <v>53</v>
      </c>
      <c r="AN4717" t="s">
        <v>53</v>
      </c>
      <c r="AO4717" t="s">
        <v>53</v>
      </c>
      <c r="AP4717" t="s">
        <v>53</v>
      </c>
    </row>
    <row r="4718" spans="2:42" x14ac:dyDescent="0.2">
      <c r="B4718" t="s">
        <v>44</v>
      </c>
      <c r="C4718" t="str">
        <f>HYPERLINK("https://us2.cloudbeds.com/connect/8493803454333002#/reservations/9080486845994528?display=28Z81PS4KH&amp;reservation_id=9080486845994528", "28Z81PS4KH")</f>
        <v>28Z81PS4KH</v>
      </c>
      <c r="D4718" t="s">
        <v>45</v>
      </c>
      <c r="E4718" t="s">
        <v>165</v>
      </c>
      <c r="F4718" t="s">
        <v>61</v>
      </c>
      <c r="G4718" t="s">
        <v>48</v>
      </c>
      <c r="H4718" t="s">
        <v>49</v>
      </c>
      <c r="I4718" t="s">
        <v>50</v>
      </c>
      <c r="J4718" t="s">
        <v>6274</v>
      </c>
      <c r="K4718" t="s">
        <v>6416</v>
      </c>
      <c r="L4718" t="s">
        <v>53</v>
      </c>
      <c r="N4718" t="s">
        <v>8257</v>
      </c>
      <c r="P4718" t="s">
        <v>55</v>
      </c>
      <c r="R4718" t="s">
        <v>53</v>
      </c>
      <c r="T4718" t="s">
        <v>8258</v>
      </c>
      <c r="U4718" t="s">
        <v>58</v>
      </c>
      <c r="V4718">
        <v>1</v>
      </c>
      <c r="W4718">
        <v>1</v>
      </c>
      <c r="X4718">
        <v>2</v>
      </c>
      <c r="Y4718">
        <v>0</v>
      </c>
      <c r="Z4718">
        <v>2</v>
      </c>
      <c r="AA4718">
        <v>150.61000000000001</v>
      </c>
      <c r="AB4718">
        <v>150.61000000000001</v>
      </c>
      <c r="AC4718">
        <v>132.52000000000001</v>
      </c>
      <c r="AD4718">
        <v>0</v>
      </c>
      <c r="AE4718">
        <v>18.09</v>
      </c>
      <c r="AF4718">
        <v>0</v>
      </c>
      <c r="AG4718">
        <v>0</v>
      </c>
      <c r="AH4718">
        <v>0</v>
      </c>
      <c r="AI4718">
        <v>27.11</v>
      </c>
      <c r="AJ4718">
        <v>150.61000000000001</v>
      </c>
      <c r="AK4718">
        <v>0</v>
      </c>
      <c r="AL4718" t="s">
        <v>53</v>
      </c>
      <c r="AM4718" t="s">
        <v>53</v>
      </c>
      <c r="AN4718" t="s">
        <v>53</v>
      </c>
      <c r="AO4718" t="s">
        <v>53</v>
      </c>
      <c r="AP4718" t="s">
        <v>53</v>
      </c>
    </row>
    <row r="4719" spans="2:42" x14ac:dyDescent="0.2">
      <c r="B4719" t="s">
        <v>44</v>
      </c>
      <c r="C4719" t="str">
        <f>HYPERLINK("https://us2.cloudbeds.com/connect/8493803454333002#/reservations/9080486845994656?display=28ZFR5DYVK&amp;reservation_id=9080486845994656", "28ZFR5DYVK")</f>
        <v>28ZFR5DYVK</v>
      </c>
      <c r="D4719" t="s">
        <v>45</v>
      </c>
      <c r="E4719" t="s">
        <v>223</v>
      </c>
      <c r="F4719" t="s">
        <v>47</v>
      </c>
      <c r="G4719" t="s">
        <v>48</v>
      </c>
      <c r="H4719" t="s">
        <v>49</v>
      </c>
      <c r="I4719" t="s">
        <v>62</v>
      </c>
      <c r="J4719" t="s">
        <v>5622</v>
      </c>
      <c r="K4719" t="s">
        <v>5623</v>
      </c>
      <c r="L4719" t="s">
        <v>53</v>
      </c>
      <c r="N4719" t="s">
        <v>8259</v>
      </c>
      <c r="P4719" t="s">
        <v>55</v>
      </c>
      <c r="R4719" t="s">
        <v>56</v>
      </c>
      <c r="T4719" t="s">
        <v>8260</v>
      </c>
      <c r="U4719" t="s">
        <v>55</v>
      </c>
      <c r="V4719">
        <v>1</v>
      </c>
      <c r="W4719">
        <v>1</v>
      </c>
      <c r="X4719">
        <v>1</v>
      </c>
      <c r="Y4719">
        <v>0</v>
      </c>
      <c r="Z4719">
        <v>1</v>
      </c>
      <c r="AA4719">
        <v>218</v>
      </c>
      <c r="AB4719">
        <v>218</v>
      </c>
      <c r="AC4719">
        <v>218</v>
      </c>
      <c r="AD4719">
        <v>0</v>
      </c>
      <c r="AE4719">
        <v>0</v>
      </c>
      <c r="AF4719">
        <v>0</v>
      </c>
      <c r="AG4719">
        <v>0</v>
      </c>
      <c r="AH4719">
        <v>0</v>
      </c>
      <c r="AI4719">
        <v>39.24</v>
      </c>
      <c r="AJ4719">
        <v>218</v>
      </c>
      <c r="AK4719">
        <v>0</v>
      </c>
      <c r="AL4719" t="s">
        <v>53</v>
      </c>
      <c r="AM4719" t="s">
        <v>53</v>
      </c>
      <c r="AN4719" t="s">
        <v>53</v>
      </c>
      <c r="AO4719" t="s">
        <v>53</v>
      </c>
      <c r="AP4719" t="s">
        <v>53</v>
      </c>
    </row>
    <row r="4720" spans="2:42" x14ac:dyDescent="0.2">
      <c r="B4720" t="s">
        <v>44</v>
      </c>
      <c r="C4720" t="str">
        <f>HYPERLINK("https://us2.cloudbeds.com/connect/8493803454333002#/reservations/9080486845995311?display=28PR0YNRDM&amp;reservation_id=9080486845995311", "28PR0YNRDM")</f>
        <v>28PR0YNRDM</v>
      </c>
      <c r="D4720" t="s">
        <v>45</v>
      </c>
      <c r="E4720" t="s">
        <v>85</v>
      </c>
      <c r="F4720" t="s">
        <v>86</v>
      </c>
      <c r="G4720" t="s">
        <v>48</v>
      </c>
      <c r="H4720" t="s">
        <v>49</v>
      </c>
      <c r="I4720" t="s">
        <v>50</v>
      </c>
      <c r="J4720" t="s">
        <v>8261</v>
      </c>
      <c r="K4720" t="s">
        <v>8053</v>
      </c>
      <c r="L4720" t="s">
        <v>53</v>
      </c>
      <c r="N4720" t="s">
        <v>8262</v>
      </c>
      <c r="P4720" t="s">
        <v>55</v>
      </c>
      <c r="R4720" t="s">
        <v>53</v>
      </c>
      <c r="T4720" t="s">
        <v>8263</v>
      </c>
      <c r="U4720" t="s">
        <v>58</v>
      </c>
      <c r="V4720">
        <v>2</v>
      </c>
      <c r="W4720">
        <v>1</v>
      </c>
      <c r="X4720">
        <v>2</v>
      </c>
      <c r="Y4720">
        <v>0</v>
      </c>
      <c r="Z4720">
        <v>2</v>
      </c>
      <c r="AA4720">
        <v>387.27</v>
      </c>
      <c r="AB4720">
        <v>387.27</v>
      </c>
      <c r="AC4720">
        <v>340.77</v>
      </c>
      <c r="AD4720">
        <v>0</v>
      </c>
      <c r="AE4720">
        <v>46.5</v>
      </c>
      <c r="AF4720">
        <v>0</v>
      </c>
      <c r="AG4720">
        <v>0</v>
      </c>
      <c r="AH4720">
        <v>0</v>
      </c>
      <c r="AI4720">
        <v>69.709999999999994</v>
      </c>
      <c r="AJ4720">
        <v>387.27</v>
      </c>
      <c r="AK4720">
        <v>0</v>
      </c>
      <c r="AL4720" t="s">
        <v>53</v>
      </c>
      <c r="AM4720" t="s">
        <v>53</v>
      </c>
      <c r="AN4720" t="s">
        <v>53</v>
      </c>
      <c r="AO4720" t="s">
        <v>53</v>
      </c>
      <c r="AP4720" t="s">
        <v>53</v>
      </c>
    </row>
    <row r="4721" spans="2:42" x14ac:dyDescent="0.2">
      <c r="B4721" t="s">
        <v>44</v>
      </c>
      <c r="C4721" t="str">
        <f>HYPERLINK("https://us2.cloudbeds.com/connect/8493803454333002#/reservations/9080486845995371?display=28PVWSSNHP&amp;reservation_id=9080486845995371", "28PVWSSNHP")</f>
        <v>28PVWSSNHP</v>
      </c>
      <c r="D4721" t="s">
        <v>45</v>
      </c>
      <c r="E4721" t="s">
        <v>165</v>
      </c>
      <c r="F4721" t="s">
        <v>61</v>
      </c>
      <c r="G4721" t="s">
        <v>48</v>
      </c>
      <c r="H4721" t="s">
        <v>49</v>
      </c>
      <c r="I4721" t="s">
        <v>50</v>
      </c>
      <c r="J4721" t="s">
        <v>8143</v>
      </c>
      <c r="K4721" t="s">
        <v>8119</v>
      </c>
      <c r="L4721" t="s">
        <v>53</v>
      </c>
      <c r="N4721" t="s">
        <v>8264</v>
      </c>
      <c r="P4721" t="s">
        <v>55</v>
      </c>
      <c r="R4721" t="s">
        <v>53</v>
      </c>
      <c r="T4721" t="s">
        <v>8265</v>
      </c>
      <c r="U4721" t="s">
        <v>58</v>
      </c>
      <c r="V4721">
        <v>2</v>
      </c>
      <c r="W4721">
        <v>1</v>
      </c>
      <c r="X4721">
        <v>2</v>
      </c>
      <c r="Y4721">
        <v>0</v>
      </c>
      <c r="Z4721">
        <v>2</v>
      </c>
      <c r="AA4721">
        <v>346.89</v>
      </c>
      <c r="AB4721">
        <v>346.89</v>
      </c>
      <c r="AC4721">
        <v>305.23</v>
      </c>
      <c r="AD4721">
        <v>0</v>
      </c>
      <c r="AE4721">
        <v>41.66</v>
      </c>
      <c r="AF4721">
        <v>0</v>
      </c>
      <c r="AG4721">
        <v>0</v>
      </c>
      <c r="AH4721">
        <v>0</v>
      </c>
      <c r="AI4721">
        <v>62.44</v>
      </c>
      <c r="AJ4721">
        <v>346.89</v>
      </c>
      <c r="AK4721">
        <v>0</v>
      </c>
      <c r="AL4721" t="s">
        <v>53</v>
      </c>
      <c r="AM4721" t="s">
        <v>53</v>
      </c>
      <c r="AN4721" t="s">
        <v>53</v>
      </c>
      <c r="AO4721" t="s">
        <v>53</v>
      </c>
      <c r="AP4721" t="s">
        <v>53</v>
      </c>
    </row>
    <row r="4722" spans="2:42" x14ac:dyDescent="0.2">
      <c r="B4722" t="s">
        <v>44</v>
      </c>
      <c r="C4722" t="str">
        <f>HYPERLINK("https://us2.cloudbeds.com/connect/8493803454333002#/reservations/9080486845995486?display=28Q5M3F936&amp;reservation_id=9080486845995486", "28Q5M3F936")</f>
        <v>28Q5M3F936</v>
      </c>
      <c r="D4722" t="s">
        <v>45</v>
      </c>
      <c r="E4722" t="s">
        <v>121</v>
      </c>
      <c r="F4722" t="s">
        <v>86</v>
      </c>
      <c r="G4722" t="s">
        <v>48</v>
      </c>
      <c r="H4722" t="s">
        <v>49</v>
      </c>
      <c r="I4722" t="s">
        <v>50</v>
      </c>
      <c r="J4722" t="s">
        <v>5430</v>
      </c>
      <c r="K4722" t="s">
        <v>6335</v>
      </c>
      <c r="L4722" t="s">
        <v>53</v>
      </c>
      <c r="N4722" t="s">
        <v>8266</v>
      </c>
      <c r="P4722" t="s">
        <v>55</v>
      </c>
      <c r="R4722" t="s">
        <v>53</v>
      </c>
      <c r="T4722" t="s">
        <v>8267</v>
      </c>
      <c r="U4722" t="s">
        <v>58</v>
      </c>
      <c r="V4722">
        <v>2</v>
      </c>
      <c r="W4722">
        <v>1</v>
      </c>
      <c r="X4722">
        <v>2</v>
      </c>
      <c r="Y4722">
        <v>2</v>
      </c>
      <c r="Z4722">
        <v>4</v>
      </c>
      <c r="AA4722">
        <v>290.20999999999998</v>
      </c>
      <c r="AB4722">
        <v>290.20999999999998</v>
      </c>
      <c r="AC4722">
        <v>255.36</v>
      </c>
      <c r="AD4722">
        <v>0</v>
      </c>
      <c r="AE4722">
        <v>34.85</v>
      </c>
      <c r="AF4722">
        <v>0</v>
      </c>
      <c r="AG4722">
        <v>0</v>
      </c>
      <c r="AH4722">
        <v>0</v>
      </c>
      <c r="AI4722">
        <v>52.24</v>
      </c>
      <c r="AJ4722">
        <v>290.20999999999998</v>
      </c>
      <c r="AK4722">
        <v>0</v>
      </c>
      <c r="AL4722" t="s">
        <v>53</v>
      </c>
      <c r="AM4722" t="s">
        <v>53</v>
      </c>
      <c r="AN4722" t="s">
        <v>53</v>
      </c>
      <c r="AO4722" t="s">
        <v>53</v>
      </c>
      <c r="AP4722" t="s">
        <v>53</v>
      </c>
    </row>
    <row r="4723" spans="2:42" x14ac:dyDescent="0.2">
      <c r="B4723" t="s">
        <v>44</v>
      </c>
      <c r="C4723" t="str">
        <f>HYPERLINK("https://us2.cloudbeds.com/connect/8493803454333002#/reservations/9080486845997615?display=28U7S0WX2N&amp;reservation_id=9080486845997615", "28U7S0WX2N")</f>
        <v>28U7S0WX2N</v>
      </c>
      <c r="D4723" t="s">
        <v>45</v>
      </c>
      <c r="E4723" t="s">
        <v>128</v>
      </c>
      <c r="F4723" t="s">
        <v>86</v>
      </c>
      <c r="G4723" t="s">
        <v>48</v>
      </c>
      <c r="H4723" t="s">
        <v>49</v>
      </c>
      <c r="I4723" t="s">
        <v>62</v>
      </c>
      <c r="J4723" t="s">
        <v>5743</v>
      </c>
      <c r="K4723" t="s">
        <v>5744</v>
      </c>
      <c r="L4723" t="s">
        <v>53</v>
      </c>
      <c r="N4723" t="s">
        <v>8268</v>
      </c>
      <c r="P4723" t="s">
        <v>55</v>
      </c>
      <c r="R4723" t="s">
        <v>102</v>
      </c>
      <c r="T4723" t="s">
        <v>8269</v>
      </c>
      <c r="U4723" t="s">
        <v>55</v>
      </c>
      <c r="V4723">
        <v>2</v>
      </c>
      <c r="W4723">
        <v>1</v>
      </c>
      <c r="X4723">
        <v>4</v>
      </c>
      <c r="Y4723">
        <v>0</v>
      </c>
      <c r="Z4723">
        <v>4</v>
      </c>
      <c r="AA4723">
        <v>482</v>
      </c>
      <c r="AB4723">
        <v>482</v>
      </c>
      <c r="AC4723">
        <v>482</v>
      </c>
      <c r="AD4723">
        <v>0</v>
      </c>
      <c r="AE4723">
        <v>0</v>
      </c>
      <c r="AF4723">
        <v>0</v>
      </c>
      <c r="AG4723">
        <v>0</v>
      </c>
      <c r="AH4723">
        <v>0</v>
      </c>
      <c r="AI4723">
        <v>86.76</v>
      </c>
      <c r="AJ4723">
        <v>482</v>
      </c>
      <c r="AK4723">
        <v>0</v>
      </c>
      <c r="AL4723" t="s">
        <v>53</v>
      </c>
      <c r="AM4723" t="s">
        <v>53</v>
      </c>
      <c r="AN4723" t="s">
        <v>53</v>
      </c>
      <c r="AO4723" t="s">
        <v>53</v>
      </c>
      <c r="AP4723" t="s">
        <v>53</v>
      </c>
    </row>
    <row r="4724" spans="2:42" x14ac:dyDescent="0.2">
      <c r="B4724" t="s">
        <v>44</v>
      </c>
      <c r="C4724" t="str">
        <f>HYPERLINK("https://us2.cloudbeds.com/connect/8493803454333002#/reservations/9080486845997881?display=28UYJUAZNP&amp;reservation_id=9080486845997881", "28UYJUAZNP")</f>
        <v>28UYJUAZNP</v>
      </c>
      <c r="D4724" t="s">
        <v>45</v>
      </c>
      <c r="E4724" t="s">
        <v>98</v>
      </c>
      <c r="F4724" t="s">
        <v>86</v>
      </c>
      <c r="G4724" t="s">
        <v>48</v>
      </c>
      <c r="H4724" t="s">
        <v>49</v>
      </c>
      <c r="I4724" t="s">
        <v>50</v>
      </c>
      <c r="J4724" t="s">
        <v>8270</v>
      </c>
      <c r="K4724" t="s">
        <v>8047</v>
      </c>
      <c r="L4724" t="s">
        <v>53</v>
      </c>
      <c r="N4724" t="s">
        <v>8271</v>
      </c>
      <c r="P4724" t="s">
        <v>55</v>
      </c>
      <c r="R4724" t="s">
        <v>53</v>
      </c>
      <c r="T4724" t="s">
        <v>8272</v>
      </c>
      <c r="U4724" t="s">
        <v>58</v>
      </c>
      <c r="V4724">
        <v>3</v>
      </c>
      <c r="W4724">
        <v>1</v>
      </c>
      <c r="X4724">
        <v>2</v>
      </c>
      <c r="Y4724">
        <v>0</v>
      </c>
      <c r="Z4724">
        <v>2</v>
      </c>
      <c r="AA4724">
        <v>408.12</v>
      </c>
      <c r="AB4724">
        <v>408.12</v>
      </c>
      <c r="AC4724">
        <v>359.1</v>
      </c>
      <c r="AD4724">
        <v>0</v>
      </c>
      <c r="AE4724">
        <v>49.02</v>
      </c>
      <c r="AF4724">
        <v>0</v>
      </c>
      <c r="AG4724">
        <v>0</v>
      </c>
      <c r="AH4724">
        <v>0</v>
      </c>
      <c r="AI4724">
        <v>73.459999999999994</v>
      </c>
      <c r="AJ4724">
        <v>408.12</v>
      </c>
      <c r="AK4724">
        <v>0</v>
      </c>
      <c r="AL4724" t="s">
        <v>53</v>
      </c>
      <c r="AM4724" t="s">
        <v>53</v>
      </c>
      <c r="AN4724" t="s">
        <v>53</v>
      </c>
      <c r="AO4724" t="s">
        <v>53</v>
      </c>
      <c r="AP4724" t="s">
        <v>53</v>
      </c>
    </row>
    <row r="4725" spans="2:42" x14ac:dyDescent="0.2">
      <c r="B4725" t="s">
        <v>44</v>
      </c>
      <c r="C4725" t="str">
        <f>HYPERLINK("https://us2.cloudbeds.com/connect/8493803454333002#/reservations/105380929052910?display=28UYPWNNFQ&amp;reservation_id=105380929052910", "28UYPWNNFQ")</f>
        <v>28UYPWNNFQ</v>
      </c>
      <c r="D4725" t="s">
        <v>45</v>
      </c>
      <c r="E4725" t="s">
        <v>46</v>
      </c>
      <c r="F4725" t="s">
        <v>47</v>
      </c>
      <c r="G4725" t="s">
        <v>4520</v>
      </c>
      <c r="H4725" t="s">
        <v>3957</v>
      </c>
      <c r="I4725" t="s">
        <v>3989</v>
      </c>
      <c r="J4725" t="s">
        <v>5967</v>
      </c>
      <c r="K4725" t="s">
        <v>5430</v>
      </c>
      <c r="L4725" t="s">
        <v>53</v>
      </c>
      <c r="P4725" t="s">
        <v>55</v>
      </c>
      <c r="R4725" t="s">
        <v>56</v>
      </c>
      <c r="T4725" t="s">
        <v>8273</v>
      </c>
      <c r="U4725" t="s">
        <v>58</v>
      </c>
      <c r="V4725">
        <v>1</v>
      </c>
      <c r="W4725">
        <v>1</v>
      </c>
      <c r="X4725">
        <v>1</v>
      </c>
      <c r="Y4725">
        <v>0</v>
      </c>
      <c r="Z4725">
        <v>1</v>
      </c>
      <c r="AA4725">
        <v>136.03</v>
      </c>
      <c r="AB4725">
        <v>136.03</v>
      </c>
      <c r="AC4725">
        <v>119.7</v>
      </c>
      <c r="AD4725">
        <v>0</v>
      </c>
      <c r="AE4725">
        <v>16.329999999999998</v>
      </c>
      <c r="AF4725">
        <v>0</v>
      </c>
      <c r="AG4725">
        <v>0</v>
      </c>
      <c r="AH4725">
        <v>0</v>
      </c>
      <c r="AI4725">
        <v>0</v>
      </c>
      <c r="AJ4725">
        <v>136.03</v>
      </c>
      <c r="AK4725">
        <v>0</v>
      </c>
      <c r="AL4725" t="s">
        <v>53</v>
      </c>
      <c r="AM4725" t="s">
        <v>53</v>
      </c>
      <c r="AN4725" t="s">
        <v>53</v>
      </c>
      <c r="AO4725" t="s">
        <v>53</v>
      </c>
      <c r="AP4725" t="s">
        <v>53</v>
      </c>
    </row>
    <row r="4726" spans="2:42" x14ac:dyDescent="0.2">
      <c r="B4726" t="s">
        <v>44</v>
      </c>
      <c r="C4726" t="str">
        <f>HYPERLINK("https://us2.cloudbeds.com/connect/8493803454333002#/reservations/9080486845999322?display=28WT8VFN3C&amp;reservation_id=9080486845999322", "28WT8VFN3C")</f>
        <v>28WT8VFN3C</v>
      </c>
      <c r="D4726" t="s">
        <v>45</v>
      </c>
      <c r="E4726" t="s">
        <v>179</v>
      </c>
      <c r="F4726" t="s">
        <v>47</v>
      </c>
      <c r="G4726" t="s">
        <v>48</v>
      </c>
      <c r="H4726" t="s">
        <v>49</v>
      </c>
      <c r="I4726" t="s">
        <v>50</v>
      </c>
      <c r="J4726" t="s">
        <v>5431</v>
      </c>
      <c r="K4726" t="s">
        <v>6335</v>
      </c>
      <c r="L4726" t="s">
        <v>53</v>
      </c>
      <c r="N4726" t="s">
        <v>8274</v>
      </c>
      <c r="P4726" t="s">
        <v>55</v>
      </c>
      <c r="R4726" t="s">
        <v>53</v>
      </c>
      <c r="T4726" t="s">
        <v>8275</v>
      </c>
      <c r="U4726" t="s">
        <v>58</v>
      </c>
      <c r="V4726">
        <v>1</v>
      </c>
      <c r="W4726">
        <v>1</v>
      </c>
      <c r="X4726">
        <v>2</v>
      </c>
      <c r="Y4726">
        <v>0</v>
      </c>
      <c r="Z4726">
        <v>2</v>
      </c>
      <c r="AA4726">
        <v>143.19999999999999</v>
      </c>
      <c r="AB4726">
        <v>143.19999999999999</v>
      </c>
      <c r="AC4726">
        <v>126</v>
      </c>
      <c r="AD4726">
        <v>0</v>
      </c>
      <c r="AE4726">
        <v>17.2</v>
      </c>
      <c r="AF4726">
        <v>0</v>
      </c>
      <c r="AG4726">
        <v>0</v>
      </c>
      <c r="AH4726">
        <v>0</v>
      </c>
      <c r="AI4726">
        <v>25.78</v>
      </c>
      <c r="AJ4726">
        <v>143.19999999999999</v>
      </c>
      <c r="AK4726">
        <v>0</v>
      </c>
      <c r="AL4726" t="s">
        <v>53</v>
      </c>
      <c r="AM4726" t="s">
        <v>53</v>
      </c>
      <c r="AN4726" t="s">
        <v>53</v>
      </c>
      <c r="AO4726" t="s">
        <v>53</v>
      </c>
      <c r="AP4726" t="s">
        <v>53</v>
      </c>
    </row>
    <row r="4727" spans="2:42" x14ac:dyDescent="0.2">
      <c r="B4727" t="s">
        <v>44</v>
      </c>
      <c r="C4727" t="str">
        <f>HYPERLINK("https://us2.cloudbeds.com/connect/8493803454333002#/reservations/9080486845999456?display=2905ZAA8RP&amp;reservation_id=9080486845999456", "2905ZAA8RP")</f>
        <v>2905ZAA8RP</v>
      </c>
      <c r="D4727" t="s">
        <v>45</v>
      </c>
      <c r="E4727" t="s">
        <v>113</v>
      </c>
      <c r="F4727" t="s">
        <v>61</v>
      </c>
      <c r="G4727" t="s">
        <v>48</v>
      </c>
      <c r="H4727" t="s">
        <v>49</v>
      </c>
      <c r="I4727" t="s">
        <v>62</v>
      </c>
      <c r="J4727" t="s">
        <v>5623</v>
      </c>
      <c r="K4727" t="s">
        <v>6639</v>
      </c>
      <c r="L4727" t="s">
        <v>53</v>
      </c>
      <c r="N4727" t="s">
        <v>8276</v>
      </c>
      <c r="P4727" t="s">
        <v>55</v>
      </c>
      <c r="R4727" t="s">
        <v>56</v>
      </c>
      <c r="T4727" t="s">
        <v>8277</v>
      </c>
      <c r="U4727" t="s">
        <v>55</v>
      </c>
      <c r="V4727">
        <v>1</v>
      </c>
      <c r="W4727">
        <v>1</v>
      </c>
      <c r="X4727">
        <v>2</v>
      </c>
      <c r="Y4727">
        <v>0</v>
      </c>
      <c r="Z4727">
        <v>2</v>
      </c>
      <c r="AA4727">
        <v>239</v>
      </c>
      <c r="AB4727">
        <v>239</v>
      </c>
      <c r="AC4727">
        <v>239</v>
      </c>
      <c r="AD4727">
        <v>0</v>
      </c>
      <c r="AE4727">
        <v>0</v>
      </c>
      <c r="AF4727">
        <v>0</v>
      </c>
      <c r="AG4727">
        <v>0</v>
      </c>
      <c r="AH4727">
        <v>0</v>
      </c>
      <c r="AI4727">
        <v>43.02</v>
      </c>
      <c r="AJ4727">
        <v>239</v>
      </c>
      <c r="AK4727">
        <v>0</v>
      </c>
      <c r="AL4727" t="s">
        <v>53</v>
      </c>
      <c r="AM4727" t="s">
        <v>53</v>
      </c>
      <c r="AN4727" t="s">
        <v>53</v>
      </c>
      <c r="AO4727" t="s">
        <v>53</v>
      </c>
      <c r="AP4727" t="s">
        <v>53</v>
      </c>
    </row>
    <row r="4728" spans="2:42" x14ac:dyDescent="0.2">
      <c r="B4728" t="s">
        <v>44</v>
      </c>
      <c r="C4728" t="str">
        <f>HYPERLINK("https://us2.cloudbeds.com/connect/8493803454333002#/reservations/9080486845999468?display=2906ZYPUFK&amp;reservation_id=9080486845999468", "2906ZYPUFK")</f>
        <v>2906ZYPUFK</v>
      </c>
      <c r="D4728" t="s">
        <v>45</v>
      </c>
      <c r="E4728" t="s">
        <v>138</v>
      </c>
      <c r="F4728" t="s">
        <v>70</v>
      </c>
      <c r="G4728" t="s">
        <v>48</v>
      </c>
      <c r="H4728" t="s">
        <v>49</v>
      </c>
      <c r="I4728" t="s">
        <v>50</v>
      </c>
      <c r="J4728" t="s">
        <v>6922</v>
      </c>
      <c r="K4728" t="s">
        <v>4442</v>
      </c>
      <c r="L4728" t="s">
        <v>53</v>
      </c>
      <c r="N4728" t="s">
        <v>8278</v>
      </c>
      <c r="P4728" t="s">
        <v>55</v>
      </c>
      <c r="R4728" t="s">
        <v>53</v>
      </c>
      <c r="T4728" t="s">
        <v>8279</v>
      </c>
      <c r="U4728" t="s">
        <v>58</v>
      </c>
      <c r="V4728">
        <v>1</v>
      </c>
      <c r="W4728">
        <v>1</v>
      </c>
      <c r="X4728">
        <v>1</v>
      </c>
      <c r="Y4728">
        <v>0</v>
      </c>
      <c r="Z4728">
        <v>1</v>
      </c>
      <c r="AA4728">
        <v>107.98</v>
      </c>
      <c r="AB4728">
        <v>107.98</v>
      </c>
      <c r="AC4728">
        <v>95</v>
      </c>
      <c r="AD4728">
        <v>0</v>
      </c>
      <c r="AE4728">
        <v>12.98</v>
      </c>
      <c r="AF4728">
        <v>0</v>
      </c>
      <c r="AG4728">
        <v>0</v>
      </c>
      <c r="AH4728">
        <v>0</v>
      </c>
      <c r="AI4728">
        <v>19.440000000000001</v>
      </c>
      <c r="AJ4728">
        <v>107.98</v>
      </c>
      <c r="AK4728">
        <v>0</v>
      </c>
      <c r="AL4728" t="s">
        <v>53</v>
      </c>
      <c r="AM4728" t="s">
        <v>53</v>
      </c>
      <c r="AN4728" t="s">
        <v>53</v>
      </c>
      <c r="AO4728" t="s">
        <v>53</v>
      </c>
      <c r="AP4728" t="s">
        <v>53</v>
      </c>
    </row>
    <row r="4729" spans="2:42" x14ac:dyDescent="0.2">
      <c r="B4729" t="s">
        <v>44</v>
      </c>
      <c r="C4729" t="str">
        <f>HYPERLINK("https://us2.cloudbeds.com/connect/8493803454333002#/reservations/9080486845999536?display=290B29E70H&amp;reservation_id=9080486845999536", "290B29E70H")</f>
        <v>290B29E70H</v>
      </c>
      <c r="D4729" t="s">
        <v>45</v>
      </c>
      <c r="E4729" t="s">
        <v>128</v>
      </c>
      <c r="F4729" t="s">
        <v>86</v>
      </c>
      <c r="G4729" t="s">
        <v>48</v>
      </c>
      <c r="H4729" t="s">
        <v>49</v>
      </c>
      <c r="I4729" t="s">
        <v>62</v>
      </c>
      <c r="J4729" t="s">
        <v>5623</v>
      </c>
      <c r="K4729" t="s">
        <v>6639</v>
      </c>
      <c r="L4729" t="s">
        <v>53</v>
      </c>
      <c r="N4729" t="s">
        <v>8280</v>
      </c>
      <c r="P4729" t="s">
        <v>55</v>
      </c>
      <c r="R4729" t="s">
        <v>56</v>
      </c>
      <c r="T4729" t="s">
        <v>8281</v>
      </c>
      <c r="U4729" t="s">
        <v>55</v>
      </c>
      <c r="V4729">
        <v>1</v>
      </c>
      <c r="W4729">
        <v>1</v>
      </c>
      <c r="X4729">
        <v>3</v>
      </c>
      <c r="Y4729">
        <v>0</v>
      </c>
      <c r="Z4729">
        <v>3</v>
      </c>
      <c r="AA4729">
        <v>252</v>
      </c>
      <c r="AB4729">
        <v>252</v>
      </c>
      <c r="AC4729">
        <v>252</v>
      </c>
      <c r="AD4729">
        <v>0</v>
      </c>
      <c r="AE4729">
        <v>0</v>
      </c>
      <c r="AF4729">
        <v>0</v>
      </c>
      <c r="AG4729">
        <v>0</v>
      </c>
      <c r="AH4729">
        <v>0</v>
      </c>
      <c r="AI4729">
        <v>45.36</v>
      </c>
      <c r="AJ4729">
        <v>252</v>
      </c>
      <c r="AK4729">
        <v>0</v>
      </c>
      <c r="AL4729" t="s">
        <v>53</v>
      </c>
      <c r="AM4729" t="s">
        <v>53</v>
      </c>
      <c r="AN4729" t="s">
        <v>53</v>
      </c>
      <c r="AO4729" t="s">
        <v>53</v>
      </c>
      <c r="AP4729" t="s">
        <v>53</v>
      </c>
    </row>
    <row r="4730" spans="2:42" x14ac:dyDescent="0.2">
      <c r="B4730" t="s">
        <v>44</v>
      </c>
      <c r="C4730" t="str">
        <f>HYPERLINK("https://us2.cloudbeds.com/connect/8493803454333002#/reservations/9080486846001421?display=294G11DJNP&amp;reservation_id=9080486846001421", "294G11DJNP")</f>
        <v>294G11DJNP</v>
      </c>
      <c r="D4730" t="s">
        <v>45</v>
      </c>
      <c r="E4730" t="s">
        <v>85</v>
      </c>
      <c r="F4730" t="s">
        <v>86</v>
      </c>
      <c r="G4730" t="s">
        <v>48</v>
      </c>
      <c r="H4730" t="s">
        <v>49</v>
      </c>
      <c r="I4730" t="s">
        <v>62</v>
      </c>
      <c r="J4730" t="s">
        <v>6921</v>
      </c>
      <c r="K4730" t="s">
        <v>6922</v>
      </c>
      <c r="L4730" t="s">
        <v>53</v>
      </c>
      <c r="N4730" t="s">
        <v>8282</v>
      </c>
      <c r="P4730" t="s">
        <v>55</v>
      </c>
      <c r="R4730" t="s">
        <v>56</v>
      </c>
      <c r="T4730" t="s">
        <v>8283</v>
      </c>
      <c r="U4730" t="s">
        <v>55</v>
      </c>
      <c r="V4730">
        <v>1</v>
      </c>
      <c r="W4730">
        <v>1</v>
      </c>
      <c r="X4730">
        <v>2</v>
      </c>
      <c r="Y4730">
        <v>2</v>
      </c>
      <c r="Z4730">
        <v>4</v>
      </c>
      <c r="AA4730">
        <v>155</v>
      </c>
      <c r="AB4730">
        <v>155</v>
      </c>
      <c r="AC4730">
        <v>155</v>
      </c>
      <c r="AD4730">
        <v>0</v>
      </c>
      <c r="AE4730">
        <v>0</v>
      </c>
      <c r="AF4730">
        <v>0</v>
      </c>
      <c r="AG4730">
        <v>0</v>
      </c>
      <c r="AH4730">
        <v>0</v>
      </c>
      <c r="AI4730">
        <v>27.9</v>
      </c>
      <c r="AJ4730">
        <v>155</v>
      </c>
      <c r="AK4730">
        <v>0</v>
      </c>
      <c r="AL4730" t="s">
        <v>53</v>
      </c>
      <c r="AM4730" t="s">
        <v>53</v>
      </c>
      <c r="AN4730" t="s">
        <v>53</v>
      </c>
      <c r="AO4730" t="s">
        <v>53</v>
      </c>
      <c r="AP4730" t="s">
        <v>53</v>
      </c>
    </row>
    <row r="4731" spans="2:42" x14ac:dyDescent="0.2">
      <c r="B4731" t="s">
        <v>44</v>
      </c>
      <c r="C4731" t="str">
        <f>HYPERLINK("https://us2.cloudbeds.com/connect/8493803454333002#/reservations/9080486846001618?display=294ZEZGG5C&amp;reservation_id=9080486846001618", "294ZEZGG5C")</f>
        <v>294ZEZGG5C</v>
      </c>
      <c r="D4731" t="s">
        <v>45</v>
      </c>
      <c r="E4731" t="s">
        <v>213</v>
      </c>
      <c r="F4731" t="s">
        <v>86</v>
      </c>
      <c r="G4731" t="s">
        <v>48</v>
      </c>
      <c r="H4731" t="s">
        <v>49</v>
      </c>
      <c r="I4731" t="s">
        <v>50</v>
      </c>
      <c r="J4731" t="s">
        <v>5431</v>
      </c>
      <c r="K4731" t="s">
        <v>6335</v>
      </c>
      <c r="L4731" t="s">
        <v>53</v>
      </c>
      <c r="N4731" t="s">
        <v>8284</v>
      </c>
      <c r="P4731" t="s">
        <v>55</v>
      </c>
      <c r="R4731" t="s">
        <v>53</v>
      </c>
      <c r="T4731" t="s">
        <v>8285</v>
      </c>
      <c r="U4731" t="s">
        <v>58</v>
      </c>
      <c r="V4731">
        <v>1</v>
      </c>
      <c r="W4731">
        <v>1</v>
      </c>
      <c r="X4731">
        <v>2</v>
      </c>
      <c r="Y4731">
        <v>2</v>
      </c>
      <c r="Z4731">
        <v>4</v>
      </c>
      <c r="AA4731">
        <v>153.65</v>
      </c>
      <c r="AB4731">
        <v>153.65</v>
      </c>
      <c r="AC4731">
        <v>135.19999999999999</v>
      </c>
      <c r="AD4731">
        <v>0</v>
      </c>
      <c r="AE4731">
        <v>18.45</v>
      </c>
      <c r="AF4731">
        <v>0</v>
      </c>
      <c r="AG4731">
        <v>0</v>
      </c>
      <c r="AH4731">
        <v>0</v>
      </c>
      <c r="AI4731">
        <v>27.66</v>
      </c>
      <c r="AJ4731">
        <v>153.65</v>
      </c>
      <c r="AK4731">
        <v>0</v>
      </c>
      <c r="AL4731" t="s">
        <v>53</v>
      </c>
      <c r="AM4731" t="s">
        <v>53</v>
      </c>
      <c r="AN4731" t="s">
        <v>53</v>
      </c>
      <c r="AO4731" t="s">
        <v>53</v>
      </c>
      <c r="AP4731" t="s">
        <v>53</v>
      </c>
    </row>
    <row r="4732" spans="2:42" x14ac:dyDescent="0.2">
      <c r="B4732" t="s">
        <v>44</v>
      </c>
      <c r="C4732" t="str">
        <f>HYPERLINK("https://us2.cloudbeds.com/connect/8493803454333002#/reservations/9080486846001764?display=294UTYP7Q0&amp;reservation_id=9080486846001764", "294UTYP7Q0")</f>
        <v>294UTYP7Q0</v>
      </c>
      <c r="D4732" t="s">
        <v>45</v>
      </c>
      <c r="E4732" t="s">
        <v>69</v>
      </c>
      <c r="F4732" t="s">
        <v>70</v>
      </c>
      <c r="G4732" t="s">
        <v>48</v>
      </c>
      <c r="H4732" t="s">
        <v>49</v>
      </c>
      <c r="I4732" t="s">
        <v>50</v>
      </c>
      <c r="J4732" t="s">
        <v>6586</v>
      </c>
      <c r="K4732" t="s">
        <v>5967</v>
      </c>
      <c r="L4732" t="s">
        <v>53</v>
      </c>
      <c r="N4732" t="s">
        <v>8286</v>
      </c>
      <c r="P4732" t="s">
        <v>55</v>
      </c>
      <c r="R4732" t="s">
        <v>53</v>
      </c>
      <c r="T4732" t="s">
        <v>8287</v>
      </c>
      <c r="U4732" t="s">
        <v>58</v>
      </c>
      <c r="V4732">
        <v>1</v>
      </c>
      <c r="W4732">
        <v>1</v>
      </c>
      <c r="X4732">
        <v>2</v>
      </c>
      <c r="Y4732">
        <v>0</v>
      </c>
      <c r="Z4732">
        <v>2</v>
      </c>
      <c r="AA4732">
        <v>90.92</v>
      </c>
      <c r="AB4732">
        <v>90.92</v>
      </c>
      <c r="AC4732">
        <v>80</v>
      </c>
      <c r="AD4732">
        <v>0</v>
      </c>
      <c r="AE4732">
        <v>10.92</v>
      </c>
      <c r="AF4732">
        <v>0</v>
      </c>
      <c r="AG4732">
        <v>0</v>
      </c>
      <c r="AH4732">
        <v>0</v>
      </c>
      <c r="AI4732">
        <v>16.37</v>
      </c>
      <c r="AJ4732">
        <v>90.92</v>
      </c>
      <c r="AK4732">
        <v>0</v>
      </c>
      <c r="AL4732" t="s">
        <v>53</v>
      </c>
      <c r="AM4732" t="s">
        <v>53</v>
      </c>
      <c r="AN4732" t="s">
        <v>53</v>
      </c>
      <c r="AO4732" t="s">
        <v>53</v>
      </c>
      <c r="AP4732" t="s">
        <v>53</v>
      </c>
    </row>
    <row r="4733" spans="2:42" x14ac:dyDescent="0.2">
      <c r="B4733" t="s">
        <v>44</v>
      </c>
      <c r="C4733" t="str">
        <f>HYPERLINK("https://us2.cloudbeds.com/connect/8493803454333002#/reservations/105698324521128?display=2953X5WG58&amp;reservation_id=105698324521128", "2953X5WG58")</f>
        <v>2953X5WG58</v>
      </c>
      <c r="D4733" t="s">
        <v>45</v>
      </c>
      <c r="E4733" t="s">
        <v>223</v>
      </c>
      <c r="F4733" t="s">
        <v>47</v>
      </c>
      <c r="G4733" t="s">
        <v>4520</v>
      </c>
      <c r="H4733" t="s">
        <v>3957</v>
      </c>
      <c r="I4733" t="s">
        <v>3989</v>
      </c>
      <c r="J4733" t="s">
        <v>6639</v>
      </c>
      <c r="K4733" t="s">
        <v>4767</v>
      </c>
      <c r="L4733" t="s">
        <v>53</v>
      </c>
      <c r="P4733" t="s">
        <v>55</v>
      </c>
      <c r="R4733" t="s">
        <v>56</v>
      </c>
      <c r="T4733" t="s">
        <v>8288</v>
      </c>
      <c r="U4733" t="s">
        <v>58</v>
      </c>
      <c r="V4733">
        <v>1</v>
      </c>
      <c r="W4733">
        <v>1</v>
      </c>
      <c r="X4733">
        <v>1</v>
      </c>
      <c r="Y4733">
        <v>0</v>
      </c>
      <c r="Z4733">
        <v>1</v>
      </c>
      <c r="AA4733">
        <v>175.94</v>
      </c>
      <c r="AB4733">
        <v>175.94</v>
      </c>
      <c r="AC4733">
        <v>154.80000000000001</v>
      </c>
      <c r="AD4733">
        <v>0</v>
      </c>
      <c r="AE4733">
        <v>21.14</v>
      </c>
      <c r="AF4733">
        <v>0</v>
      </c>
      <c r="AG4733">
        <v>0</v>
      </c>
      <c r="AH4733">
        <v>0</v>
      </c>
      <c r="AI4733">
        <v>0</v>
      </c>
      <c r="AJ4733">
        <v>175.94</v>
      </c>
      <c r="AK4733">
        <v>0</v>
      </c>
      <c r="AL4733" t="s">
        <v>53</v>
      </c>
      <c r="AM4733" t="s">
        <v>53</v>
      </c>
      <c r="AN4733" t="s">
        <v>53</v>
      </c>
      <c r="AO4733" t="s">
        <v>53</v>
      </c>
      <c r="AP4733" t="s">
        <v>53</v>
      </c>
    </row>
    <row r="4734" spans="2:42" x14ac:dyDescent="0.2">
      <c r="B4734" t="s">
        <v>44</v>
      </c>
      <c r="C4734" t="str">
        <f>HYPERLINK("https://us2.cloudbeds.com/connect/8493803454333002#/reservations/9080486846003014?display=296F032RRF&amp;reservation_id=9080486846003014", "296F032RRF")</f>
        <v>296F032RRF</v>
      </c>
      <c r="D4734" t="s">
        <v>45</v>
      </c>
      <c r="E4734" t="s">
        <v>155</v>
      </c>
      <c r="F4734" t="s">
        <v>86</v>
      </c>
      <c r="G4734" t="s">
        <v>48</v>
      </c>
      <c r="H4734" t="s">
        <v>49</v>
      </c>
      <c r="I4734" t="s">
        <v>62</v>
      </c>
      <c r="J4734" t="s">
        <v>6639</v>
      </c>
      <c r="K4734" t="s">
        <v>4767</v>
      </c>
      <c r="L4734" t="s">
        <v>53</v>
      </c>
      <c r="N4734" t="s">
        <v>8289</v>
      </c>
      <c r="P4734" t="s">
        <v>55</v>
      </c>
      <c r="R4734" t="s">
        <v>56</v>
      </c>
      <c r="T4734" t="s">
        <v>8290</v>
      </c>
      <c r="U4734" t="s">
        <v>55</v>
      </c>
      <c r="V4734">
        <v>1</v>
      </c>
      <c r="W4734">
        <v>1</v>
      </c>
      <c r="X4734">
        <v>4</v>
      </c>
      <c r="Y4734">
        <v>0</v>
      </c>
      <c r="Z4734">
        <v>4</v>
      </c>
      <c r="AA4734">
        <v>205</v>
      </c>
      <c r="AB4734">
        <v>205</v>
      </c>
      <c r="AC4734">
        <v>205</v>
      </c>
      <c r="AD4734">
        <v>0</v>
      </c>
      <c r="AE4734">
        <v>0</v>
      </c>
      <c r="AF4734">
        <v>0</v>
      </c>
      <c r="AG4734">
        <v>0</v>
      </c>
      <c r="AH4734">
        <v>0</v>
      </c>
      <c r="AI4734">
        <v>36.9</v>
      </c>
      <c r="AJ4734">
        <v>205</v>
      </c>
      <c r="AK4734">
        <v>0</v>
      </c>
      <c r="AL4734" t="s">
        <v>53</v>
      </c>
      <c r="AM4734" t="s">
        <v>53</v>
      </c>
      <c r="AN4734" t="s">
        <v>53</v>
      </c>
      <c r="AO4734" t="s">
        <v>53</v>
      </c>
      <c r="AP4734" t="s">
        <v>53</v>
      </c>
    </row>
    <row r="4735" spans="2:42" x14ac:dyDescent="0.2">
      <c r="B4735" t="s">
        <v>44</v>
      </c>
      <c r="C4735" t="str">
        <f>HYPERLINK("https://us2.cloudbeds.com/connect/8493803454333002#/reservations/9080486846003223?display=296N444AXB&amp;reservation_id=9080486846003223", "296N444AXB")</f>
        <v>296N444AXB</v>
      </c>
      <c r="D4735" t="s">
        <v>45</v>
      </c>
      <c r="E4735" t="s">
        <v>105</v>
      </c>
      <c r="F4735" t="s">
        <v>47</v>
      </c>
      <c r="G4735" t="s">
        <v>8291</v>
      </c>
      <c r="H4735" t="s">
        <v>49</v>
      </c>
      <c r="I4735" t="s">
        <v>50</v>
      </c>
      <c r="J4735" t="s">
        <v>7750</v>
      </c>
      <c r="K4735" t="s">
        <v>4008</v>
      </c>
      <c r="L4735" t="s">
        <v>53</v>
      </c>
      <c r="N4735" t="s">
        <v>8292</v>
      </c>
      <c r="P4735" t="s">
        <v>55</v>
      </c>
      <c r="R4735" t="s">
        <v>53</v>
      </c>
      <c r="T4735" t="s">
        <v>8293</v>
      </c>
      <c r="U4735" t="s">
        <v>58</v>
      </c>
      <c r="V4735">
        <v>4</v>
      </c>
      <c r="W4735">
        <v>2</v>
      </c>
      <c r="X4735">
        <v>2</v>
      </c>
      <c r="Y4735">
        <v>0</v>
      </c>
      <c r="Z4735">
        <v>2</v>
      </c>
      <c r="AA4735">
        <v>693.22</v>
      </c>
      <c r="AB4735">
        <v>693.22</v>
      </c>
      <c r="AC4735">
        <v>609.96</v>
      </c>
      <c r="AD4735">
        <v>0</v>
      </c>
      <c r="AE4735">
        <v>83.26</v>
      </c>
      <c r="AF4735">
        <v>0</v>
      </c>
      <c r="AG4735">
        <v>0</v>
      </c>
      <c r="AH4735">
        <v>0</v>
      </c>
      <c r="AI4735">
        <v>124.78</v>
      </c>
      <c r="AJ4735">
        <v>693.22</v>
      </c>
      <c r="AK4735">
        <v>0</v>
      </c>
      <c r="AL4735" t="s">
        <v>53</v>
      </c>
      <c r="AM4735" t="s">
        <v>53</v>
      </c>
      <c r="AN4735" t="s">
        <v>53</v>
      </c>
      <c r="AO4735" t="s">
        <v>53</v>
      </c>
      <c r="AP4735" t="s">
        <v>53</v>
      </c>
    </row>
    <row r="4736" spans="2:42" x14ac:dyDescent="0.2">
      <c r="B4736" t="s">
        <v>44</v>
      </c>
      <c r="C4736" t="str">
        <f>HYPERLINK("https://us2.cloudbeds.com/connect/8493803454333002#/reservations/9080486846003841?display=297EEYYUCS&amp;reservation_id=9080486846003841", "297EEYYUCS")</f>
        <v>297EEYYUCS</v>
      </c>
      <c r="D4736" t="s">
        <v>45</v>
      </c>
      <c r="E4736" t="s">
        <v>165</v>
      </c>
      <c r="F4736" t="s">
        <v>61</v>
      </c>
      <c r="G4736" t="s">
        <v>48</v>
      </c>
      <c r="H4736" t="s">
        <v>49</v>
      </c>
      <c r="I4736" t="s">
        <v>62</v>
      </c>
      <c r="J4736" t="s">
        <v>7624</v>
      </c>
      <c r="K4736" t="s">
        <v>8060</v>
      </c>
      <c r="L4736" t="s">
        <v>53</v>
      </c>
      <c r="N4736" t="s">
        <v>8294</v>
      </c>
      <c r="P4736" t="s">
        <v>55</v>
      </c>
      <c r="R4736" t="s">
        <v>56</v>
      </c>
      <c r="T4736" t="s">
        <v>8295</v>
      </c>
      <c r="U4736" t="s">
        <v>55</v>
      </c>
      <c r="V4736">
        <v>2</v>
      </c>
      <c r="W4736">
        <v>1</v>
      </c>
      <c r="X4736">
        <v>1</v>
      </c>
      <c r="Y4736">
        <v>0</v>
      </c>
      <c r="Z4736">
        <v>1</v>
      </c>
      <c r="AA4736">
        <v>324.89999999999998</v>
      </c>
      <c r="AB4736">
        <v>324.89999999999998</v>
      </c>
      <c r="AC4736">
        <v>324.89999999999998</v>
      </c>
      <c r="AD4736">
        <v>0</v>
      </c>
      <c r="AE4736">
        <v>0</v>
      </c>
      <c r="AF4736">
        <v>0</v>
      </c>
      <c r="AG4736">
        <v>0</v>
      </c>
      <c r="AH4736">
        <v>0</v>
      </c>
      <c r="AI4736">
        <v>58.48</v>
      </c>
      <c r="AJ4736">
        <v>324.89999999999998</v>
      </c>
      <c r="AK4736">
        <v>0</v>
      </c>
      <c r="AL4736" t="s">
        <v>53</v>
      </c>
      <c r="AM4736" t="s">
        <v>53</v>
      </c>
      <c r="AN4736" t="s">
        <v>8296</v>
      </c>
      <c r="AO4736" t="s">
        <v>53</v>
      </c>
      <c r="AP4736" t="s">
        <v>53</v>
      </c>
    </row>
    <row r="4737" spans="2:42" x14ac:dyDescent="0.2">
      <c r="B4737" t="s">
        <v>44</v>
      </c>
      <c r="C4737" t="str">
        <f>HYPERLINK("https://us2.cloudbeds.com/connect/8493803454333002#/reservations/105802647130251?display=297XASXSZQ&amp;reservation_id=105802647130251", "297XASXSZQ")</f>
        <v>297XASXSZQ</v>
      </c>
      <c r="D4737" t="s">
        <v>45</v>
      </c>
      <c r="E4737" t="s">
        <v>373</v>
      </c>
      <c r="F4737" t="s">
        <v>47</v>
      </c>
      <c r="G4737" t="s">
        <v>48</v>
      </c>
      <c r="H4737" t="s">
        <v>3957</v>
      </c>
      <c r="I4737" t="s">
        <v>3975</v>
      </c>
      <c r="J4737" t="s">
        <v>6639</v>
      </c>
      <c r="K4737" t="s">
        <v>4767</v>
      </c>
      <c r="L4737" t="s">
        <v>53</v>
      </c>
      <c r="P4737" t="s">
        <v>55</v>
      </c>
      <c r="R4737" t="s">
        <v>53</v>
      </c>
      <c r="T4737" t="s">
        <v>8297</v>
      </c>
      <c r="U4737" t="s">
        <v>58</v>
      </c>
      <c r="V4737">
        <v>1</v>
      </c>
      <c r="W4737">
        <v>1</v>
      </c>
      <c r="X4737">
        <v>1</v>
      </c>
      <c r="Y4737">
        <v>0</v>
      </c>
      <c r="Z4737">
        <v>1</v>
      </c>
      <c r="AA4737">
        <v>147.75</v>
      </c>
      <c r="AB4737">
        <v>147.75</v>
      </c>
      <c r="AC4737">
        <v>130</v>
      </c>
      <c r="AD4737">
        <v>0</v>
      </c>
      <c r="AE4737">
        <v>17.75</v>
      </c>
      <c r="AF4737">
        <v>0</v>
      </c>
      <c r="AG4737">
        <v>0</v>
      </c>
      <c r="AH4737">
        <v>0</v>
      </c>
      <c r="AI4737">
        <v>0</v>
      </c>
      <c r="AJ4737">
        <v>147.75</v>
      </c>
      <c r="AK4737">
        <v>0</v>
      </c>
      <c r="AL4737" t="s">
        <v>53</v>
      </c>
      <c r="AM4737" t="s">
        <v>53</v>
      </c>
      <c r="AN4737" t="s">
        <v>53</v>
      </c>
      <c r="AO4737" t="s">
        <v>53</v>
      </c>
      <c r="AP4737" t="s">
        <v>53</v>
      </c>
    </row>
    <row r="4738" spans="2:42" x14ac:dyDescent="0.2">
      <c r="B4738" t="s">
        <v>44</v>
      </c>
      <c r="C4738" t="str">
        <f>HYPERLINK("https://us2.cloudbeds.com/connect/8493803454333002#/reservations/9080486846003995?display=297MESMJYV&amp;reservation_id=9080486846003995", "297MESMJYV")</f>
        <v>297MESMJYV</v>
      </c>
      <c r="D4738" t="s">
        <v>45</v>
      </c>
      <c r="E4738" t="s">
        <v>113</v>
      </c>
      <c r="F4738" t="s">
        <v>61</v>
      </c>
      <c r="G4738" t="s">
        <v>48</v>
      </c>
      <c r="H4738" t="s">
        <v>49</v>
      </c>
      <c r="I4738" t="s">
        <v>50</v>
      </c>
      <c r="J4738" t="s">
        <v>6639</v>
      </c>
      <c r="K4738" t="s">
        <v>4767</v>
      </c>
      <c r="L4738" t="s">
        <v>53</v>
      </c>
      <c r="N4738" t="s">
        <v>8298</v>
      </c>
      <c r="P4738" t="s">
        <v>55</v>
      </c>
      <c r="R4738" t="s">
        <v>53</v>
      </c>
      <c r="T4738" t="s">
        <v>8299</v>
      </c>
      <c r="U4738" t="s">
        <v>58</v>
      </c>
      <c r="V4738">
        <v>1</v>
      </c>
      <c r="W4738">
        <v>1</v>
      </c>
      <c r="X4738">
        <v>2</v>
      </c>
      <c r="Y4738">
        <v>0</v>
      </c>
      <c r="Z4738">
        <v>2</v>
      </c>
      <c r="AA4738">
        <v>167.07</v>
      </c>
      <c r="AB4738">
        <v>167.07</v>
      </c>
      <c r="AC4738">
        <v>147</v>
      </c>
      <c r="AD4738">
        <v>0</v>
      </c>
      <c r="AE4738">
        <v>20.07</v>
      </c>
      <c r="AF4738">
        <v>0</v>
      </c>
      <c r="AG4738">
        <v>0</v>
      </c>
      <c r="AH4738">
        <v>0</v>
      </c>
      <c r="AI4738">
        <v>30.07</v>
      </c>
      <c r="AJ4738">
        <v>167.07</v>
      </c>
      <c r="AK4738">
        <v>0</v>
      </c>
      <c r="AL4738" t="s">
        <v>53</v>
      </c>
      <c r="AM4738" t="s">
        <v>53</v>
      </c>
      <c r="AN4738" t="s">
        <v>53</v>
      </c>
      <c r="AO4738" t="s">
        <v>53</v>
      </c>
      <c r="AP4738" t="s">
        <v>53</v>
      </c>
    </row>
    <row r="4739" spans="2:42" x14ac:dyDescent="0.2">
      <c r="B4739" t="s">
        <v>44</v>
      </c>
      <c r="C4739" t="str">
        <f>HYPERLINK("https://us2.cloudbeds.com/connect/8493803454333002#/reservations/105812182814973?display=297PNHABNT&amp;reservation_id=105812182814973", "297PNHABNT")</f>
        <v>297PNHABNT</v>
      </c>
      <c r="D4739" t="s">
        <v>45</v>
      </c>
      <c r="E4739" t="s">
        <v>113</v>
      </c>
      <c r="F4739" t="s">
        <v>61</v>
      </c>
      <c r="G4739" t="s">
        <v>48</v>
      </c>
      <c r="H4739" t="s">
        <v>3957</v>
      </c>
      <c r="I4739" t="s">
        <v>3975</v>
      </c>
      <c r="J4739" t="s">
        <v>8143</v>
      </c>
      <c r="K4739" t="s">
        <v>8300</v>
      </c>
      <c r="L4739" t="s">
        <v>53</v>
      </c>
      <c r="P4739" t="s">
        <v>55</v>
      </c>
      <c r="R4739" t="s">
        <v>53</v>
      </c>
      <c r="T4739" t="s">
        <v>8301</v>
      </c>
      <c r="U4739" t="s">
        <v>58</v>
      </c>
      <c r="V4739">
        <v>1</v>
      </c>
      <c r="W4739">
        <v>1</v>
      </c>
      <c r="X4739">
        <v>2</v>
      </c>
      <c r="Y4739">
        <v>0</v>
      </c>
      <c r="Z4739">
        <v>2</v>
      </c>
      <c r="AA4739">
        <v>204.57</v>
      </c>
      <c r="AB4739">
        <v>204.57</v>
      </c>
      <c r="AC4739">
        <v>180</v>
      </c>
      <c r="AD4739">
        <v>0</v>
      </c>
      <c r="AE4739">
        <v>24.57</v>
      </c>
      <c r="AF4739">
        <v>0</v>
      </c>
      <c r="AG4739">
        <v>0</v>
      </c>
      <c r="AH4739">
        <v>0</v>
      </c>
      <c r="AI4739">
        <v>0</v>
      </c>
      <c r="AJ4739">
        <v>204.57</v>
      </c>
      <c r="AK4739">
        <v>0</v>
      </c>
      <c r="AL4739" t="s">
        <v>53</v>
      </c>
      <c r="AM4739" t="s">
        <v>53</v>
      </c>
      <c r="AN4739" t="s">
        <v>53</v>
      </c>
      <c r="AO4739" t="s">
        <v>53</v>
      </c>
      <c r="AP4739" t="s">
        <v>53</v>
      </c>
    </row>
    <row r="4740" spans="2:42" x14ac:dyDescent="0.2">
      <c r="B4740" t="s">
        <v>44</v>
      </c>
      <c r="C4740" t="str">
        <f>HYPERLINK("https://us2.cloudbeds.com/connect/8493803454333002#/reservations/9080486846004225?display=2983RZN58W&amp;reservation_id=9080486846004225", "2983RZN58W")</f>
        <v>2983RZN58W</v>
      </c>
      <c r="D4740" t="s">
        <v>45</v>
      </c>
      <c r="E4740" t="s">
        <v>138</v>
      </c>
      <c r="F4740" t="s">
        <v>70</v>
      </c>
      <c r="G4740" t="s">
        <v>48</v>
      </c>
      <c r="H4740" t="s">
        <v>49</v>
      </c>
      <c r="I4740" t="s">
        <v>62</v>
      </c>
      <c r="J4740" t="s">
        <v>7975</v>
      </c>
      <c r="K4740" t="s">
        <v>7750</v>
      </c>
      <c r="L4740" t="s">
        <v>53</v>
      </c>
      <c r="N4740" t="s">
        <v>8302</v>
      </c>
      <c r="P4740" t="s">
        <v>55</v>
      </c>
      <c r="R4740" t="s">
        <v>56</v>
      </c>
      <c r="T4740" t="s">
        <v>8303</v>
      </c>
      <c r="U4740" t="s">
        <v>55</v>
      </c>
      <c r="V4740">
        <v>1</v>
      </c>
      <c r="W4740">
        <v>1</v>
      </c>
      <c r="X4740">
        <v>2</v>
      </c>
      <c r="Y4740">
        <v>0</v>
      </c>
      <c r="Z4740">
        <v>2</v>
      </c>
      <c r="AA4740">
        <v>153.9</v>
      </c>
      <c r="AB4740">
        <v>153.9</v>
      </c>
      <c r="AC4740">
        <v>153.9</v>
      </c>
      <c r="AD4740">
        <v>0</v>
      </c>
      <c r="AE4740">
        <v>0</v>
      </c>
      <c r="AF4740">
        <v>0</v>
      </c>
      <c r="AG4740">
        <v>0</v>
      </c>
      <c r="AH4740">
        <v>0</v>
      </c>
      <c r="AI4740">
        <v>27.7</v>
      </c>
      <c r="AJ4740">
        <v>153.9</v>
      </c>
      <c r="AK4740">
        <v>0</v>
      </c>
      <c r="AL4740" t="s">
        <v>53</v>
      </c>
      <c r="AM4740" t="s">
        <v>53</v>
      </c>
      <c r="AN4740" t="s">
        <v>53</v>
      </c>
      <c r="AO4740" t="s">
        <v>53</v>
      </c>
      <c r="AP4740" t="s">
        <v>53</v>
      </c>
    </row>
    <row r="4741" spans="2:42" x14ac:dyDescent="0.2">
      <c r="B4741" t="s">
        <v>44</v>
      </c>
      <c r="C4741" t="str">
        <f>HYPERLINK("https://us2.cloudbeds.com/connect/8493803454333002#/reservations/9080486846004230?display=2983RQXUQB&amp;reservation_id=9080486846004230", "2983RQXUQB")</f>
        <v>2983RQXUQB</v>
      </c>
      <c r="D4741" t="s">
        <v>45</v>
      </c>
      <c r="E4741" t="s">
        <v>78</v>
      </c>
      <c r="F4741" t="s">
        <v>61</v>
      </c>
      <c r="G4741" t="s">
        <v>48</v>
      </c>
      <c r="H4741" t="s">
        <v>49</v>
      </c>
      <c r="I4741" t="s">
        <v>62</v>
      </c>
      <c r="J4741" t="s">
        <v>6639</v>
      </c>
      <c r="K4741" t="s">
        <v>4767</v>
      </c>
      <c r="L4741" t="s">
        <v>53</v>
      </c>
      <c r="N4741" t="s">
        <v>8304</v>
      </c>
      <c r="P4741" t="s">
        <v>55</v>
      </c>
      <c r="R4741" t="s">
        <v>56</v>
      </c>
      <c r="T4741" t="s">
        <v>8305</v>
      </c>
      <c r="U4741" t="s">
        <v>55</v>
      </c>
      <c r="V4741">
        <v>1</v>
      </c>
      <c r="W4741">
        <v>1</v>
      </c>
      <c r="X4741">
        <v>2</v>
      </c>
      <c r="Y4741">
        <v>0</v>
      </c>
      <c r="Z4741">
        <v>2</v>
      </c>
      <c r="AA4741">
        <v>147</v>
      </c>
      <c r="AB4741">
        <v>147</v>
      </c>
      <c r="AC4741">
        <v>147</v>
      </c>
      <c r="AD4741">
        <v>0</v>
      </c>
      <c r="AE4741">
        <v>0</v>
      </c>
      <c r="AF4741">
        <v>0</v>
      </c>
      <c r="AG4741">
        <v>0</v>
      </c>
      <c r="AH4741">
        <v>0</v>
      </c>
      <c r="AI4741">
        <v>26.46</v>
      </c>
      <c r="AJ4741">
        <v>147</v>
      </c>
      <c r="AK4741">
        <v>0</v>
      </c>
      <c r="AL4741" t="s">
        <v>53</v>
      </c>
      <c r="AM4741" t="s">
        <v>53</v>
      </c>
      <c r="AN4741" t="s">
        <v>53</v>
      </c>
      <c r="AO4741" t="s">
        <v>53</v>
      </c>
      <c r="AP4741" t="s">
        <v>53</v>
      </c>
    </row>
    <row r="4742" spans="2:42" x14ac:dyDescent="0.2">
      <c r="B4742" t="s">
        <v>44</v>
      </c>
      <c r="C4742" t="str">
        <f>HYPERLINK("https://us2.cloudbeds.com/connect/8493803454333002#/reservations/9080486846004577?display=298QF4ANCY&amp;reservation_id=9080486846004577", "298QF4ANCY")</f>
        <v>298QF4ANCY</v>
      </c>
      <c r="D4742" t="s">
        <v>45</v>
      </c>
      <c r="E4742" t="s">
        <v>406</v>
      </c>
      <c r="F4742" t="s">
        <v>61</v>
      </c>
      <c r="G4742" t="s">
        <v>48</v>
      </c>
      <c r="H4742" t="s">
        <v>49</v>
      </c>
      <c r="I4742" t="s">
        <v>62</v>
      </c>
      <c r="J4742" t="s">
        <v>6639</v>
      </c>
      <c r="K4742" t="s">
        <v>4767</v>
      </c>
      <c r="L4742" t="s">
        <v>53</v>
      </c>
      <c r="N4742" t="s">
        <v>8306</v>
      </c>
      <c r="P4742" t="s">
        <v>55</v>
      </c>
      <c r="R4742" t="s">
        <v>56</v>
      </c>
      <c r="T4742" t="s">
        <v>8307</v>
      </c>
      <c r="U4742" t="s">
        <v>55</v>
      </c>
      <c r="V4742">
        <v>1</v>
      </c>
      <c r="W4742">
        <v>1</v>
      </c>
      <c r="X4742">
        <v>1</v>
      </c>
      <c r="Y4742">
        <v>0</v>
      </c>
      <c r="Z4742">
        <v>1</v>
      </c>
      <c r="AA4742">
        <v>147</v>
      </c>
      <c r="AB4742">
        <v>147</v>
      </c>
      <c r="AC4742">
        <v>147</v>
      </c>
      <c r="AD4742">
        <v>0</v>
      </c>
      <c r="AE4742">
        <v>0</v>
      </c>
      <c r="AF4742">
        <v>0</v>
      </c>
      <c r="AG4742">
        <v>0</v>
      </c>
      <c r="AH4742">
        <v>0</v>
      </c>
      <c r="AI4742">
        <v>26.46</v>
      </c>
      <c r="AJ4742">
        <v>147</v>
      </c>
      <c r="AK4742">
        <v>0</v>
      </c>
      <c r="AL4742" t="s">
        <v>53</v>
      </c>
      <c r="AM4742" t="s">
        <v>53</v>
      </c>
      <c r="AN4742" t="s">
        <v>53</v>
      </c>
      <c r="AO4742" t="s">
        <v>53</v>
      </c>
      <c r="AP4742" t="s">
        <v>53</v>
      </c>
    </row>
    <row r="4743" spans="2:42" x14ac:dyDescent="0.2">
      <c r="B4743" t="s">
        <v>44</v>
      </c>
      <c r="C4743" t="str">
        <f>HYPERLINK("https://us2.cloudbeds.com/connect/8493803454333002#/reservations/9080486846004748?display=2995SP2YBT&amp;reservation_id=9080486846004748", "2995SP2YBT")</f>
        <v>2995SP2YBT</v>
      </c>
      <c r="D4743" t="s">
        <v>45</v>
      </c>
      <c r="E4743" t="s">
        <v>98</v>
      </c>
      <c r="F4743" t="s">
        <v>86</v>
      </c>
      <c r="G4743" t="s">
        <v>48</v>
      </c>
      <c r="H4743" t="s">
        <v>49</v>
      </c>
      <c r="I4743" t="s">
        <v>50</v>
      </c>
      <c r="J4743" t="s">
        <v>6639</v>
      </c>
      <c r="K4743" t="s">
        <v>4767</v>
      </c>
      <c r="L4743" t="s">
        <v>53</v>
      </c>
      <c r="N4743" t="s">
        <v>8308</v>
      </c>
      <c r="P4743" t="s">
        <v>55</v>
      </c>
      <c r="R4743" t="s">
        <v>53</v>
      </c>
      <c r="T4743" t="s">
        <v>8309</v>
      </c>
      <c r="U4743" t="s">
        <v>58</v>
      </c>
      <c r="V4743">
        <v>1</v>
      </c>
      <c r="W4743">
        <v>1</v>
      </c>
      <c r="X4743">
        <v>2</v>
      </c>
      <c r="Y4743">
        <v>2</v>
      </c>
      <c r="Z4743">
        <v>4</v>
      </c>
      <c r="AA4743">
        <v>176.17</v>
      </c>
      <c r="AB4743">
        <v>176.17</v>
      </c>
      <c r="AC4743">
        <v>155</v>
      </c>
      <c r="AD4743">
        <v>0</v>
      </c>
      <c r="AE4743">
        <v>21.17</v>
      </c>
      <c r="AF4743">
        <v>0</v>
      </c>
      <c r="AG4743">
        <v>0</v>
      </c>
      <c r="AH4743">
        <v>0</v>
      </c>
      <c r="AI4743">
        <v>31.71</v>
      </c>
      <c r="AJ4743">
        <v>176.17</v>
      </c>
      <c r="AK4743">
        <v>0</v>
      </c>
      <c r="AL4743" t="s">
        <v>53</v>
      </c>
      <c r="AM4743" t="s">
        <v>53</v>
      </c>
      <c r="AN4743" t="s">
        <v>53</v>
      </c>
      <c r="AO4743" t="s">
        <v>53</v>
      </c>
      <c r="AP4743" t="s">
        <v>53</v>
      </c>
    </row>
    <row r="4744" spans="2:42" x14ac:dyDescent="0.2">
      <c r="B4744" t="s">
        <v>44</v>
      </c>
      <c r="C4744" t="str">
        <f>HYPERLINK("https://us2.cloudbeds.com/connect/8493803454333002#/reservations/9080486846006137?display=29C6GAAR48&amp;reservation_id=9080486846006137", "29C6GAAR48")</f>
        <v>29C6GAAR48</v>
      </c>
      <c r="D4744" t="s">
        <v>45</v>
      </c>
      <c r="E4744" t="s">
        <v>69</v>
      </c>
      <c r="F4744" t="s">
        <v>70</v>
      </c>
      <c r="G4744" t="s">
        <v>48</v>
      </c>
      <c r="H4744" t="s">
        <v>49</v>
      </c>
      <c r="I4744" t="s">
        <v>62</v>
      </c>
      <c r="J4744" t="s">
        <v>7821</v>
      </c>
      <c r="K4744" t="s">
        <v>8133</v>
      </c>
      <c r="L4744" t="s">
        <v>53</v>
      </c>
      <c r="N4744" t="s">
        <v>8310</v>
      </c>
      <c r="P4744" t="s">
        <v>55</v>
      </c>
      <c r="R4744" t="s">
        <v>201</v>
      </c>
      <c r="T4744" t="s">
        <v>8311</v>
      </c>
      <c r="U4744" t="s">
        <v>55</v>
      </c>
      <c r="V4744">
        <v>1</v>
      </c>
      <c r="W4744">
        <v>1</v>
      </c>
      <c r="X4744">
        <v>2</v>
      </c>
      <c r="Y4744">
        <v>0</v>
      </c>
      <c r="Z4744">
        <v>2</v>
      </c>
      <c r="AA4744">
        <v>165</v>
      </c>
      <c r="AB4744">
        <v>165</v>
      </c>
      <c r="AC4744">
        <v>165</v>
      </c>
      <c r="AD4744">
        <v>0</v>
      </c>
      <c r="AE4744">
        <v>0</v>
      </c>
      <c r="AF4744">
        <v>0</v>
      </c>
      <c r="AG4744">
        <v>0</v>
      </c>
      <c r="AH4744">
        <v>0</v>
      </c>
      <c r="AI4744">
        <v>29.7</v>
      </c>
      <c r="AJ4744">
        <v>165</v>
      </c>
      <c r="AK4744">
        <v>0</v>
      </c>
      <c r="AL4744" t="s">
        <v>53</v>
      </c>
      <c r="AM4744" t="s">
        <v>53</v>
      </c>
      <c r="AN4744" t="s">
        <v>53</v>
      </c>
      <c r="AO4744" t="s">
        <v>53</v>
      </c>
      <c r="AP4744" t="s">
        <v>53</v>
      </c>
    </row>
    <row r="4745" spans="2:42" x14ac:dyDescent="0.2">
      <c r="B4745" t="s">
        <v>44</v>
      </c>
      <c r="C4745" t="str">
        <f>HYPERLINK("https://us2.cloudbeds.com/connect/8493803454333002#/reservations/106049368215752?display=29DBC5APC4&amp;reservation_id=106049368215752", "29DBC5APC4")</f>
        <v>29DBC5APC4</v>
      </c>
      <c r="D4745" t="s">
        <v>45</v>
      </c>
      <c r="E4745" t="s">
        <v>8312</v>
      </c>
      <c r="F4745" t="s">
        <v>86</v>
      </c>
      <c r="G4745" t="s">
        <v>4520</v>
      </c>
      <c r="H4745" t="s">
        <v>3957</v>
      </c>
      <c r="I4745" t="s">
        <v>3958</v>
      </c>
      <c r="J4745" t="s">
        <v>8313</v>
      </c>
      <c r="K4745" t="s">
        <v>8314</v>
      </c>
      <c r="L4745" t="s">
        <v>53</v>
      </c>
      <c r="P4745" t="s">
        <v>58</v>
      </c>
      <c r="R4745" t="s">
        <v>56</v>
      </c>
      <c r="T4745" t="s">
        <v>8315</v>
      </c>
      <c r="U4745" t="s">
        <v>58</v>
      </c>
      <c r="V4745">
        <v>4</v>
      </c>
      <c r="W4745">
        <v>2</v>
      </c>
      <c r="X4745">
        <v>2</v>
      </c>
      <c r="Y4745">
        <v>0</v>
      </c>
      <c r="Z4745">
        <v>2</v>
      </c>
      <c r="AA4745">
        <v>1534.28</v>
      </c>
      <c r="AB4745">
        <v>1534.28</v>
      </c>
      <c r="AC4745">
        <v>1350</v>
      </c>
      <c r="AD4745">
        <v>0</v>
      </c>
      <c r="AE4745">
        <v>184.28</v>
      </c>
      <c r="AF4745">
        <v>0</v>
      </c>
      <c r="AG4745">
        <v>0</v>
      </c>
      <c r="AH4745">
        <v>0</v>
      </c>
      <c r="AI4745">
        <v>0</v>
      </c>
      <c r="AJ4745">
        <v>1534.28</v>
      </c>
      <c r="AK4745">
        <v>0</v>
      </c>
      <c r="AL4745" t="s">
        <v>53</v>
      </c>
      <c r="AM4745" t="s">
        <v>53</v>
      </c>
      <c r="AN4745" t="s">
        <v>53</v>
      </c>
      <c r="AO4745" t="s">
        <v>53</v>
      </c>
      <c r="AP4745" t="s">
        <v>53</v>
      </c>
    </row>
    <row r="4746" spans="2:42" x14ac:dyDescent="0.2">
      <c r="B4746" t="s">
        <v>44</v>
      </c>
      <c r="C4746" t="str">
        <f>HYPERLINK("https://us2.cloudbeds.com/connect/8493803454333002#/reservations/106061881458898?display=29DY1TR6PC&amp;reservation_id=106061881458898", "29DY1TR6PC")</f>
        <v>29DY1TR6PC</v>
      </c>
      <c r="D4746" t="s">
        <v>45</v>
      </c>
      <c r="E4746" t="s">
        <v>179</v>
      </c>
      <c r="F4746" t="s">
        <v>47</v>
      </c>
      <c r="G4746" t="s">
        <v>3974</v>
      </c>
      <c r="H4746" t="s">
        <v>3957</v>
      </c>
      <c r="I4746" t="s">
        <v>3975</v>
      </c>
      <c r="J4746" t="s">
        <v>6417</v>
      </c>
      <c r="K4746" t="s">
        <v>7218</v>
      </c>
      <c r="L4746" t="s">
        <v>53</v>
      </c>
      <c r="P4746" t="s">
        <v>55</v>
      </c>
      <c r="R4746" t="s">
        <v>53</v>
      </c>
      <c r="T4746" t="s">
        <v>8316</v>
      </c>
      <c r="U4746" t="s">
        <v>58</v>
      </c>
      <c r="V4746">
        <v>3</v>
      </c>
      <c r="W4746">
        <v>1</v>
      </c>
      <c r="X4746">
        <v>2</v>
      </c>
      <c r="Y4746">
        <v>0</v>
      </c>
      <c r="Z4746">
        <v>2</v>
      </c>
      <c r="AA4746">
        <v>536.59</v>
      </c>
      <c r="AB4746">
        <v>536.59</v>
      </c>
      <c r="AC4746">
        <v>472.15</v>
      </c>
      <c r="AD4746">
        <v>0</v>
      </c>
      <c r="AE4746">
        <v>64.44</v>
      </c>
      <c r="AF4746">
        <v>0</v>
      </c>
      <c r="AG4746">
        <v>0</v>
      </c>
      <c r="AH4746">
        <v>0</v>
      </c>
      <c r="AI4746">
        <v>0</v>
      </c>
      <c r="AJ4746">
        <v>536.59</v>
      </c>
      <c r="AK4746">
        <v>0</v>
      </c>
      <c r="AL4746" t="s">
        <v>53</v>
      </c>
      <c r="AM4746" t="s">
        <v>53</v>
      </c>
      <c r="AN4746" t="s">
        <v>53</v>
      </c>
      <c r="AO4746" t="s">
        <v>53</v>
      </c>
      <c r="AP4746" t="s">
        <v>53</v>
      </c>
    </row>
    <row r="4747" spans="2:42" x14ac:dyDescent="0.2">
      <c r="B4747" t="s">
        <v>44</v>
      </c>
      <c r="C4747" t="str">
        <f>HYPERLINK("https://us2.cloudbeds.com/connect/8493803454333002#/reservations/106083727245505?display=29E4W3PDSU&amp;reservation_id=106083727245505", "29E4W3PDSU")</f>
        <v>29E4W3PDSU</v>
      </c>
      <c r="D4747" t="s">
        <v>45</v>
      </c>
      <c r="E4747" t="s">
        <v>113</v>
      </c>
      <c r="F4747" t="s">
        <v>61</v>
      </c>
      <c r="G4747" t="s">
        <v>48</v>
      </c>
      <c r="H4747" t="s">
        <v>3957</v>
      </c>
      <c r="I4747" t="s">
        <v>3989</v>
      </c>
      <c r="J4747" t="s">
        <v>4767</v>
      </c>
      <c r="K4747" t="s">
        <v>6586</v>
      </c>
      <c r="L4747" t="s">
        <v>53</v>
      </c>
      <c r="P4747" t="s">
        <v>55</v>
      </c>
      <c r="R4747" t="s">
        <v>56</v>
      </c>
      <c r="T4747" t="s">
        <v>8317</v>
      </c>
      <c r="U4747" t="s">
        <v>58</v>
      </c>
      <c r="V4747">
        <v>2</v>
      </c>
      <c r="W4747">
        <v>2</v>
      </c>
      <c r="X4747">
        <v>2</v>
      </c>
      <c r="Y4747">
        <v>0</v>
      </c>
      <c r="Z4747">
        <v>2</v>
      </c>
      <c r="AA4747">
        <v>304.58999999999997</v>
      </c>
      <c r="AB4747">
        <v>313.68</v>
      </c>
      <c r="AC4747">
        <v>268</v>
      </c>
      <c r="AD4747">
        <v>0</v>
      </c>
      <c r="AE4747">
        <v>36.590000000000003</v>
      </c>
      <c r="AF4747">
        <v>0</v>
      </c>
      <c r="AG4747">
        <v>0</v>
      </c>
      <c r="AH4747">
        <v>0</v>
      </c>
      <c r="AI4747">
        <v>0</v>
      </c>
      <c r="AJ4747">
        <v>304.58999999999997</v>
      </c>
      <c r="AK4747">
        <v>0</v>
      </c>
      <c r="AL4747" t="s">
        <v>53</v>
      </c>
      <c r="AM4747" t="s">
        <v>53</v>
      </c>
      <c r="AN4747" t="s">
        <v>8318</v>
      </c>
      <c r="AO4747" t="s">
        <v>53</v>
      </c>
      <c r="AP4747" t="s">
        <v>53</v>
      </c>
    </row>
    <row r="4748" spans="2:42" x14ac:dyDescent="0.2">
      <c r="B4748" t="s">
        <v>44</v>
      </c>
      <c r="C4748" t="str">
        <f>HYPERLINK("https://us2.cloudbeds.com/connect/8493803454333002#/reservations/106097527914704?display=29EFYZSCMS&amp;reservation_id=106097527914704", "29EFYZSCMS")</f>
        <v>29EFYZSCMS</v>
      </c>
      <c r="D4748" t="s">
        <v>45</v>
      </c>
      <c r="E4748" t="s">
        <v>69</v>
      </c>
      <c r="F4748" t="s">
        <v>70</v>
      </c>
      <c r="G4748" t="s">
        <v>3974</v>
      </c>
      <c r="H4748" t="s">
        <v>3957</v>
      </c>
      <c r="I4748" t="s">
        <v>3975</v>
      </c>
      <c r="J4748" t="s">
        <v>8319</v>
      </c>
      <c r="K4748" t="s">
        <v>7624</v>
      </c>
      <c r="L4748" t="s">
        <v>53</v>
      </c>
      <c r="P4748" t="s">
        <v>55</v>
      </c>
      <c r="R4748" t="s">
        <v>53</v>
      </c>
      <c r="T4748" t="s">
        <v>8320</v>
      </c>
      <c r="U4748" t="s">
        <v>58</v>
      </c>
      <c r="V4748">
        <v>4</v>
      </c>
      <c r="W4748">
        <v>1</v>
      </c>
      <c r="X4748">
        <v>1</v>
      </c>
      <c r="Y4748">
        <v>0</v>
      </c>
      <c r="Z4748">
        <v>1</v>
      </c>
      <c r="AA4748">
        <v>697.47</v>
      </c>
      <c r="AB4748">
        <v>697.47</v>
      </c>
      <c r="AC4748">
        <v>613.70000000000005</v>
      </c>
      <c r="AD4748">
        <v>0</v>
      </c>
      <c r="AE4748">
        <v>83.77</v>
      </c>
      <c r="AF4748">
        <v>0</v>
      </c>
      <c r="AG4748">
        <v>0</v>
      </c>
      <c r="AH4748">
        <v>0</v>
      </c>
      <c r="AI4748">
        <v>0</v>
      </c>
      <c r="AJ4748">
        <v>697.47</v>
      </c>
      <c r="AK4748">
        <v>0</v>
      </c>
      <c r="AL4748" t="s">
        <v>53</v>
      </c>
      <c r="AM4748" t="s">
        <v>53</v>
      </c>
      <c r="AN4748" t="s">
        <v>53</v>
      </c>
      <c r="AO4748" t="s">
        <v>53</v>
      </c>
      <c r="AP4748" t="s">
        <v>53</v>
      </c>
    </row>
    <row r="4749" spans="2:42" x14ac:dyDescent="0.2">
      <c r="B4749" t="s">
        <v>44</v>
      </c>
      <c r="C4749" t="str">
        <f>HYPERLINK("https://us2.cloudbeds.com/connect/8493803454333002#/reservations/9080486846008370?display=29ET1WRSAN&amp;reservation_id=9080486846008370", "29ET1WRSAN")</f>
        <v>29ET1WRSAN</v>
      </c>
      <c r="D4749" t="s">
        <v>45</v>
      </c>
      <c r="E4749" t="s">
        <v>487</v>
      </c>
      <c r="F4749" t="s">
        <v>61</v>
      </c>
      <c r="G4749" t="s">
        <v>48</v>
      </c>
      <c r="H4749" t="s">
        <v>49</v>
      </c>
      <c r="I4749" t="s">
        <v>50</v>
      </c>
      <c r="J4749" t="s">
        <v>5967</v>
      </c>
      <c r="K4749" t="s">
        <v>5430</v>
      </c>
      <c r="L4749" t="s">
        <v>53</v>
      </c>
      <c r="N4749" t="s">
        <v>8321</v>
      </c>
      <c r="P4749" t="s">
        <v>55</v>
      </c>
      <c r="R4749" t="s">
        <v>53</v>
      </c>
      <c r="T4749" t="s">
        <v>8322</v>
      </c>
      <c r="U4749" t="s">
        <v>58</v>
      </c>
      <c r="V4749">
        <v>1</v>
      </c>
      <c r="W4749">
        <v>1</v>
      </c>
      <c r="X4749">
        <v>2</v>
      </c>
      <c r="Y4749">
        <v>0</v>
      </c>
      <c r="Z4749">
        <v>2</v>
      </c>
      <c r="AA4749">
        <v>148.31</v>
      </c>
      <c r="AB4749">
        <v>148.31</v>
      </c>
      <c r="AC4749">
        <v>130.5</v>
      </c>
      <c r="AD4749">
        <v>0</v>
      </c>
      <c r="AE4749">
        <v>17.809999999999999</v>
      </c>
      <c r="AF4749">
        <v>0</v>
      </c>
      <c r="AG4749">
        <v>0</v>
      </c>
      <c r="AH4749">
        <v>0</v>
      </c>
      <c r="AI4749">
        <v>26.7</v>
      </c>
      <c r="AJ4749">
        <v>148.31</v>
      </c>
      <c r="AK4749">
        <v>0</v>
      </c>
      <c r="AL4749" t="s">
        <v>53</v>
      </c>
      <c r="AM4749" t="s">
        <v>53</v>
      </c>
      <c r="AN4749" t="s">
        <v>53</v>
      </c>
      <c r="AO4749" t="s">
        <v>53</v>
      </c>
      <c r="AP4749" t="s">
        <v>53</v>
      </c>
    </row>
    <row r="4750" spans="2:42" x14ac:dyDescent="0.2">
      <c r="B4750" t="s">
        <v>44</v>
      </c>
      <c r="C4750" t="str">
        <f>HYPERLINK("https://us2.cloudbeds.com/connect/8493803454333002#/reservations/9080486846008845?display=29FBW0E3C9&amp;reservation_id=9080486846008845", "29FBW0E3C9")</f>
        <v>29FBW0E3C9</v>
      </c>
      <c r="D4750" t="s">
        <v>45</v>
      </c>
      <c r="E4750" t="s">
        <v>46</v>
      </c>
      <c r="F4750" t="s">
        <v>47</v>
      </c>
      <c r="G4750" t="s">
        <v>48</v>
      </c>
      <c r="H4750" t="s">
        <v>49</v>
      </c>
      <c r="I4750" t="s">
        <v>62</v>
      </c>
      <c r="J4750" t="s">
        <v>6274</v>
      </c>
      <c r="K4750" t="s">
        <v>6417</v>
      </c>
      <c r="L4750" t="s">
        <v>53</v>
      </c>
      <c r="N4750" t="s">
        <v>8323</v>
      </c>
      <c r="P4750" t="s">
        <v>55</v>
      </c>
      <c r="R4750" t="s">
        <v>56</v>
      </c>
      <c r="T4750" t="s">
        <v>8324</v>
      </c>
      <c r="U4750" t="s">
        <v>55</v>
      </c>
      <c r="V4750">
        <v>3</v>
      </c>
      <c r="W4750">
        <v>1</v>
      </c>
      <c r="X4750">
        <v>1</v>
      </c>
      <c r="Y4750">
        <v>0</v>
      </c>
      <c r="Z4750">
        <v>1</v>
      </c>
      <c r="AA4750">
        <v>432</v>
      </c>
      <c r="AB4750">
        <v>432</v>
      </c>
      <c r="AC4750">
        <v>432</v>
      </c>
      <c r="AD4750">
        <v>0</v>
      </c>
      <c r="AE4750">
        <v>0</v>
      </c>
      <c r="AF4750">
        <v>0</v>
      </c>
      <c r="AG4750">
        <v>0</v>
      </c>
      <c r="AH4750">
        <v>0</v>
      </c>
      <c r="AI4750">
        <v>77.760000000000005</v>
      </c>
      <c r="AJ4750">
        <v>432</v>
      </c>
      <c r="AK4750">
        <v>0</v>
      </c>
      <c r="AL4750" t="s">
        <v>53</v>
      </c>
      <c r="AM4750" t="s">
        <v>53</v>
      </c>
      <c r="AN4750" t="s">
        <v>53</v>
      </c>
      <c r="AO4750" t="s">
        <v>53</v>
      </c>
      <c r="AP4750" t="s">
        <v>53</v>
      </c>
    </row>
    <row r="4751" spans="2:42" x14ac:dyDescent="0.2">
      <c r="B4751" t="s">
        <v>44</v>
      </c>
      <c r="C4751" t="str">
        <f>HYPERLINK("https://us2.cloudbeds.com/connect/8493803454333002#/reservations/9080486846009033?display=29FX0ZWXF1&amp;reservation_id=9080486846009033", "29FX0ZWXF1")</f>
        <v>29FX0ZWXF1</v>
      </c>
      <c r="D4751" t="s">
        <v>45</v>
      </c>
      <c r="E4751" t="s">
        <v>223</v>
      </c>
      <c r="F4751" t="s">
        <v>47</v>
      </c>
      <c r="G4751" t="s">
        <v>48</v>
      </c>
      <c r="H4751" t="s">
        <v>49</v>
      </c>
      <c r="I4751" t="s">
        <v>62</v>
      </c>
      <c r="J4751" t="s">
        <v>5431</v>
      </c>
      <c r="K4751" t="s">
        <v>6335</v>
      </c>
      <c r="L4751" t="s">
        <v>53</v>
      </c>
      <c r="N4751" t="s">
        <v>8325</v>
      </c>
      <c r="P4751" t="s">
        <v>55</v>
      </c>
      <c r="R4751" t="s">
        <v>56</v>
      </c>
      <c r="T4751" t="s">
        <v>8326</v>
      </c>
      <c r="U4751" t="s">
        <v>55</v>
      </c>
      <c r="V4751">
        <v>1</v>
      </c>
      <c r="W4751">
        <v>1</v>
      </c>
      <c r="X4751">
        <v>2</v>
      </c>
      <c r="Y4751">
        <v>0</v>
      </c>
      <c r="Z4751">
        <v>2</v>
      </c>
      <c r="AA4751">
        <v>144</v>
      </c>
      <c r="AB4751">
        <v>144</v>
      </c>
      <c r="AC4751">
        <v>144</v>
      </c>
      <c r="AD4751">
        <v>0</v>
      </c>
      <c r="AE4751">
        <v>0</v>
      </c>
      <c r="AF4751">
        <v>0</v>
      </c>
      <c r="AG4751">
        <v>0</v>
      </c>
      <c r="AH4751">
        <v>0</v>
      </c>
      <c r="AI4751">
        <v>25.92</v>
      </c>
      <c r="AJ4751">
        <v>144</v>
      </c>
      <c r="AK4751">
        <v>0</v>
      </c>
      <c r="AL4751" t="s">
        <v>53</v>
      </c>
      <c r="AM4751" t="s">
        <v>53</v>
      </c>
      <c r="AN4751" t="s">
        <v>53</v>
      </c>
      <c r="AO4751" t="s">
        <v>53</v>
      </c>
      <c r="AP4751" t="s">
        <v>53</v>
      </c>
    </row>
    <row r="4752" spans="2:42" x14ac:dyDescent="0.2">
      <c r="B4752" t="s">
        <v>44</v>
      </c>
      <c r="C4752" t="str">
        <f>HYPERLINK("https://us2.cloudbeds.com/connect/8493803454333002#/reservations/9080486846009401?display=29G015ZYF9&amp;reservation_id=9080486846009401", "29G015ZYF9")</f>
        <v>29G015ZYF9</v>
      </c>
      <c r="D4752" t="s">
        <v>45</v>
      </c>
      <c r="E4752" t="s">
        <v>128</v>
      </c>
      <c r="F4752" t="s">
        <v>86</v>
      </c>
      <c r="G4752" t="s">
        <v>48</v>
      </c>
      <c r="H4752" t="s">
        <v>49</v>
      </c>
      <c r="I4752" t="s">
        <v>50</v>
      </c>
      <c r="J4752" t="s">
        <v>8319</v>
      </c>
      <c r="K4752" t="s">
        <v>7623</v>
      </c>
      <c r="L4752" t="s">
        <v>53</v>
      </c>
      <c r="N4752" t="s">
        <v>8327</v>
      </c>
      <c r="P4752" t="s">
        <v>55</v>
      </c>
      <c r="R4752" t="s">
        <v>53</v>
      </c>
      <c r="T4752" t="s">
        <v>8328</v>
      </c>
      <c r="U4752" t="s">
        <v>58</v>
      </c>
      <c r="V4752">
        <v>3</v>
      </c>
      <c r="W4752">
        <v>1</v>
      </c>
      <c r="X4752">
        <v>3</v>
      </c>
      <c r="Y4752">
        <v>0</v>
      </c>
      <c r="Z4752">
        <v>3</v>
      </c>
      <c r="AA4752">
        <v>595.29999999999995</v>
      </c>
      <c r="AB4752">
        <v>606.69000000000005</v>
      </c>
      <c r="AC4752">
        <v>523.79999999999995</v>
      </c>
      <c r="AD4752">
        <v>10.5</v>
      </c>
      <c r="AE4752">
        <v>72.39</v>
      </c>
      <c r="AF4752">
        <v>0</v>
      </c>
      <c r="AG4752">
        <v>0</v>
      </c>
      <c r="AH4752">
        <v>0</v>
      </c>
      <c r="AI4752">
        <v>109.2</v>
      </c>
      <c r="AJ4752">
        <v>606.69000000000005</v>
      </c>
      <c r="AK4752">
        <v>0</v>
      </c>
      <c r="AL4752" t="s">
        <v>53</v>
      </c>
      <c r="AM4752" t="s">
        <v>53</v>
      </c>
      <c r="AN4752" t="s">
        <v>53</v>
      </c>
      <c r="AO4752" t="s">
        <v>53</v>
      </c>
      <c r="AP4752" t="s">
        <v>53</v>
      </c>
    </row>
    <row r="4753" spans="2:42" x14ac:dyDescent="0.2">
      <c r="B4753" t="s">
        <v>44</v>
      </c>
      <c r="C4753" t="str">
        <f>HYPERLINK("https://us2.cloudbeds.com/connect/8493803454333002#/reservations/9080486846009757?display=29GHZY2NGZ&amp;reservation_id=9080486846009757", "29GHZY2NGZ")</f>
        <v>29GHZY2NGZ</v>
      </c>
      <c r="D4753" t="s">
        <v>45</v>
      </c>
      <c r="E4753" t="s">
        <v>121</v>
      </c>
      <c r="F4753" t="s">
        <v>86</v>
      </c>
      <c r="G4753" t="s">
        <v>48</v>
      </c>
      <c r="H4753" t="s">
        <v>49</v>
      </c>
      <c r="I4753" t="s">
        <v>50</v>
      </c>
      <c r="J4753" t="s">
        <v>4768</v>
      </c>
      <c r="K4753" t="s">
        <v>6586</v>
      </c>
      <c r="L4753" t="s">
        <v>53</v>
      </c>
      <c r="N4753" t="s">
        <v>8329</v>
      </c>
      <c r="P4753" t="s">
        <v>55</v>
      </c>
      <c r="R4753" t="s">
        <v>53</v>
      </c>
      <c r="T4753" t="s">
        <v>8330</v>
      </c>
      <c r="U4753" t="s">
        <v>58</v>
      </c>
      <c r="V4753">
        <v>1</v>
      </c>
      <c r="W4753">
        <v>1</v>
      </c>
      <c r="X4753">
        <v>2</v>
      </c>
      <c r="Y4753">
        <v>0</v>
      </c>
      <c r="Z4753">
        <v>2</v>
      </c>
      <c r="AA4753">
        <v>140.13999999999999</v>
      </c>
      <c r="AB4753">
        <v>144.47999999999999</v>
      </c>
      <c r="AC4753">
        <v>123.3</v>
      </c>
      <c r="AD4753">
        <v>4</v>
      </c>
      <c r="AE4753">
        <v>17.18</v>
      </c>
      <c r="AF4753">
        <v>0</v>
      </c>
      <c r="AG4753">
        <v>0</v>
      </c>
      <c r="AH4753">
        <v>0</v>
      </c>
      <c r="AI4753">
        <v>26.01</v>
      </c>
      <c r="AJ4753">
        <v>144.47999999999999</v>
      </c>
      <c r="AK4753">
        <v>0</v>
      </c>
      <c r="AL4753" t="s">
        <v>53</v>
      </c>
      <c r="AM4753" t="s">
        <v>53</v>
      </c>
      <c r="AN4753" t="s">
        <v>53</v>
      </c>
      <c r="AO4753" t="s">
        <v>53</v>
      </c>
      <c r="AP4753" t="s">
        <v>53</v>
      </c>
    </row>
    <row r="4754" spans="2:42" x14ac:dyDescent="0.2">
      <c r="B4754" t="s">
        <v>44</v>
      </c>
      <c r="C4754" t="str">
        <f>HYPERLINK("https://us2.cloudbeds.com/connect/8493803454333002#/reservations/9080486846010144?display=29H97N03MH&amp;reservation_id=9080486846010144", "29H97N03MH")</f>
        <v>29H97N03MH</v>
      </c>
      <c r="D4754" t="s">
        <v>45</v>
      </c>
      <c r="E4754" t="s">
        <v>128</v>
      </c>
      <c r="F4754" t="s">
        <v>86</v>
      </c>
      <c r="G4754" t="s">
        <v>48</v>
      </c>
      <c r="H4754" t="s">
        <v>49</v>
      </c>
      <c r="I4754" t="s">
        <v>50</v>
      </c>
      <c r="J4754" t="s">
        <v>7352</v>
      </c>
      <c r="K4754" t="s">
        <v>7510</v>
      </c>
      <c r="L4754" t="s">
        <v>53</v>
      </c>
      <c r="N4754" t="s">
        <v>8331</v>
      </c>
      <c r="P4754" t="s">
        <v>55</v>
      </c>
      <c r="R4754" t="s">
        <v>53</v>
      </c>
      <c r="T4754" t="s">
        <v>8332</v>
      </c>
      <c r="U4754" t="s">
        <v>58</v>
      </c>
      <c r="V4754">
        <v>1</v>
      </c>
      <c r="W4754">
        <v>1</v>
      </c>
      <c r="X4754">
        <v>2</v>
      </c>
      <c r="Y4754">
        <v>1</v>
      </c>
      <c r="Z4754">
        <v>3</v>
      </c>
      <c r="AA4754">
        <v>199.45</v>
      </c>
      <c r="AB4754">
        <v>199.45</v>
      </c>
      <c r="AC4754">
        <v>175.5</v>
      </c>
      <c r="AD4754">
        <v>0</v>
      </c>
      <c r="AE4754">
        <v>23.95</v>
      </c>
      <c r="AF4754">
        <v>0</v>
      </c>
      <c r="AG4754">
        <v>0</v>
      </c>
      <c r="AH4754">
        <v>0</v>
      </c>
      <c r="AI4754">
        <v>35.9</v>
      </c>
      <c r="AJ4754">
        <v>199.45</v>
      </c>
      <c r="AK4754">
        <v>0</v>
      </c>
      <c r="AL4754" t="s">
        <v>53</v>
      </c>
      <c r="AM4754" t="s">
        <v>53</v>
      </c>
      <c r="AN4754" t="s">
        <v>53</v>
      </c>
      <c r="AO4754" t="s">
        <v>53</v>
      </c>
      <c r="AP4754" t="s">
        <v>53</v>
      </c>
    </row>
    <row r="4755" spans="2:42" x14ac:dyDescent="0.2">
      <c r="B4755" t="s">
        <v>44</v>
      </c>
      <c r="C4755" t="str">
        <f>HYPERLINK("https://us2.cloudbeds.com/connect/8493803454333002#/reservations/9080486846010145?display=29H97ZBQ37&amp;reservation_id=9080486846010145", "29H97ZBQ37")</f>
        <v>29H97ZBQ37</v>
      </c>
      <c r="D4755" t="s">
        <v>45</v>
      </c>
      <c r="E4755" t="s">
        <v>85</v>
      </c>
      <c r="F4755" t="s">
        <v>86</v>
      </c>
      <c r="G4755" t="s">
        <v>48</v>
      </c>
      <c r="H4755" t="s">
        <v>49</v>
      </c>
      <c r="I4755" t="s">
        <v>50</v>
      </c>
      <c r="J4755" t="s">
        <v>7352</v>
      </c>
      <c r="K4755" t="s">
        <v>7510</v>
      </c>
      <c r="L4755" t="s">
        <v>53</v>
      </c>
      <c r="N4755" t="s">
        <v>8333</v>
      </c>
      <c r="P4755" t="s">
        <v>55</v>
      </c>
      <c r="R4755" t="s">
        <v>53</v>
      </c>
      <c r="T4755" t="s">
        <v>8334</v>
      </c>
      <c r="U4755" t="s">
        <v>58</v>
      </c>
      <c r="V4755">
        <v>1</v>
      </c>
      <c r="W4755">
        <v>1</v>
      </c>
      <c r="X4755">
        <v>2</v>
      </c>
      <c r="Y4755">
        <v>0</v>
      </c>
      <c r="Z4755">
        <v>2</v>
      </c>
      <c r="AA4755">
        <v>199.45</v>
      </c>
      <c r="AB4755">
        <v>199.45</v>
      </c>
      <c r="AC4755">
        <v>175.5</v>
      </c>
      <c r="AD4755">
        <v>0</v>
      </c>
      <c r="AE4755">
        <v>23.95</v>
      </c>
      <c r="AF4755">
        <v>0</v>
      </c>
      <c r="AG4755">
        <v>0</v>
      </c>
      <c r="AH4755">
        <v>0</v>
      </c>
      <c r="AI4755">
        <v>35.9</v>
      </c>
      <c r="AJ4755">
        <v>199.45</v>
      </c>
      <c r="AK4755">
        <v>0</v>
      </c>
      <c r="AL4755" t="s">
        <v>53</v>
      </c>
      <c r="AM4755" t="s">
        <v>53</v>
      </c>
      <c r="AN4755" t="s">
        <v>53</v>
      </c>
      <c r="AO4755" t="s">
        <v>53</v>
      </c>
      <c r="AP4755" t="s">
        <v>53</v>
      </c>
    </row>
    <row r="4756" spans="2:42" x14ac:dyDescent="0.2">
      <c r="B4756" t="s">
        <v>44</v>
      </c>
      <c r="C4756" t="str">
        <f>HYPERLINK("https://us2.cloudbeds.com/connect/8493803454333002#/reservations/9080486846010240?display=29HEJ2WQ1K&amp;reservation_id=9080486846010240", "29HEJ2WQ1K")</f>
        <v>29HEJ2WQ1K</v>
      </c>
      <c r="D4756" t="s">
        <v>45</v>
      </c>
      <c r="E4756" t="s">
        <v>213</v>
      </c>
      <c r="F4756" t="s">
        <v>86</v>
      </c>
      <c r="G4756" t="s">
        <v>48</v>
      </c>
      <c r="H4756" t="s">
        <v>49</v>
      </c>
      <c r="I4756" t="s">
        <v>50</v>
      </c>
      <c r="J4756" t="s">
        <v>7352</v>
      </c>
      <c r="K4756" t="s">
        <v>7510</v>
      </c>
      <c r="L4756" t="s">
        <v>53</v>
      </c>
      <c r="N4756" t="s">
        <v>8335</v>
      </c>
      <c r="P4756" t="s">
        <v>55</v>
      </c>
      <c r="R4756" t="s">
        <v>53</v>
      </c>
      <c r="T4756" t="s">
        <v>8336</v>
      </c>
      <c r="U4756" t="s">
        <v>58</v>
      </c>
      <c r="V4756">
        <v>1</v>
      </c>
      <c r="W4756">
        <v>1</v>
      </c>
      <c r="X4756">
        <v>2</v>
      </c>
      <c r="Y4756">
        <v>1</v>
      </c>
      <c r="Z4756">
        <v>3</v>
      </c>
      <c r="AA4756">
        <v>189.47</v>
      </c>
      <c r="AB4756">
        <v>189.47</v>
      </c>
      <c r="AC4756">
        <v>166.72</v>
      </c>
      <c r="AD4756">
        <v>0</v>
      </c>
      <c r="AE4756">
        <v>22.75</v>
      </c>
      <c r="AF4756">
        <v>0</v>
      </c>
      <c r="AG4756">
        <v>0</v>
      </c>
      <c r="AH4756">
        <v>0</v>
      </c>
      <c r="AI4756">
        <v>34.1</v>
      </c>
      <c r="AJ4756">
        <v>189.47</v>
      </c>
      <c r="AK4756">
        <v>0</v>
      </c>
      <c r="AL4756" t="s">
        <v>53</v>
      </c>
      <c r="AM4756" t="s">
        <v>53</v>
      </c>
      <c r="AN4756" t="s">
        <v>53</v>
      </c>
      <c r="AO4756" t="s">
        <v>53</v>
      </c>
      <c r="AP4756" t="s">
        <v>53</v>
      </c>
    </row>
    <row r="4757" spans="2:42" x14ac:dyDescent="0.2">
      <c r="B4757" t="s">
        <v>44</v>
      </c>
      <c r="C4757" t="str">
        <f>HYPERLINK("https://us2.cloudbeds.com/connect/8493803454333002#/reservations/106228560548025?display=29HX3V1XJ2&amp;reservation_id=106228560548025", "29HX3V1XJ2")</f>
        <v>29HX3V1XJ2</v>
      </c>
      <c r="D4757" t="s">
        <v>45</v>
      </c>
      <c r="E4757" t="s">
        <v>155</v>
      </c>
      <c r="F4757" t="s">
        <v>86</v>
      </c>
      <c r="G4757" t="s">
        <v>3974</v>
      </c>
      <c r="H4757" t="s">
        <v>3957</v>
      </c>
      <c r="I4757" t="s">
        <v>3975</v>
      </c>
      <c r="J4757" t="s">
        <v>7352</v>
      </c>
      <c r="K4757" t="s">
        <v>7510</v>
      </c>
      <c r="L4757" t="s">
        <v>53</v>
      </c>
      <c r="P4757" t="s">
        <v>55</v>
      </c>
      <c r="R4757" t="s">
        <v>53</v>
      </c>
      <c r="T4757" t="s">
        <v>8337</v>
      </c>
      <c r="U4757" t="s">
        <v>58</v>
      </c>
      <c r="V4757">
        <v>1</v>
      </c>
      <c r="W4757">
        <v>1</v>
      </c>
      <c r="X4757">
        <v>2</v>
      </c>
      <c r="Y4757">
        <v>2</v>
      </c>
      <c r="Z4757">
        <v>4</v>
      </c>
      <c r="AA4757">
        <v>210.54</v>
      </c>
      <c r="AB4757">
        <v>210.54</v>
      </c>
      <c r="AC4757">
        <v>185.25</v>
      </c>
      <c r="AD4757">
        <v>0</v>
      </c>
      <c r="AE4757">
        <v>25.29</v>
      </c>
      <c r="AF4757">
        <v>0</v>
      </c>
      <c r="AG4757">
        <v>0</v>
      </c>
      <c r="AH4757">
        <v>0</v>
      </c>
      <c r="AI4757">
        <v>0</v>
      </c>
      <c r="AJ4757">
        <v>210.54</v>
      </c>
      <c r="AK4757">
        <v>0</v>
      </c>
      <c r="AL4757" t="s">
        <v>53</v>
      </c>
      <c r="AM4757" t="s">
        <v>53</v>
      </c>
      <c r="AN4757" t="s">
        <v>53</v>
      </c>
      <c r="AO4757" t="s">
        <v>53</v>
      </c>
      <c r="AP4757" t="s">
        <v>53</v>
      </c>
    </row>
    <row r="4758" spans="2:42" x14ac:dyDescent="0.2">
      <c r="B4758" t="s">
        <v>44</v>
      </c>
      <c r="C4758" t="str">
        <f>HYPERLINK("https://us2.cloudbeds.com/connect/8493803454333002#/reservations/9080486846010358?display=29HYCS6GKT&amp;reservation_id=9080486846010358", "29HYCS6GKT")</f>
        <v>29HYCS6GKT</v>
      </c>
      <c r="D4758" t="s">
        <v>45</v>
      </c>
      <c r="E4758" t="s">
        <v>179</v>
      </c>
      <c r="F4758" t="s">
        <v>47</v>
      </c>
      <c r="G4758" t="s">
        <v>48</v>
      </c>
      <c r="H4758" t="s">
        <v>49</v>
      </c>
      <c r="I4758" t="s">
        <v>50</v>
      </c>
      <c r="J4758" t="s">
        <v>5430</v>
      </c>
      <c r="K4758" t="s">
        <v>5431</v>
      </c>
      <c r="L4758" t="s">
        <v>53</v>
      </c>
      <c r="N4758" t="s">
        <v>8338</v>
      </c>
      <c r="P4758" t="s">
        <v>55</v>
      </c>
      <c r="R4758" t="s">
        <v>53</v>
      </c>
      <c r="T4758" t="s">
        <v>8339</v>
      </c>
      <c r="U4758" t="s">
        <v>58</v>
      </c>
      <c r="V4758">
        <v>1</v>
      </c>
      <c r="W4758">
        <v>1</v>
      </c>
      <c r="X4758">
        <v>2</v>
      </c>
      <c r="Y4758">
        <v>0</v>
      </c>
      <c r="Z4758">
        <v>2</v>
      </c>
      <c r="AA4758">
        <v>149.34</v>
      </c>
      <c r="AB4758">
        <v>149.34</v>
      </c>
      <c r="AC4758">
        <v>131.4</v>
      </c>
      <c r="AD4758">
        <v>0</v>
      </c>
      <c r="AE4758">
        <v>17.940000000000001</v>
      </c>
      <c r="AF4758">
        <v>0</v>
      </c>
      <c r="AG4758">
        <v>0</v>
      </c>
      <c r="AH4758">
        <v>0</v>
      </c>
      <c r="AI4758">
        <v>26.88</v>
      </c>
      <c r="AJ4758">
        <v>149.34</v>
      </c>
      <c r="AK4758">
        <v>0</v>
      </c>
      <c r="AL4758" t="s">
        <v>53</v>
      </c>
      <c r="AM4758" t="s">
        <v>53</v>
      </c>
      <c r="AN4758" t="s">
        <v>53</v>
      </c>
      <c r="AO4758" t="s">
        <v>53</v>
      </c>
      <c r="AP4758" t="s">
        <v>53</v>
      </c>
    </row>
    <row r="4759" spans="2:42" x14ac:dyDescent="0.2">
      <c r="B4759" t="s">
        <v>44</v>
      </c>
      <c r="C4759" t="str">
        <f>HYPERLINK("https://us2.cloudbeds.com/connect/8493803454333002#/reservations/9080486846010384?display=29HMH64JG7&amp;reservation_id=9080486846010384", "29HMH64JG7")</f>
        <v>29HMH64JG7</v>
      </c>
      <c r="D4759" t="s">
        <v>45</v>
      </c>
      <c r="E4759" t="s">
        <v>406</v>
      </c>
      <c r="F4759" t="s">
        <v>61</v>
      </c>
      <c r="G4759" t="s">
        <v>48</v>
      </c>
      <c r="H4759" t="s">
        <v>49</v>
      </c>
      <c r="I4759" t="s">
        <v>50</v>
      </c>
      <c r="J4759" t="s">
        <v>6586</v>
      </c>
      <c r="K4759" t="s">
        <v>5967</v>
      </c>
      <c r="L4759" t="s">
        <v>53</v>
      </c>
      <c r="N4759" t="s">
        <v>8340</v>
      </c>
      <c r="P4759" t="s">
        <v>55</v>
      </c>
      <c r="R4759" t="s">
        <v>53</v>
      </c>
      <c r="T4759" t="s">
        <v>8341</v>
      </c>
      <c r="U4759" t="s">
        <v>58</v>
      </c>
      <c r="V4759">
        <v>1</v>
      </c>
      <c r="W4759">
        <v>1</v>
      </c>
      <c r="X4759">
        <v>2</v>
      </c>
      <c r="Y4759">
        <v>0</v>
      </c>
      <c r="Z4759">
        <v>2</v>
      </c>
      <c r="AA4759">
        <v>105.47</v>
      </c>
      <c r="AB4759">
        <v>105.47</v>
      </c>
      <c r="AC4759">
        <v>92.8</v>
      </c>
      <c r="AD4759">
        <v>0</v>
      </c>
      <c r="AE4759">
        <v>12.67</v>
      </c>
      <c r="AF4759">
        <v>0</v>
      </c>
      <c r="AG4759">
        <v>0</v>
      </c>
      <c r="AH4759">
        <v>0</v>
      </c>
      <c r="AI4759">
        <v>18.98</v>
      </c>
      <c r="AJ4759">
        <v>105.47</v>
      </c>
      <c r="AK4759">
        <v>0</v>
      </c>
      <c r="AL4759" t="s">
        <v>53</v>
      </c>
      <c r="AM4759" t="s">
        <v>53</v>
      </c>
      <c r="AN4759" t="s">
        <v>53</v>
      </c>
      <c r="AO4759" t="s">
        <v>53</v>
      </c>
      <c r="AP4759" t="s">
        <v>53</v>
      </c>
    </row>
    <row r="4760" spans="2:42" x14ac:dyDescent="0.2">
      <c r="B4760" t="s">
        <v>44</v>
      </c>
      <c r="C4760" t="str">
        <f>HYPERLINK("https://us2.cloudbeds.com/connect/8493803454333002#/reservations/9080486846010389?display=29HNG2WK6K&amp;reservation_id=9080486846010389", "29HNG2WK6K")</f>
        <v>29HNG2WK6K</v>
      </c>
      <c r="D4760" t="s">
        <v>45</v>
      </c>
      <c r="E4760" t="s">
        <v>265</v>
      </c>
      <c r="F4760" t="s">
        <v>61</v>
      </c>
      <c r="G4760" t="s">
        <v>48</v>
      </c>
      <c r="H4760" t="s">
        <v>49</v>
      </c>
      <c r="I4760" t="s">
        <v>62</v>
      </c>
      <c r="J4760" t="s">
        <v>4767</v>
      </c>
      <c r="K4760" t="s">
        <v>4768</v>
      </c>
      <c r="L4760" t="s">
        <v>53</v>
      </c>
      <c r="N4760" t="s">
        <v>8342</v>
      </c>
      <c r="P4760" t="s">
        <v>55</v>
      </c>
      <c r="R4760" t="s">
        <v>8343</v>
      </c>
      <c r="T4760" t="s">
        <v>8344</v>
      </c>
      <c r="U4760" t="s">
        <v>55</v>
      </c>
      <c r="V4760">
        <v>1</v>
      </c>
      <c r="W4760">
        <v>1</v>
      </c>
      <c r="X4760">
        <v>2</v>
      </c>
      <c r="Y4760">
        <v>0</v>
      </c>
      <c r="Z4760">
        <v>2</v>
      </c>
      <c r="AA4760">
        <v>138</v>
      </c>
      <c r="AB4760">
        <v>138</v>
      </c>
      <c r="AC4760">
        <v>138</v>
      </c>
      <c r="AD4760">
        <v>0</v>
      </c>
      <c r="AE4760">
        <v>0</v>
      </c>
      <c r="AF4760">
        <v>0</v>
      </c>
      <c r="AG4760">
        <v>0</v>
      </c>
      <c r="AH4760">
        <v>0</v>
      </c>
      <c r="AI4760">
        <v>24.84</v>
      </c>
      <c r="AJ4760">
        <v>138</v>
      </c>
      <c r="AK4760">
        <v>0</v>
      </c>
      <c r="AL4760" t="s">
        <v>53</v>
      </c>
      <c r="AM4760" t="s">
        <v>53</v>
      </c>
      <c r="AN4760" t="s">
        <v>53</v>
      </c>
      <c r="AO4760" t="s">
        <v>53</v>
      </c>
      <c r="AP4760" t="s">
        <v>53</v>
      </c>
    </row>
    <row r="4761" spans="2:42" x14ac:dyDescent="0.2">
      <c r="B4761" t="s">
        <v>44</v>
      </c>
      <c r="C4761" t="str">
        <f>HYPERLINK("https://us2.cloudbeds.com/connect/8493803454333002#/reservations/9080486846010551?display=29HWKRTFBA&amp;reservation_id=9080486846010551", "29HWKRTFBA")</f>
        <v>29HWKRTFBA</v>
      </c>
      <c r="D4761" t="s">
        <v>45</v>
      </c>
      <c r="E4761" t="s">
        <v>98</v>
      </c>
      <c r="F4761" t="s">
        <v>86</v>
      </c>
      <c r="G4761" t="s">
        <v>48</v>
      </c>
      <c r="H4761" t="s">
        <v>49</v>
      </c>
      <c r="I4761" t="s">
        <v>62</v>
      </c>
      <c r="J4761" t="s">
        <v>7352</v>
      </c>
      <c r="K4761" t="s">
        <v>7510</v>
      </c>
      <c r="L4761" t="s">
        <v>53</v>
      </c>
      <c r="N4761" t="s">
        <v>8345</v>
      </c>
      <c r="P4761" t="s">
        <v>55</v>
      </c>
      <c r="R4761" t="s">
        <v>56</v>
      </c>
      <c r="T4761" t="s">
        <v>8346</v>
      </c>
      <c r="U4761" t="s">
        <v>55</v>
      </c>
      <c r="V4761">
        <v>1</v>
      </c>
      <c r="W4761">
        <v>1</v>
      </c>
      <c r="X4761">
        <v>2</v>
      </c>
      <c r="Y4761">
        <v>0</v>
      </c>
      <c r="Z4761">
        <v>2</v>
      </c>
      <c r="AA4761">
        <v>195</v>
      </c>
      <c r="AB4761">
        <v>195</v>
      </c>
      <c r="AC4761">
        <v>195</v>
      </c>
      <c r="AD4761">
        <v>0</v>
      </c>
      <c r="AE4761">
        <v>0</v>
      </c>
      <c r="AF4761">
        <v>0</v>
      </c>
      <c r="AG4761">
        <v>0</v>
      </c>
      <c r="AH4761">
        <v>0</v>
      </c>
      <c r="AI4761">
        <v>35.1</v>
      </c>
      <c r="AJ4761">
        <v>195</v>
      </c>
      <c r="AK4761">
        <v>0</v>
      </c>
      <c r="AL4761" t="s">
        <v>53</v>
      </c>
      <c r="AM4761" t="s">
        <v>53</v>
      </c>
      <c r="AN4761" t="s">
        <v>53</v>
      </c>
      <c r="AO4761" t="s">
        <v>53</v>
      </c>
      <c r="AP4761" t="s">
        <v>53</v>
      </c>
    </row>
    <row r="4762" spans="2:42" x14ac:dyDescent="0.2">
      <c r="B4762" t="s">
        <v>44</v>
      </c>
      <c r="C4762" t="str">
        <f>HYPERLINK("https://us2.cloudbeds.com/connect/8493803454333002#/reservations/106395169603790?display=29YF4674JM&amp;reservation_id=106395169603790", "29YF4674JM")</f>
        <v>29YF4674JM</v>
      </c>
      <c r="D4762" t="s">
        <v>45</v>
      </c>
      <c r="E4762" t="s">
        <v>98</v>
      </c>
      <c r="F4762" t="s">
        <v>86</v>
      </c>
      <c r="G4762" t="s">
        <v>48</v>
      </c>
      <c r="H4762" t="s">
        <v>3957</v>
      </c>
      <c r="I4762" t="s">
        <v>3989</v>
      </c>
      <c r="J4762" t="s">
        <v>6922</v>
      </c>
      <c r="K4762" t="s">
        <v>4442</v>
      </c>
      <c r="L4762" t="s">
        <v>53</v>
      </c>
      <c r="P4762" t="s">
        <v>55</v>
      </c>
      <c r="R4762" t="s">
        <v>56</v>
      </c>
      <c r="T4762" t="s">
        <v>8347</v>
      </c>
      <c r="U4762" t="s">
        <v>58</v>
      </c>
      <c r="V4762">
        <v>1</v>
      </c>
      <c r="W4762">
        <v>1</v>
      </c>
      <c r="X4762">
        <v>1</v>
      </c>
      <c r="Y4762">
        <v>0</v>
      </c>
      <c r="Z4762">
        <v>1</v>
      </c>
      <c r="AA4762">
        <v>173.89</v>
      </c>
      <c r="AB4762">
        <v>173.89</v>
      </c>
      <c r="AC4762">
        <v>153</v>
      </c>
      <c r="AD4762">
        <v>0</v>
      </c>
      <c r="AE4762">
        <v>20.89</v>
      </c>
      <c r="AF4762">
        <v>0</v>
      </c>
      <c r="AG4762">
        <v>0</v>
      </c>
      <c r="AH4762">
        <v>0</v>
      </c>
      <c r="AI4762">
        <v>0</v>
      </c>
      <c r="AJ4762">
        <v>173.89</v>
      </c>
      <c r="AK4762">
        <v>0</v>
      </c>
      <c r="AL4762" t="s">
        <v>53</v>
      </c>
      <c r="AM4762" t="s">
        <v>53</v>
      </c>
      <c r="AN4762" t="s">
        <v>53</v>
      </c>
      <c r="AO4762" t="s">
        <v>53</v>
      </c>
      <c r="AP4762" t="s">
        <v>53</v>
      </c>
    </row>
    <row r="4763" spans="2:42" x14ac:dyDescent="0.2">
      <c r="B4763" t="s">
        <v>44</v>
      </c>
      <c r="C4763" t="str">
        <f>HYPERLINK("https://us2.cloudbeds.com/connect/8493803454333002#/reservations/106424239046833?display=29M4KWB813&amp;reservation_id=106424239046833", "29M4KWB813")</f>
        <v>29M4KWB813</v>
      </c>
      <c r="D4763" t="s">
        <v>45</v>
      </c>
      <c r="E4763" t="s">
        <v>46</v>
      </c>
      <c r="F4763" t="s">
        <v>47</v>
      </c>
      <c r="G4763" t="s">
        <v>48</v>
      </c>
      <c r="H4763" t="s">
        <v>3957</v>
      </c>
      <c r="I4763" t="s">
        <v>3975</v>
      </c>
      <c r="J4763" t="s">
        <v>5431</v>
      </c>
      <c r="K4763" t="s">
        <v>6921</v>
      </c>
      <c r="L4763" t="s">
        <v>53</v>
      </c>
      <c r="P4763" t="s">
        <v>55</v>
      </c>
      <c r="R4763" t="s">
        <v>53</v>
      </c>
      <c r="T4763" t="s">
        <v>8348</v>
      </c>
      <c r="U4763" t="s">
        <v>58</v>
      </c>
      <c r="V4763">
        <v>2</v>
      </c>
      <c r="W4763">
        <v>1</v>
      </c>
      <c r="X4763">
        <v>2</v>
      </c>
      <c r="Y4763">
        <v>0</v>
      </c>
      <c r="Z4763">
        <v>2</v>
      </c>
      <c r="AA4763">
        <v>318.23</v>
      </c>
      <c r="AB4763">
        <v>318.23</v>
      </c>
      <c r="AC4763">
        <v>280</v>
      </c>
      <c r="AD4763">
        <v>0</v>
      </c>
      <c r="AE4763">
        <v>38.229999999999997</v>
      </c>
      <c r="AF4763">
        <v>0</v>
      </c>
      <c r="AG4763">
        <v>0</v>
      </c>
      <c r="AH4763">
        <v>0</v>
      </c>
      <c r="AI4763">
        <v>0</v>
      </c>
      <c r="AJ4763">
        <v>318.23</v>
      </c>
      <c r="AK4763">
        <v>0</v>
      </c>
      <c r="AL4763" t="s">
        <v>53</v>
      </c>
      <c r="AM4763" t="s">
        <v>53</v>
      </c>
      <c r="AN4763" t="s">
        <v>53</v>
      </c>
      <c r="AO4763" t="s">
        <v>53</v>
      </c>
      <c r="AP4763" t="s">
        <v>53</v>
      </c>
    </row>
    <row r="4764" spans="2:42" x14ac:dyDescent="0.2">
      <c r="B4764" t="s">
        <v>44</v>
      </c>
      <c r="C4764" t="str">
        <f>HYPERLINK("https://us2.cloudbeds.com/connect/8493803454333002#/reservations/9080486846013268?display=29M7CXAV5F&amp;reservation_id=9080486846013268", "29M7CXAV5F")</f>
        <v>29M7CXAV5F</v>
      </c>
      <c r="D4764" t="s">
        <v>45</v>
      </c>
      <c r="E4764" t="s">
        <v>138</v>
      </c>
      <c r="F4764" t="s">
        <v>70</v>
      </c>
      <c r="G4764" t="s">
        <v>48</v>
      </c>
      <c r="H4764" t="s">
        <v>49</v>
      </c>
      <c r="I4764" t="s">
        <v>50</v>
      </c>
      <c r="J4764" t="s">
        <v>4768</v>
      </c>
      <c r="K4764" t="s">
        <v>6586</v>
      </c>
      <c r="L4764" t="s">
        <v>53</v>
      </c>
      <c r="N4764" t="s">
        <v>8349</v>
      </c>
      <c r="P4764" t="s">
        <v>55</v>
      </c>
      <c r="R4764" t="s">
        <v>53</v>
      </c>
      <c r="T4764" t="s">
        <v>8350</v>
      </c>
      <c r="U4764" t="s">
        <v>58</v>
      </c>
      <c r="V4764">
        <v>1</v>
      </c>
      <c r="W4764">
        <v>1</v>
      </c>
      <c r="X4764">
        <v>1</v>
      </c>
      <c r="Y4764">
        <v>0</v>
      </c>
      <c r="Z4764">
        <v>1</v>
      </c>
      <c r="AA4764">
        <v>102.74</v>
      </c>
      <c r="AB4764">
        <v>102.74</v>
      </c>
      <c r="AC4764">
        <v>90.4</v>
      </c>
      <c r="AD4764">
        <v>0</v>
      </c>
      <c r="AE4764">
        <v>12.34</v>
      </c>
      <c r="AF4764">
        <v>0</v>
      </c>
      <c r="AG4764">
        <v>0</v>
      </c>
      <c r="AH4764">
        <v>0</v>
      </c>
      <c r="AI4764">
        <v>18.489999999999998</v>
      </c>
      <c r="AJ4764">
        <v>102.74</v>
      </c>
      <c r="AK4764">
        <v>0</v>
      </c>
      <c r="AL4764" t="s">
        <v>53</v>
      </c>
      <c r="AM4764" t="s">
        <v>53</v>
      </c>
      <c r="AN4764" t="s">
        <v>53</v>
      </c>
      <c r="AO4764" t="s">
        <v>53</v>
      </c>
      <c r="AP4764" t="s">
        <v>53</v>
      </c>
    </row>
    <row r="4765" spans="2:42" x14ac:dyDescent="0.2">
      <c r="B4765" t="s">
        <v>44</v>
      </c>
      <c r="C4765" t="str">
        <f>HYPERLINK("https://us2.cloudbeds.com/connect/8493803454333002#/reservations/9080486846013499?display=29MH25CJ12&amp;reservation_id=9080486846013499", "29MH25CJ12")</f>
        <v>29MH25CJ12</v>
      </c>
      <c r="D4765" t="s">
        <v>45</v>
      </c>
      <c r="E4765" t="s">
        <v>223</v>
      </c>
      <c r="F4765" t="s">
        <v>47</v>
      </c>
      <c r="G4765" t="s">
        <v>48</v>
      </c>
      <c r="H4765" t="s">
        <v>49</v>
      </c>
      <c r="I4765" t="s">
        <v>50</v>
      </c>
      <c r="J4765" t="s">
        <v>6417</v>
      </c>
      <c r="K4765" t="s">
        <v>6661</v>
      </c>
      <c r="L4765" t="s">
        <v>53</v>
      </c>
      <c r="N4765" t="s">
        <v>8351</v>
      </c>
      <c r="P4765" t="s">
        <v>55</v>
      </c>
      <c r="R4765" t="s">
        <v>53</v>
      </c>
      <c r="T4765" t="s">
        <v>8352</v>
      </c>
      <c r="U4765" t="s">
        <v>58</v>
      </c>
      <c r="V4765">
        <v>4</v>
      </c>
      <c r="W4765">
        <v>1</v>
      </c>
      <c r="X4765">
        <v>1</v>
      </c>
      <c r="Y4765">
        <v>0</v>
      </c>
      <c r="Z4765">
        <v>1</v>
      </c>
      <c r="AA4765">
        <v>768.19</v>
      </c>
      <c r="AB4765">
        <v>776.32</v>
      </c>
      <c r="AC4765">
        <v>675.91</v>
      </c>
      <c r="AD4765">
        <v>7.5</v>
      </c>
      <c r="AE4765">
        <v>92.91</v>
      </c>
      <c r="AF4765">
        <v>0</v>
      </c>
      <c r="AG4765">
        <v>0</v>
      </c>
      <c r="AH4765">
        <v>0</v>
      </c>
      <c r="AI4765">
        <v>139.74</v>
      </c>
      <c r="AJ4765">
        <v>776.32</v>
      </c>
      <c r="AK4765">
        <v>0</v>
      </c>
      <c r="AL4765" t="s">
        <v>53</v>
      </c>
      <c r="AM4765" t="s">
        <v>53</v>
      </c>
      <c r="AN4765" t="s">
        <v>8353</v>
      </c>
      <c r="AO4765" t="s">
        <v>53</v>
      </c>
      <c r="AP4765" t="s">
        <v>53</v>
      </c>
    </row>
    <row r="4766" spans="2:42" x14ac:dyDescent="0.2">
      <c r="B4766" t="s">
        <v>44</v>
      </c>
      <c r="C4766" t="str">
        <f>HYPERLINK("https://us2.cloudbeds.com/connect/8493803454333002#/reservations/106455779000570?display=29MT1TYVAV&amp;reservation_id=106455779000570", "29MT1TYVAV")</f>
        <v>29MT1TYVAV</v>
      </c>
      <c r="D4766" t="s">
        <v>45</v>
      </c>
      <c r="E4766" t="s">
        <v>373</v>
      </c>
      <c r="F4766" t="s">
        <v>47</v>
      </c>
      <c r="G4766" t="s">
        <v>48</v>
      </c>
      <c r="H4766" t="s">
        <v>3957</v>
      </c>
      <c r="I4766" t="s">
        <v>3975</v>
      </c>
      <c r="J4766" t="s">
        <v>5431</v>
      </c>
      <c r="K4766" t="s">
        <v>6921</v>
      </c>
      <c r="L4766" t="s">
        <v>53</v>
      </c>
      <c r="P4766" t="s">
        <v>55</v>
      </c>
      <c r="R4766" t="s">
        <v>53</v>
      </c>
      <c r="T4766" t="s">
        <v>8354</v>
      </c>
      <c r="U4766" t="s">
        <v>58</v>
      </c>
      <c r="V4766">
        <v>2</v>
      </c>
      <c r="W4766">
        <v>1</v>
      </c>
      <c r="X4766">
        <v>1</v>
      </c>
      <c r="Y4766">
        <v>0</v>
      </c>
      <c r="Z4766">
        <v>1</v>
      </c>
      <c r="AA4766">
        <v>318.23</v>
      </c>
      <c r="AB4766">
        <v>318.23</v>
      </c>
      <c r="AC4766">
        <v>280</v>
      </c>
      <c r="AD4766">
        <v>0</v>
      </c>
      <c r="AE4766">
        <v>38.229999999999997</v>
      </c>
      <c r="AF4766">
        <v>0</v>
      </c>
      <c r="AG4766">
        <v>0</v>
      </c>
      <c r="AH4766">
        <v>0</v>
      </c>
      <c r="AI4766">
        <v>0</v>
      </c>
      <c r="AJ4766">
        <v>318.23</v>
      </c>
      <c r="AK4766">
        <v>0</v>
      </c>
      <c r="AL4766" t="s">
        <v>53</v>
      </c>
      <c r="AM4766" t="s">
        <v>53</v>
      </c>
      <c r="AN4766" t="s">
        <v>53</v>
      </c>
      <c r="AO4766" t="s">
        <v>53</v>
      </c>
      <c r="AP4766" t="s">
        <v>53</v>
      </c>
    </row>
    <row r="4767" spans="2:42" x14ac:dyDescent="0.2">
      <c r="B4767" t="s">
        <v>44</v>
      </c>
      <c r="C4767" t="str">
        <f>HYPERLINK("https://us2.cloudbeds.com/connect/8493803454333002#/reservations/9080486846013874?display=29MW2GBQGX&amp;reservation_id=9080486846013874", "29MW2GBQGX")</f>
        <v>29MW2GBQGX</v>
      </c>
      <c r="D4767" t="s">
        <v>45</v>
      </c>
      <c r="E4767" t="s">
        <v>381</v>
      </c>
      <c r="F4767" t="s">
        <v>47</v>
      </c>
      <c r="G4767" t="s">
        <v>48</v>
      </c>
      <c r="H4767" t="s">
        <v>49</v>
      </c>
      <c r="I4767" t="s">
        <v>50</v>
      </c>
      <c r="J4767" t="s">
        <v>5430</v>
      </c>
      <c r="K4767" t="s">
        <v>6335</v>
      </c>
      <c r="L4767" t="s">
        <v>53</v>
      </c>
      <c r="N4767" t="s">
        <v>8355</v>
      </c>
      <c r="P4767" t="s">
        <v>55</v>
      </c>
      <c r="R4767" t="s">
        <v>53</v>
      </c>
      <c r="T4767" t="s">
        <v>8356</v>
      </c>
      <c r="U4767" t="s">
        <v>58</v>
      </c>
      <c r="V4767">
        <v>2</v>
      </c>
      <c r="W4767">
        <v>1</v>
      </c>
      <c r="X4767">
        <v>1</v>
      </c>
      <c r="Y4767">
        <v>0</v>
      </c>
      <c r="Z4767">
        <v>1</v>
      </c>
      <c r="AA4767">
        <v>287.42</v>
      </c>
      <c r="AB4767">
        <v>287.42</v>
      </c>
      <c r="AC4767">
        <v>252.9</v>
      </c>
      <c r="AD4767">
        <v>0</v>
      </c>
      <c r="AE4767">
        <v>34.520000000000003</v>
      </c>
      <c r="AF4767">
        <v>0</v>
      </c>
      <c r="AG4767">
        <v>0</v>
      </c>
      <c r="AH4767">
        <v>0</v>
      </c>
      <c r="AI4767">
        <v>51.74</v>
      </c>
      <c r="AJ4767">
        <v>287.42</v>
      </c>
      <c r="AK4767">
        <v>0</v>
      </c>
      <c r="AL4767" t="s">
        <v>53</v>
      </c>
      <c r="AM4767" t="s">
        <v>53</v>
      </c>
      <c r="AN4767" t="s">
        <v>53</v>
      </c>
      <c r="AO4767" t="s">
        <v>53</v>
      </c>
      <c r="AP4767" t="s">
        <v>53</v>
      </c>
    </row>
    <row r="4768" spans="2:42" x14ac:dyDescent="0.2">
      <c r="B4768" t="s">
        <v>44</v>
      </c>
      <c r="C4768" t="str">
        <f>HYPERLINK("https://us2.cloudbeds.com/connect/8493803454333002#/reservations/9080486846013880?display=29MWFBFDDV&amp;reservation_id=9080486846013880", "29MWFBFDDV")</f>
        <v>29MWFBFDDV</v>
      </c>
      <c r="D4768" t="s">
        <v>45</v>
      </c>
      <c r="E4768" t="s">
        <v>92</v>
      </c>
      <c r="F4768" t="s">
        <v>86</v>
      </c>
      <c r="G4768" t="s">
        <v>48</v>
      </c>
      <c r="H4768" t="s">
        <v>49</v>
      </c>
      <c r="I4768" t="s">
        <v>50</v>
      </c>
      <c r="J4768" t="s">
        <v>5431</v>
      </c>
      <c r="K4768" t="s">
        <v>6335</v>
      </c>
      <c r="L4768" t="s">
        <v>53</v>
      </c>
      <c r="N4768" t="s">
        <v>8357</v>
      </c>
      <c r="P4768" t="s">
        <v>55</v>
      </c>
      <c r="R4768" t="s">
        <v>53</v>
      </c>
      <c r="T4768" t="s">
        <v>8358</v>
      </c>
      <c r="U4768" t="s">
        <v>58</v>
      </c>
      <c r="V4768">
        <v>1</v>
      </c>
      <c r="W4768">
        <v>1</v>
      </c>
      <c r="X4768">
        <v>3</v>
      </c>
      <c r="Y4768">
        <v>0</v>
      </c>
      <c r="Z4768">
        <v>3</v>
      </c>
      <c r="AA4768">
        <v>162.30000000000001</v>
      </c>
      <c r="AB4768">
        <v>162.30000000000001</v>
      </c>
      <c r="AC4768">
        <v>142.80000000000001</v>
      </c>
      <c r="AD4768">
        <v>0</v>
      </c>
      <c r="AE4768">
        <v>19.5</v>
      </c>
      <c r="AF4768">
        <v>0</v>
      </c>
      <c r="AG4768">
        <v>0</v>
      </c>
      <c r="AH4768">
        <v>0</v>
      </c>
      <c r="AI4768">
        <v>29.21</v>
      </c>
      <c r="AJ4768">
        <v>162.30000000000001</v>
      </c>
      <c r="AK4768">
        <v>0</v>
      </c>
      <c r="AL4768" t="s">
        <v>53</v>
      </c>
      <c r="AM4768" t="s">
        <v>53</v>
      </c>
      <c r="AN4768" t="s">
        <v>53</v>
      </c>
      <c r="AO4768" t="s">
        <v>53</v>
      </c>
      <c r="AP4768" t="s">
        <v>53</v>
      </c>
    </row>
    <row r="4769" spans="2:42" x14ac:dyDescent="0.2">
      <c r="B4769" t="s">
        <v>44</v>
      </c>
      <c r="C4769" t="str">
        <f>HYPERLINK("https://us2.cloudbeds.com/connect/8493803454333002#/reservations/9080486846014572?display=29NP0AEFVS&amp;reservation_id=9080486846014572", "29NP0AEFVS")</f>
        <v>29NP0AEFVS</v>
      </c>
      <c r="D4769" t="s">
        <v>45</v>
      </c>
      <c r="E4769" t="s">
        <v>155</v>
      </c>
      <c r="F4769" t="s">
        <v>86</v>
      </c>
      <c r="G4769" t="s">
        <v>48</v>
      </c>
      <c r="H4769" t="s">
        <v>49</v>
      </c>
      <c r="I4769" t="s">
        <v>50</v>
      </c>
      <c r="J4769" t="s">
        <v>6586</v>
      </c>
      <c r="K4769" t="s">
        <v>5967</v>
      </c>
      <c r="L4769" t="s">
        <v>53</v>
      </c>
      <c r="N4769" t="s">
        <v>8359</v>
      </c>
      <c r="P4769" t="s">
        <v>55</v>
      </c>
      <c r="R4769" t="s">
        <v>53</v>
      </c>
      <c r="T4769" t="s">
        <v>8360</v>
      </c>
      <c r="U4769" t="s">
        <v>58</v>
      </c>
      <c r="V4769">
        <v>1</v>
      </c>
      <c r="W4769">
        <v>1</v>
      </c>
      <c r="X4769">
        <v>2</v>
      </c>
      <c r="Y4769">
        <v>0</v>
      </c>
      <c r="Z4769">
        <v>2</v>
      </c>
      <c r="AA4769">
        <v>132.97</v>
      </c>
      <c r="AB4769">
        <v>132.97</v>
      </c>
      <c r="AC4769">
        <v>117</v>
      </c>
      <c r="AD4769">
        <v>0</v>
      </c>
      <c r="AE4769">
        <v>15.97</v>
      </c>
      <c r="AF4769">
        <v>0</v>
      </c>
      <c r="AG4769">
        <v>0</v>
      </c>
      <c r="AH4769">
        <v>0</v>
      </c>
      <c r="AI4769">
        <v>23.93</v>
      </c>
      <c r="AJ4769">
        <v>132.97</v>
      </c>
      <c r="AK4769">
        <v>0</v>
      </c>
      <c r="AL4769" t="s">
        <v>53</v>
      </c>
      <c r="AM4769" t="s">
        <v>53</v>
      </c>
      <c r="AN4769" t="s">
        <v>53</v>
      </c>
      <c r="AO4769" t="s">
        <v>53</v>
      </c>
      <c r="AP4769" t="s">
        <v>53</v>
      </c>
    </row>
    <row r="4770" spans="2:42" x14ac:dyDescent="0.2">
      <c r="B4770" t="s">
        <v>44</v>
      </c>
      <c r="C4770" t="str">
        <f>HYPERLINK("https://us2.cloudbeds.com/connect/8493803454333002#/reservations/9080486846014871?display=29Z3T5954Z&amp;reservation_id=9080486846014871", "29Z3T5954Z")</f>
        <v>29Z3T5954Z</v>
      </c>
      <c r="D4770" t="s">
        <v>45</v>
      </c>
      <c r="E4770" t="s">
        <v>46</v>
      </c>
      <c r="F4770" t="s">
        <v>47</v>
      </c>
      <c r="G4770" t="s">
        <v>48</v>
      </c>
      <c r="H4770" t="s">
        <v>49</v>
      </c>
      <c r="I4770" t="s">
        <v>50</v>
      </c>
      <c r="J4770" t="s">
        <v>4768</v>
      </c>
      <c r="K4770" t="s">
        <v>6586</v>
      </c>
      <c r="L4770" t="s">
        <v>53</v>
      </c>
      <c r="N4770" t="s">
        <v>8361</v>
      </c>
      <c r="P4770" t="s">
        <v>55</v>
      </c>
      <c r="R4770" t="s">
        <v>53</v>
      </c>
      <c r="T4770" t="s">
        <v>8362</v>
      </c>
      <c r="U4770" t="s">
        <v>58</v>
      </c>
      <c r="V4770">
        <v>1</v>
      </c>
      <c r="W4770">
        <v>1</v>
      </c>
      <c r="X4770">
        <v>1</v>
      </c>
      <c r="Y4770">
        <v>0</v>
      </c>
      <c r="Z4770">
        <v>1</v>
      </c>
      <c r="AA4770">
        <v>123.77</v>
      </c>
      <c r="AB4770">
        <v>123.77</v>
      </c>
      <c r="AC4770">
        <v>108.9</v>
      </c>
      <c r="AD4770">
        <v>0</v>
      </c>
      <c r="AE4770">
        <v>14.87</v>
      </c>
      <c r="AF4770">
        <v>0</v>
      </c>
      <c r="AG4770">
        <v>0</v>
      </c>
      <c r="AH4770">
        <v>0</v>
      </c>
      <c r="AI4770">
        <v>22.28</v>
      </c>
      <c r="AJ4770">
        <v>123.77</v>
      </c>
      <c r="AK4770">
        <v>0</v>
      </c>
      <c r="AL4770" t="s">
        <v>53</v>
      </c>
      <c r="AM4770" t="s">
        <v>53</v>
      </c>
      <c r="AN4770" t="s">
        <v>53</v>
      </c>
      <c r="AO4770" t="s">
        <v>53</v>
      </c>
      <c r="AP4770" t="s">
        <v>53</v>
      </c>
    </row>
    <row r="4771" spans="2:42" x14ac:dyDescent="0.2">
      <c r="B4771" t="s">
        <v>44</v>
      </c>
      <c r="C4771" t="str">
        <f>HYPERLINK("https://us2.cloudbeds.com/connect/8493803454333002#/reservations/9080486846015049?display=29ZBWC3CD5&amp;reservation_id=9080486846015049", "29ZBWC3CD5")</f>
        <v>29ZBWC3CD5</v>
      </c>
      <c r="D4771" t="s">
        <v>45</v>
      </c>
      <c r="E4771" t="s">
        <v>305</v>
      </c>
      <c r="F4771" t="s">
        <v>61</v>
      </c>
      <c r="G4771" t="s">
        <v>48</v>
      </c>
      <c r="H4771" t="s">
        <v>49</v>
      </c>
      <c r="I4771" t="s">
        <v>50</v>
      </c>
      <c r="J4771" t="s">
        <v>5431</v>
      </c>
      <c r="K4771" t="s">
        <v>6335</v>
      </c>
      <c r="L4771" t="s">
        <v>53</v>
      </c>
      <c r="N4771" t="s">
        <v>8363</v>
      </c>
      <c r="P4771" t="s">
        <v>55</v>
      </c>
      <c r="R4771" t="s">
        <v>53</v>
      </c>
      <c r="T4771" t="s">
        <v>8364</v>
      </c>
      <c r="U4771" t="s">
        <v>58</v>
      </c>
      <c r="V4771">
        <v>1</v>
      </c>
      <c r="W4771">
        <v>1</v>
      </c>
      <c r="X4771">
        <v>2</v>
      </c>
      <c r="Y4771">
        <v>0</v>
      </c>
      <c r="Z4771">
        <v>2</v>
      </c>
      <c r="AA4771">
        <v>153.6</v>
      </c>
      <c r="AB4771">
        <v>153.6</v>
      </c>
      <c r="AC4771">
        <v>135.15</v>
      </c>
      <c r="AD4771">
        <v>0</v>
      </c>
      <c r="AE4771">
        <v>18.45</v>
      </c>
      <c r="AF4771">
        <v>0</v>
      </c>
      <c r="AG4771">
        <v>0</v>
      </c>
      <c r="AH4771">
        <v>0</v>
      </c>
      <c r="AI4771">
        <v>27.65</v>
      </c>
      <c r="AJ4771">
        <v>153.6</v>
      </c>
      <c r="AK4771">
        <v>0</v>
      </c>
      <c r="AL4771" t="s">
        <v>53</v>
      </c>
      <c r="AM4771" t="s">
        <v>53</v>
      </c>
      <c r="AN4771" t="s">
        <v>53</v>
      </c>
      <c r="AO4771" t="s">
        <v>53</v>
      </c>
      <c r="AP4771" t="s">
        <v>53</v>
      </c>
    </row>
    <row r="4772" spans="2:42" x14ac:dyDescent="0.2">
      <c r="B4772" t="s">
        <v>44</v>
      </c>
      <c r="C4772" t="str">
        <f>HYPERLINK("https://us2.cloudbeds.com/connect/8493803454333002#/reservations/106524925153489?display=29ZGJZHJ86&amp;reservation_id=106524925153489", "29ZGJZHJ86")</f>
        <v>29ZGJZHJ86</v>
      </c>
      <c r="D4772" t="s">
        <v>45</v>
      </c>
      <c r="E4772" t="s">
        <v>381</v>
      </c>
      <c r="F4772" t="s">
        <v>47</v>
      </c>
      <c r="G4772" t="s">
        <v>48</v>
      </c>
      <c r="H4772" t="s">
        <v>3957</v>
      </c>
      <c r="I4772" t="s">
        <v>3958</v>
      </c>
      <c r="J4772" t="s">
        <v>7623</v>
      </c>
      <c r="K4772" t="s">
        <v>7624</v>
      </c>
      <c r="L4772" t="s">
        <v>53</v>
      </c>
      <c r="P4772" t="s">
        <v>58</v>
      </c>
      <c r="R4772" t="s">
        <v>56</v>
      </c>
      <c r="T4772" t="s">
        <v>8365</v>
      </c>
      <c r="U4772" t="s">
        <v>58</v>
      </c>
      <c r="V4772">
        <v>1</v>
      </c>
      <c r="W4772">
        <v>1</v>
      </c>
      <c r="X4772">
        <v>1</v>
      </c>
      <c r="Y4772">
        <v>0</v>
      </c>
      <c r="Z4772">
        <v>1</v>
      </c>
      <c r="AA4772">
        <v>172.75</v>
      </c>
      <c r="AB4772">
        <v>172.75</v>
      </c>
      <c r="AC4772">
        <v>152</v>
      </c>
      <c r="AD4772">
        <v>0</v>
      </c>
      <c r="AE4772">
        <v>20.75</v>
      </c>
      <c r="AF4772">
        <v>0</v>
      </c>
      <c r="AG4772">
        <v>0</v>
      </c>
      <c r="AH4772">
        <v>0</v>
      </c>
      <c r="AI4772">
        <v>0</v>
      </c>
      <c r="AJ4772">
        <v>172.75</v>
      </c>
      <c r="AK4772">
        <v>0</v>
      </c>
      <c r="AL4772" t="s">
        <v>53</v>
      </c>
      <c r="AM4772" t="s">
        <v>53</v>
      </c>
      <c r="AN4772" t="s">
        <v>53</v>
      </c>
      <c r="AO4772" t="s">
        <v>53</v>
      </c>
      <c r="AP4772" t="s">
        <v>53</v>
      </c>
    </row>
    <row r="4773" spans="2:42" x14ac:dyDescent="0.2">
      <c r="B4773" t="s">
        <v>44</v>
      </c>
      <c r="C4773" t="str">
        <f>HYPERLINK("https://us2.cloudbeds.com/connect/8493803454333002#/reservations/106525148823715?display=29ZGPF4HNR&amp;reservation_id=106525148823715", "29ZGPF4HNR")</f>
        <v>29ZGPF4HNR</v>
      </c>
      <c r="D4773" t="s">
        <v>45</v>
      </c>
      <c r="E4773" t="s">
        <v>381</v>
      </c>
      <c r="F4773" t="s">
        <v>47</v>
      </c>
      <c r="G4773" t="s">
        <v>48</v>
      </c>
      <c r="H4773" t="s">
        <v>3957</v>
      </c>
      <c r="I4773" t="s">
        <v>3958</v>
      </c>
      <c r="J4773" t="s">
        <v>8060</v>
      </c>
      <c r="K4773" t="s">
        <v>7967</v>
      </c>
      <c r="L4773" t="s">
        <v>53</v>
      </c>
      <c r="P4773" t="s">
        <v>58</v>
      </c>
      <c r="R4773" t="s">
        <v>56</v>
      </c>
      <c r="T4773" t="s">
        <v>8366</v>
      </c>
      <c r="U4773" t="s">
        <v>58</v>
      </c>
      <c r="V4773">
        <v>1</v>
      </c>
      <c r="W4773">
        <v>1</v>
      </c>
      <c r="X4773">
        <v>1</v>
      </c>
      <c r="Y4773">
        <v>0</v>
      </c>
      <c r="Z4773">
        <v>1</v>
      </c>
      <c r="AA4773">
        <v>160.25</v>
      </c>
      <c r="AB4773">
        <v>160.25</v>
      </c>
      <c r="AC4773">
        <v>141</v>
      </c>
      <c r="AD4773">
        <v>0</v>
      </c>
      <c r="AE4773">
        <v>19.25</v>
      </c>
      <c r="AF4773">
        <v>0</v>
      </c>
      <c r="AG4773">
        <v>0</v>
      </c>
      <c r="AH4773">
        <v>0</v>
      </c>
      <c r="AI4773">
        <v>0</v>
      </c>
      <c r="AJ4773">
        <v>160.25</v>
      </c>
      <c r="AK4773">
        <v>0</v>
      </c>
      <c r="AL4773" t="s">
        <v>53</v>
      </c>
      <c r="AM4773" t="s">
        <v>53</v>
      </c>
      <c r="AN4773" t="s">
        <v>53</v>
      </c>
      <c r="AO4773" t="s">
        <v>53</v>
      </c>
      <c r="AP4773" t="s">
        <v>53</v>
      </c>
    </row>
    <row r="4774" spans="2:42" x14ac:dyDescent="0.2">
      <c r="B4774" t="s">
        <v>44</v>
      </c>
      <c r="C4774" t="str">
        <f>HYPERLINK("https://us2.cloudbeds.com/connect/8493803454333002#/reservations/9080486846015140?display=29ZHXE98RG&amp;reservation_id=9080486846015140", "29ZHXE98RG")</f>
        <v>29ZHXE98RG</v>
      </c>
      <c r="D4774" t="s">
        <v>45</v>
      </c>
      <c r="E4774" t="s">
        <v>85</v>
      </c>
      <c r="F4774" t="s">
        <v>86</v>
      </c>
      <c r="G4774" t="s">
        <v>48</v>
      </c>
      <c r="H4774" t="s">
        <v>49</v>
      </c>
      <c r="I4774" t="s">
        <v>50</v>
      </c>
      <c r="J4774" t="s">
        <v>8367</v>
      </c>
      <c r="K4774" t="s">
        <v>8319</v>
      </c>
      <c r="L4774" t="s">
        <v>53</v>
      </c>
      <c r="N4774" t="s">
        <v>8368</v>
      </c>
      <c r="P4774" t="s">
        <v>55</v>
      </c>
      <c r="R4774" t="s">
        <v>53</v>
      </c>
      <c r="T4774" t="s">
        <v>8369</v>
      </c>
      <c r="U4774" t="s">
        <v>58</v>
      </c>
      <c r="V4774">
        <v>5</v>
      </c>
      <c r="W4774">
        <v>1</v>
      </c>
      <c r="X4774">
        <v>2</v>
      </c>
      <c r="Y4774">
        <v>0</v>
      </c>
      <c r="Z4774">
        <v>2</v>
      </c>
      <c r="AA4774">
        <v>889.89</v>
      </c>
      <c r="AB4774">
        <v>889.89</v>
      </c>
      <c r="AC4774">
        <v>783</v>
      </c>
      <c r="AD4774">
        <v>0</v>
      </c>
      <c r="AE4774">
        <v>106.89</v>
      </c>
      <c r="AF4774">
        <v>0</v>
      </c>
      <c r="AG4774">
        <v>0</v>
      </c>
      <c r="AH4774">
        <v>0</v>
      </c>
      <c r="AI4774">
        <v>160.18</v>
      </c>
      <c r="AJ4774">
        <v>889.89</v>
      </c>
      <c r="AK4774">
        <v>0</v>
      </c>
      <c r="AL4774" t="s">
        <v>53</v>
      </c>
      <c r="AM4774" t="s">
        <v>53</v>
      </c>
      <c r="AN4774" t="s">
        <v>53</v>
      </c>
      <c r="AO4774" t="s">
        <v>53</v>
      </c>
      <c r="AP4774" t="s">
        <v>53</v>
      </c>
    </row>
    <row r="4775" spans="2:42" x14ac:dyDescent="0.2">
      <c r="B4775" t="s">
        <v>44</v>
      </c>
      <c r="C4775" t="str">
        <f>HYPERLINK("https://us2.cloudbeds.com/connect/8493803454333002#/reservations/9080486846015335?display=29ZTRV5B7F&amp;reservation_id=9080486846015335", "29ZTRV5B7F")</f>
        <v>29ZTRV5B7F</v>
      </c>
      <c r="D4775" t="s">
        <v>45</v>
      </c>
      <c r="E4775" t="s">
        <v>373</v>
      </c>
      <c r="F4775" t="s">
        <v>47</v>
      </c>
      <c r="G4775" t="s">
        <v>48</v>
      </c>
      <c r="H4775" t="s">
        <v>49</v>
      </c>
      <c r="I4775" t="s">
        <v>62</v>
      </c>
      <c r="J4775" t="s">
        <v>4768</v>
      </c>
      <c r="K4775" t="s">
        <v>6586</v>
      </c>
      <c r="L4775" t="s">
        <v>53</v>
      </c>
      <c r="N4775" t="s">
        <v>8370</v>
      </c>
      <c r="P4775" t="s">
        <v>55</v>
      </c>
      <c r="R4775" t="s">
        <v>56</v>
      </c>
      <c r="T4775" t="s">
        <v>8371</v>
      </c>
      <c r="U4775" t="s">
        <v>55</v>
      </c>
      <c r="V4775">
        <v>1</v>
      </c>
      <c r="W4775">
        <v>1</v>
      </c>
      <c r="X4775">
        <v>2</v>
      </c>
      <c r="Y4775">
        <v>0</v>
      </c>
      <c r="Z4775">
        <v>2</v>
      </c>
      <c r="AA4775">
        <v>121</v>
      </c>
      <c r="AB4775">
        <v>121</v>
      </c>
      <c r="AC4775">
        <v>121</v>
      </c>
      <c r="AD4775">
        <v>0</v>
      </c>
      <c r="AE4775">
        <v>0</v>
      </c>
      <c r="AF4775">
        <v>0</v>
      </c>
      <c r="AG4775">
        <v>0</v>
      </c>
      <c r="AH4775">
        <v>0</v>
      </c>
      <c r="AI4775">
        <v>21.78</v>
      </c>
      <c r="AJ4775">
        <v>121</v>
      </c>
      <c r="AK4775">
        <v>0</v>
      </c>
      <c r="AL4775" t="s">
        <v>53</v>
      </c>
      <c r="AM4775" t="s">
        <v>53</v>
      </c>
      <c r="AN4775" t="s">
        <v>53</v>
      </c>
      <c r="AO4775" t="s">
        <v>53</v>
      </c>
      <c r="AP4775" t="s">
        <v>53</v>
      </c>
    </row>
    <row r="4776" spans="2:42" x14ac:dyDescent="0.2">
      <c r="B4776" t="s">
        <v>44</v>
      </c>
      <c r="C4776" t="str">
        <f>HYPERLINK("https://us2.cloudbeds.com/connect/8493803454333002#/reservations/9080486846015352?display=29ZV6WHEN1&amp;reservation_id=9080486846015352", "29ZV6WHEN1")</f>
        <v>29ZV6WHEN1</v>
      </c>
      <c r="D4776" t="s">
        <v>45</v>
      </c>
      <c r="E4776" t="s">
        <v>487</v>
      </c>
      <c r="F4776" t="s">
        <v>61</v>
      </c>
      <c r="G4776" t="s">
        <v>48</v>
      </c>
      <c r="H4776" t="s">
        <v>49</v>
      </c>
      <c r="I4776" t="s">
        <v>62</v>
      </c>
      <c r="J4776" t="s">
        <v>6922</v>
      </c>
      <c r="K4776" t="s">
        <v>4442</v>
      </c>
      <c r="L4776" t="s">
        <v>53</v>
      </c>
      <c r="N4776" t="s">
        <v>8372</v>
      </c>
      <c r="P4776" t="s">
        <v>55</v>
      </c>
      <c r="R4776" t="s">
        <v>56</v>
      </c>
      <c r="T4776" t="s">
        <v>8373</v>
      </c>
      <c r="U4776" t="s">
        <v>55</v>
      </c>
      <c r="V4776">
        <v>1</v>
      </c>
      <c r="W4776">
        <v>1</v>
      </c>
      <c r="X4776">
        <v>2</v>
      </c>
      <c r="Y4776">
        <v>0</v>
      </c>
      <c r="Z4776">
        <v>2</v>
      </c>
      <c r="AA4776">
        <v>148</v>
      </c>
      <c r="AB4776">
        <v>148</v>
      </c>
      <c r="AC4776">
        <v>148</v>
      </c>
      <c r="AD4776">
        <v>0</v>
      </c>
      <c r="AE4776">
        <v>0</v>
      </c>
      <c r="AF4776">
        <v>0</v>
      </c>
      <c r="AG4776">
        <v>0</v>
      </c>
      <c r="AH4776">
        <v>0</v>
      </c>
      <c r="AI4776">
        <v>26.64</v>
      </c>
      <c r="AJ4776">
        <v>148</v>
      </c>
      <c r="AK4776">
        <v>0</v>
      </c>
      <c r="AL4776" t="s">
        <v>53</v>
      </c>
      <c r="AM4776" t="s">
        <v>53</v>
      </c>
      <c r="AN4776" t="s">
        <v>53</v>
      </c>
      <c r="AO4776" t="s">
        <v>53</v>
      </c>
      <c r="AP4776" t="s">
        <v>53</v>
      </c>
    </row>
    <row r="4777" spans="2:42" x14ac:dyDescent="0.2">
      <c r="B4777" t="s">
        <v>44</v>
      </c>
      <c r="C4777" t="str">
        <f>HYPERLINK("https://us2.cloudbeds.com/connect/8493803454333002#/reservations/9080486846015482?display=29P6SARSN3&amp;reservation_id=9080486846015482", "29P6SARSN3")</f>
        <v>29P6SARSN3</v>
      </c>
      <c r="D4777" t="s">
        <v>45</v>
      </c>
      <c r="E4777" t="s">
        <v>406</v>
      </c>
      <c r="F4777" t="s">
        <v>61</v>
      </c>
      <c r="G4777" t="s">
        <v>48</v>
      </c>
      <c r="H4777" t="s">
        <v>49</v>
      </c>
      <c r="I4777" t="s">
        <v>62</v>
      </c>
      <c r="J4777" t="s">
        <v>5967</v>
      </c>
      <c r="K4777" t="s">
        <v>5431</v>
      </c>
      <c r="L4777" t="s">
        <v>53</v>
      </c>
      <c r="N4777" t="s">
        <v>8374</v>
      </c>
      <c r="P4777" t="s">
        <v>55</v>
      </c>
      <c r="R4777" t="s">
        <v>329</v>
      </c>
      <c r="T4777" t="s">
        <v>8375</v>
      </c>
      <c r="U4777" t="s">
        <v>55</v>
      </c>
      <c r="V4777">
        <v>2</v>
      </c>
      <c r="W4777">
        <v>1</v>
      </c>
      <c r="X4777">
        <v>2</v>
      </c>
      <c r="Y4777">
        <v>0</v>
      </c>
      <c r="Z4777">
        <v>2</v>
      </c>
      <c r="AA4777">
        <v>299</v>
      </c>
      <c r="AB4777">
        <v>299</v>
      </c>
      <c r="AC4777">
        <v>299</v>
      </c>
      <c r="AD4777">
        <v>0</v>
      </c>
      <c r="AE4777">
        <v>0</v>
      </c>
      <c r="AF4777">
        <v>0</v>
      </c>
      <c r="AG4777">
        <v>0</v>
      </c>
      <c r="AH4777">
        <v>0</v>
      </c>
      <c r="AI4777">
        <v>53.82</v>
      </c>
      <c r="AJ4777">
        <v>299</v>
      </c>
      <c r="AK4777">
        <v>0</v>
      </c>
      <c r="AL4777" t="s">
        <v>53</v>
      </c>
      <c r="AM4777" t="s">
        <v>53</v>
      </c>
      <c r="AN4777" t="s">
        <v>53</v>
      </c>
      <c r="AO4777" t="s">
        <v>53</v>
      </c>
      <c r="AP4777" t="s">
        <v>53</v>
      </c>
    </row>
    <row r="4778" spans="2:42" x14ac:dyDescent="0.2">
      <c r="B4778" t="s">
        <v>44</v>
      </c>
      <c r="C4778" t="str">
        <f>HYPERLINK("https://us2.cloudbeds.com/connect/8493803454333002#/reservations/9080486846015491?display=29P6V57QUX&amp;reservation_id=9080486846015491", "29P6V57QUX")</f>
        <v>29P6V57QUX</v>
      </c>
      <c r="D4778" t="s">
        <v>45</v>
      </c>
      <c r="E4778" t="s">
        <v>69</v>
      </c>
      <c r="F4778" t="s">
        <v>70</v>
      </c>
      <c r="G4778" t="s">
        <v>48</v>
      </c>
      <c r="H4778" t="s">
        <v>49</v>
      </c>
      <c r="I4778" t="s">
        <v>62</v>
      </c>
      <c r="J4778" t="s">
        <v>7905</v>
      </c>
      <c r="K4778" t="s">
        <v>7906</v>
      </c>
      <c r="L4778" t="s">
        <v>53</v>
      </c>
      <c r="N4778" t="s">
        <v>8376</v>
      </c>
      <c r="P4778" t="s">
        <v>55</v>
      </c>
      <c r="R4778" t="s">
        <v>56</v>
      </c>
      <c r="T4778" t="s">
        <v>8377</v>
      </c>
      <c r="U4778" t="s">
        <v>55</v>
      </c>
      <c r="V4778">
        <v>1</v>
      </c>
      <c r="W4778">
        <v>1</v>
      </c>
      <c r="X4778">
        <v>1</v>
      </c>
      <c r="Y4778">
        <v>0</v>
      </c>
      <c r="Z4778">
        <v>1</v>
      </c>
      <c r="AA4778">
        <v>157</v>
      </c>
      <c r="AB4778">
        <v>157</v>
      </c>
      <c r="AC4778">
        <v>157</v>
      </c>
      <c r="AD4778">
        <v>0</v>
      </c>
      <c r="AE4778">
        <v>0</v>
      </c>
      <c r="AF4778">
        <v>0</v>
      </c>
      <c r="AG4778">
        <v>0</v>
      </c>
      <c r="AH4778">
        <v>0</v>
      </c>
      <c r="AI4778">
        <v>28.26</v>
      </c>
      <c r="AJ4778">
        <v>157</v>
      </c>
      <c r="AK4778">
        <v>0</v>
      </c>
      <c r="AL4778" t="s">
        <v>53</v>
      </c>
      <c r="AM4778" t="s">
        <v>53</v>
      </c>
      <c r="AN4778" t="s">
        <v>53</v>
      </c>
      <c r="AO4778" t="s">
        <v>53</v>
      </c>
      <c r="AP4778" t="s">
        <v>53</v>
      </c>
    </row>
    <row r="4779" spans="2:42" x14ac:dyDescent="0.2">
      <c r="B4779" t="s">
        <v>44</v>
      </c>
      <c r="C4779" t="str">
        <f>HYPERLINK("https://us2.cloudbeds.com/connect/8493803454333002#/reservations/9080486846015497?display=29P74S76A2&amp;reservation_id=9080486846015497", "29P74S76A2")</f>
        <v>29P74S76A2</v>
      </c>
      <c r="D4779" t="s">
        <v>45</v>
      </c>
      <c r="E4779" t="s">
        <v>381</v>
      </c>
      <c r="F4779" t="s">
        <v>47</v>
      </c>
      <c r="G4779" t="s">
        <v>7801</v>
      </c>
      <c r="H4779" t="s">
        <v>49</v>
      </c>
      <c r="I4779" t="s">
        <v>62</v>
      </c>
      <c r="J4779" t="s">
        <v>4768</v>
      </c>
      <c r="K4779" t="s">
        <v>6586</v>
      </c>
      <c r="L4779" t="s">
        <v>53</v>
      </c>
      <c r="N4779" t="s">
        <v>8378</v>
      </c>
      <c r="P4779" t="s">
        <v>58</v>
      </c>
      <c r="R4779" t="s">
        <v>56</v>
      </c>
      <c r="T4779" t="s">
        <v>8379</v>
      </c>
      <c r="U4779" t="s">
        <v>55</v>
      </c>
      <c r="V4779">
        <v>1</v>
      </c>
      <c r="W4779">
        <v>1</v>
      </c>
      <c r="X4779">
        <v>1</v>
      </c>
      <c r="Y4779">
        <v>0</v>
      </c>
      <c r="Z4779">
        <v>1</v>
      </c>
      <c r="AA4779">
        <v>108.9</v>
      </c>
      <c r="AB4779">
        <v>109</v>
      </c>
      <c r="AC4779">
        <v>109</v>
      </c>
      <c r="AD4779">
        <v>0</v>
      </c>
      <c r="AE4779">
        <v>0</v>
      </c>
      <c r="AF4779">
        <v>0</v>
      </c>
      <c r="AG4779">
        <v>0</v>
      </c>
      <c r="AH4779">
        <v>0</v>
      </c>
      <c r="AI4779">
        <v>19.62</v>
      </c>
      <c r="AJ4779">
        <v>109</v>
      </c>
      <c r="AK4779">
        <v>0</v>
      </c>
      <c r="AL4779" t="s">
        <v>53</v>
      </c>
      <c r="AM4779" t="s">
        <v>53</v>
      </c>
      <c r="AN4779" t="s">
        <v>53</v>
      </c>
      <c r="AO4779" t="s">
        <v>53</v>
      </c>
      <c r="AP4779" t="s">
        <v>53</v>
      </c>
    </row>
    <row r="4780" spans="2:42" x14ac:dyDescent="0.2">
      <c r="B4780" t="s">
        <v>44</v>
      </c>
      <c r="C4780" t="str">
        <f>HYPERLINK("https://us2.cloudbeds.com/connect/8493803454333002#/reservations/9080486846015622?display=29PDBYD4XS&amp;reservation_id=9080486846015622", "29PDBYD4XS")</f>
        <v>29PDBYD4XS</v>
      </c>
      <c r="D4780" t="s">
        <v>45</v>
      </c>
      <c r="E4780" t="s">
        <v>7642</v>
      </c>
      <c r="F4780" t="s">
        <v>61</v>
      </c>
      <c r="G4780" t="s">
        <v>48</v>
      </c>
      <c r="H4780" t="s">
        <v>49</v>
      </c>
      <c r="I4780" t="s">
        <v>62</v>
      </c>
      <c r="J4780" t="s">
        <v>4768</v>
      </c>
      <c r="K4780" t="s">
        <v>6586</v>
      </c>
      <c r="L4780" t="s">
        <v>53</v>
      </c>
      <c r="N4780" t="s">
        <v>8380</v>
      </c>
      <c r="P4780" t="s">
        <v>55</v>
      </c>
      <c r="R4780" t="s">
        <v>56</v>
      </c>
      <c r="T4780" t="s">
        <v>8381</v>
      </c>
      <c r="U4780" t="s">
        <v>55</v>
      </c>
      <c r="V4780">
        <v>2</v>
      </c>
      <c r="W4780">
        <v>2</v>
      </c>
      <c r="X4780">
        <v>4</v>
      </c>
      <c r="Y4780">
        <v>0</v>
      </c>
      <c r="Z4780">
        <v>4</v>
      </c>
      <c r="AA4780">
        <v>272</v>
      </c>
      <c r="AB4780">
        <v>272</v>
      </c>
      <c r="AC4780">
        <v>272</v>
      </c>
      <c r="AD4780">
        <v>0</v>
      </c>
      <c r="AE4780">
        <v>0</v>
      </c>
      <c r="AF4780">
        <v>0</v>
      </c>
      <c r="AG4780">
        <v>0</v>
      </c>
      <c r="AH4780">
        <v>0</v>
      </c>
      <c r="AI4780">
        <v>48.96</v>
      </c>
      <c r="AJ4780">
        <v>272</v>
      </c>
      <c r="AK4780">
        <v>0</v>
      </c>
      <c r="AL4780" t="s">
        <v>53</v>
      </c>
      <c r="AM4780" t="s">
        <v>53</v>
      </c>
      <c r="AN4780" t="s">
        <v>53</v>
      </c>
      <c r="AO4780" t="s">
        <v>53</v>
      </c>
      <c r="AP4780" t="s">
        <v>53</v>
      </c>
    </row>
    <row r="4781" spans="2:42" x14ac:dyDescent="0.2">
      <c r="B4781" t="s">
        <v>44</v>
      </c>
      <c r="C4781" t="str">
        <f>HYPERLINK("https://us2.cloudbeds.com/connect/8493803454333002#/reservations/9080486846015870?display=29PQDX5ZJ5&amp;reservation_id=9080486846015870", "29PQDX5ZJ5")</f>
        <v>29PQDX5ZJ5</v>
      </c>
      <c r="D4781" t="s">
        <v>45</v>
      </c>
      <c r="E4781" t="s">
        <v>121</v>
      </c>
      <c r="F4781" t="s">
        <v>86</v>
      </c>
      <c r="G4781" t="s">
        <v>48</v>
      </c>
      <c r="H4781" t="s">
        <v>49</v>
      </c>
      <c r="I4781" t="s">
        <v>50</v>
      </c>
      <c r="J4781" t="s">
        <v>6586</v>
      </c>
      <c r="K4781" t="s">
        <v>5967</v>
      </c>
      <c r="L4781" t="s">
        <v>53</v>
      </c>
      <c r="N4781" t="s">
        <v>8382</v>
      </c>
      <c r="P4781" t="s">
        <v>55</v>
      </c>
      <c r="R4781" t="s">
        <v>53</v>
      </c>
      <c r="T4781" t="s">
        <v>8383</v>
      </c>
      <c r="U4781" t="s">
        <v>58</v>
      </c>
      <c r="V4781">
        <v>1</v>
      </c>
      <c r="W4781">
        <v>1</v>
      </c>
      <c r="X4781">
        <v>2</v>
      </c>
      <c r="Y4781">
        <v>0</v>
      </c>
      <c r="Z4781">
        <v>2</v>
      </c>
      <c r="AA4781">
        <v>132.97</v>
      </c>
      <c r="AB4781">
        <v>132.97</v>
      </c>
      <c r="AC4781">
        <v>117</v>
      </c>
      <c r="AD4781">
        <v>0</v>
      </c>
      <c r="AE4781">
        <v>15.97</v>
      </c>
      <c r="AF4781">
        <v>0</v>
      </c>
      <c r="AG4781">
        <v>0</v>
      </c>
      <c r="AH4781">
        <v>0</v>
      </c>
      <c r="AI4781">
        <v>23.93</v>
      </c>
      <c r="AJ4781">
        <v>132.97</v>
      </c>
      <c r="AK4781">
        <v>0</v>
      </c>
      <c r="AL4781" t="s">
        <v>53</v>
      </c>
      <c r="AM4781" t="s">
        <v>53</v>
      </c>
      <c r="AN4781" t="s">
        <v>53</v>
      </c>
      <c r="AO4781" t="s">
        <v>53</v>
      </c>
      <c r="AP4781" t="s">
        <v>53</v>
      </c>
    </row>
    <row r="4782" spans="2:42" x14ac:dyDescent="0.2">
      <c r="B4782" t="s">
        <v>44</v>
      </c>
      <c r="C4782" t="str">
        <f>HYPERLINK("https://us2.cloudbeds.com/connect/8493803454333002#/reservations/9080486846015971?display=29Q012QA4G&amp;reservation_id=9080486846015971", "29Q012QA4G")</f>
        <v>29Q012QA4G</v>
      </c>
      <c r="D4782" t="s">
        <v>45</v>
      </c>
      <c r="E4782" t="s">
        <v>305</v>
      </c>
      <c r="F4782" t="s">
        <v>61</v>
      </c>
      <c r="G4782" t="s">
        <v>48</v>
      </c>
      <c r="H4782" t="s">
        <v>49</v>
      </c>
      <c r="I4782" t="s">
        <v>50</v>
      </c>
      <c r="J4782" t="s">
        <v>6944</v>
      </c>
      <c r="K4782" t="s">
        <v>7872</v>
      </c>
      <c r="L4782" t="s">
        <v>53</v>
      </c>
      <c r="N4782" t="s">
        <v>8384</v>
      </c>
      <c r="P4782" t="s">
        <v>55</v>
      </c>
      <c r="R4782" t="s">
        <v>53</v>
      </c>
      <c r="T4782" t="s">
        <v>8385</v>
      </c>
      <c r="U4782" t="s">
        <v>58</v>
      </c>
      <c r="V4782">
        <v>2</v>
      </c>
      <c r="W4782">
        <v>1</v>
      </c>
      <c r="X4782">
        <v>2</v>
      </c>
      <c r="Y4782">
        <v>0</v>
      </c>
      <c r="Z4782">
        <v>2</v>
      </c>
      <c r="AA4782">
        <v>333.3</v>
      </c>
      <c r="AB4782">
        <v>333.3</v>
      </c>
      <c r="AC4782">
        <v>293.26</v>
      </c>
      <c r="AD4782">
        <v>0</v>
      </c>
      <c r="AE4782">
        <v>40.04</v>
      </c>
      <c r="AF4782">
        <v>0</v>
      </c>
      <c r="AG4782">
        <v>0</v>
      </c>
      <c r="AH4782">
        <v>0</v>
      </c>
      <c r="AI4782">
        <v>59.99</v>
      </c>
      <c r="AJ4782">
        <v>333.3</v>
      </c>
      <c r="AK4782">
        <v>0</v>
      </c>
      <c r="AL4782" t="s">
        <v>53</v>
      </c>
      <c r="AM4782" t="s">
        <v>53</v>
      </c>
      <c r="AN4782" t="s">
        <v>53</v>
      </c>
      <c r="AO4782" t="s">
        <v>53</v>
      </c>
      <c r="AP4782" t="s">
        <v>53</v>
      </c>
    </row>
    <row r="4783" spans="2:42" x14ac:dyDescent="0.2">
      <c r="B4783" t="s">
        <v>44</v>
      </c>
      <c r="C4783" t="str">
        <f>HYPERLINK("https://us2.cloudbeds.com/connect/8493803454333002#/reservations/9080486846016062?display=29Q636YDFF&amp;reservation_id=9080486846016062", "29Q636YDFF")</f>
        <v>29Q636YDFF</v>
      </c>
      <c r="D4783" t="s">
        <v>45</v>
      </c>
      <c r="E4783" t="s">
        <v>265</v>
      </c>
      <c r="F4783" t="s">
        <v>61</v>
      </c>
      <c r="G4783" t="s">
        <v>48</v>
      </c>
      <c r="H4783" t="s">
        <v>49</v>
      </c>
      <c r="I4783" t="s">
        <v>50</v>
      </c>
      <c r="J4783" t="s">
        <v>5431</v>
      </c>
      <c r="K4783" t="s">
        <v>6335</v>
      </c>
      <c r="L4783" t="s">
        <v>53</v>
      </c>
      <c r="N4783" t="s">
        <v>8386</v>
      </c>
      <c r="P4783" t="s">
        <v>55</v>
      </c>
      <c r="R4783" t="s">
        <v>53</v>
      </c>
      <c r="T4783" t="s">
        <v>8387</v>
      </c>
      <c r="U4783" t="s">
        <v>58</v>
      </c>
      <c r="V4783">
        <v>1</v>
      </c>
      <c r="W4783">
        <v>1</v>
      </c>
      <c r="X4783">
        <v>2</v>
      </c>
      <c r="Y4783">
        <v>0</v>
      </c>
      <c r="Z4783">
        <v>2</v>
      </c>
      <c r="AA4783">
        <v>162.63</v>
      </c>
      <c r="AB4783">
        <v>162.63</v>
      </c>
      <c r="AC4783">
        <v>143.1</v>
      </c>
      <c r="AD4783">
        <v>0</v>
      </c>
      <c r="AE4783">
        <v>19.53</v>
      </c>
      <c r="AF4783">
        <v>0</v>
      </c>
      <c r="AG4783">
        <v>0</v>
      </c>
      <c r="AH4783">
        <v>0</v>
      </c>
      <c r="AI4783">
        <v>29.27</v>
      </c>
      <c r="AJ4783">
        <v>162.63</v>
      </c>
      <c r="AK4783">
        <v>0</v>
      </c>
      <c r="AL4783" t="s">
        <v>53</v>
      </c>
      <c r="AM4783" t="s">
        <v>53</v>
      </c>
      <c r="AN4783" t="s">
        <v>53</v>
      </c>
      <c r="AO4783" t="s">
        <v>53</v>
      </c>
      <c r="AP4783" t="s">
        <v>53</v>
      </c>
    </row>
    <row r="4784" spans="2:42" x14ac:dyDescent="0.2">
      <c r="B4784" t="s">
        <v>44</v>
      </c>
      <c r="C4784" t="str">
        <f>HYPERLINK("https://us2.cloudbeds.com/connect/8493803454333002#/reservations/9080486846018381?display=29UXGWCB0X&amp;reservation_id=9080486846018381", "29UXGWCB0X")</f>
        <v>29UXGWCB0X</v>
      </c>
      <c r="D4784" t="s">
        <v>45</v>
      </c>
      <c r="E4784" t="s">
        <v>155</v>
      </c>
      <c r="F4784" t="s">
        <v>86</v>
      </c>
      <c r="G4784" t="s">
        <v>48</v>
      </c>
      <c r="H4784" t="s">
        <v>49</v>
      </c>
      <c r="I4784" t="s">
        <v>50</v>
      </c>
      <c r="J4784" t="s">
        <v>7276</v>
      </c>
      <c r="K4784" t="s">
        <v>7302</v>
      </c>
      <c r="L4784" t="s">
        <v>53</v>
      </c>
      <c r="N4784" t="s">
        <v>8388</v>
      </c>
      <c r="P4784" t="s">
        <v>55</v>
      </c>
      <c r="R4784" t="s">
        <v>53</v>
      </c>
      <c r="T4784" t="s">
        <v>8389</v>
      </c>
      <c r="U4784" t="s">
        <v>58</v>
      </c>
      <c r="V4784">
        <v>2</v>
      </c>
      <c r="W4784">
        <v>1</v>
      </c>
      <c r="X4784">
        <v>3</v>
      </c>
      <c r="Y4784">
        <v>0</v>
      </c>
      <c r="Z4784">
        <v>3</v>
      </c>
      <c r="AA4784">
        <v>372.32</v>
      </c>
      <c r="AB4784">
        <v>372.32</v>
      </c>
      <c r="AC4784">
        <v>327.60000000000002</v>
      </c>
      <c r="AD4784">
        <v>0</v>
      </c>
      <c r="AE4784">
        <v>44.72</v>
      </c>
      <c r="AF4784">
        <v>0</v>
      </c>
      <c r="AG4784">
        <v>0</v>
      </c>
      <c r="AH4784">
        <v>0</v>
      </c>
      <c r="AI4784">
        <v>67.02</v>
      </c>
      <c r="AJ4784">
        <v>372.32</v>
      </c>
      <c r="AK4784">
        <v>0</v>
      </c>
      <c r="AL4784" t="s">
        <v>53</v>
      </c>
      <c r="AM4784" t="s">
        <v>53</v>
      </c>
      <c r="AN4784" t="s">
        <v>53</v>
      </c>
      <c r="AO4784" t="s">
        <v>53</v>
      </c>
      <c r="AP4784" t="s">
        <v>53</v>
      </c>
    </row>
    <row r="4785" spans="2:42" x14ac:dyDescent="0.2">
      <c r="B4785" t="s">
        <v>44</v>
      </c>
      <c r="C4785" t="str">
        <f>HYPERLINK("https://us2.cloudbeds.com/connect/8493803454333002#/reservations/106796748050624?display=29UT2EQ97V&amp;reservation_id=106796748050624", "29UT2EQ97V")</f>
        <v>29UT2EQ97V</v>
      </c>
      <c r="D4785" t="s">
        <v>45</v>
      </c>
      <c r="E4785" t="s">
        <v>179</v>
      </c>
      <c r="F4785" t="s">
        <v>47</v>
      </c>
      <c r="G4785" t="s">
        <v>3974</v>
      </c>
      <c r="H4785" t="s">
        <v>3957</v>
      </c>
      <c r="I4785" t="s">
        <v>3975</v>
      </c>
      <c r="J4785" t="s">
        <v>6487</v>
      </c>
      <c r="K4785" t="s">
        <v>4443</v>
      </c>
      <c r="L4785" t="s">
        <v>53</v>
      </c>
      <c r="P4785" t="s">
        <v>55</v>
      </c>
      <c r="R4785" t="s">
        <v>53</v>
      </c>
      <c r="T4785" t="s">
        <v>8390</v>
      </c>
      <c r="U4785" t="s">
        <v>58</v>
      </c>
      <c r="V4785">
        <v>1</v>
      </c>
      <c r="W4785">
        <v>1</v>
      </c>
      <c r="X4785">
        <v>1</v>
      </c>
      <c r="Y4785">
        <v>0</v>
      </c>
      <c r="Z4785">
        <v>1</v>
      </c>
      <c r="AA4785">
        <v>155.47999999999999</v>
      </c>
      <c r="AB4785">
        <v>155.47999999999999</v>
      </c>
      <c r="AC4785">
        <v>136.80000000000001</v>
      </c>
      <c r="AD4785">
        <v>0</v>
      </c>
      <c r="AE4785">
        <v>18.68</v>
      </c>
      <c r="AF4785">
        <v>0</v>
      </c>
      <c r="AG4785">
        <v>0</v>
      </c>
      <c r="AH4785">
        <v>0</v>
      </c>
      <c r="AI4785">
        <v>0</v>
      </c>
      <c r="AJ4785">
        <v>155.47999999999999</v>
      </c>
      <c r="AK4785">
        <v>0</v>
      </c>
      <c r="AL4785" t="s">
        <v>53</v>
      </c>
      <c r="AM4785" t="s">
        <v>53</v>
      </c>
      <c r="AN4785" t="s">
        <v>53</v>
      </c>
      <c r="AO4785" t="s">
        <v>53</v>
      </c>
      <c r="AP4785" t="s">
        <v>53</v>
      </c>
    </row>
    <row r="4786" spans="2:42" x14ac:dyDescent="0.2">
      <c r="B4786" t="s">
        <v>44</v>
      </c>
      <c r="C4786" t="str">
        <f>HYPERLINK("https://us2.cloudbeds.com/connect/8493803454333002#/reservations/9080486846018738?display=29V0EVQ6JG&amp;reservation_id=9080486846018738", "29V0EVQ6JG")</f>
        <v>29V0EVQ6JG</v>
      </c>
      <c r="D4786" t="s">
        <v>45</v>
      </c>
      <c r="E4786" t="s">
        <v>128</v>
      </c>
      <c r="F4786" t="s">
        <v>86</v>
      </c>
      <c r="G4786" t="s">
        <v>48</v>
      </c>
      <c r="H4786" t="s">
        <v>49</v>
      </c>
      <c r="I4786" t="s">
        <v>62</v>
      </c>
      <c r="J4786" t="s">
        <v>7803</v>
      </c>
      <c r="K4786" t="s">
        <v>8391</v>
      </c>
      <c r="L4786" t="s">
        <v>53</v>
      </c>
      <c r="N4786" t="s">
        <v>8392</v>
      </c>
      <c r="P4786" t="s">
        <v>55</v>
      </c>
      <c r="R4786" t="s">
        <v>56</v>
      </c>
      <c r="T4786" t="s">
        <v>8393</v>
      </c>
      <c r="U4786" t="s">
        <v>55</v>
      </c>
      <c r="V4786">
        <v>1</v>
      </c>
      <c r="W4786">
        <v>1</v>
      </c>
      <c r="X4786">
        <v>2</v>
      </c>
      <c r="Y4786">
        <v>0</v>
      </c>
      <c r="Z4786">
        <v>2</v>
      </c>
      <c r="AA4786">
        <v>175</v>
      </c>
      <c r="AB4786">
        <v>175</v>
      </c>
      <c r="AC4786">
        <v>175</v>
      </c>
      <c r="AD4786">
        <v>0</v>
      </c>
      <c r="AE4786">
        <v>0</v>
      </c>
      <c r="AF4786">
        <v>0</v>
      </c>
      <c r="AG4786">
        <v>0</v>
      </c>
      <c r="AH4786">
        <v>0</v>
      </c>
      <c r="AI4786">
        <v>31.5</v>
      </c>
      <c r="AJ4786">
        <v>175</v>
      </c>
      <c r="AK4786">
        <v>0</v>
      </c>
      <c r="AL4786" t="s">
        <v>53</v>
      </c>
      <c r="AM4786" t="s">
        <v>53</v>
      </c>
      <c r="AN4786" t="s">
        <v>53</v>
      </c>
      <c r="AO4786" t="s">
        <v>53</v>
      </c>
      <c r="AP4786" t="s">
        <v>53</v>
      </c>
    </row>
    <row r="4787" spans="2:42" x14ac:dyDescent="0.2">
      <c r="B4787" t="s">
        <v>44</v>
      </c>
      <c r="C4787" t="str">
        <f>HYPERLINK("https://us2.cloudbeds.com/connect/8493803454333002#/reservations/9080486846020350?display=29WKSVHPVU&amp;reservation_id=9080486846020350", "29WKSVHPVU")</f>
        <v>29WKSVHPVU</v>
      </c>
      <c r="D4787" t="s">
        <v>45</v>
      </c>
      <c r="E4787" t="s">
        <v>85</v>
      </c>
      <c r="F4787" t="s">
        <v>86</v>
      </c>
      <c r="G4787" t="s">
        <v>48</v>
      </c>
      <c r="H4787" t="s">
        <v>49</v>
      </c>
      <c r="I4787" t="s">
        <v>50</v>
      </c>
      <c r="J4787" t="s">
        <v>8394</v>
      </c>
      <c r="K4787" t="s">
        <v>7624</v>
      </c>
      <c r="L4787" t="s">
        <v>53</v>
      </c>
      <c r="N4787" t="s">
        <v>8395</v>
      </c>
      <c r="P4787" t="s">
        <v>55</v>
      </c>
      <c r="R4787" t="s">
        <v>53</v>
      </c>
      <c r="T4787" t="s">
        <v>8396</v>
      </c>
      <c r="U4787" t="s">
        <v>58</v>
      </c>
      <c r="V4787">
        <v>2</v>
      </c>
      <c r="W4787">
        <v>1</v>
      </c>
      <c r="X4787">
        <v>3</v>
      </c>
      <c r="Y4787">
        <v>0</v>
      </c>
      <c r="Z4787">
        <v>3</v>
      </c>
      <c r="AA4787">
        <v>333.69</v>
      </c>
      <c r="AB4787">
        <v>333.69</v>
      </c>
      <c r="AC4787">
        <v>293.60000000000002</v>
      </c>
      <c r="AD4787">
        <v>0</v>
      </c>
      <c r="AE4787">
        <v>40.090000000000003</v>
      </c>
      <c r="AF4787">
        <v>0</v>
      </c>
      <c r="AG4787">
        <v>0</v>
      </c>
      <c r="AH4787">
        <v>0</v>
      </c>
      <c r="AI4787">
        <v>60.06</v>
      </c>
      <c r="AJ4787">
        <v>333.69</v>
      </c>
      <c r="AK4787">
        <v>0</v>
      </c>
      <c r="AL4787" t="s">
        <v>53</v>
      </c>
      <c r="AM4787" t="s">
        <v>53</v>
      </c>
      <c r="AN4787" t="s">
        <v>53</v>
      </c>
      <c r="AO4787" t="s">
        <v>53</v>
      </c>
      <c r="AP4787" t="s">
        <v>53</v>
      </c>
    </row>
    <row r="4788" spans="2:42" x14ac:dyDescent="0.2">
      <c r="B4788" t="s">
        <v>44</v>
      </c>
      <c r="C4788" t="str">
        <f>HYPERLINK("https://us2.cloudbeds.com/connect/8493803454333002#/reservations/9080486846020513?display=29WT5XBHME&amp;reservation_id=9080486846020513", "29WT5XBHME")</f>
        <v>29WT5XBHME</v>
      </c>
      <c r="D4788" t="s">
        <v>45</v>
      </c>
      <c r="E4788" t="s">
        <v>128</v>
      </c>
      <c r="F4788" t="s">
        <v>86</v>
      </c>
      <c r="G4788" t="s">
        <v>48</v>
      </c>
      <c r="H4788" t="s">
        <v>49</v>
      </c>
      <c r="I4788" t="s">
        <v>50</v>
      </c>
      <c r="J4788" t="s">
        <v>5431</v>
      </c>
      <c r="K4788" t="s">
        <v>6335</v>
      </c>
      <c r="L4788" t="s">
        <v>53</v>
      </c>
      <c r="N4788" t="s">
        <v>8397</v>
      </c>
      <c r="P4788" t="s">
        <v>55</v>
      </c>
      <c r="R4788" t="s">
        <v>53</v>
      </c>
      <c r="T4788" t="s">
        <v>8398</v>
      </c>
      <c r="U4788" t="s">
        <v>58</v>
      </c>
      <c r="V4788">
        <v>1</v>
      </c>
      <c r="W4788">
        <v>1</v>
      </c>
      <c r="X4788">
        <v>3</v>
      </c>
      <c r="Y4788">
        <v>1</v>
      </c>
      <c r="Z4788">
        <v>4</v>
      </c>
      <c r="AA4788">
        <v>172.86</v>
      </c>
      <c r="AB4788">
        <v>172.86</v>
      </c>
      <c r="AC4788">
        <v>152.1</v>
      </c>
      <c r="AD4788">
        <v>0</v>
      </c>
      <c r="AE4788">
        <v>20.76</v>
      </c>
      <c r="AF4788">
        <v>0</v>
      </c>
      <c r="AG4788">
        <v>0</v>
      </c>
      <c r="AH4788">
        <v>0</v>
      </c>
      <c r="AI4788">
        <v>31.11</v>
      </c>
      <c r="AJ4788">
        <v>172.86</v>
      </c>
      <c r="AK4788">
        <v>0</v>
      </c>
      <c r="AL4788" t="s">
        <v>53</v>
      </c>
      <c r="AM4788" t="s">
        <v>53</v>
      </c>
      <c r="AN4788" t="s">
        <v>53</v>
      </c>
      <c r="AO4788" t="s">
        <v>53</v>
      </c>
      <c r="AP4788" t="s">
        <v>53</v>
      </c>
    </row>
    <row r="4789" spans="2:42" x14ac:dyDescent="0.2">
      <c r="B4789" t="s">
        <v>44</v>
      </c>
      <c r="C4789" t="str">
        <f>HYPERLINK("https://us2.cloudbeds.com/connect/8493803454333002#/reservations/106884507648183?display=29WV0U0XHB&amp;reservation_id=106884507648183", "29WV0U0XHB")</f>
        <v>29WV0U0XHB</v>
      </c>
      <c r="D4789" t="s">
        <v>45</v>
      </c>
      <c r="E4789" t="s">
        <v>223</v>
      </c>
      <c r="F4789" t="s">
        <v>47</v>
      </c>
      <c r="G4789" t="s">
        <v>48</v>
      </c>
      <c r="H4789" t="s">
        <v>3957</v>
      </c>
      <c r="I4789" t="s">
        <v>3958</v>
      </c>
      <c r="J4789" t="s">
        <v>6586</v>
      </c>
      <c r="K4789" t="s">
        <v>5967</v>
      </c>
      <c r="L4789" t="s">
        <v>53</v>
      </c>
      <c r="P4789" t="s">
        <v>55</v>
      </c>
      <c r="R4789" t="s">
        <v>56</v>
      </c>
      <c r="T4789" t="s">
        <v>8399</v>
      </c>
      <c r="U4789" t="s">
        <v>58</v>
      </c>
      <c r="V4789">
        <v>1</v>
      </c>
      <c r="W4789">
        <v>1</v>
      </c>
      <c r="X4789">
        <v>1</v>
      </c>
      <c r="Y4789">
        <v>0</v>
      </c>
      <c r="Z4789">
        <v>1</v>
      </c>
      <c r="AA4789">
        <v>135.25</v>
      </c>
      <c r="AB4789">
        <v>135.25</v>
      </c>
      <c r="AC4789">
        <v>119</v>
      </c>
      <c r="AD4789">
        <v>0</v>
      </c>
      <c r="AE4789">
        <v>16.25</v>
      </c>
      <c r="AF4789">
        <v>0</v>
      </c>
      <c r="AG4789">
        <v>0</v>
      </c>
      <c r="AH4789">
        <v>0</v>
      </c>
      <c r="AI4789">
        <v>0</v>
      </c>
      <c r="AJ4789">
        <v>135.25</v>
      </c>
      <c r="AK4789">
        <v>0</v>
      </c>
      <c r="AL4789" t="s">
        <v>53</v>
      </c>
      <c r="AM4789" t="s">
        <v>53</v>
      </c>
      <c r="AN4789" t="s">
        <v>53</v>
      </c>
      <c r="AO4789" t="s">
        <v>53</v>
      </c>
      <c r="AP4789" t="s">
        <v>53</v>
      </c>
    </row>
    <row r="4790" spans="2:42" x14ac:dyDescent="0.2">
      <c r="B4790" t="s">
        <v>44</v>
      </c>
      <c r="C4790" t="str">
        <f>HYPERLINK("https://us2.cloudbeds.com/connect/8493803454333002#/reservations/9080486846020606?display=2A01E8068X&amp;reservation_id=9080486846020606", "2A01E8068X")</f>
        <v>2A01E8068X</v>
      </c>
      <c r="D4790" t="s">
        <v>45</v>
      </c>
      <c r="E4790" t="s">
        <v>223</v>
      </c>
      <c r="F4790" t="s">
        <v>47</v>
      </c>
      <c r="G4790" t="s">
        <v>48</v>
      </c>
      <c r="H4790" t="s">
        <v>49</v>
      </c>
      <c r="I4790" t="s">
        <v>62</v>
      </c>
      <c r="J4790" t="s">
        <v>5430</v>
      </c>
      <c r="K4790" t="s">
        <v>5431</v>
      </c>
      <c r="L4790" t="s">
        <v>53</v>
      </c>
      <c r="N4790" t="s">
        <v>8400</v>
      </c>
      <c r="P4790" t="s">
        <v>55</v>
      </c>
      <c r="R4790" t="s">
        <v>56</v>
      </c>
      <c r="T4790" t="s">
        <v>8401</v>
      </c>
      <c r="U4790" t="s">
        <v>55</v>
      </c>
      <c r="V4790">
        <v>1</v>
      </c>
      <c r="W4790">
        <v>1</v>
      </c>
      <c r="X4790">
        <v>2</v>
      </c>
      <c r="Y4790">
        <v>0</v>
      </c>
      <c r="Z4790">
        <v>2</v>
      </c>
      <c r="AA4790">
        <v>142</v>
      </c>
      <c r="AB4790">
        <v>142</v>
      </c>
      <c r="AC4790">
        <v>142</v>
      </c>
      <c r="AD4790">
        <v>0</v>
      </c>
      <c r="AE4790">
        <v>0</v>
      </c>
      <c r="AF4790">
        <v>0</v>
      </c>
      <c r="AG4790">
        <v>0</v>
      </c>
      <c r="AH4790">
        <v>0</v>
      </c>
      <c r="AI4790">
        <v>25.56</v>
      </c>
      <c r="AJ4790">
        <v>142</v>
      </c>
      <c r="AK4790">
        <v>0</v>
      </c>
      <c r="AL4790" t="s">
        <v>53</v>
      </c>
      <c r="AM4790" t="s">
        <v>53</v>
      </c>
      <c r="AN4790" t="s">
        <v>53</v>
      </c>
      <c r="AO4790" t="s">
        <v>53</v>
      </c>
      <c r="AP4790" t="s">
        <v>53</v>
      </c>
    </row>
    <row r="4791" spans="2:42" x14ac:dyDescent="0.2">
      <c r="B4791" t="s">
        <v>44</v>
      </c>
      <c r="C4791" t="str">
        <f>HYPERLINK("https://us2.cloudbeds.com/connect/8493803454333002#/reservations/9080486846020903?display=2A0J4S90X5&amp;reservation_id=9080486846020903", "2A0J4S90X5")</f>
        <v>2A0J4S90X5</v>
      </c>
      <c r="D4791" t="s">
        <v>45</v>
      </c>
      <c r="E4791" t="s">
        <v>46</v>
      </c>
      <c r="F4791" t="s">
        <v>47</v>
      </c>
      <c r="G4791" t="s">
        <v>48</v>
      </c>
      <c r="H4791" t="s">
        <v>49</v>
      </c>
      <c r="I4791" t="s">
        <v>50</v>
      </c>
      <c r="J4791" t="s">
        <v>6586</v>
      </c>
      <c r="K4791" t="s">
        <v>5967</v>
      </c>
      <c r="L4791" t="s">
        <v>53</v>
      </c>
      <c r="N4791" t="s">
        <v>8402</v>
      </c>
      <c r="P4791" t="s">
        <v>55</v>
      </c>
      <c r="R4791" t="s">
        <v>53</v>
      </c>
      <c r="T4791" t="s">
        <v>8403</v>
      </c>
      <c r="U4791" t="s">
        <v>58</v>
      </c>
      <c r="V4791">
        <v>1</v>
      </c>
      <c r="W4791">
        <v>1</v>
      </c>
      <c r="X4791">
        <v>2</v>
      </c>
      <c r="Y4791">
        <v>0</v>
      </c>
      <c r="Z4791">
        <v>2</v>
      </c>
      <c r="AA4791">
        <v>121.72</v>
      </c>
      <c r="AB4791">
        <v>121.72</v>
      </c>
      <c r="AC4791">
        <v>107.1</v>
      </c>
      <c r="AD4791">
        <v>0</v>
      </c>
      <c r="AE4791">
        <v>14.62</v>
      </c>
      <c r="AF4791">
        <v>0</v>
      </c>
      <c r="AG4791">
        <v>0</v>
      </c>
      <c r="AH4791">
        <v>0</v>
      </c>
      <c r="AI4791">
        <v>21.91</v>
      </c>
      <c r="AJ4791">
        <v>121.72</v>
      </c>
      <c r="AK4791">
        <v>0</v>
      </c>
      <c r="AL4791" t="s">
        <v>53</v>
      </c>
      <c r="AM4791" t="s">
        <v>53</v>
      </c>
      <c r="AN4791" t="s">
        <v>53</v>
      </c>
      <c r="AO4791" t="s">
        <v>53</v>
      </c>
      <c r="AP4791" t="s">
        <v>53</v>
      </c>
    </row>
    <row r="4792" spans="2:42" x14ac:dyDescent="0.2">
      <c r="B4792" t="s">
        <v>44</v>
      </c>
      <c r="C4792" t="str">
        <f>HYPERLINK("https://us2.cloudbeds.com/connect/8493803454333002#/reservations/106918199234769?display=2A0Z3QYKXK&amp;reservation_id=106918199234769", "2A0Z3QYKXK")</f>
        <v>2A0Z3QYKXK</v>
      </c>
      <c r="D4792" t="s">
        <v>45</v>
      </c>
      <c r="E4792" t="s">
        <v>8404</v>
      </c>
      <c r="F4792" t="s">
        <v>61</v>
      </c>
      <c r="G4792" t="s">
        <v>48</v>
      </c>
      <c r="H4792" t="s">
        <v>3957</v>
      </c>
      <c r="I4792" t="s">
        <v>3958</v>
      </c>
      <c r="J4792" t="s">
        <v>6586</v>
      </c>
      <c r="K4792" t="s">
        <v>5967</v>
      </c>
      <c r="L4792" t="s">
        <v>53</v>
      </c>
      <c r="P4792" t="s">
        <v>55</v>
      </c>
      <c r="R4792" t="s">
        <v>56</v>
      </c>
      <c r="T4792" t="s">
        <v>8405</v>
      </c>
      <c r="U4792" t="s">
        <v>58</v>
      </c>
      <c r="V4792">
        <v>2</v>
      </c>
      <c r="W4792">
        <v>2</v>
      </c>
      <c r="X4792">
        <v>2</v>
      </c>
      <c r="Y4792">
        <v>0</v>
      </c>
      <c r="Z4792">
        <v>2</v>
      </c>
      <c r="AA4792">
        <v>304.60000000000002</v>
      </c>
      <c r="AB4792">
        <v>304.60000000000002</v>
      </c>
      <c r="AC4792">
        <v>268</v>
      </c>
      <c r="AD4792">
        <v>0</v>
      </c>
      <c r="AE4792">
        <v>36.6</v>
      </c>
      <c r="AF4792">
        <v>0</v>
      </c>
      <c r="AG4792">
        <v>0</v>
      </c>
      <c r="AH4792">
        <v>0</v>
      </c>
      <c r="AI4792">
        <v>0</v>
      </c>
      <c r="AJ4792">
        <v>304.60000000000002</v>
      </c>
      <c r="AK4792">
        <v>0</v>
      </c>
      <c r="AL4792" t="s">
        <v>53</v>
      </c>
      <c r="AM4792" t="s">
        <v>53</v>
      </c>
      <c r="AN4792" t="s">
        <v>53</v>
      </c>
      <c r="AO4792" t="s">
        <v>53</v>
      </c>
      <c r="AP4792" t="s">
        <v>53</v>
      </c>
    </row>
    <row r="4793" spans="2:42" x14ac:dyDescent="0.2">
      <c r="B4793" t="s">
        <v>44</v>
      </c>
      <c r="C4793" t="str">
        <f>HYPERLINK("https://us2.cloudbeds.com/connect/8493803454333002#/reservations/9080486846021123?display=2A0V8KKQRU&amp;reservation_id=9080486846021123", "2A0V8KKQRU")</f>
        <v>2A0V8KKQRU</v>
      </c>
      <c r="D4793" t="s">
        <v>45</v>
      </c>
      <c r="E4793" t="s">
        <v>190</v>
      </c>
      <c r="F4793" t="s">
        <v>61</v>
      </c>
      <c r="G4793" t="s">
        <v>48</v>
      </c>
      <c r="H4793" t="s">
        <v>49</v>
      </c>
      <c r="I4793" t="s">
        <v>50</v>
      </c>
      <c r="J4793" t="s">
        <v>6586</v>
      </c>
      <c r="K4793" t="s">
        <v>5967</v>
      </c>
      <c r="L4793" t="s">
        <v>53</v>
      </c>
      <c r="N4793" t="s">
        <v>8406</v>
      </c>
      <c r="P4793" t="s">
        <v>55</v>
      </c>
      <c r="R4793" t="s">
        <v>53</v>
      </c>
      <c r="T4793" t="s">
        <v>8407</v>
      </c>
      <c r="U4793" t="s">
        <v>58</v>
      </c>
      <c r="V4793">
        <v>1</v>
      </c>
      <c r="W4793">
        <v>1</v>
      </c>
      <c r="X4793">
        <v>2</v>
      </c>
      <c r="Y4793">
        <v>0</v>
      </c>
      <c r="Z4793">
        <v>2</v>
      </c>
      <c r="AA4793">
        <v>129.44999999999999</v>
      </c>
      <c r="AB4793">
        <v>129.44999999999999</v>
      </c>
      <c r="AC4793">
        <v>113.9</v>
      </c>
      <c r="AD4793">
        <v>0</v>
      </c>
      <c r="AE4793">
        <v>15.55</v>
      </c>
      <c r="AF4793">
        <v>0</v>
      </c>
      <c r="AG4793">
        <v>0</v>
      </c>
      <c r="AH4793">
        <v>0</v>
      </c>
      <c r="AI4793">
        <v>23.3</v>
      </c>
      <c r="AJ4793">
        <v>129.44999999999999</v>
      </c>
      <c r="AK4793">
        <v>0</v>
      </c>
      <c r="AL4793" t="s">
        <v>53</v>
      </c>
      <c r="AM4793" t="s">
        <v>53</v>
      </c>
      <c r="AN4793" t="s">
        <v>53</v>
      </c>
      <c r="AO4793" t="s">
        <v>53</v>
      </c>
      <c r="AP4793" t="s">
        <v>53</v>
      </c>
    </row>
    <row r="4794" spans="2:42" x14ac:dyDescent="0.2">
      <c r="B4794" t="s">
        <v>44</v>
      </c>
      <c r="C4794" t="str">
        <f>HYPERLINK("https://us2.cloudbeds.com/connect/8493803454333002#/reservations/106929577509018?display=2A0WUX3SUW&amp;reservation_id=106929577509018", "2A0WUX3SUW")</f>
        <v>2A0WUX3SUW</v>
      </c>
      <c r="D4794" t="s">
        <v>45</v>
      </c>
      <c r="E4794" t="s">
        <v>487</v>
      </c>
      <c r="F4794" t="s">
        <v>61</v>
      </c>
      <c r="G4794" t="s">
        <v>48</v>
      </c>
      <c r="H4794" t="s">
        <v>3957</v>
      </c>
      <c r="I4794" t="s">
        <v>3975</v>
      </c>
      <c r="J4794" t="s">
        <v>6586</v>
      </c>
      <c r="K4794" t="s">
        <v>5967</v>
      </c>
      <c r="L4794" t="s">
        <v>53</v>
      </c>
      <c r="P4794" t="s">
        <v>55</v>
      </c>
      <c r="R4794" t="s">
        <v>53</v>
      </c>
      <c r="T4794" t="s">
        <v>8408</v>
      </c>
      <c r="U4794" t="s">
        <v>58</v>
      </c>
      <c r="V4794">
        <v>1</v>
      </c>
      <c r="W4794">
        <v>1</v>
      </c>
      <c r="X4794">
        <v>2</v>
      </c>
      <c r="Y4794">
        <v>0</v>
      </c>
      <c r="Z4794">
        <v>2</v>
      </c>
      <c r="AA4794">
        <v>152.30000000000001</v>
      </c>
      <c r="AB4794">
        <v>152.30000000000001</v>
      </c>
      <c r="AC4794">
        <v>134</v>
      </c>
      <c r="AD4794">
        <v>0</v>
      </c>
      <c r="AE4794">
        <v>18.3</v>
      </c>
      <c r="AF4794">
        <v>0</v>
      </c>
      <c r="AG4794">
        <v>0</v>
      </c>
      <c r="AH4794">
        <v>0</v>
      </c>
      <c r="AI4794">
        <v>0</v>
      </c>
      <c r="AJ4794">
        <v>152.30000000000001</v>
      </c>
      <c r="AK4794">
        <v>0</v>
      </c>
      <c r="AL4794" t="s">
        <v>53</v>
      </c>
      <c r="AM4794" t="s">
        <v>53</v>
      </c>
      <c r="AN4794" t="s">
        <v>53</v>
      </c>
      <c r="AO4794" t="s">
        <v>53</v>
      </c>
      <c r="AP4794" t="s">
        <v>53</v>
      </c>
    </row>
    <row r="4795" spans="2:42" x14ac:dyDescent="0.2">
      <c r="B4795" t="s">
        <v>44</v>
      </c>
      <c r="C4795" t="str">
        <f>HYPERLINK("https://us2.cloudbeds.com/connect/8493803454333002#/reservations/106939883270308?display=2A17TT6SUY&amp;reservation_id=106939883270308", "2A17TT6SUY")</f>
        <v>2A17TT6SUY</v>
      </c>
      <c r="D4795" t="s">
        <v>45</v>
      </c>
      <c r="E4795" t="s">
        <v>373</v>
      </c>
      <c r="F4795" t="s">
        <v>47</v>
      </c>
      <c r="G4795" t="s">
        <v>48</v>
      </c>
      <c r="H4795" t="s">
        <v>3957</v>
      </c>
      <c r="I4795" t="s">
        <v>3958</v>
      </c>
      <c r="J4795" t="s">
        <v>6586</v>
      </c>
      <c r="K4795" t="s">
        <v>5967</v>
      </c>
      <c r="L4795" t="s">
        <v>53</v>
      </c>
      <c r="P4795" t="s">
        <v>55</v>
      </c>
      <c r="R4795" t="s">
        <v>56</v>
      </c>
      <c r="T4795" t="s">
        <v>8409</v>
      </c>
      <c r="U4795" t="s">
        <v>58</v>
      </c>
      <c r="V4795">
        <v>1</v>
      </c>
      <c r="W4795">
        <v>1</v>
      </c>
      <c r="X4795">
        <v>1</v>
      </c>
      <c r="Y4795">
        <v>0</v>
      </c>
      <c r="Z4795">
        <v>1</v>
      </c>
      <c r="AA4795">
        <v>135.25</v>
      </c>
      <c r="AB4795">
        <v>135.25</v>
      </c>
      <c r="AC4795">
        <v>119</v>
      </c>
      <c r="AD4795">
        <v>0</v>
      </c>
      <c r="AE4795">
        <v>16.25</v>
      </c>
      <c r="AF4795">
        <v>0</v>
      </c>
      <c r="AG4795">
        <v>0</v>
      </c>
      <c r="AH4795">
        <v>0</v>
      </c>
      <c r="AI4795">
        <v>0</v>
      </c>
      <c r="AJ4795">
        <v>135.25</v>
      </c>
      <c r="AK4795">
        <v>0</v>
      </c>
      <c r="AL4795" t="s">
        <v>53</v>
      </c>
      <c r="AM4795" t="s">
        <v>53</v>
      </c>
      <c r="AN4795" t="s">
        <v>53</v>
      </c>
      <c r="AO4795" t="s">
        <v>53</v>
      </c>
      <c r="AP4795" t="s">
        <v>53</v>
      </c>
    </row>
    <row r="4796" spans="2:42" x14ac:dyDescent="0.2">
      <c r="B4796" t="s">
        <v>44</v>
      </c>
      <c r="C4796" t="str">
        <f>HYPERLINK("https://us2.cloudbeds.com/connect/8493803454333002#/reservations/9080486846021365?display=2A1B34T3T9&amp;reservation_id=9080486846021365", "2A1B34T3T9")</f>
        <v>2A1B34T3T9</v>
      </c>
      <c r="D4796" t="s">
        <v>45</v>
      </c>
      <c r="E4796" t="s">
        <v>3998</v>
      </c>
      <c r="F4796" t="s">
        <v>61</v>
      </c>
      <c r="G4796" t="s">
        <v>48</v>
      </c>
      <c r="H4796" t="s">
        <v>49</v>
      </c>
      <c r="I4796" t="s">
        <v>62</v>
      </c>
      <c r="J4796" t="s">
        <v>5967</v>
      </c>
      <c r="K4796" t="s">
        <v>5430</v>
      </c>
      <c r="L4796" t="s">
        <v>53</v>
      </c>
      <c r="N4796" t="s">
        <v>8410</v>
      </c>
      <c r="P4796" t="s">
        <v>55</v>
      </c>
      <c r="R4796" t="s">
        <v>56</v>
      </c>
      <c r="T4796" t="s">
        <v>8411</v>
      </c>
      <c r="U4796" t="s">
        <v>55</v>
      </c>
      <c r="V4796">
        <v>2</v>
      </c>
      <c r="W4796">
        <v>2</v>
      </c>
      <c r="X4796">
        <v>2</v>
      </c>
      <c r="Y4796">
        <v>0</v>
      </c>
      <c r="Z4796">
        <v>2</v>
      </c>
      <c r="AA4796">
        <v>308</v>
      </c>
      <c r="AB4796">
        <v>308</v>
      </c>
      <c r="AC4796">
        <v>308</v>
      </c>
      <c r="AD4796">
        <v>0</v>
      </c>
      <c r="AE4796">
        <v>0</v>
      </c>
      <c r="AF4796">
        <v>0</v>
      </c>
      <c r="AG4796">
        <v>0</v>
      </c>
      <c r="AH4796">
        <v>0</v>
      </c>
      <c r="AI4796">
        <v>55.44</v>
      </c>
      <c r="AJ4796">
        <v>308</v>
      </c>
      <c r="AK4796">
        <v>0</v>
      </c>
      <c r="AL4796" t="s">
        <v>53</v>
      </c>
      <c r="AM4796" t="s">
        <v>53</v>
      </c>
      <c r="AN4796" t="s">
        <v>53</v>
      </c>
      <c r="AO4796" t="s">
        <v>53</v>
      </c>
      <c r="AP4796" t="s">
        <v>53</v>
      </c>
    </row>
    <row r="4797" spans="2:42" x14ac:dyDescent="0.2">
      <c r="B4797" t="s">
        <v>44</v>
      </c>
      <c r="C4797" t="str">
        <f>HYPERLINK("https://us2.cloudbeds.com/connect/8493803454333002#/reservations/9080486846024356?display=2A63UT4NTP&amp;reservation_id=9080486846024356", "2A63UT4NTP")</f>
        <v>2A63UT4NTP</v>
      </c>
      <c r="D4797" t="s">
        <v>45</v>
      </c>
      <c r="E4797" t="s">
        <v>406</v>
      </c>
      <c r="F4797" t="s">
        <v>61</v>
      </c>
      <c r="G4797" t="s">
        <v>48</v>
      </c>
      <c r="H4797" t="s">
        <v>49</v>
      </c>
      <c r="I4797" t="s">
        <v>50</v>
      </c>
      <c r="J4797" t="s">
        <v>6922</v>
      </c>
      <c r="K4797" t="s">
        <v>4442</v>
      </c>
      <c r="L4797" t="s">
        <v>53</v>
      </c>
      <c r="N4797" t="s">
        <v>8412</v>
      </c>
      <c r="P4797" t="s">
        <v>55</v>
      </c>
      <c r="R4797" t="s">
        <v>53</v>
      </c>
      <c r="T4797" t="s">
        <v>8413</v>
      </c>
      <c r="U4797" t="s">
        <v>58</v>
      </c>
      <c r="V4797">
        <v>1</v>
      </c>
      <c r="W4797">
        <v>1</v>
      </c>
      <c r="X4797">
        <v>1</v>
      </c>
      <c r="Y4797">
        <v>0</v>
      </c>
      <c r="Z4797">
        <v>1</v>
      </c>
      <c r="AA4797">
        <v>128.19999999999999</v>
      </c>
      <c r="AB4797">
        <v>128.19999999999999</v>
      </c>
      <c r="AC4797">
        <v>112.8</v>
      </c>
      <c r="AD4797">
        <v>0</v>
      </c>
      <c r="AE4797">
        <v>15.4</v>
      </c>
      <c r="AF4797">
        <v>0</v>
      </c>
      <c r="AG4797">
        <v>0</v>
      </c>
      <c r="AH4797">
        <v>0</v>
      </c>
      <c r="AI4797">
        <v>23.08</v>
      </c>
      <c r="AJ4797">
        <v>128.19999999999999</v>
      </c>
      <c r="AK4797">
        <v>0</v>
      </c>
      <c r="AL4797" t="s">
        <v>53</v>
      </c>
      <c r="AM4797" t="s">
        <v>53</v>
      </c>
      <c r="AN4797" t="s">
        <v>53</v>
      </c>
      <c r="AO4797" t="s">
        <v>53</v>
      </c>
      <c r="AP4797" t="s">
        <v>53</v>
      </c>
    </row>
    <row r="4798" spans="2:42" x14ac:dyDescent="0.2">
      <c r="B4798" t="s">
        <v>44</v>
      </c>
      <c r="C4798" t="str">
        <f>HYPERLINK("https://us2.cloudbeds.com/connect/8493803454333002#/reservations/107174583001334?display=2A6ZY07SX1&amp;reservation_id=107174583001334", "2A6ZY07SX1")</f>
        <v>2A6ZY07SX1</v>
      </c>
      <c r="D4798" t="s">
        <v>45</v>
      </c>
      <c r="E4798" t="s">
        <v>373</v>
      </c>
      <c r="F4798" t="s">
        <v>47</v>
      </c>
      <c r="G4798" t="s">
        <v>7801</v>
      </c>
      <c r="H4798" t="s">
        <v>3957</v>
      </c>
      <c r="I4798" t="s">
        <v>3989</v>
      </c>
      <c r="J4798" t="s">
        <v>5967</v>
      </c>
      <c r="K4798" t="s">
        <v>5430</v>
      </c>
      <c r="L4798" t="s">
        <v>53</v>
      </c>
      <c r="P4798" t="s">
        <v>58</v>
      </c>
      <c r="R4798" t="s">
        <v>56</v>
      </c>
      <c r="T4798" t="s">
        <v>8414</v>
      </c>
      <c r="U4798" t="s">
        <v>58</v>
      </c>
      <c r="V4798">
        <v>1</v>
      </c>
      <c r="W4798">
        <v>1</v>
      </c>
      <c r="X4798">
        <v>1</v>
      </c>
      <c r="Y4798">
        <v>0</v>
      </c>
      <c r="Z4798">
        <v>1</v>
      </c>
      <c r="AA4798">
        <v>136.03</v>
      </c>
      <c r="AB4798">
        <v>136.03</v>
      </c>
      <c r="AC4798">
        <v>119.7</v>
      </c>
      <c r="AD4798">
        <v>0</v>
      </c>
      <c r="AE4798">
        <v>16.329999999999998</v>
      </c>
      <c r="AF4798">
        <v>0</v>
      </c>
      <c r="AG4798">
        <v>0</v>
      </c>
      <c r="AH4798">
        <v>0</v>
      </c>
      <c r="AI4798">
        <v>0</v>
      </c>
      <c r="AJ4798">
        <v>136.03</v>
      </c>
      <c r="AK4798">
        <v>0</v>
      </c>
      <c r="AL4798" t="s">
        <v>53</v>
      </c>
      <c r="AM4798" t="s">
        <v>53</v>
      </c>
      <c r="AN4798" t="s">
        <v>8415</v>
      </c>
      <c r="AO4798" t="s">
        <v>53</v>
      </c>
      <c r="AP4798" t="s">
        <v>53</v>
      </c>
    </row>
    <row r="4799" spans="2:42" x14ac:dyDescent="0.2">
      <c r="B4799" t="s">
        <v>44</v>
      </c>
      <c r="C4799" t="str">
        <f>HYPERLINK("https://us2.cloudbeds.com/connect/8493803454333002#/reservations/9080486846024944?display=2A6QDDRM6H&amp;reservation_id=9080486846024944", "2A6QDDRM6H")</f>
        <v>2A6QDDRM6H</v>
      </c>
      <c r="D4799" t="s">
        <v>45</v>
      </c>
      <c r="E4799" t="s">
        <v>223</v>
      </c>
      <c r="F4799" t="s">
        <v>47</v>
      </c>
      <c r="G4799" t="s">
        <v>48</v>
      </c>
      <c r="H4799" t="s">
        <v>49</v>
      </c>
      <c r="I4799" t="s">
        <v>50</v>
      </c>
      <c r="J4799" t="s">
        <v>4442</v>
      </c>
      <c r="K4799" t="s">
        <v>4443</v>
      </c>
      <c r="L4799" t="s">
        <v>53</v>
      </c>
      <c r="N4799" t="s">
        <v>8416</v>
      </c>
      <c r="P4799" t="s">
        <v>55</v>
      </c>
      <c r="R4799" t="s">
        <v>53</v>
      </c>
      <c r="T4799" t="s">
        <v>8417</v>
      </c>
      <c r="U4799" t="s">
        <v>58</v>
      </c>
      <c r="V4799">
        <v>2</v>
      </c>
      <c r="W4799">
        <v>1</v>
      </c>
      <c r="X4799">
        <v>2</v>
      </c>
      <c r="Y4799">
        <v>0</v>
      </c>
      <c r="Z4799">
        <v>2</v>
      </c>
      <c r="AA4799">
        <v>277.25</v>
      </c>
      <c r="AB4799">
        <v>277.25</v>
      </c>
      <c r="AC4799">
        <v>243.95</v>
      </c>
      <c r="AD4799">
        <v>0</v>
      </c>
      <c r="AE4799">
        <v>33.299999999999997</v>
      </c>
      <c r="AF4799">
        <v>0</v>
      </c>
      <c r="AG4799">
        <v>0</v>
      </c>
      <c r="AH4799">
        <v>0</v>
      </c>
      <c r="AI4799">
        <v>49.91</v>
      </c>
      <c r="AJ4799">
        <v>277.25</v>
      </c>
      <c r="AK4799">
        <v>0</v>
      </c>
      <c r="AL4799" t="s">
        <v>53</v>
      </c>
      <c r="AM4799" t="s">
        <v>53</v>
      </c>
      <c r="AN4799" t="s">
        <v>53</v>
      </c>
      <c r="AO4799" t="s">
        <v>53</v>
      </c>
      <c r="AP4799" t="s">
        <v>53</v>
      </c>
    </row>
    <row r="4800" spans="2:42" x14ac:dyDescent="0.2">
      <c r="B4800" t="s">
        <v>44</v>
      </c>
      <c r="C4800" t="str">
        <f>HYPERLINK("https://us2.cloudbeds.com/connect/8493803454333002#/reservations/9080486846025003?display=2A6T1QANG7&amp;reservation_id=9080486846025003", "2A6T1QANG7")</f>
        <v>2A6T1QANG7</v>
      </c>
      <c r="D4800" t="s">
        <v>45</v>
      </c>
      <c r="E4800" t="s">
        <v>128</v>
      </c>
      <c r="F4800" t="s">
        <v>86</v>
      </c>
      <c r="G4800" t="s">
        <v>48</v>
      </c>
      <c r="H4800" t="s">
        <v>49</v>
      </c>
      <c r="I4800" t="s">
        <v>50</v>
      </c>
      <c r="J4800" t="s">
        <v>7926</v>
      </c>
      <c r="K4800" t="s">
        <v>8249</v>
      </c>
      <c r="L4800" t="s">
        <v>53</v>
      </c>
      <c r="N4800" t="s">
        <v>8418</v>
      </c>
      <c r="P4800" t="s">
        <v>55</v>
      </c>
      <c r="R4800" t="s">
        <v>53</v>
      </c>
      <c r="T4800" t="s">
        <v>8419</v>
      </c>
      <c r="U4800" t="s">
        <v>58</v>
      </c>
      <c r="V4800">
        <v>1</v>
      </c>
      <c r="W4800">
        <v>1</v>
      </c>
      <c r="X4800">
        <v>4</v>
      </c>
      <c r="Y4800">
        <v>0</v>
      </c>
      <c r="Z4800">
        <v>4</v>
      </c>
      <c r="AA4800">
        <v>184.12</v>
      </c>
      <c r="AB4800">
        <v>184.12</v>
      </c>
      <c r="AC4800">
        <v>162</v>
      </c>
      <c r="AD4800">
        <v>0</v>
      </c>
      <c r="AE4800">
        <v>22.12</v>
      </c>
      <c r="AF4800">
        <v>0</v>
      </c>
      <c r="AG4800">
        <v>0</v>
      </c>
      <c r="AH4800">
        <v>0</v>
      </c>
      <c r="AI4800">
        <v>33.14</v>
      </c>
      <c r="AJ4800">
        <v>184.12</v>
      </c>
      <c r="AK4800">
        <v>0</v>
      </c>
      <c r="AL4800" t="s">
        <v>53</v>
      </c>
      <c r="AM4800" t="s">
        <v>53</v>
      </c>
      <c r="AN4800" t="s">
        <v>53</v>
      </c>
      <c r="AO4800" t="s">
        <v>53</v>
      </c>
      <c r="AP4800" t="s">
        <v>53</v>
      </c>
    </row>
    <row r="4801" spans="2:42" x14ac:dyDescent="0.2">
      <c r="B4801" t="s">
        <v>44</v>
      </c>
      <c r="C4801" t="str">
        <f>HYPERLINK("https://us2.cloudbeds.com/connect/8493803454333002#/reservations/9080486846025006?display=2A6T5XDMXP&amp;reservation_id=9080486846025006", "2A6T5XDMXP")</f>
        <v>2A6T5XDMXP</v>
      </c>
      <c r="D4801" t="s">
        <v>45</v>
      </c>
      <c r="E4801" t="s">
        <v>85</v>
      </c>
      <c r="F4801" t="s">
        <v>86</v>
      </c>
      <c r="G4801" t="s">
        <v>48</v>
      </c>
      <c r="H4801" t="s">
        <v>49</v>
      </c>
      <c r="I4801" t="s">
        <v>50</v>
      </c>
      <c r="J4801" t="s">
        <v>7926</v>
      </c>
      <c r="K4801" t="s">
        <v>8249</v>
      </c>
      <c r="L4801" t="s">
        <v>53</v>
      </c>
      <c r="N4801" t="s">
        <v>8420</v>
      </c>
      <c r="P4801" t="s">
        <v>55</v>
      </c>
      <c r="R4801" t="s">
        <v>53</v>
      </c>
      <c r="T4801" t="s">
        <v>8421</v>
      </c>
      <c r="U4801" t="s">
        <v>58</v>
      </c>
      <c r="V4801">
        <v>1</v>
      </c>
      <c r="W4801">
        <v>1</v>
      </c>
      <c r="X4801">
        <v>3</v>
      </c>
      <c r="Y4801">
        <v>0</v>
      </c>
      <c r="Z4801">
        <v>3</v>
      </c>
      <c r="AA4801">
        <v>184.12</v>
      </c>
      <c r="AB4801">
        <v>184.12</v>
      </c>
      <c r="AC4801">
        <v>162</v>
      </c>
      <c r="AD4801">
        <v>0</v>
      </c>
      <c r="AE4801">
        <v>22.12</v>
      </c>
      <c r="AF4801">
        <v>0</v>
      </c>
      <c r="AG4801">
        <v>0</v>
      </c>
      <c r="AH4801">
        <v>0</v>
      </c>
      <c r="AI4801">
        <v>33.14</v>
      </c>
      <c r="AJ4801">
        <v>184.12</v>
      </c>
      <c r="AK4801">
        <v>0</v>
      </c>
      <c r="AL4801" t="s">
        <v>53</v>
      </c>
      <c r="AM4801" t="s">
        <v>53</v>
      </c>
      <c r="AN4801" t="s">
        <v>53</v>
      </c>
      <c r="AO4801" t="s">
        <v>53</v>
      </c>
      <c r="AP4801" t="s">
        <v>53</v>
      </c>
    </row>
    <row r="4802" spans="2:42" x14ac:dyDescent="0.2">
      <c r="B4802" t="s">
        <v>44</v>
      </c>
      <c r="C4802" t="str">
        <f>HYPERLINK("https://us2.cloudbeds.com/connect/8493803454333002#/reservations/9080486846025005?display=2A6T5XDXRD&amp;reservation_id=9080486846025005", "2A6T5XDXRD")</f>
        <v>2A6T5XDXRD</v>
      </c>
      <c r="D4802" t="s">
        <v>45</v>
      </c>
      <c r="E4802" t="s">
        <v>213</v>
      </c>
      <c r="F4802" t="s">
        <v>86</v>
      </c>
      <c r="G4802" t="s">
        <v>48</v>
      </c>
      <c r="H4802" t="s">
        <v>49</v>
      </c>
      <c r="I4802" t="s">
        <v>50</v>
      </c>
      <c r="J4802" t="s">
        <v>7926</v>
      </c>
      <c r="K4802" t="s">
        <v>8249</v>
      </c>
      <c r="L4802" t="s">
        <v>53</v>
      </c>
      <c r="N4802" t="s">
        <v>8422</v>
      </c>
      <c r="P4802" t="s">
        <v>55</v>
      </c>
      <c r="R4802" t="s">
        <v>53</v>
      </c>
      <c r="T4802" t="s">
        <v>8423</v>
      </c>
      <c r="U4802" t="s">
        <v>58</v>
      </c>
      <c r="V4802">
        <v>1</v>
      </c>
      <c r="W4802">
        <v>1</v>
      </c>
      <c r="X4802">
        <v>3</v>
      </c>
      <c r="Y4802">
        <v>0</v>
      </c>
      <c r="Z4802">
        <v>3</v>
      </c>
      <c r="AA4802">
        <v>184.12</v>
      </c>
      <c r="AB4802">
        <v>184.12</v>
      </c>
      <c r="AC4802">
        <v>162</v>
      </c>
      <c r="AD4802">
        <v>0</v>
      </c>
      <c r="AE4802">
        <v>22.12</v>
      </c>
      <c r="AF4802">
        <v>0</v>
      </c>
      <c r="AG4802">
        <v>0</v>
      </c>
      <c r="AH4802">
        <v>0</v>
      </c>
      <c r="AI4802">
        <v>33.14</v>
      </c>
      <c r="AJ4802">
        <v>184.12</v>
      </c>
      <c r="AK4802">
        <v>0</v>
      </c>
      <c r="AL4802" t="s">
        <v>53</v>
      </c>
      <c r="AM4802" t="s">
        <v>53</v>
      </c>
      <c r="AN4802" t="s">
        <v>53</v>
      </c>
      <c r="AO4802" t="s">
        <v>53</v>
      </c>
      <c r="AP4802" t="s">
        <v>53</v>
      </c>
    </row>
    <row r="4803" spans="2:42" x14ac:dyDescent="0.2">
      <c r="B4803" t="s">
        <v>44</v>
      </c>
      <c r="C4803" t="str">
        <f>HYPERLINK("https://us2.cloudbeds.com/connect/8493803454333002#/reservations/9080486846026102?display=2A8Z3EKQVX&amp;reservation_id=9080486846026102", "2A8Z3EKQVX")</f>
        <v>2A8Z3EKQVX</v>
      </c>
      <c r="D4803" t="s">
        <v>45</v>
      </c>
      <c r="E4803" t="s">
        <v>121</v>
      </c>
      <c r="F4803" t="s">
        <v>86</v>
      </c>
      <c r="G4803" t="s">
        <v>48</v>
      </c>
      <c r="H4803" t="s">
        <v>49</v>
      </c>
      <c r="I4803" t="s">
        <v>50</v>
      </c>
      <c r="J4803" t="s">
        <v>5967</v>
      </c>
      <c r="K4803" t="s">
        <v>5430</v>
      </c>
      <c r="L4803" t="s">
        <v>53</v>
      </c>
      <c r="N4803" t="s">
        <v>8424</v>
      </c>
      <c r="P4803" t="s">
        <v>55</v>
      </c>
      <c r="R4803" t="s">
        <v>53</v>
      </c>
      <c r="T4803" t="s">
        <v>8425</v>
      </c>
      <c r="U4803" t="s">
        <v>58</v>
      </c>
      <c r="V4803">
        <v>1</v>
      </c>
      <c r="W4803">
        <v>1</v>
      </c>
      <c r="X4803">
        <v>2</v>
      </c>
      <c r="Y4803">
        <v>0</v>
      </c>
      <c r="Z4803">
        <v>2</v>
      </c>
      <c r="AA4803">
        <v>143.66</v>
      </c>
      <c r="AB4803">
        <v>143.66</v>
      </c>
      <c r="AC4803">
        <v>126.4</v>
      </c>
      <c r="AD4803">
        <v>0</v>
      </c>
      <c r="AE4803">
        <v>17.260000000000002</v>
      </c>
      <c r="AF4803">
        <v>0</v>
      </c>
      <c r="AG4803">
        <v>0</v>
      </c>
      <c r="AH4803">
        <v>0</v>
      </c>
      <c r="AI4803">
        <v>25.86</v>
      </c>
      <c r="AJ4803">
        <v>143.66</v>
      </c>
      <c r="AK4803">
        <v>0</v>
      </c>
      <c r="AL4803" t="s">
        <v>53</v>
      </c>
      <c r="AM4803" t="s">
        <v>53</v>
      </c>
      <c r="AN4803" t="s">
        <v>53</v>
      </c>
      <c r="AO4803" t="s">
        <v>53</v>
      </c>
      <c r="AP4803" t="s">
        <v>53</v>
      </c>
    </row>
    <row r="4804" spans="2:42" x14ac:dyDescent="0.2">
      <c r="B4804" t="s">
        <v>44</v>
      </c>
      <c r="C4804" t="str">
        <f>HYPERLINK("https://us2.cloudbeds.com/connect/8493803454333002#/reservations/107301600096463?display=2A9NWJDPHZ&amp;reservation_id=107301600096463", "2A9NWJDPHZ")</f>
        <v>2A9NWJDPHZ</v>
      </c>
      <c r="D4804" t="s">
        <v>45</v>
      </c>
      <c r="E4804" t="s">
        <v>128</v>
      </c>
      <c r="F4804" t="s">
        <v>86</v>
      </c>
      <c r="G4804" t="s">
        <v>48</v>
      </c>
      <c r="H4804" t="s">
        <v>3957</v>
      </c>
      <c r="I4804" t="s">
        <v>3975</v>
      </c>
      <c r="J4804" t="s">
        <v>6921</v>
      </c>
      <c r="K4804" t="s">
        <v>6922</v>
      </c>
      <c r="L4804" t="s">
        <v>53</v>
      </c>
      <c r="P4804" t="s">
        <v>55</v>
      </c>
      <c r="R4804" t="s">
        <v>53</v>
      </c>
      <c r="T4804" t="s">
        <v>8426</v>
      </c>
      <c r="U4804" t="s">
        <v>58</v>
      </c>
      <c r="V4804">
        <v>1</v>
      </c>
      <c r="W4804">
        <v>1</v>
      </c>
      <c r="X4804">
        <v>2</v>
      </c>
      <c r="Y4804">
        <v>0</v>
      </c>
      <c r="Z4804">
        <v>2</v>
      </c>
      <c r="AA4804">
        <v>165.93</v>
      </c>
      <c r="AB4804">
        <v>165.93</v>
      </c>
      <c r="AC4804">
        <v>146</v>
      </c>
      <c r="AD4804">
        <v>0</v>
      </c>
      <c r="AE4804">
        <v>19.93</v>
      </c>
      <c r="AF4804">
        <v>0</v>
      </c>
      <c r="AG4804">
        <v>0</v>
      </c>
      <c r="AH4804">
        <v>0</v>
      </c>
      <c r="AI4804">
        <v>0</v>
      </c>
      <c r="AJ4804">
        <v>165.93</v>
      </c>
      <c r="AK4804">
        <v>0</v>
      </c>
      <c r="AL4804" t="s">
        <v>53</v>
      </c>
      <c r="AM4804" t="s">
        <v>53</v>
      </c>
      <c r="AN4804" t="s">
        <v>53</v>
      </c>
      <c r="AO4804" t="s">
        <v>53</v>
      </c>
      <c r="AP4804" t="s">
        <v>53</v>
      </c>
    </row>
    <row r="4805" spans="2:42" x14ac:dyDescent="0.2">
      <c r="B4805" t="s">
        <v>44</v>
      </c>
      <c r="C4805" t="str">
        <f>HYPERLINK("https://us2.cloudbeds.com/connect/8493803454333002#/reservations/9080486846028600?display=2AD4713D40&amp;reservation_id=9080486846028600", "2AD4713D40")</f>
        <v>2AD4713D40</v>
      </c>
      <c r="D4805" t="s">
        <v>45</v>
      </c>
      <c r="E4805" t="s">
        <v>98</v>
      </c>
      <c r="F4805" t="s">
        <v>86</v>
      </c>
      <c r="G4805" t="s">
        <v>5966</v>
      </c>
      <c r="H4805" t="s">
        <v>49</v>
      </c>
      <c r="I4805" t="s">
        <v>50</v>
      </c>
      <c r="J4805" t="s">
        <v>7802</v>
      </c>
      <c r="K4805" t="s">
        <v>7974</v>
      </c>
      <c r="L4805" t="s">
        <v>53</v>
      </c>
      <c r="N4805" t="s">
        <v>8427</v>
      </c>
      <c r="P4805" t="s">
        <v>55</v>
      </c>
      <c r="R4805" t="s">
        <v>56</v>
      </c>
      <c r="T4805" t="s">
        <v>8428</v>
      </c>
      <c r="U4805" t="s">
        <v>58</v>
      </c>
      <c r="V4805">
        <v>4</v>
      </c>
      <c r="W4805">
        <v>1</v>
      </c>
      <c r="X4805">
        <v>1</v>
      </c>
      <c r="Y4805">
        <v>0</v>
      </c>
      <c r="Z4805">
        <v>1</v>
      </c>
      <c r="AA4805">
        <v>673.04</v>
      </c>
      <c r="AB4805">
        <v>673.04</v>
      </c>
      <c r="AC4805">
        <v>592.20000000000005</v>
      </c>
      <c r="AD4805">
        <v>0</v>
      </c>
      <c r="AE4805">
        <v>80.84</v>
      </c>
      <c r="AF4805">
        <v>0</v>
      </c>
      <c r="AG4805">
        <v>0</v>
      </c>
      <c r="AH4805">
        <v>0</v>
      </c>
      <c r="AI4805">
        <v>121.15</v>
      </c>
      <c r="AJ4805">
        <v>673.04</v>
      </c>
      <c r="AK4805">
        <v>0</v>
      </c>
      <c r="AL4805" t="s">
        <v>53</v>
      </c>
      <c r="AM4805" t="s">
        <v>53</v>
      </c>
      <c r="AN4805" t="s">
        <v>53</v>
      </c>
      <c r="AO4805" t="s">
        <v>53</v>
      </c>
      <c r="AP4805" t="s">
        <v>53</v>
      </c>
    </row>
    <row r="4806" spans="2:42" x14ac:dyDescent="0.2">
      <c r="B4806" t="s">
        <v>44</v>
      </c>
      <c r="C4806" t="str">
        <f>HYPERLINK("https://us2.cloudbeds.com/connect/8493803454333002#/reservations/9080486846028994?display=2ADYYN32YG&amp;reservation_id=9080486846028994", "2ADYYN32YG")</f>
        <v>2ADYYN32YG</v>
      </c>
      <c r="D4806" t="s">
        <v>45</v>
      </c>
      <c r="E4806" t="s">
        <v>110</v>
      </c>
      <c r="F4806" t="s">
        <v>47</v>
      </c>
      <c r="G4806" t="s">
        <v>48</v>
      </c>
      <c r="H4806" t="s">
        <v>49</v>
      </c>
      <c r="I4806" t="s">
        <v>50</v>
      </c>
      <c r="J4806" t="s">
        <v>7623</v>
      </c>
      <c r="K4806" t="s">
        <v>7624</v>
      </c>
      <c r="L4806" t="s">
        <v>53</v>
      </c>
      <c r="N4806" t="s">
        <v>8429</v>
      </c>
      <c r="P4806" t="s">
        <v>55</v>
      </c>
      <c r="R4806" t="s">
        <v>53</v>
      </c>
      <c r="T4806" t="s">
        <v>8430</v>
      </c>
      <c r="U4806" t="s">
        <v>58</v>
      </c>
      <c r="V4806">
        <v>1</v>
      </c>
      <c r="W4806">
        <v>1</v>
      </c>
      <c r="X4806">
        <v>2</v>
      </c>
      <c r="Y4806">
        <v>0</v>
      </c>
      <c r="Z4806">
        <v>2</v>
      </c>
      <c r="AA4806">
        <v>163.66</v>
      </c>
      <c r="AB4806">
        <v>163.66</v>
      </c>
      <c r="AC4806">
        <v>144</v>
      </c>
      <c r="AD4806">
        <v>0</v>
      </c>
      <c r="AE4806">
        <v>19.66</v>
      </c>
      <c r="AF4806">
        <v>0</v>
      </c>
      <c r="AG4806">
        <v>0</v>
      </c>
      <c r="AH4806">
        <v>0</v>
      </c>
      <c r="AI4806">
        <v>29.46</v>
      </c>
      <c r="AJ4806">
        <v>163.66</v>
      </c>
      <c r="AK4806">
        <v>0</v>
      </c>
      <c r="AL4806" t="s">
        <v>53</v>
      </c>
      <c r="AM4806" t="s">
        <v>53</v>
      </c>
      <c r="AN4806" t="s">
        <v>53</v>
      </c>
      <c r="AO4806" t="s">
        <v>53</v>
      </c>
      <c r="AP4806" t="s">
        <v>53</v>
      </c>
    </row>
    <row r="4807" spans="2:42" x14ac:dyDescent="0.2">
      <c r="B4807" t="s">
        <v>44</v>
      </c>
      <c r="C4807" t="str">
        <f>HYPERLINK("https://us2.cloudbeds.com/connect/8493803454333002#/reservations/9080486846029423?display=2AE5K4F9CJ&amp;reservation_id=9080486846029423", "2AE5K4F9CJ")</f>
        <v>2AE5K4F9CJ</v>
      </c>
      <c r="D4807" t="s">
        <v>45</v>
      </c>
      <c r="E4807" t="s">
        <v>305</v>
      </c>
      <c r="F4807" t="s">
        <v>61</v>
      </c>
      <c r="G4807" t="s">
        <v>48</v>
      </c>
      <c r="H4807" t="s">
        <v>49</v>
      </c>
      <c r="I4807" t="s">
        <v>50</v>
      </c>
      <c r="J4807" t="s">
        <v>5430</v>
      </c>
      <c r="K4807" t="s">
        <v>5431</v>
      </c>
      <c r="L4807" t="s">
        <v>53</v>
      </c>
      <c r="N4807" t="s">
        <v>8431</v>
      </c>
      <c r="P4807" t="s">
        <v>55</v>
      </c>
      <c r="R4807" t="s">
        <v>53</v>
      </c>
      <c r="T4807" t="s">
        <v>8432</v>
      </c>
      <c r="U4807" t="s">
        <v>58</v>
      </c>
      <c r="V4807">
        <v>1</v>
      </c>
      <c r="W4807">
        <v>1</v>
      </c>
      <c r="X4807">
        <v>2</v>
      </c>
      <c r="Y4807">
        <v>0</v>
      </c>
      <c r="Z4807">
        <v>2</v>
      </c>
      <c r="AA4807">
        <v>166.71</v>
      </c>
      <c r="AB4807">
        <v>166.71</v>
      </c>
      <c r="AC4807">
        <v>146.69999999999999</v>
      </c>
      <c r="AD4807">
        <v>0</v>
      </c>
      <c r="AE4807">
        <v>20.010000000000002</v>
      </c>
      <c r="AF4807">
        <v>0</v>
      </c>
      <c r="AG4807">
        <v>0</v>
      </c>
      <c r="AH4807">
        <v>0</v>
      </c>
      <c r="AI4807">
        <v>30.01</v>
      </c>
      <c r="AJ4807">
        <v>166.71</v>
      </c>
      <c r="AK4807">
        <v>0</v>
      </c>
      <c r="AL4807" t="s">
        <v>53</v>
      </c>
      <c r="AM4807" t="s">
        <v>53</v>
      </c>
      <c r="AN4807" t="s">
        <v>53</v>
      </c>
      <c r="AO4807" t="s">
        <v>53</v>
      </c>
      <c r="AP4807" t="s">
        <v>53</v>
      </c>
    </row>
    <row r="4808" spans="2:42" x14ac:dyDescent="0.2">
      <c r="B4808" t="s">
        <v>44</v>
      </c>
      <c r="C4808" t="str">
        <f>HYPERLINK("https://us2.cloudbeds.com/connect/8493803454333002#/reservations/9080486846029580?display=2AECXSF4NH&amp;reservation_id=9080486846029580", "2AECXSF4NH")</f>
        <v>2AECXSF4NH</v>
      </c>
      <c r="D4808" t="s">
        <v>45</v>
      </c>
      <c r="E4808" t="s">
        <v>78</v>
      </c>
      <c r="F4808" t="s">
        <v>61</v>
      </c>
      <c r="G4808" t="s">
        <v>48</v>
      </c>
      <c r="H4808" t="s">
        <v>49</v>
      </c>
      <c r="I4808" t="s">
        <v>50</v>
      </c>
      <c r="J4808" t="s">
        <v>7414</v>
      </c>
      <c r="K4808" t="s">
        <v>7872</v>
      </c>
      <c r="L4808" t="s">
        <v>53</v>
      </c>
      <c r="N4808" t="s">
        <v>8433</v>
      </c>
      <c r="P4808" t="s">
        <v>55</v>
      </c>
      <c r="R4808" t="s">
        <v>53</v>
      </c>
      <c r="T4808" t="s">
        <v>8434</v>
      </c>
      <c r="U4808" t="s">
        <v>58</v>
      </c>
      <c r="V4808">
        <v>1</v>
      </c>
      <c r="W4808">
        <v>1</v>
      </c>
      <c r="X4808">
        <v>2</v>
      </c>
      <c r="Y4808">
        <v>0</v>
      </c>
      <c r="Z4808">
        <v>2</v>
      </c>
      <c r="AA4808">
        <v>177.97</v>
      </c>
      <c r="AB4808">
        <v>177.97</v>
      </c>
      <c r="AC4808">
        <v>156.6</v>
      </c>
      <c r="AD4808">
        <v>0</v>
      </c>
      <c r="AE4808">
        <v>21.37</v>
      </c>
      <c r="AF4808">
        <v>0</v>
      </c>
      <c r="AG4808">
        <v>0</v>
      </c>
      <c r="AH4808">
        <v>0</v>
      </c>
      <c r="AI4808">
        <v>32.03</v>
      </c>
      <c r="AJ4808">
        <v>177.97</v>
      </c>
      <c r="AK4808">
        <v>0</v>
      </c>
      <c r="AL4808" t="s">
        <v>53</v>
      </c>
      <c r="AM4808" t="s">
        <v>53</v>
      </c>
      <c r="AN4808" t="s">
        <v>53</v>
      </c>
      <c r="AO4808" t="s">
        <v>53</v>
      </c>
      <c r="AP4808" t="s">
        <v>53</v>
      </c>
    </row>
    <row r="4809" spans="2:42" x14ac:dyDescent="0.2">
      <c r="B4809" t="s">
        <v>44</v>
      </c>
      <c r="C4809" t="str">
        <f>HYPERLINK("https://us2.cloudbeds.com/connect/8493803454333002#/reservations/9080486846030295?display=2AF5MR95QV&amp;reservation_id=9080486846030295", "2AF5MR95QV")</f>
        <v>2AF5MR95QV</v>
      </c>
      <c r="D4809" t="s">
        <v>45</v>
      </c>
      <c r="E4809" t="s">
        <v>155</v>
      </c>
      <c r="F4809" t="s">
        <v>86</v>
      </c>
      <c r="G4809" t="s">
        <v>48</v>
      </c>
      <c r="H4809" t="s">
        <v>49</v>
      </c>
      <c r="I4809" t="s">
        <v>62</v>
      </c>
      <c r="J4809" t="s">
        <v>6921</v>
      </c>
      <c r="K4809" t="s">
        <v>6922</v>
      </c>
      <c r="L4809" t="s">
        <v>53</v>
      </c>
      <c r="N4809" t="s">
        <v>8435</v>
      </c>
      <c r="P4809" t="s">
        <v>55</v>
      </c>
      <c r="R4809" t="s">
        <v>56</v>
      </c>
      <c r="T4809" t="s">
        <v>8436</v>
      </c>
      <c r="U4809" t="s">
        <v>55</v>
      </c>
      <c r="V4809">
        <v>1</v>
      </c>
      <c r="W4809">
        <v>1</v>
      </c>
      <c r="X4809">
        <v>3</v>
      </c>
      <c r="Y4809">
        <v>1</v>
      </c>
      <c r="Z4809">
        <v>4</v>
      </c>
      <c r="AA4809">
        <v>145</v>
      </c>
      <c r="AB4809">
        <v>145</v>
      </c>
      <c r="AC4809">
        <v>145</v>
      </c>
      <c r="AD4809">
        <v>0</v>
      </c>
      <c r="AE4809">
        <v>0</v>
      </c>
      <c r="AF4809">
        <v>0</v>
      </c>
      <c r="AG4809">
        <v>0</v>
      </c>
      <c r="AH4809">
        <v>0</v>
      </c>
      <c r="AI4809">
        <v>26.1</v>
      </c>
      <c r="AJ4809">
        <v>145</v>
      </c>
      <c r="AK4809">
        <v>0</v>
      </c>
      <c r="AL4809" t="s">
        <v>53</v>
      </c>
      <c r="AM4809" t="s">
        <v>53</v>
      </c>
      <c r="AN4809" t="s">
        <v>53</v>
      </c>
      <c r="AO4809" t="s">
        <v>53</v>
      </c>
      <c r="AP4809" t="s">
        <v>53</v>
      </c>
    </row>
    <row r="4810" spans="2:42" x14ac:dyDescent="0.2">
      <c r="B4810" t="s">
        <v>44</v>
      </c>
      <c r="C4810" t="str">
        <f>HYPERLINK("https://us2.cloudbeds.com/connect/8493803454333002#/reservations/107543704916189?display=2AFDEUK8VD&amp;reservation_id=107543704916189", "2AFDEUK8VD")</f>
        <v>2AFDEUK8VD</v>
      </c>
      <c r="D4810" t="s">
        <v>45</v>
      </c>
      <c r="E4810" t="s">
        <v>110</v>
      </c>
      <c r="F4810" t="s">
        <v>47</v>
      </c>
      <c r="G4810" t="s">
        <v>48</v>
      </c>
      <c r="H4810" t="s">
        <v>3957</v>
      </c>
      <c r="I4810" t="s">
        <v>3958</v>
      </c>
      <c r="J4810" t="s">
        <v>7089</v>
      </c>
      <c r="K4810" t="s">
        <v>8437</v>
      </c>
      <c r="L4810" t="s">
        <v>53</v>
      </c>
      <c r="P4810" t="s">
        <v>58</v>
      </c>
      <c r="R4810" t="s">
        <v>56</v>
      </c>
      <c r="T4810" t="s">
        <v>8438</v>
      </c>
      <c r="U4810" t="s">
        <v>58</v>
      </c>
      <c r="V4810">
        <v>1</v>
      </c>
      <c r="W4810">
        <v>1</v>
      </c>
      <c r="X4810">
        <v>1</v>
      </c>
      <c r="Y4810">
        <v>0</v>
      </c>
      <c r="Z4810">
        <v>1</v>
      </c>
      <c r="AA4810">
        <v>218.21</v>
      </c>
      <c r="AB4810">
        <v>218.21</v>
      </c>
      <c r="AC4810">
        <v>192</v>
      </c>
      <c r="AD4810">
        <v>0</v>
      </c>
      <c r="AE4810">
        <v>26.21</v>
      </c>
      <c r="AF4810">
        <v>0</v>
      </c>
      <c r="AG4810">
        <v>0</v>
      </c>
      <c r="AH4810">
        <v>0</v>
      </c>
      <c r="AI4810">
        <v>0</v>
      </c>
      <c r="AJ4810">
        <v>218.21</v>
      </c>
      <c r="AK4810">
        <v>0</v>
      </c>
      <c r="AL4810" t="s">
        <v>53</v>
      </c>
      <c r="AM4810" t="s">
        <v>53</v>
      </c>
      <c r="AN4810" t="s">
        <v>8439</v>
      </c>
      <c r="AO4810" t="s">
        <v>53</v>
      </c>
      <c r="AP4810" t="s">
        <v>53</v>
      </c>
    </row>
    <row r="4811" spans="2:42" x14ac:dyDescent="0.2">
      <c r="B4811" t="s">
        <v>44</v>
      </c>
      <c r="C4811" t="str">
        <f>HYPERLINK("https://us2.cloudbeds.com/connect/8493803454333002#/reservations/9080486846030769?display=2AFR92KYQ1&amp;reservation_id=9080486846030769", "2AFR92KYQ1")</f>
        <v>2AFR92KYQ1</v>
      </c>
      <c r="D4811" t="s">
        <v>45</v>
      </c>
      <c r="E4811" t="s">
        <v>305</v>
      </c>
      <c r="F4811" t="s">
        <v>61</v>
      </c>
      <c r="G4811" t="s">
        <v>48</v>
      </c>
      <c r="H4811" t="s">
        <v>49</v>
      </c>
      <c r="I4811" t="s">
        <v>50</v>
      </c>
      <c r="J4811" t="s">
        <v>4443</v>
      </c>
      <c r="K4811" t="s">
        <v>6488</v>
      </c>
      <c r="L4811" t="s">
        <v>53</v>
      </c>
      <c r="N4811" t="s">
        <v>8440</v>
      </c>
      <c r="P4811" t="s">
        <v>55</v>
      </c>
      <c r="R4811" t="s">
        <v>53</v>
      </c>
      <c r="T4811" t="s">
        <v>8441</v>
      </c>
      <c r="U4811" t="s">
        <v>58</v>
      </c>
      <c r="V4811">
        <v>1</v>
      </c>
      <c r="W4811">
        <v>1</v>
      </c>
      <c r="X4811">
        <v>2</v>
      </c>
      <c r="Y4811">
        <v>0</v>
      </c>
      <c r="Z4811">
        <v>2</v>
      </c>
      <c r="AA4811">
        <v>166.39</v>
      </c>
      <c r="AB4811">
        <v>166.39</v>
      </c>
      <c r="AC4811">
        <v>146.4</v>
      </c>
      <c r="AD4811">
        <v>0</v>
      </c>
      <c r="AE4811">
        <v>19.989999999999998</v>
      </c>
      <c r="AF4811">
        <v>0</v>
      </c>
      <c r="AG4811">
        <v>0</v>
      </c>
      <c r="AH4811">
        <v>0</v>
      </c>
      <c r="AI4811">
        <v>29.95</v>
      </c>
      <c r="AJ4811">
        <v>166.39</v>
      </c>
      <c r="AK4811">
        <v>0</v>
      </c>
      <c r="AL4811" t="s">
        <v>53</v>
      </c>
      <c r="AM4811" t="s">
        <v>53</v>
      </c>
      <c r="AN4811" t="s">
        <v>53</v>
      </c>
      <c r="AO4811" t="s">
        <v>53</v>
      </c>
      <c r="AP4811" t="s">
        <v>53</v>
      </c>
    </row>
    <row r="4812" spans="2:42" x14ac:dyDescent="0.2">
      <c r="B4812" t="s">
        <v>44</v>
      </c>
      <c r="C4812" t="str">
        <f>HYPERLINK("https://us2.cloudbeds.com/connect/8493803454333002#/reservations/9080486846030872?display=2AFWW8CCR7&amp;reservation_id=9080486846030872", "2AFWW8CCR7")</f>
        <v>2AFWW8CCR7</v>
      </c>
      <c r="D4812" t="s">
        <v>45</v>
      </c>
      <c r="E4812" t="s">
        <v>46</v>
      </c>
      <c r="F4812" t="s">
        <v>47</v>
      </c>
      <c r="G4812" t="s">
        <v>48</v>
      </c>
      <c r="H4812" t="s">
        <v>49</v>
      </c>
      <c r="I4812" t="s">
        <v>50</v>
      </c>
      <c r="J4812" t="s">
        <v>5430</v>
      </c>
      <c r="K4812" t="s">
        <v>5431</v>
      </c>
      <c r="L4812" t="s">
        <v>53</v>
      </c>
      <c r="N4812" t="s">
        <v>8442</v>
      </c>
      <c r="P4812" t="s">
        <v>55</v>
      </c>
      <c r="R4812" t="s">
        <v>53</v>
      </c>
      <c r="T4812" t="s">
        <v>8443</v>
      </c>
      <c r="U4812" t="s">
        <v>58</v>
      </c>
      <c r="V4812">
        <v>1</v>
      </c>
      <c r="W4812">
        <v>1</v>
      </c>
      <c r="X4812">
        <v>2</v>
      </c>
      <c r="Y4812">
        <v>0</v>
      </c>
      <c r="Z4812">
        <v>2</v>
      </c>
      <c r="AA4812">
        <v>140.07</v>
      </c>
      <c r="AB4812">
        <v>140.07</v>
      </c>
      <c r="AC4812">
        <v>123.25</v>
      </c>
      <c r="AD4812">
        <v>0</v>
      </c>
      <c r="AE4812">
        <v>16.82</v>
      </c>
      <c r="AF4812">
        <v>0</v>
      </c>
      <c r="AG4812">
        <v>0</v>
      </c>
      <c r="AH4812">
        <v>0</v>
      </c>
      <c r="AI4812">
        <v>25.21</v>
      </c>
      <c r="AJ4812">
        <v>140.07</v>
      </c>
      <c r="AK4812">
        <v>0</v>
      </c>
      <c r="AL4812" t="s">
        <v>53</v>
      </c>
      <c r="AM4812" t="s">
        <v>53</v>
      </c>
      <c r="AN4812" t="s">
        <v>53</v>
      </c>
      <c r="AO4812" t="s">
        <v>53</v>
      </c>
      <c r="AP4812" t="s">
        <v>53</v>
      </c>
    </row>
    <row r="4813" spans="2:42" x14ac:dyDescent="0.2">
      <c r="B4813" t="s">
        <v>44</v>
      </c>
      <c r="C4813" t="str">
        <f>HYPERLINK("https://us2.cloudbeds.com/connect/8493803454333002#/reservations/9080486846030954?display=2AG4Z9AE44&amp;reservation_id=9080486846030954", "2AG4Z9AE44")</f>
        <v>2AG4Z9AE44</v>
      </c>
      <c r="D4813" t="s">
        <v>45</v>
      </c>
      <c r="E4813" t="s">
        <v>487</v>
      </c>
      <c r="F4813" t="s">
        <v>61</v>
      </c>
      <c r="G4813" t="s">
        <v>48</v>
      </c>
      <c r="H4813" t="s">
        <v>49</v>
      </c>
      <c r="I4813" t="s">
        <v>50</v>
      </c>
      <c r="J4813" t="s">
        <v>7218</v>
      </c>
      <c r="K4813" t="s">
        <v>7376</v>
      </c>
      <c r="L4813" t="s">
        <v>53</v>
      </c>
      <c r="N4813" t="s">
        <v>8444</v>
      </c>
      <c r="P4813" t="s">
        <v>55</v>
      </c>
      <c r="R4813" t="s">
        <v>53</v>
      </c>
      <c r="T4813" t="s">
        <v>8445</v>
      </c>
      <c r="U4813" t="s">
        <v>58</v>
      </c>
      <c r="V4813">
        <v>2</v>
      </c>
      <c r="W4813">
        <v>1</v>
      </c>
      <c r="X4813">
        <v>2</v>
      </c>
      <c r="Y4813">
        <v>0</v>
      </c>
      <c r="Z4813">
        <v>2</v>
      </c>
      <c r="AA4813">
        <v>357.58</v>
      </c>
      <c r="AB4813">
        <v>357.58</v>
      </c>
      <c r="AC4813">
        <v>314.63</v>
      </c>
      <c r="AD4813">
        <v>0</v>
      </c>
      <c r="AE4813">
        <v>42.95</v>
      </c>
      <c r="AF4813">
        <v>0</v>
      </c>
      <c r="AG4813">
        <v>0</v>
      </c>
      <c r="AH4813">
        <v>0</v>
      </c>
      <c r="AI4813">
        <v>64.36</v>
      </c>
      <c r="AJ4813">
        <v>357.58</v>
      </c>
      <c r="AK4813">
        <v>0</v>
      </c>
      <c r="AL4813" t="s">
        <v>53</v>
      </c>
      <c r="AM4813" t="s">
        <v>53</v>
      </c>
      <c r="AN4813" t="s">
        <v>8446</v>
      </c>
      <c r="AO4813" t="s">
        <v>53</v>
      </c>
      <c r="AP4813" t="s">
        <v>53</v>
      </c>
    </row>
    <row r="4814" spans="2:42" x14ac:dyDescent="0.2">
      <c r="B4814" t="s">
        <v>44</v>
      </c>
      <c r="C4814" t="str">
        <f>HYPERLINK("https://us2.cloudbeds.com/connect/8493803454333002#/reservations/9080486846031239?display=2AGKF40R7Q&amp;reservation_id=9080486846031239", "2AGKF40R7Q")</f>
        <v>2AGKF40R7Q</v>
      </c>
      <c r="D4814" t="s">
        <v>45</v>
      </c>
      <c r="E4814" t="s">
        <v>213</v>
      </c>
      <c r="F4814" t="s">
        <v>86</v>
      </c>
      <c r="G4814" t="s">
        <v>48</v>
      </c>
      <c r="H4814" t="s">
        <v>49</v>
      </c>
      <c r="I4814" t="s">
        <v>50</v>
      </c>
      <c r="J4814" t="s">
        <v>7830</v>
      </c>
      <c r="K4814" t="s">
        <v>7906</v>
      </c>
      <c r="L4814" t="s">
        <v>53</v>
      </c>
      <c r="N4814" t="s">
        <v>8447</v>
      </c>
      <c r="P4814" t="s">
        <v>55</v>
      </c>
      <c r="R4814" t="s">
        <v>53</v>
      </c>
      <c r="T4814" t="s">
        <v>8448</v>
      </c>
      <c r="U4814" t="s">
        <v>58</v>
      </c>
      <c r="V4814">
        <v>2</v>
      </c>
      <c r="W4814">
        <v>1</v>
      </c>
      <c r="X4814">
        <v>2</v>
      </c>
      <c r="Y4814">
        <v>0</v>
      </c>
      <c r="Z4814">
        <v>2</v>
      </c>
      <c r="AA4814">
        <v>393.8</v>
      </c>
      <c r="AB4814">
        <v>393.8</v>
      </c>
      <c r="AC4814">
        <v>346.5</v>
      </c>
      <c r="AD4814">
        <v>0</v>
      </c>
      <c r="AE4814">
        <v>47.3</v>
      </c>
      <c r="AF4814">
        <v>0</v>
      </c>
      <c r="AG4814">
        <v>0</v>
      </c>
      <c r="AH4814">
        <v>0</v>
      </c>
      <c r="AI4814">
        <v>70.88</v>
      </c>
      <c r="AJ4814">
        <v>393.8</v>
      </c>
      <c r="AK4814">
        <v>0</v>
      </c>
      <c r="AL4814" t="s">
        <v>53</v>
      </c>
      <c r="AM4814" t="s">
        <v>53</v>
      </c>
      <c r="AN4814" t="s">
        <v>53</v>
      </c>
      <c r="AO4814" t="s">
        <v>53</v>
      </c>
      <c r="AP4814" t="s">
        <v>53</v>
      </c>
    </row>
    <row r="4815" spans="2:42" x14ac:dyDescent="0.2">
      <c r="B4815" t="s">
        <v>44</v>
      </c>
      <c r="C4815" t="str">
        <f>HYPERLINK("https://us2.cloudbeds.com/connect/8493803454333002#/reservations/107631817171077?display=2AHFMD6YFB&amp;reservation_id=107631817171077", "2AHFMD6YFB")</f>
        <v>2AHFMD6YFB</v>
      </c>
      <c r="D4815" t="s">
        <v>45</v>
      </c>
      <c r="E4815" t="s">
        <v>373</v>
      </c>
      <c r="F4815" t="s">
        <v>47</v>
      </c>
      <c r="G4815" t="s">
        <v>48</v>
      </c>
      <c r="H4815" t="s">
        <v>3957</v>
      </c>
      <c r="I4815" t="s">
        <v>3958</v>
      </c>
      <c r="J4815" t="s">
        <v>5430</v>
      </c>
      <c r="K4815" t="s">
        <v>5431</v>
      </c>
      <c r="L4815" t="s">
        <v>53</v>
      </c>
      <c r="P4815" t="s">
        <v>55</v>
      </c>
      <c r="R4815" t="s">
        <v>56</v>
      </c>
      <c r="T4815" t="s">
        <v>8449</v>
      </c>
      <c r="U4815" t="s">
        <v>58</v>
      </c>
      <c r="V4815">
        <v>1</v>
      </c>
      <c r="W4815">
        <v>1</v>
      </c>
      <c r="X4815">
        <v>1</v>
      </c>
      <c r="Y4815">
        <v>0</v>
      </c>
      <c r="Z4815">
        <v>1</v>
      </c>
      <c r="AA4815">
        <v>164.8</v>
      </c>
      <c r="AB4815">
        <v>164.8</v>
      </c>
      <c r="AC4815">
        <v>145</v>
      </c>
      <c r="AD4815">
        <v>0</v>
      </c>
      <c r="AE4815">
        <v>19.8</v>
      </c>
      <c r="AF4815">
        <v>0</v>
      </c>
      <c r="AG4815">
        <v>0</v>
      </c>
      <c r="AH4815">
        <v>0</v>
      </c>
      <c r="AI4815">
        <v>0</v>
      </c>
      <c r="AJ4815">
        <v>164.8</v>
      </c>
      <c r="AK4815">
        <v>0</v>
      </c>
      <c r="AL4815" t="s">
        <v>53</v>
      </c>
      <c r="AM4815" t="s">
        <v>53</v>
      </c>
      <c r="AN4815" t="s">
        <v>53</v>
      </c>
      <c r="AO4815" t="s">
        <v>53</v>
      </c>
      <c r="AP4815" t="s">
        <v>53</v>
      </c>
    </row>
    <row r="4816" spans="2:42" x14ac:dyDescent="0.2">
      <c r="B4816" t="s">
        <v>44</v>
      </c>
      <c r="C4816" t="str">
        <f>HYPERLINK("https://us2.cloudbeds.com/connect/8493803454333002#/reservations/9080486846031830?display=2AHNTZSP80&amp;reservation_id=9080486846031830", "2AHNTZSP80")</f>
        <v>2AHNTZSP80</v>
      </c>
      <c r="D4816" t="s">
        <v>45</v>
      </c>
      <c r="E4816" t="s">
        <v>265</v>
      </c>
      <c r="F4816" t="s">
        <v>61</v>
      </c>
      <c r="G4816" t="s">
        <v>48</v>
      </c>
      <c r="H4816" t="s">
        <v>49</v>
      </c>
      <c r="I4816" t="s">
        <v>50</v>
      </c>
      <c r="J4816" t="s">
        <v>5430</v>
      </c>
      <c r="K4816" t="s">
        <v>5431</v>
      </c>
      <c r="L4816" t="s">
        <v>53</v>
      </c>
      <c r="N4816" t="s">
        <v>8450</v>
      </c>
      <c r="P4816" t="s">
        <v>55</v>
      </c>
      <c r="R4816" t="s">
        <v>53</v>
      </c>
      <c r="T4816" t="s">
        <v>8451</v>
      </c>
      <c r="U4816" t="s">
        <v>58</v>
      </c>
      <c r="V4816">
        <v>1</v>
      </c>
      <c r="W4816">
        <v>1</v>
      </c>
      <c r="X4816">
        <v>2</v>
      </c>
      <c r="Y4816">
        <v>0</v>
      </c>
      <c r="Z4816">
        <v>2</v>
      </c>
      <c r="AA4816">
        <v>166.71</v>
      </c>
      <c r="AB4816">
        <v>166.71</v>
      </c>
      <c r="AC4816">
        <v>146.69999999999999</v>
      </c>
      <c r="AD4816">
        <v>0</v>
      </c>
      <c r="AE4816">
        <v>20.010000000000002</v>
      </c>
      <c r="AF4816">
        <v>0</v>
      </c>
      <c r="AG4816">
        <v>0</v>
      </c>
      <c r="AH4816">
        <v>0</v>
      </c>
      <c r="AI4816">
        <v>30.01</v>
      </c>
      <c r="AJ4816">
        <v>166.71</v>
      </c>
      <c r="AK4816">
        <v>0</v>
      </c>
      <c r="AL4816" t="s">
        <v>53</v>
      </c>
      <c r="AM4816" t="s">
        <v>53</v>
      </c>
      <c r="AN4816" t="s">
        <v>53</v>
      </c>
      <c r="AO4816" t="s">
        <v>53</v>
      </c>
      <c r="AP4816" t="s">
        <v>53</v>
      </c>
    </row>
    <row r="4817" spans="2:42" x14ac:dyDescent="0.2">
      <c r="B4817" t="s">
        <v>44</v>
      </c>
      <c r="C4817" t="str">
        <f>HYPERLINK("https://us2.cloudbeds.com/connect/8493803454333002#/reservations/9080486846033591?display=2AYJVAMST5&amp;reservation_id=9080486846033591", "2AYJVAMST5")</f>
        <v>2AYJVAMST5</v>
      </c>
      <c r="D4817" t="s">
        <v>45</v>
      </c>
      <c r="E4817" t="s">
        <v>78</v>
      </c>
      <c r="F4817" t="s">
        <v>61</v>
      </c>
      <c r="G4817" t="s">
        <v>48</v>
      </c>
      <c r="H4817" t="s">
        <v>49</v>
      </c>
      <c r="I4817" t="s">
        <v>50</v>
      </c>
      <c r="J4817" t="s">
        <v>7275</v>
      </c>
      <c r="K4817" t="s">
        <v>6944</v>
      </c>
      <c r="L4817" t="s">
        <v>53</v>
      </c>
      <c r="N4817" t="s">
        <v>8452</v>
      </c>
      <c r="P4817" t="s">
        <v>55</v>
      </c>
      <c r="R4817" t="s">
        <v>53</v>
      </c>
      <c r="T4817" t="s">
        <v>8453</v>
      </c>
      <c r="U4817" t="s">
        <v>58</v>
      </c>
      <c r="V4817">
        <v>1</v>
      </c>
      <c r="W4817">
        <v>1</v>
      </c>
      <c r="X4817">
        <v>2</v>
      </c>
      <c r="Y4817">
        <v>0</v>
      </c>
      <c r="Z4817">
        <v>2</v>
      </c>
      <c r="AA4817">
        <v>202.12</v>
      </c>
      <c r="AB4817">
        <v>202.12</v>
      </c>
      <c r="AC4817">
        <v>177.84</v>
      </c>
      <c r="AD4817">
        <v>0</v>
      </c>
      <c r="AE4817">
        <v>24.28</v>
      </c>
      <c r="AF4817">
        <v>0</v>
      </c>
      <c r="AG4817">
        <v>0</v>
      </c>
      <c r="AH4817">
        <v>0</v>
      </c>
      <c r="AI4817">
        <v>36.380000000000003</v>
      </c>
      <c r="AJ4817">
        <v>202.12</v>
      </c>
      <c r="AK4817">
        <v>0</v>
      </c>
      <c r="AL4817" t="s">
        <v>53</v>
      </c>
      <c r="AM4817" t="s">
        <v>53</v>
      </c>
      <c r="AN4817" t="s">
        <v>53</v>
      </c>
      <c r="AO4817" t="s">
        <v>53</v>
      </c>
      <c r="AP4817" t="s">
        <v>53</v>
      </c>
    </row>
    <row r="4818" spans="2:42" x14ac:dyDescent="0.2">
      <c r="B4818" t="s">
        <v>44</v>
      </c>
      <c r="C4818" t="str">
        <f>HYPERLINK("https://us2.cloudbeds.com/connect/8493803454333002#/reservations/9080486846033592?display=2AYJTS40CW&amp;reservation_id=9080486846033592", "2AYJTS40CW")</f>
        <v>2AYJTS40CW</v>
      </c>
      <c r="D4818" t="s">
        <v>45</v>
      </c>
      <c r="E4818" t="s">
        <v>190</v>
      </c>
      <c r="F4818" t="s">
        <v>61</v>
      </c>
      <c r="G4818" t="s">
        <v>48</v>
      </c>
      <c r="H4818" t="s">
        <v>49</v>
      </c>
      <c r="I4818" t="s">
        <v>50</v>
      </c>
      <c r="J4818" t="s">
        <v>7275</v>
      </c>
      <c r="K4818" t="s">
        <v>6944</v>
      </c>
      <c r="L4818" t="s">
        <v>53</v>
      </c>
      <c r="N4818" t="s">
        <v>8454</v>
      </c>
      <c r="P4818" t="s">
        <v>55</v>
      </c>
      <c r="R4818" t="s">
        <v>53</v>
      </c>
      <c r="T4818" t="s">
        <v>8455</v>
      </c>
      <c r="U4818" t="s">
        <v>58</v>
      </c>
      <c r="V4818">
        <v>1</v>
      </c>
      <c r="W4818">
        <v>1</v>
      </c>
      <c r="X4818">
        <v>2</v>
      </c>
      <c r="Y4818">
        <v>0</v>
      </c>
      <c r="Z4818">
        <v>2</v>
      </c>
      <c r="AA4818">
        <v>202.12</v>
      </c>
      <c r="AB4818">
        <v>202.12</v>
      </c>
      <c r="AC4818">
        <v>177.84</v>
      </c>
      <c r="AD4818">
        <v>0</v>
      </c>
      <c r="AE4818">
        <v>24.28</v>
      </c>
      <c r="AF4818">
        <v>0</v>
      </c>
      <c r="AG4818">
        <v>0</v>
      </c>
      <c r="AH4818">
        <v>0</v>
      </c>
      <c r="AI4818">
        <v>36.380000000000003</v>
      </c>
      <c r="AJ4818">
        <v>202.12</v>
      </c>
      <c r="AK4818">
        <v>0</v>
      </c>
      <c r="AL4818" t="s">
        <v>53</v>
      </c>
      <c r="AM4818" t="s">
        <v>53</v>
      </c>
      <c r="AN4818" t="s">
        <v>53</v>
      </c>
      <c r="AO4818" t="s">
        <v>53</v>
      </c>
      <c r="AP4818" t="s">
        <v>53</v>
      </c>
    </row>
    <row r="4819" spans="2:42" x14ac:dyDescent="0.2">
      <c r="B4819" t="s">
        <v>44</v>
      </c>
      <c r="C4819" t="str">
        <f>HYPERLINK("https://us2.cloudbeds.com/connect/8493803454333002#/reservations/9080486846034019?display=2AM5D70M2C&amp;reservation_id=9080486846034019", "2AM5D70M2C")</f>
        <v>2AM5D70M2C</v>
      </c>
      <c r="D4819" t="s">
        <v>45</v>
      </c>
      <c r="E4819" t="s">
        <v>223</v>
      </c>
      <c r="F4819" t="s">
        <v>47</v>
      </c>
      <c r="G4819" t="s">
        <v>48</v>
      </c>
      <c r="H4819" t="s">
        <v>49</v>
      </c>
      <c r="I4819" t="s">
        <v>50</v>
      </c>
      <c r="J4819" t="s">
        <v>6661</v>
      </c>
      <c r="K4819" t="s">
        <v>7352</v>
      </c>
      <c r="L4819" t="s">
        <v>53</v>
      </c>
      <c r="N4819" t="s">
        <v>8456</v>
      </c>
      <c r="P4819" t="s">
        <v>55</v>
      </c>
      <c r="R4819" t="s">
        <v>53</v>
      </c>
      <c r="T4819" t="s">
        <v>8457</v>
      </c>
      <c r="U4819" t="s">
        <v>58</v>
      </c>
      <c r="V4819">
        <v>16</v>
      </c>
      <c r="W4819">
        <v>1</v>
      </c>
      <c r="X4819">
        <v>1</v>
      </c>
      <c r="Y4819">
        <v>0</v>
      </c>
      <c r="Z4819">
        <v>1</v>
      </c>
      <c r="AA4819">
        <v>2691.65</v>
      </c>
      <c r="AB4819">
        <v>2691.65</v>
      </c>
      <c r="AC4819">
        <v>2368.3200000000002</v>
      </c>
      <c r="AD4819">
        <v>0</v>
      </c>
      <c r="AE4819">
        <v>323.33</v>
      </c>
      <c r="AF4819">
        <v>0</v>
      </c>
      <c r="AG4819">
        <v>0</v>
      </c>
      <c r="AH4819">
        <v>0</v>
      </c>
      <c r="AI4819">
        <v>484.5</v>
      </c>
      <c r="AJ4819">
        <v>2691.65</v>
      </c>
      <c r="AK4819">
        <v>0</v>
      </c>
      <c r="AL4819" t="s">
        <v>53</v>
      </c>
      <c r="AM4819" t="s">
        <v>53</v>
      </c>
      <c r="AN4819" t="s">
        <v>53</v>
      </c>
      <c r="AO4819" t="s">
        <v>53</v>
      </c>
      <c r="AP4819" t="s">
        <v>53</v>
      </c>
    </row>
    <row r="4820" spans="2:42" x14ac:dyDescent="0.2">
      <c r="B4820" t="s">
        <v>44</v>
      </c>
      <c r="C4820" t="str">
        <f>HYPERLINK("https://us2.cloudbeds.com/connect/8493803454333002#/reservations/9080486846034180?display=2AMCDNQ65R&amp;reservation_id=9080486846034180", "2AMCDNQ65R")</f>
        <v>2AMCDNQ65R</v>
      </c>
      <c r="D4820" t="s">
        <v>45</v>
      </c>
      <c r="E4820" t="s">
        <v>105</v>
      </c>
      <c r="F4820" t="s">
        <v>47</v>
      </c>
      <c r="G4820" t="s">
        <v>48</v>
      </c>
      <c r="H4820" t="s">
        <v>49</v>
      </c>
      <c r="I4820" t="s">
        <v>50</v>
      </c>
      <c r="J4820" t="s">
        <v>6922</v>
      </c>
      <c r="K4820" t="s">
        <v>4442</v>
      </c>
      <c r="L4820" t="s">
        <v>53</v>
      </c>
      <c r="N4820" t="s">
        <v>8458</v>
      </c>
      <c r="P4820" t="s">
        <v>55</v>
      </c>
      <c r="R4820" t="s">
        <v>53</v>
      </c>
      <c r="T4820" t="s">
        <v>8459</v>
      </c>
      <c r="U4820" t="s">
        <v>58</v>
      </c>
      <c r="V4820">
        <v>1</v>
      </c>
      <c r="W4820">
        <v>1</v>
      </c>
      <c r="X4820">
        <v>1</v>
      </c>
      <c r="Y4820">
        <v>0</v>
      </c>
      <c r="Z4820">
        <v>1</v>
      </c>
      <c r="AA4820">
        <v>144.22</v>
      </c>
      <c r="AB4820">
        <v>144.22</v>
      </c>
      <c r="AC4820">
        <v>126.9</v>
      </c>
      <c r="AD4820">
        <v>0</v>
      </c>
      <c r="AE4820">
        <v>17.32</v>
      </c>
      <c r="AF4820">
        <v>0</v>
      </c>
      <c r="AG4820">
        <v>0</v>
      </c>
      <c r="AH4820">
        <v>0</v>
      </c>
      <c r="AI4820">
        <v>25.96</v>
      </c>
      <c r="AJ4820">
        <v>144.22</v>
      </c>
      <c r="AK4820">
        <v>17.32</v>
      </c>
      <c r="AL4820" t="s">
        <v>53</v>
      </c>
      <c r="AM4820" t="s">
        <v>53</v>
      </c>
      <c r="AN4820" t="s">
        <v>53</v>
      </c>
      <c r="AO4820" t="s">
        <v>53</v>
      </c>
      <c r="AP4820" t="s">
        <v>53</v>
      </c>
    </row>
    <row r="4821" spans="2:42" x14ac:dyDescent="0.2">
      <c r="B4821" t="s">
        <v>44</v>
      </c>
      <c r="C4821" t="str">
        <f>HYPERLINK("https://us2.cloudbeds.com/connect/8493803454333002#/reservations/9080486846034187?display=2AMCR103CD&amp;reservation_id=9080486846034187", "2AMCR103CD")</f>
        <v>2AMCR103CD</v>
      </c>
      <c r="D4821" t="s">
        <v>45</v>
      </c>
      <c r="E4821" t="s">
        <v>128</v>
      </c>
      <c r="F4821" t="s">
        <v>86</v>
      </c>
      <c r="G4821" t="s">
        <v>48</v>
      </c>
      <c r="H4821" t="s">
        <v>49</v>
      </c>
      <c r="I4821" t="s">
        <v>50</v>
      </c>
      <c r="J4821" t="s">
        <v>7414</v>
      </c>
      <c r="K4821" t="s">
        <v>7276</v>
      </c>
      <c r="L4821" t="s">
        <v>53</v>
      </c>
      <c r="N4821" t="s">
        <v>8460</v>
      </c>
      <c r="P4821" t="s">
        <v>55</v>
      </c>
      <c r="R4821" t="s">
        <v>53</v>
      </c>
      <c r="T4821" t="s">
        <v>8461</v>
      </c>
      <c r="U4821" t="s">
        <v>58</v>
      </c>
      <c r="V4821">
        <v>2</v>
      </c>
      <c r="W4821">
        <v>1</v>
      </c>
      <c r="X4821">
        <v>2</v>
      </c>
      <c r="Y4821">
        <v>1</v>
      </c>
      <c r="Z4821">
        <v>3</v>
      </c>
      <c r="AA4821">
        <v>319.12</v>
      </c>
      <c r="AB4821">
        <v>319.12</v>
      </c>
      <c r="AC4821">
        <v>280.8</v>
      </c>
      <c r="AD4821">
        <v>0</v>
      </c>
      <c r="AE4821">
        <v>38.32</v>
      </c>
      <c r="AF4821">
        <v>0</v>
      </c>
      <c r="AG4821">
        <v>0</v>
      </c>
      <c r="AH4821">
        <v>0</v>
      </c>
      <c r="AI4821">
        <v>57.44</v>
      </c>
      <c r="AJ4821">
        <v>319.12</v>
      </c>
      <c r="AK4821">
        <v>0</v>
      </c>
      <c r="AL4821" t="s">
        <v>53</v>
      </c>
      <c r="AM4821" t="s">
        <v>53</v>
      </c>
      <c r="AN4821" t="s">
        <v>53</v>
      </c>
      <c r="AO4821" t="s">
        <v>53</v>
      </c>
      <c r="AP4821" t="s">
        <v>53</v>
      </c>
    </row>
    <row r="4822" spans="2:42" x14ac:dyDescent="0.2">
      <c r="B4822" t="s">
        <v>44</v>
      </c>
      <c r="C4822" t="str">
        <f>HYPERLINK("https://us2.cloudbeds.com/connect/8493803454333002#/reservations/9080486846035856?display=2AZVAEH0UT&amp;reservation_id=9080486846035856", "2AZVAEH0UT")</f>
        <v>2AZVAEH0UT</v>
      </c>
      <c r="D4822" t="s">
        <v>45</v>
      </c>
      <c r="E4822" t="s">
        <v>213</v>
      </c>
      <c r="F4822" t="s">
        <v>86</v>
      </c>
      <c r="G4822" t="s">
        <v>48</v>
      </c>
      <c r="H4822" t="s">
        <v>49</v>
      </c>
      <c r="I4822" t="s">
        <v>50</v>
      </c>
      <c r="J4822" t="s">
        <v>7402</v>
      </c>
      <c r="K4822" t="s">
        <v>6417</v>
      </c>
      <c r="L4822" t="s">
        <v>53</v>
      </c>
      <c r="N4822" t="s">
        <v>8462</v>
      </c>
      <c r="P4822" t="s">
        <v>55</v>
      </c>
      <c r="R4822" t="s">
        <v>53</v>
      </c>
      <c r="T4822" t="s">
        <v>8463</v>
      </c>
      <c r="U4822" t="s">
        <v>58</v>
      </c>
      <c r="V4822">
        <v>1</v>
      </c>
      <c r="W4822">
        <v>1</v>
      </c>
      <c r="X4822">
        <v>2</v>
      </c>
      <c r="Y4822">
        <v>0</v>
      </c>
      <c r="Z4822">
        <v>2</v>
      </c>
      <c r="AA4822">
        <v>148.77000000000001</v>
      </c>
      <c r="AB4822">
        <v>156.91</v>
      </c>
      <c r="AC4822">
        <v>130.9</v>
      </c>
      <c r="AD4822">
        <v>7.5</v>
      </c>
      <c r="AE4822">
        <v>18.510000000000002</v>
      </c>
      <c r="AF4822">
        <v>0</v>
      </c>
      <c r="AG4822">
        <v>0</v>
      </c>
      <c r="AH4822">
        <v>0</v>
      </c>
      <c r="AI4822">
        <v>28.24</v>
      </c>
      <c r="AJ4822">
        <v>156.91</v>
      </c>
      <c r="AK4822">
        <v>0</v>
      </c>
      <c r="AL4822" t="s">
        <v>53</v>
      </c>
      <c r="AM4822" t="s">
        <v>53</v>
      </c>
      <c r="AN4822" t="s">
        <v>53</v>
      </c>
      <c r="AO4822" t="s">
        <v>53</v>
      </c>
      <c r="AP4822" t="s">
        <v>53</v>
      </c>
    </row>
    <row r="4823" spans="2:42" x14ac:dyDescent="0.2">
      <c r="B4823" t="s">
        <v>44</v>
      </c>
      <c r="C4823" t="str">
        <f>HYPERLINK("https://us2.cloudbeds.com/connect/8493803454333002#/reservations/9080486846035913?display=2AP1MS8EZN&amp;reservation_id=9080486846035913", "2AP1MS8EZN")</f>
        <v>2AP1MS8EZN</v>
      </c>
      <c r="D4823" t="s">
        <v>45</v>
      </c>
      <c r="E4823" t="s">
        <v>213</v>
      </c>
      <c r="F4823" t="s">
        <v>86</v>
      </c>
      <c r="G4823" t="s">
        <v>48</v>
      </c>
      <c r="H4823" t="s">
        <v>49</v>
      </c>
      <c r="I4823" t="s">
        <v>62</v>
      </c>
      <c r="J4823" t="s">
        <v>8394</v>
      </c>
      <c r="K4823" t="s">
        <v>7624</v>
      </c>
      <c r="L4823" t="s">
        <v>53</v>
      </c>
      <c r="N4823" t="s">
        <v>8464</v>
      </c>
      <c r="P4823" t="s">
        <v>55</v>
      </c>
      <c r="R4823" t="s">
        <v>56</v>
      </c>
      <c r="T4823" t="s">
        <v>8465</v>
      </c>
      <c r="U4823" t="s">
        <v>55</v>
      </c>
      <c r="V4823">
        <v>2</v>
      </c>
      <c r="W4823">
        <v>1</v>
      </c>
      <c r="X4823">
        <v>4</v>
      </c>
      <c r="Y4823">
        <v>0</v>
      </c>
      <c r="Z4823">
        <v>4</v>
      </c>
      <c r="AA4823">
        <v>359.1</v>
      </c>
      <c r="AB4823">
        <v>359.1</v>
      </c>
      <c r="AC4823">
        <v>359.1</v>
      </c>
      <c r="AD4823">
        <v>0</v>
      </c>
      <c r="AE4823">
        <v>0</v>
      </c>
      <c r="AF4823">
        <v>0</v>
      </c>
      <c r="AG4823">
        <v>0</v>
      </c>
      <c r="AH4823">
        <v>0</v>
      </c>
      <c r="AI4823">
        <v>64.64</v>
      </c>
      <c r="AJ4823">
        <v>359.1</v>
      </c>
      <c r="AK4823">
        <v>0</v>
      </c>
      <c r="AL4823" t="s">
        <v>53</v>
      </c>
      <c r="AM4823" t="s">
        <v>53</v>
      </c>
      <c r="AN4823" t="s">
        <v>53</v>
      </c>
      <c r="AO4823" t="s">
        <v>53</v>
      </c>
      <c r="AP4823" t="s">
        <v>53</v>
      </c>
    </row>
    <row r="4824" spans="2:42" x14ac:dyDescent="0.2">
      <c r="B4824" t="s">
        <v>44</v>
      </c>
      <c r="C4824" t="str">
        <f>HYPERLINK("https://us2.cloudbeds.com/connect/8493803454333002#/reservations/9080486846035953?display=2AP4C1VS2Y&amp;reservation_id=9080486846035953", "2AP4C1VS2Y")</f>
        <v>2AP4C1VS2Y</v>
      </c>
      <c r="D4824" t="s">
        <v>45</v>
      </c>
      <c r="E4824" t="s">
        <v>373</v>
      </c>
      <c r="F4824" t="s">
        <v>47</v>
      </c>
      <c r="G4824" t="s">
        <v>48</v>
      </c>
      <c r="H4824" t="s">
        <v>49</v>
      </c>
      <c r="I4824" t="s">
        <v>50</v>
      </c>
      <c r="J4824" t="s">
        <v>6416</v>
      </c>
      <c r="K4824" t="s">
        <v>6417</v>
      </c>
      <c r="L4824" t="s">
        <v>53</v>
      </c>
      <c r="N4824" t="s">
        <v>8466</v>
      </c>
      <c r="P4824" t="s">
        <v>55</v>
      </c>
      <c r="R4824" t="s">
        <v>53</v>
      </c>
      <c r="T4824" t="s">
        <v>8467</v>
      </c>
      <c r="U4824" t="s">
        <v>58</v>
      </c>
      <c r="V4824">
        <v>2</v>
      </c>
      <c r="W4824">
        <v>1</v>
      </c>
      <c r="X4824">
        <v>2</v>
      </c>
      <c r="Y4824">
        <v>0</v>
      </c>
      <c r="Z4824">
        <v>2</v>
      </c>
      <c r="AA4824">
        <v>288.60000000000002</v>
      </c>
      <c r="AB4824">
        <v>288.60000000000002</v>
      </c>
      <c r="AC4824">
        <v>253.93</v>
      </c>
      <c r="AD4824">
        <v>0</v>
      </c>
      <c r="AE4824">
        <v>34.67</v>
      </c>
      <c r="AF4824">
        <v>0</v>
      </c>
      <c r="AG4824">
        <v>0</v>
      </c>
      <c r="AH4824">
        <v>0</v>
      </c>
      <c r="AI4824">
        <v>51.95</v>
      </c>
      <c r="AJ4824">
        <v>288.60000000000002</v>
      </c>
      <c r="AK4824">
        <v>0</v>
      </c>
      <c r="AL4824" t="s">
        <v>53</v>
      </c>
      <c r="AM4824" t="s">
        <v>53</v>
      </c>
      <c r="AN4824" t="s">
        <v>53</v>
      </c>
      <c r="AO4824" t="s">
        <v>53</v>
      </c>
      <c r="AP4824" t="s">
        <v>53</v>
      </c>
    </row>
    <row r="4825" spans="2:42" x14ac:dyDescent="0.2">
      <c r="B4825" t="s">
        <v>44</v>
      </c>
      <c r="C4825" t="str">
        <f>HYPERLINK("https://us2.cloudbeds.com/connect/8493803454333002#/reservations/107982091497674?display=2APMTNQ49J&amp;reservation_id=107982091497674", "2APMTNQ49J")</f>
        <v>2APMTNQ49J</v>
      </c>
      <c r="D4825" t="s">
        <v>45</v>
      </c>
      <c r="E4825" t="s">
        <v>185</v>
      </c>
      <c r="F4825" t="s">
        <v>47</v>
      </c>
      <c r="G4825" t="s">
        <v>48</v>
      </c>
      <c r="H4825" t="s">
        <v>3957</v>
      </c>
      <c r="I4825" t="s">
        <v>3975</v>
      </c>
      <c r="J4825" t="s">
        <v>6922</v>
      </c>
      <c r="K4825" t="s">
        <v>4442</v>
      </c>
      <c r="L4825" t="s">
        <v>53</v>
      </c>
      <c r="P4825" t="s">
        <v>55</v>
      </c>
      <c r="R4825" t="s">
        <v>53</v>
      </c>
      <c r="T4825" t="s">
        <v>8468</v>
      </c>
      <c r="U4825" t="s">
        <v>58</v>
      </c>
      <c r="V4825">
        <v>1</v>
      </c>
      <c r="W4825">
        <v>1</v>
      </c>
      <c r="X4825">
        <v>2</v>
      </c>
      <c r="Y4825">
        <v>0</v>
      </c>
      <c r="Z4825">
        <v>2</v>
      </c>
      <c r="AA4825">
        <v>160.25</v>
      </c>
      <c r="AB4825">
        <v>160.25</v>
      </c>
      <c r="AC4825">
        <v>141</v>
      </c>
      <c r="AD4825">
        <v>0</v>
      </c>
      <c r="AE4825">
        <v>19.25</v>
      </c>
      <c r="AF4825">
        <v>0</v>
      </c>
      <c r="AG4825">
        <v>0</v>
      </c>
      <c r="AH4825">
        <v>0</v>
      </c>
      <c r="AI4825">
        <v>0</v>
      </c>
      <c r="AJ4825">
        <v>160.25</v>
      </c>
      <c r="AK4825">
        <v>0</v>
      </c>
      <c r="AL4825" t="s">
        <v>53</v>
      </c>
      <c r="AM4825" t="s">
        <v>53</v>
      </c>
      <c r="AN4825" t="s">
        <v>53</v>
      </c>
      <c r="AO4825" t="s">
        <v>53</v>
      </c>
      <c r="AP4825" t="s">
        <v>53</v>
      </c>
    </row>
    <row r="4826" spans="2:42" x14ac:dyDescent="0.2">
      <c r="B4826" t="s">
        <v>44</v>
      </c>
      <c r="C4826" t="str">
        <f>HYPERLINK("https://us2.cloudbeds.com/connect/8493803454333002#/reservations/9080486846036247?display=2APNQK2J9P&amp;reservation_id=9080486846036247", "2APNQK2J9P")</f>
        <v>2APNQK2J9P</v>
      </c>
      <c r="D4826" t="s">
        <v>45</v>
      </c>
      <c r="E4826" t="s">
        <v>121</v>
      </c>
      <c r="F4826" t="s">
        <v>86</v>
      </c>
      <c r="G4826" t="s">
        <v>48</v>
      </c>
      <c r="H4826" t="s">
        <v>49</v>
      </c>
      <c r="I4826" t="s">
        <v>50</v>
      </c>
      <c r="J4826" t="s">
        <v>4442</v>
      </c>
      <c r="K4826" t="s">
        <v>4443</v>
      </c>
      <c r="L4826" t="s">
        <v>53</v>
      </c>
      <c r="N4826" t="s">
        <v>8469</v>
      </c>
      <c r="P4826" t="s">
        <v>55</v>
      </c>
      <c r="R4826" t="s">
        <v>53</v>
      </c>
      <c r="T4826" t="s">
        <v>8470</v>
      </c>
      <c r="U4826" t="s">
        <v>58</v>
      </c>
      <c r="V4826">
        <v>2</v>
      </c>
      <c r="W4826">
        <v>1</v>
      </c>
      <c r="X4826">
        <v>2</v>
      </c>
      <c r="Y4826">
        <v>2</v>
      </c>
      <c r="Z4826">
        <v>4</v>
      </c>
      <c r="AA4826">
        <v>331.87</v>
      </c>
      <c r="AB4826">
        <v>511.42</v>
      </c>
      <c r="AC4826">
        <v>292</v>
      </c>
      <c r="AD4826">
        <v>0</v>
      </c>
      <c r="AE4826">
        <v>39.869999999999997</v>
      </c>
      <c r="AF4826">
        <v>0</v>
      </c>
      <c r="AG4826">
        <v>0</v>
      </c>
      <c r="AH4826">
        <v>0</v>
      </c>
      <c r="AI4826">
        <v>59.74</v>
      </c>
      <c r="AJ4826">
        <v>331.87</v>
      </c>
      <c r="AK4826">
        <v>0</v>
      </c>
      <c r="AL4826" t="s">
        <v>53</v>
      </c>
      <c r="AM4826" t="s">
        <v>53</v>
      </c>
      <c r="AN4826" t="s">
        <v>53</v>
      </c>
      <c r="AO4826" t="s">
        <v>53</v>
      </c>
      <c r="AP4826" t="s">
        <v>53</v>
      </c>
    </row>
    <row r="4827" spans="2:42" x14ac:dyDescent="0.2">
      <c r="B4827" t="s">
        <v>44</v>
      </c>
      <c r="C4827" t="str">
        <f>HYPERLINK("https://us2.cloudbeds.com/connect/8493803454333002#/reservations/9080486846038244?display=2ATRNNTEFC&amp;reservation_id=9080486846038244", "2ATRNNTEFC")</f>
        <v>2ATRNNTEFC</v>
      </c>
      <c r="D4827" t="s">
        <v>45</v>
      </c>
      <c r="E4827" t="s">
        <v>128</v>
      </c>
      <c r="F4827" t="s">
        <v>86</v>
      </c>
      <c r="G4827" t="s">
        <v>48</v>
      </c>
      <c r="H4827" t="s">
        <v>49</v>
      </c>
      <c r="I4827" t="s">
        <v>62</v>
      </c>
      <c r="J4827" t="s">
        <v>6335</v>
      </c>
      <c r="K4827" t="s">
        <v>6921</v>
      </c>
      <c r="L4827" t="s">
        <v>53</v>
      </c>
      <c r="N4827" t="s">
        <v>8471</v>
      </c>
      <c r="P4827" t="s">
        <v>55</v>
      </c>
      <c r="R4827" t="s">
        <v>56</v>
      </c>
      <c r="T4827" t="s">
        <v>8472</v>
      </c>
      <c r="U4827" t="s">
        <v>55</v>
      </c>
      <c r="V4827">
        <v>1</v>
      </c>
      <c r="W4827">
        <v>1</v>
      </c>
      <c r="X4827">
        <v>2</v>
      </c>
      <c r="Y4827">
        <v>0</v>
      </c>
      <c r="Z4827">
        <v>2</v>
      </c>
      <c r="AA4827">
        <v>152</v>
      </c>
      <c r="AB4827">
        <v>152</v>
      </c>
      <c r="AC4827">
        <v>152</v>
      </c>
      <c r="AD4827">
        <v>0</v>
      </c>
      <c r="AE4827">
        <v>0</v>
      </c>
      <c r="AF4827">
        <v>0</v>
      </c>
      <c r="AG4827">
        <v>0</v>
      </c>
      <c r="AH4827">
        <v>0</v>
      </c>
      <c r="AI4827">
        <v>27.36</v>
      </c>
      <c r="AJ4827">
        <v>152</v>
      </c>
      <c r="AK4827">
        <v>0</v>
      </c>
      <c r="AL4827" t="s">
        <v>53</v>
      </c>
      <c r="AM4827" t="s">
        <v>53</v>
      </c>
      <c r="AN4827" t="s">
        <v>53</v>
      </c>
      <c r="AO4827" t="s">
        <v>53</v>
      </c>
      <c r="AP4827" t="s">
        <v>53</v>
      </c>
    </row>
    <row r="4828" spans="2:42" x14ac:dyDescent="0.2">
      <c r="B4828" t="s">
        <v>44</v>
      </c>
      <c r="C4828" t="str">
        <f>HYPERLINK("https://us2.cloudbeds.com/connect/8493803454333002#/reservations/9080486846038259?display=2ATSJQNR9E&amp;reservation_id=9080486846038259", "2ATSJQNR9E")</f>
        <v>2ATSJQNR9E</v>
      </c>
      <c r="D4828" t="s">
        <v>45</v>
      </c>
      <c r="E4828" t="s">
        <v>165</v>
      </c>
      <c r="F4828" t="s">
        <v>61</v>
      </c>
      <c r="G4828" t="s">
        <v>48</v>
      </c>
      <c r="H4828" t="s">
        <v>49</v>
      </c>
      <c r="I4828" t="s">
        <v>50</v>
      </c>
      <c r="J4828" t="s">
        <v>6335</v>
      </c>
      <c r="K4828" t="s">
        <v>6921</v>
      </c>
      <c r="L4828" t="s">
        <v>53</v>
      </c>
      <c r="N4828" t="s">
        <v>8473</v>
      </c>
      <c r="P4828" t="s">
        <v>55</v>
      </c>
      <c r="R4828" t="s">
        <v>53</v>
      </c>
      <c r="T4828" t="s">
        <v>8474</v>
      </c>
      <c r="U4828" t="s">
        <v>58</v>
      </c>
      <c r="V4828">
        <v>1</v>
      </c>
      <c r="W4828">
        <v>1</v>
      </c>
      <c r="X4828">
        <v>1</v>
      </c>
      <c r="Y4828">
        <v>0</v>
      </c>
      <c r="Z4828">
        <v>1</v>
      </c>
      <c r="AA4828">
        <v>132.75</v>
      </c>
      <c r="AB4828">
        <v>132.75</v>
      </c>
      <c r="AC4828">
        <v>116.8</v>
      </c>
      <c r="AD4828">
        <v>0</v>
      </c>
      <c r="AE4828">
        <v>15.95</v>
      </c>
      <c r="AF4828">
        <v>0</v>
      </c>
      <c r="AG4828">
        <v>0</v>
      </c>
      <c r="AH4828">
        <v>0</v>
      </c>
      <c r="AI4828">
        <v>23.9</v>
      </c>
      <c r="AJ4828">
        <v>132.75</v>
      </c>
      <c r="AK4828">
        <v>0</v>
      </c>
      <c r="AL4828" t="s">
        <v>53</v>
      </c>
      <c r="AM4828" t="s">
        <v>53</v>
      </c>
      <c r="AN4828" t="s">
        <v>53</v>
      </c>
      <c r="AO4828" t="s">
        <v>53</v>
      </c>
      <c r="AP4828" t="s">
        <v>53</v>
      </c>
    </row>
    <row r="4829" spans="2:42" x14ac:dyDescent="0.2">
      <c r="B4829" t="s">
        <v>44</v>
      </c>
      <c r="C4829" t="str">
        <f>HYPERLINK("https://us2.cloudbeds.com/connect/8493803454333002#/reservations/108234476892407?display=2AVKAZRPQ7&amp;reservation_id=108234476892407", "2AVKAZRPQ7")</f>
        <v>2AVKAZRPQ7</v>
      </c>
      <c r="D4829" t="s">
        <v>45</v>
      </c>
      <c r="E4829" t="s">
        <v>406</v>
      </c>
      <c r="F4829" t="s">
        <v>61</v>
      </c>
      <c r="G4829" t="s">
        <v>48</v>
      </c>
      <c r="H4829" t="s">
        <v>3957</v>
      </c>
      <c r="I4829" t="s">
        <v>3975</v>
      </c>
      <c r="J4829" t="s">
        <v>7376</v>
      </c>
      <c r="K4829" t="s">
        <v>7559</v>
      </c>
      <c r="L4829" t="s">
        <v>53</v>
      </c>
      <c r="P4829" t="s">
        <v>55</v>
      </c>
      <c r="R4829" t="s">
        <v>53</v>
      </c>
      <c r="T4829" t="s">
        <v>8475</v>
      </c>
      <c r="U4829" t="s">
        <v>58</v>
      </c>
      <c r="V4829">
        <v>1</v>
      </c>
      <c r="W4829">
        <v>1</v>
      </c>
      <c r="X4829">
        <v>2</v>
      </c>
      <c r="Y4829">
        <v>0</v>
      </c>
      <c r="Z4829">
        <v>2</v>
      </c>
      <c r="AA4829">
        <v>220.49</v>
      </c>
      <c r="AB4829">
        <v>220.49</v>
      </c>
      <c r="AC4829">
        <v>194</v>
      </c>
      <c r="AD4829">
        <v>0</v>
      </c>
      <c r="AE4829">
        <v>26.49</v>
      </c>
      <c r="AF4829">
        <v>0</v>
      </c>
      <c r="AG4829">
        <v>0</v>
      </c>
      <c r="AH4829">
        <v>0</v>
      </c>
      <c r="AI4829">
        <v>0</v>
      </c>
      <c r="AJ4829">
        <v>220.49</v>
      </c>
      <c r="AK4829">
        <v>0</v>
      </c>
      <c r="AL4829" t="s">
        <v>53</v>
      </c>
      <c r="AM4829" t="s">
        <v>53</v>
      </c>
      <c r="AN4829" t="s">
        <v>53</v>
      </c>
      <c r="AO4829" t="s">
        <v>53</v>
      </c>
      <c r="AP4829" t="s">
        <v>53</v>
      </c>
    </row>
    <row r="4830" spans="2:42" x14ac:dyDescent="0.2">
      <c r="B4830" t="s">
        <v>44</v>
      </c>
      <c r="C4830" t="str">
        <f>HYPERLINK("https://us2.cloudbeds.com/connect/8493803454333002#/reservations/108268396945601?display=2AWDJG48N1&amp;reservation_id=108268396945601", "2AWDJG48N1")</f>
        <v>2AWDJG48N1</v>
      </c>
      <c r="D4830" t="s">
        <v>45</v>
      </c>
      <c r="E4830" t="s">
        <v>105</v>
      </c>
      <c r="F4830" t="s">
        <v>47</v>
      </c>
      <c r="G4830" t="s">
        <v>48</v>
      </c>
      <c r="H4830" t="s">
        <v>3957</v>
      </c>
      <c r="I4830" t="s">
        <v>3975</v>
      </c>
      <c r="J4830" t="s">
        <v>5593</v>
      </c>
      <c r="K4830" t="s">
        <v>7706</v>
      </c>
      <c r="L4830" t="s">
        <v>53</v>
      </c>
      <c r="P4830" t="s">
        <v>55</v>
      </c>
      <c r="R4830" t="s">
        <v>53</v>
      </c>
      <c r="T4830" t="s">
        <v>8476</v>
      </c>
      <c r="U4830" t="s">
        <v>58</v>
      </c>
      <c r="V4830">
        <v>2</v>
      </c>
      <c r="W4830">
        <v>1</v>
      </c>
      <c r="X4830">
        <v>2</v>
      </c>
      <c r="Y4830">
        <v>0</v>
      </c>
      <c r="Z4830">
        <v>2</v>
      </c>
      <c r="AA4830">
        <v>380.74</v>
      </c>
      <c r="AB4830">
        <v>380.74</v>
      </c>
      <c r="AC4830">
        <v>335</v>
      </c>
      <c r="AD4830">
        <v>0</v>
      </c>
      <c r="AE4830">
        <v>45.74</v>
      </c>
      <c r="AF4830">
        <v>0</v>
      </c>
      <c r="AG4830">
        <v>0</v>
      </c>
      <c r="AH4830">
        <v>0</v>
      </c>
      <c r="AI4830">
        <v>0</v>
      </c>
      <c r="AJ4830">
        <v>380.74</v>
      </c>
      <c r="AK4830">
        <v>0</v>
      </c>
      <c r="AL4830" t="s">
        <v>53</v>
      </c>
      <c r="AM4830" t="s">
        <v>53</v>
      </c>
      <c r="AN4830" t="s">
        <v>53</v>
      </c>
      <c r="AO4830" t="s">
        <v>53</v>
      </c>
      <c r="AP4830" t="s">
        <v>53</v>
      </c>
    </row>
    <row r="4831" spans="2:42" x14ac:dyDescent="0.2">
      <c r="B4831" t="s">
        <v>44</v>
      </c>
      <c r="C4831" t="str">
        <f>HYPERLINK("https://us2.cloudbeds.com/connect/8493803454333002#/reservations/9080486846040693?display=2AWYBH1MM7&amp;reservation_id=9080486846040693", "2AWYBH1MM7")</f>
        <v>2AWYBH1MM7</v>
      </c>
      <c r="D4831" t="s">
        <v>45</v>
      </c>
      <c r="E4831" t="s">
        <v>110</v>
      </c>
      <c r="F4831" t="s">
        <v>47</v>
      </c>
      <c r="G4831" t="s">
        <v>48</v>
      </c>
      <c r="H4831" t="s">
        <v>49</v>
      </c>
      <c r="I4831" t="s">
        <v>50</v>
      </c>
      <c r="J4831" t="s">
        <v>6335</v>
      </c>
      <c r="K4831" t="s">
        <v>6921</v>
      </c>
      <c r="L4831" t="s">
        <v>53</v>
      </c>
      <c r="N4831" t="s">
        <v>8477</v>
      </c>
      <c r="P4831" t="s">
        <v>55</v>
      </c>
      <c r="R4831" t="s">
        <v>53</v>
      </c>
      <c r="T4831" t="s">
        <v>8478</v>
      </c>
      <c r="U4831" t="s">
        <v>58</v>
      </c>
      <c r="V4831">
        <v>1</v>
      </c>
      <c r="W4831">
        <v>1</v>
      </c>
      <c r="X4831">
        <v>2</v>
      </c>
      <c r="Y4831">
        <v>0</v>
      </c>
      <c r="Z4831">
        <v>2</v>
      </c>
      <c r="AA4831">
        <v>142.18</v>
      </c>
      <c r="AB4831">
        <v>142.18</v>
      </c>
      <c r="AC4831">
        <v>125.1</v>
      </c>
      <c r="AD4831">
        <v>0</v>
      </c>
      <c r="AE4831">
        <v>17.079999999999998</v>
      </c>
      <c r="AF4831">
        <v>0</v>
      </c>
      <c r="AG4831">
        <v>0</v>
      </c>
      <c r="AH4831">
        <v>0</v>
      </c>
      <c r="AI4831">
        <v>25.59</v>
      </c>
      <c r="AJ4831">
        <v>142.18</v>
      </c>
      <c r="AK4831">
        <v>0</v>
      </c>
      <c r="AL4831" t="s">
        <v>53</v>
      </c>
      <c r="AM4831" t="s">
        <v>53</v>
      </c>
      <c r="AN4831" t="s">
        <v>53</v>
      </c>
      <c r="AO4831" t="s">
        <v>53</v>
      </c>
      <c r="AP4831" t="s">
        <v>53</v>
      </c>
    </row>
    <row r="4832" spans="2:42" x14ac:dyDescent="0.2">
      <c r="B4832" t="s">
        <v>44</v>
      </c>
      <c r="C4832" t="str">
        <f>HYPERLINK("https://us2.cloudbeds.com/connect/8493803454333002#/reservations/108283500945642?display=2AWP9E7ASW&amp;reservation_id=108283500945642", "2AWP9E7ASW")</f>
        <v>2AWP9E7ASW</v>
      </c>
      <c r="D4832" t="s">
        <v>45</v>
      </c>
      <c r="E4832" t="s">
        <v>165</v>
      </c>
      <c r="F4832" t="s">
        <v>61</v>
      </c>
      <c r="G4832" t="s">
        <v>48</v>
      </c>
      <c r="H4832" t="s">
        <v>3957</v>
      </c>
      <c r="I4832" t="s">
        <v>3975</v>
      </c>
      <c r="J4832" t="s">
        <v>7962</v>
      </c>
      <c r="K4832" t="s">
        <v>7821</v>
      </c>
      <c r="L4832" t="s">
        <v>53</v>
      </c>
      <c r="P4832" t="s">
        <v>55</v>
      </c>
      <c r="R4832" t="s">
        <v>53</v>
      </c>
      <c r="T4832" t="s">
        <v>8479</v>
      </c>
      <c r="U4832" t="s">
        <v>58</v>
      </c>
      <c r="V4832">
        <v>1</v>
      </c>
      <c r="W4832">
        <v>1</v>
      </c>
      <c r="X4832">
        <v>2</v>
      </c>
      <c r="Y4832">
        <v>0</v>
      </c>
      <c r="Z4832">
        <v>2</v>
      </c>
      <c r="AA4832">
        <v>197.76</v>
      </c>
      <c r="AB4832">
        <v>197.76</v>
      </c>
      <c r="AC4832">
        <v>174</v>
      </c>
      <c r="AD4832">
        <v>0</v>
      </c>
      <c r="AE4832">
        <v>23.76</v>
      </c>
      <c r="AF4832">
        <v>0</v>
      </c>
      <c r="AG4832">
        <v>0</v>
      </c>
      <c r="AH4832">
        <v>0</v>
      </c>
      <c r="AI4832">
        <v>0</v>
      </c>
      <c r="AJ4832">
        <v>197.76</v>
      </c>
      <c r="AK4832">
        <v>0</v>
      </c>
      <c r="AL4832" t="s">
        <v>53</v>
      </c>
      <c r="AM4832" t="s">
        <v>53</v>
      </c>
      <c r="AN4832" t="s">
        <v>53</v>
      </c>
      <c r="AO4832" t="s">
        <v>53</v>
      </c>
      <c r="AP4832" t="s">
        <v>53</v>
      </c>
    </row>
    <row r="4833" spans="2:42" x14ac:dyDescent="0.2">
      <c r="B4833" t="s">
        <v>44</v>
      </c>
      <c r="C4833" t="str">
        <f>HYPERLINK("https://us2.cloudbeds.com/connect/8493803454333002#/reservations/9080486846040972?display=2B03ZJ826W&amp;reservation_id=9080486846040972", "2B03ZJ826W")</f>
        <v>2B03ZJ826W</v>
      </c>
      <c r="D4833" t="s">
        <v>45</v>
      </c>
      <c r="E4833" t="s">
        <v>381</v>
      </c>
      <c r="F4833" t="s">
        <v>47</v>
      </c>
      <c r="G4833" t="s">
        <v>48</v>
      </c>
      <c r="H4833" t="s">
        <v>49</v>
      </c>
      <c r="I4833" t="s">
        <v>50</v>
      </c>
      <c r="J4833" t="s">
        <v>6416</v>
      </c>
      <c r="K4833" t="s">
        <v>6417</v>
      </c>
      <c r="L4833" t="s">
        <v>53</v>
      </c>
      <c r="N4833" t="s">
        <v>8480</v>
      </c>
      <c r="P4833" t="s">
        <v>55</v>
      </c>
      <c r="R4833" t="s">
        <v>53</v>
      </c>
      <c r="T4833" t="s">
        <v>8481</v>
      </c>
      <c r="U4833" t="s">
        <v>58</v>
      </c>
      <c r="V4833">
        <v>2</v>
      </c>
      <c r="W4833">
        <v>1</v>
      </c>
      <c r="X4833">
        <v>1</v>
      </c>
      <c r="Y4833">
        <v>0</v>
      </c>
      <c r="Z4833">
        <v>1</v>
      </c>
      <c r="AA4833">
        <v>311.95999999999998</v>
      </c>
      <c r="AB4833">
        <v>311.95999999999998</v>
      </c>
      <c r="AC4833">
        <v>274.5</v>
      </c>
      <c r="AD4833">
        <v>0</v>
      </c>
      <c r="AE4833">
        <v>37.46</v>
      </c>
      <c r="AF4833">
        <v>0</v>
      </c>
      <c r="AG4833">
        <v>0</v>
      </c>
      <c r="AH4833">
        <v>0</v>
      </c>
      <c r="AI4833">
        <v>56.15</v>
      </c>
      <c r="AJ4833">
        <v>311.95999999999998</v>
      </c>
      <c r="AK4833">
        <v>0</v>
      </c>
      <c r="AL4833" t="s">
        <v>53</v>
      </c>
      <c r="AM4833" t="s">
        <v>53</v>
      </c>
      <c r="AN4833" t="s">
        <v>53</v>
      </c>
      <c r="AO4833" t="s">
        <v>53</v>
      </c>
      <c r="AP4833" t="s">
        <v>53</v>
      </c>
    </row>
    <row r="4834" spans="2:42" x14ac:dyDescent="0.2">
      <c r="B4834" t="s">
        <v>44</v>
      </c>
      <c r="C4834" t="str">
        <f>HYPERLINK("https://us2.cloudbeds.com/connect/8493803454333002#/reservations/9080486846040981?display=2B0413B8V7&amp;reservation_id=9080486846040981", "2B0413B8V7")</f>
        <v>2B0413B8V7</v>
      </c>
      <c r="D4834" t="s">
        <v>45</v>
      </c>
      <c r="E4834" t="s">
        <v>110</v>
      </c>
      <c r="F4834" t="s">
        <v>47</v>
      </c>
      <c r="G4834" t="s">
        <v>48</v>
      </c>
      <c r="H4834" t="s">
        <v>49</v>
      </c>
      <c r="I4834" t="s">
        <v>50</v>
      </c>
      <c r="J4834" t="s">
        <v>8143</v>
      </c>
      <c r="K4834" t="s">
        <v>8300</v>
      </c>
      <c r="L4834" t="s">
        <v>53</v>
      </c>
      <c r="N4834" t="s">
        <v>8482</v>
      </c>
      <c r="P4834" t="s">
        <v>55</v>
      </c>
      <c r="R4834" t="s">
        <v>53</v>
      </c>
      <c r="T4834" t="s">
        <v>8483</v>
      </c>
      <c r="U4834" t="s">
        <v>58</v>
      </c>
      <c r="V4834">
        <v>1</v>
      </c>
      <c r="W4834">
        <v>1</v>
      </c>
      <c r="X4834">
        <v>2</v>
      </c>
      <c r="Y4834">
        <v>0</v>
      </c>
      <c r="Z4834">
        <v>2</v>
      </c>
      <c r="AA4834">
        <v>154.16999999999999</v>
      </c>
      <c r="AB4834">
        <v>154.16999999999999</v>
      </c>
      <c r="AC4834">
        <v>135.66</v>
      </c>
      <c r="AD4834">
        <v>0</v>
      </c>
      <c r="AE4834">
        <v>18.510000000000002</v>
      </c>
      <c r="AF4834">
        <v>0</v>
      </c>
      <c r="AG4834">
        <v>0</v>
      </c>
      <c r="AH4834">
        <v>0</v>
      </c>
      <c r="AI4834">
        <v>27.75</v>
      </c>
      <c r="AJ4834">
        <v>154.16999999999999</v>
      </c>
      <c r="AK4834">
        <v>0</v>
      </c>
      <c r="AL4834" t="s">
        <v>53</v>
      </c>
      <c r="AM4834" t="s">
        <v>53</v>
      </c>
      <c r="AN4834" t="s">
        <v>53</v>
      </c>
      <c r="AO4834" t="s">
        <v>53</v>
      </c>
      <c r="AP4834" t="s">
        <v>53</v>
      </c>
    </row>
    <row r="4835" spans="2:42" x14ac:dyDescent="0.2">
      <c r="B4835" t="s">
        <v>44</v>
      </c>
      <c r="C4835" t="str">
        <f>HYPERLINK("https://us2.cloudbeds.com/connect/8493803454333002#/reservations/108329834918082?display=2B0S5C8DYT&amp;reservation_id=108329834918082", "2B0S5C8DYT")</f>
        <v>2B0S5C8DYT</v>
      </c>
      <c r="D4835" t="s">
        <v>45</v>
      </c>
      <c r="E4835" t="s">
        <v>155</v>
      </c>
      <c r="F4835" t="s">
        <v>86</v>
      </c>
      <c r="G4835" t="s">
        <v>48</v>
      </c>
      <c r="H4835" t="s">
        <v>3957</v>
      </c>
      <c r="I4835" t="s">
        <v>3975</v>
      </c>
      <c r="J4835" t="s">
        <v>7402</v>
      </c>
      <c r="K4835" t="s">
        <v>6417</v>
      </c>
      <c r="L4835" t="s">
        <v>53</v>
      </c>
      <c r="P4835" t="s">
        <v>55</v>
      </c>
      <c r="R4835" t="s">
        <v>53</v>
      </c>
      <c r="T4835" t="s">
        <v>8484</v>
      </c>
      <c r="U4835" t="s">
        <v>58</v>
      </c>
      <c r="V4835">
        <v>1</v>
      </c>
      <c r="W4835">
        <v>1</v>
      </c>
      <c r="X4835">
        <v>2</v>
      </c>
      <c r="Y4835">
        <v>0</v>
      </c>
      <c r="Z4835">
        <v>2</v>
      </c>
      <c r="AA4835">
        <v>185.26</v>
      </c>
      <c r="AB4835">
        <v>185.26</v>
      </c>
      <c r="AC4835">
        <v>163</v>
      </c>
      <c r="AD4835">
        <v>0</v>
      </c>
      <c r="AE4835">
        <v>22.26</v>
      </c>
      <c r="AF4835">
        <v>0</v>
      </c>
      <c r="AG4835">
        <v>0</v>
      </c>
      <c r="AH4835">
        <v>0</v>
      </c>
      <c r="AI4835">
        <v>0</v>
      </c>
      <c r="AJ4835">
        <v>185.26</v>
      </c>
      <c r="AK4835">
        <v>0</v>
      </c>
      <c r="AL4835" t="s">
        <v>53</v>
      </c>
      <c r="AM4835" t="s">
        <v>53</v>
      </c>
      <c r="AN4835" t="s">
        <v>53</v>
      </c>
      <c r="AO4835" t="s">
        <v>53</v>
      </c>
      <c r="AP4835" t="s">
        <v>53</v>
      </c>
    </row>
    <row r="4836" spans="2:42" x14ac:dyDescent="0.2">
      <c r="B4836" t="s">
        <v>44</v>
      </c>
      <c r="C4836" t="str">
        <f>HYPERLINK("https://us2.cloudbeds.com/connect/8493803454333002#/reservations/108524247474325?display=2B5DN22CE0&amp;reservation_id=108524247474325", "2B5DN22CE0")</f>
        <v>2B5DN22CE0</v>
      </c>
      <c r="D4836" t="s">
        <v>45</v>
      </c>
      <c r="E4836" t="s">
        <v>165</v>
      </c>
      <c r="F4836" t="s">
        <v>61</v>
      </c>
      <c r="G4836" t="s">
        <v>5966</v>
      </c>
      <c r="H4836" t="s">
        <v>3957</v>
      </c>
      <c r="I4836" t="s">
        <v>3989</v>
      </c>
      <c r="J4836" t="s">
        <v>6416</v>
      </c>
      <c r="K4836" t="s">
        <v>7402</v>
      </c>
      <c r="L4836" t="s">
        <v>53</v>
      </c>
      <c r="P4836" t="s">
        <v>55</v>
      </c>
      <c r="R4836" t="s">
        <v>56</v>
      </c>
      <c r="T4836" t="s">
        <v>8485</v>
      </c>
      <c r="U4836" t="s">
        <v>58</v>
      </c>
      <c r="V4836">
        <v>1</v>
      </c>
      <c r="W4836">
        <v>1</v>
      </c>
      <c r="X4836">
        <v>1</v>
      </c>
      <c r="Y4836">
        <v>0</v>
      </c>
      <c r="Z4836">
        <v>1</v>
      </c>
      <c r="AA4836">
        <v>111.38</v>
      </c>
      <c r="AB4836">
        <v>111.38</v>
      </c>
      <c r="AC4836">
        <v>98</v>
      </c>
      <c r="AD4836">
        <v>0</v>
      </c>
      <c r="AE4836">
        <v>13.38</v>
      </c>
      <c r="AF4836">
        <v>0</v>
      </c>
      <c r="AG4836">
        <v>0</v>
      </c>
      <c r="AH4836">
        <v>0</v>
      </c>
      <c r="AI4836">
        <v>0</v>
      </c>
      <c r="AJ4836">
        <v>111.38</v>
      </c>
      <c r="AK4836">
        <v>0</v>
      </c>
      <c r="AL4836" t="s">
        <v>53</v>
      </c>
      <c r="AM4836" t="s">
        <v>53</v>
      </c>
      <c r="AN4836" t="s">
        <v>53</v>
      </c>
      <c r="AO4836" t="s">
        <v>53</v>
      </c>
      <c r="AP4836" t="s">
        <v>53</v>
      </c>
    </row>
    <row r="4837" spans="2:42" x14ac:dyDescent="0.2">
      <c r="B4837" t="s">
        <v>44</v>
      </c>
      <c r="C4837" t="str">
        <f>HYPERLINK("https://us2.cloudbeds.com/connect/8493803454333002#/reservations/9080486846044285?display=2B5EKGK2TW&amp;reservation_id=9080486846044285", "2B5EKGK2TW")</f>
        <v>2B5EKGK2TW</v>
      </c>
      <c r="D4837" t="s">
        <v>45</v>
      </c>
      <c r="E4837" t="s">
        <v>305</v>
      </c>
      <c r="F4837" t="s">
        <v>61</v>
      </c>
      <c r="G4837" t="s">
        <v>48</v>
      </c>
      <c r="H4837" t="s">
        <v>49</v>
      </c>
      <c r="I4837" t="s">
        <v>50</v>
      </c>
      <c r="J4837" t="s">
        <v>6921</v>
      </c>
      <c r="K4837" t="s">
        <v>4442</v>
      </c>
      <c r="L4837" t="s">
        <v>53</v>
      </c>
      <c r="N4837" t="s">
        <v>8486</v>
      </c>
      <c r="P4837" t="s">
        <v>55</v>
      </c>
      <c r="R4837" t="s">
        <v>53</v>
      </c>
      <c r="T4837" t="s">
        <v>8487</v>
      </c>
      <c r="U4837" t="s">
        <v>58</v>
      </c>
      <c r="V4837">
        <v>2</v>
      </c>
      <c r="W4837">
        <v>1</v>
      </c>
      <c r="X4837">
        <v>1</v>
      </c>
      <c r="Y4837">
        <v>0</v>
      </c>
      <c r="Z4837">
        <v>1</v>
      </c>
      <c r="AA4837">
        <v>268</v>
      </c>
      <c r="AB4837">
        <v>268</v>
      </c>
      <c r="AC4837">
        <v>235.8</v>
      </c>
      <c r="AD4837">
        <v>0</v>
      </c>
      <c r="AE4837">
        <v>32.200000000000003</v>
      </c>
      <c r="AF4837">
        <v>0</v>
      </c>
      <c r="AG4837">
        <v>0</v>
      </c>
      <c r="AH4837">
        <v>0</v>
      </c>
      <c r="AI4837">
        <v>48.24</v>
      </c>
      <c r="AJ4837">
        <v>268</v>
      </c>
      <c r="AK4837">
        <v>0</v>
      </c>
      <c r="AL4837" t="s">
        <v>53</v>
      </c>
      <c r="AM4837" t="s">
        <v>53</v>
      </c>
      <c r="AN4837" t="s">
        <v>53</v>
      </c>
      <c r="AO4837" t="s">
        <v>53</v>
      </c>
      <c r="AP4837" t="s">
        <v>53</v>
      </c>
    </row>
    <row r="4838" spans="2:42" x14ac:dyDescent="0.2">
      <c r="B4838" t="s">
        <v>44</v>
      </c>
      <c r="C4838" t="str">
        <f>HYPERLINK("https://us2.cloudbeds.com/connect/8493803454333002#/reservations/9080486846044528?display=2B5NEQ8T92&amp;reservation_id=9080486846044528", "2B5NEQ8T92")</f>
        <v>2B5NEQ8T92</v>
      </c>
      <c r="D4838" t="s">
        <v>45</v>
      </c>
      <c r="E4838" t="s">
        <v>179</v>
      </c>
      <c r="F4838" t="s">
        <v>47</v>
      </c>
      <c r="G4838" t="s">
        <v>48</v>
      </c>
      <c r="H4838" t="s">
        <v>49</v>
      </c>
      <c r="I4838" t="s">
        <v>50</v>
      </c>
      <c r="J4838" t="s">
        <v>6921</v>
      </c>
      <c r="K4838" t="s">
        <v>6922</v>
      </c>
      <c r="L4838" t="s">
        <v>53</v>
      </c>
      <c r="N4838" t="s">
        <v>8488</v>
      </c>
      <c r="P4838" t="s">
        <v>55</v>
      </c>
      <c r="R4838" t="s">
        <v>53</v>
      </c>
      <c r="T4838" t="s">
        <v>8489</v>
      </c>
      <c r="U4838" t="s">
        <v>58</v>
      </c>
      <c r="V4838">
        <v>1</v>
      </c>
      <c r="W4838">
        <v>1</v>
      </c>
      <c r="X4838">
        <v>1</v>
      </c>
      <c r="Y4838">
        <v>0</v>
      </c>
      <c r="Z4838">
        <v>1</v>
      </c>
      <c r="AA4838">
        <v>112.74</v>
      </c>
      <c r="AB4838">
        <v>112.74</v>
      </c>
      <c r="AC4838">
        <v>99.2</v>
      </c>
      <c r="AD4838">
        <v>0</v>
      </c>
      <c r="AE4838">
        <v>13.54</v>
      </c>
      <c r="AF4838">
        <v>0</v>
      </c>
      <c r="AG4838">
        <v>0</v>
      </c>
      <c r="AH4838">
        <v>0</v>
      </c>
      <c r="AI4838">
        <v>20.29</v>
      </c>
      <c r="AJ4838">
        <v>112.74</v>
      </c>
      <c r="AK4838">
        <v>0</v>
      </c>
      <c r="AL4838" t="s">
        <v>53</v>
      </c>
      <c r="AM4838" t="s">
        <v>53</v>
      </c>
      <c r="AN4838" t="s">
        <v>53</v>
      </c>
      <c r="AO4838" t="s">
        <v>53</v>
      </c>
      <c r="AP4838" t="s">
        <v>53</v>
      </c>
    </row>
    <row r="4839" spans="2:42" x14ac:dyDescent="0.2">
      <c r="B4839" t="s">
        <v>44</v>
      </c>
      <c r="C4839" t="str">
        <f>HYPERLINK("https://us2.cloudbeds.com/connect/8493803454333002#/reservations/9080486846044841?display=2B5T4433YG&amp;reservation_id=9080486846044841", "2B5T4433YG")</f>
        <v>2B5T4433YG</v>
      </c>
      <c r="D4839" t="s">
        <v>45</v>
      </c>
      <c r="E4839" t="s">
        <v>46</v>
      </c>
      <c r="F4839" t="s">
        <v>47</v>
      </c>
      <c r="G4839" t="s">
        <v>48</v>
      </c>
      <c r="H4839" t="s">
        <v>49</v>
      </c>
      <c r="I4839" t="s">
        <v>50</v>
      </c>
      <c r="J4839" t="s">
        <v>4443</v>
      </c>
      <c r="K4839" t="s">
        <v>6274</v>
      </c>
      <c r="L4839" t="s">
        <v>53</v>
      </c>
      <c r="N4839" t="s">
        <v>8490</v>
      </c>
      <c r="P4839" t="s">
        <v>55</v>
      </c>
      <c r="R4839" t="s">
        <v>56</v>
      </c>
      <c r="T4839" t="s">
        <v>8491</v>
      </c>
      <c r="U4839" t="s">
        <v>58</v>
      </c>
      <c r="V4839">
        <v>2</v>
      </c>
      <c r="W4839">
        <v>1</v>
      </c>
      <c r="X4839">
        <v>1</v>
      </c>
      <c r="Y4839">
        <v>0</v>
      </c>
      <c r="Z4839">
        <v>1</v>
      </c>
      <c r="AA4839">
        <v>304.8</v>
      </c>
      <c r="AB4839">
        <v>304.8</v>
      </c>
      <c r="AC4839">
        <v>268.2</v>
      </c>
      <c r="AD4839">
        <v>0</v>
      </c>
      <c r="AE4839">
        <v>36.6</v>
      </c>
      <c r="AF4839">
        <v>0</v>
      </c>
      <c r="AG4839">
        <v>0</v>
      </c>
      <c r="AH4839">
        <v>0</v>
      </c>
      <c r="AI4839">
        <v>54.86</v>
      </c>
      <c r="AJ4839">
        <v>304.8</v>
      </c>
      <c r="AK4839">
        <v>0</v>
      </c>
      <c r="AL4839" t="s">
        <v>53</v>
      </c>
      <c r="AM4839" t="s">
        <v>53</v>
      </c>
      <c r="AN4839" t="s">
        <v>53</v>
      </c>
      <c r="AO4839" t="s">
        <v>53</v>
      </c>
      <c r="AP4839" t="s">
        <v>53</v>
      </c>
    </row>
    <row r="4840" spans="2:42" x14ac:dyDescent="0.2">
      <c r="B4840" t="s">
        <v>44</v>
      </c>
      <c r="C4840" t="str">
        <f>HYPERLINK("https://us2.cloudbeds.com/connect/8493803454333002#/reservations/9080486846045570?display=2B6NH827S7&amp;reservation_id=9080486846045570", "2B6NH827S7")</f>
        <v>2B6NH827S7</v>
      </c>
      <c r="D4840" t="s">
        <v>45</v>
      </c>
      <c r="E4840" t="s">
        <v>165</v>
      </c>
      <c r="F4840" t="s">
        <v>61</v>
      </c>
      <c r="G4840" t="s">
        <v>48</v>
      </c>
      <c r="H4840" t="s">
        <v>49</v>
      </c>
      <c r="I4840" t="s">
        <v>50</v>
      </c>
      <c r="J4840" t="s">
        <v>6921</v>
      </c>
      <c r="K4840" t="s">
        <v>4442</v>
      </c>
      <c r="L4840" t="s">
        <v>53</v>
      </c>
      <c r="N4840" t="s">
        <v>8492</v>
      </c>
      <c r="P4840" t="s">
        <v>55</v>
      </c>
      <c r="R4840" t="s">
        <v>56</v>
      </c>
      <c r="T4840" t="s">
        <v>8493</v>
      </c>
      <c r="U4840" t="s">
        <v>58</v>
      </c>
      <c r="V4840">
        <v>2</v>
      </c>
      <c r="W4840">
        <v>2</v>
      </c>
      <c r="X4840">
        <v>3</v>
      </c>
      <c r="Y4840">
        <v>0</v>
      </c>
      <c r="Z4840">
        <v>3</v>
      </c>
      <c r="AA4840">
        <v>280.5</v>
      </c>
      <c r="AB4840">
        <v>280.5</v>
      </c>
      <c r="AC4840">
        <v>246.8</v>
      </c>
      <c r="AD4840">
        <v>0</v>
      </c>
      <c r="AE4840">
        <v>33.700000000000003</v>
      </c>
      <c r="AF4840">
        <v>0</v>
      </c>
      <c r="AG4840">
        <v>0</v>
      </c>
      <c r="AH4840">
        <v>0</v>
      </c>
      <c r="AI4840">
        <v>50.49</v>
      </c>
      <c r="AJ4840">
        <v>280.5</v>
      </c>
      <c r="AK4840">
        <v>0</v>
      </c>
      <c r="AL4840" t="s">
        <v>53</v>
      </c>
      <c r="AM4840" t="s">
        <v>53</v>
      </c>
      <c r="AN4840" t="s">
        <v>53</v>
      </c>
      <c r="AO4840" t="s">
        <v>53</v>
      </c>
      <c r="AP4840" t="s">
        <v>53</v>
      </c>
    </row>
    <row r="4841" spans="2:42" x14ac:dyDescent="0.2">
      <c r="B4841" t="s">
        <v>44</v>
      </c>
      <c r="C4841" t="str">
        <f>HYPERLINK("https://us2.cloudbeds.com/connect/8493803454333002#/reservations/9080486846045726?display=2B6T0K0SNF&amp;reservation_id=9080486846045726", "2B6T0K0SNF")</f>
        <v>2B6T0K0SNF</v>
      </c>
      <c r="D4841" t="s">
        <v>45</v>
      </c>
      <c r="E4841" t="s">
        <v>373</v>
      </c>
      <c r="F4841" t="s">
        <v>47</v>
      </c>
      <c r="G4841" t="s">
        <v>48</v>
      </c>
      <c r="H4841" t="s">
        <v>49</v>
      </c>
      <c r="I4841" t="s">
        <v>62</v>
      </c>
      <c r="J4841" t="s">
        <v>6487</v>
      </c>
      <c r="K4841" t="s">
        <v>4443</v>
      </c>
      <c r="L4841" t="s">
        <v>53</v>
      </c>
      <c r="N4841" t="s">
        <v>8494</v>
      </c>
      <c r="P4841" t="s">
        <v>55</v>
      </c>
      <c r="R4841" t="s">
        <v>56</v>
      </c>
      <c r="T4841" t="s">
        <v>8495</v>
      </c>
      <c r="U4841" t="s">
        <v>55</v>
      </c>
      <c r="V4841">
        <v>1</v>
      </c>
      <c r="W4841">
        <v>1</v>
      </c>
      <c r="X4841">
        <v>1</v>
      </c>
      <c r="Y4841">
        <v>0</v>
      </c>
      <c r="Z4841">
        <v>1</v>
      </c>
      <c r="AA4841">
        <v>140</v>
      </c>
      <c r="AB4841">
        <v>140</v>
      </c>
      <c r="AC4841">
        <v>140</v>
      </c>
      <c r="AD4841">
        <v>0</v>
      </c>
      <c r="AE4841">
        <v>0</v>
      </c>
      <c r="AF4841">
        <v>0</v>
      </c>
      <c r="AG4841">
        <v>0</v>
      </c>
      <c r="AH4841">
        <v>0</v>
      </c>
      <c r="AI4841">
        <v>25.2</v>
      </c>
      <c r="AJ4841">
        <v>140</v>
      </c>
      <c r="AK4841">
        <v>0</v>
      </c>
      <c r="AL4841" t="s">
        <v>53</v>
      </c>
      <c r="AM4841" t="s">
        <v>53</v>
      </c>
      <c r="AN4841" t="s">
        <v>53</v>
      </c>
      <c r="AO4841" t="s">
        <v>53</v>
      </c>
      <c r="AP4841" t="s">
        <v>53</v>
      </c>
    </row>
    <row r="4842" spans="2:42" x14ac:dyDescent="0.2">
      <c r="B4842" t="s">
        <v>44</v>
      </c>
      <c r="C4842" t="str">
        <f>HYPERLINK("https://us2.cloudbeds.com/connect/8493803454333002#/reservations/9080486846046527?display=2B7MKGPXGP&amp;reservation_id=9080486846046527", "2B7MKGPXGP")</f>
        <v>2B7MKGPXGP</v>
      </c>
      <c r="D4842" t="s">
        <v>45</v>
      </c>
      <c r="E4842" t="s">
        <v>92</v>
      </c>
      <c r="F4842" t="s">
        <v>86</v>
      </c>
      <c r="G4842" t="s">
        <v>48</v>
      </c>
      <c r="H4842" t="s">
        <v>49</v>
      </c>
      <c r="I4842" t="s">
        <v>50</v>
      </c>
      <c r="J4842" t="s">
        <v>6921</v>
      </c>
      <c r="K4842" t="s">
        <v>6922</v>
      </c>
      <c r="L4842" t="s">
        <v>53</v>
      </c>
      <c r="N4842" t="s">
        <v>8496</v>
      </c>
      <c r="P4842" t="s">
        <v>55</v>
      </c>
      <c r="R4842" t="s">
        <v>53</v>
      </c>
      <c r="T4842" t="s">
        <v>8497</v>
      </c>
      <c r="U4842" t="s">
        <v>58</v>
      </c>
      <c r="V4842">
        <v>1</v>
      </c>
      <c r="W4842">
        <v>1</v>
      </c>
      <c r="X4842">
        <v>2</v>
      </c>
      <c r="Y4842">
        <v>0</v>
      </c>
      <c r="Z4842">
        <v>2</v>
      </c>
      <c r="AA4842">
        <v>139.11000000000001</v>
      </c>
      <c r="AB4842">
        <v>139.11000000000001</v>
      </c>
      <c r="AC4842">
        <v>122.4</v>
      </c>
      <c r="AD4842">
        <v>0</v>
      </c>
      <c r="AE4842">
        <v>16.71</v>
      </c>
      <c r="AF4842">
        <v>0</v>
      </c>
      <c r="AG4842">
        <v>0</v>
      </c>
      <c r="AH4842">
        <v>0</v>
      </c>
      <c r="AI4842">
        <v>25.04</v>
      </c>
      <c r="AJ4842">
        <v>139.11000000000001</v>
      </c>
      <c r="AK4842">
        <v>0</v>
      </c>
      <c r="AL4842" t="s">
        <v>53</v>
      </c>
      <c r="AM4842" t="s">
        <v>53</v>
      </c>
      <c r="AN4842" t="s">
        <v>53</v>
      </c>
      <c r="AO4842" t="s">
        <v>53</v>
      </c>
      <c r="AP4842" t="s">
        <v>53</v>
      </c>
    </row>
    <row r="4843" spans="2:42" x14ac:dyDescent="0.2">
      <c r="B4843" t="s">
        <v>44</v>
      </c>
      <c r="C4843" t="str">
        <f>HYPERLINK("https://us2.cloudbeds.com/connect/8493803454333002#/reservations/108634346885366?display=2B7WVBQPW4&amp;reservation_id=108634346885366", "2B7WVBQPW4")</f>
        <v>2B7WVBQPW4</v>
      </c>
      <c r="D4843" t="s">
        <v>45</v>
      </c>
      <c r="E4843" t="s">
        <v>165</v>
      </c>
      <c r="F4843" t="s">
        <v>61</v>
      </c>
      <c r="G4843" t="s">
        <v>48</v>
      </c>
      <c r="H4843" t="s">
        <v>3957</v>
      </c>
      <c r="I4843" t="s">
        <v>3989</v>
      </c>
      <c r="J4843" t="s">
        <v>4009</v>
      </c>
      <c r="K4843" t="s">
        <v>8319</v>
      </c>
      <c r="L4843" t="s">
        <v>53</v>
      </c>
      <c r="P4843" t="s">
        <v>55</v>
      </c>
      <c r="R4843" t="s">
        <v>56</v>
      </c>
      <c r="T4843" t="s">
        <v>8498</v>
      </c>
      <c r="U4843" t="s">
        <v>58</v>
      </c>
      <c r="V4843">
        <v>1</v>
      </c>
      <c r="W4843">
        <v>1</v>
      </c>
      <c r="X4843">
        <v>1</v>
      </c>
      <c r="Y4843">
        <v>0</v>
      </c>
      <c r="Z4843">
        <v>1</v>
      </c>
      <c r="AA4843">
        <v>177.29</v>
      </c>
      <c r="AB4843">
        <v>177.29</v>
      </c>
      <c r="AC4843">
        <v>156</v>
      </c>
      <c r="AD4843">
        <v>0</v>
      </c>
      <c r="AE4843">
        <v>21.29</v>
      </c>
      <c r="AF4843">
        <v>0</v>
      </c>
      <c r="AG4843">
        <v>0</v>
      </c>
      <c r="AH4843">
        <v>0</v>
      </c>
      <c r="AI4843">
        <v>0</v>
      </c>
      <c r="AJ4843">
        <v>177.29</v>
      </c>
      <c r="AK4843">
        <v>0</v>
      </c>
      <c r="AL4843" t="s">
        <v>53</v>
      </c>
      <c r="AM4843" t="s">
        <v>53</v>
      </c>
      <c r="AN4843" t="s">
        <v>53</v>
      </c>
      <c r="AO4843" t="s">
        <v>53</v>
      </c>
      <c r="AP4843" t="s">
        <v>53</v>
      </c>
    </row>
    <row r="4844" spans="2:42" x14ac:dyDescent="0.2">
      <c r="B4844" t="s">
        <v>44</v>
      </c>
      <c r="C4844" t="str">
        <f>HYPERLINK("https://us2.cloudbeds.com/connect/8493803454333002#/reservations/9080486846046895?display=2B85XFPT93&amp;reservation_id=9080486846046895", "2B85XFPT93")</f>
        <v>2B85XFPT93</v>
      </c>
      <c r="D4844" t="s">
        <v>45</v>
      </c>
      <c r="E4844" t="s">
        <v>406</v>
      </c>
      <c r="F4844" t="s">
        <v>61</v>
      </c>
      <c r="G4844" t="s">
        <v>48</v>
      </c>
      <c r="H4844" t="s">
        <v>49</v>
      </c>
      <c r="I4844" t="s">
        <v>50</v>
      </c>
      <c r="J4844" t="s">
        <v>6487</v>
      </c>
      <c r="K4844" t="s">
        <v>4443</v>
      </c>
      <c r="L4844" t="s">
        <v>53</v>
      </c>
      <c r="N4844" t="s">
        <v>8499</v>
      </c>
      <c r="P4844" t="s">
        <v>55</v>
      </c>
      <c r="R4844" t="s">
        <v>53</v>
      </c>
      <c r="T4844" t="s">
        <v>8500</v>
      </c>
      <c r="U4844" t="s">
        <v>58</v>
      </c>
      <c r="V4844">
        <v>1</v>
      </c>
      <c r="W4844">
        <v>1</v>
      </c>
      <c r="X4844">
        <v>2</v>
      </c>
      <c r="Y4844">
        <v>0</v>
      </c>
      <c r="Z4844">
        <v>2</v>
      </c>
      <c r="AA4844">
        <v>142.97</v>
      </c>
      <c r="AB4844">
        <v>142.97</v>
      </c>
      <c r="AC4844">
        <v>125.8</v>
      </c>
      <c r="AD4844">
        <v>0</v>
      </c>
      <c r="AE4844">
        <v>17.170000000000002</v>
      </c>
      <c r="AF4844">
        <v>0</v>
      </c>
      <c r="AG4844">
        <v>0</v>
      </c>
      <c r="AH4844">
        <v>0</v>
      </c>
      <c r="AI4844">
        <v>25.73</v>
      </c>
      <c r="AJ4844">
        <v>142.97</v>
      </c>
      <c r="AK4844">
        <v>0</v>
      </c>
      <c r="AL4844" t="s">
        <v>53</v>
      </c>
      <c r="AM4844" t="s">
        <v>53</v>
      </c>
      <c r="AN4844" t="s">
        <v>53</v>
      </c>
      <c r="AO4844" t="s">
        <v>53</v>
      </c>
      <c r="AP4844" t="s">
        <v>53</v>
      </c>
    </row>
    <row r="4845" spans="2:42" x14ac:dyDescent="0.2">
      <c r="B4845" t="s">
        <v>44</v>
      </c>
      <c r="C4845" t="str">
        <f>HYPERLINK("https://us2.cloudbeds.com/connect/8493803454333002#/reservations/9080486846047005?display=2B8AVURJZR&amp;reservation_id=9080486846047005", "2B8AVURJZR")</f>
        <v>2B8AVURJZR</v>
      </c>
      <c r="D4845" t="s">
        <v>45</v>
      </c>
      <c r="E4845" t="s">
        <v>155</v>
      </c>
      <c r="F4845" t="s">
        <v>86</v>
      </c>
      <c r="G4845" t="s">
        <v>48</v>
      </c>
      <c r="H4845" t="s">
        <v>49</v>
      </c>
      <c r="I4845" t="s">
        <v>50</v>
      </c>
      <c r="J4845" t="s">
        <v>6488</v>
      </c>
      <c r="K4845" t="s">
        <v>6416</v>
      </c>
      <c r="L4845" t="s">
        <v>53</v>
      </c>
      <c r="N4845" t="s">
        <v>8501</v>
      </c>
      <c r="P4845" t="s">
        <v>55</v>
      </c>
      <c r="R4845" t="s">
        <v>53</v>
      </c>
      <c r="T4845" t="s">
        <v>8502</v>
      </c>
      <c r="U4845" t="s">
        <v>58</v>
      </c>
      <c r="V4845">
        <v>2</v>
      </c>
      <c r="W4845">
        <v>1</v>
      </c>
      <c r="X4845">
        <v>2</v>
      </c>
      <c r="Y4845">
        <v>1</v>
      </c>
      <c r="Z4845">
        <v>3</v>
      </c>
      <c r="AA4845">
        <v>288.85000000000002</v>
      </c>
      <c r="AB4845">
        <v>288.85000000000002</v>
      </c>
      <c r="AC4845">
        <v>254.15</v>
      </c>
      <c r="AD4845">
        <v>0</v>
      </c>
      <c r="AE4845">
        <v>34.700000000000003</v>
      </c>
      <c r="AF4845">
        <v>0</v>
      </c>
      <c r="AG4845">
        <v>0</v>
      </c>
      <c r="AH4845">
        <v>0</v>
      </c>
      <c r="AI4845">
        <v>51.99</v>
      </c>
      <c r="AJ4845">
        <v>288.85000000000002</v>
      </c>
      <c r="AK4845">
        <v>0</v>
      </c>
      <c r="AL4845" t="s">
        <v>53</v>
      </c>
      <c r="AM4845" t="s">
        <v>53</v>
      </c>
      <c r="AN4845" t="s">
        <v>53</v>
      </c>
      <c r="AO4845" t="s">
        <v>53</v>
      </c>
      <c r="AP4845" t="s">
        <v>53</v>
      </c>
    </row>
    <row r="4846" spans="2:42" x14ac:dyDescent="0.2">
      <c r="B4846" t="s">
        <v>44</v>
      </c>
      <c r="C4846" t="str">
        <f>HYPERLINK("https://us2.cloudbeds.com/connect/8493803454333002#/reservations/9080486846047019?display=2B8C8ZRJPU&amp;reservation_id=9080486846047019", "2B8C8ZRJPU")</f>
        <v>2B8C8ZRJPU</v>
      </c>
      <c r="D4846" t="s">
        <v>45</v>
      </c>
      <c r="E4846" t="s">
        <v>138</v>
      </c>
      <c r="F4846" t="s">
        <v>70</v>
      </c>
      <c r="G4846" t="s">
        <v>48</v>
      </c>
      <c r="H4846" t="s">
        <v>49</v>
      </c>
      <c r="I4846" t="s">
        <v>50</v>
      </c>
      <c r="J4846" t="s">
        <v>7595</v>
      </c>
      <c r="K4846" t="s">
        <v>6943</v>
      </c>
      <c r="L4846" t="s">
        <v>53</v>
      </c>
      <c r="N4846" t="s">
        <v>8503</v>
      </c>
      <c r="P4846" t="s">
        <v>55</v>
      </c>
      <c r="R4846" t="s">
        <v>53</v>
      </c>
      <c r="T4846" t="s">
        <v>8504</v>
      </c>
      <c r="U4846" t="s">
        <v>58</v>
      </c>
      <c r="V4846">
        <v>1</v>
      </c>
      <c r="W4846">
        <v>1</v>
      </c>
      <c r="X4846">
        <v>2</v>
      </c>
      <c r="Y4846">
        <v>0</v>
      </c>
      <c r="Z4846">
        <v>2</v>
      </c>
      <c r="AA4846">
        <v>176.85</v>
      </c>
      <c r="AB4846">
        <v>176.85</v>
      </c>
      <c r="AC4846">
        <v>155.61000000000001</v>
      </c>
      <c r="AD4846">
        <v>0</v>
      </c>
      <c r="AE4846">
        <v>21.24</v>
      </c>
      <c r="AF4846">
        <v>0</v>
      </c>
      <c r="AG4846">
        <v>0</v>
      </c>
      <c r="AH4846">
        <v>0</v>
      </c>
      <c r="AI4846">
        <v>31.83</v>
      </c>
      <c r="AJ4846">
        <v>176.85</v>
      </c>
      <c r="AK4846">
        <v>0</v>
      </c>
      <c r="AL4846" t="s">
        <v>53</v>
      </c>
      <c r="AM4846" t="s">
        <v>53</v>
      </c>
      <c r="AN4846" t="s">
        <v>53</v>
      </c>
      <c r="AO4846" t="s">
        <v>53</v>
      </c>
      <c r="AP4846" t="s">
        <v>53</v>
      </c>
    </row>
    <row r="4847" spans="2:42" x14ac:dyDescent="0.2">
      <c r="B4847" t="s">
        <v>44</v>
      </c>
      <c r="C4847" t="str">
        <f>HYPERLINK("https://us2.cloudbeds.com/connect/8493803454333002#/reservations/9080486846047057?display=2B8E1Z919N&amp;reservation_id=9080486846047057", "2B8E1Z919N")</f>
        <v>2B8E1Z919N</v>
      </c>
      <c r="D4847" t="s">
        <v>45</v>
      </c>
      <c r="E4847" t="s">
        <v>113</v>
      </c>
      <c r="F4847" t="s">
        <v>61</v>
      </c>
      <c r="G4847" t="s">
        <v>48</v>
      </c>
      <c r="H4847" t="s">
        <v>49</v>
      </c>
      <c r="I4847" t="s">
        <v>50</v>
      </c>
      <c r="J4847" t="s">
        <v>6488</v>
      </c>
      <c r="K4847" t="s">
        <v>6274</v>
      </c>
      <c r="L4847" t="s">
        <v>53</v>
      </c>
      <c r="N4847" t="s">
        <v>8505</v>
      </c>
      <c r="P4847" t="s">
        <v>55</v>
      </c>
      <c r="R4847" t="s">
        <v>53</v>
      </c>
      <c r="T4847" t="s">
        <v>8506</v>
      </c>
      <c r="U4847" t="s">
        <v>58</v>
      </c>
      <c r="V4847">
        <v>1</v>
      </c>
      <c r="W4847">
        <v>1</v>
      </c>
      <c r="X4847">
        <v>2</v>
      </c>
      <c r="Y4847">
        <v>0</v>
      </c>
      <c r="Z4847">
        <v>2</v>
      </c>
      <c r="AA4847">
        <v>156.49</v>
      </c>
      <c r="AB4847">
        <v>156.49</v>
      </c>
      <c r="AC4847">
        <v>137.69999999999999</v>
      </c>
      <c r="AD4847">
        <v>0</v>
      </c>
      <c r="AE4847">
        <v>18.79</v>
      </c>
      <c r="AF4847">
        <v>0</v>
      </c>
      <c r="AG4847">
        <v>0</v>
      </c>
      <c r="AH4847">
        <v>0</v>
      </c>
      <c r="AI4847">
        <v>28.17</v>
      </c>
      <c r="AJ4847">
        <v>156.49</v>
      </c>
      <c r="AK4847">
        <v>0</v>
      </c>
      <c r="AL4847" t="s">
        <v>53</v>
      </c>
      <c r="AM4847" t="s">
        <v>53</v>
      </c>
      <c r="AN4847" t="s">
        <v>53</v>
      </c>
      <c r="AO4847" t="s">
        <v>53</v>
      </c>
      <c r="AP4847" t="s">
        <v>53</v>
      </c>
    </row>
    <row r="4848" spans="2:42" x14ac:dyDescent="0.2">
      <c r="B4848" t="s">
        <v>44</v>
      </c>
      <c r="C4848" t="str">
        <f>HYPERLINK("https://us2.cloudbeds.com/connect/8493803454333002#/reservations/108655405928627?display=2B8G8FBND7&amp;reservation_id=108655405928627", "2B8G8FBND7")</f>
        <v>2B8G8FBND7</v>
      </c>
      <c r="D4848" t="s">
        <v>45</v>
      </c>
      <c r="E4848" t="s">
        <v>46</v>
      </c>
      <c r="F4848" t="s">
        <v>47</v>
      </c>
      <c r="G4848" t="s">
        <v>48</v>
      </c>
      <c r="H4848" t="s">
        <v>3957</v>
      </c>
      <c r="I4848" t="s">
        <v>3989</v>
      </c>
      <c r="J4848" t="s">
        <v>6922</v>
      </c>
      <c r="K4848" t="s">
        <v>4442</v>
      </c>
      <c r="L4848" t="s">
        <v>53</v>
      </c>
      <c r="P4848" t="s">
        <v>58</v>
      </c>
      <c r="R4848" t="s">
        <v>56</v>
      </c>
      <c r="T4848" t="s">
        <v>8507</v>
      </c>
      <c r="U4848" t="s">
        <v>58</v>
      </c>
      <c r="V4848">
        <v>1</v>
      </c>
      <c r="W4848">
        <v>1</v>
      </c>
      <c r="X4848">
        <v>1</v>
      </c>
      <c r="Y4848">
        <v>0</v>
      </c>
      <c r="Z4848">
        <v>1</v>
      </c>
      <c r="AA4848">
        <v>140.93</v>
      </c>
      <c r="AB4848">
        <v>140.93</v>
      </c>
      <c r="AC4848">
        <v>124</v>
      </c>
      <c r="AD4848">
        <v>0</v>
      </c>
      <c r="AE4848">
        <v>16.93</v>
      </c>
      <c r="AF4848">
        <v>0</v>
      </c>
      <c r="AG4848">
        <v>0</v>
      </c>
      <c r="AH4848">
        <v>0</v>
      </c>
      <c r="AI4848">
        <v>0</v>
      </c>
      <c r="AJ4848">
        <v>140.93</v>
      </c>
      <c r="AK4848">
        <v>0</v>
      </c>
      <c r="AL4848" t="s">
        <v>53</v>
      </c>
      <c r="AM4848" t="s">
        <v>53</v>
      </c>
      <c r="AN4848" t="s">
        <v>53</v>
      </c>
      <c r="AO4848" t="s">
        <v>53</v>
      </c>
      <c r="AP4848" t="s">
        <v>53</v>
      </c>
    </row>
    <row r="4849" spans="2:42" x14ac:dyDescent="0.2">
      <c r="B4849" t="s">
        <v>44</v>
      </c>
      <c r="C4849" t="str">
        <f>HYPERLINK("https://us2.cloudbeds.com/connect/8493803454333002#/reservations/108656208969945?display=2B8GSWGH2K&amp;reservation_id=108656208969945", "2B8GSWGH2K")</f>
        <v>2B8GSWGH2K</v>
      </c>
      <c r="D4849" t="s">
        <v>45</v>
      </c>
      <c r="E4849" t="s">
        <v>373</v>
      </c>
      <c r="F4849" t="s">
        <v>47</v>
      </c>
      <c r="G4849" t="s">
        <v>48</v>
      </c>
      <c r="H4849" t="s">
        <v>3957</v>
      </c>
      <c r="I4849" t="s">
        <v>3989</v>
      </c>
      <c r="J4849" t="s">
        <v>6922</v>
      </c>
      <c r="K4849" t="s">
        <v>4442</v>
      </c>
      <c r="L4849" t="s">
        <v>53</v>
      </c>
      <c r="P4849" t="s">
        <v>55</v>
      </c>
      <c r="R4849" t="s">
        <v>56</v>
      </c>
      <c r="T4849" t="s">
        <v>8508</v>
      </c>
      <c r="U4849" t="s">
        <v>58</v>
      </c>
      <c r="V4849">
        <v>1</v>
      </c>
      <c r="W4849">
        <v>1</v>
      </c>
      <c r="X4849">
        <v>1</v>
      </c>
      <c r="Y4849">
        <v>0</v>
      </c>
      <c r="Z4849">
        <v>1</v>
      </c>
      <c r="AA4849">
        <v>140.93</v>
      </c>
      <c r="AB4849">
        <v>140.93</v>
      </c>
      <c r="AC4849">
        <v>124</v>
      </c>
      <c r="AD4849">
        <v>0</v>
      </c>
      <c r="AE4849">
        <v>16.93</v>
      </c>
      <c r="AF4849">
        <v>0</v>
      </c>
      <c r="AG4849">
        <v>0</v>
      </c>
      <c r="AH4849">
        <v>0</v>
      </c>
      <c r="AI4849">
        <v>0</v>
      </c>
      <c r="AJ4849">
        <v>140.93</v>
      </c>
      <c r="AK4849">
        <v>0</v>
      </c>
      <c r="AL4849" t="s">
        <v>53</v>
      </c>
      <c r="AM4849" t="s">
        <v>53</v>
      </c>
      <c r="AN4849" t="s">
        <v>53</v>
      </c>
      <c r="AO4849" t="s">
        <v>53</v>
      </c>
      <c r="AP4849" t="s">
        <v>53</v>
      </c>
    </row>
    <row r="4850" spans="2:42" x14ac:dyDescent="0.2">
      <c r="B4850" t="s">
        <v>44</v>
      </c>
      <c r="C4850" t="str">
        <f>HYPERLINK("https://us2.cloudbeds.com/connect/8493803454333002#/reservations/9080486846047130?display=2B8HUGWT8Y&amp;reservation_id=9080486846047130", "2B8HUGWT8Y")</f>
        <v>2B8HUGWT8Y</v>
      </c>
      <c r="D4850" t="s">
        <v>45</v>
      </c>
      <c r="E4850" t="s">
        <v>223</v>
      </c>
      <c r="F4850" t="s">
        <v>47</v>
      </c>
      <c r="G4850" t="s">
        <v>7801</v>
      </c>
      <c r="H4850" t="s">
        <v>49</v>
      </c>
      <c r="I4850" t="s">
        <v>62</v>
      </c>
      <c r="J4850" t="s">
        <v>6921</v>
      </c>
      <c r="K4850" t="s">
        <v>4442</v>
      </c>
      <c r="L4850" t="s">
        <v>53</v>
      </c>
      <c r="N4850" t="s">
        <v>8509</v>
      </c>
      <c r="P4850" t="s">
        <v>55</v>
      </c>
      <c r="R4850" t="s">
        <v>56</v>
      </c>
      <c r="T4850" t="s">
        <v>8510</v>
      </c>
      <c r="U4850" t="s">
        <v>55</v>
      </c>
      <c r="V4850">
        <v>2</v>
      </c>
      <c r="W4850">
        <v>1</v>
      </c>
      <c r="X4850">
        <v>1</v>
      </c>
      <c r="Y4850">
        <v>0</v>
      </c>
      <c r="Z4850">
        <v>1</v>
      </c>
      <c r="AA4850">
        <v>250.2</v>
      </c>
      <c r="AB4850">
        <v>250.2</v>
      </c>
      <c r="AC4850">
        <v>250.2</v>
      </c>
      <c r="AD4850">
        <v>0</v>
      </c>
      <c r="AE4850">
        <v>0</v>
      </c>
      <c r="AF4850">
        <v>0</v>
      </c>
      <c r="AG4850">
        <v>0</v>
      </c>
      <c r="AH4850">
        <v>0</v>
      </c>
      <c r="AI4850">
        <v>45.04</v>
      </c>
      <c r="AJ4850">
        <v>250.2</v>
      </c>
      <c r="AK4850">
        <v>0</v>
      </c>
      <c r="AL4850" t="s">
        <v>53</v>
      </c>
      <c r="AM4850" t="s">
        <v>53</v>
      </c>
      <c r="AN4850" t="s">
        <v>53</v>
      </c>
      <c r="AO4850" t="s">
        <v>53</v>
      </c>
      <c r="AP4850" t="s">
        <v>53</v>
      </c>
    </row>
    <row r="4851" spans="2:42" x14ac:dyDescent="0.2">
      <c r="B4851" t="s">
        <v>44</v>
      </c>
      <c r="C4851" t="str">
        <f>HYPERLINK("https://us2.cloudbeds.com/connect/8493803454333002#/reservations/9080486846047175?display=2B8JUX797Z&amp;reservation_id=9080486846047175", "2B8JUX797Z")</f>
        <v>2B8JUX797Z</v>
      </c>
      <c r="D4851" t="s">
        <v>45</v>
      </c>
      <c r="E4851" t="s">
        <v>179</v>
      </c>
      <c r="F4851" t="s">
        <v>47</v>
      </c>
      <c r="G4851" t="s">
        <v>48</v>
      </c>
      <c r="H4851" t="s">
        <v>49</v>
      </c>
      <c r="I4851" t="s">
        <v>50</v>
      </c>
      <c r="J4851" t="s">
        <v>4443</v>
      </c>
      <c r="K4851" t="s">
        <v>6488</v>
      </c>
      <c r="L4851" t="s">
        <v>53</v>
      </c>
      <c r="N4851" t="s">
        <v>8511</v>
      </c>
      <c r="P4851" t="s">
        <v>55</v>
      </c>
      <c r="R4851" t="s">
        <v>53</v>
      </c>
      <c r="T4851" t="s">
        <v>8512</v>
      </c>
      <c r="U4851" t="s">
        <v>58</v>
      </c>
      <c r="V4851">
        <v>1</v>
      </c>
      <c r="W4851">
        <v>1</v>
      </c>
      <c r="X4851">
        <v>1</v>
      </c>
      <c r="Y4851">
        <v>0</v>
      </c>
      <c r="Z4851">
        <v>1</v>
      </c>
      <c r="AA4851">
        <v>156.49</v>
      </c>
      <c r="AB4851">
        <v>156.49</v>
      </c>
      <c r="AC4851">
        <v>137.69999999999999</v>
      </c>
      <c r="AD4851">
        <v>0</v>
      </c>
      <c r="AE4851">
        <v>18.79</v>
      </c>
      <c r="AF4851">
        <v>0</v>
      </c>
      <c r="AG4851">
        <v>0</v>
      </c>
      <c r="AH4851">
        <v>0</v>
      </c>
      <c r="AI4851">
        <v>28.17</v>
      </c>
      <c r="AJ4851">
        <v>156.49</v>
      </c>
      <c r="AK4851">
        <v>0</v>
      </c>
      <c r="AL4851" t="s">
        <v>53</v>
      </c>
      <c r="AM4851" t="s">
        <v>53</v>
      </c>
      <c r="AN4851" t="s">
        <v>53</v>
      </c>
      <c r="AO4851" t="s">
        <v>53</v>
      </c>
      <c r="AP4851" t="s">
        <v>53</v>
      </c>
    </row>
    <row r="4852" spans="2:42" x14ac:dyDescent="0.2">
      <c r="B4852" t="s">
        <v>44</v>
      </c>
      <c r="C4852" t="str">
        <f>HYPERLINK("https://us2.cloudbeds.com/connect/8493803454333002#/reservations/108675060568292?display=2B8VFMM10J&amp;reservation_id=108675060568292", "2B8VFMM10J")</f>
        <v>2B8VFMM10J</v>
      </c>
      <c r="D4852" t="s">
        <v>45</v>
      </c>
      <c r="E4852" t="s">
        <v>46</v>
      </c>
      <c r="F4852" t="s">
        <v>47</v>
      </c>
      <c r="G4852" t="s">
        <v>48</v>
      </c>
      <c r="H4852" t="s">
        <v>3957</v>
      </c>
      <c r="I4852" t="s">
        <v>3958</v>
      </c>
      <c r="J4852" t="s">
        <v>6921</v>
      </c>
      <c r="K4852" t="s">
        <v>6922</v>
      </c>
      <c r="L4852" t="s">
        <v>53</v>
      </c>
      <c r="P4852" t="s">
        <v>55</v>
      </c>
      <c r="R4852" t="s">
        <v>56</v>
      </c>
      <c r="T4852" t="s">
        <v>8513</v>
      </c>
      <c r="U4852" t="s">
        <v>58</v>
      </c>
      <c r="V4852">
        <v>1</v>
      </c>
      <c r="W4852">
        <v>1</v>
      </c>
      <c r="X4852">
        <v>1</v>
      </c>
      <c r="Y4852">
        <v>0</v>
      </c>
      <c r="Z4852">
        <v>1</v>
      </c>
      <c r="AA4852">
        <v>140.93</v>
      </c>
      <c r="AB4852">
        <v>140.93</v>
      </c>
      <c r="AC4852">
        <v>124</v>
      </c>
      <c r="AD4852">
        <v>0</v>
      </c>
      <c r="AE4852">
        <v>16.93</v>
      </c>
      <c r="AF4852">
        <v>0</v>
      </c>
      <c r="AG4852">
        <v>0</v>
      </c>
      <c r="AH4852">
        <v>0</v>
      </c>
      <c r="AI4852">
        <v>0</v>
      </c>
      <c r="AJ4852">
        <v>140.93</v>
      </c>
      <c r="AK4852">
        <v>0</v>
      </c>
      <c r="AL4852" t="s">
        <v>53</v>
      </c>
      <c r="AM4852" t="s">
        <v>53</v>
      </c>
      <c r="AN4852" t="s">
        <v>53</v>
      </c>
      <c r="AO4852" t="s">
        <v>53</v>
      </c>
      <c r="AP4852" t="s">
        <v>53</v>
      </c>
    </row>
    <row r="4853" spans="2:42" x14ac:dyDescent="0.2">
      <c r="B4853" t="s">
        <v>44</v>
      </c>
      <c r="C4853" t="str">
        <f>HYPERLINK("https://us2.cloudbeds.com/connect/8493803454333002#/reservations/9080486846047476?display=2B935542BM&amp;reservation_id=9080486846047476", "2B935542BM")</f>
        <v>2B935542BM</v>
      </c>
      <c r="D4853" t="s">
        <v>45</v>
      </c>
      <c r="E4853" t="s">
        <v>406</v>
      </c>
      <c r="F4853" t="s">
        <v>61</v>
      </c>
      <c r="G4853" t="s">
        <v>48</v>
      </c>
      <c r="H4853" t="s">
        <v>49</v>
      </c>
      <c r="I4853" t="s">
        <v>62</v>
      </c>
      <c r="J4853" t="s">
        <v>4442</v>
      </c>
      <c r="K4853" t="s">
        <v>6487</v>
      </c>
      <c r="L4853" t="s">
        <v>53</v>
      </c>
      <c r="N4853" t="s">
        <v>8514</v>
      </c>
      <c r="P4853" t="s">
        <v>55</v>
      </c>
      <c r="R4853" t="s">
        <v>56</v>
      </c>
      <c r="T4853" t="s">
        <v>8515</v>
      </c>
      <c r="U4853" t="s">
        <v>55</v>
      </c>
      <c r="V4853">
        <v>1</v>
      </c>
      <c r="W4853">
        <v>1</v>
      </c>
      <c r="X4853">
        <v>2</v>
      </c>
      <c r="Y4853">
        <v>0</v>
      </c>
      <c r="Z4853">
        <v>2</v>
      </c>
      <c r="AA4853">
        <v>131</v>
      </c>
      <c r="AB4853">
        <v>131</v>
      </c>
      <c r="AC4853">
        <v>131</v>
      </c>
      <c r="AD4853">
        <v>0</v>
      </c>
      <c r="AE4853">
        <v>0</v>
      </c>
      <c r="AF4853">
        <v>0</v>
      </c>
      <c r="AG4853">
        <v>0</v>
      </c>
      <c r="AH4853">
        <v>0</v>
      </c>
      <c r="AI4853">
        <v>23.58</v>
      </c>
      <c r="AJ4853">
        <v>131</v>
      </c>
      <c r="AK4853">
        <v>0</v>
      </c>
      <c r="AL4853" t="s">
        <v>53</v>
      </c>
      <c r="AM4853" t="s">
        <v>53</v>
      </c>
      <c r="AN4853" t="s">
        <v>53</v>
      </c>
      <c r="AO4853" t="s">
        <v>53</v>
      </c>
      <c r="AP4853" t="s">
        <v>53</v>
      </c>
    </row>
    <row r="4854" spans="2:42" x14ac:dyDescent="0.2">
      <c r="B4854" t="s">
        <v>44</v>
      </c>
      <c r="C4854" t="str">
        <f>HYPERLINK("https://us2.cloudbeds.com/connect/8493803454333002#/reservations/9080486846047661?display=2B9DASF0TE&amp;reservation_id=9080486846047661", "2B9DASF0TE")</f>
        <v>2B9DASF0TE</v>
      </c>
      <c r="D4854" t="s">
        <v>45</v>
      </c>
      <c r="E4854" t="s">
        <v>128</v>
      </c>
      <c r="F4854" t="s">
        <v>86</v>
      </c>
      <c r="G4854" t="s">
        <v>48</v>
      </c>
      <c r="H4854" t="s">
        <v>49</v>
      </c>
      <c r="I4854" t="s">
        <v>50</v>
      </c>
      <c r="J4854" t="s">
        <v>7821</v>
      </c>
      <c r="K4854" t="s">
        <v>8133</v>
      </c>
      <c r="L4854" t="s">
        <v>53</v>
      </c>
      <c r="N4854" t="s">
        <v>8516</v>
      </c>
      <c r="P4854" t="s">
        <v>55</v>
      </c>
      <c r="R4854" t="s">
        <v>53</v>
      </c>
      <c r="T4854" t="s">
        <v>8517</v>
      </c>
      <c r="U4854" t="s">
        <v>58</v>
      </c>
      <c r="V4854">
        <v>1</v>
      </c>
      <c r="W4854">
        <v>1</v>
      </c>
      <c r="X4854">
        <v>2</v>
      </c>
      <c r="Y4854">
        <v>2</v>
      </c>
      <c r="Z4854">
        <v>4</v>
      </c>
      <c r="AA4854">
        <v>187.22</v>
      </c>
      <c r="AB4854">
        <v>187.22</v>
      </c>
      <c r="AC4854">
        <v>164.73</v>
      </c>
      <c r="AD4854">
        <v>0</v>
      </c>
      <c r="AE4854">
        <v>22.49</v>
      </c>
      <c r="AF4854">
        <v>0</v>
      </c>
      <c r="AG4854">
        <v>0</v>
      </c>
      <c r="AH4854">
        <v>0</v>
      </c>
      <c r="AI4854">
        <v>33.700000000000003</v>
      </c>
      <c r="AJ4854">
        <v>187.22</v>
      </c>
      <c r="AK4854">
        <v>0</v>
      </c>
      <c r="AL4854" t="s">
        <v>53</v>
      </c>
      <c r="AM4854" t="s">
        <v>53</v>
      </c>
      <c r="AN4854" t="s">
        <v>53</v>
      </c>
      <c r="AO4854" t="s">
        <v>53</v>
      </c>
      <c r="AP4854" t="s">
        <v>53</v>
      </c>
    </row>
    <row r="4855" spans="2:42" x14ac:dyDescent="0.2">
      <c r="B4855" t="s">
        <v>44</v>
      </c>
      <c r="C4855" t="str">
        <f>HYPERLINK("https://us2.cloudbeds.com/connect/8493803454333002#/reservations/9080486846047667?display=2B9E2QK3JX&amp;reservation_id=9080486846047667", "2B9E2QK3JX")</f>
        <v>2B9E2QK3JX</v>
      </c>
      <c r="D4855" t="s">
        <v>45</v>
      </c>
      <c r="E4855" t="s">
        <v>265</v>
      </c>
      <c r="F4855" t="s">
        <v>61</v>
      </c>
      <c r="G4855" t="s">
        <v>48</v>
      </c>
      <c r="H4855" t="s">
        <v>49</v>
      </c>
      <c r="I4855" t="s">
        <v>50</v>
      </c>
      <c r="J4855" t="s">
        <v>6487</v>
      </c>
      <c r="K4855" t="s">
        <v>6488</v>
      </c>
      <c r="L4855" t="s">
        <v>53</v>
      </c>
      <c r="N4855" t="s">
        <v>8518</v>
      </c>
      <c r="P4855" t="s">
        <v>55</v>
      </c>
      <c r="R4855" t="s">
        <v>53</v>
      </c>
      <c r="T4855" t="s">
        <v>8519</v>
      </c>
      <c r="U4855" t="s">
        <v>58</v>
      </c>
      <c r="V4855">
        <v>2</v>
      </c>
      <c r="W4855">
        <v>1</v>
      </c>
      <c r="X4855">
        <v>1</v>
      </c>
      <c r="Y4855">
        <v>0</v>
      </c>
      <c r="Z4855">
        <v>1</v>
      </c>
      <c r="AA4855">
        <v>316.05</v>
      </c>
      <c r="AB4855">
        <v>316.05</v>
      </c>
      <c r="AC4855">
        <v>278.10000000000002</v>
      </c>
      <c r="AD4855">
        <v>0</v>
      </c>
      <c r="AE4855">
        <v>37.950000000000003</v>
      </c>
      <c r="AF4855">
        <v>0</v>
      </c>
      <c r="AG4855">
        <v>0</v>
      </c>
      <c r="AH4855">
        <v>0</v>
      </c>
      <c r="AI4855">
        <v>56.89</v>
      </c>
      <c r="AJ4855">
        <v>316.05</v>
      </c>
      <c r="AK4855">
        <v>0</v>
      </c>
      <c r="AL4855" t="s">
        <v>53</v>
      </c>
      <c r="AM4855" t="s">
        <v>53</v>
      </c>
      <c r="AN4855" t="s">
        <v>53</v>
      </c>
      <c r="AO4855" t="s">
        <v>53</v>
      </c>
      <c r="AP4855" t="s">
        <v>53</v>
      </c>
    </row>
    <row r="4856" spans="2:42" x14ac:dyDescent="0.2">
      <c r="B4856" t="s">
        <v>44</v>
      </c>
      <c r="C4856" t="str">
        <f>HYPERLINK("https://us2.cloudbeds.com/connect/8493803454333002#/reservations/9080486846047806?display=2B9KUPV0AN&amp;reservation_id=9080486846047806", "2B9KUPV0AN")</f>
        <v>2B9KUPV0AN</v>
      </c>
      <c r="D4856" t="s">
        <v>45</v>
      </c>
      <c r="E4856" t="s">
        <v>213</v>
      </c>
      <c r="F4856" t="s">
        <v>86</v>
      </c>
      <c r="G4856" t="s">
        <v>48</v>
      </c>
      <c r="H4856" t="s">
        <v>49</v>
      </c>
      <c r="I4856" t="s">
        <v>62</v>
      </c>
      <c r="J4856" t="s">
        <v>6417</v>
      </c>
      <c r="K4856" t="s">
        <v>7394</v>
      </c>
      <c r="L4856" t="s">
        <v>53</v>
      </c>
      <c r="N4856" t="s">
        <v>8520</v>
      </c>
      <c r="P4856" t="s">
        <v>55</v>
      </c>
      <c r="R4856" t="s">
        <v>56</v>
      </c>
      <c r="T4856" t="s">
        <v>8521</v>
      </c>
      <c r="U4856" t="s">
        <v>55</v>
      </c>
      <c r="V4856">
        <v>2</v>
      </c>
      <c r="W4856">
        <v>1</v>
      </c>
      <c r="X4856">
        <v>4</v>
      </c>
      <c r="Y4856">
        <v>0</v>
      </c>
      <c r="Z4856">
        <v>4</v>
      </c>
      <c r="AA4856">
        <v>292.60000000000002</v>
      </c>
      <c r="AB4856">
        <v>292.60000000000002</v>
      </c>
      <c r="AC4856">
        <v>292.60000000000002</v>
      </c>
      <c r="AD4856">
        <v>0</v>
      </c>
      <c r="AE4856">
        <v>0</v>
      </c>
      <c r="AF4856">
        <v>0</v>
      </c>
      <c r="AG4856">
        <v>0</v>
      </c>
      <c r="AH4856">
        <v>0</v>
      </c>
      <c r="AI4856">
        <v>52.67</v>
      </c>
      <c r="AJ4856">
        <v>292.60000000000002</v>
      </c>
      <c r="AK4856">
        <v>0</v>
      </c>
      <c r="AL4856" t="s">
        <v>53</v>
      </c>
      <c r="AM4856" t="s">
        <v>53</v>
      </c>
      <c r="AN4856" t="s">
        <v>53</v>
      </c>
      <c r="AO4856" t="s">
        <v>53</v>
      </c>
      <c r="AP4856" t="s">
        <v>53</v>
      </c>
    </row>
    <row r="4857" spans="2:42" x14ac:dyDescent="0.2">
      <c r="B4857" t="s">
        <v>44</v>
      </c>
      <c r="C4857" t="str">
        <f>HYPERLINK("https://us2.cloudbeds.com/connect/8493803454333002#/reservations/9080486846047850?display=2B9N5MWF19&amp;reservation_id=9080486846047850", "2B9N5MWF19")</f>
        <v>2B9N5MWF19</v>
      </c>
      <c r="D4857" t="s">
        <v>45</v>
      </c>
      <c r="E4857" t="s">
        <v>121</v>
      </c>
      <c r="F4857" t="s">
        <v>86</v>
      </c>
      <c r="G4857" t="s">
        <v>48</v>
      </c>
      <c r="H4857" t="s">
        <v>49</v>
      </c>
      <c r="I4857" t="s">
        <v>50</v>
      </c>
      <c r="J4857" t="s">
        <v>6488</v>
      </c>
      <c r="K4857" t="s">
        <v>7402</v>
      </c>
      <c r="L4857" t="s">
        <v>53</v>
      </c>
      <c r="N4857" t="s">
        <v>8522</v>
      </c>
      <c r="P4857" t="s">
        <v>55</v>
      </c>
      <c r="R4857" t="s">
        <v>53</v>
      </c>
      <c r="T4857" t="s">
        <v>8523</v>
      </c>
      <c r="U4857" t="s">
        <v>58</v>
      </c>
      <c r="V4857">
        <v>3</v>
      </c>
      <c r="W4857">
        <v>1</v>
      </c>
      <c r="X4857">
        <v>2</v>
      </c>
      <c r="Y4857">
        <v>0</v>
      </c>
      <c r="Z4857">
        <v>2</v>
      </c>
      <c r="AA4857">
        <v>429.89</v>
      </c>
      <c r="AB4857">
        <v>429.89</v>
      </c>
      <c r="AC4857">
        <v>378.25</v>
      </c>
      <c r="AD4857">
        <v>0</v>
      </c>
      <c r="AE4857">
        <v>51.64</v>
      </c>
      <c r="AF4857">
        <v>0</v>
      </c>
      <c r="AG4857">
        <v>0</v>
      </c>
      <c r="AH4857">
        <v>0</v>
      </c>
      <c r="AI4857">
        <v>77.38</v>
      </c>
      <c r="AJ4857">
        <v>429.89</v>
      </c>
      <c r="AK4857">
        <v>0</v>
      </c>
      <c r="AL4857" t="s">
        <v>53</v>
      </c>
      <c r="AM4857" t="s">
        <v>53</v>
      </c>
      <c r="AN4857" t="s">
        <v>53</v>
      </c>
      <c r="AO4857" t="s">
        <v>53</v>
      </c>
      <c r="AP4857" t="s">
        <v>53</v>
      </c>
    </row>
    <row r="4858" spans="2:42" x14ac:dyDescent="0.2">
      <c r="B4858" t="s">
        <v>44</v>
      </c>
      <c r="C4858" t="str">
        <f>HYPERLINK("https://us2.cloudbeds.com/connect/8493803454333002#/reservations/108707485913249?display=2B9NJ7J1ZD&amp;reservation_id=108707485913249", "2B9NJ7J1ZD")</f>
        <v>2B9NJ7J1ZD</v>
      </c>
      <c r="D4858" t="s">
        <v>45</v>
      </c>
      <c r="E4858" t="s">
        <v>373</v>
      </c>
      <c r="F4858" t="s">
        <v>47</v>
      </c>
      <c r="G4858" t="s">
        <v>48</v>
      </c>
      <c r="H4858" t="s">
        <v>3957</v>
      </c>
      <c r="I4858" t="s">
        <v>3989</v>
      </c>
      <c r="J4858" t="s">
        <v>6921</v>
      </c>
      <c r="K4858" t="s">
        <v>6922</v>
      </c>
      <c r="L4858" t="s">
        <v>53</v>
      </c>
      <c r="P4858" t="s">
        <v>55</v>
      </c>
      <c r="R4858" t="s">
        <v>56</v>
      </c>
      <c r="T4858" t="s">
        <v>8524</v>
      </c>
      <c r="U4858" t="s">
        <v>58</v>
      </c>
      <c r="V4858">
        <v>1</v>
      </c>
      <c r="W4858">
        <v>1</v>
      </c>
      <c r="X4858">
        <v>2</v>
      </c>
      <c r="Y4858">
        <v>0</v>
      </c>
      <c r="Z4858">
        <v>2</v>
      </c>
      <c r="AA4858">
        <v>140.93</v>
      </c>
      <c r="AB4858">
        <v>140.93</v>
      </c>
      <c r="AC4858">
        <v>124</v>
      </c>
      <c r="AD4858">
        <v>0</v>
      </c>
      <c r="AE4858">
        <v>16.93</v>
      </c>
      <c r="AF4858">
        <v>0</v>
      </c>
      <c r="AG4858">
        <v>0</v>
      </c>
      <c r="AH4858">
        <v>0</v>
      </c>
      <c r="AI4858">
        <v>0</v>
      </c>
      <c r="AJ4858">
        <v>140.93</v>
      </c>
      <c r="AK4858">
        <v>0</v>
      </c>
      <c r="AL4858" t="s">
        <v>53</v>
      </c>
      <c r="AM4858" t="s">
        <v>53</v>
      </c>
      <c r="AN4858" t="s">
        <v>8525</v>
      </c>
      <c r="AO4858" t="s">
        <v>53</v>
      </c>
      <c r="AP4858" t="s">
        <v>53</v>
      </c>
    </row>
    <row r="4859" spans="2:42" x14ac:dyDescent="0.2">
      <c r="B4859" t="s">
        <v>44</v>
      </c>
      <c r="C4859" t="str">
        <f>HYPERLINK("https://us2.cloudbeds.com/connect/8493803454333002#/reservations/9080486846047860?display=2B9NSX3JB5&amp;reservation_id=9080486846047860", "2B9NSX3JB5")</f>
        <v>2B9NSX3JB5</v>
      </c>
      <c r="D4859" t="s">
        <v>45</v>
      </c>
      <c r="E4859" t="s">
        <v>92</v>
      </c>
      <c r="F4859" t="s">
        <v>86</v>
      </c>
      <c r="G4859" t="s">
        <v>48</v>
      </c>
      <c r="H4859" t="s">
        <v>49</v>
      </c>
      <c r="I4859" t="s">
        <v>50</v>
      </c>
      <c r="J4859" t="s">
        <v>6488</v>
      </c>
      <c r="K4859" t="s">
        <v>6416</v>
      </c>
      <c r="L4859" t="s">
        <v>53</v>
      </c>
      <c r="N4859" t="s">
        <v>8526</v>
      </c>
      <c r="P4859" t="s">
        <v>55</v>
      </c>
      <c r="R4859" t="s">
        <v>53</v>
      </c>
      <c r="T4859" t="s">
        <v>8527</v>
      </c>
      <c r="U4859" t="s">
        <v>58</v>
      </c>
      <c r="V4859">
        <v>2</v>
      </c>
      <c r="W4859">
        <v>1</v>
      </c>
      <c r="X4859">
        <v>2</v>
      </c>
      <c r="Y4859">
        <v>0</v>
      </c>
      <c r="Z4859">
        <v>2</v>
      </c>
      <c r="AA4859">
        <v>305.83</v>
      </c>
      <c r="AB4859">
        <v>305.83</v>
      </c>
      <c r="AC4859">
        <v>269.10000000000002</v>
      </c>
      <c r="AD4859">
        <v>0</v>
      </c>
      <c r="AE4859">
        <v>36.729999999999997</v>
      </c>
      <c r="AF4859">
        <v>0</v>
      </c>
      <c r="AG4859">
        <v>0</v>
      </c>
      <c r="AH4859">
        <v>0</v>
      </c>
      <c r="AI4859">
        <v>55.05</v>
      </c>
      <c r="AJ4859">
        <v>305.83</v>
      </c>
      <c r="AK4859">
        <v>0</v>
      </c>
      <c r="AL4859" t="s">
        <v>53</v>
      </c>
      <c r="AM4859" t="s">
        <v>53</v>
      </c>
      <c r="AN4859" t="s">
        <v>53</v>
      </c>
      <c r="AO4859" t="s">
        <v>53</v>
      </c>
      <c r="AP4859" t="s">
        <v>53</v>
      </c>
    </row>
    <row r="4860" spans="2:42" x14ac:dyDescent="0.2">
      <c r="B4860" t="s">
        <v>44</v>
      </c>
      <c r="C4860" t="str">
        <f>HYPERLINK("https://us2.cloudbeds.com/connect/8493803454333002#/reservations/108706458501249?display=2B9MPW7QCE&amp;reservation_id=108706458501249", "2B9MPW7QCE")</f>
        <v>2B9MPW7QCE</v>
      </c>
      <c r="D4860" t="s">
        <v>45</v>
      </c>
      <c r="E4860" t="s">
        <v>190</v>
      </c>
      <c r="F4860" t="s">
        <v>61</v>
      </c>
      <c r="G4860" t="s">
        <v>48</v>
      </c>
      <c r="H4860" t="s">
        <v>3957</v>
      </c>
      <c r="I4860" t="s">
        <v>3975</v>
      </c>
      <c r="J4860" t="s">
        <v>6921</v>
      </c>
      <c r="K4860" t="s">
        <v>6922</v>
      </c>
      <c r="L4860" t="s">
        <v>53</v>
      </c>
      <c r="P4860" t="s">
        <v>55</v>
      </c>
      <c r="R4860" t="s">
        <v>53</v>
      </c>
      <c r="T4860" t="s">
        <v>8528</v>
      </c>
      <c r="U4860" t="s">
        <v>58</v>
      </c>
      <c r="V4860">
        <v>1</v>
      </c>
      <c r="W4860">
        <v>1</v>
      </c>
      <c r="X4860">
        <v>1</v>
      </c>
      <c r="Y4860">
        <v>0</v>
      </c>
      <c r="Z4860">
        <v>1</v>
      </c>
      <c r="AA4860">
        <v>148.88999999999999</v>
      </c>
      <c r="AB4860">
        <v>148.88999999999999</v>
      </c>
      <c r="AC4860">
        <v>131</v>
      </c>
      <c r="AD4860">
        <v>0</v>
      </c>
      <c r="AE4860">
        <v>17.89</v>
      </c>
      <c r="AF4860">
        <v>0</v>
      </c>
      <c r="AG4860">
        <v>0</v>
      </c>
      <c r="AH4860">
        <v>0</v>
      </c>
      <c r="AI4860">
        <v>0</v>
      </c>
      <c r="AJ4860">
        <v>148.88999999999999</v>
      </c>
      <c r="AK4860">
        <v>0</v>
      </c>
      <c r="AL4860" t="s">
        <v>53</v>
      </c>
      <c r="AM4860" t="s">
        <v>53</v>
      </c>
      <c r="AN4860" t="s">
        <v>53</v>
      </c>
      <c r="AO4860" t="s">
        <v>53</v>
      </c>
      <c r="AP4860" t="s">
        <v>53</v>
      </c>
    </row>
    <row r="4861" spans="2:42" x14ac:dyDescent="0.2">
      <c r="B4861" t="s">
        <v>44</v>
      </c>
      <c r="C4861" t="str">
        <f>HYPERLINK("https://us2.cloudbeds.com/connect/8493803454333002#/reservations/108742957781214?display=2BAX1KD288&amp;reservation_id=108742957781214", "2BAX1KD288")</f>
        <v>2BAX1KD288</v>
      </c>
      <c r="D4861" t="s">
        <v>45</v>
      </c>
      <c r="E4861" t="s">
        <v>69</v>
      </c>
      <c r="F4861" t="s">
        <v>70</v>
      </c>
      <c r="G4861" t="s">
        <v>3974</v>
      </c>
      <c r="H4861" t="s">
        <v>3957</v>
      </c>
      <c r="I4861" t="s">
        <v>3975</v>
      </c>
      <c r="J4861" t="s">
        <v>7414</v>
      </c>
      <c r="K4861" t="s">
        <v>7872</v>
      </c>
      <c r="L4861" t="s">
        <v>53</v>
      </c>
      <c r="P4861" t="s">
        <v>55</v>
      </c>
      <c r="R4861" t="s">
        <v>53</v>
      </c>
      <c r="T4861" t="s">
        <v>8529</v>
      </c>
      <c r="U4861" t="s">
        <v>58</v>
      </c>
      <c r="V4861">
        <v>1</v>
      </c>
      <c r="W4861">
        <v>1</v>
      </c>
      <c r="X4861">
        <v>2</v>
      </c>
      <c r="Y4861">
        <v>0</v>
      </c>
      <c r="Z4861">
        <v>2</v>
      </c>
      <c r="AA4861">
        <v>179.22</v>
      </c>
      <c r="AB4861">
        <v>179.22</v>
      </c>
      <c r="AC4861">
        <v>157.69999999999999</v>
      </c>
      <c r="AD4861">
        <v>0</v>
      </c>
      <c r="AE4861">
        <v>21.52</v>
      </c>
      <c r="AF4861">
        <v>0</v>
      </c>
      <c r="AG4861">
        <v>0</v>
      </c>
      <c r="AH4861">
        <v>0</v>
      </c>
      <c r="AI4861">
        <v>0</v>
      </c>
      <c r="AJ4861">
        <v>179.22</v>
      </c>
      <c r="AK4861">
        <v>0</v>
      </c>
      <c r="AL4861" t="s">
        <v>53</v>
      </c>
      <c r="AM4861" t="s">
        <v>53</v>
      </c>
      <c r="AN4861" t="s">
        <v>53</v>
      </c>
      <c r="AO4861" t="s">
        <v>53</v>
      </c>
      <c r="AP4861" t="s">
        <v>53</v>
      </c>
    </row>
    <row r="4862" spans="2:42" x14ac:dyDescent="0.2">
      <c r="B4862" t="s">
        <v>44</v>
      </c>
      <c r="C4862" t="str">
        <f>HYPERLINK("https://us2.cloudbeds.com/connect/8493803454333002#/reservations/9080486846048558?display=2BB15FE24P&amp;reservation_id=9080486846048558", "2BB15FE24P")</f>
        <v>2BB15FE24P</v>
      </c>
      <c r="D4862" t="s">
        <v>45</v>
      </c>
      <c r="E4862" t="s">
        <v>128</v>
      </c>
      <c r="F4862" t="s">
        <v>86</v>
      </c>
      <c r="G4862" t="s">
        <v>48</v>
      </c>
      <c r="H4862" t="s">
        <v>49</v>
      </c>
      <c r="I4862" t="s">
        <v>62</v>
      </c>
      <c r="J4862" t="s">
        <v>6922</v>
      </c>
      <c r="K4862" t="s">
        <v>4442</v>
      </c>
      <c r="L4862" t="s">
        <v>53</v>
      </c>
      <c r="N4862" t="s">
        <v>8530</v>
      </c>
      <c r="P4862" t="s">
        <v>55</v>
      </c>
      <c r="R4862" t="s">
        <v>56</v>
      </c>
      <c r="T4862" t="s">
        <v>8531</v>
      </c>
      <c r="U4862" t="s">
        <v>55</v>
      </c>
      <c r="V4862">
        <v>1</v>
      </c>
      <c r="W4862">
        <v>1</v>
      </c>
      <c r="X4862">
        <v>2</v>
      </c>
      <c r="Y4862">
        <v>0</v>
      </c>
      <c r="Z4862">
        <v>2</v>
      </c>
      <c r="AA4862">
        <v>148</v>
      </c>
      <c r="AB4862">
        <v>153.43</v>
      </c>
      <c r="AC4862">
        <v>148</v>
      </c>
      <c r="AD4862">
        <v>5</v>
      </c>
      <c r="AE4862">
        <v>0.43</v>
      </c>
      <c r="AF4862">
        <v>0</v>
      </c>
      <c r="AG4862">
        <v>0</v>
      </c>
      <c r="AH4862">
        <v>0</v>
      </c>
      <c r="AI4862">
        <v>27.62</v>
      </c>
      <c r="AJ4862">
        <v>153.43</v>
      </c>
      <c r="AK4862">
        <v>0</v>
      </c>
      <c r="AL4862" t="s">
        <v>53</v>
      </c>
      <c r="AM4862" t="s">
        <v>53</v>
      </c>
      <c r="AN4862" t="s">
        <v>53</v>
      </c>
      <c r="AO4862" t="s">
        <v>53</v>
      </c>
      <c r="AP4862" t="s">
        <v>53</v>
      </c>
    </row>
    <row r="4863" spans="2:42" x14ac:dyDescent="0.2">
      <c r="B4863" t="s">
        <v>44</v>
      </c>
      <c r="C4863" t="str">
        <f>HYPERLINK("https://us2.cloudbeds.com/connect/8493803454333002#/reservations/9080486846049243?display=2BCDXQJQ5J&amp;reservation_id=9080486846049243", "2BCDXQJQ5J")</f>
        <v>2BCDXQJQ5J</v>
      </c>
      <c r="D4863" t="s">
        <v>45</v>
      </c>
      <c r="E4863" t="s">
        <v>138</v>
      </c>
      <c r="F4863" t="s">
        <v>70</v>
      </c>
      <c r="G4863" t="s">
        <v>48</v>
      </c>
      <c r="H4863" t="s">
        <v>49</v>
      </c>
      <c r="I4863" t="s">
        <v>62</v>
      </c>
      <c r="J4863" t="s">
        <v>6662</v>
      </c>
      <c r="K4863" t="s">
        <v>7595</v>
      </c>
      <c r="L4863" t="s">
        <v>53</v>
      </c>
      <c r="N4863" t="s">
        <v>8532</v>
      </c>
      <c r="P4863" t="s">
        <v>55</v>
      </c>
      <c r="R4863" t="s">
        <v>1445</v>
      </c>
      <c r="T4863" t="s">
        <v>8533</v>
      </c>
      <c r="U4863" t="s">
        <v>55</v>
      </c>
      <c r="V4863">
        <v>1</v>
      </c>
      <c r="W4863">
        <v>1</v>
      </c>
      <c r="X4863">
        <v>2</v>
      </c>
      <c r="Y4863">
        <v>0</v>
      </c>
      <c r="Z4863">
        <v>2</v>
      </c>
      <c r="AA4863">
        <v>139</v>
      </c>
      <c r="AB4863">
        <v>139</v>
      </c>
      <c r="AC4863">
        <v>139</v>
      </c>
      <c r="AD4863">
        <v>0</v>
      </c>
      <c r="AE4863">
        <v>0</v>
      </c>
      <c r="AF4863">
        <v>0</v>
      </c>
      <c r="AG4863">
        <v>0</v>
      </c>
      <c r="AH4863">
        <v>0</v>
      </c>
      <c r="AI4863">
        <v>25.02</v>
      </c>
      <c r="AJ4863">
        <v>139</v>
      </c>
      <c r="AK4863">
        <v>0</v>
      </c>
      <c r="AL4863" t="s">
        <v>53</v>
      </c>
      <c r="AM4863" t="s">
        <v>53</v>
      </c>
      <c r="AN4863" t="s">
        <v>53</v>
      </c>
      <c r="AO4863" t="s">
        <v>53</v>
      </c>
      <c r="AP4863" t="s">
        <v>53</v>
      </c>
    </row>
    <row r="4864" spans="2:42" x14ac:dyDescent="0.2">
      <c r="B4864" t="s">
        <v>44</v>
      </c>
      <c r="C4864" t="str">
        <f>HYPERLINK("https://us2.cloudbeds.com/connect/8493803454333002#/reservations/9080486846049642?display=2BD301ZPDW&amp;reservation_id=9080486846049642", "2BD301ZPDW")</f>
        <v>2BD301ZPDW</v>
      </c>
      <c r="D4864" t="s">
        <v>45</v>
      </c>
      <c r="E4864" t="s">
        <v>305</v>
      </c>
      <c r="F4864" t="s">
        <v>61</v>
      </c>
      <c r="G4864" t="s">
        <v>48</v>
      </c>
      <c r="H4864" t="s">
        <v>49</v>
      </c>
      <c r="I4864" t="s">
        <v>50</v>
      </c>
      <c r="J4864" t="s">
        <v>4442</v>
      </c>
      <c r="K4864" t="s">
        <v>4443</v>
      </c>
      <c r="L4864" t="s">
        <v>53</v>
      </c>
      <c r="N4864" t="s">
        <v>8534</v>
      </c>
      <c r="P4864" t="s">
        <v>55</v>
      </c>
      <c r="R4864" t="s">
        <v>53</v>
      </c>
      <c r="T4864" t="s">
        <v>8535</v>
      </c>
      <c r="U4864" t="s">
        <v>58</v>
      </c>
      <c r="V4864">
        <v>2</v>
      </c>
      <c r="W4864">
        <v>1</v>
      </c>
      <c r="X4864">
        <v>1</v>
      </c>
      <c r="Y4864">
        <v>0</v>
      </c>
      <c r="Z4864">
        <v>1</v>
      </c>
      <c r="AA4864">
        <v>287.42</v>
      </c>
      <c r="AB4864">
        <v>287.42</v>
      </c>
      <c r="AC4864">
        <v>252.9</v>
      </c>
      <c r="AD4864">
        <v>0</v>
      </c>
      <c r="AE4864">
        <v>34.520000000000003</v>
      </c>
      <c r="AF4864">
        <v>0</v>
      </c>
      <c r="AG4864">
        <v>0</v>
      </c>
      <c r="AH4864">
        <v>0</v>
      </c>
      <c r="AI4864">
        <v>51.74</v>
      </c>
      <c r="AJ4864">
        <v>287.42</v>
      </c>
      <c r="AK4864">
        <v>0</v>
      </c>
      <c r="AL4864" t="s">
        <v>53</v>
      </c>
      <c r="AM4864" t="s">
        <v>53</v>
      </c>
      <c r="AN4864" t="s">
        <v>53</v>
      </c>
      <c r="AO4864" t="s">
        <v>53</v>
      </c>
      <c r="AP4864" t="s">
        <v>53</v>
      </c>
    </row>
    <row r="4865" spans="2:42" x14ac:dyDescent="0.2">
      <c r="B4865" t="s">
        <v>44</v>
      </c>
      <c r="C4865" t="str">
        <f>HYPERLINK("https://us2.cloudbeds.com/connect/8493803454333002#/reservations/9080486846049647?display=2BD3CMW79V&amp;reservation_id=9080486846049647", "2BD3CMW79V")</f>
        <v>2BD3CMW79V</v>
      </c>
      <c r="D4865" t="s">
        <v>45</v>
      </c>
      <c r="E4865" t="s">
        <v>165</v>
      </c>
      <c r="F4865" t="s">
        <v>61</v>
      </c>
      <c r="G4865" t="s">
        <v>48</v>
      </c>
      <c r="H4865" t="s">
        <v>49</v>
      </c>
      <c r="I4865" t="s">
        <v>50</v>
      </c>
      <c r="J4865" t="s">
        <v>4442</v>
      </c>
      <c r="K4865" t="s">
        <v>4443</v>
      </c>
      <c r="L4865" t="s">
        <v>53</v>
      </c>
      <c r="N4865" t="s">
        <v>8536</v>
      </c>
      <c r="P4865" t="s">
        <v>55</v>
      </c>
      <c r="R4865" t="s">
        <v>53</v>
      </c>
      <c r="T4865" t="s">
        <v>8537</v>
      </c>
      <c r="U4865" t="s">
        <v>58</v>
      </c>
      <c r="V4865">
        <v>2</v>
      </c>
      <c r="W4865">
        <v>1</v>
      </c>
      <c r="X4865">
        <v>1</v>
      </c>
      <c r="Y4865">
        <v>0</v>
      </c>
      <c r="Z4865">
        <v>1</v>
      </c>
      <c r="AA4865">
        <v>287.42</v>
      </c>
      <c r="AB4865">
        <v>295.55</v>
      </c>
      <c r="AC4865">
        <v>252.9</v>
      </c>
      <c r="AD4865">
        <v>7.5</v>
      </c>
      <c r="AE4865">
        <v>35.15</v>
      </c>
      <c r="AF4865">
        <v>0</v>
      </c>
      <c r="AG4865">
        <v>0</v>
      </c>
      <c r="AH4865">
        <v>0</v>
      </c>
      <c r="AI4865">
        <v>53.2</v>
      </c>
      <c r="AJ4865">
        <v>295.55</v>
      </c>
      <c r="AK4865">
        <v>0</v>
      </c>
      <c r="AL4865" t="s">
        <v>53</v>
      </c>
      <c r="AM4865" t="s">
        <v>53</v>
      </c>
      <c r="AN4865" t="s">
        <v>53</v>
      </c>
      <c r="AO4865" t="s">
        <v>53</v>
      </c>
      <c r="AP4865" t="s">
        <v>53</v>
      </c>
    </row>
    <row r="4866" spans="2:42" x14ac:dyDescent="0.2">
      <c r="B4866" t="s">
        <v>44</v>
      </c>
      <c r="C4866" t="str">
        <f>HYPERLINK("https://us2.cloudbeds.com/connect/8493803454333002#/reservations/108869180174579?display=2BDGPTF7XA&amp;reservation_id=108869180174579", "2BDGPTF7XA")</f>
        <v>2BDGPTF7XA</v>
      </c>
      <c r="D4866" t="s">
        <v>45</v>
      </c>
      <c r="E4866" t="s">
        <v>381</v>
      </c>
      <c r="F4866" t="s">
        <v>47</v>
      </c>
      <c r="G4866" t="s">
        <v>48</v>
      </c>
      <c r="H4866" t="s">
        <v>3957</v>
      </c>
      <c r="I4866" t="s">
        <v>3958</v>
      </c>
      <c r="J4866" t="s">
        <v>6922</v>
      </c>
      <c r="K4866" t="s">
        <v>6487</v>
      </c>
      <c r="L4866" t="s">
        <v>53</v>
      </c>
      <c r="P4866" t="s">
        <v>55</v>
      </c>
      <c r="R4866" t="s">
        <v>56</v>
      </c>
      <c r="T4866" t="s">
        <v>8538</v>
      </c>
      <c r="U4866" t="s">
        <v>58</v>
      </c>
      <c r="V4866">
        <v>2</v>
      </c>
      <c r="W4866">
        <v>2</v>
      </c>
      <c r="X4866">
        <v>2</v>
      </c>
      <c r="Y4866">
        <v>0</v>
      </c>
      <c r="Z4866">
        <v>2</v>
      </c>
      <c r="AA4866">
        <v>306.88</v>
      </c>
      <c r="AB4866">
        <v>306.88</v>
      </c>
      <c r="AC4866">
        <v>270</v>
      </c>
      <c r="AD4866">
        <v>0</v>
      </c>
      <c r="AE4866">
        <v>36.880000000000003</v>
      </c>
      <c r="AF4866">
        <v>0</v>
      </c>
      <c r="AG4866">
        <v>0</v>
      </c>
      <c r="AH4866">
        <v>0</v>
      </c>
      <c r="AI4866">
        <v>0</v>
      </c>
      <c r="AJ4866">
        <v>306.88</v>
      </c>
      <c r="AK4866">
        <v>0</v>
      </c>
      <c r="AL4866" t="s">
        <v>53</v>
      </c>
      <c r="AM4866" t="s">
        <v>53</v>
      </c>
      <c r="AN4866" t="s">
        <v>53</v>
      </c>
      <c r="AO4866" t="s">
        <v>53</v>
      </c>
      <c r="AP4866" t="s">
        <v>53</v>
      </c>
    </row>
    <row r="4867" spans="2:42" x14ac:dyDescent="0.2">
      <c r="B4867" t="s">
        <v>44</v>
      </c>
      <c r="C4867" t="str">
        <f>HYPERLINK("https://us2.cloudbeds.com/connect/8493803454333002#/reservations/9080486846050505?display=2BE6EH56EE&amp;reservation_id=9080486846050505", "2BE6EH56EE")</f>
        <v>2BE6EH56EE</v>
      </c>
      <c r="D4867" t="s">
        <v>45</v>
      </c>
      <c r="E4867" t="s">
        <v>92</v>
      </c>
      <c r="F4867" t="s">
        <v>86</v>
      </c>
      <c r="G4867" t="s">
        <v>48</v>
      </c>
      <c r="H4867" t="s">
        <v>49</v>
      </c>
      <c r="I4867" t="s">
        <v>62</v>
      </c>
      <c r="J4867" t="s">
        <v>4443</v>
      </c>
      <c r="K4867" t="s">
        <v>6488</v>
      </c>
      <c r="L4867" t="s">
        <v>53</v>
      </c>
      <c r="N4867" t="s">
        <v>8539</v>
      </c>
      <c r="P4867" t="s">
        <v>55</v>
      </c>
      <c r="R4867" t="s">
        <v>56</v>
      </c>
      <c r="T4867" t="s">
        <v>8540</v>
      </c>
      <c r="U4867" t="s">
        <v>55</v>
      </c>
      <c r="V4867">
        <v>1</v>
      </c>
      <c r="W4867">
        <v>1</v>
      </c>
      <c r="X4867">
        <v>2</v>
      </c>
      <c r="Y4867">
        <v>0</v>
      </c>
      <c r="Z4867">
        <v>2</v>
      </c>
      <c r="AA4867">
        <v>192</v>
      </c>
      <c r="AB4867">
        <v>192</v>
      </c>
      <c r="AC4867">
        <v>192</v>
      </c>
      <c r="AD4867">
        <v>0</v>
      </c>
      <c r="AE4867">
        <v>0</v>
      </c>
      <c r="AF4867">
        <v>0</v>
      </c>
      <c r="AG4867">
        <v>0</v>
      </c>
      <c r="AH4867">
        <v>0</v>
      </c>
      <c r="AI4867">
        <v>34.56</v>
      </c>
      <c r="AJ4867">
        <v>192</v>
      </c>
      <c r="AK4867">
        <v>0</v>
      </c>
      <c r="AL4867" t="s">
        <v>53</v>
      </c>
      <c r="AM4867" t="s">
        <v>53</v>
      </c>
      <c r="AN4867" t="s">
        <v>53</v>
      </c>
      <c r="AO4867" t="s">
        <v>53</v>
      </c>
      <c r="AP4867" t="s">
        <v>53</v>
      </c>
    </row>
    <row r="4868" spans="2:42" x14ac:dyDescent="0.2">
      <c r="B4868" t="s">
        <v>44</v>
      </c>
      <c r="C4868" t="str">
        <f>HYPERLINK("https://us2.cloudbeds.com/connect/8493803454333002#/reservations/9080486846051157?display=2BETEEP9C2&amp;reservation_id=9080486846051157", "2BETEEP9C2")</f>
        <v>2BETEEP9C2</v>
      </c>
      <c r="D4868" t="s">
        <v>45</v>
      </c>
      <c r="E4868" t="s">
        <v>138</v>
      </c>
      <c r="F4868" t="s">
        <v>70</v>
      </c>
      <c r="G4868" t="s">
        <v>48</v>
      </c>
      <c r="H4868" t="s">
        <v>49</v>
      </c>
      <c r="I4868" t="s">
        <v>62</v>
      </c>
      <c r="J4868" t="s">
        <v>7486</v>
      </c>
      <c r="K4868" t="s">
        <v>7394</v>
      </c>
      <c r="L4868" t="s">
        <v>53</v>
      </c>
      <c r="N4868" t="s">
        <v>8541</v>
      </c>
      <c r="P4868" t="s">
        <v>55</v>
      </c>
      <c r="R4868" t="s">
        <v>56</v>
      </c>
      <c r="T4868" t="s">
        <v>8542</v>
      </c>
      <c r="U4868" t="s">
        <v>55</v>
      </c>
      <c r="V4868">
        <v>1</v>
      </c>
      <c r="W4868">
        <v>1</v>
      </c>
      <c r="X4868">
        <v>2</v>
      </c>
      <c r="Y4868">
        <v>0</v>
      </c>
      <c r="Z4868">
        <v>2</v>
      </c>
      <c r="AA4868">
        <v>140.6</v>
      </c>
      <c r="AB4868">
        <v>140.6</v>
      </c>
      <c r="AC4868">
        <v>140.6</v>
      </c>
      <c r="AD4868">
        <v>0</v>
      </c>
      <c r="AE4868">
        <v>0</v>
      </c>
      <c r="AF4868">
        <v>0</v>
      </c>
      <c r="AG4868">
        <v>0</v>
      </c>
      <c r="AH4868">
        <v>0</v>
      </c>
      <c r="AI4868">
        <v>25.31</v>
      </c>
      <c r="AJ4868">
        <v>140.6</v>
      </c>
      <c r="AK4868">
        <v>0</v>
      </c>
      <c r="AL4868" t="s">
        <v>53</v>
      </c>
      <c r="AM4868" t="s">
        <v>53</v>
      </c>
      <c r="AN4868" t="s">
        <v>53</v>
      </c>
      <c r="AO4868" t="s">
        <v>53</v>
      </c>
      <c r="AP4868" t="s">
        <v>53</v>
      </c>
    </row>
    <row r="4869" spans="2:42" x14ac:dyDescent="0.2">
      <c r="B4869" t="s">
        <v>44</v>
      </c>
      <c r="C4869" t="str">
        <f>HYPERLINK("https://us2.cloudbeds.com/connect/8493803454333002#/reservations/108938537222323?display=2BF4G45AKR&amp;reservation_id=108938537222323", "2BF4G45AKR")</f>
        <v>2BF4G45AKR</v>
      </c>
      <c r="D4869" t="s">
        <v>45</v>
      </c>
      <c r="E4869" t="s">
        <v>223</v>
      </c>
      <c r="F4869" t="s">
        <v>47</v>
      </c>
      <c r="G4869" t="s">
        <v>48</v>
      </c>
      <c r="H4869" t="s">
        <v>3957</v>
      </c>
      <c r="I4869" t="s">
        <v>3975</v>
      </c>
      <c r="J4869" t="s">
        <v>7402</v>
      </c>
      <c r="K4869" t="s">
        <v>6417</v>
      </c>
      <c r="L4869" t="s">
        <v>53</v>
      </c>
      <c r="P4869" t="s">
        <v>55</v>
      </c>
      <c r="R4869" t="s">
        <v>53</v>
      </c>
      <c r="T4869" t="s">
        <v>8543</v>
      </c>
      <c r="U4869" t="s">
        <v>58</v>
      </c>
      <c r="V4869">
        <v>1</v>
      </c>
      <c r="W4869">
        <v>1</v>
      </c>
      <c r="X4869">
        <v>1</v>
      </c>
      <c r="Y4869">
        <v>0</v>
      </c>
      <c r="Z4869">
        <v>1</v>
      </c>
      <c r="AA4869">
        <v>155.69999999999999</v>
      </c>
      <c r="AB4869">
        <v>155.69999999999999</v>
      </c>
      <c r="AC4869">
        <v>137</v>
      </c>
      <c r="AD4869">
        <v>0</v>
      </c>
      <c r="AE4869">
        <v>18.7</v>
      </c>
      <c r="AF4869">
        <v>0</v>
      </c>
      <c r="AG4869">
        <v>0</v>
      </c>
      <c r="AH4869">
        <v>0</v>
      </c>
      <c r="AI4869">
        <v>0</v>
      </c>
      <c r="AJ4869">
        <v>155.69999999999999</v>
      </c>
      <c r="AK4869">
        <v>0</v>
      </c>
      <c r="AL4869" t="s">
        <v>53</v>
      </c>
      <c r="AM4869" t="s">
        <v>53</v>
      </c>
      <c r="AN4869" t="s">
        <v>53</v>
      </c>
      <c r="AO4869" t="s">
        <v>53</v>
      </c>
      <c r="AP4869" t="s">
        <v>53</v>
      </c>
    </row>
    <row r="4870" spans="2:42" x14ac:dyDescent="0.2">
      <c r="B4870" t="s">
        <v>44</v>
      </c>
      <c r="C4870" t="str">
        <f>HYPERLINK("https://us2.cloudbeds.com/connect/8493803454333002#/reservations/9080486846051487?display=2BF79PXU2P&amp;reservation_id=9080486846051487", "2BF79PXU2P")</f>
        <v>2BF79PXU2P</v>
      </c>
      <c r="D4870" t="s">
        <v>45</v>
      </c>
      <c r="E4870" t="s">
        <v>69</v>
      </c>
      <c r="F4870" t="s">
        <v>70</v>
      </c>
      <c r="G4870" t="s">
        <v>48</v>
      </c>
      <c r="H4870" t="s">
        <v>49</v>
      </c>
      <c r="I4870" t="s">
        <v>62</v>
      </c>
      <c r="J4870" t="s">
        <v>6922</v>
      </c>
      <c r="K4870" t="s">
        <v>4442</v>
      </c>
      <c r="L4870" t="s">
        <v>53</v>
      </c>
      <c r="N4870" t="s">
        <v>8544</v>
      </c>
      <c r="P4870" t="s">
        <v>55</v>
      </c>
      <c r="R4870" t="s">
        <v>56</v>
      </c>
      <c r="T4870" t="s">
        <v>8545</v>
      </c>
      <c r="U4870" t="s">
        <v>55</v>
      </c>
      <c r="V4870">
        <v>1</v>
      </c>
      <c r="W4870">
        <v>1</v>
      </c>
      <c r="X4870">
        <v>2</v>
      </c>
      <c r="Y4870">
        <v>0</v>
      </c>
      <c r="Z4870">
        <v>2</v>
      </c>
      <c r="AA4870">
        <v>128</v>
      </c>
      <c r="AB4870">
        <v>128</v>
      </c>
      <c r="AC4870">
        <v>128</v>
      </c>
      <c r="AD4870">
        <v>0</v>
      </c>
      <c r="AE4870">
        <v>0</v>
      </c>
      <c r="AF4870">
        <v>0</v>
      </c>
      <c r="AG4870">
        <v>0</v>
      </c>
      <c r="AH4870">
        <v>0</v>
      </c>
      <c r="AI4870">
        <v>23.04</v>
      </c>
      <c r="AJ4870">
        <v>128</v>
      </c>
      <c r="AK4870">
        <v>0</v>
      </c>
      <c r="AL4870" t="s">
        <v>53</v>
      </c>
      <c r="AM4870" t="s">
        <v>53</v>
      </c>
      <c r="AN4870" t="s">
        <v>53</v>
      </c>
      <c r="AO4870" t="s">
        <v>53</v>
      </c>
      <c r="AP4870" t="s">
        <v>53</v>
      </c>
    </row>
    <row r="4871" spans="2:42" x14ac:dyDescent="0.2">
      <c r="B4871" t="s">
        <v>44</v>
      </c>
      <c r="C4871" t="str">
        <f>HYPERLINK("https://us2.cloudbeds.com/connect/8493803454333002#/reservations/108956029198546?display=2BFX12SBDC&amp;reservation_id=108956029198546", "2BFX12SBDC")</f>
        <v>2BFX12SBDC</v>
      </c>
      <c r="D4871" t="s">
        <v>45</v>
      </c>
      <c r="E4871" t="s">
        <v>105</v>
      </c>
      <c r="F4871" t="s">
        <v>47</v>
      </c>
      <c r="G4871" t="s">
        <v>48</v>
      </c>
      <c r="H4871" t="s">
        <v>3957</v>
      </c>
      <c r="I4871" t="s">
        <v>3975</v>
      </c>
      <c r="J4871" t="s">
        <v>4442</v>
      </c>
      <c r="K4871" t="s">
        <v>6487</v>
      </c>
      <c r="L4871" t="s">
        <v>53</v>
      </c>
      <c r="P4871" t="s">
        <v>55</v>
      </c>
      <c r="R4871" t="s">
        <v>53</v>
      </c>
      <c r="T4871" t="s">
        <v>8546</v>
      </c>
      <c r="U4871" t="s">
        <v>58</v>
      </c>
      <c r="V4871">
        <v>1</v>
      </c>
      <c r="W4871">
        <v>1</v>
      </c>
      <c r="X4871">
        <v>2</v>
      </c>
      <c r="Y4871">
        <v>0</v>
      </c>
      <c r="Z4871">
        <v>2</v>
      </c>
      <c r="AA4871">
        <v>146.61000000000001</v>
      </c>
      <c r="AB4871">
        <v>146.61000000000001</v>
      </c>
      <c r="AC4871">
        <v>129</v>
      </c>
      <c r="AD4871">
        <v>0</v>
      </c>
      <c r="AE4871">
        <v>17.61</v>
      </c>
      <c r="AF4871">
        <v>0</v>
      </c>
      <c r="AG4871">
        <v>0</v>
      </c>
      <c r="AH4871">
        <v>0</v>
      </c>
      <c r="AI4871">
        <v>0</v>
      </c>
      <c r="AJ4871">
        <v>146.61000000000001</v>
      </c>
      <c r="AK4871">
        <v>0</v>
      </c>
      <c r="AL4871" t="s">
        <v>53</v>
      </c>
      <c r="AM4871" t="s">
        <v>53</v>
      </c>
      <c r="AN4871" t="s">
        <v>8547</v>
      </c>
      <c r="AO4871" t="s">
        <v>53</v>
      </c>
      <c r="AP4871" t="s">
        <v>53</v>
      </c>
    </row>
    <row r="4872" spans="2:42" x14ac:dyDescent="0.2">
      <c r="B4872" t="s">
        <v>44</v>
      </c>
      <c r="C4872" t="str">
        <f>HYPERLINK("https://us2.cloudbeds.com/connect/8493803454333002#/reservations/9080486846052319?display=2BG6MUFFHN&amp;reservation_id=9080486846052319", "2BG6MUFFHN")</f>
        <v>2BG6MUFFHN</v>
      </c>
      <c r="D4872" t="s">
        <v>45</v>
      </c>
      <c r="E4872" t="s">
        <v>179</v>
      </c>
      <c r="F4872" t="s">
        <v>47</v>
      </c>
      <c r="G4872" t="s">
        <v>48</v>
      </c>
      <c r="H4872" t="s">
        <v>49</v>
      </c>
      <c r="I4872" t="s">
        <v>62</v>
      </c>
      <c r="J4872" t="s">
        <v>6922</v>
      </c>
      <c r="K4872" t="s">
        <v>4442</v>
      </c>
      <c r="L4872" t="s">
        <v>53</v>
      </c>
      <c r="N4872" t="s">
        <v>8548</v>
      </c>
      <c r="P4872" t="s">
        <v>55</v>
      </c>
      <c r="R4872" t="s">
        <v>56</v>
      </c>
      <c r="T4872" t="s">
        <v>8549</v>
      </c>
      <c r="U4872" t="s">
        <v>55</v>
      </c>
      <c r="V4872">
        <v>1</v>
      </c>
      <c r="W4872">
        <v>1</v>
      </c>
      <c r="X4872">
        <v>1</v>
      </c>
      <c r="Y4872">
        <v>0</v>
      </c>
      <c r="Z4872">
        <v>1</v>
      </c>
      <c r="AA4872">
        <v>135</v>
      </c>
      <c r="AB4872">
        <v>135</v>
      </c>
      <c r="AC4872">
        <v>135</v>
      </c>
      <c r="AD4872">
        <v>0</v>
      </c>
      <c r="AE4872">
        <v>0</v>
      </c>
      <c r="AF4872">
        <v>0</v>
      </c>
      <c r="AG4872">
        <v>0</v>
      </c>
      <c r="AH4872">
        <v>0</v>
      </c>
      <c r="AI4872">
        <v>24.3</v>
      </c>
      <c r="AJ4872">
        <v>135</v>
      </c>
      <c r="AK4872">
        <v>0</v>
      </c>
      <c r="AL4872" t="s">
        <v>53</v>
      </c>
      <c r="AM4872" t="s">
        <v>53</v>
      </c>
      <c r="AN4872" t="s">
        <v>53</v>
      </c>
      <c r="AO4872" t="s">
        <v>53</v>
      </c>
      <c r="AP4872" t="s">
        <v>53</v>
      </c>
    </row>
    <row r="4873" spans="2:42" x14ac:dyDescent="0.2">
      <c r="B4873" t="s">
        <v>44</v>
      </c>
      <c r="C4873" t="str">
        <f>HYPERLINK("https://us2.cloudbeds.com/connect/8493803454333002#/reservations/9080486846052350?display=2BG88TWKK8&amp;reservation_id=9080486846052350", "2BG88TWKK8")</f>
        <v>2BG88TWKK8</v>
      </c>
      <c r="D4873" t="s">
        <v>45</v>
      </c>
      <c r="E4873" t="s">
        <v>92</v>
      </c>
      <c r="F4873" t="s">
        <v>86</v>
      </c>
      <c r="G4873" t="s">
        <v>48</v>
      </c>
      <c r="H4873" t="s">
        <v>49</v>
      </c>
      <c r="I4873" t="s">
        <v>50</v>
      </c>
      <c r="J4873" t="s">
        <v>6922</v>
      </c>
      <c r="K4873" t="s">
        <v>4442</v>
      </c>
      <c r="L4873" t="s">
        <v>53</v>
      </c>
      <c r="N4873" t="s">
        <v>8550</v>
      </c>
      <c r="P4873" t="s">
        <v>55</v>
      </c>
      <c r="R4873" t="s">
        <v>53</v>
      </c>
      <c r="T4873" t="s">
        <v>8551</v>
      </c>
      <c r="U4873" t="s">
        <v>58</v>
      </c>
      <c r="V4873">
        <v>1</v>
      </c>
      <c r="W4873">
        <v>1</v>
      </c>
      <c r="X4873">
        <v>2</v>
      </c>
      <c r="Y4873">
        <v>0</v>
      </c>
      <c r="Z4873">
        <v>2</v>
      </c>
      <c r="AA4873">
        <v>151.37</v>
      </c>
      <c r="AB4873">
        <v>151.37</v>
      </c>
      <c r="AC4873">
        <v>133.19999999999999</v>
      </c>
      <c r="AD4873">
        <v>0</v>
      </c>
      <c r="AE4873">
        <v>18.170000000000002</v>
      </c>
      <c r="AF4873">
        <v>0</v>
      </c>
      <c r="AG4873">
        <v>0</v>
      </c>
      <c r="AH4873">
        <v>0</v>
      </c>
      <c r="AI4873">
        <v>27.25</v>
      </c>
      <c r="AJ4873">
        <v>151.37</v>
      </c>
      <c r="AK4873">
        <v>0</v>
      </c>
      <c r="AL4873" t="s">
        <v>53</v>
      </c>
      <c r="AM4873" t="s">
        <v>53</v>
      </c>
      <c r="AN4873" t="s">
        <v>53</v>
      </c>
      <c r="AO4873" t="s">
        <v>53</v>
      </c>
      <c r="AP4873" t="s">
        <v>53</v>
      </c>
    </row>
    <row r="4874" spans="2:42" x14ac:dyDescent="0.2">
      <c r="B4874" t="s">
        <v>44</v>
      </c>
      <c r="C4874" t="str">
        <f>HYPERLINK("https://us2.cloudbeds.com/connect/8493803454333002#/reservations/9080486846052391?display=2BG9VXH6EP&amp;reservation_id=9080486846052391", "2BG9VXH6EP")</f>
        <v>2BG9VXH6EP</v>
      </c>
      <c r="D4874" t="s">
        <v>45</v>
      </c>
      <c r="E4874" t="s">
        <v>113</v>
      </c>
      <c r="F4874" t="s">
        <v>61</v>
      </c>
      <c r="G4874" t="s">
        <v>48</v>
      </c>
      <c r="H4874" t="s">
        <v>49</v>
      </c>
      <c r="I4874" t="s">
        <v>50</v>
      </c>
      <c r="J4874" t="s">
        <v>7376</v>
      </c>
      <c r="K4874" t="s">
        <v>7559</v>
      </c>
      <c r="L4874" t="s">
        <v>53</v>
      </c>
      <c r="N4874" t="s">
        <v>8552</v>
      </c>
      <c r="P4874" t="s">
        <v>55</v>
      </c>
      <c r="R4874" t="s">
        <v>53</v>
      </c>
      <c r="T4874" t="s">
        <v>8553</v>
      </c>
      <c r="U4874" t="s">
        <v>58</v>
      </c>
      <c r="V4874">
        <v>1</v>
      </c>
      <c r="W4874">
        <v>1</v>
      </c>
      <c r="X4874">
        <v>1</v>
      </c>
      <c r="Y4874">
        <v>0</v>
      </c>
      <c r="Z4874">
        <v>1</v>
      </c>
      <c r="AA4874">
        <v>156.44</v>
      </c>
      <c r="AB4874">
        <v>156.44</v>
      </c>
      <c r="AC4874">
        <v>137.65</v>
      </c>
      <c r="AD4874">
        <v>0</v>
      </c>
      <c r="AE4874">
        <v>18.79</v>
      </c>
      <c r="AF4874">
        <v>0</v>
      </c>
      <c r="AG4874">
        <v>0</v>
      </c>
      <c r="AH4874">
        <v>0</v>
      </c>
      <c r="AI4874">
        <v>28.16</v>
      </c>
      <c r="AJ4874">
        <v>156.44</v>
      </c>
      <c r="AK4874">
        <v>0</v>
      </c>
      <c r="AL4874" t="s">
        <v>53</v>
      </c>
      <c r="AM4874" t="s">
        <v>53</v>
      </c>
      <c r="AN4874" t="s">
        <v>53</v>
      </c>
      <c r="AO4874" t="s">
        <v>53</v>
      </c>
      <c r="AP4874" t="s">
        <v>53</v>
      </c>
    </row>
    <row r="4875" spans="2:42" x14ac:dyDescent="0.2">
      <c r="B4875" t="s">
        <v>44</v>
      </c>
      <c r="C4875" t="str">
        <f>HYPERLINK("https://us2.cloudbeds.com/connect/8493803454333002#/reservations/9080486846052767?display=2BGQYQNSSF&amp;reservation_id=9080486846052767", "2BGQYQNSSF")</f>
        <v>2BGQYQNSSF</v>
      </c>
      <c r="D4875" t="s">
        <v>45</v>
      </c>
      <c r="E4875" t="s">
        <v>98</v>
      </c>
      <c r="F4875" t="s">
        <v>86</v>
      </c>
      <c r="G4875" t="s">
        <v>48</v>
      </c>
      <c r="H4875" t="s">
        <v>49</v>
      </c>
      <c r="I4875" t="s">
        <v>62</v>
      </c>
      <c r="J4875" t="s">
        <v>4442</v>
      </c>
      <c r="K4875" t="s">
        <v>6487</v>
      </c>
      <c r="L4875" t="s">
        <v>53</v>
      </c>
      <c r="N4875" t="s">
        <v>8554</v>
      </c>
      <c r="P4875" t="s">
        <v>55</v>
      </c>
      <c r="R4875" t="s">
        <v>56</v>
      </c>
      <c r="T4875" t="s">
        <v>8555</v>
      </c>
      <c r="U4875" t="s">
        <v>55</v>
      </c>
      <c r="V4875">
        <v>1</v>
      </c>
      <c r="W4875">
        <v>1</v>
      </c>
      <c r="X4875">
        <v>4</v>
      </c>
      <c r="Y4875">
        <v>0</v>
      </c>
      <c r="Z4875">
        <v>4</v>
      </c>
      <c r="AA4875">
        <v>141</v>
      </c>
      <c r="AB4875">
        <v>141</v>
      </c>
      <c r="AC4875">
        <v>141</v>
      </c>
      <c r="AD4875">
        <v>0</v>
      </c>
      <c r="AE4875">
        <v>0</v>
      </c>
      <c r="AF4875">
        <v>0</v>
      </c>
      <c r="AG4875">
        <v>0</v>
      </c>
      <c r="AH4875">
        <v>0</v>
      </c>
      <c r="AI4875">
        <v>25.38</v>
      </c>
      <c r="AJ4875">
        <v>141</v>
      </c>
      <c r="AK4875">
        <v>0</v>
      </c>
      <c r="AL4875" t="s">
        <v>53</v>
      </c>
      <c r="AM4875" t="s">
        <v>53</v>
      </c>
      <c r="AN4875" t="s">
        <v>8556</v>
      </c>
      <c r="AO4875" t="s">
        <v>53</v>
      </c>
      <c r="AP4875" t="s">
        <v>53</v>
      </c>
    </row>
    <row r="4876" spans="2:42" x14ac:dyDescent="0.2">
      <c r="B4876" t="s">
        <v>44</v>
      </c>
      <c r="C4876" t="str">
        <f>HYPERLINK("https://us2.cloudbeds.com/connect/8493803454333002#/reservations/9080486846052851?display=2BGV4RXR30&amp;reservation_id=9080486846052851", "2BGV4RXR30")</f>
        <v>2BGV4RXR30</v>
      </c>
      <c r="D4876" t="s">
        <v>45</v>
      </c>
      <c r="E4876" t="s">
        <v>179</v>
      </c>
      <c r="F4876" t="s">
        <v>47</v>
      </c>
      <c r="G4876" t="s">
        <v>48</v>
      </c>
      <c r="H4876" t="s">
        <v>49</v>
      </c>
      <c r="I4876" t="s">
        <v>50</v>
      </c>
      <c r="J4876" t="s">
        <v>7218</v>
      </c>
      <c r="K4876" t="s">
        <v>6661</v>
      </c>
      <c r="L4876" t="s">
        <v>53</v>
      </c>
      <c r="N4876" t="s">
        <v>8557</v>
      </c>
      <c r="P4876" t="s">
        <v>55</v>
      </c>
      <c r="R4876" t="s">
        <v>53</v>
      </c>
      <c r="T4876" t="s">
        <v>8558</v>
      </c>
      <c r="U4876" t="s">
        <v>58</v>
      </c>
      <c r="V4876">
        <v>1</v>
      </c>
      <c r="W4876">
        <v>1</v>
      </c>
      <c r="X4876">
        <v>2</v>
      </c>
      <c r="Y4876">
        <v>0</v>
      </c>
      <c r="Z4876">
        <v>2</v>
      </c>
      <c r="AA4876">
        <v>178.8</v>
      </c>
      <c r="AB4876">
        <v>178.8</v>
      </c>
      <c r="AC4876">
        <v>157.32</v>
      </c>
      <c r="AD4876">
        <v>0</v>
      </c>
      <c r="AE4876">
        <v>21.48</v>
      </c>
      <c r="AF4876">
        <v>0</v>
      </c>
      <c r="AG4876">
        <v>0</v>
      </c>
      <c r="AH4876">
        <v>0</v>
      </c>
      <c r="AI4876">
        <v>32.18</v>
      </c>
      <c r="AJ4876">
        <v>178.8</v>
      </c>
      <c r="AK4876">
        <v>0</v>
      </c>
      <c r="AL4876" t="s">
        <v>53</v>
      </c>
      <c r="AM4876" t="s">
        <v>53</v>
      </c>
      <c r="AN4876" t="s">
        <v>53</v>
      </c>
      <c r="AO4876" t="s">
        <v>53</v>
      </c>
      <c r="AP4876" t="s">
        <v>53</v>
      </c>
    </row>
    <row r="4877" spans="2:42" x14ac:dyDescent="0.2">
      <c r="B4877" t="s">
        <v>44</v>
      </c>
      <c r="C4877" t="str">
        <f>HYPERLINK("https://us2.cloudbeds.com/connect/8493803454333002#/reservations/109063839482078?display=2BX2GTBDG7&amp;reservation_id=109063839482078", "2BX2GTBDG7")</f>
        <v>2BX2GTBDG7</v>
      </c>
      <c r="D4877" t="s">
        <v>45</v>
      </c>
      <c r="E4877" t="s">
        <v>78</v>
      </c>
      <c r="F4877" t="s">
        <v>61</v>
      </c>
      <c r="G4877" t="s">
        <v>3974</v>
      </c>
      <c r="H4877" t="s">
        <v>3957</v>
      </c>
      <c r="I4877" t="s">
        <v>3975</v>
      </c>
      <c r="J4877" t="s">
        <v>7402</v>
      </c>
      <c r="K4877" t="s">
        <v>6417</v>
      </c>
      <c r="L4877" t="s">
        <v>53</v>
      </c>
      <c r="P4877" t="s">
        <v>55</v>
      </c>
      <c r="R4877" t="s">
        <v>53</v>
      </c>
      <c r="T4877" t="s">
        <v>8559</v>
      </c>
      <c r="U4877" t="s">
        <v>58</v>
      </c>
      <c r="V4877">
        <v>1</v>
      </c>
      <c r="W4877">
        <v>1</v>
      </c>
      <c r="X4877">
        <v>2</v>
      </c>
      <c r="Y4877">
        <v>0</v>
      </c>
      <c r="Z4877">
        <v>2</v>
      </c>
      <c r="AA4877">
        <v>155.47999999999999</v>
      </c>
      <c r="AB4877">
        <v>155.47999999999999</v>
      </c>
      <c r="AC4877">
        <v>136.80000000000001</v>
      </c>
      <c r="AD4877">
        <v>0</v>
      </c>
      <c r="AE4877">
        <v>18.68</v>
      </c>
      <c r="AF4877">
        <v>0</v>
      </c>
      <c r="AG4877">
        <v>0</v>
      </c>
      <c r="AH4877">
        <v>0</v>
      </c>
      <c r="AI4877">
        <v>0</v>
      </c>
      <c r="AJ4877">
        <v>155.47999999999999</v>
      </c>
      <c r="AK4877">
        <v>0</v>
      </c>
      <c r="AL4877" t="s">
        <v>53</v>
      </c>
      <c r="AM4877" t="s">
        <v>53</v>
      </c>
      <c r="AN4877" t="s">
        <v>53</v>
      </c>
      <c r="AO4877" t="s">
        <v>53</v>
      </c>
      <c r="AP4877" t="s">
        <v>53</v>
      </c>
    </row>
    <row r="4878" spans="2:42" x14ac:dyDescent="0.2">
      <c r="B4878" t="s">
        <v>44</v>
      </c>
      <c r="C4878" t="str">
        <f>HYPERLINK("https://us2.cloudbeds.com/connect/8493803454333002#/reservations/9080486846053961?display=2BXNHAZCH0&amp;reservation_id=9080486846053961", "2BXNHAZCH0")</f>
        <v>2BXNHAZCH0</v>
      </c>
      <c r="D4878" t="s">
        <v>45</v>
      </c>
      <c r="E4878" t="s">
        <v>46</v>
      </c>
      <c r="F4878" t="s">
        <v>47</v>
      </c>
      <c r="G4878" t="s">
        <v>48</v>
      </c>
      <c r="H4878" t="s">
        <v>49</v>
      </c>
      <c r="I4878" t="s">
        <v>50</v>
      </c>
      <c r="J4878" t="s">
        <v>4442</v>
      </c>
      <c r="K4878" t="s">
        <v>4443</v>
      </c>
      <c r="L4878" t="s">
        <v>53</v>
      </c>
      <c r="N4878" t="s">
        <v>8560</v>
      </c>
      <c r="P4878" t="s">
        <v>55</v>
      </c>
      <c r="R4878" t="s">
        <v>53</v>
      </c>
      <c r="T4878" t="s">
        <v>8561</v>
      </c>
      <c r="U4878" t="s">
        <v>58</v>
      </c>
      <c r="V4878">
        <v>2</v>
      </c>
      <c r="W4878">
        <v>1</v>
      </c>
      <c r="X4878">
        <v>2</v>
      </c>
      <c r="Y4878">
        <v>0</v>
      </c>
      <c r="Z4878">
        <v>2</v>
      </c>
      <c r="AA4878">
        <v>285.37</v>
      </c>
      <c r="AB4878">
        <v>285.37</v>
      </c>
      <c r="AC4878">
        <v>251.1</v>
      </c>
      <c r="AD4878">
        <v>0</v>
      </c>
      <c r="AE4878">
        <v>34.270000000000003</v>
      </c>
      <c r="AF4878">
        <v>0</v>
      </c>
      <c r="AG4878">
        <v>0</v>
      </c>
      <c r="AH4878">
        <v>0</v>
      </c>
      <c r="AI4878">
        <v>51.37</v>
      </c>
      <c r="AJ4878">
        <v>285.37</v>
      </c>
      <c r="AK4878">
        <v>0</v>
      </c>
      <c r="AL4878" t="s">
        <v>53</v>
      </c>
      <c r="AM4878" t="s">
        <v>53</v>
      </c>
      <c r="AN4878" t="s">
        <v>53</v>
      </c>
      <c r="AO4878" t="s">
        <v>53</v>
      </c>
      <c r="AP4878" t="s">
        <v>53</v>
      </c>
    </row>
    <row r="4879" spans="2:42" x14ac:dyDescent="0.2">
      <c r="B4879" t="s">
        <v>44</v>
      </c>
      <c r="C4879" t="str">
        <f>HYPERLINK("https://us2.cloudbeds.com/connect/8493803454333002#/reservations/9080486846056597?display=2BMX81VV9R&amp;reservation_id=9080486846056597", "2BMX81VV9R")</f>
        <v>2BMX81VV9R</v>
      </c>
      <c r="D4879" t="s">
        <v>45</v>
      </c>
      <c r="E4879" t="s">
        <v>69</v>
      </c>
      <c r="F4879" t="s">
        <v>70</v>
      </c>
      <c r="G4879" t="s">
        <v>48</v>
      </c>
      <c r="H4879" t="s">
        <v>49</v>
      </c>
      <c r="I4879" t="s">
        <v>50</v>
      </c>
      <c r="J4879" t="s">
        <v>7486</v>
      </c>
      <c r="K4879" t="s">
        <v>7394</v>
      </c>
      <c r="L4879" t="s">
        <v>53</v>
      </c>
      <c r="N4879" t="s">
        <v>8562</v>
      </c>
      <c r="P4879" t="s">
        <v>55</v>
      </c>
      <c r="R4879" t="s">
        <v>53</v>
      </c>
      <c r="T4879" t="s">
        <v>8563</v>
      </c>
      <c r="U4879" t="s">
        <v>58</v>
      </c>
      <c r="V4879">
        <v>1</v>
      </c>
      <c r="W4879">
        <v>1</v>
      </c>
      <c r="X4879">
        <v>2</v>
      </c>
      <c r="Y4879">
        <v>0</v>
      </c>
      <c r="Z4879">
        <v>2</v>
      </c>
      <c r="AA4879">
        <v>151.37</v>
      </c>
      <c r="AB4879">
        <v>151.37</v>
      </c>
      <c r="AC4879">
        <v>123.44</v>
      </c>
      <c r="AD4879">
        <v>9</v>
      </c>
      <c r="AE4879">
        <v>18.93</v>
      </c>
      <c r="AF4879">
        <v>0</v>
      </c>
      <c r="AG4879">
        <v>0</v>
      </c>
      <c r="AH4879">
        <v>0</v>
      </c>
      <c r="AI4879">
        <v>27.25</v>
      </c>
      <c r="AJ4879">
        <v>151.37</v>
      </c>
      <c r="AK4879">
        <v>0</v>
      </c>
      <c r="AL4879" t="s">
        <v>53</v>
      </c>
      <c r="AM4879" t="s">
        <v>53</v>
      </c>
      <c r="AN4879" t="s">
        <v>53</v>
      </c>
      <c r="AO4879" t="s">
        <v>53</v>
      </c>
      <c r="AP4879" t="s">
        <v>53</v>
      </c>
    </row>
    <row r="4880" spans="2:42" x14ac:dyDescent="0.2">
      <c r="B4880" t="s">
        <v>44</v>
      </c>
      <c r="C4880" t="str">
        <f>HYPERLINK("https://us2.cloudbeds.com/connect/8493803454333002#/reservations/9080486846057191?display=2BN8WUYK5N&amp;reservation_id=9080486846057191", "2BN8WUYK5N")</f>
        <v>2BN8WUYK5N</v>
      </c>
      <c r="D4880" t="s">
        <v>45</v>
      </c>
      <c r="E4880" t="s">
        <v>179</v>
      </c>
      <c r="F4880" t="s">
        <v>47</v>
      </c>
      <c r="G4880" t="s">
        <v>48</v>
      </c>
      <c r="H4880" t="s">
        <v>49</v>
      </c>
      <c r="I4880" t="s">
        <v>50</v>
      </c>
      <c r="J4880" t="s">
        <v>4442</v>
      </c>
      <c r="K4880" t="s">
        <v>6487</v>
      </c>
      <c r="L4880" t="s">
        <v>53</v>
      </c>
      <c r="N4880" t="s">
        <v>8564</v>
      </c>
      <c r="P4880" t="s">
        <v>55</v>
      </c>
      <c r="R4880" t="s">
        <v>53</v>
      </c>
      <c r="T4880" t="s">
        <v>8565</v>
      </c>
      <c r="U4880" t="s">
        <v>58</v>
      </c>
      <c r="V4880">
        <v>1</v>
      </c>
      <c r="W4880">
        <v>1</v>
      </c>
      <c r="X4880">
        <v>1</v>
      </c>
      <c r="Y4880">
        <v>0</v>
      </c>
      <c r="Z4880">
        <v>1</v>
      </c>
      <c r="AA4880">
        <v>128.19999999999999</v>
      </c>
      <c r="AB4880">
        <v>128.19999999999999</v>
      </c>
      <c r="AC4880">
        <v>112.8</v>
      </c>
      <c r="AD4880">
        <v>0</v>
      </c>
      <c r="AE4880">
        <v>15.4</v>
      </c>
      <c r="AF4880">
        <v>0</v>
      </c>
      <c r="AG4880">
        <v>0</v>
      </c>
      <c r="AH4880">
        <v>0</v>
      </c>
      <c r="AI4880">
        <v>23.08</v>
      </c>
      <c r="AJ4880">
        <v>128.19999999999999</v>
      </c>
      <c r="AK4880">
        <v>0</v>
      </c>
      <c r="AL4880" t="s">
        <v>53</v>
      </c>
      <c r="AM4880" t="s">
        <v>53</v>
      </c>
      <c r="AN4880" t="s">
        <v>53</v>
      </c>
      <c r="AO4880" t="s">
        <v>53</v>
      </c>
      <c r="AP4880" t="s">
        <v>53</v>
      </c>
    </row>
    <row r="4881" spans="2:42" x14ac:dyDescent="0.2">
      <c r="B4881" t="s">
        <v>44</v>
      </c>
      <c r="C4881" t="str">
        <f>HYPERLINK("https://us2.cloudbeds.com/connect/8493803454333002#/reservations/9080486846057194?display=2BN93WDCHB&amp;reservation_id=9080486846057194", "2BN93WDCHB")</f>
        <v>2BN93WDCHB</v>
      </c>
      <c r="D4881" t="s">
        <v>45</v>
      </c>
      <c r="E4881" t="s">
        <v>373</v>
      </c>
      <c r="F4881" t="s">
        <v>47</v>
      </c>
      <c r="G4881" t="s">
        <v>48</v>
      </c>
      <c r="H4881" t="s">
        <v>49</v>
      </c>
      <c r="I4881" t="s">
        <v>50</v>
      </c>
      <c r="J4881" t="s">
        <v>4442</v>
      </c>
      <c r="K4881" t="s">
        <v>6487</v>
      </c>
      <c r="L4881" t="s">
        <v>53</v>
      </c>
      <c r="N4881" t="s">
        <v>8566</v>
      </c>
      <c r="P4881" t="s">
        <v>55</v>
      </c>
      <c r="R4881" t="s">
        <v>53</v>
      </c>
      <c r="T4881" t="s">
        <v>8567</v>
      </c>
      <c r="U4881" t="s">
        <v>58</v>
      </c>
      <c r="V4881">
        <v>1</v>
      </c>
      <c r="W4881">
        <v>1</v>
      </c>
      <c r="X4881">
        <v>1</v>
      </c>
      <c r="Y4881">
        <v>0</v>
      </c>
      <c r="Z4881">
        <v>1</v>
      </c>
      <c r="AA4881">
        <v>144.22</v>
      </c>
      <c r="AB4881">
        <v>144.22</v>
      </c>
      <c r="AC4881">
        <v>126.9</v>
      </c>
      <c r="AD4881">
        <v>0</v>
      </c>
      <c r="AE4881">
        <v>17.32</v>
      </c>
      <c r="AF4881">
        <v>0</v>
      </c>
      <c r="AG4881">
        <v>0</v>
      </c>
      <c r="AH4881">
        <v>0</v>
      </c>
      <c r="AI4881">
        <v>25.96</v>
      </c>
      <c r="AJ4881">
        <v>144.22</v>
      </c>
      <c r="AK4881">
        <v>0</v>
      </c>
      <c r="AL4881" t="s">
        <v>53</v>
      </c>
      <c r="AM4881" t="s">
        <v>53</v>
      </c>
      <c r="AN4881" t="s">
        <v>53</v>
      </c>
      <c r="AO4881" t="s">
        <v>53</v>
      </c>
      <c r="AP4881" t="s">
        <v>53</v>
      </c>
    </row>
    <row r="4882" spans="2:42" x14ac:dyDescent="0.2">
      <c r="B4882" t="s">
        <v>44</v>
      </c>
      <c r="C4882" t="str">
        <f>HYPERLINK("https://us2.cloudbeds.com/connect/8493803454333002#/reservations/9080486846057209?display=2BN9U6SMH7&amp;reservation_id=9080486846057209", "2BN9U6SMH7")</f>
        <v>2BN9U6SMH7</v>
      </c>
      <c r="D4882" t="s">
        <v>45</v>
      </c>
      <c r="E4882" t="s">
        <v>78</v>
      </c>
      <c r="F4882" t="s">
        <v>61</v>
      </c>
      <c r="G4882" t="s">
        <v>48</v>
      </c>
      <c r="H4882" t="s">
        <v>49</v>
      </c>
      <c r="I4882" t="s">
        <v>50</v>
      </c>
      <c r="J4882" t="s">
        <v>7559</v>
      </c>
      <c r="K4882" t="s">
        <v>7595</v>
      </c>
      <c r="L4882" t="s">
        <v>53</v>
      </c>
      <c r="N4882" t="s">
        <v>8568</v>
      </c>
      <c r="P4882" t="s">
        <v>55</v>
      </c>
      <c r="R4882" t="s">
        <v>53</v>
      </c>
      <c r="T4882" t="s">
        <v>8569</v>
      </c>
      <c r="U4882" t="s">
        <v>58</v>
      </c>
      <c r="V4882">
        <v>2</v>
      </c>
      <c r="W4882">
        <v>1</v>
      </c>
      <c r="X4882">
        <v>2</v>
      </c>
      <c r="Y4882">
        <v>0</v>
      </c>
      <c r="Z4882">
        <v>2</v>
      </c>
      <c r="AA4882">
        <v>293.44</v>
      </c>
      <c r="AB4882">
        <v>293.44</v>
      </c>
      <c r="AC4882">
        <v>258.2</v>
      </c>
      <c r="AD4882">
        <v>0</v>
      </c>
      <c r="AE4882">
        <v>35.24</v>
      </c>
      <c r="AF4882">
        <v>0</v>
      </c>
      <c r="AG4882">
        <v>0</v>
      </c>
      <c r="AH4882">
        <v>0</v>
      </c>
      <c r="AI4882">
        <v>52.82</v>
      </c>
      <c r="AJ4882">
        <v>293.44</v>
      </c>
      <c r="AK4882">
        <v>0</v>
      </c>
      <c r="AL4882" t="s">
        <v>53</v>
      </c>
      <c r="AM4882" t="s">
        <v>53</v>
      </c>
      <c r="AN4882" t="s">
        <v>53</v>
      </c>
      <c r="AO4882" t="s">
        <v>53</v>
      </c>
      <c r="AP4882" t="s">
        <v>53</v>
      </c>
    </row>
    <row r="4883" spans="2:42" x14ac:dyDescent="0.2">
      <c r="B4883" t="s">
        <v>44</v>
      </c>
      <c r="C4883" t="str">
        <f>HYPERLINK("https://us2.cloudbeds.com/connect/8493803454333002#/reservations/9080486846057845?display=2BNVRAUK90&amp;reservation_id=9080486846057845", "2BNVRAUK90")</f>
        <v>2BNVRAUK90</v>
      </c>
      <c r="D4883" t="s">
        <v>45</v>
      </c>
      <c r="E4883" t="s">
        <v>92</v>
      </c>
      <c r="F4883" t="s">
        <v>86</v>
      </c>
      <c r="G4883" t="s">
        <v>48</v>
      </c>
      <c r="H4883" t="s">
        <v>49</v>
      </c>
      <c r="I4883" t="s">
        <v>50</v>
      </c>
      <c r="J4883" t="s">
        <v>7974</v>
      </c>
      <c r="K4883" t="s">
        <v>7975</v>
      </c>
      <c r="L4883" t="s">
        <v>53</v>
      </c>
      <c r="N4883" t="s">
        <v>8570</v>
      </c>
      <c r="P4883" t="s">
        <v>55</v>
      </c>
      <c r="R4883" t="s">
        <v>53</v>
      </c>
      <c r="T4883" t="s">
        <v>8571</v>
      </c>
      <c r="U4883" t="s">
        <v>58</v>
      </c>
      <c r="V4883">
        <v>1</v>
      </c>
      <c r="W4883">
        <v>1</v>
      </c>
      <c r="X4883">
        <v>2</v>
      </c>
      <c r="Y4883">
        <v>0</v>
      </c>
      <c r="Z4883">
        <v>2</v>
      </c>
      <c r="AA4883">
        <v>169.06</v>
      </c>
      <c r="AB4883">
        <v>169.06</v>
      </c>
      <c r="AC4883">
        <v>148.75</v>
      </c>
      <c r="AD4883">
        <v>0</v>
      </c>
      <c r="AE4883">
        <v>20.309999999999999</v>
      </c>
      <c r="AF4883">
        <v>0</v>
      </c>
      <c r="AG4883">
        <v>0</v>
      </c>
      <c r="AH4883">
        <v>0</v>
      </c>
      <c r="AI4883">
        <v>30.43</v>
      </c>
      <c r="AJ4883">
        <v>169.06</v>
      </c>
      <c r="AK4883">
        <v>0</v>
      </c>
      <c r="AL4883" t="s">
        <v>53</v>
      </c>
      <c r="AM4883" t="s">
        <v>53</v>
      </c>
      <c r="AN4883" t="s">
        <v>53</v>
      </c>
      <c r="AO4883" t="s">
        <v>53</v>
      </c>
      <c r="AP4883" t="s">
        <v>53</v>
      </c>
    </row>
    <row r="4884" spans="2:42" x14ac:dyDescent="0.2">
      <c r="B4884" t="s">
        <v>44</v>
      </c>
      <c r="C4884" t="str">
        <f>HYPERLINK("https://us2.cloudbeds.com/connect/8493803454333002#/reservations/9080486846057969?display=2BZ3FX57FR&amp;reservation_id=9080486846057969", "2BZ3FX57FR")</f>
        <v>2BZ3FX57FR</v>
      </c>
      <c r="D4884" t="s">
        <v>45</v>
      </c>
      <c r="E4884" t="s">
        <v>78</v>
      </c>
      <c r="F4884" t="s">
        <v>61</v>
      </c>
      <c r="G4884" t="s">
        <v>48</v>
      </c>
      <c r="H4884" t="s">
        <v>49</v>
      </c>
      <c r="I4884" t="s">
        <v>50</v>
      </c>
      <c r="J4884" t="s">
        <v>4442</v>
      </c>
      <c r="K4884" t="s">
        <v>6487</v>
      </c>
      <c r="L4884" t="s">
        <v>53</v>
      </c>
      <c r="N4884" t="s">
        <v>8572</v>
      </c>
      <c r="P4884" t="s">
        <v>55</v>
      </c>
      <c r="R4884" t="s">
        <v>53</v>
      </c>
      <c r="T4884" t="s">
        <v>8573</v>
      </c>
      <c r="U4884" t="s">
        <v>58</v>
      </c>
      <c r="V4884">
        <v>1</v>
      </c>
      <c r="W4884">
        <v>1</v>
      </c>
      <c r="X4884">
        <v>1</v>
      </c>
      <c r="Y4884">
        <v>0</v>
      </c>
      <c r="Z4884">
        <v>1</v>
      </c>
      <c r="AA4884">
        <v>142.97</v>
      </c>
      <c r="AB4884">
        <v>142.97</v>
      </c>
      <c r="AC4884">
        <v>125.8</v>
      </c>
      <c r="AD4884">
        <v>0</v>
      </c>
      <c r="AE4884">
        <v>17.170000000000002</v>
      </c>
      <c r="AF4884">
        <v>0</v>
      </c>
      <c r="AG4884">
        <v>0</v>
      </c>
      <c r="AH4884">
        <v>0</v>
      </c>
      <c r="AI4884">
        <v>25.73</v>
      </c>
      <c r="AJ4884">
        <v>142.97</v>
      </c>
      <c r="AK4884">
        <v>0</v>
      </c>
      <c r="AL4884" t="s">
        <v>53</v>
      </c>
      <c r="AM4884" t="s">
        <v>53</v>
      </c>
      <c r="AN4884" t="s">
        <v>53</v>
      </c>
      <c r="AO4884" t="s">
        <v>53</v>
      </c>
      <c r="AP4884" t="s">
        <v>53</v>
      </c>
    </row>
    <row r="4885" spans="2:42" x14ac:dyDescent="0.2">
      <c r="B4885" t="s">
        <v>44</v>
      </c>
      <c r="C4885" t="str">
        <f>HYPERLINK("https://us2.cloudbeds.com/connect/8493803454333002#/reservations/9080486846057973?display=2BZ3D9GV9N&amp;reservation_id=9080486846057973", "2BZ3D9GV9N")</f>
        <v>2BZ3D9GV9N</v>
      </c>
      <c r="D4885" t="s">
        <v>45</v>
      </c>
      <c r="E4885" t="s">
        <v>113</v>
      </c>
      <c r="F4885" t="s">
        <v>61</v>
      </c>
      <c r="G4885" t="s">
        <v>48</v>
      </c>
      <c r="H4885" t="s">
        <v>49</v>
      </c>
      <c r="I4885" t="s">
        <v>50</v>
      </c>
      <c r="J4885" t="s">
        <v>6416</v>
      </c>
      <c r="K4885" t="s">
        <v>7402</v>
      </c>
      <c r="L4885" t="s">
        <v>53</v>
      </c>
      <c r="N4885" t="s">
        <v>8574</v>
      </c>
      <c r="P4885" t="s">
        <v>55</v>
      </c>
      <c r="R4885" t="s">
        <v>53</v>
      </c>
      <c r="T4885" t="s">
        <v>8575</v>
      </c>
      <c r="U4885" t="s">
        <v>58</v>
      </c>
      <c r="V4885">
        <v>1</v>
      </c>
      <c r="W4885">
        <v>1</v>
      </c>
      <c r="X4885">
        <v>1</v>
      </c>
      <c r="Y4885">
        <v>0</v>
      </c>
      <c r="Z4885">
        <v>1</v>
      </c>
      <c r="AA4885">
        <v>132.75</v>
      </c>
      <c r="AB4885">
        <v>132.75</v>
      </c>
      <c r="AC4885">
        <v>116.8</v>
      </c>
      <c r="AD4885">
        <v>0</v>
      </c>
      <c r="AE4885">
        <v>15.95</v>
      </c>
      <c r="AF4885">
        <v>0</v>
      </c>
      <c r="AG4885">
        <v>0</v>
      </c>
      <c r="AH4885">
        <v>0</v>
      </c>
      <c r="AI4885">
        <v>23.9</v>
      </c>
      <c r="AJ4885">
        <v>132.75</v>
      </c>
      <c r="AK4885">
        <v>0</v>
      </c>
      <c r="AL4885" t="s">
        <v>53</v>
      </c>
      <c r="AM4885" t="s">
        <v>53</v>
      </c>
      <c r="AN4885" t="s">
        <v>53</v>
      </c>
      <c r="AO4885" t="s">
        <v>53</v>
      </c>
      <c r="AP4885" t="s">
        <v>53</v>
      </c>
    </row>
    <row r="4886" spans="2:42" x14ac:dyDescent="0.2">
      <c r="B4886" t="s">
        <v>44</v>
      </c>
      <c r="C4886" t="str">
        <f>HYPERLINK("https://us2.cloudbeds.com/connect/8493803454333002#/reservations/9080486846057975?display=2BZ3RTWWV9&amp;reservation_id=9080486846057975", "2BZ3RTWWV9")</f>
        <v>2BZ3RTWWV9</v>
      </c>
      <c r="D4886" t="s">
        <v>45</v>
      </c>
      <c r="E4886" t="s">
        <v>190</v>
      </c>
      <c r="F4886" t="s">
        <v>61</v>
      </c>
      <c r="G4886" t="s">
        <v>48</v>
      </c>
      <c r="H4886" t="s">
        <v>49</v>
      </c>
      <c r="I4886" t="s">
        <v>50</v>
      </c>
      <c r="J4886" t="s">
        <v>6416</v>
      </c>
      <c r="K4886" t="s">
        <v>7402</v>
      </c>
      <c r="L4886" t="s">
        <v>53</v>
      </c>
      <c r="N4886" t="s">
        <v>8576</v>
      </c>
      <c r="P4886" t="s">
        <v>55</v>
      </c>
      <c r="R4886" t="s">
        <v>53</v>
      </c>
      <c r="T4886" t="s">
        <v>8577</v>
      </c>
      <c r="U4886" t="s">
        <v>58</v>
      </c>
      <c r="V4886">
        <v>1</v>
      </c>
      <c r="W4886">
        <v>1</v>
      </c>
      <c r="X4886">
        <v>2</v>
      </c>
      <c r="Y4886">
        <v>0</v>
      </c>
      <c r="Z4886">
        <v>2</v>
      </c>
      <c r="AA4886">
        <v>132.75</v>
      </c>
      <c r="AB4886">
        <v>132.75</v>
      </c>
      <c r="AC4886">
        <v>116.8</v>
      </c>
      <c r="AD4886">
        <v>0</v>
      </c>
      <c r="AE4886">
        <v>15.95</v>
      </c>
      <c r="AF4886">
        <v>0</v>
      </c>
      <c r="AG4886">
        <v>0</v>
      </c>
      <c r="AH4886">
        <v>0</v>
      </c>
      <c r="AI4886">
        <v>23.9</v>
      </c>
      <c r="AJ4886">
        <v>132.75</v>
      </c>
      <c r="AK4886">
        <v>0</v>
      </c>
      <c r="AL4886" t="s">
        <v>53</v>
      </c>
      <c r="AM4886" t="s">
        <v>53</v>
      </c>
      <c r="AN4886" t="s">
        <v>53</v>
      </c>
      <c r="AO4886" t="s">
        <v>53</v>
      </c>
      <c r="AP4886" t="s">
        <v>53</v>
      </c>
    </row>
    <row r="4887" spans="2:42" x14ac:dyDescent="0.2">
      <c r="B4887" t="s">
        <v>44</v>
      </c>
      <c r="C4887" t="str">
        <f>HYPERLINK("https://us2.cloudbeds.com/connect/8493803454333002#/reservations/9080486846057974?display=2BZ3QX9B3N&amp;reservation_id=9080486846057974", "2BZ3QX9B3N")</f>
        <v>2BZ3QX9B3N</v>
      </c>
      <c r="D4887" t="s">
        <v>45</v>
      </c>
      <c r="E4887" t="s">
        <v>78</v>
      </c>
      <c r="F4887" t="s">
        <v>61</v>
      </c>
      <c r="G4887" t="s">
        <v>48</v>
      </c>
      <c r="H4887" t="s">
        <v>49</v>
      </c>
      <c r="I4887" t="s">
        <v>50</v>
      </c>
      <c r="J4887" t="s">
        <v>6416</v>
      </c>
      <c r="K4887" t="s">
        <v>7402</v>
      </c>
      <c r="L4887" t="s">
        <v>53</v>
      </c>
      <c r="N4887" t="s">
        <v>8578</v>
      </c>
      <c r="P4887" t="s">
        <v>55</v>
      </c>
      <c r="R4887" t="s">
        <v>53</v>
      </c>
      <c r="T4887" t="s">
        <v>8579</v>
      </c>
      <c r="U4887" t="s">
        <v>58</v>
      </c>
      <c r="V4887">
        <v>1</v>
      </c>
      <c r="W4887">
        <v>1</v>
      </c>
      <c r="X4887">
        <v>1</v>
      </c>
      <c r="Y4887">
        <v>0</v>
      </c>
      <c r="Z4887">
        <v>1</v>
      </c>
      <c r="AA4887">
        <v>132.75</v>
      </c>
      <c r="AB4887">
        <v>132.75</v>
      </c>
      <c r="AC4887">
        <v>116.8</v>
      </c>
      <c r="AD4887">
        <v>0</v>
      </c>
      <c r="AE4887">
        <v>15.95</v>
      </c>
      <c r="AF4887">
        <v>0</v>
      </c>
      <c r="AG4887">
        <v>0</v>
      </c>
      <c r="AH4887">
        <v>0</v>
      </c>
      <c r="AI4887">
        <v>23.9</v>
      </c>
      <c r="AJ4887">
        <v>132.75</v>
      </c>
      <c r="AK4887">
        <v>0</v>
      </c>
      <c r="AL4887" t="s">
        <v>53</v>
      </c>
      <c r="AM4887" t="s">
        <v>53</v>
      </c>
      <c r="AN4887" t="s">
        <v>53</v>
      </c>
      <c r="AO4887" t="s">
        <v>53</v>
      </c>
      <c r="AP4887" t="s">
        <v>53</v>
      </c>
    </row>
    <row r="4888" spans="2:42" x14ac:dyDescent="0.2">
      <c r="B4888" t="s">
        <v>44</v>
      </c>
      <c r="C4888" t="str">
        <f>HYPERLINK("https://us2.cloudbeds.com/connect/8493803454333002#/reservations/9080486846058010?display=2BZ56GXFV7&amp;reservation_id=9080486846058010", "2BZ56GXFV7")</f>
        <v>2BZ56GXFV7</v>
      </c>
      <c r="D4888" t="s">
        <v>45</v>
      </c>
      <c r="E4888" t="s">
        <v>305</v>
      </c>
      <c r="F4888" t="s">
        <v>61</v>
      </c>
      <c r="G4888" t="s">
        <v>48</v>
      </c>
      <c r="H4888" t="s">
        <v>49</v>
      </c>
      <c r="I4888" t="s">
        <v>50</v>
      </c>
      <c r="J4888" t="s">
        <v>6417</v>
      </c>
      <c r="K4888" t="s">
        <v>6661</v>
      </c>
      <c r="L4888" t="s">
        <v>53</v>
      </c>
      <c r="N4888" t="s">
        <v>8580</v>
      </c>
      <c r="P4888" t="s">
        <v>55</v>
      </c>
      <c r="R4888" t="s">
        <v>53</v>
      </c>
      <c r="T4888" t="s">
        <v>8581</v>
      </c>
      <c r="U4888" t="s">
        <v>58</v>
      </c>
      <c r="V4888">
        <v>4</v>
      </c>
      <c r="W4888">
        <v>1</v>
      </c>
      <c r="X4888">
        <v>2</v>
      </c>
      <c r="Y4888">
        <v>0</v>
      </c>
      <c r="Z4888">
        <v>2</v>
      </c>
      <c r="AA4888">
        <v>675.32</v>
      </c>
      <c r="AB4888">
        <v>675.32</v>
      </c>
      <c r="AC4888">
        <v>594.21</v>
      </c>
      <c r="AD4888">
        <v>0</v>
      </c>
      <c r="AE4888">
        <v>81.11</v>
      </c>
      <c r="AF4888">
        <v>0</v>
      </c>
      <c r="AG4888">
        <v>0</v>
      </c>
      <c r="AH4888">
        <v>0</v>
      </c>
      <c r="AI4888">
        <v>121.56</v>
      </c>
      <c r="AJ4888">
        <v>675.32</v>
      </c>
      <c r="AK4888">
        <v>0</v>
      </c>
      <c r="AL4888" t="s">
        <v>53</v>
      </c>
      <c r="AM4888" t="s">
        <v>53</v>
      </c>
      <c r="AN4888" t="s">
        <v>53</v>
      </c>
      <c r="AO4888" t="s">
        <v>53</v>
      </c>
      <c r="AP4888" t="s">
        <v>53</v>
      </c>
    </row>
    <row r="4889" spans="2:42" x14ac:dyDescent="0.2">
      <c r="B4889" t="s">
        <v>44</v>
      </c>
      <c r="C4889" t="str">
        <f>HYPERLINK("https://us2.cloudbeds.com/connect/8493803454333002#/reservations/9080486846058569?display=2BZUUGXGDE&amp;reservation_id=9080486846058569", "2BZUUGXGDE")</f>
        <v>2BZUUGXGDE</v>
      </c>
      <c r="D4889" t="s">
        <v>45</v>
      </c>
      <c r="E4889" t="s">
        <v>155</v>
      </c>
      <c r="F4889" t="s">
        <v>86</v>
      </c>
      <c r="G4889" t="s">
        <v>48</v>
      </c>
      <c r="H4889" t="s">
        <v>49</v>
      </c>
      <c r="I4889" t="s">
        <v>50</v>
      </c>
      <c r="J4889" t="s">
        <v>6396</v>
      </c>
      <c r="K4889" t="s">
        <v>7152</v>
      </c>
      <c r="L4889" t="s">
        <v>53</v>
      </c>
      <c r="N4889" t="s">
        <v>8582</v>
      </c>
      <c r="P4889" t="s">
        <v>55</v>
      </c>
      <c r="R4889" t="s">
        <v>53</v>
      </c>
      <c r="T4889" t="s">
        <v>8583</v>
      </c>
      <c r="U4889" t="s">
        <v>58</v>
      </c>
      <c r="V4889">
        <v>2</v>
      </c>
      <c r="W4889">
        <v>1</v>
      </c>
      <c r="X4889">
        <v>2</v>
      </c>
      <c r="Y4889">
        <v>0</v>
      </c>
      <c r="Z4889">
        <v>2</v>
      </c>
      <c r="AA4889">
        <v>400.99</v>
      </c>
      <c r="AB4889">
        <v>400.99</v>
      </c>
      <c r="AC4889">
        <v>352.83</v>
      </c>
      <c r="AD4889">
        <v>0</v>
      </c>
      <c r="AE4889">
        <v>48.16</v>
      </c>
      <c r="AF4889">
        <v>0</v>
      </c>
      <c r="AG4889">
        <v>0</v>
      </c>
      <c r="AH4889">
        <v>0</v>
      </c>
      <c r="AI4889">
        <v>72.180000000000007</v>
      </c>
      <c r="AJ4889">
        <v>400.99</v>
      </c>
      <c r="AK4889">
        <v>0</v>
      </c>
      <c r="AL4889" t="s">
        <v>53</v>
      </c>
      <c r="AM4889" t="s">
        <v>53</v>
      </c>
      <c r="AN4889" t="s">
        <v>53</v>
      </c>
      <c r="AO4889" t="s">
        <v>53</v>
      </c>
      <c r="AP4889" t="s">
        <v>53</v>
      </c>
    </row>
    <row r="4890" spans="2:42" x14ac:dyDescent="0.2">
      <c r="B4890" t="s">
        <v>44</v>
      </c>
      <c r="C4890" t="str">
        <f>HYPERLINK("https://us2.cloudbeds.com/connect/8493803454333002#/reservations/9080486846058815?display=2BPE2B9KSP&amp;reservation_id=9080486846058815", "2BPE2B9KSP")</f>
        <v>2BPE2B9KSP</v>
      </c>
      <c r="D4890" t="s">
        <v>45</v>
      </c>
      <c r="E4890" t="s">
        <v>78</v>
      </c>
      <c r="F4890" t="s">
        <v>61</v>
      </c>
      <c r="G4890" t="s">
        <v>48</v>
      </c>
      <c r="H4890" t="s">
        <v>49</v>
      </c>
      <c r="I4890" t="s">
        <v>50</v>
      </c>
      <c r="J4890" t="s">
        <v>8133</v>
      </c>
      <c r="K4890" t="s">
        <v>8300</v>
      </c>
      <c r="L4890" t="s">
        <v>53</v>
      </c>
      <c r="N4890" t="s">
        <v>8584</v>
      </c>
      <c r="P4890" t="s">
        <v>55</v>
      </c>
      <c r="R4890" t="s">
        <v>53</v>
      </c>
      <c r="T4890" t="s">
        <v>8585</v>
      </c>
      <c r="U4890" t="s">
        <v>58</v>
      </c>
      <c r="V4890">
        <v>3</v>
      </c>
      <c r="W4890">
        <v>1</v>
      </c>
      <c r="X4890">
        <v>2</v>
      </c>
      <c r="Y4890">
        <v>0</v>
      </c>
      <c r="Z4890">
        <v>2</v>
      </c>
      <c r="AA4890">
        <v>580.11</v>
      </c>
      <c r="AB4890">
        <v>582.82000000000005</v>
      </c>
      <c r="AC4890">
        <v>510.43</v>
      </c>
      <c r="AD4890">
        <v>2.5</v>
      </c>
      <c r="AE4890">
        <v>69.89</v>
      </c>
      <c r="AF4890">
        <v>0</v>
      </c>
      <c r="AG4890">
        <v>0</v>
      </c>
      <c r="AH4890">
        <v>0</v>
      </c>
      <c r="AI4890">
        <v>104.91</v>
      </c>
      <c r="AJ4890">
        <v>582.82000000000005</v>
      </c>
      <c r="AK4890">
        <v>0</v>
      </c>
      <c r="AL4890" t="s">
        <v>53</v>
      </c>
      <c r="AM4890" t="s">
        <v>53</v>
      </c>
      <c r="AN4890" t="s">
        <v>53</v>
      </c>
      <c r="AO4890" t="s">
        <v>53</v>
      </c>
      <c r="AP4890" t="s">
        <v>53</v>
      </c>
    </row>
    <row r="4891" spans="2:42" x14ac:dyDescent="0.2">
      <c r="B4891" t="s">
        <v>44</v>
      </c>
      <c r="C4891" t="str">
        <f>HYPERLINK("https://us2.cloudbeds.com/connect/8493803454333002#/reservations/9080486846058894?display=2BPHSTHNWH&amp;reservation_id=9080486846058894", "2BPHSTHNWH")</f>
        <v>2BPHSTHNWH</v>
      </c>
      <c r="D4891" t="s">
        <v>45</v>
      </c>
      <c r="E4891" t="s">
        <v>381</v>
      </c>
      <c r="F4891" t="s">
        <v>47</v>
      </c>
      <c r="G4891" t="s">
        <v>48</v>
      </c>
      <c r="H4891" t="s">
        <v>49</v>
      </c>
      <c r="I4891" t="s">
        <v>50</v>
      </c>
      <c r="J4891" t="s">
        <v>6487</v>
      </c>
      <c r="K4891" t="s">
        <v>4443</v>
      </c>
      <c r="L4891" t="s">
        <v>53</v>
      </c>
      <c r="N4891" t="s">
        <v>8586</v>
      </c>
      <c r="P4891" t="s">
        <v>55</v>
      </c>
      <c r="R4891" t="s">
        <v>53</v>
      </c>
      <c r="T4891" t="s">
        <v>8587</v>
      </c>
      <c r="U4891" t="s">
        <v>58</v>
      </c>
      <c r="V4891">
        <v>1</v>
      </c>
      <c r="W4891">
        <v>1</v>
      </c>
      <c r="X4891">
        <v>1</v>
      </c>
      <c r="Y4891">
        <v>0</v>
      </c>
      <c r="Z4891">
        <v>1</v>
      </c>
      <c r="AA4891">
        <v>133.32</v>
      </c>
      <c r="AB4891">
        <v>133.32</v>
      </c>
      <c r="AC4891">
        <v>117.3</v>
      </c>
      <c r="AD4891">
        <v>0</v>
      </c>
      <c r="AE4891">
        <v>16.02</v>
      </c>
      <c r="AF4891">
        <v>0</v>
      </c>
      <c r="AG4891">
        <v>0</v>
      </c>
      <c r="AH4891">
        <v>0</v>
      </c>
      <c r="AI4891">
        <v>24</v>
      </c>
      <c r="AJ4891">
        <v>133.32</v>
      </c>
      <c r="AK4891">
        <v>0</v>
      </c>
      <c r="AL4891" t="s">
        <v>53</v>
      </c>
      <c r="AM4891" t="s">
        <v>53</v>
      </c>
      <c r="AN4891" t="s">
        <v>53</v>
      </c>
      <c r="AO4891" t="s">
        <v>53</v>
      </c>
      <c r="AP4891" t="s">
        <v>53</v>
      </c>
    </row>
    <row r="4892" spans="2:42" x14ac:dyDescent="0.2">
      <c r="B4892" t="s">
        <v>44</v>
      </c>
      <c r="C4892" t="str">
        <f>HYPERLINK("https://us2.cloudbeds.com/connect/8493803454333002#/reservations/9080486846059230?display=2BQ31C7W8D&amp;reservation_id=9080486846059230", "2BQ31C7W8D")</f>
        <v>2BQ31C7W8D</v>
      </c>
      <c r="D4892" t="s">
        <v>45</v>
      </c>
      <c r="E4892" t="s">
        <v>46</v>
      </c>
      <c r="F4892" t="s">
        <v>47</v>
      </c>
      <c r="G4892" t="s">
        <v>48</v>
      </c>
      <c r="H4892" t="s">
        <v>49</v>
      </c>
      <c r="I4892" t="s">
        <v>50</v>
      </c>
      <c r="J4892" t="s">
        <v>7486</v>
      </c>
      <c r="K4892" t="s">
        <v>7376</v>
      </c>
      <c r="L4892" t="s">
        <v>53</v>
      </c>
      <c r="N4892" t="s">
        <v>8588</v>
      </c>
      <c r="P4892" t="s">
        <v>55</v>
      </c>
      <c r="R4892" t="s">
        <v>53</v>
      </c>
      <c r="T4892" t="s">
        <v>8589</v>
      </c>
      <c r="U4892" t="s">
        <v>58</v>
      </c>
      <c r="V4892">
        <v>4</v>
      </c>
      <c r="W4892">
        <v>1</v>
      </c>
      <c r="X4892">
        <v>1</v>
      </c>
      <c r="Y4892">
        <v>0</v>
      </c>
      <c r="Z4892">
        <v>1</v>
      </c>
      <c r="AA4892">
        <v>659.78</v>
      </c>
      <c r="AB4892">
        <v>659.78</v>
      </c>
      <c r="AC4892">
        <v>580.53</v>
      </c>
      <c r="AD4892">
        <v>0</v>
      </c>
      <c r="AE4892">
        <v>79.25</v>
      </c>
      <c r="AF4892">
        <v>0</v>
      </c>
      <c r="AG4892">
        <v>0</v>
      </c>
      <c r="AH4892">
        <v>0</v>
      </c>
      <c r="AI4892">
        <v>118.76</v>
      </c>
      <c r="AJ4892">
        <v>659.78</v>
      </c>
      <c r="AK4892">
        <v>0</v>
      </c>
      <c r="AL4892" t="s">
        <v>53</v>
      </c>
      <c r="AM4892" t="s">
        <v>53</v>
      </c>
      <c r="AN4892" t="s">
        <v>53</v>
      </c>
      <c r="AO4892" t="s">
        <v>53</v>
      </c>
      <c r="AP4892" t="s">
        <v>53</v>
      </c>
    </row>
    <row r="4893" spans="2:42" x14ac:dyDescent="0.2">
      <c r="B4893" t="s">
        <v>44</v>
      </c>
      <c r="C4893" t="str">
        <f>HYPERLINK("https://us2.cloudbeds.com/connect/8493803454333002#/reservations/9080486846059235?display=2BQ3E7B7TW&amp;reservation_id=9080486846059235", "2BQ3E7B7TW")</f>
        <v>2BQ3E7B7TW</v>
      </c>
      <c r="D4893" t="s">
        <v>45</v>
      </c>
      <c r="E4893" t="s">
        <v>265</v>
      </c>
      <c r="F4893" t="s">
        <v>61</v>
      </c>
      <c r="G4893" t="s">
        <v>48</v>
      </c>
      <c r="H4893" t="s">
        <v>49</v>
      </c>
      <c r="I4893" t="s">
        <v>50</v>
      </c>
      <c r="J4893" t="s">
        <v>7394</v>
      </c>
      <c r="K4893" t="s">
        <v>6661</v>
      </c>
      <c r="L4893" t="s">
        <v>53</v>
      </c>
      <c r="N4893" t="s">
        <v>8590</v>
      </c>
      <c r="P4893" t="s">
        <v>55</v>
      </c>
      <c r="R4893" t="s">
        <v>53</v>
      </c>
      <c r="T4893" t="s">
        <v>8591</v>
      </c>
      <c r="U4893" t="s">
        <v>58</v>
      </c>
      <c r="V4893">
        <v>2</v>
      </c>
      <c r="W4893">
        <v>1</v>
      </c>
      <c r="X4893">
        <v>1</v>
      </c>
      <c r="Y4893">
        <v>0</v>
      </c>
      <c r="Z4893">
        <v>1</v>
      </c>
      <c r="AA4893">
        <v>382.84</v>
      </c>
      <c r="AB4893">
        <v>389.89</v>
      </c>
      <c r="AC4893">
        <v>336.86</v>
      </c>
      <c r="AD4893">
        <v>6.5</v>
      </c>
      <c r="AE4893">
        <v>46.53</v>
      </c>
      <c r="AF4893">
        <v>0</v>
      </c>
      <c r="AG4893">
        <v>0</v>
      </c>
      <c r="AH4893">
        <v>0</v>
      </c>
      <c r="AI4893">
        <v>70.180000000000007</v>
      </c>
      <c r="AJ4893">
        <v>389.89</v>
      </c>
      <c r="AK4893">
        <v>0</v>
      </c>
      <c r="AL4893" t="s">
        <v>53</v>
      </c>
      <c r="AM4893" t="s">
        <v>53</v>
      </c>
      <c r="AN4893" t="s">
        <v>53</v>
      </c>
      <c r="AO4893" t="s">
        <v>53</v>
      </c>
      <c r="AP4893" t="s">
        <v>53</v>
      </c>
    </row>
    <row r="4894" spans="2:42" x14ac:dyDescent="0.2">
      <c r="B4894" t="s">
        <v>44</v>
      </c>
      <c r="C4894" t="str">
        <f>HYPERLINK("https://us2.cloudbeds.com/connect/8493803454333002#/reservations/9080486846059976?display=2BRHDYYF2B&amp;reservation_id=9080486846059976", "2BRHDYYF2B")</f>
        <v>2BRHDYYF2B</v>
      </c>
      <c r="D4894" t="s">
        <v>45</v>
      </c>
      <c r="E4894" t="s">
        <v>128</v>
      </c>
      <c r="F4894" t="s">
        <v>86</v>
      </c>
      <c r="G4894" t="s">
        <v>48</v>
      </c>
      <c r="H4894" t="s">
        <v>49</v>
      </c>
      <c r="I4894" t="s">
        <v>62</v>
      </c>
      <c r="J4894" t="s">
        <v>6487</v>
      </c>
      <c r="K4894" t="s">
        <v>4443</v>
      </c>
      <c r="L4894" t="s">
        <v>53</v>
      </c>
      <c r="N4894" t="s">
        <v>8592</v>
      </c>
      <c r="P4894" t="s">
        <v>55</v>
      </c>
      <c r="R4894" t="s">
        <v>56</v>
      </c>
      <c r="T4894" t="s">
        <v>8593</v>
      </c>
      <c r="U4894" t="s">
        <v>55</v>
      </c>
      <c r="V4894">
        <v>1</v>
      </c>
      <c r="W4894">
        <v>1</v>
      </c>
      <c r="X4894">
        <v>2</v>
      </c>
      <c r="Y4894">
        <v>0</v>
      </c>
      <c r="Z4894">
        <v>2</v>
      </c>
      <c r="AA4894">
        <v>162</v>
      </c>
      <c r="AB4894">
        <v>162</v>
      </c>
      <c r="AC4894">
        <v>162</v>
      </c>
      <c r="AD4894">
        <v>0</v>
      </c>
      <c r="AE4894">
        <v>0</v>
      </c>
      <c r="AF4894">
        <v>0</v>
      </c>
      <c r="AG4894">
        <v>0</v>
      </c>
      <c r="AH4894">
        <v>0</v>
      </c>
      <c r="AI4894">
        <v>29.16</v>
      </c>
      <c r="AJ4894">
        <v>162</v>
      </c>
      <c r="AK4894">
        <v>0</v>
      </c>
      <c r="AL4894" t="s">
        <v>53</v>
      </c>
      <c r="AM4894" t="s">
        <v>53</v>
      </c>
      <c r="AN4894" t="s">
        <v>53</v>
      </c>
      <c r="AO4894" t="s">
        <v>53</v>
      </c>
      <c r="AP4894" t="s">
        <v>53</v>
      </c>
    </row>
    <row r="4895" spans="2:42" x14ac:dyDescent="0.2">
      <c r="B4895" t="s">
        <v>44</v>
      </c>
      <c r="C4895" t="str">
        <f>HYPERLINK("https://us2.cloudbeds.com/connect/8493803454333002#/reservations/9080486846062153?display=2BV167DXKD&amp;reservation_id=9080486846062153", "2BV167DXKD")</f>
        <v>2BV167DXKD</v>
      </c>
      <c r="D4895" t="s">
        <v>45</v>
      </c>
      <c r="E4895" t="s">
        <v>110</v>
      </c>
      <c r="F4895" t="s">
        <v>47</v>
      </c>
      <c r="G4895" t="s">
        <v>48</v>
      </c>
      <c r="H4895" t="s">
        <v>49</v>
      </c>
      <c r="I4895" t="s">
        <v>50</v>
      </c>
      <c r="J4895" t="s">
        <v>7905</v>
      </c>
      <c r="K4895" t="s">
        <v>8594</v>
      </c>
      <c r="L4895" t="s">
        <v>53</v>
      </c>
      <c r="N4895" t="s">
        <v>8595</v>
      </c>
      <c r="P4895" t="s">
        <v>55</v>
      </c>
      <c r="R4895" t="s">
        <v>53</v>
      </c>
      <c r="T4895" t="s">
        <v>8596</v>
      </c>
      <c r="U4895" t="s">
        <v>58</v>
      </c>
      <c r="V4895">
        <v>2</v>
      </c>
      <c r="W4895">
        <v>1</v>
      </c>
      <c r="X4895">
        <v>2</v>
      </c>
      <c r="Y4895">
        <v>0</v>
      </c>
      <c r="Z4895">
        <v>2</v>
      </c>
      <c r="AA4895">
        <v>360.04</v>
      </c>
      <c r="AB4895">
        <v>360.04</v>
      </c>
      <c r="AC4895">
        <v>316.8</v>
      </c>
      <c r="AD4895">
        <v>0</v>
      </c>
      <c r="AE4895">
        <v>43.24</v>
      </c>
      <c r="AF4895">
        <v>0</v>
      </c>
      <c r="AG4895">
        <v>0</v>
      </c>
      <c r="AH4895">
        <v>0</v>
      </c>
      <c r="AI4895">
        <v>64.81</v>
      </c>
      <c r="AJ4895">
        <v>360.04</v>
      </c>
      <c r="AK4895">
        <v>0</v>
      </c>
      <c r="AL4895" t="s">
        <v>53</v>
      </c>
      <c r="AM4895" t="s">
        <v>53</v>
      </c>
      <c r="AN4895" t="s">
        <v>53</v>
      </c>
      <c r="AO4895" t="s">
        <v>53</v>
      </c>
      <c r="AP4895" t="s">
        <v>53</v>
      </c>
    </row>
    <row r="4896" spans="2:42" x14ac:dyDescent="0.2">
      <c r="B4896" t="s">
        <v>44</v>
      </c>
      <c r="C4896" t="str">
        <f>HYPERLINK("https://us2.cloudbeds.com/connect/8493803454333002#/reservations/9080486846062174?display=2BV1RQX69G&amp;reservation_id=9080486846062174", "2BV1RQX69G")</f>
        <v>2BV1RQX69G</v>
      </c>
      <c r="D4896" t="s">
        <v>45</v>
      </c>
      <c r="E4896" t="s">
        <v>179</v>
      </c>
      <c r="F4896" t="s">
        <v>47</v>
      </c>
      <c r="G4896" t="s">
        <v>48</v>
      </c>
      <c r="H4896" t="s">
        <v>49</v>
      </c>
      <c r="I4896" t="s">
        <v>50</v>
      </c>
      <c r="J4896" t="s">
        <v>7559</v>
      </c>
      <c r="K4896" t="s">
        <v>7595</v>
      </c>
      <c r="L4896" t="s">
        <v>53</v>
      </c>
      <c r="N4896" t="s">
        <v>8597</v>
      </c>
      <c r="P4896" t="s">
        <v>55</v>
      </c>
      <c r="R4896" t="s">
        <v>53</v>
      </c>
      <c r="T4896" t="s">
        <v>8598</v>
      </c>
      <c r="U4896" t="s">
        <v>58</v>
      </c>
      <c r="V4896">
        <v>2</v>
      </c>
      <c r="W4896">
        <v>1</v>
      </c>
      <c r="X4896">
        <v>1</v>
      </c>
      <c r="Y4896">
        <v>0</v>
      </c>
      <c r="Z4896">
        <v>1</v>
      </c>
      <c r="AA4896">
        <v>277.89999999999998</v>
      </c>
      <c r="AB4896">
        <v>277.89999999999998</v>
      </c>
      <c r="AC4896">
        <v>244.52</v>
      </c>
      <c r="AD4896">
        <v>0</v>
      </c>
      <c r="AE4896">
        <v>33.380000000000003</v>
      </c>
      <c r="AF4896">
        <v>0</v>
      </c>
      <c r="AG4896">
        <v>0</v>
      </c>
      <c r="AH4896">
        <v>0</v>
      </c>
      <c r="AI4896">
        <v>50.02</v>
      </c>
      <c r="AJ4896">
        <v>277.89999999999998</v>
      </c>
      <c r="AK4896">
        <v>0</v>
      </c>
      <c r="AL4896" t="s">
        <v>53</v>
      </c>
      <c r="AM4896" t="s">
        <v>53</v>
      </c>
      <c r="AN4896" t="s">
        <v>53</v>
      </c>
      <c r="AO4896" t="s">
        <v>53</v>
      </c>
      <c r="AP4896" t="s">
        <v>53</v>
      </c>
    </row>
    <row r="4897" spans="2:42" x14ac:dyDescent="0.2">
      <c r="B4897" t="s">
        <v>44</v>
      </c>
      <c r="C4897" t="str">
        <f>HYPERLINK("https://us2.cloudbeds.com/connect/8493803454333002#/reservations/9080486846062317?display=2BV779K4BX&amp;reservation_id=9080486846062317", "2BV779K4BX")</f>
        <v>2BV779K4BX</v>
      </c>
      <c r="D4897" t="s">
        <v>45</v>
      </c>
      <c r="E4897" t="s">
        <v>105</v>
      </c>
      <c r="F4897" t="s">
        <v>47</v>
      </c>
      <c r="G4897" t="s">
        <v>48</v>
      </c>
      <c r="H4897" t="s">
        <v>49</v>
      </c>
      <c r="I4897" t="s">
        <v>50</v>
      </c>
      <c r="J4897" t="s">
        <v>6488</v>
      </c>
      <c r="K4897" t="s">
        <v>6274</v>
      </c>
      <c r="L4897" t="s">
        <v>53</v>
      </c>
      <c r="N4897" t="s">
        <v>8599</v>
      </c>
      <c r="P4897" t="s">
        <v>55</v>
      </c>
      <c r="R4897" t="s">
        <v>53</v>
      </c>
      <c r="T4897" t="s">
        <v>8600</v>
      </c>
      <c r="U4897" t="s">
        <v>58</v>
      </c>
      <c r="V4897">
        <v>1</v>
      </c>
      <c r="W4897">
        <v>1</v>
      </c>
      <c r="X4897">
        <v>2</v>
      </c>
      <c r="Y4897">
        <v>0</v>
      </c>
      <c r="Z4897">
        <v>2</v>
      </c>
      <c r="AA4897">
        <v>175.94</v>
      </c>
      <c r="AB4897">
        <v>175.94</v>
      </c>
      <c r="AC4897">
        <v>154.80000000000001</v>
      </c>
      <c r="AD4897">
        <v>0</v>
      </c>
      <c r="AE4897">
        <v>21.14</v>
      </c>
      <c r="AF4897">
        <v>0</v>
      </c>
      <c r="AG4897">
        <v>0</v>
      </c>
      <c r="AH4897">
        <v>0</v>
      </c>
      <c r="AI4897">
        <v>31.67</v>
      </c>
      <c r="AJ4897">
        <v>175.94</v>
      </c>
      <c r="AK4897">
        <v>0</v>
      </c>
      <c r="AL4897" t="s">
        <v>53</v>
      </c>
      <c r="AM4897" t="s">
        <v>53</v>
      </c>
      <c r="AN4897" t="s">
        <v>53</v>
      </c>
      <c r="AO4897" t="s">
        <v>53</v>
      </c>
      <c r="AP4897" t="s">
        <v>53</v>
      </c>
    </row>
    <row r="4898" spans="2:42" x14ac:dyDescent="0.2">
      <c r="B4898" t="s">
        <v>44</v>
      </c>
      <c r="C4898" t="str">
        <f>HYPERLINK("https://us2.cloudbeds.com/connect/8493803454333002#/reservations/9080486846062564?display=2BVGV3ZFGB&amp;reservation_id=9080486846062564", "2BVGV3ZFGB")</f>
        <v>2BVGV3ZFGB</v>
      </c>
      <c r="D4898" t="s">
        <v>45</v>
      </c>
      <c r="E4898" t="s">
        <v>373</v>
      </c>
      <c r="F4898" t="s">
        <v>47</v>
      </c>
      <c r="G4898" t="s">
        <v>48</v>
      </c>
      <c r="H4898" t="s">
        <v>49</v>
      </c>
      <c r="I4898" t="s">
        <v>50</v>
      </c>
      <c r="J4898" t="s">
        <v>7486</v>
      </c>
      <c r="K4898" t="s">
        <v>7376</v>
      </c>
      <c r="L4898" t="s">
        <v>53</v>
      </c>
      <c r="N4898" t="s">
        <v>8601</v>
      </c>
      <c r="P4898" t="s">
        <v>55</v>
      </c>
      <c r="R4898" t="s">
        <v>53</v>
      </c>
      <c r="T4898" t="s">
        <v>8602</v>
      </c>
      <c r="U4898" t="s">
        <v>58</v>
      </c>
      <c r="V4898">
        <v>4</v>
      </c>
      <c r="W4898">
        <v>1</v>
      </c>
      <c r="X4898">
        <v>1</v>
      </c>
      <c r="Y4898">
        <v>0</v>
      </c>
      <c r="Z4898">
        <v>1</v>
      </c>
      <c r="AA4898">
        <v>686.99</v>
      </c>
      <c r="AB4898">
        <v>686.99</v>
      </c>
      <c r="AC4898">
        <v>604.47</v>
      </c>
      <c r="AD4898">
        <v>0</v>
      </c>
      <c r="AE4898">
        <v>82.52</v>
      </c>
      <c r="AF4898">
        <v>0</v>
      </c>
      <c r="AG4898">
        <v>0</v>
      </c>
      <c r="AH4898">
        <v>0</v>
      </c>
      <c r="AI4898">
        <v>123.66</v>
      </c>
      <c r="AJ4898">
        <v>686.99</v>
      </c>
      <c r="AK4898">
        <v>0</v>
      </c>
      <c r="AL4898" t="s">
        <v>53</v>
      </c>
      <c r="AM4898" t="s">
        <v>53</v>
      </c>
      <c r="AN4898" t="s">
        <v>53</v>
      </c>
      <c r="AO4898" t="s">
        <v>53</v>
      </c>
      <c r="AP4898" t="s">
        <v>53</v>
      </c>
    </row>
    <row r="4899" spans="2:42" x14ac:dyDescent="0.2">
      <c r="B4899" t="s">
        <v>44</v>
      </c>
      <c r="C4899" t="str">
        <f>HYPERLINK("https://us2.cloudbeds.com/connect/8493803454333002#/reservations/9080486846063291?display=2BWCJVJ1Z2&amp;reservation_id=9080486846063291", "2BWCJVJ1Z2")</f>
        <v>2BWCJVJ1Z2</v>
      </c>
      <c r="D4899" t="s">
        <v>45</v>
      </c>
      <c r="E4899" t="s">
        <v>406</v>
      </c>
      <c r="F4899" t="s">
        <v>61</v>
      </c>
      <c r="G4899" t="s">
        <v>48</v>
      </c>
      <c r="H4899" t="s">
        <v>49</v>
      </c>
      <c r="I4899" t="s">
        <v>50</v>
      </c>
      <c r="J4899" t="s">
        <v>7822</v>
      </c>
      <c r="K4899" t="s">
        <v>8143</v>
      </c>
      <c r="L4899" t="s">
        <v>53</v>
      </c>
      <c r="N4899" t="s">
        <v>8603</v>
      </c>
      <c r="P4899" t="s">
        <v>55</v>
      </c>
      <c r="R4899" t="s">
        <v>53</v>
      </c>
      <c r="T4899" t="s">
        <v>8604</v>
      </c>
      <c r="U4899" t="s">
        <v>58</v>
      </c>
      <c r="V4899">
        <v>1</v>
      </c>
      <c r="W4899">
        <v>1</v>
      </c>
      <c r="X4899">
        <v>2</v>
      </c>
      <c r="Y4899">
        <v>0</v>
      </c>
      <c r="Z4899">
        <v>2</v>
      </c>
      <c r="AA4899">
        <v>182.75</v>
      </c>
      <c r="AB4899">
        <v>182.75</v>
      </c>
      <c r="AC4899">
        <v>160.80000000000001</v>
      </c>
      <c r="AD4899">
        <v>0</v>
      </c>
      <c r="AE4899">
        <v>21.95</v>
      </c>
      <c r="AF4899">
        <v>0</v>
      </c>
      <c r="AG4899">
        <v>0</v>
      </c>
      <c r="AH4899">
        <v>0</v>
      </c>
      <c r="AI4899">
        <v>32.9</v>
      </c>
      <c r="AJ4899">
        <v>182.75</v>
      </c>
      <c r="AK4899">
        <v>0</v>
      </c>
      <c r="AL4899" t="s">
        <v>53</v>
      </c>
      <c r="AM4899" t="s">
        <v>53</v>
      </c>
      <c r="AN4899" t="s">
        <v>53</v>
      </c>
      <c r="AO4899" t="s">
        <v>53</v>
      </c>
      <c r="AP4899" t="s">
        <v>53</v>
      </c>
    </row>
    <row r="4900" spans="2:42" x14ac:dyDescent="0.2">
      <c r="B4900" t="s">
        <v>44</v>
      </c>
      <c r="C4900" t="str">
        <f>HYPERLINK("https://us2.cloudbeds.com/connect/8493803454333002#/reservations/9080486846063322?display=2BWE2AA867&amp;reservation_id=9080486846063322", "2BWE2AA867")</f>
        <v>2BWE2AA867</v>
      </c>
      <c r="D4900" t="s">
        <v>45</v>
      </c>
      <c r="E4900" t="s">
        <v>185</v>
      </c>
      <c r="F4900" t="s">
        <v>47</v>
      </c>
      <c r="G4900" t="s">
        <v>48</v>
      </c>
      <c r="H4900" t="s">
        <v>49</v>
      </c>
      <c r="I4900" t="s">
        <v>50</v>
      </c>
      <c r="J4900" t="s">
        <v>7402</v>
      </c>
      <c r="K4900" t="s">
        <v>7486</v>
      </c>
      <c r="L4900" t="s">
        <v>53</v>
      </c>
      <c r="N4900" t="s">
        <v>8605</v>
      </c>
      <c r="P4900" t="s">
        <v>55</v>
      </c>
      <c r="R4900" t="s">
        <v>53</v>
      </c>
      <c r="T4900" t="s">
        <v>8606</v>
      </c>
      <c r="U4900" t="s">
        <v>58</v>
      </c>
      <c r="V4900">
        <v>2</v>
      </c>
      <c r="W4900">
        <v>1</v>
      </c>
      <c r="X4900">
        <v>2</v>
      </c>
      <c r="Y4900">
        <v>0</v>
      </c>
      <c r="Z4900">
        <v>2</v>
      </c>
      <c r="AA4900">
        <v>277.2</v>
      </c>
      <c r="AB4900">
        <v>277.2</v>
      </c>
      <c r="AC4900">
        <v>243.9</v>
      </c>
      <c r="AD4900">
        <v>0</v>
      </c>
      <c r="AE4900">
        <v>33.299999999999997</v>
      </c>
      <c r="AF4900">
        <v>0</v>
      </c>
      <c r="AG4900">
        <v>0</v>
      </c>
      <c r="AH4900">
        <v>0</v>
      </c>
      <c r="AI4900">
        <v>49.9</v>
      </c>
      <c r="AJ4900">
        <v>277.2</v>
      </c>
      <c r="AK4900">
        <v>0</v>
      </c>
      <c r="AL4900" t="s">
        <v>53</v>
      </c>
      <c r="AM4900" t="s">
        <v>53</v>
      </c>
      <c r="AN4900" t="s">
        <v>53</v>
      </c>
      <c r="AO4900" t="s">
        <v>53</v>
      </c>
      <c r="AP4900" t="s">
        <v>53</v>
      </c>
    </row>
    <row r="4901" spans="2:42" x14ac:dyDescent="0.2">
      <c r="B4901" t="s">
        <v>44</v>
      </c>
      <c r="C4901" t="str">
        <f>HYPERLINK("https://us2.cloudbeds.com/connect/8493803454333002#/reservations/9080486846064403?display=2C153Q3J5S&amp;reservation_id=9080486846064403", "2C153Q3J5S")</f>
        <v>2C153Q3J5S</v>
      </c>
      <c r="D4901" t="s">
        <v>45</v>
      </c>
      <c r="E4901" t="s">
        <v>128</v>
      </c>
      <c r="F4901" t="s">
        <v>86</v>
      </c>
      <c r="G4901" t="s">
        <v>48</v>
      </c>
      <c r="H4901" t="s">
        <v>49</v>
      </c>
      <c r="I4901" t="s">
        <v>50</v>
      </c>
      <c r="J4901" t="s">
        <v>6662</v>
      </c>
      <c r="K4901" t="s">
        <v>7595</v>
      </c>
      <c r="L4901" t="s">
        <v>53</v>
      </c>
      <c r="N4901" t="s">
        <v>8607</v>
      </c>
      <c r="P4901" t="s">
        <v>55</v>
      </c>
      <c r="R4901" t="s">
        <v>53</v>
      </c>
      <c r="T4901" t="s">
        <v>8608</v>
      </c>
      <c r="U4901" t="s">
        <v>58</v>
      </c>
      <c r="V4901">
        <v>1</v>
      </c>
      <c r="W4901">
        <v>1</v>
      </c>
      <c r="X4901">
        <v>2</v>
      </c>
      <c r="Y4901">
        <v>2</v>
      </c>
      <c r="Z4901">
        <v>4</v>
      </c>
      <c r="AA4901">
        <v>166.16</v>
      </c>
      <c r="AB4901">
        <v>176.47</v>
      </c>
      <c r="AC4901">
        <v>146.19999999999999</v>
      </c>
      <c r="AD4901">
        <v>9.5</v>
      </c>
      <c r="AE4901">
        <v>20.77</v>
      </c>
      <c r="AF4901">
        <v>0</v>
      </c>
      <c r="AG4901">
        <v>0</v>
      </c>
      <c r="AH4901">
        <v>0</v>
      </c>
      <c r="AI4901">
        <v>31.76</v>
      </c>
      <c r="AJ4901">
        <v>176.47</v>
      </c>
      <c r="AK4901">
        <v>0</v>
      </c>
      <c r="AL4901" t="s">
        <v>53</v>
      </c>
      <c r="AM4901" t="s">
        <v>53</v>
      </c>
      <c r="AN4901" t="s">
        <v>53</v>
      </c>
      <c r="AO4901" t="s">
        <v>53</v>
      </c>
      <c r="AP4901" t="s">
        <v>53</v>
      </c>
    </row>
    <row r="4902" spans="2:42" x14ac:dyDescent="0.2">
      <c r="B4902" t="s">
        <v>44</v>
      </c>
      <c r="C4902" t="str">
        <f>HYPERLINK("https://us2.cloudbeds.com/connect/8493803454333002#/reservations/9080486846064405?display=2C153WKHV2&amp;reservation_id=9080486846064405", "2C153WKHV2")</f>
        <v>2C153WKHV2</v>
      </c>
      <c r="D4902" t="s">
        <v>45</v>
      </c>
      <c r="E4902" t="s">
        <v>85</v>
      </c>
      <c r="F4902" t="s">
        <v>86</v>
      </c>
      <c r="G4902" t="s">
        <v>48</v>
      </c>
      <c r="H4902" t="s">
        <v>49</v>
      </c>
      <c r="I4902" t="s">
        <v>50</v>
      </c>
      <c r="J4902" t="s">
        <v>6662</v>
      </c>
      <c r="K4902" t="s">
        <v>7595</v>
      </c>
      <c r="L4902" t="s">
        <v>53</v>
      </c>
      <c r="N4902" t="s">
        <v>8609</v>
      </c>
      <c r="P4902" t="s">
        <v>55</v>
      </c>
      <c r="R4902" t="s">
        <v>53</v>
      </c>
      <c r="T4902" t="s">
        <v>8610</v>
      </c>
      <c r="U4902" t="s">
        <v>58</v>
      </c>
      <c r="V4902">
        <v>1</v>
      </c>
      <c r="W4902">
        <v>1</v>
      </c>
      <c r="X4902">
        <v>1</v>
      </c>
      <c r="Y4902">
        <v>0</v>
      </c>
      <c r="Z4902">
        <v>1</v>
      </c>
      <c r="AA4902">
        <v>166.16</v>
      </c>
      <c r="AB4902">
        <v>166.16</v>
      </c>
      <c r="AC4902">
        <v>146.19999999999999</v>
      </c>
      <c r="AD4902">
        <v>0</v>
      </c>
      <c r="AE4902">
        <v>19.96</v>
      </c>
      <c r="AF4902">
        <v>0</v>
      </c>
      <c r="AG4902">
        <v>0</v>
      </c>
      <c r="AH4902">
        <v>0</v>
      </c>
      <c r="AI4902">
        <v>29.91</v>
      </c>
      <c r="AJ4902">
        <v>166.16</v>
      </c>
      <c r="AK4902">
        <v>0</v>
      </c>
      <c r="AL4902" t="s">
        <v>53</v>
      </c>
      <c r="AM4902" t="s">
        <v>53</v>
      </c>
      <c r="AN4902" t="s">
        <v>53</v>
      </c>
      <c r="AO4902" t="s">
        <v>53</v>
      </c>
      <c r="AP4902" t="s">
        <v>53</v>
      </c>
    </row>
    <row r="4903" spans="2:42" x14ac:dyDescent="0.2">
      <c r="B4903" t="s">
        <v>44</v>
      </c>
      <c r="C4903" t="str">
        <f>HYPERLINK("https://us2.cloudbeds.com/connect/8493803454333002#/reservations/9080486846064612?display=2C1GMJBZUA&amp;reservation_id=9080486846064612", "2C1GMJBZUA")</f>
        <v>2C1GMJBZUA</v>
      </c>
      <c r="D4903" t="s">
        <v>45</v>
      </c>
      <c r="E4903" t="s">
        <v>179</v>
      </c>
      <c r="F4903" t="s">
        <v>47</v>
      </c>
      <c r="G4903" t="s">
        <v>48</v>
      </c>
      <c r="H4903" t="s">
        <v>49</v>
      </c>
      <c r="I4903" t="s">
        <v>50</v>
      </c>
      <c r="J4903" t="s">
        <v>7861</v>
      </c>
      <c r="K4903" t="s">
        <v>5594</v>
      </c>
      <c r="L4903" t="s">
        <v>53</v>
      </c>
      <c r="N4903" t="s">
        <v>8611</v>
      </c>
      <c r="P4903" t="s">
        <v>55</v>
      </c>
      <c r="R4903" t="s">
        <v>53</v>
      </c>
      <c r="T4903" t="s">
        <v>8612</v>
      </c>
      <c r="U4903" t="s">
        <v>58</v>
      </c>
      <c r="V4903">
        <v>3</v>
      </c>
      <c r="W4903">
        <v>1</v>
      </c>
      <c r="X4903">
        <v>2</v>
      </c>
      <c r="Y4903">
        <v>0</v>
      </c>
      <c r="Z4903">
        <v>2</v>
      </c>
      <c r="AA4903">
        <v>513</v>
      </c>
      <c r="AB4903">
        <v>513</v>
      </c>
      <c r="AC4903">
        <v>451.38</v>
      </c>
      <c r="AD4903">
        <v>0</v>
      </c>
      <c r="AE4903">
        <v>61.62</v>
      </c>
      <c r="AF4903">
        <v>0</v>
      </c>
      <c r="AG4903">
        <v>0</v>
      </c>
      <c r="AH4903">
        <v>0</v>
      </c>
      <c r="AI4903">
        <v>92.34</v>
      </c>
      <c r="AJ4903">
        <v>513</v>
      </c>
      <c r="AK4903">
        <v>0</v>
      </c>
      <c r="AL4903" t="s">
        <v>53</v>
      </c>
      <c r="AM4903" t="s">
        <v>53</v>
      </c>
      <c r="AN4903" t="s">
        <v>53</v>
      </c>
      <c r="AO4903" t="s">
        <v>53</v>
      </c>
      <c r="AP4903" t="s">
        <v>53</v>
      </c>
    </row>
    <row r="4904" spans="2:42" x14ac:dyDescent="0.2">
      <c r="B4904" t="s">
        <v>44</v>
      </c>
      <c r="C4904" t="str">
        <f>HYPERLINK("https://us2.cloudbeds.com/connect/8493803454333002#/reservations/9080486846065037?display=2C26N9R6CP&amp;reservation_id=9080486846065037", "2C26N9R6CP")</f>
        <v>2C26N9R6CP</v>
      </c>
      <c r="D4904" t="s">
        <v>45</v>
      </c>
      <c r="E4904" t="s">
        <v>113</v>
      </c>
      <c r="F4904" t="s">
        <v>61</v>
      </c>
      <c r="G4904" t="s">
        <v>48</v>
      </c>
      <c r="H4904" t="s">
        <v>49</v>
      </c>
      <c r="I4904" t="s">
        <v>50</v>
      </c>
      <c r="J4904" t="s">
        <v>7595</v>
      </c>
      <c r="K4904" t="s">
        <v>6943</v>
      </c>
      <c r="L4904" t="s">
        <v>53</v>
      </c>
      <c r="N4904" t="s">
        <v>8613</v>
      </c>
      <c r="P4904" t="s">
        <v>55</v>
      </c>
      <c r="R4904" t="s">
        <v>53</v>
      </c>
      <c r="T4904" t="s">
        <v>8614</v>
      </c>
      <c r="U4904" t="s">
        <v>58</v>
      </c>
      <c r="V4904">
        <v>1</v>
      </c>
      <c r="W4904">
        <v>1</v>
      </c>
      <c r="X4904">
        <v>2</v>
      </c>
      <c r="Y4904">
        <v>0</v>
      </c>
      <c r="Z4904">
        <v>2</v>
      </c>
      <c r="AA4904">
        <v>158.76</v>
      </c>
      <c r="AB4904">
        <v>158.76</v>
      </c>
      <c r="AC4904">
        <v>139.69999999999999</v>
      </c>
      <c r="AD4904">
        <v>0</v>
      </c>
      <c r="AE4904">
        <v>19.059999999999999</v>
      </c>
      <c r="AF4904">
        <v>0</v>
      </c>
      <c r="AG4904">
        <v>0</v>
      </c>
      <c r="AH4904">
        <v>0</v>
      </c>
      <c r="AI4904">
        <v>28.58</v>
      </c>
      <c r="AJ4904">
        <v>158.76</v>
      </c>
      <c r="AK4904">
        <v>0</v>
      </c>
      <c r="AL4904" t="s">
        <v>53</v>
      </c>
      <c r="AM4904" t="s">
        <v>53</v>
      </c>
      <c r="AN4904" t="s">
        <v>53</v>
      </c>
      <c r="AO4904" t="s">
        <v>53</v>
      </c>
      <c r="AP4904" t="s">
        <v>53</v>
      </c>
    </row>
    <row r="4905" spans="2:42" x14ac:dyDescent="0.2">
      <c r="B4905" t="s">
        <v>44</v>
      </c>
      <c r="C4905" t="str">
        <f>HYPERLINK("https://us2.cloudbeds.com/connect/8493803454333002#/reservations/9080486846066106?display=2C4DGURJ5Y&amp;reservation_id=9080486846066106", "2C4DGURJ5Y")</f>
        <v>2C4DGURJ5Y</v>
      </c>
      <c r="D4905" t="s">
        <v>45</v>
      </c>
      <c r="E4905" t="s">
        <v>69</v>
      </c>
      <c r="F4905" t="s">
        <v>70</v>
      </c>
      <c r="G4905" t="s">
        <v>48</v>
      </c>
      <c r="H4905" t="s">
        <v>49</v>
      </c>
      <c r="I4905" t="s">
        <v>50</v>
      </c>
      <c r="J4905" t="s">
        <v>8615</v>
      </c>
      <c r="K4905" t="s">
        <v>8616</v>
      </c>
      <c r="L4905" t="s">
        <v>53</v>
      </c>
      <c r="N4905" t="s">
        <v>8617</v>
      </c>
      <c r="P4905" t="s">
        <v>55</v>
      </c>
      <c r="R4905" t="s">
        <v>53</v>
      </c>
      <c r="T4905" t="s">
        <v>8618</v>
      </c>
      <c r="U4905" t="s">
        <v>58</v>
      </c>
      <c r="V4905">
        <v>3</v>
      </c>
      <c r="W4905">
        <v>1</v>
      </c>
      <c r="X4905">
        <v>2</v>
      </c>
      <c r="Y4905">
        <v>0</v>
      </c>
      <c r="Z4905">
        <v>2</v>
      </c>
      <c r="AA4905">
        <v>475.63</v>
      </c>
      <c r="AB4905">
        <v>475.63</v>
      </c>
      <c r="AC4905">
        <v>418.5</v>
      </c>
      <c r="AD4905">
        <v>0</v>
      </c>
      <c r="AE4905">
        <v>57.13</v>
      </c>
      <c r="AF4905">
        <v>0</v>
      </c>
      <c r="AG4905">
        <v>0</v>
      </c>
      <c r="AH4905">
        <v>0</v>
      </c>
      <c r="AI4905">
        <v>85.61</v>
      </c>
      <c r="AJ4905">
        <v>475.63</v>
      </c>
      <c r="AK4905">
        <v>0</v>
      </c>
      <c r="AL4905" t="s">
        <v>53</v>
      </c>
      <c r="AM4905" t="s">
        <v>53</v>
      </c>
      <c r="AN4905" t="s">
        <v>53</v>
      </c>
      <c r="AO4905" t="s">
        <v>53</v>
      </c>
      <c r="AP4905" t="s">
        <v>53</v>
      </c>
    </row>
    <row r="4906" spans="2:42" x14ac:dyDescent="0.2">
      <c r="B4906" t="s">
        <v>44</v>
      </c>
      <c r="C4906" t="str">
        <f>HYPERLINK("https://us2.cloudbeds.com/connect/8493803454333002#/reservations/109985383833822?display=2C6N2FVETN&amp;reservation_id=109985383833822", "2C6N2FVETN")</f>
        <v>2C6N2FVETN</v>
      </c>
      <c r="D4906" t="s">
        <v>45</v>
      </c>
      <c r="E4906" t="s">
        <v>128</v>
      </c>
      <c r="F4906" t="s">
        <v>86</v>
      </c>
      <c r="G4906" t="s">
        <v>3974</v>
      </c>
      <c r="H4906" t="s">
        <v>3957</v>
      </c>
      <c r="I4906" t="s">
        <v>3975</v>
      </c>
      <c r="J4906" t="s">
        <v>7275</v>
      </c>
      <c r="K4906" t="s">
        <v>6944</v>
      </c>
      <c r="L4906" t="s">
        <v>53</v>
      </c>
      <c r="P4906" t="s">
        <v>55</v>
      </c>
      <c r="R4906" t="s">
        <v>53</v>
      </c>
      <c r="T4906" t="s">
        <v>8619</v>
      </c>
      <c r="U4906" t="s">
        <v>58</v>
      </c>
      <c r="V4906">
        <v>1</v>
      </c>
      <c r="W4906">
        <v>1</v>
      </c>
      <c r="X4906">
        <v>2</v>
      </c>
      <c r="Y4906">
        <v>0</v>
      </c>
      <c r="Z4906">
        <v>2</v>
      </c>
      <c r="AA4906">
        <v>259.12</v>
      </c>
      <c r="AB4906">
        <v>259.12</v>
      </c>
      <c r="AC4906">
        <v>228</v>
      </c>
      <c r="AD4906">
        <v>0</v>
      </c>
      <c r="AE4906">
        <v>31.12</v>
      </c>
      <c r="AF4906">
        <v>0</v>
      </c>
      <c r="AG4906">
        <v>0</v>
      </c>
      <c r="AH4906">
        <v>0</v>
      </c>
      <c r="AI4906">
        <v>0</v>
      </c>
      <c r="AJ4906">
        <v>259.12</v>
      </c>
      <c r="AK4906">
        <v>0</v>
      </c>
      <c r="AL4906" t="s">
        <v>53</v>
      </c>
      <c r="AM4906" t="s">
        <v>53</v>
      </c>
      <c r="AN4906" t="s">
        <v>53</v>
      </c>
      <c r="AO4906" t="s">
        <v>53</v>
      </c>
      <c r="AP4906" t="s">
        <v>53</v>
      </c>
    </row>
    <row r="4907" spans="2:42" x14ac:dyDescent="0.2">
      <c r="B4907" t="s">
        <v>44</v>
      </c>
      <c r="C4907" t="str">
        <f>HYPERLINK("https://us2.cloudbeds.com/connect/8493803454333002#/reservations/9080486846069000?display=2C8ACJE8P1&amp;reservation_id=9080486846069000", "2C8ACJE8P1")</f>
        <v>2C8ACJE8P1</v>
      </c>
      <c r="D4907" t="s">
        <v>45</v>
      </c>
      <c r="E4907" t="s">
        <v>138</v>
      </c>
      <c r="F4907" t="s">
        <v>70</v>
      </c>
      <c r="G4907" t="s">
        <v>48</v>
      </c>
      <c r="H4907" t="s">
        <v>49</v>
      </c>
      <c r="I4907" t="s">
        <v>50</v>
      </c>
      <c r="J4907" t="s">
        <v>8616</v>
      </c>
      <c r="K4907" t="s">
        <v>6380</v>
      </c>
      <c r="L4907" t="s">
        <v>53</v>
      </c>
      <c r="N4907" t="s">
        <v>8620</v>
      </c>
      <c r="P4907" t="s">
        <v>55</v>
      </c>
      <c r="R4907" t="s">
        <v>53</v>
      </c>
      <c r="T4907" t="s">
        <v>8621</v>
      </c>
      <c r="U4907" t="s">
        <v>58</v>
      </c>
      <c r="V4907">
        <v>2</v>
      </c>
      <c r="W4907">
        <v>1</v>
      </c>
      <c r="X4907">
        <v>2</v>
      </c>
      <c r="Y4907">
        <v>0</v>
      </c>
      <c r="Z4907">
        <v>2</v>
      </c>
      <c r="AA4907">
        <v>358.45</v>
      </c>
      <c r="AB4907">
        <v>358.45</v>
      </c>
      <c r="AC4907">
        <v>315.39999999999998</v>
      </c>
      <c r="AD4907">
        <v>0</v>
      </c>
      <c r="AE4907">
        <v>43.05</v>
      </c>
      <c r="AF4907">
        <v>0</v>
      </c>
      <c r="AG4907">
        <v>0</v>
      </c>
      <c r="AH4907">
        <v>0</v>
      </c>
      <c r="AI4907">
        <v>64.52</v>
      </c>
      <c r="AJ4907">
        <v>358.45</v>
      </c>
      <c r="AK4907">
        <v>0</v>
      </c>
      <c r="AL4907" t="s">
        <v>53</v>
      </c>
      <c r="AM4907" t="s">
        <v>53</v>
      </c>
      <c r="AN4907" t="s">
        <v>53</v>
      </c>
      <c r="AO4907" t="s">
        <v>53</v>
      </c>
      <c r="AP4907" t="s">
        <v>53</v>
      </c>
    </row>
    <row r="4908" spans="2:42" x14ac:dyDescent="0.2">
      <c r="B4908" t="s">
        <v>44</v>
      </c>
      <c r="C4908" t="str">
        <f>HYPERLINK("https://us2.cloudbeds.com/connect/8493803454333002#/reservations/9080486846069498?display=2C977TAPVA&amp;reservation_id=9080486846069498", "2C977TAPVA")</f>
        <v>2C977TAPVA</v>
      </c>
      <c r="D4908" t="s">
        <v>45</v>
      </c>
      <c r="E4908" t="s">
        <v>381</v>
      </c>
      <c r="F4908" t="s">
        <v>47</v>
      </c>
      <c r="G4908" t="s">
        <v>48</v>
      </c>
      <c r="H4908" t="s">
        <v>49</v>
      </c>
      <c r="I4908" t="s">
        <v>50</v>
      </c>
      <c r="J4908" t="s">
        <v>7486</v>
      </c>
      <c r="K4908" t="s">
        <v>6661</v>
      </c>
      <c r="L4908" t="s">
        <v>53</v>
      </c>
      <c r="N4908" t="s">
        <v>8622</v>
      </c>
      <c r="P4908" t="s">
        <v>55</v>
      </c>
      <c r="R4908" t="s">
        <v>53</v>
      </c>
      <c r="T4908" t="s">
        <v>8623</v>
      </c>
      <c r="U4908" t="s">
        <v>58</v>
      </c>
      <c r="V4908">
        <v>3</v>
      </c>
      <c r="W4908">
        <v>1</v>
      </c>
      <c r="X4908">
        <v>2</v>
      </c>
      <c r="Y4908">
        <v>0</v>
      </c>
      <c r="Z4908">
        <v>2</v>
      </c>
      <c r="AA4908">
        <v>580.99</v>
      </c>
      <c r="AB4908">
        <v>580.99</v>
      </c>
      <c r="AC4908">
        <v>511.2</v>
      </c>
      <c r="AD4908">
        <v>0</v>
      </c>
      <c r="AE4908">
        <v>69.790000000000006</v>
      </c>
      <c r="AF4908">
        <v>0</v>
      </c>
      <c r="AG4908">
        <v>0</v>
      </c>
      <c r="AH4908">
        <v>0</v>
      </c>
      <c r="AI4908">
        <v>104.58</v>
      </c>
      <c r="AJ4908">
        <v>580.99</v>
      </c>
      <c r="AK4908">
        <v>0</v>
      </c>
      <c r="AL4908" t="s">
        <v>53</v>
      </c>
      <c r="AM4908" t="s">
        <v>53</v>
      </c>
      <c r="AN4908" t="s">
        <v>53</v>
      </c>
      <c r="AO4908" t="s">
        <v>53</v>
      </c>
      <c r="AP4908" t="s">
        <v>53</v>
      </c>
    </row>
    <row r="4909" spans="2:42" x14ac:dyDescent="0.2">
      <c r="B4909" t="s">
        <v>44</v>
      </c>
      <c r="C4909" t="str">
        <f>HYPERLINK("https://us2.cloudbeds.com/connect/8493803454333002#/reservations/9080486846069676?display=2C9HUWPVB1&amp;reservation_id=9080486846069676", "2C9HUWPVB1")</f>
        <v>2C9HUWPVB1</v>
      </c>
      <c r="D4909" t="s">
        <v>45</v>
      </c>
      <c r="E4909" t="s">
        <v>373</v>
      </c>
      <c r="F4909" t="s">
        <v>47</v>
      </c>
      <c r="G4909" t="s">
        <v>48</v>
      </c>
      <c r="H4909" t="s">
        <v>49</v>
      </c>
      <c r="I4909" t="s">
        <v>62</v>
      </c>
      <c r="J4909" t="s">
        <v>4443</v>
      </c>
      <c r="K4909" t="s">
        <v>6488</v>
      </c>
      <c r="L4909" t="s">
        <v>53</v>
      </c>
      <c r="N4909" t="s">
        <v>8624</v>
      </c>
      <c r="P4909" t="s">
        <v>55</v>
      </c>
      <c r="R4909" t="s">
        <v>56</v>
      </c>
      <c r="T4909" t="s">
        <v>8625</v>
      </c>
      <c r="U4909" t="s">
        <v>55</v>
      </c>
      <c r="V4909">
        <v>1</v>
      </c>
      <c r="W4909">
        <v>1</v>
      </c>
      <c r="X4909">
        <v>2</v>
      </c>
      <c r="Y4909">
        <v>0</v>
      </c>
      <c r="Z4909">
        <v>2</v>
      </c>
      <c r="AA4909">
        <v>201</v>
      </c>
      <c r="AB4909">
        <v>201</v>
      </c>
      <c r="AC4909">
        <v>201</v>
      </c>
      <c r="AD4909">
        <v>0</v>
      </c>
      <c r="AE4909">
        <v>0</v>
      </c>
      <c r="AF4909">
        <v>0</v>
      </c>
      <c r="AG4909">
        <v>0</v>
      </c>
      <c r="AH4909">
        <v>0</v>
      </c>
      <c r="AI4909">
        <v>36.18</v>
      </c>
      <c r="AJ4909">
        <v>201</v>
      </c>
      <c r="AK4909">
        <v>0</v>
      </c>
      <c r="AL4909" t="s">
        <v>53</v>
      </c>
      <c r="AM4909" t="s">
        <v>53</v>
      </c>
      <c r="AN4909" t="s">
        <v>53</v>
      </c>
      <c r="AO4909" t="s">
        <v>53</v>
      </c>
      <c r="AP4909" t="s">
        <v>53</v>
      </c>
    </row>
    <row r="4910" spans="2:42" x14ac:dyDescent="0.2">
      <c r="B4910" t="s">
        <v>44</v>
      </c>
      <c r="C4910" t="str">
        <f>HYPERLINK("https://us2.cloudbeds.com/connect/8493803454333002#/reservations/9080486846069764?display=2C9NEGMXPM&amp;reservation_id=9080486846069764", "2C9NEGMXPM")</f>
        <v>2C9NEGMXPM</v>
      </c>
      <c r="D4910" t="s">
        <v>45</v>
      </c>
      <c r="E4910" t="s">
        <v>85</v>
      </c>
      <c r="F4910" t="s">
        <v>86</v>
      </c>
      <c r="G4910" t="s">
        <v>48</v>
      </c>
      <c r="H4910" t="s">
        <v>49</v>
      </c>
      <c r="I4910" t="s">
        <v>50</v>
      </c>
      <c r="J4910" t="s">
        <v>7974</v>
      </c>
      <c r="K4910" t="s">
        <v>7975</v>
      </c>
      <c r="L4910" t="s">
        <v>53</v>
      </c>
      <c r="N4910" t="s">
        <v>8626</v>
      </c>
      <c r="P4910" t="s">
        <v>55</v>
      </c>
      <c r="R4910" t="s">
        <v>53</v>
      </c>
      <c r="T4910" t="s">
        <v>8627</v>
      </c>
      <c r="U4910" t="s">
        <v>58</v>
      </c>
      <c r="V4910">
        <v>1</v>
      </c>
      <c r="W4910">
        <v>1</v>
      </c>
      <c r="X4910">
        <v>2</v>
      </c>
      <c r="Y4910">
        <v>2</v>
      </c>
      <c r="Z4910">
        <v>4</v>
      </c>
      <c r="AA4910">
        <v>160.66</v>
      </c>
      <c r="AB4910">
        <v>160.66</v>
      </c>
      <c r="AC4910">
        <v>141.36000000000001</v>
      </c>
      <c r="AD4910">
        <v>0</v>
      </c>
      <c r="AE4910">
        <v>19.3</v>
      </c>
      <c r="AF4910">
        <v>0</v>
      </c>
      <c r="AG4910">
        <v>0</v>
      </c>
      <c r="AH4910">
        <v>0</v>
      </c>
      <c r="AI4910">
        <v>28.92</v>
      </c>
      <c r="AJ4910">
        <v>160.66</v>
      </c>
      <c r="AK4910">
        <v>0</v>
      </c>
      <c r="AL4910" t="s">
        <v>53</v>
      </c>
      <c r="AM4910" t="s">
        <v>53</v>
      </c>
      <c r="AN4910" t="s">
        <v>53</v>
      </c>
      <c r="AO4910" t="s">
        <v>53</v>
      </c>
      <c r="AP4910" t="s">
        <v>53</v>
      </c>
    </row>
    <row r="4911" spans="2:42" x14ac:dyDescent="0.2">
      <c r="B4911" t="s">
        <v>44</v>
      </c>
      <c r="C4911" t="str">
        <f>HYPERLINK("https://us2.cloudbeds.com/connect/8493803454333002#/reservations/9080486846069902?display=2C9WV73FK0&amp;reservation_id=9080486846069902", "2C9WV73FK0")</f>
        <v>2C9WV73FK0</v>
      </c>
      <c r="D4911" t="s">
        <v>45</v>
      </c>
      <c r="E4911" t="s">
        <v>165</v>
      </c>
      <c r="F4911" t="s">
        <v>61</v>
      </c>
      <c r="G4911" t="s">
        <v>48</v>
      </c>
      <c r="H4911" t="s">
        <v>49</v>
      </c>
      <c r="I4911" t="s">
        <v>50</v>
      </c>
      <c r="J4911" t="s">
        <v>6661</v>
      </c>
      <c r="K4911" t="s">
        <v>7376</v>
      </c>
      <c r="L4911" t="s">
        <v>53</v>
      </c>
      <c r="N4911" t="s">
        <v>8628</v>
      </c>
      <c r="P4911" t="s">
        <v>55</v>
      </c>
      <c r="R4911" t="s">
        <v>53</v>
      </c>
      <c r="T4911" t="s">
        <v>8629</v>
      </c>
      <c r="U4911" t="s">
        <v>58</v>
      </c>
      <c r="V4911">
        <v>1</v>
      </c>
      <c r="W4911">
        <v>1</v>
      </c>
      <c r="X4911">
        <v>2</v>
      </c>
      <c r="Y4911">
        <v>0</v>
      </c>
      <c r="Z4911">
        <v>2</v>
      </c>
      <c r="AA4911">
        <v>168.11</v>
      </c>
      <c r="AB4911">
        <v>168.11</v>
      </c>
      <c r="AC4911">
        <v>147.91</v>
      </c>
      <c r="AD4911">
        <v>0</v>
      </c>
      <c r="AE4911">
        <v>20.2</v>
      </c>
      <c r="AF4911">
        <v>0</v>
      </c>
      <c r="AG4911">
        <v>0</v>
      </c>
      <c r="AH4911">
        <v>0</v>
      </c>
      <c r="AI4911">
        <v>30.26</v>
      </c>
      <c r="AJ4911">
        <v>168.11</v>
      </c>
      <c r="AK4911">
        <v>0</v>
      </c>
      <c r="AL4911" t="s">
        <v>53</v>
      </c>
      <c r="AM4911" t="s">
        <v>53</v>
      </c>
      <c r="AN4911" t="s">
        <v>53</v>
      </c>
      <c r="AO4911" t="s">
        <v>53</v>
      </c>
      <c r="AP4911" t="s">
        <v>53</v>
      </c>
    </row>
    <row r="4912" spans="2:42" x14ac:dyDescent="0.2">
      <c r="B4912" t="s">
        <v>44</v>
      </c>
      <c r="C4912" t="str">
        <f>HYPERLINK("https://us2.cloudbeds.com/connect/8493803454333002#/reservations/9080486846071817?display=2CDSE843M5&amp;reservation_id=9080486846071817", "2CDSE843M5")</f>
        <v>2CDSE843M5</v>
      </c>
      <c r="D4912" t="s">
        <v>45</v>
      </c>
      <c r="E4912" t="s">
        <v>110</v>
      </c>
      <c r="F4912" t="s">
        <v>47</v>
      </c>
      <c r="G4912" t="s">
        <v>48</v>
      </c>
      <c r="H4912" t="s">
        <v>49</v>
      </c>
      <c r="I4912" t="s">
        <v>50</v>
      </c>
      <c r="J4912" t="s">
        <v>8394</v>
      </c>
      <c r="K4912" t="s">
        <v>7623</v>
      </c>
      <c r="L4912" t="s">
        <v>53</v>
      </c>
      <c r="N4912" t="s">
        <v>8630</v>
      </c>
      <c r="P4912" t="s">
        <v>55</v>
      </c>
      <c r="R4912" t="s">
        <v>53</v>
      </c>
      <c r="T4912" t="s">
        <v>8631</v>
      </c>
      <c r="U4912" t="s">
        <v>58</v>
      </c>
      <c r="V4912">
        <v>1</v>
      </c>
      <c r="W4912">
        <v>1</v>
      </c>
      <c r="X4912">
        <v>2</v>
      </c>
      <c r="Y4912">
        <v>0</v>
      </c>
      <c r="Z4912">
        <v>2</v>
      </c>
      <c r="AA4912">
        <v>167.57</v>
      </c>
      <c r="AB4912">
        <v>167.57</v>
      </c>
      <c r="AC4912">
        <v>147.44</v>
      </c>
      <c r="AD4912">
        <v>0</v>
      </c>
      <c r="AE4912">
        <v>20.13</v>
      </c>
      <c r="AF4912">
        <v>0</v>
      </c>
      <c r="AG4912">
        <v>0</v>
      </c>
      <c r="AH4912">
        <v>0</v>
      </c>
      <c r="AI4912">
        <v>30.16</v>
      </c>
      <c r="AJ4912">
        <v>167.57</v>
      </c>
      <c r="AK4912">
        <v>0</v>
      </c>
      <c r="AL4912" t="s">
        <v>53</v>
      </c>
      <c r="AM4912" t="s">
        <v>53</v>
      </c>
      <c r="AN4912" t="s">
        <v>53</v>
      </c>
      <c r="AO4912" t="s">
        <v>53</v>
      </c>
      <c r="AP4912" t="s">
        <v>53</v>
      </c>
    </row>
    <row r="4913" spans="2:42" x14ac:dyDescent="0.2">
      <c r="B4913" t="s">
        <v>44</v>
      </c>
      <c r="C4913" t="str">
        <f>HYPERLINK("https://us2.cloudbeds.com/connect/8493803454333002#/reservations/9080486846072402?display=2CEJ4PQR0B&amp;reservation_id=9080486846072402", "2CEJ4PQR0B")</f>
        <v>2CEJ4PQR0B</v>
      </c>
      <c r="D4913" t="s">
        <v>45</v>
      </c>
      <c r="E4913" t="s">
        <v>185</v>
      </c>
      <c r="F4913" t="s">
        <v>47</v>
      </c>
      <c r="G4913" t="s">
        <v>48</v>
      </c>
      <c r="H4913" t="s">
        <v>49</v>
      </c>
      <c r="I4913" t="s">
        <v>50</v>
      </c>
      <c r="J4913" t="s">
        <v>6488</v>
      </c>
      <c r="K4913" t="s">
        <v>6274</v>
      </c>
      <c r="L4913" t="s">
        <v>53</v>
      </c>
      <c r="N4913" t="s">
        <v>8632</v>
      </c>
      <c r="P4913" t="s">
        <v>55</v>
      </c>
      <c r="R4913" t="s">
        <v>53</v>
      </c>
      <c r="T4913" t="s">
        <v>8633</v>
      </c>
      <c r="U4913" t="s">
        <v>58</v>
      </c>
      <c r="V4913">
        <v>1</v>
      </c>
      <c r="W4913">
        <v>1</v>
      </c>
      <c r="X4913">
        <v>1</v>
      </c>
      <c r="Y4913">
        <v>0</v>
      </c>
      <c r="Z4913">
        <v>1</v>
      </c>
      <c r="AA4913">
        <v>158.54</v>
      </c>
      <c r="AB4913">
        <v>158.54</v>
      </c>
      <c r="AC4913">
        <v>139.5</v>
      </c>
      <c r="AD4913">
        <v>0</v>
      </c>
      <c r="AE4913">
        <v>19.04</v>
      </c>
      <c r="AF4913">
        <v>0</v>
      </c>
      <c r="AG4913">
        <v>0</v>
      </c>
      <c r="AH4913">
        <v>0</v>
      </c>
      <c r="AI4913">
        <v>28.54</v>
      </c>
      <c r="AJ4913">
        <v>158.54</v>
      </c>
      <c r="AK4913">
        <v>0</v>
      </c>
      <c r="AL4913" t="s">
        <v>53</v>
      </c>
      <c r="AM4913" t="s">
        <v>53</v>
      </c>
      <c r="AN4913" t="s">
        <v>53</v>
      </c>
      <c r="AO4913" t="s">
        <v>53</v>
      </c>
      <c r="AP4913" t="s">
        <v>53</v>
      </c>
    </row>
    <row r="4914" spans="2:42" x14ac:dyDescent="0.2">
      <c r="B4914" t="s">
        <v>44</v>
      </c>
      <c r="C4914" t="str">
        <f>HYPERLINK("https://us2.cloudbeds.com/connect/8493803454333002#/reservations/9080486846072470?display=2CEMTYW300&amp;reservation_id=9080486846072470", "2CEMTYW300")</f>
        <v>2CEMTYW300</v>
      </c>
      <c r="D4914" t="s">
        <v>45</v>
      </c>
      <c r="E4914" t="s">
        <v>487</v>
      </c>
      <c r="F4914" t="s">
        <v>61</v>
      </c>
      <c r="G4914" t="s">
        <v>48</v>
      </c>
      <c r="H4914" t="s">
        <v>49</v>
      </c>
      <c r="I4914" t="s">
        <v>62</v>
      </c>
      <c r="J4914" t="s">
        <v>7151</v>
      </c>
      <c r="K4914" t="s">
        <v>6397</v>
      </c>
      <c r="L4914" t="s">
        <v>53</v>
      </c>
      <c r="N4914" t="s">
        <v>8634</v>
      </c>
      <c r="P4914" t="s">
        <v>55</v>
      </c>
      <c r="R4914" t="s">
        <v>56</v>
      </c>
      <c r="T4914" t="s">
        <v>8635</v>
      </c>
      <c r="U4914" t="s">
        <v>55</v>
      </c>
      <c r="V4914">
        <v>2</v>
      </c>
      <c r="W4914">
        <v>1</v>
      </c>
      <c r="X4914">
        <v>2</v>
      </c>
      <c r="Y4914">
        <v>0</v>
      </c>
      <c r="Z4914">
        <v>2</v>
      </c>
      <c r="AA4914">
        <v>323</v>
      </c>
      <c r="AB4914">
        <v>323</v>
      </c>
      <c r="AC4914">
        <v>323</v>
      </c>
      <c r="AD4914">
        <v>0</v>
      </c>
      <c r="AE4914">
        <v>0</v>
      </c>
      <c r="AF4914">
        <v>0</v>
      </c>
      <c r="AG4914">
        <v>0</v>
      </c>
      <c r="AH4914">
        <v>0</v>
      </c>
      <c r="AI4914">
        <v>58.14</v>
      </c>
      <c r="AJ4914">
        <v>323</v>
      </c>
      <c r="AK4914">
        <v>0</v>
      </c>
      <c r="AL4914" t="s">
        <v>53</v>
      </c>
      <c r="AM4914" t="s">
        <v>53</v>
      </c>
      <c r="AN4914" t="s">
        <v>53</v>
      </c>
      <c r="AO4914" t="s">
        <v>53</v>
      </c>
      <c r="AP4914" t="s">
        <v>53</v>
      </c>
    </row>
    <row r="4915" spans="2:42" x14ac:dyDescent="0.2">
      <c r="B4915" t="s">
        <v>44</v>
      </c>
      <c r="C4915" t="str">
        <f>HYPERLINK("https://us2.cloudbeds.com/connect/8493803454333002#/reservations/9080486846072648?display=2CEUGWWKUV&amp;reservation_id=9080486846072648", "2CEUGWWKUV")</f>
        <v>2CEUGWWKUV</v>
      </c>
      <c r="D4915" t="s">
        <v>45</v>
      </c>
      <c r="E4915" t="s">
        <v>381</v>
      </c>
      <c r="F4915" t="s">
        <v>47</v>
      </c>
      <c r="G4915" t="s">
        <v>48</v>
      </c>
      <c r="H4915" t="s">
        <v>49</v>
      </c>
      <c r="I4915" t="s">
        <v>50</v>
      </c>
      <c r="J4915" t="s">
        <v>6488</v>
      </c>
      <c r="K4915" t="s">
        <v>6274</v>
      </c>
      <c r="L4915" t="s">
        <v>53</v>
      </c>
      <c r="N4915" t="s">
        <v>8636</v>
      </c>
      <c r="P4915" t="s">
        <v>55</v>
      </c>
      <c r="R4915" t="s">
        <v>53</v>
      </c>
      <c r="T4915" t="s">
        <v>8637</v>
      </c>
      <c r="U4915" t="s">
        <v>58</v>
      </c>
      <c r="V4915">
        <v>1</v>
      </c>
      <c r="W4915">
        <v>1</v>
      </c>
      <c r="X4915">
        <v>1</v>
      </c>
      <c r="Y4915">
        <v>0</v>
      </c>
      <c r="Z4915">
        <v>1</v>
      </c>
      <c r="AA4915">
        <v>158.54</v>
      </c>
      <c r="AB4915">
        <v>158.54</v>
      </c>
      <c r="AC4915">
        <v>139.5</v>
      </c>
      <c r="AD4915">
        <v>0</v>
      </c>
      <c r="AE4915">
        <v>19.04</v>
      </c>
      <c r="AF4915">
        <v>0</v>
      </c>
      <c r="AG4915">
        <v>0</v>
      </c>
      <c r="AH4915">
        <v>0</v>
      </c>
      <c r="AI4915">
        <v>28.54</v>
      </c>
      <c r="AJ4915">
        <v>158.54</v>
      </c>
      <c r="AK4915">
        <v>0</v>
      </c>
      <c r="AL4915" t="s">
        <v>53</v>
      </c>
      <c r="AM4915" t="s">
        <v>53</v>
      </c>
      <c r="AN4915" t="s">
        <v>53</v>
      </c>
      <c r="AO4915" t="s">
        <v>53</v>
      </c>
      <c r="AP4915" t="s">
        <v>53</v>
      </c>
    </row>
    <row r="4916" spans="2:42" x14ac:dyDescent="0.2">
      <c r="B4916" t="s">
        <v>44</v>
      </c>
      <c r="C4916" t="str">
        <f>HYPERLINK("https://us2.cloudbeds.com/connect/8493803454333002#/reservations/110392498569383?display=2CG8A6T397&amp;reservation_id=110392498569383", "2CG8A6T397")</f>
        <v>2CG8A6T397</v>
      </c>
      <c r="D4916" t="s">
        <v>45</v>
      </c>
      <c r="E4916" t="s">
        <v>190</v>
      </c>
      <c r="F4916" t="s">
        <v>61</v>
      </c>
      <c r="G4916" t="s">
        <v>48</v>
      </c>
      <c r="H4916" t="s">
        <v>3957</v>
      </c>
      <c r="I4916" t="s">
        <v>3958</v>
      </c>
      <c r="J4916" t="s">
        <v>6488</v>
      </c>
      <c r="K4916" t="s">
        <v>6274</v>
      </c>
      <c r="L4916" t="s">
        <v>53</v>
      </c>
      <c r="P4916" t="s">
        <v>58</v>
      </c>
      <c r="R4916" t="s">
        <v>56</v>
      </c>
      <c r="T4916" t="s">
        <v>8638</v>
      </c>
      <c r="U4916" t="s">
        <v>58</v>
      </c>
      <c r="V4916">
        <v>1</v>
      </c>
      <c r="W4916">
        <v>1</v>
      </c>
      <c r="X4916">
        <v>1</v>
      </c>
      <c r="Y4916">
        <v>0</v>
      </c>
      <c r="Z4916">
        <v>1</v>
      </c>
      <c r="AA4916">
        <v>186.39</v>
      </c>
      <c r="AB4916">
        <v>186.39</v>
      </c>
      <c r="AC4916">
        <v>164</v>
      </c>
      <c r="AD4916">
        <v>0</v>
      </c>
      <c r="AE4916">
        <v>22.39</v>
      </c>
      <c r="AF4916">
        <v>0</v>
      </c>
      <c r="AG4916">
        <v>0</v>
      </c>
      <c r="AH4916">
        <v>0</v>
      </c>
      <c r="AI4916">
        <v>0</v>
      </c>
      <c r="AJ4916">
        <v>186.39</v>
      </c>
      <c r="AK4916">
        <v>0</v>
      </c>
      <c r="AL4916" t="s">
        <v>53</v>
      </c>
      <c r="AM4916" t="s">
        <v>53</v>
      </c>
      <c r="AN4916" t="s">
        <v>53</v>
      </c>
      <c r="AO4916" t="s">
        <v>53</v>
      </c>
      <c r="AP4916" t="s">
        <v>53</v>
      </c>
    </row>
    <row r="4917" spans="2:42" x14ac:dyDescent="0.2">
      <c r="B4917" t="s">
        <v>44</v>
      </c>
      <c r="C4917" t="str">
        <f>HYPERLINK("https://us2.cloudbeds.com/connect/8493803454333002#/reservations/110393269432531?display=2CG8TTTGJX&amp;reservation_id=110393269432531", "2CG8TTTGJX")</f>
        <v>2CG8TTTGJX</v>
      </c>
      <c r="D4917" t="s">
        <v>45</v>
      </c>
      <c r="E4917" t="s">
        <v>265</v>
      </c>
      <c r="F4917" t="s">
        <v>61</v>
      </c>
      <c r="G4917" t="s">
        <v>48</v>
      </c>
      <c r="H4917" t="s">
        <v>3957</v>
      </c>
      <c r="I4917" t="s">
        <v>3958</v>
      </c>
      <c r="J4917" t="s">
        <v>6488</v>
      </c>
      <c r="K4917" t="s">
        <v>6274</v>
      </c>
      <c r="L4917" t="s">
        <v>53</v>
      </c>
      <c r="P4917" t="s">
        <v>58</v>
      </c>
      <c r="R4917" t="s">
        <v>56</v>
      </c>
      <c r="T4917" t="s">
        <v>8639</v>
      </c>
      <c r="U4917" t="s">
        <v>58</v>
      </c>
      <c r="V4917">
        <v>1</v>
      </c>
      <c r="W4917">
        <v>1</v>
      </c>
      <c r="X4917">
        <v>1</v>
      </c>
      <c r="Y4917">
        <v>0</v>
      </c>
      <c r="Z4917">
        <v>1</v>
      </c>
      <c r="AA4917">
        <v>186.39</v>
      </c>
      <c r="AB4917">
        <v>186.39</v>
      </c>
      <c r="AC4917">
        <v>164</v>
      </c>
      <c r="AD4917">
        <v>0</v>
      </c>
      <c r="AE4917">
        <v>22.39</v>
      </c>
      <c r="AF4917">
        <v>0</v>
      </c>
      <c r="AG4917">
        <v>0</v>
      </c>
      <c r="AH4917">
        <v>0</v>
      </c>
      <c r="AI4917">
        <v>0</v>
      </c>
      <c r="AJ4917">
        <v>186.39</v>
      </c>
      <c r="AK4917">
        <v>0</v>
      </c>
      <c r="AL4917" t="s">
        <v>53</v>
      </c>
      <c r="AM4917" t="s">
        <v>53</v>
      </c>
      <c r="AN4917" t="s">
        <v>53</v>
      </c>
      <c r="AO4917" t="s">
        <v>53</v>
      </c>
      <c r="AP4917" t="s">
        <v>53</v>
      </c>
    </row>
    <row r="4918" spans="2:42" x14ac:dyDescent="0.2">
      <c r="B4918" t="s">
        <v>44</v>
      </c>
      <c r="C4918" t="str">
        <f>HYPERLINK("https://us2.cloudbeds.com/connect/8493803454333002#/reservations/9080486846073782?display=2CGHFT40GT&amp;reservation_id=9080486846073782", "2CGHFT40GT")</f>
        <v>2CGHFT40GT</v>
      </c>
      <c r="D4918" t="s">
        <v>45</v>
      </c>
      <c r="E4918" t="s">
        <v>487</v>
      </c>
      <c r="F4918" t="s">
        <v>61</v>
      </c>
      <c r="G4918" t="s">
        <v>48</v>
      </c>
      <c r="H4918" t="s">
        <v>49</v>
      </c>
      <c r="I4918" t="s">
        <v>62</v>
      </c>
      <c r="J4918" t="s">
        <v>6488</v>
      </c>
      <c r="K4918" t="s">
        <v>6274</v>
      </c>
      <c r="L4918" t="s">
        <v>53</v>
      </c>
      <c r="N4918" t="s">
        <v>8640</v>
      </c>
      <c r="P4918" t="s">
        <v>55</v>
      </c>
      <c r="R4918" t="s">
        <v>56</v>
      </c>
      <c r="T4918" t="s">
        <v>8641</v>
      </c>
      <c r="U4918" t="s">
        <v>55</v>
      </c>
      <c r="V4918">
        <v>1</v>
      </c>
      <c r="W4918">
        <v>1</v>
      </c>
      <c r="X4918">
        <v>2</v>
      </c>
      <c r="Y4918">
        <v>0</v>
      </c>
      <c r="Z4918">
        <v>2</v>
      </c>
      <c r="AA4918">
        <v>164</v>
      </c>
      <c r="AB4918">
        <v>164</v>
      </c>
      <c r="AC4918">
        <v>164</v>
      </c>
      <c r="AD4918">
        <v>0</v>
      </c>
      <c r="AE4918">
        <v>0</v>
      </c>
      <c r="AF4918">
        <v>0</v>
      </c>
      <c r="AG4918">
        <v>0</v>
      </c>
      <c r="AH4918">
        <v>0</v>
      </c>
      <c r="AI4918">
        <v>29.52</v>
      </c>
      <c r="AJ4918">
        <v>164</v>
      </c>
      <c r="AK4918">
        <v>0</v>
      </c>
      <c r="AL4918" t="s">
        <v>53</v>
      </c>
      <c r="AM4918" t="s">
        <v>53</v>
      </c>
      <c r="AN4918" t="s">
        <v>53</v>
      </c>
      <c r="AO4918" t="s">
        <v>53</v>
      </c>
      <c r="AP4918" t="s">
        <v>53</v>
      </c>
    </row>
    <row r="4919" spans="2:42" x14ac:dyDescent="0.2">
      <c r="B4919" t="s">
        <v>44</v>
      </c>
      <c r="C4919" t="str">
        <f>HYPERLINK("https://us2.cloudbeds.com/connect/8493803454333002#/reservations/9080486846073991?display=2CGT6UGH8X&amp;reservation_id=9080486846073991", "2CGT6UGH8X")</f>
        <v>2CGT6UGH8X</v>
      </c>
      <c r="D4919" t="s">
        <v>45</v>
      </c>
      <c r="E4919" t="s">
        <v>305</v>
      </c>
      <c r="F4919" t="s">
        <v>61</v>
      </c>
      <c r="G4919" t="s">
        <v>48</v>
      </c>
      <c r="H4919" t="s">
        <v>49</v>
      </c>
      <c r="I4919" t="s">
        <v>50</v>
      </c>
      <c r="J4919" t="s">
        <v>6488</v>
      </c>
      <c r="K4919" t="s">
        <v>6274</v>
      </c>
      <c r="L4919" t="s">
        <v>53</v>
      </c>
      <c r="N4919" t="s">
        <v>8642</v>
      </c>
      <c r="P4919" t="s">
        <v>55</v>
      </c>
      <c r="R4919" t="s">
        <v>53</v>
      </c>
      <c r="T4919" t="s">
        <v>8643</v>
      </c>
      <c r="U4919" t="s">
        <v>58</v>
      </c>
      <c r="V4919">
        <v>1</v>
      </c>
      <c r="W4919">
        <v>1</v>
      </c>
      <c r="X4919">
        <v>2</v>
      </c>
      <c r="Y4919">
        <v>0</v>
      </c>
      <c r="Z4919">
        <v>2</v>
      </c>
      <c r="AA4919">
        <v>167.75</v>
      </c>
      <c r="AB4919">
        <v>167.75</v>
      </c>
      <c r="AC4919">
        <v>147.6</v>
      </c>
      <c r="AD4919">
        <v>0</v>
      </c>
      <c r="AE4919">
        <v>20.149999999999999</v>
      </c>
      <c r="AF4919">
        <v>0</v>
      </c>
      <c r="AG4919">
        <v>0</v>
      </c>
      <c r="AH4919">
        <v>0</v>
      </c>
      <c r="AI4919">
        <v>30.2</v>
      </c>
      <c r="AJ4919">
        <v>167.75</v>
      </c>
      <c r="AK4919">
        <v>0</v>
      </c>
      <c r="AL4919" t="s">
        <v>53</v>
      </c>
      <c r="AM4919" t="s">
        <v>53</v>
      </c>
      <c r="AN4919" t="s">
        <v>53</v>
      </c>
      <c r="AO4919" t="s">
        <v>53</v>
      </c>
      <c r="AP4919" t="s">
        <v>53</v>
      </c>
    </row>
    <row r="4920" spans="2:42" x14ac:dyDescent="0.2">
      <c r="B4920" t="s">
        <v>44</v>
      </c>
      <c r="C4920" t="str">
        <f>HYPERLINK("https://us2.cloudbeds.com/connect/8493803454333002#/reservations/9080486846074368?display=2CHY1HUGNT&amp;reservation_id=9080486846074368", "2CHY1HUGNT")</f>
        <v>2CHY1HUGNT</v>
      </c>
      <c r="D4920" t="s">
        <v>45</v>
      </c>
      <c r="E4920" t="s">
        <v>110</v>
      </c>
      <c r="F4920" t="s">
        <v>47</v>
      </c>
      <c r="G4920" t="s">
        <v>48</v>
      </c>
      <c r="H4920" t="s">
        <v>49</v>
      </c>
      <c r="I4920" t="s">
        <v>50</v>
      </c>
      <c r="J4920" t="s">
        <v>6374</v>
      </c>
      <c r="K4920" t="s">
        <v>7905</v>
      </c>
      <c r="L4920" t="s">
        <v>53</v>
      </c>
      <c r="N4920" t="s">
        <v>8644</v>
      </c>
      <c r="P4920" t="s">
        <v>55</v>
      </c>
      <c r="R4920" t="s">
        <v>56</v>
      </c>
      <c r="T4920" t="s">
        <v>8645</v>
      </c>
      <c r="U4920" t="s">
        <v>58</v>
      </c>
      <c r="V4920">
        <v>3</v>
      </c>
      <c r="W4920">
        <v>1</v>
      </c>
      <c r="X4920">
        <v>2</v>
      </c>
      <c r="Y4920">
        <v>0</v>
      </c>
      <c r="Z4920">
        <v>2</v>
      </c>
      <c r="AA4920">
        <v>494.61</v>
      </c>
      <c r="AB4920">
        <v>494.61</v>
      </c>
      <c r="AC4920">
        <v>435.2</v>
      </c>
      <c r="AD4920">
        <v>0</v>
      </c>
      <c r="AE4920">
        <v>59.41</v>
      </c>
      <c r="AF4920">
        <v>0</v>
      </c>
      <c r="AG4920">
        <v>0</v>
      </c>
      <c r="AH4920">
        <v>0</v>
      </c>
      <c r="AI4920">
        <v>89.03</v>
      </c>
      <c r="AJ4920">
        <v>494.61</v>
      </c>
      <c r="AK4920">
        <v>0</v>
      </c>
      <c r="AL4920" t="s">
        <v>53</v>
      </c>
      <c r="AM4920" t="s">
        <v>53</v>
      </c>
      <c r="AN4920" t="s">
        <v>53</v>
      </c>
      <c r="AO4920" t="s">
        <v>53</v>
      </c>
      <c r="AP4920" t="s">
        <v>53</v>
      </c>
    </row>
    <row r="4921" spans="2:42" x14ac:dyDescent="0.2">
      <c r="B4921" t="s">
        <v>44</v>
      </c>
      <c r="C4921" t="str">
        <f>HYPERLINK("https://us2.cloudbeds.com/connect/8493803454333002#/reservations/110668261523673?display=2CMNRJGQKH&amp;reservation_id=110668261523673", "2CMNRJGQKH")</f>
        <v>2CMNRJGQKH</v>
      </c>
      <c r="D4921" t="s">
        <v>45</v>
      </c>
      <c r="E4921" t="s">
        <v>105</v>
      </c>
      <c r="F4921" t="s">
        <v>47</v>
      </c>
      <c r="G4921" t="s">
        <v>48</v>
      </c>
      <c r="H4921" t="s">
        <v>3957</v>
      </c>
      <c r="I4921" t="s">
        <v>3975</v>
      </c>
      <c r="J4921" t="s">
        <v>6274</v>
      </c>
      <c r="K4921" t="s">
        <v>6416</v>
      </c>
      <c r="L4921" t="s">
        <v>53</v>
      </c>
      <c r="P4921" t="s">
        <v>55</v>
      </c>
      <c r="R4921" t="s">
        <v>53</v>
      </c>
      <c r="T4921" t="s">
        <v>8646</v>
      </c>
      <c r="U4921" t="s">
        <v>58</v>
      </c>
      <c r="V4921">
        <v>1</v>
      </c>
      <c r="W4921">
        <v>1</v>
      </c>
      <c r="X4921">
        <v>2</v>
      </c>
      <c r="Y4921">
        <v>0</v>
      </c>
      <c r="Z4921">
        <v>2</v>
      </c>
      <c r="AA4921">
        <v>189.8</v>
      </c>
      <c r="AB4921">
        <v>189.8</v>
      </c>
      <c r="AC4921">
        <v>167</v>
      </c>
      <c r="AD4921">
        <v>0</v>
      </c>
      <c r="AE4921">
        <v>22.8</v>
      </c>
      <c r="AF4921">
        <v>0</v>
      </c>
      <c r="AG4921">
        <v>0</v>
      </c>
      <c r="AH4921">
        <v>0</v>
      </c>
      <c r="AI4921">
        <v>0</v>
      </c>
      <c r="AJ4921">
        <v>189.8</v>
      </c>
      <c r="AK4921">
        <v>0</v>
      </c>
      <c r="AL4921" t="s">
        <v>53</v>
      </c>
      <c r="AM4921" t="s">
        <v>53</v>
      </c>
      <c r="AN4921" t="s">
        <v>53</v>
      </c>
      <c r="AO4921" t="s">
        <v>53</v>
      </c>
      <c r="AP4921" t="s">
        <v>53</v>
      </c>
    </row>
    <row r="4922" spans="2:42" x14ac:dyDescent="0.2">
      <c r="B4922" t="s">
        <v>44</v>
      </c>
      <c r="C4922" t="str">
        <f>HYPERLINK("https://us2.cloudbeds.com/connect/8493803454333002#/reservations/9080486846077599?display=2CN80Y134G&amp;reservation_id=9080486846077599", "2CN80Y134G")</f>
        <v>2CN80Y134G</v>
      </c>
      <c r="D4922" t="s">
        <v>45</v>
      </c>
      <c r="E4922" t="s">
        <v>46</v>
      </c>
      <c r="F4922" t="s">
        <v>47</v>
      </c>
      <c r="G4922" t="s">
        <v>48</v>
      </c>
      <c r="H4922" t="s">
        <v>49</v>
      </c>
      <c r="I4922" t="s">
        <v>50</v>
      </c>
      <c r="J4922" t="s">
        <v>5593</v>
      </c>
      <c r="K4922" t="s">
        <v>7706</v>
      </c>
      <c r="L4922" t="s">
        <v>53</v>
      </c>
      <c r="N4922" t="s">
        <v>8647</v>
      </c>
      <c r="P4922" t="s">
        <v>55</v>
      </c>
      <c r="R4922" t="s">
        <v>53</v>
      </c>
      <c r="T4922" t="s">
        <v>8648</v>
      </c>
      <c r="U4922" t="s">
        <v>58</v>
      </c>
      <c r="V4922">
        <v>2</v>
      </c>
      <c r="W4922">
        <v>1</v>
      </c>
      <c r="X4922">
        <v>2</v>
      </c>
      <c r="Y4922">
        <v>0</v>
      </c>
      <c r="Z4922">
        <v>2</v>
      </c>
      <c r="AA4922">
        <v>354.67</v>
      </c>
      <c r="AB4922">
        <v>354.67</v>
      </c>
      <c r="AC4922">
        <v>312.07</v>
      </c>
      <c r="AD4922">
        <v>0</v>
      </c>
      <c r="AE4922">
        <v>42.6</v>
      </c>
      <c r="AF4922">
        <v>0</v>
      </c>
      <c r="AG4922">
        <v>0</v>
      </c>
      <c r="AH4922">
        <v>0</v>
      </c>
      <c r="AI4922">
        <v>63.84</v>
      </c>
      <c r="AJ4922">
        <v>354.67</v>
      </c>
      <c r="AK4922">
        <v>0</v>
      </c>
      <c r="AL4922" t="s">
        <v>53</v>
      </c>
      <c r="AM4922" t="s">
        <v>53</v>
      </c>
      <c r="AN4922" t="s">
        <v>53</v>
      </c>
      <c r="AO4922" t="s">
        <v>53</v>
      </c>
      <c r="AP4922" t="s">
        <v>53</v>
      </c>
    </row>
    <row r="4923" spans="2:42" x14ac:dyDescent="0.2">
      <c r="B4923" t="s">
        <v>44</v>
      </c>
      <c r="C4923" t="str">
        <f>HYPERLINK("https://us2.cloudbeds.com/connect/8493803454333002#/reservations/9080486846077788?display=2CNF5PTPDV&amp;reservation_id=9080486846077788", "2CNF5PTPDV")</f>
        <v>2CNF5PTPDV</v>
      </c>
      <c r="D4923" t="s">
        <v>45</v>
      </c>
      <c r="E4923" t="s">
        <v>305</v>
      </c>
      <c r="F4923" t="s">
        <v>61</v>
      </c>
      <c r="G4923" t="s">
        <v>48</v>
      </c>
      <c r="H4923" t="s">
        <v>49</v>
      </c>
      <c r="I4923" t="s">
        <v>50</v>
      </c>
      <c r="J4923" t="s">
        <v>7376</v>
      </c>
      <c r="K4923" t="s">
        <v>7559</v>
      </c>
      <c r="L4923" t="s">
        <v>53</v>
      </c>
      <c r="N4923" t="s">
        <v>8649</v>
      </c>
      <c r="P4923" t="s">
        <v>55</v>
      </c>
      <c r="R4923" t="s">
        <v>53</v>
      </c>
      <c r="T4923" t="s">
        <v>8650</v>
      </c>
      <c r="U4923" t="s">
        <v>58</v>
      </c>
      <c r="V4923">
        <v>1</v>
      </c>
      <c r="W4923">
        <v>1</v>
      </c>
      <c r="X4923">
        <v>2</v>
      </c>
      <c r="Y4923">
        <v>0</v>
      </c>
      <c r="Z4923">
        <v>2</v>
      </c>
      <c r="AA4923">
        <v>155.1</v>
      </c>
      <c r="AB4923">
        <v>155.1</v>
      </c>
      <c r="AC4923">
        <v>136.47</v>
      </c>
      <c r="AD4923">
        <v>0</v>
      </c>
      <c r="AE4923">
        <v>18.63</v>
      </c>
      <c r="AF4923">
        <v>0</v>
      </c>
      <c r="AG4923">
        <v>0</v>
      </c>
      <c r="AH4923">
        <v>0</v>
      </c>
      <c r="AI4923">
        <v>27.92</v>
      </c>
      <c r="AJ4923">
        <v>155.1</v>
      </c>
      <c r="AK4923">
        <v>0</v>
      </c>
      <c r="AL4923" t="s">
        <v>53</v>
      </c>
      <c r="AM4923" t="s">
        <v>53</v>
      </c>
      <c r="AN4923" t="s">
        <v>53</v>
      </c>
      <c r="AO4923" t="s">
        <v>53</v>
      </c>
      <c r="AP4923" t="s">
        <v>53</v>
      </c>
    </row>
    <row r="4924" spans="2:42" x14ac:dyDescent="0.2">
      <c r="B4924" t="s">
        <v>44</v>
      </c>
      <c r="C4924" t="str">
        <f>HYPERLINK("https://us2.cloudbeds.com/connect/8493803454333002#/reservations/9080486846077795?display=2CNFEFAM8A&amp;reservation_id=9080486846077795", "2CNFEFAM8A")</f>
        <v>2CNFEFAM8A</v>
      </c>
      <c r="D4924" t="s">
        <v>45</v>
      </c>
      <c r="E4924" t="s">
        <v>110</v>
      </c>
      <c r="F4924" t="s">
        <v>47</v>
      </c>
      <c r="G4924" t="s">
        <v>48</v>
      </c>
      <c r="H4924" t="s">
        <v>49</v>
      </c>
      <c r="I4924" t="s">
        <v>62</v>
      </c>
      <c r="J4924" t="s">
        <v>6274</v>
      </c>
      <c r="K4924" t="s">
        <v>6416</v>
      </c>
      <c r="L4924" t="s">
        <v>53</v>
      </c>
      <c r="N4924" t="s">
        <v>8651</v>
      </c>
      <c r="P4924" t="s">
        <v>55</v>
      </c>
      <c r="R4924" t="s">
        <v>56</v>
      </c>
      <c r="T4924" t="s">
        <v>8652</v>
      </c>
      <c r="U4924" t="s">
        <v>55</v>
      </c>
      <c r="V4924">
        <v>1</v>
      </c>
      <c r="W4924">
        <v>1</v>
      </c>
      <c r="X4924">
        <v>2</v>
      </c>
      <c r="Y4924">
        <v>0</v>
      </c>
      <c r="Z4924">
        <v>2</v>
      </c>
      <c r="AA4924">
        <v>135</v>
      </c>
      <c r="AB4924">
        <v>135</v>
      </c>
      <c r="AC4924">
        <v>135</v>
      </c>
      <c r="AD4924">
        <v>0</v>
      </c>
      <c r="AE4924">
        <v>0</v>
      </c>
      <c r="AF4924">
        <v>0</v>
      </c>
      <c r="AG4924">
        <v>0</v>
      </c>
      <c r="AH4924">
        <v>0</v>
      </c>
      <c r="AI4924">
        <v>24.3</v>
      </c>
      <c r="AJ4924">
        <v>135</v>
      </c>
      <c r="AK4924">
        <v>0</v>
      </c>
      <c r="AL4924" t="s">
        <v>53</v>
      </c>
      <c r="AM4924" t="s">
        <v>53</v>
      </c>
      <c r="AN4924" t="s">
        <v>53</v>
      </c>
      <c r="AO4924" t="s">
        <v>53</v>
      </c>
      <c r="AP4924" t="s">
        <v>53</v>
      </c>
    </row>
    <row r="4925" spans="2:42" x14ac:dyDescent="0.2">
      <c r="B4925" t="s">
        <v>44</v>
      </c>
      <c r="C4925" t="str">
        <f>HYPERLINK("https://us2.cloudbeds.com/connect/8493803454333002#/reservations/9080486846078060?display=2CNPAVHJHN&amp;reservation_id=9080486846078060", "2CNPAVHJHN")</f>
        <v>2CNPAVHJHN</v>
      </c>
      <c r="D4925" t="s">
        <v>45</v>
      </c>
      <c r="E4925" t="s">
        <v>105</v>
      </c>
      <c r="F4925" t="s">
        <v>47</v>
      </c>
      <c r="G4925" t="s">
        <v>48</v>
      </c>
      <c r="H4925" t="s">
        <v>49</v>
      </c>
      <c r="I4925" t="s">
        <v>62</v>
      </c>
      <c r="J4925" t="s">
        <v>7394</v>
      </c>
      <c r="K4925" t="s">
        <v>7376</v>
      </c>
      <c r="L4925" t="s">
        <v>53</v>
      </c>
      <c r="N4925" t="s">
        <v>8653</v>
      </c>
      <c r="P4925" t="s">
        <v>55</v>
      </c>
      <c r="R4925" t="s">
        <v>56</v>
      </c>
      <c r="T4925" t="s">
        <v>8654</v>
      </c>
      <c r="U4925" t="s">
        <v>55</v>
      </c>
      <c r="V4925">
        <v>3</v>
      </c>
      <c r="W4925">
        <v>1</v>
      </c>
      <c r="X4925">
        <v>2</v>
      </c>
      <c r="Y4925">
        <v>0</v>
      </c>
      <c r="Z4925">
        <v>2</v>
      </c>
      <c r="AA4925">
        <v>563</v>
      </c>
      <c r="AB4925">
        <v>563</v>
      </c>
      <c r="AC4925">
        <v>563</v>
      </c>
      <c r="AD4925">
        <v>0</v>
      </c>
      <c r="AE4925">
        <v>0</v>
      </c>
      <c r="AF4925">
        <v>0</v>
      </c>
      <c r="AG4925">
        <v>0</v>
      </c>
      <c r="AH4925">
        <v>0</v>
      </c>
      <c r="AI4925">
        <v>101.34</v>
      </c>
      <c r="AJ4925">
        <v>563</v>
      </c>
      <c r="AK4925">
        <v>0</v>
      </c>
      <c r="AL4925" t="s">
        <v>53</v>
      </c>
      <c r="AM4925" t="s">
        <v>53</v>
      </c>
      <c r="AN4925" t="s">
        <v>53</v>
      </c>
      <c r="AO4925" t="s">
        <v>53</v>
      </c>
      <c r="AP4925" t="s">
        <v>53</v>
      </c>
    </row>
    <row r="4926" spans="2:42" x14ac:dyDescent="0.2">
      <c r="B4926" t="s">
        <v>44</v>
      </c>
      <c r="C4926" t="str">
        <f>HYPERLINK("https://us2.cloudbeds.com/connect/8493803454333002#/reservations/9080486846078263?display=2CZ15GA7TR&amp;reservation_id=9080486846078263", "2CZ15GA7TR")</f>
        <v>2CZ15GA7TR</v>
      </c>
      <c r="D4926" t="s">
        <v>45</v>
      </c>
      <c r="E4926" t="s">
        <v>190</v>
      </c>
      <c r="F4926" t="s">
        <v>61</v>
      </c>
      <c r="G4926" t="s">
        <v>48</v>
      </c>
      <c r="H4926" t="s">
        <v>49</v>
      </c>
      <c r="I4926" t="s">
        <v>50</v>
      </c>
      <c r="J4926" t="s">
        <v>6396</v>
      </c>
      <c r="K4926" t="s">
        <v>6397</v>
      </c>
      <c r="L4926" t="s">
        <v>53</v>
      </c>
      <c r="N4926" t="s">
        <v>8655</v>
      </c>
      <c r="P4926" t="s">
        <v>55</v>
      </c>
      <c r="R4926" t="s">
        <v>53</v>
      </c>
      <c r="T4926" t="s">
        <v>8656</v>
      </c>
      <c r="U4926" t="s">
        <v>58</v>
      </c>
      <c r="V4926">
        <v>1</v>
      </c>
      <c r="W4926">
        <v>1</v>
      </c>
      <c r="X4926">
        <v>2</v>
      </c>
      <c r="Y4926">
        <v>0</v>
      </c>
      <c r="Z4926">
        <v>2</v>
      </c>
      <c r="AA4926">
        <v>198.9</v>
      </c>
      <c r="AB4926">
        <v>204.33</v>
      </c>
      <c r="AC4926">
        <v>175</v>
      </c>
      <c r="AD4926">
        <v>5</v>
      </c>
      <c r="AE4926">
        <v>24.33</v>
      </c>
      <c r="AF4926">
        <v>0</v>
      </c>
      <c r="AG4926">
        <v>0</v>
      </c>
      <c r="AH4926">
        <v>0</v>
      </c>
      <c r="AI4926">
        <v>36.78</v>
      </c>
      <c r="AJ4926">
        <v>204.33</v>
      </c>
      <c r="AK4926">
        <v>0</v>
      </c>
      <c r="AL4926" t="s">
        <v>53</v>
      </c>
      <c r="AM4926" t="s">
        <v>53</v>
      </c>
      <c r="AN4926" t="s">
        <v>53</v>
      </c>
      <c r="AO4926" t="s">
        <v>53</v>
      </c>
      <c r="AP4926" t="s">
        <v>53</v>
      </c>
    </row>
    <row r="4927" spans="2:42" x14ac:dyDescent="0.2">
      <c r="B4927" t="s">
        <v>44</v>
      </c>
      <c r="C4927" t="str">
        <f>HYPERLINK("https://us2.cloudbeds.com/connect/8493803454333002#/reservations/9080486846078270?display=2CZ1CV6RVQ&amp;reservation_id=9080486846078270", "2CZ1CV6RVQ")</f>
        <v>2CZ1CV6RVQ</v>
      </c>
      <c r="D4927" t="s">
        <v>45</v>
      </c>
      <c r="E4927" t="s">
        <v>98</v>
      </c>
      <c r="F4927" t="s">
        <v>86</v>
      </c>
      <c r="G4927" t="s">
        <v>48</v>
      </c>
      <c r="H4927" t="s">
        <v>49</v>
      </c>
      <c r="I4927" t="s">
        <v>50</v>
      </c>
      <c r="J4927" t="s">
        <v>6397</v>
      </c>
      <c r="K4927" t="s">
        <v>7962</v>
      </c>
      <c r="L4927" t="s">
        <v>53</v>
      </c>
      <c r="N4927" t="s">
        <v>8657</v>
      </c>
      <c r="P4927" t="s">
        <v>55</v>
      </c>
      <c r="R4927" t="s">
        <v>53</v>
      </c>
      <c r="T4927" t="s">
        <v>8658</v>
      </c>
      <c r="U4927" t="s">
        <v>58</v>
      </c>
      <c r="V4927">
        <v>2</v>
      </c>
      <c r="W4927">
        <v>1</v>
      </c>
      <c r="X4927">
        <v>2</v>
      </c>
      <c r="Y4927">
        <v>1</v>
      </c>
      <c r="Z4927">
        <v>3</v>
      </c>
      <c r="AA4927">
        <v>335.22</v>
      </c>
      <c r="AB4927">
        <v>335.22</v>
      </c>
      <c r="AC4927">
        <v>294.95</v>
      </c>
      <c r="AD4927">
        <v>0</v>
      </c>
      <c r="AE4927">
        <v>40.270000000000003</v>
      </c>
      <c r="AF4927">
        <v>0</v>
      </c>
      <c r="AG4927">
        <v>0</v>
      </c>
      <c r="AH4927">
        <v>0</v>
      </c>
      <c r="AI4927">
        <v>60.34</v>
      </c>
      <c r="AJ4927">
        <v>335.22</v>
      </c>
      <c r="AK4927">
        <v>0</v>
      </c>
      <c r="AL4927" t="s">
        <v>53</v>
      </c>
      <c r="AM4927" t="s">
        <v>53</v>
      </c>
      <c r="AN4927" t="s">
        <v>53</v>
      </c>
      <c r="AO4927" t="s">
        <v>53</v>
      </c>
      <c r="AP4927" t="s">
        <v>53</v>
      </c>
    </row>
    <row r="4928" spans="2:42" x14ac:dyDescent="0.2">
      <c r="B4928" t="s">
        <v>44</v>
      </c>
      <c r="C4928" t="str">
        <f>HYPERLINK("https://us2.cloudbeds.com/connect/8493803454333002#/reservations/9080486846078929?display=2CZU9UUQ05&amp;reservation_id=9080486846078929", "2CZU9UUQ05")</f>
        <v>2CZU9UUQ05</v>
      </c>
      <c r="D4928" t="s">
        <v>45</v>
      </c>
      <c r="E4928" t="s">
        <v>128</v>
      </c>
      <c r="F4928" t="s">
        <v>86</v>
      </c>
      <c r="G4928" t="s">
        <v>48</v>
      </c>
      <c r="H4928" t="s">
        <v>49</v>
      </c>
      <c r="I4928" t="s">
        <v>50</v>
      </c>
      <c r="J4928" t="s">
        <v>7822</v>
      </c>
      <c r="K4928" t="s">
        <v>8143</v>
      </c>
      <c r="L4928" t="s">
        <v>53</v>
      </c>
      <c r="N4928" t="s">
        <v>8659</v>
      </c>
      <c r="P4928" t="s">
        <v>55</v>
      </c>
      <c r="R4928" t="s">
        <v>53</v>
      </c>
      <c r="T4928" t="s">
        <v>8660</v>
      </c>
      <c r="U4928" t="s">
        <v>58</v>
      </c>
      <c r="V4928">
        <v>1</v>
      </c>
      <c r="W4928">
        <v>1</v>
      </c>
      <c r="X4928">
        <v>4</v>
      </c>
      <c r="Y4928">
        <v>0</v>
      </c>
      <c r="Z4928">
        <v>4</v>
      </c>
      <c r="AA4928">
        <v>190.93</v>
      </c>
      <c r="AB4928">
        <v>190.93</v>
      </c>
      <c r="AC4928">
        <v>168</v>
      </c>
      <c r="AD4928">
        <v>0</v>
      </c>
      <c r="AE4928">
        <v>22.93</v>
      </c>
      <c r="AF4928">
        <v>0</v>
      </c>
      <c r="AG4928">
        <v>0</v>
      </c>
      <c r="AH4928">
        <v>0</v>
      </c>
      <c r="AI4928">
        <v>34.369999999999997</v>
      </c>
      <c r="AJ4928">
        <v>190.93</v>
      </c>
      <c r="AK4928">
        <v>0</v>
      </c>
      <c r="AL4928" t="s">
        <v>53</v>
      </c>
      <c r="AM4928" t="s">
        <v>53</v>
      </c>
      <c r="AN4928" t="s">
        <v>53</v>
      </c>
      <c r="AO4928" t="s">
        <v>53</v>
      </c>
      <c r="AP4928" t="s">
        <v>53</v>
      </c>
    </row>
    <row r="4929" spans="2:42" x14ac:dyDescent="0.2">
      <c r="B4929" t="s">
        <v>44</v>
      </c>
      <c r="C4929" t="str">
        <f>HYPERLINK("https://us2.cloudbeds.com/connect/8493803454333002#/reservations/9080486846078934?display=2CZU9UUTP6&amp;reservation_id=9080486846078934", "2CZU9UUTP6")</f>
        <v>2CZU9UUTP6</v>
      </c>
      <c r="D4929" t="s">
        <v>45</v>
      </c>
      <c r="E4929" t="s">
        <v>113</v>
      </c>
      <c r="F4929" t="s">
        <v>61</v>
      </c>
      <c r="G4929" t="s">
        <v>48</v>
      </c>
      <c r="H4929" t="s">
        <v>49</v>
      </c>
      <c r="I4929" t="s">
        <v>50</v>
      </c>
      <c r="J4929" t="s">
        <v>6274</v>
      </c>
      <c r="K4929" t="s">
        <v>6416</v>
      </c>
      <c r="L4929" t="s">
        <v>53</v>
      </c>
      <c r="N4929" t="s">
        <v>8661</v>
      </c>
      <c r="P4929" t="s">
        <v>55</v>
      </c>
      <c r="R4929" t="s">
        <v>53</v>
      </c>
      <c r="T4929" t="s">
        <v>8662</v>
      </c>
      <c r="U4929" t="s">
        <v>58</v>
      </c>
      <c r="V4929">
        <v>1</v>
      </c>
      <c r="W4929">
        <v>1</v>
      </c>
      <c r="X4929">
        <v>1</v>
      </c>
      <c r="Y4929">
        <v>0</v>
      </c>
      <c r="Z4929">
        <v>1</v>
      </c>
      <c r="AA4929">
        <v>129.1</v>
      </c>
      <c r="AB4929">
        <v>129.1</v>
      </c>
      <c r="AC4929">
        <v>113.6</v>
      </c>
      <c r="AD4929">
        <v>0</v>
      </c>
      <c r="AE4929">
        <v>15.5</v>
      </c>
      <c r="AF4929">
        <v>0</v>
      </c>
      <c r="AG4929">
        <v>0</v>
      </c>
      <c r="AH4929">
        <v>0</v>
      </c>
      <c r="AI4929">
        <v>23.24</v>
      </c>
      <c r="AJ4929">
        <v>129.1</v>
      </c>
      <c r="AK4929">
        <v>0</v>
      </c>
      <c r="AL4929" t="s">
        <v>53</v>
      </c>
      <c r="AM4929" t="s">
        <v>53</v>
      </c>
      <c r="AN4929" t="s">
        <v>53</v>
      </c>
      <c r="AO4929" t="s">
        <v>53</v>
      </c>
      <c r="AP4929" t="s">
        <v>53</v>
      </c>
    </row>
    <row r="4930" spans="2:42" x14ac:dyDescent="0.2">
      <c r="B4930" t="s">
        <v>44</v>
      </c>
      <c r="C4930" t="str">
        <f>HYPERLINK("https://us2.cloudbeds.com/connect/8493803454333002#/reservations/9080486846079051?display=2CP4FKPRBB&amp;reservation_id=9080486846079051", "2CP4FKPRBB")</f>
        <v>2CP4FKPRBB</v>
      </c>
      <c r="D4930" t="s">
        <v>45</v>
      </c>
      <c r="E4930" t="s">
        <v>190</v>
      </c>
      <c r="F4930" t="s">
        <v>61</v>
      </c>
      <c r="G4930" t="s">
        <v>48</v>
      </c>
      <c r="H4930" t="s">
        <v>49</v>
      </c>
      <c r="I4930" t="s">
        <v>50</v>
      </c>
      <c r="J4930" t="s">
        <v>6274</v>
      </c>
      <c r="K4930" t="s">
        <v>6416</v>
      </c>
      <c r="L4930" t="s">
        <v>53</v>
      </c>
      <c r="N4930" t="s">
        <v>8663</v>
      </c>
      <c r="P4930" t="s">
        <v>55</v>
      </c>
      <c r="R4930" t="s">
        <v>53</v>
      </c>
      <c r="T4930" t="s">
        <v>8664</v>
      </c>
      <c r="U4930" t="s">
        <v>58</v>
      </c>
      <c r="V4930">
        <v>1</v>
      </c>
      <c r="W4930">
        <v>1</v>
      </c>
      <c r="X4930">
        <v>2</v>
      </c>
      <c r="Y4930">
        <v>0</v>
      </c>
      <c r="Z4930">
        <v>2</v>
      </c>
      <c r="AA4930">
        <v>145.25</v>
      </c>
      <c r="AB4930">
        <v>145.25</v>
      </c>
      <c r="AC4930">
        <v>127.8</v>
      </c>
      <c r="AD4930">
        <v>0</v>
      </c>
      <c r="AE4930">
        <v>17.45</v>
      </c>
      <c r="AF4930">
        <v>0</v>
      </c>
      <c r="AG4930">
        <v>0</v>
      </c>
      <c r="AH4930">
        <v>0</v>
      </c>
      <c r="AI4930">
        <v>26.15</v>
      </c>
      <c r="AJ4930">
        <v>145.25</v>
      </c>
      <c r="AK4930">
        <v>0</v>
      </c>
      <c r="AL4930" t="s">
        <v>53</v>
      </c>
      <c r="AM4930" t="s">
        <v>53</v>
      </c>
      <c r="AN4930" t="s">
        <v>53</v>
      </c>
      <c r="AO4930" t="s">
        <v>53</v>
      </c>
      <c r="AP4930" t="s">
        <v>53</v>
      </c>
    </row>
    <row r="4931" spans="2:42" x14ac:dyDescent="0.2">
      <c r="B4931" t="s">
        <v>44</v>
      </c>
      <c r="C4931" t="str">
        <f>HYPERLINK("https://us2.cloudbeds.com/connect/8493803454333002#/reservations/9080486846079292?display=2CPFQUMY15&amp;reservation_id=9080486846079292", "2CPFQUMY15")</f>
        <v>2CPFQUMY15</v>
      </c>
      <c r="D4931" t="s">
        <v>45</v>
      </c>
      <c r="E4931" t="s">
        <v>69</v>
      </c>
      <c r="F4931" t="s">
        <v>70</v>
      </c>
      <c r="G4931" t="s">
        <v>48</v>
      </c>
      <c r="H4931" t="s">
        <v>49</v>
      </c>
      <c r="I4931" t="s">
        <v>62</v>
      </c>
      <c r="J4931" t="s">
        <v>8119</v>
      </c>
      <c r="K4931" t="s">
        <v>7864</v>
      </c>
      <c r="L4931" t="s">
        <v>53</v>
      </c>
      <c r="N4931" t="s">
        <v>8665</v>
      </c>
      <c r="P4931" t="s">
        <v>55</v>
      </c>
      <c r="R4931" t="s">
        <v>56</v>
      </c>
      <c r="T4931" t="s">
        <v>8666</v>
      </c>
      <c r="U4931" t="s">
        <v>55</v>
      </c>
      <c r="V4931">
        <v>1</v>
      </c>
      <c r="W4931">
        <v>1</v>
      </c>
      <c r="X4931">
        <v>2</v>
      </c>
      <c r="Y4931">
        <v>0</v>
      </c>
      <c r="Z4931">
        <v>2</v>
      </c>
      <c r="AA4931">
        <v>161.5</v>
      </c>
      <c r="AB4931">
        <v>161.5</v>
      </c>
      <c r="AC4931">
        <v>161.5</v>
      </c>
      <c r="AD4931">
        <v>0</v>
      </c>
      <c r="AE4931">
        <v>0</v>
      </c>
      <c r="AF4931">
        <v>0</v>
      </c>
      <c r="AG4931">
        <v>0</v>
      </c>
      <c r="AH4931">
        <v>0</v>
      </c>
      <c r="AI4931">
        <v>29.07</v>
      </c>
      <c r="AJ4931">
        <v>161.5</v>
      </c>
      <c r="AK4931">
        <v>0</v>
      </c>
      <c r="AL4931" t="s">
        <v>53</v>
      </c>
      <c r="AM4931" t="s">
        <v>53</v>
      </c>
      <c r="AN4931" t="s">
        <v>53</v>
      </c>
      <c r="AO4931" t="s">
        <v>53</v>
      </c>
      <c r="AP4931" t="s">
        <v>53</v>
      </c>
    </row>
    <row r="4932" spans="2:42" x14ac:dyDescent="0.2">
      <c r="B4932" t="s">
        <v>44</v>
      </c>
      <c r="C4932" t="str">
        <f>HYPERLINK("https://us2.cloudbeds.com/connect/8493803454333002#/reservations/110789630636162?display=2CPXQS5904&amp;reservation_id=110789630636162", "2CPXQS5904")</f>
        <v>2CPXQS5904</v>
      </c>
      <c r="D4932" t="s">
        <v>45</v>
      </c>
      <c r="E4932" t="s">
        <v>138</v>
      </c>
      <c r="F4932" t="s">
        <v>70</v>
      </c>
      <c r="G4932" t="s">
        <v>48</v>
      </c>
      <c r="H4932" t="s">
        <v>3957</v>
      </c>
      <c r="I4932" t="s">
        <v>3958</v>
      </c>
      <c r="J4932" t="s">
        <v>6274</v>
      </c>
      <c r="K4932" t="s">
        <v>6416</v>
      </c>
      <c r="L4932" t="s">
        <v>53</v>
      </c>
      <c r="P4932" t="s">
        <v>55</v>
      </c>
      <c r="R4932" t="s">
        <v>56</v>
      </c>
      <c r="T4932" t="s">
        <v>8667</v>
      </c>
      <c r="U4932" t="s">
        <v>58</v>
      </c>
      <c r="V4932">
        <v>1</v>
      </c>
      <c r="W4932">
        <v>1</v>
      </c>
      <c r="X4932">
        <v>1</v>
      </c>
      <c r="Y4932">
        <v>0</v>
      </c>
      <c r="Z4932">
        <v>1</v>
      </c>
      <c r="AA4932">
        <v>145.47</v>
      </c>
      <c r="AB4932">
        <v>145.47</v>
      </c>
      <c r="AC4932">
        <v>128</v>
      </c>
      <c r="AD4932">
        <v>0</v>
      </c>
      <c r="AE4932">
        <v>17.47</v>
      </c>
      <c r="AF4932">
        <v>0</v>
      </c>
      <c r="AG4932">
        <v>0</v>
      </c>
      <c r="AH4932">
        <v>0</v>
      </c>
      <c r="AI4932">
        <v>0</v>
      </c>
      <c r="AJ4932">
        <v>145.47</v>
      </c>
      <c r="AK4932">
        <v>0</v>
      </c>
      <c r="AL4932" t="s">
        <v>53</v>
      </c>
      <c r="AM4932" t="s">
        <v>53</v>
      </c>
      <c r="AN4932" t="s">
        <v>53</v>
      </c>
      <c r="AO4932" t="s">
        <v>53</v>
      </c>
      <c r="AP4932" t="s">
        <v>53</v>
      </c>
    </row>
    <row r="4933" spans="2:42" x14ac:dyDescent="0.2">
      <c r="B4933" t="s">
        <v>44</v>
      </c>
      <c r="C4933" t="str">
        <f>HYPERLINK("https://us2.cloudbeds.com/connect/8493803454333002#/reservations/9080486846079663?display=2CQ2CPTGNB&amp;reservation_id=9080486846079663", "2CQ2CPTGNB")</f>
        <v>2CQ2CPTGNB</v>
      </c>
      <c r="D4933" t="s">
        <v>45</v>
      </c>
      <c r="E4933" t="s">
        <v>265</v>
      </c>
      <c r="F4933" t="s">
        <v>61</v>
      </c>
      <c r="G4933" t="s">
        <v>48</v>
      </c>
      <c r="H4933" t="s">
        <v>49</v>
      </c>
      <c r="I4933" t="s">
        <v>62</v>
      </c>
      <c r="J4933" t="s">
        <v>6396</v>
      </c>
      <c r="K4933" t="s">
        <v>7152</v>
      </c>
      <c r="L4933" t="s">
        <v>53</v>
      </c>
      <c r="N4933" t="s">
        <v>8668</v>
      </c>
      <c r="P4933" t="s">
        <v>55</v>
      </c>
      <c r="R4933" t="s">
        <v>56</v>
      </c>
      <c r="T4933" t="s">
        <v>8669</v>
      </c>
      <c r="U4933" t="s">
        <v>55</v>
      </c>
      <c r="V4933">
        <v>2</v>
      </c>
      <c r="W4933">
        <v>1</v>
      </c>
      <c r="X4933">
        <v>2</v>
      </c>
      <c r="Y4933">
        <v>0</v>
      </c>
      <c r="Z4933">
        <v>2</v>
      </c>
      <c r="AA4933">
        <v>334</v>
      </c>
      <c r="AB4933">
        <v>334</v>
      </c>
      <c r="AC4933">
        <v>334</v>
      </c>
      <c r="AD4933">
        <v>0</v>
      </c>
      <c r="AE4933">
        <v>0</v>
      </c>
      <c r="AF4933">
        <v>0</v>
      </c>
      <c r="AG4933">
        <v>0</v>
      </c>
      <c r="AH4933">
        <v>0</v>
      </c>
      <c r="AI4933">
        <v>60.12</v>
      </c>
      <c r="AJ4933">
        <v>334</v>
      </c>
      <c r="AK4933">
        <v>0</v>
      </c>
      <c r="AL4933" t="s">
        <v>53</v>
      </c>
      <c r="AM4933" t="s">
        <v>53</v>
      </c>
      <c r="AN4933" t="s">
        <v>53</v>
      </c>
      <c r="AO4933" t="s">
        <v>53</v>
      </c>
      <c r="AP4933" t="s">
        <v>53</v>
      </c>
    </row>
    <row r="4934" spans="2:42" x14ac:dyDescent="0.2">
      <c r="B4934" t="s">
        <v>44</v>
      </c>
      <c r="C4934" t="str">
        <f>HYPERLINK("https://us2.cloudbeds.com/connect/8493803454333002#/reservations/9080486846079793?display=2CQAYXVRZV&amp;reservation_id=9080486846079793", "2CQAYXVRZV")</f>
        <v>2CQAYXVRZV</v>
      </c>
      <c r="D4934" t="s">
        <v>602</v>
      </c>
      <c r="E4934" t="s">
        <v>53</v>
      </c>
      <c r="F4934" t="s">
        <v>70</v>
      </c>
      <c r="G4934" t="s">
        <v>48</v>
      </c>
      <c r="H4934" t="s">
        <v>49</v>
      </c>
      <c r="I4934" t="s">
        <v>50</v>
      </c>
      <c r="J4934" t="s">
        <v>7967</v>
      </c>
      <c r="K4934" t="s">
        <v>8670</v>
      </c>
      <c r="L4934" t="s">
        <v>53</v>
      </c>
      <c r="N4934" t="s">
        <v>8671</v>
      </c>
      <c r="P4934" t="s">
        <v>55</v>
      </c>
      <c r="R4934" t="s">
        <v>53</v>
      </c>
      <c r="T4934" t="s">
        <v>8672</v>
      </c>
      <c r="U4934" t="s">
        <v>58</v>
      </c>
      <c r="V4934">
        <v>1</v>
      </c>
      <c r="W4934">
        <v>1</v>
      </c>
      <c r="X4934">
        <v>1</v>
      </c>
      <c r="Y4934">
        <v>0</v>
      </c>
      <c r="Z4934">
        <v>1</v>
      </c>
      <c r="AA4934">
        <v>160.6</v>
      </c>
      <c r="AB4934">
        <v>160.6</v>
      </c>
      <c r="AC4934">
        <v>141.30000000000001</v>
      </c>
      <c r="AD4934">
        <v>0</v>
      </c>
      <c r="AE4934">
        <v>19.3</v>
      </c>
      <c r="AF4934">
        <v>0</v>
      </c>
      <c r="AG4934">
        <v>0</v>
      </c>
      <c r="AH4934">
        <v>0</v>
      </c>
      <c r="AI4934">
        <v>28.91</v>
      </c>
      <c r="AJ4934">
        <v>160.6</v>
      </c>
      <c r="AK4934">
        <v>0</v>
      </c>
      <c r="AL4934">
        <v>141.30000000000001</v>
      </c>
      <c r="AM4934">
        <v>160.6</v>
      </c>
      <c r="AN4934" t="s">
        <v>53</v>
      </c>
      <c r="AO4934" t="s">
        <v>53</v>
      </c>
      <c r="AP4934" t="s">
        <v>53</v>
      </c>
    </row>
    <row r="4935" spans="2:42" x14ac:dyDescent="0.2">
      <c r="B4935" t="s">
        <v>44</v>
      </c>
      <c r="C4935" t="str">
        <f>HYPERLINK("https://us2.cloudbeds.com/connect/8493803454333002#/reservations/110843559403670?display=2CQRXSANV4&amp;reservation_id=110843559403670", "2CQRXSANV4")</f>
        <v>2CQRXSANV4</v>
      </c>
      <c r="D4935" t="s">
        <v>45</v>
      </c>
      <c r="E4935" t="s">
        <v>105</v>
      </c>
      <c r="F4935" t="s">
        <v>47</v>
      </c>
      <c r="G4935" t="s">
        <v>48</v>
      </c>
      <c r="H4935" t="s">
        <v>3957</v>
      </c>
      <c r="I4935" t="s">
        <v>3975</v>
      </c>
      <c r="J4935" t="s">
        <v>7486</v>
      </c>
      <c r="K4935" t="s">
        <v>7394</v>
      </c>
      <c r="L4935" t="s">
        <v>53</v>
      </c>
      <c r="P4935" t="s">
        <v>55</v>
      </c>
      <c r="R4935" t="s">
        <v>53</v>
      </c>
      <c r="T4935" t="s">
        <v>8673</v>
      </c>
      <c r="U4935" t="s">
        <v>58</v>
      </c>
      <c r="V4935">
        <v>1</v>
      </c>
      <c r="W4935">
        <v>1</v>
      </c>
      <c r="X4935">
        <v>2</v>
      </c>
      <c r="Y4935">
        <v>0</v>
      </c>
      <c r="Z4935">
        <v>2</v>
      </c>
      <c r="AA4935">
        <v>200.02</v>
      </c>
      <c r="AB4935">
        <v>200.02</v>
      </c>
      <c r="AC4935">
        <v>176</v>
      </c>
      <c r="AD4935">
        <v>0</v>
      </c>
      <c r="AE4935">
        <v>24.02</v>
      </c>
      <c r="AF4935">
        <v>0</v>
      </c>
      <c r="AG4935">
        <v>0</v>
      </c>
      <c r="AH4935">
        <v>0</v>
      </c>
      <c r="AI4935">
        <v>0</v>
      </c>
      <c r="AJ4935">
        <v>200.02</v>
      </c>
      <c r="AK4935">
        <v>0</v>
      </c>
      <c r="AL4935" t="s">
        <v>53</v>
      </c>
      <c r="AM4935" t="s">
        <v>53</v>
      </c>
      <c r="AN4935" t="s">
        <v>53</v>
      </c>
      <c r="AO4935" t="s">
        <v>53</v>
      </c>
      <c r="AP4935" t="s">
        <v>53</v>
      </c>
    </row>
    <row r="4936" spans="2:42" x14ac:dyDescent="0.2">
      <c r="B4936" t="s">
        <v>44</v>
      </c>
      <c r="C4936" t="str">
        <f>HYPERLINK("https://us2.cloudbeds.com/connect/8493803454333002#/reservations/9080486846080284?display=2CR7N1PBGK&amp;reservation_id=9080486846080284", "2CR7N1PBGK")</f>
        <v>2CR7N1PBGK</v>
      </c>
      <c r="D4936" t="s">
        <v>45</v>
      </c>
      <c r="E4936" t="s">
        <v>165</v>
      </c>
      <c r="F4936" t="s">
        <v>61</v>
      </c>
      <c r="G4936" t="s">
        <v>48</v>
      </c>
      <c r="H4936" t="s">
        <v>49</v>
      </c>
      <c r="I4936" t="s">
        <v>50</v>
      </c>
      <c r="J4936" t="s">
        <v>5593</v>
      </c>
      <c r="K4936" t="s">
        <v>5594</v>
      </c>
      <c r="L4936" t="s">
        <v>53</v>
      </c>
      <c r="N4936" t="s">
        <v>8674</v>
      </c>
      <c r="P4936" t="s">
        <v>55</v>
      </c>
      <c r="R4936" t="s">
        <v>53</v>
      </c>
      <c r="T4936" t="s">
        <v>8675</v>
      </c>
      <c r="U4936" t="s">
        <v>58</v>
      </c>
      <c r="V4936">
        <v>1</v>
      </c>
      <c r="W4936">
        <v>1</v>
      </c>
      <c r="X4936">
        <v>2</v>
      </c>
      <c r="Y4936">
        <v>0</v>
      </c>
      <c r="Z4936">
        <v>2</v>
      </c>
      <c r="AA4936">
        <v>176.38</v>
      </c>
      <c r="AB4936">
        <v>176.38</v>
      </c>
      <c r="AC4936">
        <v>155.19999999999999</v>
      </c>
      <c r="AD4936">
        <v>0</v>
      </c>
      <c r="AE4936">
        <v>21.18</v>
      </c>
      <c r="AF4936">
        <v>0</v>
      </c>
      <c r="AG4936">
        <v>0</v>
      </c>
      <c r="AH4936">
        <v>0</v>
      </c>
      <c r="AI4936">
        <v>31.75</v>
      </c>
      <c r="AJ4936">
        <v>176.38</v>
      </c>
      <c r="AK4936">
        <v>0</v>
      </c>
      <c r="AL4936" t="s">
        <v>53</v>
      </c>
      <c r="AM4936" t="s">
        <v>53</v>
      </c>
      <c r="AN4936" t="s">
        <v>53</v>
      </c>
      <c r="AO4936" t="s">
        <v>53</v>
      </c>
      <c r="AP4936" t="s">
        <v>53</v>
      </c>
    </row>
    <row r="4937" spans="2:42" x14ac:dyDescent="0.2">
      <c r="B4937" t="s">
        <v>44</v>
      </c>
      <c r="C4937" t="str">
        <f>HYPERLINK("https://us2.cloudbeds.com/connect/8493803454333002#/reservations/9080486846081753?display=2CTUS7P0RJ&amp;reservation_id=9080486846081753", "2CTUS7P0RJ")</f>
        <v>2CTUS7P0RJ</v>
      </c>
      <c r="D4937" t="s">
        <v>45</v>
      </c>
      <c r="E4937" t="s">
        <v>110</v>
      </c>
      <c r="F4937" t="s">
        <v>47</v>
      </c>
      <c r="G4937" t="s">
        <v>48</v>
      </c>
      <c r="H4937" t="s">
        <v>49</v>
      </c>
      <c r="I4937" t="s">
        <v>50</v>
      </c>
      <c r="J4937" t="s">
        <v>7821</v>
      </c>
      <c r="K4937" t="s">
        <v>8133</v>
      </c>
      <c r="L4937" t="s">
        <v>53</v>
      </c>
      <c r="N4937" t="s">
        <v>8676</v>
      </c>
      <c r="P4937" t="s">
        <v>55</v>
      </c>
      <c r="R4937" t="s">
        <v>53</v>
      </c>
      <c r="T4937" t="s">
        <v>8677</v>
      </c>
      <c r="U4937" t="s">
        <v>58</v>
      </c>
      <c r="V4937">
        <v>1</v>
      </c>
      <c r="W4937">
        <v>1</v>
      </c>
      <c r="X4937">
        <v>2</v>
      </c>
      <c r="Y4937">
        <v>0</v>
      </c>
      <c r="Z4937">
        <v>2</v>
      </c>
      <c r="AA4937">
        <v>173.89</v>
      </c>
      <c r="AB4937">
        <v>187.44</v>
      </c>
      <c r="AC4937">
        <v>153</v>
      </c>
      <c r="AD4937">
        <v>12.5</v>
      </c>
      <c r="AE4937">
        <v>21.94</v>
      </c>
      <c r="AF4937">
        <v>0</v>
      </c>
      <c r="AG4937">
        <v>0</v>
      </c>
      <c r="AH4937">
        <v>0</v>
      </c>
      <c r="AI4937">
        <v>33.74</v>
      </c>
      <c r="AJ4937">
        <v>187.44</v>
      </c>
      <c r="AK4937">
        <v>0</v>
      </c>
      <c r="AL4937" t="s">
        <v>53</v>
      </c>
      <c r="AM4937" t="s">
        <v>53</v>
      </c>
      <c r="AN4937" t="s">
        <v>53</v>
      </c>
      <c r="AO4937" t="s">
        <v>53</v>
      </c>
      <c r="AP4937" t="s">
        <v>53</v>
      </c>
    </row>
    <row r="4938" spans="2:42" x14ac:dyDescent="0.2">
      <c r="B4938" t="s">
        <v>44</v>
      </c>
      <c r="C4938" t="str">
        <f>HYPERLINK("https://us2.cloudbeds.com/connect/8493803454333002#/reservations/9080486846082754?display=2CV0A3Z0GZ&amp;reservation_id=9080486846082754", "2CV0A3Z0GZ")</f>
        <v>2CV0A3Z0GZ</v>
      </c>
      <c r="D4938" t="s">
        <v>45</v>
      </c>
      <c r="E4938" t="s">
        <v>98</v>
      </c>
      <c r="F4938" t="s">
        <v>86</v>
      </c>
      <c r="G4938" t="s">
        <v>48</v>
      </c>
      <c r="H4938" t="s">
        <v>49</v>
      </c>
      <c r="I4938" t="s">
        <v>50</v>
      </c>
      <c r="J4938" t="s">
        <v>6344</v>
      </c>
      <c r="K4938" t="s">
        <v>8678</v>
      </c>
      <c r="L4938" t="s">
        <v>53</v>
      </c>
      <c r="N4938" t="s">
        <v>8679</v>
      </c>
      <c r="P4938" t="s">
        <v>55</v>
      </c>
      <c r="R4938" t="s">
        <v>53</v>
      </c>
      <c r="T4938" t="s">
        <v>8680</v>
      </c>
      <c r="U4938" t="s">
        <v>58</v>
      </c>
      <c r="V4938">
        <v>2</v>
      </c>
      <c r="W4938">
        <v>1</v>
      </c>
      <c r="X4938">
        <v>1</v>
      </c>
      <c r="Y4938">
        <v>0</v>
      </c>
      <c r="Z4938">
        <v>1</v>
      </c>
      <c r="AA4938">
        <v>443.92</v>
      </c>
      <c r="AB4938">
        <v>443.92</v>
      </c>
      <c r="AC4938">
        <v>390.6</v>
      </c>
      <c r="AD4938">
        <v>0</v>
      </c>
      <c r="AE4938">
        <v>53.32</v>
      </c>
      <c r="AF4938">
        <v>0</v>
      </c>
      <c r="AG4938">
        <v>0</v>
      </c>
      <c r="AH4938">
        <v>0</v>
      </c>
      <c r="AI4938">
        <v>79.91</v>
      </c>
      <c r="AJ4938">
        <v>443.92</v>
      </c>
      <c r="AK4938">
        <v>0</v>
      </c>
      <c r="AL4938" t="s">
        <v>53</v>
      </c>
      <c r="AM4938" t="s">
        <v>53</v>
      </c>
      <c r="AN4938" t="s">
        <v>53</v>
      </c>
      <c r="AO4938" t="s">
        <v>53</v>
      </c>
      <c r="AP4938" t="s">
        <v>53</v>
      </c>
    </row>
    <row r="4939" spans="2:42" x14ac:dyDescent="0.2">
      <c r="B4939" t="s">
        <v>44</v>
      </c>
      <c r="C4939" t="str">
        <f>HYPERLINK("https://us2.cloudbeds.com/connect/8493803454333002#/reservations/9080486846082755?display=2CV0X537JV&amp;reservation_id=9080486846082755", "2CV0X537JV")</f>
        <v>2CV0X537JV</v>
      </c>
      <c r="D4939" t="s">
        <v>45</v>
      </c>
      <c r="E4939" t="s">
        <v>155</v>
      </c>
      <c r="F4939" t="s">
        <v>86</v>
      </c>
      <c r="G4939" t="s">
        <v>48</v>
      </c>
      <c r="H4939" t="s">
        <v>49</v>
      </c>
      <c r="I4939" t="s">
        <v>50</v>
      </c>
      <c r="J4939" t="s">
        <v>6344</v>
      </c>
      <c r="K4939" t="s">
        <v>8678</v>
      </c>
      <c r="L4939" t="s">
        <v>53</v>
      </c>
      <c r="N4939" t="s">
        <v>8681</v>
      </c>
      <c r="P4939" t="s">
        <v>55</v>
      </c>
      <c r="R4939" t="s">
        <v>53</v>
      </c>
      <c r="T4939" t="s">
        <v>8682</v>
      </c>
      <c r="U4939" t="s">
        <v>58</v>
      </c>
      <c r="V4939">
        <v>2</v>
      </c>
      <c r="W4939">
        <v>1</v>
      </c>
      <c r="X4939">
        <v>1</v>
      </c>
      <c r="Y4939">
        <v>0</v>
      </c>
      <c r="Z4939">
        <v>1</v>
      </c>
      <c r="AA4939">
        <v>443.92</v>
      </c>
      <c r="AB4939">
        <v>443.92</v>
      </c>
      <c r="AC4939">
        <v>390.6</v>
      </c>
      <c r="AD4939">
        <v>0</v>
      </c>
      <c r="AE4939">
        <v>53.32</v>
      </c>
      <c r="AF4939">
        <v>0</v>
      </c>
      <c r="AG4939">
        <v>0</v>
      </c>
      <c r="AH4939">
        <v>0</v>
      </c>
      <c r="AI4939">
        <v>79.91</v>
      </c>
      <c r="AJ4939">
        <v>443.92</v>
      </c>
      <c r="AK4939">
        <v>0</v>
      </c>
      <c r="AL4939" t="s">
        <v>53</v>
      </c>
      <c r="AM4939" t="s">
        <v>53</v>
      </c>
      <c r="AN4939" t="s">
        <v>53</v>
      </c>
      <c r="AO4939" t="s">
        <v>53</v>
      </c>
      <c r="AP4939" t="s">
        <v>53</v>
      </c>
    </row>
    <row r="4940" spans="2:42" x14ac:dyDescent="0.2">
      <c r="B4940" t="s">
        <v>44</v>
      </c>
      <c r="C4940" t="str">
        <f>HYPERLINK("https://us2.cloudbeds.com/connect/8493803454333002#/reservations/111024159097034?display=2CV2DJPDZS&amp;reservation_id=111024159097034", "2CV2DJPDZS")</f>
        <v>2CV2DJPDZS</v>
      </c>
      <c r="D4940" t="s">
        <v>45</v>
      </c>
      <c r="E4940" t="s">
        <v>487</v>
      </c>
      <c r="F4940" t="s">
        <v>61</v>
      </c>
      <c r="G4940" t="s">
        <v>48</v>
      </c>
      <c r="H4940" t="s">
        <v>3957</v>
      </c>
      <c r="I4940" t="s">
        <v>3958</v>
      </c>
      <c r="J4940" t="s">
        <v>6416</v>
      </c>
      <c r="K4940" t="s">
        <v>7402</v>
      </c>
      <c r="L4940" t="s">
        <v>53</v>
      </c>
      <c r="P4940" t="s">
        <v>55</v>
      </c>
      <c r="R4940" t="s">
        <v>56</v>
      </c>
      <c r="T4940" t="s">
        <v>8683</v>
      </c>
      <c r="U4940" t="s">
        <v>58</v>
      </c>
      <c r="V4940">
        <v>1</v>
      </c>
      <c r="W4940">
        <v>1</v>
      </c>
      <c r="X4940">
        <v>1</v>
      </c>
      <c r="Y4940">
        <v>0</v>
      </c>
      <c r="Z4940">
        <v>1</v>
      </c>
      <c r="AA4940">
        <v>147.29</v>
      </c>
      <c r="AB4940">
        <v>147.29</v>
      </c>
      <c r="AC4940">
        <v>129.6</v>
      </c>
      <c r="AD4940">
        <v>0</v>
      </c>
      <c r="AE4940">
        <v>17.690000000000001</v>
      </c>
      <c r="AF4940">
        <v>0</v>
      </c>
      <c r="AG4940">
        <v>0</v>
      </c>
      <c r="AH4940">
        <v>0</v>
      </c>
      <c r="AI4940">
        <v>0</v>
      </c>
      <c r="AJ4940">
        <v>147.29</v>
      </c>
      <c r="AK4940">
        <v>0</v>
      </c>
      <c r="AL4940" t="s">
        <v>53</v>
      </c>
      <c r="AM4940" t="s">
        <v>53</v>
      </c>
      <c r="AN4940" t="s">
        <v>53</v>
      </c>
      <c r="AO4940" t="s">
        <v>53</v>
      </c>
      <c r="AP4940" t="s">
        <v>53</v>
      </c>
    </row>
    <row r="4941" spans="2:42" x14ac:dyDescent="0.2">
      <c r="B4941" t="s">
        <v>44</v>
      </c>
      <c r="C4941" t="str">
        <f>HYPERLINK("https://us2.cloudbeds.com/connect/8493803454333002#/reservations/9080486846083424?display=2CVN4GRYTM&amp;reservation_id=9080486846083424", "2CVN4GRYTM")</f>
        <v>2CVN4GRYTM</v>
      </c>
      <c r="D4941" t="s">
        <v>45</v>
      </c>
      <c r="E4941" t="s">
        <v>138</v>
      </c>
      <c r="F4941" t="s">
        <v>70</v>
      </c>
      <c r="G4941" t="s">
        <v>48</v>
      </c>
      <c r="H4941" t="s">
        <v>49</v>
      </c>
      <c r="I4941" t="s">
        <v>50</v>
      </c>
      <c r="J4941" t="s">
        <v>6416</v>
      </c>
      <c r="K4941" t="s">
        <v>7402</v>
      </c>
      <c r="L4941" t="s">
        <v>53</v>
      </c>
      <c r="N4941" t="s">
        <v>8684</v>
      </c>
      <c r="P4941" t="s">
        <v>55</v>
      </c>
      <c r="R4941" t="s">
        <v>53</v>
      </c>
      <c r="T4941" t="s">
        <v>8685</v>
      </c>
      <c r="U4941" t="s">
        <v>58</v>
      </c>
      <c r="V4941">
        <v>1</v>
      </c>
      <c r="W4941">
        <v>1</v>
      </c>
      <c r="X4941">
        <v>1</v>
      </c>
      <c r="Y4941">
        <v>0</v>
      </c>
      <c r="Z4941">
        <v>1</v>
      </c>
      <c r="AA4941">
        <v>139.11000000000001</v>
      </c>
      <c r="AB4941">
        <v>139.11000000000001</v>
      </c>
      <c r="AC4941">
        <v>122.4</v>
      </c>
      <c r="AD4941">
        <v>0</v>
      </c>
      <c r="AE4941">
        <v>16.71</v>
      </c>
      <c r="AF4941">
        <v>0</v>
      </c>
      <c r="AG4941">
        <v>0</v>
      </c>
      <c r="AH4941">
        <v>0</v>
      </c>
      <c r="AI4941">
        <v>25.04</v>
      </c>
      <c r="AJ4941">
        <v>139.11000000000001</v>
      </c>
      <c r="AK4941">
        <v>0</v>
      </c>
      <c r="AL4941" t="s">
        <v>53</v>
      </c>
      <c r="AM4941" t="s">
        <v>53</v>
      </c>
      <c r="AN4941" t="s">
        <v>53</v>
      </c>
      <c r="AO4941" t="s">
        <v>53</v>
      </c>
      <c r="AP4941" t="s">
        <v>53</v>
      </c>
    </row>
    <row r="4942" spans="2:42" x14ac:dyDescent="0.2">
      <c r="B4942" t="s">
        <v>44</v>
      </c>
      <c r="C4942" t="str">
        <f>HYPERLINK("https://us2.cloudbeds.com/connect/8493803454333002#/reservations/9080486846084119?display=2CWFAW1R9A&amp;reservation_id=9080486846084119", "2CWFAW1R9A")</f>
        <v>2CWFAW1R9A</v>
      </c>
      <c r="D4942" t="s">
        <v>45</v>
      </c>
      <c r="E4942" t="s">
        <v>165</v>
      </c>
      <c r="F4942" t="s">
        <v>61</v>
      </c>
      <c r="G4942" t="s">
        <v>48</v>
      </c>
      <c r="H4942" t="s">
        <v>49</v>
      </c>
      <c r="I4942" t="s">
        <v>50</v>
      </c>
      <c r="J4942" t="s">
        <v>6829</v>
      </c>
      <c r="K4942" t="s">
        <v>8686</v>
      </c>
      <c r="L4942" t="s">
        <v>53</v>
      </c>
      <c r="N4942" t="s">
        <v>8687</v>
      </c>
      <c r="P4942" t="s">
        <v>55</v>
      </c>
      <c r="R4942" t="s">
        <v>53</v>
      </c>
      <c r="T4942" t="s">
        <v>8688</v>
      </c>
      <c r="U4942" t="s">
        <v>58</v>
      </c>
      <c r="V4942">
        <v>1</v>
      </c>
      <c r="W4942">
        <v>1</v>
      </c>
      <c r="X4942">
        <v>2</v>
      </c>
      <c r="Y4942">
        <v>0</v>
      </c>
      <c r="Z4942">
        <v>2</v>
      </c>
      <c r="AA4942">
        <v>192.75</v>
      </c>
      <c r="AB4942">
        <v>192.75</v>
      </c>
      <c r="AC4942">
        <v>169.6</v>
      </c>
      <c r="AD4942">
        <v>0</v>
      </c>
      <c r="AE4942">
        <v>23.15</v>
      </c>
      <c r="AF4942">
        <v>0</v>
      </c>
      <c r="AG4942">
        <v>0</v>
      </c>
      <c r="AH4942">
        <v>0</v>
      </c>
      <c r="AI4942">
        <v>34.700000000000003</v>
      </c>
      <c r="AJ4942">
        <v>192.75</v>
      </c>
      <c r="AK4942">
        <v>0</v>
      </c>
      <c r="AL4942" t="s">
        <v>53</v>
      </c>
      <c r="AM4942" t="s">
        <v>53</v>
      </c>
      <c r="AN4942" t="s">
        <v>53</v>
      </c>
      <c r="AO4942" t="s">
        <v>53</v>
      </c>
      <c r="AP4942" t="s">
        <v>53</v>
      </c>
    </row>
    <row r="4943" spans="2:42" x14ac:dyDescent="0.2">
      <c r="B4943" t="s">
        <v>44</v>
      </c>
      <c r="C4943" t="str">
        <f>HYPERLINK("https://us2.cloudbeds.com/connect/8493803454333002#/reservations/9080486846084321?display=2CWMBFZK9D&amp;reservation_id=9080486846084321", "2CWMBFZK9D")</f>
        <v>2CWMBFZK9D</v>
      </c>
      <c r="D4943" t="s">
        <v>45</v>
      </c>
      <c r="E4943" t="s">
        <v>487</v>
      </c>
      <c r="F4943" t="s">
        <v>61</v>
      </c>
      <c r="G4943" t="s">
        <v>48</v>
      </c>
      <c r="H4943" t="s">
        <v>49</v>
      </c>
      <c r="I4943" t="s">
        <v>50</v>
      </c>
      <c r="J4943" t="s">
        <v>6417</v>
      </c>
      <c r="K4943" t="s">
        <v>7394</v>
      </c>
      <c r="L4943" t="s">
        <v>53</v>
      </c>
      <c r="N4943" t="s">
        <v>8689</v>
      </c>
      <c r="P4943" t="s">
        <v>55</v>
      </c>
      <c r="R4943" t="s">
        <v>53</v>
      </c>
      <c r="T4943" t="s">
        <v>8690</v>
      </c>
      <c r="U4943" t="s">
        <v>58</v>
      </c>
      <c r="V4943">
        <v>2</v>
      </c>
      <c r="W4943">
        <v>1</v>
      </c>
      <c r="X4943">
        <v>1</v>
      </c>
      <c r="Y4943">
        <v>0</v>
      </c>
      <c r="Z4943">
        <v>1</v>
      </c>
      <c r="AA4943">
        <v>334.59</v>
      </c>
      <c r="AB4943">
        <v>334.59</v>
      </c>
      <c r="AC4943">
        <v>294.39999999999998</v>
      </c>
      <c r="AD4943">
        <v>0</v>
      </c>
      <c r="AE4943">
        <v>40.19</v>
      </c>
      <c r="AF4943">
        <v>0</v>
      </c>
      <c r="AG4943">
        <v>0</v>
      </c>
      <c r="AH4943">
        <v>0</v>
      </c>
      <c r="AI4943">
        <v>60.23</v>
      </c>
      <c r="AJ4943">
        <v>334.59</v>
      </c>
      <c r="AK4943">
        <v>0</v>
      </c>
      <c r="AL4943" t="s">
        <v>53</v>
      </c>
      <c r="AM4943" t="s">
        <v>53</v>
      </c>
      <c r="AN4943" t="s">
        <v>53</v>
      </c>
      <c r="AO4943" t="s">
        <v>53</v>
      </c>
      <c r="AP4943" t="s">
        <v>53</v>
      </c>
    </row>
    <row r="4944" spans="2:42" x14ac:dyDescent="0.2">
      <c r="B4944" t="s">
        <v>44</v>
      </c>
      <c r="C4944" t="str">
        <f>HYPERLINK("https://us2.cloudbeds.com/connect/8493803454333002#/reservations/9080486846084634?display=2D01WCGJQK&amp;reservation_id=9080486846084634", "2D01WCGJQK")</f>
        <v>2D01WCGJQK</v>
      </c>
      <c r="D4944" t="s">
        <v>45</v>
      </c>
      <c r="E4944" t="s">
        <v>110</v>
      </c>
      <c r="F4944" t="s">
        <v>47</v>
      </c>
      <c r="G4944" t="s">
        <v>48</v>
      </c>
      <c r="H4944" t="s">
        <v>49</v>
      </c>
      <c r="I4944" t="s">
        <v>62</v>
      </c>
      <c r="J4944" t="s">
        <v>8300</v>
      </c>
      <c r="K4944" t="s">
        <v>7864</v>
      </c>
      <c r="L4944" t="s">
        <v>53</v>
      </c>
      <c r="N4944" t="s">
        <v>8691</v>
      </c>
      <c r="P4944" t="s">
        <v>55</v>
      </c>
      <c r="R4944" t="s">
        <v>56</v>
      </c>
      <c r="T4944" t="s">
        <v>8692</v>
      </c>
      <c r="U4944" t="s">
        <v>55</v>
      </c>
      <c r="V4944">
        <v>2</v>
      </c>
      <c r="W4944">
        <v>1</v>
      </c>
      <c r="X4944">
        <v>1</v>
      </c>
      <c r="Y4944">
        <v>0</v>
      </c>
      <c r="Z4944">
        <v>1</v>
      </c>
      <c r="AA4944">
        <v>322.05</v>
      </c>
      <c r="AB4944">
        <v>322.05</v>
      </c>
      <c r="AC4944">
        <v>322.05</v>
      </c>
      <c r="AD4944">
        <v>0</v>
      </c>
      <c r="AE4944">
        <v>0</v>
      </c>
      <c r="AF4944">
        <v>0</v>
      </c>
      <c r="AG4944">
        <v>0</v>
      </c>
      <c r="AH4944">
        <v>0</v>
      </c>
      <c r="AI4944">
        <v>57.97</v>
      </c>
      <c r="AJ4944">
        <v>322.05</v>
      </c>
      <c r="AK4944">
        <v>0</v>
      </c>
      <c r="AL4944" t="s">
        <v>53</v>
      </c>
      <c r="AM4944" t="s">
        <v>53</v>
      </c>
      <c r="AN4944" t="s">
        <v>53</v>
      </c>
      <c r="AO4944" t="s">
        <v>53</v>
      </c>
      <c r="AP4944" t="s">
        <v>53</v>
      </c>
    </row>
    <row r="4945" spans="2:42" x14ac:dyDescent="0.2">
      <c r="B4945" t="s">
        <v>44</v>
      </c>
      <c r="C4945" t="str">
        <f>HYPERLINK("https://us2.cloudbeds.com/connect/8493803454333002#/reservations/111131191967948?display=2D0J9HNRAJ&amp;reservation_id=111131191967948", "2D0J9HNRAJ")</f>
        <v>2D0J9HNRAJ</v>
      </c>
      <c r="D4945" t="s">
        <v>45</v>
      </c>
      <c r="E4945" t="s">
        <v>406</v>
      </c>
      <c r="F4945" t="s">
        <v>61</v>
      </c>
      <c r="G4945" t="s">
        <v>48</v>
      </c>
      <c r="H4945" t="s">
        <v>3957</v>
      </c>
      <c r="I4945" t="s">
        <v>3958</v>
      </c>
      <c r="J4945" t="s">
        <v>6416</v>
      </c>
      <c r="K4945" t="s">
        <v>7402</v>
      </c>
      <c r="L4945" t="s">
        <v>53</v>
      </c>
      <c r="P4945" t="s">
        <v>55</v>
      </c>
      <c r="R4945" t="s">
        <v>56</v>
      </c>
      <c r="T4945" t="s">
        <v>8693</v>
      </c>
      <c r="U4945" t="s">
        <v>58</v>
      </c>
      <c r="V4945">
        <v>1</v>
      </c>
      <c r="W4945">
        <v>1</v>
      </c>
      <c r="X4945">
        <v>1</v>
      </c>
      <c r="Y4945">
        <v>0</v>
      </c>
      <c r="Z4945">
        <v>1</v>
      </c>
      <c r="AA4945">
        <v>172.75</v>
      </c>
      <c r="AB4945">
        <v>172.75</v>
      </c>
      <c r="AC4945">
        <v>152</v>
      </c>
      <c r="AD4945">
        <v>0</v>
      </c>
      <c r="AE4945">
        <v>20.75</v>
      </c>
      <c r="AF4945">
        <v>0</v>
      </c>
      <c r="AG4945">
        <v>0</v>
      </c>
      <c r="AH4945">
        <v>0</v>
      </c>
      <c r="AI4945">
        <v>0</v>
      </c>
      <c r="AJ4945">
        <v>172.75</v>
      </c>
      <c r="AK4945">
        <v>0</v>
      </c>
      <c r="AL4945" t="s">
        <v>53</v>
      </c>
      <c r="AM4945" t="s">
        <v>53</v>
      </c>
      <c r="AN4945" t="s">
        <v>53</v>
      </c>
      <c r="AO4945" t="s">
        <v>53</v>
      </c>
      <c r="AP4945" t="s">
        <v>53</v>
      </c>
    </row>
    <row r="4946" spans="2:42" x14ac:dyDescent="0.2">
      <c r="B4946" t="s">
        <v>44</v>
      </c>
      <c r="C4946" t="str">
        <f>HYPERLINK("https://us2.cloudbeds.com/connect/8493803454333002#/reservations/9080486846085101?display=2D0P9WWW4J&amp;reservation_id=9080486846085101", "2D0P9WWW4J")</f>
        <v>2D0P9WWW4J</v>
      </c>
      <c r="D4946" t="s">
        <v>45</v>
      </c>
      <c r="E4946" t="s">
        <v>121</v>
      </c>
      <c r="F4946" t="s">
        <v>86</v>
      </c>
      <c r="G4946" t="s">
        <v>48</v>
      </c>
      <c r="H4946" t="s">
        <v>49</v>
      </c>
      <c r="I4946" t="s">
        <v>50</v>
      </c>
      <c r="J4946" t="s">
        <v>7352</v>
      </c>
      <c r="K4946" t="s">
        <v>7353</v>
      </c>
      <c r="L4946" t="s">
        <v>53</v>
      </c>
      <c r="N4946" t="s">
        <v>8694</v>
      </c>
      <c r="P4946" t="s">
        <v>55</v>
      </c>
      <c r="R4946" t="s">
        <v>53</v>
      </c>
      <c r="T4946" t="s">
        <v>8695</v>
      </c>
      <c r="U4946" t="s">
        <v>58</v>
      </c>
      <c r="V4946">
        <v>2</v>
      </c>
      <c r="W4946">
        <v>1</v>
      </c>
      <c r="X4946">
        <v>2</v>
      </c>
      <c r="Y4946">
        <v>2</v>
      </c>
      <c r="Z4946">
        <v>4</v>
      </c>
      <c r="AA4946">
        <v>408.11</v>
      </c>
      <c r="AB4946">
        <v>408.11</v>
      </c>
      <c r="AC4946">
        <v>359.1</v>
      </c>
      <c r="AD4946">
        <v>0</v>
      </c>
      <c r="AE4946">
        <v>49.01</v>
      </c>
      <c r="AF4946">
        <v>0</v>
      </c>
      <c r="AG4946">
        <v>0</v>
      </c>
      <c r="AH4946">
        <v>0</v>
      </c>
      <c r="AI4946">
        <v>73.459999999999994</v>
      </c>
      <c r="AJ4946">
        <v>408.11</v>
      </c>
      <c r="AK4946">
        <v>0</v>
      </c>
      <c r="AL4946" t="s">
        <v>53</v>
      </c>
      <c r="AM4946" t="s">
        <v>53</v>
      </c>
      <c r="AN4946" t="s">
        <v>53</v>
      </c>
      <c r="AO4946" t="s">
        <v>53</v>
      </c>
      <c r="AP4946" t="s">
        <v>53</v>
      </c>
    </row>
    <row r="4947" spans="2:42" x14ac:dyDescent="0.2">
      <c r="B4947" t="s">
        <v>44</v>
      </c>
      <c r="C4947" t="str">
        <f>HYPERLINK("https://us2.cloudbeds.com/connect/8493803454333002#/reservations/9080486846085260?display=2D10SY3C1G&amp;reservation_id=9080486846085260", "2D10SY3C1G")</f>
        <v>2D10SY3C1G</v>
      </c>
      <c r="D4947" t="s">
        <v>45</v>
      </c>
      <c r="E4947" t="s">
        <v>138</v>
      </c>
      <c r="F4947" t="s">
        <v>70</v>
      </c>
      <c r="G4947" t="s">
        <v>48</v>
      </c>
      <c r="H4947" t="s">
        <v>49</v>
      </c>
      <c r="I4947" t="s">
        <v>62</v>
      </c>
      <c r="J4947" t="s">
        <v>7218</v>
      </c>
      <c r="K4947" t="s">
        <v>6661</v>
      </c>
      <c r="L4947" t="s">
        <v>53</v>
      </c>
      <c r="N4947" t="s">
        <v>8696</v>
      </c>
      <c r="P4947" t="s">
        <v>55</v>
      </c>
      <c r="R4947" t="s">
        <v>56</v>
      </c>
      <c r="T4947" t="s">
        <v>8697</v>
      </c>
      <c r="U4947" t="s">
        <v>55</v>
      </c>
      <c r="V4947">
        <v>1</v>
      </c>
      <c r="W4947">
        <v>1</v>
      </c>
      <c r="X4947">
        <v>1</v>
      </c>
      <c r="Y4947">
        <v>0</v>
      </c>
      <c r="Z4947">
        <v>1</v>
      </c>
      <c r="AA4947">
        <v>168</v>
      </c>
      <c r="AB4947">
        <v>168</v>
      </c>
      <c r="AC4947">
        <v>168</v>
      </c>
      <c r="AD4947">
        <v>0</v>
      </c>
      <c r="AE4947">
        <v>0</v>
      </c>
      <c r="AF4947">
        <v>0</v>
      </c>
      <c r="AG4947">
        <v>0</v>
      </c>
      <c r="AH4947">
        <v>0</v>
      </c>
      <c r="AI4947">
        <v>30.24</v>
      </c>
      <c r="AJ4947">
        <v>168</v>
      </c>
      <c r="AK4947">
        <v>0</v>
      </c>
      <c r="AL4947" t="s">
        <v>53</v>
      </c>
      <c r="AM4947" t="s">
        <v>53</v>
      </c>
      <c r="AN4947" t="s">
        <v>53</v>
      </c>
      <c r="AO4947" t="s">
        <v>53</v>
      </c>
      <c r="AP4947" t="s">
        <v>53</v>
      </c>
    </row>
    <row r="4948" spans="2:42" x14ac:dyDescent="0.2">
      <c r="B4948" t="s">
        <v>44</v>
      </c>
      <c r="C4948" t="str">
        <f>HYPERLINK("https://us2.cloudbeds.com/connect/8493803454333002#/reservations/9080486846085375?display=2D16MRRATU&amp;reservation_id=9080486846085375", "2D16MRRATU")</f>
        <v>2D16MRRATU</v>
      </c>
      <c r="D4948" t="s">
        <v>45</v>
      </c>
      <c r="E4948" t="s">
        <v>98</v>
      </c>
      <c r="F4948" t="s">
        <v>86</v>
      </c>
      <c r="G4948" t="s">
        <v>48</v>
      </c>
      <c r="H4948" t="s">
        <v>49</v>
      </c>
      <c r="I4948" t="s">
        <v>50</v>
      </c>
      <c r="J4948" t="s">
        <v>7402</v>
      </c>
      <c r="K4948" t="s">
        <v>6417</v>
      </c>
      <c r="L4948" t="s">
        <v>53</v>
      </c>
      <c r="N4948" t="s">
        <v>8698</v>
      </c>
      <c r="P4948" t="s">
        <v>55</v>
      </c>
      <c r="R4948" t="s">
        <v>53</v>
      </c>
      <c r="T4948" t="s">
        <v>8699</v>
      </c>
      <c r="U4948" t="s">
        <v>58</v>
      </c>
      <c r="V4948">
        <v>1</v>
      </c>
      <c r="W4948">
        <v>1</v>
      </c>
      <c r="X4948">
        <v>2</v>
      </c>
      <c r="Y4948">
        <v>0</v>
      </c>
      <c r="Z4948">
        <v>2</v>
      </c>
      <c r="AA4948">
        <v>147.29</v>
      </c>
      <c r="AB4948">
        <v>147.29</v>
      </c>
      <c r="AC4948">
        <v>129.6</v>
      </c>
      <c r="AD4948">
        <v>0</v>
      </c>
      <c r="AE4948">
        <v>17.690000000000001</v>
      </c>
      <c r="AF4948">
        <v>0</v>
      </c>
      <c r="AG4948">
        <v>0</v>
      </c>
      <c r="AH4948">
        <v>0</v>
      </c>
      <c r="AI4948">
        <v>26.51</v>
      </c>
      <c r="AJ4948">
        <v>147.29</v>
      </c>
      <c r="AK4948">
        <v>0</v>
      </c>
      <c r="AL4948" t="s">
        <v>53</v>
      </c>
      <c r="AM4948" t="s">
        <v>53</v>
      </c>
      <c r="AN4948" t="s">
        <v>53</v>
      </c>
      <c r="AO4948" t="s">
        <v>53</v>
      </c>
      <c r="AP4948" t="s">
        <v>53</v>
      </c>
    </row>
    <row r="4949" spans="2:42" x14ac:dyDescent="0.2">
      <c r="B4949" t="s">
        <v>44</v>
      </c>
      <c r="C4949" t="str">
        <f>HYPERLINK("https://us2.cloudbeds.com/connect/8493803454333002#/reservations/111170724053129?display=2D1GTM7C9P&amp;reservation_id=111170724053129", "2D1GTM7C9P")</f>
        <v>2D1GTM7C9P</v>
      </c>
      <c r="D4949" t="s">
        <v>45</v>
      </c>
      <c r="E4949" t="s">
        <v>165</v>
      </c>
      <c r="F4949" t="s">
        <v>61</v>
      </c>
      <c r="G4949" t="s">
        <v>48</v>
      </c>
      <c r="H4949" t="s">
        <v>3957</v>
      </c>
      <c r="I4949" t="s">
        <v>3975</v>
      </c>
      <c r="J4949" t="s">
        <v>7706</v>
      </c>
      <c r="K4949" t="s">
        <v>7151</v>
      </c>
      <c r="L4949" t="s">
        <v>53</v>
      </c>
      <c r="P4949" t="s">
        <v>55</v>
      </c>
      <c r="R4949" t="s">
        <v>53</v>
      </c>
      <c r="T4949" t="s">
        <v>8700</v>
      </c>
      <c r="U4949" t="s">
        <v>58</v>
      </c>
      <c r="V4949">
        <v>5</v>
      </c>
      <c r="W4949">
        <v>1</v>
      </c>
      <c r="X4949">
        <v>2</v>
      </c>
      <c r="Y4949">
        <v>0</v>
      </c>
      <c r="Z4949">
        <v>2</v>
      </c>
      <c r="AA4949">
        <v>1131.98</v>
      </c>
      <c r="AB4949">
        <v>1131.98</v>
      </c>
      <c r="AC4949">
        <v>996</v>
      </c>
      <c r="AD4949">
        <v>0</v>
      </c>
      <c r="AE4949">
        <v>135.97999999999999</v>
      </c>
      <c r="AF4949">
        <v>0</v>
      </c>
      <c r="AG4949">
        <v>0</v>
      </c>
      <c r="AH4949">
        <v>0</v>
      </c>
      <c r="AI4949">
        <v>0</v>
      </c>
      <c r="AJ4949">
        <v>1131.98</v>
      </c>
      <c r="AK4949">
        <v>0</v>
      </c>
      <c r="AL4949" t="s">
        <v>53</v>
      </c>
      <c r="AM4949" t="s">
        <v>53</v>
      </c>
      <c r="AN4949" t="s">
        <v>8701</v>
      </c>
      <c r="AO4949" t="s">
        <v>53</v>
      </c>
      <c r="AP4949" t="s">
        <v>53</v>
      </c>
    </row>
    <row r="4950" spans="2:42" x14ac:dyDescent="0.2">
      <c r="B4950" t="s">
        <v>44</v>
      </c>
      <c r="C4950" t="str">
        <f>HYPERLINK("https://us2.cloudbeds.com/connect/8493803454333002#/reservations/9080486846086019?display=2D278VU75X&amp;reservation_id=9080486846086019", "2D278VU75X")</f>
        <v>2D278VU75X</v>
      </c>
      <c r="D4950" t="s">
        <v>45</v>
      </c>
      <c r="E4950" t="s">
        <v>190</v>
      </c>
      <c r="F4950" t="s">
        <v>61</v>
      </c>
      <c r="G4950" t="s">
        <v>48</v>
      </c>
      <c r="H4950" t="s">
        <v>49</v>
      </c>
      <c r="I4950" t="s">
        <v>50</v>
      </c>
      <c r="J4950" t="s">
        <v>6417</v>
      </c>
      <c r="K4950" t="s">
        <v>7486</v>
      </c>
      <c r="L4950" t="s">
        <v>53</v>
      </c>
      <c r="N4950" t="s">
        <v>8702</v>
      </c>
      <c r="P4950" t="s">
        <v>55</v>
      </c>
      <c r="R4950" t="s">
        <v>53</v>
      </c>
      <c r="T4950" t="s">
        <v>8703</v>
      </c>
      <c r="U4950" t="s">
        <v>58</v>
      </c>
      <c r="V4950">
        <v>1</v>
      </c>
      <c r="W4950">
        <v>1</v>
      </c>
      <c r="X4950">
        <v>2</v>
      </c>
      <c r="Y4950">
        <v>0</v>
      </c>
      <c r="Z4950">
        <v>2</v>
      </c>
      <c r="AA4950">
        <v>148.77000000000001</v>
      </c>
      <c r="AB4950">
        <v>148.77000000000001</v>
      </c>
      <c r="AC4950">
        <v>130.9</v>
      </c>
      <c r="AD4950">
        <v>0</v>
      </c>
      <c r="AE4950">
        <v>17.87</v>
      </c>
      <c r="AF4950">
        <v>0</v>
      </c>
      <c r="AG4950">
        <v>0</v>
      </c>
      <c r="AH4950">
        <v>0</v>
      </c>
      <c r="AI4950">
        <v>26.78</v>
      </c>
      <c r="AJ4950">
        <v>148.77000000000001</v>
      </c>
      <c r="AK4950">
        <v>0</v>
      </c>
      <c r="AL4950" t="s">
        <v>53</v>
      </c>
      <c r="AM4950" t="s">
        <v>53</v>
      </c>
      <c r="AN4950" t="s">
        <v>53</v>
      </c>
      <c r="AO4950" t="s">
        <v>53</v>
      </c>
      <c r="AP4950" t="s">
        <v>53</v>
      </c>
    </row>
    <row r="4951" spans="2:42" x14ac:dyDescent="0.2">
      <c r="B4951" t="s">
        <v>44</v>
      </c>
      <c r="C4951" t="str">
        <f>HYPERLINK("https://us2.cloudbeds.com/connect/8493803454333002#/reservations/111339467911348?display=2D5FXFGW4R&amp;reservation_id=111339467911348", "2D5FXFGW4R")</f>
        <v>2D5FXFGW4R</v>
      </c>
      <c r="D4951" t="s">
        <v>45</v>
      </c>
      <c r="E4951" t="s">
        <v>138</v>
      </c>
      <c r="F4951" t="s">
        <v>70</v>
      </c>
      <c r="G4951" t="s">
        <v>3974</v>
      </c>
      <c r="H4951" t="s">
        <v>3957</v>
      </c>
      <c r="I4951" t="s">
        <v>3975</v>
      </c>
      <c r="J4951" t="s">
        <v>8594</v>
      </c>
      <c r="K4951" t="s">
        <v>7925</v>
      </c>
      <c r="L4951" t="s">
        <v>53</v>
      </c>
      <c r="P4951" t="s">
        <v>55</v>
      </c>
      <c r="R4951" t="s">
        <v>53</v>
      </c>
      <c r="T4951" t="s">
        <v>8704</v>
      </c>
      <c r="U4951" t="s">
        <v>58</v>
      </c>
      <c r="V4951">
        <v>2</v>
      </c>
      <c r="W4951">
        <v>1</v>
      </c>
      <c r="X4951">
        <v>2</v>
      </c>
      <c r="Y4951">
        <v>0</v>
      </c>
      <c r="Z4951">
        <v>2</v>
      </c>
      <c r="AA4951">
        <v>351.98</v>
      </c>
      <c r="AB4951">
        <v>351.98</v>
      </c>
      <c r="AC4951">
        <v>309.7</v>
      </c>
      <c r="AD4951">
        <v>0</v>
      </c>
      <c r="AE4951">
        <v>42.28</v>
      </c>
      <c r="AF4951">
        <v>0</v>
      </c>
      <c r="AG4951">
        <v>0</v>
      </c>
      <c r="AH4951">
        <v>0</v>
      </c>
      <c r="AI4951">
        <v>0</v>
      </c>
      <c r="AJ4951">
        <v>351.98</v>
      </c>
      <c r="AK4951">
        <v>0</v>
      </c>
      <c r="AL4951" t="s">
        <v>53</v>
      </c>
      <c r="AM4951" t="s">
        <v>53</v>
      </c>
      <c r="AN4951" t="s">
        <v>53</v>
      </c>
      <c r="AO4951" t="s">
        <v>53</v>
      </c>
      <c r="AP4951" t="s">
        <v>53</v>
      </c>
    </row>
    <row r="4952" spans="2:42" x14ac:dyDescent="0.2">
      <c r="B4952" t="s">
        <v>44</v>
      </c>
      <c r="C4952" t="str">
        <f>HYPERLINK("https://us2.cloudbeds.com/connect/8493803454333002#/reservations/9080486846089444?display=2D749ETMMF&amp;reservation_id=9080486846089444", "2D749ETMMF")</f>
        <v>2D749ETMMF</v>
      </c>
      <c r="D4952" t="s">
        <v>45</v>
      </c>
      <c r="E4952" t="s">
        <v>46</v>
      </c>
      <c r="F4952" t="s">
        <v>47</v>
      </c>
      <c r="G4952" t="s">
        <v>48</v>
      </c>
      <c r="H4952" t="s">
        <v>49</v>
      </c>
      <c r="I4952" t="s">
        <v>62</v>
      </c>
      <c r="J4952" t="s">
        <v>6417</v>
      </c>
      <c r="K4952" t="s">
        <v>7486</v>
      </c>
      <c r="L4952" t="s">
        <v>53</v>
      </c>
      <c r="N4952" t="s">
        <v>8705</v>
      </c>
      <c r="P4952" t="s">
        <v>55</v>
      </c>
      <c r="R4952" t="s">
        <v>56</v>
      </c>
      <c r="T4952" t="s">
        <v>8706</v>
      </c>
      <c r="U4952" t="s">
        <v>55</v>
      </c>
      <c r="V4952">
        <v>1</v>
      </c>
      <c r="W4952">
        <v>1</v>
      </c>
      <c r="X4952">
        <v>2</v>
      </c>
      <c r="Y4952">
        <v>0</v>
      </c>
      <c r="Z4952">
        <v>2</v>
      </c>
      <c r="AA4952">
        <v>154</v>
      </c>
      <c r="AB4952">
        <v>154</v>
      </c>
      <c r="AC4952">
        <v>154</v>
      </c>
      <c r="AD4952">
        <v>5</v>
      </c>
      <c r="AE4952">
        <v>0.42</v>
      </c>
      <c r="AF4952">
        <v>0</v>
      </c>
      <c r="AG4952">
        <v>0</v>
      </c>
      <c r="AH4952">
        <v>0</v>
      </c>
      <c r="AI4952">
        <v>28.7</v>
      </c>
      <c r="AJ4952">
        <v>159.41999999999999</v>
      </c>
      <c r="AK4952">
        <v>5.42</v>
      </c>
      <c r="AL4952" t="s">
        <v>53</v>
      </c>
      <c r="AM4952" t="s">
        <v>53</v>
      </c>
      <c r="AN4952" t="s">
        <v>53</v>
      </c>
      <c r="AO4952" t="s">
        <v>53</v>
      </c>
      <c r="AP4952" t="s">
        <v>53</v>
      </c>
    </row>
    <row r="4953" spans="2:42" x14ac:dyDescent="0.2">
      <c r="B4953" t="s">
        <v>44</v>
      </c>
      <c r="C4953" t="str">
        <f>HYPERLINK("https://us2.cloudbeds.com/connect/8493803454333002#/reservations/111435523666080?display=2D7NUU8V78&amp;reservation_id=111435523666080", "2D7NUU8V78")</f>
        <v>2D7NUU8V78</v>
      </c>
      <c r="D4953" t="s">
        <v>45</v>
      </c>
      <c r="E4953" t="s">
        <v>406</v>
      </c>
      <c r="F4953" t="s">
        <v>61</v>
      </c>
      <c r="G4953" t="s">
        <v>48</v>
      </c>
      <c r="H4953" t="s">
        <v>3957</v>
      </c>
      <c r="I4953" t="s">
        <v>3975</v>
      </c>
      <c r="J4953" t="s">
        <v>7559</v>
      </c>
      <c r="K4953" t="s">
        <v>6944</v>
      </c>
      <c r="L4953" t="s">
        <v>53</v>
      </c>
      <c r="P4953" t="s">
        <v>55</v>
      </c>
      <c r="R4953" t="s">
        <v>53</v>
      </c>
      <c r="T4953" t="s">
        <v>8707</v>
      </c>
      <c r="U4953" t="s">
        <v>58</v>
      </c>
      <c r="V4953">
        <v>5</v>
      </c>
      <c r="W4953">
        <v>1</v>
      </c>
      <c r="X4953">
        <v>2</v>
      </c>
      <c r="Y4953">
        <v>0</v>
      </c>
      <c r="Z4953">
        <v>2</v>
      </c>
      <c r="AA4953">
        <v>1042.19</v>
      </c>
      <c r="AB4953">
        <v>1042.19</v>
      </c>
      <c r="AC4953">
        <v>917</v>
      </c>
      <c r="AD4953">
        <v>0</v>
      </c>
      <c r="AE4953">
        <v>125.19</v>
      </c>
      <c r="AF4953">
        <v>0</v>
      </c>
      <c r="AG4953">
        <v>0</v>
      </c>
      <c r="AH4953">
        <v>0</v>
      </c>
      <c r="AI4953">
        <v>0</v>
      </c>
      <c r="AJ4953">
        <v>1042.19</v>
      </c>
      <c r="AK4953">
        <v>0</v>
      </c>
      <c r="AL4953" t="s">
        <v>53</v>
      </c>
      <c r="AM4953" t="s">
        <v>53</v>
      </c>
      <c r="AN4953" t="s">
        <v>53</v>
      </c>
      <c r="AO4953" t="s">
        <v>53</v>
      </c>
      <c r="AP4953" t="s">
        <v>53</v>
      </c>
    </row>
    <row r="4954" spans="2:42" x14ac:dyDescent="0.2">
      <c r="B4954" t="s">
        <v>44</v>
      </c>
      <c r="C4954" t="str">
        <f>HYPERLINK("https://us2.cloudbeds.com/connect/8493803454333002#/reservations/9080486846090123?display=2D7T0FUDPF&amp;reservation_id=9080486846090123", "2D7T0FUDPF")</f>
        <v>2D7T0FUDPF</v>
      </c>
      <c r="D4954" t="s">
        <v>45</v>
      </c>
      <c r="E4954" t="s">
        <v>381</v>
      </c>
      <c r="F4954" t="s">
        <v>47</v>
      </c>
      <c r="G4954" t="s">
        <v>48</v>
      </c>
      <c r="H4954" t="s">
        <v>49</v>
      </c>
      <c r="I4954" t="s">
        <v>62</v>
      </c>
      <c r="J4954" t="s">
        <v>6661</v>
      </c>
      <c r="K4954" t="s">
        <v>7376</v>
      </c>
      <c r="L4954" t="s">
        <v>53</v>
      </c>
      <c r="N4954" t="s">
        <v>8708</v>
      </c>
      <c r="P4954" t="s">
        <v>55</v>
      </c>
      <c r="R4954" t="s">
        <v>56</v>
      </c>
      <c r="T4954" t="s">
        <v>8709</v>
      </c>
      <c r="U4954" t="s">
        <v>55</v>
      </c>
      <c r="V4954">
        <v>1</v>
      </c>
      <c r="W4954">
        <v>1</v>
      </c>
      <c r="X4954">
        <v>2</v>
      </c>
      <c r="Y4954">
        <v>0</v>
      </c>
      <c r="Z4954">
        <v>2</v>
      </c>
      <c r="AA4954">
        <v>167</v>
      </c>
      <c r="AB4954">
        <v>167</v>
      </c>
      <c r="AC4954">
        <v>167</v>
      </c>
      <c r="AD4954">
        <v>0</v>
      </c>
      <c r="AE4954">
        <v>0</v>
      </c>
      <c r="AF4954">
        <v>0</v>
      </c>
      <c r="AG4954">
        <v>0</v>
      </c>
      <c r="AH4954">
        <v>0</v>
      </c>
      <c r="AI4954">
        <v>30.06</v>
      </c>
      <c r="AJ4954">
        <v>167</v>
      </c>
      <c r="AK4954">
        <v>0</v>
      </c>
      <c r="AL4954" t="s">
        <v>53</v>
      </c>
      <c r="AM4954" t="s">
        <v>53</v>
      </c>
      <c r="AN4954" t="s">
        <v>8710</v>
      </c>
      <c r="AO4954" t="s">
        <v>53</v>
      </c>
      <c r="AP4954" t="s">
        <v>53</v>
      </c>
    </row>
    <row r="4955" spans="2:42" x14ac:dyDescent="0.2">
      <c r="B4955" t="s">
        <v>44</v>
      </c>
      <c r="C4955" t="str">
        <f>HYPERLINK("https://us2.cloudbeds.com/connect/8493803454333002#/reservations/9080486846090139?display=2D7TJ0BFBK&amp;reservation_id=9080486846090139", "2D7TJ0BFBK")</f>
        <v>2D7TJ0BFBK</v>
      </c>
      <c r="D4955" t="s">
        <v>45</v>
      </c>
      <c r="E4955" t="s">
        <v>46</v>
      </c>
      <c r="F4955" t="s">
        <v>47</v>
      </c>
      <c r="G4955" t="s">
        <v>48</v>
      </c>
      <c r="H4955" t="s">
        <v>49</v>
      </c>
      <c r="I4955" t="s">
        <v>50</v>
      </c>
      <c r="J4955" t="s">
        <v>6662</v>
      </c>
      <c r="K4955" t="s">
        <v>6943</v>
      </c>
      <c r="L4955" t="s">
        <v>53</v>
      </c>
      <c r="N4955" t="s">
        <v>8711</v>
      </c>
      <c r="P4955" t="s">
        <v>55</v>
      </c>
      <c r="R4955" t="s">
        <v>53</v>
      </c>
      <c r="T4955" t="s">
        <v>8712</v>
      </c>
      <c r="U4955" t="s">
        <v>58</v>
      </c>
      <c r="V4955">
        <v>2</v>
      </c>
      <c r="W4955">
        <v>1</v>
      </c>
      <c r="X4955">
        <v>2</v>
      </c>
      <c r="Y4955">
        <v>0</v>
      </c>
      <c r="Z4955">
        <v>2</v>
      </c>
      <c r="AA4955">
        <v>316.77</v>
      </c>
      <c r="AB4955">
        <v>316.77</v>
      </c>
      <c r="AC4955">
        <v>278.72000000000003</v>
      </c>
      <c r="AD4955">
        <v>0</v>
      </c>
      <c r="AE4955">
        <v>38.049999999999997</v>
      </c>
      <c r="AF4955">
        <v>0</v>
      </c>
      <c r="AG4955">
        <v>0</v>
      </c>
      <c r="AH4955">
        <v>0</v>
      </c>
      <c r="AI4955">
        <v>57.02</v>
      </c>
      <c r="AJ4955">
        <v>316.77</v>
      </c>
      <c r="AK4955">
        <v>0</v>
      </c>
      <c r="AL4955" t="s">
        <v>53</v>
      </c>
      <c r="AM4955" t="s">
        <v>53</v>
      </c>
      <c r="AN4955" t="s">
        <v>53</v>
      </c>
      <c r="AO4955" t="s">
        <v>53</v>
      </c>
      <c r="AP4955" t="s">
        <v>53</v>
      </c>
    </row>
    <row r="4956" spans="2:42" x14ac:dyDescent="0.2">
      <c r="B4956" t="s">
        <v>44</v>
      </c>
      <c r="C4956" t="str">
        <f>HYPERLINK("https://us2.cloudbeds.com/connect/8493803454333002#/reservations/9080486846090175?display=2D7VDM7UGJ&amp;reservation_id=9080486846090175", "2D7VDM7UGJ")</f>
        <v>2D7VDM7UGJ</v>
      </c>
      <c r="D4956" t="s">
        <v>45</v>
      </c>
      <c r="E4956" t="s">
        <v>85</v>
      </c>
      <c r="F4956" t="s">
        <v>86</v>
      </c>
      <c r="G4956" t="s">
        <v>48</v>
      </c>
      <c r="H4956" t="s">
        <v>49</v>
      </c>
      <c r="I4956" t="s">
        <v>50</v>
      </c>
      <c r="J4956" t="s">
        <v>8713</v>
      </c>
      <c r="K4956" t="s">
        <v>7926</v>
      </c>
      <c r="L4956" t="s">
        <v>53</v>
      </c>
      <c r="N4956" t="s">
        <v>8714</v>
      </c>
      <c r="P4956" t="s">
        <v>55</v>
      </c>
      <c r="R4956" t="s">
        <v>53</v>
      </c>
      <c r="T4956" t="s">
        <v>8715</v>
      </c>
      <c r="U4956" t="s">
        <v>58</v>
      </c>
      <c r="V4956">
        <v>2</v>
      </c>
      <c r="W4956">
        <v>1</v>
      </c>
      <c r="X4956">
        <v>2</v>
      </c>
      <c r="Y4956">
        <v>1</v>
      </c>
      <c r="Z4956">
        <v>3</v>
      </c>
      <c r="AA4956">
        <v>328.54</v>
      </c>
      <c r="AB4956">
        <v>328.54</v>
      </c>
      <c r="AC4956">
        <v>289.08</v>
      </c>
      <c r="AD4956">
        <v>0</v>
      </c>
      <c r="AE4956">
        <v>39.46</v>
      </c>
      <c r="AF4956">
        <v>0</v>
      </c>
      <c r="AG4956">
        <v>0</v>
      </c>
      <c r="AH4956">
        <v>0</v>
      </c>
      <c r="AI4956">
        <v>59.14</v>
      </c>
      <c r="AJ4956">
        <v>328.54</v>
      </c>
      <c r="AK4956">
        <v>0</v>
      </c>
      <c r="AL4956" t="s">
        <v>53</v>
      </c>
      <c r="AM4956" t="s">
        <v>53</v>
      </c>
      <c r="AN4956" t="s">
        <v>53</v>
      </c>
      <c r="AO4956" t="s">
        <v>53</v>
      </c>
      <c r="AP4956" t="s">
        <v>53</v>
      </c>
    </row>
    <row r="4957" spans="2:42" x14ac:dyDescent="0.2">
      <c r="B4957" t="s">
        <v>44</v>
      </c>
      <c r="C4957" t="str">
        <f>HYPERLINK("https://us2.cloudbeds.com/connect/8493803454333002#/reservations/9080486846090733?display=2D8Y5K2U94&amp;reservation_id=9080486846090733", "2D8Y5K2U94")</f>
        <v>2D8Y5K2U94</v>
      </c>
      <c r="D4957" t="s">
        <v>45</v>
      </c>
      <c r="E4957" t="s">
        <v>46</v>
      </c>
      <c r="F4957" t="s">
        <v>47</v>
      </c>
      <c r="G4957" t="s">
        <v>48</v>
      </c>
      <c r="H4957" t="s">
        <v>49</v>
      </c>
      <c r="I4957" t="s">
        <v>50</v>
      </c>
      <c r="J4957" t="s">
        <v>6943</v>
      </c>
      <c r="K4957" t="s">
        <v>7414</v>
      </c>
      <c r="L4957" t="s">
        <v>53</v>
      </c>
      <c r="N4957" t="s">
        <v>8716</v>
      </c>
      <c r="P4957" t="s">
        <v>55</v>
      </c>
      <c r="R4957" t="s">
        <v>53</v>
      </c>
      <c r="T4957" t="s">
        <v>8717</v>
      </c>
      <c r="U4957" t="s">
        <v>58</v>
      </c>
      <c r="V4957">
        <v>3</v>
      </c>
      <c r="W4957">
        <v>1</v>
      </c>
      <c r="X4957">
        <v>1</v>
      </c>
      <c r="Y4957">
        <v>0</v>
      </c>
      <c r="Z4957">
        <v>1</v>
      </c>
      <c r="AA4957">
        <v>488.25</v>
      </c>
      <c r="AB4957">
        <v>488.25</v>
      </c>
      <c r="AC4957">
        <v>429.6</v>
      </c>
      <c r="AD4957">
        <v>0</v>
      </c>
      <c r="AE4957">
        <v>58.65</v>
      </c>
      <c r="AF4957">
        <v>0</v>
      </c>
      <c r="AG4957">
        <v>0</v>
      </c>
      <c r="AH4957">
        <v>0</v>
      </c>
      <c r="AI4957">
        <v>87.89</v>
      </c>
      <c r="AJ4957">
        <v>488.25</v>
      </c>
      <c r="AK4957">
        <v>0</v>
      </c>
      <c r="AL4957" t="s">
        <v>53</v>
      </c>
      <c r="AM4957" t="s">
        <v>53</v>
      </c>
      <c r="AN4957" t="s">
        <v>53</v>
      </c>
      <c r="AO4957" t="s">
        <v>53</v>
      </c>
      <c r="AP4957" t="s">
        <v>53</v>
      </c>
    </row>
    <row r="4958" spans="2:42" x14ac:dyDescent="0.2">
      <c r="B4958" t="s">
        <v>44</v>
      </c>
      <c r="C4958" t="str">
        <f>HYPERLINK("https://us2.cloudbeds.com/connect/8493803454333002#/reservations/9080486846090864?display=2D8R28VPJ2&amp;reservation_id=9080486846090864", "2D8R28VPJ2")</f>
        <v>2D8R28VPJ2</v>
      </c>
      <c r="D4958" t="s">
        <v>45</v>
      </c>
      <c r="E4958" t="s">
        <v>190</v>
      </c>
      <c r="F4958" t="s">
        <v>61</v>
      </c>
      <c r="G4958" t="s">
        <v>48</v>
      </c>
      <c r="H4958" t="s">
        <v>49</v>
      </c>
      <c r="I4958" t="s">
        <v>50</v>
      </c>
      <c r="J4958" t="s">
        <v>7402</v>
      </c>
      <c r="K4958" t="s">
        <v>6417</v>
      </c>
      <c r="L4958" t="s">
        <v>53</v>
      </c>
      <c r="N4958" t="s">
        <v>8718</v>
      </c>
      <c r="P4958" t="s">
        <v>55</v>
      </c>
      <c r="R4958" t="s">
        <v>53</v>
      </c>
      <c r="T4958" t="s">
        <v>8719</v>
      </c>
      <c r="U4958" t="s">
        <v>58</v>
      </c>
      <c r="V4958">
        <v>1</v>
      </c>
      <c r="W4958">
        <v>1</v>
      </c>
      <c r="X4958">
        <v>1</v>
      </c>
      <c r="Y4958">
        <v>0</v>
      </c>
      <c r="Z4958">
        <v>1</v>
      </c>
      <c r="AA4958">
        <v>136.38</v>
      </c>
      <c r="AB4958">
        <v>136.38</v>
      </c>
      <c r="AC4958">
        <v>120</v>
      </c>
      <c r="AD4958">
        <v>0</v>
      </c>
      <c r="AE4958">
        <v>16.38</v>
      </c>
      <c r="AF4958">
        <v>0</v>
      </c>
      <c r="AG4958">
        <v>0</v>
      </c>
      <c r="AH4958">
        <v>0</v>
      </c>
      <c r="AI4958">
        <v>24.55</v>
      </c>
      <c r="AJ4958">
        <v>136.38</v>
      </c>
      <c r="AK4958">
        <v>0</v>
      </c>
      <c r="AL4958" t="s">
        <v>53</v>
      </c>
      <c r="AM4958" t="s">
        <v>53</v>
      </c>
      <c r="AN4958" t="s">
        <v>53</v>
      </c>
      <c r="AO4958" t="s">
        <v>53</v>
      </c>
      <c r="AP4958" t="s">
        <v>53</v>
      </c>
    </row>
    <row r="4959" spans="2:42" x14ac:dyDescent="0.2">
      <c r="B4959" t="s">
        <v>44</v>
      </c>
      <c r="C4959" t="str">
        <f>HYPERLINK("https://us2.cloudbeds.com/connect/8493803454333002#/reservations/9080486846090907?display=2D8T9D0YYF&amp;reservation_id=9080486846090907", "2D8T9D0YYF")</f>
        <v>2D8T9D0YYF</v>
      </c>
      <c r="D4959" t="s">
        <v>45</v>
      </c>
      <c r="E4959" t="s">
        <v>487</v>
      </c>
      <c r="F4959" t="s">
        <v>61</v>
      </c>
      <c r="G4959" t="s">
        <v>48</v>
      </c>
      <c r="H4959" t="s">
        <v>49</v>
      </c>
      <c r="I4959" t="s">
        <v>50</v>
      </c>
      <c r="J4959" t="s">
        <v>7402</v>
      </c>
      <c r="K4959" t="s">
        <v>6417</v>
      </c>
      <c r="L4959" t="s">
        <v>53</v>
      </c>
      <c r="N4959" t="s">
        <v>8720</v>
      </c>
      <c r="P4959" t="s">
        <v>55</v>
      </c>
      <c r="R4959" t="s">
        <v>53</v>
      </c>
      <c r="T4959" t="s">
        <v>8721</v>
      </c>
      <c r="U4959" t="s">
        <v>58</v>
      </c>
      <c r="V4959">
        <v>1</v>
      </c>
      <c r="W4959">
        <v>1</v>
      </c>
      <c r="X4959">
        <v>1</v>
      </c>
      <c r="Y4959">
        <v>0</v>
      </c>
      <c r="Z4959">
        <v>1</v>
      </c>
      <c r="AA4959">
        <v>144.9</v>
      </c>
      <c r="AB4959">
        <v>144.9</v>
      </c>
      <c r="AC4959">
        <v>127.5</v>
      </c>
      <c r="AD4959">
        <v>0</v>
      </c>
      <c r="AE4959">
        <v>17.399999999999999</v>
      </c>
      <c r="AF4959">
        <v>0</v>
      </c>
      <c r="AG4959">
        <v>0</v>
      </c>
      <c r="AH4959">
        <v>0</v>
      </c>
      <c r="AI4959">
        <v>26.08</v>
      </c>
      <c r="AJ4959">
        <v>144.9</v>
      </c>
      <c r="AK4959">
        <v>0</v>
      </c>
      <c r="AL4959" t="s">
        <v>53</v>
      </c>
      <c r="AM4959" t="s">
        <v>53</v>
      </c>
      <c r="AN4959" t="s">
        <v>53</v>
      </c>
      <c r="AO4959" t="s">
        <v>53</v>
      </c>
      <c r="AP4959" t="s">
        <v>53</v>
      </c>
    </row>
    <row r="4960" spans="2:42" x14ac:dyDescent="0.2">
      <c r="B4960" t="s">
        <v>44</v>
      </c>
      <c r="C4960" t="str">
        <f>HYPERLINK("https://us2.cloudbeds.com/connect/8493803454333002#/reservations/111489768579237?display=2D8WV00KCE&amp;reservation_id=111489768579237", "2D8WV00KCE")</f>
        <v>2D8WV00KCE</v>
      </c>
      <c r="D4960" t="s">
        <v>45</v>
      </c>
      <c r="E4960" t="s">
        <v>165</v>
      </c>
      <c r="F4960" t="s">
        <v>61</v>
      </c>
      <c r="G4960" t="s">
        <v>3974</v>
      </c>
      <c r="H4960" t="s">
        <v>3957</v>
      </c>
      <c r="I4960" t="s">
        <v>3975</v>
      </c>
      <c r="J4960" t="s">
        <v>8713</v>
      </c>
      <c r="K4960" t="s">
        <v>7925</v>
      </c>
      <c r="L4960" t="s">
        <v>53</v>
      </c>
      <c r="P4960" t="s">
        <v>58</v>
      </c>
      <c r="R4960" t="s">
        <v>53</v>
      </c>
      <c r="T4960" t="s">
        <v>8722</v>
      </c>
      <c r="U4960" t="s">
        <v>58</v>
      </c>
      <c r="V4960">
        <v>1</v>
      </c>
      <c r="W4960">
        <v>1</v>
      </c>
      <c r="X4960">
        <v>2</v>
      </c>
      <c r="Y4960">
        <v>0</v>
      </c>
      <c r="Z4960">
        <v>2</v>
      </c>
      <c r="AA4960">
        <v>165.2</v>
      </c>
      <c r="AB4960">
        <v>165.2</v>
      </c>
      <c r="AC4960">
        <v>145.35</v>
      </c>
      <c r="AD4960">
        <v>0</v>
      </c>
      <c r="AE4960">
        <v>19.850000000000001</v>
      </c>
      <c r="AF4960">
        <v>0</v>
      </c>
      <c r="AG4960">
        <v>0</v>
      </c>
      <c r="AH4960">
        <v>0</v>
      </c>
      <c r="AI4960">
        <v>0</v>
      </c>
      <c r="AJ4960">
        <v>165.2</v>
      </c>
      <c r="AK4960">
        <v>0</v>
      </c>
      <c r="AL4960" t="s">
        <v>53</v>
      </c>
      <c r="AM4960" t="s">
        <v>53</v>
      </c>
      <c r="AN4960" t="s">
        <v>53</v>
      </c>
      <c r="AO4960" t="s">
        <v>53</v>
      </c>
      <c r="AP4960" t="s">
        <v>53</v>
      </c>
    </row>
    <row r="4961" spans="2:42" x14ac:dyDescent="0.2">
      <c r="B4961" t="s">
        <v>44</v>
      </c>
      <c r="C4961" t="str">
        <f>HYPERLINK("https://us2.cloudbeds.com/connect/8493803454333002#/reservations/9080486846090974?display=2D90XGHU2C&amp;reservation_id=9080486846090974", "2D90XGHU2C")</f>
        <v>2D90XGHU2C</v>
      </c>
      <c r="D4961" t="s">
        <v>45</v>
      </c>
      <c r="E4961" t="s">
        <v>406</v>
      </c>
      <c r="F4961" t="s">
        <v>61</v>
      </c>
      <c r="G4961" t="s">
        <v>48</v>
      </c>
      <c r="H4961" t="s">
        <v>49</v>
      </c>
      <c r="I4961" t="s">
        <v>50</v>
      </c>
      <c r="J4961" t="s">
        <v>7402</v>
      </c>
      <c r="K4961" t="s">
        <v>6417</v>
      </c>
      <c r="L4961" t="s">
        <v>53</v>
      </c>
      <c r="N4961" t="s">
        <v>8723</v>
      </c>
      <c r="P4961" t="s">
        <v>55</v>
      </c>
      <c r="R4961" t="s">
        <v>53</v>
      </c>
      <c r="T4961" t="s">
        <v>8724</v>
      </c>
      <c r="U4961" t="s">
        <v>58</v>
      </c>
      <c r="V4961">
        <v>1</v>
      </c>
      <c r="W4961">
        <v>1</v>
      </c>
      <c r="X4961">
        <v>2</v>
      </c>
      <c r="Y4961">
        <v>0</v>
      </c>
      <c r="Z4961">
        <v>2</v>
      </c>
      <c r="AA4961">
        <v>153.44</v>
      </c>
      <c r="AB4961">
        <v>153.44</v>
      </c>
      <c r="AC4961">
        <v>135</v>
      </c>
      <c r="AD4961">
        <v>0</v>
      </c>
      <c r="AE4961">
        <v>18.440000000000001</v>
      </c>
      <c r="AF4961">
        <v>0</v>
      </c>
      <c r="AG4961">
        <v>0</v>
      </c>
      <c r="AH4961">
        <v>0</v>
      </c>
      <c r="AI4961">
        <v>27.62</v>
      </c>
      <c r="AJ4961">
        <v>153.44</v>
      </c>
      <c r="AK4961">
        <v>0</v>
      </c>
      <c r="AL4961" t="s">
        <v>53</v>
      </c>
      <c r="AM4961" t="s">
        <v>53</v>
      </c>
      <c r="AN4961" t="s">
        <v>53</v>
      </c>
      <c r="AO4961" t="s">
        <v>53</v>
      </c>
      <c r="AP4961" t="s">
        <v>53</v>
      </c>
    </row>
    <row r="4962" spans="2:42" x14ac:dyDescent="0.2">
      <c r="B4962" t="s">
        <v>44</v>
      </c>
      <c r="C4962" t="str">
        <f>HYPERLINK("https://us2.cloudbeds.com/connect/8493803454333002#/reservations/9080486846091107?display=2D993UU58K&amp;reservation_id=9080486846091107", "2D993UU58K")</f>
        <v>2D993UU58K</v>
      </c>
      <c r="D4962" t="s">
        <v>45</v>
      </c>
      <c r="E4962" t="s">
        <v>128</v>
      </c>
      <c r="F4962" t="s">
        <v>86</v>
      </c>
      <c r="G4962" t="s">
        <v>48</v>
      </c>
      <c r="H4962" t="s">
        <v>49</v>
      </c>
      <c r="I4962" t="s">
        <v>50</v>
      </c>
      <c r="J4962" t="s">
        <v>7394</v>
      </c>
      <c r="K4962" t="s">
        <v>7218</v>
      </c>
      <c r="L4962" t="s">
        <v>53</v>
      </c>
      <c r="N4962" t="s">
        <v>8725</v>
      </c>
      <c r="P4962" t="s">
        <v>55</v>
      </c>
      <c r="R4962" t="s">
        <v>53</v>
      </c>
      <c r="T4962" t="s">
        <v>8726</v>
      </c>
      <c r="U4962" t="s">
        <v>58</v>
      </c>
      <c r="V4962">
        <v>1</v>
      </c>
      <c r="W4962">
        <v>1</v>
      </c>
      <c r="X4962">
        <v>3</v>
      </c>
      <c r="Y4962">
        <v>0</v>
      </c>
      <c r="Z4962">
        <v>3</v>
      </c>
      <c r="AA4962">
        <v>151.83000000000001</v>
      </c>
      <c r="AB4962">
        <v>151.83000000000001</v>
      </c>
      <c r="AC4962">
        <v>133.6</v>
      </c>
      <c r="AD4962">
        <v>0</v>
      </c>
      <c r="AE4962">
        <v>18.23</v>
      </c>
      <c r="AF4962">
        <v>0</v>
      </c>
      <c r="AG4962">
        <v>0</v>
      </c>
      <c r="AH4962">
        <v>0</v>
      </c>
      <c r="AI4962">
        <v>27.33</v>
      </c>
      <c r="AJ4962">
        <v>151.83000000000001</v>
      </c>
      <c r="AK4962">
        <v>0</v>
      </c>
      <c r="AL4962" t="s">
        <v>53</v>
      </c>
      <c r="AM4962" t="s">
        <v>53</v>
      </c>
      <c r="AN4962" t="s">
        <v>53</v>
      </c>
      <c r="AO4962" t="s">
        <v>53</v>
      </c>
      <c r="AP4962" t="s">
        <v>53</v>
      </c>
    </row>
    <row r="4963" spans="2:42" x14ac:dyDescent="0.2">
      <c r="B4963" t="s">
        <v>44</v>
      </c>
      <c r="C4963" t="str">
        <f>HYPERLINK("https://us2.cloudbeds.com/connect/8493803454333002#/reservations/9080486846091109?display=2D993TUM8P&amp;reservation_id=9080486846091109", "2D993TUM8P")</f>
        <v>2D993TUM8P</v>
      </c>
      <c r="D4963" t="s">
        <v>45</v>
      </c>
      <c r="E4963" t="s">
        <v>213</v>
      </c>
      <c r="F4963" t="s">
        <v>86</v>
      </c>
      <c r="G4963" t="s">
        <v>48</v>
      </c>
      <c r="H4963" t="s">
        <v>49</v>
      </c>
      <c r="I4963" t="s">
        <v>50</v>
      </c>
      <c r="J4963" t="s">
        <v>7394</v>
      </c>
      <c r="K4963" t="s">
        <v>7218</v>
      </c>
      <c r="L4963" t="s">
        <v>53</v>
      </c>
      <c r="N4963" t="s">
        <v>8727</v>
      </c>
      <c r="P4963" t="s">
        <v>55</v>
      </c>
      <c r="R4963" t="s">
        <v>53</v>
      </c>
      <c r="T4963" t="s">
        <v>8728</v>
      </c>
      <c r="U4963" t="s">
        <v>58</v>
      </c>
      <c r="V4963">
        <v>1</v>
      </c>
      <c r="W4963">
        <v>1</v>
      </c>
      <c r="X4963">
        <v>4</v>
      </c>
      <c r="Y4963">
        <v>0</v>
      </c>
      <c r="Z4963">
        <v>4</v>
      </c>
      <c r="AA4963">
        <v>151.83000000000001</v>
      </c>
      <c r="AB4963">
        <v>151.83000000000001</v>
      </c>
      <c r="AC4963">
        <v>133.6</v>
      </c>
      <c r="AD4963">
        <v>0</v>
      </c>
      <c r="AE4963">
        <v>18.23</v>
      </c>
      <c r="AF4963">
        <v>0</v>
      </c>
      <c r="AG4963">
        <v>0</v>
      </c>
      <c r="AH4963">
        <v>0</v>
      </c>
      <c r="AI4963">
        <v>27.33</v>
      </c>
      <c r="AJ4963">
        <v>151.83000000000001</v>
      </c>
      <c r="AK4963">
        <v>0</v>
      </c>
      <c r="AL4963" t="s">
        <v>53</v>
      </c>
      <c r="AM4963" t="s">
        <v>53</v>
      </c>
      <c r="AN4963" t="s">
        <v>53</v>
      </c>
      <c r="AO4963" t="s">
        <v>53</v>
      </c>
      <c r="AP4963" t="s">
        <v>53</v>
      </c>
    </row>
    <row r="4964" spans="2:42" x14ac:dyDescent="0.2">
      <c r="B4964" t="s">
        <v>44</v>
      </c>
      <c r="C4964" t="str">
        <f>HYPERLINK("https://us2.cloudbeds.com/connect/8493803454333002#/reservations/9080486846091108?display=2D993TUM8Z&amp;reservation_id=9080486846091108", "2D993TUM8Z")</f>
        <v>2D993TUM8Z</v>
      </c>
      <c r="D4964" t="s">
        <v>45</v>
      </c>
      <c r="E4964" t="s">
        <v>155</v>
      </c>
      <c r="F4964" t="s">
        <v>86</v>
      </c>
      <c r="G4964" t="s">
        <v>48</v>
      </c>
      <c r="H4964" t="s">
        <v>49</v>
      </c>
      <c r="I4964" t="s">
        <v>50</v>
      </c>
      <c r="J4964" t="s">
        <v>7394</v>
      </c>
      <c r="K4964" t="s">
        <v>7218</v>
      </c>
      <c r="L4964" t="s">
        <v>53</v>
      </c>
      <c r="N4964" t="s">
        <v>8729</v>
      </c>
      <c r="P4964" t="s">
        <v>55</v>
      </c>
      <c r="R4964" t="s">
        <v>53</v>
      </c>
      <c r="T4964" t="s">
        <v>8730</v>
      </c>
      <c r="U4964" t="s">
        <v>58</v>
      </c>
      <c r="V4964">
        <v>1</v>
      </c>
      <c r="W4964">
        <v>1</v>
      </c>
      <c r="X4964">
        <v>3</v>
      </c>
      <c r="Y4964">
        <v>0</v>
      </c>
      <c r="Z4964">
        <v>3</v>
      </c>
      <c r="AA4964">
        <v>151.83000000000001</v>
      </c>
      <c r="AB4964">
        <v>151.83000000000001</v>
      </c>
      <c r="AC4964">
        <v>133.6</v>
      </c>
      <c r="AD4964">
        <v>0</v>
      </c>
      <c r="AE4964">
        <v>18.23</v>
      </c>
      <c r="AF4964">
        <v>0</v>
      </c>
      <c r="AG4964">
        <v>0</v>
      </c>
      <c r="AH4964">
        <v>0</v>
      </c>
      <c r="AI4964">
        <v>27.33</v>
      </c>
      <c r="AJ4964">
        <v>151.83000000000001</v>
      </c>
      <c r="AK4964">
        <v>0</v>
      </c>
      <c r="AL4964" t="s">
        <v>53</v>
      </c>
      <c r="AM4964" t="s">
        <v>53</v>
      </c>
      <c r="AN4964" t="s">
        <v>53</v>
      </c>
      <c r="AO4964" t="s">
        <v>53</v>
      </c>
      <c r="AP4964" t="s">
        <v>53</v>
      </c>
    </row>
    <row r="4965" spans="2:42" x14ac:dyDescent="0.2">
      <c r="B4965" t="s">
        <v>44</v>
      </c>
      <c r="C4965" t="str">
        <f>HYPERLINK("https://us2.cloudbeds.com/connect/8493803454333002#/reservations/9080486846091303?display=2D9Y333MQN&amp;reservation_id=9080486846091303", "2D9Y333MQN")</f>
        <v>2D9Y333MQN</v>
      </c>
      <c r="D4965" t="s">
        <v>45</v>
      </c>
      <c r="E4965" t="s">
        <v>213</v>
      </c>
      <c r="F4965" t="s">
        <v>86</v>
      </c>
      <c r="G4965" t="s">
        <v>48</v>
      </c>
      <c r="H4965" t="s">
        <v>49</v>
      </c>
      <c r="I4965" t="s">
        <v>50</v>
      </c>
      <c r="J4965" t="s">
        <v>7821</v>
      </c>
      <c r="K4965" t="s">
        <v>8143</v>
      </c>
      <c r="L4965" t="s">
        <v>53</v>
      </c>
      <c r="N4965" t="s">
        <v>8731</v>
      </c>
      <c r="P4965" t="s">
        <v>55</v>
      </c>
      <c r="R4965" t="s">
        <v>53</v>
      </c>
      <c r="T4965" t="s">
        <v>8732</v>
      </c>
      <c r="U4965" t="s">
        <v>58</v>
      </c>
      <c r="V4965">
        <v>3</v>
      </c>
      <c r="W4965">
        <v>1</v>
      </c>
      <c r="X4965">
        <v>1</v>
      </c>
      <c r="Y4965">
        <v>3</v>
      </c>
      <c r="Z4965">
        <v>4</v>
      </c>
      <c r="AA4965">
        <v>547.21</v>
      </c>
      <c r="AB4965">
        <v>547.21</v>
      </c>
      <c r="AC4965">
        <v>481.5</v>
      </c>
      <c r="AD4965">
        <v>0</v>
      </c>
      <c r="AE4965">
        <v>65.709999999999994</v>
      </c>
      <c r="AF4965">
        <v>0</v>
      </c>
      <c r="AG4965">
        <v>0</v>
      </c>
      <c r="AH4965">
        <v>0</v>
      </c>
      <c r="AI4965">
        <v>98.5</v>
      </c>
      <c r="AJ4965">
        <v>547.21</v>
      </c>
      <c r="AK4965">
        <v>0</v>
      </c>
      <c r="AL4965" t="s">
        <v>53</v>
      </c>
      <c r="AM4965" t="s">
        <v>53</v>
      </c>
      <c r="AN4965" t="s">
        <v>53</v>
      </c>
      <c r="AO4965" t="s">
        <v>53</v>
      </c>
      <c r="AP4965" t="s">
        <v>53</v>
      </c>
    </row>
    <row r="4966" spans="2:42" x14ac:dyDescent="0.2">
      <c r="B4966" t="s">
        <v>44</v>
      </c>
      <c r="C4966" t="str">
        <f>HYPERLINK("https://us2.cloudbeds.com/connect/8493803454333002#/reservations/9080486846091304?display=2D9Y27CS9E&amp;reservation_id=9080486846091304", "2D9Y27CS9E")</f>
        <v>2D9Y27CS9E</v>
      </c>
      <c r="D4966" t="s">
        <v>45</v>
      </c>
      <c r="E4966" t="s">
        <v>98</v>
      </c>
      <c r="F4966" t="s">
        <v>86</v>
      </c>
      <c r="G4966" t="s">
        <v>48</v>
      </c>
      <c r="H4966" t="s">
        <v>49</v>
      </c>
      <c r="I4966" t="s">
        <v>50</v>
      </c>
      <c r="J4966" t="s">
        <v>7821</v>
      </c>
      <c r="K4966" t="s">
        <v>8143</v>
      </c>
      <c r="L4966" t="s">
        <v>53</v>
      </c>
      <c r="N4966" t="s">
        <v>8733</v>
      </c>
      <c r="P4966" t="s">
        <v>55</v>
      </c>
      <c r="R4966" t="s">
        <v>53</v>
      </c>
      <c r="T4966" t="s">
        <v>8734</v>
      </c>
      <c r="U4966" t="s">
        <v>58</v>
      </c>
      <c r="V4966">
        <v>3</v>
      </c>
      <c r="W4966">
        <v>1</v>
      </c>
      <c r="X4966">
        <v>1</v>
      </c>
      <c r="Y4966">
        <v>3</v>
      </c>
      <c r="Z4966">
        <v>4</v>
      </c>
      <c r="AA4966">
        <v>547.21</v>
      </c>
      <c r="AB4966">
        <v>547.21</v>
      </c>
      <c r="AC4966">
        <v>481.5</v>
      </c>
      <c r="AD4966">
        <v>0</v>
      </c>
      <c r="AE4966">
        <v>65.709999999999994</v>
      </c>
      <c r="AF4966">
        <v>0</v>
      </c>
      <c r="AG4966">
        <v>0</v>
      </c>
      <c r="AH4966">
        <v>0</v>
      </c>
      <c r="AI4966">
        <v>98.5</v>
      </c>
      <c r="AJ4966">
        <v>547.21</v>
      </c>
      <c r="AK4966">
        <v>0</v>
      </c>
      <c r="AL4966" t="s">
        <v>53</v>
      </c>
      <c r="AM4966" t="s">
        <v>53</v>
      </c>
      <c r="AN4966" t="s">
        <v>53</v>
      </c>
      <c r="AO4966" t="s">
        <v>53</v>
      </c>
      <c r="AP4966" t="s">
        <v>53</v>
      </c>
    </row>
    <row r="4967" spans="2:42" x14ac:dyDescent="0.2">
      <c r="B4967" t="s">
        <v>44</v>
      </c>
      <c r="C4967" t="str">
        <f>HYPERLINK("https://us2.cloudbeds.com/connect/8493803454333002#/reservations/9080486846091305?display=2D9Y27CS9F&amp;reservation_id=9080486846091305", "2D9Y27CS9F")</f>
        <v>2D9Y27CS9F</v>
      </c>
      <c r="D4967" t="s">
        <v>45</v>
      </c>
      <c r="E4967" t="s">
        <v>155</v>
      </c>
      <c r="F4967" t="s">
        <v>86</v>
      </c>
      <c r="G4967" t="s">
        <v>48</v>
      </c>
      <c r="H4967" t="s">
        <v>49</v>
      </c>
      <c r="I4967" t="s">
        <v>50</v>
      </c>
      <c r="J4967" t="s">
        <v>7821</v>
      </c>
      <c r="K4967" t="s">
        <v>8143</v>
      </c>
      <c r="L4967" t="s">
        <v>53</v>
      </c>
      <c r="N4967" t="s">
        <v>8735</v>
      </c>
      <c r="P4967" t="s">
        <v>55</v>
      </c>
      <c r="R4967" t="s">
        <v>53</v>
      </c>
      <c r="T4967" t="s">
        <v>8736</v>
      </c>
      <c r="U4967" t="s">
        <v>58</v>
      </c>
      <c r="V4967">
        <v>3</v>
      </c>
      <c r="W4967">
        <v>1</v>
      </c>
      <c r="X4967">
        <v>1</v>
      </c>
      <c r="Y4967">
        <v>2</v>
      </c>
      <c r="Z4967">
        <v>3</v>
      </c>
      <c r="AA4967">
        <v>547.21</v>
      </c>
      <c r="AB4967">
        <v>547.21</v>
      </c>
      <c r="AC4967">
        <v>481.5</v>
      </c>
      <c r="AD4967">
        <v>0</v>
      </c>
      <c r="AE4967">
        <v>65.709999999999994</v>
      </c>
      <c r="AF4967">
        <v>0</v>
      </c>
      <c r="AG4967">
        <v>0</v>
      </c>
      <c r="AH4967">
        <v>0</v>
      </c>
      <c r="AI4967">
        <v>98.5</v>
      </c>
      <c r="AJ4967">
        <v>547.21</v>
      </c>
      <c r="AK4967">
        <v>0</v>
      </c>
      <c r="AL4967" t="s">
        <v>53</v>
      </c>
      <c r="AM4967" t="s">
        <v>53</v>
      </c>
      <c r="AN4967" t="s">
        <v>53</v>
      </c>
      <c r="AO4967" t="s">
        <v>53</v>
      </c>
      <c r="AP4967" t="s">
        <v>53</v>
      </c>
    </row>
    <row r="4968" spans="2:42" x14ac:dyDescent="0.2">
      <c r="B4968" t="s">
        <v>44</v>
      </c>
      <c r="C4968" t="str">
        <f>HYPERLINK("https://us2.cloudbeds.com/connect/8493803454333002#/reservations/9080486846091315?display=2D9YPDYB46&amp;reservation_id=9080486846091315", "2D9YPDYB46")</f>
        <v>2D9YPDYB46</v>
      </c>
      <c r="D4968" t="s">
        <v>45</v>
      </c>
      <c r="E4968" t="s">
        <v>121</v>
      </c>
      <c r="F4968" t="s">
        <v>86</v>
      </c>
      <c r="G4968" t="s">
        <v>48</v>
      </c>
      <c r="H4968" t="s">
        <v>49</v>
      </c>
      <c r="I4968" t="s">
        <v>50</v>
      </c>
      <c r="J4968" t="s">
        <v>7402</v>
      </c>
      <c r="K4968" t="s">
        <v>6417</v>
      </c>
      <c r="L4968" t="s">
        <v>53</v>
      </c>
      <c r="N4968" t="s">
        <v>8737</v>
      </c>
      <c r="P4968" t="s">
        <v>55</v>
      </c>
      <c r="R4968" t="s">
        <v>53</v>
      </c>
      <c r="T4968" t="s">
        <v>8738</v>
      </c>
      <c r="U4968" t="s">
        <v>58</v>
      </c>
      <c r="V4968">
        <v>1</v>
      </c>
      <c r="W4968">
        <v>1</v>
      </c>
      <c r="X4968">
        <v>2</v>
      </c>
      <c r="Y4968">
        <v>0</v>
      </c>
      <c r="Z4968">
        <v>2</v>
      </c>
      <c r="AA4968">
        <v>147.29</v>
      </c>
      <c r="AB4968">
        <v>147.29</v>
      </c>
      <c r="AC4968">
        <v>129.6</v>
      </c>
      <c r="AD4968">
        <v>0</v>
      </c>
      <c r="AE4968">
        <v>17.690000000000001</v>
      </c>
      <c r="AF4968">
        <v>0</v>
      </c>
      <c r="AG4968">
        <v>0</v>
      </c>
      <c r="AH4968">
        <v>0</v>
      </c>
      <c r="AI4968">
        <v>26.51</v>
      </c>
      <c r="AJ4968">
        <v>147.29</v>
      </c>
      <c r="AK4968">
        <v>0</v>
      </c>
      <c r="AL4968" t="s">
        <v>53</v>
      </c>
      <c r="AM4968" t="s">
        <v>53</v>
      </c>
      <c r="AN4968" t="s">
        <v>53</v>
      </c>
      <c r="AO4968" t="s">
        <v>53</v>
      </c>
      <c r="AP4968" t="s">
        <v>53</v>
      </c>
    </row>
    <row r="4969" spans="2:42" x14ac:dyDescent="0.2">
      <c r="B4969" t="s">
        <v>44</v>
      </c>
      <c r="C4969" t="str">
        <f>HYPERLINK("https://us2.cloudbeds.com/connect/8493803454333002#/reservations/111521732370593?display=2D9ZMZZ7JG&amp;reservation_id=111521732370593", "2D9ZMZZ7JG")</f>
        <v>2D9ZMZZ7JG</v>
      </c>
      <c r="D4969" t="s">
        <v>45</v>
      </c>
      <c r="E4969" t="s">
        <v>305</v>
      </c>
      <c r="F4969" t="s">
        <v>61</v>
      </c>
      <c r="G4969" t="s">
        <v>4520</v>
      </c>
      <c r="H4969" t="s">
        <v>3957</v>
      </c>
      <c r="I4969" t="s">
        <v>3958</v>
      </c>
      <c r="J4969" t="s">
        <v>7402</v>
      </c>
      <c r="K4969" t="s">
        <v>6417</v>
      </c>
      <c r="L4969" t="s">
        <v>53</v>
      </c>
      <c r="P4969" t="s">
        <v>58</v>
      </c>
      <c r="R4969" t="s">
        <v>56</v>
      </c>
      <c r="T4969" t="s">
        <v>8739</v>
      </c>
      <c r="U4969" t="s">
        <v>58</v>
      </c>
      <c r="V4969">
        <v>1</v>
      </c>
      <c r="W4969">
        <v>1</v>
      </c>
      <c r="X4969">
        <v>1</v>
      </c>
      <c r="Y4969">
        <v>0</v>
      </c>
      <c r="Z4969">
        <v>1</v>
      </c>
      <c r="AA4969">
        <v>160.6</v>
      </c>
      <c r="AB4969">
        <v>160.6</v>
      </c>
      <c r="AC4969">
        <v>141.30000000000001</v>
      </c>
      <c r="AD4969">
        <v>0</v>
      </c>
      <c r="AE4969">
        <v>19.3</v>
      </c>
      <c r="AF4969">
        <v>0</v>
      </c>
      <c r="AG4969">
        <v>0</v>
      </c>
      <c r="AH4969">
        <v>0</v>
      </c>
      <c r="AI4969">
        <v>0</v>
      </c>
      <c r="AJ4969">
        <v>160.6</v>
      </c>
      <c r="AK4969">
        <v>0</v>
      </c>
      <c r="AL4969" t="s">
        <v>53</v>
      </c>
      <c r="AM4969" t="s">
        <v>53</v>
      </c>
      <c r="AN4969" t="s">
        <v>53</v>
      </c>
      <c r="AO4969" t="s">
        <v>53</v>
      </c>
      <c r="AP4969" t="s">
        <v>53</v>
      </c>
    </row>
    <row r="4970" spans="2:42" x14ac:dyDescent="0.2">
      <c r="B4970" t="s">
        <v>44</v>
      </c>
      <c r="C4970" t="str">
        <f>HYPERLINK("https://us2.cloudbeds.com/connect/8493803454333002#/reservations/111522057633995?display=2D9ZV205D7&amp;reservation_id=111522057633995", "2D9ZV205D7")</f>
        <v>2D9ZV205D7</v>
      </c>
      <c r="D4970" t="s">
        <v>45</v>
      </c>
      <c r="E4970" t="s">
        <v>265</v>
      </c>
      <c r="F4970" t="s">
        <v>61</v>
      </c>
      <c r="G4970" t="s">
        <v>4520</v>
      </c>
      <c r="H4970" t="s">
        <v>3957</v>
      </c>
      <c r="I4970" t="s">
        <v>3958</v>
      </c>
      <c r="J4970" t="s">
        <v>7402</v>
      </c>
      <c r="K4970" t="s">
        <v>6417</v>
      </c>
      <c r="L4970" t="s">
        <v>53</v>
      </c>
      <c r="P4970" t="s">
        <v>55</v>
      </c>
      <c r="R4970" t="s">
        <v>56</v>
      </c>
      <c r="T4970" t="s">
        <v>8740</v>
      </c>
      <c r="U4970" t="s">
        <v>58</v>
      </c>
      <c r="V4970">
        <v>1</v>
      </c>
      <c r="W4970">
        <v>1</v>
      </c>
      <c r="X4970">
        <v>1</v>
      </c>
      <c r="Y4970">
        <v>0</v>
      </c>
      <c r="Z4970">
        <v>1</v>
      </c>
      <c r="AA4970">
        <v>160.6</v>
      </c>
      <c r="AB4970">
        <v>160.6</v>
      </c>
      <c r="AC4970">
        <v>141.30000000000001</v>
      </c>
      <c r="AD4970">
        <v>0</v>
      </c>
      <c r="AE4970">
        <v>19.3</v>
      </c>
      <c r="AF4970">
        <v>0</v>
      </c>
      <c r="AG4970">
        <v>0</v>
      </c>
      <c r="AH4970">
        <v>0</v>
      </c>
      <c r="AI4970">
        <v>0</v>
      </c>
      <c r="AJ4970">
        <v>160.6</v>
      </c>
      <c r="AK4970">
        <v>0</v>
      </c>
      <c r="AL4970" t="s">
        <v>53</v>
      </c>
      <c r="AM4970" t="s">
        <v>53</v>
      </c>
      <c r="AN4970" t="s">
        <v>53</v>
      </c>
      <c r="AO4970" t="s">
        <v>53</v>
      </c>
      <c r="AP4970" t="s">
        <v>53</v>
      </c>
    </row>
    <row r="4971" spans="2:42" x14ac:dyDescent="0.2">
      <c r="B4971" t="s">
        <v>44</v>
      </c>
      <c r="C4971" t="str">
        <f>HYPERLINK("https://us2.cloudbeds.com/connect/8493803454333002#/reservations/9080486846091414?display=2D9Q8WUMTS&amp;reservation_id=9080486846091414", "2D9Q8WUMTS")</f>
        <v>2D9Q8WUMTS</v>
      </c>
      <c r="D4971" t="s">
        <v>45</v>
      </c>
      <c r="E4971" t="s">
        <v>406</v>
      </c>
      <c r="F4971" t="s">
        <v>61</v>
      </c>
      <c r="G4971" t="s">
        <v>48</v>
      </c>
      <c r="H4971" t="s">
        <v>49</v>
      </c>
      <c r="I4971" t="s">
        <v>62</v>
      </c>
      <c r="J4971" t="s">
        <v>7486</v>
      </c>
      <c r="K4971" t="s">
        <v>7394</v>
      </c>
      <c r="L4971" t="s">
        <v>53</v>
      </c>
      <c r="N4971" t="s">
        <v>8741</v>
      </c>
      <c r="P4971" t="s">
        <v>55</v>
      </c>
      <c r="R4971" t="s">
        <v>56</v>
      </c>
      <c r="T4971" t="s">
        <v>8742</v>
      </c>
      <c r="U4971" t="s">
        <v>55</v>
      </c>
      <c r="V4971">
        <v>1</v>
      </c>
      <c r="W4971">
        <v>1</v>
      </c>
      <c r="X4971">
        <v>2</v>
      </c>
      <c r="Y4971">
        <v>0</v>
      </c>
      <c r="Z4971">
        <v>2</v>
      </c>
      <c r="AA4971">
        <v>154</v>
      </c>
      <c r="AB4971">
        <v>154</v>
      </c>
      <c r="AC4971">
        <v>154</v>
      </c>
      <c r="AD4971">
        <v>0</v>
      </c>
      <c r="AE4971">
        <v>0</v>
      </c>
      <c r="AF4971">
        <v>0</v>
      </c>
      <c r="AG4971">
        <v>0</v>
      </c>
      <c r="AH4971">
        <v>0</v>
      </c>
      <c r="AI4971">
        <v>27.72</v>
      </c>
      <c r="AJ4971">
        <v>154</v>
      </c>
      <c r="AK4971">
        <v>0</v>
      </c>
      <c r="AL4971" t="s">
        <v>53</v>
      </c>
      <c r="AM4971" t="s">
        <v>53</v>
      </c>
      <c r="AN4971" t="s">
        <v>53</v>
      </c>
      <c r="AO4971" t="s">
        <v>53</v>
      </c>
      <c r="AP4971" t="s">
        <v>53</v>
      </c>
    </row>
    <row r="4972" spans="2:42" x14ac:dyDescent="0.2">
      <c r="B4972" t="s">
        <v>44</v>
      </c>
      <c r="C4972" t="str">
        <f>HYPERLINK("https://us2.cloudbeds.com/connect/8493803454333002#/reservations/111523485798627?display=2D9Q1X8VBB&amp;reservation_id=111523485798627", "2D9Q1X8VBB")</f>
        <v>2D9Q1X8VBB</v>
      </c>
      <c r="D4972" t="s">
        <v>45</v>
      </c>
      <c r="E4972" t="s">
        <v>265</v>
      </c>
      <c r="F4972" t="s">
        <v>61</v>
      </c>
      <c r="G4972" t="s">
        <v>48</v>
      </c>
      <c r="H4972" t="s">
        <v>3957</v>
      </c>
      <c r="I4972" t="s">
        <v>3975</v>
      </c>
      <c r="J4972" t="s">
        <v>7486</v>
      </c>
      <c r="K4972" t="s">
        <v>7394</v>
      </c>
      <c r="L4972" t="s">
        <v>53</v>
      </c>
      <c r="P4972" t="s">
        <v>55</v>
      </c>
      <c r="R4972" t="s">
        <v>53</v>
      </c>
      <c r="T4972" t="s">
        <v>8743</v>
      </c>
      <c r="U4972" t="s">
        <v>58</v>
      </c>
      <c r="V4972">
        <v>1</v>
      </c>
      <c r="W4972">
        <v>1</v>
      </c>
      <c r="X4972">
        <v>2</v>
      </c>
      <c r="Y4972">
        <v>0</v>
      </c>
      <c r="Z4972">
        <v>2</v>
      </c>
      <c r="AA4972">
        <v>184.12</v>
      </c>
      <c r="AB4972">
        <v>184.12</v>
      </c>
      <c r="AC4972">
        <v>162</v>
      </c>
      <c r="AD4972">
        <v>0</v>
      </c>
      <c r="AE4972">
        <v>22.12</v>
      </c>
      <c r="AF4972">
        <v>0</v>
      </c>
      <c r="AG4972">
        <v>0</v>
      </c>
      <c r="AH4972">
        <v>0</v>
      </c>
      <c r="AI4972">
        <v>0</v>
      </c>
      <c r="AJ4972">
        <v>184.12</v>
      </c>
      <c r="AK4972">
        <v>0</v>
      </c>
      <c r="AL4972" t="s">
        <v>53</v>
      </c>
      <c r="AM4972" t="s">
        <v>53</v>
      </c>
      <c r="AN4972" t="s">
        <v>53</v>
      </c>
      <c r="AO4972" t="s">
        <v>53</v>
      </c>
      <c r="AP4972" t="s">
        <v>53</v>
      </c>
    </row>
    <row r="4973" spans="2:42" x14ac:dyDescent="0.2">
      <c r="B4973" t="s">
        <v>44</v>
      </c>
      <c r="C4973" t="str">
        <f>HYPERLINK("https://us2.cloudbeds.com/connect/8493803454333002#/reservations/9080486846091582?display=2DA327QAA0&amp;reservation_id=9080486846091582", "2DA327QAA0")</f>
        <v>2DA327QAA0</v>
      </c>
      <c r="D4973" t="s">
        <v>45</v>
      </c>
      <c r="E4973" t="s">
        <v>92</v>
      </c>
      <c r="F4973" t="s">
        <v>86</v>
      </c>
      <c r="G4973" t="s">
        <v>48</v>
      </c>
      <c r="H4973" t="s">
        <v>49</v>
      </c>
      <c r="I4973" t="s">
        <v>50</v>
      </c>
      <c r="J4973" t="s">
        <v>7402</v>
      </c>
      <c r="K4973" t="s">
        <v>6417</v>
      </c>
      <c r="L4973" t="s">
        <v>53</v>
      </c>
      <c r="N4973" t="s">
        <v>8744</v>
      </c>
      <c r="P4973" t="s">
        <v>55</v>
      </c>
      <c r="R4973" t="s">
        <v>53</v>
      </c>
      <c r="T4973" t="s">
        <v>8745</v>
      </c>
      <c r="U4973" t="s">
        <v>58</v>
      </c>
      <c r="V4973">
        <v>1</v>
      </c>
      <c r="W4973">
        <v>1</v>
      </c>
      <c r="X4973">
        <v>1</v>
      </c>
      <c r="Y4973">
        <v>0</v>
      </c>
      <c r="Z4973">
        <v>1</v>
      </c>
      <c r="AA4973">
        <v>170.82</v>
      </c>
      <c r="AB4973">
        <v>170.82</v>
      </c>
      <c r="AC4973">
        <v>150.30000000000001</v>
      </c>
      <c r="AD4973">
        <v>0</v>
      </c>
      <c r="AE4973">
        <v>20.52</v>
      </c>
      <c r="AF4973">
        <v>0</v>
      </c>
      <c r="AG4973">
        <v>0</v>
      </c>
      <c r="AH4973">
        <v>0</v>
      </c>
      <c r="AI4973">
        <v>30.75</v>
      </c>
      <c r="AJ4973">
        <v>170.82</v>
      </c>
      <c r="AK4973">
        <v>0</v>
      </c>
      <c r="AL4973" t="s">
        <v>53</v>
      </c>
      <c r="AM4973" t="s">
        <v>53</v>
      </c>
      <c r="AN4973" t="s">
        <v>53</v>
      </c>
      <c r="AO4973" t="s">
        <v>53</v>
      </c>
      <c r="AP4973" t="s">
        <v>53</v>
      </c>
    </row>
    <row r="4974" spans="2:42" x14ac:dyDescent="0.2">
      <c r="B4974" t="s">
        <v>44</v>
      </c>
      <c r="C4974" t="str">
        <f>HYPERLINK("https://us2.cloudbeds.com/connect/8493803454333002#/reservations/9080486846091755?display=2DACTKQJ39&amp;reservation_id=9080486846091755", "2DACTKQJ39")</f>
        <v>2DACTKQJ39</v>
      </c>
      <c r="D4974" t="s">
        <v>45</v>
      </c>
      <c r="E4974" t="s">
        <v>113</v>
      </c>
      <c r="F4974" t="s">
        <v>61</v>
      </c>
      <c r="G4974" t="s">
        <v>48</v>
      </c>
      <c r="H4974" t="s">
        <v>49</v>
      </c>
      <c r="I4974" t="s">
        <v>50</v>
      </c>
      <c r="J4974" t="s">
        <v>7559</v>
      </c>
      <c r="K4974" t="s">
        <v>6662</v>
      </c>
      <c r="L4974" t="s">
        <v>53</v>
      </c>
      <c r="N4974" t="s">
        <v>8746</v>
      </c>
      <c r="P4974" t="s">
        <v>55</v>
      </c>
      <c r="R4974" t="s">
        <v>53</v>
      </c>
      <c r="T4974" t="s">
        <v>8747</v>
      </c>
      <c r="U4974" t="s">
        <v>58</v>
      </c>
      <c r="V4974">
        <v>1</v>
      </c>
      <c r="W4974">
        <v>1</v>
      </c>
      <c r="X4974">
        <v>2</v>
      </c>
      <c r="Y4974">
        <v>0</v>
      </c>
      <c r="Z4974">
        <v>2</v>
      </c>
      <c r="AA4974">
        <v>144.9</v>
      </c>
      <c r="AB4974">
        <v>144.9</v>
      </c>
      <c r="AC4974">
        <v>127.5</v>
      </c>
      <c r="AD4974">
        <v>0</v>
      </c>
      <c r="AE4974">
        <v>17.399999999999999</v>
      </c>
      <c r="AF4974">
        <v>0</v>
      </c>
      <c r="AG4974">
        <v>0</v>
      </c>
      <c r="AH4974">
        <v>0</v>
      </c>
      <c r="AI4974">
        <v>26.08</v>
      </c>
      <c r="AJ4974">
        <v>144.9</v>
      </c>
      <c r="AK4974">
        <v>0</v>
      </c>
      <c r="AL4974" t="s">
        <v>53</v>
      </c>
      <c r="AM4974" t="s">
        <v>53</v>
      </c>
      <c r="AN4974" t="s">
        <v>53</v>
      </c>
      <c r="AO4974" t="s">
        <v>53</v>
      </c>
      <c r="AP4974" t="s">
        <v>53</v>
      </c>
    </row>
    <row r="4975" spans="2:42" x14ac:dyDescent="0.2">
      <c r="B4975" t="s">
        <v>44</v>
      </c>
      <c r="C4975" t="str">
        <f>HYPERLINK("https://us2.cloudbeds.com/connect/8493803454333002#/reservations/9080486846094199?display=2DED9RXVB4&amp;reservation_id=9080486846094199", "2DED9RXVB4")</f>
        <v>2DED9RXVB4</v>
      </c>
      <c r="D4975" t="s">
        <v>45</v>
      </c>
      <c r="E4975" t="s">
        <v>46</v>
      </c>
      <c r="F4975" t="s">
        <v>47</v>
      </c>
      <c r="G4975" t="s">
        <v>48</v>
      </c>
      <c r="H4975" t="s">
        <v>49</v>
      </c>
      <c r="I4975" t="s">
        <v>50</v>
      </c>
      <c r="J4975" t="s">
        <v>7821</v>
      </c>
      <c r="K4975" t="s">
        <v>8133</v>
      </c>
      <c r="L4975" t="s">
        <v>53</v>
      </c>
      <c r="N4975" t="s">
        <v>8748</v>
      </c>
      <c r="P4975" t="s">
        <v>55</v>
      </c>
      <c r="R4975" t="s">
        <v>53</v>
      </c>
      <c r="T4975" t="s">
        <v>8749</v>
      </c>
      <c r="U4975" t="s">
        <v>58</v>
      </c>
      <c r="V4975">
        <v>1</v>
      </c>
      <c r="W4975">
        <v>1</v>
      </c>
      <c r="X4975">
        <v>2</v>
      </c>
      <c r="Y4975">
        <v>0</v>
      </c>
      <c r="Z4975">
        <v>2</v>
      </c>
      <c r="AA4975">
        <v>165.7</v>
      </c>
      <c r="AB4975">
        <v>165.7</v>
      </c>
      <c r="AC4975">
        <v>145.80000000000001</v>
      </c>
      <c r="AD4975">
        <v>0</v>
      </c>
      <c r="AE4975">
        <v>19.899999999999999</v>
      </c>
      <c r="AF4975">
        <v>0</v>
      </c>
      <c r="AG4975">
        <v>0</v>
      </c>
      <c r="AH4975">
        <v>0</v>
      </c>
      <c r="AI4975">
        <v>29.83</v>
      </c>
      <c r="AJ4975">
        <v>165.7</v>
      </c>
      <c r="AK4975">
        <v>0</v>
      </c>
      <c r="AL4975" t="s">
        <v>53</v>
      </c>
      <c r="AM4975" t="s">
        <v>53</v>
      </c>
      <c r="AN4975" t="s">
        <v>53</v>
      </c>
      <c r="AO4975" t="s">
        <v>53</v>
      </c>
      <c r="AP4975" t="s">
        <v>53</v>
      </c>
    </row>
    <row r="4976" spans="2:42" x14ac:dyDescent="0.2">
      <c r="B4976" t="s">
        <v>44</v>
      </c>
      <c r="C4976" t="str">
        <f>HYPERLINK("https://us2.cloudbeds.com/connect/8493803454333002#/reservations/9080486846094680?display=2DEVM033EB&amp;reservation_id=9080486846094680", "2DEVM033EB")</f>
        <v>2DEVM033EB</v>
      </c>
      <c r="D4976" t="s">
        <v>45</v>
      </c>
      <c r="E4976" t="s">
        <v>138</v>
      </c>
      <c r="F4976" t="s">
        <v>70</v>
      </c>
      <c r="G4976" t="s">
        <v>48</v>
      </c>
      <c r="H4976" t="s">
        <v>49</v>
      </c>
      <c r="I4976" t="s">
        <v>50</v>
      </c>
      <c r="J4976" t="s">
        <v>8750</v>
      </c>
      <c r="K4976" t="s">
        <v>6396</v>
      </c>
      <c r="L4976" t="s">
        <v>53</v>
      </c>
      <c r="N4976" t="s">
        <v>8751</v>
      </c>
      <c r="P4976" t="s">
        <v>55</v>
      </c>
      <c r="R4976" t="s">
        <v>53</v>
      </c>
      <c r="T4976" t="s">
        <v>8752</v>
      </c>
      <c r="U4976" t="s">
        <v>58</v>
      </c>
      <c r="V4976">
        <v>2</v>
      </c>
      <c r="W4976">
        <v>1</v>
      </c>
      <c r="X4976">
        <v>2</v>
      </c>
      <c r="Y4976">
        <v>0</v>
      </c>
      <c r="Z4976">
        <v>2</v>
      </c>
      <c r="AA4976">
        <v>364.94</v>
      </c>
      <c r="AB4976">
        <v>364.94</v>
      </c>
      <c r="AC4976">
        <v>321.10000000000002</v>
      </c>
      <c r="AD4976">
        <v>0</v>
      </c>
      <c r="AE4976">
        <v>43.84</v>
      </c>
      <c r="AF4976">
        <v>0</v>
      </c>
      <c r="AG4976">
        <v>0</v>
      </c>
      <c r="AH4976">
        <v>0</v>
      </c>
      <c r="AI4976">
        <v>65.69</v>
      </c>
      <c r="AJ4976">
        <v>364.94</v>
      </c>
      <c r="AK4976">
        <v>0</v>
      </c>
      <c r="AL4976" t="s">
        <v>53</v>
      </c>
      <c r="AM4976" t="s">
        <v>53</v>
      </c>
      <c r="AN4976" t="s">
        <v>53</v>
      </c>
      <c r="AO4976" t="s">
        <v>53</v>
      </c>
      <c r="AP4976" t="s">
        <v>53</v>
      </c>
    </row>
    <row r="4977" spans="2:42" x14ac:dyDescent="0.2">
      <c r="B4977" t="s">
        <v>44</v>
      </c>
      <c r="C4977" t="str">
        <f>HYPERLINK("https://us2.cloudbeds.com/connect/8493803454333002#/reservations/9080486846094689?display=2DEW0K5YT1&amp;reservation_id=9080486846094689", "2DEW0K5YT1")</f>
        <v>2DEW0K5YT1</v>
      </c>
      <c r="D4977" t="s">
        <v>45</v>
      </c>
      <c r="E4977" t="s">
        <v>381</v>
      </c>
      <c r="F4977" t="s">
        <v>47</v>
      </c>
      <c r="G4977" t="s">
        <v>48</v>
      </c>
      <c r="H4977" t="s">
        <v>49</v>
      </c>
      <c r="I4977" t="s">
        <v>50</v>
      </c>
      <c r="J4977" t="s">
        <v>7376</v>
      </c>
      <c r="K4977" t="s">
        <v>7595</v>
      </c>
      <c r="L4977" t="s">
        <v>53</v>
      </c>
      <c r="N4977" t="s">
        <v>8753</v>
      </c>
      <c r="P4977" t="s">
        <v>55</v>
      </c>
      <c r="R4977" t="s">
        <v>53</v>
      </c>
      <c r="T4977" t="s">
        <v>8754</v>
      </c>
      <c r="U4977" t="s">
        <v>58</v>
      </c>
      <c r="V4977">
        <v>3</v>
      </c>
      <c r="W4977">
        <v>1</v>
      </c>
      <c r="X4977">
        <v>1</v>
      </c>
      <c r="Y4977">
        <v>0</v>
      </c>
      <c r="Z4977">
        <v>1</v>
      </c>
      <c r="AA4977">
        <v>438.8</v>
      </c>
      <c r="AB4977">
        <v>438.8</v>
      </c>
      <c r="AC4977">
        <v>386.1</v>
      </c>
      <c r="AD4977">
        <v>0</v>
      </c>
      <c r="AE4977">
        <v>52.7</v>
      </c>
      <c r="AF4977">
        <v>0</v>
      </c>
      <c r="AG4977">
        <v>0</v>
      </c>
      <c r="AH4977">
        <v>0</v>
      </c>
      <c r="AI4977">
        <v>78.98</v>
      </c>
      <c r="AJ4977">
        <v>438.8</v>
      </c>
      <c r="AK4977">
        <v>0</v>
      </c>
      <c r="AL4977" t="s">
        <v>53</v>
      </c>
      <c r="AM4977" t="s">
        <v>53</v>
      </c>
      <c r="AN4977" t="s">
        <v>8755</v>
      </c>
      <c r="AO4977" t="s">
        <v>53</v>
      </c>
      <c r="AP4977" t="s">
        <v>53</v>
      </c>
    </row>
    <row r="4978" spans="2:42" x14ac:dyDescent="0.2">
      <c r="B4978" t="s">
        <v>44</v>
      </c>
      <c r="C4978" t="str">
        <f>HYPERLINK("https://us2.cloudbeds.com/connect/8493803454333002#/reservations/111764402839713?display=2DFEJHTZUT&amp;reservation_id=111764402839713", "2DFEJHTZUT")</f>
        <v>2DFEJHTZUT</v>
      </c>
      <c r="D4978" t="s">
        <v>45</v>
      </c>
      <c r="E4978" t="s">
        <v>190</v>
      </c>
      <c r="F4978" t="s">
        <v>61</v>
      </c>
      <c r="G4978" t="s">
        <v>48</v>
      </c>
      <c r="H4978" t="s">
        <v>3957</v>
      </c>
      <c r="I4978" t="s">
        <v>3958</v>
      </c>
      <c r="J4978" t="s">
        <v>6661</v>
      </c>
      <c r="K4978" t="s">
        <v>7275</v>
      </c>
      <c r="L4978" t="s">
        <v>53</v>
      </c>
      <c r="P4978" t="s">
        <v>55</v>
      </c>
      <c r="R4978" t="s">
        <v>56</v>
      </c>
      <c r="T4978" t="s">
        <v>8756</v>
      </c>
      <c r="U4978" t="s">
        <v>58</v>
      </c>
      <c r="V4978">
        <v>6</v>
      </c>
      <c r="W4978">
        <v>1</v>
      </c>
      <c r="X4978">
        <v>1</v>
      </c>
      <c r="Y4978">
        <v>0</v>
      </c>
      <c r="Z4978">
        <v>1</v>
      </c>
      <c r="AA4978">
        <v>1171.76</v>
      </c>
      <c r="AB4978">
        <v>1171.76</v>
      </c>
      <c r="AC4978">
        <v>1031</v>
      </c>
      <c r="AD4978">
        <v>0</v>
      </c>
      <c r="AE4978">
        <v>140.76</v>
      </c>
      <c r="AF4978">
        <v>0</v>
      </c>
      <c r="AG4978">
        <v>0</v>
      </c>
      <c r="AH4978">
        <v>0</v>
      </c>
      <c r="AI4978">
        <v>0</v>
      </c>
      <c r="AJ4978">
        <v>1171.76</v>
      </c>
      <c r="AK4978">
        <v>0</v>
      </c>
      <c r="AL4978" t="s">
        <v>53</v>
      </c>
      <c r="AM4978" t="s">
        <v>53</v>
      </c>
      <c r="AN4978" t="s">
        <v>53</v>
      </c>
      <c r="AO4978" t="s">
        <v>53</v>
      </c>
      <c r="AP4978" t="s">
        <v>53</v>
      </c>
    </row>
    <row r="4979" spans="2:42" x14ac:dyDescent="0.2">
      <c r="B4979" t="s">
        <v>44</v>
      </c>
      <c r="C4979" t="str">
        <f>HYPERLINK("https://us2.cloudbeds.com/connect/8493803454333002#/reservations/111772124655770?display=2DFKXS4M3S&amp;reservation_id=111772124655770", "2DFKXS4M3S")</f>
        <v>2DFKXS4M3S</v>
      </c>
      <c r="D4979" t="s">
        <v>45</v>
      </c>
      <c r="E4979" t="s">
        <v>78</v>
      </c>
      <c r="F4979" t="s">
        <v>61</v>
      </c>
      <c r="G4979" t="s">
        <v>48</v>
      </c>
      <c r="H4979" t="s">
        <v>3957</v>
      </c>
      <c r="I4979" t="s">
        <v>3975</v>
      </c>
      <c r="J4979" t="s">
        <v>6417</v>
      </c>
      <c r="K4979" t="s">
        <v>7486</v>
      </c>
      <c r="L4979" t="s">
        <v>53</v>
      </c>
      <c r="P4979" t="s">
        <v>55</v>
      </c>
      <c r="R4979" t="s">
        <v>53</v>
      </c>
      <c r="T4979" t="s">
        <v>8757</v>
      </c>
      <c r="U4979" t="s">
        <v>58</v>
      </c>
      <c r="V4979">
        <v>1</v>
      </c>
      <c r="W4979">
        <v>1</v>
      </c>
      <c r="X4979">
        <v>2</v>
      </c>
      <c r="Y4979">
        <v>0</v>
      </c>
      <c r="Z4979">
        <v>2</v>
      </c>
      <c r="AA4979">
        <v>164.8</v>
      </c>
      <c r="AB4979">
        <v>164.8</v>
      </c>
      <c r="AC4979">
        <v>145</v>
      </c>
      <c r="AD4979">
        <v>0</v>
      </c>
      <c r="AE4979">
        <v>19.8</v>
      </c>
      <c r="AF4979">
        <v>0</v>
      </c>
      <c r="AG4979">
        <v>0</v>
      </c>
      <c r="AH4979">
        <v>0</v>
      </c>
      <c r="AI4979">
        <v>0</v>
      </c>
      <c r="AJ4979">
        <v>164.8</v>
      </c>
      <c r="AK4979">
        <v>0</v>
      </c>
      <c r="AL4979" t="s">
        <v>53</v>
      </c>
      <c r="AM4979" t="s">
        <v>53</v>
      </c>
      <c r="AN4979" t="s">
        <v>53</v>
      </c>
      <c r="AO4979" t="s">
        <v>53</v>
      </c>
      <c r="AP4979" t="s">
        <v>53</v>
      </c>
    </row>
    <row r="4980" spans="2:42" x14ac:dyDescent="0.2">
      <c r="B4980" t="s">
        <v>44</v>
      </c>
      <c r="C4980" t="str">
        <f>HYPERLINK("https://us2.cloudbeds.com/connect/8493803454333002#/reservations/9080486846095861?display=2DFZZZ1TQD&amp;reservation_id=9080486846095861", "2DFZZZ1TQD")</f>
        <v>2DFZZZ1TQD</v>
      </c>
      <c r="D4980" t="s">
        <v>45</v>
      </c>
      <c r="E4980" t="s">
        <v>185</v>
      </c>
      <c r="F4980" t="s">
        <v>47</v>
      </c>
      <c r="G4980" t="s">
        <v>48</v>
      </c>
      <c r="H4980" t="s">
        <v>49</v>
      </c>
      <c r="I4980" t="s">
        <v>50</v>
      </c>
      <c r="J4980" t="s">
        <v>7376</v>
      </c>
      <c r="K4980" t="s">
        <v>6662</v>
      </c>
      <c r="L4980" t="s">
        <v>53</v>
      </c>
      <c r="N4980" t="s">
        <v>8758</v>
      </c>
      <c r="P4980" t="s">
        <v>55</v>
      </c>
      <c r="R4980" t="s">
        <v>53</v>
      </c>
      <c r="T4980" t="s">
        <v>8759</v>
      </c>
      <c r="U4980" t="s">
        <v>58</v>
      </c>
      <c r="V4980">
        <v>2</v>
      </c>
      <c r="W4980">
        <v>1</v>
      </c>
      <c r="X4980">
        <v>2</v>
      </c>
      <c r="Y4980">
        <v>0</v>
      </c>
      <c r="Z4980">
        <v>2</v>
      </c>
      <c r="AA4980">
        <v>277.19</v>
      </c>
      <c r="AB4980">
        <v>277.19</v>
      </c>
      <c r="AC4980">
        <v>243.9</v>
      </c>
      <c r="AD4980">
        <v>0</v>
      </c>
      <c r="AE4980">
        <v>33.29</v>
      </c>
      <c r="AF4980">
        <v>0</v>
      </c>
      <c r="AG4980">
        <v>0</v>
      </c>
      <c r="AH4980">
        <v>0</v>
      </c>
      <c r="AI4980">
        <v>49.89</v>
      </c>
      <c r="AJ4980">
        <v>277.19</v>
      </c>
      <c r="AK4980">
        <v>0</v>
      </c>
      <c r="AL4980" t="s">
        <v>53</v>
      </c>
      <c r="AM4980" t="s">
        <v>53</v>
      </c>
      <c r="AN4980" t="s">
        <v>53</v>
      </c>
      <c r="AO4980" t="s">
        <v>53</v>
      </c>
      <c r="AP4980" t="s">
        <v>53</v>
      </c>
    </row>
    <row r="4981" spans="2:42" x14ac:dyDescent="0.2">
      <c r="B4981" t="s">
        <v>44</v>
      </c>
      <c r="C4981" t="str">
        <f>HYPERLINK("https://us2.cloudbeds.com/connect/8493803454333002#/reservations/111790022869147?display=2DG1E6CRP6&amp;reservation_id=111790022869147", "2DG1E6CRP6")</f>
        <v>2DG1E6CRP6</v>
      </c>
      <c r="D4981" t="s">
        <v>45</v>
      </c>
      <c r="E4981" t="s">
        <v>78</v>
      </c>
      <c r="F4981" t="s">
        <v>61</v>
      </c>
      <c r="G4981" t="s">
        <v>48</v>
      </c>
      <c r="H4981" t="s">
        <v>3957</v>
      </c>
      <c r="I4981" t="s">
        <v>3975</v>
      </c>
      <c r="J4981" t="s">
        <v>4009</v>
      </c>
      <c r="K4981" t="s">
        <v>8319</v>
      </c>
      <c r="L4981" t="s">
        <v>53</v>
      </c>
      <c r="P4981" t="s">
        <v>55</v>
      </c>
      <c r="R4981" t="s">
        <v>53</v>
      </c>
      <c r="T4981" t="s">
        <v>8760</v>
      </c>
      <c r="U4981" t="s">
        <v>58</v>
      </c>
      <c r="V4981">
        <v>1</v>
      </c>
      <c r="W4981">
        <v>1</v>
      </c>
      <c r="X4981">
        <v>2</v>
      </c>
      <c r="Y4981">
        <v>0</v>
      </c>
      <c r="Z4981">
        <v>2</v>
      </c>
      <c r="AA4981">
        <v>167.07</v>
      </c>
      <c r="AB4981">
        <v>167.07</v>
      </c>
      <c r="AC4981">
        <v>147</v>
      </c>
      <c r="AD4981">
        <v>0</v>
      </c>
      <c r="AE4981">
        <v>20.07</v>
      </c>
      <c r="AF4981">
        <v>0</v>
      </c>
      <c r="AG4981">
        <v>0</v>
      </c>
      <c r="AH4981">
        <v>0</v>
      </c>
      <c r="AI4981">
        <v>0</v>
      </c>
      <c r="AJ4981">
        <v>167.07</v>
      </c>
      <c r="AK4981">
        <v>0</v>
      </c>
      <c r="AL4981" t="s">
        <v>53</v>
      </c>
      <c r="AM4981" t="s">
        <v>53</v>
      </c>
      <c r="AN4981" t="s">
        <v>53</v>
      </c>
      <c r="AO4981" t="s">
        <v>53</v>
      </c>
      <c r="AP4981" t="s">
        <v>53</v>
      </c>
    </row>
    <row r="4982" spans="2:42" x14ac:dyDescent="0.2">
      <c r="B4982" t="s">
        <v>44</v>
      </c>
      <c r="C4982" t="str">
        <f>HYPERLINK("https://us2.cloudbeds.com/connect/8493803454333002#/reservations/9080486846100509?display=2DH0YCZ9TT&amp;reservation_id=9080486846100509", "2DH0YCZ9TT")</f>
        <v>2DH0YCZ9TT</v>
      </c>
      <c r="D4982" t="s">
        <v>45</v>
      </c>
      <c r="E4982" t="s">
        <v>8761</v>
      </c>
      <c r="F4982" t="s">
        <v>3979</v>
      </c>
      <c r="G4982" t="s">
        <v>48</v>
      </c>
      <c r="H4982" t="s">
        <v>49</v>
      </c>
      <c r="I4982" t="s">
        <v>62</v>
      </c>
      <c r="J4982" t="s">
        <v>6417</v>
      </c>
      <c r="K4982" t="s">
        <v>7486</v>
      </c>
      <c r="L4982" t="s">
        <v>53</v>
      </c>
      <c r="N4982" t="s">
        <v>8762</v>
      </c>
      <c r="P4982" t="s">
        <v>55</v>
      </c>
      <c r="R4982" t="s">
        <v>56</v>
      </c>
      <c r="T4982" t="s">
        <v>8763</v>
      </c>
      <c r="U4982" t="s">
        <v>55</v>
      </c>
      <c r="V4982">
        <v>2</v>
      </c>
      <c r="W4982">
        <v>2</v>
      </c>
      <c r="X4982">
        <v>3</v>
      </c>
      <c r="Y4982">
        <v>2</v>
      </c>
      <c r="Z4982">
        <v>5</v>
      </c>
      <c r="AA4982">
        <v>289</v>
      </c>
      <c r="AB4982">
        <v>289</v>
      </c>
      <c r="AC4982">
        <v>289</v>
      </c>
      <c r="AD4982">
        <v>0</v>
      </c>
      <c r="AE4982">
        <v>0</v>
      </c>
      <c r="AF4982">
        <v>0</v>
      </c>
      <c r="AG4982">
        <v>0</v>
      </c>
      <c r="AH4982">
        <v>0</v>
      </c>
      <c r="AI4982">
        <v>52.02</v>
      </c>
      <c r="AJ4982">
        <v>289</v>
      </c>
      <c r="AK4982">
        <v>0</v>
      </c>
      <c r="AL4982" t="s">
        <v>53</v>
      </c>
      <c r="AM4982" t="s">
        <v>53</v>
      </c>
      <c r="AN4982" t="s">
        <v>8764</v>
      </c>
      <c r="AO4982" t="s">
        <v>53</v>
      </c>
      <c r="AP4982" t="s">
        <v>53</v>
      </c>
    </row>
    <row r="4983" spans="2:42" x14ac:dyDescent="0.2">
      <c r="B4983" t="s">
        <v>44</v>
      </c>
      <c r="C4983" t="str">
        <f>HYPERLINK("https://us2.cloudbeds.com/connect/8493803454333002#/reservations/9080486846103164?display=2DHGVSHGJK&amp;reservation_id=9080486846103164", "2DHGVSHGJK")</f>
        <v>2DHGVSHGJK</v>
      </c>
      <c r="D4983" t="s">
        <v>45</v>
      </c>
      <c r="E4983" t="s">
        <v>69</v>
      </c>
      <c r="F4983" t="s">
        <v>70</v>
      </c>
      <c r="G4983" t="s">
        <v>48</v>
      </c>
      <c r="H4983" t="s">
        <v>49</v>
      </c>
      <c r="I4983" t="s">
        <v>50</v>
      </c>
      <c r="J4983" t="s">
        <v>6373</v>
      </c>
      <c r="K4983" t="s">
        <v>8765</v>
      </c>
      <c r="L4983" t="s">
        <v>53</v>
      </c>
      <c r="N4983" t="s">
        <v>8766</v>
      </c>
      <c r="P4983" t="s">
        <v>55</v>
      </c>
      <c r="R4983" t="s">
        <v>53</v>
      </c>
      <c r="T4983" t="s">
        <v>8767</v>
      </c>
      <c r="U4983" t="s">
        <v>58</v>
      </c>
      <c r="V4983">
        <v>1</v>
      </c>
      <c r="W4983">
        <v>1</v>
      </c>
      <c r="X4983">
        <v>2</v>
      </c>
      <c r="Y4983">
        <v>0</v>
      </c>
      <c r="Z4983">
        <v>2</v>
      </c>
      <c r="AA4983">
        <v>157.41999999999999</v>
      </c>
      <c r="AB4983">
        <v>157.41999999999999</v>
      </c>
      <c r="AC4983">
        <v>138.51</v>
      </c>
      <c r="AD4983">
        <v>0</v>
      </c>
      <c r="AE4983">
        <v>18.91</v>
      </c>
      <c r="AF4983">
        <v>0</v>
      </c>
      <c r="AG4983">
        <v>0</v>
      </c>
      <c r="AH4983">
        <v>0</v>
      </c>
      <c r="AI4983">
        <v>28.34</v>
      </c>
      <c r="AJ4983">
        <v>157.41999999999999</v>
      </c>
      <c r="AK4983">
        <v>50</v>
      </c>
      <c r="AL4983" t="s">
        <v>53</v>
      </c>
      <c r="AM4983" t="s">
        <v>53</v>
      </c>
      <c r="AN4983" t="s">
        <v>8768</v>
      </c>
      <c r="AO4983" t="s">
        <v>53</v>
      </c>
      <c r="AP4983" t="s">
        <v>53</v>
      </c>
    </row>
    <row r="4984" spans="2:42" x14ac:dyDescent="0.2">
      <c r="B4984" t="s">
        <v>44</v>
      </c>
      <c r="C4984" t="str">
        <f>HYPERLINK("https://us2.cloudbeds.com/connect/8493803454333002#/reservations/9080486846104017?display=2DHYDD4UKE&amp;reservation_id=9080486846104017", "2DHYDD4UKE")</f>
        <v>2DHYDD4UKE</v>
      </c>
      <c r="D4984" t="s">
        <v>45</v>
      </c>
      <c r="E4984" t="s">
        <v>69</v>
      </c>
      <c r="F4984" t="s">
        <v>70</v>
      </c>
      <c r="G4984" t="s">
        <v>48</v>
      </c>
      <c r="H4984" t="s">
        <v>49</v>
      </c>
      <c r="I4984" t="s">
        <v>50</v>
      </c>
      <c r="J4984" t="s">
        <v>6661</v>
      </c>
      <c r="K4984" t="s">
        <v>7376</v>
      </c>
      <c r="L4984" t="s">
        <v>53</v>
      </c>
      <c r="N4984" t="s">
        <v>8769</v>
      </c>
      <c r="P4984" t="s">
        <v>55</v>
      </c>
      <c r="R4984" t="s">
        <v>53</v>
      </c>
      <c r="T4984" t="s">
        <v>8770</v>
      </c>
      <c r="U4984" t="s">
        <v>58</v>
      </c>
      <c r="V4984">
        <v>1</v>
      </c>
      <c r="W4984">
        <v>1</v>
      </c>
      <c r="X4984">
        <v>2</v>
      </c>
      <c r="Y4984">
        <v>0</v>
      </c>
      <c r="Z4984">
        <v>2</v>
      </c>
      <c r="AA4984">
        <v>150.37</v>
      </c>
      <c r="AB4984">
        <v>150.37</v>
      </c>
      <c r="AC4984">
        <v>132.30000000000001</v>
      </c>
      <c r="AD4984">
        <v>0</v>
      </c>
      <c r="AE4984">
        <v>18.07</v>
      </c>
      <c r="AF4984">
        <v>0</v>
      </c>
      <c r="AG4984">
        <v>0</v>
      </c>
      <c r="AH4984">
        <v>0</v>
      </c>
      <c r="AI4984">
        <v>27.07</v>
      </c>
      <c r="AJ4984">
        <v>150.37</v>
      </c>
      <c r="AK4984">
        <v>0</v>
      </c>
      <c r="AL4984" t="s">
        <v>53</v>
      </c>
      <c r="AM4984" t="s">
        <v>53</v>
      </c>
      <c r="AN4984" t="s">
        <v>53</v>
      </c>
      <c r="AO4984" t="s">
        <v>53</v>
      </c>
      <c r="AP4984" t="s">
        <v>53</v>
      </c>
    </row>
    <row r="4985" spans="2:42" x14ac:dyDescent="0.2">
      <c r="B4985" t="s">
        <v>44</v>
      </c>
      <c r="C4985" t="str">
        <f>HYPERLINK("https://us2.cloudbeds.com/connect/8493803454333002#/reservations/9080486846104308?display=2DHN3QFD8W&amp;reservation_id=9080486846104308", "2DHN3QFD8W")</f>
        <v>2DHN3QFD8W</v>
      </c>
      <c r="D4985" t="s">
        <v>45</v>
      </c>
      <c r="E4985" t="s">
        <v>487</v>
      </c>
      <c r="F4985" t="s">
        <v>61</v>
      </c>
      <c r="G4985" t="s">
        <v>48</v>
      </c>
      <c r="H4985" t="s">
        <v>49</v>
      </c>
      <c r="I4985" t="s">
        <v>50</v>
      </c>
      <c r="J4985" t="s">
        <v>6662</v>
      </c>
      <c r="K4985" t="s">
        <v>6943</v>
      </c>
      <c r="L4985" t="s">
        <v>53</v>
      </c>
      <c r="N4985" t="s">
        <v>8771</v>
      </c>
      <c r="P4985" t="s">
        <v>55</v>
      </c>
      <c r="R4985" t="s">
        <v>53</v>
      </c>
      <c r="T4985" t="s">
        <v>8772</v>
      </c>
      <c r="U4985" t="s">
        <v>58</v>
      </c>
      <c r="V4985">
        <v>2</v>
      </c>
      <c r="W4985">
        <v>1</v>
      </c>
      <c r="X4985">
        <v>2</v>
      </c>
      <c r="Y4985">
        <v>0</v>
      </c>
      <c r="Z4985">
        <v>2</v>
      </c>
      <c r="AA4985">
        <v>332.33</v>
      </c>
      <c r="AB4985">
        <v>332.33</v>
      </c>
      <c r="AC4985">
        <v>292.41000000000003</v>
      </c>
      <c r="AD4985">
        <v>0</v>
      </c>
      <c r="AE4985">
        <v>39.92</v>
      </c>
      <c r="AF4985">
        <v>0</v>
      </c>
      <c r="AG4985">
        <v>0</v>
      </c>
      <c r="AH4985">
        <v>0</v>
      </c>
      <c r="AI4985">
        <v>59.82</v>
      </c>
      <c r="AJ4985">
        <v>332.33</v>
      </c>
      <c r="AK4985">
        <v>0</v>
      </c>
      <c r="AL4985" t="s">
        <v>53</v>
      </c>
      <c r="AM4985" t="s">
        <v>53</v>
      </c>
      <c r="AN4985" t="s">
        <v>8773</v>
      </c>
      <c r="AO4985" t="s">
        <v>53</v>
      </c>
      <c r="AP4985" t="s">
        <v>53</v>
      </c>
    </row>
    <row r="4986" spans="2:42" x14ac:dyDescent="0.2">
      <c r="B4986" t="s">
        <v>44</v>
      </c>
      <c r="C4986" t="str">
        <f>HYPERLINK("https://us2.cloudbeds.com/connect/8493803454333002#/reservations/9080486846108147?display=2DX7YESH9T&amp;reservation_id=9080486846108147", "2DX7YESH9T")</f>
        <v>2DX7YESH9T</v>
      </c>
      <c r="D4986" t="s">
        <v>45</v>
      </c>
      <c r="E4986" t="s">
        <v>110</v>
      </c>
      <c r="F4986" t="s">
        <v>47</v>
      </c>
      <c r="G4986" t="s">
        <v>48</v>
      </c>
      <c r="H4986" t="s">
        <v>49</v>
      </c>
      <c r="I4986" t="s">
        <v>62</v>
      </c>
      <c r="J4986" t="s">
        <v>6373</v>
      </c>
      <c r="K4986" t="s">
        <v>6374</v>
      </c>
      <c r="L4986" t="s">
        <v>53</v>
      </c>
      <c r="N4986" t="s">
        <v>8774</v>
      </c>
      <c r="P4986" t="s">
        <v>55</v>
      </c>
      <c r="R4986" t="s">
        <v>56</v>
      </c>
      <c r="T4986" t="s">
        <v>8775</v>
      </c>
      <c r="U4986" t="s">
        <v>55</v>
      </c>
      <c r="V4986">
        <v>2</v>
      </c>
      <c r="W4986">
        <v>1</v>
      </c>
      <c r="X4986">
        <v>2</v>
      </c>
      <c r="Y4986">
        <v>0</v>
      </c>
      <c r="Z4986">
        <v>2</v>
      </c>
      <c r="AA4986">
        <v>310.64999999999998</v>
      </c>
      <c r="AB4986">
        <v>310.64999999999998</v>
      </c>
      <c r="AC4986">
        <v>310.64999999999998</v>
      </c>
      <c r="AD4986">
        <v>0</v>
      </c>
      <c r="AE4986">
        <v>0</v>
      </c>
      <c r="AF4986">
        <v>0</v>
      </c>
      <c r="AG4986">
        <v>0</v>
      </c>
      <c r="AH4986">
        <v>0</v>
      </c>
      <c r="AI4986">
        <v>55.92</v>
      </c>
      <c r="AJ4986">
        <v>310.64999999999998</v>
      </c>
      <c r="AK4986">
        <v>0</v>
      </c>
      <c r="AL4986" t="s">
        <v>53</v>
      </c>
      <c r="AM4986" t="s">
        <v>53</v>
      </c>
      <c r="AN4986" t="s">
        <v>53</v>
      </c>
      <c r="AO4986" t="s">
        <v>53</v>
      </c>
      <c r="AP4986" t="s">
        <v>53</v>
      </c>
    </row>
    <row r="4987" spans="2:42" x14ac:dyDescent="0.2">
      <c r="B4987" t="s">
        <v>44</v>
      </c>
      <c r="C4987" t="str">
        <f>HYPERLINK("https://us2.cloudbeds.com/connect/8493803454333002#/reservations/9080486846112306?display=2DXQS5CTFN&amp;reservation_id=9080486846112306", "2DXQS5CTFN")</f>
        <v>2DXQS5CTFN</v>
      </c>
      <c r="D4987" t="s">
        <v>45</v>
      </c>
      <c r="E4987" t="s">
        <v>128</v>
      </c>
      <c r="F4987" t="s">
        <v>86</v>
      </c>
      <c r="G4987" t="s">
        <v>48</v>
      </c>
      <c r="H4987" t="s">
        <v>49</v>
      </c>
      <c r="I4987" t="s">
        <v>50</v>
      </c>
      <c r="J4987" t="s">
        <v>8594</v>
      </c>
      <c r="K4987" t="s">
        <v>7925</v>
      </c>
      <c r="L4987" t="s">
        <v>53</v>
      </c>
      <c r="N4987" t="s">
        <v>8776</v>
      </c>
      <c r="P4987" t="s">
        <v>55</v>
      </c>
      <c r="R4987" t="s">
        <v>53</v>
      </c>
      <c r="T4987" t="s">
        <v>8777</v>
      </c>
      <c r="U4987" t="s">
        <v>58</v>
      </c>
      <c r="V4987">
        <v>2</v>
      </c>
      <c r="W4987">
        <v>1</v>
      </c>
      <c r="X4987">
        <v>2</v>
      </c>
      <c r="Y4987">
        <v>2</v>
      </c>
      <c r="Z4987">
        <v>4</v>
      </c>
      <c r="AA4987">
        <v>376.41</v>
      </c>
      <c r="AB4987">
        <v>376.41</v>
      </c>
      <c r="AC4987">
        <v>331.2</v>
      </c>
      <c r="AD4987">
        <v>0</v>
      </c>
      <c r="AE4987">
        <v>45.21</v>
      </c>
      <c r="AF4987">
        <v>0</v>
      </c>
      <c r="AG4987">
        <v>0</v>
      </c>
      <c r="AH4987">
        <v>0</v>
      </c>
      <c r="AI4987">
        <v>67.75</v>
      </c>
      <c r="AJ4987">
        <v>376.41</v>
      </c>
      <c r="AK4987">
        <v>0</v>
      </c>
      <c r="AL4987" t="s">
        <v>53</v>
      </c>
      <c r="AM4987" t="s">
        <v>53</v>
      </c>
      <c r="AN4987" t="s">
        <v>53</v>
      </c>
      <c r="AO4987" t="s">
        <v>53</v>
      </c>
      <c r="AP4987" t="s">
        <v>53</v>
      </c>
    </row>
    <row r="4988" spans="2:42" x14ac:dyDescent="0.2">
      <c r="B4988" t="s">
        <v>44</v>
      </c>
      <c r="C4988" t="str">
        <f>HYPERLINK("https://us2.cloudbeds.com/connect/8493803454333002#/reservations/9080486846133518?display=2DYMZSPMFF&amp;reservation_id=9080486846133518", "2DYMZSPMFF")</f>
        <v>2DYMZSPMFF</v>
      </c>
      <c r="D4988" t="s">
        <v>45</v>
      </c>
      <c r="E4988" t="s">
        <v>92</v>
      </c>
      <c r="F4988" t="s">
        <v>86</v>
      </c>
      <c r="G4988" t="s">
        <v>48</v>
      </c>
      <c r="H4988" t="s">
        <v>49</v>
      </c>
      <c r="I4988" t="s">
        <v>50</v>
      </c>
      <c r="J4988" t="s">
        <v>7352</v>
      </c>
      <c r="K4988" t="s">
        <v>7151</v>
      </c>
      <c r="L4988" t="s">
        <v>53</v>
      </c>
      <c r="N4988" t="s">
        <v>8778</v>
      </c>
      <c r="P4988" t="s">
        <v>55</v>
      </c>
      <c r="R4988" t="s">
        <v>53</v>
      </c>
      <c r="T4988" t="s">
        <v>8779</v>
      </c>
      <c r="U4988" t="s">
        <v>58</v>
      </c>
      <c r="V4988">
        <v>4</v>
      </c>
      <c r="W4988">
        <v>1</v>
      </c>
      <c r="X4988">
        <v>2</v>
      </c>
      <c r="Y4988">
        <v>0</v>
      </c>
      <c r="Z4988">
        <v>2</v>
      </c>
      <c r="AA4988">
        <v>803.51</v>
      </c>
      <c r="AB4988">
        <v>803.51</v>
      </c>
      <c r="AC4988">
        <v>706.99</v>
      </c>
      <c r="AD4988">
        <v>0</v>
      </c>
      <c r="AE4988">
        <v>96.52</v>
      </c>
      <c r="AF4988">
        <v>0</v>
      </c>
      <c r="AG4988">
        <v>0</v>
      </c>
      <c r="AH4988">
        <v>0</v>
      </c>
      <c r="AI4988">
        <v>144.63</v>
      </c>
      <c r="AJ4988">
        <v>803.51</v>
      </c>
      <c r="AK4988">
        <v>0</v>
      </c>
      <c r="AL4988" t="s">
        <v>53</v>
      </c>
      <c r="AM4988" t="s">
        <v>53</v>
      </c>
      <c r="AN4988" t="s">
        <v>53</v>
      </c>
      <c r="AO4988" t="s">
        <v>53</v>
      </c>
      <c r="AP4988" t="s">
        <v>53</v>
      </c>
    </row>
    <row r="4989" spans="2:42" x14ac:dyDescent="0.2">
      <c r="B4989" t="s">
        <v>44</v>
      </c>
      <c r="C4989" t="str">
        <f>HYPERLINK("https://us2.cloudbeds.com/connect/8493803454333002#/reservations/9080486846142362?display=2DMR1GMPXF&amp;reservation_id=9080486846142362", "2DMR1GMPXF")</f>
        <v>2DMR1GMPXF</v>
      </c>
      <c r="D4989" t="s">
        <v>45</v>
      </c>
      <c r="E4989" t="s">
        <v>121</v>
      </c>
      <c r="F4989" t="s">
        <v>86</v>
      </c>
      <c r="G4989" t="s">
        <v>48</v>
      </c>
      <c r="H4989" t="s">
        <v>49</v>
      </c>
      <c r="I4989" t="s">
        <v>50</v>
      </c>
      <c r="J4989" t="s">
        <v>7394</v>
      </c>
      <c r="K4989" t="s">
        <v>7376</v>
      </c>
      <c r="L4989" t="s">
        <v>53</v>
      </c>
      <c r="N4989" t="s">
        <v>8780</v>
      </c>
      <c r="P4989" t="s">
        <v>55</v>
      </c>
      <c r="R4989" t="s">
        <v>53</v>
      </c>
      <c r="T4989" t="s">
        <v>8781</v>
      </c>
      <c r="U4989" t="s">
        <v>58</v>
      </c>
      <c r="V4989">
        <v>3</v>
      </c>
      <c r="W4989">
        <v>1</v>
      </c>
      <c r="X4989">
        <v>2</v>
      </c>
      <c r="Y4989">
        <v>0</v>
      </c>
      <c r="Z4989">
        <v>2</v>
      </c>
      <c r="AA4989">
        <v>693.6</v>
      </c>
      <c r="AB4989">
        <v>693.6</v>
      </c>
      <c r="AC4989">
        <v>610.29999999999995</v>
      </c>
      <c r="AD4989">
        <v>0</v>
      </c>
      <c r="AE4989">
        <v>83.3</v>
      </c>
      <c r="AF4989">
        <v>0</v>
      </c>
      <c r="AG4989">
        <v>0</v>
      </c>
      <c r="AH4989">
        <v>0</v>
      </c>
      <c r="AI4989">
        <v>124.85</v>
      </c>
      <c r="AJ4989">
        <v>693.6</v>
      </c>
      <c r="AK4989">
        <v>0</v>
      </c>
      <c r="AL4989" t="s">
        <v>53</v>
      </c>
      <c r="AM4989" t="s">
        <v>53</v>
      </c>
      <c r="AN4989" t="s">
        <v>53</v>
      </c>
      <c r="AO4989" t="s">
        <v>53</v>
      </c>
      <c r="AP4989" t="s">
        <v>53</v>
      </c>
    </row>
    <row r="4990" spans="2:42" x14ac:dyDescent="0.2">
      <c r="B4990" t="s">
        <v>44</v>
      </c>
      <c r="C4990" t="str">
        <f>HYPERLINK("https://us2.cloudbeds.com/connect/8493803454333002#/reservations/9080486846143350?display=2DMVE8P5MK&amp;reservation_id=9080486846143350", "2DMVE8P5MK")</f>
        <v>2DMVE8P5MK</v>
      </c>
      <c r="D4990" t="s">
        <v>45</v>
      </c>
      <c r="E4990" t="s">
        <v>487</v>
      </c>
      <c r="F4990" t="s">
        <v>61</v>
      </c>
      <c r="G4990" t="s">
        <v>48</v>
      </c>
      <c r="H4990" t="s">
        <v>49</v>
      </c>
      <c r="I4990" t="s">
        <v>50</v>
      </c>
      <c r="J4990" t="s">
        <v>6943</v>
      </c>
      <c r="K4990" t="s">
        <v>7275</v>
      </c>
      <c r="L4990" t="s">
        <v>53</v>
      </c>
      <c r="N4990" t="s">
        <v>8782</v>
      </c>
      <c r="P4990" t="s">
        <v>55</v>
      </c>
      <c r="R4990" t="s">
        <v>53</v>
      </c>
      <c r="T4990" t="s">
        <v>8783</v>
      </c>
      <c r="U4990" t="s">
        <v>58</v>
      </c>
      <c r="V4990">
        <v>1</v>
      </c>
      <c r="W4990">
        <v>1</v>
      </c>
      <c r="X4990">
        <v>2</v>
      </c>
      <c r="Y4990">
        <v>0</v>
      </c>
      <c r="Z4990">
        <v>2</v>
      </c>
      <c r="AA4990">
        <v>213.49</v>
      </c>
      <c r="AB4990">
        <v>213.49</v>
      </c>
      <c r="AC4990">
        <v>187.85</v>
      </c>
      <c r="AD4990">
        <v>0</v>
      </c>
      <c r="AE4990">
        <v>25.64</v>
      </c>
      <c r="AF4990">
        <v>0</v>
      </c>
      <c r="AG4990">
        <v>0</v>
      </c>
      <c r="AH4990">
        <v>0</v>
      </c>
      <c r="AI4990">
        <v>38.43</v>
      </c>
      <c r="AJ4990">
        <v>213.49</v>
      </c>
      <c r="AK4990">
        <v>0</v>
      </c>
      <c r="AL4990" t="s">
        <v>53</v>
      </c>
      <c r="AM4990" t="s">
        <v>53</v>
      </c>
      <c r="AN4990" t="s">
        <v>53</v>
      </c>
      <c r="AO4990" t="s">
        <v>53</v>
      </c>
      <c r="AP4990" t="s">
        <v>53</v>
      </c>
    </row>
    <row r="4991" spans="2:42" x14ac:dyDescent="0.2">
      <c r="B4991" t="s">
        <v>44</v>
      </c>
      <c r="C4991" t="str">
        <f>HYPERLINK("https://us2.cloudbeds.com/connect/8493803454333002#/reservations/9080486846143763?display=2DN4WBJFDF&amp;reservation_id=9080486846143763", "2DN4WBJFDF")</f>
        <v>2DN4WBJFDF</v>
      </c>
      <c r="D4991" t="s">
        <v>45</v>
      </c>
      <c r="E4991" t="s">
        <v>110</v>
      </c>
      <c r="F4991" t="s">
        <v>47</v>
      </c>
      <c r="G4991" t="s">
        <v>48</v>
      </c>
      <c r="H4991" t="s">
        <v>49</v>
      </c>
      <c r="I4991" t="s">
        <v>50</v>
      </c>
      <c r="J4991" t="s">
        <v>7275</v>
      </c>
      <c r="K4991" t="s">
        <v>7414</v>
      </c>
      <c r="L4991" t="s">
        <v>53</v>
      </c>
      <c r="N4991" t="s">
        <v>8784</v>
      </c>
      <c r="P4991" t="s">
        <v>55</v>
      </c>
      <c r="R4991" t="s">
        <v>53</v>
      </c>
      <c r="T4991" t="s">
        <v>8785</v>
      </c>
      <c r="U4991" t="s">
        <v>58</v>
      </c>
      <c r="V4991">
        <v>2</v>
      </c>
      <c r="W4991">
        <v>1</v>
      </c>
      <c r="X4991">
        <v>2</v>
      </c>
      <c r="Y4991">
        <v>0</v>
      </c>
      <c r="Z4991">
        <v>2</v>
      </c>
      <c r="AA4991">
        <v>368.22</v>
      </c>
      <c r="AB4991">
        <v>368.22</v>
      </c>
      <c r="AC4991">
        <v>324</v>
      </c>
      <c r="AD4991">
        <v>0</v>
      </c>
      <c r="AE4991">
        <v>44.22</v>
      </c>
      <c r="AF4991">
        <v>0</v>
      </c>
      <c r="AG4991">
        <v>0</v>
      </c>
      <c r="AH4991">
        <v>0</v>
      </c>
      <c r="AI4991">
        <v>66.28</v>
      </c>
      <c r="AJ4991">
        <v>368.22</v>
      </c>
      <c r="AK4991">
        <v>0</v>
      </c>
      <c r="AL4991" t="s">
        <v>53</v>
      </c>
      <c r="AM4991" t="s">
        <v>53</v>
      </c>
      <c r="AN4991" t="s">
        <v>53</v>
      </c>
      <c r="AO4991" t="s">
        <v>53</v>
      </c>
      <c r="AP4991" t="s">
        <v>53</v>
      </c>
    </row>
    <row r="4992" spans="2:42" x14ac:dyDescent="0.2">
      <c r="B4992" t="s">
        <v>44</v>
      </c>
      <c r="C4992" t="str">
        <f>HYPERLINK("https://us2.cloudbeds.com/connect/8493803454333002#/reservations/9080486846144502?display=2DZ0DRXZCS&amp;reservation_id=9080486846144502", "2DZ0DRXZCS")</f>
        <v>2DZ0DRXZCS</v>
      </c>
      <c r="D4992" t="s">
        <v>45</v>
      </c>
      <c r="E4992" t="s">
        <v>265</v>
      </c>
      <c r="F4992" t="s">
        <v>61</v>
      </c>
      <c r="G4992" t="s">
        <v>48</v>
      </c>
      <c r="H4992" t="s">
        <v>49</v>
      </c>
      <c r="I4992" t="s">
        <v>50</v>
      </c>
      <c r="J4992" t="s">
        <v>7376</v>
      </c>
      <c r="K4992" t="s">
        <v>7595</v>
      </c>
      <c r="L4992" t="s">
        <v>53</v>
      </c>
      <c r="N4992" t="s">
        <v>8786</v>
      </c>
      <c r="P4992" t="s">
        <v>55</v>
      </c>
      <c r="R4992" t="s">
        <v>53</v>
      </c>
      <c r="T4992" t="s">
        <v>8787</v>
      </c>
      <c r="U4992" t="s">
        <v>58</v>
      </c>
      <c r="V4992">
        <v>3</v>
      </c>
      <c r="W4992">
        <v>1</v>
      </c>
      <c r="X4992">
        <v>1</v>
      </c>
      <c r="Y4992">
        <v>0</v>
      </c>
      <c r="Z4992">
        <v>1</v>
      </c>
      <c r="AA4992">
        <v>485.84</v>
      </c>
      <c r="AB4992">
        <v>485.84</v>
      </c>
      <c r="AC4992">
        <v>427.5</v>
      </c>
      <c r="AD4992">
        <v>0</v>
      </c>
      <c r="AE4992">
        <v>58.34</v>
      </c>
      <c r="AF4992">
        <v>0</v>
      </c>
      <c r="AG4992">
        <v>0</v>
      </c>
      <c r="AH4992">
        <v>0</v>
      </c>
      <c r="AI4992">
        <v>87.45</v>
      </c>
      <c r="AJ4992">
        <v>485.84</v>
      </c>
      <c r="AK4992">
        <v>0</v>
      </c>
      <c r="AL4992" t="s">
        <v>53</v>
      </c>
      <c r="AM4992" t="s">
        <v>53</v>
      </c>
      <c r="AN4992" t="s">
        <v>53</v>
      </c>
      <c r="AO4992" t="s">
        <v>53</v>
      </c>
      <c r="AP4992" t="s">
        <v>53</v>
      </c>
    </row>
    <row r="4993" spans="2:42" x14ac:dyDescent="0.2">
      <c r="B4993" t="s">
        <v>44</v>
      </c>
      <c r="C4993" t="str">
        <f>HYPERLINK("https://us2.cloudbeds.com/connect/8493803454333002#/reservations/9080486846144690?display=2DZ8BYKTDD&amp;reservation_id=9080486846144690", "2DZ8BYKTDD")</f>
        <v>2DZ8BYKTDD</v>
      </c>
      <c r="D4993" t="s">
        <v>45</v>
      </c>
      <c r="E4993" t="s">
        <v>110</v>
      </c>
      <c r="F4993" t="s">
        <v>47</v>
      </c>
      <c r="G4993" t="s">
        <v>48</v>
      </c>
      <c r="H4993" t="s">
        <v>49</v>
      </c>
      <c r="I4993" t="s">
        <v>50</v>
      </c>
      <c r="J4993" t="s">
        <v>6345</v>
      </c>
      <c r="K4993" t="s">
        <v>8678</v>
      </c>
      <c r="L4993" t="s">
        <v>53</v>
      </c>
      <c r="N4993" t="s">
        <v>8788</v>
      </c>
      <c r="P4993" t="s">
        <v>55</v>
      </c>
      <c r="R4993" t="s">
        <v>53</v>
      </c>
      <c r="T4993" t="s">
        <v>8789</v>
      </c>
      <c r="U4993" t="s">
        <v>58</v>
      </c>
      <c r="V4993">
        <v>1</v>
      </c>
      <c r="W4993">
        <v>1</v>
      </c>
      <c r="X4993">
        <v>2</v>
      </c>
      <c r="Y4993">
        <v>0</v>
      </c>
      <c r="Z4993">
        <v>2</v>
      </c>
      <c r="AA4993">
        <v>179.65</v>
      </c>
      <c r="AB4993">
        <v>179.65</v>
      </c>
      <c r="AC4993">
        <v>158.08000000000001</v>
      </c>
      <c r="AD4993">
        <v>0</v>
      </c>
      <c r="AE4993">
        <v>21.57</v>
      </c>
      <c r="AF4993">
        <v>0</v>
      </c>
      <c r="AG4993">
        <v>0</v>
      </c>
      <c r="AH4993">
        <v>0</v>
      </c>
      <c r="AI4993">
        <v>32.340000000000003</v>
      </c>
      <c r="AJ4993">
        <v>179.65</v>
      </c>
      <c r="AK4993">
        <v>0</v>
      </c>
      <c r="AL4993" t="s">
        <v>53</v>
      </c>
      <c r="AM4993" t="s">
        <v>53</v>
      </c>
      <c r="AN4993" t="s">
        <v>53</v>
      </c>
      <c r="AO4993" t="s">
        <v>53</v>
      </c>
      <c r="AP4993" t="s">
        <v>53</v>
      </c>
    </row>
    <row r="4994" spans="2:42" x14ac:dyDescent="0.2">
      <c r="B4994" t="s">
        <v>44</v>
      </c>
      <c r="C4994" t="str">
        <f>HYPERLINK("https://us2.cloudbeds.com/connect/8493803454333002#/reservations/9080486846144757?display=2DZBJ7ARDW&amp;reservation_id=9080486846144757", "2DZBJ7ARDW")</f>
        <v>2DZBJ7ARDW</v>
      </c>
      <c r="D4994" t="s">
        <v>45</v>
      </c>
      <c r="E4994" t="s">
        <v>69</v>
      </c>
      <c r="F4994" t="s">
        <v>70</v>
      </c>
      <c r="G4994" t="s">
        <v>48</v>
      </c>
      <c r="H4994" t="s">
        <v>49</v>
      </c>
      <c r="I4994" t="s">
        <v>50</v>
      </c>
      <c r="J4994" t="s">
        <v>8790</v>
      </c>
      <c r="K4994" t="s">
        <v>7803</v>
      </c>
      <c r="L4994" t="s">
        <v>53</v>
      </c>
      <c r="N4994" t="s">
        <v>8791</v>
      </c>
      <c r="P4994" t="s">
        <v>55</v>
      </c>
      <c r="R4994" t="s">
        <v>53</v>
      </c>
      <c r="T4994" t="s">
        <v>8792</v>
      </c>
      <c r="U4994" t="s">
        <v>58</v>
      </c>
      <c r="V4994">
        <v>4</v>
      </c>
      <c r="W4994">
        <v>1</v>
      </c>
      <c r="X4994">
        <v>2</v>
      </c>
      <c r="Y4994">
        <v>0</v>
      </c>
      <c r="Z4994">
        <v>2</v>
      </c>
      <c r="AA4994">
        <v>539.04</v>
      </c>
      <c r="AB4994">
        <v>539.04</v>
      </c>
      <c r="AC4994">
        <v>474.3</v>
      </c>
      <c r="AD4994">
        <v>0</v>
      </c>
      <c r="AE4994">
        <v>64.739999999999995</v>
      </c>
      <c r="AF4994">
        <v>0</v>
      </c>
      <c r="AG4994">
        <v>0</v>
      </c>
      <c r="AH4994">
        <v>0</v>
      </c>
      <c r="AI4994">
        <v>97.03</v>
      </c>
      <c r="AJ4994">
        <v>539.04</v>
      </c>
      <c r="AK4994">
        <v>0</v>
      </c>
      <c r="AL4994" t="s">
        <v>53</v>
      </c>
      <c r="AM4994" t="s">
        <v>53</v>
      </c>
      <c r="AN4994" t="s">
        <v>53</v>
      </c>
      <c r="AO4994" t="s">
        <v>53</v>
      </c>
      <c r="AP4994" t="s">
        <v>53</v>
      </c>
    </row>
    <row r="4995" spans="2:42" x14ac:dyDescent="0.2">
      <c r="B4995" t="s">
        <v>44</v>
      </c>
      <c r="C4995" t="str">
        <f>HYPERLINK("https://us2.cloudbeds.com/connect/8493803454333002#/reservations/9080486846145085?display=2DZNEPNTCH&amp;reservation_id=9080486846145085", "2DZNEPNTCH")</f>
        <v>2DZNEPNTCH</v>
      </c>
      <c r="D4995" t="s">
        <v>45</v>
      </c>
      <c r="E4995" t="s">
        <v>213</v>
      </c>
      <c r="F4995" t="s">
        <v>86</v>
      </c>
      <c r="G4995" t="s">
        <v>48</v>
      </c>
      <c r="H4995" t="s">
        <v>49</v>
      </c>
      <c r="I4995" t="s">
        <v>50</v>
      </c>
      <c r="J4995" t="s">
        <v>7861</v>
      </c>
      <c r="K4995" t="s">
        <v>7302</v>
      </c>
      <c r="L4995" t="s">
        <v>53</v>
      </c>
      <c r="N4995" t="s">
        <v>8793</v>
      </c>
      <c r="P4995" t="s">
        <v>55</v>
      </c>
      <c r="R4995" t="s">
        <v>53</v>
      </c>
      <c r="T4995" t="s">
        <v>8794</v>
      </c>
      <c r="U4995" t="s">
        <v>58</v>
      </c>
      <c r="V4995">
        <v>1</v>
      </c>
      <c r="W4995">
        <v>1</v>
      </c>
      <c r="X4995">
        <v>3</v>
      </c>
      <c r="Y4995">
        <v>0</v>
      </c>
      <c r="Z4995">
        <v>3</v>
      </c>
      <c r="AA4995">
        <v>185.6</v>
      </c>
      <c r="AB4995">
        <v>185.6</v>
      </c>
      <c r="AC4995">
        <v>163.30000000000001</v>
      </c>
      <c r="AD4995">
        <v>0</v>
      </c>
      <c r="AE4995">
        <v>22.3</v>
      </c>
      <c r="AF4995">
        <v>0</v>
      </c>
      <c r="AG4995">
        <v>0</v>
      </c>
      <c r="AH4995">
        <v>0</v>
      </c>
      <c r="AI4995">
        <v>33.409999999999997</v>
      </c>
      <c r="AJ4995">
        <v>185.6</v>
      </c>
      <c r="AK4995">
        <v>0</v>
      </c>
      <c r="AL4995" t="s">
        <v>53</v>
      </c>
      <c r="AM4995" t="s">
        <v>53</v>
      </c>
      <c r="AN4995" t="s">
        <v>53</v>
      </c>
      <c r="AO4995" t="s">
        <v>53</v>
      </c>
      <c r="AP4995" t="s">
        <v>53</v>
      </c>
    </row>
    <row r="4996" spans="2:42" x14ac:dyDescent="0.2">
      <c r="B4996" t="s">
        <v>44</v>
      </c>
      <c r="C4996" t="str">
        <f>HYPERLINK("https://us2.cloudbeds.com/connect/8493803454333002#/reservations/9080486846145215?display=2DZSSP61JY&amp;reservation_id=9080486846145215", "2DZSSP61JY")</f>
        <v>2DZSSP61JY</v>
      </c>
      <c r="D4996" t="s">
        <v>45</v>
      </c>
      <c r="E4996" t="s">
        <v>165</v>
      </c>
      <c r="F4996" t="s">
        <v>61</v>
      </c>
      <c r="G4996" t="s">
        <v>48</v>
      </c>
      <c r="H4996" t="s">
        <v>49</v>
      </c>
      <c r="I4996" t="s">
        <v>50</v>
      </c>
      <c r="J4996" t="s">
        <v>7276</v>
      </c>
      <c r="K4996" t="s">
        <v>5593</v>
      </c>
      <c r="L4996" t="s">
        <v>53</v>
      </c>
      <c r="N4996" t="s">
        <v>8795</v>
      </c>
      <c r="P4996" t="s">
        <v>55</v>
      </c>
      <c r="R4996" t="s">
        <v>53</v>
      </c>
      <c r="T4996" t="s">
        <v>8796</v>
      </c>
      <c r="U4996" t="s">
        <v>58</v>
      </c>
      <c r="V4996">
        <v>3</v>
      </c>
      <c r="W4996">
        <v>1</v>
      </c>
      <c r="X4996">
        <v>2</v>
      </c>
      <c r="Y4996">
        <v>0</v>
      </c>
      <c r="Z4996">
        <v>2</v>
      </c>
      <c r="AA4996">
        <v>478.5</v>
      </c>
      <c r="AB4996">
        <v>478.5</v>
      </c>
      <c r="AC4996">
        <v>421.04</v>
      </c>
      <c r="AD4996">
        <v>0</v>
      </c>
      <c r="AE4996">
        <v>57.46</v>
      </c>
      <c r="AF4996">
        <v>0</v>
      </c>
      <c r="AG4996">
        <v>0</v>
      </c>
      <c r="AH4996">
        <v>0</v>
      </c>
      <c r="AI4996">
        <v>86.13</v>
      </c>
      <c r="AJ4996">
        <v>478.5</v>
      </c>
      <c r="AK4996">
        <v>0</v>
      </c>
      <c r="AL4996" t="s">
        <v>53</v>
      </c>
      <c r="AM4996" t="s">
        <v>53</v>
      </c>
      <c r="AN4996" t="s">
        <v>53</v>
      </c>
      <c r="AO4996" t="s">
        <v>53</v>
      </c>
      <c r="AP4996" t="s">
        <v>53</v>
      </c>
    </row>
    <row r="4997" spans="2:42" x14ac:dyDescent="0.2">
      <c r="B4997" t="s">
        <v>44</v>
      </c>
      <c r="C4997" t="str">
        <f>HYPERLINK("https://us2.cloudbeds.com/connect/8493803454333002#/reservations/9080486846145217?display=2DZSTREWDR&amp;reservation_id=9080486846145217", "2DZSTREWDR")</f>
        <v>2DZSTREWDR</v>
      </c>
      <c r="D4997" t="s">
        <v>45</v>
      </c>
      <c r="E4997" t="s">
        <v>113</v>
      </c>
      <c r="F4997" t="s">
        <v>61</v>
      </c>
      <c r="G4997" t="s">
        <v>48</v>
      </c>
      <c r="H4997" t="s">
        <v>49</v>
      </c>
      <c r="I4997" t="s">
        <v>50</v>
      </c>
      <c r="J4997" t="s">
        <v>7276</v>
      </c>
      <c r="K4997" t="s">
        <v>5593</v>
      </c>
      <c r="L4997" t="s">
        <v>53</v>
      </c>
      <c r="N4997" t="s">
        <v>8797</v>
      </c>
      <c r="P4997" t="s">
        <v>55</v>
      </c>
      <c r="R4997" t="s">
        <v>53</v>
      </c>
      <c r="T4997" t="s">
        <v>8798</v>
      </c>
      <c r="U4997" t="s">
        <v>58</v>
      </c>
      <c r="V4997">
        <v>3</v>
      </c>
      <c r="W4997">
        <v>1</v>
      </c>
      <c r="X4997">
        <v>2</v>
      </c>
      <c r="Y4997">
        <v>0</v>
      </c>
      <c r="Z4997">
        <v>2</v>
      </c>
      <c r="AA4997">
        <v>478.5</v>
      </c>
      <c r="AB4997">
        <v>478.5</v>
      </c>
      <c r="AC4997">
        <v>421.04</v>
      </c>
      <c r="AD4997">
        <v>0</v>
      </c>
      <c r="AE4997">
        <v>57.46</v>
      </c>
      <c r="AF4997">
        <v>0</v>
      </c>
      <c r="AG4997">
        <v>0</v>
      </c>
      <c r="AH4997">
        <v>0</v>
      </c>
      <c r="AI4997">
        <v>86.13</v>
      </c>
      <c r="AJ4997">
        <v>478.5</v>
      </c>
      <c r="AK4997">
        <v>0</v>
      </c>
      <c r="AL4997" t="s">
        <v>53</v>
      </c>
      <c r="AM4997" t="s">
        <v>53</v>
      </c>
      <c r="AN4997" t="s">
        <v>53</v>
      </c>
      <c r="AO4997" t="s">
        <v>53</v>
      </c>
      <c r="AP4997" t="s">
        <v>53</v>
      </c>
    </row>
    <row r="4998" spans="2:42" x14ac:dyDescent="0.2">
      <c r="B4998" t="s">
        <v>44</v>
      </c>
      <c r="C4998" t="str">
        <f>HYPERLINK("https://us2.cloudbeds.com/connect/8493803454333002#/reservations/9080486846145218?display=2DZSWNHAKM&amp;reservation_id=9080486846145218", "2DZSWNHAKM")</f>
        <v>2DZSWNHAKM</v>
      </c>
      <c r="D4998" t="s">
        <v>45</v>
      </c>
      <c r="E4998" t="s">
        <v>213</v>
      </c>
      <c r="F4998" t="s">
        <v>86</v>
      </c>
      <c r="G4998" t="s">
        <v>48</v>
      </c>
      <c r="H4998" t="s">
        <v>49</v>
      </c>
      <c r="I4998" t="s">
        <v>62</v>
      </c>
      <c r="J4998" t="s">
        <v>7989</v>
      </c>
      <c r="K4998" t="s">
        <v>8799</v>
      </c>
      <c r="L4998" t="s">
        <v>53</v>
      </c>
      <c r="N4998" t="s">
        <v>8800</v>
      </c>
      <c r="P4998" t="s">
        <v>55</v>
      </c>
      <c r="R4998" t="s">
        <v>56</v>
      </c>
      <c r="T4998" t="s">
        <v>8801</v>
      </c>
      <c r="U4998" t="s">
        <v>55</v>
      </c>
      <c r="V4998">
        <v>1</v>
      </c>
      <c r="W4998">
        <v>1</v>
      </c>
      <c r="X4998">
        <v>2</v>
      </c>
      <c r="Y4998">
        <v>0</v>
      </c>
      <c r="Z4998">
        <v>2</v>
      </c>
      <c r="AA4998">
        <v>164</v>
      </c>
      <c r="AB4998">
        <v>169.43</v>
      </c>
      <c r="AC4998">
        <v>164</v>
      </c>
      <c r="AD4998">
        <v>5</v>
      </c>
      <c r="AE4998">
        <v>0.43</v>
      </c>
      <c r="AF4998">
        <v>0</v>
      </c>
      <c r="AG4998">
        <v>0</v>
      </c>
      <c r="AH4998">
        <v>0</v>
      </c>
      <c r="AI4998">
        <v>30.5</v>
      </c>
      <c r="AJ4998">
        <v>169.43</v>
      </c>
      <c r="AK4998">
        <v>0</v>
      </c>
      <c r="AL4998" t="s">
        <v>53</v>
      </c>
      <c r="AM4998" t="s">
        <v>53</v>
      </c>
      <c r="AN4998" t="s">
        <v>53</v>
      </c>
      <c r="AO4998" t="s">
        <v>53</v>
      </c>
      <c r="AP4998" t="s">
        <v>53</v>
      </c>
    </row>
    <row r="4999" spans="2:42" x14ac:dyDescent="0.2">
      <c r="B4999" t="s">
        <v>44</v>
      </c>
      <c r="C4999" t="str">
        <f>HYPERLINK("https://us2.cloudbeds.com/connect/8493803454333002#/reservations/9080486846145291?display=2DZW3HF7HU&amp;reservation_id=9080486846145291", "2DZW3HF7HU")</f>
        <v>2DZW3HF7HU</v>
      </c>
      <c r="D4999" t="s">
        <v>45</v>
      </c>
      <c r="E4999" t="s">
        <v>121</v>
      </c>
      <c r="F4999" t="s">
        <v>86</v>
      </c>
      <c r="G4999" t="s">
        <v>48</v>
      </c>
      <c r="H4999" t="s">
        <v>49</v>
      </c>
      <c r="I4999" t="s">
        <v>50</v>
      </c>
      <c r="J4999" t="s">
        <v>7486</v>
      </c>
      <c r="K4999" t="s">
        <v>7394</v>
      </c>
      <c r="L4999" t="s">
        <v>53</v>
      </c>
      <c r="N4999" t="s">
        <v>8802</v>
      </c>
      <c r="P4999" t="s">
        <v>55</v>
      </c>
      <c r="R4999" t="s">
        <v>53</v>
      </c>
      <c r="T4999" t="s">
        <v>8803</v>
      </c>
      <c r="U4999" t="s">
        <v>58</v>
      </c>
      <c r="V4999">
        <v>1</v>
      </c>
      <c r="W4999">
        <v>1</v>
      </c>
      <c r="X4999">
        <v>2</v>
      </c>
      <c r="Y4999">
        <v>0</v>
      </c>
      <c r="Z4999">
        <v>2</v>
      </c>
      <c r="AA4999">
        <v>183.09</v>
      </c>
      <c r="AB4999">
        <v>183.09</v>
      </c>
      <c r="AC4999">
        <v>161.1</v>
      </c>
      <c r="AD4999">
        <v>0</v>
      </c>
      <c r="AE4999">
        <v>21.99</v>
      </c>
      <c r="AF4999">
        <v>0</v>
      </c>
      <c r="AG4999">
        <v>0</v>
      </c>
      <c r="AH4999">
        <v>0</v>
      </c>
      <c r="AI4999">
        <v>32.96</v>
      </c>
      <c r="AJ4999">
        <v>183.09</v>
      </c>
      <c r="AK4999">
        <v>0</v>
      </c>
      <c r="AL4999" t="s">
        <v>53</v>
      </c>
      <c r="AM4999" t="s">
        <v>53</v>
      </c>
      <c r="AN4999" t="s">
        <v>53</v>
      </c>
      <c r="AO4999" t="s">
        <v>53</v>
      </c>
      <c r="AP4999" t="s">
        <v>53</v>
      </c>
    </row>
    <row r="5000" spans="2:42" x14ac:dyDescent="0.2">
      <c r="B5000" t="s">
        <v>44</v>
      </c>
      <c r="C5000" t="str">
        <f>HYPERLINK("https://us2.cloudbeds.com/connect/8493803454333002#/reservations/112173836112014?display=2DP1KGT3GG&amp;reservation_id=112173836112014", "2DP1KGT3GG")</f>
        <v>2DP1KGT3GG</v>
      </c>
      <c r="D5000" t="s">
        <v>45</v>
      </c>
      <c r="E5000" t="s">
        <v>92</v>
      </c>
      <c r="F5000" t="s">
        <v>86</v>
      </c>
      <c r="G5000" t="s">
        <v>48</v>
      </c>
      <c r="H5000" t="s">
        <v>3957</v>
      </c>
      <c r="I5000" t="s">
        <v>3958</v>
      </c>
      <c r="J5000" t="s">
        <v>7486</v>
      </c>
      <c r="K5000" t="s">
        <v>7376</v>
      </c>
      <c r="L5000" t="s">
        <v>53</v>
      </c>
      <c r="P5000" t="s">
        <v>55</v>
      </c>
      <c r="R5000" t="s">
        <v>56</v>
      </c>
      <c r="T5000" t="s">
        <v>8804</v>
      </c>
      <c r="U5000" t="s">
        <v>58</v>
      </c>
      <c r="V5000">
        <v>4</v>
      </c>
      <c r="W5000">
        <v>1</v>
      </c>
      <c r="X5000">
        <v>1</v>
      </c>
      <c r="Y5000">
        <v>0</v>
      </c>
      <c r="Z5000">
        <v>1</v>
      </c>
      <c r="AA5000">
        <v>969.46</v>
      </c>
      <c r="AB5000">
        <v>1437.71</v>
      </c>
      <c r="AC5000">
        <v>853</v>
      </c>
      <c r="AD5000">
        <v>0</v>
      </c>
      <c r="AE5000">
        <v>116.46</v>
      </c>
      <c r="AF5000">
        <v>0</v>
      </c>
      <c r="AG5000">
        <v>0</v>
      </c>
      <c r="AH5000">
        <v>0</v>
      </c>
      <c r="AI5000">
        <v>0</v>
      </c>
      <c r="AJ5000">
        <v>969.46</v>
      </c>
      <c r="AK5000">
        <v>0</v>
      </c>
      <c r="AL5000" t="s">
        <v>53</v>
      </c>
      <c r="AM5000" t="s">
        <v>53</v>
      </c>
      <c r="AN5000" t="s">
        <v>53</v>
      </c>
      <c r="AO5000" t="s">
        <v>53</v>
      </c>
      <c r="AP5000" t="s">
        <v>53</v>
      </c>
    </row>
    <row r="5001" spans="2:42" x14ac:dyDescent="0.2">
      <c r="B5001" t="s">
        <v>44</v>
      </c>
      <c r="C5001" t="str">
        <f>HYPERLINK("https://us2.cloudbeds.com/connect/8493803454333002#/reservations/112200664182988?display=2DPMD10Z16&amp;reservation_id=112200664182988", "2DPMD10Z16")</f>
        <v>2DPMD10Z16</v>
      </c>
      <c r="D5001" t="s">
        <v>602</v>
      </c>
      <c r="E5001" t="s">
        <v>53</v>
      </c>
      <c r="F5001" t="s">
        <v>70</v>
      </c>
      <c r="G5001" t="s">
        <v>48</v>
      </c>
      <c r="H5001" t="s">
        <v>3957</v>
      </c>
      <c r="I5001" t="s">
        <v>3975</v>
      </c>
      <c r="J5001" t="s">
        <v>6662</v>
      </c>
      <c r="K5001" t="s">
        <v>7595</v>
      </c>
      <c r="L5001" t="s">
        <v>53</v>
      </c>
      <c r="P5001" t="s">
        <v>55</v>
      </c>
      <c r="R5001" t="s">
        <v>53</v>
      </c>
      <c r="T5001" t="s">
        <v>8805</v>
      </c>
      <c r="U5001" t="s">
        <v>58</v>
      </c>
      <c r="V5001">
        <v>1</v>
      </c>
      <c r="W5001">
        <v>1</v>
      </c>
      <c r="X5001">
        <v>2</v>
      </c>
      <c r="Y5001">
        <v>0</v>
      </c>
      <c r="Z5001">
        <v>2</v>
      </c>
      <c r="AA5001">
        <v>168.2</v>
      </c>
      <c r="AB5001">
        <v>0</v>
      </c>
      <c r="AC5001">
        <v>148</v>
      </c>
      <c r="AD5001">
        <v>0</v>
      </c>
      <c r="AE5001">
        <v>20.2</v>
      </c>
      <c r="AF5001">
        <v>0</v>
      </c>
      <c r="AG5001">
        <v>0</v>
      </c>
      <c r="AH5001">
        <v>0</v>
      </c>
      <c r="AI5001">
        <v>0</v>
      </c>
      <c r="AJ5001">
        <v>168.2</v>
      </c>
      <c r="AK5001">
        <v>168.2</v>
      </c>
      <c r="AL5001">
        <v>148</v>
      </c>
      <c r="AM5001">
        <v>168.2</v>
      </c>
      <c r="AN5001" t="s">
        <v>53</v>
      </c>
      <c r="AO5001" t="s">
        <v>53</v>
      </c>
      <c r="AP5001" t="s">
        <v>53</v>
      </c>
    </row>
    <row r="5002" spans="2:42" x14ac:dyDescent="0.2">
      <c r="B5002" t="s">
        <v>44</v>
      </c>
      <c r="C5002" t="str">
        <f>HYPERLINK("https://us2.cloudbeds.com/connect/8493803454333002#/reservations/9080486846146198?display=2DQG2W1W3F&amp;reservation_id=9080486846146198", "2DQG2W1W3F")</f>
        <v>2DQG2W1W3F</v>
      </c>
      <c r="D5002" t="s">
        <v>45</v>
      </c>
      <c r="E5002" t="s">
        <v>98</v>
      </c>
      <c r="F5002" t="s">
        <v>86</v>
      </c>
      <c r="G5002" t="s">
        <v>48</v>
      </c>
      <c r="H5002" t="s">
        <v>49</v>
      </c>
      <c r="I5002" t="s">
        <v>62</v>
      </c>
      <c r="J5002" t="s">
        <v>8765</v>
      </c>
      <c r="K5002" t="s">
        <v>6374</v>
      </c>
      <c r="L5002" t="s">
        <v>53</v>
      </c>
      <c r="N5002" t="s">
        <v>8806</v>
      </c>
      <c r="P5002" t="s">
        <v>55</v>
      </c>
      <c r="R5002" t="s">
        <v>56</v>
      </c>
      <c r="T5002" t="s">
        <v>8807</v>
      </c>
      <c r="U5002" t="s">
        <v>55</v>
      </c>
      <c r="V5002">
        <v>1</v>
      </c>
      <c r="W5002">
        <v>1</v>
      </c>
      <c r="X5002">
        <v>4</v>
      </c>
      <c r="Y5002">
        <v>0</v>
      </c>
      <c r="Z5002">
        <v>4</v>
      </c>
      <c r="AA5002">
        <v>165.3</v>
      </c>
      <c r="AB5002">
        <v>165.3</v>
      </c>
      <c r="AC5002">
        <v>165.3</v>
      </c>
      <c r="AD5002">
        <v>0</v>
      </c>
      <c r="AE5002">
        <v>0</v>
      </c>
      <c r="AF5002">
        <v>0</v>
      </c>
      <c r="AG5002">
        <v>0</v>
      </c>
      <c r="AH5002">
        <v>0</v>
      </c>
      <c r="AI5002">
        <v>29.75</v>
      </c>
      <c r="AJ5002">
        <v>165.3</v>
      </c>
      <c r="AK5002">
        <v>0</v>
      </c>
      <c r="AL5002" t="s">
        <v>53</v>
      </c>
      <c r="AM5002" t="s">
        <v>53</v>
      </c>
      <c r="AN5002" t="s">
        <v>53</v>
      </c>
      <c r="AO5002" t="s">
        <v>53</v>
      </c>
      <c r="AP5002" t="s">
        <v>53</v>
      </c>
    </row>
    <row r="5003" spans="2:42" x14ac:dyDescent="0.2">
      <c r="B5003" t="s">
        <v>44</v>
      </c>
      <c r="C5003" t="str">
        <f>HYPERLINK("https://us2.cloudbeds.com/connect/8493803454333002#/reservations/9080486846146291?display=2DQYZN3MAZ&amp;reservation_id=9080486846146291", "2DQYZN3MAZ")</f>
        <v>2DQYZN3MAZ</v>
      </c>
      <c r="D5003" t="s">
        <v>45</v>
      </c>
      <c r="E5003" t="s">
        <v>110</v>
      </c>
      <c r="F5003" t="s">
        <v>47</v>
      </c>
      <c r="G5003" t="s">
        <v>48</v>
      </c>
      <c r="H5003" t="s">
        <v>49</v>
      </c>
      <c r="I5003" t="s">
        <v>50</v>
      </c>
      <c r="J5003" t="s">
        <v>7510</v>
      </c>
      <c r="K5003" t="s">
        <v>8750</v>
      </c>
      <c r="L5003" t="s">
        <v>53</v>
      </c>
      <c r="N5003" t="s">
        <v>8808</v>
      </c>
      <c r="P5003" t="s">
        <v>55</v>
      </c>
      <c r="R5003" t="s">
        <v>53</v>
      </c>
      <c r="T5003" t="s">
        <v>8809</v>
      </c>
      <c r="U5003" t="s">
        <v>58</v>
      </c>
      <c r="V5003">
        <v>2</v>
      </c>
      <c r="W5003">
        <v>1</v>
      </c>
      <c r="X5003">
        <v>2</v>
      </c>
      <c r="Y5003">
        <v>0</v>
      </c>
      <c r="Z5003">
        <v>2</v>
      </c>
      <c r="AA5003">
        <v>343.68</v>
      </c>
      <c r="AB5003">
        <v>343.68</v>
      </c>
      <c r="AC5003">
        <v>302.39999999999998</v>
      </c>
      <c r="AD5003">
        <v>0</v>
      </c>
      <c r="AE5003">
        <v>41.28</v>
      </c>
      <c r="AF5003">
        <v>0</v>
      </c>
      <c r="AG5003">
        <v>0</v>
      </c>
      <c r="AH5003">
        <v>0</v>
      </c>
      <c r="AI5003">
        <v>61.86</v>
      </c>
      <c r="AJ5003">
        <v>343.68</v>
      </c>
      <c r="AK5003">
        <v>0</v>
      </c>
      <c r="AL5003" t="s">
        <v>53</v>
      </c>
      <c r="AM5003" t="s">
        <v>53</v>
      </c>
      <c r="AN5003" t="s">
        <v>53</v>
      </c>
      <c r="AO5003" t="s">
        <v>53</v>
      </c>
      <c r="AP5003" t="s">
        <v>53</v>
      </c>
    </row>
    <row r="5004" spans="2:42" x14ac:dyDescent="0.2">
      <c r="B5004" t="s">
        <v>44</v>
      </c>
      <c r="C5004" t="str">
        <f>HYPERLINK("https://us2.cloudbeds.com/connect/8493803454333002#/reservations/9080486846146344?display=2DQZH2NF0Q&amp;reservation_id=9080486846146344", "2DQZH2NF0Q")</f>
        <v>2DQZH2NF0Q</v>
      </c>
      <c r="D5004" t="s">
        <v>45</v>
      </c>
      <c r="E5004" t="s">
        <v>155</v>
      </c>
      <c r="F5004" t="s">
        <v>86</v>
      </c>
      <c r="G5004" t="s">
        <v>48</v>
      </c>
      <c r="H5004" t="s">
        <v>49</v>
      </c>
      <c r="I5004" t="s">
        <v>50</v>
      </c>
      <c r="J5004" t="s">
        <v>6661</v>
      </c>
      <c r="K5004" t="s">
        <v>7559</v>
      </c>
      <c r="L5004" t="s">
        <v>53</v>
      </c>
      <c r="N5004" t="s">
        <v>8810</v>
      </c>
      <c r="P5004" t="s">
        <v>55</v>
      </c>
      <c r="R5004" t="s">
        <v>53</v>
      </c>
      <c r="T5004" t="s">
        <v>8811</v>
      </c>
      <c r="U5004" t="s">
        <v>58</v>
      </c>
      <c r="V5004">
        <v>2</v>
      </c>
      <c r="W5004">
        <v>1</v>
      </c>
      <c r="X5004">
        <v>2</v>
      </c>
      <c r="Y5004">
        <v>0</v>
      </c>
      <c r="Z5004">
        <v>2</v>
      </c>
      <c r="AA5004">
        <v>327.48</v>
      </c>
      <c r="AB5004">
        <v>327.48</v>
      </c>
      <c r="AC5004">
        <v>288.14999999999998</v>
      </c>
      <c r="AD5004">
        <v>0</v>
      </c>
      <c r="AE5004">
        <v>39.33</v>
      </c>
      <c r="AF5004">
        <v>0</v>
      </c>
      <c r="AG5004">
        <v>0</v>
      </c>
      <c r="AH5004">
        <v>0</v>
      </c>
      <c r="AI5004">
        <v>58.95</v>
      </c>
      <c r="AJ5004">
        <v>327.48</v>
      </c>
      <c r="AK5004">
        <v>0</v>
      </c>
      <c r="AL5004" t="s">
        <v>53</v>
      </c>
      <c r="AM5004" t="s">
        <v>53</v>
      </c>
      <c r="AN5004" t="s">
        <v>53</v>
      </c>
      <c r="AO5004" t="s">
        <v>53</v>
      </c>
      <c r="AP5004" t="s">
        <v>53</v>
      </c>
    </row>
    <row r="5005" spans="2:42" x14ac:dyDescent="0.2">
      <c r="B5005" t="s">
        <v>44</v>
      </c>
      <c r="C5005" t="str">
        <f>HYPERLINK("https://us2.cloudbeds.com/connect/8493803454333002#/reservations/9080486846146532?display=2DR1F2BRS4&amp;reservation_id=9080486846146532", "2DR1F2BRS4")</f>
        <v>2DR1F2BRS4</v>
      </c>
      <c r="D5005" t="s">
        <v>45</v>
      </c>
      <c r="E5005" t="s">
        <v>128</v>
      </c>
      <c r="F5005" t="s">
        <v>86</v>
      </c>
      <c r="G5005" t="s">
        <v>48</v>
      </c>
      <c r="H5005" t="s">
        <v>49</v>
      </c>
      <c r="I5005" t="s">
        <v>62</v>
      </c>
      <c r="J5005" t="s">
        <v>7151</v>
      </c>
      <c r="K5005" t="s">
        <v>6397</v>
      </c>
      <c r="L5005" t="s">
        <v>53</v>
      </c>
      <c r="N5005" t="s">
        <v>8812</v>
      </c>
      <c r="P5005" t="s">
        <v>55</v>
      </c>
      <c r="R5005" t="s">
        <v>56</v>
      </c>
      <c r="T5005" t="s">
        <v>8813</v>
      </c>
      <c r="U5005" t="s">
        <v>55</v>
      </c>
      <c r="V5005">
        <v>2</v>
      </c>
      <c r="W5005">
        <v>1</v>
      </c>
      <c r="X5005">
        <v>3</v>
      </c>
      <c r="Y5005">
        <v>1</v>
      </c>
      <c r="Z5005">
        <v>4</v>
      </c>
      <c r="AA5005">
        <v>343</v>
      </c>
      <c r="AB5005">
        <v>351.14</v>
      </c>
      <c r="AC5005">
        <v>343</v>
      </c>
      <c r="AD5005">
        <v>7.5</v>
      </c>
      <c r="AE5005">
        <v>0.64</v>
      </c>
      <c r="AF5005">
        <v>0</v>
      </c>
      <c r="AG5005">
        <v>0</v>
      </c>
      <c r="AH5005">
        <v>0</v>
      </c>
      <c r="AI5005">
        <v>63.21</v>
      </c>
      <c r="AJ5005">
        <v>351.14</v>
      </c>
      <c r="AK5005">
        <v>0</v>
      </c>
      <c r="AL5005" t="s">
        <v>53</v>
      </c>
      <c r="AM5005" t="s">
        <v>53</v>
      </c>
      <c r="AN5005" t="s">
        <v>53</v>
      </c>
      <c r="AO5005" t="s">
        <v>53</v>
      </c>
      <c r="AP5005" t="s">
        <v>53</v>
      </c>
    </row>
    <row r="5006" spans="2:42" x14ac:dyDescent="0.2">
      <c r="B5006" t="s">
        <v>44</v>
      </c>
      <c r="C5006" t="str">
        <f>HYPERLINK("https://us2.cloudbeds.com/connect/8493803454333002#/reservations/9080486846147418?display=2DSTX6XDJX&amp;reservation_id=9080486846147418", "2DSTX6XDJX")</f>
        <v>2DSTX6XDJX</v>
      </c>
      <c r="D5006" t="s">
        <v>602</v>
      </c>
      <c r="E5006" t="s">
        <v>53</v>
      </c>
      <c r="F5006" t="s">
        <v>61</v>
      </c>
      <c r="G5006" t="s">
        <v>48</v>
      </c>
      <c r="H5006" t="s">
        <v>49</v>
      </c>
      <c r="I5006" t="s">
        <v>50</v>
      </c>
      <c r="J5006" t="s">
        <v>7275</v>
      </c>
      <c r="K5006" t="s">
        <v>6944</v>
      </c>
      <c r="L5006" t="s">
        <v>53</v>
      </c>
      <c r="N5006" t="s">
        <v>8814</v>
      </c>
      <c r="P5006" t="s">
        <v>55</v>
      </c>
      <c r="R5006" t="s">
        <v>53</v>
      </c>
      <c r="T5006" t="s">
        <v>8815</v>
      </c>
      <c r="U5006" t="s">
        <v>58</v>
      </c>
      <c r="V5006">
        <v>1</v>
      </c>
      <c r="W5006">
        <v>1</v>
      </c>
      <c r="X5006">
        <v>2</v>
      </c>
      <c r="Y5006">
        <v>0</v>
      </c>
      <c r="Z5006">
        <v>2</v>
      </c>
      <c r="AA5006">
        <v>203.07</v>
      </c>
      <c r="AB5006">
        <v>0</v>
      </c>
      <c r="AC5006">
        <v>178.69</v>
      </c>
      <c r="AD5006">
        <v>0</v>
      </c>
      <c r="AE5006">
        <v>24.38</v>
      </c>
      <c r="AF5006">
        <v>0</v>
      </c>
      <c r="AG5006">
        <v>0</v>
      </c>
      <c r="AH5006">
        <v>0</v>
      </c>
      <c r="AI5006">
        <v>36.549999999999997</v>
      </c>
      <c r="AJ5006">
        <v>203.07</v>
      </c>
      <c r="AK5006">
        <v>203.07</v>
      </c>
      <c r="AL5006">
        <v>178.69</v>
      </c>
      <c r="AM5006">
        <v>203.07</v>
      </c>
      <c r="AN5006" t="s">
        <v>53</v>
      </c>
      <c r="AO5006" t="s">
        <v>53</v>
      </c>
      <c r="AP5006" t="s">
        <v>53</v>
      </c>
    </row>
    <row r="5007" spans="2:42" x14ac:dyDescent="0.2">
      <c r="B5007" t="s">
        <v>44</v>
      </c>
      <c r="C5007" t="str">
        <f>HYPERLINK("https://us2.cloudbeds.com/connect/8493803454333002#/reservations/112388813971590?display=2DU32MTVAN&amp;reservation_id=112388813971590", "2DU32MTVAN")</f>
        <v>2DU32MTVAN</v>
      </c>
      <c r="D5007" t="s">
        <v>45</v>
      </c>
      <c r="E5007" t="s">
        <v>165</v>
      </c>
      <c r="F5007" t="s">
        <v>61</v>
      </c>
      <c r="G5007" t="s">
        <v>3974</v>
      </c>
      <c r="H5007" t="s">
        <v>3957</v>
      </c>
      <c r="I5007" t="s">
        <v>3975</v>
      </c>
      <c r="J5007" t="s">
        <v>8816</v>
      </c>
      <c r="K5007" t="s">
        <v>6373</v>
      </c>
      <c r="L5007" t="s">
        <v>53</v>
      </c>
      <c r="P5007" t="s">
        <v>55</v>
      </c>
      <c r="R5007" t="s">
        <v>53</v>
      </c>
      <c r="T5007" t="s">
        <v>8817</v>
      </c>
      <c r="U5007" t="s">
        <v>58</v>
      </c>
      <c r="V5007">
        <v>1</v>
      </c>
      <c r="W5007">
        <v>1</v>
      </c>
      <c r="X5007">
        <v>2</v>
      </c>
      <c r="Y5007">
        <v>0</v>
      </c>
      <c r="Z5007">
        <v>2</v>
      </c>
      <c r="AA5007">
        <v>201.9</v>
      </c>
      <c r="AB5007">
        <v>210.04</v>
      </c>
      <c r="AC5007">
        <v>177.65</v>
      </c>
      <c r="AD5007">
        <v>7.5</v>
      </c>
      <c r="AE5007">
        <v>24.89</v>
      </c>
      <c r="AF5007">
        <v>0</v>
      </c>
      <c r="AG5007">
        <v>0</v>
      </c>
      <c r="AH5007">
        <v>0</v>
      </c>
      <c r="AI5007">
        <v>0</v>
      </c>
      <c r="AJ5007">
        <v>210.04</v>
      </c>
      <c r="AK5007">
        <v>0</v>
      </c>
      <c r="AL5007" t="s">
        <v>53</v>
      </c>
      <c r="AM5007" t="s">
        <v>53</v>
      </c>
      <c r="AN5007" t="s">
        <v>53</v>
      </c>
      <c r="AO5007" t="s">
        <v>53</v>
      </c>
      <c r="AP5007" t="s">
        <v>53</v>
      </c>
    </row>
    <row r="5008" spans="2:42" x14ac:dyDescent="0.2">
      <c r="B5008" t="s">
        <v>44</v>
      </c>
      <c r="C5008" t="str">
        <f>HYPERLINK("https://us2.cloudbeds.com/connect/8493803454333002#/reservations/9080486846148292?display=2DUF5YXJJH&amp;reservation_id=9080486846148292", "2DUF5YXJJH")</f>
        <v>2DUF5YXJJH</v>
      </c>
      <c r="D5008" t="s">
        <v>45</v>
      </c>
      <c r="E5008" t="s">
        <v>213</v>
      </c>
      <c r="F5008" t="s">
        <v>86</v>
      </c>
      <c r="G5008" t="s">
        <v>48</v>
      </c>
      <c r="H5008" t="s">
        <v>49</v>
      </c>
      <c r="I5008" t="s">
        <v>50</v>
      </c>
      <c r="J5008" t="s">
        <v>8818</v>
      </c>
      <c r="K5008" t="s">
        <v>8819</v>
      </c>
      <c r="L5008" t="s">
        <v>53</v>
      </c>
      <c r="N5008" t="s">
        <v>8820</v>
      </c>
      <c r="P5008" t="s">
        <v>55</v>
      </c>
      <c r="R5008" t="s">
        <v>53</v>
      </c>
      <c r="T5008" t="s">
        <v>8821</v>
      </c>
      <c r="U5008" t="s">
        <v>58</v>
      </c>
      <c r="V5008">
        <v>4</v>
      </c>
      <c r="W5008">
        <v>1</v>
      </c>
      <c r="X5008">
        <v>2</v>
      </c>
      <c r="Y5008">
        <v>2</v>
      </c>
      <c r="Z5008">
        <v>4</v>
      </c>
      <c r="AA5008">
        <v>806.01</v>
      </c>
      <c r="AB5008">
        <v>806.01</v>
      </c>
      <c r="AC5008">
        <v>709.2</v>
      </c>
      <c r="AD5008">
        <v>0</v>
      </c>
      <c r="AE5008">
        <v>96.81</v>
      </c>
      <c r="AF5008">
        <v>0</v>
      </c>
      <c r="AG5008">
        <v>0</v>
      </c>
      <c r="AH5008">
        <v>0</v>
      </c>
      <c r="AI5008">
        <v>145.08000000000001</v>
      </c>
      <c r="AJ5008">
        <v>806.01</v>
      </c>
      <c r="AK5008">
        <v>0</v>
      </c>
      <c r="AL5008" t="s">
        <v>53</v>
      </c>
      <c r="AM5008" t="s">
        <v>53</v>
      </c>
      <c r="AN5008" t="s">
        <v>53</v>
      </c>
      <c r="AO5008" t="s">
        <v>53</v>
      </c>
      <c r="AP5008" t="s">
        <v>53</v>
      </c>
    </row>
    <row r="5009" spans="2:42" x14ac:dyDescent="0.2">
      <c r="B5009" t="s">
        <v>44</v>
      </c>
      <c r="C5009" t="str">
        <f>HYPERLINK("https://us2.cloudbeds.com/connect/8493803454333002#/reservations/9080486846149208?display=2DVX7D060T&amp;reservation_id=9080486846149208", "2DVX7D060T")</f>
        <v>2DVX7D060T</v>
      </c>
      <c r="D5009" t="s">
        <v>45</v>
      </c>
      <c r="E5009" t="s">
        <v>185</v>
      </c>
      <c r="F5009" t="s">
        <v>47</v>
      </c>
      <c r="G5009" t="s">
        <v>48</v>
      </c>
      <c r="H5009" t="s">
        <v>49</v>
      </c>
      <c r="I5009" t="s">
        <v>50</v>
      </c>
      <c r="J5009" t="s">
        <v>7821</v>
      </c>
      <c r="K5009" t="s">
        <v>8133</v>
      </c>
      <c r="L5009" t="s">
        <v>53</v>
      </c>
      <c r="N5009" t="s">
        <v>8822</v>
      </c>
      <c r="P5009" t="s">
        <v>55</v>
      </c>
      <c r="R5009" t="s">
        <v>53</v>
      </c>
      <c r="T5009" t="s">
        <v>8823</v>
      </c>
      <c r="U5009" t="s">
        <v>58</v>
      </c>
      <c r="V5009">
        <v>1</v>
      </c>
      <c r="W5009">
        <v>1</v>
      </c>
      <c r="X5009">
        <v>2</v>
      </c>
      <c r="Y5009">
        <v>0</v>
      </c>
      <c r="Z5009">
        <v>2</v>
      </c>
      <c r="AA5009">
        <v>166.16</v>
      </c>
      <c r="AB5009">
        <v>171.59</v>
      </c>
      <c r="AC5009">
        <v>146.19999999999999</v>
      </c>
      <c r="AD5009">
        <v>5</v>
      </c>
      <c r="AE5009">
        <v>20.39</v>
      </c>
      <c r="AF5009">
        <v>0</v>
      </c>
      <c r="AG5009">
        <v>0</v>
      </c>
      <c r="AH5009">
        <v>0</v>
      </c>
      <c r="AI5009">
        <v>30.89</v>
      </c>
      <c r="AJ5009">
        <v>171.59</v>
      </c>
      <c r="AK5009">
        <v>0</v>
      </c>
      <c r="AL5009" t="s">
        <v>53</v>
      </c>
      <c r="AM5009" t="s">
        <v>53</v>
      </c>
      <c r="AN5009" t="s">
        <v>53</v>
      </c>
      <c r="AO5009" t="s">
        <v>53</v>
      </c>
      <c r="AP5009" t="s">
        <v>53</v>
      </c>
    </row>
    <row r="5010" spans="2:42" x14ac:dyDescent="0.2">
      <c r="B5010" t="s">
        <v>44</v>
      </c>
      <c r="C5010" t="str">
        <f>HYPERLINK("https://us2.cloudbeds.com/connect/8493803454333002#/reservations/9080486846149807?display=2DWBH1FR94&amp;reservation_id=9080486846149807", "2DWBH1FR94")</f>
        <v>2DWBH1FR94</v>
      </c>
      <c r="D5010" t="s">
        <v>45</v>
      </c>
      <c r="E5010" t="s">
        <v>98</v>
      </c>
      <c r="F5010" t="s">
        <v>86</v>
      </c>
      <c r="G5010" t="s">
        <v>48</v>
      </c>
      <c r="H5010" t="s">
        <v>49</v>
      </c>
      <c r="I5010" t="s">
        <v>50</v>
      </c>
      <c r="J5010" t="s">
        <v>7414</v>
      </c>
      <c r="K5010" t="s">
        <v>7276</v>
      </c>
      <c r="L5010" t="s">
        <v>53</v>
      </c>
      <c r="N5010" t="s">
        <v>8824</v>
      </c>
      <c r="P5010" t="s">
        <v>55</v>
      </c>
      <c r="R5010" t="s">
        <v>53</v>
      </c>
      <c r="T5010" t="s">
        <v>8825</v>
      </c>
      <c r="U5010" t="s">
        <v>58</v>
      </c>
      <c r="V5010">
        <v>2</v>
      </c>
      <c r="W5010">
        <v>1</v>
      </c>
      <c r="X5010">
        <v>1</v>
      </c>
      <c r="Y5010">
        <v>0</v>
      </c>
      <c r="Z5010">
        <v>1</v>
      </c>
      <c r="AA5010">
        <v>310.95999999999998</v>
      </c>
      <c r="AB5010">
        <v>310.95999999999998</v>
      </c>
      <c r="AC5010">
        <v>273.60000000000002</v>
      </c>
      <c r="AD5010">
        <v>0</v>
      </c>
      <c r="AE5010">
        <v>37.36</v>
      </c>
      <c r="AF5010">
        <v>0</v>
      </c>
      <c r="AG5010">
        <v>0</v>
      </c>
      <c r="AH5010">
        <v>0</v>
      </c>
      <c r="AI5010">
        <v>55.97</v>
      </c>
      <c r="AJ5010">
        <v>310.95999999999998</v>
      </c>
      <c r="AK5010">
        <v>0</v>
      </c>
      <c r="AL5010" t="s">
        <v>53</v>
      </c>
      <c r="AM5010" t="s">
        <v>53</v>
      </c>
      <c r="AN5010" t="s">
        <v>53</v>
      </c>
      <c r="AO5010" t="s">
        <v>53</v>
      </c>
      <c r="AP5010" t="s">
        <v>53</v>
      </c>
    </row>
    <row r="5011" spans="2:42" x14ac:dyDescent="0.2">
      <c r="B5011" t="s">
        <v>44</v>
      </c>
      <c r="C5011" t="str">
        <f>HYPERLINK("https://us2.cloudbeds.com/connect/8493803454333002#/reservations/112500479545497?display=2DWNX094VK&amp;reservation_id=112500479545497", "2DWNX094VK")</f>
        <v>2DWNX094VK</v>
      </c>
      <c r="D5011" t="s">
        <v>45</v>
      </c>
      <c r="E5011" t="s">
        <v>165</v>
      </c>
      <c r="F5011" t="s">
        <v>61</v>
      </c>
      <c r="G5011" t="s">
        <v>8291</v>
      </c>
      <c r="H5011" t="s">
        <v>3957</v>
      </c>
      <c r="I5011" t="s">
        <v>3989</v>
      </c>
      <c r="J5011" t="s">
        <v>7394</v>
      </c>
      <c r="K5011" t="s">
        <v>6661</v>
      </c>
      <c r="L5011" t="s">
        <v>53</v>
      </c>
      <c r="P5011" t="s">
        <v>55</v>
      </c>
      <c r="R5011" t="s">
        <v>56</v>
      </c>
      <c r="T5011" t="s">
        <v>8826</v>
      </c>
      <c r="U5011" t="s">
        <v>58</v>
      </c>
      <c r="V5011">
        <v>2</v>
      </c>
      <c r="W5011">
        <v>2</v>
      </c>
      <c r="X5011">
        <v>2</v>
      </c>
      <c r="Y5011">
        <v>0</v>
      </c>
      <c r="Z5011">
        <v>2</v>
      </c>
      <c r="AA5011">
        <v>573.71</v>
      </c>
      <c r="AB5011">
        <v>573.71</v>
      </c>
      <c r="AC5011">
        <v>504.8</v>
      </c>
      <c r="AD5011">
        <v>0</v>
      </c>
      <c r="AE5011">
        <v>68.91</v>
      </c>
      <c r="AF5011">
        <v>0</v>
      </c>
      <c r="AG5011">
        <v>0</v>
      </c>
      <c r="AH5011">
        <v>0</v>
      </c>
      <c r="AI5011">
        <v>0</v>
      </c>
      <c r="AJ5011">
        <v>573.71</v>
      </c>
      <c r="AK5011">
        <v>0</v>
      </c>
      <c r="AL5011" t="s">
        <v>53</v>
      </c>
      <c r="AM5011" t="s">
        <v>53</v>
      </c>
      <c r="AN5011" t="s">
        <v>53</v>
      </c>
      <c r="AO5011" t="s">
        <v>53</v>
      </c>
      <c r="AP5011" t="s">
        <v>53</v>
      </c>
    </row>
    <row r="5012" spans="2:42" x14ac:dyDescent="0.2">
      <c r="B5012" t="s">
        <v>44</v>
      </c>
      <c r="C5012" t="str">
        <f>HYPERLINK("https://us2.cloudbeds.com/connect/8493803454333002#/reservations/9080486846150793?display=2E0N91WSEX&amp;reservation_id=9080486846150793", "2E0N91WSEX")</f>
        <v>2E0N91WSEX</v>
      </c>
      <c r="D5012" t="s">
        <v>45</v>
      </c>
      <c r="E5012" t="s">
        <v>381</v>
      </c>
      <c r="F5012" t="s">
        <v>47</v>
      </c>
      <c r="G5012" t="s">
        <v>48</v>
      </c>
      <c r="H5012" t="s">
        <v>49</v>
      </c>
      <c r="I5012" t="s">
        <v>50</v>
      </c>
      <c r="J5012" t="s">
        <v>6943</v>
      </c>
      <c r="K5012" t="s">
        <v>7275</v>
      </c>
      <c r="L5012" t="s">
        <v>53</v>
      </c>
      <c r="N5012" t="s">
        <v>8827</v>
      </c>
      <c r="P5012" t="s">
        <v>55</v>
      </c>
      <c r="R5012" t="s">
        <v>53</v>
      </c>
      <c r="T5012" t="s">
        <v>8828</v>
      </c>
      <c r="U5012" t="s">
        <v>58</v>
      </c>
      <c r="V5012">
        <v>1</v>
      </c>
      <c r="W5012">
        <v>1</v>
      </c>
      <c r="X5012">
        <v>2</v>
      </c>
      <c r="Y5012">
        <v>0</v>
      </c>
      <c r="Z5012">
        <v>2</v>
      </c>
      <c r="AA5012">
        <v>198.23</v>
      </c>
      <c r="AB5012">
        <v>200.94</v>
      </c>
      <c r="AC5012">
        <v>174.42</v>
      </c>
      <c r="AD5012">
        <v>2.5</v>
      </c>
      <c r="AE5012">
        <v>24.02</v>
      </c>
      <c r="AF5012">
        <v>0</v>
      </c>
      <c r="AG5012">
        <v>0</v>
      </c>
      <c r="AH5012">
        <v>0</v>
      </c>
      <c r="AI5012">
        <v>36.17</v>
      </c>
      <c r="AJ5012">
        <v>200.94</v>
      </c>
      <c r="AK5012">
        <v>0</v>
      </c>
      <c r="AL5012" t="s">
        <v>53</v>
      </c>
      <c r="AM5012" t="s">
        <v>53</v>
      </c>
      <c r="AN5012" t="s">
        <v>53</v>
      </c>
      <c r="AO5012" t="s">
        <v>53</v>
      </c>
      <c r="AP5012" t="s">
        <v>53</v>
      </c>
    </row>
    <row r="5013" spans="2:42" x14ac:dyDescent="0.2">
      <c r="B5013" t="s">
        <v>44</v>
      </c>
      <c r="C5013" t="str">
        <f>HYPERLINK("https://us2.cloudbeds.com/connect/8493803454333002#/reservations/9080486846150826?display=2E0PFMWSFY&amp;reservation_id=9080486846150826", "2E0PFMWSFY")</f>
        <v>2E0PFMWSFY</v>
      </c>
      <c r="D5013" t="s">
        <v>45</v>
      </c>
      <c r="E5013" t="s">
        <v>165</v>
      </c>
      <c r="F5013" t="s">
        <v>61</v>
      </c>
      <c r="G5013" t="s">
        <v>48</v>
      </c>
      <c r="H5013" t="s">
        <v>49</v>
      </c>
      <c r="I5013" t="s">
        <v>50</v>
      </c>
      <c r="J5013" t="s">
        <v>7989</v>
      </c>
      <c r="K5013" t="s">
        <v>8829</v>
      </c>
      <c r="L5013" t="s">
        <v>53</v>
      </c>
      <c r="N5013" t="s">
        <v>8830</v>
      </c>
      <c r="P5013" t="s">
        <v>55</v>
      </c>
      <c r="R5013" t="s">
        <v>53</v>
      </c>
      <c r="T5013" t="s">
        <v>8831</v>
      </c>
      <c r="U5013" t="s">
        <v>58</v>
      </c>
      <c r="V5013">
        <v>2</v>
      </c>
      <c r="W5013">
        <v>1</v>
      </c>
      <c r="X5013">
        <v>2</v>
      </c>
      <c r="Y5013">
        <v>0</v>
      </c>
      <c r="Z5013">
        <v>2</v>
      </c>
      <c r="AA5013">
        <v>267.97000000000003</v>
      </c>
      <c r="AB5013">
        <v>267.97000000000003</v>
      </c>
      <c r="AC5013">
        <v>235.79</v>
      </c>
      <c r="AD5013">
        <v>0</v>
      </c>
      <c r="AE5013">
        <v>32.18</v>
      </c>
      <c r="AF5013">
        <v>0</v>
      </c>
      <c r="AG5013">
        <v>0</v>
      </c>
      <c r="AH5013">
        <v>0</v>
      </c>
      <c r="AI5013">
        <v>48.23</v>
      </c>
      <c r="AJ5013">
        <v>267.97000000000003</v>
      </c>
      <c r="AK5013">
        <v>0</v>
      </c>
      <c r="AL5013" t="s">
        <v>53</v>
      </c>
      <c r="AM5013" t="s">
        <v>53</v>
      </c>
      <c r="AN5013" t="s">
        <v>53</v>
      </c>
      <c r="AO5013" t="s">
        <v>53</v>
      </c>
      <c r="AP5013" t="s">
        <v>53</v>
      </c>
    </row>
    <row r="5014" spans="2:42" x14ac:dyDescent="0.2">
      <c r="B5014" t="s">
        <v>44</v>
      </c>
      <c r="C5014" t="str">
        <f>HYPERLINK("https://us2.cloudbeds.com/connect/8493803454333002#/reservations/9080486846151286?display=2E1X5NCFNA&amp;reservation_id=9080486846151286", "2E1X5NCFNA")</f>
        <v>2E1X5NCFNA</v>
      </c>
      <c r="D5014" t="s">
        <v>45</v>
      </c>
      <c r="E5014" t="s">
        <v>105</v>
      </c>
      <c r="F5014" t="s">
        <v>47</v>
      </c>
      <c r="G5014" t="s">
        <v>48</v>
      </c>
      <c r="H5014" t="s">
        <v>49</v>
      </c>
      <c r="I5014" t="s">
        <v>62</v>
      </c>
      <c r="J5014" t="s">
        <v>6374</v>
      </c>
      <c r="K5014" t="s">
        <v>7829</v>
      </c>
      <c r="L5014" t="s">
        <v>53</v>
      </c>
      <c r="N5014" t="s">
        <v>8832</v>
      </c>
      <c r="P5014" t="s">
        <v>55</v>
      </c>
      <c r="R5014" t="s">
        <v>56</v>
      </c>
      <c r="T5014" t="s">
        <v>8833</v>
      </c>
      <c r="U5014" t="s">
        <v>55</v>
      </c>
      <c r="V5014">
        <v>1</v>
      </c>
      <c r="W5014">
        <v>1</v>
      </c>
      <c r="X5014">
        <v>2</v>
      </c>
      <c r="Y5014">
        <v>0</v>
      </c>
      <c r="Z5014">
        <v>2</v>
      </c>
      <c r="AA5014">
        <v>130</v>
      </c>
      <c r="AB5014">
        <v>130</v>
      </c>
      <c r="AC5014">
        <v>130</v>
      </c>
      <c r="AD5014">
        <v>0</v>
      </c>
      <c r="AE5014">
        <v>0</v>
      </c>
      <c r="AF5014">
        <v>0</v>
      </c>
      <c r="AG5014">
        <v>0</v>
      </c>
      <c r="AH5014">
        <v>0</v>
      </c>
      <c r="AI5014">
        <v>23.4</v>
      </c>
      <c r="AJ5014">
        <v>130</v>
      </c>
      <c r="AK5014">
        <v>0</v>
      </c>
      <c r="AL5014" t="s">
        <v>53</v>
      </c>
      <c r="AM5014" t="s">
        <v>53</v>
      </c>
      <c r="AN5014" t="s">
        <v>8834</v>
      </c>
      <c r="AO5014" t="s">
        <v>53</v>
      </c>
      <c r="AP5014" t="s">
        <v>53</v>
      </c>
    </row>
    <row r="5015" spans="2:42" x14ac:dyDescent="0.2">
      <c r="B5015" t="s">
        <v>44</v>
      </c>
      <c r="C5015" t="str">
        <f>HYPERLINK("https://us2.cloudbeds.com/connect/8493803454333002#/reservations/9080486846151794?display=2E2HWSH5T7&amp;reservation_id=9080486846151794", "2E2HWSH5T7")</f>
        <v>2E2HWSH5T7</v>
      </c>
      <c r="D5015" t="s">
        <v>45</v>
      </c>
      <c r="E5015" t="s">
        <v>85</v>
      </c>
      <c r="F5015" t="s">
        <v>86</v>
      </c>
      <c r="G5015" t="s">
        <v>48</v>
      </c>
      <c r="H5015" t="s">
        <v>49</v>
      </c>
      <c r="I5015" t="s">
        <v>50</v>
      </c>
      <c r="J5015" t="s">
        <v>7302</v>
      </c>
      <c r="K5015" t="s">
        <v>5594</v>
      </c>
      <c r="L5015" t="s">
        <v>53</v>
      </c>
      <c r="N5015" t="s">
        <v>8835</v>
      </c>
      <c r="P5015" t="s">
        <v>55</v>
      </c>
      <c r="R5015" t="s">
        <v>53</v>
      </c>
      <c r="T5015" t="s">
        <v>8836</v>
      </c>
      <c r="U5015" t="s">
        <v>58</v>
      </c>
      <c r="V5015">
        <v>2</v>
      </c>
      <c r="W5015">
        <v>1</v>
      </c>
      <c r="X5015">
        <v>2</v>
      </c>
      <c r="Y5015">
        <v>0</v>
      </c>
      <c r="Z5015">
        <v>2</v>
      </c>
      <c r="AA5015">
        <v>385.77</v>
      </c>
      <c r="AB5015">
        <v>385.77</v>
      </c>
      <c r="AC5015">
        <v>339.43</v>
      </c>
      <c r="AD5015">
        <v>0</v>
      </c>
      <c r="AE5015">
        <v>46.34</v>
      </c>
      <c r="AF5015">
        <v>0</v>
      </c>
      <c r="AG5015">
        <v>0</v>
      </c>
      <c r="AH5015">
        <v>0</v>
      </c>
      <c r="AI5015">
        <v>69.44</v>
      </c>
      <c r="AJ5015">
        <v>385.77</v>
      </c>
      <c r="AK5015">
        <v>0</v>
      </c>
      <c r="AL5015" t="s">
        <v>53</v>
      </c>
      <c r="AM5015" t="s">
        <v>53</v>
      </c>
      <c r="AN5015" t="s">
        <v>53</v>
      </c>
      <c r="AO5015" t="s">
        <v>53</v>
      </c>
      <c r="AP5015" t="s">
        <v>53</v>
      </c>
    </row>
    <row r="5016" spans="2:42" x14ac:dyDescent="0.2">
      <c r="B5016" t="s">
        <v>44</v>
      </c>
      <c r="C5016" t="str">
        <f>HYPERLINK("https://us2.cloudbeds.com/connect/8493803454333002#/reservations/9080486846153173?display=2E5HY82AY9&amp;reservation_id=9080486846153173", "2E5HY82AY9")</f>
        <v>2E5HY82AY9</v>
      </c>
      <c r="D5016" t="s">
        <v>45</v>
      </c>
      <c r="E5016" t="s">
        <v>155</v>
      </c>
      <c r="F5016" t="s">
        <v>86</v>
      </c>
      <c r="G5016" t="s">
        <v>48</v>
      </c>
      <c r="H5016" t="s">
        <v>49</v>
      </c>
      <c r="I5016" t="s">
        <v>50</v>
      </c>
      <c r="J5016" t="s">
        <v>7595</v>
      </c>
      <c r="K5016" t="s">
        <v>7275</v>
      </c>
      <c r="L5016" t="s">
        <v>53</v>
      </c>
      <c r="N5016" t="s">
        <v>8837</v>
      </c>
      <c r="P5016" t="s">
        <v>55</v>
      </c>
      <c r="R5016" t="s">
        <v>53</v>
      </c>
      <c r="T5016" t="s">
        <v>8838</v>
      </c>
      <c r="U5016" t="s">
        <v>58</v>
      </c>
      <c r="V5016">
        <v>2</v>
      </c>
      <c r="W5016">
        <v>1</v>
      </c>
      <c r="X5016">
        <v>2</v>
      </c>
      <c r="Y5016">
        <v>0</v>
      </c>
      <c r="Z5016">
        <v>2</v>
      </c>
      <c r="AA5016">
        <v>386.41</v>
      </c>
      <c r="AB5016">
        <v>386.41</v>
      </c>
      <c r="AC5016">
        <v>340</v>
      </c>
      <c r="AD5016">
        <v>0</v>
      </c>
      <c r="AE5016">
        <v>46.41</v>
      </c>
      <c r="AF5016">
        <v>0</v>
      </c>
      <c r="AG5016">
        <v>0</v>
      </c>
      <c r="AH5016">
        <v>0</v>
      </c>
      <c r="AI5016">
        <v>69.55</v>
      </c>
      <c r="AJ5016">
        <v>386.41</v>
      </c>
      <c r="AK5016">
        <v>0</v>
      </c>
      <c r="AL5016" t="s">
        <v>53</v>
      </c>
      <c r="AM5016" t="s">
        <v>53</v>
      </c>
      <c r="AN5016" t="s">
        <v>53</v>
      </c>
      <c r="AO5016" t="s">
        <v>53</v>
      </c>
      <c r="AP5016" t="s">
        <v>53</v>
      </c>
    </row>
    <row r="5017" spans="2:42" x14ac:dyDescent="0.2">
      <c r="B5017" t="s">
        <v>44</v>
      </c>
      <c r="C5017" t="str">
        <f>HYPERLINK("https://us2.cloudbeds.com/connect/8493803454333002#/reservations/9080486846153703?display=2E69VESUQA&amp;reservation_id=9080486846153703", "2E69VESUQA")</f>
        <v>2E69VESUQA</v>
      </c>
      <c r="D5017" t="s">
        <v>45</v>
      </c>
      <c r="E5017" t="s">
        <v>105</v>
      </c>
      <c r="F5017" t="s">
        <v>47</v>
      </c>
      <c r="G5017" t="s">
        <v>48</v>
      </c>
      <c r="H5017" t="s">
        <v>49</v>
      </c>
      <c r="I5017" t="s">
        <v>62</v>
      </c>
      <c r="J5017" t="s">
        <v>7510</v>
      </c>
      <c r="K5017" t="s">
        <v>7353</v>
      </c>
      <c r="L5017" t="s">
        <v>53</v>
      </c>
      <c r="N5017" t="s">
        <v>8839</v>
      </c>
      <c r="P5017" t="s">
        <v>55</v>
      </c>
      <c r="R5017" t="s">
        <v>56</v>
      </c>
      <c r="T5017" t="s">
        <v>8840</v>
      </c>
      <c r="U5017" t="s">
        <v>55</v>
      </c>
      <c r="V5017">
        <v>1</v>
      </c>
      <c r="W5017">
        <v>1</v>
      </c>
      <c r="X5017">
        <v>2</v>
      </c>
      <c r="Y5017">
        <v>0</v>
      </c>
      <c r="Z5017">
        <v>2</v>
      </c>
      <c r="AA5017">
        <v>164.35</v>
      </c>
      <c r="AB5017">
        <v>164.35</v>
      </c>
      <c r="AC5017">
        <v>164.35</v>
      </c>
      <c r="AD5017">
        <v>0</v>
      </c>
      <c r="AE5017">
        <v>0</v>
      </c>
      <c r="AF5017">
        <v>0</v>
      </c>
      <c r="AG5017">
        <v>0</v>
      </c>
      <c r="AH5017">
        <v>0</v>
      </c>
      <c r="AI5017">
        <v>29.58</v>
      </c>
      <c r="AJ5017">
        <v>164.35</v>
      </c>
      <c r="AK5017">
        <v>0</v>
      </c>
      <c r="AL5017" t="s">
        <v>53</v>
      </c>
      <c r="AM5017" t="s">
        <v>53</v>
      </c>
      <c r="AN5017" t="s">
        <v>53</v>
      </c>
      <c r="AO5017" t="s">
        <v>53</v>
      </c>
      <c r="AP5017" t="s">
        <v>53</v>
      </c>
    </row>
    <row r="5018" spans="2:42" x14ac:dyDescent="0.2">
      <c r="B5018" t="s">
        <v>44</v>
      </c>
      <c r="C5018" t="str">
        <f>HYPERLINK("https://us2.cloudbeds.com/connect/8493803454333002#/reservations/9080486846153881?display=2E6H9M4U2Z&amp;reservation_id=9080486846153881", "2E6H9M4U2Z")</f>
        <v>2E6H9M4U2Z</v>
      </c>
      <c r="D5018" t="s">
        <v>45</v>
      </c>
      <c r="E5018" t="s">
        <v>213</v>
      </c>
      <c r="F5018" t="s">
        <v>86</v>
      </c>
      <c r="G5018" t="s">
        <v>48</v>
      </c>
      <c r="H5018" t="s">
        <v>49</v>
      </c>
      <c r="I5018" t="s">
        <v>50</v>
      </c>
      <c r="J5018" t="s">
        <v>7559</v>
      </c>
      <c r="K5018" t="s">
        <v>7595</v>
      </c>
      <c r="L5018" t="s">
        <v>53</v>
      </c>
      <c r="N5018" t="s">
        <v>8841</v>
      </c>
      <c r="P5018" t="s">
        <v>55</v>
      </c>
      <c r="R5018" t="s">
        <v>53</v>
      </c>
      <c r="T5018" t="s">
        <v>8842</v>
      </c>
      <c r="U5018" t="s">
        <v>58</v>
      </c>
      <c r="V5018">
        <v>2</v>
      </c>
      <c r="W5018">
        <v>1</v>
      </c>
      <c r="X5018">
        <v>2</v>
      </c>
      <c r="Y5018">
        <v>0</v>
      </c>
      <c r="Z5018">
        <v>2</v>
      </c>
      <c r="AA5018">
        <v>317.3</v>
      </c>
      <c r="AB5018">
        <v>317.3</v>
      </c>
      <c r="AC5018">
        <v>279.2</v>
      </c>
      <c r="AD5018">
        <v>0</v>
      </c>
      <c r="AE5018">
        <v>38.1</v>
      </c>
      <c r="AF5018">
        <v>0</v>
      </c>
      <c r="AG5018">
        <v>0</v>
      </c>
      <c r="AH5018">
        <v>0</v>
      </c>
      <c r="AI5018">
        <v>57.11</v>
      </c>
      <c r="AJ5018">
        <v>317.3</v>
      </c>
      <c r="AK5018">
        <v>0</v>
      </c>
      <c r="AL5018" t="s">
        <v>53</v>
      </c>
      <c r="AM5018" t="s">
        <v>53</v>
      </c>
      <c r="AN5018" t="s">
        <v>53</v>
      </c>
      <c r="AO5018" t="s">
        <v>53</v>
      </c>
      <c r="AP5018" t="s">
        <v>53</v>
      </c>
    </row>
    <row r="5019" spans="2:42" x14ac:dyDescent="0.2">
      <c r="B5019" t="s">
        <v>44</v>
      </c>
      <c r="C5019" t="str">
        <f>HYPERLINK("https://us2.cloudbeds.com/connect/8493803454333002#/reservations/9080486846154085?display=2E6PW1JAGM&amp;reservation_id=9080486846154085", "2E6PW1JAGM")</f>
        <v>2E6PW1JAGM</v>
      </c>
      <c r="D5019" t="s">
        <v>45</v>
      </c>
      <c r="E5019" t="s">
        <v>265</v>
      </c>
      <c r="F5019" t="s">
        <v>61</v>
      </c>
      <c r="G5019" t="s">
        <v>48</v>
      </c>
      <c r="H5019" t="s">
        <v>49</v>
      </c>
      <c r="I5019" t="s">
        <v>50</v>
      </c>
      <c r="J5019" t="s">
        <v>7595</v>
      </c>
      <c r="K5019" t="s">
        <v>6944</v>
      </c>
      <c r="L5019" t="s">
        <v>53</v>
      </c>
      <c r="N5019" t="s">
        <v>8843</v>
      </c>
      <c r="P5019" t="s">
        <v>55</v>
      </c>
      <c r="R5019" t="s">
        <v>53</v>
      </c>
      <c r="T5019" t="s">
        <v>8844</v>
      </c>
      <c r="U5019" t="s">
        <v>58</v>
      </c>
      <c r="V5019">
        <v>3</v>
      </c>
      <c r="W5019">
        <v>1</v>
      </c>
      <c r="X5019">
        <v>2</v>
      </c>
      <c r="Y5019">
        <v>0</v>
      </c>
      <c r="Z5019">
        <v>2</v>
      </c>
      <c r="AA5019">
        <v>662.59</v>
      </c>
      <c r="AB5019">
        <v>662.59</v>
      </c>
      <c r="AC5019">
        <v>583</v>
      </c>
      <c r="AD5019">
        <v>0</v>
      </c>
      <c r="AE5019">
        <v>79.59</v>
      </c>
      <c r="AF5019">
        <v>0</v>
      </c>
      <c r="AG5019">
        <v>0</v>
      </c>
      <c r="AH5019">
        <v>0</v>
      </c>
      <c r="AI5019">
        <v>119.27</v>
      </c>
      <c r="AJ5019">
        <v>662.59</v>
      </c>
      <c r="AK5019">
        <v>0</v>
      </c>
      <c r="AL5019" t="s">
        <v>53</v>
      </c>
      <c r="AM5019" t="s">
        <v>53</v>
      </c>
      <c r="AN5019" t="s">
        <v>53</v>
      </c>
      <c r="AO5019" t="s">
        <v>53</v>
      </c>
      <c r="AP5019" t="s">
        <v>53</v>
      </c>
    </row>
    <row r="5020" spans="2:42" x14ac:dyDescent="0.2">
      <c r="B5020" t="s">
        <v>44</v>
      </c>
      <c r="C5020" t="str">
        <f>HYPERLINK("https://us2.cloudbeds.com/connect/8493803454333002#/reservations/112810145100031?display=2E6WAMFMKF&amp;reservation_id=112810145100031", "2E6WAMFMKF")</f>
        <v>2E6WAMFMKF</v>
      </c>
      <c r="D5020" t="s">
        <v>45</v>
      </c>
      <c r="E5020" t="s">
        <v>69</v>
      </c>
      <c r="F5020" t="s">
        <v>70</v>
      </c>
      <c r="G5020" t="s">
        <v>3974</v>
      </c>
      <c r="H5020" t="s">
        <v>3957</v>
      </c>
      <c r="I5020" t="s">
        <v>3975</v>
      </c>
      <c r="J5020" t="s">
        <v>7151</v>
      </c>
      <c r="K5020" t="s">
        <v>6397</v>
      </c>
      <c r="L5020" t="s">
        <v>53</v>
      </c>
      <c r="P5020" t="s">
        <v>55</v>
      </c>
      <c r="R5020" t="s">
        <v>53</v>
      </c>
      <c r="T5020" t="s">
        <v>8845</v>
      </c>
      <c r="U5020" t="s">
        <v>58</v>
      </c>
      <c r="V5020">
        <v>2</v>
      </c>
      <c r="W5020">
        <v>1</v>
      </c>
      <c r="X5020">
        <v>2</v>
      </c>
      <c r="Y5020">
        <v>0</v>
      </c>
      <c r="Z5020">
        <v>2</v>
      </c>
      <c r="AA5020">
        <v>321.74</v>
      </c>
      <c r="AB5020">
        <v>321.74</v>
      </c>
      <c r="AC5020">
        <v>283.10000000000002</v>
      </c>
      <c r="AD5020">
        <v>0</v>
      </c>
      <c r="AE5020">
        <v>38.64</v>
      </c>
      <c r="AF5020">
        <v>0</v>
      </c>
      <c r="AG5020">
        <v>0</v>
      </c>
      <c r="AH5020">
        <v>0</v>
      </c>
      <c r="AI5020">
        <v>0</v>
      </c>
      <c r="AJ5020">
        <v>321.74</v>
      </c>
      <c r="AK5020">
        <v>0</v>
      </c>
      <c r="AL5020" t="s">
        <v>53</v>
      </c>
      <c r="AM5020" t="s">
        <v>53</v>
      </c>
      <c r="AN5020" t="s">
        <v>53</v>
      </c>
      <c r="AO5020" t="s">
        <v>53</v>
      </c>
      <c r="AP5020" t="s">
        <v>53</v>
      </c>
    </row>
    <row r="5021" spans="2:42" x14ac:dyDescent="0.2">
      <c r="B5021" t="s">
        <v>44</v>
      </c>
      <c r="C5021" t="str">
        <f>HYPERLINK("https://us2.cloudbeds.com/connect/8493803454333002#/reservations/9080486846154435?display=2E77DNK2A6&amp;reservation_id=9080486846154435", "2E77DNK2A6")</f>
        <v>2E77DNK2A6</v>
      </c>
      <c r="D5021" t="s">
        <v>45</v>
      </c>
      <c r="E5021" t="s">
        <v>85</v>
      </c>
      <c r="F5021" t="s">
        <v>86</v>
      </c>
      <c r="G5021" t="s">
        <v>48</v>
      </c>
      <c r="H5021" t="s">
        <v>49</v>
      </c>
      <c r="I5021" t="s">
        <v>50</v>
      </c>
      <c r="J5021" t="s">
        <v>6943</v>
      </c>
      <c r="K5021" t="s">
        <v>7275</v>
      </c>
      <c r="L5021" t="s">
        <v>53</v>
      </c>
      <c r="N5021" t="s">
        <v>8846</v>
      </c>
      <c r="P5021" t="s">
        <v>55</v>
      </c>
      <c r="R5021" t="s">
        <v>53</v>
      </c>
      <c r="T5021" t="s">
        <v>8847</v>
      </c>
      <c r="U5021" t="s">
        <v>58</v>
      </c>
      <c r="V5021">
        <v>1</v>
      </c>
      <c r="W5021">
        <v>1</v>
      </c>
      <c r="X5021">
        <v>2</v>
      </c>
      <c r="Y5021">
        <v>0</v>
      </c>
      <c r="Z5021">
        <v>2</v>
      </c>
      <c r="AA5021">
        <v>256.85000000000002</v>
      </c>
      <c r="AB5021">
        <v>256.85000000000002</v>
      </c>
      <c r="AC5021">
        <v>226</v>
      </c>
      <c r="AD5021">
        <v>0</v>
      </c>
      <c r="AE5021">
        <v>30.85</v>
      </c>
      <c r="AF5021">
        <v>0</v>
      </c>
      <c r="AG5021">
        <v>0</v>
      </c>
      <c r="AH5021">
        <v>0</v>
      </c>
      <c r="AI5021">
        <v>46.23</v>
      </c>
      <c r="AJ5021">
        <v>256.85000000000002</v>
      </c>
      <c r="AK5021">
        <v>0</v>
      </c>
      <c r="AL5021" t="s">
        <v>53</v>
      </c>
      <c r="AM5021" t="s">
        <v>53</v>
      </c>
      <c r="AN5021" t="s">
        <v>53</v>
      </c>
      <c r="AO5021" t="s">
        <v>53</v>
      </c>
      <c r="AP5021" t="s">
        <v>53</v>
      </c>
    </row>
    <row r="5022" spans="2:42" x14ac:dyDescent="0.2">
      <c r="B5022" t="s">
        <v>44</v>
      </c>
      <c r="C5022" t="str">
        <f>HYPERLINK("https://us2.cloudbeds.com/connect/8493803454333002#/reservations/9080486846155571?display=2E8W5CZZ87&amp;reservation_id=9080486846155571", "2E8W5CZZ87")</f>
        <v>2E8W5CZZ87</v>
      </c>
      <c r="D5022" t="s">
        <v>45</v>
      </c>
      <c r="E5022" t="s">
        <v>185</v>
      </c>
      <c r="F5022" t="s">
        <v>47</v>
      </c>
      <c r="G5022" t="s">
        <v>48</v>
      </c>
      <c r="H5022" t="s">
        <v>49</v>
      </c>
      <c r="I5022" t="s">
        <v>50</v>
      </c>
      <c r="J5022" t="s">
        <v>7595</v>
      </c>
      <c r="K5022" t="s">
        <v>6943</v>
      </c>
      <c r="L5022" t="s">
        <v>53</v>
      </c>
      <c r="N5022" t="s">
        <v>8848</v>
      </c>
      <c r="P5022" t="s">
        <v>55</v>
      </c>
      <c r="R5022" t="s">
        <v>53</v>
      </c>
      <c r="T5022" t="s">
        <v>8849</v>
      </c>
      <c r="U5022" t="s">
        <v>58</v>
      </c>
      <c r="V5022">
        <v>1</v>
      </c>
      <c r="W5022">
        <v>1</v>
      </c>
      <c r="X5022">
        <v>1</v>
      </c>
      <c r="Y5022">
        <v>0</v>
      </c>
      <c r="Z5022">
        <v>1</v>
      </c>
      <c r="AA5022">
        <v>161.61000000000001</v>
      </c>
      <c r="AB5022">
        <v>161.61000000000001</v>
      </c>
      <c r="AC5022">
        <v>142.19999999999999</v>
      </c>
      <c r="AD5022">
        <v>0</v>
      </c>
      <c r="AE5022">
        <v>19.41</v>
      </c>
      <c r="AF5022">
        <v>0</v>
      </c>
      <c r="AG5022">
        <v>0</v>
      </c>
      <c r="AH5022">
        <v>0</v>
      </c>
      <c r="AI5022">
        <v>29.09</v>
      </c>
      <c r="AJ5022">
        <v>161.61000000000001</v>
      </c>
      <c r="AK5022">
        <v>0</v>
      </c>
      <c r="AL5022" t="s">
        <v>53</v>
      </c>
      <c r="AM5022" t="s">
        <v>53</v>
      </c>
      <c r="AN5022" t="s">
        <v>53</v>
      </c>
      <c r="AO5022" t="s">
        <v>53</v>
      </c>
      <c r="AP5022" t="s">
        <v>53</v>
      </c>
    </row>
    <row r="5023" spans="2:42" x14ac:dyDescent="0.2">
      <c r="B5023" t="s">
        <v>44</v>
      </c>
      <c r="C5023" t="str">
        <f>HYPERLINK("https://us2.cloudbeds.com/connect/8493803454333002#/reservations/9080486846155861?display=2E9X50EKCQ&amp;reservation_id=9080486846155861", "2E9X50EKCQ")</f>
        <v>2E9X50EKCQ</v>
      </c>
      <c r="D5023" t="s">
        <v>45</v>
      </c>
      <c r="E5023" t="s">
        <v>113</v>
      </c>
      <c r="F5023" t="s">
        <v>61</v>
      </c>
      <c r="G5023" t="s">
        <v>48</v>
      </c>
      <c r="H5023" t="s">
        <v>49</v>
      </c>
      <c r="I5023" t="s">
        <v>50</v>
      </c>
      <c r="J5023" t="s">
        <v>7706</v>
      </c>
      <c r="K5023" t="s">
        <v>7353</v>
      </c>
      <c r="L5023" t="s">
        <v>53</v>
      </c>
      <c r="N5023" t="s">
        <v>8850</v>
      </c>
      <c r="P5023" t="s">
        <v>55</v>
      </c>
      <c r="R5023" t="s">
        <v>53</v>
      </c>
      <c r="T5023" t="s">
        <v>8851</v>
      </c>
      <c r="U5023" t="s">
        <v>58</v>
      </c>
      <c r="V5023">
        <v>3</v>
      </c>
      <c r="W5023">
        <v>1</v>
      </c>
      <c r="X5023">
        <v>2</v>
      </c>
      <c r="Y5023">
        <v>0</v>
      </c>
      <c r="Z5023">
        <v>2</v>
      </c>
      <c r="AA5023">
        <v>559.5</v>
      </c>
      <c r="AB5023">
        <v>559.5</v>
      </c>
      <c r="AC5023">
        <v>492.3</v>
      </c>
      <c r="AD5023">
        <v>0</v>
      </c>
      <c r="AE5023">
        <v>67.2</v>
      </c>
      <c r="AF5023">
        <v>0</v>
      </c>
      <c r="AG5023">
        <v>0</v>
      </c>
      <c r="AH5023">
        <v>0</v>
      </c>
      <c r="AI5023">
        <v>100.71</v>
      </c>
      <c r="AJ5023">
        <v>559.5</v>
      </c>
      <c r="AK5023">
        <v>0</v>
      </c>
      <c r="AL5023" t="s">
        <v>53</v>
      </c>
      <c r="AM5023" t="s">
        <v>53</v>
      </c>
      <c r="AN5023" t="s">
        <v>53</v>
      </c>
      <c r="AO5023" t="s">
        <v>53</v>
      </c>
      <c r="AP5023" t="s">
        <v>53</v>
      </c>
    </row>
    <row r="5024" spans="2:42" x14ac:dyDescent="0.2">
      <c r="B5024" t="s">
        <v>44</v>
      </c>
      <c r="C5024" t="str">
        <f>HYPERLINK("https://us2.cloudbeds.com/connect/8493803454333002#/reservations/9080486846155867?display=2E9XYYHRDG&amp;reservation_id=9080486846155867", "2E9XYYHRDG")</f>
        <v>2E9XYYHRDG</v>
      </c>
      <c r="D5024" t="s">
        <v>45</v>
      </c>
      <c r="E5024" t="s">
        <v>128</v>
      </c>
      <c r="F5024" t="s">
        <v>86</v>
      </c>
      <c r="G5024" t="s">
        <v>48</v>
      </c>
      <c r="H5024" t="s">
        <v>49</v>
      </c>
      <c r="I5024" t="s">
        <v>62</v>
      </c>
      <c r="J5024" t="s">
        <v>7750</v>
      </c>
      <c r="K5024" t="s">
        <v>7751</v>
      </c>
      <c r="L5024" t="s">
        <v>53</v>
      </c>
      <c r="N5024" t="s">
        <v>8852</v>
      </c>
      <c r="P5024" t="s">
        <v>55</v>
      </c>
      <c r="R5024" t="s">
        <v>56</v>
      </c>
      <c r="T5024" t="s">
        <v>8853</v>
      </c>
      <c r="U5024" t="s">
        <v>55</v>
      </c>
      <c r="V5024">
        <v>2</v>
      </c>
      <c r="W5024">
        <v>1</v>
      </c>
      <c r="X5024">
        <v>3</v>
      </c>
      <c r="Y5024">
        <v>0</v>
      </c>
      <c r="Z5024">
        <v>3</v>
      </c>
      <c r="AA5024">
        <v>356</v>
      </c>
      <c r="AB5024">
        <v>356</v>
      </c>
      <c r="AC5024">
        <v>356</v>
      </c>
      <c r="AD5024">
        <v>0</v>
      </c>
      <c r="AE5024">
        <v>0</v>
      </c>
      <c r="AF5024">
        <v>0</v>
      </c>
      <c r="AG5024">
        <v>0</v>
      </c>
      <c r="AH5024">
        <v>0</v>
      </c>
      <c r="AI5024">
        <v>64.08</v>
      </c>
      <c r="AJ5024">
        <v>356</v>
      </c>
      <c r="AK5024">
        <v>0</v>
      </c>
      <c r="AL5024" t="s">
        <v>53</v>
      </c>
      <c r="AM5024" t="s">
        <v>53</v>
      </c>
      <c r="AN5024" t="s">
        <v>53</v>
      </c>
      <c r="AO5024" t="s">
        <v>53</v>
      </c>
      <c r="AP5024" t="s">
        <v>53</v>
      </c>
    </row>
    <row r="5025" spans="2:42" x14ac:dyDescent="0.2">
      <c r="B5025" t="s">
        <v>44</v>
      </c>
      <c r="C5025" t="str">
        <f>HYPERLINK("https://us2.cloudbeds.com/connect/8493803454333002#/reservations/9080486846155916?display=2E9MYXGD37&amp;reservation_id=9080486846155916", "2E9MYXGD37")</f>
        <v>2E9MYXGD37</v>
      </c>
      <c r="D5025" t="s">
        <v>45</v>
      </c>
      <c r="E5025" t="s">
        <v>121</v>
      </c>
      <c r="F5025" t="s">
        <v>86</v>
      </c>
      <c r="G5025" t="s">
        <v>48</v>
      </c>
      <c r="H5025" t="s">
        <v>49</v>
      </c>
      <c r="I5025" t="s">
        <v>50</v>
      </c>
      <c r="J5025" t="s">
        <v>7864</v>
      </c>
      <c r="K5025" t="s">
        <v>6373</v>
      </c>
      <c r="L5025" t="s">
        <v>53</v>
      </c>
      <c r="N5025" t="s">
        <v>8854</v>
      </c>
      <c r="P5025" t="s">
        <v>55</v>
      </c>
      <c r="R5025" t="s">
        <v>53</v>
      </c>
      <c r="T5025" t="s">
        <v>8855</v>
      </c>
      <c r="U5025" t="s">
        <v>58</v>
      </c>
      <c r="V5025">
        <v>2</v>
      </c>
      <c r="W5025">
        <v>1</v>
      </c>
      <c r="X5025">
        <v>4</v>
      </c>
      <c r="Y5025">
        <v>0</v>
      </c>
      <c r="Z5025">
        <v>4</v>
      </c>
      <c r="AA5025">
        <v>372.15</v>
      </c>
      <c r="AB5025">
        <v>372.15</v>
      </c>
      <c r="AC5025">
        <v>327.45999999999998</v>
      </c>
      <c r="AD5025">
        <v>0</v>
      </c>
      <c r="AE5025">
        <v>44.69</v>
      </c>
      <c r="AF5025">
        <v>0</v>
      </c>
      <c r="AG5025">
        <v>0</v>
      </c>
      <c r="AH5025">
        <v>0</v>
      </c>
      <c r="AI5025">
        <v>66.989999999999995</v>
      </c>
      <c r="AJ5025">
        <v>372.15</v>
      </c>
      <c r="AK5025">
        <v>0</v>
      </c>
      <c r="AL5025" t="s">
        <v>53</v>
      </c>
      <c r="AM5025" t="s">
        <v>53</v>
      </c>
      <c r="AN5025" t="s">
        <v>53</v>
      </c>
      <c r="AO5025" t="s">
        <v>53</v>
      </c>
      <c r="AP5025" t="s">
        <v>53</v>
      </c>
    </row>
    <row r="5026" spans="2:42" x14ac:dyDescent="0.2">
      <c r="B5026" t="s">
        <v>44</v>
      </c>
      <c r="C5026" t="str">
        <f>HYPERLINK("https://us2.cloudbeds.com/connect/8493803454333002#/reservations/9080486846156046?display=2EA095D925&amp;reservation_id=9080486846156046", "2EA095D925")</f>
        <v>2EA095D925</v>
      </c>
      <c r="D5026" t="s">
        <v>45</v>
      </c>
      <c r="E5026" t="s">
        <v>305</v>
      </c>
      <c r="F5026" t="s">
        <v>61</v>
      </c>
      <c r="G5026" t="s">
        <v>48</v>
      </c>
      <c r="H5026" t="s">
        <v>49</v>
      </c>
      <c r="I5026" t="s">
        <v>62</v>
      </c>
      <c r="J5026" t="s">
        <v>6662</v>
      </c>
      <c r="K5026" t="s">
        <v>6943</v>
      </c>
      <c r="L5026" t="s">
        <v>53</v>
      </c>
      <c r="N5026" t="s">
        <v>8856</v>
      </c>
      <c r="P5026" t="s">
        <v>55</v>
      </c>
      <c r="R5026" t="s">
        <v>56</v>
      </c>
      <c r="T5026" t="s">
        <v>8857</v>
      </c>
      <c r="U5026" t="s">
        <v>55</v>
      </c>
      <c r="V5026">
        <v>2</v>
      </c>
      <c r="W5026">
        <v>1</v>
      </c>
      <c r="X5026">
        <v>2</v>
      </c>
      <c r="Y5026">
        <v>0</v>
      </c>
      <c r="Z5026">
        <v>2</v>
      </c>
      <c r="AA5026">
        <v>342</v>
      </c>
      <c r="AB5026">
        <v>342</v>
      </c>
      <c r="AC5026">
        <v>342</v>
      </c>
      <c r="AD5026">
        <v>0</v>
      </c>
      <c r="AE5026">
        <v>0</v>
      </c>
      <c r="AF5026">
        <v>0</v>
      </c>
      <c r="AG5026">
        <v>0</v>
      </c>
      <c r="AH5026">
        <v>0</v>
      </c>
      <c r="AI5026">
        <v>61.56</v>
      </c>
      <c r="AJ5026">
        <v>342</v>
      </c>
      <c r="AK5026">
        <v>0</v>
      </c>
      <c r="AL5026" t="s">
        <v>53</v>
      </c>
      <c r="AM5026" t="s">
        <v>53</v>
      </c>
      <c r="AN5026" t="s">
        <v>8858</v>
      </c>
      <c r="AO5026" t="s">
        <v>53</v>
      </c>
      <c r="AP5026" t="s">
        <v>53</v>
      </c>
    </row>
    <row r="5027" spans="2:42" x14ac:dyDescent="0.2">
      <c r="B5027" t="s">
        <v>44</v>
      </c>
      <c r="C5027" t="str">
        <f>HYPERLINK("https://us2.cloudbeds.com/connect/8493803454333002#/reservations/112959960150237?display=2EAGAQG9UN&amp;reservation_id=112959960150237", "2EAGAQG9UN")</f>
        <v>2EAGAQG9UN</v>
      </c>
      <c r="D5027" t="s">
        <v>45</v>
      </c>
      <c r="E5027" t="s">
        <v>85</v>
      </c>
      <c r="F5027" t="s">
        <v>86</v>
      </c>
      <c r="G5027" t="s">
        <v>48</v>
      </c>
      <c r="H5027" t="s">
        <v>3957</v>
      </c>
      <c r="I5027" t="s">
        <v>3975</v>
      </c>
      <c r="J5027" t="s">
        <v>7864</v>
      </c>
      <c r="K5027" t="s">
        <v>6373</v>
      </c>
      <c r="L5027" t="s">
        <v>53</v>
      </c>
      <c r="P5027" t="s">
        <v>55</v>
      </c>
      <c r="R5027" t="s">
        <v>53</v>
      </c>
      <c r="T5027" t="s">
        <v>8859</v>
      </c>
      <c r="U5027" t="s">
        <v>58</v>
      </c>
      <c r="V5027">
        <v>2</v>
      </c>
      <c r="W5027">
        <v>1</v>
      </c>
      <c r="X5027">
        <v>2</v>
      </c>
      <c r="Y5027">
        <v>0</v>
      </c>
      <c r="Z5027">
        <v>2</v>
      </c>
      <c r="AA5027">
        <v>435.29</v>
      </c>
      <c r="AB5027">
        <v>435.29</v>
      </c>
      <c r="AC5027">
        <v>383</v>
      </c>
      <c r="AD5027">
        <v>0</v>
      </c>
      <c r="AE5027">
        <v>52.29</v>
      </c>
      <c r="AF5027">
        <v>0</v>
      </c>
      <c r="AG5027">
        <v>0</v>
      </c>
      <c r="AH5027">
        <v>0</v>
      </c>
      <c r="AI5027">
        <v>0</v>
      </c>
      <c r="AJ5027">
        <v>435.29</v>
      </c>
      <c r="AK5027">
        <v>0</v>
      </c>
      <c r="AL5027" t="s">
        <v>53</v>
      </c>
      <c r="AM5027" t="s">
        <v>53</v>
      </c>
      <c r="AN5027" t="s">
        <v>8860</v>
      </c>
      <c r="AO5027" t="s">
        <v>53</v>
      </c>
      <c r="AP5027" t="s">
        <v>53</v>
      </c>
    </row>
    <row r="5028" spans="2:42" x14ac:dyDescent="0.2">
      <c r="B5028" t="s">
        <v>44</v>
      </c>
      <c r="C5028" t="str">
        <f>HYPERLINK("https://us2.cloudbeds.com/connect/8493803454333002#/reservations/9080486846158176?display=2EE86BQ4D6&amp;reservation_id=9080486846158176", "2EE86BQ4D6")</f>
        <v>2EE86BQ4D6</v>
      </c>
      <c r="D5028" t="s">
        <v>45</v>
      </c>
      <c r="E5028" t="s">
        <v>92</v>
      </c>
      <c r="F5028" t="s">
        <v>86</v>
      </c>
      <c r="G5028" t="s">
        <v>48</v>
      </c>
      <c r="H5028" t="s">
        <v>49</v>
      </c>
      <c r="I5028" t="s">
        <v>62</v>
      </c>
      <c r="J5028" t="s">
        <v>7864</v>
      </c>
      <c r="K5028" t="s">
        <v>6373</v>
      </c>
      <c r="L5028" t="s">
        <v>53</v>
      </c>
      <c r="N5028" t="s">
        <v>8861</v>
      </c>
      <c r="P5028" t="s">
        <v>55</v>
      </c>
      <c r="R5028" t="s">
        <v>56</v>
      </c>
      <c r="T5028" t="s">
        <v>8862</v>
      </c>
      <c r="U5028" t="s">
        <v>55</v>
      </c>
      <c r="V5028">
        <v>2</v>
      </c>
      <c r="W5028">
        <v>1</v>
      </c>
      <c r="X5028">
        <v>4</v>
      </c>
      <c r="Y5028">
        <v>0</v>
      </c>
      <c r="Z5028">
        <v>4</v>
      </c>
      <c r="AA5028">
        <v>367.65</v>
      </c>
      <c r="AB5028">
        <v>367.65</v>
      </c>
      <c r="AC5028">
        <v>367.65</v>
      </c>
      <c r="AD5028">
        <v>0</v>
      </c>
      <c r="AE5028">
        <v>0</v>
      </c>
      <c r="AF5028">
        <v>0</v>
      </c>
      <c r="AG5028">
        <v>0</v>
      </c>
      <c r="AH5028">
        <v>0</v>
      </c>
      <c r="AI5028">
        <v>66.180000000000007</v>
      </c>
      <c r="AJ5028">
        <v>367.65</v>
      </c>
      <c r="AK5028">
        <v>0</v>
      </c>
      <c r="AL5028" t="s">
        <v>53</v>
      </c>
      <c r="AM5028" t="s">
        <v>53</v>
      </c>
      <c r="AN5028" t="s">
        <v>53</v>
      </c>
      <c r="AO5028" t="s">
        <v>53</v>
      </c>
      <c r="AP5028" t="s">
        <v>53</v>
      </c>
    </row>
    <row r="5029" spans="2:42" x14ac:dyDescent="0.2">
      <c r="B5029" t="s">
        <v>44</v>
      </c>
      <c r="C5029" t="str">
        <f>HYPERLINK("https://us2.cloudbeds.com/connect/8493803454333002#/reservations/9080486846158505?display=2EEMD3GR70&amp;reservation_id=9080486846158505", "2EEMD3GR70")</f>
        <v>2EEMD3GR70</v>
      </c>
      <c r="D5029" t="s">
        <v>45</v>
      </c>
      <c r="E5029" t="s">
        <v>69</v>
      </c>
      <c r="F5029" t="s">
        <v>70</v>
      </c>
      <c r="G5029" t="s">
        <v>48</v>
      </c>
      <c r="H5029" t="s">
        <v>49</v>
      </c>
      <c r="I5029" t="s">
        <v>50</v>
      </c>
      <c r="J5029" t="s">
        <v>5593</v>
      </c>
      <c r="K5029" t="s">
        <v>5594</v>
      </c>
      <c r="L5029" t="s">
        <v>53</v>
      </c>
      <c r="N5029" t="s">
        <v>8863</v>
      </c>
      <c r="P5029" t="s">
        <v>55</v>
      </c>
      <c r="R5029" t="s">
        <v>53</v>
      </c>
      <c r="T5029" t="s">
        <v>8864</v>
      </c>
      <c r="U5029" t="s">
        <v>58</v>
      </c>
      <c r="V5029">
        <v>1</v>
      </c>
      <c r="W5029">
        <v>1</v>
      </c>
      <c r="X5029">
        <v>2</v>
      </c>
      <c r="Y5029">
        <v>0</v>
      </c>
      <c r="Z5029">
        <v>2</v>
      </c>
      <c r="AA5029">
        <v>160.61000000000001</v>
      </c>
      <c r="AB5029">
        <v>160.61000000000001</v>
      </c>
      <c r="AC5029">
        <v>141.31</v>
      </c>
      <c r="AD5029">
        <v>0</v>
      </c>
      <c r="AE5029">
        <v>19.3</v>
      </c>
      <c r="AF5029">
        <v>0</v>
      </c>
      <c r="AG5029">
        <v>0</v>
      </c>
      <c r="AH5029">
        <v>0</v>
      </c>
      <c r="AI5029">
        <v>28.91</v>
      </c>
      <c r="AJ5029">
        <v>160.61000000000001</v>
      </c>
      <c r="AK5029">
        <v>0</v>
      </c>
      <c r="AL5029" t="s">
        <v>53</v>
      </c>
      <c r="AM5029" t="s">
        <v>53</v>
      </c>
      <c r="AN5029" t="s">
        <v>53</v>
      </c>
      <c r="AO5029" t="s">
        <v>53</v>
      </c>
      <c r="AP5029" t="s">
        <v>53</v>
      </c>
    </row>
    <row r="5030" spans="2:42" x14ac:dyDescent="0.2">
      <c r="B5030" t="s">
        <v>44</v>
      </c>
      <c r="C5030" t="str">
        <f>HYPERLINK("https://us2.cloudbeds.com/connect/8493803454333002#/reservations/113142691442887?display=2EEPR0BT66&amp;reservation_id=113142691442887", "2EEPR0BT66")</f>
        <v>2EEPR0BT66</v>
      </c>
      <c r="D5030" t="s">
        <v>45</v>
      </c>
      <c r="E5030" t="s">
        <v>128</v>
      </c>
      <c r="F5030" t="s">
        <v>86</v>
      </c>
      <c r="G5030" t="s">
        <v>48</v>
      </c>
      <c r="H5030" t="s">
        <v>3957</v>
      </c>
      <c r="I5030" t="s">
        <v>3975</v>
      </c>
      <c r="J5030" t="s">
        <v>8865</v>
      </c>
      <c r="K5030" t="s">
        <v>8866</v>
      </c>
      <c r="L5030" t="s">
        <v>53</v>
      </c>
      <c r="P5030" t="s">
        <v>55</v>
      </c>
      <c r="R5030" t="s">
        <v>53</v>
      </c>
      <c r="T5030" t="s">
        <v>8867</v>
      </c>
      <c r="U5030" t="s">
        <v>58</v>
      </c>
      <c r="V5030">
        <v>6</v>
      </c>
      <c r="W5030">
        <v>1</v>
      </c>
      <c r="X5030">
        <v>2</v>
      </c>
      <c r="Y5030">
        <v>0</v>
      </c>
      <c r="Z5030">
        <v>2</v>
      </c>
      <c r="AA5030">
        <v>540.99</v>
      </c>
      <c r="AB5030">
        <v>540.99</v>
      </c>
      <c r="AC5030">
        <v>476</v>
      </c>
      <c r="AD5030">
        <v>0</v>
      </c>
      <c r="AE5030">
        <v>64.989999999999995</v>
      </c>
      <c r="AF5030">
        <v>0</v>
      </c>
      <c r="AG5030">
        <v>0</v>
      </c>
      <c r="AH5030">
        <v>0</v>
      </c>
      <c r="AI5030">
        <v>0</v>
      </c>
      <c r="AJ5030">
        <v>540.99</v>
      </c>
      <c r="AK5030">
        <v>0</v>
      </c>
      <c r="AL5030" t="s">
        <v>53</v>
      </c>
      <c r="AM5030" t="s">
        <v>53</v>
      </c>
      <c r="AN5030" t="s">
        <v>53</v>
      </c>
      <c r="AO5030" t="s">
        <v>53</v>
      </c>
      <c r="AP5030" t="s">
        <v>53</v>
      </c>
    </row>
    <row r="5031" spans="2:42" x14ac:dyDescent="0.2">
      <c r="B5031" t="s">
        <v>44</v>
      </c>
      <c r="C5031" t="str">
        <f>HYPERLINK("https://us2.cloudbeds.com/connect/8493803454333002#/reservations/9080486846158865?display=2EF3N7RF8F&amp;reservation_id=9080486846158865", "2EF3N7RF8F")</f>
        <v>2EF3N7RF8F</v>
      </c>
      <c r="D5031" t="s">
        <v>45</v>
      </c>
      <c r="E5031" t="s">
        <v>213</v>
      </c>
      <c r="F5031" t="s">
        <v>86</v>
      </c>
      <c r="G5031" t="s">
        <v>48</v>
      </c>
      <c r="H5031" t="s">
        <v>49</v>
      </c>
      <c r="I5031" t="s">
        <v>62</v>
      </c>
      <c r="J5031" t="s">
        <v>6661</v>
      </c>
      <c r="K5031" t="s">
        <v>7559</v>
      </c>
      <c r="L5031" t="s">
        <v>53</v>
      </c>
      <c r="N5031" t="s">
        <v>8868</v>
      </c>
      <c r="P5031" t="s">
        <v>55</v>
      </c>
      <c r="R5031" t="s">
        <v>56</v>
      </c>
      <c r="T5031" t="s">
        <v>8869</v>
      </c>
      <c r="U5031" t="s">
        <v>55</v>
      </c>
      <c r="V5031">
        <v>2</v>
      </c>
      <c r="W5031">
        <v>1</v>
      </c>
      <c r="X5031">
        <v>2</v>
      </c>
      <c r="Y5031">
        <v>0</v>
      </c>
      <c r="Z5031">
        <v>2</v>
      </c>
      <c r="AA5031">
        <v>284</v>
      </c>
      <c r="AB5031">
        <v>284</v>
      </c>
      <c r="AC5031">
        <v>284</v>
      </c>
      <c r="AD5031">
        <v>0</v>
      </c>
      <c r="AE5031">
        <v>0</v>
      </c>
      <c r="AF5031">
        <v>0</v>
      </c>
      <c r="AG5031">
        <v>0</v>
      </c>
      <c r="AH5031">
        <v>0</v>
      </c>
      <c r="AI5031">
        <v>51.12</v>
      </c>
      <c r="AJ5031">
        <v>284</v>
      </c>
      <c r="AK5031">
        <v>0</v>
      </c>
      <c r="AL5031" t="s">
        <v>53</v>
      </c>
      <c r="AM5031" t="s">
        <v>53</v>
      </c>
      <c r="AN5031" t="s">
        <v>53</v>
      </c>
      <c r="AO5031" t="s">
        <v>53</v>
      </c>
      <c r="AP5031" t="s">
        <v>53</v>
      </c>
    </row>
    <row r="5032" spans="2:42" x14ac:dyDescent="0.2">
      <c r="B5032" t="s">
        <v>44</v>
      </c>
      <c r="C5032" t="str">
        <f>HYPERLINK("https://us2.cloudbeds.com/connect/8493803454333002#/reservations/113168879624446?display=2EFD35UY4X&amp;reservation_id=113168879624446", "2EFD35UY4X")</f>
        <v>2EFD35UY4X</v>
      </c>
      <c r="D5032" t="s">
        <v>45</v>
      </c>
      <c r="E5032" t="s">
        <v>138</v>
      </c>
      <c r="F5032" t="s">
        <v>70</v>
      </c>
      <c r="G5032" t="s">
        <v>3974</v>
      </c>
      <c r="H5032" t="s">
        <v>3957</v>
      </c>
      <c r="I5032" t="s">
        <v>3975</v>
      </c>
      <c r="J5032" t="s">
        <v>6396</v>
      </c>
      <c r="K5032" t="s">
        <v>7962</v>
      </c>
      <c r="L5032" t="s">
        <v>53</v>
      </c>
      <c r="P5032" t="s">
        <v>55</v>
      </c>
      <c r="R5032" t="s">
        <v>53</v>
      </c>
      <c r="T5032" t="s">
        <v>8870</v>
      </c>
      <c r="U5032" t="s">
        <v>58</v>
      </c>
      <c r="V5032">
        <v>3</v>
      </c>
      <c r="W5032">
        <v>1</v>
      </c>
      <c r="X5032">
        <v>1</v>
      </c>
      <c r="Y5032">
        <v>0</v>
      </c>
      <c r="Z5032">
        <v>1</v>
      </c>
      <c r="AA5032">
        <v>436.19</v>
      </c>
      <c r="AB5032">
        <v>440.53</v>
      </c>
      <c r="AC5032">
        <v>383.8</v>
      </c>
      <c r="AD5032">
        <v>4</v>
      </c>
      <c r="AE5032">
        <v>52.73</v>
      </c>
      <c r="AF5032">
        <v>0</v>
      </c>
      <c r="AG5032">
        <v>0</v>
      </c>
      <c r="AH5032">
        <v>0</v>
      </c>
      <c r="AI5032">
        <v>0</v>
      </c>
      <c r="AJ5032">
        <v>440.53</v>
      </c>
      <c r="AK5032">
        <v>0</v>
      </c>
      <c r="AL5032" t="s">
        <v>53</v>
      </c>
      <c r="AM5032" t="s">
        <v>53</v>
      </c>
      <c r="AN5032" t="s">
        <v>53</v>
      </c>
      <c r="AO5032" t="s">
        <v>53</v>
      </c>
      <c r="AP5032" t="s">
        <v>53</v>
      </c>
    </row>
    <row r="5033" spans="2:42" x14ac:dyDescent="0.2">
      <c r="B5033" t="s">
        <v>44</v>
      </c>
      <c r="C5033" t="str">
        <f>HYPERLINK("https://us2.cloudbeds.com/connect/8493803454333002#/reservations/9080486846159391?display=2EFPJTT1X8&amp;reservation_id=9080486846159391", "2EFPJTT1X8")</f>
        <v>2EFPJTT1X8</v>
      </c>
      <c r="D5033" t="s">
        <v>45</v>
      </c>
      <c r="E5033" t="s">
        <v>78</v>
      </c>
      <c r="F5033" t="s">
        <v>61</v>
      </c>
      <c r="G5033" t="s">
        <v>48</v>
      </c>
      <c r="H5033" t="s">
        <v>49</v>
      </c>
      <c r="I5033" t="s">
        <v>62</v>
      </c>
      <c r="J5033" t="s">
        <v>8871</v>
      </c>
      <c r="K5033" t="s">
        <v>8053</v>
      </c>
      <c r="L5033" t="s">
        <v>53</v>
      </c>
      <c r="N5033" t="s">
        <v>8872</v>
      </c>
      <c r="P5033" t="s">
        <v>55</v>
      </c>
      <c r="R5033" t="s">
        <v>56</v>
      </c>
      <c r="T5033" t="s">
        <v>8873</v>
      </c>
      <c r="U5033" t="s">
        <v>55</v>
      </c>
      <c r="V5033">
        <v>4</v>
      </c>
      <c r="W5033">
        <v>1</v>
      </c>
      <c r="X5033">
        <v>2</v>
      </c>
      <c r="Y5033">
        <v>0</v>
      </c>
      <c r="Z5033">
        <v>2</v>
      </c>
      <c r="AA5033">
        <v>599.45000000000005</v>
      </c>
      <c r="AB5033">
        <v>599.45000000000005</v>
      </c>
      <c r="AC5033">
        <v>599.45000000000005</v>
      </c>
      <c r="AD5033">
        <v>0</v>
      </c>
      <c r="AE5033">
        <v>0</v>
      </c>
      <c r="AF5033">
        <v>0</v>
      </c>
      <c r="AG5033">
        <v>0</v>
      </c>
      <c r="AH5033">
        <v>0</v>
      </c>
      <c r="AI5033">
        <v>107.9</v>
      </c>
      <c r="AJ5033">
        <v>599.45000000000005</v>
      </c>
      <c r="AK5033">
        <v>0</v>
      </c>
      <c r="AL5033" t="s">
        <v>53</v>
      </c>
      <c r="AM5033" t="s">
        <v>53</v>
      </c>
      <c r="AN5033" t="s">
        <v>53</v>
      </c>
      <c r="AO5033" t="s">
        <v>53</v>
      </c>
      <c r="AP5033" t="s">
        <v>53</v>
      </c>
    </row>
    <row r="5034" spans="2:42" x14ac:dyDescent="0.2">
      <c r="B5034" t="s">
        <v>44</v>
      </c>
      <c r="C5034" t="str">
        <f>HYPERLINK("https://us2.cloudbeds.com/connect/8493803454333002#/reservations/9080486846159546?display=2EFVADVS0T&amp;reservation_id=9080486846159546", "2EFVADVS0T")</f>
        <v>2EFVADVS0T</v>
      </c>
      <c r="D5034" t="s">
        <v>45</v>
      </c>
      <c r="E5034" t="s">
        <v>105</v>
      </c>
      <c r="F5034" t="s">
        <v>47</v>
      </c>
      <c r="G5034" t="s">
        <v>48</v>
      </c>
      <c r="H5034" t="s">
        <v>49</v>
      </c>
      <c r="I5034" t="s">
        <v>50</v>
      </c>
      <c r="J5034" t="s">
        <v>7376</v>
      </c>
      <c r="K5034" t="s">
        <v>7559</v>
      </c>
      <c r="L5034" t="s">
        <v>53</v>
      </c>
      <c r="N5034" t="s">
        <v>8874</v>
      </c>
      <c r="P5034" t="s">
        <v>55</v>
      </c>
      <c r="R5034" t="s">
        <v>53</v>
      </c>
      <c r="T5034" t="s">
        <v>8875</v>
      </c>
      <c r="U5034" t="s">
        <v>58</v>
      </c>
      <c r="V5034">
        <v>1</v>
      </c>
      <c r="W5034">
        <v>1</v>
      </c>
      <c r="X5034">
        <v>1</v>
      </c>
      <c r="Y5034">
        <v>0</v>
      </c>
      <c r="Z5034">
        <v>1</v>
      </c>
      <c r="AA5034">
        <v>123.77</v>
      </c>
      <c r="AB5034">
        <v>123.77</v>
      </c>
      <c r="AC5034">
        <v>108.9</v>
      </c>
      <c r="AD5034">
        <v>0</v>
      </c>
      <c r="AE5034">
        <v>14.87</v>
      </c>
      <c r="AF5034">
        <v>0</v>
      </c>
      <c r="AG5034">
        <v>0</v>
      </c>
      <c r="AH5034">
        <v>0</v>
      </c>
      <c r="AI5034">
        <v>22.28</v>
      </c>
      <c r="AJ5034">
        <v>123.77</v>
      </c>
      <c r="AK5034">
        <v>0</v>
      </c>
      <c r="AL5034" t="s">
        <v>53</v>
      </c>
      <c r="AM5034" t="s">
        <v>53</v>
      </c>
      <c r="AN5034" t="s">
        <v>53</v>
      </c>
      <c r="AO5034" t="s">
        <v>53</v>
      </c>
      <c r="AP5034" t="s">
        <v>53</v>
      </c>
    </row>
    <row r="5035" spans="2:42" x14ac:dyDescent="0.2">
      <c r="B5035" t="s">
        <v>44</v>
      </c>
      <c r="C5035" t="str">
        <f>HYPERLINK("https://us2.cloudbeds.com/connect/8493803454333002#/reservations/9080486846159746?display=2EG5W9VUK9&amp;reservation_id=9080486846159746", "2EG5W9VUK9")</f>
        <v>2EG5W9VUK9</v>
      </c>
      <c r="D5035" t="s">
        <v>45</v>
      </c>
      <c r="E5035" t="s">
        <v>121</v>
      </c>
      <c r="F5035" t="s">
        <v>86</v>
      </c>
      <c r="G5035" t="s">
        <v>48</v>
      </c>
      <c r="H5035" t="s">
        <v>49</v>
      </c>
      <c r="I5035" t="s">
        <v>50</v>
      </c>
      <c r="J5035" t="s">
        <v>7822</v>
      </c>
      <c r="K5035" t="s">
        <v>8143</v>
      </c>
      <c r="L5035" t="s">
        <v>53</v>
      </c>
      <c r="N5035" t="s">
        <v>8876</v>
      </c>
      <c r="P5035" t="s">
        <v>55</v>
      </c>
      <c r="R5035" t="s">
        <v>53</v>
      </c>
      <c r="T5035" t="s">
        <v>8877</v>
      </c>
      <c r="U5035" t="s">
        <v>58</v>
      </c>
      <c r="V5035">
        <v>1</v>
      </c>
      <c r="W5035">
        <v>1</v>
      </c>
      <c r="X5035">
        <v>2</v>
      </c>
      <c r="Y5035">
        <v>0</v>
      </c>
      <c r="Z5035">
        <v>2</v>
      </c>
      <c r="AA5035">
        <v>182.68</v>
      </c>
      <c r="AB5035">
        <v>182.68</v>
      </c>
      <c r="AC5035">
        <v>160.74</v>
      </c>
      <c r="AD5035">
        <v>0</v>
      </c>
      <c r="AE5035">
        <v>21.94</v>
      </c>
      <c r="AF5035">
        <v>0</v>
      </c>
      <c r="AG5035">
        <v>0</v>
      </c>
      <c r="AH5035">
        <v>0</v>
      </c>
      <c r="AI5035">
        <v>32.880000000000003</v>
      </c>
      <c r="AJ5035">
        <v>182.68</v>
      </c>
      <c r="AK5035">
        <v>0</v>
      </c>
      <c r="AL5035" t="s">
        <v>53</v>
      </c>
      <c r="AM5035" t="s">
        <v>53</v>
      </c>
      <c r="AN5035" t="s">
        <v>53</v>
      </c>
      <c r="AO5035" t="s">
        <v>53</v>
      </c>
      <c r="AP5035" t="s">
        <v>53</v>
      </c>
    </row>
    <row r="5036" spans="2:42" x14ac:dyDescent="0.2">
      <c r="B5036" t="s">
        <v>44</v>
      </c>
      <c r="C5036" t="str">
        <f>HYPERLINK("https://us2.cloudbeds.com/connect/8493803454333002#/reservations/9080486846159929?display=2EGCG2W82K&amp;reservation_id=9080486846159929", "2EGCG2W82K")</f>
        <v>2EGCG2W82K</v>
      </c>
      <c r="D5036" t="s">
        <v>45</v>
      </c>
      <c r="E5036" t="s">
        <v>138</v>
      </c>
      <c r="F5036" t="s">
        <v>70</v>
      </c>
      <c r="G5036" t="s">
        <v>48</v>
      </c>
      <c r="H5036" t="s">
        <v>49</v>
      </c>
      <c r="I5036" t="s">
        <v>50</v>
      </c>
      <c r="J5036" t="s">
        <v>7353</v>
      </c>
      <c r="K5036" t="s">
        <v>8750</v>
      </c>
      <c r="L5036" t="s">
        <v>53</v>
      </c>
      <c r="N5036" t="s">
        <v>8878</v>
      </c>
      <c r="P5036" t="s">
        <v>55</v>
      </c>
      <c r="R5036" t="s">
        <v>53</v>
      </c>
      <c r="T5036" t="s">
        <v>8879</v>
      </c>
      <c r="U5036" t="s">
        <v>58</v>
      </c>
      <c r="V5036">
        <v>1</v>
      </c>
      <c r="W5036">
        <v>1</v>
      </c>
      <c r="X5036">
        <v>2</v>
      </c>
      <c r="Y5036">
        <v>0</v>
      </c>
      <c r="Z5036">
        <v>2</v>
      </c>
      <c r="AA5036">
        <v>170.82</v>
      </c>
      <c r="AB5036">
        <v>170.82</v>
      </c>
      <c r="AC5036">
        <v>150.30000000000001</v>
      </c>
      <c r="AD5036">
        <v>0</v>
      </c>
      <c r="AE5036">
        <v>20.52</v>
      </c>
      <c r="AF5036">
        <v>0</v>
      </c>
      <c r="AG5036">
        <v>0</v>
      </c>
      <c r="AH5036">
        <v>0</v>
      </c>
      <c r="AI5036">
        <v>30.75</v>
      </c>
      <c r="AJ5036">
        <v>170.82</v>
      </c>
      <c r="AK5036">
        <v>0</v>
      </c>
      <c r="AL5036" t="s">
        <v>53</v>
      </c>
      <c r="AM5036" t="s">
        <v>53</v>
      </c>
      <c r="AN5036" t="s">
        <v>53</v>
      </c>
      <c r="AO5036" t="s">
        <v>53</v>
      </c>
      <c r="AP5036" t="s">
        <v>53</v>
      </c>
    </row>
    <row r="5037" spans="2:42" x14ac:dyDescent="0.2">
      <c r="B5037" t="s">
        <v>44</v>
      </c>
      <c r="C5037" t="str">
        <f>HYPERLINK("https://us2.cloudbeds.com/connect/8493803454333002#/reservations/9080486846160211?display=2EGNBM4UEP&amp;reservation_id=9080486846160211", "2EGNBM4UEP")</f>
        <v>2EGNBM4UEP</v>
      </c>
      <c r="D5037" t="s">
        <v>45</v>
      </c>
      <c r="E5037" t="s">
        <v>185</v>
      </c>
      <c r="F5037" t="s">
        <v>47</v>
      </c>
      <c r="G5037" t="s">
        <v>48</v>
      </c>
      <c r="H5037" t="s">
        <v>49</v>
      </c>
      <c r="I5037" t="s">
        <v>50</v>
      </c>
      <c r="J5037" t="s">
        <v>7750</v>
      </c>
      <c r="K5037" t="s">
        <v>8367</v>
      </c>
      <c r="L5037" t="s">
        <v>53</v>
      </c>
      <c r="N5037" t="s">
        <v>8880</v>
      </c>
      <c r="P5037" t="s">
        <v>55</v>
      </c>
      <c r="R5037" t="s">
        <v>53</v>
      </c>
      <c r="T5037" t="s">
        <v>8881</v>
      </c>
      <c r="U5037" t="s">
        <v>58</v>
      </c>
      <c r="V5037">
        <v>1</v>
      </c>
      <c r="W5037">
        <v>1</v>
      </c>
      <c r="X5037">
        <v>2</v>
      </c>
      <c r="Y5037">
        <v>0</v>
      </c>
      <c r="Z5037">
        <v>2</v>
      </c>
      <c r="AA5037">
        <v>157.41999999999999</v>
      </c>
      <c r="AB5037">
        <v>162.85</v>
      </c>
      <c r="AC5037">
        <v>138.51</v>
      </c>
      <c r="AD5037">
        <v>5</v>
      </c>
      <c r="AE5037">
        <v>19.34</v>
      </c>
      <c r="AF5037">
        <v>0</v>
      </c>
      <c r="AG5037">
        <v>0</v>
      </c>
      <c r="AH5037">
        <v>0</v>
      </c>
      <c r="AI5037">
        <v>29.31</v>
      </c>
      <c r="AJ5037">
        <v>162.85</v>
      </c>
      <c r="AK5037">
        <v>0</v>
      </c>
      <c r="AL5037" t="s">
        <v>53</v>
      </c>
      <c r="AM5037" t="s">
        <v>53</v>
      </c>
      <c r="AN5037" t="s">
        <v>53</v>
      </c>
      <c r="AO5037" t="s">
        <v>53</v>
      </c>
      <c r="AP5037" t="s">
        <v>53</v>
      </c>
    </row>
    <row r="5038" spans="2:42" x14ac:dyDescent="0.2">
      <c r="B5038" t="s">
        <v>44</v>
      </c>
      <c r="C5038" t="str">
        <f>HYPERLINK("https://us2.cloudbeds.com/connect/8493803454333002#/reservations/9080486846160221?display=2EGNYJRS60&amp;reservation_id=9080486846160221", "2EGNYJRS60")</f>
        <v>2EGNYJRS60</v>
      </c>
      <c r="D5038" t="s">
        <v>45</v>
      </c>
      <c r="E5038" t="s">
        <v>213</v>
      </c>
      <c r="F5038" t="s">
        <v>86</v>
      </c>
      <c r="G5038" t="s">
        <v>48</v>
      </c>
      <c r="H5038" t="s">
        <v>49</v>
      </c>
      <c r="I5038" t="s">
        <v>50</v>
      </c>
      <c r="J5038" t="s">
        <v>7750</v>
      </c>
      <c r="K5038" t="s">
        <v>8367</v>
      </c>
      <c r="L5038" t="s">
        <v>53</v>
      </c>
      <c r="N5038" t="s">
        <v>8882</v>
      </c>
      <c r="P5038" t="s">
        <v>55</v>
      </c>
      <c r="R5038" t="s">
        <v>53</v>
      </c>
      <c r="T5038" t="s">
        <v>8883</v>
      </c>
      <c r="U5038" t="s">
        <v>58</v>
      </c>
      <c r="V5038">
        <v>1</v>
      </c>
      <c r="W5038">
        <v>1</v>
      </c>
      <c r="X5038">
        <v>2</v>
      </c>
      <c r="Y5038">
        <v>0</v>
      </c>
      <c r="Z5038">
        <v>2</v>
      </c>
      <c r="AA5038">
        <v>177.82</v>
      </c>
      <c r="AB5038">
        <v>177.82</v>
      </c>
      <c r="AC5038">
        <v>156.46</v>
      </c>
      <c r="AD5038">
        <v>0</v>
      </c>
      <c r="AE5038">
        <v>21.36</v>
      </c>
      <c r="AF5038">
        <v>0</v>
      </c>
      <c r="AG5038">
        <v>0</v>
      </c>
      <c r="AH5038">
        <v>0</v>
      </c>
      <c r="AI5038">
        <v>32.01</v>
      </c>
      <c r="AJ5038">
        <v>177.82</v>
      </c>
      <c r="AK5038">
        <v>0</v>
      </c>
      <c r="AL5038" t="s">
        <v>53</v>
      </c>
      <c r="AM5038" t="s">
        <v>53</v>
      </c>
      <c r="AN5038" t="s">
        <v>53</v>
      </c>
      <c r="AO5038" t="s">
        <v>53</v>
      </c>
      <c r="AP5038" t="s">
        <v>53</v>
      </c>
    </row>
    <row r="5039" spans="2:42" x14ac:dyDescent="0.2">
      <c r="B5039" t="s">
        <v>44</v>
      </c>
      <c r="C5039" t="str">
        <f>HYPERLINK("https://us2.cloudbeds.com/connect/8493803454333002#/reservations/9080486846160347?display=2EGSTGAB3A&amp;reservation_id=9080486846160347", "2EGSTGAB3A")</f>
        <v>2EGSTGAB3A</v>
      </c>
      <c r="D5039" t="s">
        <v>45</v>
      </c>
      <c r="E5039" t="s">
        <v>165</v>
      </c>
      <c r="F5039" t="s">
        <v>61</v>
      </c>
      <c r="G5039" t="s">
        <v>48</v>
      </c>
      <c r="H5039" t="s">
        <v>49</v>
      </c>
      <c r="I5039" t="s">
        <v>62</v>
      </c>
      <c r="J5039" t="s">
        <v>6373</v>
      </c>
      <c r="K5039" t="s">
        <v>6374</v>
      </c>
      <c r="L5039" t="s">
        <v>53</v>
      </c>
      <c r="N5039" t="s">
        <v>8884</v>
      </c>
      <c r="P5039" t="s">
        <v>55</v>
      </c>
      <c r="R5039" t="s">
        <v>56</v>
      </c>
      <c r="T5039" t="s">
        <v>8885</v>
      </c>
      <c r="U5039" t="s">
        <v>55</v>
      </c>
      <c r="V5039">
        <v>2</v>
      </c>
      <c r="W5039">
        <v>1</v>
      </c>
      <c r="X5039">
        <v>2</v>
      </c>
      <c r="Y5039">
        <v>0</v>
      </c>
      <c r="Z5039">
        <v>2</v>
      </c>
      <c r="AA5039">
        <v>358.15</v>
      </c>
      <c r="AB5039">
        <v>358.15</v>
      </c>
      <c r="AC5039">
        <v>358.15</v>
      </c>
      <c r="AD5039">
        <v>0</v>
      </c>
      <c r="AE5039">
        <v>0</v>
      </c>
      <c r="AF5039">
        <v>0</v>
      </c>
      <c r="AG5039">
        <v>0</v>
      </c>
      <c r="AH5039">
        <v>0</v>
      </c>
      <c r="AI5039">
        <v>64.47</v>
      </c>
      <c r="AJ5039">
        <v>358.15</v>
      </c>
      <c r="AK5039">
        <v>0</v>
      </c>
      <c r="AL5039" t="s">
        <v>53</v>
      </c>
      <c r="AM5039" t="s">
        <v>53</v>
      </c>
      <c r="AN5039" t="s">
        <v>53</v>
      </c>
      <c r="AO5039" t="s">
        <v>53</v>
      </c>
      <c r="AP5039" t="s">
        <v>53</v>
      </c>
    </row>
    <row r="5040" spans="2:42" x14ac:dyDescent="0.2">
      <c r="B5040" t="s">
        <v>44</v>
      </c>
      <c r="C5040" t="str">
        <f>HYPERLINK("https://us2.cloudbeds.com/connect/8493803454333002#/reservations/9080486846160617?display=2EH84HD8AP&amp;reservation_id=9080486846160617", "2EH84HD8AP")</f>
        <v>2EH84HD8AP</v>
      </c>
      <c r="D5040" t="s">
        <v>45</v>
      </c>
      <c r="E5040" t="s">
        <v>98</v>
      </c>
      <c r="F5040" t="s">
        <v>86</v>
      </c>
      <c r="G5040" t="s">
        <v>48</v>
      </c>
      <c r="H5040" t="s">
        <v>49</v>
      </c>
      <c r="I5040" t="s">
        <v>50</v>
      </c>
      <c r="J5040" t="s">
        <v>6661</v>
      </c>
      <c r="K5040" t="s">
        <v>7595</v>
      </c>
      <c r="L5040" t="s">
        <v>53</v>
      </c>
      <c r="N5040" t="s">
        <v>8886</v>
      </c>
      <c r="P5040" t="s">
        <v>55</v>
      </c>
      <c r="R5040" t="s">
        <v>53</v>
      </c>
      <c r="T5040" t="s">
        <v>8887</v>
      </c>
      <c r="U5040" t="s">
        <v>58</v>
      </c>
      <c r="V5040">
        <v>4</v>
      </c>
      <c r="W5040">
        <v>1</v>
      </c>
      <c r="X5040">
        <v>2</v>
      </c>
      <c r="Y5040">
        <v>0</v>
      </c>
      <c r="Z5040">
        <v>2</v>
      </c>
      <c r="AA5040">
        <v>568.25</v>
      </c>
      <c r="AB5040">
        <v>570.96</v>
      </c>
      <c r="AC5040">
        <v>500</v>
      </c>
      <c r="AD5040">
        <v>2.5</v>
      </c>
      <c r="AE5040">
        <v>68.459999999999994</v>
      </c>
      <c r="AF5040">
        <v>0</v>
      </c>
      <c r="AG5040">
        <v>0</v>
      </c>
      <c r="AH5040">
        <v>0</v>
      </c>
      <c r="AI5040">
        <v>102.77</v>
      </c>
      <c r="AJ5040">
        <v>570.96</v>
      </c>
      <c r="AK5040">
        <v>0</v>
      </c>
      <c r="AL5040" t="s">
        <v>53</v>
      </c>
      <c r="AM5040" t="s">
        <v>53</v>
      </c>
      <c r="AN5040" t="s">
        <v>53</v>
      </c>
      <c r="AO5040" t="s">
        <v>53</v>
      </c>
      <c r="AP5040" t="s">
        <v>53</v>
      </c>
    </row>
    <row r="5041" spans="2:42" x14ac:dyDescent="0.2">
      <c r="B5041" t="s">
        <v>44</v>
      </c>
      <c r="C5041" t="str">
        <f>HYPERLINK("https://us2.cloudbeds.com/connect/8493803454333002#/reservations/9080486846160740?display=2EHXNBBWQA&amp;reservation_id=9080486846160740", "2EHXNBBWQA")</f>
        <v>2EHXNBBWQA</v>
      </c>
      <c r="D5041" t="s">
        <v>45</v>
      </c>
      <c r="E5041" t="s">
        <v>78</v>
      </c>
      <c r="F5041" t="s">
        <v>61</v>
      </c>
      <c r="G5041" t="s">
        <v>48</v>
      </c>
      <c r="H5041" t="s">
        <v>49</v>
      </c>
      <c r="I5041" t="s">
        <v>50</v>
      </c>
      <c r="J5041" t="s">
        <v>7595</v>
      </c>
      <c r="K5041" t="s">
        <v>6943</v>
      </c>
      <c r="L5041" t="s">
        <v>53</v>
      </c>
      <c r="N5041" t="s">
        <v>8888</v>
      </c>
      <c r="P5041" t="s">
        <v>55</v>
      </c>
      <c r="R5041" t="s">
        <v>56</v>
      </c>
      <c r="T5041" t="s">
        <v>8889</v>
      </c>
      <c r="U5041" t="s">
        <v>58</v>
      </c>
      <c r="V5041">
        <v>1</v>
      </c>
      <c r="W5041">
        <v>1</v>
      </c>
      <c r="X5041">
        <v>1</v>
      </c>
      <c r="Y5041">
        <v>0</v>
      </c>
      <c r="Z5041">
        <v>1</v>
      </c>
      <c r="AA5041">
        <v>170.93</v>
      </c>
      <c r="AB5041">
        <v>170.93</v>
      </c>
      <c r="AC5041">
        <v>150.4</v>
      </c>
      <c r="AD5041">
        <v>0</v>
      </c>
      <c r="AE5041">
        <v>20.53</v>
      </c>
      <c r="AF5041">
        <v>0</v>
      </c>
      <c r="AG5041">
        <v>0</v>
      </c>
      <c r="AH5041">
        <v>0</v>
      </c>
      <c r="AI5041">
        <v>30.77</v>
      </c>
      <c r="AJ5041">
        <v>170.93</v>
      </c>
      <c r="AK5041">
        <v>0</v>
      </c>
      <c r="AL5041" t="s">
        <v>53</v>
      </c>
      <c r="AM5041" t="s">
        <v>53</v>
      </c>
      <c r="AN5041" t="s">
        <v>53</v>
      </c>
      <c r="AO5041" t="s">
        <v>53</v>
      </c>
      <c r="AP5041" t="s">
        <v>53</v>
      </c>
    </row>
    <row r="5042" spans="2:42" x14ac:dyDescent="0.2">
      <c r="B5042" t="s">
        <v>44</v>
      </c>
      <c r="C5042" t="str">
        <f>HYPERLINK("https://us2.cloudbeds.com/connect/8493803454333002#/reservations/9080486846160956?display=2EX0D3W875&amp;reservation_id=9080486846160956", "2EX0D3W875")</f>
        <v>2EX0D3W875</v>
      </c>
      <c r="D5042" t="s">
        <v>45</v>
      </c>
      <c r="E5042" t="s">
        <v>128</v>
      </c>
      <c r="F5042" t="s">
        <v>86</v>
      </c>
      <c r="G5042" t="s">
        <v>48</v>
      </c>
      <c r="H5042" t="s">
        <v>49</v>
      </c>
      <c r="I5042" t="s">
        <v>50</v>
      </c>
      <c r="J5042" t="s">
        <v>7905</v>
      </c>
      <c r="K5042" t="s">
        <v>8594</v>
      </c>
      <c r="L5042" t="s">
        <v>53</v>
      </c>
      <c r="N5042" t="s">
        <v>8890</v>
      </c>
      <c r="P5042" t="s">
        <v>55</v>
      </c>
      <c r="R5042" t="s">
        <v>53</v>
      </c>
      <c r="T5042" t="s">
        <v>8891</v>
      </c>
      <c r="U5042" t="s">
        <v>58</v>
      </c>
      <c r="V5042">
        <v>2</v>
      </c>
      <c r="W5042">
        <v>1</v>
      </c>
      <c r="X5042">
        <v>2</v>
      </c>
      <c r="Y5042">
        <v>0</v>
      </c>
      <c r="Z5042">
        <v>2</v>
      </c>
      <c r="AA5042">
        <v>360.06</v>
      </c>
      <c r="AB5042">
        <v>360.06</v>
      </c>
      <c r="AC5042">
        <v>316.8</v>
      </c>
      <c r="AD5042">
        <v>0</v>
      </c>
      <c r="AE5042">
        <v>43.26</v>
      </c>
      <c r="AF5042">
        <v>0</v>
      </c>
      <c r="AG5042">
        <v>0</v>
      </c>
      <c r="AH5042">
        <v>0</v>
      </c>
      <c r="AI5042">
        <v>64.81</v>
      </c>
      <c r="AJ5042">
        <v>360.06</v>
      </c>
      <c r="AK5042">
        <v>0</v>
      </c>
      <c r="AL5042" t="s">
        <v>53</v>
      </c>
      <c r="AM5042" t="s">
        <v>53</v>
      </c>
      <c r="AN5042" t="s">
        <v>53</v>
      </c>
      <c r="AO5042" t="s">
        <v>53</v>
      </c>
      <c r="AP5042" t="s">
        <v>53</v>
      </c>
    </row>
    <row r="5043" spans="2:42" x14ac:dyDescent="0.2">
      <c r="B5043" t="s">
        <v>44</v>
      </c>
      <c r="C5043" t="str">
        <f>HYPERLINK("https://us2.cloudbeds.com/connect/8493803454333002#/reservations/9080486846161359?display=2EXMG0YUJW&amp;reservation_id=9080486846161359", "2EXMG0YUJW")</f>
        <v>2EXMG0YUJW</v>
      </c>
      <c r="D5043" t="s">
        <v>45</v>
      </c>
      <c r="E5043" t="s">
        <v>78</v>
      </c>
      <c r="F5043" t="s">
        <v>61</v>
      </c>
      <c r="G5043" t="s">
        <v>48</v>
      </c>
      <c r="H5043" t="s">
        <v>49</v>
      </c>
      <c r="I5043" t="s">
        <v>50</v>
      </c>
      <c r="J5043" t="s">
        <v>6661</v>
      </c>
      <c r="K5043" t="s">
        <v>7559</v>
      </c>
      <c r="L5043" t="s">
        <v>53</v>
      </c>
      <c r="N5043" t="s">
        <v>8892</v>
      </c>
      <c r="P5043" t="s">
        <v>55</v>
      </c>
      <c r="R5043" t="s">
        <v>53</v>
      </c>
      <c r="T5043" t="s">
        <v>8893</v>
      </c>
      <c r="U5043" t="s">
        <v>58</v>
      </c>
      <c r="V5043">
        <v>2</v>
      </c>
      <c r="W5043">
        <v>1</v>
      </c>
      <c r="X5043">
        <v>2</v>
      </c>
      <c r="Y5043">
        <v>0</v>
      </c>
      <c r="Z5043">
        <v>2</v>
      </c>
      <c r="AA5043">
        <v>283</v>
      </c>
      <c r="AB5043">
        <v>283</v>
      </c>
      <c r="AC5043">
        <v>249</v>
      </c>
      <c r="AD5043">
        <v>0</v>
      </c>
      <c r="AE5043">
        <v>34</v>
      </c>
      <c r="AF5043">
        <v>0</v>
      </c>
      <c r="AG5043">
        <v>0</v>
      </c>
      <c r="AH5043">
        <v>0</v>
      </c>
      <c r="AI5043">
        <v>50.94</v>
      </c>
      <c r="AJ5043">
        <v>283</v>
      </c>
      <c r="AK5043">
        <v>0</v>
      </c>
      <c r="AL5043" t="s">
        <v>53</v>
      </c>
      <c r="AM5043" t="s">
        <v>53</v>
      </c>
      <c r="AN5043" t="s">
        <v>53</v>
      </c>
      <c r="AO5043" t="s">
        <v>53</v>
      </c>
      <c r="AP5043" t="s">
        <v>53</v>
      </c>
    </row>
    <row r="5044" spans="2:42" x14ac:dyDescent="0.2">
      <c r="B5044" t="s">
        <v>44</v>
      </c>
      <c r="C5044" t="str">
        <f>HYPERLINK("https://us2.cloudbeds.com/connect/8493803454333002#/reservations/9080486846161411?display=2EXPVSGDM8&amp;reservation_id=9080486846161411", "2EXPVSGDM8")</f>
        <v>2EXPVSGDM8</v>
      </c>
      <c r="D5044" t="s">
        <v>45</v>
      </c>
      <c r="E5044" t="s">
        <v>185</v>
      </c>
      <c r="F5044" t="s">
        <v>47</v>
      </c>
      <c r="G5044" t="s">
        <v>48</v>
      </c>
      <c r="H5044" t="s">
        <v>49</v>
      </c>
      <c r="I5044" t="s">
        <v>50</v>
      </c>
      <c r="J5044" t="s">
        <v>6662</v>
      </c>
      <c r="K5044" t="s">
        <v>7595</v>
      </c>
      <c r="L5044" t="s">
        <v>53</v>
      </c>
      <c r="N5044" t="s">
        <v>8894</v>
      </c>
      <c r="P5044" t="s">
        <v>55</v>
      </c>
      <c r="R5044" t="s">
        <v>53</v>
      </c>
      <c r="T5044" t="s">
        <v>8895</v>
      </c>
      <c r="U5044" t="s">
        <v>58</v>
      </c>
      <c r="V5044">
        <v>1</v>
      </c>
      <c r="W5044">
        <v>1</v>
      </c>
      <c r="X5044">
        <v>1</v>
      </c>
      <c r="Y5044">
        <v>0</v>
      </c>
      <c r="Z5044">
        <v>1</v>
      </c>
      <c r="AA5044">
        <v>169.06</v>
      </c>
      <c r="AB5044">
        <v>169.06</v>
      </c>
      <c r="AC5044">
        <v>148.75</v>
      </c>
      <c r="AD5044">
        <v>0</v>
      </c>
      <c r="AE5044">
        <v>20.309999999999999</v>
      </c>
      <c r="AF5044">
        <v>0</v>
      </c>
      <c r="AG5044">
        <v>0</v>
      </c>
      <c r="AH5044">
        <v>0</v>
      </c>
      <c r="AI5044">
        <v>30.43</v>
      </c>
      <c r="AJ5044">
        <v>169.06</v>
      </c>
      <c r="AK5044">
        <v>0</v>
      </c>
      <c r="AL5044" t="s">
        <v>53</v>
      </c>
      <c r="AM5044" t="s">
        <v>53</v>
      </c>
      <c r="AN5044" t="s">
        <v>53</v>
      </c>
      <c r="AO5044" t="s">
        <v>53</v>
      </c>
      <c r="AP5044" t="s">
        <v>53</v>
      </c>
    </row>
    <row r="5045" spans="2:42" x14ac:dyDescent="0.2">
      <c r="B5045" t="s">
        <v>44</v>
      </c>
      <c r="C5045" t="str">
        <f>HYPERLINK("https://us2.cloudbeds.com/connect/8493803454333002#/reservations/9080486846161626?display=2EJ8DUNJ4V&amp;reservation_id=9080486846161626", "2EJ8DUNJ4V")</f>
        <v>2EJ8DUNJ4V</v>
      </c>
      <c r="D5045" t="s">
        <v>45</v>
      </c>
      <c r="E5045" t="s">
        <v>213</v>
      </c>
      <c r="F5045" t="s">
        <v>86</v>
      </c>
      <c r="G5045" t="s">
        <v>48</v>
      </c>
      <c r="H5045" t="s">
        <v>49</v>
      </c>
      <c r="I5045" t="s">
        <v>50</v>
      </c>
      <c r="J5045" t="s">
        <v>6943</v>
      </c>
      <c r="K5045" t="s">
        <v>6944</v>
      </c>
      <c r="L5045" t="s">
        <v>53</v>
      </c>
      <c r="N5045" t="s">
        <v>8896</v>
      </c>
      <c r="P5045" t="s">
        <v>55</v>
      </c>
      <c r="R5045" t="s">
        <v>53</v>
      </c>
      <c r="T5045" t="s">
        <v>8897</v>
      </c>
      <c r="U5045" t="s">
        <v>58</v>
      </c>
      <c r="V5045">
        <v>2</v>
      </c>
      <c r="W5045">
        <v>1</v>
      </c>
      <c r="X5045">
        <v>2</v>
      </c>
      <c r="Y5045">
        <v>0</v>
      </c>
      <c r="Z5045">
        <v>2</v>
      </c>
      <c r="AA5045">
        <v>424.6</v>
      </c>
      <c r="AB5045">
        <v>424.6</v>
      </c>
      <c r="AC5045">
        <v>373.6</v>
      </c>
      <c r="AD5045">
        <v>0</v>
      </c>
      <c r="AE5045">
        <v>51</v>
      </c>
      <c r="AF5045">
        <v>0</v>
      </c>
      <c r="AG5045">
        <v>0</v>
      </c>
      <c r="AH5045">
        <v>0</v>
      </c>
      <c r="AI5045">
        <v>76.430000000000007</v>
      </c>
      <c r="AJ5045">
        <v>424.6</v>
      </c>
      <c r="AK5045">
        <v>0</v>
      </c>
      <c r="AL5045" t="s">
        <v>53</v>
      </c>
      <c r="AM5045" t="s">
        <v>53</v>
      </c>
      <c r="AN5045" t="s">
        <v>53</v>
      </c>
      <c r="AO5045" t="s">
        <v>53</v>
      </c>
      <c r="AP5045" t="s">
        <v>53</v>
      </c>
    </row>
    <row r="5046" spans="2:42" x14ac:dyDescent="0.2">
      <c r="B5046" t="s">
        <v>44</v>
      </c>
      <c r="C5046" t="str">
        <f>HYPERLINK("https://us2.cloudbeds.com/connect/8493803454333002#/reservations/9080486846161693?display=2EJC3SQBE4&amp;reservation_id=9080486846161693", "2EJC3SQBE4")</f>
        <v>2EJC3SQBE4</v>
      </c>
      <c r="D5046" t="s">
        <v>45</v>
      </c>
      <c r="E5046" t="s">
        <v>92</v>
      </c>
      <c r="F5046" t="s">
        <v>86</v>
      </c>
      <c r="G5046" t="s">
        <v>48</v>
      </c>
      <c r="H5046" t="s">
        <v>49</v>
      </c>
      <c r="I5046" t="s">
        <v>50</v>
      </c>
      <c r="J5046" t="s">
        <v>8133</v>
      </c>
      <c r="K5046" t="s">
        <v>8300</v>
      </c>
      <c r="L5046" t="s">
        <v>53</v>
      </c>
      <c r="N5046" t="s">
        <v>8898</v>
      </c>
      <c r="P5046" t="s">
        <v>55</v>
      </c>
      <c r="R5046" t="s">
        <v>53</v>
      </c>
      <c r="T5046" t="s">
        <v>8899</v>
      </c>
      <c r="U5046" t="s">
        <v>58</v>
      </c>
      <c r="V5046">
        <v>3</v>
      </c>
      <c r="W5046">
        <v>1</v>
      </c>
      <c r="X5046">
        <v>2</v>
      </c>
      <c r="Y5046">
        <v>0</v>
      </c>
      <c r="Z5046">
        <v>2</v>
      </c>
      <c r="AA5046">
        <v>537.33000000000004</v>
      </c>
      <c r="AB5046">
        <v>537.33000000000004</v>
      </c>
      <c r="AC5046">
        <v>472.8</v>
      </c>
      <c r="AD5046">
        <v>0</v>
      </c>
      <c r="AE5046">
        <v>64.53</v>
      </c>
      <c r="AF5046">
        <v>0</v>
      </c>
      <c r="AG5046">
        <v>0</v>
      </c>
      <c r="AH5046">
        <v>0</v>
      </c>
      <c r="AI5046">
        <v>96.72</v>
      </c>
      <c r="AJ5046">
        <v>537.33000000000004</v>
      </c>
      <c r="AK5046">
        <v>0</v>
      </c>
      <c r="AL5046" t="s">
        <v>53</v>
      </c>
      <c r="AM5046" t="s">
        <v>53</v>
      </c>
      <c r="AN5046" t="s">
        <v>53</v>
      </c>
      <c r="AO5046" t="s">
        <v>53</v>
      </c>
      <c r="AP5046" t="s">
        <v>53</v>
      </c>
    </row>
    <row r="5047" spans="2:42" x14ac:dyDescent="0.2">
      <c r="B5047" t="s">
        <v>44</v>
      </c>
      <c r="C5047" t="str">
        <f>HYPERLINK("https://us2.cloudbeds.com/connect/8493803454333002#/reservations/9080486846161727?display=2EJEU1U4C0&amp;reservation_id=9080486846161727", "2EJEU1U4C0")</f>
        <v>2EJEU1U4C0</v>
      </c>
      <c r="D5047" t="s">
        <v>45</v>
      </c>
      <c r="E5047" t="s">
        <v>138</v>
      </c>
      <c r="F5047" t="s">
        <v>70</v>
      </c>
      <c r="G5047" t="s">
        <v>48</v>
      </c>
      <c r="H5047" t="s">
        <v>49</v>
      </c>
      <c r="I5047" t="s">
        <v>62</v>
      </c>
      <c r="J5047" t="s">
        <v>8900</v>
      </c>
      <c r="K5047" t="s">
        <v>6454</v>
      </c>
      <c r="L5047" t="s">
        <v>53</v>
      </c>
      <c r="N5047" t="s">
        <v>8901</v>
      </c>
      <c r="P5047" t="s">
        <v>55</v>
      </c>
      <c r="R5047" t="s">
        <v>946</v>
      </c>
      <c r="T5047" t="s">
        <v>8902</v>
      </c>
      <c r="U5047" t="s">
        <v>55</v>
      </c>
      <c r="V5047">
        <v>3</v>
      </c>
      <c r="W5047">
        <v>1</v>
      </c>
      <c r="X5047">
        <v>2</v>
      </c>
      <c r="Y5047">
        <v>0</v>
      </c>
      <c r="Z5047">
        <v>2</v>
      </c>
      <c r="AA5047">
        <v>836.95</v>
      </c>
      <c r="AB5047">
        <v>2.71</v>
      </c>
      <c r="AC5047">
        <v>836.95</v>
      </c>
      <c r="AD5047">
        <v>2.5</v>
      </c>
      <c r="AE5047">
        <v>0.21</v>
      </c>
      <c r="AF5047">
        <v>0</v>
      </c>
      <c r="AG5047">
        <v>0</v>
      </c>
      <c r="AH5047">
        <v>0</v>
      </c>
      <c r="AI5047">
        <v>151.13999999999999</v>
      </c>
      <c r="AJ5047">
        <v>839.66</v>
      </c>
      <c r="AK5047">
        <v>836.95</v>
      </c>
      <c r="AL5047" t="s">
        <v>53</v>
      </c>
      <c r="AM5047" t="s">
        <v>53</v>
      </c>
      <c r="AN5047" t="s">
        <v>53</v>
      </c>
      <c r="AO5047" t="s">
        <v>53</v>
      </c>
      <c r="AP5047" t="s">
        <v>53</v>
      </c>
    </row>
    <row r="5048" spans="2:42" x14ac:dyDescent="0.2">
      <c r="B5048" t="s">
        <v>44</v>
      </c>
      <c r="C5048" t="str">
        <f>HYPERLINK("https://us2.cloudbeds.com/connect/8493803454333002#/reservations/9080486846163358?display=2EMFR176UG&amp;reservation_id=9080486846163358", "2EMFR176UG")</f>
        <v>2EMFR176UG</v>
      </c>
      <c r="D5048" t="s">
        <v>45</v>
      </c>
      <c r="E5048" t="s">
        <v>487</v>
      </c>
      <c r="F5048" t="s">
        <v>61</v>
      </c>
      <c r="G5048" t="s">
        <v>48</v>
      </c>
      <c r="H5048" t="s">
        <v>49</v>
      </c>
      <c r="I5048" t="s">
        <v>50</v>
      </c>
      <c r="J5048" t="s">
        <v>7376</v>
      </c>
      <c r="K5048" t="s">
        <v>6662</v>
      </c>
      <c r="L5048" t="s">
        <v>53</v>
      </c>
      <c r="N5048" t="s">
        <v>8903</v>
      </c>
      <c r="P5048" t="s">
        <v>55</v>
      </c>
      <c r="R5048" t="s">
        <v>53</v>
      </c>
      <c r="T5048" t="s">
        <v>8904</v>
      </c>
      <c r="U5048" t="s">
        <v>58</v>
      </c>
      <c r="V5048">
        <v>2</v>
      </c>
      <c r="W5048">
        <v>1</v>
      </c>
      <c r="X5048">
        <v>2</v>
      </c>
      <c r="Y5048">
        <v>0</v>
      </c>
      <c r="Z5048">
        <v>2</v>
      </c>
      <c r="AA5048">
        <v>273.38</v>
      </c>
      <c r="AB5048">
        <v>273.38</v>
      </c>
      <c r="AC5048">
        <v>240.55</v>
      </c>
      <c r="AD5048">
        <v>0</v>
      </c>
      <c r="AE5048">
        <v>32.83</v>
      </c>
      <c r="AF5048">
        <v>0</v>
      </c>
      <c r="AG5048">
        <v>0</v>
      </c>
      <c r="AH5048">
        <v>0</v>
      </c>
      <c r="AI5048">
        <v>49.21</v>
      </c>
      <c r="AJ5048">
        <v>273.38</v>
      </c>
      <c r="AK5048">
        <v>0</v>
      </c>
      <c r="AL5048" t="s">
        <v>53</v>
      </c>
      <c r="AM5048" t="s">
        <v>53</v>
      </c>
      <c r="AN5048" t="s">
        <v>53</v>
      </c>
      <c r="AO5048" t="s">
        <v>53</v>
      </c>
      <c r="AP5048" t="s">
        <v>53</v>
      </c>
    </row>
    <row r="5049" spans="2:42" x14ac:dyDescent="0.2">
      <c r="B5049" t="s">
        <v>44</v>
      </c>
      <c r="C5049" t="str">
        <f>HYPERLINK("https://us2.cloudbeds.com/connect/8493803454333002#/reservations/9080486846164147?display=2ENAMXV2BB&amp;reservation_id=9080486846164147", "2ENAMXV2BB")</f>
        <v>2ENAMXV2BB</v>
      </c>
      <c r="D5049" t="s">
        <v>45</v>
      </c>
      <c r="E5049" t="s">
        <v>165</v>
      </c>
      <c r="F5049" t="s">
        <v>61</v>
      </c>
      <c r="G5049" t="s">
        <v>48</v>
      </c>
      <c r="H5049" t="s">
        <v>49</v>
      </c>
      <c r="I5049" t="s">
        <v>50</v>
      </c>
      <c r="J5049" t="s">
        <v>7905</v>
      </c>
      <c r="K5049" t="s">
        <v>7906</v>
      </c>
      <c r="L5049" t="s">
        <v>53</v>
      </c>
      <c r="N5049" t="s">
        <v>8905</v>
      </c>
      <c r="P5049" t="s">
        <v>55</v>
      </c>
      <c r="R5049" t="s">
        <v>53</v>
      </c>
      <c r="T5049" t="s">
        <v>8906</v>
      </c>
      <c r="U5049" t="s">
        <v>58</v>
      </c>
      <c r="V5049">
        <v>1</v>
      </c>
      <c r="W5049">
        <v>1</v>
      </c>
      <c r="X5049">
        <v>2</v>
      </c>
      <c r="Y5049">
        <v>0</v>
      </c>
      <c r="Z5049">
        <v>2</v>
      </c>
      <c r="AA5049">
        <v>184.12</v>
      </c>
      <c r="AB5049">
        <v>184.12</v>
      </c>
      <c r="AC5049">
        <v>162</v>
      </c>
      <c r="AD5049">
        <v>0</v>
      </c>
      <c r="AE5049">
        <v>22.12</v>
      </c>
      <c r="AF5049">
        <v>0</v>
      </c>
      <c r="AG5049">
        <v>0</v>
      </c>
      <c r="AH5049">
        <v>0</v>
      </c>
      <c r="AI5049">
        <v>33.14</v>
      </c>
      <c r="AJ5049">
        <v>184.12</v>
      </c>
      <c r="AK5049">
        <v>0</v>
      </c>
      <c r="AL5049" t="s">
        <v>53</v>
      </c>
      <c r="AM5049" t="s">
        <v>53</v>
      </c>
      <c r="AN5049" t="s">
        <v>53</v>
      </c>
      <c r="AO5049" t="s">
        <v>53</v>
      </c>
      <c r="AP5049" t="s">
        <v>53</v>
      </c>
    </row>
    <row r="5050" spans="2:42" x14ac:dyDescent="0.2">
      <c r="B5050" t="s">
        <v>44</v>
      </c>
      <c r="C5050" t="str">
        <f>HYPERLINK("https://us2.cloudbeds.com/connect/8493803454333002#/reservations/9080486846164497?display=2ENNNT7KG0&amp;reservation_id=9080486846164497", "2ENNNT7KG0")</f>
        <v>2ENNNT7KG0</v>
      </c>
      <c r="D5050" t="s">
        <v>45</v>
      </c>
      <c r="E5050" t="s">
        <v>165</v>
      </c>
      <c r="F5050" t="s">
        <v>61</v>
      </c>
      <c r="G5050" t="s">
        <v>48</v>
      </c>
      <c r="H5050" t="s">
        <v>49</v>
      </c>
      <c r="I5050" t="s">
        <v>50</v>
      </c>
      <c r="J5050" t="s">
        <v>7925</v>
      </c>
      <c r="K5050" t="s">
        <v>8249</v>
      </c>
      <c r="L5050" t="s">
        <v>53</v>
      </c>
      <c r="N5050" t="s">
        <v>8907</v>
      </c>
      <c r="P5050" t="s">
        <v>55</v>
      </c>
      <c r="R5050" t="s">
        <v>53</v>
      </c>
      <c r="T5050" t="s">
        <v>8908</v>
      </c>
      <c r="U5050" t="s">
        <v>58</v>
      </c>
      <c r="V5050">
        <v>2</v>
      </c>
      <c r="W5050">
        <v>1</v>
      </c>
      <c r="X5050">
        <v>2</v>
      </c>
      <c r="Y5050">
        <v>0</v>
      </c>
      <c r="Z5050">
        <v>2</v>
      </c>
      <c r="AA5050">
        <v>295.39</v>
      </c>
      <c r="AB5050">
        <v>295.39</v>
      </c>
      <c r="AC5050">
        <v>259.91000000000003</v>
      </c>
      <c r="AD5050">
        <v>0</v>
      </c>
      <c r="AE5050">
        <v>35.479999999999997</v>
      </c>
      <c r="AF5050">
        <v>0</v>
      </c>
      <c r="AG5050">
        <v>0</v>
      </c>
      <c r="AH5050">
        <v>0</v>
      </c>
      <c r="AI5050">
        <v>53.17</v>
      </c>
      <c r="AJ5050">
        <v>295.39</v>
      </c>
      <c r="AK5050">
        <v>0</v>
      </c>
      <c r="AL5050" t="s">
        <v>53</v>
      </c>
      <c r="AM5050" t="s">
        <v>53</v>
      </c>
      <c r="AN5050" t="s">
        <v>53</v>
      </c>
      <c r="AO5050" t="s">
        <v>53</v>
      </c>
      <c r="AP5050" t="s">
        <v>53</v>
      </c>
    </row>
    <row r="5051" spans="2:42" x14ac:dyDescent="0.2">
      <c r="B5051" t="s">
        <v>44</v>
      </c>
      <c r="C5051" t="str">
        <f>HYPERLINK("https://us2.cloudbeds.com/connect/8493803454333002#/reservations/9080486846164520?display=2ENZE3359P&amp;reservation_id=9080486846164520", "2ENZE3359P")</f>
        <v>2ENZE3359P</v>
      </c>
      <c r="D5051" t="s">
        <v>45</v>
      </c>
      <c r="E5051" t="s">
        <v>373</v>
      </c>
      <c r="F5051" t="s">
        <v>47</v>
      </c>
      <c r="G5051" t="s">
        <v>48</v>
      </c>
      <c r="H5051" t="s">
        <v>49</v>
      </c>
      <c r="I5051" t="s">
        <v>50</v>
      </c>
      <c r="J5051" t="s">
        <v>6943</v>
      </c>
      <c r="K5051" t="s">
        <v>7275</v>
      </c>
      <c r="L5051" t="s">
        <v>53</v>
      </c>
      <c r="N5051" t="s">
        <v>8909</v>
      </c>
      <c r="P5051" t="s">
        <v>55</v>
      </c>
      <c r="R5051" t="s">
        <v>53</v>
      </c>
      <c r="T5051" t="s">
        <v>8910</v>
      </c>
      <c r="U5051" t="s">
        <v>58</v>
      </c>
      <c r="V5051">
        <v>1</v>
      </c>
      <c r="W5051">
        <v>1</v>
      </c>
      <c r="X5051">
        <v>1</v>
      </c>
      <c r="Y5051">
        <v>0</v>
      </c>
      <c r="Z5051">
        <v>1</v>
      </c>
      <c r="AA5051">
        <v>208.66</v>
      </c>
      <c r="AB5051">
        <v>208.66</v>
      </c>
      <c r="AC5051">
        <v>183.6</v>
      </c>
      <c r="AD5051">
        <v>0</v>
      </c>
      <c r="AE5051">
        <v>25.06</v>
      </c>
      <c r="AF5051">
        <v>0</v>
      </c>
      <c r="AG5051">
        <v>0</v>
      </c>
      <c r="AH5051">
        <v>0</v>
      </c>
      <c r="AI5051">
        <v>37.56</v>
      </c>
      <c r="AJ5051">
        <v>208.66</v>
      </c>
      <c r="AK5051">
        <v>0</v>
      </c>
      <c r="AL5051" t="s">
        <v>53</v>
      </c>
      <c r="AM5051" t="s">
        <v>53</v>
      </c>
      <c r="AN5051" t="s">
        <v>53</v>
      </c>
      <c r="AO5051" t="s">
        <v>53</v>
      </c>
      <c r="AP5051" t="s">
        <v>53</v>
      </c>
    </row>
    <row r="5052" spans="2:42" x14ac:dyDescent="0.2">
      <c r="B5052" t="s">
        <v>44</v>
      </c>
      <c r="C5052" t="str">
        <f>HYPERLINK("https://us2.cloudbeds.com/connect/8493803454333002#/reservations/9080486846164770?display=2ENWU3YGU1&amp;reservation_id=9080486846164770", "2ENWU3YGU1")</f>
        <v>2ENWU3YGU1</v>
      </c>
      <c r="D5052" t="s">
        <v>45</v>
      </c>
      <c r="E5052" t="s">
        <v>138</v>
      </c>
      <c r="F5052" t="s">
        <v>70</v>
      </c>
      <c r="G5052" t="s">
        <v>48</v>
      </c>
      <c r="H5052" t="s">
        <v>49</v>
      </c>
      <c r="I5052" t="s">
        <v>62</v>
      </c>
      <c r="J5052" t="s">
        <v>8911</v>
      </c>
      <c r="K5052" t="s">
        <v>8313</v>
      </c>
      <c r="L5052" t="s">
        <v>53</v>
      </c>
      <c r="N5052" t="s">
        <v>8912</v>
      </c>
      <c r="P5052" t="s">
        <v>55</v>
      </c>
      <c r="R5052" t="s">
        <v>56</v>
      </c>
      <c r="T5052" t="s">
        <v>8913</v>
      </c>
      <c r="U5052" t="s">
        <v>55</v>
      </c>
      <c r="V5052">
        <v>2</v>
      </c>
      <c r="W5052">
        <v>1</v>
      </c>
      <c r="X5052">
        <v>2</v>
      </c>
      <c r="Y5052">
        <v>0</v>
      </c>
      <c r="Z5052">
        <v>2</v>
      </c>
      <c r="AA5052">
        <v>246</v>
      </c>
      <c r="AB5052">
        <v>246</v>
      </c>
      <c r="AC5052">
        <v>246</v>
      </c>
      <c r="AD5052">
        <v>0</v>
      </c>
      <c r="AE5052">
        <v>0</v>
      </c>
      <c r="AF5052">
        <v>0</v>
      </c>
      <c r="AG5052">
        <v>0</v>
      </c>
      <c r="AH5052">
        <v>0</v>
      </c>
      <c r="AI5052">
        <v>44.28</v>
      </c>
      <c r="AJ5052">
        <v>246</v>
      </c>
      <c r="AK5052">
        <v>0</v>
      </c>
      <c r="AL5052" t="s">
        <v>53</v>
      </c>
      <c r="AM5052" t="s">
        <v>53</v>
      </c>
      <c r="AN5052" t="s">
        <v>53</v>
      </c>
      <c r="AO5052" t="s">
        <v>53</v>
      </c>
      <c r="AP5052" t="s">
        <v>53</v>
      </c>
    </row>
    <row r="5053" spans="2:42" x14ac:dyDescent="0.2">
      <c r="B5053" t="s">
        <v>44</v>
      </c>
      <c r="C5053" t="str">
        <f>HYPERLINK("https://us2.cloudbeds.com/connect/8493803454333002#/reservations/9080486846165147?display=2EZDUSVG7D&amp;reservation_id=9080486846165147", "2EZDUSVG7D")</f>
        <v>2EZDUSVG7D</v>
      </c>
      <c r="D5053" t="s">
        <v>45</v>
      </c>
      <c r="E5053" t="s">
        <v>46</v>
      </c>
      <c r="F5053" t="s">
        <v>47</v>
      </c>
      <c r="G5053" t="s">
        <v>48</v>
      </c>
      <c r="H5053" t="s">
        <v>49</v>
      </c>
      <c r="I5053" t="s">
        <v>50</v>
      </c>
      <c r="J5053" t="s">
        <v>7376</v>
      </c>
      <c r="K5053" t="s">
        <v>6662</v>
      </c>
      <c r="L5053" t="s">
        <v>53</v>
      </c>
      <c r="N5053" t="s">
        <v>8914</v>
      </c>
      <c r="P5053" t="s">
        <v>55</v>
      </c>
      <c r="R5053" t="s">
        <v>53</v>
      </c>
      <c r="T5053" t="s">
        <v>8915</v>
      </c>
      <c r="U5053" t="s">
        <v>58</v>
      </c>
      <c r="V5053">
        <v>2</v>
      </c>
      <c r="W5053">
        <v>1</v>
      </c>
      <c r="X5053">
        <v>1</v>
      </c>
      <c r="Y5053">
        <v>0</v>
      </c>
      <c r="Z5053">
        <v>1</v>
      </c>
      <c r="AA5053">
        <v>231.85</v>
      </c>
      <c r="AB5053">
        <v>231.85</v>
      </c>
      <c r="AC5053">
        <v>204</v>
      </c>
      <c r="AD5053">
        <v>0</v>
      </c>
      <c r="AE5053">
        <v>27.85</v>
      </c>
      <c r="AF5053">
        <v>0</v>
      </c>
      <c r="AG5053">
        <v>0</v>
      </c>
      <c r="AH5053">
        <v>0</v>
      </c>
      <c r="AI5053">
        <v>41.73</v>
      </c>
      <c r="AJ5053">
        <v>231.85</v>
      </c>
      <c r="AK5053">
        <v>0</v>
      </c>
      <c r="AL5053" t="s">
        <v>53</v>
      </c>
      <c r="AM5053" t="s">
        <v>53</v>
      </c>
      <c r="AN5053" t="s">
        <v>53</v>
      </c>
      <c r="AO5053" t="s">
        <v>53</v>
      </c>
      <c r="AP5053" t="s">
        <v>53</v>
      </c>
    </row>
    <row r="5054" spans="2:42" x14ac:dyDescent="0.2">
      <c r="B5054" t="s">
        <v>44</v>
      </c>
      <c r="C5054" t="str">
        <f>HYPERLINK("https://us2.cloudbeds.com/connect/8493803454333002#/reservations/9080486846165187?display=2EZESD3FRV&amp;reservation_id=9080486846165187", "2EZESD3FRV")</f>
        <v>2EZESD3FRV</v>
      </c>
      <c r="D5054" t="s">
        <v>45</v>
      </c>
      <c r="E5054" t="s">
        <v>138</v>
      </c>
      <c r="F5054" t="s">
        <v>70</v>
      </c>
      <c r="G5054" t="s">
        <v>48</v>
      </c>
      <c r="H5054" t="s">
        <v>49</v>
      </c>
      <c r="I5054" t="s">
        <v>50</v>
      </c>
      <c r="J5054" t="s">
        <v>8300</v>
      </c>
      <c r="K5054" t="s">
        <v>8119</v>
      </c>
      <c r="L5054" t="s">
        <v>53</v>
      </c>
      <c r="N5054" t="s">
        <v>8916</v>
      </c>
      <c r="P5054" t="s">
        <v>55</v>
      </c>
      <c r="R5054" t="s">
        <v>53</v>
      </c>
      <c r="T5054" t="s">
        <v>8917</v>
      </c>
      <c r="U5054" t="s">
        <v>58</v>
      </c>
      <c r="V5054">
        <v>1</v>
      </c>
      <c r="W5054">
        <v>1</v>
      </c>
      <c r="X5054">
        <v>2</v>
      </c>
      <c r="Y5054">
        <v>0</v>
      </c>
      <c r="Z5054">
        <v>2</v>
      </c>
      <c r="AA5054">
        <v>130.19999999999999</v>
      </c>
      <c r="AB5054">
        <v>130.19999999999999</v>
      </c>
      <c r="AC5054">
        <v>114.57</v>
      </c>
      <c r="AD5054">
        <v>0</v>
      </c>
      <c r="AE5054">
        <v>15.63</v>
      </c>
      <c r="AF5054">
        <v>0</v>
      </c>
      <c r="AG5054">
        <v>0</v>
      </c>
      <c r="AH5054">
        <v>0</v>
      </c>
      <c r="AI5054">
        <v>23.44</v>
      </c>
      <c r="AJ5054">
        <v>130.19999999999999</v>
      </c>
      <c r="AK5054">
        <v>0</v>
      </c>
      <c r="AL5054" t="s">
        <v>53</v>
      </c>
      <c r="AM5054" t="s">
        <v>53</v>
      </c>
      <c r="AN5054" t="s">
        <v>53</v>
      </c>
      <c r="AO5054" t="s">
        <v>53</v>
      </c>
      <c r="AP5054" t="s">
        <v>53</v>
      </c>
    </row>
    <row r="5055" spans="2:42" x14ac:dyDescent="0.2">
      <c r="B5055" t="s">
        <v>44</v>
      </c>
      <c r="C5055" t="str">
        <f>HYPERLINK("https://us2.cloudbeds.com/connect/8493803454333002#/reservations/9080486846165210?display=2EZG6W8ZFS&amp;reservation_id=9080486846165210", "2EZG6W8ZFS")</f>
        <v>2EZG6W8ZFS</v>
      </c>
      <c r="D5055" t="s">
        <v>45</v>
      </c>
      <c r="E5055" t="s">
        <v>121</v>
      </c>
      <c r="F5055" t="s">
        <v>86</v>
      </c>
      <c r="G5055" t="s">
        <v>48</v>
      </c>
      <c r="H5055" t="s">
        <v>49</v>
      </c>
      <c r="I5055" t="s">
        <v>62</v>
      </c>
      <c r="J5055" t="s">
        <v>7376</v>
      </c>
      <c r="K5055" t="s">
        <v>6662</v>
      </c>
      <c r="L5055" t="s">
        <v>53</v>
      </c>
      <c r="N5055" t="s">
        <v>8918</v>
      </c>
      <c r="P5055" t="s">
        <v>55</v>
      </c>
      <c r="R5055" t="s">
        <v>56</v>
      </c>
      <c r="T5055" t="s">
        <v>8919</v>
      </c>
      <c r="U5055" t="s">
        <v>55</v>
      </c>
      <c r="V5055">
        <v>2</v>
      </c>
      <c r="W5055">
        <v>1</v>
      </c>
      <c r="X5055">
        <v>4</v>
      </c>
      <c r="Y5055">
        <v>0</v>
      </c>
      <c r="Z5055">
        <v>4</v>
      </c>
      <c r="AA5055">
        <v>301</v>
      </c>
      <c r="AB5055">
        <v>301</v>
      </c>
      <c r="AC5055">
        <v>301</v>
      </c>
      <c r="AD5055">
        <v>0</v>
      </c>
      <c r="AE5055">
        <v>0</v>
      </c>
      <c r="AF5055">
        <v>0</v>
      </c>
      <c r="AG5055">
        <v>0</v>
      </c>
      <c r="AH5055">
        <v>0</v>
      </c>
      <c r="AI5055">
        <v>54.18</v>
      </c>
      <c r="AJ5055">
        <v>301</v>
      </c>
      <c r="AK5055">
        <v>0</v>
      </c>
      <c r="AL5055" t="s">
        <v>53</v>
      </c>
      <c r="AM5055" t="s">
        <v>53</v>
      </c>
      <c r="AN5055" t="s">
        <v>53</v>
      </c>
      <c r="AO5055" t="s">
        <v>53</v>
      </c>
      <c r="AP5055" t="s">
        <v>53</v>
      </c>
    </row>
    <row r="5056" spans="2:42" x14ac:dyDescent="0.2">
      <c r="B5056" t="s">
        <v>44</v>
      </c>
      <c r="C5056" t="str">
        <f>HYPERLINK("https://us2.cloudbeds.com/connect/8493803454333002#/reservations/9080486846165247?display=2EZHGQV6EC&amp;reservation_id=9080486846165247", "2EZHGQV6EC")</f>
        <v>2EZHGQV6EC</v>
      </c>
      <c r="D5056" t="s">
        <v>45</v>
      </c>
      <c r="E5056" t="s">
        <v>110</v>
      </c>
      <c r="F5056" t="s">
        <v>47</v>
      </c>
      <c r="G5056" t="s">
        <v>48</v>
      </c>
      <c r="H5056" t="s">
        <v>49</v>
      </c>
      <c r="I5056" t="s">
        <v>50</v>
      </c>
      <c r="J5056" t="s">
        <v>7276</v>
      </c>
      <c r="K5056" t="s">
        <v>7861</v>
      </c>
      <c r="L5056" t="s">
        <v>53</v>
      </c>
      <c r="N5056" t="s">
        <v>8920</v>
      </c>
      <c r="P5056" t="s">
        <v>55</v>
      </c>
      <c r="R5056" t="s">
        <v>53</v>
      </c>
      <c r="T5056" t="s">
        <v>8921</v>
      </c>
      <c r="U5056" t="s">
        <v>58</v>
      </c>
      <c r="V5056">
        <v>1</v>
      </c>
      <c r="W5056">
        <v>1</v>
      </c>
      <c r="X5056">
        <v>2</v>
      </c>
      <c r="Y5056">
        <v>0</v>
      </c>
      <c r="Z5056">
        <v>2</v>
      </c>
      <c r="AA5056">
        <v>161.84</v>
      </c>
      <c r="AB5056">
        <v>161.84</v>
      </c>
      <c r="AC5056">
        <v>142.4</v>
      </c>
      <c r="AD5056">
        <v>0</v>
      </c>
      <c r="AE5056">
        <v>19.440000000000001</v>
      </c>
      <c r="AF5056">
        <v>0</v>
      </c>
      <c r="AG5056">
        <v>0</v>
      </c>
      <c r="AH5056">
        <v>0</v>
      </c>
      <c r="AI5056">
        <v>29.13</v>
      </c>
      <c r="AJ5056">
        <v>161.84</v>
      </c>
      <c r="AK5056">
        <v>0</v>
      </c>
      <c r="AL5056" t="s">
        <v>53</v>
      </c>
      <c r="AM5056" t="s">
        <v>53</v>
      </c>
      <c r="AN5056" t="s">
        <v>53</v>
      </c>
      <c r="AO5056" t="s">
        <v>53</v>
      </c>
      <c r="AP5056" t="s">
        <v>53</v>
      </c>
    </row>
    <row r="5057" spans="2:42" x14ac:dyDescent="0.2">
      <c r="B5057" t="s">
        <v>44</v>
      </c>
      <c r="C5057" t="str">
        <f>HYPERLINK("https://us2.cloudbeds.com/connect/8493803454333002#/reservations/9080486846165527?display=2EZRM2RK6H&amp;reservation_id=9080486846165527", "2EZRM2RK6H")</f>
        <v>2EZRM2RK6H</v>
      </c>
      <c r="D5057" t="s">
        <v>45</v>
      </c>
      <c r="E5057" t="s">
        <v>305</v>
      </c>
      <c r="F5057" t="s">
        <v>61</v>
      </c>
      <c r="G5057" t="s">
        <v>48</v>
      </c>
      <c r="H5057" t="s">
        <v>49</v>
      </c>
      <c r="I5057" t="s">
        <v>50</v>
      </c>
      <c r="J5057" t="s">
        <v>7559</v>
      </c>
      <c r="K5057" t="s">
        <v>6662</v>
      </c>
      <c r="L5057" t="s">
        <v>53</v>
      </c>
      <c r="N5057" t="s">
        <v>8922</v>
      </c>
      <c r="P5057" t="s">
        <v>55</v>
      </c>
      <c r="R5057" t="s">
        <v>53</v>
      </c>
      <c r="T5057" t="s">
        <v>8923</v>
      </c>
      <c r="U5057" t="s">
        <v>58</v>
      </c>
      <c r="V5057">
        <v>1</v>
      </c>
      <c r="W5057">
        <v>1</v>
      </c>
      <c r="X5057">
        <v>1</v>
      </c>
      <c r="Y5057">
        <v>0</v>
      </c>
      <c r="Z5057">
        <v>1</v>
      </c>
      <c r="AA5057">
        <v>145.25</v>
      </c>
      <c r="AB5057">
        <v>145.25</v>
      </c>
      <c r="AC5057">
        <v>127.8</v>
      </c>
      <c r="AD5057">
        <v>0</v>
      </c>
      <c r="AE5057">
        <v>17.45</v>
      </c>
      <c r="AF5057">
        <v>0</v>
      </c>
      <c r="AG5057">
        <v>0</v>
      </c>
      <c r="AH5057">
        <v>0</v>
      </c>
      <c r="AI5057">
        <v>26.15</v>
      </c>
      <c r="AJ5057">
        <v>145.25</v>
      </c>
      <c r="AK5057">
        <v>0</v>
      </c>
      <c r="AL5057" t="s">
        <v>53</v>
      </c>
      <c r="AM5057" t="s">
        <v>53</v>
      </c>
      <c r="AN5057" t="s">
        <v>53</v>
      </c>
      <c r="AO5057" t="s">
        <v>53</v>
      </c>
      <c r="AP5057" t="s">
        <v>53</v>
      </c>
    </row>
    <row r="5058" spans="2:42" x14ac:dyDescent="0.2">
      <c r="B5058" t="s">
        <v>44</v>
      </c>
      <c r="C5058" t="str">
        <f>HYPERLINK("https://us2.cloudbeds.com/connect/8493803454333002#/reservations/9080486846165816?display=2EP4AZSVXJ&amp;reservation_id=9080486846165816", "2EP4AZSVXJ")</f>
        <v>2EP4AZSVXJ</v>
      </c>
      <c r="D5058" t="s">
        <v>45</v>
      </c>
      <c r="E5058" t="s">
        <v>179</v>
      </c>
      <c r="F5058" t="s">
        <v>47</v>
      </c>
      <c r="G5058" t="s">
        <v>48</v>
      </c>
      <c r="H5058" t="s">
        <v>49</v>
      </c>
      <c r="I5058" t="s">
        <v>62</v>
      </c>
      <c r="J5058" t="s">
        <v>7376</v>
      </c>
      <c r="K5058" t="s">
        <v>7559</v>
      </c>
      <c r="L5058" t="s">
        <v>53</v>
      </c>
      <c r="N5058" t="s">
        <v>8924</v>
      </c>
      <c r="P5058" t="s">
        <v>55</v>
      </c>
      <c r="R5058" t="s">
        <v>1445</v>
      </c>
      <c r="T5058" t="s">
        <v>8925</v>
      </c>
      <c r="U5058" t="s">
        <v>55</v>
      </c>
      <c r="V5058">
        <v>1</v>
      </c>
      <c r="W5058">
        <v>1</v>
      </c>
      <c r="X5058">
        <v>2</v>
      </c>
      <c r="Y5058">
        <v>0</v>
      </c>
      <c r="Z5058">
        <v>2</v>
      </c>
      <c r="AA5058">
        <v>127</v>
      </c>
      <c r="AB5058">
        <v>127</v>
      </c>
      <c r="AC5058">
        <v>127</v>
      </c>
      <c r="AD5058">
        <v>0</v>
      </c>
      <c r="AE5058">
        <v>0</v>
      </c>
      <c r="AF5058">
        <v>0</v>
      </c>
      <c r="AG5058">
        <v>0</v>
      </c>
      <c r="AH5058">
        <v>0</v>
      </c>
      <c r="AI5058">
        <v>22.86</v>
      </c>
      <c r="AJ5058">
        <v>127</v>
      </c>
      <c r="AK5058">
        <v>0</v>
      </c>
      <c r="AL5058" t="s">
        <v>53</v>
      </c>
      <c r="AM5058" t="s">
        <v>53</v>
      </c>
      <c r="AN5058" t="s">
        <v>53</v>
      </c>
      <c r="AO5058" t="s">
        <v>53</v>
      </c>
      <c r="AP5058" t="s">
        <v>53</v>
      </c>
    </row>
    <row r="5059" spans="2:42" x14ac:dyDescent="0.2">
      <c r="B5059" t="s">
        <v>44</v>
      </c>
      <c r="C5059" t="str">
        <f>HYPERLINK("https://us2.cloudbeds.com/connect/8493803454333002#/reservations/9080486846165996?display=2EP92PHYFX&amp;reservation_id=9080486846165996", "2EP92PHYFX")</f>
        <v>2EP92PHYFX</v>
      </c>
      <c r="D5059" t="s">
        <v>45</v>
      </c>
      <c r="E5059" t="s">
        <v>373</v>
      </c>
      <c r="F5059" t="s">
        <v>47</v>
      </c>
      <c r="G5059" t="s">
        <v>48</v>
      </c>
      <c r="H5059" t="s">
        <v>49</v>
      </c>
      <c r="I5059" t="s">
        <v>50</v>
      </c>
      <c r="J5059" t="s">
        <v>7376</v>
      </c>
      <c r="K5059" t="s">
        <v>7559</v>
      </c>
      <c r="L5059" t="s">
        <v>53</v>
      </c>
      <c r="N5059" t="s">
        <v>8926</v>
      </c>
      <c r="P5059" t="s">
        <v>55</v>
      </c>
      <c r="R5059" t="s">
        <v>53</v>
      </c>
      <c r="T5059" t="s">
        <v>8927</v>
      </c>
      <c r="U5059" t="s">
        <v>58</v>
      </c>
      <c r="V5059">
        <v>1</v>
      </c>
      <c r="W5059">
        <v>1</v>
      </c>
      <c r="X5059">
        <v>2</v>
      </c>
      <c r="Y5059">
        <v>0</v>
      </c>
      <c r="Z5059">
        <v>2</v>
      </c>
      <c r="AA5059">
        <v>129.9</v>
      </c>
      <c r="AB5059">
        <v>129.9</v>
      </c>
      <c r="AC5059">
        <v>114.3</v>
      </c>
      <c r="AD5059">
        <v>0</v>
      </c>
      <c r="AE5059">
        <v>15.6</v>
      </c>
      <c r="AF5059">
        <v>0</v>
      </c>
      <c r="AG5059">
        <v>0</v>
      </c>
      <c r="AH5059">
        <v>0</v>
      </c>
      <c r="AI5059">
        <v>23.38</v>
      </c>
      <c r="AJ5059">
        <v>129.9</v>
      </c>
      <c r="AK5059">
        <v>0</v>
      </c>
      <c r="AL5059" t="s">
        <v>53</v>
      </c>
      <c r="AM5059" t="s">
        <v>53</v>
      </c>
      <c r="AN5059" t="s">
        <v>53</v>
      </c>
      <c r="AO5059" t="s">
        <v>53</v>
      </c>
      <c r="AP5059" t="s">
        <v>53</v>
      </c>
    </row>
    <row r="5060" spans="2:42" x14ac:dyDescent="0.2">
      <c r="B5060" t="s">
        <v>44</v>
      </c>
      <c r="C5060" t="str">
        <f>HYPERLINK("https://us2.cloudbeds.com/connect/8493803454333002#/reservations/9080486846166073?display=2EPGM0N7FA&amp;reservation_id=9080486846166073", "2EPGM0N7FA")</f>
        <v>2EPGM0N7FA</v>
      </c>
      <c r="D5060" t="s">
        <v>45</v>
      </c>
      <c r="E5060" t="s">
        <v>92</v>
      </c>
      <c r="F5060" t="s">
        <v>86</v>
      </c>
      <c r="G5060" t="s">
        <v>48</v>
      </c>
      <c r="H5060" t="s">
        <v>49</v>
      </c>
      <c r="I5060" t="s">
        <v>50</v>
      </c>
      <c r="J5060" t="s">
        <v>7376</v>
      </c>
      <c r="K5060" t="s">
        <v>6662</v>
      </c>
      <c r="L5060" t="s">
        <v>53</v>
      </c>
      <c r="N5060" t="s">
        <v>8928</v>
      </c>
      <c r="P5060" t="s">
        <v>55</v>
      </c>
      <c r="R5060" t="s">
        <v>53</v>
      </c>
      <c r="T5060" t="s">
        <v>8929</v>
      </c>
      <c r="U5060" t="s">
        <v>58</v>
      </c>
      <c r="V5060">
        <v>2</v>
      </c>
      <c r="W5060">
        <v>1</v>
      </c>
      <c r="X5060">
        <v>2</v>
      </c>
      <c r="Y5060">
        <v>0</v>
      </c>
      <c r="Z5060">
        <v>2</v>
      </c>
      <c r="AA5060">
        <v>307.89</v>
      </c>
      <c r="AB5060">
        <v>307.89</v>
      </c>
      <c r="AC5060">
        <v>270.89999999999998</v>
      </c>
      <c r="AD5060">
        <v>0</v>
      </c>
      <c r="AE5060">
        <v>36.99</v>
      </c>
      <c r="AF5060">
        <v>0</v>
      </c>
      <c r="AG5060">
        <v>0</v>
      </c>
      <c r="AH5060">
        <v>0</v>
      </c>
      <c r="AI5060">
        <v>55.42</v>
      </c>
      <c r="AJ5060">
        <v>307.89</v>
      </c>
      <c r="AK5060">
        <v>0</v>
      </c>
      <c r="AL5060" t="s">
        <v>53</v>
      </c>
      <c r="AM5060" t="s">
        <v>53</v>
      </c>
      <c r="AN5060" t="s">
        <v>53</v>
      </c>
      <c r="AO5060" t="s">
        <v>53</v>
      </c>
      <c r="AP5060" t="s">
        <v>53</v>
      </c>
    </row>
    <row r="5061" spans="2:42" x14ac:dyDescent="0.2">
      <c r="B5061" t="s">
        <v>44</v>
      </c>
      <c r="C5061" t="str">
        <f>HYPERLINK("https://us2.cloudbeds.com/connect/8493803454333002#/reservations/9080486846166381?display=2EPW58XQDD&amp;reservation_id=9080486846166381", "2EPW58XQDD")</f>
        <v>2EPW58XQDD</v>
      </c>
      <c r="D5061" t="s">
        <v>45</v>
      </c>
      <c r="E5061" t="s">
        <v>85</v>
      </c>
      <c r="F5061" t="s">
        <v>86</v>
      </c>
      <c r="G5061" t="s">
        <v>48</v>
      </c>
      <c r="H5061" t="s">
        <v>49</v>
      </c>
      <c r="I5061" t="s">
        <v>62</v>
      </c>
      <c r="J5061" t="s">
        <v>7559</v>
      </c>
      <c r="K5061" t="s">
        <v>6662</v>
      </c>
      <c r="L5061" t="s">
        <v>53</v>
      </c>
      <c r="N5061" t="s">
        <v>8930</v>
      </c>
      <c r="P5061" t="s">
        <v>55</v>
      </c>
      <c r="R5061" t="s">
        <v>56</v>
      </c>
      <c r="T5061" t="s">
        <v>8931</v>
      </c>
      <c r="U5061" t="s">
        <v>55</v>
      </c>
      <c r="V5061">
        <v>1</v>
      </c>
      <c r="W5061">
        <v>1</v>
      </c>
      <c r="X5061">
        <v>2</v>
      </c>
      <c r="Y5061">
        <v>0</v>
      </c>
      <c r="Z5061">
        <v>2</v>
      </c>
      <c r="AA5061">
        <v>151</v>
      </c>
      <c r="AB5061">
        <v>151</v>
      </c>
      <c r="AC5061">
        <v>151</v>
      </c>
      <c r="AD5061">
        <v>0</v>
      </c>
      <c r="AE5061">
        <v>0</v>
      </c>
      <c r="AF5061">
        <v>0</v>
      </c>
      <c r="AG5061">
        <v>0</v>
      </c>
      <c r="AH5061">
        <v>0</v>
      </c>
      <c r="AI5061">
        <v>27.18</v>
      </c>
      <c r="AJ5061">
        <v>151</v>
      </c>
      <c r="AK5061">
        <v>0</v>
      </c>
      <c r="AL5061" t="s">
        <v>53</v>
      </c>
      <c r="AM5061" t="s">
        <v>53</v>
      </c>
      <c r="AN5061" t="s">
        <v>8932</v>
      </c>
      <c r="AO5061" t="s">
        <v>53</v>
      </c>
      <c r="AP5061" t="s">
        <v>53</v>
      </c>
    </row>
    <row r="5062" spans="2:42" x14ac:dyDescent="0.2">
      <c r="B5062" t="s">
        <v>44</v>
      </c>
      <c r="C5062" t="str">
        <f>HYPERLINK("https://us2.cloudbeds.com/connect/8493803454333002#/reservations/9080486846167144?display=2ER428KTCS&amp;reservation_id=9080486846167144", "2ER428KTCS")</f>
        <v>2ER428KTCS</v>
      </c>
      <c r="D5062" t="s">
        <v>45</v>
      </c>
      <c r="E5062" t="s">
        <v>179</v>
      </c>
      <c r="F5062" t="s">
        <v>47</v>
      </c>
      <c r="G5062" t="s">
        <v>48</v>
      </c>
      <c r="H5062" t="s">
        <v>49</v>
      </c>
      <c r="I5062" t="s">
        <v>50</v>
      </c>
      <c r="J5062" t="s">
        <v>7595</v>
      </c>
      <c r="K5062" t="s">
        <v>6943</v>
      </c>
      <c r="L5062" t="s">
        <v>53</v>
      </c>
      <c r="N5062" t="s">
        <v>8933</v>
      </c>
      <c r="P5062" t="s">
        <v>55</v>
      </c>
      <c r="R5062" t="s">
        <v>53</v>
      </c>
      <c r="T5062" t="s">
        <v>8934</v>
      </c>
      <c r="U5062" t="s">
        <v>58</v>
      </c>
      <c r="V5062">
        <v>1</v>
      </c>
      <c r="W5062">
        <v>1</v>
      </c>
      <c r="X5062">
        <v>1</v>
      </c>
      <c r="Y5062">
        <v>0</v>
      </c>
      <c r="Z5062">
        <v>1</v>
      </c>
      <c r="AA5062">
        <v>161.84</v>
      </c>
      <c r="AB5062">
        <v>161.84</v>
      </c>
      <c r="AC5062">
        <v>142.4</v>
      </c>
      <c r="AD5062">
        <v>0</v>
      </c>
      <c r="AE5062">
        <v>19.440000000000001</v>
      </c>
      <c r="AF5062">
        <v>0</v>
      </c>
      <c r="AG5062">
        <v>0</v>
      </c>
      <c r="AH5062">
        <v>0</v>
      </c>
      <c r="AI5062">
        <v>29.13</v>
      </c>
      <c r="AJ5062">
        <v>161.84</v>
      </c>
      <c r="AK5062">
        <v>0</v>
      </c>
      <c r="AL5062" t="s">
        <v>53</v>
      </c>
      <c r="AM5062" t="s">
        <v>53</v>
      </c>
      <c r="AN5062" t="s">
        <v>53</v>
      </c>
      <c r="AO5062" t="s">
        <v>53</v>
      </c>
      <c r="AP5062" t="s">
        <v>53</v>
      </c>
    </row>
    <row r="5063" spans="2:42" x14ac:dyDescent="0.2">
      <c r="B5063" t="s">
        <v>44</v>
      </c>
      <c r="C5063" t="str">
        <f>HYPERLINK("https://us2.cloudbeds.com/connect/8493803454333002#/reservations/113677645750412?display=2ERB1B02BS&amp;reservation_id=113677645750412", "2ERB1B02BS")</f>
        <v>2ERB1B02BS</v>
      </c>
      <c r="D5063" t="s">
        <v>45</v>
      </c>
      <c r="E5063" t="s">
        <v>121</v>
      </c>
      <c r="F5063" t="s">
        <v>86</v>
      </c>
      <c r="G5063" t="s">
        <v>48</v>
      </c>
      <c r="H5063" t="s">
        <v>3957</v>
      </c>
      <c r="I5063" t="s">
        <v>3989</v>
      </c>
      <c r="J5063" t="s">
        <v>6662</v>
      </c>
      <c r="K5063" t="s">
        <v>6943</v>
      </c>
      <c r="L5063" t="s">
        <v>53</v>
      </c>
      <c r="P5063" t="s">
        <v>55</v>
      </c>
      <c r="R5063" t="s">
        <v>56</v>
      </c>
      <c r="T5063" t="s">
        <v>8935</v>
      </c>
      <c r="U5063" t="s">
        <v>58</v>
      </c>
      <c r="V5063">
        <v>2</v>
      </c>
      <c r="W5063">
        <v>1</v>
      </c>
      <c r="X5063">
        <v>2</v>
      </c>
      <c r="Y5063">
        <v>0</v>
      </c>
      <c r="Z5063">
        <v>2</v>
      </c>
      <c r="AA5063">
        <v>450.05</v>
      </c>
      <c r="AB5063">
        <v>450.05</v>
      </c>
      <c r="AC5063">
        <v>396</v>
      </c>
      <c r="AD5063">
        <v>0</v>
      </c>
      <c r="AE5063">
        <v>54.05</v>
      </c>
      <c r="AF5063">
        <v>0</v>
      </c>
      <c r="AG5063">
        <v>0</v>
      </c>
      <c r="AH5063">
        <v>0</v>
      </c>
      <c r="AI5063">
        <v>0</v>
      </c>
      <c r="AJ5063">
        <v>450.05</v>
      </c>
      <c r="AK5063">
        <v>0</v>
      </c>
      <c r="AL5063" t="s">
        <v>53</v>
      </c>
      <c r="AM5063" t="s">
        <v>53</v>
      </c>
      <c r="AN5063" t="s">
        <v>53</v>
      </c>
      <c r="AO5063" t="s">
        <v>53</v>
      </c>
      <c r="AP5063" t="s">
        <v>53</v>
      </c>
    </row>
    <row r="5064" spans="2:42" x14ac:dyDescent="0.2">
      <c r="B5064" t="s">
        <v>44</v>
      </c>
      <c r="C5064" t="str">
        <f>HYPERLINK("https://us2.cloudbeds.com/connect/8493803454333002#/reservations/9080486846167300?display=2ERCUEVZV5&amp;reservation_id=9080486846167300", "2ERCUEVZV5")</f>
        <v>2ERCUEVZV5</v>
      </c>
      <c r="D5064" t="s">
        <v>45</v>
      </c>
      <c r="E5064" t="s">
        <v>128</v>
      </c>
      <c r="F5064" t="s">
        <v>86</v>
      </c>
      <c r="G5064" t="s">
        <v>48</v>
      </c>
      <c r="H5064" t="s">
        <v>49</v>
      </c>
      <c r="I5064" t="s">
        <v>50</v>
      </c>
      <c r="J5064" t="s">
        <v>8300</v>
      </c>
      <c r="K5064" t="s">
        <v>7864</v>
      </c>
      <c r="L5064" t="s">
        <v>53</v>
      </c>
      <c r="N5064" t="s">
        <v>8936</v>
      </c>
      <c r="P5064" t="s">
        <v>55</v>
      </c>
      <c r="R5064" t="s">
        <v>53</v>
      </c>
      <c r="T5064" t="s">
        <v>8937</v>
      </c>
      <c r="U5064" t="s">
        <v>58</v>
      </c>
      <c r="V5064">
        <v>2</v>
      </c>
      <c r="W5064">
        <v>1</v>
      </c>
      <c r="X5064">
        <v>2</v>
      </c>
      <c r="Y5064">
        <v>0</v>
      </c>
      <c r="Z5064">
        <v>2</v>
      </c>
      <c r="AA5064">
        <v>338.57</v>
      </c>
      <c r="AB5064">
        <v>338.57</v>
      </c>
      <c r="AC5064">
        <v>297.89999999999998</v>
      </c>
      <c r="AD5064">
        <v>0</v>
      </c>
      <c r="AE5064">
        <v>40.67</v>
      </c>
      <c r="AF5064">
        <v>0</v>
      </c>
      <c r="AG5064">
        <v>0</v>
      </c>
      <c r="AH5064">
        <v>0</v>
      </c>
      <c r="AI5064">
        <v>60.94</v>
      </c>
      <c r="AJ5064">
        <v>338.57</v>
      </c>
      <c r="AK5064">
        <v>0</v>
      </c>
      <c r="AL5064" t="s">
        <v>53</v>
      </c>
      <c r="AM5064" t="s">
        <v>53</v>
      </c>
      <c r="AN5064" t="s">
        <v>53</v>
      </c>
      <c r="AO5064" t="s">
        <v>53</v>
      </c>
      <c r="AP5064" t="s">
        <v>53</v>
      </c>
    </row>
    <row r="5065" spans="2:42" x14ac:dyDescent="0.2">
      <c r="B5065" t="s">
        <v>44</v>
      </c>
      <c r="C5065" t="str">
        <f>HYPERLINK("https://us2.cloudbeds.com/connect/8493803454333002#/reservations/9080486846167320?display=2ER50KHBC2&amp;reservation_id=9080486846167320", "2ER50KHBC2")</f>
        <v>2ER50KHBC2</v>
      </c>
      <c r="D5065" t="s">
        <v>45</v>
      </c>
      <c r="E5065" t="s">
        <v>155</v>
      </c>
      <c r="F5065" t="s">
        <v>86</v>
      </c>
      <c r="G5065" t="s">
        <v>48</v>
      </c>
      <c r="H5065" t="s">
        <v>49</v>
      </c>
      <c r="I5065" t="s">
        <v>62</v>
      </c>
      <c r="J5065" t="s">
        <v>7559</v>
      </c>
      <c r="K5065" t="s">
        <v>6662</v>
      </c>
      <c r="L5065" t="s">
        <v>53</v>
      </c>
      <c r="N5065" t="s">
        <v>8938</v>
      </c>
      <c r="P5065" t="s">
        <v>55</v>
      </c>
      <c r="R5065" t="s">
        <v>56</v>
      </c>
      <c r="T5065" t="s">
        <v>8939</v>
      </c>
      <c r="U5065" t="s">
        <v>55</v>
      </c>
      <c r="V5065">
        <v>1</v>
      </c>
      <c r="W5065">
        <v>1</v>
      </c>
      <c r="X5065">
        <v>4</v>
      </c>
      <c r="Y5065">
        <v>0</v>
      </c>
      <c r="Z5065">
        <v>4</v>
      </c>
      <c r="AA5065">
        <v>151</v>
      </c>
      <c r="AB5065">
        <v>151</v>
      </c>
      <c r="AC5065">
        <v>151</v>
      </c>
      <c r="AD5065">
        <v>0</v>
      </c>
      <c r="AE5065">
        <v>0</v>
      </c>
      <c r="AF5065">
        <v>0</v>
      </c>
      <c r="AG5065">
        <v>0</v>
      </c>
      <c r="AH5065">
        <v>0</v>
      </c>
      <c r="AI5065">
        <v>27.18</v>
      </c>
      <c r="AJ5065">
        <v>151</v>
      </c>
      <c r="AK5065">
        <v>0</v>
      </c>
      <c r="AL5065" t="s">
        <v>53</v>
      </c>
      <c r="AM5065" t="s">
        <v>53</v>
      </c>
      <c r="AN5065" t="s">
        <v>53</v>
      </c>
      <c r="AO5065" t="s">
        <v>53</v>
      </c>
      <c r="AP5065" t="s">
        <v>53</v>
      </c>
    </row>
    <row r="5066" spans="2:42" x14ac:dyDescent="0.2">
      <c r="B5066" t="s">
        <v>44</v>
      </c>
      <c r="C5066" t="str">
        <f>HYPERLINK("https://us2.cloudbeds.com/connect/8493803454333002#/reservations/9080486846167354?display=2ERFM22CK6&amp;reservation_id=9080486846167354", "2ERFM22CK6")</f>
        <v>2ERFM22CK6</v>
      </c>
      <c r="D5066" t="s">
        <v>45</v>
      </c>
      <c r="E5066" t="s">
        <v>110</v>
      </c>
      <c r="F5066" t="s">
        <v>47</v>
      </c>
      <c r="G5066" t="s">
        <v>48</v>
      </c>
      <c r="H5066" t="s">
        <v>49</v>
      </c>
      <c r="I5066" t="s">
        <v>62</v>
      </c>
      <c r="J5066" t="s">
        <v>7352</v>
      </c>
      <c r="K5066" t="s">
        <v>7510</v>
      </c>
      <c r="L5066" t="s">
        <v>53</v>
      </c>
      <c r="N5066" t="s">
        <v>8940</v>
      </c>
      <c r="P5066" t="s">
        <v>55</v>
      </c>
      <c r="R5066" t="s">
        <v>56</v>
      </c>
      <c r="T5066" t="s">
        <v>8941</v>
      </c>
      <c r="U5066" t="s">
        <v>55</v>
      </c>
      <c r="V5066">
        <v>1</v>
      </c>
      <c r="W5066">
        <v>1</v>
      </c>
      <c r="X5066">
        <v>2</v>
      </c>
      <c r="Y5066">
        <v>0</v>
      </c>
      <c r="Z5066">
        <v>2</v>
      </c>
      <c r="AA5066">
        <v>179.55</v>
      </c>
      <c r="AB5066">
        <v>179.55</v>
      </c>
      <c r="AC5066">
        <v>179.55</v>
      </c>
      <c r="AD5066">
        <v>0</v>
      </c>
      <c r="AE5066">
        <v>0</v>
      </c>
      <c r="AF5066">
        <v>0</v>
      </c>
      <c r="AG5066">
        <v>0</v>
      </c>
      <c r="AH5066">
        <v>0</v>
      </c>
      <c r="AI5066">
        <v>32.32</v>
      </c>
      <c r="AJ5066">
        <v>179.55</v>
      </c>
      <c r="AK5066">
        <v>0</v>
      </c>
      <c r="AL5066" t="s">
        <v>53</v>
      </c>
      <c r="AM5066" t="s">
        <v>53</v>
      </c>
      <c r="AN5066" t="s">
        <v>53</v>
      </c>
      <c r="AO5066" t="s">
        <v>53</v>
      </c>
      <c r="AP5066" t="s">
        <v>53</v>
      </c>
    </row>
    <row r="5067" spans="2:42" x14ac:dyDescent="0.2">
      <c r="B5067" t="s">
        <v>44</v>
      </c>
      <c r="C5067" t="str">
        <f>HYPERLINK("https://us2.cloudbeds.com/connect/8493803454333002#/reservations/9080486846168582?display=2ETSN5MYZT&amp;reservation_id=9080486846168582", "2ETSN5MYZT")</f>
        <v>2ETSN5MYZT</v>
      </c>
      <c r="D5067" t="s">
        <v>45</v>
      </c>
      <c r="E5067" t="s">
        <v>165</v>
      </c>
      <c r="F5067" t="s">
        <v>61</v>
      </c>
      <c r="G5067" t="s">
        <v>48</v>
      </c>
      <c r="H5067" t="s">
        <v>49</v>
      </c>
      <c r="I5067" t="s">
        <v>50</v>
      </c>
      <c r="J5067" t="s">
        <v>7152</v>
      </c>
      <c r="K5067" t="s">
        <v>7962</v>
      </c>
      <c r="L5067" t="s">
        <v>53</v>
      </c>
      <c r="N5067" t="s">
        <v>8942</v>
      </c>
      <c r="P5067" t="s">
        <v>55</v>
      </c>
      <c r="R5067" t="s">
        <v>53</v>
      </c>
      <c r="T5067" t="s">
        <v>8943</v>
      </c>
      <c r="U5067" t="s">
        <v>58</v>
      </c>
      <c r="V5067">
        <v>1</v>
      </c>
      <c r="W5067">
        <v>1</v>
      </c>
      <c r="X5067">
        <v>2</v>
      </c>
      <c r="Y5067">
        <v>0</v>
      </c>
      <c r="Z5067">
        <v>2</v>
      </c>
      <c r="AA5067">
        <v>145.25</v>
      </c>
      <c r="AB5067">
        <v>145.25</v>
      </c>
      <c r="AC5067">
        <v>127.8</v>
      </c>
      <c r="AD5067">
        <v>0</v>
      </c>
      <c r="AE5067">
        <v>17.45</v>
      </c>
      <c r="AF5067">
        <v>0</v>
      </c>
      <c r="AG5067">
        <v>0</v>
      </c>
      <c r="AH5067">
        <v>0</v>
      </c>
      <c r="AI5067">
        <v>26.15</v>
      </c>
      <c r="AJ5067">
        <v>145.25</v>
      </c>
      <c r="AK5067">
        <v>0</v>
      </c>
      <c r="AL5067" t="s">
        <v>53</v>
      </c>
      <c r="AM5067" t="s">
        <v>53</v>
      </c>
      <c r="AN5067" t="s">
        <v>53</v>
      </c>
      <c r="AO5067" t="s">
        <v>53</v>
      </c>
      <c r="AP5067" t="s">
        <v>53</v>
      </c>
    </row>
    <row r="5068" spans="2:42" x14ac:dyDescent="0.2">
      <c r="B5068" t="s">
        <v>44</v>
      </c>
      <c r="C5068" t="str">
        <f>HYPERLINK("https://us2.cloudbeds.com/connect/8493803454333002#/reservations/113800898023620?display=2EU7FNJ8JQ&amp;reservation_id=113800898023620", "2EU7FNJ8JQ")</f>
        <v>2EU7FNJ8JQ</v>
      </c>
      <c r="D5068" t="s">
        <v>45</v>
      </c>
      <c r="E5068" t="s">
        <v>110</v>
      </c>
      <c r="F5068" t="s">
        <v>47</v>
      </c>
      <c r="G5068" t="s">
        <v>48</v>
      </c>
      <c r="H5068" t="s">
        <v>3957</v>
      </c>
      <c r="I5068" t="s">
        <v>3975</v>
      </c>
      <c r="J5068" t="s">
        <v>7414</v>
      </c>
      <c r="K5068" t="s">
        <v>7872</v>
      </c>
      <c r="L5068" t="s">
        <v>53</v>
      </c>
      <c r="P5068" t="s">
        <v>55</v>
      </c>
      <c r="R5068" t="s">
        <v>53</v>
      </c>
      <c r="T5068" t="s">
        <v>8944</v>
      </c>
      <c r="U5068" t="s">
        <v>58</v>
      </c>
      <c r="V5068">
        <v>1</v>
      </c>
      <c r="W5068">
        <v>1</v>
      </c>
      <c r="X5068">
        <v>2</v>
      </c>
      <c r="Y5068">
        <v>0</v>
      </c>
      <c r="Z5068">
        <v>2</v>
      </c>
      <c r="AA5068">
        <v>192.07</v>
      </c>
      <c r="AB5068">
        <v>192.07</v>
      </c>
      <c r="AC5068">
        <v>169</v>
      </c>
      <c r="AD5068">
        <v>0</v>
      </c>
      <c r="AE5068">
        <v>23.07</v>
      </c>
      <c r="AF5068">
        <v>0</v>
      </c>
      <c r="AG5068">
        <v>0</v>
      </c>
      <c r="AH5068">
        <v>0</v>
      </c>
      <c r="AI5068">
        <v>0</v>
      </c>
      <c r="AJ5068">
        <v>192.07</v>
      </c>
      <c r="AK5068">
        <v>0</v>
      </c>
      <c r="AL5068" t="s">
        <v>53</v>
      </c>
      <c r="AM5068" t="s">
        <v>53</v>
      </c>
      <c r="AN5068" t="s">
        <v>53</v>
      </c>
      <c r="AO5068" t="s">
        <v>53</v>
      </c>
      <c r="AP5068" t="s">
        <v>53</v>
      </c>
    </row>
    <row r="5069" spans="2:42" x14ac:dyDescent="0.2">
      <c r="B5069" t="s">
        <v>44</v>
      </c>
      <c r="C5069" t="str">
        <f>HYPERLINK("https://us2.cloudbeds.com/connect/8493803454333002#/reservations/9080486846169015?display=2EUXF2VNWU&amp;reservation_id=9080486846169015", "2EUXF2VNWU")</f>
        <v>2EUXF2VNWU</v>
      </c>
      <c r="D5069" t="s">
        <v>45</v>
      </c>
      <c r="E5069" t="s">
        <v>138</v>
      </c>
      <c r="F5069" t="s">
        <v>70</v>
      </c>
      <c r="G5069" t="s">
        <v>48</v>
      </c>
      <c r="H5069" t="s">
        <v>49</v>
      </c>
      <c r="I5069" t="s">
        <v>50</v>
      </c>
      <c r="J5069" t="s">
        <v>8790</v>
      </c>
      <c r="K5069" t="s">
        <v>8261</v>
      </c>
      <c r="L5069" t="s">
        <v>53</v>
      </c>
      <c r="N5069" t="s">
        <v>8945</v>
      </c>
      <c r="P5069" t="s">
        <v>55</v>
      </c>
      <c r="R5069" t="s">
        <v>53</v>
      </c>
      <c r="T5069" t="s">
        <v>8946</v>
      </c>
      <c r="U5069" t="s">
        <v>58</v>
      </c>
      <c r="V5069">
        <v>1</v>
      </c>
      <c r="W5069">
        <v>1</v>
      </c>
      <c r="X5069">
        <v>2</v>
      </c>
      <c r="Y5069">
        <v>0</v>
      </c>
      <c r="Z5069">
        <v>2</v>
      </c>
      <c r="AA5069">
        <v>130.41999999999999</v>
      </c>
      <c r="AB5069">
        <v>130.41999999999999</v>
      </c>
      <c r="AC5069">
        <v>114.75</v>
      </c>
      <c r="AD5069">
        <v>0</v>
      </c>
      <c r="AE5069">
        <v>15.67</v>
      </c>
      <c r="AF5069">
        <v>0</v>
      </c>
      <c r="AG5069">
        <v>0</v>
      </c>
      <c r="AH5069">
        <v>0</v>
      </c>
      <c r="AI5069">
        <v>23.48</v>
      </c>
      <c r="AJ5069">
        <v>130.41999999999999</v>
      </c>
      <c r="AK5069">
        <v>0</v>
      </c>
      <c r="AL5069" t="s">
        <v>53</v>
      </c>
      <c r="AM5069" t="s">
        <v>53</v>
      </c>
      <c r="AN5069" t="s">
        <v>53</v>
      </c>
      <c r="AO5069" t="s">
        <v>53</v>
      </c>
      <c r="AP5069" t="s">
        <v>53</v>
      </c>
    </row>
    <row r="5070" spans="2:42" x14ac:dyDescent="0.2">
      <c r="B5070" t="s">
        <v>44</v>
      </c>
      <c r="C5070" t="str">
        <f>HYPERLINK("https://us2.cloudbeds.com/connect/8493803454333002#/reservations/9080486846169249?display=2EUSBZEBFQ&amp;reservation_id=9080486846169249", "2EUSBZEBFQ")</f>
        <v>2EUSBZEBFQ</v>
      </c>
      <c r="D5070" t="s">
        <v>45</v>
      </c>
      <c r="E5070" t="s">
        <v>213</v>
      </c>
      <c r="F5070" t="s">
        <v>86</v>
      </c>
      <c r="G5070" t="s">
        <v>48</v>
      </c>
      <c r="H5070" t="s">
        <v>49</v>
      </c>
      <c r="I5070" t="s">
        <v>50</v>
      </c>
      <c r="J5070" t="s">
        <v>8713</v>
      </c>
      <c r="K5070" t="s">
        <v>7925</v>
      </c>
      <c r="L5070" t="s">
        <v>53</v>
      </c>
      <c r="N5070" t="s">
        <v>8947</v>
      </c>
      <c r="P5070" t="s">
        <v>55</v>
      </c>
      <c r="R5070" t="s">
        <v>53</v>
      </c>
      <c r="T5070" t="s">
        <v>8948</v>
      </c>
      <c r="U5070" t="s">
        <v>58</v>
      </c>
      <c r="V5070">
        <v>1</v>
      </c>
      <c r="W5070">
        <v>1</v>
      </c>
      <c r="X5070">
        <v>2</v>
      </c>
      <c r="Y5070">
        <v>0</v>
      </c>
      <c r="Z5070">
        <v>2</v>
      </c>
      <c r="AA5070">
        <v>167.29</v>
      </c>
      <c r="AB5070">
        <v>167.29</v>
      </c>
      <c r="AC5070">
        <v>147.19999999999999</v>
      </c>
      <c r="AD5070">
        <v>0</v>
      </c>
      <c r="AE5070">
        <v>20.09</v>
      </c>
      <c r="AF5070">
        <v>0</v>
      </c>
      <c r="AG5070">
        <v>0</v>
      </c>
      <c r="AH5070">
        <v>0</v>
      </c>
      <c r="AI5070">
        <v>30.11</v>
      </c>
      <c r="AJ5070">
        <v>167.29</v>
      </c>
      <c r="AK5070">
        <v>0</v>
      </c>
      <c r="AL5070" t="s">
        <v>53</v>
      </c>
      <c r="AM5070" t="s">
        <v>53</v>
      </c>
      <c r="AN5070" t="s">
        <v>53</v>
      </c>
      <c r="AO5070" t="s">
        <v>53</v>
      </c>
      <c r="AP5070" t="s">
        <v>53</v>
      </c>
    </row>
    <row r="5071" spans="2:42" x14ac:dyDescent="0.2">
      <c r="B5071" t="s">
        <v>44</v>
      </c>
      <c r="C5071" t="str">
        <f>HYPERLINK("https://us2.cloudbeds.com/connect/8493803454333002#/reservations/9080486846170368?display=2EW1GT3UHG&amp;reservation_id=9080486846170368", "2EW1GT3UHG")</f>
        <v>2EW1GT3UHG</v>
      </c>
      <c r="D5071" t="s">
        <v>45</v>
      </c>
      <c r="E5071" t="s">
        <v>165</v>
      </c>
      <c r="F5071" t="s">
        <v>61</v>
      </c>
      <c r="G5071" t="s">
        <v>48</v>
      </c>
      <c r="H5071" t="s">
        <v>49</v>
      </c>
      <c r="I5071" t="s">
        <v>50</v>
      </c>
      <c r="J5071" t="s">
        <v>6374</v>
      </c>
      <c r="K5071" t="s">
        <v>7830</v>
      </c>
      <c r="L5071" t="s">
        <v>53</v>
      </c>
      <c r="N5071" t="s">
        <v>8949</v>
      </c>
      <c r="P5071" t="s">
        <v>55</v>
      </c>
      <c r="R5071" t="s">
        <v>53</v>
      </c>
      <c r="T5071" t="s">
        <v>8950</v>
      </c>
      <c r="U5071" t="s">
        <v>58</v>
      </c>
      <c r="V5071">
        <v>2</v>
      </c>
      <c r="W5071">
        <v>1</v>
      </c>
      <c r="X5071">
        <v>2</v>
      </c>
      <c r="Y5071">
        <v>0</v>
      </c>
      <c r="Z5071">
        <v>2</v>
      </c>
      <c r="AA5071">
        <v>285.43</v>
      </c>
      <c r="AB5071">
        <v>285.43</v>
      </c>
      <c r="AC5071">
        <v>251.13</v>
      </c>
      <c r="AD5071">
        <v>0</v>
      </c>
      <c r="AE5071">
        <v>34.299999999999997</v>
      </c>
      <c r="AF5071">
        <v>0</v>
      </c>
      <c r="AG5071">
        <v>0</v>
      </c>
      <c r="AH5071">
        <v>0</v>
      </c>
      <c r="AI5071">
        <v>51.38</v>
      </c>
      <c r="AJ5071">
        <v>285.43</v>
      </c>
      <c r="AK5071">
        <v>0</v>
      </c>
      <c r="AL5071" t="s">
        <v>53</v>
      </c>
      <c r="AM5071" t="s">
        <v>53</v>
      </c>
      <c r="AN5071" t="s">
        <v>53</v>
      </c>
      <c r="AO5071" t="s">
        <v>53</v>
      </c>
      <c r="AP5071" t="s">
        <v>53</v>
      </c>
    </row>
    <row r="5072" spans="2:42" x14ac:dyDescent="0.2">
      <c r="B5072" t="s">
        <v>44</v>
      </c>
      <c r="C5072" t="str">
        <f>HYPERLINK("https://us2.cloudbeds.com/connect/8493803454333002#/reservations/9080486846170385?display=2EW1W7U10X&amp;reservation_id=9080486846170385", "2EW1W7U10X")</f>
        <v>2EW1W7U10X</v>
      </c>
      <c r="D5072" t="s">
        <v>45</v>
      </c>
      <c r="E5072" t="s">
        <v>78</v>
      </c>
      <c r="F5072" t="s">
        <v>61</v>
      </c>
      <c r="G5072" t="s">
        <v>48</v>
      </c>
      <c r="H5072" t="s">
        <v>49</v>
      </c>
      <c r="I5072" t="s">
        <v>50</v>
      </c>
      <c r="J5072" t="s">
        <v>5594</v>
      </c>
      <c r="K5072" t="s">
        <v>7352</v>
      </c>
      <c r="L5072" t="s">
        <v>53</v>
      </c>
      <c r="N5072" t="s">
        <v>8951</v>
      </c>
      <c r="P5072" t="s">
        <v>55</v>
      </c>
      <c r="R5072" t="s">
        <v>53</v>
      </c>
      <c r="T5072" t="s">
        <v>8952</v>
      </c>
      <c r="U5072" t="s">
        <v>58</v>
      </c>
      <c r="V5072">
        <v>2</v>
      </c>
      <c r="W5072">
        <v>1</v>
      </c>
      <c r="X5072">
        <v>2</v>
      </c>
      <c r="Y5072">
        <v>0</v>
      </c>
      <c r="Z5072">
        <v>2</v>
      </c>
      <c r="AA5072">
        <v>329.41</v>
      </c>
      <c r="AB5072">
        <v>329.41</v>
      </c>
      <c r="AC5072">
        <v>289.83999999999997</v>
      </c>
      <c r="AD5072">
        <v>0</v>
      </c>
      <c r="AE5072">
        <v>39.57</v>
      </c>
      <c r="AF5072">
        <v>0</v>
      </c>
      <c r="AG5072">
        <v>0</v>
      </c>
      <c r="AH5072">
        <v>0</v>
      </c>
      <c r="AI5072">
        <v>59.29</v>
      </c>
      <c r="AJ5072">
        <v>329.41</v>
      </c>
      <c r="AK5072">
        <v>0</v>
      </c>
      <c r="AL5072" t="s">
        <v>53</v>
      </c>
      <c r="AM5072" t="s">
        <v>53</v>
      </c>
      <c r="AN5072" t="s">
        <v>53</v>
      </c>
      <c r="AO5072" t="s">
        <v>53</v>
      </c>
      <c r="AP5072" t="s">
        <v>53</v>
      </c>
    </row>
    <row r="5073" spans="2:42" x14ac:dyDescent="0.2">
      <c r="B5073" t="s">
        <v>44</v>
      </c>
      <c r="C5073" t="str">
        <f>HYPERLINK("https://us2.cloudbeds.com/connect/8493803454333002#/reservations/9080486846170800?display=2EWF85DG5G&amp;reservation_id=9080486846170800", "2EWF85DG5G")</f>
        <v>2EWF85DG5G</v>
      </c>
      <c r="D5073" t="s">
        <v>45</v>
      </c>
      <c r="E5073" t="s">
        <v>98</v>
      </c>
      <c r="F5073" t="s">
        <v>86</v>
      </c>
      <c r="G5073" t="s">
        <v>48</v>
      </c>
      <c r="H5073" t="s">
        <v>49</v>
      </c>
      <c r="I5073" t="s">
        <v>62</v>
      </c>
      <c r="J5073" t="s">
        <v>8713</v>
      </c>
      <c r="K5073" t="s">
        <v>7925</v>
      </c>
      <c r="L5073" t="s">
        <v>53</v>
      </c>
      <c r="N5073" t="s">
        <v>8953</v>
      </c>
      <c r="P5073" t="s">
        <v>55</v>
      </c>
      <c r="R5073" t="s">
        <v>56</v>
      </c>
      <c r="T5073" t="s">
        <v>8954</v>
      </c>
      <c r="U5073" t="s">
        <v>55</v>
      </c>
      <c r="V5073">
        <v>1</v>
      </c>
      <c r="W5073">
        <v>1</v>
      </c>
      <c r="X5073">
        <v>3</v>
      </c>
      <c r="Y5073">
        <v>1</v>
      </c>
      <c r="Z5073">
        <v>4</v>
      </c>
      <c r="AA5073">
        <v>174.8</v>
      </c>
      <c r="AB5073">
        <v>174.8</v>
      </c>
      <c r="AC5073">
        <v>174.8</v>
      </c>
      <c r="AD5073">
        <v>0</v>
      </c>
      <c r="AE5073">
        <v>0</v>
      </c>
      <c r="AF5073">
        <v>0</v>
      </c>
      <c r="AG5073">
        <v>0</v>
      </c>
      <c r="AH5073">
        <v>0</v>
      </c>
      <c r="AI5073">
        <v>31.46</v>
      </c>
      <c r="AJ5073">
        <v>174.8</v>
      </c>
      <c r="AK5073">
        <v>0</v>
      </c>
      <c r="AL5073" t="s">
        <v>53</v>
      </c>
      <c r="AM5073" t="s">
        <v>53</v>
      </c>
      <c r="AN5073" t="s">
        <v>53</v>
      </c>
      <c r="AO5073" t="s">
        <v>53</v>
      </c>
      <c r="AP5073" t="s">
        <v>53</v>
      </c>
    </row>
    <row r="5074" spans="2:42" x14ac:dyDescent="0.2">
      <c r="B5074" t="s">
        <v>44</v>
      </c>
      <c r="C5074" t="str">
        <f>HYPERLINK("https://us2.cloudbeds.com/connect/8493803454333002#/reservations/113907492847752?display=2EWZ0F5CBK&amp;reservation_id=113907492847752", "2EWZ0F5CBK")</f>
        <v>2EWZ0F5CBK</v>
      </c>
      <c r="D5074" t="s">
        <v>45</v>
      </c>
      <c r="E5074" t="s">
        <v>138</v>
      </c>
      <c r="F5074" t="s">
        <v>70</v>
      </c>
      <c r="G5074" t="s">
        <v>48</v>
      </c>
      <c r="H5074" t="s">
        <v>3957</v>
      </c>
      <c r="I5074" t="s">
        <v>3975</v>
      </c>
      <c r="J5074" t="s">
        <v>7962</v>
      </c>
      <c r="K5074" t="s">
        <v>7821</v>
      </c>
      <c r="L5074" t="s">
        <v>53</v>
      </c>
      <c r="P5074" t="s">
        <v>55</v>
      </c>
      <c r="R5074" t="s">
        <v>53</v>
      </c>
      <c r="T5074" t="s">
        <v>8955</v>
      </c>
      <c r="U5074" t="s">
        <v>58</v>
      </c>
      <c r="V5074">
        <v>1</v>
      </c>
      <c r="W5074">
        <v>1</v>
      </c>
      <c r="X5074">
        <v>1</v>
      </c>
      <c r="Y5074">
        <v>0</v>
      </c>
      <c r="Z5074">
        <v>1</v>
      </c>
      <c r="AA5074">
        <v>136.38</v>
      </c>
      <c r="AB5074">
        <v>136.38</v>
      </c>
      <c r="AC5074">
        <v>120</v>
      </c>
      <c r="AD5074">
        <v>0</v>
      </c>
      <c r="AE5074">
        <v>16.38</v>
      </c>
      <c r="AF5074">
        <v>0</v>
      </c>
      <c r="AG5074">
        <v>0</v>
      </c>
      <c r="AH5074">
        <v>0</v>
      </c>
      <c r="AI5074">
        <v>0</v>
      </c>
      <c r="AJ5074">
        <v>136.38</v>
      </c>
      <c r="AK5074">
        <v>0</v>
      </c>
      <c r="AL5074" t="s">
        <v>53</v>
      </c>
      <c r="AM5074" t="s">
        <v>53</v>
      </c>
      <c r="AN5074" t="s">
        <v>53</v>
      </c>
      <c r="AO5074" t="s">
        <v>53</v>
      </c>
      <c r="AP5074" t="s">
        <v>53</v>
      </c>
    </row>
    <row r="5075" spans="2:42" x14ac:dyDescent="0.2">
      <c r="B5075" t="s">
        <v>44</v>
      </c>
      <c r="C5075" t="str">
        <f>HYPERLINK("https://us2.cloudbeds.com/connect/8493803454333002#/reservations/113935042109592?display=2F0CBDE6EW&amp;reservation_id=113935042109592", "2F0CBDE6EW")</f>
        <v>2F0CBDE6EW</v>
      </c>
      <c r="D5075" t="s">
        <v>45</v>
      </c>
      <c r="E5075" t="s">
        <v>305</v>
      </c>
      <c r="F5075" t="s">
        <v>61</v>
      </c>
      <c r="G5075" t="s">
        <v>48</v>
      </c>
      <c r="H5075" t="s">
        <v>3957</v>
      </c>
      <c r="I5075" t="s">
        <v>3975</v>
      </c>
      <c r="J5075" t="s">
        <v>6943</v>
      </c>
      <c r="K5075" t="s">
        <v>6944</v>
      </c>
      <c r="L5075" t="s">
        <v>53</v>
      </c>
      <c r="P5075" t="s">
        <v>55</v>
      </c>
      <c r="R5075" t="s">
        <v>53</v>
      </c>
      <c r="T5075" t="s">
        <v>8956</v>
      </c>
      <c r="U5075" t="s">
        <v>58</v>
      </c>
      <c r="V5075">
        <v>2</v>
      </c>
      <c r="W5075">
        <v>1</v>
      </c>
      <c r="X5075">
        <v>2</v>
      </c>
      <c r="Y5075">
        <v>0</v>
      </c>
      <c r="Z5075">
        <v>2</v>
      </c>
      <c r="AA5075">
        <v>501.2</v>
      </c>
      <c r="AB5075">
        <v>501.2</v>
      </c>
      <c r="AC5075">
        <v>441</v>
      </c>
      <c r="AD5075">
        <v>0</v>
      </c>
      <c r="AE5075">
        <v>60.2</v>
      </c>
      <c r="AF5075">
        <v>0</v>
      </c>
      <c r="AG5075">
        <v>0</v>
      </c>
      <c r="AH5075">
        <v>0</v>
      </c>
      <c r="AI5075">
        <v>0</v>
      </c>
      <c r="AJ5075">
        <v>501.2</v>
      </c>
      <c r="AK5075">
        <v>0</v>
      </c>
      <c r="AL5075" t="s">
        <v>53</v>
      </c>
      <c r="AM5075" t="s">
        <v>53</v>
      </c>
      <c r="AN5075" t="s">
        <v>53</v>
      </c>
      <c r="AO5075" t="s">
        <v>53</v>
      </c>
      <c r="AP5075" t="s">
        <v>53</v>
      </c>
    </row>
    <row r="5076" spans="2:42" x14ac:dyDescent="0.2">
      <c r="B5076" t="s">
        <v>44</v>
      </c>
      <c r="C5076" t="str">
        <f>HYPERLINK("https://us2.cloudbeds.com/connect/8493803454333002#/reservations/9080486846171656?display=2F0G3VA1CA&amp;reservation_id=9080486846171656", "2F0G3VA1CA")</f>
        <v>2F0G3VA1CA</v>
      </c>
      <c r="D5076" t="s">
        <v>45</v>
      </c>
      <c r="E5076" t="s">
        <v>78</v>
      </c>
      <c r="F5076" t="s">
        <v>61</v>
      </c>
      <c r="G5076" t="s">
        <v>48</v>
      </c>
      <c r="H5076" t="s">
        <v>49</v>
      </c>
      <c r="I5076" t="s">
        <v>50</v>
      </c>
      <c r="J5076" t="s">
        <v>7151</v>
      </c>
      <c r="K5076" t="s">
        <v>7152</v>
      </c>
      <c r="L5076" t="s">
        <v>53</v>
      </c>
      <c r="N5076" t="s">
        <v>8957</v>
      </c>
      <c r="P5076" t="s">
        <v>55</v>
      </c>
      <c r="R5076" t="s">
        <v>53</v>
      </c>
      <c r="T5076" t="s">
        <v>8958</v>
      </c>
      <c r="U5076" t="s">
        <v>58</v>
      </c>
      <c r="V5076">
        <v>3</v>
      </c>
      <c r="W5076">
        <v>1</v>
      </c>
      <c r="X5076">
        <v>2</v>
      </c>
      <c r="Y5076">
        <v>0</v>
      </c>
      <c r="Z5076">
        <v>2</v>
      </c>
      <c r="AA5076">
        <v>554.63</v>
      </c>
      <c r="AB5076">
        <v>990.38</v>
      </c>
      <c r="AC5076">
        <v>488</v>
      </c>
      <c r="AD5076">
        <v>0</v>
      </c>
      <c r="AE5076">
        <v>66.63</v>
      </c>
      <c r="AF5076">
        <v>0</v>
      </c>
      <c r="AG5076">
        <v>0</v>
      </c>
      <c r="AH5076">
        <v>0</v>
      </c>
      <c r="AI5076">
        <v>99.83</v>
      </c>
      <c r="AJ5076">
        <v>554.63</v>
      </c>
      <c r="AK5076">
        <v>0</v>
      </c>
      <c r="AL5076" t="s">
        <v>53</v>
      </c>
      <c r="AM5076" t="s">
        <v>53</v>
      </c>
      <c r="AN5076" t="s">
        <v>8959</v>
      </c>
      <c r="AO5076" t="s">
        <v>53</v>
      </c>
      <c r="AP5076" t="s">
        <v>53</v>
      </c>
    </row>
    <row r="5077" spans="2:42" x14ac:dyDescent="0.2">
      <c r="B5077" t="s">
        <v>44</v>
      </c>
      <c r="C5077" t="str">
        <f>HYPERLINK("https://us2.cloudbeds.com/connect/8493803454333002#/reservations/9080486846172710?display=2F0SMX3TNH&amp;reservation_id=9080486846172710", "2F0SMX3TNH")</f>
        <v>2F0SMX3TNH</v>
      </c>
      <c r="D5077" t="s">
        <v>45</v>
      </c>
      <c r="E5077" t="s">
        <v>98</v>
      </c>
      <c r="F5077" t="s">
        <v>86</v>
      </c>
      <c r="G5077" t="s">
        <v>48</v>
      </c>
      <c r="H5077" t="s">
        <v>49</v>
      </c>
      <c r="I5077" t="s">
        <v>50</v>
      </c>
      <c r="J5077" t="s">
        <v>7595</v>
      </c>
      <c r="K5077" t="s">
        <v>6943</v>
      </c>
      <c r="L5077" t="s">
        <v>53</v>
      </c>
      <c r="N5077" t="s">
        <v>8960</v>
      </c>
      <c r="P5077" t="s">
        <v>55</v>
      </c>
      <c r="R5077" t="s">
        <v>53</v>
      </c>
      <c r="T5077" t="s">
        <v>8961</v>
      </c>
      <c r="U5077" t="s">
        <v>58</v>
      </c>
      <c r="V5077">
        <v>1</v>
      </c>
      <c r="W5077">
        <v>1</v>
      </c>
      <c r="X5077">
        <v>2</v>
      </c>
      <c r="Y5077">
        <v>1</v>
      </c>
      <c r="Z5077">
        <v>3</v>
      </c>
      <c r="AA5077">
        <v>243.44</v>
      </c>
      <c r="AB5077">
        <v>243.44</v>
      </c>
      <c r="AC5077">
        <v>214.2</v>
      </c>
      <c r="AD5077">
        <v>0</v>
      </c>
      <c r="AE5077">
        <v>29.24</v>
      </c>
      <c r="AF5077">
        <v>0</v>
      </c>
      <c r="AG5077">
        <v>0</v>
      </c>
      <c r="AH5077">
        <v>0</v>
      </c>
      <c r="AI5077">
        <v>43.82</v>
      </c>
      <c r="AJ5077">
        <v>243.44</v>
      </c>
      <c r="AK5077">
        <v>0</v>
      </c>
      <c r="AL5077" t="s">
        <v>53</v>
      </c>
      <c r="AM5077" t="s">
        <v>53</v>
      </c>
      <c r="AN5077" t="s">
        <v>53</v>
      </c>
      <c r="AO5077" t="s">
        <v>53</v>
      </c>
      <c r="AP5077" t="s">
        <v>53</v>
      </c>
    </row>
    <row r="5078" spans="2:42" x14ac:dyDescent="0.2">
      <c r="B5078" t="s">
        <v>44</v>
      </c>
      <c r="C5078" t="str">
        <f>HYPERLINK("https://us2.cloudbeds.com/connect/8493803454333002#/reservations/9080486846172711?display=2F0T27PA7Z&amp;reservation_id=9080486846172711", "2F0T27PA7Z")</f>
        <v>2F0T27PA7Z</v>
      </c>
      <c r="D5078" t="s">
        <v>45</v>
      </c>
      <c r="E5078" t="s">
        <v>92</v>
      </c>
      <c r="F5078" t="s">
        <v>86</v>
      </c>
      <c r="G5078" t="s">
        <v>48</v>
      </c>
      <c r="H5078" t="s">
        <v>49</v>
      </c>
      <c r="I5078" t="s">
        <v>50</v>
      </c>
      <c r="J5078" t="s">
        <v>7595</v>
      </c>
      <c r="K5078" t="s">
        <v>6943</v>
      </c>
      <c r="L5078" t="s">
        <v>53</v>
      </c>
      <c r="N5078" t="s">
        <v>8962</v>
      </c>
      <c r="P5078" t="s">
        <v>55</v>
      </c>
      <c r="R5078" t="s">
        <v>53</v>
      </c>
      <c r="T5078" t="s">
        <v>8963</v>
      </c>
      <c r="U5078" t="s">
        <v>58</v>
      </c>
      <c r="V5078">
        <v>1</v>
      </c>
      <c r="W5078">
        <v>1</v>
      </c>
      <c r="X5078">
        <v>2</v>
      </c>
      <c r="Y5078">
        <v>1</v>
      </c>
      <c r="Z5078">
        <v>3</v>
      </c>
      <c r="AA5078">
        <v>243.44</v>
      </c>
      <c r="AB5078">
        <v>243.44</v>
      </c>
      <c r="AC5078">
        <v>214.2</v>
      </c>
      <c r="AD5078">
        <v>0</v>
      </c>
      <c r="AE5078">
        <v>29.24</v>
      </c>
      <c r="AF5078">
        <v>0</v>
      </c>
      <c r="AG5078">
        <v>0</v>
      </c>
      <c r="AH5078">
        <v>0</v>
      </c>
      <c r="AI5078">
        <v>43.82</v>
      </c>
      <c r="AJ5078">
        <v>243.44</v>
      </c>
      <c r="AK5078">
        <v>0</v>
      </c>
      <c r="AL5078" t="s">
        <v>53</v>
      </c>
      <c r="AM5078" t="s">
        <v>53</v>
      </c>
      <c r="AN5078" t="s">
        <v>53</v>
      </c>
      <c r="AO5078" t="s">
        <v>53</v>
      </c>
      <c r="AP5078" t="s">
        <v>53</v>
      </c>
    </row>
    <row r="5079" spans="2:42" x14ac:dyDescent="0.2">
      <c r="B5079" t="s">
        <v>44</v>
      </c>
      <c r="C5079" t="str">
        <f>HYPERLINK("https://us2.cloudbeds.com/connect/8493803454333002#/reservations/9080486846172773?display=2F0WEGTQ6H&amp;reservation_id=9080486846172773", "2F0WEGTQ6H")</f>
        <v>2F0WEGTQ6H</v>
      </c>
      <c r="D5079" t="s">
        <v>45</v>
      </c>
      <c r="E5079" t="s">
        <v>92</v>
      </c>
      <c r="F5079" t="s">
        <v>86</v>
      </c>
      <c r="G5079" t="s">
        <v>48</v>
      </c>
      <c r="H5079" t="s">
        <v>49</v>
      </c>
      <c r="I5079" t="s">
        <v>8964</v>
      </c>
      <c r="J5079" t="s">
        <v>7151</v>
      </c>
      <c r="K5079" t="s">
        <v>7152</v>
      </c>
      <c r="L5079" t="s">
        <v>53</v>
      </c>
      <c r="N5079" t="s">
        <v>8965</v>
      </c>
      <c r="P5079" t="s">
        <v>55</v>
      </c>
      <c r="R5079" t="s">
        <v>53</v>
      </c>
      <c r="T5079" t="s">
        <v>8966</v>
      </c>
      <c r="U5079" t="s">
        <v>58</v>
      </c>
      <c r="V5079">
        <v>3</v>
      </c>
      <c r="W5079">
        <v>1</v>
      </c>
      <c r="X5079">
        <v>2</v>
      </c>
      <c r="Y5079">
        <v>1</v>
      </c>
      <c r="Z5079">
        <v>3</v>
      </c>
      <c r="AA5079">
        <v>547</v>
      </c>
      <c r="AB5079">
        <v>0</v>
      </c>
      <c r="AC5079">
        <v>547</v>
      </c>
      <c r="AD5079">
        <v>0</v>
      </c>
      <c r="AE5079">
        <v>0</v>
      </c>
      <c r="AF5079">
        <v>0</v>
      </c>
      <c r="AG5079">
        <v>0</v>
      </c>
      <c r="AH5079">
        <v>0</v>
      </c>
      <c r="AI5079">
        <v>82.05</v>
      </c>
      <c r="AJ5079">
        <v>547</v>
      </c>
      <c r="AK5079">
        <v>547</v>
      </c>
      <c r="AL5079" t="s">
        <v>53</v>
      </c>
      <c r="AM5079" t="s">
        <v>53</v>
      </c>
      <c r="AN5079" t="s">
        <v>53</v>
      </c>
      <c r="AO5079" t="s">
        <v>53</v>
      </c>
      <c r="AP5079" t="s">
        <v>53</v>
      </c>
    </row>
    <row r="5080" spans="2:42" x14ac:dyDescent="0.2">
      <c r="B5080" t="s">
        <v>44</v>
      </c>
      <c r="C5080" t="str">
        <f>HYPERLINK("https://us2.cloudbeds.com/connect/8493803454333002#/reservations/9080486846172794?display=2F0W9AG3E7&amp;reservation_id=9080486846172794", "2F0W9AG3E7")</f>
        <v>2F0W9AG3E7</v>
      </c>
      <c r="D5080" t="s">
        <v>45</v>
      </c>
      <c r="E5080" t="s">
        <v>113</v>
      </c>
      <c r="F5080" t="s">
        <v>61</v>
      </c>
      <c r="G5080" t="s">
        <v>48</v>
      </c>
      <c r="H5080" t="s">
        <v>49</v>
      </c>
      <c r="I5080" t="s">
        <v>50</v>
      </c>
      <c r="J5080" t="s">
        <v>8060</v>
      </c>
      <c r="K5080" t="s">
        <v>7967</v>
      </c>
      <c r="L5080" t="s">
        <v>53</v>
      </c>
      <c r="N5080" t="s">
        <v>8967</v>
      </c>
      <c r="P5080" t="s">
        <v>55</v>
      </c>
      <c r="R5080" t="s">
        <v>53</v>
      </c>
      <c r="T5080" t="s">
        <v>8968</v>
      </c>
      <c r="U5080" t="s">
        <v>58</v>
      </c>
      <c r="V5080">
        <v>1</v>
      </c>
      <c r="W5080">
        <v>1</v>
      </c>
      <c r="X5080">
        <v>2</v>
      </c>
      <c r="Y5080">
        <v>0</v>
      </c>
      <c r="Z5080">
        <v>2</v>
      </c>
      <c r="AA5080">
        <v>149.34</v>
      </c>
      <c r="AB5080">
        <v>149.34</v>
      </c>
      <c r="AC5080">
        <v>131.4</v>
      </c>
      <c r="AD5080">
        <v>0</v>
      </c>
      <c r="AE5080">
        <v>17.940000000000001</v>
      </c>
      <c r="AF5080">
        <v>0</v>
      </c>
      <c r="AG5080">
        <v>0</v>
      </c>
      <c r="AH5080">
        <v>0</v>
      </c>
      <c r="AI5080">
        <v>26.88</v>
      </c>
      <c r="AJ5080">
        <v>149.34</v>
      </c>
      <c r="AK5080">
        <v>0</v>
      </c>
      <c r="AL5080" t="s">
        <v>53</v>
      </c>
      <c r="AM5080" t="s">
        <v>53</v>
      </c>
      <c r="AN5080" t="s">
        <v>53</v>
      </c>
      <c r="AO5080" t="s">
        <v>53</v>
      </c>
      <c r="AP5080" t="s">
        <v>53</v>
      </c>
    </row>
    <row r="5081" spans="2:42" x14ac:dyDescent="0.2">
      <c r="B5081" t="s">
        <v>44</v>
      </c>
      <c r="C5081" t="str">
        <f>HYPERLINK("https://us2.cloudbeds.com/connect/8493803454333002#/reservations/113962772218026?display=2F10QW6B75&amp;reservation_id=113962772218026", "2F10QW6B75")</f>
        <v>2F10QW6B75</v>
      </c>
      <c r="D5081" t="s">
        <v>45</v>
      </c>
      <c r="E5081" t="s">
        <v>105</v>
      </c>
      <c r="F5081" t="s">
        <v>47</v>
      </c>
      <c r="G5081" t="s">
        <v>48</v>
      </c>
      <c r="H5081" t="s">
        <v>3957</v>
      </c>
      <c r="I5081" t="s">
        <v>3975</v>
      </c>
      <c r="J5081" t="s">
        <v>7414</v>
      </c>
      <c r="K5081" t="s">
        <v>7872</v>
      </c>
      <c r="L5081" t="s">
        <v>53</v>
      </c>
      <c r="P5081" t="s">
        <v>55</v>
      </c>
      <c r="R5081" t="s">
        <v>53</v>
      </c>
      <c r="T5081" t="s">
        <v>8969</v>
      </c>
      <c r="U5081" t="s">
        <v>58</v>
      </c>
      <c r="V5081">
        <v>1</v>
      </c>
      <c r="W5081">
        <v>1</v>
      </c>
      <c r="X5081">
        <v>1</v>
      </c>
      <c r="Y5081">
        <v>0</v>
      </c>
      <c r="Z5081">
        <v>1</v>
      </c>
      <c r="AA5081">
        <v>192.07</v>
      </c>
      <c r="AB5081">
        <v>192.07</v>
      </c>
      <c r="AC5081">
        <v>169</v>
      </c>
      <c r="AD5081">
        <v>0</v>
      </c>
      <c r="AE5081">
        <v>23.07</v>
      </c>
      <c r="AF5081">
        <v>0</v>
      </c>
      <c r="AG5081">
        <v>0</v>
      </c>
      <c r="AH5081">
        <v>0</v>
      </c>
      <c r="AI5081">
        <v>0</v>
      </c>
      <c r="AJ5081">
        <v>192.07</v>
      </c>
      <c r="AK5081">
        <v>0</v>
      </c>
      <c r="AL5081" t="s">
        <v>53</v>
      </c>
      <c r="AM5081" t="s">
        <v>53</v>
      </c>
      <c r="AN5081" t="s">
        <v>53</v>
      </c>
      <c r="AO5081" t="s">
        <v>53</v>
      </c>
      <c r="AP5081" t="s">
        <v>53</v>
      </c>
    </row>
    <row r="5082" spans="2:42" x14ac:dyDescent="0.2">
      <c r="B5082" t="s">
        <v>44</v>
      </c>
      <c r="C5082" t="str">
        <f>HYPERLINK("https://us2.cloudbeds.com/connect/8493803454333002#/reservations/9080486846173180?display=2F1GXNVF16&amp;reservation_id=9080486846173180", "2F1GXNVF16")</f>
        <v>2F1GXNVF16</v>
      </c>
      <c r="D5082" t="s">
        <v>45</v>
      </c>
      <c r="E5082" t="s">
        <v>113</v>
      </c>
      <c r="F5082" t="s">
        <v>61</v>
      </c>
      <c r="G5082" t="s">
        <v>48</v>
      </c>
      <c r="H5082" t="s">
        <v>49</v>
      </c>
      <c r="I5082" t="s">
        <v>50</v>
      </c>
      <c r="J5082" t="s">
        <v>8133</v>
      </c>
      <c r="K5082" t="s">
        <v>8143</v>
      </c>
      <c r="L5082" t="s">
        <v>53</v>
      </c>
      <c r="N5082" t="s">
        <v>8970</v>
      </c>
      <c r="P5082" t="s">
        <v>55</v>
      </c>
      <c r="R5082" t="s">
        <v>53</v>
      </c>
      <c r="T5082" t="s">
        <v>8971</v>
      </c>
      <c r="U5082" t="s">
        <v>58</v>
      </c>
      <c r="V5082">
        <v>2</v>
      </c>
      <c r="W5082">
        <v>1</v>
      </c>
      <c r="X5082">
        <v>2</v>
      </c>
      <c r="Y5082">
        <v>0</v>
      </c>
      <c r="Z5082">
        <v>2</v>
      </c>
      <c r="AA5082">
        <v>320.45</v>
      </c>
      <c r="AB5082">
        <v>320.45</v>
      </c>
      <c r="AC5082">
        <v>281.95999999999998</v>
      </c>
      <c r="AD5082">
        <v>0</v>
      </c>
      <c r="AE5082">
        <v>38.49</v>
      </c>
      <c r="AF5082">
        <v>0</v>
      </c>
      <c r="AG5082">
        <v>0</v>
      </c>
      <c r="AH5082">
        <v>0</v>
      </c>
      <c r="AI5082">
        <v>57.68</v>
      </c>
      <c r="AJ5082">
        <v>320.45</v>
      </c>
      <c r="AK5082">
        <v>0</v>
      </c>
      <c r="AL5082" t="s">
        <v>53</v>
      </c>
      <c r="AM5082" t="s">
        <v>53</v>
      </c>
      <c r="AN5082" t="s">
        <v>8972</v>
      </c>
      <c r="AO5082" t="s">
        <v>53</v>
      </c>
      <c r="AP5082" t="s">
        <v>53</v>
      </c>
    </row>
    <row r="5083" spans="2:42" x14ac:dyDescent="0.2">
      <c r="B5083" t="s">
        <v>44</v>
      </c>
      <c r="C5083" t="str">
        <f>HYPERLINK("https://us2.cloudbeds.com/connect/8493803454333002#/reservations/9080486846173203?display=2F1KADJYX4&amp;reservation_id=9080486846173203", "2F1KADJYX4")</f>
        <v>2F1KADJYX4</v>
      </c>
      <c r="D5083" t="s">
        <v>45</v>
      </c>
      <c r="E5083" t="s">
        <v>2050</v>
      </c>
      <c r="F5083" t="s">
        <v>61</v>
      </c>
      <c r="G5083" t="s">
        <v>48</v>
      </c>
      <c r="H5083" t="s">
        <v>49</v>
      </c>
      <c r="I5083" t="s">
        <v>62</v>
      </c>
      <c r="J5083" t="s">
        <v>7706</v>
      </c>
      <c r="K5083" t="s">
        <v>7352</v>
      </c>
      <c r="L5083" t="s">
        <v>53</v>
      </c>
      <c r="N5083" t="s">
        <v>8973</v>
      </c>
      <c r="P5083" t="s">
        <v>55</v>
      </c>
      <c r="R5083" t="s">
        <v>56</v>
      </c>
      <c r="T5083" t="s">
        <v>8974</v>
      </c>
      <c r="U5083" t="s">
        <v>55</v>
      </c>
      <c r="V5083">
        <v>2</v>
      </c>
      <c r="W5083">
        <v>2</v>
      </c>
      <c r="X5083">
        <v>4</v>
      </c>
      <c r="Y5083">
        <v>0</v>
      </c>
      <c r="Z5083">
        <v>4</v>
      </c>
      <c r="AA5083">
        <v>324.89999999999998</v>
      </c>
      <c r="AB5083">
        <v>324.89999999999998</v>
      </c>
      <c r="AC5083">
        <v>324.89999999999998</v>
      </c>
      <c r="AD5083">
        <v>0</v>
      </c>
      <c r="AE5083">
        <v>0</v>
      </c>
      <c r="AF5083">
        <v>0</v>
      </c>
      <c r="AG5083">
        <v>0</v>
      </c>
      <c r="AH5083">
        <v>0</v>
      </c>
      <c r="AI5083">
        <v>58.48</v>
      </c>
      <c r="AJ5083">
        <v>324.89999999999998</v>
      </c>
      <c r="AK5083">
        <v>0</v>
      </c>
      <c r="AL5083" t="s">
        <v>53</v>
      </c>
      <c r="AM5083" t="s">
        <v>53</v>
      </c>
      <c r="AN5083" t="s">
        <v>53</v>
      </c>
      <c r="AO5083" t="s">
        <v>53</v>
      </c>
      <c r="AP5083" t="s">
        <v>53</v>
      </c>
    </row>
    <row r="5084" spans="2:42" x14ac:dyDescent="0.2">
      <c r="B5084" t="s">
        <v>44</v>
      </c>
      <c r="C5084" t="str">
        <f>HYPERLINK("https://us2.cloudbeds.com/connect/8493803454333002#/reservations/9080486846173314?display=2F1PZDKRR7&amp;reservation_id=9080486846173314", "2F1PZDKRR7")</f>
        <v>2F1PZDKRR7</v>
      </c>
      <c r="D5084" t="s">
        <v>45</v>
      </c>
      <c r="E5084" t="s">
        <v>121</v>
      </c>
      <c r="F5084" t="s">
        <v>86</v>
      </c>
      <c r="G5084" t="s">
        <v>48</v>
      </c>
      <c r="H5084" t="s">
        <v>49</v>
      </c>
      <c r="I5084" t="s">
        <v>50</v>
      </c>
      <c r="J5084" t="s">
        <v>8594</v>
      </c>
      <c r="K5084" t="s">
        <v>7925</v>
      </c>
      <c r="L5084" t="s">
        <v>53</v>
      </c>
      <c r="N5084" t="s">
        <v>8975</v>
      </c>
      <c r="P5084" t="s">
        <v>55</v>
      </c>
      <c r="R5084" t="s">
        <v>53</v>
      </c>
      <c r="T5084" t="s">
        <v>8976</v>
      </c>
      <c r="U5084" t="s">
        <v>58</v>
      </c>
      <c r="V5084">
        <v>2</v>
      </c>
      <c r="W5084">
        <v>1</v>
      </c>
      <c r="X5084">
        <v>2</v>
      </c>
      <c r="Y5084">
        <v>0</v>
      </c>
      <c r="Z5084">
        <v>2</v>
      </c>
      <c r="AA5084">
        <v>359.54</v>
      </c>
      <c r="AB5084">
        <v>359.54</v>
      </c>
      <c r="AC5084">
        <v>316.35000000000002</v>
      </c>
      <c r="AD5084">
        <v>0</v>
      </c>
      <c r="AE5084">
        <v>43.19</v>
      </c>
      <c r="AF5084">
        <v>0</v>
      </c>
      <c r="AG5084">
        <v>0</v>
      </c>
      <c r="AH5084">
        <v>0</v>
      </c>
      <c r="AI5084">
        <v>64.72</v>
      </c>
      <c r="AJ5084">
        <v>359.54</v>
      </c>
      <c r="AK5084">
        <v>0</v>
      </c>
      <c r="AL5084" t="s">
        <v>53</v>
      </c>
      <c r="AM5084" t="s">
        <v>53</v>
      </c>
      <c r="AN5084" t="s">
        <v>53</v>
      </c>
      <c r="AO5084" t="s">
        <v>53</v>
      </c>
      <c r="AP5084" t="s">
        <v>53</v>
      </c>
    </row>
    <row r="5085" spans="2:42" x14ac:dyDescent="0.2">
      <c r="B5085" t="s">
        <v>44</v>
      </c>
      <c r="C5085" t="str">
        <f>HYPERLINK("https://us2.cloudbeds.com/connect/8493803454333002#/reservations/9080486846173676?display=2F293MYDKM&amp;reservation_id=9080486846173676", "2F293MYDKM")</f>
        <v>2F293MYDKM</v>
      </c>
      <c r="D5085" t="s">
        <v>45</v>
      </c>
      <c r="E5085" t="s">
        <v>98</v>
      </c>
      <c r="F5085" t="s">
        <v>86</v>
      </c>
      <c r="G5085" t="s">
        <v>48</v>
      </c>
      <c r="H5085" t="s">
        <v>49</v>
      </c>
      <c r="I5085" t="s">
        <v>50</v>
      </c>
      <c r="J5085" t="s">
        <v>8249</v>
      </c>
      <c r="K5085" t="s">
        <v>8871</v>
      </c>
      <c r="L5085" t="s">
        <v>53</v>
      </c>
      <c r="N5085" t="s">
        <v>8977</v>
      </c>
      <c r="P5085" t="s">
        <v>55</v>
      </c>
      <c r="R5085" t="s">
        <v>53</v>
      </c>
      <c r="T5085" t="s">
        <v>8978</v>
      </c>
      <c r="U5085" t="s">
        <v>58</v>
      </c>
      <c r="V5085">
        <v>1</v>
      </c>
      <c r="W5085">
        <v>1</v>
      </c>
      <c r="X5085">
        <v>2</v>
      </c>
      <c r="Y5085">
        <v>2</v>
      </c>
      <c r="Z5085">
        <v>4</v>
      </c>
      <c r="AA5085">
        <v>138.19999999999999</v>
      </c>
      <c r="AB5085">
        <v>138.19999999999999</v>
      </c>
      <c r="AC5085">
        <v>121.6</v>
      </c>
      <c r="AD5085">
        <v>0</v>
      </c>
      <c r="AE5085">
        <v>16.600000000000001</v>
      </c>
      <c r="AF5085">
        <v>0</v>
      </c>
      <c r="AG5085">
        <v>0</v>
      </c>
      <c r="AH5085">
        <v>0</v>
      </c>
      <c r="AI5085">
        <v>24.88</v>
      </c>
      <c r="AJ5085">
        <v>138.19999999999999</v>
      </c>
      <c r="AK5085">
        <v>0</v>
      </c>
      <c r="AL5085" t="s">
        <v>53</v>
      </c>
      <c r="AM5085" t="s">
        <v>53</v>
      </c>
      <c r="AN5085" t="s">
        <v>53</v>
      </c>
      <c r="AO5085" t="s">
        <v>53</v>
      </c>
      <c r="AP5085" t="s">
        <v>53</v>
      </c>
    </row>
    <row r="5086" spans="2:42" x14ac:dyDescent="0.2">
      <c r="B5086" t="s">
        <v>44</v>
      </c>
      <c r="C5086" t="str">
        <f>HYPERLINK("https://us2.cloudbeds.com/connect/8493803454333002#/reservations/114033014886559?display=2F2M6RM4H9&amp;reservation_id=114033014886559", "2F2M6RM4H9")</f>
        <v>2F2M6RM4H9</v>
      </c>
      <c r="D5086" t="s">
        <v>45</v>
      </c>
      <c r="E5086" t="s">
        <v>373</v>
      </c>
      <c r="F5086" t="s">
        <v>47</v>
      </c>
      <c r="G5086" t="s">
        <v>48</v>
      </c>
      <c r="H5086" t="s">
        <v>3957</v>
      </c>
      <c r="I5086" t="s">
        <v>3975</v>
      </c>
      <c r="J5086" t="s">
        <v>7595</v>
      </c>
      <c r="K5086" t="s">
        <v>6943</v>
      </c>
      <c r="L5086" t="s">
        <v>53</v>
      </c>
      <c r="P5086" t="s">
        <v>55</v>
      </c>
      <c r="R5086" t="s">
        <v>53</v>
      </c>
      <c r="T5086" t="s">
        <v>8979</v>
      </c>
      <c r="U5086" t="s">
        <v>58</v>
      </c>
      <c r="V5086">
        <v>1</v>
      </c>
      <c r="W5086">
        <v>1</v>
      </c>
      <c r="X5086">
        <v>2</v>
      </c>
      <c r="Y5086">
        <v>0</v>
      </c>
      <c r="Z5086">
        <v>2</v>
      </c>
      <c r="AA5086">
        <v>262.54000000000002</v>
      </c>
      <c r="AB5086">
        <v>262.54000000000002</v>
      </c>
      <c r="AC5086">
        <v>231</v>
      </c>
      <c r="AD5086">
        <v>0</v>
      </c>
      <c r="AE5086">
        <v>31.54</v>
      </c>
      <c r="AF5086">
        <v>0</v>
      </c>
      <c r="AG5086">
        <v>0</v>
      </c>
      <c r="AH5086">
        <v>0</v>
      </c>
      <c r="AI5086">
        <v>0</v>
      </c>
      <c r="AJ5086">
        <v>262.54000000000002</v>
      </c>
      <c r="AK5086">
        <v>0</v>
      </c>
      <c r="AL5086" t="s">
        <v>53</v>
      </c>
      <c r="AM5086" t="s">
        <v>53</v>
      </c>
      <c r="AN5086" t="s">
        <v>53</v>
      </c>
      <c r="AO5086" t="s">
        <v>53</v>
      </c>
      <c r="AP5086" t="s">
        <v>53</v>
      </c>
    </row>
    <row r="5087" spans="2:42" x14ac:dyDescent="0.2">
      <c r="B5087" t="s">
        <v>44</v>
      </c>
      <c r="C5087" t="str">
        <f>HYPERLINK("https://us2.cloudbeds.com/connect/8493803454333002#/reservations/114191167299780?display=2F6CYWW5XK&amp;reservation_id=114191167299780", "2F6CYWW5XK")</f>
        <v>2F6CYWW5XK</v>
      </c>
      <c r="D5087" t="s">
        <v>45</v>
      </c>
      <c r="E5087" t="s">
        <v>69</v>
      </c>
      <c r="F5087" t="s">
        <v>70</v>
      </c>
      <c r="G5087" t="s">
        <v>48</v>
      </c>
      <c r="H5087" t="s">
        <v>3957</v>
      </c>
      <c r="I5087" t="s">
        <v>3975</v>
      </c>
      <c r="J5087" t="s">
        <v>6397</v>
      </c>
      <c r="K5087" t="s">
        <v>7152</v>
      </c>
      <c r="L5087" t="s">
        <v>53</v>
      </c>
      <c r="P5087" t="s">
        <v>55</v>
      </c>
      <c r="R5087" t="s">
        <v>53</v>
      </c>
      <c r="T5087" t="s">
        <v>8980</v>
      </c>
      <c r="U5087" t="s">
        <v>58</v>
      </c>
      <c r="V5087">
        <v>1</v>
      </c>
      <c r="W5087">
        <v>1</v>
      </c>
      <c r="X5087">
        <v>2</v>
      </c>
      <c r="Y5087">
        <v>0</v>
      </c>
      <c r="Z5087">
        <v>2</v>
      </c>
      <c r="AA5087">
        <v>159.11000000000001</v>
      </c>
      <c r="AB5087">
        <v>159.11000000000001</v>
      </c>
      <c r="AC5087">
        <v>140</v>
      </c>
      <c r="AD5087">
        <v>0</v>
      </c>
      <c r="AE5087">
        <v>19.11</v>
      </c>
      <c r="AF5087">
        <v>0</v>
      </c>
      <c r="AG5087">
        <v>0</v>
      </c>
      <c r="AH5087">
        <v>0</v>
      </c>
      <c r="AI5087">
        <v>0</v>
      </c>
      <c r="AJ5087">
        <v>159.11000000000001</v>
      </c>
      <c r="AK5087">
        <v>0</v>
      </c>
      <c r="AL5087" t="s">
        <v>53</v>
      </c>
      <c r="AM5087" t="s">
        <v>53</v>
      </c>
      <c r="AN5087" t="s">
        <v>53</v>
      </c>
      <c r="AO5087" t="s">
        <v>53</v>
      </c>
      <c r="AP5087" t="s">
        <v>53</v>
      </c>
    </row>
    <row r="5088" spans="2:42" x14ac:dyDescent="0.2">
      <c r="B5088" t="s">
        <v>44</v>
      </c>
      <c r="C5088" t="str">
        <f>HYPERLINK("https://us2.cloudbeds.com/connect/8493803454333002#/reservations/114215963467997?display=2F6VSJP3BG&amp;reservation_id=114215963467997", "2F6VSJP3BG")</f>
        <v>2F6VSJP3BG</v>
      </c>
      <c r="D5088" t="s">
        <v>45</v>
      </c>
      <c r="E5088" t="s">
        <v>110</v>
      </c>
      <c r="F5088" t="s">
        <v>47</v>
      </c>
      <c r="G5088" t="s">
        <v>3974</v>
      </c>
      <c r="H5088" t="s">
        <v>3957</v>
      </c>
      <c r="I5088" t="s">
        <v>3975</v>
      </c>
      <c r="J5088" t="s">
        <v>8060</v>
      </c>
      <c r="K5088" t="s">
        <v>7967</v>
      </c>
      <c r="L5088" t="s">
        <v>53</v>
      </c>
      <c r="P5088" t="s">
        <v>55</v>
      </c>
      <c r="R5088" t="s">
        <v>53</v>
      </c>
      <c r="T5088" t="s">
        <v>8981</v>
      </c>
      <c r="U5088" t="s">
        <v>58</v>
      </c>
      <c r="V5088">
        <v>1</v>
      </c>
      <c r="W5088">
        <v>1</v>
      </c>
      <c r="X5088">
        <v>1</v>
      </c>
      <c r="Y5088">
        <v>0</v>
      </c>
      <c r="Z5088">
        <v>1</v>
      </c>
      <c r="AA5088">
        <v>147.91</v>
      </c>
      <c r="AB5088">
        <v>147.91</v>
      </c>
      <c r="AC5088">
        <v>130.15</v>
      </c>
      <c r="AD5088">
        <v>0</v>
      </c>
      <c r="AE5088">
        <v>17.760000000000002</v>
      </c>
      <c r="AF5088">
        <v>0</v>
      </c>
      <c r="AG5088">
        <v>0</v>
      </c>
      <c r="AH5088">
        <v>0</v>
      </c>
      <c r="AI5088">
        <v>0</v>
      </c>
      <c r="AJ5088">
        <v>147.91</v>
      </c>
      <c r="AK5088">
        <v>0</v>
      </c>
      <c r="AL5088" t="s">
        <v>53</v>
      </c>
      <c r="AM5088" t="s">
        <v>53</v>
      </c>
      <c r="AN5088" t="s">
        <v>8982</v>
      </c>
      <c r="AO5088" t="s">
        <v>53</v>
      </c>
      <c r="AP5088" t="s">
        <v>53</v>
      </c>
    </row>
    <row r="5089" spans="2:42" x14ac:dyDescent="0.2">
      <c r="B5089" t="s">
        <v>44</v>
      </c>
      <c r="C5089" t="str">
        <f>HYPERLINK("https://us2.cloudbeds.com/connect/8493803454333002#/reservations/114217960329423?display=2F70DKXNXQ&amp;reservation_id=114217960329423", "2F70DKXNXQ")</f>
        <v>2F70DKXNXQ</v>
      </c>
      <c r="D5089" t="s">
        <v>45</v>
      </c>
      <c r="E5089" t="s">
        <v>105</v>
      </c>
      <c r="F5089" t="s">
        <v>47</v>
      </c>
      <c r="G5089" t="s">
        <v>48</v>
      </c>
      <c r="H5089" t="s">
        <v>3957</v>
      </c>
      <c r="I5089" t="s">
        <v>3975</v>
      </c>
      <c r="J5089" t="s">
        <v>8060</v>
      </c>
      <c r="K5089" t="s">
        <v>7967</v>
      </c>
      <c r="L5089" t="s">
        <v>53</v>
      </c>
      <c r="P5089" t="s">
        <v>55</v>
      </c>
      <c r="R5089" t="s">
        <v>53</v>
      </c>
      <c r="T5089" t="s">
        <v>8983</v>
      </c>
      <c r="U5089" t="s">
        <v>58</v>
      </c>
      <c r="V5089">
        <v>1</v>
      </c>
      <c r="W5089">
        <v>1</v>
      </c>
      <c r="X5089">
        <v>1</v>
      </c>
      <c r="Y5089">
        <v>0</v>
      </c>
      <c r="Z5089">
        <v>1</v>
      </c>
      <c r="AA5089">
        <v>155.69999999999999</v>
      </c>
      <c r="AB5089">
        <v>155.69999999999999</v>
      </c>
      <c r="AC5089">
        <v>137</v>
      </c>
      <c r="AD5089">
        <v>0</v>
      </c>
      <c r="AE5089">
        <v>18.7</v>
      </c>
      <c r="AF5089">
        <v>0</v>
      </c>
      <c r="AG5089">
        <v>0</v>
      </c>
      <c r="AH5089">
        <v>0</v>
      </c>
      <c r="AI5089">
        <v>0</v>
      </c>
      <c r="AJ5089">
        <v>155.69999999999999</v>
      </c>
      <c r="AK5089">
        <v>0</v>
      </c>
      <c r="AL5089" t="s">
        <v>53</v>
      </c>
      <c r="AM5089" t="s">
        <v>53</v>
      </c>
      <c r="AN5089" t="s">
        <v>53</v>
      </c>
      <c r="AO5089" t="s">
        <v>53</v>
      </c>
      <c r="AP5089" t="s">
        <v>53</v>
      </c>
    </row>
    <row r="5090" spans="2:42" x14ac:dyDescent="0.2">
      <c r="B5090" t="s">
        <v>44</v>
      </c>
      <c r="C5090" t="str">
        <f>HYPERLINK("https://us2.cloudbeds.com/connect/8493803454333002#/reservations/114232540106885?display=2F7BN5KGW1&amp;reservation_id=114232540106885", "2F7BN5KGW1")</f>
        <v>2F7BN5KGW1</v>
      </c>
      <c r="D5090" t="s">
        <v>45</v>
      </c>
      <c r="E5090" t="s">
        <v>487</v>
      </c>
      <c r="F5090" t="s">
        <v>61</v>
      </c>
      <c r="G5090" t="s">
        <v>48</v>
      </c>
      <c r="H5090" t="s">
        <v>3957</v>
      </c>
      <c r="I5090" t="s">
        <v>3975</v>
      </c>
      <c r="J5090" t="s">
        <v>8871</v>
      </c>
      <c r="K5090" t="s">
        <v>8790</v>
      </c>
      <c r="L5090" t="s">
        <v>53</v>
      </c>
      <c r="P5090" t="s">
        <v>55</v>
      </c>
      <c r="R5090" t="s">
        <v>53</v>
      </c>
      <c r="T5090" t="s">
        <v>8984</v>
      </c>
      <c r="U5090" t="s">
        <v>58</v>
      </c>
      <c r="V5090">
        <v>1</v>
      </c>
      <c r="W5090">
        <v>1</v>
      </c>
      <c r="X5090">
        <v>2</v>
      </c>
      <c r="Y5090">
        <v>0</v>
      </c>
      <c r="Z5090">
        <v>2</v>
      </c>
      <c r="AA5090">
        <v>161.38999999999999</v>
      </c>
      <c r="AB5090">
        <v>161.38999999999999</v>
      </c>
      <c r="AC5090">
        <v>142</v>
      </c>
      <c r="AD5090">
        <v>0</v>
      </c>
      <c r="AE5090">
        <v>19.39</v>
      </c>
      <c r="AF5090">
        <v>0</v>
      </c>
      <c r="AG5090">
        <v>0</v>
      </c>
      <c r="AH5090">
        <v>0</v>
      </c>
      <c r="AI5090">
        <v>0</v>
      </c>
      <c r="AJ5090">
        <v>161.38999999999999</v>
      </c>
      <c r="AK5090">
        <v>0</v>
      </c>
      <c r="AL5090" t="s">
        <v>53</v>
      </c>
      <c r="AM5090" t="s">
        <v>53</v>
      </c>
      <c r="AN5090" t="s">
        <v>53</v>
      </c>
      <c r="AO5090" t="s">
        <v>53</v>
      </c>
      <c r="AP5090" t="s">
        <v>53</v>
      </c>
    </row>
    <row r="5091" spans="2:42" x14ac:dyDescent="0.2">
      <c r="B5091" t="s">
        <v>44</v>
      </c>
      <c r="C5091" t="str">
        <f>HYPERLINK("https://us2.cloudbeds.com/connect/8493803454333002#/reservations/9080486846177089?display=2F7DNBQ43M&amp;reservation_id=9080486846177089", "2F7DNBQ43M")</f>
        <v>2F7DNBQ43M</v>
      </c>
      <c r="D5091" t="s">
        <v>45</v>
      </c>
      <c r="E5091" t="s">
        <v>155</v>
      </c>
      <c r="F5091" t="s">
        <v>86</v>
      </c>
      <c r="G5091" t="s">
        <v>48</v>
      </c>
      <c r="H5091" t="s">
        <v>49</v>
      </c>
      <c r="I5091" t="s">
        <v>50</v>
      </c>
      <c r="J5091" t="s">
        <v>6662</v>
      </c>
      <c r="K5091" t="s">
        <v>7595</v>
      </c>
      <c r="L5091" t="s">
        <v>53</v>
      </c>
      <c r="N5091" t="s">
        <v>8985</v>
      </c>
      <c r="P5091" t="s">
        <v>55</v>
      </c>
      <c r="R5091" t="s">
        <v>53</v>
      </c>
      <c r="T5091" t="s">
        <v>8986</v>
      </c>
      <c r="U5091" t="s">
        <v>58</v>
      </c>
      <c r="V5091">
        <v>1</v>
      </c>
      <c r="W5091">
        <v>1</v>
      </c>
      <c r="X5091">
        <v>2</v>
      </c>
      <c r="Y5091">
        <v>0</v>
      </c>
      <c r="Z5091">
        <v>2</v>
      </c>
      <c r="AA5091">
        <v>285.27</v>
      </c>
      <c r="AB5091">
        <v>285.27</v>
      </c>
      <c r="AC5091">
        <v>251</v>
      </c>
      <c r="AD5091">
        <v>0</v>
      </c>
      <c r="AE5091">
        <v>34.270000000000003</v>
      </c>
      <c r="AF5091">
        <v>0</v>
      </c>
      <c r="AG5091">
        <v>0</v>
      </c>
      <c r="AH5091">
        <v>0</v>
      </c>
      <c r="AI5091">
        <v>51.35</v>
      </c>
      <c r="AJ5091">
        <v>285.27</v>
      </c>
      <c r="AK5091">
        <v>0</v>
      </c>
      <c r="AL5091" t="s">
        <v>53</v>
      </c>
      <c r="AM5091" t="s">
        <v>53</v>
      </c>
      <c r="AN5091" t="s">
        <v>53</v>
      </c>
      <c r="AO5091" t="s">
        <v>53</v>
      </c>
      <c r="AP5091" t="s">
        <v>53</v>
      </c>
    </row>
    <row r="5092" spans="2:42" x14ac:dyDescent="0.2">
      <c r="B5092" t="s">
        <v>44</v>
      </c>
      <c r="C5092" t="str">
        <f>HYPERLINK("https://us2.cloudbeds.com/connect/8493803454333002#/reservations/9080486846177261?display=2F7KV76AJ9&amp;reservation_id=9080486846177261", "2F7KV76AJ9")</f>
        <v>2F7KV76AJ9</v>
      </c>
      <c r="D5092" t="s">
        <v>45</v>
      </c>
      <c r="E5092" t="s">
        <v>78</v>
      </c>
      <c r="F5092" t="s">
        <v>61</v>
      </c>
      <c r="G5092" t="s">
        <v>48</v>
      </c>
      <c r="H5092" t="s">
        <v>49</v>
      </c>
      <c r="I5092" t="s">
        <v>50</v>
      </c>
      <c r="J5092" t="s">
        <v>7861</v>
      </c>
      <c r="K5092" t="s">
        <v>7302</v>
      </c>
      <c r="L5092" t="s">
        <v>53</v>
      </c>
      <c r="N5092" t="s">
        <v>8987</v>
      </c>
      <c r="P5092" t="s">
        <v>55</v>
      </c>
      <c r="R5092" t="s">
        <v>53</v>
      </c>
      <c r="T5092" t="s">
        <v>8988</v>
      </c>
      <c r="U5092" t="s">
        <v>58</v>
      </c>
      <c r="V5092">
        <v>1</v>
      </c>
      <c r="W5092">
        <v>1</v>
      </c>
      <c r="X5092">
        <v>2</v>
      </c>
      <c r="Y5092">
        <v>0</v>
      </c>
      <c r="Z5092">
        <v>2</v>
      </c>
      <c r="AA5092">
        <v>177.82</v>
      </c>
      <c r="AB5092">
        <v>177.82</v>
      </c>
      <c r="AC5092">
        <v>156.46</v>
      </c>
      <c r="AD5092">
        <v>0</v>
      </c>
      <c r="AE5092">
        <v>21.36</v>
      </c>
      <c r="AF5092">
        <v>0</v>
      </c>
      <c r="AG5092">
        <v>0</v>
      </c>
      <c r="AH5092">
        <v>0</v>
      </c>
      <c r="AI5092">
        <v>32.01</v>
      </c>
      <c r="AJ5092">
        <v>177.82</v>
      </c>
      <c r="AK5092">
        <v>0</v>
      </c>
      <c r="AL5092" t="s">
        <v>53</v>
      </c>
      <c r="AM5092" t="s">
        <v>53</v>
      </c>
      <c r="AN5092" t="s">
        <v>53</v>
      </c>
      <c r="AO5092" t="s">
        <v>53</v>
      </c>
      <c r="AP5092" t="s">
        <v>53</v>
      </c>
    </row>
    <row r="5093" spans="2:42" x14ac:dyDescent="0.2">
      <c r="B5093" t="s">
        <v>44</v>
      </c>
      <c r="C5093" t="str">
        <f>HYPERLINK("https://us2.cloudbeds.com/connect/8493803454333002#/reservations/9080486846177540?display=2F7VVTD775&amp;reservation_id=9080486846177540", "2F7VVTD775")</f>
        <v>2F7VVTD775</v>
      </c>
      <c r="D5093" t="s">
        <v>45</v>
      </c>
      <c r="E5093" t="s">
        <v>128</v>
      </c>
      <c r="F5093" t="s">
        <v>86</v>
      </c>
      <c r="G5093" t="s">
        <v>48</v>
      </c>
      <c r="H5093" t="s">
        <v>49</v>
      </c>
      <c r="I5093" t="s">
        <v>50</v>
      </c>
      <c r="J5093" t="s">
        <v>8750</v>
      </c>
      <c r="K5093" t="s">
        <v>7151</v>
      </c>
      <c r="L5093" t="s">
        <v>53</v>
      </c>
      <c r="N5093" t="s">
        <v>8989</v>
      </c>
      <c r="P5093" t="s">
        <v>55</v>
      </c>
      <c r="R5093" t="s">
        <v>53</v>
      </c>
      <c r="T5093" t="s">
        <v>8990</v>
      </c>
      <c r="U5093" t="s">
        <v>58</v>
      </c>
      <c r="V5093">
        <v>1</v>
      </c>
      <c r="W5093">
        <v>1</v>
      </c>
      <c r="X5093">
        <v>4</v>
      </c>
      <c r="Y5093">
        <v>0</v>
      </c>
      <c r="Z5093">
        <v>4</v>
      </c>
      <c r="AA5093">
        <v>269.35000000000002</v>
      </c>
      <c r="AB5093">
        <v>269.35000000000002</v>
      </c>
      <c r="AC5093">
        <v>237</v>
      </c>
      <c r="AD5093">
        <v>0</v>
      </c>
      <c r="AE5093">
        <v>32.35</v>
      </c>
      <c r="AF5093">
        <v>0</v>
      </c>
      <c r="AG5093">
        <v>0</v>
      </c>
      <c r="AH5093">
        <v>0</v>
      </c>
      <c r="AI5093">
        <v>48.48</v>
      </c>
      <c r="AJ5093">
        <v>269.35000000000002</v>
      </c>
      <c r="AK5093">
        <v>0</v>
      </c>
      <c r="AL5093" t="s">
        <v>53</v>
      </c>
      <c r="AM5093" t="s">
        <v>53</v>
      </c>
      <c r="AN5093" t="s">
        <v>53</v>
      </c>
      <c r="AO5093" t="s">
        <v>53</v>
      </c>
      <c r="AP5093" t="s">
        <v>53</v>
      </c>
    </row>
    <row r="5094" spans="2:42" x14ac:dyDescent="0.2">
      <c r="B5094" t="s">
        <v>44</v>
      </c>
      <c r="C5094" t="str">
        <f>HYPERLINK("https://us2.cloudbeds.com/connect/8493803454333002#/reservations/9080486846178342?display=2F8NF2GWHN&amp;reservation_id=9080486846178342", "2F8NF2GWHN")</f>
        <v>2F8NF2GWHN</v>
      </c>
      <c r="D5094" t="s">
        <v>45</v>
      </c>
      <c r="E5094" t="s">
        <v>165</v>
      </c>
      <c r="F5094" t="s">
        <v>61</v>
      </c>
      <c r="G5094" t="s">
        <v>48</v>
      </c>
      <c r="H5094" t="s">
        <v>49</v>
      </c>
      <c r="I5094" t="s">
        <v>50</v>
      </c>
      <c r="J5094" t="s">
        <v>8911</v>
      </c>
      <c r="K5094" t="s">
        <v>8313</v>
      </c>
      <c r="L5094" t="s">
        <v>53</v>
      </c>
      <c r="N5094" t="s">
        <v>8991</v>
      </c>
      <c r="P5094" t="s">
        <v>55</v>
      </c>
      <c r="R5094" t="s">
        <v>53</v>
      </c>
      <c r="T5094" t="s">
        <v>8992</v>
      </c>
      <c r="U5094" t="s">
        <v>58</v>
      </c>
      <c r="V5094">
        <v>2</v>
      </c>
      <c r="W5094">
        <v>1</v>
      </c>
      <c r="X5094">
        <v>2</v>
      </c>
      <c r="Y5094">
        <v>0</v>
      </c>
      <c r="Z5094">
        <v>2</v>
      </c>
      <c r="AA5094">
        <v>278.22000000000003</v>
      </c>
      <c r="AB5094">
        <v>278.22000000000003</v>
      </c>
      <c r="AC5094">
        <v>244.8</v>
      </c>
      <c r="AD5094">
        <v>0</v>
      </c>
      <c r="AE5094">
        <v>33.42</v>
      </c>
      <c r="AF5094">
        <v>0</v>
      </c>
      <c r="AG5094">
        <v>0</v>
      </c>
      <c r="AH5094">
        <v>0</v>
      </c>
      <c r="AI5094">
        <v>50.08</v>
      </c>
      <c r="AJ5094">
        <v>278.22000000000003</v>
      </c>
      <c r="AK5094">
        <v>0</v>
      </c>
      <c r="AL5094" t="s">
        <v>53</v>
      </c>
      <c r="AM5094" t="s">
        <v>53</v>
      </c>
      <c r="AN5094" t="s">
        <v>53</v>
      </c>
      <c r="AO5094" t="s">
        <v>53</v>
      </c>
      <c r="AP5094" t="s">
        <v>53</v>
      </c>
    </row>
    <row r="5095" spans="2:42" x14ac:dyDescent="0.2">
      <c r="B5095" t="s">
        <v>44</v>
      </c>
      <c r="C5095" t="str">
        <f>HYPERLINK("https://us2.cloudbeds.com/connect/8493803454333002#/reservations/114288228118725?display=2F8YR47HKB&amp;reservation_id=114288228118725", "2F8YR47HKB")</f>
        <v>2F8YR47HKB</v>
      </c>
      <c r="D5095" t="s">
        <v>45</v>
      </c>
      <c r="E5095" t="s">
        <v>128</v>
      </c>
      <c r="F5095" t="s">
        <v>86</v>
      </c>
      <c r="G5095" t="s">
        <v>48</v>
      </c>
      <c r="H5095" t="s">
        <v>3957</v>
      </c>
      <c r="I5095" t="s">
        <v>3975</v>
      </c>
      <c r="J5095" t="s">
        <v>7353</v>
      </c>
      <c r="K5095" t="s">
        <v>8750</v>
      </c>
      <c r="L5095" t="s">
        <v>53</v>
      </c>
      <c r="P5095" t="s">
        <v>55</v>
      </c>
      <c r="R5095" t="s">
        <v>53</v>
      </c>
      <c r="T5095" t="s">
        <v>8993</v>
      </c>
      <c r="U5095" t="s">
        <v>58</v>
      </c>
      <c r="V5095">
        <v>1</v>
      </c>
      <c r="W5095">
        <v>1</v>
      </c>
      <c r="X5095">
        <v>2</v>
      </c>
      <c r="Y5095">
        <v>0</v>
      </c>
      <c r="Z5095">
        <v>2</v>
      </c>
      <c r="AA5095">
        <v>223.89</v>
      </c>
      <c r="AB5095">
        <v>223.89</v>
      </c>
      <c r="AC5095">
        <v>197</v>
      </c>
      <c r="AD5095">
        <v>0</v>
      </c>
      <c r="AE5095">
        <v>26.89</v>
      </c>
      <c r="AF5095">
        <v>0</v>
      </c>
      <c r="AG5095">
        <v>0</v>
      </c>
      <c r="AH5095">
        <v>0</v>
      </c>
      <c r="AI5095">
        <v>0</v>
      </c>
      <c r="AJ5095">
        <v>223.89</v>
      </c>
      <c r="AK5095">
        <v>0</v>
      </c>
      <c r="AL5095" t="s">
        <v>53</v>
      </c>
      <c r="AM5095" t="s">
        <v>53</v>
      </c>
      <c r="AN5095" t="s">
        <v>53</v>
      </c>
      <c r="AO5095" t="s">
        <v>53</v>
      </c>
      <c r="AP5095" t="s">
        <v>53</v>
      </c>
    </row>
    <row r="5096" spans="2:42" x14ac:dyDescent="0.2">
      <c r="B5096" t="s">
        <v>44</v>
      </c>
      <c r="C5096" t="str">
        <f>HYPERLINK("https://us2.cloudbeds.com/connect/8493803454333002#/reservations/9080486846178681?display=2F97QZVAQF&amp;reservation_id=9080486846178681", "2F97QZVAQF")</f>
        <v>2F97QZVAQF</v>
      </c>
      <c r="D5096" t="s">
        <v>45</v>
      </c>
      <c r="E5096" t="s">
        <v>179</v>
      </c>
      <c r="F5096" t="s">
        <v>47</v>
      </c>
      <c r="G5096" t="s">
        <v>48</v>
      </c>
      <c r="H5096" t="s">
        <v>49</v>
      </c>
      <c r="I5096" t="s">
        <v>50</v>
      </c>
      <c r="J5096" t="s">
        <v>5403</v>
      </c>
      <c r="K5096" t="s">
        <v>5905</v>
      </c>
      <c r="L5096" t="s">
        <v>53</v>
      </c>
      <c r="N5096" t="s">
        <v>8994</v>
      </c>
      <c r="P5096" t="s">
        <v>55</v>
      </c>
      <c r="R5096" t="s">
        <v>53</v>
      </c>
      <c r="T5096" t="s">
        <v>8995</v>
      </c>
      <c r="U5096" t="s">
        <v>58</v>
      </c>
      <c r="V5096">
        <v>1</v>
      </c>
      <c r="W5096">
        <v>1</v>
      </c>
      <c r="X5096">
        <v>2</v>
      </c>
      <c r="Y5096">
        <v>0</v>
      </c>
      <c r="Z5096">
        <v>2</v>
      </c>
      <c r="AA5096">
        <v>144.56</v>
      </c>
      <c r="AB5096">
        <v>144.56</v>
      </c>
      <c r="AC5096">
        <v>127.2</v>
      </c>
      <c r="AD5096">
        <v>0</v>
      </c>
      <c r="AE5096">
        <v>17.36</v>
      </c>
      <c r="AF5096">
        <v>0</v>
      </c>
      <c r="AG5096">
        <v>0</v>
      </c>
      <c r="AH5096">
        <v>0</v>
      </c>
      <c r="AI5096">
        <v>26.02</v>
      </c>
      <c r="AJ5096">
        <v>144.56</v>
      </c>
      <c r="AK5096">
        <v>0</v>
      </c>
      <c r="AL5096" t="s">
        <v>53</v>
      </c>
      <c r="AM5096" t="s">
        <v>53</v>
      </c>
      <c r="AN5096" t="s">
        <v>53</v>
      </c>
      <c r="AO5096" t="s">
        <v>53</v>
      </c>
      <c r="AP5096" t="s">
        <v>53</v>
      </c>
    </row>
    <row r="5097" spans="2:42" x14ac:dyDescent="0.2">
      <c r="B5097" t="s">
        <v>44</v>
      </c>
      <c r="C5097" t="str">
        <f>HYPERLINK("https://us2.cloudbeds.com/connect/8493803454333002#/reservations/9080486846178824?display=2F9EMR0TX8&amp;reservation_id=9080486846178824", "2F9EMR0TX8")</f>
        <v>2F9EMR0TX8</v>
      </c>
      <c r="D5097" t="s">
        <v>45</v>
      </c>
      <c r="E5097" t="s">
        <v>85</v>
      </c>
      <c r="F5097" t="s">
        <v>86</v>
      </c>
      <c r="G5097" t="s">
        <v>48</v>
      </c>
      <c r="H5097" t="s">
        <v>49</v>
      </c>
      <c r="I5097" t="s">
        <v>50</v>
      </c>
      <c r="J5097" t="s">
        <v>8119</v>
      </c>
      <c r="K5097" t="s">
        <v>7864</v>
      </c>
      <c r="L5097" t="s">
        <v>53</v>
      </c>
      <c r="N5097" t="s">
        <v>8996</v>
      </c>
      <c r="P5097" t="s">
        <v>55</v>
      </c>
      <c r="R5097" t="s">
        <v>53</v>
      </c>
      <c r="T5097" t="s">
        <v>8997</v>
      </c>
      <c r="U5097" t="s">
        <v>58</v>
      </c>
      <c r="V5097">
        <v>1</v>
      </c>
      <c r="W5097">
        <v>1</v>
      </c>
      <c r="X5097">
        <v>2</v>
      </c>
      <c r="Y5097">
        <v>0</v>
      </c>
      <c r="Z5097">
        <v>2</v>
      </c>
      <c r="AA5097">
        <v>171.83</v>
      </c>
      <c r="AB5097">
        <v>171.83</v>
      </c>
      <c r="AC5097">
        <v>151.19999999999999</v>
      </c>
      <c r="AD5097">
        <v>0</v>
      </c>
      <c r="AE5097">
        <v>20.63</v>
      </c>
      <c r="AF5097">
        <v>0</v>
      </c>
      <c r="AG5097">
        <v>0</v>
      </c>
      <c r="AH5097">
        <v>0</v>
      </c>
      <c r="AI5097">
        <v>30.93</v>
      </c>
      <c r="AJ5097">
        <v>171.83</v>
      </c>
      <c r="AK5097">
        <v>0</v>
      </c>
      <c r="AL5097" t="s">
        <v>53</v>
      </c>
      <c r="AM5097" t="s">
        <v>53</v>
      </c>
      <c r="AN5097" t="s">
        <v>53</v>
      </c>
      <c r="AO5097" t="s">
        <v>53</v>
      </c>
      <c r="AP5097" t="s">
        <v>53</v>
      </c>
    </row>
    <row r="5098" spans="2:42" x14ac:dyDescent="0.2">
      <c r="B5098" t="s">
        <v>44</v>
      </c>
      <c r="C5098" t="str">
        <f>HYPERLINK("https://us2.cloudbeds.com/connect/8493803454333002#/reservations/9080486846178905?display=2F9XMHEQR5&amp;reservation_id=9080486846178905", "2F9XMHEQR5")</f>
        <v>2F9XMHEQR5</v>
      </c>
      <c r="D5098" t="s">
        <v>45</v>
      </c>
      <c r="E5098" t="s">
        <v>92</v>
      </c>
      <c r="F5098" t="s">
        <v>86</v>
      </c>
      <c r="G5098" t="s">
        <v>48</v>
      </c>
      <c r="H5098" t="s">
        <v>49</v>
      </c>
      <c r="I5098" t="s">
        <v>50</v>
      </c>
      <c r="J5098" t="s">
        <v>6662</v>
      </c>
      <c r="K5098" t="s">
        <v>7595</v>
      </c>
      <c r="L5098" t="s">
        <v>53</v>
      </c>
      <c r="N5098" t="s">
        <v>8998</v>
      </c>
      <c r="P5098" t="s">
        <v>55</v>
      </c>
      <c r="R5098" t="s">
        <v>53</v>
      </c>
      <c r="T5098" t="s">
        <v>8999</v>
      </c>
      <c r="U5098" t="s">
        <v>58</v>
      </c>
      <c r="V5098">
        <v>1</v>
      </c>
      <c r="W5098">
        <v>1</v>
      </c>
      <c r="X5098">
        <v>1</v>
      </c>
      <c r="Y5098">
        <v>0</v>
      </c>
      <c r="Z5098">
        <v>1</v>
      </c>
      <c r="AA5098">
        <v>256.74</v>
      </c>
      <c r="AB5098">
        <v>256.74</v>
      </c>
      <c r="AC5098">
        <v>225.9</v>
      </c>
      <c r="AD5098">
        <v>0</v>
      </c>
      <c r="AE5098">
        <v>30.84</v>
      </c>
      <c r="AF5098">
        <v>0</v>
      </c>
      <c r="AG5098">
        <v>0</v>
      </c>
      <c r="AH5098">
        <v>0</v>
      </c>
      <c r="AI5098">
        <v>46.21</v>
      </c>
      <c r="AJ5098">
        <v>256.74</v>
      </c>
      <c r="AK5098">
        <v>0</v>
      </c>
      <c r="AL5098" t="s">
        <v>53</v>
      </c>
      <c r="AM5098" t="s">
        <v>53</v>
      </c>
      <c r="AN5098" t="s">
        <v>53</v>
      </c>
      <c r="AO5098" t="s">
        <v>53</v>
      </c>
      <c r="AP5098" t="s">
        <v>53</v>
      </c>
    </row>
    <row r="5099" spans="2:42" x14ac:dyDescent="0.2">
      <c r="B5099" t="s">
        <v>44</v>
      </c>
      <c r="C5099" t="str">
        <f>HYPERLINK("https://us2.cloudbeds.com/connect/8493803454333002#/reservations/9080486846179110?display=2F9T2JRQH4&amp;reservation_id=9080486846179110", "2F9T2JRQH4")</f>
        <v>2F9T2JRQH4</v>
      </c>
      <c r="D5099" t="s">
        <v>45</v>
      </c>
      <c r="E5099" t="s">
        <v>138</v>
      </c>
      <c r="F5099" t="s">
        <v>70</v>
      </c>
      <c r="G5099" t="s">
        <v>48</v>
      </c>
      <c r="H5099" t="s">
        <v>49</v>
      </c>
      <c r="I5099" t="s">
        <v>62</v>
      </c>
      <c r="J5099" t="s">
        <v>7751</v>
      </c>
      <c r="K5099" t="s">
        <v>4009</v>
      </c>
      <c r="L5099" t="s">
        <v>53</v>
      </c>
      <c r="N5099" t="s">
        <v>9000</v>
      </c>
      <c r="P5099" t="s">
        <v>55</v>
      </c>
      <c r="R5099" t="s">
        <v>56</v>
      </c>
      <c r="T5099" t="s">
        <v>9001</v>
      </c>
      <c r="U5099" t="s">
        <v>55</v>
      </c>
      <c r="V5099">
        <v>3</v>
      </c>
      <c r="W5099">
        <v>1</v>
      </c>
      <c r="X5099">
        <v>2</v>
      </c>
      <c r="Y5099">
        <v>0</v>
      </c>
      <c r="Z5099">
        <v>2</v>
      </c>
      <c r="AA5099">
        <v>374</v>
      </c>
      <c r="AB5099">
        <v>374</v>
      </c>
      <c r="AC5099">
        <v>374</v>
      </c>
      <c r="AD5099">
        <v>0</v>
      </c>
      <c r="AE5099">
        <v>0</v>
      </c>
      <c r="AF5099">
        <v>0</v>
      </c>
      <c r="AG5099">
        <v>0</v>
      </c>
      <c r="AH5099">
        <v>0</v>
      </c>
      <c r="AI5099">
        <v>67.319999999999993</v>
      </c>
      <c r="AJ5099">
        <v>374</v>
      </c>
      <c r="AK5099">
        <v>0</v>
      </c>
      <c r="AL5099" t="s">
        <v>53</v>
      </c>
      <c r="AM5099" t="s">
        <v>53</v>
      </c>
      <c r="AN5099" t="s">
        <v>53</v>
      </c>
      <c r="AO5099" t="s">
        <v>53</v>
      </c>
      <c r="AP5099" t="s">
        <v>53</v>
      </c>
    </row>
    <row r="5100" spans="2:42" x14ac:dyDescent="0.2">
      <c r="B5100" t="s">
        <v>44</v>
      </c>
      <c r="C5100" t="str">
        <f>HYPERLINK("https://us2.cloudbeds.com/connect/8493803454333002#/reservations/114346064969888?display=2FA0JWQ5PP&amp;reservation_id=114346064969888", "2FA0JWQ5PP")</f>
        <v>2FA0JWQ5PP</v>
      </c>
      <c r="D5100" t="s">
        <v>45</v>
      </c>
      <c r="E5100" t="s">
        <v>78</v>
      </c>
      <c r="F5100" t="s">
        <v>61</v>
      </c>
      <c r="G5100" t="s">
        <v>3974</v>
      </c>
      <c r="H5100" t="s">
        <v>3957</v>
      </c>
      <c r="I5100" t="s">
        <v>3975</v>
      </c>
      <c r="J5100" t="s">
        <v>7352</v>
      </c>
      <c r="K5100" t="s">
        <v>7510</v>
      </c>
      <c r="L5100" t="s">
        <v>53</v>
      </c>
      <c r="P5100" t="s">
        <v>55</v>
      </c>
      <c r="R5100" t="s">
        <v>53</v>
      </c>
      <c r="T5100" t="s">
        <v>9002</v>
      </c>
      <c r="U5100" t="s">
        <v>58</v>
      </c>
      <c r="V5100">
        <v>1</v>
      </c>
      <c r="W5100">
        <v>1</v>
      </c>
      <c r="X5100">
        <v>2</v>
      </c>
      <c r="Y5100">
        <v>0</v>
      </c>
      <c r="Z5100">
        <v>2</v>
      </c>
      <c r="AA5100">
        <v>200.81</v>
      </c>
      <c r="AB5100">
        <v>200.81</v>
      </c>
      <c r="AC5100">
        <v>176.7</v>
      </c>
      <c r="AD5100">
        <v>0</v>
      </c>
      <c r="AE5100">
        <v>24.11</v>
      </c>
      <c r="AF5100">
        <v>0</v>
      </c>
      <c r="AG5100">
        <v>0</v>
      </c>
      <c r="AH5100">
        <v>0</v>
      </c>
      <c r="AI5100">
        <v>0</v>
      </c>
      <c r="AJ5100">
        <v>200.81</v>
      </c>
      <c r="AK5100">
        <v>0</v>
      </c>
      <c r="AL5100" t="s">
        <v>53</v>
      </c>
      <c r="AM5100" t="s">
        <v>53</v>
      </c>
      <c r="AN5100" t="s">
        <v>53</v>
      </c>
      <c r="AO5100" t="s">
        <v>53</v>
      </c>
      <c r="AP5100" t="s">
        <v>53</v>
      </c>
    </row>
    <row r="5101" spans="2:42" x14ac:dyDescent="0.2">
      <c r="B5101" t="s">
        <v>44</v>
      </c>
      <c r="C5101" t="str">
        <f>HYPERLINK("https://us2.cloudbeds.com/connect/8493803454333002#/reservations/9080486846179266?display=2FA4AGH2HM&amp;reservation_id=9080486846179266", "2FA4AGH2HM")</f>
        <v>2FA4AGH2HM</v>
      </c>
      <c r="D5101" t="s">
        <v>45</v>
      </c>
      <c r="E5101" t="s">
        <v>128</v>
      </c>
      <c r="F5101" t="s">
        <v>86</v>
      </c>
      <c r="G5101" t="s">
        <v>48</v>
      </c>
      <c r="H5101" t="s">
        <v>49</v>
      </c>
      <c r="I5101" t="s">
        <v>50</v>
      </c>
      <c r="J5101" t="s">
        <v>6944</v>
      </c>
      <c r="K5101" t="s">
        <v>7414</v>
      </c>
      <c r="L5101" t="s">
        <v>53</v>
      </c>
      <c r="N5101" t="s">
        <v>9003</v>
      </c>
      <c r="P5101" t="s">
        <v>55</v>
      </c>
      <c r="R5101" t="s">
        <v>53</v>
      </c>
      <c r="T5101" t="s">
        <v>9004</v>
      </c>
      <c r="U5101" t="s">
        <v>58</v>
      </c>
      <c r="V5101">
        <v>1</v>
      </c>
      <c r="W5101">
        <v>1</v>
      </c>
      <c r="X5101">
        <v>2</v>
      </c>
      <c r="Y5101">
        <v>0</v>
      </c>
      <c r="Z5101">
        <v>2</v>
      </c>
      <c r="AA5101">
        <v>182.57</v>
      </c>
      <c r="AB5101">
        <v>182.57</v>
      </c>
      <c r="AC5101">
        <v>160.65</v>
      </c>
      <c r="AD5101">
        <v>0</v>
      </c>
      <c r="AE5101">
        <v>21.92</v>
      </c>
      <c r="AF5101">
        <v>0</v>
      </c>
      <c r="AG5101">
        <v>0</v>
      </c>
      <c r="AH5101">
        <v>0</v>
      </c>
      <c r="AI5101">
        <v>32.86</v>
      </c>
      <c r="AJ5101">
        <v>182.57</v>
      </c>
      <c r="AK5101">
        <v>0</v>
      </c>
      <c r="AL5101" t="s">
        <v>53</v>
      </c>
      <c r="AM5101" t="s">
        <v>53</v>
      </c>
      <c r="AN5101" t="s">
        <v>53</v>
      </c>
      <c r="AO5101" t="s">
        <v>53</v>
      </c>
      <c r="AP5101" t="s">
        <v>53</v>
      </c>
    </row>
    <row r="5102" spans="2:42" x14ac:dyDescent="0.2">
      <c r="B5102" t="s">
        <v>44</v>
      </c>
      <c r="C5102" t="str">
        <f>HYPERLINK("https://us2.cloudbeds.com/connect/8493803454333002#/reservations/9080486846179418?display=2FABGCNRYB&amp;reservation_id=9080486846179418", "2FABGCNRYB")</f>
        <v>2FABGCNRYB</v>
      </c>
      <c r="D5102" t="s">
        <v>45</v>
      </c>
      <c r="E5102" t="s">
        <v>113</v>
      </c>
      <c r="F5102" t="s">
        <v>61</v>
      </c>
      <c r="G5102" t="s">
        <v>48</v>
      </c>
      <c r="H5102" t="s">
        <v>49</v>
      </c>
      <c r="I5102" t="s">
        <v>50</v>
      </c>
      <c r="J5102" t="s">
        <v>7989</v>
      </c>
      <c r="K5102" t="s">
        <v>8829</v>
      </c>
      <c r="L5102" t="s">
        <v>53</v>
      </c>
      <c r="N5102" t="s">
        <v>9005</v>
      </c>
      <c r="P5102" t="s">
        <v>55</v>
      </c>
      <c r="R5102" t="s">
        <v>53</v>
      </c>
      <c r="T5102" t="s">
        <v>9006</v>
      </c>
      <c r="U5102" t="s">
        <v>58</v>
      </c>
      <c r="V5102">
        <v>2</v>
      </c>
      <c r="W5102">
        <v>1</v>
      </c>
      <c r="X5102">
        <v>2</v>
      </c>
      <c r="Y5102">
        <v>0</v>
      </c>
      <c r="Z5102">
        <v>2</v>
      </c>
      <c r="AA5102">
        <v>271.83999999999997</v>
      </c>
      <c r="AB5102">
        <v>271.83999999999997</v>
      </c>
      <c r="AC5102">
        <v>239.2</v>
      </c>
      <c r="AD5102">
        <v>0</v>
      </c>
      <c r="AE5102">
        <v>32.64</v>
      </c>
      <c r="AF5102">
        <v>0</v>
      </c>
      <c r="AG5102">
        <v>0</v>
      </c>
      <c r="AH5102">
        <v>0</v>
      </c>
      <c r="AI5102">
        <v>48.93</v>
      </c>
      <c r="AJ5102">
        <v>271.83999999999997</v>
      </c>
      <c r="AK5102">
        <v>0</v>
      </c>
      <c r="AL5102" t="s">
        <v>53</v>
      </c>
      <c r="AM5102" t="s">
        <v>53</v>
      </c>
      <c r="AN5102" t="s">
        <v>53</v>
      </c>
      <c r="AO5102" t="s">
        <v>53</v>
      </c>
      <c r="AP5102" t="s">
        <v>53</v>
      </c>
    </row>
    <row r="5103" spans="2:42" x14ac:dyDescent="0.2">
      <c r="B5103" t="s">
        <v>44</v>
      </c>
      <c r="C5103" t="str">
        <f>HYPERLINK("https://us2.cloudbeds.com/connect/8493803454333002#/reservations/114373815455953?display=2FAM32ZBPU&amp;reservation_id=114373815455953", "2FAM32ZBPU")</f>
        <v>2FAM32ZBPU</v>
      </c>
      <c r="D5103" t="s">
        <v>45</v>
      </c>
      <c r="E5103" t="s">
        <v>110</v>
      </c>
      <c r="F5103" t="s">
        <v>47</v>
      </c>
      <c r="G5103" t="s">
        <v>48</v>
      </c>
      <c r="H5103" t="s">
        <v>3957</v>
      </c>
      <c r="I5103" t="s">
        <v>3975</v>
      </c>
      <c r="J5103" t="s">
        <v>7962</v>
      </c>
      <c r="K5103" t="s">
        <v>7821</v>
      </c>
      <c r="L5103" t="s">
        <v>53</v>
      </c>
      <c r="P5103" t="s">
        <v>55</v>
      </c>
      <c r="R5103" t="s">
        <v>53</v>
      </c>
      <c r="T5103" t="s">
        <v>9007</v>
      </c>
      <c r="U5103" t="s">
        <v>58</v>
      </c>
      <c r="V5103">
        <v>1</v>
      </c>
      <c r="W5103">
        <v>1</v>
      </c>
      <c r="X5103">
        <v>1</v>
      </c>
      <c r="Y5103">
        <v>0</v>
      </c>
      <c r="Z5103">
        <v>1</v>
      </c>
      <c r="AA5103">
        <v>146.61000000000001</v>
      </c>
      <c r="AB5103">
        <v>146.61000000000001</v>
      </c>
      <c r="AC5103">
        <v>129</v>
      </c>
      <c r="AD5103">
        <v>0</v>
      </c>
      <c r="AE5103">
        <v>17.61</v>
      </c>
      <c r="AF5103">
        <v>0</v>
      </c>
      <c r="AG5103">
        <v>0</v>
      </c>
      <c r="AH5103">
        <v>0</v>
      </c>
      <c r="AI5103">
        <v>0</v>
      </c>
      <c r="AJ5103">
        <v>146.61000000000001</v>
      </c>
      <c r="AK5103">
        <v>0</v>
      </c>
      <c r="AL5103" t="s">
        <v>53</v>
      </c>
      <c r="AM5103" t="s">
        <v>53</v>
      </c>
      <c r="AN5103" t="s">
        <v>53</v>
      </c>
      <c r="AO5103" t="s">
        <v>53</v>
      </c>
      <c r="AP5103" t="s">
        <v>53</v>
      </c>
    </row>
    <row r="5104" spans="2:42" x14ac:dyDescent="0.2">
      <c r="B5104" t="s">
        <v>44</v>
      </c>
      <c r="C5104" t="str">
        <f>HYPERLINK("https://us2.cloudbeds.com/connect/8493803454333002#/reservations/9080486846179800?display=2FAV55WFD6&amp;reservation_id=9080486846179800", "2FAV55WFD6")</f>
        <v>2FAV55WFD6</v>
      </c>
      <c r="D5104" t="s">
        <v>45</v>
      </c>
      <c r="E5104" t="s">
        <v>69</v>
      </c>
      <c r="F5104" t="s">
        <v>70</v>
      </c>
      <c r="G5104" t="s">
        <v>48</v>
      </c>
      <c r="H5104" t="s">
        <v>49</v>
      </c>
      <c r="I5104" t="s">
        <v>50</v>
      </c>
      <c r="J5104" t="s">
        <v>7595</v>
      </c>
      <c r="K5104" t="s">
        <v>6943</v>
      </c>
      <c r="L5104" t="s">
        <v>53</v>
      </c>
      <c r="N5104" t="s">
        <v>9008</v>
      </c>
      <c r="P5104" t="s">
        <v>55</v>
      </c>
      <c r="R5104" t="s">
        <v>56</v>
      </c>
      <c r="T5104" t="s">
        <v>9009</v>
      </c>
      <c r="U5104" t="s">
        <v>58</v>
      </c>
      <c r="V5104">
        <v>1</v>
      </c>
      <c r="W5104">
        <v>1</v>
      </c>
      <c r="X5104">
        <v>1</v>
      </c>
      <c r="Y5104">
        <v>0</v>
      </c>
      <c r="Z5104">
        <v>1</v>
      </c>
      <c r="AA5104">
        <v>199.97</v>
      </c>
      <c r="AB5104">
        <v>199.97</v>
      </c>
      <c r="AC5104">
        <v>175.95</v>
      </c>
      <c r="AD5104">
        <v>0</v>
      </c>
      <c r="AE5104">
        <v>24.02</v>
      </c>
      <c r="AF5104">
        <v>0</v>
      </c>
      <c r="AG5104">
        <v>0</v>
      </c>
      <c r="AH5104">
        <v>0</v>
      </c>
      <c r="AI5104">
        <v>35.99</v>
      </c>
      <c r="AJ5104">
        <v>199.97</v>
      </c>
      <c r="AK5104">
        <v>0</v>
      </c>
      <c r="AL5104" t="s">
        <v>53</v>
      </c>
      <c r="AM5104" t="s">
        <v>53</v>
      </c>
      <c r="AN5104" t="s">
        <v>53</v>
      </c>
      <c r="AO5104" t="s">
        <v>53</v>
      </c>
      <c r="AP5104" t="s">
        <v>53</v>
      </c>
    </row>
    <row r="5105" spans="2:42" x14ac:dyDescent="0.2">
      <c r="B5105" t="s">
        <v>44</v>
      </c>
      <c r="C5105" t="str">
        <f>HYPERLINK("https://us2.cloudbeds.com/connect/8493803454333002#/reservations/9080486846182844?display=2FFR6PNZMW&amp;reservation_id=9080486846182844", "2FFR6PNZMW")</f>
        <v>2FFR6PNZMW</v>
      </c>
      <c r="D5105" t="s">
        <v>45</v>
      </c>
      <c r="E5105" t="s">
        <v>381</v>
      </c>
      <c r="F5105" t="s">
        <v>47</v>
      </c>
      <c r="G5105" t="s">
        <v>48</v>
      </c>
      <c r="H5105" t="s">
        <v>49</v>
      </c>
      <c r="I5105" t="s">
        <v>50</v>
      </c>
      <c r="J5105" t="s">
        <v>7595</v>
      </c>
      <c r="K5105" t="s">
        <v>6943</v>
      </c>
      <c r="L5105" t="s">
        <v>53</v>
      </c>
      <c r="N5105" t="s">
        <v>9010</v>
      </c>
      <c r="P5105" t="s">
        <v>55</v>
      </c>
      <c r="R5105" t="s">
        <v>53</v>
      </c>
      <c r="T5105" t="s">
        <v>9011</v>
      </c>
      <c r="U5105" t="s">
        <v>58</v>
      </c>
      <c r="V5105">
        <v>1</v>
      </c>
      <c r="W5105">
        <v>1</v>
      </c>
      <c r="X5105">
        <v>1</v>
      </c>
      <c r="Y5105">
        <v>0</v>
      </c>
      <c r="Z5105">
        <v>1</v>
      </c>
      <c r="AA5105">
        <v>237.31</v>
      </c>
      <c r="AB5105">
        <v>237.31</v>
      </c>
      <c r="AC5105">
        <v>208.8</v>
      </c>
      <c r="AD5105">
        <v>0</v>
      </c>
      <c r="AE5105">
        <v>28.51</v>
      </c>
      <c r="AF5105">
        <v>0</v>
      </c>
      <c r="AG5105">
        <v>0</v>
      </c>
      <c r="AH5105">
        <v>0</v>
      </c>
      <c r="AI5105">
        <v>42.72</v>
      </c>
      <c r="AJ5105">
        <v>237.31</v>
      </c>
      <c r="AK5105">
        <v>0</v>
      </c>
      <c r="AL5105" t="s">
        <v>53</v>
      </c>
      <c r="AM5105" t="s">
        <v>53</v>
      </c>
      <c r="AN5105" t="s">
        <v>53</v>
      </c>
      <c r="AO5105" t="s">
        <v>53</v>
      </c>
      <c r="AP5105" t="s">
        <v>53</v>
      </c>
    </row>
    <row r="5106" spans="2:42" x14ac:dyDescent="0.2">
      <c r="B5106" t="s">
        <v>44</v>
      </c>
      <c r="C5106" t="str">
        <f>HYPERLINK("https://us2.cloudbeds.com/connect/8493803454333002#/reservations/9080486846183453?display=2FGHGPJXGV&amp;reservation_id=9080486846183453", "2FGHGPJXGV")</f>
        <v>2FGHGPJXGV</v>
      </c>
      <c r="D5106" t="s">
        <v>45</v>
      </c>
      <c r="E5106" t="s">
        <v>98</v>
      </c>
      <c r="F5106" t="s">
        <v>86</v>
      </c>
      <c r="G5106" t="s">
        <v>48</v>
      </c>
      <c r="H5106" t="s">
        <v>49</v>
      </c>
      <c r="I5106" t="s">
        <v>62</v>
      </c>
      <c r="J5106" t="s">
        <v>6943</v>
      </c>
      <c r="K5106" t="s">
        <v>7275</v>
      </c>
      <c r="L5106" t="s">
        <v>53</v>
      </c>
      <c r="N5106" t="s">
        <v>9012</v>
      </c>
      <c r="P5106" t="s">
        <v>55</v>
      </c>
      <c r="R5106" t="s">
        <v>56</v>
      </c>
      <c r="T5106" t="s">
        <v>9013</v>
      </c>
      <c r="U5106" t="s">
        <v>55</v>
      </c>
      <c r="V5106">
        <v>1</v>
      </c>
      <c r="W5106">
        <v>1</v>
      </c>
      <c r="X5106">
        <v>2</v>
      </c>
      <c r="Y5106">
        <v>0</v>
      </c>
      <c r="Z5106">
        <v>2</v>
      </c>
      <c r="AA5106">
        <v>254</v>
      </c>
      <c r="AB5106">
        <v>254</v>
      </c>
      <c r="AC5106">
        <v>254</v>
      </c>
      <c r="AD5106">
        <v>0</v>
      </c>
      <c r="AE5106">
        <v>0</v>
      </c>
      <c r="AF5106">
        <v>0</v>
      </c>
      <c r="AG5106">
        <v>0</v>
      </c>
      <c r="AH5106">
        <v>0</v>
      </c>
      <c r="AI5106">
        <v>45.72</v>
      </c>
      <c r="AJ5106">
        <v>254</v>
      </c>
      <c r="AK5106">
        <v>0</v>
      </c>
      <c r="AL5106" t="s">
        <v>53</v>
      </c>
      <c r="AM5106" t="s">
        <v>53</v>
      </c>
      <c r="AN5106" t="s">
        <v>53</v>
      </c>
      <c r="AO5106" t="s">
        <v>53</v>
      </c>
      <c r="AP5106" t="s">
        <v>53</v>
      </c>
    </row>
    <row r="5107" spans="2:42" x14ac:dyDescent="0.2">
      <c r="B5107" t="s">
        <v>44</v>
      </c>
      <c r="C5107" t="str">
        <f>HYPERLINK("https://us2.cloudbeds.com/connect/8493803454333002#/reservations/9080486846185219?display=2FJ018U84S&amp;reservation_id=9080486846185219", "2FJ018U84S")</f>
        <v>2FJ018U84S</v>
      </c>
      <c r="D5107" t="s">
        <v>45</v>
      </c>
      <c r="E5107" t="s">
        <v>113</v>
      </c>
      <c r="F5107" t="s">
        <v>61</v>
      </c>
      <c r="G5107" t="s">
        <v>48</v>
      </c>
      <c r="H5107" t="s">
        <v>49</v>
      </c>
      <c r="I5107" t="s">
        <v>50</v>
      </c>
      <c r="J5107" t="s">
        <v>5593</v>
      </c>
      <c r="K5107" t="s">
        <v>5594</v>
      </c>
      <c r="L5107" t="s">
        <v>53</v>
      </c>
      <c r="N5107" t="s">
        <v>9014</v>
      </c>
      <c r="P5107" t="s">
        <v>55</v>
      </c>
      <c r="R5107" t="s">
        <v>53</v>
      </c>
      <c r="T5107" t="s">
        <v>9015</v>
      </c>
      <c r="U5107" t="s">
        <v>58</v>
      </c>
      <c r="V5107">
        <v>1</v>
      </c>
      <c r="W5107">
        <v>1</v>
      </c>
      <c r="X5107">
        <v>2</v>
      </c>
      <c r="Y5107">
        <v>0</v>
      </c>
      <c r="Z5107">
        <v>2</v>
      </c>
      <c r="AA5107">
        <v>194.17</v>
      </c>
      <c r="AB5107">
        <v>194.17</v>
      </c>
      <c r="AC5107">
        <v>170.85</v>
      </c>
      <c r="AD5107">
        <v>0</v>
      </c>
      <c r="AE5107">
        <v>23.32</v>
      </c>
      <c r="AF5107">
        <v>0</v>
      </c>
      <c r="AG5107">
        <v>0</v>
      </c>
      <c r="AH5107">
        <v>0</v>
      </c>
      <c r="AI5107">
        <v>34.950000000000003</v>
      </c>
      <c r="AJ5107">
        <v>194.17</v>
      </c>
      <c r="AK5107">
        <v>0</v>
      </c>
      <c r="AL5107" t="s">
        <v>53</v>
      </c>
      <c r="AM5107" t="s">
        <v>53</v>
      </c>
      <c r="AN5107" t="s">
        <v>53</v>
      </c>
      <c r="AO5107" t="s">
        <v>53</v>
      </c>
      <c r="AP5107" t="s">
        <v>53</v>
      </c>
    </row>
    <row r="5108" spans="2:42" x14ac:dyDescent="0.2">
      <c r="B5108" t="s">
        <v>44</v>
      </c>
      <c r="C5108" t="str">
        <f>HYPERLINK("https://us2.cloudbeds.com/connect/8493803454333002#/reservations/114737477279998?display=2FJ6MG0MN0&amp;reservation_id=114737477279998", "2FJ6MG0MN0")</f>
        <v>2FJ6MG0MN0</v>
      </c>
      <c r="D5108" t="s">
        <v>45</v>
      </c>
      <c r="E5108" t="s">
        <v>69</v>
      </c>
      <c r="F5108" t="s">
        <v>70</v>
      </c>
      <c r="G5108" t="s">
        <v>48</v>
      </c>
      <c r="H5108" t="s">
        <v>3957</v>
      </c>
      <c r="I5108" t="s">
        <v>3975</v>
      </c>
      <c r="J5108" t="s">
        <v>6943</v>
      </c>
      <c r="K5108" t="s">
        <v>7275</v>
      </c>
      <c r="L5108" t="s">
        <v>53</v>
      </c>
      <c r="P5108" t="s">
        <v>55</v>
      </c>
      <c r="R5108" t="s">
        <v>53</v>
      </c>
      <c r="T5108" t="s">
        <v>9016</v>
      </c>
      <c r="U5108" t="s">
        <v>58</v>
      </c>
      <c r="V5108">
        <v>1</v>
      </c>
      <c r="W5108">
        <v>1</v>
      </c>
      <c r="X5108">
        <v>2</v>
      </c>
      <c r="Y5108">
        <v>0</v>
      </c>
      <c r="Z5108">
        <v>2</v>
      </c>
      <c r="AA5108">
        <v>239.81</v>
      </c>
      <c r="AB5108">
        <v>239.81</v>
      </c>
      <c r="AC5108">
        <v>211</v>
      </c>
      <c r="AD5108">
        <v>0</v>
      </c>
      <c r="AE5108">
        <v>28.81</v>
      </c>
      <c r="AF5108">
        <v>0</v>
      </c>
      <c r="AG5108">
        <v>0</v>
      </c>
      <c r="AH5108">
        <v>0</v>
      </c>
      <c r="AI5108">
        <v>0</v>
      </c>
      <c r="AJ5108">
        <v>239.81</v>
      </c>
      <c r="AK5108">
        <v>0</v>
      </c>
      <c r="AL5108" t="s">
        <v>53</v>
      </c>
      <c r="AM5108" t="s">
        <v>53</v>
      </c>
      <c r="AN5108" t="s">
        <v>53</v>
      </c>
      <c r="AO5108" t="s">
        <v>53</v>
      </c>
      <c r="AP5108" t="s">
        <v>53</v>
      </c>
    </row>
    <row r="5109" spans="2:42" x14ac:dyDescent="0.2">
      <c r="B5109" t="s">
        <v>44</v>
      </c>
      <c r="C5109" t="str">
        <f>HYPERLINK("https://us2.cloudbeds.com/connect/8493803454333002#/reservations/9080486846185620?display=2FJEKJ0JA1&amp;reservation_id=9080486846185620", "2FJEKJ0JA1")</f>
        <v>2FJEKJ0JA1</v>
      </c>
      <c r="D5109" t="s">
        <v>45</v>
      </c>
      <c r="E5109" t="s">
        <v>121</v>
      </c>
      <c r="F5109" t="s">
        <v>86</v>
      </c>
      <c r="G5109" t="s">
        <v>48</v>
      </c>
      <c r="H5109" t="s">
        <v>49</v>
      </c>
      <c r="I5109" t="s">
        <v>50</v>
      </c>
      <c r="J5109" t="s">
        <v>6943</v>
      </c>
      <c r="K5109" t="s">
        <v>7275</v>
      </c>
      <c r="L5109" t="s">
        <v>53</v>
      </c>
      <c r="N5109" t="s">
        <v>9017</v>
      </c>
      <c r="P5109" t="s">
        <v>55</v>
      </c>
      <c r="R5109" t="s">
        <v>53</v>
      </c>
      <c r="T5109" t="s">
        <v>9018</v>
      </c>
      <c r="U5109" t="s">
        <v>58</v>
      </c>
      <c r="V5109">
        <v>1</v>
      </c>
      <c r="W5109">
        <v>1</v>
      </c>
      <c r="X5109">
        <v>2</v>
      </c>
      <c r="Y5109">
        <v>2</v>
      </c>
      <c r="Z5109">
        <v>4</v>
      </c>
      <c r="AA5109">
        <v>233.66</v>
      </c>
      <c r="AB5109">
        <v>233.66</v>
      </c>
      <c r="AC5109">
        <v>205.6</v>
      </c>
      <c r="AD5109">
        <v>0</v>
      </c>
      <c r="AE5109">
        <v>28.06</v>
      </c>
      <c r="AF5109">
        <v>0</v>
      </c>
      <c r="AG5109">
        <v>0</v>
      </c>
      <c r="AH5109">
        <v>0</v>
      </c>
      <c r="AI5109">
        <v>42.06</v>
      </c>
      <c r="AJ5109">
        <v>233.66</v>
      </c>
      <c r="AK5109">
        <v>0</v>
      </c>
      <c r="AL5109" t="s">
        <v>53</v>
      </c>
      <c r="AM5109" t="s">
        <v>53</v>
      </c>
      <c r="AN5109" t="s">
        <v>53</v>
      </c>
      <c r="AO5109" t="s">
        <v>53</v>
      </c>
      <c r="AP5109" t="s">
        <v>53</v>
      </c>
    </row>
    <row r="5110" spans="2:42" x14ac:dyDescent="0.2">
      <c r="B5110" t="s">
        <v>44</v>
      </c>
      <c r="C5110" t="str">
        <f>HYPERLINK("https://us2.cloudbeds.com/connect/8493803454333002#/reservations/9080486846185735?display=2FJMRKYJGR&amp;reservation_id=9080486846185735", "2FJMRKYJGR")</f>
        <v>2FJMRKYJGR</v>
      </c>
      <c r="D5110" t="s">
        <v>45</v>
      </c>
      <c r="E5110" t="s">
        <v>78</v>
      </c>
      <c r="F5110" t="s">
        <v>61</v>
      </c>
      <c r="G5110" t="s">
        <v>48</v>
      </c>
      <c r="H5110" t="s">
        <v>49</v>
      </c>
      <c r="I5110" t="s">
        <v>50</v>
      </c>
      <c r="J5110" t="s">
        <v>7989</v>
      </c>
      <c r="K5110" t="s">
        <v>8829</v>
      </c>
      <c r="L5110" t="s">
        <v>53</v>
      </c>
      <c r="N5110" t="s">
        <v>9019</v>
      </c>
      <c r="P5110" t="s">
        <v>55</v>
      </c>
      <c r="R5110" t="s">
        <v>53</v>
      </c>
      <c r="T5110" t="s">
        <v>9020</v>
      </c>
      <c r="U5110" t="s">
        <v>58</v>
      </c>
      <c r="V5110">
        <v>2</v>
      </c>
      <c r="W5110">
        <v>1</v>
      </c>
      <c r="X5110">
        <v>2</v>
      </c>
      <c r="Y5110">
        <v>0</v>
      </c>
      <c r="Z5110">
        <v>2</v>
      </c>
      <c r="AA5110">
        <v>278.22000000000003</v>
      </c>
      <c r="AB5110">
        <v>278.22000000000003</v>
      </c>
      <c r="AC5110">
        <v>244.8</v>
      </c>
      <c r="AD5110">
        <v>0</v>
      </c>
      <c r="AE5110">
        <v>33.42</v>
      </c>
      <c r="AF5110">
        <v>0</v>
      </c>
      <c r="AG5110">
        <v>0</v>
      </c>
      <c r="AH5110">
        <v>0</v>
      </c>
      <c r="AI5110">
        <v>50.08</v>
      </c>
      <c r="AJ5110">
        <v>278.22000000000003</v>
      </c>
      <c r="AK5110">
        <v>0</v>
      </c>
      <c r="AL5110" t="s">
        <v>53</v>
      </c>
      <c r="AM5110" t="s">
        <v>53</v>
      </c>
      <c r="AN5110" t="s">
        <v>53</v>
      </c>
      <c r="AO5110" t="s">
        <v>53</v>
      </c>
      <c r="AP5110" t="s">
        <v>53</v>
      </c>
    </row>
    <row r="5111" spans="2:42" x14ac:dyDescent="0.2">
      <c r="B5111" t="s">
        <v>44</v>
      </c>
      <c r="C5111" t="str">
        <f>HYPERLINK("https://us2.cloudbeds.com/connect/8493803454333002#/reservations/114890328830115?display=2FMQ16GCS2&amp;reservation_id=114890328830115", "2FMQ16GCS2")</f>
        <v>2FMQ16GCS2</v>
      </c>
      <c r="D5111" t="s">
        <v>45</v>
      </c>
      <c r="E5111" t="s">
        <v>381</v>
      </c>
      <c r="F5111" t="s">
        <v>47</v>
      </c>
      <c r="G5111" t="s">
        <v>48</v>
      </c>
      <c r="H5111" t="s">
        <v>3957</v>
      </c>
      <c r="I5111" t="s">
        <v>3975</v>
      </c>
      <c r="J5111" t="s">
        <v>7275</v>
      </c>
      <c r="K5111" t="s">
        <v>6944</v>
      </c>
      <c r="L5111" t="s">
        <v>53</v>
      </c>
      <c r="P5111" t="s">
        <v>55</v>
      </c>
      <c r="R5111" t="s">
        <v>53</v>
      </c>
      <c r="T5111" t="s">
        <v>9021</v>
      </c>
      <c r="U5111" t="s">
        <v>58</v>
      </c>
      <c r="V5111">
        <v>1</v>
      </c>
      <c r="W5111">
        <v>1</v>
      </c>
      <c r="X5111">
        <v>1</v>
      </c>
      <c r="Y5111">
        <v>0</v>
      </c>
      <c r="Z5111">
        <v>1</v>
      </c>
      <c r="AA5111">
        <v>239.81</v>
      </c>
      <c r="AB5111">
        <v>239.81</v>
      </c>
      <c r="AC5111">
        <v>211</v>
      </c>
      <c r="AD5111">
        <v>0</v>
      </c>
      <c r="AE5111">
        <v>28.81</v>
      </c>
      <c r="AF5111">
        <v>0</v>
      </c>
      <c r="AG5111">
        <v>0</v>
      </c>
      <c r="AH5111">
        <v>0</v>
      </c>
      <c r="AI5111">
        <v>0</v>
      </c>
      <c r="AJ5111">
        <v>239.81</v>
      </c>
      <c r="AK5111">
        <v>0</v>
      </c>
      <c r="AL5111" t="s">
        <v>53</v>
      </c>
      <c r="AM5111" t="s">
        <v>53</v>
      </c>
      <c r="AN5111" t="s">
        <v>53</v>
      </c>
      <c r="AO5111" t="s">
        <v>53</v>
      </c>
      <c r="AP5111" t="s">
        <v>53</v>
      </c>
    </row>
    <row r="5112" spans="2:42" x14ac:dyDescent="0.2">
      <c r="B5112" t="s">
        <v>44</v>
      </c>
      <c r="C5112" t="str">
        <f>HYPERLINK("https://us2.cloudbeds.com/connect/8493803454333002#/reservations/9080486846187458?display=2FN20TH6ZD&amp;reservation_id=9080486846187458", "2FN20TH6ZD")</f>
        <v>2FN20TH6ZD</v>
      </c>
      <c r="D5112" t="s">
        <v>45</v>
      </c>
      <c r="E5112" t="s">
        <v>78</v>
      </c>
      <c r="F5112" t="s">
        <v>61</v>
      </c>
      <c r="G5112" t="s">
        <v>48</v>
      </c>
      <c r="H5112" t="s">
        <v>49</v>
      </c>
      <c r="I5112" t="s">
        <v>50</v>
      </c>
      <c r="J5112" t="s">
        <v>7872</v>
      </c>
      <c r="K5112" t="s">
        <v>7861</v>
      </c>
      <c r="L5112" t="s">
        <v>53</v>
      </c>
      <c r="N5112" t="s">
        <v>9022</v>
      </c>
      <c r="P5112" t="s">
        <v>55</v>
      </c>
      <c r="R5112" t="s">
        <v>53</v>
      </c>
      <c r="T5112" t="s">
        <v>9023</v>
      </c>
      <c r="U5112" t="s">
        <v>58</v>
      </c>
      <c r="V5112">
        <v>2</v>
      </c>
      <c r="W5112">
        <v>1</v>
      </c>
      <c r="X5112">
        <v>1</v>
      </c>
      <c r="Y5112">
        <v>0</v>
      </c>
      <c r="Z5112">
        <v>1</v>
      </c>
      <c r="AA5112">
        <v>308.17</v>
      </c>
      <c r="AB5112">
        <v>308.17</v>
      </c>
      <c r="AC5112">
        <v>271.14999999999998</v>
      </c>
      <c r="AD5112">
        <v>0</v>
      </c>
      <c r="AE5112">
        <v>37.020000000000003</v>
      </c>
      <c r="AF5112">
        <v>0</v>
      </c>
      <c r="AG5112">
        <v>0</v>
      </c>
      <c r="AH5112">
        <v>0</v>
      </c>
      <c r="AI5112">
        <v>55.47</v>
      </c>
      <c r="AJ5112">
        <v>308.17</v>
      </c>
      <c r="AK5112">
        <v>0</v>
      </c>
      <c r="AL5112" t="s">
        <v>53</v>
      </c>
      <c r="AM5112" t="s">
        <v>53</v>
      </c>
      <c r="AN5112" t="s">
        <v>53</v>
      </c>
      <c r="AO5112" t="s">
        <v>53</v>
      </c>
      <c r="AP5112" t="s">
        <v>53</v>
      </c>
    </row>
    <row r="5113" spans="2:42" x14ac:dyDescent="0.2">
      <c r="B5113" t="s">
        <v>44</v>
      </c>
      <c r="C5113" t="str">
        <f>HYPERLINK("https://us2.cloudbeds.com/connect/8493803454333002#/reservations/9080486846188379?display=2FZ29YM02G&amp;reservation_id=9080486846188379", "2FZ29YM02G")</f>
        <v>2FZ29YM02G</v>
      </c>
      <c r="D5113" t="s">
        <v>45</v>
      </c>
      <c r="E5113" t="s">
        <v>92</v>
      </c>
      <c r="F5113" t="s">
        <v>86</v>
      </c>
      <c r="G5113" t="s">
        <v>48</v>
      </c>
      <c r="H5113" t="s">
        <v>49</v>
      </c>
      <c r="I5113" t="s">
        <v>62</v>
      </c>
      <c r="J5113" t="s">
        <v>6943</v>
      </c>
      <c r="K5113" t="s">
        <v>7275</v>
      </c>
      <c r="L5113" t="s">
        <v>53</v>
      </c>
      <c r="N5113" t="s">
        <v>9024</v>
      </c>
      <c r="P5113" t="s">
        <v>55</v>
      </c>
      <c r="R5113" t="s">
        <v>56</v>
      </c>
      <c r="T5113" t="s">
        <v>9025</v>
      </c>
      <c r="U5113" t="s">
        <v>55</v>
      </c>
      <c r="V5113">
        <v>1</v>
      </c>
      <c r="W5113">
        <v>1</v>
      </c>
      <c r="X5113">
        <v>4</v>
      </c>
      <c r="Y5113">
        <v>0</v>
      </c>
      <c r="Z5113">
        <v>4</v>
      </c>
      <c r="AA5113">
        <v>267</v>
      </c>
      <c r="AB5113">
        <v>267</v>
      </c>
      <c r="AC5113">
        <v>267</v>
      </c>
      <c r="AD5113">
        <v>0</v>
      </c>
      <c r="AE5113">
        <v>0</v>
      </c>
      <c r="AF5113">
        <v>0</v>
      </c>
      <c r="AG5113">
        <v>0</v>
      </c>
      <c r="AH5113">
        <v>0</v>
      </c>
      <c r="AI5113">
        <v>48.06</v>
      </c>
      <c r="AJ5113">
        <v>267</v>
      </c>
      <c r="AK5113">
        <v>0</v>
      </c>
      <c r="AL5113" t="s">
        <v>53</v>
      </c>
      <c r="AM5113" t="s">
        <v>53</v>
      </c>
      <c r="AN5113" t="s">
        <v>53</v>
      </c>
      <c r="AO5113" t="s">
        <v>53</v>
      </c>
      <c r="AP5113" t="s">
        <v>53</v>
      </c>
    </row>
    <row r="5114" spans="2:42" x14ac:dyDescent="0.2">
      <c r="B5114" t="s">
        <v>44</v>
      </c>
      <c r="C5114" t="str">
        <f>HYPERLINK("https://us2.cloudbeds.com/connect/8493803454333002#/reservations/9080486846188529?display=2FZ8G0YKAM&amp;reservation_id=9080486846188529", "2FZ8G0YKAM")</f>
        <v>2FZ8G0YKAM</v>
      </c>
      <c r="D5114" t="s">
        <v>45</v>
      </c>
      <c r="E5114" t="s">
        <v>78</v>
      </c>
      <c r="F5114" t="s">
        <v>61</v>
      </c>
      <c r="G5114" t="s">
        <v>48</v>
      </c>
      <c r="H5114" t="s">
        <v>49</v>
      </c>
      <c r="I5114" t="s">
        <v>50</v>
      </c>
      <c r="J5114" t="s">
        <v>7905</v>
      </c>
      <c r="K5114" t="s">
        <v>8713</v>
      </c>
      <c r="L5114" t="s">
        <v>53</v>
      </c>
      <c r="N5114" t="s">
        <v>9026</v>
      </c>
      <c r="P5114" t="s">
        <v>55</v>
      </c>
      <c r="R5114" t="s">
        <v>53</v>
      </c>
      <c r="T5114" t="s">
        <v>9027</v>
      </c>
      <c r="U5114" t="s">
        <v>58</v>
      </c>
      <c r="V5114">
        <v>3</v>
      </c>
      <c r="W5114">
        <v>1</v>
      </c>
      <c r="X5114">
        <v>2</v>
      </c>
      <c r="Y5114">
        <v>0</v>
      </c>
      <c r="Z5114">
        <v>2</v>
      </c>
      <c r="AA5114">
        <v>473.33</v>
      </c>
      <c r="AB5114">
        <v>473.33</v>
      </c>
      <c r="AC5114">
        <v>416.48</v>
      </c>
      <c r="AD5114">
        <v>0</v>
      </c>
      <c r="AE5114">
        <v>56.85</v>
      </c>
      <c r="AF5114">
        <v>0</v>
      </c>
      <c r="AG5114">
        <v>0</v>
      </c>
      <c r="AH5114">
        <v>0</v>
      </c>
      <c r="AI5114">
        <v>85.2</v>
      </c>
      <c r="AJ5114">
        <v>473.33</v>
      </c>
      <c r="AK5114">
        <v>0</v>
      </c>
      <c r="AL5114" t="s">
        <v>53</v>
      </c>
      <c r="AM5114" t="s">
        <v>53</v>
      </c>
      <c r="AN5114" t="s">
        <v>53</v>
      </c>
      <c r="AO5114" t="s">
        <v>53</v>
      </c>
      <c r="AP5114" t="s">
        <v>53</v>
      </c>
    </row>
    <row r="5115" spans="2:42" x14ac:dyDescent="0.2">
      <c r="B5115" t="s">
        <v>44</v>
      </c>
      <c r="C5115" t="str">
        <f>HYPERLINK("https://us2.cloudbeds.com/connect/8493803454333002#/reservations/9080486846188530?display=2FZ8XMWFG3&amp;reservation_id=9080486846188530", "2FZ8XMWFG3")</f>
        <v>2FZ8XMWFG3</v>
      </c>
      <c r="D5115" t="s">
        <v>45</v>
      </c>
      <c r="E5115" t="s">
        <v>190</v>
      </c>
      <c r="F5115" t="s">
        <v>61</v>
      </c>
      <c r="G5115" t="s">
        <v>48</v>
      </c>
      <c r="H5115" t="s">
        <v>49</v>
      </c>
      <c r="I5115" t="s">
        <v>50</v>
      </c>
      <c r="J5115" t="s">
        <v>7905</v>
      </c>
      <c r="K5115" t="s">
        <v>8713</v>
      </c>
      <c r="L5115" t="s">
        <v>53</v>
      </c>
      <c r="N5115" t="s">
        <v>9028</v>
      </c>
      <c r="P5115" t="s">
        <v>55</v>
      </c>
      <c r="R5115" t="s">
        <v>53</v>
      </c>
      <c r="T5115" t="s">
        <v>9029</v>
      </c>
      <c r="U5115" t="s">
        <v>58</v>
      </c>
      <c r="V5115">
        <v>3</v>
      </c>
      <c r="W5115">
        <v>1</v>
      </c>
      <c r="X5115">
        <v>1</v>
      </c>
      <c r="Y5115">
        <v>0</v>
      </c>
      <c r="Z5115">
        <v>1</v>
      </c>
      <c r="AA5115">
        <v>473.33</v>
      </c>
      <c r="AB5115">
        <v>473.33</v>
      </c>
      <c r="AC5115">
        <v>416.48</v>
      </c>
      <c r="AD5115">
        <v>0</v>
      </c>
      <c r="AE5115">
        <v>56.85</v>
      </c>
      <c r="AF5115">
        <v>0</v>
      </c>
      <c r="AG5115">
        <v>0</v>
      </c>
      <c r="AH5115">
        <v>0</v>
      </c>
      <c r="AI5115">
        <v>85.2</v>
      </c>
      <c r="AJ5115">
        <v>473.33</v>
      </c>
      <c r="AK5115">
        <v>0</v>
      </c>
      <c r="AL5115" t="s">
        <v>53</v>
      </c>
      <c r="AM5115" t="s">
        <v>53</v>
      </c>
      <c r="AN5115" t="s">
        <v>53</v>
      </c>
      <c r="AO5115" t="s">
        <v>53</v>
      </c>
      <c r="AP5115" t="s">
        <v>53</v>
      </c>
    </row>
    <row r="5116" spans="2:42" x14ac:dyDescent="0.2">
      <c r="B5116" t="s">
        <v>44</v>
      </c>
      <c r="C5116" t="str">
        <f>HYPERLINK("https://us2.cloudbeds.com/connect/8493803454333002#/reservations/9080486846188768?display=2FZHPNYN2Z&amp;reservation_id=9080486846188768", "2FZHPNYN2Z")</f>
        <v>2FZHPNYN2Z</v>
      </c>
      <c r="D5116" t="s">
        <v>45</v>
      </c>
      <c r="E5116" t="s">
        <v>98</v>
      </c>
      <c r="F5116" t="s">
        <v>86</v>
      </c>
      <c r="G5116" t="s">
        <v>48</v>
      </c>
      <c r="H5116" t="s">
        <v>49</v>
      </c>
      <c r="I5116" t="s">
        <v>50</v>
      </c>
      <c r="J5116" t="s">
        <v>7861</v>
      </c>
      <c r="K5116" t="s">
        <v>5594</v>
      </c>
      <c r="L5116" t="s">
        <v>53</v>
      </c>
      <c r="N5116" t="s">
        <v>9030</v>
      </c>
      <c r="P5116" t="s">
        <v>55</v>
      </c>
      <c r="R5116" t="s">
        <v>53</v>
      </c>
      <c r="T5116" t="s">
        <v>9031</v>
      </c>
      <c r="U5116" t="s">
        <v>58</v>
      </c>
      <c r="V5116">
        <v>3</v>
      </c>
      <c r="W5116">
        <v>1</v>
      </c>
      <c r="X5116">
        <v>3</v>
      </c>
      <c r="Y5116">
        <v>0</v>
      </c>
      <c r="Z5116">
        <v>3</v>
      </c>
      <c r="AA5116">
        <v>562.21</v>
      </c>
      <c r="AB5116">
        <v>562.21</v>
      </c>
      <c r="AC5116">
        <v>494.7</v>
      </c>
      <c r="AD5116">
        <v>0</v>
      </c>
      <c r="AE5116">
        <v>67.510000000000005</v>
      </c>
      <c r="AF5116">
        <v>0</v>
      </c>
      <c r="AG5116">
        <v>0</v>
      </c>
      <c r="AH5116">
        <v>0</v>
      </c>
      <c r="AI5116">
        <v>101.2</v>
      </c>
      <c r="AJ5116">
        <v>562.21</v>
      </c>
      <c r="AK5116">
        <v>0</v>
      </c>
      <c r="AL5116" t="s">
        <v>53</v>
      </c>
      <c r="AM5116" t="s">
        <v>53</v>
      </c>
      <c r="AN5116" t="s">
        <v>53</v>
      </c>
      <c r="AO5116" t="s">
        <v>53</v>
      </c>
      <c r="AP5116" t="s">
        <v>53</v>
      </c>
    </row>
    <row r="5117" spans="2:42" x14ac:dyDescent="0.2">
      <c r="B5117" t="s">
        <v>44</v>
      </c>
      <c r="C5117" t="str">
        <f>HYPERLINK("https://us2.cloudbeds.com/connect/8493803454333002#/reservations/9080486846189087?display=2FZV24BC2G&amp;reservation_id=9080486846189087", "2FZV24BC2G")</f>
        <v>2FZV24BC2G</v>
      </c>
      <c r="D5117" t="s">
        <v>45</v>
      </c>
      <c r="E5117" t="s">
        <v>85</v>
      </c>
      <c r="F5117" t="s">
        <v>86</v>
      </c>
      <c r="G5117" t="s">
        <v>48</v>
      </c>
      <c r="H5117" t="s">
        <v>49</v>
      </c>
      <c r="I5117" t="s">
        <v>50</v>
      </c>
      <c r="J5117" t="s">
        <v>7275</v>
      </c>
      <c r="K5117" t="s">
        <v>6944</v>
      </c>
      <c r="L5117" t="s">
        <v>53</v>
      </c>
      <c r="N5117" t="s">
        <v>9032</v>
      </c>
      <c r="P5117" t="s">
        <v>55</v>
      </c>
      <c r="R5117" t="s">
        <v>53</v>
      </c>
      <c r="T5117" t="s">
        <v>9033</v>
      </c>
      <c r="U5117" t="s">
        <v>58</v>
      </c>
      <c r="V5117">
        <v>1</v>
      </c>
      <c r="W5117">
        <v>1</v>
      </c>
      <c r="X5117">
        <v>4</v>
      </c>
      <c r="Y5117">
        <v>0</v>
      </c>
      <c r="Z5117">
        <v>4</v>
      </c>
      <c r="AA5117">
        <v>216.85</v>
      </c>
      <c r="AB5117">
        <v>216.85</v>
      </c>
      <c r="AC5117">
        <v>190.8</v>
      </c>
      <c r="AD5117">
        <v>0</v>
      </c>
      <c r="AE5117">
        <v>26.05</v>
      </c>
      <c r="AF5117">
        <v>0</v>
      </c>
      <c r="AG5117">
        <v>0</v>
      </c>
      <c r="AH5117">
        <v>0</v>
      </c>
      <c r="AI5117">
        <v>39.03</v>
      </c>
      <c r="AJ5117">
        <v>216.85</v>
      </c>
      <c r="AK5117">
        <v>0</v>
      </c>
      <c r="AL5117" t="s">
        <v>53</v>
      </c>
      <c r="AM5117" t="s">
        <v>53</v>
      </c>
      <c r="AN5117" t="s">
        <v>53</v>
      </c>
      <c r="AO5117" t="s">
        <v>53</v>
      </c>
      <c r="AP5117" t="s">
        <v>53</v>
      </c>
    </row>
    <row r="5118" spans="2:42" x14ac:dyDescent="0.2">
      <c r="B5118" t="s">
        <v>44</v>
      </c>
      <c r="C5118" t="str">
        <f>HYPERLINK("https://us2.cloudbeds.com/connect/8493803454333002#/reservations/9080486846189324?display=2FP7UPAH4X&amp;reservation_id=9080486846189324", "2FP7UPAH4X")</f>
        <v>2FP7UPAH4X</v>
      </c>
      <c r="D5118" t="s">
        <v>45</v>
      </c>
      <c r="E5118" t="s">
        <v>373</v>
      </c>
      <c r="F5118" t="s">
        <v>47</v>
      </c>
      <c r="G5118" t="s">
        <v>48</v>
      </c>
      <c r="H5118" t="s">
        <v>49</v>
      </c>
      <c r="I5118" t="s">
        <v>62</v>
      </c>
      <c r="J5118" t="s">
        <v>7275</v>
      </c>
      <c r="K5118" t="s">
        <v>6944</v>
      </c>
      <c r="L5118" t="s">
        <v>53</v>
      </c>
      <c r="N5118" t="s">
        <v>9034</v>
      </c>
      <c r="P5118" t="s">
        <v>55</v>
      </c>
      <c r="R5118" t="s">
        <v>56</v>
      </c>
      <c r="T5118" t="s">
        <v>9035</v>
      </c>
      <c r="U5118" t="s">
        <v>55</v>
      </c>
      <c r="V5118">
        <v>1</v>
      </c>
      <c r="W5118">
        <v>1</v>
      </c>
      <c r="X5118">
        <v>2</v>
      </c>
      <c r="Y5118">
        <v>0</v>
      </c>
      <c r="Z5118">
        <v>2</v>
      </c>
      <c r="AA5118">
        <v>188</v>
      </c>
      <c r="AB5118">
        <v>188</v>
      </c>
      <c r="AC5118">
        <v>188</v>
      </c>
      <c r="AD5118">
        <v>0</v>
      </c>
      <c r="AE5118">
        <v>0</v>
      </c>
      <c r="AF5118">
        <v>0</v>
      </c>
      <c r="AG5118">
        <v>0</v>
      </c>
      <c r="AH5118">
        <v>0</v>
      </c>
      <c r="AI5118">
        <v>33.840000000000003</v>
      </c>
      <c r="AJ5118">
        <v>188</v>
      </c>
      <c r="AK5118">
        <v>0</v>
      </c>
      <c r="AL5118" t="s">
        <v>53</v>
      </c>
      <c r="AM5118" t="s">
        <v>53</v>
      </c>
      <c r="AN5118" t="s">
        <v>53</v>
      </c>
      <c r="AO5118" t="s">
        <v>53</v>
      </c>
      <c r="AP5118" t="s">
        <v>53</v>
      </c>
    </row>
    <row r="5119" spans="2:42" x14ac:dyDescent="0.2">
      <c r="B5119" t="s">
        <v>44</v>
      </c>
      <c r="C5119" t="str">
        <f>HYPERLINK("https://us2.cloudbeds.com/connect/8493803454333002#/reservations/9080486846189397?display=2FPBKPV1UX&amp;reservation_id=9080486846189397", "2FPBKPV1UX")</f>
        <v>2FPBKPV1UX</v>
      </c>
      <c r="D5119" t="s">
        <v>45</v>
      </c>
      <c r="E5119" t="s">
        <v>105</v>
      </c>
      <c r="F5119" t="s">
        <v>47</v>
      </c>
      <c r="G5119" t="s">
        <v>48</v>
      </c>
      <c r="H5119" t="s">
        <v>49</v>
      </c>
      <c r="I5119" t="s">
        <v>62</v>
      </c>
      <c r="J5119" t="s">
        <v>7962</v>
      </c>
      <c r="K5119" t="s">
        <v>7821</v>
      </c>
      <c r="L5119" t="s">
        <v>53</v>
      </c>
      <c r="N5119" t="s">
        <v>9036</v>
      </c>
      <c r="P5119" t="s">
        <v>55</v>
      </c>
      <c r="R5119" t="s">
        <v>56</v>
      </c>
      <c r="T5119" t="s">
        <v>9037</v>
      </c>
      <c r="U5119" t="s">
        <v>55</v>
      </c>
      <c r="V5119">
        <v>1</v>
      </c>
      <c r="W5119">
        <v>1</v>
      </c>
      <c r="X5119">
        <v>1</v>
      </c>
      <c r="Y5119">
        <v>0</v>
      </c>
      <c r="Z5119">
        <v>1</v>
      </c>
      <c r="AA5119">
        <v>135</v>
      </c>
      <c r="AB5119">
        <v>135</v>
      </c>
      <c r="AC5119">
        <v>135</v>
      </c>
      <c r="AD5119">
        <v>0</v>
      </c>
      <c r="AE5119">
        <v>0</v>
      </c>
      <c r="AF5119">
        <v>0</v>
      </c>
      <c r="AG5119">
        <v>0</v>
      </c>
      <c r="AH5119">
        <v>0</v>
      </c>
      <c r="AI5119">
        <v>24.3</v>
      </c>
      <c r="AJ5119">
        <v>135</v>
      </c>
      <c r="AK5119">
        <v>0</v>
      </c>
      <c r="AL5119" t="s">
        <v>53</v>
      </c>
      <c r="AM5119" t="s">
        <v>53</v>
      </c>
      <c r="AN5119" t="s">
        <v>53</v>
      </c>
      <c r="AO5119" t="s">
        <v>53</v>
      </c>
      <c r="AP5119" t="s">
        <v>53</v>
      </c>
    </row>
    <row r="5120" spans="2:42" x14ac:dyDescent="0.2">
      <c r="B5120" t="s">
        <v>44</v>
      </c>
      <c r="C5120" t="str">
        <f>HYPERLINK("https://us2.cloudbeds.com/connect/8493803454333002#/reservations/115022749450377?display=2FPTXS2BXK&amp;reservation_id=115022749450377", "2FPTXS2BXK")</f>
        <v>2FPTXS2BXK</v>
      </c>
      <c r="D5120" t="s">
        <v>45</v>
      </c>
      <c r="E5120" t="s">
        <v>5060</v>
      </c>
      <c r="F5120" t="s">
        <v>86</v>
      </c>
      <c r="G5120" t="s">
        <v>48</v>
      </c>
      <c r="H5120" t="s">
        <v>3957</v>
      </c>
      <c r="I5120" t="s">
        <v>3975</v>
      </c>
      <c r="J5120" t="s">
        <v>7974</v>
      </c>
      <c r="K5120" t="s">
        <v>7750</v>
      </c>
      <c r="L5120" t="s">
        <v>53</v>
      </c>
      <c r="P5120" t="s">
        <v>55</v>
      </c>
      <c r="R5120" t="s">
        <v>53</v>
      </c>
      <c r="T5120" t="s">
        <v>9038</v>
      </c>
      <c r="U5120" t="s">
        <v>58</v>
      </c>
      <c r="V5120">
        <v>4</v>
      </c>
      <c r="W5120">
        <v>2</v>
      </c>
      <c r="X5120">
        <v>8</v>
      </c>
      <c r="Y5120">
        <v>0</v>
      </c>
      <c r="Z5120">
        <v>8</v>
      </c>
      <c r="AA5120">
        <v>716.02</v>
      </c>
      <c r="AB5120">
        <v>726.86</v>
      </c>
      <c r="AC5120">
        <v>630</v>
      </c>
      <c r="AD5120">
        <v>10</v>
      </c>
      <c r="AE5120">
        <v>86.86</v>
      </c>
      <c r="AF5120">
        <v>0</v>
      </c>
      <c r="AG5120">
        <v>0</v>
      </c>
      <c r="AH5120">
        <v>0</v>
      </c>
      <c r="AI5120">
        <v>0</v>
      </c>
      <c r="AJ5120">
        <v>726.86</v>
      </c>
      <c r="AK5120">
        <v>0</v>
      </c>
      <c r="AL5120" t="s">
        <v>53</v>
      </c>
      <c r="AM5120" t="s">
        <v>53</v>
      </c>
      <c r="AN5120" t="s">
        <v>53</v>
      </c>
      <c r="AO5120" t="s">
        <v>53</v>
      </c>
      <c r="AP5120" t="s">
        <v>53</v>
      </c>
    </row>
    <row r="5121" spans="2:42" x14ac:dyDescent="0.2">
      <c r="B5121" t="s">
        <v>44</v>
      </c>
      <c r="C5121" t="str">
        <f>HYPERLINK("https://us2.cloudbeds.com/connect/8493803454333002#/reservations/115043138396376?display=2FQCBRXRB2&amp;reservation_id=115043138396376", "2FQCBRXRB2")</f>
        <v>2FQCBRXRB2</v>
      </c>
      <c r="D5121" t="s">
        <v>45</v>
      </c>
      <c r="E5121" t="s">
        <v>78</v>
      </c>
      <c r="F5121" t="s">
        <v>61</v>
      </c>
      <c r="G5121" t="s">
        <v>48</v>
      </c>
      <c r="H5121" t="s">
        <v>3957</v>
      </c>
      <c r="I5121" t="s">
        <v>3958</v>
      </c>
      <c r="J5121" t="s">
        <v>6944</v>
      </c>
      <c r="K5121" t="s">
        <v>7414</v>
      </c>
      <c r="L5121" t="s">
        <v>53</v>
      </c>
      <c r="P5121" t="s">
        <v>55</v>
      </c>
      <c r="R5121" t="s">
        <v>56</v>
      </c>
      <c r="T5121" t="s">
        <v>9039</v>
      </c>
      <c r="U5121" t="s">
        <v>58</v>
      </c>
      <c r="V5121">
        <v>1</v>
      </c>
      <c r="W5121">
        <v>1</v>
      </c>
      <c r="X5121">
        <v>1</v>
      </c>
      <c r="Y5121">
        <v>0</v>
      </c>
      <c r="Z5121">
        <v>1</v>
      </c>
      <c r="AA5121">
        <v>181.84</v>
      </c>
      <c r="AB5121">
        <v>181.84</v>
      </c>
      <c r="AC5121">
        <v>160</v>
      </c>
      <c r="AD5121">
        <v>0</v>
      </c>
      <c r="AE5121">
        <v>21.84</v>
      </c>
      <c r="AF5121">
        <v>0</v>
      </c>
      <c r="AG5121">
        <v>0</v>
      </c>
      <c r="AH5121">
        <v>0</v>
      </c>
      <c r="AI5121">
        <v>0</v>
      </c>
      <c r="AJ5121">
        <v>181.84</v>
      </c>
      <c r="AK5121">
        <v>0</v>
      </c>
      <c r="AL5121" t="s">
        <v>53</v>
      </c>
      <c r="AM5121" t="s">
        <v>53</v>
      </c>
      <c r="AN5121" t="s">
        <v>53</v>
      </c>
      <c r="AO5121" t="s">
        <v>53</v>
      </c>
      <c r="AP5121" t="s">
        <v>53</v>
      </c>
    </row>
    <row r="5122" spans="2:42" x14ac:dyDescent="0.2">
      <c r="B5122" t="s">
        <v>44</v>
      </c>
      <c r="C5122" t="str">
        <f>HYPERLINK("https://us2.cloudbeds.com/connect/8493803454333002#/reservations/9080486846190039?display=2FQDHMC1UR&amp;reservation_id=9080486846190039", "2FQDHMC1UR")</f>
        <v>2FQDHMC1UR</v>
      </c>
      <c r="D5122" t="s">
        <v>45</v>
      </c>
      <c r="E5122" t="s">
        <v>185</v>
      </c>
      <c r="F5122" t="s">
        <v>47</v>
      </c>
      <c r="G5122" t="s">
        <v>48</v>
      </c>
      <c r="H5122" t="s">
        <v>49</v>
      </c>
      <c r="I5122" t="s">
        <v>50</v>
      </c>
      <c r="J5122" t="s">
        <v>7275</v>
      </c>
      <c r="K5122" t="s">
        <v>7414</v>
      </c>
      <c r="L5122" t="s">
        <v>53</v>
      </c>
      <c r="N5122" t="s">
        <v>9040</v>
      </c>
      <c r="P5122" t="s">
        <v>55</v>
      </c>
      <c r="R5122" t="s">
        <v>53</v>
      </c>
      <c r="T5122" t="s">
        <v>9041</v>
      </c>
      <c r="U5122" t="s">
        <v>58</v>
      </c>
      <c r="V5122">
        <v>2</v>
      </c>
      <c r="W5122">
        <v>1</v>
      </c>
      <c r="X5122">
        <v>2</v>
      </c>
      <c r="Y5122">
        <v>0</v>
      </c>
      <c r="Z5122">
        <v>2</v>
      </c>
      <c r="AA5122">
        <v>345.73</v>
      </c>
      <c r="AB5122">
        <v>345.73</v>
      </c>
      <c r="AC5122">
        <v>304.2</v>
      </c>
      <c r="AD5122">
        <v>0</v>
      </c>
      <c r="AE5122">
        <v>41.53</v>
      </c>
      <c r="AF5122">
        <v>0</v>
      </c>
      <c r="AG5122">
        <v>0</v>
      </c>
      <c r="AH5122">
        <v>0</v>
      </c>
      <c r="AI5122">
        <v>62.23</v>
      </c>
      <c r="AJ5122">
        <v>345.73</v>
      </c>
      <c r="AK5122">
        <v>0</v>
      </c>
      <c r="AL5122" t="s">
        <v>53</v>
      </c>
      <c r="AM5122" t="s">
        <v>53</v>
      </c>
      <c r="AN5122" t="s">
        <v>53</v>
      </c>
      <c r="AO5122" t="s">
        <v>53</v>
      </c>
      <c r="AP5122" t="s">
        <v>53</v>
      </c>
    </row>
    <row r="5123" spans="2:42" x14ac:dyDescent="0.2">
      <c r="B5123" t="s">
        <v>44</v>
      </c>
      <c r="C5123" t="str">
        <f>HYPERLINK("https://us2.cloudbeds.com/connect/8493803454333002#/reservations/9080486846190524?display=2FR7NA6HVV&amp;reservation_id=9080486846190524", "2FR7NA6HVV")</f>
        <v>2FR7NA6HVV</v>
      </c>
      <c r="D5123" t="s">
        <v>45</v>
      </c>
      <c r="E5123" t="s">
        <v>98</v>
      </c>
      <c r="F5123" t="s">
        <v>86</v>
      </c>
      <c r="G5123" t="s">
        <v>48</v>
      </c>
      <c r="H5123" t="s">
        <v>49</v>
      </c>
      <c r="I5123" t="s">
        <v>8964</v>
      </c>
      <c r="J5123" t="s">
        <v>7275</v>
      </c>
      <c r="K5123" t="s">
        <v>6944</v>
      </c>
      <c r="L5123" t="s">
        <v>53</v>
      </c>
      <c r="N5123" t="s">
        <v>9042</v>
      </c>
      <c r="P5123" t="s">
        <v>55</v>
      </c>
      <c r="R5123" t="s">
        <v>53</v>
      </c>
      <c r="T5123" t="s">
        <v>9043</v>
      </c>
      <c r="U5123" t="s">
        <v>58</v>
      </c>
      <c r="V5123">
        <v>1</v>
      </c>
      <c r="W5123">
        <v>1</v>
      </c>
      <c r="X5123">
        <v>4</v>
      </c>
      <c r="Y5123">
        <v>0</v>
      </c>
      <c r="Z5123">
        <v>4</v>
      </c>
      <c r="AA5123">
        <v>0</v>
      </c>
      <c r="AB5123">
        <v>218</v>
      </c>
      <c r="AC5123">
        <v>218</v>
      </c>
      <c r="AD5123">
        <v>0</v>
      </c>
      <c r="AE5123">
        <v>0</v>
      </c>
      <c r="AF5123">
        <v>0</v>
      </c>
      <c r="AG5123">
        <v>0</v>
      </c>
      <c r="AH5123">
        <v>0</v>
      </c>
      <c r="AI5123">
        <v>32.700000000000003</v>
      </c>
      <c r="AJ5123">
        <v>218</v>
      </c>
      <c r="AK5123">
        <v>0</v>
      </c>
      <c r="AL5123" t="s">
        <v>53</v>
      </c>
      <c r="AM5123" t="s">
        <v>53</v>
      </c>
      <c r="AN5123" t="s">
        <v>53</v>
      </c>
      <c r="AO5123" t="s">
        <v>53</v>
      </c>
      <c r="AP5123" t="s">
        <v>53</v>
      </c>
    </row>
    <row r="5124" spans="2:42" x14ac:dyDescent="0.2">
      <c r="B5124" t="s">
        <v>44</v>
      </c>
      <c r="C5124" t="str">
        <f>HYPERLINK("https://us2.cloudbeds.com/connect/8493803454333002#/reservations/9080486846190562?display=2FRA7PSBES&amp;reservation_id=9080486846190562", "2FRA7PSBES")</f>
        <v>2FRA7PSBES</v>
      </c>
      <c r="D5124" t="s">
        <v>45</v>
      </c>
      <c r="E5124" t="s">
        <v>121</v>
      </c>
      <c r="F5124" t="s">
        <v>86</v>
      </c>
      <c r="G5124" t="s">
        <v>48</v>
      </c>
      <c r="H5124" t="s">
        <v>49</v>
      </c>
      <c r="I5124" t="s">
        <v>62</v>
      </c>
      <c r="J5124" t="s">
        <v>7275</v>
      </c>
      <c r="K5124" t="s">
        <v>6944</v>
      </c>
      <c r="L5124" t="s">
        <v>53</v>
      </c>
      <c r="N5124" t="s">
        <v>9044</v>
      </c>
      <c r="P5124" t="s">
        <v>55</v>
      </c>
      <c r="R5124" t="s">
        <v>56</v>
      </c>
      <c r="T5124" t="s">
        <v>9045</v>
      </c>
      <c r="U5124" t="s">
        <v>55</v>
      </c>
      <c r="V5124">
        <v>1</v>
      </c>
      <c r="W5124">
        <v>1</v>
      </c>
      <c r="X5124">
        <v>2</v>
      </c>
      <c r="Y5124">
        <v>0</v>
      </c>
      <c r="Z5124">
        <v>2</v>
      </c>
      <c r="AA5124">
        <v>212</v>
      </c>
      <c r="AB5124">
        <v>212</v>
      </c>
      <c r="AC5124">
        <v>212</v>
      </c>
      <c r="AD5124">
        <v>0</v>
      </c>
      <c r="AE5124">
        <v>0</v>
      </c>
      <c r="AF5124">
        <v>0</v>
      </c>
      <c r="AG5124">
        <v>0</v>
      </c>
      <c r="AH5124">
        <v>0</v>
      </c>
      <c r="AI5124">
        <v>38.159999999999997</v>
      </c>
      <c r="AJ5124">
        <v>212</v>
      </c>
      <c r="AK5124">
        <v>0</v>
      </c>
      <c r="AL5124" t="s">
        <v>53</v>
      </c>
      <c r="AM5124" t="s">
        <v>53</v>
      </c>
      <c r="AN5124" t="s">
        <v>53</v>
      </c>
      <c r="AO5124" t="s">
        <v>53</v>
      </c>
      <c r="AP5124" t="s">
        <v>53</v>
      </c>
    </row>
    <row r="5125" spans="2:42" x14ac:dyDescent="0.2">
      <c r="B5125" t="s">
        <v>44</v>
      </c>
      <c r="C5125" t="str">
        <f>HYPERLINK("https://us2.cloudbeds.com/connect/8493803454333002#/reservations/115118781976829?display=2FS4UN7VNP&amp;reservation_id=115118781976829", "2FS4UN7VNP")</f>
        <v>2FS4UN7VNP</v>
      </c>
      <c r="D5125" t="s">
        <v>45</v>
      </c>
      <c r="E5125" t="s">
        <v>105</v>
      </c>
      <c r="F5125" t="s">
        <v>47</v>
      </c>
      <c r="G5125" t="s">
        <v>48</v>
      </c>
      <c r="H5125" t="s">
        <v>3957</v>
      </c>
      <c r="I5125" t="s">
        <v>3975</v>
      </c>
      <c r="J5125" t="s">
        <v>8119</v>
      </c>
      <c r="K5125" t="s">
        <v>6373</v>
      </c>
      <c r="L5125" t="s">
        <v>53</v>
      </c>
      <c r="P5125" t="s">
        <v>55</v>
      </c>
      <c r="R5125" t="s">
        <v>53</v>
      </c>
      <c r="T5125" t="s">
        <v>9046</v>
      </c>
      <c r="U5125" t="s">
        <v>58</v>
      </c>
      <c r="V5125">
        <v>3</v>
      </c>
      <c r="W5125">
        <v>1</v>
      </c>
      <c r="X5125">
        <v>2</v>
      </c>
      <c r="Y5125">
        <v>0</v>
      </c>
      <c r="Z5125">
        <v>2</v>
      </c>
      <c r="AA5125">
        <v>576.23</v>
      </c>
      <c r="AB5125">
        <v>576.23</v>
      </c>
      <c r="AC5125">
        <v>507</v>
      </c>
      <c r="AD5125">
        <v>0</v>
      </c>
      <c r="AE5125">
        <v>69.23</v>
      </c>
      <c r="AF5125">
        <v>0</v>
      </c>
      <c r="AG5125">
        <v>0</v>
      </c>
      <c r="AH5125">
        <v>0</v>
      </c>
      <c r="AI5125">
        <v>0</v>
      </c>
      <c r="AJ5125">
        <v>576.23</v>
      </c>
      <c r="AK5125">
        <v>0</v>
      </c>
      <c r="AL5125" t="s">
        <v>53</v>
      </c>
      <c r="AM5125" t="s">
        <v>53</v>
      </c>
      <c r="AN5125" t="s">
        <v>53</v>
      </c>
      <c r="AO5125" t="s">
        <v>53</v>
      </c>
      <c r="AP5125" t="s">
        <v>53</v>
      </c>
    </row>
    <row r="5126" spans="2:42" x14ac:dyDescent="0.2">
      <c r="B5126" t="s">
        <v>44</v>
      </c>
      <c r="C5126" t="str">
        <f>HYPERLINK("https://us2.cloudbeds.com/connect/8493803454333002#/reservations/9080486846192613?display=2FVAE0BKKU&amp;reservation_id=9080486846192613", "2FVAE0BKKU")</f>
        <v>2FVAE0BKKU</v>
      </c>
      <c r="D5126" t="s">
        <v>45</v>
      </c>
      <c r="E5126" t="s">
        <v>190</v>
      </c>
      <c r="F5126" t="s">
        <v>61</v>
      </c>
      <c r="G5126" t="s">
        <v>48</v>
      </c>
      <c r="H5126" t="s">
        <v>49</v>
      </c>
      <c r="I5126" t="s">
        <v>50</v>
      </c>
      <c r="J5126" t="s">
        <v>7414</v>
      </c>
      <c r="K5126" t="s">
        <v>7276</v>
      </c>
      <c r="L5126" t="s">
        <v>53</v>
      </c>
      <c r="N5126" t="s">
        <v>9047</v>
      </c>
      <c r="P5126" t="s">
        <v>55</v>
      </c>
      <c r="R5126" t="s">
        <v>53</v>
      </c>
      <c r="T5126" t="s">
        <v>9048</v>
      </c>
      <c r="U5126" t="s">
        <v>58</v>
      </c>
      <c r="V5126">
        <v>2</v>
      </c>
      <c r="W5126">
        <v>1</v>
      </c>
      <c r="X5126">
        <v>2</v>
      </c>
      <c r="Y5126">
        <v>0</v>
      </c>
      <c r="Z5126">
        <v>2</v>
      </c>
      <c r="AA5126">
        <v>250.95</v>
      </c>
      <c r="AB5126">
        <v>250.95</v>
      </c>
      <c r="AC5126">
        <v>220.8</v>
      </c>
      <c r="AD5126">
        <v>0</v>
      </c>
      <c r="AE5126">
        <v>30.15</v>
      </c>
      <c r="AF5126">
        <v>0</v>
      </c>
      <c r="AG5126">
        <v>0</v>
      </c>
      <c r="AH5126">
        <v>0</v>
      </c>
      <c r="AI5126">
        <v>45.17</v>
      </c>
      <c r="AJ5126">
        <v>250.95</v>
      </c>
      <c r="AK5126">
        <v>0</v>
      </c>
      <c r="AL5126" t="s">
        <v>53</v>
      </c>
      <c r="AM5126" t="s">
        <v>53</v>
      </c>
      <c r="AN5126" t="s">
        <v>53</v>
      </c>
      <c r="AO5126" t="s">
        <v>53</v>
      </c>
      <c r="AP5126" t="s">
        <v>53</v>
      </c>
    </row>
    <row r="5127" spans="2:42" x14ac:dyDescent="0.2">
      <c r="B5127" t="s">
        <v>44</v>
      </c>
      <c r="C5127" t="str">
        <f>HYPERLINK("https://us2.cloudbeds.com/connect/8493803454333002#/reservations/9080486846192742?display=2FVFY1D9UP&amp;reservation_id=9080486846192742", "2FVFY1D9UP")</f>
        <v>2FVFY1D9UP</v>
      </c>
      <c r="D5127" t="s">
        <v>45</v>
      </c>
      <c r="E5127" t="s">
        <v>128</v>
      </c>
      <c r="F5127" t="s">
        <v>86</v>
      </c>
      <c r="G5127" t="s">
        <v>48</v>
      </c>
      <c r="H5127" t="s">
        <v>49</v>
      </c>
      <c r="I5127" t="s">
        <v>50</v>
      </c>
      <c r="J5127" t="s">
        <v>8143</v>
      </c>
      <c r="K5127" t="s">
        <v>8300</v>
      </c>
      <c r="L5127" t="s">
        <v>53</v>
      </c>
      <c r="N5127" t="s">
        <v>9049</v>
      </c>
      <c r="P5127" t="s">
        <v>55</v>
      </c>
      <c r="R5127" t="s">
        <v>53</v>
      </c>
      <c r="T5127" t="s">
        <v>9050</v>
      </c>
      <c r="U5127" t="s">
        <v>58</v>
      </c>
      <c r="V5127">
        <v>1</v>
      </c>
      <c r="W5127">
        <v>1</v>
      </c>
      <c r="X5127">
        <v>2</v>
      </c>
      <c r="Y5127">
        <v>2</v>
      </c>
      <c r="Z5127">
        <v>4</v>
      </c>
      <c r="AA5127">
        <v>169.79</v>
      </c>
      <c r="AB5127">
        <v>169.79</v>
      </c>
      <c r="AC5127">
        <v>149.4</v>
      </c>
      <c r="AD5127">
        <v>0</v>
      </c>
      <c r="AE5127">
        <v>20.39</v>
      </c>
      <c r="AF5127">
        <v>0</v>
      </c>
      <c r="AG5127">
        <v>0</v>
      </c>
      <c r="AH5127">
        <v>0</v>
      </c>
      <c r="AI5127">
        <v>30.56</v>
      </c>
      <c r="AJ5127">
        <v>169.79</v>
      </c>
      <c r="AK5127">
        <v>0</v>
      </c>
      <c r="AL5127" t="s">
        <v>53</v>
      </c>
      <c r="AM5127" t="s">
        <v>53</v>
      </c>
      <c r="AN5127" t="s">
        <v>53</v>
      </c>
      <c r="AO5127" t="s">
        <v>53</v>
      </c>
      <c r="AP5127" t="s">
        <v>53</v>
      </c>
    </row>
    <row r="5128" spans="2:42" x14ac:dyDescent="0.2">
      <c r="B5128" t="s">
        <v>44</v>
      </c>
      <c r="C5128" t="str">
        <f>HYPERLINK("https://us2.cloudbeds.com/connect/8493803454333002#/reservations/115282604785807?display=2FVWPZW3ZX&amp;reservation_id=115282604785807", "2FVWPZW3ZX")</f>
        <v>2FVWPZW3ZX</v>
      </c>
      <c r="D5128" t="s">
        <v>45</v>
      </c>
      <c r="E5128" t="s">
        <v>121</v>
      </c>
      <c r="F5128" t="s">
        <v>86</v>
      </c>
      <c r="G5128" t="s">
        <v>4520</v>
      </c>
      <c r="H5128" t="s">
        <v>3957</v>
      </c>
      <c r="I5128" t="s">
        <v>3989</v>
      </c>
      <c r="J5128" t="s">
        <v>6944</v>
      </c>
      <c r="K5128" t="s">
        <v>7872</v>
      </c>
      <c r="L5128" t="s">
        <v>53</v>
      </c>
      <c r="P5128" t="s">
        <v>55</v>
      </c>
      <c r="R5128" t="s">
        <v>56</v>
      </c>
      <c r="T5128" t="s">
        <v>9051</v>
      </c>
      <c r="U5128" t="s">
        <v>58</v>
      </c>
      <c r="V5128">
        <v>2</v>
      </c>
      <c r="W5128">
        <v>1</v>
      </c>
      <c r="X5128">
        <v>1</v>
      </c>
      <c r="Y5128">
        <v>0</v>
      </c>
      <c r="Z5128">
        <v>1</v>
      </c>
      <c r="AA5128">
        <v>329.34</v>
      </c>
      <c r="AB5128">
        <v>329.34</v>
      </c>
      <c r="AC5128">
        <v>289.8</v>
      </c>
      <c r="AD5128">
        <v>0</v>
      </c>
      <c r="AE5128">
        <v>39.54</v>
      </c>
      <c r="AF5128">
        <v>0</v>
      </c>
      <c r="AG5128">
        <v>0</v>
      </c>
      <c r="AH5128">
        <v>0</v>
      </c>
      <c r="AI5128">
        <v>0</v>
      </c>
      <c r="AJ5128">
        <v>329.34</v>
      </c>
      <c r="AK5128">
        <v>0</v>
      </c>
      <c r="AL5128" t="s">
        <v>53</v>
      </c>
      <c r="AM5128" t="s">
        <v>53</v>
      </c>
      <c r="AN5128" t="s">
        <v>9052</v>
      </c>
      <c r="AO5128" t="s">
        <v>53</v>
      </c>
      <c r="AP5128" t="s">
        <v>53</v>
      </c>
    </row>
    <row r="5129" spans="2:42" x14ac:dyDescent="0.2">
      <c r="B5129" t="s">
        <v>44</v>
      </c>
      <c r="C5129" t="str">
        <f>HYPERLINK("https://us2.cloudbeds.com/connect/8493803454333002#/reservations/9080486846193392?display=2FWB7H67EH&amp;reservation_id=9080486846193392", "2FWB7H67EH")</f>
        <v>2FWB7H67EH</v>
      </c>
      <c r="D5129" t="s">
        <v>45</v>
      </c>
      <c r="E5129" t="s">
        <v>92</v>
      </c>
      <c r="F5129" t="s">
        <v>86</v>
      </c>
      <c r="G5129" t="s">
        <v>48</v>
      </c>
      <c r="H5129" t="s">
        <v>49</v>
      </c>
      <c r="I5129" t="s">
        <v>50</v>
      </c>
      <c r="J5129" t="s">
        <v>7275</v>
      </c>
      <c r="K5129" t="s">
        <v>6944</v>
      </c>
      <c r="L5129" t="s">
        <v>53</v>
      </c>
      <c r="N5129" t="s">
        <v>9053</v>
      </c>
      <c r="P5129" t="s">
        <v>55</v>
      </c>
      <c r="R5129" t="s">
        <v>53</v>
      </c>
      <c r="T5129" t="s">
        <v>9054</v>
      </c>
      <c r="U5129" t="s">
        <v>58</v>
      </c>
      <c r="V5129">
        <v>1</v>
      </c>
      <c r="W5129">
        <v>1</v>
      </c>
      <c r="X5129">
        <v>2</v>
      </c>
      <c r="Y5129">
        <v>0</v>
      </c>
      <c r="Z5129">
        <v>2</v>
      </c>
      <c r="AA5129">
        <v>234.23</v>
      </c>
      <c r="AB5129">
        <v>234.23</v>
      </c>
      <c r="AC5129">
        <v>206.1</v>
      </c>
      <c r="AD5129">
        <v>0</v>
      </c>
      <c r="AE5129">
        <v>28.13</v>
      </c>
      <c r="AF5129">
        <v>0</v>
      </c>
      <c r="AG5129">
        <v>0</v>
      </c>
      <c r="AH5129">
        <v>0</v>
      </c>
      <c r="AI5129">
        <v>42.16</v>
      </c>
      <c r="AJ5129">
        <v>234.23</v>
      </c>
      <c r="AK5129">
        <v>0</v>
      </c>
      <c r="AL5129" t="s">
        <v>53</v>
      </c>
      <c r="AM5129" t="s">
        <v>53</v>
      </c>
      <c r="AN5129" t="s">
        <v>53</v>
      </c>
      <c r="AO5129" t="s">
        <v>53</v>
      </c>
      <c r="AP5129" t="s">
        <v>53</v>
      </c>
    </row>
    <row r="5130" spans="2:42" x14ac:dyDescent="0.2">
      <c r="B5130" t="s">
        <v>44</v>
      </c>
      <c r="C5130" t="str">
        <f>HYPERLINK("https://us2.cloudbeds.com/connect/8493803454333002#/reservations/9080486846193762?display=2FWQMHFB4Z&amp;reservation_id=9080486846193762", "2FWQMHFB4Z")</f>
        <v>2FWQMHFB4Z</v>
      </c>
      <c r="D5130" t="s">
        <v>45</v>
      </c>
      <c r="E5130" t="s">
        <v>85</v>
      </c>
      <c r="F5130" t="s">
        <v>86</v>
      </c>
      <c r="G5130" t="s">
        <v>48</v>
      </c>
      <c r="H5130" t="s">
        <v>49</v>
      </c>
      <c r="I5130" t="s">
        <v>50</v>
      </c>
      <c r="J5130" t="s">
        <v>7152</v>
      </c>
      <c r="K5130" t="s">
        <v>7962</v>
      </c>
      <c r="L5130" t="s">
        <v>53</v>
      </c>
      <c r="N5130" t="s">
        <v>9055</v>
      </c>
      <c r="P5130" t="s">
        <v>55</v>
      </c>
      <c r="R5130" t="s">
        <v>53</v>
      </c>
      <c r="T5130" t="s">
        <v>9056</v>
      </c>
      <c r="U5130" t="s">
        <v>58</v>
      </c>
      <c r="V5130">
        <v>1</v>
      </c>
      <c r="W5130">
        <v>1</v>
      </c>
      <c r="X5130">
        <v>2</v>
      </c>
      <c r="Y5130">
        <v>2</v>
      </c>
      <c r="Z5130">
        <v>4</v>
      </c>
      <c r="AA5130">
        <v>142.74</v>
      </c>
      <c r="AB5130">
        <v>142.74</v>
      </c>
      <c r="AC5130">
        <v>125.6</v>
      </c>
      <c r="AD5130">
        <v>0</v>
      </c>
      <c r="AE5130">
        <v>17.14</v>
      </c>
      <c r="AF5130">
        <v>0</v>
      </c>
      <c r="AG5130">
        <v>0</v>
      </c>
      <c r="AH5130">
        <v>0</v>
      </c>
      <c r="AI5130">
        <v>25.69</v>
      </c>
      <c r="AJ5130">
        <v>142.74</v>
      </c>
      <c r="AK5130">
        <v>0</v>
      </c>
      <c r="AL5130" t="s">
        <v>53</v>
      </c>
      <c r="AM5130" t="s">
        <v>53</v>
      </c>
      <c r="AN5130" t="s">
        <v>53</v>
      </c>
      <c r="AO5130" t="s">
        <v>53</v>
      </c>
      <c r="AP5130" t="s">
        <v>53</v>
      </c>
    </row>
    <row r="5131" spans="2:42" x14ac:dyDescent="0.2">
      <c r="B5131" t="s">
        <v>44</v>
      </c>
      <c r="C5131" t="str">
        <f>HYPERLINK("https://us2.cloudbeds.com/connect/8493803454333002#/reservations/9080486846194344?display=2G0M8DZ9KM&amp;reservation_id=9080486846194344", "2G0M8DZ9KM")</f>
        <v>2G0M8DZ9KM</v>
      </c>
      <c r="D5131" t="s">
        <v>45</v>
      </c>
      <c r="E5131" t="s">
        <v>138</v>
      </c>
      <c r="F5131" t="s">
        <v>70</v>
      </c>
      <c r="G5131" t="s">
        <v>48</v>
      </c>
      <c r="H5131" t="s">
        <v>49</v>
      </c>
      <c r="I5131" t="s">
        <v>50</v>
      </c>
      <c r="J5131" t="s">
        <v>8249</v>
      </c>
      <c r="K5131" t="s">
        <v>8790</v>
      </c>
      <c r="L5131" t="s">
        <v>53</v>
      </c>
      <c r="N5131" t="s">
        <v>9057</v>
      </c>
      <c r="P5131" t="s">
        <v>55</v>
      </c>
      <c r="R5131" t="s">
        <v>53</v>
      </c>
      <c r="T5131" t="s">
        <v>9058</v>
      </c>
      <c r="U5131" t="s">
        <v>58</v>
      </c>
      <c r="V5131">
        <v>2</v>
      </c>
      <c r="W5131">
        <v>1</v>
      </c>
      <c r="X5131">
        <v>2</v>
      </c>
      <c r="Y5131">
        <v>0</v>
      </c>
      <c r="Z5131">
        <v>2</v>
      </c>
      <c r="AA5131">
        <v>251.67</v>
      </c>
      <c r="AB5131">
        <v>251.67</v>
      </c>
      <c r="AC5131">
        <v>221.44</v>
      </c>
      <c r="AD5131">
        <v>0</v>
      </c>
      <c r="AE5131">
        <v>30.23</v>
      </c>
      <c r="AF5131">
        <v>0</v>
      </c>
      <c r="AG5131">
        <v>0</v>
      </c>
      <c r="AH5131">
        <v>0</v>
      </c>
      <c r="AI5131">
        <v>45.3</v>
      </c>
      <c r="AJ5131">
        <v>251.67</v>
      </c>
      <c r="AK5131">
        <v>0</v>
      </c>
      <c r="AL5131" t="s">
        <v>53</v>
      </c>
      <c r="AM5131" t="s">
        <v>53</v>
      </c>
      <c r="AN5131" t="s">
        <v>53</v>
      </c>
      <c r="AO5131" t="s">
        <v>53</v>
      </c>
      <c r="AP5131" t="s">
        <v>53</v>
      </c>
    </row>
    <row r="5132" spans="2:42" x14ac:dyDescent="0.2">
      <c r="B5132" t="s">
        <v>44</v>
      </c>
      <c r="C5132" t="str">
        <f>HYPERLINK("https://us2.cloudbeds.com/connect/8493803454333002#/reservations/9080486846194800?display=2G1GDH2G0D&amp;reservation_id=9080486846194800", "2G1GDH2G0D")</f>
        <v>2G1GDH2G0D</v>
      </c>
      <c r="D5132" t="s">
        <v>45</v>
      </c>
      <c r="E5132" t="s">
        <v>165</v>
      </c>
      <c r="F5132" t="s">
        <v>61</v>
      </c>
      <c r="G5132" t="s">
        <v>48</v>
      </c>
      <c r="H5132" t="s">
        <v>49</v>
      </c>
      <c r="I5132" t="s">
        <v>50</v>
      </c>
      <c r="J5132" t="s">
        <v>7975</v>
      </c>
      <c r="K5132" t="s">
        <v>7751</v>
      </c>
      <c r="L5132" t="s">
        <v>53</v>
      </c>
      <c r="N5132" t="s">
        <v>9059</v>
      </c>
      <c r="P5132" t="s">
        <v>55</v>
      </c>
      <c r="R5132" t="s">
        <v>53</v>
      </c>
      <c r="T5132" t="s">
        <v>9060</v>
      </c>
      <c r="U5132" t="s">
        <v>58</v>
      </c>
      <c r="V5132">
        <v>3</v>
      </c>
      <c r="W5132">
        <v>1</v>
      </c>
      <c r="X5132">
        <v>2</v>
      </c>
      <c r="Y5132">
        <v>0</v>
      </c>
      <c r="Z5132">
        <v>2</v>
      </c>
      <c r="AA5132">
        <v>538.02</v>
      </c>
      <c r="AB5132">
        <v>538.02</v>
      </c>
      <c r="AC5132">
        <v>473.4</v>
      </c>
      <c r="AD5132">
        <v>0</v>
      </c>
      <c r="AE5132">
        <v>64.62</v>
      </c>
      <c r="AF5132">
        <v>0</v>
      </c>
      <c r="AG5132">
        <v>0</v>
      </c>
      <c r="AH5132">
        <v>0</v>
      </c>
      <c r="AI5132">
        <v>96.84</v>
      </c>
      <c r="AJ5132">
        <v>538.02</v>
      </c>
      <c r="AK5132">
        <v>0</v>
      </c>
      <c r="AL5132" t="s">
        <v>53</v>
      </c>
      <c r="AM5132" t="s">
        <v>53</v>
      </c>
      <c r="AN5132" t="s">
        <v>53</v>
      </c>
      <c r="AO5132" t="s">
        <v>53</v>
      </c>
      <c r="AP5132" t="s">
        <v>53</v>
      </c>
    </row>
    <row r="5133" spans="2:42" x14ac:dyDescent="0.2">
      <c r="B5133" t="s">
        <v>44</v>
      </c>
      <c r="C5133" t="str">
        <f>HYPERLINK("https://us2.cloudbeds.com/connect/8493803454333002#/reservations/9080486846195031?display=2G1W7VYW8Y&amp;reservation_id=9080486846195031", "2G1W7VYW8Y")</f>
        <v>2G1W7VYW8Y</v>
      </c>
      <c r="D5133" t="s">
        <v>45</v>
      </c>
      <c r="E5133" t="s">
        <v>487</v>
      </c>
      <c r="F5133" t="s">
        <v>61</v>
      </c>
      <c r="G5133" t="s">
        <v>48</v>
      </c>
      <c r="H5133" t="s">
        <v>49</v>
      </c>
      <c r="I5133" t="s">
        <v>50</v>
      </c>
      <c r="J5133" t="s">
        <v>7414</v>
      </c>
      <c r="K5133" t="s">
        <v>7872</v>
      </c>
      <c r="L5133" t="s">
        <v>53</v>
      </c>
      <c r="N5133" t="s">
        <v>9061</v>
      </c>
      <c r="P5133" t="s">
        <v>55</v>
      </c>
      <c r="R5133" t="s">
        <v>53</v>
      </c>
      <c r="T5133" t="s">
        <v>9062</v>
      </c>
      <c r="U5133" t="s">
        <v>58</v>
      </c>
      <c r="V5133">
        <v>1</v>
      </c>
      <c r="W5133">
        <v>1</v>
      </c>
      <c r="X5133">
        <v>2</v>
      </c>
      <c r="Y5133">
        <v>0</v>
      </c>
      <c r="Z5133">
        <v>2</v>
      </c>
      <c r="AA5133">
        <v>143.19999999999999</v>
      </c>
      <c r="AB5133">
        <v>143.19999999999999</v>
      </c>
      <c r="AC5133">
        <v>126</v>
      </c>
      <c r="AD5133">
        <v>0</v>
      </c>
      <c r="AE5133">
        <v>17.2</v>
      </c>
      <c r="AF5133">
        <v>0</v>
      </c>
      <c r="AG5133">
        <v>0</v>
      </c>
      <c r="AH5133">
        <v>0</v>
      </c>
      <c r="AI5133">
        <v>25.78</v>
      </c>
      <c r="AJ5133">
        <v>143.19999999999999</v>
      </c>
      <c r="AK5133">
        <v>0</v>
      </c>
      <c r="AL5133" t="s">
        <v>53</v>
      </c>
      <c r="AM5133" t="s">
        <v>53</v>
      </c>
      <c r="AN5133" t="s">
        <v>53</v>
      </c>
      <c r="AO5133" t="s">
        <v>53</v>
      </c>
      <c r="AP5133" t="s">
        <v>53</v>
      </c>
    </row>
    <row r="5134" spans="2:42" x14ac:dyDescent="0.2">
      <c r="B5134" t="s">
        <v>44</v>
      </c>
      <c r="C5134" t="str">
        <f>HYPERLINK("https://us2.cloudbeds.com/connect/8493803454333002#/reservations/9080486846195200?display=2G2ACKZWH4&amp;reservation_id=9080486846195200", "2G2ACKZWH4")</f>
        <v>2G2ACKZWH4</v>
      </c>
      <c r="D5134" t="s">
        <v>45</v>
      </c>
      <c r="E5134" t="s">
        <v>406</v>
      </c>
      <c r="F5134" t="s">
        <v>61</v>
      </c>
      <c r="G5134" t="s">
        <v>48</v>
      </c>
      <c r="H5134" t="s">
        <v>49</v>
      </c>
      <c r="I5134" t="s">
        <v>50</v>
      </c>
      <c r="J5134" t="s">
        <v>7414</v>
      </c>
      <c r="K5134" t="s">
        <v>7872</v>
      </c>
      <c r="L5134" t="s">
        <v>53</v>
      </c>
      <c r="N5134" t="s">
        <v>9063</v>
      </c>
      <c r="P5134" t="s">
        <v>55</v>
      </c>
      <c r="R5134" t="s">
        <v>53</v>
      </c>
      <c r="T5134" t="s">
        <v>9064</v>
      </c>
      <c r="U5134" t="s">
        <v>58</v>
      </c>
      <c r="V5134">
        <v>1</v>
      </c>
      <c r="W5134">
        <v>1</v>
      </c>
      <c r="X5134">
        <v>2</v>
      </c>
      <c r="Y5134">
        <v>0</v>
      </c>
      <c r="Z5134">
        <v>2</v>
      </c>
      <c r="AA5134">
        <v>127.29</v>
      </c>
      <c r="AB5134">
        <v>127.29</v>
      </c>
      <c r="AC5134">
        <v>112</v>
      </c>
      <c r="AD5134">
        <v>0</v>
      </c>
      <c r="AE5134">
        <v>15.29</v>
      </c>
      <c r="AF5134">
        <v>0</v>
      </c>
      <c r="AG5134">
        <v>0</v>
      </c>
      <c r="AH5134">
        <v>0</v>
      </c>
      <c r="AI5134">
        <v>22.91</v>
      </c>
      <c r="AJ5134">
        <v>127.29</v>
      </c>
      <c r="AK5134">
        <v>0</v>
      </c>
      <c r="AL5134" t="s">
        <v>53</v>
      </c>
      <c r="AM5134" t="s">
        <v>53</v>
      </c>
      <c r="AN5134" t="s">
        <v>53</v>
      </c>
      <c r="AO5134" t="s">
        <v>53</v>
      </c>
      <c r="AP5134" t="s">
        <v>53</v>
      </c>
    </row>
    <row r="5135" spans="2:42" x14ac:dyDescent="0.2">
      <c r="B5135" t="s">
        <v>44</v>
      </c>
      <c r="C5135" t="str">
        <f>HYPERLINK("https://us2.cloudbeds.com/connect/8493803454333002#/reservations/9080486846195485?display=2G2UH4CYSR&amp;reservation_id=9080486846195485", "2G2UH4CYSR")</f>
        <v>2G2UH4CYSR</v>
      </c>
      <c r="D5135" t="s">
        <v>45</v>
      </c>
      <c r="E5135" t="s">
        <v>105</v>
      </c>
      <c r="F5135" t="s">
        <v>47</v>
      </c>
      <c r="G5135" t="s">
        <v>48</v>
      </c>
      <c r="H5135" t="s">
        <v>49</v>
      </c>
      <c r="I5135" t="s">
        <v>50</v>
      </c>
      <c r="J5135" t="s">
        <v>7352</v>
      </c>
      <c r="K5135" t="s">
        <v>7510</v>
      </c>
      <c r="L5135" t="s">
        <v>53</v>
      </c>
      <c r="N5135" t="s">
        <v>9065</v>
      </c>
      <c r="P5135" t="s">
        <v>55</v>
      </c>
      <c r="R5135" t="s">
        <v>53</v>
      </c>
      <c r="T5135" t="s">
        <v>9066</v>
      </c>
      <c r="U5135" t="s">
        <v>58</v>
      </c>
      <c r="V5135">
        <v>1</v>
      </c>
      <c r="W5135">
        <v>1</v>
      </c>
      <c r="X5135">
        <v>1</v>
      </c>
      <c r="Y5135">
        <v>0</v>
      </c>
      <c r="Z5135">
        <v>1</v>
      </c>
      <c r="AA5135">
        <v>155.47999999999999</v>
      </c>
      <c r="AB5135">
        <v>155.47999999999999</v>
      </c>
      <c r="AC5135">
        <v>136.80000000000001</v>
      </c>
      <c r="AD5135">
        <v>0</v>
      </c>
      <c r="AE5135">
        <v>18.68</v>
      </c>
      <c r="AF5135">
        <v>0</v>
      </c>
      <c r="AG5135">
        <v>0</v>
      </c>
      <c r="AH5135">
        <v>0</v>
      </c>
      <c r="AI5135">
        <v>27.99</v>
      </c>
      <c r="AJ5135">
        <v>155.47999999999999</v>
      </c>
      <c r="AK5135">
        <v>0</v>
      </c>
      <c r="AL5135" t="s">
        <v>53</v>
      </c>
      <c r="AM5135" t="s">
        <v>53</v>
      </c>
      <c r="AN5135" t="s">
        <v>53</v>
      </c>
      <c r="AO5135" t="s">
        <v>53</v>
      </c>
      <c r="AP5135" t="s">
        <v>53</v>
      </c>
    </row>
    <row r="5136" spans="2:42" x14ac:dyDescent="0.2">
      <c r="B5136" t="s">
        <v>44</v>
      </c>
      <c r="C5136" t="str">
        <f>HYPERLINK("https://us2.cloudbeds.com/connect/8493803454333002#/reservations/9080486846195522?display=2G32C0AR15&amp;reservation_id=9080486846195522", "2G32C0AR15")</f>
        <v>2G32C0AR15</v>
      </c>
      <c r="D5136" t="s">
        <v>45</v>
      </c>
      <c r="E5136" t="s">
        <v>128</v>
      </c>
      <c r="F5136" t="s">
        <v>86</v>
      </c>
      <c r="G5136" t="s">
        <v>48</v>
      </c>
      <c r="H5136" t="s">
        <v>49</v>
      </c>
      <c r="I5136" t="s">
        <v>8964</v>
      </c>
      <c r="J5136" t="s">
        <v>6397</v>
      </c>
      <c r="K5136" t="s">
        <v>7962</v>
      </c>
      <c r="L5136" t="s">
        <v>53</v>
      </c>
      <c r="N5136" t="s">
        <v>9067</v>
      </c>
      <c r="P5136" t="s">
        <v>55</v>
      </c>
      <c r="R5136" t="s">
        <v>53</v>
      </c>
      <c r="T5136" t="s">
        <v>9068</v>
      </c>
      <c r="U5136" t="s">
        <v>58</v>
      </c>
      <c r="V5136">
        <v>2</v>
      </c>
      <c r="W5136">
        <v>1</v>
      </c>
      <c r="X5136">
        <v>2</v>
      </c>
      <c r="Y5136">
        <v>2</v>
      </c>
      <c r="Z5136">
        <v>4</v>
      </c>
      <c r="AA5136">
        <v>340</v>
      </c>
      <c r="AB5136">
        <v>0</v>
      </c>
      <c r="AC5136">
        <v>340</v>
      </c>
      <c r="AD5136">
        <v>0</v>
      </c>
      <c r="AE5136">
        <v>0</v>
      </c>
      <c r="AF5136">
        <v>0</v>
      </c>
      <c r="AG5136">
        <v>0</v>
      </c>
      <c r="AH5136">
        <v>0</v>
      </c>
      <c r="AI5136">
        <v>51</v>
      </c>
      <c r="AJ5136">
        <v>340</v>
      </c>
      <c r="AK5136">
        <v>340</v>
      </c>
      <c r="AL5136" t="s">
        <v>53</v>
      </c>
      <c r="AM5136" t="s">
        <v>53</v>
      </c>
      <c r="AN5136" t="s">
        <v>53</v>
      </c>
      <c r="AO5136" t="s">
        <v>53</v>
      </c>
      <c r="AP5136" t="s">
        <v>53</v>
      </c>
    </row>
    <row r="5137" spans="2:42" x14ac:dyDescent="0.2">
      <c r="B5137" t="s">
        <v>44</v>
      </c>
      <c r="C5137" t="str">
        <f>HYPERLINK("https://us2.cloudbeds.com/connect/8493803454333002#/reservations/9080486846196996?display=2G63TT09RM&amp;reservation_id=9080486846196996", "2G63TT09RM")</f>
        <v>2G63TT09RM</v>
      </c>
      <c r="D5137" t="s">
        <v>45</v>
      </c>
      <c r="E5137" t="s">
        <v>213</v>
      </c>
      <c r="F5137" t="s">
        <v>86</v>
      </c>
      <c r="G5137" t="s">
        <v>48</v>
      </c>
      <c r="H5137" t="s">
        <v>49</v>
      </c>
      <c r="I5137" t="s">
        <v>50</v>
      </c>
      <c r="J5137" t="s">
        <v>6373</v>
      </c>
      <c r="K5137" t="s">
        <v>6374</v>
      </c>
      <c r="L5137" t="s">
        <v>53</v>
      </c>
      <c r="N5137" t="s">
        <v>9069</v>
      </c>
      <c r="P5137" t="s">
        <v>55</v>
      </c>
      <c r="R5137" t="s">
        <v>53</v>
      </c>
      <c r="T5137" t="s">
        <v>9070</v>
      </c>
      <c r="U5137" t="s">
        <v>58</v>
      </c>
      <c r="V5137">
        <v>2</v>
      </c>
      <c r="W5137">
        <v>1</v>
      </c>
      <c r="X5137">
        <v>2</v>
      </c>
      <c r="Y5137">
        <v>0</v>
      </c>
      <c r="Z5137">
        <v>2</v>
      </c>
      <c r="AA5137">
        <v>344.63</v>
      </c>
      <c r="AB5137">
        <v>344.63</v>
      </c>
      <c r="AC5137">
        <v>303.24</v>
      </c>
      <c r="AD5137">
        <v>0</v>
      </c>
      <c r="AE5137">
        <v>41.39</v>
      </c>
      <c r="AF5137">
        <v>0</v>
      </c>
      <c r="AG5137">
        <v>0</v>
      </c>
      <c r="AH5137">
        <v>0</v>
      </c>
      <c r="AI5137">
        <v>62.03</v>
      </c>
      <c r="AJ5137">
        <v>344.63</v>
      </c>
      <c r="AK5137">
        <v>0</v>
      </c>
      <c r="AL5137" t="s">
        <v>53</v>
      </c>
      <c r="AM5137" t="s">
        <v>53</v>
      </c>
      <c r="AN5137" t="s">
        <v>53</v>
      </c>
      <c r="AO5137" t="s">
        <v>53</v>
      </c>
      <c r="AP5137" t="s">
        <v>53</v>
      </c>
    </row>
    <row r="5138" spans="2:42" x14ac:dyDescent="0.2">
      <c r="B5138" t="s">
        <v>44</v>
      </c>
      <c r="C5138" t="str">
        <f>HYPERLINK("https://us2.cloudbeds.com/connect/8493803454333002#/reservations/115599644430488?display=2G6E8S6J1J&amp;reservation_id=115599644430488", "2G6E8S6J1J")</f>
        <v>2G6E8S6J1J</v>
      </c>
      <c r="D5138" t="s">
        <v>45</v>
      </c>
      <c r="E5138" t="s">
        <v>92</v>
      </c>
      <c r="F5138" t="s">
        <v>86</v>
      </c>
      <c r="G5138" t="s">
        <v>48</v>
      </c>
      <c r="H5138" t="s">
        <v>3957</v>
      </c>
      <c r="I5138" t="s">
        <v>3989</v>
      </c>
      <c r="J5138" t="s">
        <v>6944</v>
      </c>
      <c r="K5138" t="s">
        <v>7872</v>
      </c>
      <c r="L5138" t="s">
        <v>53</v>
      </c>
      <c r="P5138" t="s">
        <v>55</v>
      </c>
      <c r="R5138" t="s">
        <v>56</v>
      </c>
      <c r="T5138" t="s">
        <v>9071</v>
      </c>
      <c r="U5138" t="s">
        <v>58</v>
      </c>
      <c r="V5138">
        <v>2</v>
      </c>
      <c r="W5138">
        <v>1</v>
      </c>
      <c r="X5138">
        <v>1</v>
      </c>
      <c r="Y5138">
        <v>0</v>
      </c>
      <c r="Z5138">
        <v>1</v>
      </c>
      <c r="AA5138">
        <v>367.09</v>
      </c>
      <c r="AB5138">
        <v>367.09</v>
      </c>
      <c r="AC5138">
        <v>323</v>
      </c>
      <c r="AD5138">
        <v>0</v>
      </c>
      <c r="AE5138">
        <v>44.09</v>
      </c>
      <c r="AF5138">
        <v>0</v>
      </c>
      <c r="AG5138">
        <v>0</v>
      </c>
      <c r="AH5138">
        <v>0</v>
      </c>
      <c r="AI5138">
        <v>0</v>
      </c>
      <c r="AJ5138">
        <v>367.09</v>
      </c>
      <c r="AK5138">
        <v>0</v>
      </c>
      <c r="AL5138" t="s">
        <v>53</v>
      </c>
      <c r="AM5138" t="s">
        <v>53</v>
      </c>
      <c r="AN5138" t="s">
        <v>53</v>
      </c>
      <c r="AO5138" t="s">
        <v>53</v>
      </c>
      <c r="AP5138" t="s">
        <v>53</v>
      </c>
    </row>
    <row r="5139" spans="2:42" x14ac:dyDescent="0.2">
      <c r="B5139" t="s">
        <v>44</v>
      </c>
      <c r="C5139" t="str">
        <f>HYPERLINK("https://us2.cloudbeds.com/connect/8493803454333002#/reservations/9080486846197318?display=2G6X35UFWW&amp;reservation_id=9080486846197318", "2G6X35UFWW")</f>
        <v>2G6X35UFWW</v>
      </c>
      <c r="D5139" t="s">
        <v>45</v>
      </c>
      <c r="E5139" t="s">
        <v>190</v>
      </c>
      <c r="F5139" t="s">
        <v>61</v>
      </c>
      <c r="G5139" t="s">
        <v>48</v>
      </c>
      <c r="H5139" t="s">
        <v>49</v>
      </c>
      <c r="I5139" t="s">
        <v>50</v>
      </c>
      <c r="J5139" t="s">
        <v>6944</v>
      </c>
      <c r="K5139" t="s">
        <v>7414</v>
      </c>
      <c r="L5139" t="s">
        <v>53</v>
      </c>
      <c r="N5139" t="s">
        <v>9072</v>
      </c>
      <c r="P5139" t="s">
        <v>55</v>
      </c>
      <c r="R5139" t="s">
        <v>53</v>
      </c>
      <c r="T5139" t="s">
        <v>9073</v>
      </c>
      <c r="U5139" t="s">
        <v>58</v>
      </c>
      <c r="V5139">
        <v>1</v>
      </c>
      <c r="W5139">
        <v>1</v>
      </c>
      <c r="X5139">
        <v>2</v>
      </c>
      <c r="Y5139">
        <v>0</v>
      </c>
      <c r="Z5139">
        <v>2</v>
      </c>
      <c r="AA5139">
        <v>142.97</v>
      </c>
      <c r="AB5139">
        <v>142.97</v>
      </c>
      <c r="AC5139">
        <v>125.8</v>
      </c>
      <c r="AD5139">
        <v>0</v>
      </c>
      <c r="AE5139">
        <v>17.170000000000002</v>
      </c>
      <c r="AF5139">
        <v>0</v>
      </c>
      <c r="AG5139">
        <v>0</v>
      </c>
      <c r="AH5139">
        <v>0</v>
      </c>
      <c r="AI5139">
        <v>25.73</v>
      </c>
      <c r="AJ5139">
        <v>142.97</v>
      </c>
      <c r="AK5139">
        <v>0</v>
      </c>
      <c r="AL5139" t="s">
        <v>53</v>
      </c>
      <c r="AM5139" t="s">
        <v>53</v>
      </c>
      <c r="AN5139" t="s">
        <v>53</v>
      </c>
      <c r="AO5139" t="s">
        <v>53</v>
      </c>
      <c r="AP5139" t="s">
        <v>53</v>
      </c>
    </row>
    <row r="5140" spans="2:42" x14ac:dyDescent="0.2">
      <c r="B5140" t="s">
        <v>44</v>
      </c>
      <c r="C5140" t="str">
        <f>HYPERLINK("https://us2.cloudbeds.com/connect/8493803454333002#/reservations/115612496343284?display=2G6Z788WSG&amp;reservation_id=115612496343284", "2G6Z788WSG")</f>
        <v>2G6Z788WSG</v>
      </c>
      <c r="D5140" t="s">
        <v>45</v>
      </c>
      <c r="E5140" t="s">
        <v>110</v>
      </c>
      <c r="F5140" t="s">
        <v>47</v>
      </c>
      <c r="G5140" t="s">
        <v>3974</v>
      </c>
      <c r="H5140" t="s">
        <v>3957</v>
      </c>
      <c r="I5140" t="s">
        <v>3975</v>
      </c>
      <c r="J5140" t="s">
        <v>6397</v>
      </c>
      <c r="K5140" t="s">
        <v>7152</v>
      </c>
      <c r="L5140" t="s">
        <v>53</v>
      </c>
      <c r="P5140" t="s">
        <v>55</v>
      </c>
      <c r="R5140" t="s">
        <v>53</v>
      </c>
      <c r="T5140" t="s">
        <v>9074</v>
      </c>
      <c r="U5140" t="s">
        <v>58</v>
      </c>
      <c r="V5140">
        <v>1</v>
      </c>
      <c r="W5140">
        <v>1</v>
      </c>
      <c r="X5140">
        <v>2</v>
      </c>
      <c r="Y5140">
        <v>0</v>
      </c>
      <c r="Z5140">
        <v>2</v>
      </c>
      <c r="AA5140">
        <v>152.22999999999999</v>
      </c>
      <c r="AB5140">
        <v>152.22999999999999</v>
      </c>
      <c r="AC5140">
        <v>133.94999999999999</v>
      </c>
      <c r="AD5140">
        <v>0</v>
      </c>
      <c r="AE5140">
        <v>18.28</v>
      </c>
      <c r="AF5140">
        <v>0</v>
      </c>
      <c r="AG5140">
        <v>0</v>
      </c>
      <c r="AH5140">
        <v>0</v>
      </c>
      <c r="AI5140">
        <v>0</v>
      </c>
      <c r="AJ5140">
        <v>152.22999999999999</v>
      </c>
      <c r="AK5140">
        <v>0</v>
      </c>
      <c r="AL5140" t="s">
        <v>53</v>
      </c>
      <c r="AM5140" t="s">
        <v>53</v>
      </c>
      <c r="AN5140" t="s">
        <v>53</v>
      </c>
      <c r="AO5140" t="s">
        <v>53</v>
      </c>
      <c r="AP5140" t="s">
        <v>53</v>
      </c>
    </row>
    <row r="5141" spans="2:42" x14ac:dyDescent="0.2">
      <c r="B5141" t="s">
        <v>44</v>
      </c>
      <c r="C5141" t="str">
        <f>HYPERLINK("https://us2.cloudbeds.com/connect/8493803454333002#/reservations/9080486846197807?display=2G74YC4PF8&amp;reservation_id=9080486846197807", "2G74YC4PF8")</f>
        <v>2G74YC4PF8</v>
      </c>
      <c r="D5141" t="s">
        <v>45</v>
      </c>
      <c r="E5141" t="s">
        <v>98</v>
      </c>
      <c r="F5141" t="s">
        <v>86</v>
      </c>
      <c r="G5141" t="s">
        <v>48</v>
      </c>
      <c r="H5141" t="s">
        <v>49</v>
      </c>
      <c r="I5141" t="s">
        <v>50</v>
      </c>
      <c r="J5141" t="s">
        <v>8143</v>
      </c>
      <c r="K5141" t="s">
        <v>8300</v>
      </c>
      <c r="L5141" t="s">
        <v>53</v>
      </c>
      <c r="N5141" t="s">
        <v>9075</v>
      </c>
      <c r="P5141" t="s">
        <v>55</v>
      </c>
      <c r="R5141" t="s">
        <v>53</v>
      </c>
      <c r="T5141" t="s">
        <v>9076</v>
      </c>
      <c r="U5141" t="s">
        <v>58</v>
      </c>
      <c r="V5141">
        <v>1</v>
      </c>
      <c r="W5141">
        <v>1</v>
      </c>
      <c r="X5141">
        <v>2</v>
      </c>
      <c r="Y5141">
        <v>0</v>
      </c>
      <c r="Z5141">
        <v>2</v>
      </c>
      <c r="AA5141">
        <v>171.96</v>
      </c>
      <c r="AB5141">
        <v>171.96</v>
      </c>
      <c r="AC5141">
        <v>151.30000000000001</v>
      </c>
      <c r="AD5141">
        <v>0</v>
      </c>
      <c r="AE5141">
        <v>20.66</v>
      </c>
      <c r="AF5141">
        <v>0</v>
      </c>
      <c r="AG5141">
        <v>0</v>
      </c>
      <c r="AH5141">
        <v>0</v>
      </c>
      <c r="AI5141">
        <v>30.95</v>
      </c>
      <c r="AJ5141">
        <v>171.96</v>
      </c>
      <c r="AK5141">
        <v>0</v>
      </c>
      <c r="AL5141" t="s">
        <v>53</v>
      </c>
      <c r="AM5141" t="s">
        <v>53</v>
      </c>
      <c r="AN5141" t="s">
        <v>53</v>
      </c>
      <c r="AO5141" t="s">
        <v>53</v>
      </c>
      <c r="AP5141" t="s">
        <v>53</v>
      </c>
    </row>
    <row r="5142" spans="2:42" x14ac:dyDescent="0.2">
      <c r="B5142" t="s">
        <v>44</v>
      </c>
      <c r="C5142" t="str">
        <f>HYPERLINK("https://us2.cloudbeds.com/connect/8493803454333002#/reservations/9080486846197905?display=2G77HJ6CCS&amp;reservation_id=9080486846197905", "2G77HJ6CCS")</f>
        <v>2G77HJ6CCS</v>
      </c>
      <c r="D5142" t="s">
        <v>45</v>
      </c>
      <c r="E5142" t="s">
        <v>406</v>
      </c>
      <c r="F5142" t="s">
        <v>61</v>
      </c>
      <c r="G5142" t="s">
        <v>48</v>
      </c>
      <c r="H5142" t="s">
        <v>49</v>
      </c>
      <c r="I5142" t="s">
        <v>50</v>
      </c>
      <c r="J5142" t="s">
        <v>7706</v>
      </c>
      <c r="K5142" t="s">
        <v>7352</v>
      </c>
      <c r="L5142" t="s">
        <v>53</v>
      </c>
      <c r="N5142" t="s">
        <v>9077</v>
      </c>
      <c r="P5142" t="s">
        <v>55</v>
      </c>
      <c r="R5142" t="s">
        <v>53</v>
      </c>
      <c r="T5142" t="s">
        <v>9078</v>
      </c>
      <c r="U5142" t="s">
        <v>58</v>
      </c>
      <c r="V5142">
        <v>1</v>
      </c>
      <c r="W5142">
        <v>1</v>
      </c>
      <c r="X5142">
        <v>2</v>
      </c>
      <c r="Y5142">
        <v>0</v>
      </c>
      <c r="Z5142">
        <v>2</v>
      </c>
      <c r="AA5142">
        <v>150.93</v>
      </c>
      <c r="AB5142">
        <v>150.93</v>
      </c>
      <c r="AC5142">
        <v>132.80000000000001</v>
      </c>
      <c r="AD5142">
        <v>0</v>
      </c>
      <c r="AE5142">
        <v>18.13</v>
      </c>
      <c r="AF5142">
        <v>0</v>
      </c>
      <c r="AG5142">
        <v>0</v>
      </c>
      <c r="AH5142">
        <v>0</v>
      </c>
      <c r="AI5142">
        <v>27.17</v>
      </c>
      <c r="AJ5142">
        <v>150.93</v>
      </c>
      <c r="AK5142">
        <v>0</v>
      </c>
      <c r="AL5142" t="s">
        <v>53</v>
      </c>
      <c r="AM5142" t="s">
        <v>53</v>
      </c>
      <c r="AN5142" t="s">
        <v>53</v>
      </c>
      <c r="AO5142" t="s">
        <v>53</v>
      </c>
      <c r="AP5142" t="s">
        <v>53</v>
      </c>
    </row>
    <row r="5143" spans="2:42" x14ac:dyDescent="0.2">
      <c r="B5143" t="s">
        <v>44</v>
      </c>
      <c r="C5143" t="str">
        <f>HYPERLINK("https://us2.cloudbeds.com/connect/8493803454333002#/reservations/9080486846197906?display=2G77W7KHSF&amp;reservation_id=9080486846197906", "2G77W7KHSF")</f>
        <v>2G77W7KHSF</v>
      </c>
      <c r="D5143" t="s">
        <v>45</v>
      </c>
      <c r="E5143" t="s">
        <v>305</v>
      </c>
      <c r="F5143" t="s">
        <v>61</v>
      </c>
      <c r="G5143" t="s">
        <v>48</v>
      </c>
      <c r="H5143" t="s">
        <v>49</v>
      </c>
      <c r="I5143" t="s">
        <v>50</v>
      </c>
      <c r="J5143" t="s">
        <v>7706</v>
      </c>
      <c r="K5143" t="s">
        <v>7352</v>
      </c>
      <c r="L5143" t="s">
        <v>53</v>
      </c>
      <c r="N5143" t="s">
        <v>9079</v>
      </c>
      <c r="P5143" t="s">
        <v>55</v>
      </c>
      <c r="R5143" t="s">
        <v>53</v>
      </c>
      <c r="T5143" t="s">
        <v>9080</v>
      </c>
      <c r="U5143" t="s">
        <v>58</v>
      </c>
      <c r="V5143">
        <v>1</v>
      </c>
      <c r="W5143">
        <v>1</v>
      </c>
      <c r="X5143">
        <v>2</v>
      </c>
      <c r="Y5143">
        <v>0</v>
      </c>
      <c r="Z5143">
        <v>2</v>
      </c>
      <c r="AA5143">
        <v>150.93</v>
      </c>
      <c r="AB5143">
        <v>150.93</v>
      </c>
      <c r="AC5143">
        <v>132.80000000000001</v>
      </c>
      <c r="AD5143">
        <v>0</v>
      </c>
      <c r="AE5143">
        <v>18.13</v>
      </c>
      <c r="AF5143">
        <v>0</v>
      </c>
      <c r="AG5143">
        <v>0</v>
      </c>
      <c r="AH5143">
        <v>0</v>
      </c>
      <c r="AI5143">
        <v>27.17</v>
      </c>
      <c r="AJ5143">
        <v>150.93</v>
      </c>
      <c r="AK5143">
        <v>0</v>
      </c>
      <c r="AL5143" t="s">
        <v>53</v>
      </c>
      <c r="AM5143" t="s">
        <v>53</v>
      </c>
      <c r="AN5143" t="s">
        <v>53</v>
      </c>
      <c r="AO5143" t="s">
        <v>53</v>
      </c>
      <c r="AP5143" t="s">
        <v>53</v>
      </c>
    </row>
    <row r="5144" spans="2:42" x14ac:dyDescent="0.2">
      <c r="B5144" t="s">
        <v>44</v>
      </c>
      <c r="C5144" t="str">
        <f>HYPERLINK("https://us2.cloudbeds.com/connect/8493803454333002#/reservations/9080486846198274?display=2G7KEVBJU4&amp;reservation_id=9080486846198274", "2G7KEVBJU4")</f>
        <v>2G7KEVBJU4</v>
      </c>
      <c r="D5144" t="s">
        <v>45</v>
      </c>
      <c r="E5144" t="s">
        <v>190</v>
      </c>
      <c r="F5144" t="s">
        <v>61</v>
      </c>
      <c r="G5144" t="s">
        <v>48</v>
      </c>
      <c r="H5144" t="s">
        <v>49</v>
      </c>
      <c r="I5144" t="s">
        <v>50</v>
      </c>
      <c r="J5144" t="s">
        <v>7822</v>
      </c>
      <c r="K5144" t="s">
        <v>8143</v>
      </c>
      <c r="L5144" t="s">
        <v>53</v>
      </c>
      <c r="N5144" t="s">
        <v>9081</v>
      </c>
      <c r="P5144" t="s">
        <v>55</v>
      </c>
      <c r="R5144" t="s">
        <v>53</v>
      </c>
      <c r="T5144" t="s">
        <v>9082</v>
      </c>
      <c r="U5144" t="s">
        <v>58</v>
      </c>
      <c r="V5144">
        <v>1</v>
      </c>
      <c r="W5144">
        <v>1</v>
      </c>
      <c r="X5144">
        <v>2</v>
      </c>
      <c r="Y5144">
        <v>0</v>
      </c>
      <c r="Z5144">
        <v>2</v>
      </c>
      <c r="AA5144">
        <v>190.25</v>
      </c>
      <c r="AB5144">
        <v>190.25</v>
      </c>
      <c r="AC5144">
        <v>167.4</v>
      </c>
      <c r="AD5144">
        <v>0</v>
      </c>
      <c r="AE5144">
        <v>22.85</v>
      </c>
      <c r="AF5144">
        <v>0</v>
      </c>
      <c r="AG5144">
        <v>0</v>
      </c>
      <c r="AH5144">
        <v>0</v>
      </c>
      <c r="AI5144">
        <v>34.25</v>
      </c>
      <c r="AJ5144">
        <v>190.25</v>
      </c>
      <c r="AK5144">
        <v>0</v>
      </c>
      <c r="AL5144" t="s">
        <v>53</v>
      </c>
      <c r="AM5144" t="s">
        <v>53</v>
      </c>
      <c r="AN5144" t="s">
        <v>53</v>
      </c>
      <c r="AO5144" t="s">
        <v>53</v>
      </c>
      <c r="AP5144" t="s">
        <v>53</v>
      </c>
    </row>
    <row r="5145" spans="2:42" x14ac:dyDescent="0.2">
      <c r="B5145" t="s">
        <v>44</v>
      </c>
      <c r="C5145" t="str">
        <f>HYPERLINK("https://us2.cloudbeds.com/connect/8493803454333002#/reservations/9080486846198417?display=2G7PXHAK3C&amp;reservation_id=9080486846198417", "2G7PXHAK3C")</f>
        <v>2G7PXHAK3C</v>
      </c>
      <c r="D5145" t="s">
        <v>45</v>
      </c>
      <c r="E5145" t="s">
        <v>110</v>
      </c>
      <c r="F5145" t="s">
        <v>47</v>
      </c>
      <c r="G5145" t="s">
        <v>48</v>
      </c>
      <c r="H5145" t="s">
        <v>49</v>
      </c>
      <c r="I5145" t="s">
        <v>50</v>
      </c>
      <c r="J5145" t="s">
        <v>5594</v>
      </c>
      <c r="K5145" t="s">
        <v>7706</v>
      </c>
      <c r="L5145" t="s">
        <v>53</v>
      </c>
      <c r="N5145" t="s">
        <v>9083</v>
      </c>
      <c r="P5145" t="s">
        <v>55</v>
      </c>
      <c r="R5145" t="s">
        <v>53</v>
      </c>
      <c r="T5145" t="s">
        <v>9084</v>
      </c>
      <c r="U5145" t="s">
        <v>58</v>
      </c>
      <c r="V5145">
        <v>1</v>
      </c>
      <c r="W5145">
        <v>1</v>
      </c>
      <c r="X5145">
        <v>2</v>
      </c>
      <c r="Y5145">
        <v>0</v>
      </c>
      <c r="Z5145">
        <v>2</v>
      </c>
      <c r="AA5145">
        <v>135.07</v>
      </c>
      <c r="AB5145">
        <v>135.07</v>
      </c>
      <c r="AC5145">
        <v>118.84</v>
      </c>
      <c r="AD5145">
        <v>0</v>
      </c>
      <c r="AE5145">
        <v>16.23</v>
      </c>
      <c r="AF5145">
        <v>0</v>
      </c>
      <c r="AG5145">
        <v>0</v>
      </c>
      <c r="AH5145">
        <v>0</v>
      </c>
      <c r="AI5145">
        <v>24.31</v>
      </c>
      <c r="AJ5145">
        <v>135.07</v>
      </c>
      <c r="AK5145">
        <v>0</v>
      </c>
      <c r="AL5145" t="s">
        <v>53</v>
      </c>
      <c r="AM5145" t="s">
        <v>53</v>
      </c>
      <c r="AN5145" t="s">
        <v>53</v>
      </c>
      <c r="AO5145" t="s">
        <v>53</v>
      </c>
      <c r="AP5145" t="s">
        <v>53</v>
      </c>
    </row>
    <row r="5146" spans="2:42" x14ac:dyDescent="0.2">
      <c r="B5146" t="s">
        <v>44</v>
      </c>
      <c r="C5146" t="str">
        <f>HYPERLINK("https://us2.cloudbeds.com/connect/8493803454333002#/reservations/9080486846198485?display=2G7RTP2YYC&amp;reservation_id=9080486846198485", "2G7RTP2YYC")</f>
        <v>2G7RTP2YYC</v>
      </c>
      <c r="D5146" t="s">
        <v>45</v>
      </c>
      <c r="E5146" t="s">
        <v>487</v>
      </c>
      <c r="F5146" t="s">
        <v>61</v>
      </c>
      <c r="G5146" t="s">
        <v>48</v>
      </c>
      <c r="H5146" t="s">
        <v>49</v>
      </c>
      <c r="I5146" t="s">
        <v>50</v>
      </c>
      <c r="J5146" t="s">
        <v>7872</v>
      </c>
      <c r="K5146" t="s">
        <v>7706</v>
      </c>
      <c r="L5146" t="s">
        <v>53</v>
      </c>
      <c r="N5146" t="s">
        <v>9085</v>
      </c>
      <c r="P5146" t="s">
        <v>55</v>
      </c>
      <c r="R5146" t="s">
        <v>53</v>
      </c>
      <c r="T5146" t="s">
        <v>9086</v>
      </c>
      <c r="U5146" t="s">
        <v>58</v>
      </c>
      <c r="V5146">
        <v>6</v>
      </c>
      <c r="W5146">
        <v>1</v>
      </c>
      <c r="X5146">
        <v>2</v>
      </c>
      <c r="Y5146">
        <v>0</v>
      </c>
      <c r="Z5146">
        <v>2</v>
      </c>
      <c r="AA5146">
        <v>994.23</v>
      </c>
      <c r="AB5146">
        <v>994.23</v>
      </c>
      <c r="AC5146">
        <v>874.8</v>
      </c>
      <c r="AD5146">
        <v>0</v>
      </c>
      <c r="AE5146">
        <v>119.43</v>
      </c>
      <c r="AF5146">
        <v>0</v>
      </c>
      <c r="AG5146">
        <v>0</v>
      </c>
      <c r="AH5146">
        <v>0</v>
      </c>
      <c r="AI5146">
        <v>178.96</v>
      </c>
      <c r="AJ5146">
        <v>994.23</v>
      </c>
      <c r="AK5146">
        <v>0</v>
      </c>
      <c r="AL5146" t="s">
        <v>53</v>
      </c>
      <c r="AM5146" t="s">
        <v>53</v>
      </c>
      <c r="AN5146" t="s">
        <v>53</v>
      </c>
      <c r="AO5146" t="s">
        <v>53</v>
      </c>
      <c r="AP5146" t="s">
        <v>53</v>
      </c>
    </row>
    <row r="5147" spans="2:42" x14ac:dyDescent="0.2">
      <c r="B5147" t="s">
        <v>44</v>
      </c>
      <c r="C5147" t="str">
        <f>HYPERLINK("https://us2.cloudbeds.com/connect/8493803454333002#/reservations/9080486846198533?display=2G7TXNZN2K&amp;reservation_id=9080486846198533", "2G7TXNZN2K")</f>
        <v>2G7TXNZN2K</v>
      </c>
      <c r="D5147" t="s">
        <v>45</v>
      </c>
      <c r="E5147" t="s">
        <v>98</v>
      </c>
      <c r="F5147" t="s">
        <v>86</v>
      </c>
      <c r="G5147" t="s">
        <v>48</v>
      </c>
      <c r="H5147" t="s">
        <v>49</v>
      </c>
      <c r="I5147" t="s">
        <v>62</v>
      </c>
      <c r="J5147" t="s">
        <v>6944</v>
      </c>
      <c r="K5147" t="s">
        <v>7414</v>
      </c>
      <c r="L5147" t="s">
        <v>53</v>
      </c>
      <c r="N5147" t="s">
        <v>9087</v>
      </c>
      <c r="P5147" t="s">
        <v>55</v>
      </c>
      <c r="R5147" t="s">
        <v>56</v>
      </c>
      <c r="T5147" t="s">
        <v>9088</v>
      </c>
      <c r="U5147" t="s">
        <v>55</v>
      </c>
      <c r="V5147">
        <v>1</v>
      </c>
      <c r="W5147">
        <v>1</v>
      </c>
      <c r="X5147">
        <v>2</v>
      </c>
      <c r="Y5147">
        <v>2</v>
      </c>
      <c r="Z5147">
        <v>4</v>
      </c>
      <c r="AA5147">
        <v>157</v>
      </c>
      <c r="AB5147">
        <v>157</v>
      </c>
      <c r="AC5147">
        <v>157</v>
      </c>
      <c r="AD5147">
        <v>0</v>
      </c>
      <c r="AE5147">
        <v>0</v>
      </c>
      <c r="AF5147">
        <v>0</v>
      </c>
      <c r="AG5147">
        <v>0</v>
      </c>
      <c r="AH5147">
        <v>0</v>
      </c>
      <c r="AI5147">
        <v>28.26</v>
      </c>
      <c r="AJ5147">
        <v>157</v>
      </c>
      <c r="AK5147">
        <v>0</v>
      </c>
      <c r="AL5147" t="s">
        <v>53</v>
      </c>
      <c r="AM5147" t="s">
        <v>53</v>
      </c>
      <c r="AN5147" t="s">
        <v>53</v>
      </c>
      <c r="AO5147" t="s">
        <v>53</v>
      </c>
      <c r="AP5147" t="s">
        <v>53</v>
      </c>
    </row>
    <row r="5148" spans="2:42" x14ac:dyDescent="0.2">
      <c r="B5148" t="s">
        <v>44</v>
      </c>
      <c r="C5148" t="str">
        <f>HYPERLINK("https://us2.cloudbeds.com/connect/8493803454333002#/reservations/115662841741526?display=2G7U6MRU81&amp;reservation_id=115662841741526", "2G7U6MRU81")</f>
        <v>2G7U6MRU81</v>
      </c>
      <c r="D5148" t="s">
        <v>45</v>
      </c>
      <c r="E5148" t="s">
        <v>138</v>
      </c>
      <c r="F5148" t="s">
        <v>70</v>
      </c>
      <c r="G5148" t="s">
        <v>48</v>
      </c>
      <c r="H5148" t="s">
        <v>3957</v>
      </c>
      <c r="I5148" t="s">
        <v>3975</v>
      </c>
      <c r="J5148" t="s">
        <v>6944</v>
      </c>
      <c r="K5148" t="s">
        <v>7414</v>
      </c>
      <c r="L5148" t="s">
        <v>53</v>
      </c>
      <c r="P5148" t="s">
        <v>55</v>
      </c>
      <c r="R5148" t="s">
        <v>53</v>
      </c>
      <c r="T5148" t="s">
        <v>9089</v>
      </c>
      <c r="U5148" t="s">
        <v>58</v>
      </c>
      <c r="V5148">
        <v>1</v>
      </c>
      <c r="W5148">
        <v>1</v>
      </c>
      <c r="X5148">
        <v>2</v>
      </c>
      <c r="Y5148">
        <v>0</v>
      </c>
      <c r="Z5148">
        <v>2</v>
      </c>
      <c r="AA5148">
        <v>148.88999999999999</v>
      </c>
      <c r="AB5148">
        <v>148.88999999999999</v>
      </c>
      <c r="AC5148">
        <v>131</v>
      </c>
      <c r="AD5148">
        <v>0</v>
      </c>
      <c r="AE5148">
        <v>17.89</v>
      </c>
      <c r="AF5148">
        <v>0</v>
      </c>
      <c r="AG5148">
        <v>0</v>
      </c>
      <c r="AH5148">
        <v>0</v>
      </c>
      <c r="AI5148">
        <v>0</v>
      </c>
      <c r="AJ5148">
        <v>148.88999999999999</v>
      </c>
      <c r="AK5148">
        <v>0</v>
      </c>
      <c r="AL5148" t="s">
        <v>53</v>
      </c>
      <c r="AM5148" t="s">
        <v>53</v>
      </c>
      <c r="AN5148" t="s">
        <v>53</v>
      </c>
      <c r="AO5148" t="s">
        <v>53</v>
      </c>
      <c r="AP5148" t="s">
        <v>53</v>
      </c>
    </row>
    <row r="5149" spans="2:42" x14ac:dyDescent="0.2">
      <c r="B5149" t="s">
        <v>44</v>
      </c>
      <c r="C5149" t="str">
        <f>HYPERLINK("https://us2.cloudbeds.com/connect/8493803454333002#/reservations/9080486846198657?display=2G80J0C776&amp;reservation_id=9080486846198657", "2G80J0C776")</f>
        <v>2G80J0C776</v>
      </c>
      <c r="D5149" t="s">
        <v>45</v>
      </c>
      <c r="E5149" t="s">
        <v>69</v>
      </c>
      <c r="F5149" t="s">
        <v>70</v>
      </c>
      <c r="G5149" t="s">
        <v>48</v>
      </c>
      <c r="H5149" t="s">
        <v>49</v>
      </c>
      <c r="I5149" t="s">
        <v>50</v>
      </c>
      <c r="J5149" t="s">
        <v>7302</v>
      </c>
      <c r="K5149" t="s">
        <v>5593</v>
      </c>
      <c r="L5149" t="s">
        <v>53</v>
      </c>
      <c r="N5149" t="s">
        <v>9090</v>
      </c>
      <c r="P5149" t="s">
        <v>55</v>
      </c>
      <c r="R5149" t="s">
        <v>53</v>
      </c>
      <c r="T5149" t="s">
        <v>9091</v>
      </c>
      <c r="U5149" t="s">
        <v>58</v>
      </c>
      <c r="V5149">
        <v>1</v>
      </c>
      <c r="W5149">
        <v>1</v>
      </c>
      <c r="X5149">
        <v>1</v>
      </c>
      <c r="Y5149">
        <v>0</v>
      </c>
      <c r="Z5149">
        <v>1</v>
      </c>
      <c r="AA5149">
        <v>152.4</v>
      </c>
      <c r="AB5149">
        <v>152.4</v>
      </c>
      <c r="AC5149">
        <v>134.1</v>
      </c>
      <c r="AD5149">
        <v>0</v>
      </c>
      <c r="AE5149">
        <v>18.3</v>
      </c>
      <c r="AF5149">
        <v>0</v>
      </c>
      <c r="AG5149">
        <v>0</v>
      </c>
      <c r="AH5149">
        <v>0</v>
      </c>
      <c r="AI5149">
        <v>27.43</v>
      </c>
      <c r="AJ5149">
        <v>152.4</v>
      </c>
      <c r="AK5149">
        <v>0</v>
      </c>
      <c r="AL5149" t="s">
        <v>53</v>
      </c>
      <c r="AM5149" t="s">
        <v>53</v>
      </c>
      <c r="AN5149" t="s">
        <v>53</v>
      </c>
      <c r="AO5149" t="s">
        <v>53</v>
      </c>
      <c r="AP5149" t="s">
        <v>53</v>
      </c>
    </row>
    <row r="5150" spans="2:42" x14ac:dyDescent="0.2">
      <c r="B5150" t="s">
        <v>44</v>
      </c>
      <c r="C5150" t="str">
        <f>HYPERLINK("https://us2.cloudbeds.com/connect/8493803454333002#/reservations/9080486846198711?display=2G825KD1R9&amp;reservation_id=9080486846198711", "2G825KD1R9")</f>
        <v>2G825KD1R9</v>
      </c>
      <c r="D5150" t="s">
        <v>45</v>
      </c>
      <c r="E5150" t="s">
        <v>85</v>
      </c>
      <c r="F5150" t="s">
        <v>86</v>
      </c>
      <c r="G5150" t="s">
        <v>48</v>
      </c>
      <c r="H5150" t="s">
        <v>49</v>
      </c>
      <c r="I5150" t="s">
        <v>62</v>
      </c>
      <c r="J5150" t="s">
        <v>8249</v>
      </c>
      <c r="K5150" t="s">
        <v>8871</v>
      </c>
      <c r="L5150" t="s">
        <v>53</v>
      </c>
      <c r="N5150" t="s">
        <v>9092</v>
      </c>
      <c r="P5150" t="s">
        <v>55</v>
      </c>
      <c r="R5150" t="s">
        <v>56</v>
      </c>
      <c r="T5150" t="s">
        <v>9093</v>
      </c>
      <c r="U5150" t="s">
        <v>55</v>
      </c>
      <c r="V5150">
        <v>1</v>
      </c>
      <c r="W5150">
        <v>1</v>
      </c>
      <c r="X5150">
        <v>2</v>
      </c>
      <c r="Y5150">
        <v>1</v>
      </c>
      <c r="Z5150">
        <v>3</v>
      </c>
      <c r="AA5150">
        <v>159</v>
      </c>
      <c r="AB5150">
        <v>159</v>
      </c>
      <c r="AC5150">
        <v>159</v>
      </c>
      <c r="AD5150">
        <v>0</v>
      </c>
      <c r="AE5150">
        <v>0</v>
      </c>
      <c r="AF5150">
        <v>0</v>
      </c>
      <c r="AG5150">
        <v>0</v>
      </c>
      <c r="AH5150">
        <v>0</v>
      </c>
      <c r="AI5150">
        <v>28.62</v>
      </c>
      <c r="AJ5150">
        <v>159</v>
      </c>
      <c r="AK5150">
        <v>0</v>
      </c>
      <c r="AL5150" t="s">
        <v>53</v>
      </c>
      <c r="AM5150" t="s">
        <v>53</v>
      </c>
      <c r="AN5150" t="s">
        <v>53</v>
      </c>
      <c r="AO5150" t="s">
        <v>53</v>
      </c>
      <c r="AP5150" t="s">
        <v>53</v>
      </c>
    </row>
    <row r="5151" spans="2:42" x14ac:dyDescent="0.2">
      <c r="B5151" t="s">
        <v>44</v>
      </c>
      <c r="C5151" t="str">
        <f>HYPERLINK("https://us2.cloudbeds.com/connect/8493803454333002#/reservations/9080486846198722?display=2G81SSC1HH&amp;reservation_id=9080486846198722", "2G81SSC1HH")</f>
        <v>2G81SSC1HH</v>
      </c>
      <c r="D5151" t="s">
        <v>45</v>
      </c>
      <c r="E5151" t="s">
        <v>69</v>
      </c>
      <c r="F5151" t="s">
        <v>70</v>
      </c>
      <c r="G5151" t="s">
        <v>48</v>
      </c>
      <c r="H5151" t="s">
        <v>49</v>
      </c>
      <c r="I5151" t="s">
        <v>50</v>
      </c>
      <c r="J5151" t="s">
        <v>6944</v>
      </c>
      <c r="K5151" t="s">
        <v>7414</v>
      </c>
      <c r="L5151" t="s">
        <v>53</v>
      </c>
      <c r="N5151" t="s">
        <v>9094</v>
      </c>
      <c r="P5151" t="s">
        <v>55</v>
      </c>
      <c r="R5151" t="s">
        <v>53</v>
      </c>
      <c r="T5151" t="s">
        <v>9095</v>
      </c>
      <c r="U5151" t="s">
        <v>58</v>
      </c>
      <c r="V5151">
        <v>1</v>
      </c>
      <c r="W5151">
        <v>1</v>
      </c>
      <c r="X5151">
        <v>2</v>
      </c>
      <c r="Y5151">
        <v>0</v>
      </c>
      <c r="Z5151">
        <v>2</v>
      </c>
      <c r="AA5151">
        <v>119.11</v>
      </c>
      <c r="AB5151">
        <v>119.11</v>
      </c>
      <c r="AC5151">
        <v>104.8</v>
      </c>
      <c r="AD5151">
        <v>0</v>
      </c>
      <c r="AE5151">
        <v>14.31</v>
      </c>
      <c r="AF5151">
        <v>0</v>
      </c>
      <c r="AG5151">
        <v>0</v>
      </c>
      <c r="AH5151">
        <v>0</v>
      </c>
      <c r="AI5151">
        <v>21.44</v>
      </c>
      <c r="AJ5151">
        <v>119.11</v>
      </c>
      <c r="AK5151">
        <v>0</v>
      </c>
      <c r="AL5151" t="s">
        <v>53</v>
      </c>
      <c r="AM5151" t="s">
        <v>53</v>
      </c>
      <c r="AN5151" t="s">
        <v>53</v>
      </c>
      <c r="AO5151" t="s">
        <v>53</v>
      </c>
      <c r="AP5151" t="s">
        <v>53</v>
      </c>
    </row>
    <row r="5152" spans="2:42" x14ac:dyDescent="0.2">
      <c r="B5152" t="s">
        <v>44</v>
      </c>
      <c r="C5152" t="str">
        <f>HYPERLINK("https://us2.cloudbeds.com/connect/8493803454333002#/reservations/9080486846199022?display=2G8D20SK5Q&amp;reservation_id=9080486846199022", "2G8D20SK5Q")</f>
        <v>2G8D20SK5Q</v>
      </c>
      <c r="D5152" t="s">
        <v>45</v>
      </c>
      <c r="E5152" t="s">
        <v>105</v>
      </c>
      <c r="F5152" t="s">
        <v>47</v>
      </c>
      <c r="G5152" t="s">
        <v>48</v>
      </c>
      <c r="H5152" t="s">
        <v>49</v>
      </c>
      <c r="I5152" t="s">
        <v>50</v>
      </c>
      <c r="J5152" t="s">
        <v>6944</v>
      </c>
      <c r="K5152" t="s">
        <v>7414</v>
      </c>
      <c r="L5152" t="s">
        <v>53</v>
      </c>
      <c r="N5152" t="s">
        <v>9096</v>
      </c>
      <c r="P5152" t="s">
        <v>55</v>
      </c>
      <c r="R5152" t="s">
        <v>53</v>
      </c>
      <c r="T5152" t="s">
        <v>9097</v>
      </c>
      <c r="U5152" t="s">
        <v>58</v>
      </c>
      <c r="V5152">
        <v>1</v>
      </c>
      <c r="W5152">
        <v>1</v>
      </c>
      <c r="X5152">
        <v>2</v>
      </c>
      <c r="Y5152">
        <v>0</v>
      </c>
      <c r="Z5152">
        <v>2</v>
      </c>
      <c r="AA5152">
        <v>143.19999999999999</v>
      </c>
      <c r="AB5152">
        <v>143.19999999999999</v>
      </c>
      <c r="AC5152">
        <v>126</v>
      </c>
      <c r="AD5152">
        <v>0</v>
      </c>
      <c r="AE5152">
        <v>17.2</v>
      </c>
      <c r="AF5152">
        <v>0</v>
      </c>
      <c r="AG5152">
        <v>0</v>
      </c>
      <c r="AH5152">
        <v>0</v>
      </c>
      <c r="AI5152">
        <v>25.78</v>
      </c>
      <c r="AJ5152">
        <v>143.19999999999999</v>
      </c>
      <c r="AK5152">
        <v>0</v>
      </c>
      <c r="AL5152" t="s">
        <v>53</v>
      </c>
      <c r="AM5152" t="s">
        <v>53</v>
      </c>
      <c r="AN5152" t="s">
        <v>53</v>
      </c>
      <c r="AO5152" t="s">
        <v>53</v>
      </c>
      <c r="AP5152" t="s">
        <v>53</v>
      </c>
    </row>
    <row r="5153" spans="2:42" x14ac:dyDescent="0.2">
      <c r="B5153" t="s">
        <v>44</v>
      </c>
      <c r="C5153" t="str">
        <f>HYPERLINK("https://us2.cloudbeds.com/connect/8493803454333002#/reservations/9080486846199248?display=2G8MA844EB&amp;reservation_id=9080486846199248", "2G8MA844EB")</f>
        <v>2G8MA844EB</v>
      </c>
      <c r="D5153" t="s">
        <v>45</v>
      </c>
      <c r="E5153" t="s">
        <v>113</v>
      </c>
      <c r="F5153" t="s">
        <v>61</v>
      </c>
      <c r="G5153" t="s">
        <v>48</v>
      </c>
      <c r="H5153" t="s">
        <v>49</v>
      </c>
      <c r="I5153" t="s">
        <v>62</v>
      </c>
      <c r="J5153" t="s">
        <v>6944</v>
      </c>
      <c r="K5153" t="s">
        <v>7414</v>
      </c>
      <c r="L5153" t="s">
        <v>53</v>
      </c>
      <c r="N5153" t="s">
        <v>9098</v>
      </c>
      <c r="P5153" t="s">
        <v>55</v>
      </c>
      <c r="R5153" t="s">
        <v>56</v>
      </c>
      <c r="T5153" t="s">
        <v>9099</v>
      </c>
      <c r="U5153" t="s">
        <v>55</v>
      </c>
      <c r="V5153">
        <v>1</v>
      </c>
      <c r="W5153">
        <v>1</v>
      </c>
      <c r="X5153">
        <v>2</v>
      </c>
      <c r="Y5153">
        <v>0</v>
      </c>
      <c r="Z5153">
        <v>2</v>
      </c>
      <c r="AA5153">
        <v>148</v>
      </c>
      <c r="AB5153">
        <v>148</v>
      </c>
      <c r="AC5153">
        <v>148</v>
      </c>
      <c r="AD5153">
        <v>0</v>
      </c>
      <c r="AE5153">
        <v>0</v>
      </c>
      <c r="AF5153">
        <v>0</v>
      </c>
      <c r="AG5153">
        <v>0</v>
      </c>
      <c r="AH5153">
        <v>0</v>
      </c>
      <c r="AI5153">
        <v>26.64</v>
      </c>
      <c r="AJ5153">
        <v>148</v>
      </c>
      <c r="AK5153">
        <v>0</v>
      </c>
      <c r="AL5153" t="s">
        <v>53</v>
      </c>
      <c r="AM5153" t="s">
        <v>53</v>
      </c>
      <c r="AN5153" t="s">
        <v>53</v>
      </c>
      <c r="AO5153" t="s">
        <v>53</v>
      </c>
      <c r="AP5153" t="s">
        <v>53</v>
      </c>
    </row>
    <row r="5154" spans="2:42" x14ac:dyDescent="0.2">
      <c r="B5154" t="s">
        <v>44</v>
      </c>
      <c r="C5154" t="str">
        <f>HYPERLINK("https://us2.cloudbeds.com/connect/8493803454333002#/reservations/9080486846199341?display=2G8Q68RRNS&amp;reservation_id=9080486846199341", "2G8Q68RRNS")</f>
        <v>2G8Q68RRNS</v>
      </c>
      <c r="D5154" t="s">
        <v>45</v>
      </c>
      <c r="E5154" t="s">
        <v>487</v>
      </c>
      <c r="F5154" t="s">
        <v>61</v>
      </c>
      <c r="G5154" t="s">
        <v>48</v>
      </c>
      <c r="H5154" t="s">
        <v>49</v>
      </c>
      <c r="I5154" t="s">
        <v>50</v>
      </c>
      <c r="J5154" t="s">
        <v>8133</v>
      </c>
      <c r="K5154" t="s">
        <v>8300</v>
      </c>
      <c r="L5154" t="s">
        <v>53</v>
      </c>
      <c r="N5154" t="s">
        <v>9100</v>
      </c>
      <c r="P5154" t="s">
        <v>55</v>
      </c>
      <c r="R5154" t="s">
        <v>53</v>
      </c>
      <c r="T5154" t="s">
        <v>9101</v>
      </c>
      <c r="U5154" t="s">
        <v>58</v>
      </c>
      <c r="V5154">
        <v>3</v>
      </c>
      <c r="W5154">
        <v>1</v>
      </c>
      <c r="X5154">
        <v>2</v>
      </c>
      <c r="Y5154">
        <v>0</v>
      </c>
      <c r="Z5154">
        <v>2</v>
      </c>
      <c r="AA5154">
        <v>530.55999999999995</v>
      </c>
      <c r="AB5154">
        <v>530.55999999999995</v>
      </c>
      <c r="AC5154">
        <v>466.83</v>
      </c>
      <c r="AD5154">
        <v>0</v>
      </c>
      <c r="AE5154">
        <v>63.73</v>
      </c>
      <c r="AF5154">
        <v>0</v>
      </c>
      <c r="AG5154">
        <v>0</v>
      </c>
      <c r="AH5154">
        <v>0</v>
      </c>
      <c r="AI5154">
        <v>95.5</v>
      </c>
      <c r="AJ5154">
        <v>530.55999999999995</v>
      </c>
      <c r="AK5154">
        <v>0</v>
      </c>
      <c r="AL5154" t="s">
        <v>53</v>
      </c>
      <c r="AM5154" t="s">
        <v>53</v>
      </c>
      <c r="AN5154" t="s">
        <v>53</v>
      </c>
      <c r="AO5154" t="s">
        <v>53</v>
      </c>
      <c r="AP5154" t="s">
        <v>53</v>
      </c>
    </row>
    <row r="5155" spans="2:42" x14ac:dyDescent="0.2">
      <c r="B5155" t="s">
        <v>44</v>
      </c>
      <c r="C5155" t="str">
        <f>HYPERLINK("https://us2.cloudbeds.com/connect/8493803454333002#/reservations/9080486846199373?display=2G8R2XE1Z5&amp;reservation_id=9080486846199373", "2G8R2XE1Z5")</f>
        <v>2G8R2XE1Z5</v>
      </c>
      <c r="D5155" t="s">
        <v>45</v>
      </c>
      <c r="E5155" t="s">
        <v>487</v>
      </c>
      <c r="F5155" t="s">
        <v>61</v>
      </c>
      <c r="G5155" t="s">
        <v>48</v>
      </c>
      <c r="H5155" t="s">
        <v>49</v>
      </c>
      <c r="I5155" t="s">
        <v>50</v>
      </c>
      <c r="J5155" t="s">
        <v>6944</v>
      </c>
      <c r="K5155" t="s">
        <v>7414</v>
      </c>
      <c r="L5155" t="s">
        <v>53</v>
      </c>
      <c r="N5155" t="s">
        <v>9102</v>
      </c>
      <c r="P5155" t="s">
        <v>55</v>
      </c>
      <c r="R5155" t="s">
        <v>53</v>
      </c>
      <c r="T5155" t="s">
        <v>9103</v>
      </c>
      <c r="U5155" t="s">
        <v>58</v>
      </c>
      <c r="V5155">
        <v>1</v>
      </c>
      <c r="W5155">
        <v>1</v>
      </c>
      <c r="X5155">
        <v>2</v>
      </c>
      <c r="Y5155">
        <v>0</v>
      </c>
      <c r="Z5155">
        <v>2</v>
      </c>
      <c r="AA5155">
        <v>151.37</v>
      </c>
      <c r="AB5155">
        <v>151.37</v>
      </c>
      <c r="AC5155">
        <v>133.19999999999999</v>
      </c>
      <c r="AD5155">
        <v>0</v>
      </c>
      <c r="AE5155">
        <v>18.170000000000002</v>
      </c>
      <c r="AF5155">
        <v>0</v>
      </c>
      <c r="AG5155">
        <v>0</v>
      </c>
      <c r="AH5155">
        <v>0</v>
      </c>
      <c r="AI5155">
        <v>27.25</v>
      </c>
      <c r="AJ5155">
        <v>151.37</v>
      </c>
      <c r="AK5155">
        <v>0</v>
      </c>
      <c r="AL5155" t="s">
        <v>53</v>
      </c>
      <c r="AM5155" t="s">
        <v>53</v>
      </c>
      <c r="AN5155" t="s">
        <v>53</v>
      </c>
      <c r="AO5155" t="s">
        <v>53</v>
      </c>
      <c r="AP5155" t="s">
        <v>53</v>
      </c>
    </row>
    <row r="5156" spans="2:42" x14ac:dyDescent="0.2">
      <c r="B5156" t="s">
        <v>44</v>
      </c>
      <c r="C5156" t="str">
        <f>HYPERLINK("https://us2.cloudbeds.com/connect/8493803454333002#/reservations/9080486846199797?display=2G9DJ9CGQV&amp;reservation_id=9080486846199797", "2G9DJ9CGQV")</f>
        <v>2G9DJ9CGQV</v>
      </c>
      <c r="D5156" t="s">
        <v>45</v>
      </c>
      <c r="E5156" t="s">
        <v>105</v>
      </c>
      <c r="F5156" t="s">
        <v>47</v>
      </c>
      <c r="G5156" t="s">
        <v>48</v>
      </c>
      <c r="H5156" t="s">
        <v>49</v>
      </c>
      <c r="I5156" t="s">
        <v>50</v>
      </c>
      <c r="J5156" t="s">
        <v>6397</v>
      </c>
      <c r="K5156" t="s">
        <v>7962</v>
      </c>
      <c r="L5156" t="s">
        <v>53</v>
      </c>
      <c r="N5156" t="s">
        <v>9104</v>
      </c>
      <c r="P5156" t="s">
        <v>55</v>
      </c>
      <c r="R5156" t="s">
        <v>53</v>
      </c>
      <c r="T5156" t="s">
        <v>9105</v>
      </c>
      <c r="U5156" t="s">
        <v>58</v>
      </c>
      <c r="V5156">
        <v>2</v>
      </c>
      <c r="W5156">
        <v>1</v>
      </c>
      <c r="X5156">
        <v>2</v>
      </c>
      <c r="Y5156">
        <v>0</v>
      </c>
      <c r="Z5156">
        <v>2</v>
      </c>
      <c r="AA5156">
        <v>285.68</v>
      </c>
      <c r="AB5156">
        <v>285.68</v>
      </c>
      <c r="AC5156">
        <v>251.36</v>
      </c>
      <c r="AD5156">
        <v>0</v>
      </c>
      <c r="AE5156">
        <v>34.32</v>
      </c>
      <c r="AF5156">
        <v>0</v>
      </c>
      <c r="AG5156">
        <v>0</v>
      </c>
      <c r="AH5156">
        <v>0</v>
      </c>
      <c r="AI5156">
        <v>51.42</v>
      </c>
      <c r="AJ5156">
        <v>285.68</v>
      </c>
      <c r="AK5156">
        <v>0</v>
      </c>
      <c r="AL5156" t="s">
        <v>53</v>
      </c>
      <c r="AM5156" t="s">
        <v>53</v>
      </c>
      <c r="AN5156" t="s">
        <v>53</v>
      </c>
      <c r="AO5156" t="s">
        <v>53</v>
      </c>
      <c r="AP5156" t="s">
        <v>53</v>
      </c>
    </row>
    <row r="5157" spans="2:42" x14ac:dyDescent="0.2">
      <c r="B5157" t="s">
        <v>44</v>
      </c>
      <c r="C5157" t="str">
        <f>HYPERLINK("https://us2.cloudbeds.com/connect/8493803454333002#/reservations/9080486846199847?display=2G9FZZ1WPV&amp;reservation_id=9080486846199847", "2G9FZZ1WPV")</f>
        <v>2G9FZZ1WPV</v>
      </c>
      <c r="D5157" t="s">
        <v>45</v>
      </c>
      <c r="E5157" t="s">
        <v>213</v>
      </c>
      <c r="F5157" t="s">
        <v>86</v>
      </c>
      <c r="G5157" t="s">
        <v>48</v>
      </c>
      <c r="H5157" t="s">
        <v>49</v>
      </c>
      <c r="I5157" t="s">
        <v>50</v>
      </c>
      <c r="J5157" t="s">
        <v>8143</v>
      </c>
      <c r="K5157" t="s">
        <v>8300</v>
      </c>
      <c r="L5157" t="s">
        <v>53</v>
      </c>
      <c r="N5157" t="s">
        <v>9106</v>
      </c>
      <c r="P5157" t="s">
        <v>55</v>
      </c>
      <c r="R5157" t="s">
        <v>53</v>
      </c>
      <c r="T5157" t="s">
        <v>9107</v>
      </c>
      <c r="U5157" t="s">
        <v>58</v>
      </c>
      <c r="V5157">
        <v>1</v>
      </c>
      <c r="W5157">
        <v>1</v>
      </c>
      <c r="X5157">
        <v>2</v>
      </c>
      <c r="Y5157">
        <v>0</v>
      </c>
      <c r="Z5157">
        <v>2</v>
      </c>
      <c r="AA5157">
        <v>182.07</v>
      </c>
      <c r="AB5157">
        <v>182.07</v>
      </c>
      <c r="AC5157">
        <v>160.19999999999999</v>
      </c>
      <c r="AD5157">
        <v>0</v>
      </c>
      <c r="AE5157">
        <v>21.87</v>
      </c>
      <c r="AF5157">
        <v>0</v>
      </c>
      <c r="AG5157">
        <v>0</v>
      </c>
      <c r="AH5157">
        <v>0</v>
      </c>
      <c r="AI5157">
        <v>32.770000000000003</v>
      </c>
      <c r="AJ5157">
        <v>182.07</v>
      </c>
      <c r="AK5157">
        <v>0</v>
      </c>
      <c r="AL5157" t="s">
        <v>53</v>
      </c>
      <c r="AM5157" t="s">
        <v>53</v>
      </c>
      <c r="AN5157" t="s">
        <v>53</v>
      </c>
      <c r="AO5157" t="s">
        <v>53</v>
      </c>
      <c r="AP5157" t="s">
        <v>53</v>
      </c>
    </row>
    <row r="5158" spans="2:42" x14ac:dyDescent="0.2">
      <c r="B5158" t="s">
        <v>44</v>
      </c>
      <c r="C5158" t="str">
        <f>HYPERLINK("https://us2.cloudbeds.com/connect/8493803454333002#/reservations/115734676676768?display=2G9JR7VT3G&amp;reservation_id=115734676676768", "2G9JR7VT3G")</f>
        <v>2G9JR7VT3G</v>
      </c>
      <c r="D5158" t="s">
        <v>45</v>
      </c>
      <c r="E5158" t="s">
        <v>110</v>
      </c>
      <c r="F5158" t="s">
        <v>47</v>
      </c>
      <c r="G5158" t="s">
        <v>48</v>
      </c>
      <c r="H5158" t="s">
        <v>3957</v>
      </c>
      <c r="I5158" t="s">
        <v>3975</v>
      </c>
      <c r="J5158" t="s">
        <v>7925</v>
      </c>
      <c r="K5158" t="s">
        <v>8249</v>
      </c>
      <c r="L5158" t="s">
        <v>53</v>
      </c>
      <c r="P5158" t="s">
        <v>58</v>
      </c>
      <c r="R5158" t="s">
        <v>56</v>
      </c>
      <c r="T5158" t="s">
        <v>9108</v>
      </c>
      <c r="U5158" t="s">
        <v>58</v>
      </c>
      <c r="V5158">
        <v>2</v>
      </c>
      <c r="W5158">
        <v>1</v>
      </c>
      <c r="X5158">
        <v>2</v>
      </c>
      <c r="Y5158">
        <v>0</v>
      </c>
      <c r="Z5158">
        <v>2</v>
      </c>
      <c r="AA5158">
        <v>333</v>
      </c>
      <c r="AB5158">
        <v>333</v>
      </c>
      <c r="AC5158">
        <v>293</v>
      </c>
      <c r="AD5158">
        <v>0</v>
      </c>
      <c r="AE5158">
        <v>40</v>
      </c>
      <c r="AF5158">
        <v>0</v>
      </c>
      <c r="AG5158">
        <v>0</v>
      </c>
      <c r="AH5158">
        <v>0</v>
      </c>
      <c r="AI5158">
        <v>0</v>
      </c>
      <c r="AJ5158">
        <v>333</v>
      </c>
      <c r="AK5158">
        <v>0</v>
      </c>
      <c r="AL5158" t="s">
        <v>53</v>
      </c>
      <c r="AM5158" t="s">
        <v>53</v>
      </c>
      <c r="AN5158" t="s">
        <v>53</v>
      </c>
      <c r="AO5158" t="s">
        <v>53</v>
      </c>
      <c r="AP5158" t="s">
        <v>53</v>
      </c>
    </row>
    <row r="5159" spans="2:42" x14ac:dyDescent="0.2">
      <c r="B5159" t="s">
        <v>44</v>
      </c>
      <c r="C5159" t="str">
        <f>HYPERLINK("https://us2.cloudbeds.com/connect/8493803454333002#/reservations/9080486846200008?display=2G9Y83DKGM&amp;reservation_id=9080486846200008", "2G9Y83DKGM")</f>
        <v>2G9Y83DKGM</v>
      </c>
      <c r="D5159" t="s">
        <v>45</v>
      </c>
      <c r="E5159" t="s">
        <v>406</v>
      </c>
      <c r="F5159" t="s">
        <v>61</v>
      </c>
      <c r="G5159" t="s">
        <v>48</v>
      </c>
      <c r="H5159" t="s">
        <v>49</v>
      </c>
      <c r="I5159" t="s">
        <v>50</v>
      </c>
      <c r="J5159" t="s">
        <v>6944</v>
      </c>
      <c r="K5159" t="s">
        <v>7414</v>
      </c>
      <c r="L5159" t="s">
        <v>53</v>
      </c>
      <c r="N5159" t="s">
        <v>9109</v>
      </c>
      <c r="P5159" t="s">
        <v>55</v>
      </c>
      <c r="R5159" t="s">
        <v>53</v>
      </c>
      <c r="T5159" t="s">
        <v>9110</v>
      </c>
      <c r="U5159" t="s">
        <v>58</v>
      </c>
      <c r="V5159">
        <v>1</v>
      </c>
      <c r="W5159">
        <v>1</v>
      </c>
      <c r="X5159">
        <v>2</v>
      </c>
      <c r="Y5159">
        <v>0</v>
      </c>
      <c r="Z5159">
        <v>2</v>
      </c>
      <c r="AA5159">
        <v>151.37</v>
      </c>
      <c r="AB5159">
        <v>151.37</v>
      </c>
      <c r="AC5159">
        <v>133.19999999999999</v>
      </c>
      <c r="AD5159">
        <v>0</v>
      </c>
      <c r="AE5159">
        <v>18.170000000000002</v>
      </c>
      <c r="AF5159">
        <v>0</v>
      </c>
      <c r="AG5159">
        <v>0</v>
      </c>
      <c r="AH5159">
        <v>0</v>
      </c>
      <c r="AI5159">
        <v>27.25</v>
      </c>
      <c r="AJ5159">
        <v>151.37</v>
      </c>
      <c r="AK5159">
        <v>0</v>
      </c>
      <c r="AL5159" t="s">
        <v>53</v>
      </c>
      <c r="AM5159" t="s">
        <v>53</v>
      </c>
      <c r="AN5159" t="s">
        <v>53</v>
      </c>
      <c r="AO5159" t="s">
        <v>53</v>
      </c>
      <c r="AP5159" t="s">
        <v>53</v>
      </c>
    </row>
    <row r="5160" spans="2:42" x14ac:dyDescent="0.2">
      <c r="B5160" t="s">
        <v>44</v>
      </c>
      <c r="C5160" t="str">
        <f>HYPERLINK("https://us2.cloudbeds.com/connect/8493803454333002#/reservations/9080486846200050?display=2G9QQY0C5V&amp;reservation_id=9080486846200050", "2G9QQY0C5V")</f>
        <v>2G9QQY0C5V</v>
      </c>
      <c r="D5160" t="s">
        <v>9111</v>
      </c>
      <c r="E5160" t="s">
        <v>185</v>
      </c>
      <c r="F5160" t="s">
        <v>47</v>
      </c>
      <c r="G5160" t="s">
        <v>48</v>
      </c>
      <c r="H5160" t="s">
        <v>49</v>
      </c>
      <c r="I5160" t="s">
        <v>50</v>
      </c>
      <c r="J5160" t="s">
        <v>5594</v>
      </c>
      <c r="K5160" t="s">
        <v>7706</v>
      </c>
      <c r="L5160" t="s">
        <v>53</v>
      </c>
      <c r="N5160" t="s">
        <v>9112</v>
      </c>
      <c r="P5160" t="s">
        <v>55</v>
      </c>
      <c r="R5160" t="s">
        <v>53</v>
      </c>
      <c r="T5160" t="s">
        <v>9113</v>
      </c>
      <c r="U5160" t="s">
        <v>58</v>
      </c>
      <c r="V5160">
        <v>1</v>
      </c>
      <c r="W5160">
        <v>1</v>
      </c>
      <c r="X5160">
        <v>1</v>
      </c>
      <c r="Y5160">
        <v>0</v>
      </c>
      <c r="Z5160">
        <v>1</v>
      </c>
      <c r="AA5160">
        <v>135.07</v>
      </c>
      <c r="AB5160">
        <v>135.07</v>
      </c>
      <c r="AC5160">
        <v>118.84</v>
      </c>
      <c r="AD5160">
        <v>0</v>
      </c>
      <c r="AE5160">
        <v>16.23</v>
      </c>
      <c r="AF5160">
        <v>0</v>
      </c>
      <c r="AG5160">
        <v>0</v>
      </c>
      <c r="AH5160">
        <v>0</v>
      </c>
      <c r="AI5160">
        <v>24.31</v>
      </c>
      <c r="AJ5160">
        <v>135.07</v>
      </c>
      <c r="AK5160">
        <v>0</v>
      </c>
      <c r="AL5160" t="s">
        <v>53</v>
      </c>
      <c r="AM5160" t="s">
        <v>53</v>
      </c>
      <c r="AN5160" t="s">
        <v>53</v>
      </c>
      <c r="AO5160" t="s">
        <v>53</v>
      </c>
      <c r="AP5160" t="s">
        <v>53</v>
      </c>
    </row>
    <row r="5161" spans="2:42" x14ac:dyDescent="0.2">
      <c r="B5161" t="s">
        <v>44</v>
      </c>
      <c r="C5161" t="str">
        <f>HYPERLINK("https://us2.cloudbeds.com/connect/8493803454333002#/reservations/9080486846200096?display=2G9SESRS80&amp;reservation_id=9080486846200096", "2G9SESRS80")</f>
        <v>2G9SESRS80</v>
      </c>
      <c r="D5161" t="s">
        <v>45</v>
      </c>
      <c r="E5161" t="s">
        <v>113</v>
      </c>
      <c r="F5161" t="s">
        <v>61</v>
      </c>
      <c r="G5161" t="s">
        <v>48</v>
      </c>
      <c r="H5161" t="s">
        <v>49</v>
      </c>
      <c r="I5161" t="s">
        <v>50</v>
      </c>
      <c r="J5161" t="s">
        <v>7803</v>
      </c>
      <c r="K5161" t="s">
        <v>7974</v>
      </c>
      <c r="L5161" t="s">
        <v>53</v>
      </c>
      <c r="N5161" t="s">
        <v>9114</v>
      </c>
      <c r="P5161" t="s">
        <v>55</v>
      </c>
      <c r="R5161" t="s">
        <v>53</v>
      </c>
      <c r="T5161" t="s">
        <v>9115</v>
      </c>
      <c r="U5161" t="s">
        <v>58</v>
      </c>
      <c r="V5161">
        <v>2</v>
      </c>
      <c r="W5161">
        <v>1</v>
      </c>
      <c r="X5161">
        <v>2</v>
      </c>
      <c r="Y5161">
        <v>0</v>
      </c>
      <c r="Z5161">
        <v>2</v>
      </c>
      <c r="AA5161">
        <v>249.13</v>
      </c>
      <c r="AB5161">
        <v>249.13</v>
      </c>
      <c r="AC5161">
        <v>219.2</v>
      </c>
      <c r="AD5161">
        <v>0</v>
      </c>
      <c r="AE5161">
        <v>29.93</v>
      </c>
      <c r="AF5161">
        <v>0</v>
      </c>
      <c r="AG5161">
        <v>0</v>
      </c>
      <c r="AH5161">
        <v>0</v>
      </c>
      <c r="AI5161">
        <v>44.84</v>
      </c>
      <c r="AJ5161">
        <v>249.13</v>
      </c>
      <c r="AK5161">
        <v>0</v>
      </c>
      <c r="AL5161" t="s">
        <v>53</v>
      </c>
      <c r="AM5161" t="s">
        <v>53</v>
      </c>
      <c r="AN5161" t="s">
        <v>53</v>
      </c>
      <c r="AO5161" t="s">
        <v>53</v>
      </c>
      <c r="AP5161" t="s">
        <v>53</v>
      </c>
    </row>
    <row r="5162" spans="2:42" x14ac:dyDescent="0.2">
      <c r="B5162" t="s">
        <v>44</v>
      </c>
      <c r="C5162" t="str">
        <f>HYPERLINK("https://us2.cloudbeds.com/connect/8493803454333002#/reservations/9080486846200275?display=2GA58D8GPC&amp;reservation_id=9080486846200275", "2GA58D8GPC")</f>
        <v>2GA58D8GPC</v>
      </c>
      <c r="D5162" t="s">
        <v>45</v>
      </c>
      <c r="E5162" t="s">
        <v>165</v>
      </c>
      <c r="F5162" t="s">
        <v>61</v>
      </c>
      <c r="G5162" t="s">
        <v>48</v>
      </c>
      <c r="H5162" t="s">
        <v>49</v>
      </c>
      <c r="I5162" t="s">
        <v>50</v>
      </c>
      <c r="J5162" t="s">
        <v>5594</v>
      </c>
      <c r="K5162" t="s">
        <v>7706</v>
      </c>
      <c r="L5162" t="s">
        <v>53</v>
      </c>
      <c r="N5162" t="s">
        <v>9116</v>
      </c>
      <c r="P5162" t="s">
        <v>55</v>
      </c>
      <c r="R5162" t="s">
        <v>53</v>
      </c>
      <c r="T5162" t="s">
        <v>9117</v>
      </c>
      <c r="U5162" t="s">
        <v>58</v>
      </c>
      <c r="V5162">
        <v>1</v>
      </c>
      <c r="W5162">
        <v>1</v>
      </c>
      <c r="X5162">
        <v>2</v>
      </c>
      <c r="Y5162">
        <v>0</v>
      </c>
      <c r="Z5162">
        <v>2</v>
      </c>
      <c r="AA5162">
        <v>142</v>
      </c>
      <c r="AB5162">
        <v>142</v>
      </c>
      <c r="AC5162">
        <v>124.95</v>
      </c>
      <c r="AD5162">
        <v>0</v>
      </c>
      <c r="AE5162">
        <v>17.05</v>
      </c>
      <c r="AF5162">
        <v>0</v>
      </c>
      <c r="AG5162">
        <v>0</v>
      </c>
      <c r="AH5162">
        <v>0</v>
      </c>
      <c r="AI5162">
        <v>25.56</v>
      </c>
      <c r="AJ5162">
        <v>142</v>
      </c>
      <c r="AK5162">
        <v>0</v>
      </c>
      <c r="AL5162" t="s">
        <v>53</v>
      </c>
      <c r="AM5162" t="s">
        <v>53</v>
      </c>
      <c r="AN5162" t="s">
        <v>53</v>
      </c>
      <c r="AO5162" t="s">
        <v>53</v>
      </c>
      <c r="AP5162" t="s">
        <v>53</v>
      </c>
    </row>
    <row r="5163" spans="2:42" x14ac:dyDescent="0.2">
      <c r="B5163" t="s">
        <v>44</v>
      </c>
      <c r="C5163" t="str">
        <f>HYPERLINK("https://us2.cloudbeds.com/connect/8493803454333002#/reservations/9080486846200380?display=2GAA7XPFZ6&amp;reservation_id=9080486846200380", "2GAA7XPFZ6")</f>
        <v>2GAA7XPFZ6</v>
      </c>
      <c r="D5163" t="s">
        <v>45</v>
      </c>
      <c r="E5163" t="s">
        <v>105</v>
      </c>
      <c r="F5163" t="s">
        <v>47</v>
      </c>
      <c r="G5163" t="s">
        <v>48</v>
      </c>
      <c r="H5163" t="s">
        <v>49</v>
      </c>
      <c r="I5163" t="s">
        <v>50</v>
      </c>
      <c r="J5163" t="s">
        <v>7276</v>
      </c>
      <c r="K5163" t="s">
        <v>7302</v>
      </c>
      <c r="L5163" t="s">
        <v>53</v>
      </c>
      <c r="N5163" t="s">
        <v>9118</v>
      </c>
      <c r="P5163" t="s">
        <v>55</v>
      </c>
      <c r="R5163" t="s">
        <v>53</v>
      </c>
      <c r="T5163" t="s">
        <v>9119</v>
      </c>
      <c r="U5163" t="s">
        <v>58</v>
      </c>
      <c r="V5163">
        <v>2</v>
      </c>
      <c r="W5163">
        <v>1</v>
      </c>
      <c r="X5163">
        <v>2</v>
      </c>
      <c r="Y5163">
        <v>0</v>
      </c>
      <c r="Z5163">
        <v>2</v>
      </c>
      <c r="AA5163">
        <v>333.45</v>
      </c>
      <c r="AB5163">
        <v>333.45</v>
      </c>
      <c r="AC5163">
        <v>293.39999999999998</v>
      </c>
      <c r="AD5163">
        <v>0</v>
      </c>
      <c r="AE5163">
        <v>40.049999999999997</v>
      </c>
      <c r="AF5163">
        <v>0</v>
      </c>
      <c r="AG5163">
        <v>0</v>
      </c>
      <c r="AH5163">
        <v>0</v>
      </c>
      <c r="AI5163">
        <v>60.02</v>
      </c>
      <c r="AJ5163">
        <v>333.45</v>
      </c>
      <c r="AK5163">
        <v>0</v>
      </c>
      <c r="AL5163" t="s">
        <v>53</v>
      </c>
      <c r="AM5163" t="s">
        <v>53</v>
      </c>
      <c r="AN5163" t="s">
        <v>53</v>
      </c>
      <c r="AO5163" t="s">
        <v>53</v>
      </c>
      <c r="AP5163" t="s">
        <v>53</v>
      </c>
    </row>
    <row r="5164" spans="2:42" x14ac:dyDescent="0.2">
      <c r="B5164" t="s">
        <v>44</v>
      </c>
      <c r="C5164" t="str">
        <f>HYPERLINK("https://us2.cloudbeds.com/connect/8493803454333002#/reservations/9080486846200589?display=2GAKVV5THH&amp;reservation_id=9080486846200589", "2GAKVV5THH")</f>
        <v>2GAKVV5THH</v>
      </c>
      <c r="D5164" t="s">
        <v>45</v>
      </c>
      <c r="E5164" t="s">
        <v>265</v>
      </c>
      <c r="F5164" t="s">
        <v>61</v>
      </c>
      <c r="G5164" t="s">
        <v>48</v>
      </c>
      <c r="H5164" t="s">
        <v>49</v>
      </c>
      <c r="I5164" t="s">
        <v>50</v>
      </c>
      <c r="J5164" t="s">
        <v>6944</v>
      </c>
      <c r="K5164" t="s">
        <v>7414</v>
      </c>
      <c r="L5164" t="s">
        <v>53</v>
      </c>
      <c r="N5164" t="s">
        <v>9120</v>
      </c>
      <c r="P5164" t="s">
        <v>55</v>
      </c>
      <c r="R5164" t="s">
        <v>53</v>
      </c>
      <c r="T5164" t="s">
        <v>9121</v>
      </c>
      <c r="U5164" t="s">
        <v>58</v>
      </c>
      <c r="V5164">
        <v>1</v>
      </c>
      <c r="W5164">
        <v>1</v>
      </c>
      <c r="X5164">
        <v>2</v>
      </c>
      <c r="Y5164">
        <v>0</v>
      </c>
      <c r="Z5164">
        <v>2</v>
      </c>
      <c r="AA5164">
        <v>151.37</v>
      </c>
      <c r="AB5164">
        <v>151.37</v>
      </c>
      <c r="AC5164">
        <v>133.19999999999999</v>
      </c>
      <c r="AD5164">
        <v>0</v>
      </c>
      <c r="AE5164">
        <v>18.170000000000002</v>
      </c>
      <c r="AF5164">
        <v>0</v>
      </c>
      <c r="AG5164">
        <v>0</v>
      </c>
      <c r="AH5164">
        <v>0</v>
      </c>
      <c r="AI5164">
        <v>27.25</v>
      </c>
      <c r="AJ5164">
        <v>151.37</v>
      </c>
      <c r="AK5164">
        <v>0</v>
      </c>
      <c r="AL5164" t="s">
        <v>53</v>
      </c>
      <c r="AM5164" t="s">
        <v>53</v>
      </c>
      <c r="AN5164" t="s">
        <v>53</v>
      </c>
      <c r="AO5164" t="s">
        <v>53</v>
      </c>
      <c r="AP5164" t="s">
        <v>53</v>
      </c>
    </row>
    <row r="5165" spans="2:42" x14ac:dyDescent="0.2">
      <c r="B5165" t="s">
        <v>44</v>
      </c>
      <c r="C5165" t="str">
        <f>HYPERLINK("https://us2.cloudbeds.com/connect/8493803454333002#/reservations/9080486846200623?display=2GAZ6M96TM&amp;reservation_id=9080486846200623", "2GAZ6M96TM")</f>
        <v>2GAZ6M96TM</v>
      </c>
      <c r="D5165" t="s">
        <v>45</v>
      </c>
      <c r="E5165" t="s">
        <v>185</v>
      </c>
      <c r="F5165" t="s">
        <v>47</v>
      </c>
      <c r="G5165" t="s">
        <v>48</v>
      </c>
      <c r="H5165" t="s">
        <v>49</v>
      </c>
      <c r="I5165" t="s">
        <v>50</v>
      </c>
      <c r="J5165" t="s">
        <v>7276</v>
      </c>
      <c r="K5165" t="s">
        <v>7861</v>
      </c>
      <c r="L5165" t="s">
        <v>53</v>
      </c>
      <c r="N5165" t="s">
        <v>9122</v>
      </c>
      <c r="P5165" t="s">
        <v>55</v>
      </c>
      <c r="R5165" t="s">
        <v>53</v>
      </c>
      <c r="T5165" t="s">
        <v>9123</v>
      </c>
      <c r="U5165" t="s">
        <v>58</v>
      </c>
      <c r="V5165">
        <v>1</v>
      </c>
      <c r="W5165">
        <v>1</v>
      </c>
      <c r="X5165">
        <v>2</v>
      </c>
      <c r="Y5165">
        <v>0</v>
      </c>
      <c r="Z5165">
        <v>2</v>
      </c>
      <c r="AA5165">
        <v>165.7</v>
      </c>
      <c r="AB5165">
        <v>165.7</v>
      </c>
      <c r="AC5165">
        <v>145.80000000000001</v>
      </c>
      <c r="AD5165">
        <v>0</v>
      </c>
      <c r="AE5165">
        <v>19.899999999999999</v>
      </c>
      <c r="AF5165">
        <v>0</v>
      </c>
      <c r="AG5165">
        <v>0</v>
      </c>
      <c r="AH5165">
        <v>0</v>
      </c>
      <c r="AI5165">
        <v>29.83</v>
      </c>
      <c r="AJ5165">
        <v>165.7</v>
      </c>
      <c r="AK5165">
        <v>0</v>
      </c>
      <c r="AL5165" t="s">
        <v>53</v>
      </c>
      <c r="AM5165" t="s">
        <v>53</v>
      </c>
      <c r="AN5165" t="s">
        <v>53</v>
      </c>
      <c r="AO5165" t="s">
        <v>53</v>
      </c>
      <c r="AP5165" t="s">
        <v>53</v>
      </c>
    </row>
    <row r="5166" spans="2:42" x14ac:dyDescent="0.2">
      <c r="B5166" t="s">
        <v>44</v>
      </c>
      <c r="C5166" t="str">
        <f>HYPERLINK("https://us2.cloudbeds.com/connect/8493803454333002#/reservations/115811462348944?display=2GBD99MD79&amp;reservation_id=115811462348944", "2GBD99MD79")</f>
        <v>2GBD99MD79</v>
      </c>
      <c r="D5166" t="s">
        <v>45</v>
      </c>
      <c r="E5166" t="s">
        <v>138</v>
      </c>
      <c r="F5166" t="s">
        <v>70</v>
      </c>
      <c r="G5166" t="s">
        <v>48</v>
      </c>
      <c r="H5166" t="s">
        <v>3957</v>
      </c>
      <c r="I5166" t="s">
        <v>3975</v>
      </c>
      <c r="J5166" t="s">
        <v>7872</v>
      </c>
      <c r="K5166" t="s">
        <v>7276</v>
      </c>
      <c r="L5166" t="s">
        <v>53</v>
      </c>
      <c r="P5166" t="s">
        <v>55</v>
      </c>
      <c r="R5166" t="s">
        <v>53</v>
      </c>
      <c r="T5166" t="s">
        <v>9124</v>
      </c>
      <c r="U5166" t="s">
        <v>58</v>
      </c>
      <c r="V5166">
        <v>1</v>
      </c>
      <c r="W5166">
        <v>1</v>
      </c>
      <c r="X5166">
        <v>1</v>
      </c>
      <c r="Y5166">
        <v>0</v>
      </c>
      <c r="Z5166">
        <v>1</v>
      </c>
      <c r="AA5166">
        <v>126.16</v>
      </c>
      <c r="AB5166">
        <v>126.16</v>
      </c>
      <c r="AC5166">
        <v>111</v>
      </c>
      <c r="AD5166">
        <v>0</v>
      </c>
      <c r="AE5166">
        <v>15.16</v>
      </c>
      <c r="AF5166">
        <v>0</v>
      </c>
      <c r="AG5166">
        <v>0</v>
      </c>
      <c r="AH5166">
        <v>0</v>
      </c>
      <c r="AI5166">
        <v>0</v>
      </c>
      <c r="AJ5166">
        <v>126.16</v>
      </c>
      <c r="AK5166">
        <v>0</v>
      </c>
      <c r="AL5166" t="s">
        <v>53</v>
      </c>
      <c r="AM5166" t="s">
        <v>53</v>
      </c>
      <c r="AN5166" t="s">
        <v>53</v>
      </c>
      <c r="AO5166" t="s">
        <v>53</v>
      </c>
      <c r="AP5166" t="s">
        <v>53</v>
      </c>
    </row>
    <row r="5167" spans="2:42" x14ac:dyDescent="0.2">
      <c r="B5167" t="s">
        <v>44</v>
      </c>
      <c r="C5167" t="str">
        <f>HYPERLINK("https://us2.cloudbeds.com/connect/8493803454333002#/reservations/9080486846202211?display=2GDTGC7KB5&amp;reservation_id=9080486846202211", "2GDTGC7KB5")</f>
        <v>2GDTGC7KB5</v>
      </c>
      <c r="D5167" t="s">
        <v>45</v>
      </c>
      <c r="E5167" t="s">
        <v>69</v>
      </c>
      <c r="F5167" t="s">
        <v>70</v>
      </c>
      <c r="G5167" t="s">
        <v>48</v>
      </c>
      <c r="H5167" t="s">
        <v>49</v>
      </c>
      <c r="I5167" t="s">
        <v>62</v>
      </c>
      <c r="J5167" t="s">
        <v>7276</v>
      </c>
      <c r="K5167" t="s">
        <v>7302</v>
      </c>
      <c r="L5167" t="s">
        <v>53</v>
      </c>
      <c r="N5167" t="s">
        <v>9125</v>
      </c>
      <c r="P5167" t="s">
        <v>55</v>
      </c>
      <c r="R5167" t="s">
        <v>329</v>
      </c>
      <c r="T5167" t="s">
        <v>9126</v>
      </c>
      <c r="U5167" t="s">
        <v>55</v>
      </c>
      <c r="V5167">
        <v>2</v>
      </c>
      <c r="W5167">
        <v>1</v>
      </c>
      <c r="X5167">
        <v>2</v>
      </c>
      <c r="Y5167">
        <v>0</v>
      </c>
      <c r="Z5167">
        <v>2</v>
      </c>
      <c r="AA5167">
        <v>306</v>
      </c>
      <c r="AB5167">
        <v>306</v>
      </c>
      <c r="AC5167">
        <v>306</v>
      </c>
      <c r="AD5167">
        <v>0</v>
      </c>
      <c r="AE5167">
        <v>0</v>
      </c>
      <c r="AF5167">
        <v>0</v>
      </c>
      <c r="AG5167">
        <v>0</v>
      </c>
      <c r="AH5167">
        <v>0</v>
      </c>
      <c r="AI5167">
        <v>55.08</v>
      </c>
      <c r="AJ5167">
        <v>306</v>
      </c>
      <c r="AK5167">
        <v>0</v>
      </c>
      <c r="AL5167" t="s">
        <v>53</v>
      </c>
      <c r="AM5167" t="s">
        <v>53</v>
      </c>
      <c r="AN5167" t="s">
        <v>9127</v>
      </c>
      <c r="AO5167" t="s">
        <v>53</v>
      </c>
      <c r="AP5167" t="s">
        <v>53</v>
      </c>
    </row>
    <row r="5168" spans="2:42" x14ac:dyDescent="0.2">
      <c r="B5168" t="s">
        <v>44</v>
      </c>
      <c r="C5168" t="str">
        <f>HYPERLINK("https://us2.cloudbeds.com/connect/8493803454333002#/reservations/9080486846202419?display=2GE540NSTH&amp;reservation_id=9080486846202419", "2GE540NSTH")</f>
        <v>2GE540NSTH</v>
      </c>
      <c r="D5168" t="s">
        <v>45</v>
      </c>
      <c r="E5168" t="s">
        <v>121</v>
      </c>
      <c r="F5168" t="s">
        <v>86</v>
      </c>
      <c r="G5168" t="s">
        <v>48</v>
      </c>
      <c r="H5168" t="s">
        <v>49</v>
      </c>
      <c r="I5168" t="s">
        <v>50</v>
      </c>
      <c r="J5168" t="s">
        <v>7861</v>
      </c>
      <c r="K5168" t="s">
        <v>7302</v>
      </c>
      <c r="L5168" t="s">
        <v>53</v>
      </c>
      <c r="N5168" t="s">
        <v>9128</v>
      </c>
      <c r="P5168" t="s">
        <v>55</v>
      </c>
      <c r="R5168" t="s">
        <v>53</v>
      </c>
      <c r="T5168" t="s">
        <v>9129</v>
      </c>
      <c r="U5168" t="s">
        <v>58</v>
      </c>
      <c r="V5168">
        <v>1</v>
      </c>
      <c r="W5168">
        <v>1</v>
      </c>
      <c r="X5168">
        <v>2</v>
      </c>
      <c r="Y5168">
        <v>2</v>
      </c>
      <c r="Z5168">
        <v>4</v>
      </c>
      <c r="AA5168">
        <v>178.72</v>
      </c>
      <c r="AB5168">
        <v>178.72</v>
      </c>
      <c r="AC5168">
        <v>157.25</v>
      </c>
      <c r="AD5168">
        <v>0</v>
      </c>
      <c r="AE5168">
        <v>21.47</v>
      </c>
      <c r="AF5168">
        <v>0</v>
      </c>
      <c r="AG5168">
        <v>0</v>
      </c>
      <c r="AH5168">
        <v>0</v>
      </c>
      <c r="AI5168">
        <v>32.17</v>
      </c>
      <c r="AJ5168">
        <v>178.72</v>
      </c>
      <c r="AK5168">
        <v>0</v>
      </c>
      <c r="AL5168" t="s">
        <v>53</v>
      </c>
      <c r="AM5168" t="s">
        <v>53</v>
      </c>
      <c r="AN5168" t="s">
        <v>53</v>
      </c>
      <c r="AO5168" t="s">
        <v>53</v>
      </c>
      <c r="AP5168" t="s">
        <v>53</v>
      </c>
    </row>
    <row r="5169" spans="2:42" x14ac:dyDescent="0.2">
      <c r="B5169" t="s">
        <v>44</v>
      </c>
      <c r="C5169" t="str">
        <f>HYPERLINK("https://us2.cloudbeds.com/connect/8493803454333002#/reservations/9080486846202716?display=2GEJU72MZ7&amp;reservation_id=9080486846202716", "2GEJU72MZ7")</f>
        <v>2GEJU72MZ7</v>
      </c>
      <c r="D5169" t="s">
        <v>45</v>
      </c>
      <c r="E5169" t="s">
        <v>138</v>
      </c>
      <c r="F5169" t="s">
        <v>70</v>
      </c>
      <c r="G5169" t="s">
        <v>48</v>
      </c>
      <c r="H5169" t="s">
        <v>49</v>
      </c>
      <c r="I5169" t="s">
        <v>62</v>
      </c>
      <c r="J5169" t="s">
        <v>9130</v>
      </c>
      <c r="K5169" t="s">
        <v>9131</v>
      </c>
      <c r="L5169" t="s">
        <v>53</v>
      </c>
      <c r="N5169" t="s">
        <v>9132</v>
      </c>
      <c r="P5169" t="s">
        <v>55</v>
      </c>
      <c r="R5169" t="s">
        <v>513</v>
      </c>
      <c r="T5169" t="s">
        <v>9133</v>
      </c>
      <c r="U5169" t="s">
        <v>55</v>
      </c>
      <c r="V5169">
        <v>1</v>
      </c>
      <c r="W5169">
        <v>1</v>
      </c>
      <c r="X5169">
        <v>2</v>
      </c>
      <c r="Y5169">
        <v>0</v>
      </c>
      <c r="Z5169">
        <v>2</v>
      </c>
      <c r="AA5169">
        <v>61</v>
      </c>
      <c r="AB5169">
        <v>61</v>
      </c>
      <c r="AC5169">
        <v>61</v>
      </c>
      <c r="AD5169">
        <v>0</v>
      </c>
      <c r="AE5169">
        <v>0</v>
      </c>
      <c r="AF5169">
        <v>0</v>
      </c>
      <c r="AG5169">
        <v>0</v>
      </c>
      <c r="AH5169">
        <v>0</v>
      </c>
      <c r="AI5169">
        <v>10.98</v>
      </c>
      <c r="AJ5169">
        <v>61</v>
      </c>
      <c r="AK5169">
        <v>0</v>
      </c>
      <c r="AL5169" t="s">
        <v>53</v>
      </c>
      <c r="AM5169" t="s">
        <v>53</v>
      </c>
      <c r="AN5169" t="s">
        <v>53</v>
      </c>
      <c r="AO5169" t="s">
        <v>53</v>
      </c>
      <c r="AP5169" t="s">
        <v>53</v>
      </c>
    </row>
    <row r="5170" spans="2:42" x14ac:dyDescent="0.2">
      <c r="B5170" t="s">
        <v>44</v>
      </c>
      <c r="C5170" t="str">
        <f>HYPERLINK("https://us2.cloudbeds.com/connect/8493803454333002#/reservations/115951969652954?display=2GEN2J58GG&amp;reservation_id=115951969652954", "2GEN2J58GG")</f>
        <v>2GEN2J58GG</v>
      </c>
      <c r="D5170" t="s">
        <v>45</v>
      </c>
      <c r="E5170" t="s">
        <v>69</v>
      </c>
      <c r="F5170" t="s">
        <v>70</v>
      </c>
      <c r="G5170" t="s">
        <v>4520</v>
      </c>
      <c r="H5170" t="s">
        <v>3957</v>
      </c>
      <c r="I5170" t="s">
        <v>3958</v>
      </c>
      <c r="J5170" t="s">
        <v>7872</v>
      </c>
      <c r="K5170" t="s">
        <v>7276</v>
      </c>
      <c r="L5170" t="s">
        <v>53</v>
      </c>
      <c r="P5170" t="s">
        <v>55</v>
      </c>
      <c r="R5170" t="s">
        <v>56</v>
      </c>
      <c r="T5170" t="s">
        <v>9134</v>
      </c>
      <c r="U5170" t="s">
        <v>58</v>
      </c>
      <c r="V5170">
        <v>1</v>
      </c>
      <c r="W5170">
        <v>1</v>
      </c>
      <c r="X5170">
        <v>1</v>
      </c>
      <c r="Y5170">
        <v>0</v>
      </c>
      <c r="Z5170">
        <v>1</v>
      </c>
      <c r="AA5170">
        <v>113.54</v>
      </c>
      <c r="AB5170">
        <v>113.54</v>
      </c>
      <c r="AC5170">
        <v>99.9</v>
      </c>
      <c r="AD5170">
        <v>0</v>
      </c>
      <c r="AE5170">
        <v>13.64</v>
      </c>
      <c r="AF5170">
        <v>0</v>
      </c>
      <c r="AG5170">
        <v>0</v>
      </c>
      <c r="AH5170">
        <v>0</v>
      </c>
      <c r="AI5170">
        <v>0</v>
      </c>
      <c r="AJ5170">
        <v>113.54</v>
      </c>
      <c r="AK5170">
        <v>0</v>
      </c>
      <c r="AL5170" t="s">
        <v>53</v>
      </c>
      <c r="AM5170" t="s">
        <v>53</v>
      </c>
      <c r="AN5170" t="s">
        <v>53</v>
      </c>
      <c r="AO5170" t="s">
        <v>53</v>
      </c>
      <c r="AP5170" t="s">
        <v>53</v>
      </c>
    </row>
    <row r="5171" spans="2:42" x14ac:dyDescent="0.2">
      <c r="B5171" t="s">
        <v>44</v>
      </c>
      <c r="C5171" t="str">
        <f>HYPERLINK("https://us2.cloudbeds.com/connect/8493803454333002#/reservations/9080486846202798?display=2GEZ4Z5P7S&amp;reservation_id=9080486846202798", "2GEZ4Z5P7S")</f>
        <v>2GEZ4Z5P7S</v>
      </c>
      <c r="D5171" t="s">
        <v>45</v>
      </c>
      <c r="E5171" t="s">
        <v>113</v>
      </c>
      <c r="F5171" t="s">
        <v>61</v>
      </c>
      <c r="G5171" t="s">
        <v>48</v>
      </c>
      <c r="H5171" t="s">
        <v>49</v>
      </c>
      <c r="I5171" t="s">
        <v>50</v>
      </c>
      <c r="J5171" t="s">
        <v>8829</v>
      </c>
      <c r="K5171" t="s">
        <v>9135</v>
      </c>
      <c r="L5171" t="s">
        <v>53</v>
      </c>
      <c r="N5171" t="s">
        <v>9136</v>
      </c>
      <c r="P5171" t="s">
        <v>55</v>
      </c>
      <c r="R5171" t="s">
        <v>53</v>
      </c>
      <c r="T5171" t="s">
        <v>9137</v>
      </c>
      <c r="U5171" t="s">
        <v>58</v>
      </c>
      <c r="V5171">
        <v>2</v>
      </c>
      <c r="W5171">
        <v>1</v>
      </c>
      <c r="X5171">
        <v>2</v>
      </c>
      <c r="Y5171">
        <v>0</v>
      </c>
      <c r="Z5171">
        <v>2</v>
      </c>
      <c r="AA5171">
        <v>261.38</v>
      </c>
      <c r="AB5171">
        <v>261.38</v>
      </c>
      <c r="AC5171">
        <v>229.99</v>
      </c>
      <c r="AD5171">
        <v>0</v>
      </c>
      <c r="AE5171">
        <v>31.39</v>
      </c>
      <c r="AF5171">
        <v>0</v>
      </c>
      <c r="AG5171">
        <v>0</v>
      </c>
      <c r="AH5171">
        <v>0</v>
      </c>
      <c r="AI5171">
        <v>47.05</v>
      </c>
      <c r="AJ5171">
        <v>261.38</v>
      </c>
      <c r="AK5171">
        <v>0</v>
      </c>
      <c r="AL5171" t="s">
        <v>53</v>
      </c>
      <c r="AM5171" t="s">
        <v>53</v>
      </c>
      <c r="AN5171" t="s">
        <v>53</v>
      </c>
      <c r="AO5171" t="s">
        <v>53</v>
      </c>
      <c r="AP5171" t="s">
        <v>53</v>
      </c>
    </row>
    <row r="5172" spans="2:42" x14ac:dyDescent="0.2">
      <c r="B5172" t="s">
        <v>44</v>
      </c>
      <c r="C5172" t="str">
        <f>HYPERLINK("https://us2.cloudbeds.com/connect/8493803454333002#/reservations/9080486846202856?display=2GEPEVPNSE&amp;reservation_id=9080486846202856", "2GEPEVPNSE")</f>
        <v>2GEPEVPNSE</v>
      </c>
      <c r="D5172" t="s">
        <v>45</v>
      </c>
      <c r="E5172" t="s">
        <v>98</v>
      </c>
      <c r="F5172" t="s">
        <v>86</v>
      </c>
      <c r="G5172" t="s">
        <v>48</v>
      </c>
      <c r="H5172" t="s">
        <v>49</v>
      </c>
      <c r="I5172" t="s">
        <v>50</v>
      </c>
      <c r="J5172" t="s">
        <v>7276</v>
      </c>
      <c r="K5172" t="s">
        <v>7861</v>
      </c>
      <c r="L5172" t="s">
        <v>53</v>
      </c>
      <c r="N5172" t="s">
        <v>9138</v>
      </c>
      <c r="P5172" t="s">
        <v>55</v>
      </c>
      <c r="R5172" t="s">
        <v>53</v>
      </c>
      <c r="T5172" t="s">
        <v>9139</v>
      </c>
      <c r="U5172" t="s">
        <v>58</v>
      </c>
      <c r="V5172">
        <v>1</v>
      </c>
      <c r="W5172">
        <v>1</v>
      </c>
      <c r="X5172">
        <v>2</v>
      </c>
      <c r="Y5172">
        <v>0</v>
      </c>
      <c r="Z5172">
        <v>2</v>
      </c>
      <c r="AA5172">
        <v>187.18</v>
      </c>
      <c r="AB5172">
        <v>187.18</v>
      </c>
      <c r="AC5172">
        <v>164.7</v>
      </c>
      <c r="AD5172">
        <v>0</v>
      </c>
      <c r="AE5172">
        <v>22.48</v>
      </c>
      <c r="AF5172">
        <v>0</v>
      </c>
      <c r="AG5172">
        <v>0</v>
      </c>
      <c r="AH5172">
        <v>0</v>
      </c>
      <c r="AI5172">
        <v>33.69</v>
      </c>
      <c r="AJ5172">
        <v>187.18</v>
      </c>
      <c r="AK5172">
        <v>0</v>
      </c>
      <c r="AL5172" t="s">
        <v>53</v>
      </c>
      <c r="AM5172" t="s">
        <v>53</v>
      </c>
      <c r="AN5172" t="s">
        <v>53</v>
      </c>
      <c r="AO5172" t="s">
        <v>53</v>
      </c>
      <c r="AP5172" t="s">
        <v>53</v>
      </c>
    </row>
    <row r="5173" spans="2:42" x14ac:dyDescent="0.2">
      <c r="B5173" t="s">
        <v>44</v>
      </c>
      <c r="C5173" t="str">
        <f>HYPERLINK("https://us2.cloudbeds.com/connect/8493803454333002#/reservations/9080486846202858?display=2GEQFXND01&amp;reservation_id=9080486846202858", "2GEQFXND01")</f>
        <v>2GEQFXND01</v>
      </c>
      <c r="D5173" t="s">
        <v>45</v>
      </c>
      <c r="E5173" t="s">
        <v>121</v>
      </c>
      <c r="F5173" t="s">
        <v>86</v>
      </c>
      <c r="G5173" t="s">
        <v>48</v>
      </c>
      <c r="H5173" t="s">
        <v>49</v>
      </c>
      <c r="I5173" t="s">
        <v>50</v>
      </c>
      <c r="J5173" t="s">
        <v>7276</v>
      </c>
      <c r="K5173" t="s">
        <v>7861</v>
      </c>
      <c r="L5173" t="s">
        <v>53</v>
      </c>
      <c r="N5173" t="s">
        <v>9140</v>
      </c>
      <c r="P5173" t="s">
        <v>55</v>
      </c>
      <c r="R5173" t="s">
        <v>53</v>
      </c>
      <c r="T5173" t="s">
        <v>9141</v>
      </c>
      <c r="U5173" t="s">
        <v>58</v>
      </c>
      <c r="V5173">
        <v>1</v>
      </c>
      <c r="W5173">
        <v>1</v>
      </c>
      <c r="X5173">
        <v>2</v>
      </c>
      <c r="Y5173">
        <v>0</v>
      </c>
      <c r="Z5173">
        <v>2</v>
      </c>
      <c r="AA5173">
        <v>187.18</v>
      </c>
      <c r="AB5173">
        <v>187.18</v>
      </c>
      <c r="AC5173">
        <v>164.7</v>
      </c>
      <c r="AD5173">
        <v>0</v>
      </c>
      <c r="AE5173">
        <v>22.48</v>
      </c>
      <c r="AF5173">
        <v>0</v>
      </c>
      <c r="AG5173">
        <v>0</v>
      </c>
      <c r="AH5173">
        <v>0</v>
      </c>
      <c r="AI5173">
        <v>33.69</v>
      </c>
      <c r="AJ5173">
        <v>187.18</v>
      </c>
      <c r="AK5173">
        <v>0</v>
      </c>
      <c r="AL5173" t="s">
        <v>53</v>
      </c>
      <c r="AM5173" t="s">
        <v>53</v>
      </c>
      <c r="AN5173" t="s">
        <v>53</v>
      </c>
      <c r="AO5173" t="s">
        <v>53</v>
      </c>
      <c r="AP5173" t="s">
        <v>53</v>
      </c>
    </row>
    <row r="5174" spans="2:42" x14ac:dyDescent="0.2">
      <c r="B5174" t="s">
        <v>44</v>
      </c>
      <c r="C5174" t="str">
        <f>HYPERLINK("https://us2.cloudbeds.com/connect/8493803454333002#/reservations/9080486846203251?display=2GF51D8P7E&amp;reservation_id=9080486846203251", "2GF51D8P7E")</f>
        <v>2GF51D8P7E</v>
      </c>
      <c r="D5174" t="s">
        <v>45</v>
      </c>
      <c r="E5174" t="s">
        <v>69</v>
      </c>
      <c r="F5174" t="s">
        <v>70</v>
      </c>
      <c r="G5174" t="s">
        <v>48</v>
      </c>
      <c r="H5174" t="s">
        <v>49</v>
      </c>
      <c r="I5174" t="s">
        <v>50</v>
      </c>
      <c r="J5174" t="s">
        <v>7967</v>
      </c>
      <c r="K5174" t="s">
        <v>8799</v>
      </c>
      <c r="L5174" t="s">
        <v>53</v>
      </c>
      <c r="N5174" t="s">
        <v>9142</v>
      </c>
      <c r="P5174" t="s">
        <v>55</v>
      </c>
      <c r="R5174" t="s">
        <v>53</v>
      </c>
      <c r="T5174" t="s">
        <v>9143</v>
      </c>
      <c r="U5174" t="s">
        <v>58</v>
      </c>
      <c r="V5174">
        <v>3</v>
      </c>
      <c r="W5174">
        <v>1</v>
      </c>
      <c r="X5174">
        <v>1</v>
      </c>
      <c r="Y5174">
        <v>0</v>
      </c>
      <c r="Z5174">
        <v>1</v>
      </c>
      <c r="AA5174">
        <v>451.07</v>
      </c>
      <c r="AB5174">
        <v>451.07</v>
      </c>
      <c r="AC5174">
        <v>396.9</v>
      </c>
      <c r="AD5174">
        <v>0</v>
      </c>
      <c r="AE5174">
        <v>54.17</v>
      </c>
      <c r="AF5174">
        <v>0</v>
      </c>
      <c r="AG5174">
        <v>0</v>
      </c>
      <c r="AH5174">
        <v>0</v>
      </c>
      <c r="AI5174">
        <v>81.19</v>
      </c>
      <c r="AJ5174">
        <v>451.07</v>
      </c>
      <c r="AK5174">
        <v>0</v>
      </c>
      <c r="AL5174" t="s">
        <v>53</v>
      </c>
      <c r="AM5174" t="s">
        <v>53</v>
      </c>
      <c r="AN5174" t="s">
        <v>53</v>
      </c>
      <c r="AO5174" t="s">
        <v>53</v>
      </c>
      <c r="AP5174" t="s">
        <v>53</v>
      </c>
    </row>
    <row r="5175" spans="2:42" x14ac:dyDescent="0.2">
      <c r="B5175" t="s">
        <v>44</v>
      </c>
      <c r="C5175" t="str">
        <f>HYPERLINK("https://us2.cloudbeds.com/connect/8493803454333002#/reservations/9080486846203701?display=2GFKTHJBBX&amp;reservation_id=9080486846203701", "2GFKTHJBBX")</f>
        <v>2GFKTHJBBX</v>
      </c>
      <c r="D5175" t="s">
        <v>45</v>
      </c>
      <c r="E5175" t="s">
        <v>113</v>
      </c>
      <c r="F5175" t="s">
        <v>61</v>
      </c>
      <c r="G5175" t="s">
        <v>48</v>
      </c>
      <c r="H5175" t="s">
        <v>49</v>
      </c>
      <c r="I5175" t="s">
        <v>50</v>
      </c>
      <c r="J5175" t="s">
        <v>7872</v>
      </c>
      <c r="K5175" t="s">
        <v>7276</v>
      </c>
      <c r="L5175" t="s">
        <v>53</v>
      </c>
      <c r="N5175" t="s">
        <v>9144</v>
      </c>
      <c r="P5175" t="s">
        <v>55</v>
      </c>
      <c r="R5175" t="s">
        <v>53</v>
      </c>
      <c r="T5175" t="s">
        <v>9145</v>
      </c>
      <c r="U5175" t="s">
        <v>58</v>
      </c>
      <c r="V5175">
        <v>1</v>
      </c>
      <c r="W5175">
        <v>1</v>
      </c>
      <c r="X5175">
        <v>2</v>
      </c>
      <c r="Y5175">
        <v>0</v>
      </c>
      <c r="Z5175">
        <v>2</v>
      </c>
      <c r="AA5175">
        <v>128.88</v>
      </c>
      <c r="AB5175">
        <v>128.88</v>
      </c>
      <c r="AC5175">
        <v>113.4</v>
      </c>
      <c r="AD5175">
        <v>0</v>
      </c>
      <c r="AE5175">
        <v>15.48</v>
      </c>
      <c r="AF5175">
        <v>0</v>
      </c>
      <c r="AG5175">
        <v>0</v>
      </c>
      <c r="AH5175">
        <v>0</v>
      </c>
      <c r="AI5175">
        <v>23.2</v>
      </c>
      <c r="AJ5175">
        <v>128.88</v>
      </c>
      <c r="AK5175">
        <v>0</v>
      </c>
      <c r="AL5175" t="s">
        <v>53</v>
      </c>
      <c r="AM5175" t="s">
        <v>53</v>
      </c>
      <c r="AN5175" t="s">
        <v>53</v>
      </c>
      <c r="AO5175" t="s">
        <v>53</v>
      </c>
      <c r="AP5175" t="s">
        <v>53</v>
      </c>
    </row>
    <row r="5176" spans="2:42" x14ac:dyDescent="0.2">
      <c r="B5176" t="s">
        <v>44</v>
      </c>
      <c r="C5176" t="str">
        <f>HYPERLINK("https://us2.cloudbeds.com/connect/8493803454333002#/reservations/9080486846203744?display=2GFYW3WXNS&amp;reservation_id=9080486846203744", "2GFYW3WXNS")</f>
        <v>2GFYW3WXNS</v>
      </c>
      <c r="D5176" t="s">
        <v>45</v>
      </c>
      <c r="E5176" t="s">
        <v>406</v>
      </c>
      <c r="F5176" t="s">
        <v>61</v>
      </c>
      <c r="G5176" t="s">
        <v>48</v>
      </c>
      <c r="H5176" t="s">
        <v>49</v>
      </c>
      <c r="I5176" t="s">
        <v>62</v>
      </c>
      <c r="J5176" t="s">
        <v>8750</v>
      </c>
      <c r="K5176" t="s">
        <v>6396</v>
      </c>
      <c r="L5176" t="s">
        <v>53</v>
      </c>
      <c r="N5176" t="s">
        <v>9146</v>
      </c>
      <c r="P5176" t="s">
        <v>55</v>
      </c>
      <c r="R5176" t="s">
        <v>56</v>
      </c>
      <c r="T5176" t="s">
        <v>9147</v>
      </c>
      <c r="U5176" t="s">
        <v>55</v>
      </c>
      <c r="V5176">
        <v>2</v>
      </c>
      <c r="W5176">
        <v>1</v>
      </c>
      <c r="X5176">
        <v>2</v>
      </c>
      <c r="Y5176">
        <v>0</v>
      </c>
      <c r="Z5176">
        <v>2</v>
      </c>
      <c r="AA5176">
        <v>439</v>
      </c>
      <c r="AB5176">
        <v>439</v>
      </c>
      <c r="AC5176">
        <v>439</v>
      </c>
      <c r="AD5176">
        <v>0</v>
      </c>
      <c r="AE5176">
        <v>0</v>
      </c>
      <c r="AF5176">
        <v>0</v>
      </c>
      <c r="AG5176">
        <v>0</v>
      </c>
      <c r="AH5176">
        <v>0</v>
      </c>
      <c r="AI5176">
        <v>79.02</v>
      </c>
      <c r="AJ5176">
        <v>439</v>
      </c>
      <c r="AK5176">
        <v>0</v>
      </c>
      <c r="AL5176" t="s">
        <v>53</v>
      </c>
      <c r="AM5176" t="s">
        <v>53</v>
      </c>
      <c r="AN5176" t="s">
        <v>53</v>
      </c>
      <c r="AO5176" t="s">
        <v>53</v>
      </c>
      <c r="AP5176" t="s">
        <v>53</v>
      </c>
    </row>
    <row r="5177" spans="2:42" x14ac:dyDescent="0.2">
      <c r="B5177" t="s">
        <v>44</v>
      </c>
      <c r="C5177" t="str">
        <f>HYPERLINK("https://us2.cloudbeds.com/connect/8493803454333002#/reservations/9080486846204039?display=2GFV1PWQGM&amp;reservation_id=9080486846204039", "2GFV1PWQGM")</f>
        <v>2GFV1PWQGM</v>
      </c>
      <c r="D5177" t="s">
        <v>45</v>
      </c>
      <c r="E5177" t="s">
        <v>98</v>
      </c>
      <c r="F5177" t="s">
        <v>86</v>
      </c>
      <c r="G5177" t="s">
        <v>48</v>
      </c>
      <c r="H5177" t="s">
        <v>49</v>
      </c>
      <c r="I5177" t="s">
        <v>50</v>
      </c>
      <c r="J5177" t="s">
        <v>7905</v>
      </c>
      <c r="K5177" t="s">
        <v>8594</v>
      </c>
      <c r="L5177" t="s">
        <v>53</v>
      </c>
      <c r="N5177" t="s">
        <v>9148</v>
      </c>
      <c r="P5177" t="s">
        <v>55</v>
      </c>
      <c r="R5177" t="s">
        <v>53</v>
      </c>
      <c r="T5177" t="s">
        <v>9149</v>
      </c>
      <c r="U5177" t="s">
        <v>58</v>
      </c>
      <c r="V5177">
        <v>2</v>
      </c>
      <c r="W5177">
        <v>1</v>
      </c>
      <c r="X5177">
        <v>2</v>
      </c>
      <c r="Y5177">
        <v>0</v>
      </c>
      <c r="Z5177">
        <v>2</v>
      </c>
      <c r="AA5177">
        <v>359.13</v>
      </c>
      <c r="AB5177">
        <v>359.13</v>
      </c>
      <c r="AC5177">
        <v>316</v>
      </c>
      <c r="AD5177">
        <v>0</v>
      </c>
      <c r="AE5177">
        <v>43.13</v>
      </c>
      <c r="AF5177">
        <v>0</v>
      </c>
      <c r="AG5177">
        <v>0</v>
      </c>
      <c r="AH5177">
        <v>0</v>
      </c>
      <c r="AI5177">
        <v>64.64</v>
      </c>
      <c r="AJ5177">
        <v>359.13</v>
      </c>
      <c r="AK5177">
        <v>0</v>
      </c>
      <c r="AL5177" t="s">
        <v>53</v>
      </c>
      <c r="AM5177" t="s">
        <v>53</v>
      </c>
      <c r="AN5177" t="s">
        <v>9150</v>
      </c>
      <c r="AO5177" t="s">
        <v>53</v>
      </c>
      <c r="AP5177" t="s">
        <v>53</v>
      </c>
    </row>
    <row r="5178" spans="2:42" x14ac:dyDescent="0.2">
      <c r="B5178" t="s">
        <v>44</v>
      </c>
      <c r="C5178" t="str">
        <f>HYPERLINK("https://us2.cloudbeds.com/connect/8493803454333002#/reservations/9080486846204403?display=2GGA6MKP10&amp;reservation_id=9080486846204403", "2GGA6MKP10")</f>
        <v>2GGA6MKP10</v>
      </c>
      <c r="D5178" t="s">
        <v>45</v>
      </c>
      <c r="E5178" t="s">
        <v>165</v>
      </c>
      <c r="F5178" t="s">
        <v>61</v>
      </c>
      <c r="G5178" t="s">
        <v>48</v>
      </c>
      <c r="H5178" t="s">
        <v>49</v>
      </c>
      <c r="I5178" t="s">
        <v>50</v>
      </c>
      <c r="J5178" t="s">
        <v>7821</v>
      </c>
      <c r="K5178" t="s">
        <v>7822</v>
      </c>
      <c r="L5178" t="s">
        <v>53</v>
      </c>
      <c r="N5178" t="s">
        <v>9151</v>
      </c>
      <c r="P5178" t="s">
        <v>55</v>
      </c>
      <c r="R5178" t="s">
        <v>56</v>
      </c>
      <c r="T5178" t="s">
        <v>9152</v>
      </c>
      <c r="U5178" t="s">
        <v>58</v>
      </c>
      <c r="V5178">
        <v>2</v>
      </c>
      <c r="W5178">
        <v>1</v>
      </c>
      <c r="X5178">
        <v>2</v>
      </c>
      <c r="Y5178">
        <v>0</v>
      </c>
      <c r="Z5178">
        <v>2</v>
      </c>
      <c r="AA5178">
        <v>360.52</v>
      </c>
      <c r="AB5178">
        <v>360.52</v>
      </c>
      <c r="AC5178">
        <v>317.2</v>
      </c>
      <c r="AD5178">
        <v>0</v>
      </c>
      <c r="AE5178">
        <v>43.32</v>
      </c>
      <c r="AF5178">
        <v>0</v>
      </c>
      <c r="AG5178">
        <v>0</v>
      </c>
      <c r="AH5178">
        <v>0</v>
      </c>
      <c r="AI5178">
        <v>64.89</v>
      </c>
      <c r="AJ5178">
        <v>360.52</v>
      </c>
      <c r="AK5178">
        <v>0</v>
      </c>
      <c r="AL5178" t="s">
        <v>53</v>
      </c>
      <c r="AM5178" t="s">
        <v>53</v>
      </c>
      <c r="AN5178" t="s">
        <v>53</v>
      </c>
      <c r="AO5178" t="s">
        <v>53</v>
      </c>
      <c r="AP5178" t="s">
        <v>53</v>
      </c>
    </row>
    <row r="5179" spans="2:42" x14ac:dyDescent="0.2">
      <c r="B5179" t="s">
        <v>44</v>
      </c>
      <c r="C5179" t="str">
        <f>HYPERLINK("https://us2.cloudbeds.com/connect/8493803454333002#/reservations/9080486846204424?display=2GGBM9RHNR&amp;reservation_id=9080486846204424", "2GGBM9RHNR")</f>
        <v>2GGBM9RHNR</v>
      </c>
      <c r="D5179" t="s">
        <v>45</v>
      </c>
      <c r="E5179" t="s">
        <v>121</v>
      </c>
      <c r="F5179" t="s">
        <v>86</v>
      </c>
      <c r="G5179" t="s">
        <v>48</v>
      </c>
      <c r="H5179" t="s">
        <v>49</v>
      </c>
      <c r="I5179" t="s">
        <v>50</v>
      </c>
      <c r="J5179" t="s">
        <v>7821</v>
      </c>
      <c r="K5179" t="s">
        <v>7822</v>
      </c>
      <c r="L5179" t="s">
        <v>53</v>
      </c>
      <c r="N5179" t="s">
        <v>9153</v>
      </c>
      <c r="P5179" t="s">
        <v>55</v>
      </c>
      <c r="R5179" t="s">
        <v>56</v>
      </c>
      <c r="T5179" t="s">
        <v>9154</v>
      </c>
      <c r="U5179" t="s">
        <v>58</v>
      </c>
      <c r="V5179">
        <v>2</v>
      </c>
      <c r="W5179">
        <v>1</v>
      </c>
      <c r="X5179">
        <v>2</v>
      </c>
      <c r="Y5179">
        <v>0</v>
      </c>
      <c r="Z5179">
        <v>2</v>
      </c>
      <c r="AA5179">
        <v>382.86</v>
      </c>
      <c r="AB5179">
        <v>382.86</v>
      </c>
      <c r="AC5179">
        <v>336.87</v>
      </c>
      <c r="AD5179">
        <v>0</v>
      </c>
      <c r="AE5179">
        <v>45.99</v>
      </c>
      <c r="AF5179">
        <v>0</v>
      </c>
      <c r="AG5179">
        <v>0</v>
      </c>
      <c r="AH5179">
        <v>0</v>
      </c>
      <c r="AI5179">
        <v>68.91</v>
      </c>
      <c r="AJ5179">
        <v>382.86</v>
      </c>
      <c r="AK5179">
        <v>0</v>
      </c>
      <c r="AL5179" t="s">
        <v>53</v>
      </c>
      <c r="AM5179" t="s">
        <v>53</v>
      </c>
      <c r="AN5179" t="s">
        <v>53</v>
      </c>
      <c r="AO5179" t="s">
        <v>53</v>
      </c>
      <c r="AP5179" t="s">
        <v>53</v>
      </c>
    </row>
    <row r="5180" spans="2:42" x14ac:dyDescent="0.2">
      <c r="B5180" t="s">
        <v>44</v>
      </c>
      <c r="C5180" t="str">
        <f>HYPERLINK("https://us2.cloudbeds.com/connect/8493803454333002#/reservations/9080486846204561?display=2GGG7X7VWY&amp;reservation_id=9080486846204561", "2GGG7X7VWY")</f>
        <v>2GGG7X7VWY</v>
      </c>
      <c r="D5180" t="s">
        <v>45</v>
      </c>
      <c r="E5180" t="s">
        <v>265</v>
      </c>
      <c r="F5180" t="s">
        <v>61</v>
      </c>
      <c r="G5180" t="s">
        <v>48</v>
      </c>
      <c r="H5180" t="s">
        <v>49</v>
      </c>
      <c r="I5180" t="s">
        <v>50</v>
      </c>
      <c r="J5180" t="s">
        <v>7414</v>
      </c>
      <c r="K5180" t="s">
        <v>7276</v>
      </c>
      <c r="L5180" t="s">
        <v>53</v>
      </c>
      <c r="N5180" t="s">
        <v>9155</v>
      </c>
      <c r="P5180" t="s">
        <v>55</v>
      </c>
      <c r="R5180" t="s">
        <v>53</v>
      </c>
      <c r="T5180" t="s">
        <v>9156</v>
      </c>
      <c r="U5180" t="s">
        <v>58</v>
      </c>
      <c r="V5180">
        <v>2</v>
      </c>
      <c r="W5180">
        <v>1</v>
      </c>
      <c r="X5180">
        <v>2</v>
      </c>
      <c r="Y5180">
        <v>0</v>
      </c>
      <c r="Z5180">
        <v>2</v>
      </c>
      <c r="AA5180">
        <v>266.39</v>
      </c>
      <c r="AB5180">
        <v>266.39</v>
      </c>
      <c r="AC5180">
        <v>234.4</v>
      </c>
      <c r="AD5180">
        <v>0</v>
      </c>
      <c r="AE5180">
        <v>31.99</v>
      </c>
      <c r="AF5180">
        <v>0</v>
      </c>
      <c r="AG5180">
        <v>0</v>
      </c>
      <c r="AH5180">
        <v>0</v>
      </c>
      <c r="AI5180">
        <v>47.95</v>
      </c>
      <c r="AJ5180">
        <v>266.39</v>
      </c>
      <c r="AK5180">
        <v>0</v>
      </c>
      <c r="AL5180" t="s">
        <v>53</v>
      </c>
      <c r="AM5180" t="s">
        <v>53</v>
      </c>
      <c r="AN5180" t="s">
        <v>53</v>
      </c>
      <c r="AO5180" t="s">
        <v>53</v>
      </c>
      <c r="AP5180" t="s">
        <v>53</v>
      </c>
    </row>
    <row r="5181" spans="2:42" x14ac:dyDescent="0.2">
      <c r="B5181" t="s">
        <v>44</v>
      </c>
      <c r="C5181" t="str">
        <f>HYPERLINK("https://us2.cloudbeds.com/connect/8493803454333002#/reservations/116028094701746?display=2GGG0ZQVXS&amp;reservation_id=116028094701746", "2GGG0ZQVXS")</f>
        <v>2GGG0ZQVXS</v>
      </c>
      <c r="D5181" t="s">
        <v>45</v>
      </c>
      <c r="E5181" t="s">
        <v>9157</v>
      </c>
      <c r="F5181" t="s">
        <v>5444</v>
      </c>
      <c r="G5181" t="s">
        <v>8291</v>
      </c>
      <c r="H5181" t="s">
        <v>3957</v>
      </c>
      <c r="I5181" t="s">
        <v>3958</v>
      </c>
      <c r="J5181" t="s">
        <v>7414</v>
      </c>
      <c r="K5181" t="s">
        <v>7276</v>
      </c>
      <c r="L5181" t="s">
        <v>53</v>
      </c>
      <c r="P5181" t="s">
        <v>55</v>
      </c>
      <c r="R5181" t="s">
        <v>56</v>
      </c>
      <c r="T5181" t="s">
        <v>9158</v>
      </c>
      <c r="U5181" t="s">
        <v>58</v>
      </c>
      <c r="V5181">
        <v>2</v>
      </c>
      <c r="W5181">
        <v>2</v>
      </c>
      <c r="X5181">
        <v>2</v>
      </c>
      <c r="Y5181">
        <v>0</v>
      </c>
      <c r="Z5181">
        <v>2</v>
      </c>
      <c r="AA5181">
        <v>363.69</v>
      </c>
      <c r="AB5181">
        <v>363.69</v>
      </c>
      <c r="AC5181">
        <v>320</v>
      </c>
      <c r="AD5181">
        <v>0</v>
      </c>
      <c r="AE5181">
        <v>43.69</v>
      </c>
      <c r="AF5181">
        <v>0</v>
      </c>
      <c r="AG5181">
        <v>0</v>
      </c>
      <c r="AH5181">
        <v>0</v>
      </c>
      <c r="AI5181">
        <v>0</v>
      </c>
      <c r="AJ5181">
        <v>363.69</v>
      </c>
      <c r="AK5181">
        <v>0</v>
      </c>
      <c r="AL5181" t="s">
        <v>53</v>
      </c>
      <c r="AM5181" t="s">
        <v>53</v>
      </c>
      <c r="AN5181" t="s">
        <v>53</v>
      </c>
      <c r="AO5181" t="s">
        <v>53</v>
      </c>
      <c r="AP5181" t="s">
        <v>53</v>
      </c>
    </row>
    <row r="5182" spans="2:42" x14ac:dyDescent="0.2">
      <c r="B5182" t="s">
        <v>44</v>
      </c>
      <c r="C5182" t="str">
        <f>HYPERLINK("https://us2.cloudbeds.com/connect/8493803454333002#/reservations/116029458100389?display=2GGH2JFHK8&amp;reservation_id=116029458100389", "2GGH2JFHK8")</f>
        <v>2GGH2JFHK8</v>
      </c>
      <c r="D5182" t="s">
        <v>45</v>
      </c>
      <c r="E5182" t="s">
        <v>185</v>
      </c>
      <c r="F5182" t="s">
        <v>47</v>
      </c>
      <c r="G5182" t="s">
        <v>4520</v>
      </c>
      <c r="H5182" t="s">
        <v>3957</v>
      </c>
      <c r="I5182" t="s">
        <v>3958</v>
      </c>
      <c r="J5182" t="s">
        <v>7414</v>
      </c>
      <c r="K5182" t="s">
        <v>7276</v>
      </c>
      <c r="L5182" t="s">
        <v>53</v>
      </c>
      <c r="P5182" t="s">
        <v>55</v>
      </c>
      <c r="R5182" t="s">
        <v>56</v>
      </c>
      <c r="T5182" t="s">
        <v>9159</v>
      </c>
      <c r="U5182" t="s">
        <v>58</v>
      </c>
      <c r="V5182">
        <v>2</v>
      </c>
      <c r="W5182">
        <v>1</v>
      </c>
      <c r="X5182">
        <v>1</v>
      </c>
      <c r="Y5182">
        <v>0</v>
      </c>
      <c r="Z5182">
        <v>1</v>
      </c>
      <c r="AA5182">
        <v>282.32</v>
      </c>
      <c r="AB5182">
        <v>282.32</v>
      </c>
      <c r="AC5182">
        <v>248.4</v>
      </c>
      <c r="AD5182">
        <v>0</v>
      </c>
      <c r="AE5182">
        <v>33.92</v>
      </c>
      <c r="AF5182">
        <v>0</v>
      </c>
      <c r="AG5182">
        <v>0</v>
      </c>
      <c r="AH5182">
        <v>0</v>
      </c>
      <c r="AI5182">
        <v>0</v>
      </c>
      <c r="AJ5182">
        <v>282.32</v>
      </c>
      <c r="AK5182">
        <v>0</v>
      </c>
      <c r="AL5182" t="s">
        <v>53</v>
      </c>
      <c r="AM5182" t="s">
        <v>53</v>
      </c>
      <c r="AN5182" t="s">
        <v>53</v>
      </c>
      <c r="AO5182" t="s">
        <v>53</v>
      </c>
      <c r="AP5182" t="s">
        <v>53</v>
      </c>
    </row>
    <row r="5183" spans="2:42" x14ac:dyDescent="0.2">
      <c r="B5183" t="s">
        <v>44</v>
      </c>
      <c r="C5183" t="str">
        <f>HYPERLINK("https://us2.cloudbeds.com/connect/8493803454333002#/reservations/9080486846205216?display=2GGNVEYV33&amp;reservation_id=9080486846205216", "2GGNVEYV33")</f>
        <v>2GGNVEYV33</v>
      </c>
      <c r="D5183" t="s">
        <v>45</v>
      </c>
      <c r="E5183" t="s">
        <v>69</v>
      </c>
      <c r="F5183" t="s">
        <v>70</v>
      </c>
      <c r="G5183" t="s">
        <v>48</v>
      </c>
      <c r="H5183" t="s">
        <v>49</v>
      </c>
      <c r="I5183" t="s">
        <v>50</v>
      </c>
      <c r="J5183" t="s">
        <v>7974</v>
      </c>
      <c r="K5183" t="s">
        <v>7975</v>
      </c>
      <c r="L5183" t="s">
        <v>53</v>
      </c>
      <c r="N5183" t="s">
        <v>9160</v>
      </c>
      <c r="P5183" t="s">
        <v>55</v>
      </c>
      <c r="R5183" t="s">
        <v>53</v>
      </c>
      <c r="T5183" t="s">
        <v>9161</v>
      </c>
      <c r="U5183" t="s">
        <v>58</v>
      </c>
      <c r="V5183">
        <v>1</v>
      </c>
      <c r="W5183">
        <v>1</v>
      </c>
      <c r="X5183">
        <v>2</v>
      </c>
      <c r="Y5183">
        <v>0</v>
      </c>
      <c r="Z5183">
        <v>2</v>
      </c>
      <c r="AA5183">
        <v>139.11000000000001</v>
      </c>
      <c r="AB5183">
        <v>139.11000000000001</v>
      </c>
      <c r="AC5183">
        <v>122.4</v>
      </c>
      <c r="AD5183">
        <v>0</v>
      </c>
      <c r="AE5183">
        <v>16.71</v>
      </c>
      <c r="AF5183">
        <v>0</v>
      </c>
      <c r="AG5183">
        <v>0</v>
      </c>
      <c r="AH5183">
        <v>0</v>
      </c>
      <c r="AI5183">
        <v>25.04</v>
      </c>
      <c r="AJ5183">
        <v>139.11000000000001</v>
      </c>
      <c r="AK5183">
        <v>0</v>
      </c>
      <c r="AL5183" t="s">
        <v>53</v>
      </c>
      <c r="AM5183" t="s">
        <v>53</v>
      </c>
      <c r="AN5183" t="s">
        <v>53</v>
      </c>
      <c r="AO5183" t="s">
        <v>53</v>
      </c>
      <c r="AP5183" t="s">
        <v>53</v>
      </c>
    </row>
    <row r="5184" spans="2:42" x14ac:dyDescent="0.2">
      <c r="B5184" t="s">
        <v>44</v>
      </c>
      <c r="C5184" t="str">
        <f>HYPERLINK("https://us2.cloudbeds.com/connect/8493803454333002#/reservations/9080486846205307?display=2GGRCP6J42&amp;reservation_id=9080486846205307", "2GGRCP6J42")</f>
        <v>2GGRCP6J42</v>
      </c>
      <c r="D5184" t="s">
        <v>45</v>
      </c>
      <c r="E5184" t="s">
        <v>179</v>
      </c>
      <c r="F5184" t="s">
        <v>47</v>
      </c>
      <c r="G5184" t="s">
        <v>48</v>
      </c>
      <c r="H5184" t="s">
        <v>49</v>
      </c>
      <c r="I5184" t="s">
        <v>8964</v>
      </c>
      <c r="J5184" t="s">
        <v>7414</v>
      </c>
      <c r="K5184" t="s">
        <v>7276</v>
      </c>
      <c r="L5184" t="s">
        <v>53</v>
      </c>
      <c r="N5184" t="s">
        <v>9162</v>
      </c>
      <c r="P5184" t="s">
        <v>55</v>
      </c>
      <c r="R5184" t="s">
        <v>56</v>
      </c>
      <c r="T5184" t="s">
        <v>9163</v>
      </c>
      <c r="U5184" t="s">
        <v>58</v>
      </c>
      <c r="V5184">
        <v>2</v>
      </c>
      <c r="W5184">
        <v>1</v>
      </c>
      <c r="X5184">
        <v>1</v>
      </c>
      <c r="Y5184">
        <v>0</v>
      </c>
      <c r="Z5184">
        <v>1</v>
      </c>
      <c r="AA5184">
        <v>0</v>
      </c>
      <c r="AB5184">
        <v>282</v>
      </c>
      <c r="AC5184">
        <v>282</v>
      </c>
      <c r="AD5184">
        <v>0</v>
      </c>
      <c r="AE5184">
        <v>0</v>
      </c>
      <c r="AF5184">
        <v>0</v>
      </c>
      <c r="AG5184">
        <v>0</v>
      </c>
      <c r="AH5184">
        <v>0</v>
      </c>
      <c r="AI5184">
        <v>42.3</v>
      </c>
      <c r="AJ5184">
        <v>282</v>
      </c>
      <c r="AK5184">
        <v>0</v>
      </c>
      <c r="AL5184" t="s">
        <v>53</v>
      </c>
      <c r="AM5184" t="s">
        <v>53</v>
      </c>
      <c r="AN5184" t="s">
        <v>9164</v>
      </c>
      <c r="AO5184" t="s">
        <v>53</v>
      </c>
      <c r="AP5184" t="s">
        <v>53</v>
      </c>
    </row>
    <row r="5185" spans="2:42" x14ac:dyDescent="0.2">
      <c r="B5185" t="s">
        <v>44</v>
      </c>
      <c r="C5185" t="str">
        <f>HYPERLINK("https://us2.cloudbeds.com/connect/8493803454333002#/reservations/9080486846205456?display=2GGU9CJR0B&amp;reservation_id=9080486846205456", "2GGU9CJR0B")</f>
        <v>2GGU9CJR0B</v>
      </c>
      <c r="D5185" t="s">
        <v>45</v>
      </c>
      <c r="E5185" t="s">
        <v>105</v>
      </c>
      <c r="F5185" t="s">
        <v>47</v>
      </c>
      <c r="G5185" t="s">
        <v>48</v>
      </c>
      <c r="H5185" t="s">
        <v>49</v>
      </c>
      <c r="I5185" t="s">
        <v>62</v>
      </c>
      <c r="J5185" t="s">
        <v>7302</v>
      </c>
      <c r="K5185" t="s">
        <v>5593</v>
      </c>
      <c r="L5185" t="s">
        <v>53</v>
      </c>
      <c r="N5185" t="s">
        <v>9165</v>
      </c>
      <c r="P5185" t="s">
        <v>55</v>
      </c>
      <c r="R5185" t="s">
        <v>56</v>
      </c>
      <c r="T5185" t="s">
        <v>9166</v>
      </c>
      <c r="U5185" t="s">
        <v>55</v>
      </c>
      <c r="V5185">
        <v>1</v>
      </c>
      <c r="W5185">
        <v>1</v>
      </c>
      <c r="X5185">
        <v>2</v>
      </c>
      <c r="Y5185">
        <v>0</v>
      </c>
      <c r="Z5185">
        <v>2</v>
      </c>
      <c r="AA5185">
        <v>169</v>
      </c>
      <c r="AB5185">
        <v>169</v>
      </c>
      <c r="AC5185">
        <v>169</v>
      </c>
      <c r="AD5185">
        <v>0</v>
      </c>
      <c r="AE5185">
        <v>0</v>
      </c>
      <c r="AF5185">
        <v>0</v>
      </c>
      <c r="AG5185">
        <v>0</v>
      </c>
      <c r="AH5185">
        <v>0</v>
      </c>
      <c r="AI5185">
        <v>30.42</v>
      </c>
      <c r="AJ5185">
        <v>169</v>
      </c>
      <c r="AK5185">
        <v>0</v>
      </c>
      <c r="AL5185" t="s">
        <v>53</v>
      </c>
      <c r="AM5185" t="s">
        <v>53</v>
      </c>
      <c r="AN5185" t="s">
        <v>53</v>
      </c>
      <c r="AO5185" t="s">
        <v>53</v>
      </c>
      <c r="AP5185" t="s">
        <v>53</v>
      </c>
    </row>
    <row r="5186" spans="2:42" x14ac:dyDescent="0.2">
      <c r="B5186" t="s">
        <v>44</v>
      </c>
      <c r="C5186" t="str">
        <f>HYPERLINK("https://us2.cloudbeds.com/connect/8493803454333002#/reservations/9080486846205474?display=2GGW9GNNVH&amp;reservation_id=9080486846205474", "2GGW9GNNVH")</f>
        <v>2GGW9GNNVH</v>
      </c>
      <c r="D5186" t="s">
        <v>45</v>
      </c>
      <c r="E5186" t="s">
        <v>4007</v>
      </c>
      <c r="F5186" t="s">
        <v>47</v>
      </c>
      <c r="G5186" t="s">
        <v>48</v>
      </c>
      <c r="H5186" t="s">
        <v>49</v>
      </c>
      <c r="I5186" t="s">
        <v>62</v>
      </c>
      <c r="J5186" t="s">
        <v>7414</v>
      </c>
      <c r="K5186" t="s">
        <v>7872</v>
      </c>
      <c r="L5186" t="s">
        <v>53</v>
      </c>
      <c r="N5186" t="s">
        <v>9167</v>
      </c>
      <c r="P5186" t="s">
        <v>55</v>
      </c>
      <c r="R5186" t="s">
        <v>56</v>
      </c>
      <c r="T5186" t="s">
        <v>9168</v>
      </c>
      <c r="U5186" t="s">
        <v>55</v>
      </c>
      <c r="V5186">
        <v>2</v>
      </c>
      <c r="W5186">
        <v>2</v>
      </c>
      <c r="X5186">
        <v>2</v>
      </c>
      <c r="Y5186">
        <v>0</v>
      </c>
      <c r="Z5186">
        <v>2</v>
      </c>
      <c r="AA5186">
        <v>314</v>
      </c>
      <c r="AB5186">
        <v>314</v>
      </c>
      <c r="AC5186">
        <v>314</v>
      </c>
      <c r="AD5186">
        <v>0</v>
      </c>
      <c r="AE5186">
        <v>0</v>
      </c>
      <c r="AF5186">
        <v>0</v>
      </c>
      <c r="AG5186">
        <v>0</v>
      </c>
      <c r="AH5186">
        <v>0</v>
      </c>
      <c r="AI5186">
        <v>56.52</v>
      </c>
      <c r="AJ5186">
        <v>314</v>
      </c>
      <c r="AK5186">
        <v>0</v>
      </c>
      <c r="AL5186" t="s">
        <v>53</v>
      </c>
      <c r="AM5186" t="s">
        <v>53</v>
      </c>
      <c r="AN5186" t="s">
        <v>9169</v>
      </c>
      <c r="AO5186" t="s">
        <v>53</v>
      </c>
      <c r="AP5186" t="s">
        <v>53</v>
      </c>
    </row>
    <row r="5187" spans="2:42" x14ac:dyDescent="0.2">
      <c r="B5187" t="s">
        <v>44</v>
      </c>
      <c r="C5187" t="str">
        <f>HYPERLINK("https://us2.cloudbeds.com/connect/8493803454333002#/reservations/9080486846205549?display=2GH1C84FCV&amp;reservation_id=9080486846205549", "2GH1C84FCV")</f>
        <v>2GH1C84FCV</v>
      </c>
      <c r="D5187" t="s">
        <v>45</v>
      </c>
      <c r="E5187" t="s">
        <v>373</v>
      </c>
      <c r="F5187" t="s">
        <v>47</v>
      </c>
      <c r="G5187" t="s">
        <v>48</v>
      </c>
      <c r="H5187" t="s">
        <v>49</v>
      </c>
      <c r="I5187" t="s">
        <v>50</v>
      </c>
      <c r="J5187" t="s">
        <v>5593</v>
      </c>
      <c r="K5187" t="s">
        <v>5594</v>
      </c>
      <c r="L5187" t="s">
        <v>53</v>
      </c>
      <c r="N5187" t="s">
        <v>9170</v>
      </c>
      <c r="P5187" t="s">
        <v>55</v>
      </c>
      <c r="R5187" t="s">
        <v>53</v>
      </c>
      <c r="T5187" t="s">
        <v>9171</v>
      </c>
      <c r="U5187" t="s">
        <v>58</v>
      </c>
      <c r="V5187">
        <v>1</v>
      </c>
      <c r="W5187">
        <v>1</v>
      </c>
      <c r="X5187">
        <v>1</v>
      </c>
      <c r="Y5187">
        <v>0</v>
      </c>
      <c r="Z5187">
        <v>1</v>
      </c>
      <c r="AA5187">
        <v>168.09</v>
      </c>
      <c r="AB5187">
        <v>168.09</v>
      </c>
      <c r="AC5187">
        <v>147.9</v>
      </c>
      <c r="AD5187">
        <v>0</v>
      </c>
      <c r="AE5187">
        <v>20.190000000000001</v>
      </c>
      <c r="AF5187">
        <v>0</v>
      </c>
      <c r="AG5187">
        <v>0</v>
      </c>
      <c r="AH5187">
        <v>0</v>
      </c>
      <c r="AI5187">
        <v>30.26</v>
      </c>
      <c r="AJ5187">
        <v>168.09</v>
      </c>
      <c r="AK5187">
        <v>0</v>
      </c>
      <c r="AL5187" t="s">
        <v>53</v>
      </c>
      <c r="AM5187" t="s">
        <v>53</v>
      </c>
      <c r="AN5187" t="s">
        <v>53</v>
      </c>
      <c r="AO5187" t="s">
        <v>53</v>
      </c>
      <c r="AP5187" t="s">
        <v>53</v>
      </c>
    </row>
    <row r="5188" spans="2:42" x14ac:dyDescent="0.2">
      <c r="B5188" t="s">
        <v>44</v>
      </c>
      <c r="C5188" t="str">
        <f>HYPERLINK("https://us2.cloudbeds.com/connect/8493803454333002#/reservations/116054826975436?display=2GH3NR5SWX&amp;reservation_id=116054826975436", "2GH3NR5SWX")</f>
        <v>2GH3NR5SWX</v>
      </c>
      <c r="D5188" t="s">
        <v>45</v>
      </c>
      <c r="E5188" t="s">
        <v>213</v>
      </c>
      <c r="F5188" t="s">
        <v>86</v>
      </c>
      <c r="G5188" t="s">
        <v>3974</v>
      </c>
      <c r="H5188" t="s">
        <v>3957</v>
      </c>
      <c r="I5188" t="s">
        <v>3975</v>
      </c>
      <c r="J5188" t="s">
        <v>8750</v>
      </c>
      <c r="K5188" t="s">
        <v>6396</v>
      </c>
      <c r="L5188" t="s">
        <v>53</v>
      </c>
      <c r="P5188" t="s">
        <v>55</v>
      </c>
      <c r="R5188" t="s">
        <v>53</v>
      </c>
      <c r="T5188" t="s">
        <v>9172</v>
      </c>
      <c r="U5188" t="s">
        <v>58</v>
      </c>
      <c r="V5188">
        <v>2</v>
      </c>
      <c r="W5188">
        <v>1</v>
      </c>
      <c r="X5188">
        <v>3</v>
      </c>
      <c r="Y5188">
        <v>0</v>
      </c>
      <c r="Z5188">
        <v>3</v>
      </c>
      <c r="AA5188">
        <v>502.05</v>
      </c>
      <c r="AB5188">
        <v>502.05</v>
      </c>
      <c r="AC5188">
        <v>441.75</v>
      </c>
      <c r="AD5188">
        <v>0</v>
      </c>
      <c r="AE5188">
        <v>60.3</v>
      </c>
      <c r="AF5188">
        <v>0</v>
      </c>
      <c r="AG5188">
        <v>0</v>
      </c>
      <c r="AH5188">
        <v>0</v>
      </c>
      <c r="AI5188">
        <v>0</v>
      </c>
      <c r="AJ5188">
        <v>502.05</v>
      </c>
      <c r="AK5188">
        <v>0</v>
      </c>
      <c r="AL5188" t="s">
        <v>53</v>
      </c>
      <c r="AM5188" t="s">
        <v>53</v>
      </c>
      <c r="AN5188" t="s">
        <v>53</v>
      </c>
      <c r="AO5188" t="s">
        <v>53</v>
      </c>
      <c r="AP5188" t="s">
        <v>53</v>
      </c>
    </row>
    <row r="5189" spans="2:42" x14ac:dyDescent="0.2">
      <c r="B5189" t="s">
        <v>44</v>
      </c>
      <c r="C5189" t="str">
        <f>HYPERLINK("https://us2.cloudbeds.com/connect/8493803454333002#/reservations/9080486846205729?display=2GH8JFYM30&amp;reservation_id=9080486846205729", "2GH8JFYM30")</f>
        <v>2GH8JFYM30</v>
      </c>
      <c r="D5189" t="s">
        <v>45</v>
      </c>
      <c r="E5189" t="s">
        <v>110</v>
      </c>
      <c r="F5189" t="s">
        <v>47</v>
      </c>
      <c r="G5189" t="s">
        <v>48</v>
      </c>
      <c r="H5189" t="s">
        <v>49</v>
      </c>
      <c r="I5189" t="s">
        <v>50</v>
      </c>
      <c r="J5189" t="s">
        <v>7872</v>
      </c>
      <c r="K5189" t="s">
        <v>7276</v>
      </c>
      <c r="L5189" t="s">
        <v>53</v>
      </c>
      <c r="N5189" t="s">
        <v>9173</v>
      </c>
      <c r="P5189" t="s">
        <v>55</v>
      </c>
      <c r="R5189" t="s">
        <v>53</v>
      </c>
      <c r="T5189" t="s">
        <v>9174</v>
      </c>
      <c r="U5189" t="s">
        <v>58</v>
      </c>
      <c r="V5189">
        <v>1</v>
      </c>
      <c r="W5189">
        <v>1</v>
      </c>
      <c r="X5189">
        <v>1</v>
      </c>
      <c r="Y5189">
        <v>0</v>
      </c>
      <c r="Z5189">
        <v>1</v>
      </c>
      <c r="AA5189">
        <v>121.72</v>
      </c>
      <c r="AB5189">
        <v>121.72</v>
      </c>
      <c r="AC5189">
        <v>107.1</v>
      </c>
      <c r="AD5189">
        <v>0</v>
      </c>
      <c r="AE5189">
        <v>14.62</v>
      </c>
      <c r="AF5189">
        <v>0</v>
      </c>
      <c r="AG5189">
        <v>0</v>
      </c>
      <c r="AH5189">
        <v>0</v>
      </c>
      <c r="AI5189">
        <v>21.91</v>
      </c>
      <c r="AJ5189">
        <v>121.72</v>
      </c>
      <c r="AK5189">
        <v>0</v>
      </c>
      <c r="AL5189" t="s">
        <v>53</v>
      </c>
      <c r="AM5189" t="s">
        <v>53</v>
      </c>
      <c r="AN5189" t="s">
        <v>53</v>
      </c>
      <c r="AO5189" t="s">
        <v>53</v>
      </c>
      <c r="AP5189" t="s">
        <v>53</v>
      </c>
    </row>
    <row r="5190" spans="2:42" x14ac:dyDescent="0.2">
      <c r="B5190" t="s">
        <v>44</v>
      </c>
      <c r="C5190" t="str">
        <f>HYPERLINK("https://us2.cloudbeds.com/connect/8493803454333002#/reservations/9080486846205755?display=2GHA42388F&amp;reservation_id=9080486846205755", "2GHA42388F")</f>
        <v>2GHA42388F</v>
      </c>
      <c r="D5190" t="s">
        <v>45</v>
      </c>
      <c r="E5190" t="s">
        <v>190</v>
      </c>
      <c r="F5190" t="s">
        <v>61</v>
      </c>
      <c r="G5190" t="s">
        <v>48</v>
      </c>
      <c r="H5190" t="s">
        <v>49</v>
      </c>
      <c r="I5190" t="s">
        <v>50</v>
      </c>
      <c r="J5190" t="s">
        <v>7276</v>
      </c>
      <c r="K5190" t="s">
        <v>7861</v>
      </c>
      <c r="L5190" t="s">
        <v>53</v>
      </c>
      <c r="N5190" t="s">
        <v>9175</v>
      </c>
      <c r="P5190" t="s">
        <v>55</v>
      </c>
      <c r="R5190" t="s">
        <v>53</v>
      </c>
      <c r="T5190" t="s">
        <v>9176</v>
      </c>
      <c r="U5190" t="s">
        <v>58</v>
      </c>
      <c r="V5190">
        <v>1</v>
      </c>
      <c r="W5190">
        <v>1</v>
      </c>
      <c r="X5190">
        <v>1</v>
      </c>
      <c r="Y5190">
        <v>0</v>
      </c>
      <c r="Z5190">
        <v>1</v>
      </c>
      <c r="AA5190">
        <v>176.95</v>
      </c>
      <c r="AB5190">
        <v>176.95</v>
      </c>
      <c r="AC5190">
        <v>155.69999999999999</v>
      </c>
      <c r="AD5190">
        <v>0</v>
      </c>
      <c r="AE5190">
        <v>21.25</v>
      </c>
      <c r="AF5190">
        <v>0</v>
      </c>
      <c r="AG5190">
        <v>0</v>
      </c>
      <c r="AH5190">
        <v>0</v>
      </c>
      <c r="AI5190">
        <v>31.85</v>
      </c>
      <c r="AJ5190">
        <v>176.95</v>
      </c>
      <c r="AK5190">
        <v>0</v>
      </c>
      <c r="AL5190" t="s">
        <v>53</v>
      </c>
      <c r="AM5190" t="s">
        <v>53</v>
      </c>
      <c r="AN5190" t="s">
        <v>53</v>
      </c>
      <c r="AO5190" t="s">
        <v>53</v>
      </c>
      <c r="AP5190" t="s">
        <v>53</v>
      </c>
    </row>
    <row r="5191" spans="2:42" x14ac:dyDescent="0.2">
      <c r="B5191" t="s">
        <v>44</v>
      </c>
      <c r="C5191" t="str">
        <f>HYPERLINK("https://us2.cloudbeds.com/connect/8493803454333002#/reservations/9080486846205813?display=2GHBW7DATT&amp;reservation_id=9080486846205813", "2GHBW7DATT")</f>
        <v>2GHBW7DATT</v>
      </c>
      <c r="D5191" t="s">
        <v>45</v>
      </c>
      <c r="E5191" t="s">
        <v>92</v>
      </c>
      <c r="F5191" t="s">
        <v>86</v>
      </c>
      <c r="G5191" t="s">
        <v>48</v>
      </c>
      <c r="H5191" t="s">
        <v>49</v>
      </c>
      <c r="I5191" t="s">
        <v>50</v>
      </c>
      <c r="J5191" t="s">
        <v>7861</v>
      </c>
      <c r="K5191" t="s">
        <v>7302</v>
      </c>
      <c r="L5191" t="s">
        <v>53</v>
      </c>
      <c r="N5191" t="s">
        <v>9177</v>
      </c>
      <c r="P5191" t="s">
        <v>55</v>
      </c>
      <c r="R5191" t="s">
        <v>53</v>
      </c>
      <c r="T5191" t="s">
        <v>9178</v>
      </c>
      <c r="U5191" t="s">
        <v>58</v>
      </c>
      <c r="V5191">
        <v>1</v>
      </c>
      <c r="W5191">
        <v>1</v>
      </c>
      <c r="X5191">
        <v>2</v>
      </c>
      <c r="Y5191">
        <v>0</v>
      </c>
      <c r="Z5191">
        <v>2</v>
      </c>
      <c r="AA5191">
        <v>189.23</v>
      </c>
      <c r="AB5191">
        <v>189.23</v>
      </c>
      <c r="AC5191">
        <v>166.5</v>
      </c>
      <c r="AD5191">
        <v>0</v>
      </c>
      <c r="AE5191">
        <v>22.73</v>
      </c>
      <c r="AF5191">
        <v>0</v>
      </c>
      <c r="AG5191">
        <v>0</v>
      </c>
      <c r="AH5191">
        <v>0</v>
      </c>
      <c r="AI5191">
        <v>34.06</v>
      </c>
      <c r="AJ5191">
        <v>189.23</v>
      </c>
      <c r="AK5191">
        <v>0</v>
      </c>
      <c r="AL5191" t="s">
        <v>53</v>
      </c>
      <c r="AM5191" t="s">
        <v>53</v>
      </c>
      <c r="AN5191" t="s">
        <v>53</v>
      </c>
      <c r="AO5191" t="s">
        <v>53</v>
      </c>
      <c r="AP5191" t="s">
        <v>53</v>
      </c>
    </row>
    <row r="5192" spans="2:42" x14ac:dyDescent="0.2">
      <c r="B5192" t="s">
        <v>44</v>
      </c>
      <c r="C5192" t="str">
        <f>HYPERLINK("https://us2.cloudbeds.com/connect/8493803454333002#/reservations/9080486846205869?display=2GHAQHNPT7&amp;reservation_id=9080486846205869", "2GHAQHNPT7")</f>
        <v>2GHAQHNPT7</v>
      </c>
      <c r="D5192" t="s">
        <v>45</v>
      </c>
      <c r="E5192" t="s">
        <v>406</v>
      </c>
      <c r="F5192" t="s">
        <v>61</v>
      </c>
      <c r="G5192" t="s">
        <v>48</v>
      </c>
      <c r="H5192" t="s">
        <v>49</v>
      </c>
      <c r="I5192" t="s">
        <v>50</v>
      </c>
      <c r="J5192" t="s">
        <v>7872</v>
      </c>
      <c r="K5192" t="s">
        <v>7276</v>
      </c>
      <c r="L5192" t="s">
        <v>53</v>
      </c>
      <c r="N5192" t="s">
        <v>9179</v>
      </c>
      <c r="P5192" t="s">
        <v>55</v>
      </c>
      <c r="R5192" t="s">
        <v>53</v>
      </c>
      <c r="T5192" t="s">
        <v>9180</v>
      </c>
      <c r="U5192" t="s">
        <v>58</v>
      </c>
      <c r="V5192">
        <v>1</v>
      </c>
      <c r="W5192">
        <v>1</v>
      </c>
      <c r="X5192">
        <v>1</v>
      </c>
      <c r="Y5192">
        <v>0</v>
      </c>
      <c r="Z5192">
        <v>1</v>
      </c>
      <c r="AA5192">
        <v>114.56</v>
      </c>
      <c r="AB5192">
        <v>114.56</v>
      </c>
      <c r="AC5192">
        <v>100.8</v>
      </c>
      <c r="AD5192">
        <v>0</v>
      </c>
      <c r="AE5192">
        <v>13.76</v>
      </c>
      <c r="AF5192">
        <v>0</v>
      </c>
      <c r="AG5192">
        <v>0</v>
      </c>
      <c r="AH5192">
        <v>0</v>
      </c>
      <c r="AI5192">
        <v>20.62</v>
      </c>
      <c r="AJ5192">
        <v>114.56</v>
      </c>
      <c r="AK5192">
        <v>0</v>
      </c>
      <c r="AL5192" t="s">
        <v>53</v>
      </c>
      <c r="AM5192" t="s">
        <v>53</v>
      </c>
      <c r="AN5192" t="s">
        <v>53</v>
      </c>
      <c r="AO5192" t="s">
        <v>53</v>
      </c>
      <c r="AP5192" t="s">
        <v>53</v>
      </c>
    </row>
    <row r="5193" spans="2:42" x14ac:dyDescent="0.2">
      <c r="B5193" t="s">
        <v>44</v>
      </c>
      <c r="C5193" t="str">
        <f>HYPERLINK("https://us2.cloudbeds.com/connect/8493803454333002#/reservations/116071602467039?display=2GHGNFNYQV&amp;reservation_id=116071602467039", "2GHGNFNYQV")</f>
        <v>2GHGNFNYQV</v>
      </c>
      <c r="D5193" t="s">
        <v>45</v>
      </c>
      <c r="E5193" t="s">
        <v>381</v>
      </c>
      <c r="F5193" t="s">
        <v>47</v>
      </c>
      <c r="G5193" t="s">
        <v>48</v>
      </c>
      <c r="H5193" t="s">
        <v>3957</v>
      </c>
      <c r="I5193" t="s">
        <v>3958</v>
      </c>
      <c r="J5193" t="s">
        <v>7414</v>
      </c>
      <c r="K5193" t="s">
        <v>7861</v>
      </c>
      <c r="L5193" t="s">
        <v>53</v>
      </c>
      <c r="P5193" t="s">
        <v>55</v>
      </c>
      <c r="R5193" t="s">
        <v>56</v>
      </c>
      <c r="T5193" t="s">
        <v>9181</v>
      </c>
      <c r="U5193" t="s">
        <v>58</v>
      </c>
      <c r="V5193">
        <v>3</v>
      </c>
      <c r="W5193">
        <v>1</v>
      </c>
      <c r="X5193">
        <v>1</v>
      </c>
      <c r="Y5193">
        <v>0</v>
      </c>
      <c r="Z5193">
        <v>1</v>
      </c>
      <c r="AA5193">
        <v>497.8</v>
      </c>
      <c r="AB5193">
        <v>497.8</v>
      </c>
      <c r="AC5193">
        <v>438</v>
      </c>
      <c r="AD5193">
        <v>0</v>
      </c>
      <c r="AE5193">
        <v>59.8</v>
      </c>
      <c r="AF5193">
        <v>0</v>
      </c>
      <c r="AG5193">
        <v>0</v>
      </c>
      <c r="AH5193">
        <v>0</v>
      </c>
      <c r="AI5193">
        <v>0</v>
      </c>
      <c r="AJ5193">
        <v>497.8</v>
      </c>
      <c r="AK5193">
        <v>0</v>
      </c>
      <c r="AL5193" t="s">
        <v>53</v>
      </c>
      <c r="AM5193" t="s">
        <v>53</v>
      </c>
      <c r="AN5193" t="s">
        <v>53</v>
      </c>
      <c r="AO5193" t="s">
        <v>53</v>
      </c>
      <c r="AP5193" t="s">
        <v>53</v>
      </c>
    </row>
    <row r="5194" spans="2:42" x14ac:dyDescent="0.2">
      <c r="B5194" t="s">
        <v>44</v>
      </c>
      <c r="C5194" t="str">
        <f>HYPERLINK("https://us2.cloudbeds.com/connect/8493803454333002#/reservations/9080486846206121?display=2GHPDUGZ9W&amp;reservation_id=9080486846206121", "2GHPDUGZ9W")</f>
        <v>2GHPDUGZ9W</v>
      </c>
      <c r="D5194" t="s">
        <v>45</v>
      </c>
      <c r="E5194" t="s">
        <v>213</v>
      </c>
      <c r="F5194" t="s">
        <v>86</v>
      </c>
      <c r="G5194" t="s">
        <v>48</v>
      </c>
      <c r="H5194" t="s">
        <v>49</v>
      </c>
      <c r="I5194" t="s">
        <v>50</v>
      </c>
      <c r="J5194" t="s">
        <v>7302</v>
      </c>
      <c r="K5194" t="s">
        <v>5593</v>
      </c>
      <c r="L5194" t="s">
        <v>53</v>
      </c>
      <c r="N5194" t="s">
        <v>9182</v>
      </c>
      <c r="P5194" t="s">
        <v>55</v>
      </c>
      <c r="R5194" t="s">
        <v>53</v>
      </c>
      <c r="T5194" t="s">
        <v>9183</v>
      </c>
      <c r="U5194" t="s">
        <v>58</v>
      </c>
      <c r="V5194">
        <v>1</v>
      </c>
      <c r="W5194">
        <v>1</v>
      </c>
      <c r="X5194">
        <v>2</v>
      </c>
      <c r="Y5194">
        <v>0</v>
      </c>
      <c r="Z5194">
        <v>2</v>
      </c>
      <c r="AA5194">
        <v>194.35</v>
      </c>
      <c r="AB5194">
        <v>194.35</v>
      </c>
      <c r="AC5194">
        <v>171</v>
      </c>
      <c r="AD5194">
        <v>0</v>
      </c>
      <c r="AE5194">
        <v>23.35</v>
      </c>
      <c r="AF5194">
        <v>0</v>
      </c>
      <c r="AG5194">
        <v>0</v>
      </c>
      <c r="AH5194">
        <v>0</v>
      </c>
      <c r="AI5194">
        <v>34.979999999999997</v>
      </c>
      <c r="AJ5194">
        <v>194.35</v>
      </c>
      <c r="AK5194">
        <v>0</v>
      </c>
      <c r="AL5194" t="s">
        <v>53</v>
      </c>
      <c r="AM5194" t="s">
        <v>53</v>
      </c>
      <c r="AN5194" t="s">
        <v>53</v>
      </c>
      <c r="AO5194" t="s">
        <v>53</v>
      </c>
      <c r="AP5194" t="s">
        <v>53</v>
      </c>
    </row>
    <row r="5195" spans="2:42" x14ac:dyDescent="0.2">
      <c r="B5195" t="s">
        <v>44</v>
      </c>
      <c r="C5195" t="str">
        <f>HYPERLINK("https://us2.cloudbeds.com/connect/8493803454333002#/reservations/9080486846206205?display=2GHVH8QKKY&amp;reservation_id=9080486846206205", "2GHVH8QKKY")</f>
        <v>2GHVH8QKKY</v>
      </c>
      <c r="D5195" t="s">
        <v>45</v>
      </c>
      <c r="E5195" t="s">
        <v>138</v>
      </c>
      <c r="F5195" t="s">
        <v>70</v>
      </c>
      <c r="G5195" t="s">
        <v>48</v>
      </c>
      <c r="H5195" t="s">
        <v>49</v>
      </c>
      <c r="I5195" t="s">
        <v>50</v>
      </c>
      <c r="J5195" t="s">
        <v>7302</v>
      </c>
      <c r="K5195" t="s">
        <v>5593</v>
      </c>
      <c r="L5195" t="s">
        <v>53</v>
      </c>
      <c r="N5195" t="s">
        <v>9184</v>
      </c>
      <c r="P5195" t="s">
        <v>55</v>
      </c>
      <c r="R5195" t="s">
        <v>53</v>
      </c>
      <c r="T5195" t="s">
        <v>9185</v>
      </c>
      <c r="U5195" t="s">
        <v>58</v>
      </c>
      <c r="V5195">
        <v>1</v>
      </c>
      <c r="W5195">
        <v>1</v>
      </c>
      <c r="X5195">
        <v>2</v>
      </c>
      <c r="Y5195">
        <v>0</v>
      </c>
      <c r="Z5195">
        <v>2</v>
      </c>
      <c r="AA5195">
        <v>161.61000000000001</v>
      </c>
      <c r="AB5195">
        <v>161.61000000000001</v>
      </c>
      <c r="AC5195">
        <v>142.19999999999999</v>
      </c>
      <c r="AD5195">
        <v>0</v>
      </c>
      <c r="AE5195">
        <v>19.41</v>
      </c>
      <c r="AF5195">
        <v>0</v>
      </c>
      <c r="AG5195">
        <v>0</v>
      </c>
      <c r="AH5195">
        <v>0</v>
      </c>
      <c r="AI5195">
        <v>29.09</v>
      </c>
      <c r="AJ5195">
        <v>161.61000000000001</v>
      </c>
      <c r="AK5195">
        <v>0</v>
      </c>
      <c r="AL5195" t="s">
        <v>53</v>
      </c>
      <c r="AM5195" t="s">
        <v>53</v>
      </c>
      <c r="AN5195" t="s">
        <v>53</v>
      </c>
      <c r="AO5195" t="s">
        <v>53</v>
      </c>
      <c r="AP5195" t="s">
        <v>53</v>
      </c>
    </row>
    <row r="5196" spans="2:42" x14ac:dyDescent="0.2">
      <c r="B5196" t="s">
        <v>44</v>
      </c>
      <c r="C5196" t="str">
        <f>HYPERLINK("https://us2.cloudbeds.com/connect/8493803454333002#/reservations/9080486846206357?display=2GX6Q2YG6T&amp;reservation_id=9080486846206357", "2GX6Q2YG6T")</f>
        <v>2GX6Q2YG6T</v>
      </c>
      <c r="D5196" t="s">
        <v>45</v>
      </c>
      <c r="E5196" t="s">
        <v>69</v>
      </c>
      <c r="F5196" t="s">
        <v>70</v>
      </c>
      <c r="G5196" t="s">
        <v>48</v>
      </c>
      <c r="H5196" t="s">
        <v>49</v>
      </c>
      <c r="I5196" t="s">
        <v>62</v>
      </c>
      <c r="J5196" t="s">
        <v>8367</v>
      </c>
      <c r="K5196" t="s">
        <v>4008</v>
      </c>
      <c r="L5196" t="s">
        <v>53</v>
      </c>
      <c r="N5196" t="s">
        <v>9186</v>
      </c>
      <c r="P5196" t="s">
        <v>55</v>
      </c>
      <c r="R5196" t="s">
        <v>56</v>
      </c>
      <c r="T5196" t="s">
        <v>9187</v>
      </c>
      <c r="U5196" t="s">
        <v>55</v>
      </c>
      <c r="V5196">
        <v>3</v>
      </c>
      <c r="W5196">
        <v>1</v>
      </c>
      <c r="X5196">
        <v>2</v>
      </c>
      <c r="Y5196">
        <v>0</v>
      </c>
      <c r="Z5196">
        <v>2</v>
      </c>
      <c r="AA5196">
        <v>413</v>
      </c>
      <c r="AB5196">
        <v>413</v>
      </c>
      <c r="AC5196">
        <v>413</v>
      </c>
      <c r="AD5196">
        <v>0</v>
      </c>
      <c r="AE5196">
        <v>0</v>
      </c>
      <c r="AF5196">
        <v>0</v>
      </c>
      <c r="AG5196">
        <v>0</v>
      </c>
      <c r="AH5196">
        <v>0</v>
      </c>
      <c r="AI5196">
        <v>74.34</v>
      </c>
      <c r="AJ5196">
        <v>413</v>
      </c>
      <c r="AK5196">
        <v>0</v>
      </c>
      <c r="AL5196" t="s">
        <v>53</v>
      </c>
      <c r="AM5196" t="s">
        <v>53</v>
      </c>
      <c r="AN5196" t="s">
        <v>53</v>
      </c>
      <c r="AO5196" t="s">
        <v>53</v>
      </c>
      <c r="AP5196" t="s">
        <v>53</v>
      </c>
    </row>
    <row r="5197" spans="2:42" x14ac:dyDescent="0.2">
      <c r="B5197" t="s">
        <v>44</v>
      </c>
      <c r="C5197" t="str">
        <f>HYPERLINK("https://us2.cloudbeds.com/connect/8493803454333002#/reservations/9080486846206370?display=2GX6DJPUZY&amp;reservation_id=9080486846206370", "2GX6DJPUZY")</f>
        <v>2GX6DJPUZY</v>
      </c>
      <c r="D5197" t="s">
        <v>45</v>
      </c>
      <c r="E5197" t="s">
        <v>4586</v>
      </c>
      <c r="F5197" t="s">
        <v>47</v>
      </c>
      <c r="G5197" t="s">
        <v>48</v>
      </c>
      <c r="H5197" t="s">
        <v>49</v>
      </c>
      <c r="I5197" t="s">
        <v>62</v>
      </c>
      <c r="J5197" t="s">
        <v>8053</v>
      </c>
      <c r="K5197" t="s">
        <v>7803</v>
      </c>
      <c r="L5197" t="s">
        <v>53</v>
      </c>
      <c r="N5197" t="s">
        <v>9188</v>
      </c>
      <c r="P5197" t="s">
        <v>55</v>
      </c>
      <c r="R5197" t="s">
        <v>56</v>
      </c>
      <c r="T5197" t="s">
        <v>9189</v>
      </c>
      <c r="U5197" t="s">
        <v>55</v>
      </c>
      <c r="V5197">
        <v>2</v>
      </c>
      <c r="W5197">
        <v>2</v>
      </c>
      <c r="X5197">
        <v>2</v>
      </c>
      <c r="Y5197">
        <v>0</v>
      </c>
      <c r="Z5197">
        <v>2</v>
      </c>
      <c r="AA5197">
        <v>256.5</v>
      </c>
      <c r="AB5197">
        <v>256.5</v>
      </c>
      <c r="AC5197">
        <v>256.5</v>
      </c>
      <c r="AD5197">
        <v>0</v>
      </c>
      <c r="AE5197">
        <v>0</v>
      </c>
      <c r="AF5197">
        <v>0</v>
      </c>
      <c r="AG5197">
        <v>0</v>
      </c>
      <c r="AH5197">
        <v>0</v>
      </c>
      <c r="AI5197">
        <v>46.17</v>
      </c>
      <c r="AJ5197">
        <v>256.5</v>
      </c>
      <c r="AK5197">
        <v>0</v>
      </c>
      <c r="AL5197" t="s">
        <v>53</v>
      </c>
      <c r="AM5197" t="s">
        <v>53</v>
      </c>
      <c r="AN5197" t="s">
        <v>53</v>
      </c>
      <c r="AO5197" t="s">
        <v>53</v>
      </c>
      <c r="AP5197" t="s">
        <v>53</v>
      </c>
    </row>
    <row r="5198" spans="2:42" x14ac:dyDescent="0.2">
      <c r="B5198" t="s">
        <v>44</v>
      </c>
      <c r="C5198" t="str">
        <f>HYPERLINK("https://us2.cloudbeds.com/connect/8493803454333002#/reservations/9080486846206435?display=2GX9C1N95U&amp;reservation_id=9080486846206435", "2GX9C1N95U")</f>
        <v>2GX9C1N95U</v>
      </c>
      <c r="D5198" t="s">
        <v>45</v>
      </c>
      <c r="E5198" t="s">
        <v>69</v>
      </c>
      <c r="F5198" t="s">
        <v>70</v>
      </c>
      <c r="G5198" t="s">
        <v>48</v>
      </c>
      <c r="H5198" t="s">
        <v>49</v>
      </c>
      <c r="I5198" t="s">
        <v>50</v>
      </c>
      <c r="J5198" t="s">
        <v>8300</v>
      </c>
      <c r="K5198" t="s">
        <v>8119</v>
      </c>
      <c r="L5198" t="s">
        <v>53</v>
      </c>
      <c r="N5198" t="s">
        <v>9190</v>
      </c>
      <c r="P5198" t="s">
        <v>55</v>
      </c>
      <c r="R5198" t="s">
        <v>53</v>
      </c>
      <c r="T5198" t="s">
        <v>9191</v>
      </c>
      <c r="U5198" t="s">
        <v>58</v>
      </c>
      <c r="V5198">
        <v>1</v>
      </c>
      <c r="W5198">
        <v>1</v>
      </c>
      <c r="X5198">
        <v>2</v>
      </c>
      <c r="Y5198">
        <v>0</v>
      </c>
      <c r="Z5198">
        <v>2</v>
      </c>
      <c r="AA5198">
        <v>138.96</v>
      </c>
      <c r="AB5198">
        <v>138.96</v>
      </c>
      <c r="AC5198">
        <v>122.26</v>
      </c>
      <c r="AD5198">
        <v>0</v>
      </c>
      <c r="AE5198">
        <v>16.7</v>
      </c>
      <c r="AF5198">
        <v>0</v>
      </c>
      <c r="AG5198">
        <v>0</v>
      </c>
      <c r="AH5198">
        <v>0</v>
      </c>
      <c r="AI5198">
        <v>25.01</v>
      </c>
      <c r="AJ5198">
        <v>138.96</v>
      </c>
      <c r="AK5198">
        <v>0</v>
      </c>
      <c r="AL5198" t="s">
        <v>53</v>
      </c>
      <c r="AM5198" t="s">
        <v>53</v>
      </c>
      <c r="AN5198" t="s">
        <v>53</v>
      </c>
      <c r="AO5198" t="s">
        <v>53</v>
      </c>
      <c r="AP5198" t="s">
        <v>53</v>
      </c>
    </row>
    <row r="5199" spans="2:42" x14ac:dyDescent="0.2">
      <c r="B5199" t="s">
        <v>44</v>
      </c>
      <c r="C5199" t="str">
        <f>HYPERLINK("https://us2.cloudbeds.com/connect/8493803454333002#/reservations/116105223807211?display=2GX9ZJ40E0&amp;reservation_id=116105223807211", "2GX9ZJ40E0")</f>
        <v>2GX9ZJ40E0</v>
      </c>
      <c r="D5199" t="s">
        <v>45</v>
      </c>
      <c r="E5199" t="s">
        <v>179</v>
      </c>
      <c r="F5199" t="s">
        <v>47</v>
      </c>
      <c r="G5199" t="s">
        <v>3974</v>
      </c>
      <c r="H5199" t="s">
        <v>3957</v>
      </c>
      <c r="I5199" t="s">
        <v>3975</v>
      </c>
      <c r="J5199" t="s">
        <v>7821</v>
      </c>
      <c r="K5199" t="s">
        <v>8133</v>
      </c>
      <c r="L5199" t="s">
        <v>53</v>
      </c>
      <c r="P5199" t="s">
        <v>55</v>
      </c>
      <c r="R5199" t="s">
        <v>53</v>
      </c>
      <c r="T5199" t="s">
        <v>9192</v>
      </c>
      <c r="U5199" t="s">
        <v>58</v>
      </c>
      <c r="V5199">
        <v>1</v>
      </c>
      <c r="W5199">
        <v>1</v>
      </c>
      <c r="X5199">
        <v>2</v>
      </c>
      <c r="Y5199">
        <v>0</v>
      </c>
      <c r="Z5199">
        <v>2</v>
      </c>
      <c r="AA5199">
        <v>175.99</v>
      </c>
      <c r="AB5199">
        <v>175.99</v>
      </c>
      <c r="AC5199">
        <v>154.85</v>
      </c>
      <c r="AD5199">
        <v>0</v>
      </c>
      <c r="AE5199">
        <v>21.14</v>
      </c>
      <c r="AF5199">
        <v>0</v>
      </c>
      <c r="AG5199">
        <v>0</v>
      </c>
      <c r="AH5199">
        <v>0</v>
      </c>
      <c r="AI5199">
        <v>0</v>
      </c>
      <c r="AJ5199">
        <v>175.99</v>
      </c>
      <c r="AK5199">
        <v>0</v>
      </c>
      <c r="AL5199" t="s">
        <v>53</v>
      </c>
      <c r="AM5199" t="s">
        <v>53</v>
      </c>
      <c r="AN5199" t="s">
        <v>53</v>
      </c>
      <c r="AO5199" t="s">
        <v>53</v>
      </c>
      <c r="AP5199" t="s">
        <v>53</v>
      </c>
    </row>
    <row r="5200" spans="2:42" x14ac:dyDescent="0.2">
      <c r="B5200" t="s">
        <v>44</v>
      </c>
      <c r="C5200" t="str">
        <f>HYPERLINK("https://us2.cloudbeds.com/connect/8493803454333002#/reservations/9080486846206745?display=2GXQ72YZQX&amp;reservation_id=9080486846206745", "2GXQ72YZQX")</f>
        <v>2GXQ72YZQX</v>
      </c>
      <c r="D5200" t="s">
        <v>45</v>
      </c>
      <c r="E5200" t="s">
        <v>179</v>
      </c>
      <c r="F5200" t="s">
        <v>47</v>
      </c>
      <c r="G5200" t="s">
        <v>48</v>
      </c>
      <c r="H5200" t="s">
        <v>49</v>
      </c>
      <c r="I5200" t="s">
        <v>62</v>
      </c>
      <c r="J5200" t="s">
        <v>5594</v>
      </c>
      <c r="K5200" t="s">
        <v>7706</v>
      </c>
      <c r="L5200" t="s">
        <v>53</v>
      </c>
      <c r="N5200" t="s">
        <v>9193</v>
      </c>
      <c r="P5200" t="s">
        <v>55</v>
      </c>
      <c r="R5200" t="s">
        <v>56</v>
      </c>
      <c r="T5200" t="s">
        <v>9194</v>
      </c>
      <c r="U5200" t="s">
        <v>55</v>
      </c>
      <c r="V5200">
        <v>1</v>
      </c>
      <c r="W5200">
        <v>1</v>
      </c>
      <c r="X5200">
        <v>1</v>
      </c>
      <c r="Y5200">
        <v>0</v>
      </c>
      <c r="Z5200">
        <v>1</v>
      </c>
      <c r="AA5200">
        <v>156</v>
      </c>
      <c r="AB5200">
        <v>156</v>
      </c>
      <c r="AC5200">
        <v>156</v>
      </c>
      <c r="AD5200">
        <v>0</v>
      </c>
      <c r="AE5200">
        <v>0</v>
      </c>
      <c r="AF5200">
        <v>0</v>
      </c>
      <c r="AG5200">
        <v>0</v>
      </c>
      <c r="AH5200">
        <v>0</v>
      </c>
      <c r="AI5200">
        <v>28.08</v>
      </c>
      <c r="AJ5200">
        <v>156</v>
      </c>
      <c r="AK5200">
        <v>0</v>
      </c>
      <c r="AL5200" t="s">
        <v>53</v>
      </c>
      <c r="AM5200" t="s">
        <v>53</v>
      </c>
      <c r="AN5200" t="s">
        <v>53</v>
      </c>
      <c r="AO5200" t="s">
        <v>53</v>
      </c>
      <c r="AP5200" t="s">
        <v>53</v>
      </c>
    </row>
    <row r="5201" spans="2:42" x14ac:dyDescent="0.2">
      <c r="B5201" t="s">
        <v>44</v>
      </c>
      <c r="C5201" t="str">
        <f>HYPERLINK("https://us2.cloudbeds.com/connect/8493803454333002#/reservations/9080486846206776?display=2GXSDTHZFP&amp;reservation_id=9080486846206776", "2GXSDTHZFP")</f>
        <v>2GXSDTHZFP</v>
      </c>
      <c r="D5201" t="s">
        <v>45</v>
      </c>
      <c r="E5201" t="s">
        <v>78</v>
      </c>
      <c r="F5201" t="s">
        <v>61</v>
      </c>
      <c r="G5201" t="s">
        <v>48</v>
      </c>
      <c r="H5201" t="s">
        <v>49</v>
      </c>
      <c r="I5201" t="s">
        <v>62</v>
      </c>
      <c r="J5201" t="s">
        <v>7302</v>
      </c>
      <c r="K5201" t="s">
        <v>5594</v>
      </c>
      <c r="L5201" t="s">
        <v>53</v>
      </c>
      <c r="N5201" t="s">
        <v>9195</v>
      </c>
      <c r="P5201" t="s">
        <v>55</v>
      </c>
      <c r="R5201" t="s">
        <v>56</v>
      </c>
      <c r="T5201" t="s">
        <v>9196</v>
      </c>
      <c r="U5201" t="s">
        <v>55</v>
      </c>
      <c r="V5201">
        <v>2</v>
      </c>
      <c r="W5201">
        <v>1</v>
      </c>
      <c r="X5201">
        <v>2</v>
      </c>
      <c r="Y5201">
        <v>0</v>
      </c>
      <c r="Z5201">
        <v>2</v>
      </c>
      <c r="AA5201">
        <v>364</v>
      </c>
      <c r="AB5201">
        <v>364</v>
      </c>
      <c r="AC5201">
        <v>364</v>
      </c>
      <c r="AD5201">
        <v>0</v>
      </c>
      <c r="AE5201">
        <v>0</v>
      </c>
      <c r="AF5201">
        <v>0</v>
      </c>
      <c r="AG5201">
        <v>0</v>
      </c>
      <c r="AH5201">
        <v>0</v>
      </c>
      <c r="AI5201">
        <v>65.52</v>
      </c>
      <c r="AJ5201">
        <v>364</v>
      </c>
      <c r="AK5201">
        <v>0</v>
      </c>
      <c r="AL5201" t="s">
        <v>53</v>
      </c>
      <c r="AM5201" t="s">
        <v>53</v>
      </c>
      <c r="AN5201" t="s">
        <v>53</v>
      </c>
      <c r="AO5201" t="s">
        <v>53</v>
      </c>
      <c r="AP5201" t="s">
        <v>53</v>
      </c>
    </row>
    <row r="5202" spans="2:42" x14ac:dyDescent="0.2">
      <c r="B5202" t="s">
        <v>44</v>
      </c>
      <c r="C5202" t="str">
        <f>HYPERLINK("https://us2.cloudbeds.com/connect/8493803454333002#/reservations/9080486846206778?display=2GXSA9UYFU&amp;reservation_id=9080486846206778", "2GXSA9UYFU")</f>
        <v>2GXSA9UYFU</v>
      </c>
      <c r="D5202" t="s">
        <v>45</v>
      </c>
      <c r="E5202" t="s">
        <v>46</v>
      </c>
      <c r="F5202" t="s">
        <v>47</v>
      </c>
      <c r="G5202" t="s">
        <v>48</v>
      </c>
      <c r="H5202" t="s">
        <v>49</v>
      </c>
      <c r="I5202" t="s">
        <v>50</v>
      </c>
      <c r="J5202" t="s">
        <v>8060</v>
      </c>
      <c r="K5202" t="s">
        <v>8670</v>
      </c>
      <c r="L5202" t="s">
        <v>53</v>
      </c>
      <c r="N5202" t="s">
        <v>9197</v>
      </c>
      <c r="P5202" t="s">
        <v>55</v>
      </c>
      <c r="R5202" t="s">
        <v>53</v>
      </c>
      <c r="T5202" t="s">
        <v>9198</v>
      </c>
      <c r="U5202" t="s">
        <v>58</v>
      </c>
      <c r="V5202">
        <v>2</v>
      </c>
      <c r="W5202">
        <v>1</v>
      </c>
      <c r="X5202">
        <v>2</v>
      </c>
      <c r="Y5202">
        <v>0</v>
      </c>
      <c r="Z5202">
        <v>2</v>
      </c>
      <c r="AA5202">
        <v>413.46</v>
      </c>
      <c r="AB5202">
        <v>415.46</v>
      </c>
      <c r="AC5202">
        <v>365.8</v>
      </c>
      <c r="AD5202">
        <v>0</v>
      </c>
      <c r="AE5202">
        <v>49.66</v>
      </c>
      <c r="AF5202">
        <v>0</v>
      </c>
      <c r="AG5202">
        <v>0</v>
      </c>
      <c r="AH5202">
        <v>0</v>
      </c>
      <c r="AI5202">
        <v>74.78</v>
      </c>
      <c r="AJ5202">
        <v>415.46</v>
      </c>
      <c r="AK5202">
        <v>0</v>
      </c>
      <c r="AL5202" t="s">
        <v>53</v>
      </c>
      <c r="AM5202" t="s">
        <v>53</v>
      </c>
      <c r="AN5202" t="s">
        <v>53</v>
      </c>
      <c r="AO5202" t="s">
        <v>53</v>
      </c>
      <c r="AP5202" t="s">
        <v>53</v>
      </c>
    </row>
    <row r="5203" spans="2:42" x14ac:dyDescent="0.2">
      <c r="B5203" t="s">
        <v>44</v>
      </c>
      <c r="C5203" t="str">
        <f>HYPERLINK("https://us2.cloudbeds.com/connect/8493803454333002#/reservations/9080486846206843?display=2GJ03SH95U&amp;reservation_id=9080486846206843", "2GJ03SH95U")</f>
        <v>2GJ03SH95U</v>
      </c>
      <c r="D5203" t="s">
        <v>45</v>
      </c>
      <c r="E5203" t="s">
        <v>305</v>
      </c>
      <c r="F5203" t="s">
        <v>61</v>
      </c>
      <c r="G5203" t="s">
        <v>48</v>
      </c>
      <c r="H5203" t="s">
        <v>49</v>
      </c>
      <c r="I5203" t="s">
        <v>50</v>
      </c>
      <c r="J5203" t="s">
        <v>7872</v>
      </c>
      <c r="K5203" t="s">
        <v>7276</v>
      </c>
      <c r="L5203" t="s">
        <v>53</v>
      </c>
      <c r="N5203" t="s">
        <v>9199</v>
      </c>
      <c r="P5203" t="s">
        <v>55</v>
      </c>
      <c r="R5203" t="s">
        <v>53</v>
      </c>
      <c r="T5203" t="s">
        <v>9200</v>
      </c>
      <c r="U5203" t="s">
        <v>58</v>
      </c>
      <c r="V5203">
        <v>1</v>
      </c>
      <c r="W5203">
        <v>1</v>
      </c>
      <c r="X5203">
        <v>1</v>
      </c>
      <c r="Y5203">
        <v>0</v>
      </c>
      <c r="Z5203">
        <v>1</v>
      </c>
      <c r="AA5203">
        <v>114.56</v>
      </c>
      <c r="AB5203">
        <v>114.56</v>
      </c>
      <c r="AC5203">
        <v>100.8</v>
      </c>
      <c r="AD5203">
        <v>0</v>
      </c>
      <c r="AE5203">
        <v>13.76</v>
      </c>
      <c r="AF5203">
        <v>0</v>
      </c>
      <c r="AG5203">
        <v>0</v>
      </c>
      <c r="AH5203">
        <v>0</v>
      </c>
      <c r="AI5203">
        <v>20.62</v>
      </c>
      <c r="AJ5203">
        <v>114.56</v>
      </c>
      <c r="AK5203">
        <v>0</v>
      </c>
      <c r="AL5203" t="s">
        <v>53</v>
      </c>
      <c r="AM5203" t="s">
        <v>53</v>
      </c>
      <c r="AN5203" t="s">
        <v>53</v>
      </c>
      <c r="AO5203" t="s">
        <v>53</v>
      </c>
      <c r="AP5203" t="s">
        <v>53</v>
      </c>
    </row>
    <row r="5204" spans="2:42" x14ac:dyDescent="0.2">
      <c r="B5204" t="s">
        <v>44</v>
      </c>
      <c r="C5204" t="str">
        <f>HYPERLINK("https://us2.cloudbeds.com/connect/8493803454333002#/reservations/9080486846206845?display=2GXVUR8MFQ&amp;reservation_id=9080486846206845", "2GXVUR8MFQ")</f>
        <v>2GXVUR8MFQ</v>
      </c>
      <c r="D5204" t="s">
        <v>45</v>
      </c>
      <c r="E5204" t="s">
        <v>9201</v>
      </c>
      <c r="F5204" t="s">
        <v>47</v>
      </c>
      <c r="G5204" t="s">
        <v>48</v>
      </c>
      <c r="H5204" t="s">
        <v>49</v>
      </c>
      <c r="I5204" t="s">
        <v>62</v>
      </c>
      <c r="J5204" t="s">
        <v>7872</v>
      </c>
      <c r="K5204" t="s">
        <v>7276</v>
      </c>
      <c r="L5204" t="s">
        <v>53</v>
      </c>
      <c r="N5204" t="s">
        <v>9202</v>
      </c>
      <c r="P5204" t="s">
        <v>55</v>
      </c>
      <c r="R5204" t="s">
        <v>56</v>
      </c>
      <c r="T5204" t="s">
        <v>9203</v>
      </c>
      <c r="U5204" t="s">
        <v>55</v>
      </c>
      <c r="V5204">
        <v>2</v>
      </c>
      <c r="W5204">
        <v>2</v>
      </c>
      <c r="X5204">
        <v>2</v>
      </c>
      <c r="Y5204">
        <v>0</v>
      </c>
      <c r="Z5204">
        <v>2</v>
      </c>
      <c r="AA5204">
        <v>245</v>
      </c>
      <c r="AB5204">
        <v>245</v>
      </c>
      <c r="AC5204">
        <v>245</v>
      </c>
      <c r="AD5204">
        <v>0</v>
      </c>
      <c r="AE5204">
        <v>0</v>
      </c>
      <c r="AF5204">
        <v>0</v>
      </c>
      <c r="AG5204">
        <v>0</v>
      </c>
      <c r="AH5204">
        <v>0</v>
      </c>
      <c r="AI5204">
        <v>44.1</v>
      </c>
      <c r="AJ5204">
        <v>245</v>
      </c>
      <c r="AK5204">
        <v>0</v>
      </c>
      <c r="AL5204" t="s">
        <v>53</v>
      </c>
      <c r="AM5204" t="s">
        <v>53</v>
      </c>
      <c r="AN5204" t="s">
        <v>53</v>
      </c>
      <c r="AO5204" t="s">
        <v>53</v>
      </c>
      <c r="AP5204" t="s">
        <v>53</v>
      </c>
    </row>
    <row r="5205" spans="2:42" x14ac:dyDescent="0.2">
      <c r="B5205" t="s">
        <v>44</v>
      </c>
      <c r="C5205" t="str">
        <f>HYPERLINK("https://us2.cloudbeds.com/connect/8493803454333002#/reservations/9080486846206892?display=2GJ1KRX0TF&amp;reservation_id=9080486846206892", "2GJ1KRX0TF")</f>
        <v>2GJ1KRX0TF</v>
      </c>
      <c r="D5205" t="s">
        <v>45</v>
      </c>
      <c r="E5205" t="s">
        <v>155</v>
      </c>
      <c r="F5205" t="s">
        <v>86</v>
      </c>
      <c r="G5205" t="s">
        <v>48</v>
      </c>
      <c r="H5205" t="s">
        <v>49</v>
      </c>
      <c r="I5205" t="s">
        <v>50</v>
      </c>
      <c r="J5205" t="s">
        <v>7872</v>
      </c>
      <c r="K5205" t="s">
        <v>7276</v>
      </c>
      <c r="L5205" t="s">
        <v>53</v>
      </c>
      <c r="N5205" t="s">
        <v>9204</v>
      </c>
      <c r="P5205" t="s">
        <v>55</v>
      </c>
      <c r="R5205" t="s">
        <v>53</v>
      </c>
      <c r="T5205" t="s">
        <v>9205</v>
      </c>
      <c r="U5205" t="s">
        <v>58</v>
      </c>
      <c r="V5205">
        <v>1</v>
      </c>
      <c r="W5205">
        <v>1</v>
      </c>
      <c r="X5205">
        <v>2</v>
      </c>
      <c r="Y5205">
        <v>0</v>
      </c>
      <c r="Z5205">
        <v>2</v>
      </c>
      <c r="AA5205">
        <v>136.03</v>
      </c>
      <c r="AB5205">
        <v>136.03</v>
      </c>
      <c r="AC5205">
        <v>119.7</v>
      </c>
      <c r="AD5205">
        <v>0</v>
      </c>
      <c r="AE5205">
        <v>16.329999999999998</v>
      </c>
      <c r="AF5205">
        <v>0</v>
      </c>
      <c r="AG5205">
        <v>0</v>
      </c>
      <c r="AH5205">
        <v>0</v>
      </c>
      <c r="AI5205">
        <v>24.49</v>
      </c>
      <c r="AJ5205">
        <v>136.03</v>
      </c>
      <c r="AK5205">
        <v>0</v>
      </c>
      <c r="AL5205" t="s">
        <v>53</v>
      </c>
      <c r="AM5205" t="s">
        <v>53</v>
      </c>
      <c r="AN5205" t="s">
        <v>53</v>
      </c>
      <c r="AO5205" t="s">
        <v>53</v>
      </c>
      <c r="AP5205" t="s">
        <v>53</v>
      </c>
    </row>
    <row r="5206" spans="2:42" x14ac:dyDescent="0.2">
      <c r="B5206" t="s">
        <v>44</v>
      </c>
      <c r="C5206" t="str">
        <f>HYPERLINK("https://us2.cloudbeds.com/connect/8493803454333002#/reservations/9080486846206941?display=2GJ43VQ2KK&amp;reservation_id=9080486846206941", "2GJ43VQ2KK")</f>
        <v>2GJ43VQ2KK</v>
      </c>
      <c r="D5206" t="s">
        <v>45</v>
      </c>
      <c r="E5206" t="s">
        <v>190</v>
      </c>
      <c r="F5206" t="s">
        <v>61</v>
      </c>
      <c r="G5206" t="s">
        <v>48</v>
      </c>
      <c r="H5206" t="s">
        <v>49</v>
      </c>
      <c r="I5206" t="s">
        <v>50</v>
      </c>
      <c r="J5206" t="s">
        <v>7302</v>
      </c>
      <c r="K5206" t="s">
        <v>5594</v>
      </c>
      <c r="L5206" t="s">
        <v>53</v>
      </c>
      <c r="N5206" t="s">
        <v>9206</v>
      </c>
      <c r="P5206" t="s">
        <v>55</v>
      </c>
      <c r="R5206" t="s">
        <v>53</v>
      </c>
      <c r="T5206" t="s">
        <v>9207</v>
      </c>
      <c r="U5206" t="s">
        <v>58</v>
      </c>
      <c r="V5206">
        <v>2</v>
      </c>
      <c r="W5206">
        <v>1</v>
      </c>
      <c r="X5206">
        <v>1</v>
      </c>
      <c r="Y5206">
        <v>0</v>
      </c>
      <c r="Z5206">
        <v>1</v>
      </c>
      <c r="AA5206">
        <v>347.77</v>
      </c>
      <c r="AB5206">
        <v>347.77</v>
      </c>
      <c r="AC5206">
        <v>306</v>
      </c>
      <c r="AD5206">
        <v>0</v>
      </c>
      <c r="AE5206">
        <v>41.77</v>
      </c>
      <c r="AF5206">
        <v>0</v>
      </c>
      <c r="AG5206">
        <v>0</v>
      </c>
      <c r="AH5206">
        <v>0</v>
      </c>
      <c r="AI5206">
        <v>62.6</v>
      </c>
      <c r="AJ5206">
        <v>347.77</v>
      </c>
      <c r="AK5206">
        <v>0</v>
      </c>
      <c r="AL5206" t="s">
        <v>53</v>
      </c>
      <c r="AM5206" t="s">
        <v>53</v>
      </c>
      <c r="AN5206" t="s">
        <v>53</v>
      </c>
      <c r="AO5206" t="s">
        <v>53</v>
      </c>
      <c r="AP5206" t="s">
        <v>53</v>
      </c>
    </row>
    <row r="5207" spans="2:42" x14ac:dyDescent="0.2">
      <c r="B5207" t="s">
        <v>44</v>
      </c>
      <c r="C5207" t="str">
        <f>HYPERLINK("https://us2.cloudbeds.com/connect/8493803454333002#/reservations/9080486846207025?display=2GJ9W2KBSG&amp;reservation_id=9080486846207025", "2GJ9W2KBSG")</f>
        <v>2GJ9W2KBSG</v>
      </c>
      <c r="D5207" t="s">
        <v>45</v>
      </c>
      <c r="E5207" t="s">
        <v>128</v>
      </c>
      <c r="F5207" t="s">
        <v>86</v>
      </c>
      <c r="G5207" t="s">
        <v>48</v>
      </c>
      <c r="H5207" t="s">
        <v>49</v>
      </c>
      <c r="I5207" t="s">
        <v>50</v>
      </c>
      <c r="J5207" t="s">
        <v>8060</v>
      </c>
      <c r="K5207" t="s">
        <v>7967</v>
      </c>
      <c r="L5207" t="s">
        <v>53</v>
      </c>
      <c r="N5207" t="s">
        <v>9208</v>
      </c>
      <c r="P5207" t="s">
        <v>55</v>
      </c>
      <c r="R5207" t="s">
        <v>53</v>
      </c>
      <c r="T5207" t="s">
        <v>9209</v>
      </c>
      <c r="U5207" t="s">
        <v>58</v>
      </c>
      <c r="V5207">
        <v>1</v>
      </c>
      <c r="W5207">
        <v>1</v>
      </c>
      <c r="X5207">
        <v>3</v>
      </c>
      <c r="Y5207">
        <v>0</v>
      </c>
      <c r="Z5207">
        <v>3</v>
      </c>
      <c r="AA5207">
        <v>130.43</v>
      </c>
      <c r="AB5207">
        <v>130.43</v>
      </c>
      <c r="AC5207">
        <v>114.76</v>
      </c>
      <c r="AD5207">
        <v>0</v>
      </c>
      <c r="AE5207">
        <v>15.67</v>
      </c>
      <c r="AF5207">
        <v>0</v>
      </c>
      <c r="AG5207">
        <v>0</v>
      </c>
      <c r="AH5207">
        <v>0</v>
      </c>
      <c r="AI5207">
        <v>23.48</v>
      </c>
      <c r="AJ5207">
        <v>130.43</v>
      </c>
      <c r="AK5207">
        <v>0</v>
      </c>
      <c r="AL5207" t="s">
        <v>53</v>
      </c>
      <c r="AM5207" t="s">
        <v>53</v>
      </c>
      <c r="AN5207" t="s">
        <v>53</v>
      </c>
      <c r="AO5207" t="s">
        <v>53</v>
      </c>
      <c r="AP5207" t="s">
        <v>53</v>
      </c>
    </row>
    <row r="5208" spans="2:42" x14ac:dyDescent="0.2">
      <c r="B5208" t="s">
        <v>44</v>
      </c>
      <c r="C5208" t="str">
        <f>HYPERLINK("https://us2.cloudbeds.com/connect/8493803454333002#/reservations/9080486846207538?display=2GK631B1AK&amp;reservation_id=9080486846207538", "2GK631B1AK")</f>
        <v>2GK631B1AK</v>
      </c>
      <c r="D5208" t="s">
        <v>45</v>
      </c>
      <c r="E5208" t="s">
        <v>155</v>
      </c>
      <c r="F5208" t="s">
        <v>86</v>
      </c>
      <c r="G5208" t="s">
        <v>48</v>
      </c>
      <c r="H5208" t="s">
        <v>49</v>
      </c>
      <c r="I5208" t="s">
        <v>62</v>
      </c>
      <c r="J5208" t="s">
        <v>7302</v>
      </c>
      <c r="K5208" t="s">
        <v>5594</v>
      </c>
      <c r="L5208" t="s">
        <v>53</v>
      </c>
      <c r="N5208" t="s">
        <v>9210</v>
      </c>
      <c r="P5208" t="s">
        <v>55</v>
      </c>
      <c r="R5208" t="s">
        <v>56</v>
      </c>
      <c r="T5208" t="s">
        <v>9211</v>
      </c>
      <c r="U5208" t="s">
        <v>55</v>
      </c>
      <c r="V5208">
        <v>2</v>
      </c>
      <c r="W5208">
        <v>1</v>
      </c>
      <c r="X5208">
        <v>2</v>
      </c>
      <c r="Y5208">
        <v>0</v>
      </c>
      <c r="Z5208">
        <v>2</v>
      </c>
      <c r="AA5208">
        <v>382</v>
      </c>
      <c r="AB5208">
        <v>382</v>
      </c>
      <c r="AC5208">
        <v>382</v>
      </c>
      <c r="AD5208">
        <v>0</v>
      </c>
      <c r="AE5208">
        <v>0</v>
      </c>
      <c r="AF5208">
        <v>0</v>
      </c>
      <c r="AG5208">
        <v>0</v>
      </c>
      <c r="AH5208">
        <v>0</v>
      </c>
      <c r="AI5208">
        <v>68.760000000000005</v>
      </c>
      <c r="AJ5208">
        <v>382</v>
      </c>
      <c r="AK5208">
        <v>0</v>
      </c>
      <c r="AL5208" t="s">
        <v>53</v>
      </c>
      <c r="AM5208" t="s">
        <v>53</v>
      </c>
      <c r="AN5208" t="s">
        <v>53</v>
      </c>
      <c r="AO5208" t="s">
        <v>53</v>
      </c>
      <c r="AP5208" t="s">
        <v>53</v>
      </c>
    </row>
    <row r="5209" spans="2:42" x14ac:dyDescent="0.2">
      <c r="B5209" t="s">
        <v>44</v>
      </c>
      <c r="C5209" t="str">
        <f>HYPERLINK("https://us2.cloudbeds.com/connect/8493803454333002#/reservations/9080486846209581?display=2GMSZKD0V6&amp;reservation_id=9080486846209581", "2GMSZKD0V6")</f>
        <v>2GMSZKD0V6</v>
      </c>
      <c r="D5209" t="s">
        <v>45</v>
      </c>
      <c r="E5209" t="s">
        <v>98</v>
      </c>
      <c r="F5209" t="s">
        <v>86</v>
      </c>
      <c r="G5209" t="s">
        <v>48</v>
      </c>
      <c r="H5209" t="s">
        <v>49</v>
      </c>
      <c r="I5209" t="s">
        <v>50</v>
      </c>
      <c r="J5209" t="s">
        <v>7967</v>
      </c>
      <c r="K5209" t="s">
        <v>8670</v>
      </c>
      <c r="L5209" t="s">
        <v>53</v>
      </c>
      <c r="N5209" t="s">
        <v>9212</v>
      </c>
      <c r="P5209" t="s">
        <v>55</v>
      </c>
      <c r="R5209" t="s">
        <v>53</v>
      </c>
      <c r="T5209" t="s">
        <v>9213</v>
      </c>
      <c r="U5209" t="s">
        <v>58</v>
      </c>
      <c r="V5209">
        <v>1</v>
      </c>
      <c r="W5209">
        <v>1</v>
      </c>
      <c r="X5209">
        <v>3</v>
      </c>
      <c r="Y5209">
        <v>1</v>
      </c>
      <c r="Z5209">
        <v>4</v>
      </c>
      <c r="AA5209">
        <v>164.68</v>
      </c>
      <c r="AB5209">
        <v>164.68</v>
      </c>
      <c r="AC5209">
        <v>144.9</v>
      </c>
      <c r="AD5209">
        <v>0</v>
      </c>
      <c r="AE5209">
        <v>19.78</v>
      </c>
      <c r="AF5209">
        <v>0</v>
      </c>
      <c r="AG5209">
        <v>0</v>
      </c>
      <c r="AH5209">
        <v>0</v>
      </c>
      <c r="AI5209">
        <v>29.64</v>
      </c>
      <c r="AJ5209">
        <v>164.68</v>
      </c>
      <c r="AK5209">
        <v>0</v>
      </c>
      <c r="AL5209" t="s">
        <v>53</v>
      </c>
      <c r="AM5209" t="s">
        <v>53</v>
      </c>
      <c r="AN5209" t="s">
        <v>53</v>
      </c>
      <c r="AO5209" t="s">
        <v>53</v>
      </c>
      <c r="AP5209" t="s">
        <v>53</v>
      </c>
    </row>
    <row r="5210" spans="2:42" x14ac:dyDescent="0.2">
      <c r="B5210" t="s">
        <v>44</v>
      </c>
      <c r="C5210" t="str">
        <f>HYPERLINK("https://us2.cloudbeds.com/connect/8493803454333002#/reservations/116298955567236?display=2GMRZSSQVN&amp;reservation_id=116298955567236", "2GMRZSSQVN")</f>
        <v>2GMRZSSQVN</v>
      </c>
      <c r="D5210" t="s">
        <v>45</v>
      </c>
      <c r="E5210" t="s">
        <v>305</v>
      </c>
      <c r="F5210" t="s">
        <v>61</v>
      </c>
      <c r="G5210" t="s">
        <v>48</v>
      </c>
      <c r="H5210" t="s">
        <v>3957</v>
      </c>
      <c r="I5210" t="s">
        <v>3975</v>
      </c>
      <c r="J5210" t="s">
        <v>8816</v>
      </c>
      <c r="K5210" t="s">
        <v>7829</v>
      </c>
      <c r="L5210" t="s">
        <v>53</v>
      </c>
      <c r="P5210" t="s">
        <v>55</v>
      </c>
      <c r="R5210" t="s">
        <v>53</v>
      </c>
      <c r="T5210" t="s">
        <v>9214</v>
      </c>
      <c r="U5210" t="s">
        <v>58</v>
      </c>
      <c r="V5210">
        <v>4</v>
      </c>
      <c r="W5210">
        <v>1</v>
      </c>
      <c r="X5210">
        <v>1</v>
      </c>
      <c r="Y5210">
        <v>0</v>
      </c>
      <c r="Z5210">
        <v>1</v>
      </c>
      <c r="AA5210">
        <v>1029.69</v>
      </c>
      <c r="AB5210">
        <v>1029.69</v>
      </c>
      <c r="AC5210">
        <v>906</v>
      </c>
      <c r="AD5210">
        <v>0</v>
      </c>
      <c r="AE5210">
        <v>123.69</v>
      </c>
      <c r="AF5210">
        <v>0</v>
      </c>
      <c r="AG5210">
        <v>0</v>
      </c>
      <c r="AH5210">
        <v>0</v>
      </c>
      <c r="AI5210">
        <v>0</v>
      </c>
      <c r="AJ5210">
        <v>1029.69</v>
      </c>
      <c r="AK5210">
        <v>0</v>
      </c>
      <c r="AL5210" t="s">
        <v>53</v>
      </c>
      <c r="AM5210" t="s">
        <v>53</v>
      </c>
      <c r="AN5210" t="s">
        <v>53</v>
      </c>
      <c r="AO5210" t="s">
        <v>53</v>
      </c>
      <c r="AP5210" t="s">
        <v>53</v>
      </c>
    </row>
    <row r="5211" spans="2:42" x14ac:dyDescent="0.2">
      <c r="B5211" t="s">
        <v>44</v>
      </c>
      <c r="C5211" t="str">
        <f>HYPERLINK("https://us2.cloudbeds.com/connect/8493803454333002#/reservations/9080486846209928?display=2GN8GBA14N&amp;reservation_id=9080486846209928", "2GN8GBA14N")</f>
        <v>2GN8GBA14N</v>
      </c>
      <c r="D5211" t="s">
        <v>45</v>
      </c>
      <c r="E5211" t="s">
        <v>213</v>
      </c>
      <c r="F5211" t="s">
        <v>86</v>
      </c>
      <c r="G5211" t="s">
        <v>48</v>
      </c>
      <c r="H5211" t="s">
        <v>49</v>
      </c>
      <c r="I5211" t="s">
        <v>50</v>
      </c>
      <c r="J5211" t="s">
        <v>8319</v>
      </c>
      <c r="K5211" t="s">
        <v>8394</v>
      </c>
      <c r="L5211" t="s">
        <v>53</v>
      </c>
      <c r="N5211" t="s">
        <v>9215</v>
      </c>
      <c r="P5211" t="s">
        <v>55</v>
      </c>
      <c r="R5211" t="s">
        <v>56</v>
      </c>
      <c r="T5211" t="s">
        <v>9216</v>
      </c>
      <c r="U5211" t="s">
        <v>58</v>
      </c>
      <c r="V5211">
        <v>2</v>
      </c>
      <c r="W5211">
        <v>1</v>
      </c>
      <c r="X5211">
        <v>1</v>
      </c>
      <c r="Y5211">
        <v>0</v>
      </c>
      <c r="Z5211">
        <v>1</v>
      </c>
      <c r="AA5211">
        <v>512.57000000000005</v>
      </c>
      <c r="AB5211">
        <v>512.57000000000005</v>
      </c>
      <c r="AC5211">
        <v>451</v>
      </c>
      <c r="AD5211">
        <v>0</v>
      </c>
      <c r="AE5211">
        <v>61.57</v>
      </c>
      <c r="AF5211">
        <v>0</v>
      </c>
      <c r="AG5211">
        <v>0</v>
      </c>
      <c r="AH5211">
        <v>0</v>
      </c>
      <c r="AI5211">
        <v>92.26</v>
      </c>
      <c r="AJ5211">
        <v>512.57000000000005</v>
      </c>
      <c r="AK5211">
        <v>0</v>
      </c>
      <c r="AL5211" t="s">
        <v>53</v>
      </c>
      <c r="AM5211" t="s">
        <v>53</v>
      </c>
      <c r="AN5211" t="s">
        <v>53</v>
      </c>
      <c r="AO5211" t="s">
        <v>53</v>
      </c>
      <c r="AP5211" t="s">
        <v>53</v>
      </c>
    </row>
    <row r="5212" spans="2:42" x14ac:dyDescent="0.2">
      <c r="B5212" t="s">
        <v>44</v>
      </c>
      <c r="C5212" t="str">
        <f>HYPERLINK("https://us2.cloudbeds.com/connect/8493803454333002#/reservations/9080486846210164?display=2GNH8878R7&amp;reservation_id=9080486846210164", "2GNH8878R7")</f>
        <v>2GNH8878R7</v>
      </c>
      <c r="D5212" t="s">
        <v>45</v>
      </c>
      <c r="E5212" t="s">
        <v>46</v>
      </c>
      <c r="F5212" t="s">
        <v>47</v>
      </c>
      <c r="G5212" t="s">
        <v>48</v>
      </c>
      <c r="H5212" t="s">
        <v>49</v>
      </c>
      <c r="I5212" t="s">
        <v>62</v>
      </c>
      <c r="J5212" t="s">
        <v>7974</v>
      </c>
      <c r="K5212" t="s">
        <v>7751</v>
      </c>
      <c r="L5212" t="s">
        <v>53</v>
      </c>
      <c r="N5212" t="s">
        <v>9217</v>
      </c>
      <c r="P5212" t="s">
        <v>55</v>
      </c>
      <c r="R5212" t="s">
        <v>56</v>
      </c>
      <c r="T5212" t="s">
        <v>9218</v>
      </c>
      <c r="U5212" t="s">
        <v>55</v>
      </c>
      <c r="V5212">
        <v>4</v>
      </c>
      <c r="W5212">
        <v>1</v>
      </c>
      <c r="X5212">
        <v>2</v>
      </c>
      <c r="Y5212">
        <v>0</v>
      </c>
      <c r="Z5212">
        <v>2</v>
      </c>
      <c r="AA5212">
        <v>606.1</v>
      </c>
      <c r="AB5212">
        <v>606.1</v>
      </c>
      <c r="AC5212">
        <v>606.1</v>
      </c>
      <c r="AD5212">
        <v>0</v>
      </c>
      <c r="AE5212">
        <v>0</v>
      </c>
      <c r="AF5212">
        <v>0</v>
      </c>
      <c r="AG5212">
        <v>0</v>
      </c>
      <c r="AH5212">
        <v>0</v>
      </c>
      <c r="AI5212">
        <v>109.1</v>
      </c>
      <c r="AJ5212">
        <v>606.1</v>
      </c>
      <c r="AK5212">
        <v>0</v>
      </c>
      <c r="AL5212" t="s">
        <v>53</v>
      </c>
      <c r="AM5212" t="s">
        <v>53</v>
      </c>
      <c r="AN5212" t="s">
        <v>53</v>
      </c>
      <c r="AO5212" t="s">
        <v>53</v>
      </c>
      <c r="AP5212" t="s">
        <v>53</v>
      </c>
    </row>
    <row r="5213" spans="2:42" x14ac:dyDescent="0.2">
      <c r="B5213" t="s">
        <v>44</v>
      </c>
      <c r="C5213" t="str">
        <f>HYPERLINK("https://us2.cloudbeds.com/connect/8493803454333002#/reservations/9080486846210173?display=2GNHJCS3U0&amp;reservation_id=9080486846210173", "2GNHJCS3U0")</f>
        <v>2GNHJCS3U0</v>
      </c>
      <c r="D5213" t="s">
        <v>45</v>
      </c>
      <c r="E5213" t="s">
        <v>69</v>
      </c>
      <c r="F5213" t="s">
        <v>70</v>
      </c>
      <c r="G5213" t="s">
        <v>48</v>
      </c>
      <c r="H5213" t="s">
        <v>49</v>
      </c>
      <c r="I5213" t="s">
        <v>8964</v>
      </c>
      <c r="J5213" t="s">
        <v>8594</v>
      </c>
      <c r="K5213" t="s">
        <v>7926</v>
      </c>
      <c r="L5213" t="s">
        <v>53</v>
      </c>
      <c r="N5213" t="s">
        <v>9219</v>
      </c>
      <c r="P5213" t="s">
        <v>55</v>
      </c>
      <c r="R5213" t="s">
        <v>53</v>
      </c>
      <c r="T5213" t="s">
        <v>9220</v>
      </c>
      <c r="U5213" t="s">
        <v>58</v>
      </c>
      <c r="V5213">
        <v>3</v>
      </c>
      <c r="W5213">
        <v>1</v>
      </c>
      <c r="X5213">
        <v>2</v>
      </c>
      <c r="Y5213">
        <v>0</v>
      </c>
      <c r="Z5213">
        <v>2</v>
      </c>
      <c r="AA5213">
        <v>0</v>
      </c>
      <c r="AB5213">
        <v>0</v>
      </c>
      <c r="AC5213">
        <v>483</v>
      </c>
      <c r="AD5213">
        <v>0</v>
      </c>
      <c r="AE5213">
        <v>0</v>
      </c>
      <c r="AF5213">
        <v>0</v>
      </c>
      <c r="AG5213">
        <v>0</v>
      </c>
      <c r="AH5213">
        <v>0</v>
      </c>
      <c r="AI5213">
        <v>72.45</v>
      </c>
      <c r="AJ5213">
        <v>483</v>
      </c>
      <c r="AK5213">
        <v>483</v>
      </c>
      <c r="AL5213" t="s">
        <v>53</v>
      </c>
      <c r="AM5213" t="s">
        <v>53</v>
      </c>
      <c r="AN5213" t="s">
        <v>53</v>
      </c>
      <c r="AO5213" t="s">
        <v>53</v>
      </c>
      <c r="AP5213" t="s">
        <v>53</v>
      </c>
    </row>
    <row r="5214" spans="2:42" x14ac:dyDescent="0.2">
      <c r="B5214" t="s">
        <v>44</v>
      </c>
      <c r="C5214" t="str">
        <f>HYPERLINK("https://us2.cloudbeds.com/connect/8493803454333002#/reservations/9080486846210375?display=2GNP3KBNAS&amp;reservation_id=9080486846210375", "2GNP3KBNAS")</f>
        <v>2GNP3KBNAS</v>
      </c>
      <c r="D5214" t="s">
        <v>45</v>
      </c>
      <c r="E5214" t="s">
        <v>165</v>
      </c>
      <c r="F5214" t="s">
        <v>61</v>
      </c>
      <c r="G5214" t="s">
        <v>48</v>
      </c>
      <c r="H5214" t="s">
        <v>49</v>
      </c>
      <c r="I5214" t="s">
        <v>62</v>
      </c>
      <c r="J5214" t="s">
        <v>5403</v>
      </c>
      <c r="K5214" t="s">
        <v>8139</v>
      </c>
      <c r="L5214" t="s">
        <v>53</v>
      </c>
      <c r="N5214" t="s">
        <v>9221</v>
      </c>
      <c r="P5214" t="s">
        <v>55</v>
      </c>
      <c r="R5214" t="s">
        <v>56</v>
      </c>
      <c r="T5214" t="s">
        <v>9222</v>
      </c>
      <c r="U5214" t="s">
        <v>55</v>
      </c>
      <c r="V5214">
        <v>2</v>
      </c>
      <c r="W5214">
        <v>1</v>
      </c>
      <c r="X5214">
        <v>2</v>
      </c>
      <c r="Y5214">
        <v>0</v>
      </c>
      <c r="Z5214">
        <v>2</v>
      </c>
      <c r="AA5214">
        <v>350</v>
      </c>
      <c r="AB5214">
        <v>350</v>
      </c>
      <c r="AC5214">
        <v>350</v>
      </c>
      <c r="AD5214">
        <v>0</v>
      </c>
      <c r="AE5214">
        <v>0</v>
      </c>
      <c r="AF5214">
        <v>0</v>
      </c>
      <c r="AG5214">
        <v>0</v>
      </c>
      <c r="AH5214">
        <v>0</v>
      </c>
      <c r="AI5214">
        <v>63</v>
      </c>
      <c r="AJ5214">
        <v>350</v>
      </c>
      <c r="AK5214">
        <v>0</v>
      </c>
      <c r="AL5214" t="s">
        <v>53</v>
      </c>
      <c r="AM5214" t="s">
        <v>53</v>
      </c>
      <c r="AN5214" t="s">
        <v>53</v>
      </c>
      <c r="AO5214" t="s">
        <v>53</v>
      </c>
      <c r="AP5214" t="s">
        <v>53</v>
      </c>
    </row>
    <row r="5215" spans="2:42" x14ac:dyDescent="0.2">
      <c r="B5215" t="s">
        <v>44</v>
      </c>
      <c r="C5215" t="str">
        <f>HYPERLINK("https://us2.cloudbeds.com/connect/8493803454333002#/reservations/9080486846210410?display=2GNQDFZY3M&amp;reservation_id=9080486846210410", "2GNQDFZY3M")</f>
        <v>2GNQDFZY3M</v>
      </c>
      <c r="D5215" t="s">
        <v>45</v>
      </c>
      <c r="E5215" t="s">
        <v>78</v>
      </c>
      <c r="F5215" t="s">
        <v>61</v>
      </c>
      <c r="G5215" t="s">
        <v>48</v>
      </c>
      <c r="H5215" t="s">
        <v>49</v>
      </c>
      <c r="I5215" t="s">
        <v>62</v>
      </c>
      <c r="J5215" t="s">
        <v>7353</v>
      </c>
      <c r="K5215" t="s">
        <v>7151</v>
      </c>
      <c r="L5215" t="s">
        <v>53</v>
      </c>
      <c r="N5215" t="s">
        <v>9223</v>
      </c>
      <c r="P5215" t="s">
        <v>55</v>
      </c>
      <c r="R5215" t="s">
        <v>56</v>
      </c>
      <c r="T5215" t="s">
        <v>9224</v>
      </c>
      <c r="U5215" t="s">
        <v>55</v>
      </c>
      <c r="V5215">
        <v>2</v>
      </c>
      <c r="W5215">
        <v>1</v>
      </c>
      <c r="X5215">
        <v>2</v>
      </c>
      <c r="Y5215">
        <v>0</v>
      </c>
      <c r="Z5215">
        <v>2</v>
      </c>
      <c r="AA5215">
        <v>422.75</v>
      </c>
      <c r="AB5215">
        <v>422.75</v>
      </c>
      <c r="AC5215">
        <v>422.75</v>
      </c>
      <c r="AD5215">
        <v>0</v>
      </c>
      <c r="AE5215">
        <v>0</v>
      </c>
      <c r="AF5215">
        <v>0</v>
      </c>
      <c r="AG5215">
        <v>0</v>
      </c>
      <c r="AH5215">
        <v>0</v>
      </c>
      <c r="AI5215">
        <v>76.099999999999994</v>
      </c>
      <c r="AJ5215">
        <v>422.75</v>
      </c>
      <c r="AK5215">
        <v>0</v>
      </c>
      <c r="AL5215" t="s">
        <v>53</v>
      </c>
      <c r="AM5215" t="s">
        <v>53</v>
      </c>
      <c r="AN5215" t="s">
        <v>53</v>
      </c>
      <c r="AO5215" t="s">
        <v>53</v>
      </c>
      <c r="AP5215" t="s">
        <v>53</v>
      </c>
    </row>
    <row r="5216" spans="2:42" x14ac:dyDescent="0.2">
      <c r="B5216" t="s">
        <v>44</v>
      </c>
      <c r="C5216" t="str">
        <f>HYPERLINK("https://us2.cloudbeds.com/connect/8493803454333002#/reservations/9080486846210421?display=2GNR3CDNPH&amp;reservation_id=9080486846210421", "2GNR3CDNPH")</f>
        <v>2GNR3CDNPH</v>
      </c>
      <c r="D5216" t="s">
        <v>45</v>
      </c>
      <c r="E5216" t="s">
        <v>213</v>
      </c>
      <c r="F5216" t="s">
        <v>86</v>
      </c>
      <c r="G5216" t="s">
        <v>48</v>
      </c>
      <c r="H5216" t="s">
        <v>49</v>
      </c>
      <c r="I5216" t="s">
        <v>50</v>
      </c>
      <c r="J5216" t="s">
        <v>5593</v>
      </c>
      <c r="K5216" t="s">
        <v>5594</v>
      </c>
      <c r="L5216" t="s">
        <v>53</v>
      </c>
      <c r="N5216" t="s">
        <v>9225</v>
      </c>
      <c r="P5216" t="s">
        <v>55</v>
      </c>
      <c r="R5216" t="s">
        <v>53</v>
      </c>
      <c r="T5216" t="s">
        <v>9226</v>
      </c>
      <c r="U5216" t="s">
        <v>58</v>
      </c>
      <c r="V5216">
        <v>1</v>
      </c>
      <c r="W5216">
        <v>1</v>
      </c>
      <c r="X5216">
        <v>2</v>
      </c>
      <c r="Y5216">
        <v>0</v>
      </c>
      <c r="Z5216">
        <v>2</v>
      </c>
      <c r="AA5216">
        <v>188.38</v>
      </c>
      <c r="AB5216">
        <v>188.38</v>
      </c>
      <c r="AC5216">
        <v>165.75</v>
      </c>
      <c r="AD5216">
        <v>0</v>
      </c>
      <c r="AE5216">
        <v>22.63</v>
      </c>
      <c r="AF5216">
        <v>0</v>
      </c>
      <c r="AG5216">
        <v>0</v>
      </c>
      <c r="AH5216">
        <v>0</v>
      </c>
      <c r="AI5216">
        <v>33.909999999999997</v>
      </c>
      <c r="AJ5216">
        <v>188.38</v>
      </c>
      <c r="AK5216">
        <v>0</v>
      </c>
      <c r="AL5216" t="s">
        <v>53</v>
      </c>
      <c r="AM5216" t="s">
        <v>53</v>
      </c>
      <c r="AN5216" t="s">
        <v>53</v>
      </c>
      <c r="AO5216" t="s">
        <v>53</v>
      </c>
      <c r="AP5216" t="s">
        <v>53</v>
      </c>
    </row>
    <row r="5217" spans="2:42" x14ac:dyDescent="0.2">
      <c r="B5217" t="s">
        <v>44</v>
      </c>
      <c r="C5217" t="str">
        <f>HYPERLINK("https://us2.cloudbeds.com/connect/8493803454333002#/reservations/9080486846210885?display=2GZ65ZH86P&amp;reservation_id=9080486846210885", "2GZ65ZH86P")</f>
        <v>2GZ65ZH86P</v>
      </c>
      <c r="D5217" t="s">
        <v>45</v>
      </c>
      <c r="E5217" t="s">
        <v>190</v>
      </c>
      <c r="F5217" t="s">
        <v>61</v>
      </c>
      <c r="G5217" t="s">
        <v>48</v>
      </c>
      <c r="H5217" t="s">
        <v>49</v>
      </c>
      <c r="I5217" t="s">
        <v>50</v>
      </c>
      <c r="J5217" t="s">
        <v>7967</v>
      </c>
      <c r="K5217" t="s">
        <v>8829</v>
      </c>
      <c r="L5217" t="s">
        <v>53</v>
      </c>
      <c r="N5217" t="s">
        <v>9227</v>
      </c>
      <c r="P5217" t="s">
        <v>55</v>
      </c>
      <c r="R5217" t="s">
        <v>53</v>
      </c>
      <c r="T5217" t="s">
        <v>9228</v>
      </c>
      <c r="U5217" t="s">
        <v>58</v>
      </c>
      <c r="V5217">
        <v>4</v>
      </c>
      <c r="W5217">
        <v>2</v>
      </c>
      <c r="X5217">
        <v>3</v>
      </c>
      <c r="Y5217">
        <v>0</v>
      </c>
      <c r="Z5217">
        <v>3</v>
      </c>
      <c r="AA5217">
        <v>635.54</v>
      </c>
      <c r="AB5217">
        <v>635.54</v>
      </c>
      <c r="AC5217">
        <v>559.21</v>
      </c>
      <c r="AD5217">
        <v>0</v>
      </c>
      <c r="AE5217">
        <v>76.33</v>
      </c>
      <c r="AF5217">
        <v>0</v>
      </c>
      <c r="AG5217">
        <v>0</v>
      </c>
      <c r="AH5217">
        <v>0</v>
      </c>
      <c r="AI5217">
        <v>114.4</v>
      </c>
      <c r="AJ5217">
        <v>635.54</v>
      </c>
      <c r="AK5217">
        <v>0</v>
      </c>
      <c r="AL5217" t="s">
        <v>53</v>
      </c>
      <c r="AM5217" t="s">
        <v>53</v>
      </c>
      <c r="AN5217" t="s">
        <v>53</v>
      </c>
      <c r="AO5217" t="s">
        <v>53</v>
      </c>
      <c r="AP5217" t="s">
        <v>53</v>
      </c>
    </row>
    <row r="5218" spans="2:42" x14ac:dyDescent="0.2">
      <c r="B5218" t="s">
        <v>44</v>
      </c>
      <c r="C5218" t="str">
        <f>HYPERLINK("https://us2.cloudbeds.com/connect/8493803454333002#/reservations/9080486846210994?display=2GZ8TUWX8T&amp;reservation_id=9080486846210994", "2GZ8TUWX8T")</f>
        <v>2GZ8TUWX8T</v>
      </c>
      <c r="D5218" t="s">
        <v>45</v>
      </c>
      <c r="E5218" t="s">
        <v>406</v>
      </c>
      <c r="F5218" t="s">
        <v>61</v>
      </c>
      <c r="G5218" t="s">
        <v>48</v>
      </c>
      <c r="H5218" t="s">
        <v>49</v>
      </c>
      <c r="I5218" t="s">
        <v>62</v>
      </c>
      <c r="J5218" t="s">
        <v>7861</v>
      </c>
      <c r="K5218" t="s">
        <v>5593</v>
      </c>
      <c r="L5218" t="s">
        <v>53</v>
      </c>
      <c r="N5218" t="s">
        <v>9229</v>
      </c>
      <c r="P5218" t="s">
        <v>55</v>
      </c>
      <c r="R5218" t="s">
        <v>56</v>
      </c>
      <c r="T5218" t="s">
        <v>9230</v>
      </c>
      <c r="U5218" t="s">
        <v>55</v>
      </c>
      <c r="V5218">
        <v>2</v>
      </c>
      <c r="W5218">
        <v>1</v>
      </c>
      <c r="X5218">
        <v>2</v>
      </c>
      <c r="Y5218">
        <v>0</v>
      </c>
      <c r="Z5218">
        <v>2</v>
      </c>
      <c r="AA5218">
        <v>349</v>
      </c>
      <c r="AB5218">
        <v>349</v>
      </c>
      <c r="AC5218">
        <v>349</v>
      </c>
      <c r="AD5218">
        <v>0</v>
      </c>
      <c r="AE5218">
        <v>0</v>
      </c>
      <c r="AF5218">
        <v>0</v>
      </c>
      <c r="AG5218">
        <v>0</v>
      </c>
      <c r="AH5218">
        <v>0</v>
      </c>
      <c r="AI5218">
        <v>62.82</v>
      </c>
      <c r="AJ5218">
        <v>349</v>
      </c>
      <c r="AK5218">
        <v>0</v>
      </c>
      <c r="AL5218" t="s">
        <v>53</v>
      </c>
      <c r="AM5218" t="s">
        <v>53</v>
      </c>
      <c r="AN5218" t="s">
        <v>53</v>
      </c>
      <c r="AO5218" t="s">
        <v>53</v>
      </c>
      <c r="AP5218" t="s">
        <v>53</v>
      </c>
    </row>
    <row r="5219" spans="2:42" x14ac:dyDescent="0.2">
      <c r="B5219" t="s">
        <v>44</v>
      </c>
      <c r="C5219" t="str">
        <f>HYPERLINK("https://us2.cloudbeds.com/connect/8493803454333002#/reservations/9080486846211011?display=2GZ9D0N623&amp;reservation_id=9080486846211011", "2GZ9D0N623")</f>
        <v>2GZ9D0N623</v>
      </c>
      <c r="D5219" t="s">
        <v>45</v>
      </c>
      <c r="E5219" t="s">
        <v>121</v>
      </c>
      <c r="F5219" t="s">
        <v>86</v>
      </c>
      <c r="G5219" t="s">
        <v>48</v>
      </c>
      <c r="H5219" t="s">
        <v>49</v>
      </c>
      <c r="I5219" t="s">
        <v>50</v>
      </c>
      <c r="J5219" t="s">
        <v>7872</v>
      </c>
      <c r="K5219" t="s">
        <v>7276</v>
      </c>
      <c r="L5219" t="s">
        <v>53</v>
      </c>
      <c r="N5219" t="s">
        <v>9231</v>
      </c>
      <c r="P5219" t="s">
        <v>55</v>
      </c>
      <c r="R5219" t="s">
        <v>53</v>
      </c>
      <c r="T5219" t="s">
        <v>9232</v>
      </c>
      <c r="U5219" t="s">
        <v>58</v>
      </c>
      <c r="V5219">
        <v>1</v>
      </c>
      <c r="W5219">
        <v>1</v>
      </c>
      <c r="X5219">
        <v>2</v>
      </c>
      <c r="Y5219">
        <v>0</v>
      </c>
      <c r="Z5219">
        <v>2</v>
      </c>
      <c r="AA5219">
        <v>195.37</v>
      </c>
      <c r="AB5219">
        <v>195.37</v>
      </c>
      <c r="AC5219">
        <v>171.9</v>
      </c>
      <c r="AD5219">
        <v>0</v>
      </c>
      <c r="AE5219">
        <v>23.47</v>
      </c>
      <c r="AF5219">
        <v>0</v>
      </c>
      <c r="AG5219">
        <v>0</v>
      </c>
      <c r="AH5219">
        <v>0</v>
      </c>
      <c r="AI5219">
        <v>35.17</v>
      </c>
      <c r="AJ5219">
        <v>195.37</v>
      </c>
      <c r="AK5219">
        <v>0</v>
      </c>
      <c r="AL5219" t="s">
        <v>53</v>
      </c>
      <c r="AM5219" t="s">
        <v>53</v>
      </c>
      <c r="AN5219" t="s">
        <v>53</v>
      </c>
      <c r="AO5219" t="s">
        <v>53</v>
      </c>
      <c r="AP5219" t="s">
        <v>53</v>
      </c>
    </row>
    <row r="5220" spans="2:42" x14ac:dyDescent="0.2">
      <c r="B5220" t="s">
        <v>44</v>
      </c>
      <c r="C5220" t="str">
        <f>HYPERLINK("https://us2.cloudbeds.com/connect/8493803454333002#/reservations/9080486846211091?display=2GZBNP8EZV&amp;reservation_id=9080486846211091", "2GZBNP8EZV")</f>
        <v>2GZBNP8EZV</v>
      </c>
      <c r="D5220" t="s">
        <v>45</v>
      </c>
      <c r="E5220" t="s">
        <v>46</v>
      </c>
      <c r="F5220" t="s">
        <v>47</v>
      </c>
      <c r="G5220" t="s">
        <v>48</v>
      </c>
      <c r="H5220" t="s">
        <v>49</v>
      </c>
      <c r="I5220" t="s">
        <v>62</v>
      </c>
      <c r="J5220" t="s">
        <v>7151</v>
      </c>
      <c r="K5220" t="s">
        <v>6396</v>
      </c>
      <c r="L5220" t="s">
        <v>53</v>
      </c>
      <c r="N5220" t="s">
        <v>9233</v>
      </c>
      <c r="P5220" t="s">
        <v>55</v>
      </c>
      <c r="R5220" t="s">
        <v>56</v>
      </c>
      <c r="T5220" t="s">
        <v>9234</v>
      </c>
      <c r="U5220" t="s">
        <v>55</v>
      </c>
      <c r="V5220">
        <v>1</v>
      </c>
      <c r="W5220">
        <v>1</v>
      </c>
      <c r="X5220">
        <v>2</v>
      </c>
      <c r="Y5220">
        <v>0</v>
      </c>
      <c r="Z5220">
        <v>2</v>
      </c>
      <c r="AA5220">
        <v>187</v>
      </c>
      <c r="AB5220">
        <v>187</v>
      </c>
      <c r="AC5220">
        <v>187</v>
      </c>
      <c r="AD5220">
        <v>0</v>
      </c>
      <c r="AE5220">
        <v>0</v>
      </c>
      <c r="AF5220">
        <v>0</v>
      </c>
      <c r="AG5220">
        <v>0</v>
      </c>
      <c r="AH5220">
        <v>0</v>
      </c>
      <c r="AI5220">
        <v>33.659999999999997</v>
      </c>
      <c r="AJ5220">
        <v>187</v>
      </c>
      <c r="AK5220">
        <v>0</v>
      </c>
      <c r="AL5220" t="s">
        <v>53</v>
      </c>
      <c r="AM5220" t="s">
        <v>53</v>
      </c>
      <c r="AN5220" t="s">
        <v>53</v>
      </c>
      <c r="AO5220" t="s">
        <v>53</v>
      </c>
      <c r="AP5220" t="s">
        <v>53</v>
      </c>
    </row>
    <row r="5221" spans="2:42" x14ac:dyDescent="0.2">
      <c r="B5221" t="s">
        <v>44</v>
      </c>
      <c r="C5221" t="str">
        <f>HYPERLINK("https://us2.cloudbeds.com/connect/8493803454333002#/reservations/9080486846211130?display=2GZD23YCBZ&amp;reservation_id=9080486846211130", "2GZD23YCBZ")</f>
        <v>2GZD23YCBZ</v>
      </c>
      <c r="D5221" t="s">
        <v>45</v>
      </c>
      <c r="E5221" t="s">
        <v>78</v>
      </c>
      <c r="F5221" t="s">
        <v>61</v>
      </c>
      <c r="G5221" t="s">
        <v>48</v>
      </c>
      <c r="H5221" t="s">
        <v>49</v>
      </c>
      <c r="I5221" t="s">
        <v>50</v>
      </c>
      <c r="J5221" t="s">
        <v>7962</v>
      </c>
      <c r="K5221" t="s">
        <v>7821</v>
      </c>
      <c r="L5221" t="s">
        <v>53</v>
      </c>
      <c r="N5221" t="s">
        <v>9235</v>
      </c>
      <c r="P5221" t="s">
        <v>55</v>
      </c>
      <c r="R5221" t="s">
        <v>53</v>
      </c>
      <c r="T5221" t="s">
        <v>9236</v>
      </c>
      <c r="U5221" t="s">
        <v>58</v>
      </c>
      <c r="V5221">
        <v>1</v>
      </c>
      <c r="W5221">
        <v>1</v>
      </c>
      <c r="X5221">
        <v>2</v>
      </c>
      <c r="Y5221">
        <v>0</v>
      </c>
      <c r="Z5221">
        <v>2</v>
      </c>
      <c r="AA5221">
        <v>146.26</v>
      </c>
      <c r="AB5221">
        <v>146.26</v>
      </c>
      <c r="AC5221">
        <v>128.69999999999999</v>
      </c>
      <c r="AD5221">
        <v>0</v>
      </c>
      <c r="AE5221">
        <v>17.559999999999999</v>
      </c>
      <c r="AF5221">
        <v>0</v>
      </c>
      <c r="AG5221">
        <v>0</v>
      </c>
      <c r="AH5221">
        <v>0</v>
      </c>
      <c r="AI5221">
        <v>26.33</v>
      </c>
      <c r="AJ5221">
        <v>146.26</v>
      </c>
      <c r="AK5221">
        <v>0</v>
      </c>
      <c r="AL5221" t="s">
        <v>53</v>
      </c>
      <c r="AM5221" t="s">
        <v>53</v>
      </c>
      <c r="AN5221" t="s">
        <v>9237</v>
      </c>
      <c r="AO5221" t="s">
        <v>53</v>
      </c>
      <c r="AP5221" t="s">
        <v>53</v>
      </c>
    </row>
    <row r="5222" spans="2:42" x14ac:dyDescent="0.2">
      <c r="B5222" t="s">
        <v>44</v>
      </c>
      <c r="C5222" t="str">
        <f>HYPERLINK("https://us2.cloudbeds.com/connect/8493803454333002#/reservations/9080486846212106?display=2GPC5UAGAS&amp;reservation_id=9080486846212106", "2GPC5UAGAS")</f>
        <v>2GPC5UAGAS</v>
      </c>
      <c r="D5222" t="s">
        <v>45</v>
      </c>
      <c r="E5222" t="s">
        <v>92</v>
      </c>
      <c r="F5222" t="s">
        <v>86</v>
      </c>
      <c r="G5222" t="s">
        <v>48</v>
      </c>
      <c r="H5222" t="s">
        <v>49</v>
      </c>
      <c r="I5222" t="s">
        <v>62</v>
      </c>
      <c r="J5222" t="s">
        <v>7872</v>
      </c>
      <c r="K5222" t="s">
        <v>7861</v>
      </c>
      <c r="L5222" t="s">
        <v>53</v>
      </c>
      <c r="N5222" t="s">
        <v>9238</v>
      </c>
      <c r="P5222" t="s">
        <v>55</v>
      </c>
      <c r="R5222" t="s">
        <v>56</v>
      </c>
      <c r="T5222" t="s">
        <v>9239</v>
      </c>
      <c r="U5222" t="s">
        <v>55</v>
      </c>
      <c r="V5222">
        <v>2</v>
      </c>
      <c r="W5222">
        <v>1</v>
      </c>
      <c r="X5222">
        <v>2</v>
      </c>
      <c r="Y5222">
        <v>1</v>
      </c>
      <c r="Z5222">
        <v>3</v>
      </c>
      <c r="AA5222">
        <v>373</v>
      </c>
      <c r="AB5222">
        <v>373</v>
      </c>
      <c r="AC5222">
        <v>373</v>
      </c>
      <c r="AD5222">
        <v>0</v>
      </c>
      <c r="AE5222">
        <v>0</v>
      </c>
      <c r="AF5222">
        <v>0</v>
      </c>
      <c r="AG5222">
        <v>0</v>
      </c>
      <c r="AH5222">
        <v>0</v>
      </c>
      <c r="AI5222">
        <v>67.14</v>
      </c>
      <c r="AJ5222">
        <v>373</v>
      </c>
      <c r="AK5222">
        <v>0</v>
      </c>
      <c r="AL5222" t="s">
        <v>53</v>
      </c>
      <c r="AM5222" t="s">
        <v>53</v>
      </c>
      <c r="AN5222" t="s">
        <v>53</v>
      </c>
      <c r="AO5222" t="s">
        <v>53</v>
      </c>
      <c r="AP5222" t="s">
        <v>53</v>
      </c>
    </row>
    <row r="5223" spans="2:42" x14ac:dyDescent="0.2">
      <c r="B5223" t="s">
        <v>44</v>
      </c>
      <c r="C5223" t="str">
        <f>HYPERLINK("https://us2.cloudbeds.com/connect/8493803454333002#/reservations/116406691586253?display=2GPC5PZBTN&amp;reservation_id=116406691586253", "2GPC5PZBTN")</f>
        <v>2GPC5PZBTN</v>
      </c>
      <c r="D5223" t="s">
        <v>45</v>
      </c>
      <c r="E5223" t="s">
        <v>128</v>
      </c>
      <c r="F5223" t="s">
        <v>86</v>
      </c>
      <c r="G5223" t="s">
        <v>48</v>
      </c>
      <c r="H5223" t="s">
        <v>3957</v>
      </c>
      <c r="I5223" t="s">
        <v>3975</v>
      </c>
      <c r="J5223" t="s">
        <v>8799</v>
      </c>
      <c r="K5223" t="s">
        <v>8829</v>
      </c>
      <c r="L5223" t="s">
        <v>53</v>
      </c>
      <c r="P5223" t="s">
        <v>55</v>
      </c>
      <c r="R5223" t="s">
        <v>53</v>
      </c>
      <c r="T5223" t="s">
        <v>9240</v>
      </c>
      <c r="U5223" t="s">
        <v>58</v>
      </c>
      <c r="V5223">
        <v>1</v>
      </c>
      <c r="W5223">
        <v>1</v>
      </c>
      <c r="X5223">
        <v>2</v>
      </c>
      <c r="Y5223">
        <v>0</v>
      </c>
      <c r="Z5223">
        <v>2</v>
      </c>
      <c r="AA5223">
        <v>168.2</v>
      </c>
      <c r="AB5223">
        <v>168.2</v>
      </c>
      <c r="AC5223">
        <v>148</v>
      </c>
      <c r="AD5223">
        <v>0</v>
      </c>
      <c r="AE5223">
        <v>20.2</v>
      </c>
      <c r="AF5223">
        <v>0</v>
      </c>
      <c r="AG5223">
        <v>0</v>
      </c>
      <c r="AH5223">
        <v>0</v>
      </c>
      <c r="AI5223">
        <v>0</v>
      </c>
      <c r="AJ5223">
        <v>168.2</v>
      </c>
      <c r="AK5223">
        <v>0</v>
      </c>
      <c r="AL5223" t="s">
        <v>53</v>
      </c>
      <c r="AM5223" t="s">
        <v>53</v>
      </c>
      <c r="AN5223" t="s">
        <v>53</v>
      </c>
      <c r="AO5223" t="s">
        <v>53</v>
      </c>
      <c r="AP5223" t="s">
        <v>53</v>
      </c>
    </row>
    <row r="5224" spans="2:42" x14ac:dyDescent="0.2">
      <c r="B5224" t="s">
        <v>44</v>
      </c>
      <c r="C5224" t="str">
        <f>HYPERLINK("https://us2.cloudbeds.com/connect/8493803454333002#/reservations/9080486846212254?display=2GPHKEUNMD&amp;reservation_id=9080486846212254", "2GPHKEUNMD")</f>
        <v>2GPHKEUNMD</v>
      </c>
      <c r="D5224" t="s">
        <v>45</v>
      </c>
      <c r="E5224" t="s">
        <v>128</v>
      </c>
      <c r="F5224" t="s">
        <v>86</v>
      </c>
      <c r="G5224" t="s">
        <v>48</v>
      </c>
      <c r="H5224" t="s">
        <v>49</v>
      </c>
      <c r="I5224" t="s">
        <v>62</v>
      </c>
      <c r="J5224" t="s">
        <v>5593</v>
      </c>
      <c r="K5224" t="s">
        <v>5594</v>
      </c>
      <c r="L5224" t="s">
        <v>53</v>
      </c>
      <c r="N5224" t="s">
        <v>9241</v>
      </c>
      <c r="P5224" t="s">
        <v>55</v>
      </c>
      <c r="R5224" t="s">
        <v>56</v>
      </c>
      <c r="T5224" t="s">
        <v>9242</v>
      </c>
      <c r="U5224" t="s">
        <v>55</v>
      </c>
      <c r="V5224">
        <v>1</v>
      </c>
      <c r="W5224">
        <v>1</v>
      </c>
      <c r="X5224">
        <v>2</v>
      </c>
      <c r="Y5224">
        <v>0</v>
      </c>
      <c r="Z5224">
        <v>2</v>
      </c>
      <c r="AA5224">
        <v>195</v>
      </c>
      <c r="AB5224">
        <v>197.71</v>
      </c>
      <c r="AC5224">
        <v>195</v>
      </c>
      <c r="AD5224">
        <v>2.5</v>
      </c>
      <c r="AE5224">
        <v>0.21</v>
      </c>
      <c r="AF5224">
        <v>0</v>
      </c>
      <c r="AG5224">
        <v>0</v>
      </c>
      <c r="AH5224">
        <v>0</v>
      </c>
      <c r="AI5224">
        <v>35.590000000000003</v>
      </c>
      <c r="AJ5224">
        <v>197.71</v>
      </c>
      <c r="AK5224">
        <v>0</v>
      </c>
      <c r="AL5224" t="s">
        <v>53</v>
      </c>
      <c r="AM5224" t="s">
        <v>53</v>
      </c>
      <c r="AN5224" t="s">
        <v>9243</v>
      </c>
      <c r="AO5224" t="s">
        <v>53</v>
      </c>
      <c r="AP5224" t="s">
        <v>53</v>
      </c>
    </row>
    <row r="5225" spans="2:42" x14ac:dyDescent="0.2">
      <c r="B5225" t="s">
        <v>44</v>
      </c>
      <c r="C5225" t="str">
        <f>HYPERLINK("https://us2.cloudbeds.com/connect/8493803454333002#/reservations/9080486846212328?display=2GPYC4GW7F&amp;reservation_id=9080486846212328", "2GPYC4GW7F")</f>
        <v>2GPYC4GW7F</v>
      </c>
      <c r="D5225" t="s">
        <v>45</v>
      </c>
      <c r="E5225" t="s">
        <v>113</v>
      </c>
      <c r="F5225" t="s">
        <v>61</v>
      </c>
      <c r="G5225" t="s">
        <v>48</v>
      </c>
      <c r="H5225" t="s">
        <v>49</v>
      </c>
      <c r="I5225" t="s">
        <v>62</v>
      </c>
      <c r="J5225" t="s">
        <v>7353</v>
      </c>
      <c r="K5225" t="s">
        <v>6396</v>
      </c>
      <c r="L5225" t="s">
        <v>53</v>
      </c>
      <c r="N5225" t="s">
        <v>9244</v>
      </c>
      <c r="P5225" t="s">
        <v>55</v>
      </c>
      <c r="R5225" t="s">
        <v>56</v>
      </c>
      <c r="T5225" t="s">
        <v>9245</v>
      </c>
      <c r="U5225" t="s">
        <v>55</v>
      </c>
      <c r="V5225">
        <v>3</v>
      </c>
      <c r="W5225">
        <v>1</v>
      </c>
      <c r="X5225">
        <v>2</v>
      </c>
      <c r="Y5225">
        <v>0</v>
      </c>
      <c r="Z5225">
        <v>2</v>
      </c>
      <c r="AA5225">
        <v>643</v>
      </c>
      <c r="AB5225">
        <v>643</v>
      </c>
      <c r="AC5225">
        <v>643</v>
      </c>
      <c r="AD5225">
        <v>0</v>
      </c>
      <c r="AE5225">
        <v>0</v>
      </c>
      <c r="AF5225">
        <v>0</v>
      </c>
      <c r="AG5225">
        <v>0</v>
      </c>
      <c r="AH5225">
        <v>0</v>
      </c>
      <c r="AI5225">
        <v>115.74</v>
      </c>
      <c r="AJ5225">
        <v>643</v>
      </c>
      <c r="AK5225">
        <v>0</v>
      </c>
      <c r="AL5225" t="s">
        <v>53</v>
      </c>
      <c r="AM5225" t="s">
        <v>53</v>
      </c>
      <c r="AN5225" t="s">
        <v>53</v>
      </c>
      <c r="AO5225" t="s">
        <v>53</v>
      </c>
      <c r="AP5225" t="s">
        <v>53</v>
      </c>
    </row>
    <row r="5226" spans="2:42" x14ac:dyDescent="0.2">
      <c r="B5226" t="s">
        <v>44</v>
      </c>
      <c r="C5226" t="str">
        <f>HYPERLINK("https://us2.cloudbeds.com/connect/8493803454333002#/reservations/9080486846212491?display=2GPSDVY0QD&amp;reservation_id=9080486846212491", "2GPSDVY0QD")</f>
        <v>2GPSDVY0QD</v>
      </c>
      <c r="D5226" t="s">
        <v>45</v>
      </c>
      <c r="E5226" t="s">
        <v>406</v>
      </c>
      <c r="F5226" t="s">
        <v>61</v>
      </c>
      <c r="G5226" t="s">
        <v>48</v>
      </c>
      <c r="H5226" t="s">
        <v>49</v>
      </c>
      <c r="I5226" t="s">
        <v>62</v>
      </c>
      <c r="J5226" t="s">
        <v>7276</v>
      </c>
      <c r="K5226" t="s">
        <v>7861</v>
      </c>
      <c r="L5226" t="s">
        <v>53</v>
      </c>
      <c r="N5226" t="s">
        <v>9246</v>
      </c>
      <c r="P5226" t="s">
        <v>55</v>
      </c>
      <c r="R5226" t="s">
        <v>56</v>
      </c>
      <c r="T5226" t="s">
        <v>9247</v>
      </c>
      <c r="U5226" t="s">
        <v>55</v>
      </c>
      <c r="V5226">
        <v>1</v>
      </c>
      <c r="W5226">
        <v>1</v>
      </c>
      <c r="X5226">
        <v>2</v>
      </c>
      <c r="Y5226">
        <v>0</v>
      </c>
      <c r="Z5226">
        <v>2</v>
      </c>
      <c r="AA5226">
        <v>172</v>
      </c>
      <c r="AB5226">
        <v>172</v>
      </c>
      <c r="AC5226">
        <v>172</v>
      </c>
      <c r="AD5226">
        <v>0</v>
      </c>
      <c r="AE5226">
        <v>0</v>
      </c>
      <c r="AF5226">
        <v>0</v>
      </c>
      <c r="AG5226">
        <v>0</v>
      </c>
      <c r="AH5226">
        <v>0</v>
      </c>
      <c r="AI5226">
        <v>30.96</v>
      </c>
      <c r="AJ5226">
        <v>172</v>
      </c>
      <c r="AK5226">
        <v>0</v>
      </c>
      <c r="AL5226" t="s">
        <v>53</v>
      </c>
      <c r="AM5226" t="s">
        <v>53</v>
      </c>
      <c r="AN5226" t="s">
        <v>53</v>
      </c>
      <c r="AO5226" t="s">
        <v>53</v>
      </c>
      <c r="AP5226" t="s">
        <v>53</v>
      </c>
    </row>
    <row r="5227" spans="2:42" x14ac:dyDescent="0.2">
      <c r="B5227" t="s">
        <v>44</v>
      </c>
      <c r="C5227" t="str">
        <f>HYPERLINK("https://us2.cloudbeds.com/connect/8493803454333002#/reservations/9080486846212646?display=2GQ2WDN933&amp;reservation_id=9080486846212646", "2GQ2WDN933")</f>
        <v>2GQ2WDN933</v>
      </c>
      <c r="D5227" t="s">
        <v>45</v>
      </c>
      <c r="E5227" t="s">
        <v>113</v>
      </c>
      <c r="F5227" t="s">
        <v>61</v>
      </c>
      <c r="G5227" t="s">
        <v>48</v>
      </c>
      <c r="H5227" t="s">
        <v>49</v>
      </c>
      <c r="I5227" t="s">
        <v>50</v>
      </c>
      <c r="J5227" t="s">
        <v>6374</v>
      </c>
      <c r="K5227" t="s">
        <v>7829</v>
      </c>
      <c r="L5227" t="s">
        <v>53</v>
      </c>
      <c r="N5227" t="s">
        <v>9248</v>
      </c>
      <c r="P5227" t="s">
        <v>55</v>
      </c>
      <c r="R5227" t="s">
        <v>53</v>
      </c>
      <c r="T5227" t="s">
        <v>9249</v>
      </c>
      <c r="U5227" t="s">
        <v>58</v>
      </c>
      <c r="V5227">
        <v>1</v>
      </c>
      <c r="W5227">
        <v>1</v>
      </c>
      <c r="X5227">
        <v>2</v>
      </c>
      <c r="Y5227">
        <v>0</v>
      </c>
      <c r="Z5227">
        <v>2</v>
      </c>
      <c r="AA5227">
        <v>143.93</v>
      </c>
      <c r="AB5227">
        <v>143.93</v>
      </c>
      <c r="AC5227">
        <v>126.65</v>
      </c>
      <c r="AD5227">
        <v>0</v>
      </c>
      <c r="AE5227">
        <v>17.28</v>
      </c>
      <c r="AF5227">
        <v>0</v>
      </c>
      <c r="AG5227">
        <v>0</v>
      </c>
      <c r="AH5227">
        <v>0</v>
      </c>
      <c r="AI5227">
        <v>25.91</v>
      </c>
      <c r="AJ5227">
        <v>143.93</v>
      </c>
      <c r="AK5227">
        <v>0</v>
      </c>
      <c r="AL5227" t="s">
        <v>53</v>
      </c>
      <c r="AM5227" t="s">
        <v>53</v>
      </c>
      <c r="AN5227" t="s">
        <v>9250</v>
      </c>
      <c r="AO5227" t="s">
        <v>53</v>
      </c>
      <c r="AP5227" t="s">
        <v>53</v>
      </c>
    </row>
    <row r="5228" spans="2:42" x14ac:dyDescent="0.2">
      <c r="B5228" t="s">
        <v>44</v>
      </c>
      <c r="C5228" t="str">
        <f>HYPERLINK("https://us2.cloudbeds.com/connect/8493803454333002#/reservations/9080486846212835?display=2GQE0RJADA&amp;reservation_id=9080486846212835", "2GQE0RJADA")</f>
        <v>2GQE0RJADA</v>
      </c>
      <c r="D5228" t="s">
        <v>45</v>
      </c>
      <c r="E5228" t="s">
        <v>305</v>
      </c>
      <c r="F5228" t="s">
        <v>61</v>
      </c>
      <c r="G5228" t="s">
        <v>48</v>
      </c>
      <c r="H5228" t="s">
        <v>49</v>
      </c>
      <c r="I5228" t="s">
        <v>50</v>
      </c>
      <c r="J5228" t="s">
        <v>7276</v>
      </c>
      <c r="K5228" t="s">
        <v>7302</v>
      </c>
      <c r="L5228" t="s">
        <v>53</v>
      </c>
      <c r="N5228" t="s">
        <v>9251</v>
      </c>
      <c r="P5228" t="s">
        <v>55</v>
      </c>
      <c r="R5228" t="s">
        <v>53</v>
      </c>
      <c r="T5228" t="s">
        <v>9252</v>
      </c>
      <c r="U5228" t="s">
        <v>58</v>
      </c>
      <c r="V5228">
        <v>2</v>
      </c>
      <c r="W5228">
        <v>1</v>
      </c>
      <c r="X5228">
        <v>2</v>
      </c>
      <c r="Y5228">
        <v>0</v>
      </c>
      <c r="Z5228">
        <v>2</v>
      </c>
      <c r="AA5228">
        <v>333.28</v>
      </c>
      <c r="AB5228">
        <v>333.28</v>
      </c>
      <c r="AC5228">
        <v>293.25</v>
      </c>
      <c r="AD5228">
        <v>0</v>
      </c>
      <c r="AE5228">
        <v>40.03</v>
      </c>
      <c r="AF5228">
        <v>0</v>
      </c>
      <c r="AG5228">
        <v>0</v>
      </c>
      <c r="AH5228">
        <v>0</v>
      </c>
      <c r="AI5228">
        <v>59.99</v>
      </c>
      <c r="AJ5228">
        <v>333.28</v>
      </c>
      <c r="AK5228">
        <v>0</v>
      </c>
      <c r="AL5228" t="s">
        <v>53</v>
      </c>
      <c r="AM5228" t="s">
        <v>53</v>
      </c>
      <c r="AN5228" t="s">
        <v>53</v>
      </c>
      <c r="AO5228" t="s">
        <v>53</v>
      </c>
      <c r="AP5228" t="s">
        <v>53</v>
      </c>
    </row>
    <row r="5229" spans="2:42" x14ac:dyDescent="0.2">
      <c r="B5229" t="s">
        <v>44</v>
      </c>
      <c r="C5229" t="str">
        <f>HYPERLINK("https://us2.cloudbeds.com/connect/8493803454333002#/reservations/9080486846212934?display=2GQK7HFZT5&amp;reservation_id=9080486846212934", "2GQK7HFZT5")</f>
        <v>2GQK7HFZT5</v>
      </c>
      <c r="D5229" t="s">
        <v>45</v>
      </c>
      <c r="E5229" t="s">
        <v>381</v>
      </c>
      <c r="F5229" t="s">
        <v>47</v>
      </c>
      <c r="G5229" t="s">
        <v>48</v>
      </c>
      <c r="H5229" t="s">
        <v>49</v>
      </c>
      <c r="I5229" t="s">
        <v>62</v>
      </c>
      <c r="J5229" t="s">
        <v>5593</v>
      </c>
      <c r="K5229" t="s">
        <v>7706</v>
      </c>
      <c r="L5229" t="s">
        <v>53</v>
      </c>
      <c r="N5229" t="s">
        <v>9253</v>
      </c>
      <c r="P5229" t="s">
        <v>55</v>
      </c>
      <c r="R5229" t="s">
        <v>56</v>
      </c>
      <c r="T5229" t="s">
        <v>9254</v>
      </c>
      <c r="U5229" t="s">
        <v>55</v>
      </c>
      <c r="V5229">
        <v>2</v>
      </c>
      <c r="W5229">
        <v>1</v>
      </c>
      <c r="X5229">
        <v>2</v>
      </c>
      <c r="Y5229">
        <v>0</v>
      </c>
      <c r="Z5229">
        <v>2</v>
      </c>
      <c r="AA5229">
        <v>328</v>
      </c>
      <c r="AB5229">
        <v>328</v>
      </c>
      <c r="AC5229">
        <v>328</v>
      </c>
      <c r="AD5229">
        <v>0</v>
      </c>
      <c r="AE5229">
        <v>0</v>
      </c>
      <c r="AF5229">
        <v>0</v>
      </c>
      <c r="AG5229">
        <v>0</v>
      </c>
      <c r="AH5229">
        <v>0</v>
      </c>
      <c r="AI5229">
        <v>59.04</v>
      </c>
      <c r="AJ5229">
        <v>328</v>
      </c>
      <c r="AK5229">
        <v>0</v>
      </c>
      <c r="AL5229" t="s">
        <v>53</v>
      </c>
      <c r="AM5229" t="s">
        <v>53</v>
      </c>
      <c r="AN5229" t="s">
        <v>53</v>
      </c>
      <c r="AO5229" t="s">
        <v>53</v>
      </c>
      <c r="AP5229" t="s">
        <v>53</v>
      </c>
    </row>
    <row r="5230" spans="2:42" x14ac:dyDescent="0.2">
      <c r="B5230" t="s">
        <v>44</v>
      </c>
      <c r="C5230" t="str">
        <f>HYPERLINK("https://us2.cloudbeds.com/connect/8493803454333002#/reservations/9080486846213367?display=2GRAG2MMHS&amp;reservation_id=9080486846213367", "2GRAG2MMHS")</f>
        <v>2GRAG2MMHS</v>
      </c>
      <c r="D5230" t="s">
        <v>45</v>
      </c>
      <c r="E5230" t="s">
        <v>406</v>
      </c>
      <c r="F5230" t="s">
        <v>61</v>
      </c>
      <c r="G5230" t="s">
        <v>48</v>
      </c>
      <c r="H5230" t="s">
        <v>49</v>
      </c>
      <c r="I5230" t="s">
        <v>62</v>
      </c>
      <c r="J5230" t="s">
        <v>5593</v>
      </c>
      <c r="K5230" t="s">
        <v>5594</v>
      </c>
      <c r="L5230" t="s">
        <v>53</v>
      </c>
      <c r="N5230" t="s">
        <v>9255</v>
      </c>
      <c r="P5230" t="s">
        <v>55</v>
      </c>
      <c r="R5230" t="s">
        <v>56</v>
      </c>
      <c r="T5230" t="s">
        <v>9256</v>
      </c>
      <c r="U5230" t="s">
        <v>55</v>
      </c>
      <c r="V5230">
        <v>1</v>
      </c>
      <c r="W5230">
        <v>1</v>
      </c>
      <c r="X5230">
        <v>2</v>
      </c>
      <c r="Y5230">
        <v>0</v>
      </c>
      <c r="Z5230">
        <v>2</v>
      </c>
      <c r="AA5230">
        <v>184</v>
      </c>
      <c r="AB5230">
        <v>184</v>
      </c>
      <c r="AC5230">
        <v>184</v>
      </c>
      <c r="AD5230">
        <v>0</v>
      </c>
      <c r="AE5230">
        <v>0</v>
      </c>
      <c r="AF5230">
        <v>0</v>
      </c>
      <c r="AG5230">
        <v>0</v>
      </c>
      <c r="AH5230">
        <v>0</v>
      </c>
      <c r="AI5230">
        <v>33.119999999999997</v>
      </c>
      <c r="AJ5230">
        <v>184</v>
      </c>
      <c r="AK5230">
        <v>0</v>
      </c>
      <c r="AL5230" t="s">
        <v>53</v>
      </c>
      <c r="AM5230" t="s">
        <v>53</v>
      </c>
      <c r="AN5230" t="s">
        <v>53</v>
      </c>
      <c r="AO5230" t="s">
        <v>53</v>
      </c>
      <c r="AP5230" t="s">
        <v>53</v>
      </c>
    </row>
    <row r="5231" spans="2:42" x14ac:dyDescent="0.2">
      <c r="B5231" t="s">
        <v>44</v>
      </c>
      <c r="C5231" t="str">
        <f>HYPERLINK("https://us2.cloudbeds.com/connect/8493803454333002#/reservations/9080486846213519?display=2GRXCXFYA0&amp;reservation_id=9080486846213519", "2GRXCXFYA0")</f>
        <v>2GRXCXFYA0</v>
      </c>
      <c r="D5231" t="s">
        <v>45</v>
      </c>
      <c r="E5231" t="s">
        <v>69</v>
      </c>
      <c r="F5231" t="s">
        <v>70</v>
      </c>
      <c r="G5231" t="s">
        <v>48</v>
      </c>
      <c r="H5231" t="s">
        <v>49</v>
      </c>
      <c r="I5231" t="s">
        <v>62</v>
      </c>
      <c r="J5231" t="s">
        <v>7353</v>
      </c>
      <c r="K5231" t="s">
        <v>7151</v>
      </c>
      <c r="L5231" t="s">
        <v>53</v>
      </c>
      <c r="N5231" t="s">
        <v>9257</v>
      </c>
      <c r="P5231" t="s">
        <v>55</v>
      </c>
      <c r="R5231" t="s">
        <v>56</v>
      </c>
      <c r="T5231" t="s">
        <v>9258</v>
      </c>
      <c r="U5231" t="s">
        <v>55</v>
      </c>
      <c r="V5231">
        <v>2</v>
      </c>
      <c r="W5231">
        <v>1</v>
      </c>
      <c r="X5231">
        <v>2</v>
      </c>
      <c r="Y5231">
        <v>0</v>
      </c>
      <c r="Z5231">
        <v>2</v>
      </c>
      <c r="AA5231">
        <v>373.35</v>
      </c>
      <c r="AB5231">
        <v>373.35</v>
      </c>
      <c r="AC5231">
        <v>373.35</v>
      </c>
      <c r="AD5231">
        <v>0</v>
      </c>
      <c r="AE5231">
        <v>0</v>
      </c>
      <c r="AF5231">
        <v>0</v>
      </c>
      <c r="AG5231">
        <v>0</v>
      </c>
      <c r="AH5231">
        <v>0</v>
      </c>
      <c r="AI5231">
        <v>67.2</v>
      </c>
      <c r="AJ5231">
        <v>373.35</v>
      </c>
      <c r="AK5231">
        <v>0</v>
      </c>
      <c r="AL5231" t="s">
        <v>53</v>
      </c>
      <c r="AM5231" t="s">
        <v>53</v>
      </c>
      <c r="AN5231" t="s">
        <v>53</v>
      </c>
      <c r="AO5231" t="s">
        <v>53</v>
      </c>
      <c r="AP5231" t="s">
        <v>53</v>
      </c>
    </row>
    <row r="5232" spans="2:42" x14ac:dyDescent="0.2">
      <c r="B5232" t="s">
        <v>44</v>
      </c>
      <c r="C5232" t="str">
        <f>HYPERLINK("https://us2.cloudbeds.com/connect/8493803454333002#/reservations/9080486846213536?display=2GRJ7G5K5K&amp;reservation_id=9080486846213536", "2GRJ7G5K5K")</f>
        <v>2GRJ7G5K5K</v>
      </c>
      <c r="D5232" t="s">
        <v>45</v>
      </c>
      <c r="E5232" t="s">
        <v>179</v>
      </c>
      <c r="F5232" t="s">
        <v>47</v>
      </c>
      <c r="G5232" t="s">
        <v>48</v>
      </c>
      <c r="H5232" t="s">
        <v>49</v>
      </c>
      <c r="I5232" t="s">
        <v>50</v>
      </c>
      <c r="J5232" t="s">
        <v>7276</v>
      </c>
      <c r="K5232" t="s">
        <v>7861</v>
      </c>
      <c r="L5232" t="s">
        <v>53</v>
      </c>
      <c r="N5232" t="s">
        <v>9259</v>
      </c>
      <c r="P5232" t="s">
        <v>55</v>
      </c>
      <c r="R5232" t="s">
        <v>53</v>
      </c>
      <c r="T5232" t="s">
        <v>9260</v>
      </c>
      <c r="U5232" t="s">
        <v>58</v>
      </c>
      <c r="V5232">
        <v>1</v>
      </c>
      <c r="W5232">
        <v>1</v>
      </c>
      <c r="X5232">
        <v>1</v>
      </c>
      <c r="Y5232">
        <v>0</v>
      </c>
      <c r="Z5232">
        <v>1</v>
      </c>
      <c r="AA5232">
        <v>165.7</v>
      </c>
      <c r="AB5232">
        <v>165.7</v>
      </c>
      <c r="AC5232">
        <v>145.80000000000001</v>
      </c>
      <c r="AD5232">
        <v>0</v>
      </c>
      <c r="AE5232">
        <v>19.899999999999999</v>
      </c>
      <c r="AF5232">
        <v>0</v>
      </c>
      <c r="AG5232">
        <v>0</v>
      </c>
      <c r="AH5232">
        <v>0</v>
      </c>
      <c r="AI5232">
        <v>29.83</v>
      </c>
      <c r="AJ5232">
        <v>165.7</v>
      </c>
      <c r="AK5232">
        <v>0</v>
      </c>
      <c r="AL5232" t="s">
        <v>53</v>
      </c>
      <c r="AM5232" t="s">
        <v>53</v>
      </c>
      <c r="AN5232" t="s">
        <v>53</v>
      </c>
      <c r="AO5232" t="s">
        <v>53</v>
      </c>
      <c r="AP5232" t="s">
        <v>53</v>
      </c>
    </row>
    <row r="5233" spans="2:42" x14ac:dyDescent="0.2">
      <c r="B5233" t="s">
        <v>44</v>
      </c>
      <c r="C5233" t="str">
        <f>HYPERLINK("https://us2.cloudbeds.com/connect/8493803454333002#/reservations/9080486846213588?display=2GRYTHZYDH&amp;reservation_id=9080486846213588", "2GRYTHZYDH")</f>
        <v>2GRYTHZYDH</v>
      </c>
      <c r="D5233" t="s">
        <v>45</v>
      </c>
      <c r="E5233" t="s">
        <v>46</v>
      </c>
      <c r="F5233" t="s">
        <v>47</v>
      </c>
      <c r="G5233" t="s">
        <v>48</v>
      </c>
      <c r="H5233" t="s">
        <v>49</v>
      </c>
      <c r="I5233" t="s">
        <v>50</v>
      </c>
      <c r="J5233" t="s">
        <v>7276</v>
      </c>
      <c r="K5233" t="s">
        <v>7861</v>
      </c>
      <c r="L5233" t="s">
        <v>53</v>
      </c>
      <c r="N5233" t="s">
        <v>9261</v>
      </c>
      <c r="P5233" t="s">
        <v>55</v>
      </c>
      <c r="R5233" t="s">
        <v>53</v>
      </c>
      <c r="T5233" t="s">
        <v>9262</v>
      </c>
      <c r="U5233" t="s">
        <v>58</v>
      </c>
      <c r="V5233">
        <v>1</v>
      </c>
      <c r="W5233">
        <v>1</v>
      </c>
      <c r="X5233">
        <v>2</v>
      </c>
      <c r="Y5233">
        <v>0</v>
      </c>
      <c r="Z5233">
        <v>2</v>
      </c>
      <c r="AA5233">
        <v>165.7</v>
      </c>
      <c r="AB5233">
        <v>165.7</v>
      </c>
      <c r="AC5233">
        <v>145.80000000000001</v>
      </c>
      <c r="AD5233">
        <v>0</v>
      </c>
      <c r="AE5233">
        <v>19.899999999999999</v>
      </c>
      <c r="AF5233">
        <v>0</v>
      </c>
      <c r="AG5233">
        <v>0</v>
      </c>
      <c r="AH5233">
        <v>0</v>
      </c>
      <c r="AI5233">
        <v>29.83</v>
      </c>
      <c r="AJ5233">
        <v>165.7</v>
      </c>
      <c r="AK5233">
        <v>0</v>
      </c>
      <c r="AL5233" t="s">
        <v>53</v>
      </c>
      <c r="AM5233" t="s">
        <v>53</v>
      </c>
      <c r="AN5233" t="s">
        <v>53</v>
      </c>
      <c r="AO5233" t="s">
        <v>53</v>
      </c>
      <c r="AP5233" t="s">
        <v>53</v>
      </c>
    </row>
    <row r="5234" spans="2:42" x14ac:dyDescent="0.2">
      <c r="B5234" t="s">
        <v>44</v>
      </c>
      <c r="C5234" t="str">
        <f>HYPERLINK("https://us2.cloudbeds.com/connect/8493803454333002#/reservations/9080486846213641?display=2GRPA8K626&amp;reservation_id=9080486846213641", "2GRPA8K626")</f>
        <v>2GRPA8K626</v>
      </c>
      <c r="D5234" t="s">
        <v>45</v>
      </c>
      <c r="E5234" t="s">
        <v>265</v>
      </c>
      <c r="F5234" t="s">
        <v>61</v>
      </c>
      <c r="G5234" t="s">
        <v>48</v>
      </c>
      <c r="H5234" t="s">
        <v>49</v>
      </c>
      <c r="I5234" t="s">
        <v>62</v>
      </c>
      <c r="J5234" t="s">
        <v>7276</v>
      </c>
      <c r="K5234" t="s">
        <v>7861</v>
      </c>
      <c r="L5234" t="s">
        <v>53</v>
      </c>
      <c r="N5234" t="s">
        <v>9263</v>
      </c>
      <c r="P5234" t="s">
        <v>55</v>
      </c>
      <c r="R5234" t="s">
        <v>56</v>
      </c>
      <c r="T5234" t="s">
        <v>9264</v>
      </c>
      <c r="U5234" t="s">
        <v>55</v>
      </c>
      <c r="V5234">
        <v>1</v>
      </c>
      <c r="W5234">
        <v>1</v>
      </c>
      <c r="X5234">
        <v>2</v>
      </c>
      <c r="Y5234">
        <v>0</v>
      </c>
      <c r="Z5234">
        <v>2</v>
      </c>
      <c r="AA5234">
        <v>172</v>
      </c>
      <c r="AB5234">
        <v>172</v>
      </c>
      <c r="AC5234">
        <v>172</v>
      </c>
      <c r="AD5234">
        <v>0</v>
      </c>
      <c r="AE5234">
        <v>0</v>
      </c>
      <c r="AF5234">
        <v>0</v>
      </c>
      <c r="AG5234">
        <v>0</v>
      </c>
      <c r="AH5234">
        <v>0</v>
      </c>
      <c r="AI5234">
        <v>30.96</v>
      </c>
      <c r="AJ5234">
        <v>172</v>
      </c>
      <c r="AK5234">
        <v>0</v>
      </c>
      <c r="AL5234" t="s">
        <v>53</v>
      </c>
      <c r="AM5234" t="s">
        <v>53</v>
      </c>
      <c r="AN5234" t="s">
        <v>53</v>
      </c>
      <c r="AO5234" t="s">
        <v>53</v>
      </c>
      <c r="AP5234" t="s">
        <v>53</v>
      </c>
    </row>
    <row r="5235" spans="2:42" x14ac:dyDescent="0.2">
      <c r="B5235" t="s">
        <v>44</v>
      </c>
      <c r="C5235" t="str">
        <f>HYPERLINK("https://us2.cloudbeds.com/connect/8493803454333002#/reservations/9080486846216142?display=2GVNJ6JQ95&amp;reservation_id=9080486846216142", "2GVNJ6JQ95")</f>
        <v>2GVNJ6JQ95</v>
      </c>
      <c r="D5235" t="s">
        <v>45</v>
      </c>
      <c r="E5235" t="s">
        <v>138</v>
      </c>
      <c r="F5235" t="s">
        <v>70</v>
      </c>
      <c r="G5235" t="s">
        <v>48</v>
      </c>
      <c r="H5235" t="s">
        <v>49</v>
      </c>
      <c r="I5235" t="s">
        <v>50</v>
      </c>
      <c r="J5235" t="s">
        <v>8670</v>
      </c>
      <c r="K5235" t="s">
        <v>8799</v>
      </c>
      <c r="L5235" t="s">
        <v>53</v>
      </c>
      <c r="N5235" t="s">
        <v>9265</v>
      </c>
      <c r="P5235" t="s">
        <v>55</v>
      </c>
      <c r="R5235" t="s">
        <v>53</v>
      </c>
      <c r="T5235" t="s">
        <v>9266</v>
      </c>
      <c r="U5235" t="s">
        <v>58</v>
      </c>
      <c r="V5235">
        <v>2</v>
      </c>
      <c r="W5235">
        <v>1</v>
      </c>
      <c r="X5235">
        <v>1</v>
      </c>
      <c r="Y5235">
        <v>0</v>
      </c>
      <c r="Z5235">
        <v>1</v>
      </c>
      <c r="AA5235">
        <v>303.77999999999997</v>
      </c>
      <c r="AB5235">
        <v>303.77999999999997</v>
      </c>
      <c r="AC5235">
        <v>267.3</v>
      </c>
      <c r="AD5235">
        <v>0</v>
      </c>
      <c r="AE5235">
        <v>36.479999999999997</v>
      </c>
      <c r="AF5235">
        <v>0</v>
      </c>
      <c r="AG5235">
        <v>0</v>
      </c>
      <c r="AH5235">
        <v>0</v>
      </c>
      <c r="AI5235">
        <v>54.68</v>
      </c>
      <c r="AJ5235">
        <v>303.77999999999997</v>
      </c>
      <c r="AK5235">
        <v>0</v>
      </c>
      <c r="AL5235" t="s">
        <v>53</v>
      </c>
      <c r="AM5235" t="s">
        <v>53</v>
      </c>
      <c r="AN5235" t="s">
        <v>53</v>
      </c>
      <c r="AO5235" t="s">
        <v>53</v>
      </c>
      <c r="AP5235" t="s">
        <v>53</v>
      </c>
    </row>
    <row r="5236" spans="2:42" x14ac:dyDescent="0.2">
      <c r="B5236" t="s">
        <v>44</v>
      </c>
      <c r="C5236" t="str">
        <f>HYPERLINK("https://us2.cloudbeds.com/connect/8493803454333002#/reservations/9080486846216721?display=2GWCM64Z66&amp;reservation_id=9080486846216721", "2GWCM64Z66")</f>
        <v>2GWCM64Z66</v>
      </c>
      <c r="D5236" t="s">
        <v>45</v>
      </c>
      <c r="E5236" t="s">
        <v>138</v>
      </c>
      <c r="F5236" t="s">
        <v>70</v>
      </c>
      <c r="G5236" t="s">
        <v>48</v>
      </c>
      <c r="H5236" t="s">
        <v>49</v>
      </c>
      <c r="I5236" t="s">
        <v>50</v>
      </c>
      <c r="J5236" t="s">
        <v>5743</v>
      </c>
      <c r="K5236" t="s">
        <v>5744</v>
      </c>
      <c r="L5236" t="s">
        <v>53</v>
      </c>
      <c r="N5236" t="s">
        <v>9267</v>
      </c>
      <c r="P5236" t="s">
        <v>55</v>
      </c>
      <c r="R5236" t="s">
        <v>53</v>
      </c>
      <c r="T5236" t="s">
        <v>9268</v>
      </c>
      <c r="U5236" t="s">
        <v>58</v>
      </c>
      <c r="V5236">
        <v>2</v>
      </c>
      <c r="W5236">
        <v>1</v>
      </c>
      <c r="X5236">
        <v>2</v>
      </c>
      <c r="Y5236">
        <v>0</v>
      </c>
      <c r="Z5236">
        <v>2</v>
      </c>
      <c r="AA5236">
        <v>388.67</v>
      </c>
      <c r="AB5236">
        <v>388.67</v>
      </c>
      <c r="AC5236">
        <v>341.99</v>
      </c>
      <c r="AD5236">
        <v>0</v>
      </c>
      <c r="AE5236">
        <v>46.68</v>
      </c>
      <c r="AF5236">
        <v>0</v>
      </c>
      <c r="AG5236">
        <v>0</v>
      </c>
      <c r="AH5236">
        <v>0</v>
      </c>
      <c r="AI5236">
        <v>69.959999999999994</v>
      </c>
      <c r="AJ5236">
        <v>388.67</v>
      </c>
      <c r="AK5236">
        <v>0</v>
      </c>
      <c r="AL5236" t="s">
        <v>53</v>
      </c>
      <c r="AM5236" t="s">
        <v>53</v>
      </c>
      <c r="AN5236" t="s">
        <v>53</v>
      </c>
      <c r="AO5236" t="s">
        <v>53</v>
      </c>
      <c r="AP5236" t="s">
        <v>53</v>
      </c>
    </row>
    <row r="5237" spans="2:42" x14ac:dyDescent="0.2">
      <c r="B5237" t="s">
        <v>44</v>
      </c>
      <c r="C5237" t="str">
        <f>HYPERLINK("https://us2.cloudbeds.com/connect/8493803454333002#/reservations/116724970553556?display=2GWRKHWQGN&amp;reservation_id=116724970553556", "2GWRKHWQGN")</f>
        <v>2GWRKHWQGN</v>
      </c>
      <c r="D5237" t="s">
        <v>45</v>
      </c>
      <c r="E5237" t="s">
        <v>305</v>
      </c>
      <c r="F5237" t="s">
        <v>61</v>
      </c>
      <c r="G5237" t="s">
        <v>7801</v>
      </c>
      <c r="H5237" t="s">
        <v>3957</v>
      </c>
      <c r="I5237" t="s">
        <v>3958</v>
      </c>
      <c r="J5237" t="s">
        <v>7302</v>
      </c>
      <c r="K5237" t="s">
        <v>5594</v>
      </c>
      <c r="L5237" t="s">
        <v>53</v>
      </c>
      <c r="P5237" t="s">
        <v>58</v>
      </c>
      <c r="R5237" t="s">
        <v>56</v>
      </c>
      <c r="T5237" t="s">
        <v>9269</v>
      </c>
      <c r="U5237" t="s">
        <v>58</v>
      </c>
      <c r="V5237">
        <v>2</v>
      </c>
      <c r="W5237">
        <v>1</v>
      </c>
      <c r="X5237">
        <v>1</v>
      </c>
      <c r="Y5237">
        <v>0</v>
      </c>
      <c r="Z5237">
        <v>1</v>
      </c>
      <c r="AA5237">
        <v>419.37</v>
      </c>
      <c r="AB5237">
        <v>419.37</v>
      </c>
      <c r="AC5237">
        <v>369</v>
      </c>
      <c r="AD5237">
        <v>0</v>
      </c>
      <c r="AE5237">
        <v>50.37</v>
      </c>
      <c r="AF5237">
        <v>0</v>
      </c>
      <c r="AG5237">
        <v>0</v>
      </c>
      <c r="AH5237">
        <v>0</v>
      </c>
      <c r="AI5237">
        <v>0</v>
      </c>
      <c r="AJ5237">
        <v>419.37</v>
      </c>
      <c r="AK5237">
        <v>0</v>
      </c>
      <c r="AL5237" t="s">
        <v>53</v>
      </c>
      <c r="AM5237" t="s">
        <v>53</v>
      </c>
      <c r="AN5237" t="s">
        <v>53</v>
      </c>
      <c r="AO5237" t="s">
        <v>53</v>
      </c>
      <c r="AP5237" t="s">
        <v>53</v>
      </c>
    </row>
    <row r="5238" spans="2:42" x14ac:dyDescent="0.2">
      <c r="B5238" t="s">
        <v>44</v>
      </c>
      <c r="C5238" t="str">
        <f>HYPERLINK("https://us2.cloudbeds.com/connect/8493803454333002#/reservations/116729020600526?display=2GWUP13ATP&amp;reservation_id=116729020600526", "2GWUP13ATP")</f>
        <v>2GWUP13ATP</v>
      </c>
      <c r="D5238" t="s">
        <v>45</v>
      </c>
      <c r="E5238" t="s">
        <v>121</v>
      </c>
      <c r="F5238" t="s">
        <v>86</v>
      </c>
      <c r="G5238" t="s">
        <v>48</v>
      </c>
      <c r="H5238" t="s">
        <v>3957</v>
      </c>
      <c r="I5238" t="s">
        <v>3975</v>
      </c>
      <c r="J5238" t="s">
        <v>7302</v>
      </c>
      <c r="K5238" t="s">
        <v>5593</v>
      </c>
      <c r="L5238" t="s">
        <v>53</v>
      </c>
      <c r="P5238" t="s">
        <v>55</v>
      </c>
      <c r="R5238" t="s">
        <v>53</v>
      </c>
      <c r="T5238" t="s">
        <v>9270</v>
      </c>
      <c r="U5238" t="s">
        <v>58</v>
      </c>
      <c r="V5238">
        <v>1</v>
      </c>
      <c r="W5238">
        <v>1</v>
      </c>
      <c r="X5238">
        <v>2</v>
      </c>
      <c r="Y5238">
        <v>0</v>
      </c>
      <c r="Z5238">
        <v>2</v>
      </c>
      <c r="AA5238">
        <v>237.53</v>
      </c>
      <c r="AB5238">
        <v>237.53</v>
      </c>
      <c r="AC5238">
        <v>209</v>
      </c>
      <c r="AD5238">
        <v>0</v>
      </c>
      <c r="AE5238">
        <v>28.53</v>
      </c>
      <c r="AF5238">
        <v>0</v>
      </c>
      <c r="AG5238">
        <v>0</v>
      </c>
      <c r="AH5238">
        <v>0</v>
      </c>
      <c r="AI5238">
        <v>0</v>
      </c>
      <c r="AJ5238">
        <v>237.53</v>
      </c>
      <c r="AK5238">
        <v>0</v>
      </c>
      <c r="AL5238" t="s">
        <v>53</v>
      </c>
      <c r="AM5238" t="s">
        <v>53</v>
      </c>
      <c r="AN5238" t="s">
        <v>53</v>
      </c>
      <c r="AO5238" t="s">
        <v>53</v>
      </c>
      <c r="AP5238" t="s">
        <v>53</v>
      </c>
    </row>
    <row r="5239" spans="2:42" x14ac:dyDescent="0.2">
      <c r="B5239" t="s">
        <v>44</v>
      </c>
      <c r="C5239" t="str">
        <f>HYPERLINK("https://us2.cloudbeds.com/connect/8493803454333002#/reservations/9080486846217707?display=2H0DY15PCW&amp;reservation_id=9080486846217707", "2H0DY15PCW")</f>
        <v>2H0DY15PCW</v>
      </c>
      <c r="D5239" t="s">
        <v>45</v>
      </c>
      <c r="E5239" t="s">
        <v>373</v>
      </c>
      <c r="F5239" t="s">
        <v>47</v>
      </c>
      <c r="G5239" t="s">
        <v>48</v>
      </c>
      <c r="H5239" t="s">
        <v>49</v>
      </c>
      <c r="I5239" t="s">
        <v>50</v>
      </c>
      <c r="J5239" t="s">
        <v>7276</v>
      </c>
      <c r="K5239" t="s">
        <v>7861</v>
      </c>
      <c r="L5239" t="s">
        <v>53</v>
      </c>
      <c r="N5239" t="s">
        <v>9271</v>
      </c>
      <c r="P5239" t="s">
        <v>55</v>
      </c>
      <c r="R5239" t="s">
        <v>53</v>
      </c>
      <c r="T5239" t="s">
        <v>9272</v>
      </c>
      <c r="U5239" t="s">
        <v>58</v>
      </c>
      <c r="V5239">
        <v>1</v>
      </c>
      <c r="W5239">
        <v>1</v>
      </c>
      <c r="X5239">
        <v>2</v>
      </c>
      <c r="Y5239">
        <v>0</v>
      </c>
      <c r="Z5239">
        <v>2</v>
      </c>
      <c r="AA5239">
        <v>188.2</v>
      </c>
      <c r="AB5239">
        <v>188.2</v>
      </c>
      <c r="AC5239">
        <v>165.6</v>
      </c>
      <c r="AD5239">
        <v>0</v>
      </c>
      <c r="AE5239">
        <v>22.6</v>
      </c>
      <c r="AF5239">
        <v>0</v>
      </c>
      <c r="AG5239">
        <v>0</v>
      </c>
      <c r="AH5239">
        <v>0</v>
      </c>
      <c r="AI5239">
        <v>33.880000000000003</v>
      </c>
      <c r="AJ5239">
        <v>188.2</v>
      </c>
      <c r="AK5239">
        <v>0</v>
      </c>
      <c r="AL5239" t="s">
        <v>53</v>
      </c>
      <c r="AM5239" t="s">
        <v>53</v>
      </c>
      <c r="AN5239" t="s">
        <v>53</v>
      </c>
      <c r="AO5239" t="s">
        <v>53</v>
      </c>
      <c r="AP5239" t="s">
        <v>53</v>
      </c>
    </row>
    <row r="5240" spans="2:42" x14ac:dyDescent="0.2">
      <c r="B5240" t="s">
        <v>44</v>
      </c>
      <c r="C5240" t="str">
        <f>HYPERLINK("https://us2.cloudbeds.com/connect/8493803454333002#/reservations/9080486846218204?display=2H0VB9M90S&amp;reservation_id=9080486846218204", "2H0VB9M90S")</f>
        <v>2H0VB9M90S</v>
      </c>
      <c r="D5240" t="s">
        <v>45</v>
      </c>
      <c r="E5240" t="s">
        <v>138</v>
      </c>
      <c r="F5240" t="s">
        <v>70</v>
      </c>
      <c r="G5240" t="s">
        <v>48</v>
      </c>
      <c r="H5240" t="s">
        <v>49</v>
      </c>
      <c r="I5240" t="s">
        <v>62</v>
      </c>
      <c r="J5240" t="s">
        <v>7802</v>
      </c>
      <c r="K5240" t="s">
        <v>8053</v>
      </c>
      <c r="L5240" t="s">
        <v>53</v>
      </c>
      <c r="N5240" t="s">
        <v>9273</v>
      </c>
      <c r="P5240" t="s">
        <v>55</v>
      </c>
      <c r="R5240" t="s">
        <v>56</v>
      </c>
      <c r="T5240" t="s">
        <v>9274</v>
      </c>
      <c r="U5240" t="s">
        <v>55</v>
      </c>
      <c r="V5240">
        <v>1</v>
      </c>
      <c r="W5240">
        <v>1</v>
      </c>
      <c r="X5240">
        <v>2</v>
      </c>
      <c r="Y5240">
        <v>0</v>
      </c>
      <c r="Z5240">
        <v>2</v>
      </c>
      <c r="AA5240">
        <v>139.65</v>
      </c>
      <c r="AB5240">
        <v>139.65</v>
      </c>
      <c r="AC5240">
        <v>139.65</v>
      </c>
      <c r="AD5240">
        <v>0</v>
      </c>
      <c r="AE5240">
        <v>0</v>
      </c>
      <c r="AF5240">
        <v>0</v>
      </c>
      <c r="AG5240">
        <v>0</v>
      </c>
      <c r="AH5240">
        <v>0</v>
      </c>
      <c r="AI5240">
        <v>25.14</v>
      </c>
      <c r="AJ5240">
        <v>139.65</v>
      </c>
      <c r="AK5240">
        <v>0</v>
      </c>
      <c r="AL5240" t="s">
        <v>53</v>
      </c>
      <c r="AM5240" t="s">
        <v>53</v>
      </c>
      <c r="AN5240" t="s">
        <v>53</v>
      </c>
      <c r="AO5240" t="s">
        <v>53</v>
      </c>
      <c r="AP5240" t="s">
        <v>53</v>
      </c>
    </row>
    <row r="5241" spans="2:42" x14ac:dyDescent="0.2">
      <c r="B5241" t="s">
        <v>44</v>
      </c>
      <c r="C5241" t="str">
        <f>HYPERLINK("https://us2.cloudbeds.com/connect/8493803454333002#/reservations/9080486846218325?display=2H15819WRN&amp;reservation_id=9080486846218325", "2H15819WRN")</f>
        <v>2H15819WRN</v>
      </c>
      <c r="D5241" t="s">
        <v>45</v>
      </c>
      <c r="E5241" t="s">
        <v>155</v>
      </c>
      <c r="F5241" t="s">
        <v>86</v>
      </c>
      <c r="G5241" t="s">
        <v>48</v>
      </c>
      <c r="H5241" t="s">
        <v>49</v>
      </c>
      <c r="I5241" t="s">
        <v>50</v>
      </c>
      <c r="J5241" t="s">
        <v>8750</v>
      </c>
      <c r="K5241" t="s">
        <v>6396</v>
      </c>
      <c r="L5241" t="s">
        <v>53</v>
      </c>
      <c r="N5241" t="s">
        <v>9275</v>
      </c>
      <c r="P5241" t="s">
        <v>55</v>
      </c>
      <c r="R5241" t="s">
        <v>53</v>
      </c>
      <c r="T5241" t="s">
        <v>9276</v>
      </c>
      <c r="U5241" t="s">
        <v>58</v>
      </c>
      <c r="V5241">
        <v>2</v>
      </c>
      <c r="W5241">
        <v>1</v>
      </c>
      <c r="X5241">
        <v>2</v>
      </c>
      <c r="Y5241">
        <v>0</v>
      </c>
      <c r="Z5241">
        <v>2</v>
      </c>
      <c r="AA5241">
        <v>562.58000000000004</v>
      </c>
      <c r="AB5241">
        <v>562.58000000000004</v>
      </c>
      <c r="AC5241">
        <v>495</v>
      </c>
      <c r="AD5241">
        <v>0</v>
      </c>
      <c r="AE5241">
        <v>67.58</v>
      </c>
      <c r="AF5241">
        <v>0</v>
      </c>
      <c r="AG5241">
        <v>0</v>
      </c>
      <c r="AH5241">
        <v>0</v>
      </c>
      <c r="AI5241">
        <v>101.26</v>
      </c>
      <c r="AJ5241">
        <v>562.58000000000004</v>
      </c>
      <c r="AK5241">
        <v>0</v>
      </c>
      <c r="AL5241" t="s">
        <v>53</v>
      </c>
      <c r="AM5241" t="s">
        <v>53</v>
      </c>
      <c r="AN5241" t="s">
        <v>53</v>
      </c>
      <c r="AO5241" t="s">
        <v>53</v>
      </c>
      <c r="AP5241" t="s">
        <v>53</v>
      </c>
    </row>
    <row r="5242" spans="2:42" x14ac:dyDescent="0.2">
      <c r="B5242" t="s">
        <v>44</v>
      </c>
      <c r="C5242" t="str">
        <f>HYPERLINK("https://us2.cloudbeds.com/connect/8493803454333002#/reservations/9080486846218360?display=2H16SZ5XUD&amp;reservation_id=9080486846218360", "2H16SZ5XUD")</f>
        <v>2H16SZ5XUD</v>
      </c>
      <c r="D5242" t="s">
        <v>45</v>
      </c>
      <c r="E5242" t="s">
        <v>213</v>
      </c>
      <c r="F5242" t="s">
        <v>86</v>
      </c>
      <c r="G5242" t="s">
        <v>48</v>
      </c>
      <c r="H5242" t="s">
        <v>49</v>
      </c>
      <c r="I5242" t="s">
        <v>8964</v>
      </c>
      <c r="J5242" t="s">
        <v>6396</v>
      </c>
      <c r="K5242" t="s">
        <v>7962</v>
      </c>
      <c r="L5242" t="s">
        <v>53</v>
      </c>
      <c r="N5242" t="s">
        <v>9277</v>
      </c>
      <c r="P5242" t="s">
        <v>55</v>
      </c>
      <c r="R5242" t="s">
        <v>53</v>
      </c>
      <c r="T5242" t="s">
        <v>9278</v>
      </c>
      <c r="U5242" t="s">
        <v>58</v>
      </c>
      <c r="V5242">
        <v>3</v>
      </c>
      <c r="W5242">
        <v>1</v>
      </c>
      <c r="X5242">
        <v>3</v>
      </c>
      <c r="Y5242">
        <v>0</v>
      </c>
      <c r="Z5242">
        <v>3</v>
      </c>
      <c r="AA5242">
        <v>530</v>
      </c>
      <c r="AB5242">
        <v>0</v>
      </c>
      <c r="AC5242">
        <v>530</v>
      </c>
      <c r="AD5242">
        <v>0</v>
      </c>
      <c r="AE5242">
        <v>0</v>
      </c>
      <c r="AF5242">
        <v>0</v>
      </c>
      <c r="AG5242">
        <v>0</v>
      </c>
      <c r="AH5242">
        <v>0</v>
      </c>
      <c r="AI5242">
        <v>79.5</v>
      </c>
      <c r="AJ5242">
        <v>530</v>
      </c>
      <c r="AK5242">
        <v>530</v>
      </c>
      <c r="AL5242" t="s">
        <v>53</v>
      </c>
      <c r="AM5242" t="s">
        <v>53</v>
      </c>
      <c r="AN5242" t="s">
        <v>53</v>
      </c>
      <c r="AO5242" t="s">
        <v>53</v>
      </c>
      <c r="AP5242" t="s">
        <v>53</v>
      </c>
    </row>
    <row r="5243" spans="2:42" x14ac:dyDescent="0.2">
      <c r="B5243" t="s">
        <v>44</v>
      </c>
      <c r="C5243" t="str">
        <f>HYPERLINK("https://us2.cloudbeds.com/connect/8493803454333002#/reservations/9080486846218783?display=2H1UCGD5UC&amp;reservation_id=9080486846218783", "2H1UCGD5UC")</f>
        <v>2H1UCGD5UC</v>
      </c>
      <c r="D5243" t="s">
        <v>45</v>
      </c>
      <c r="E5243" t="s">
        <v>223</v>
      </c>
      <c r="F5243" t="s">
        <v>47</v>
      </c>
      <c r="G5243" t="s">
        <v>48</v>
      </c>
      <c r="H5243" t="s">
        <v>49</v>
      </c>
      <c r="I5243" t="s">
        <v>62</v>
      </c>
      <c r="J5243" t="s">
        <v>7962</v>
      </c>
      <c r="K5243" t="s">
        <v>7822</v>
      </c>
      <c r="L5243" t="s">
        <v>53</v>
      </c>
      <c r="N5243" t="s">
        <v>9279</v>
      </c>
      <c r="P5243" t="s">
        <v>55</v>
      </c>
      <c r="R5243" t="s">
        <v>56</v>
      </c>
      <c r="T5243" t="s">
        <v>9280</v>
      </c>
      <c r="U5243" t="s">
        <v>55</v>
      </c>
      <c r="V5243">
        <v>3</v>
      </c>
      <c r="W5243">
        <v>1</v>
      </c>
      <c r="X5243">
        <v>2</v>
      </c>
      <c r="Y5243">
        <v>0</v>
      </c>
      <c r="Z5243">
        <v>2</v>
      </c>
      <c r="AA5243">
        <v>502</v>
      </c>
      <c r="AB5243">
        <v>502</v>
      </c>
      <c r="AC5243">
        <v>502</v>
      </c>
      <c r="AD5243">
        <v>0</v>
      </c>
      <c r="AE5243">
        <v>0</v>
      </c>
      <c r="AF5243">
        <v>0</v>
      </c>
      <c r="AG5243">
        <v>0</v>
      </c>
      <c r="AH5243">
        <v>0</v>
      </c>
      <c r="AI5243">
        <v>90.36</v>
      </c>
      <c r="AJ5243">
        <v>502</v>
      </c>
      <c r="AK5243">
        <v>0</v>
      </c>
      <c r="AL5243" t="s">
        <v>53</v>
      </c>
      <c r="AM5243" t="s">
        <v>53</v>
      </c>
      <c r="AN5243" t="s">
        <v>53</v>
      </c>
      <c r="AO5243" t="s">
        <v>53</v>
      </c>
      <c r="AP5243" t="s">
        <v>53</v>
      </c>
    </row>
    <row r="5244" spans="2:42" x14ac:dyDescent="0.2">
      <c r="B5244" t="s">
        <v>44</v>
      </c>
      <c r="C5244" t="str">
        <f>HYPERLINK("https://us2.cloudbeds.com/connect/8493803454333002#/reservations/9080486846218824?display=2H1WM6SJUZ&amp;reservation_id=9080486846218824", "2H1WM6SJUZ")</f>
        <v>2H1WM6SJUZ</v>
      </c>
      <c r="D5244" t="s">
        <v>45</v>
      </c>
      <c r="E5244" t="s">
        <v>487</v>
      </c>
      <c r="F5244" t="s">
        <v>61</v>
      </c>
      <c r="G5244" t="s">
        <v>48</v>
      </c>
      <c r="H5244" t="s">
        <v>49</v>
      </c>
      <c r="I5244" t="s">
        <v>62</v>
      </c>
      <c r="J5244" t="s">
        <v>7510</v>
      </c>
      <c r="K5244" t="s">
        <v>8750</v>
      </c>
      <c r="L5244" t="s">
        <v>53</v>
      </c>
      <c r="N5244" t="s">
        <v>9281</v>
      </c>
      <c r="P5244" t="s">
        <v>55</v>
      </c>
      <c r="R5244" t="s">
        <v>56</v>
      </c>
      <c r="T5244" t="s">
        <v>9282</v>
      </c>
      <c r="U5244" t="s">
        <v>55</v>
      </c>
      <c r="V5244">
        <v>2</v>
      </c>
      <c r="W5244">
        <v>1</v>
      </c>
      <c r="X5244">
        <v>2</v>
      </c>
      <c r="Y5244">
        <v>0</v>
      </c>
      <c r="Z5244">
        <v>2</v>
      </c>
      <c r="AA5244">
        <v>343.9</v>
      </c>
      <c r="AB5244">
        <v>343.9</v>
      </c>
      <c r="AC5244">
        <v>343.9</v>
      </c>
      <c r="AD5244">
        <v>0</v>
      </c>
      <c r="AE5244">
        <v>0</v>
      </c>
      <c r="AF5244">
        <v>0</v>
      </c>
      <c r="AG5244">
        <v>0</v>
      </c>
      <c r="AH5244">
        <v>0</v>
      </c>
      <c r="AI5244">
        <v>61.9</v>
      </c>
      <c r="AJ5244">
        <v>343.9</v>
      </c>
      <c r="AK5244">
        <v>0</v>
      </c>
      <c r="AL5244" t="s">
        <v>53</v>
      </c>
      <c r="AM5244" t="s">
        <v>53</v>
      </c>
      <c r="AN5244" t="s">
        <v>53</v>
      </c>
      <c r="AO5244" t="s">
        <v>53</v>
      </c>
      <c r="AP5244" t="s">
        <v>53</v>
      </c>
    </row>
    <row r="5245" spans="2:42" x14ac:dyDescent="0.2">
      <c r="B5245" t="s">
        <v>44</v>
      </c>
      <c r="C5245" t="str">
        <f>HYPERLINK("https://us2.cloudbeds.com/connect/8493803454333002#/reservations/116820780925143?display=2H22QNRKN8&amp;reservation_id=116820780925143", "2H22QNRKN8")</f>
        <v>2H22QNRKN8</v>
      </c>
      <c r="D5245" t="s">
        <v>45</v>
      </c>
      <c r="E5245" t="s">
        <v>406</v>
      </c>
      <c r="F5245" t="s">
        <v>61</v>
      </c>
      <c r="G5245" t="s">
        <v>48</v>
      </c>
      <c r="H5245" t="s">
        <v>3957</v>
      </c>
      <c r="I5245" t="s">
        <v>3975</v>
      </c>
      <c r="J5245" t="s">
        <v>7353</v>
      </c>
      <c r="K5245" t="s">
        <v>8750</v>
      </c>
      <c r="L5245" t="s">
        <v>53</v>
      </c>
      <c r="P5245" t="s">
        <v>55</v>
      </c>
      <c r="R5245" t="s">
        <v>53</v>
      </c>
      <c r="T5245" t="s">
        <v>9283</v>
      </c>
      <c r="U5245" t="s">
        <v>58</v>
      </c>
      <c r="V5245">
        <v>1</v>
      </c>
      <c r="W5245">
        <v>1</v>
      </c>
      <c r="X5245">
        <v>2</v>
      </c>
      <c r="Y5245">
        <v>0</v>
      </c>
      <c r="Z5245">
        <v>2</v>
      </c>
      <c r="AA5245">
        <v>219.35</v>
      </c>
      <c r="AB5245">
        <v>219.35</v>
      </c>
      <c r="AC5245">
        <v>193</v>
      </c>
      <c r="AD5245">
        <v>0</v>
      </c>
      <c r="AE5245">
        <v>26.35</v>
      </c>
      <c r="AF5245">
        <v>0</v>
      </c>
      <c r="AG5245">
        <v>0</v>
      </c>
      <c r="AH5245">
        <v>0</v>
      </c>
      <c r="AI5245">
        <v>0</v>
      </c>
      <c r="AJ5245">
        <v>219.35</v>
      </c>
      <c r="AK5245">
        <v>0</v>
      </c>
      <c r="AL5245" t="s">
        <v>53</v>
      </c>
      <c r="AM5245" t="s">
        <v>53</v>
      </c>
      <c r="AN5245" t="s">
        <v>53</v>
      </c>
      <c r="AO5245" t="s">
        <v>53</v>
      </c>
      <c r="AP5245" t="s">
        <v>53</v>
      </c>
    </row>
    <row r="5246" spans="2:42" x14ac:dyDescent="0.2">
      <c r="B5246" t="s">
        <v>44</v>
      </c>
      <c r="C5246" t="str">
        <f>HYPERLINK("https://us2.cloudbeds.com/connect/8493803454333002#/reservations/9080486846219085?display=2H2DKPFR01&amp;reservation_id=9080486846219085", "2H2DKPFR01")</f>
        <v>2H2DKPFR01</v>
      </c>
      <c r="D5246" t="s">
        <v>45</v>
      </c>
      <c r="E5246" t="s">
        <v>78</v>
      </c>
      <c r="F5246" t="s">
        <v>61</v>
      </c>
      <c r="G5246" t="s">
        <v>48</v>
      </c>
      <c r="H5246" t="s">
        <v>49</v>
      </c>
      <c r="I5246" t="s">
        <v>62</v>
      </c>
      <c r="J5246" t="s">
        <v>8394</v>
      </c>
      <c r="K5246" t="s">
        <v>8670</v>
      </c>
      <c r="L5246" t="s">
        <v>53</v>
      </c>
      <c r="N5246" t="s">
        <v>9284</v>
      </c>
      <c r="P5246" t="s">
        <v>55</v>
      </c>
      <c r="R5246" t="s">
        <v>56</v>
      </c>
      <c r="T5246" t="s">
        <v>9285</v>
      </c>
      <c r="U5246" t="s">
        <v>55</v>
      </c>
      <c r="V5246">
        <v>6</v>
      </c>
      <c r="W5246">
        <v>1</v>
      </c>
      <c r="X5246">
        <v>2</v>
      </c>
      <c r="Y5246">
        <v>0</v>
      </c>
      <c r="Z5246">
        <v>2</v>
      </c>
      <c r="AA5246">
        <v>936</v>
      </c>
      <c r="AB5246">
        <v>936</v>
      </c>
      <c r="AC5246">
        <v>936</v>
      </c>
      <c r="AD5246">
        <v>0</v>
      </c>
      <c r="AE5246">
        <v>0</v>
      </c>
      <c r="AF5246">
        <v>0</v>
      </c>
      <c r="AG5246">
        <v>0</v>
      </c>
      <c r="AH5246">
        <v>0</v>
      </c>
      <c r="AI5246">
        <v>168.48</v>
      </c>
      <c r="AJ5246">
        <v>936</v>
      </c>
      <c r="AK5246">
        <v>0</v>
      </c>
      <c r="AL5246" t="s">
        <v>53</v>
      </c>
      <c r="AM5246" t="s">
        <v>53</v>
      </c>
      <c r="AN5246" t="s">
        <v>53</v>
      </c>
      <c r="AO5246" t="s">
        <v>53</v>
      </c>
      <c r="AP5246" t="s">
        <v>53</v>
      </c>
    </row>
    <row r="5247" spans="2:42" x14ac:dyDescent="0.2">
      <c r="B5247" t="s">
        <v>44</v>
      </c>
      <c r="C5247" t="str">
        <f>HYPERLINK("https://us2.cloudbeds.com/connect/8493803454333002#/reservations/9080486846219130?display=2H2G5TF6XZ&amp;reservation_id=9080486846219130", "2H2G5TF6XZ")</f>
        <v>2H2G5TF6XZ</v>
      </c>
      <c r="D5247" t="s">
        <v>45</v>
      </c>
      <c r="E5247" t="s">
        <v>185</v>
      </c>
      <c r="F5247" t="s">
        <v>47</v>
      </c>
      <c r="G5247" t="s">
        <v>48</v>
      </c>
      <c r="H5247" t="s">
        <v>49</v>
      </c>
      <c r="I5247" t="s">
        <v>50</v>
      </c>
      <c r="J5247" t="s">
        <v>7861</v>
      </c>
      <c r="K5247" t="s">
        <v>5593</v>
      </c>
      <c r="L5247" t="s">
        <v>53</v>
      </c>
      <c r="N5247" t="s">
        <v>9286</v>
      </c>
      <c r="P5247" t="s">
        <v>55</v>
      </c>
      <c r="R5247" t="s">
        <v>53</v>
      </c>
      <c r="T5247" t="s">
        <v>9287</v>
      </c>
      <c r="U5247" t="s">
        <v>58</v>
      </c>
      <c r="V5247">
        <v>2</v>
      </c>
      <c r="W5247">
        <v>1</v>
      </c>
      <c r="X5247">
        <v>1</v>
      </c>
      <c r="Y5247">
        <v>0</v>
      </c>
      <c r="Z5247">
        <v>1</v>
      </c>
      <c r="AA5247">
        <v>318.22000000000003</v>
      </c>
      <c r="AB5247">
        <v>318.22000000000003</v>
      </c>
      <c r="AC5247">
        <v>280</v>
      </c>
      <c r="AD5247">
        <v>0</v>
      </c>
      <c r="AE5247">
        <v>38.22</v>
      </c>
      <c r="AF5247">
        <v>0</v>
      </c>
      <c r="AG5247">
        <v>0</v>
      </c>
      <c r="AH5247">
        <v>0</v>
      </c>
      <c r="AI5247">
        <v>57.28</v>
      </c>
      <c r="AJ5247">
        <v>318.22000000000003</v>
      </c>
      <c r="AK5247">
        <v>0</v>
      </c>
      <c r="AL5247" t="s">
        <v>53</v>
      </c>
      <c r="AM5247" t="s">
        <v>53</v>
      </c>
      <c r="AN5247" t="s">
        <v>53</v>
      </c>
      <c r="AO5247" t="s">
        <v>53</v>
      </c>
      <c r="AP5247" t="s">
        <v>53</v>
      </c>
    </row>
    <row r="5248" spans="2:42" x14ac:dyDescent="0.2">
      <c r="B5248" t="s">
        <v>44</v>
      </c>
      <c r="C5248" t="str">
        <f>HYPERLINK("https://us2.cloudbeds.com/connect/8493803454333002#/reservations/9080486846219181?display=2H2X9EDSA2&amp;reservation_id=9080486846219181", "2H2X9EDSA2")</f>
        <v>2H2X9EDSA2</v>
      </c>
      <c r="D5248" t="s">
        <v>45</v>
      </c>
      <c r="E5248" t="s">
        <v>185</v>
      </c>
      <c r="F5248" t="s">
        <v>47</v>
      </c>
      <c r="G5248" t="s">
        <v>48</v>
      </c>
      <c r="H5248" t="s">
        <v>49</v>
      </c>
      <c r="I5248" t="s">
        <v>62</v>
      </c>
      <c r="J5248" t="s">
        <v>6396</v>
      </c>
      <c r="K5248" t="s">
        <v>7962</v>
      </c>
      <c r="L5248" t="s">
        <v>53</v>
      </c>
      <c r="N5248" t="s">
        <v>9288</v>
      </c>
      <c r="P5248" t="s">
        <v>55</v>
      </c>
      <c r="R5248" t="s">
        <v>56</v>
      </c>
      <c r="T5248" t="s">
        <v>9289</v>
      </c>
      <c r="U5248" t="s">
        <v>55</v>
      </c>
      <c r="V5248">
        <v>3</v>
      </c>
      <c r="W5248">
        <v>1</v>
      </c>
      <c r="X5248">
        <v>2</v>
      </c>
      <c r="Y5248">
        <v>0</v>
      </c>
      <c r="Z5248">
        <v>2</v>
      </c>
      <c r="AA5248">
        <v>419.9</v>
      </c>
      <c r="AB5248">
        <v>419.9</v>
      </c>
      <c r="AC5248">
        <v>419.9</v>
      </c>
      <c r="AD5248">
        <v>0</v>
      </c>
      <c r="AE5248">
        <v>0</v>
      </c>
      <c r="AF5248">
        <v>0</v>
      </c>
      <c r="AG5248">
        <v>0</v>
      </c>
      <c r="AH5248">
        <v>0</v>
      </c>
      <c r="AI5248">
        <v>75.58</v>
      </c>
      <c r="AJ5248">
        <v>419.9</v>
      </c>
      <c r="AK5248">
        <v>0</v>
      </c>
      <c r="AL5248" t="s">
        <v>53</v>
      </c>
      <c r="AM5248" t="s">
        <v>53</v>
      </c>
      <c r="AN5248" t="s">
        <v>53</v>
      </c>
      <c r="AO5248" t="s">
        <v>53</v>
      </c>
      <c r="AP5248" t="s">
        <v>53</v>
      </c>
    </row>
    <row r="5249" spans="2:42" x14ac:dyDescent="0.2">
      <c r="B5249" t="s">
        <v>44</v>
      </c>
      <c r="C5249" t="str">
        <f>HYPERLINK("https://us2.cloudbeds.com/connect/8493803454333002#/reservations/116940340568214?display=2H4TCZMV08&amp;reservation_id=116940340568214", "2H4TCZMV08")</f>
        <v>2H4TCZMV08</v>
      </c>
      <c r="D5249" t="s">
        <v>45</v>
      </c>
      <c r="E5249" t="s">
        <v>98</v>
      </c>
      <c r="F5249" t="s">
        <v>86</v>
      </c>
      <c r="G5249" t="s">
        <v>3974</v>
      </c>
      <c r="H5249" t="s">
        <v>3957</v>
      </c>
      <c r="I5249" t="s">
        <v>3975</v>
      </c>
      <c r="J5249" t="s">
        <v>8060</v>
      </c>
      <c r="K5249" t="s">
        <v>7967</v>
      </c>
      <c r="L5249" t="s">
        <v>53</v>
      </c>
      <c r="P5249" t="s">
        <v>55</v>
      </c>
      <c r="R5249" t="s">
        <v>53</v>
      </c>
      <c r="T5249" t="s">
        <v>9290</v>
      </c>
      <c r="U5249" t="s">
        <v>58</v>
      </c>
      <c r="V5249">
        <v>1</v>
      </c>
      <c r="W5249">
        <v>1</v>
      </c>
      <c r="X5249">
        <v>1</v>
      </c>
      <c r="Y5249">
        <v>2</v>
      </c>
      <c r="Z5249">
        <v>3</v>
      </c>
      <c r="AA5249">
        <v>173.83</v>
      </c>
      <c r="AB5249">
        <v>173.83</v>
      </c>
      <c r="AC5249">
        <v>152.94999999999999</v>
      </c>
      <c r="AD5249">
        <v>0</v>
      </c>
      <c r="AE5249">
        <v>20.88</v>
      </c>
      <c r="AF5249">
        <v>0</v>
      </c>
      <c r="AG5249">
        <v>0</v>
      </c>
      <c r="AH5249">
        <v>0</v>
      </c>
      <c r="AI5249">
        <v>0</v>
      </c>
      <c r="AJ5249">
        <v>173.83</v>
      </c>
      <c r="AK5249">
        <v>0</v>
      </c>
      <c r="AL5249" t="s">
        <v>53</v>
      </c>
      <c r="AM5249" t="s">
        <v>53</v>
      </c>
      <c r="AN5249" t="s">
        <v>53</v>
      </c>
      <c r="AO5249" t="s">
        <v>53</v>
      </c>
      <c r="AP5249" t="s">
        <v>53</v>
      </c>
    </row>
    <row r="5250" spans="2:42" x14ac:dyDescent="0.2">
      <c r="B5250" t="s">
        <v>44</v>
      </c>
      <c r="C5250" t="str">
        <f>HYPERLINK("https://us2.cloudbeds.com/connect/8493803454333002#/reservations/9080486846221533?display=2H6YPDR7GR&amp;reservation_id=9080486846221533", "2H6YPDR7GR")</f>
        <v>2H6YPDR7GR</v>
      </c>
      <c r="D5250" t="s">
        <v>45</v>
      </c>
      <c r="E5250" t="s">
        <v>110</v>
      </c>
      <c r="F5250" t="s">
        <v>47</v>
      </c>
      <c r="G5250" t="s">
        <v>48</v>
      </c>
      <c r="H5250" t="s">
        <v>49</v>
      </c>
      <c r="I5250" t="s">
        <v>50</v>
      </c>
      <c r="J5250" t="s">
        <v>9291</v>
      </c>
      <c r="K5250" t="s">
        <v>8818</v>
      </c>
      <c r="L5250" t="s">
        <v>53</v>
      </c>
      <c r="N5250" t="s">
        <v>9292</v>
      </c>
      <c r="P5250" t="s">
        <v>55</v>
      </c>
      <c r="R5250" t="s">
        <v>53</v>
      </c>
      <c r="T5250" t="s">
        <v>9293</v>
      </c>
      <c r="U5250" t="s">
        <v>58</v>
      </c>
      <c r="V5250">
        <v>2</v>
      </c>
      <c r="W5250">
        <v>1</v>
      </c>
      <c r="X5250">
        <v>2</v>
      </c>
      <c r="Y5250">
        <v>0</v>
      </c>
      <c r="Z5250">
        <v>2</v>
      </c>
      <c r="AA5250">
        <v>267.3</v>
      </c>
      <c r="AB5250">
        <v>267.3</v>
      </c>
      <c r="AC5250">
        <v>235.2</v>
      </c>
      <c r="AD5250">
        <v>0</v>
      </c>
      <c r="AE5250">
        <v>32.1</v>
      </c>
      <c r="AF5250">
        <v>0</v>
      </c>
      <c r="AG5250">
        <v>0</v>
      </c>
      <c r="AH5250">
        <v>0</v>
      </c>
      <c r="AI5250">
        <v>48.11</v>
      </c>
      <c r="AJ5250">
        <v>267.3</v>
      </c>
      <c r="AK5250">
        <v>0</v>
      </c>
      <c r="AL5250" t="s">
        <v>53</v>
      </c>
      <c r="AM5250" t="s">
        <v>53</v>
      </c>
      <c r="AN5250" t="s">
        <v>53</v>
      </c>
      <c r="AO5250" t="s">
        <v>53</v>
      </c>
      <c r="AP5250" t="s">
        <v>53</v>
      </c>
    </row>
    <row r="5251" spans="2:42" x14ac:dyDescent="0.2">
      <c r="B5251" t="s">
        <v>44</v>
      </c>
      <c r="C5251" t="str">
        <f>HYPERLINK("https://us2.cloudbeds.com/connect/8493803454333002#/reservations/117020090196113?display=2H6P4HMTX4&amp;reservation_id=117020090196113", "2H6P4HMTX4")</f>
        <v>2H6P4HMTX4</v>
      </c>
      <c r="D5251" t="s">
        <v>45</v>
      </c>
      <c r="E5251" t="s">
        <v>105</v>
      </c>
      <c r="F5251" t="s">
        <v>47</v>
      </c>
      <c r="G5251" t="s">
        <v>48</v>
      </c>
      <c r="H5251" t="s">
        <v>3957</v>
      </c>
      <c r="I5251" t="s">
        <v>3975</v>
      </c>
      <c r="J5251" t="s">
        <v>8750</v>
      </c>
      <c r="K5251" t="s">
        <v>6396</v>
      </c>
      <c r="L5251" t="s">
        <v>53</v>
      </c>
      <c r="P5251" t="s">
        <v>55</v>
      </c>
      <c r="R5251" t="s">
        <v>53</v>
      </c>
      <c r="T5251" t="s">
        <v>9294</v>
      </c>
      <c r="U5251" t="s">
        <v>58</v>
      </c>
      <c r="V5251">
        <v>2</v>
      </c>
      <c r="W5251">
        <v>1</v>
      </c>
      <c r="X5251">
        <v>2</v>
      </c>
      <c r="Y5251">
        <v>0</v>
      </c>
      <c r="Z5251">
        <v>2</v>
      </c>
      <c r="AA5251">
        <v>458.02</v>
      </c>
      <c r="AB5251">
        <v>458.02</v>
      </c>
      <c r="AC5251">
        <v>403</v>
      </c>
      <c r="AD5251">
        <v>0</v>
      </c>
      <c r="AE5251">
        <v>55.02</v>
      </c>
      <c r="AF5251">
        <v>0</v>
      </c>
      <c r="AG5251">
        <v>0</v>
      </c>
      <c r="AH5251">
        <v>0</v>
      </c>
      <c r="AI5251">
        <v>0</v>
      </c>
      <c r="AJ5251">
        <v>458.02</v>
      </c>
      <c r="AK5251">
        <v>0</v>
      </c>
      <c r="AL5251" t="s">
        <v>53</v>
      </c>
      <c r="AM5251" t="s">
        <v>53</v>
      </c>
      <c r="AN5251" t="s">
        <v>53</v>
      </c>
      <c r="AO5251" t="s">
        <v>53</v>
      </c>
      <c r="AP5251" t="s">
        <v>53</v>
      </c>
    </row>
    <row r="5252" spans="2:42" x14ac:dyDescent="0.2">
      <c r="B5252" t="s">
        <v>44</v>
      </c>
      <c r="C5252" t="str">
        <f>HYPERLINK("https://us2.cloudbeds.com/connect/8493803454333002#/reservations/117032260726925?display=2H71XH6S84&amp;reservation_id=117032260726925", "2H71XH6S84")</f>
        <v>2H71XH6S84</v>
      </c>
      <c r="D5252" t="s">
        <v>45</v>
      </c>
      <c r="E5252" t="s">
        <v>179</v>
      </c>
      <c r="F5252" t="s">
        <v>47</v>
      </c>
      <c r="G5252" t="s">
        <v>3974</v>
      </c>
      <c r="H5252" t="s">
        <v>3957</v>
      </c>
      <c r="I5252" t="s">
        <v>3975</v>
      </c>
      <c r="J5252" t="s">
        <v>7151</v>
      </c>
      <c r="K5252" t="s">
        <v>6397</v>
      </c>
      <c r="L5252" t="s">
        <v>53</v>
      </c>
      <c r="P5252" t="s">
        <v>55</v>
      </c>
      <c r="R5252" t="s">
        <v>53</v>
      </c>
      <c r="T5252" t="s">
        <v>9295</v>
      </c>
      <c r="U5252" t="s">
        <v>58</v>
      </c>
      <c r="V5252">
        <v>2</v>
      </c>
      <c r="W5252">
        <v>1</v>
      </c>
      <c r="X5252">
        <v>2</v>
      </c>
      <c r="Y5252">
        <v>0</v>
      </c>
      <c r="Z5252">
        <v>2</v>
      </c>
      <c r="AA5252">
        <v>369.26</v>
      </c>
      <c r="AB5252">
        <v>369.26</v>
      </c>
      <c r="AC5252">
        <v>324.89999999999998</v>
      </c>
      <c r="AD5252">
        <v>0</v>
      </c>
      <c r="AE5252">
        <v>44.36</v>
      </c>
      <c r="AF5252">
        <v>0</v>
      </c>
      <c r="AG5252">
        <v>0</v>
      </c>
      <c r="AH5252">
        <v>0</v>
      </c>
      <c r="AI5252">
        <v>0</v>
      </c>
      <c r="AJ5252">
        <v>369.26</v>
      </c>
      <c r="AK5252">
        <v>0</v>
      </c>
      <c r="AL5252" t="s">
        <v>53</v>
      </c>
      <c r="AM5252" t="s">
        <v>53</v>
      </c>
      <c r="AN5252" t="s">
        <v>53</v>
      </c>
      <c r="AO5252" t="s">
        <v>53</v>
      </c>
      <c r="AP5252" t="s">
        <v>53</v>
      </c>
    </row>
    <row r="5253" spans="2:42" x14ac:dyDescent="0.2">
      <c r="B5253" t="s">
        <v>44</v>
      </c>
      <c r="C5253" t="str">
        <f>HYPERLINK("https://us2.cloudbeds.com/connect/8493803454333002#/reservations/9080486846222360?display=2H7HYJ1ETY&amp;reservation_id=9080486846222360", "2H7HYJ1ETY")</f>
        <v>2H7HYJ1ETY</v>
      </c>
      <c r="D5253" t="s">
        <v>45</v>
      </c>
      <c r="E5253" t="s">
        <v>185</v>
      </c>
      <c r="F5253" t="s">
        <v>47</v>
      </c>
      <c r="G5253" t="s">
        <v>48</v>
      </c>
      <c r="H5253" t="s">
        <v>49</v>
      </c>
      <c r="I5253" t="s">
        <v>50</v>
      </c>
      <c r="J5253" t="s">
        <v>7706</v>
      </c>
      <c r="K5253" t="s">
        <v>7510</v>
      </c>
      <c r="L5253" t="s">
        <v>53</v>
      </c>
      <c r="N5253" t="s">
        <v>9296</v>
      </c>
      <c r="P5253" t="s">
        <v>55</v>
      </c>
      <c r="R5253" t="s">
        <v>53</v>
      </c>
      <c r="T5253" t="s">
        <v>9297</v>
      </c>
      <c r="U5253" t="s">
        <v>58</v>
      </c>
      <c r="V5253">
        <v>2</v>
      </c>
      <c r="W5253">
        <v>1</v>
      </c>
      <c r="X5253">
        <v>1</v>
      </c>
      <c r="Y5253">
        <v>0</v>
      </c>
      <c r="Z5253">
        <v>1</v>
      </c>
      <c r="AA5253">
        <v>291.86</v>
      </c>
      <c r="AB5253">
        <v>291.86</v>
      </c>
      <c r="AC5253">
        <v>256.8</v>
      </c>
      <c r="AD5253">
        <v>0</v>
      </c>
      <c r="AE5253">
        <v>35.06</v>
      </c>
      <c r="AF5253">
        <v>0</v>
      </c>
      <c r="AG5253">
        <v>0</v>
      </c>
      <c r="AH5253">
        <v>0</v>
      </c>
      <c r="AI5253">
        <v>52.53</v>
      </c>
      <c r="AJ5253">
        <v>291.86</v>
      </c>
      <c r="AK5253">
        <v>0</v>
      </c>
      <c r="AL5253" t="s">
        <v>53</v>
      </c>
      <c r="AM5253" t="s">
        <v>53</v>
      </c>
      <c r="AN5253" t="s">
        <v>53</v>
      </c>
      <c r="AO5253" t="s">
        <v>53</v>
      </c>
      <c r="AP5253" t="s">
        <v>53</v>
      </c>
    </row>
    <row r="5254" spans="2:42" x14ac:dyDescent="0.2">
      <c r="B5254" t="s">
        <v>44</v>
      </c>
      <c r="C5254" t="str">
        <f>HYPERLINK("https://us2.cloudbeds.com/connect/8493803454333002#/reservations/117056489828574?display=2H7KAKRAZK&amp;reservation_id=117056489828574", "2H7KAKRAZK")</f>
        <v>2H7KAKRAZK</v>
      </c>
      <c r="D5254" t="s">
        <v>45</v>
      </c>
      <c r="E5254" t="s">
        <v>98</v>
      </c>
      <c r="F5254" t="s">
        <v>86</v>
      </c>
      <c r="G5254" t="s">
        <v>48</v>
      </c>
      <c r="H5254" t="s">
        <v>3957</v>
      </c>
      <c r="I5254" t="s">
        <v>3975</v>
      </c>
      <c r="J5254" t="s">
        <v>7974</v>
      </c>
      <c r="K5254" t="s">
        <v>7975</v>
      </c>
      <c r="L5254" t="s">
        <v>53</v>
      </c>
      <c r="P5254" t="s">
        <v>55</v>
      </c>
      <c r="R5254" t="s">
        <v>53</v>
      </c>
      <c r="T5254" t="s">
        <v>9298</v>
      </c>
      <c r="U5254" t="s">
        <v>58</v>
      </c>
      <c r="V5254">
        <v>1</v>
      </c>
      <c r="W5254">
        <v>1</v>
      </c>
      <c r="X5254">
        <v>2</v>
      </c>
      <c r="Y5254">
        <v>0</v>
      </c>
      <c r="Z5254">
        <v>2</v>
      </c>
      <c r="AA5254">
        <v>196.62</v>
      </c>
      <c r="AB5254">
        <v>196.62</v>
      </c>
      <c r="AC5254">
        <v>173</v>
      </c>
      <c r="AD5254">
        <v>0</v>
      </c>
      <c r="AE5254">
        <v>23.62</v>
      </c>
      <c r="AF5254">
        <v>0</v>
      </c>
      <c r="AG5254">
        <v>0</v>
      </c>
      <c r="AH5254">
        <v>0</v>
      </c>
      <c r="AI5254">
        <v>0</v>
      </c>
      <c r="AJ5254">
        <v>196.62</v>
      </c>
      <c r="AK5254">
        <v>0</v>
      </c>
      <c r="AL5254" t="s">
        <v>53</v>
      </c>
      <c r="AM5254" t="s">
        <v>53</v>
      </c>
      <c r="AN5254" t="s">
        <v>53</v>
      </c>
      <c r="AO5254" t="s">
        <v>53</v>
      </c>
      <c r="AP5254" t="s">
        <v>53</v>
      </c>
    </row>
    <row r="5255" spans="2:42" x14ac:dyDescent="0.2">
      <c r="B5255" t="s">
        <v>44</v>
      </c>
      <c r="C5255" t="str">
        <f>HYPERLINK("https://us2.cloudbeds.com/connect/8493803454333002#/reservations/9080486846222487?display=2H7N1JJ7MC&amp;reservation_id=9080486846222487", "2H7N1JJ7MC")</f>
        <v>2H7N1JJ7MC</v>
      </c>
      <c r="D5255" t="s">
        <v>45</v>
      </c>
      <c r="E5255" t="s">
        <v>265</v>
      </c>
      <c r="F5255" t="s">
        <v>61</v>
      </c>
      <c r="G5255" t="s">
        <v>48</v>
      </c>
      <c r="H5255" t="s">
        <v>49</v>
      </c>
      <c r="I5255" t="s">
        <v>50</v>
      </c>
      <c r="J5255" t="s">
        <v>5593</v>
      </c>
      <c r="K5255" t="s">
        <v>5594</v>
      </c>
      <c r="L5255" t="s">
        <v>53</v>
      </c>
      <c r="N5255" t="s">
        <v>9299</v>
      </c>
      <c r="P5255" t="s">
        <v>55</v>
      </c>
      <c r="R5255" t="s">
        <v>53</v>
      </c>
      <c r="T5255" t="s">
        <v>9300</v>
      </c>
      <c r="U5255" t="s">
        <v>58</v>
      </c>
      <c r="V5255">
        <v>1</v>
      </c>
      <c r="W5255">
        <v>1</v>
      </c>
      <c r="X5255">
        <v>1</v>
      </c>
      <c r="Y5255">
        <v>0</v>
      </c>
      <c r="Z5255">
        <v>1</v>
      </c>
      <c r="AA5255">
        <v>228.09</v>
      </c>
      <c r="AB5255">
        <v>228.09</v>
      </c>
      <c r="AC5255">
        <v>200.7</v>
      </c>
      <c r="AD5255">
        <v>0</v>
      </c>
      <c r="AE5255">
        <v>27.39</v>
      </c>
      <c r="AF5255">
        <v>0</v>
      </c>
      <c r="AG5255">
        <v>0</v>
      </c>
      <c r="AH5255">
        <v>0</v>
      </c>
      <c r="AI5255">
        <v>41.06</v>
      </c>
      <c r="AJ5255">
        <v>228.09</v>
      </c>
      <c r="AK5255">
        <v>0</v>
      </c>
      <c r="AL5255" t="s">
        <v>53</v>
      </c>
      <c r="AM5255" t="s">
        <v>53</v>
      </c>
      <c r="AN5255" t="s">
        <v>53</v>
      </c>
      <c r="AO5255" t="s">
        <v>53</v>
      </c>
      <c r="AP5255" t="s">
        <v>53</v>
      </c>
    </row>
    <row r="5256" spans="2:42" x14ac:dyDescent="0.2">
      <c r="B5256" t="s">
        <v>44</v>
      </c>
      <c r="C5256" t="str">
        <f>HYPERLINK("https://us2.cloudbeds.com/connect/8493803454333002#/reservations/117066110132461?display=2H7RPEUF8R&amp;reservation_id=117066110132461", "2H7RPEUF8R")</f>
        <v>2H7RPEUF8R</v>
      </c>
      <c r="D5256" t="s">
        <v>45</v>
      </c>
      <c r="E5256" t="s">
        <v>185</v>
      </c>
      <c r="F5256" t="s">
        <v>47</v>
      </c>
      <c r="G5256" t="s">
        <v>4520</v>
      </c>
      <c r="H5256" t="s">
        <v>3957</v>
      </c>
      <c r="I5256" t="s">
        <v>3989</v>
      </c>
      <c r="J5256" t="s">
        <v>7151</v>
      </c>
      <c r="K5256" t="s">
        <v>6396</v>
      </c>
      <c r="L5256" t="s">
        <v>53</v>
      </c>
      <c r="P5256" t="s">
        <v>55</v>
      </c>
      <c r="R5256" t="s">
        <v>56</v>
      </c>
      <c r="T5256" t="s">
        <v>9301</v>
      </c>
      <c r="U5256" t="s">
        <v>58</v>
      </c>
      <c r="V5256">
        <v>1</v>
      </c>
      <c r="W5256">
        <v>1</v>
      </c>
      <c r="X5256">
        <v>1</v>
      </c>
      <c r="Y5256">
        <v>0</v>
      </c>
      <c r="Z5256">
        <v>1</v>
      </c>
      <c r="AA5256">
        <v>193.31</v>
      </c>
      <c r="AB5256">
        <v>193.31</v>
      </c>
      <c r="AC5256">
        <v>170.1</v>
      </c>
      <c r="AD5256">
        <v>0</v>
      </c>
      <c r="AE5256">
        <v>23.21</v>
      </c>
      <c r="AF5256">
        <v>0</v>
      </c>
      <c r="AG5256">
        <v>0</v>
      </c>
      <c r="AH5256">
        <v>0</v>
      </c>
      <c r="AI5256">
        <v>0</v>
      </c>
      <c r="AJ5256">
        <v>193.31</v>
      </c>
      <c r="AK5256">
        <v>0</v>
      </c>
      <c r="AL5256" t="s">
        <v>53</v>
      </c>
      <c r="AM5256" t="s">
        <v>53</v>
      </c>
      <c r="AN5256" t="s">
        <v>53</v>
      </c>
      <c r="AO5256" t="s">
        <v>53</v>
      </c>
      <c r="AP5256" t="s">
        <v>53</v>
      </c>
    </row>
    <row r="5257" spans="2:42" x14ac:dyDescent="0.2">
      <c r="B5257" t="s">
        <v>44</v>
      </c>
      <c r="C5257" t="str">
        <f>HYPERLINK("https://us2.cloudbeds.com/connect/8493803454333002#/reservations/9080486846222717?display=2H7VQGWSWR&amp;reservation_id=9080486846222717", "2H7VQGWSWR")</f>
        <v>2H7VQGWSWR</v>
      </c>
      <c r="D5257" t="s">
        <v>45</v>
      </c>
      <c r="E5257" t="s">
        <v>46</v>
      </c>
      <c r="F5257" t="s">
        <v>47</v>
      </c>
      <c r="G5257" t="s">
        <v>48</v>
      </c>
      <c r="H5257" t="s">
        <v>49</v>
      </c>
      <c r="I5257" t="s">
        <v>50</v>
      </c>
      <c r="J5257" t="s">
        <v>7861</v>
      </c>
      <c r="K5257" t="s">
        <v>7302</v>
      </c>
      <c r="L5257" t="s">
        <v>53</v>
      </c>
      <c r="N5257" t="s">
        <v>9302</v>
      </c>
      <c r="P5257" t="s">
        <v>55</v>
      </c>
      <c r="R5257" t="s">
        <v>56</v>
      </c>
      <c r="T5257" t="s">
        <v>9303</v>
      </c>
      <c r="U5257" t="s">
        <v>58</v>
      </c>
      <c r="V5257">
        <v>1</v>
      </c>
      <c r="W5257">
        <v>1</v>
      </c>
      <c r="X5257">
        <v>2</v>
      </c>
      <c r="Y5257">
        <v>0</v>
      </c>
      <c r="Z5257">
        <v>2</v>
      </c>
      <c r="AA5257">
        <v>186.16</v>
      </c>
      <c r="AB5257">
        <v>186.16</v>
      </c>
      <c r="AC5257">
        <v>163.80000000000001</v>
      </c>
      <c r="AD5257">
        <v>0</v>
      </c>
      <c r="AE5257">
        <v>22.36</v>
      </c>
      <c r="AF5257">
        <v>0</v>
      </c>
      <c r="AG5257">
        <v>0</v>
      </c>
      <c r="AH5257">
        <v>0</v>
      </c>
      <c r="AI5257">
        <v>33.51</v>
      </c>
      <c r="AJ5257">
        <v>186.16</v>
      </c>
      <c r="AK5257">
        <v>0</v>
      </c>
      <c r="AL5257" t="s">
        <v>53</v>
      </c>
      <c r="AM5257" t="s">
        <v>53</v>
      </c>
      <c r="AN5257" t="s">
        <v>53</v>
      </c>
      <c r="AO5257" t="s">
        <v>53</v>
      </c>
      <c r="AP5257" t="s">
        <v>53</v>
      </c>
    </row>
    <row r="5258" spans="2:42" x14ac:dyDescent="0.2">
      <c r="B5258" t="s">
        <v>44</v>
      </c>
      <c r="C5258" t="str">
        <f>HYPERLINK("https://us2.cloudbeds.com/connect/8493803454333002#/reservations/9080486846223087?display=2H8CVWPYZA&amp;reservation_id=9080486846223087", "2H8CVWPYZA")</f>
        <v>2H8CVWPYZA</v>
      </c>
      <c r="D5258" t="s">
        <v>45</v>
      </c>
      <c r="E5258" t="s">
        <v>190</v>
      </c>
      <c r="F5258" t="s">
        <v>61</v>
      </c>
      <c r="G5258" t="s">
        <v>48</v>
      </c>
      <c r="H5258" t="s">
        <v>49</v>
      </c>
      <c r="I5258" t="s">
        <v>62</v>
      </c>
      <c r="J5258" t="s">
        <v>7861</v>
      </c>
      <c r="K5258" t="s">
        <v>7302</v>
      </c>
      <c r="L5258" t="s">
        <v>53</v>
      </c>
      <c r="N5258" t="s">
        <v>9304</v>
      </c>
      <c r="P5258" t="s">
        <v>55</v>
      </c>
      <c r="R5258" t="s">
        <v>56</v>
      </c>
      <c r="T5258" t="s">
        <v>9305</v>
      </c>
      <c r="U5258" t="s">
        <v>55</v>
      </c>
      <c r="V5258">
        <v>1</v>
      </c>
      <c r="W5258">
        <v>1</v>
      </c>
      <c r="X5258">
        <v>2</v>
      </c>
      <c r="Y5258">
        <v>0</v>
      </c>
      <c r="Z5258">
        <v>2</v>
      </c>
      <c r="AA5258">
        <v>178</v>
      </c>
      <c r="AB5258">
        <v>178</v>
      </c>
      <c r="AC5258">
        <v>178</v>
      </c>
      <c r="AD5258">
        <v>0</v>
      </c>
      <c r="AE5258">
        <v>0</v>
      </c>
      <c r="AF5258">
        <v>0</v>
      </c>
      <c r="AG5258">
        <v>0</v>
      </c>
      <c r="AH5258">
        <v>0</v>
      </c>
      <c r="AI5258">
        <v>32.04</v>
      </c>
      <c r="AJ5258">
        <v>178</v>
      </c>
      <c r="AK5258">
        <v>0</v>
      </c>
      <c r="AL5258" t="s">
        <v>53</v>
      </c>
      <c r="AM5258" t="s">
        <v>53</v>
      </c>
      <c r="AN5258" t="s">
        <v>53</v>
      </c>
      <c r="AO5258" t="s">
        <v>53</v>
      </c>
      <c r="AP5258" t="s">
        <v>53</v>
      </c>
    </row>
    <row r="5259" spans="2:42" x14ac:dyDescent="0.2">
      <c r="B5259" t="s">
        <v>44</v>
      </c>
      <c r="C5259" t="str">
        <f>HYPERLINK("https://us2.cloudbeds.com/connect/8493803454333002#/reservations/9080486846223096?display=2H8D8G0FU4&amp;reservation_id=9080486846223096", "2H8D8G0FU4")</f>
        <v>2H8D8G0FU4</v>
      </c>
      <c r="D5259" t="s">
        <v>45</v>
      </c>
      <c r="E5259" t="s">
        <v>69</v>
      </c>
      <c r="F5259" t="s">
        <v>70</v>
      </c>
      <c r="G5259" t="s">
        <v>48</v>
      </c>
      <c r="H5259" t="s">
        <v>49</v>
      </c>
      <c r="I5259" t="s">
        <v>50</v>
      </c>
      <c r="J5259" t="s">
        <v>7926</v>
      </c>
      <c r="K5259" t="s">
        <v>8871</v>
      </c>
      <c r="L5259" t="s">
        <v>53</v>
      </c>
      <c r="N5259" t="s">
        <v>9306</v>
      </c>
      <c r="P5259" t="s">
        <v>55</v>
      </c>
      <c r="R5259" t="s">
        <v>53</v>
      </c>
      <c r="T5259" t="s">
        <v>9307</v>
      </c>
      <c r="U5259" t="s">
        <v>58</v>
      </c>
      <c r="V5259">
        <v>2</v>
      </c>
      <c r="W5259">
        <v>1</v>
      </c>
      <c r="X5259">
        <v>2</v>
      </c>
      <c r="Y5259">
        <v>0</v>
      </c>
      <c r="Z5259">
        <v>2</v>
      </c>
      <c r="AA5259">
        <v>297.64</v>
      </c>
      <c r="AB5259">
        <v>297.64</v>
      </c>
      <c r="AC5259">
        <v>261.89999999999998</v>
      </c>
      <c r="AD5259">
        <v>0</v>
      </c>
      <c r="AE5259">
        <v>35.74</v>
      </c>
      <c r="AF5259">
        <v>0</v>
      </c>
      <c r="AG5259">
        <v>0</v>
      </c>
      <c r="AH5259">
        <v>0</v>
      </c>
      <c r="AI5259">
        <v>53.58</v>
      </c>
      <c r="AJ5259">
        <v>297.64</v>
      </c>
      <c r="AK5259">
        <v>0</v>
      </c>
      <c r="AL5259" t="s">
        <v>53</v>
      </c>
      <c r="AM5259" t="s">
        <v>53</v>
      </c>
      <c r="AN5259" t="s">
        <v>53</v>
      </c>
      <c r="AO5259" t="s">
        <v>53</v>
      </c>
      <c r="AP5259" t="s">
        <v>53</v>
      </c>
    </row>
    <row r="5260" spans="2:42" x14ac:dyDescent="0.2">
      <c r="B5260" t="s">
        <v>44</v>
      </c>
      <c r="C5260" t="str">
        <f>HYPERLINK("https://us2.cloudbeds.com/connect/8493803454333002#/reservations/9080486846223271?display=2H8JYV527J&amp;reservation_id=9080486846223271", "2H8JYV527J")</f>
        <v>2H8JYV527J</v>
      </c>
      <c r="D5260" t="s">
        <v>45</v>
      </c>
      <c r="E5260" t="s">
        <v>373</v>
      </c>
      <c r="F5260" t="s">
        <v>47</v>
      </c>
      <c r="G5260" t="s">
        <v>48</v>
      </c>
      <c r="H5260" t="s">
        <v>49</v>
      </c>
      <c r="I5260" t="s">
        <v>62</v>
      </c>
      <c r="J5260" t="s">
        <v>7861</v>
      </c>
      <c r="K5260" t="s">
        <v>5593</v>
      </c>
      <c r="L5260" t="s">
        <v>53</v>
      </c>
      <c r="N5260" t="s">
        <v>9308</v>
      </c>
      <c r="P5260" t="s">
        <v>55</v>
      </c>
      <c r="R5260" t="s">
        <v>56</v>
      </c>
      <c r="T5260" t="s">
        <v>9309</v>
      </c>
      <c r="U5260" t="s">
        <v>55</v>
      </c>
      <c r="V5260">
        <v>2</v>
      </c>
      <c r="W5260">
        <v>1</v>
      </c>
      <c r="X5260">
        <v>2</v>
      </c>
      <c r="Y5260">
        <v>0</v>
      </c>
      <c r="Z5260">
        <v>2</v>
      </c>
      <c r="AA5260">
        <v>363</v>
      </c>
      <c r="AB5260">
        <v>363</v>
      </c>
      <c r="AC5260">
        <v>363</v>
      </c>
      <c r="AD5260">
        <v>0</v>
      </c>
      <c r="AE5260">
        <v>0</v>
      </c>
      <c r="AF5260">
        <v>0</v>
      </c>
      <c r="AG5260">
        <v>0</v>
      </c>
      <c r="AH5260">
        <v>0</v>
      </c>
      <c r="AI5260">
        <v>65.34</v>
      </c>
      <c r="AJ5260">
        <v>363</v>
      </c>
      <c r="AK5260">
        <v>0</v>
      </c>
      <c r="AL5260" t="s">
        <v>53</v>
      </c>
      <c r="AM5260" t="s">
        <v>53</v>
      </c>
      <c r="AN5260" t="s">
        <v>53</v>
      </c>
      <c r="AO5260" t="s">
        <v>53</v>
      </c>
      <c r="AP5260" t="s">
        <v>53</v>
      </c>
    </row>
    <row r="5261" spans="2:42" x14ac:dyDescent="0.2">
      <c r="B5261" t="s">
        <v>44</v>
      </c>
      <c r="C5261" t="str">
        <f>HYPERLINK("https://us2.cloudbeds.com/connect/8493803454333002#/reservations/9080486846223299?display=2H8Y2ZYY05&amp;reservation_id=9080486846223299", "2H8Y2ZYY05")</f>
        <v>2H8Y2ZYY05</v>
      </c>
      <c r="D5261" t="s">
        <v>45</v>
      </c>
      <c r="E5261" t="s">
        <v>265</v>
      </c>
      <c r="F5261" t="s">
        <v>61</v>
      </c>
      <c r="G5261" t="s">
        <v>48</v>
      </c>
      <c r="H5261" t="s">
        <v>49</v>
      </c>
      <c r="I5261" t="s">
        <v>50</v>
      </c>
      <c r="J5261" t="s">
        <v>7861</v>
      </c>
      <c r="K5261" t="s">
        <v>7302</v>
      </c>
      <c r="L5261" t="s">
        <v>53</v>
      </c>
      <c r="N5261" t="s">
        <v>9310</v>
      </c>
      <c r="P5261" t="s">
        <v>55</v>
      </c>
      <c r="R5261" t="s">
        <v>53</v>
      </c>
      <c r="T5261" t="s">
        <v>9311</v>
      </c>
      <c r="U5261" t="s">
        <v>58</v>
      </c>
      <c r="V5261">
        <v>1</v>
      </c>
      <c r="W5261">
        <v>1</v>
      </c>
      <c r="X5261">
        <v>2</v>
      </c>
      <c r="Y5261">
        <v>0</v>
      </c>
      <c r="Z5261">
        <v>2</v>
      </c>
      <c r="AA5261">
        <v>182.07</v>
      </c>
      <c r="AB5261">
        <v>182.07</v>
      </c>
      <c r="AC5261">
        <v>160.19999999999999</v>
      </c>
      <c r="AD5261">
        <v>0</v>
      </c>
      <c r="AE5261">
        <v>21.87</v>
      </c>
      <c r="AF5261">
        <v>0</v>
      </c>
      <c r="AG5261">
        <v>0</v>
      </c>
      <c r="AH5261">
        <v>0</v>
      </c>
      <c r="AI5261">
        <v>32.770000000000003</v>
      </c>
      <c r="AJ5261">
        <v>182.07</v>
      </c>
      <c r="AK5261">
        <v>0</v>
      </c>
      <c r="AL5261" t="s">
        <v>53</v>
      </c>
      <c r="AM5261" t="s">
        <v>53</v>
      </c>
      <c r="AN5261" t="s">
        <v>53</v>
      </c>
      <c r="AO5261" t="s">
        <v>53</v>
      </c>
      <c r="AP5261" t="s">
        <v>53</v>
      </c>
    </row>
    <row r="5262" spans="2:42" x14ac:dyDescent="0.2">
      <c r="B5262" t="s">
        <v>44</v>
      </c>
      <c r="C5262" t="str">
        <f>HYPERLINK("https://us2.cloudbeds.com/connect/8493803454333002#/reservations/9080486846223364?display=2H8N7RT1TX&amp;reservation_id=9080486846223364", "2H8N7RT1TX")</f>
        <v>2H8N7RT1TX</v>
      </c>
      <c r="D5262" t="s">
        <v>45</v>
      </c>
      <c r="E5262" t="s">
        <v>128</v>
      </c>
      <c r="F5262" t="s">
        <v>86</v>
      </c>
      <c r="G5262" t="s">
        <v>48</v>
      </c>
      <c r="H5262" t="s">
        <v>49</v>
      </c>
      <c r="I5262" t="s">
        <v>50</v>
      </c>
      <c r="J5262" t="s">
        <v>7706</v>
      </c>
      <c r="K5262" t="s">
        <v>7352</v>
      </c>
      <c r="L5262" t="s">
        <v>53</v>
      </c>
      <c r="N5262" t="s">
        <v>9312</v>
      </c>
      <c r="P5262" t="s">
        <v>55</v>
      </c>
      <c r="R5262" t="s">
        <v>53</v>
      </c>
      <c r="T5262" t="s">
        <v>9313</v>
      </c>
      <c r="U5262" t="s">
        <v>58</v>
      </c>
      <c r="V5262">
        <v>1</v>
      </c>
      <c r="W5262">
        <v>1</v>
      </c>
      <c r="X5262">
        <v>2</v>
      </c>
      <c r="Y5262">
        <v>2</v>
      </c>
      <c r="Z5262">
        <v>4</v>
      </c>
      <c r="AA5262">
        <v>150.93</v>
      </c>
      <c r="AB5262">
        <v>150.93</v>
      </c>
      <c r="AC5262">
        <v>132.80000000000001</v>
      </c>
      <c r="AD5262">
        <v>0</v>
      </c>
      <c r="AE5262">
        <v>18.13</v>
      </c>
      <c r="AF5262">
        <v>0</v>
      </c>
      <c r="AG5262">
        <v>0</v>
      </c>
      <c r="AH5262">
        <v>0</v>
      </c>
      <c r="AI5262">
        <v>27.17</v>
      </c>
      <c r="AJ5262">
        <v>150.93</v>
      </c>
      <c r="AK5262">
        <v>0</v>
      </c>
      <c r="AL5262" t="s">
        <v>53</v>
      </c>
      <c r="AM5262" t="s">
        <v>53</v>
      </c>
      <c r="AN5262" t="s">
        <v>53</v>
      </c>
      <c r="AO5262" t="s">
        <v>53</v>
      </c>
      <c r="AP5262" t="s">
        <v>53</v>
      </c>
    </row>
    <row r="5263" spans="2:42" x14ac:dyDescent="0.2">
      <c r="B5263" t="s">
        <v>44</v>
      </c>
      <c r="C5263" t="str">
        <f>HYPERLINK("https://us2.cloudbeds.com/connect/8493803454333002#/reservations/9080486846223649?display=2H90TGHX1P&amp;reservation_id=9080486846223649", "2H90TGHX1P")</f>
        <v>2H90TGHX1P</v>
      </c>
      <c r="D5263" t="s">
        <v>45</v>
      </c>
      <c r="E5263" t="s">
        <v>92</v>
      </c>
      <c r="F5263" t="s">
        <v>86</v>
      </c>
      <c r="G5263" t="s">
        <v>48</v>
      </c>
      <c r="H5263" t="s">
        <v>49</v>
      </c>
      <c r="I5263" t="s">
        <v>50</v>
      </c>
      <c r="J5263" t="s">
        <v>7302</v>
      </c>
      <c r="K5263" t="s">
        <v>5593</v>
      </c>
      <c r="L5263" t="s">
        <v>53</v>
      </c>
      <c r="N5263" t="s">
        <v>9314</v>
      </c>
      <c r="P5263" t="s">
        <v>55</v>
      </c>
      <c r="R5263" t="s">
        <v>53</v>
      </c>
      <c r="T5263" t="s">
        <v>9315</v>
      </c>
      <c r="U5263" t="s">
        <v>58</v>
      </c>
      <c r="V5263">
        <v>1</v>
      </c>
      <c r="W5263">
        <v>1</v>
      </c>
      <c r="X5263">
        <v>2</v>
      </c>
      <c r="Y5263">
        <v>0</v>
      </c>
      <c r="Z5263">
        <v>2</v>
      </c>
      <c r="AA5263">
        <v>224.01</v>
      </c>
      <c r="AB5263">
        <v>224.01</v>
      </c>
      <c r="AC5263">
        <v>197.1</v>
      </c>
      <c r="AD5263">
        <v>0</v>
      </c>
      <c r="AE5263">
        <v>26.91</v>
      </c>
      <c r="AF5263">
        <v>0</v>
      </c>
      <c r="AG5263">
        <v>0</v>
      </c>
      <c r="AH5263">
        <v>0</v>
      </c>
      <c r="AI5263">
        <v>40.32</v>
      </c>
      <c r="AJ5263">
        <v>224.01</v>
      </c>
      <c r="AK5263">
        <v>0</v>
      </c>
      <c r="AL5263" t="s">
        <v>53</v>
      </c>
      <c r="AM5263" t="s">
        <v>53</v>
      </c>
      <c r="AN5263" t="s">
        <v>53</v>
      </c>
      <c r="AO5263" t="s">
        <v>53</v>
      </c>
      <c r="AP5263" t="s">
        <v>53</v>
      </c>
    </row>
    <row r="5264" spans="2:42" x14ac:dyDescent="0.2">
      <c r="B5264" t="s">
        <v>44</v>
      </c>
      <c r="C5264" t="str">
        <f>HYPERLINK("https://us2.cloudbeds.com/connect/8493803454333002#/reservations/9080486846223665?display=2H91XYW2HU&amp;reservation_id=9080486846223665", "2H91XYW2HU")</f>
        <v>2H91XYW2HU</v>
      </c>
      <c r="D5264" t="s">
        <v>45</v>
      </c>
      <c r="E5264" t="s">
        <v>381</v>
      </c>
      <c r="F5264" t="s">
        <v>47</v>
      </c>
      <c r="G5264" t="s">
        <v>48</v>
      </c>
      <c r="H5264" t="s">
        <v>49</v>
      </c>
      <c r="I5264" t="s">
        <v>62</v>
      </c>
      <c r="J5264" t="s">
        <v>7861</v>
      </c>
      <c r="K5264" t="s">
        <v>7302</v>
      </c>
      <c r="L5264" t="s">
        <v>53</v>
      </c>
      <c r="N5264" t="s">
        <v>9316</v>
      </c>
      <c r="P5264" t="s">
        <v>58</v>
      </c>
      <c r="R5264" t="s">
        <v>56</v>
      </c>
      <c r="T5264" t="s">
        <v>9317</v>
      </c>
      <c r="U5264" t="s">
        <v>55</v>
      </c>
      <c r="V5264">
        <v>1</v>
      </c>
      <c r="W5264">
        <v>1</v>
      </c>
      <c r="X5264">
        <v>2</v>
      </c>
      <c r="Y5264">
        <v>0</v>
      </c>
      <c r="Z5264">
        <v>2</v>
      </c>
      <c r="AA5264">
        <v>168</v>
      </c>
      <c r="AB5264">
        <v>168</v>
      </c>
      <c r="AC5264">
        <v>168</v>
      </c>
      <c r="AD5264">
        <v>0</v>
      </c>
      <c r="AE5264">
        <v>0</v>
      </c>
      <c r="AF5264">
        <v>0</v>
      </c>
      <c r="AG5264">
        <v>0</v>
      </c>
      <c r="AH5264">
        <v>0</v>
      </c>
      <c r="AI5264">
        <v>30.24</v>
      </c>
      <c r="AJ5264">
        <v>168</v>
      </c>
      <c r="AK5264">
        <v>0</v>
      </c>
      <c r="AL5264" t="s">
        <v>53</v>
      </c>
      <c r="AM5264" t="s">
        <v>53</v>
      </c>
      <c r="AN5264" t="s">
        <v>53</v>
      </c>
      <c r="AO5264" t="s">
        <v>53</v>
      </c>
      <c r="AP5264" t="s">
        <v>53</v>
      </c>
    </row>
    <row r="5265" spans="2:42" x14ac:dyDescent="0.2">
      <c r="B5265" t="s">
        <v>44</v>
      </c>
      <c r="C5265" t="str">
        <f>HYPERLINK("https://us2.cloudbeds.com/connect/8493803454333002#/reservations/9080486846224207?display=2H9QMCGWTR&amp;reservation_id=9080486846224207", "2H9QMCGWTR")</f>
        <v>2H9QMCGWTR</v>
      </c>
      <c r="D5265" t="s">
        <v>45</v>
      </c>
      <c r="E5265" t="s">
        <v>165</v>
      </c>
      <c r="F5265" t="s">
        <v>61</v>
      </c>
      <c r="G5265" t="s">
        <v>48</v>
      </c>
      <c r="H5265" t="s">
        <v>49</v>
      </c>
      <c r="I5265" t="s">
        <v>50</v>
      </c>
      <c r="J5265" t="s">
        <v>8319</v>
      </c>
      <c r="K5265" t="s">
        <v>9318</v>
      </c>
      <c r="L5265" t="s">
        <v>53</v>
      </c>
      <c r="N5265" t="s">
        <v>9319</v>
      </c>
      <c r="P5265" t="s">
        <v>55</v>
      </c>
      <c r="R5265" t="s">
        <v>53</v>
      </c>
      <c r="T5265" t="s">
        <v>9320</v>
      </c>
      <c r="U5265" t="s">
        <v>58</v>
      </c>
      <c r="V5265">
        <v>1</v>
      </c>
      <c r="W5265">
        <v>1</v>
      </c>
      <c r="X5265">
        <v>2</v>
      </c>
      <c r="Y5265">
        <v>0</v>
      </c>
      <c r="Z5265">
        <v>2</v>
      </c>
      <c r="AA5265">
        <v>161.61000000000001</v>
      </c>
      <c r="AB5265">
        <v>161.61000000000001</v>
      </c>
      <c r="AC5265">
        <v>142.19999999999999</v>
      </c>
      <c r="AD5265">
        <v>0</v>
      </c>
      <c r="AE5265">
        <v>19.41</v>
      </c>
      <c r="AF5265">
        <v>0</v>
      </c>
      <c r="AG5265">
        <v>0</v>
      </c>
      <c r="AH5265">
        <v>0</v>
      </c>
      <c r="AI5265">
        <v>29.09</v>
      </c>
      <c r="AJ5265">
        <v>161.61000000000001</v>
      </c>
      <c r="AK5265">
        <v>0</v>
      </c>
      <c r="AL5265" t="s">
        <v>53</v>
      </c>
      <c r="AM5265" t="s">
        <v>53</v>
      </c>
      <c r="AN5265" t="s">
        <v>53</v>
      </c>
      <c r="AO5265" t="s">
        <v>53</v>
      </c>
      <c r="AP5265" t="s">
        <v>53</v>
      </c>
    </row>
    <row r="5266" spans="2:42" x14ac:dyDescent="0.2">
      <c r="B5266" t="s">
        <v>44</v>
      </c>
      <c r="C5266" t="str">
        <f>HYPERLINK("https://us2.cloudbeds.com/connect/8493803454333002#/reservations/9080486846224217?display=2H9R67XWYU&amp;reservation_id=9080486846224217", "2H9R67XWYU")</f>
        <v>2H9R67XWYU</v>
      </c>
      <c r="D5266" t="s">
        <v>45</v>
      </c>
      <c r="E5266" t="s">
        <v>85</v>
      </c>
      <c r="F5266" t="s">
        <v>86</v>
      </c>
      <c r="G5266" t="s">
        <v>48</v>
      </c>
      <c r="H5266" t="s">
        <v>49</v>
      </c>
      <c r="I5266" t="s">
        <v>50</v>
      </c>
      <c r="J5266" t="s">
        <v>8319</v>
      </c>
      <c r="K5266" t="s">
        <v>9318</v>
      </c>
      <c r="L5266" t="s">
        <v>53</v>
      </c>
      <c r="N5266" t="s">
        <v>9321</v>
      </c>
      <c r="P5266" t="s">
        <v>55</v>
      </c>
      <c r="R5266" t="s">
        <v>53</v>
      </c>
      <c r="T5266" t="s">
        <v>9322</v>
      </c>
      <c r="U5266" t="s">
        <v>58</v>
      </c>
      <c r="V5266">
        <v>1</v>
      </c>
      <c r="W5266">
        <v>1</v>
      </c>
      <c r="X5266">
        <v>2</v>
      </c>
      <c r="Y5266">
        <v>0</v>
      </c>
      <c r="Z5266">
        <v>2</v>
      </c>
      <c r="AA5266">
        <v>163.25</v>
      </c>
      <c r="AB5266">
        <v>163.25</v>
      </c>
      <c r="AC5266">
        <v>143.63999999999999</v>
      </c>
      <c r="AD5266">
        <v>0</v>
      </c>
      <c r="AE5266">
        <v>19.61</v>
      </c>
      <c r="AF5266">
        <v>0</v>
      </c>
      <c r="AG5266">
        <v>0</v>
      </c>
      <c r="AH5266">
        <v>0</v>
      </c>
      <c r="AI5266">
        <v>29.39</v>
      </c>
      <c r="AJ5266">
        <v>163.25</v>
      </c>
      <c r="AK5266">
        <v>0</v>
      </c>
      <c r="AL5266" t="s">
        <v>53</v>
      </c>
      <c r="AM5266" t="s">
        <v>53</v>
      </c>
      <c r="AN5266" t="s">
        <v>53</v>
      </c>
      <c r="AO5266" t="s">
        <v>53</v>
      </c>
      <c r="AP5266" t="s">
        <v>53</v>
      </c>
    </row>
    <row r="5267" spans="2:42" x14ac:dyDescent="0.2">
      <c r="B5267" t="s">
        <v>44</v>
      </c>
      <c r="C5267" t="str">
        <f>HYPERLINK("https://us2.cloudbeds.com/connect/8493803454333002#/reservations/117165696352450?display=2HA5T3YRHU&amp;reservation_id=117165696352450", "2HA5T3YRHU")</f>
        <v>2HA5T3YRHU</v>
      </c>
      <c r="D5267" t="s">
        <v>45</v>
      </c>
      <c r="E5267" t="s">
        <v>381</v>
      </c>
      <c r="F5267" t="s">
        <v>47</v>
      </c>
      <c r="G5267" t="s">
        <v>48</v>
      </c>
      <c r="H5267" t="s">
        <v>3957</v>
      </c>
      <c r="I5267" t="s">
        <v>3958</v>
      </c>
      <c r="J5267" t="s">
        <v>7302</v>
      </c>
      <c r="K5267" t="s">
        <v>5593</v>
      </c>
      <c r="L5267" t="s">
        <v>53</v>
      </c>
      <c r="P5267" t="s">
        <v>58</v>
      </c>
      <c r="R5267" t="s">
        <v>56</v>
      </c>
      <c r="T5267" t="s">
        <v>9323</v>
      </c>
      <c r="U5267" t="s">
        <v>58</v>
      </c>
      <c r="V5267">
        <v>1</v>
      </c>
      <c r="W5267">
        <v>1</v>
      </c>
      <c r="X5267">
        <v>1</v>
      </c>
      <c r="Y5267">
        <v>0</v>
      </c>
      <c r="Z5267">
        <v>1</v>
      </c>
      <c r="AA5267">
        <v>221.63</v>
      </c>
      <c r="AB5267">
        <v>221.63</v>
      </c>
      <c r="AC5267">
        <v>195</v>
      </c>
      <c r="AD5267">
        <v>0</v>
      </c>
      <c r="AE5267">
        <v>26.63</v>
      </c>
      <c r="AF5267">
        <v>0</v>
      </c>
      <c r="AG5267">
        <v>0</v>
      </c>
      <c r="AH5267">
        <v>0</v>
      </c>
      <c r="AI5267">
        <v>0</v>
      </c>
      <c r="AJ5267">
        <v>221.63</v>
      </c>
      <c r="AK5267">
        <v>0</v>
      </c>
      <c r="AL5267" t="s">
        <v>53</v>
      </c>
      <c r="AM5267" t="s">
        <v>53</v>
      </c>
      <c r="AN5267" t="s">
        <v>53</v>
      </c>
      <c r="AO5267" t="s">
        <v>53</v>
      </c>
      <c r="AP5267" t="s">
        <v>53</v>
      </c>
    </row>
    <row r="5268" spans="2:42" x14ac:dyDescent="0.2">
      <c r="B5268" t="s">
        <v>44</v>
      </c>
      <c r="C5268" t="str">
        <f>HYPERLINK("https://us2.cloudbeds.com/connect/8493803454333002#/reservations/9080486846224910?display=2HAT2AXGD4&amp;reservation_id=9080486846224910", "2HAT2AXGD4")</f>
        <v>2HAT2AXGD4</v>
      </c>
      <c r="D5268" t="s">
        <v>45</v>
      </c>
      <c r="E5268" t="s">
        <v>373</v>
      </c>
      <c r="F5268" t="s">
        <v>47</v>
      </c>
      <c r="G5268" t="s">
        <v>48</v>
      </c>
      <c r="H5268" t="s">
        <v>49</v>
      </c>
      <c r="I5268" t="s">
        <v>50</v>
      </c>
      <c r="J5268" t="s">
        <v>5594</v>
      </c>
      <c r="K5268" t="s">
        <v>7352</v>
      </c>
      <c r="L5268" t="s">
        <v>53</v>
      </c>
      <c r="N5268" t="s">
        <v>9324</v>
      </c>
      <c r="P5268" t="s">
        <v>55</v>
      </c>
      <c r="R5268" t="s">
        <v>53</v>
      </c>
      <c r="T5268" t="s">
        <v>9325</v>
      </c>
      <c r="U5268" t="s">
        <v>58</v>
      </c>
      <c r="V5268">
        <v>2</v>
      </c>
      <c r="W5268">
        <v>1</v>
      </c>
      <c r="X5268">
        <v>2</v>
      </c>
      <c r="Y5268">
        <v>0</v>
      </c>
      <c r="Z5268">
        <v>2</v>
      </c>
      <c r="AA5268">
        <v>309.93</v>
      </c>
      <c r="AB5268">
        <v>309.93</v>
      </c>
      <c r="AC5268">
        <v>272.7</v>
      </c>
      <c r="AD5268">
        <v>0</v>
      </c>
      <c r="AE5268">
        <v>37.229999999999997</v>
      </c>
      <c r="AF5268">
        <v>0</v>
      </c>
      <c r="AG5268">
        <v>0</v>
      </c>
      <c r="AH5268">
        <v>0</v>
      </c>
      <c r="AI5268">
        <v>55.79</v>
      </c>
      <c r="AJ5268">
        <v>309.93</v>
      </c>
      <c r="AK5268">
        <v>0</v>
      </c>
      <c r="AL5268" t="s">
        <v>53</v>
      </c>
      <c r="AM5268" t="s">
        <v>53</v>
      </c>
      <c r="AN5268" t="s">
        <v>53</v>
      </c>
      <c r="AO5268" t="s">
        <v>53</v>
      </c>
      <c r="AP5268" t="s">
        <v>53</v>
      </c>
    </row>
    <row r="5269" spans="2:42" x14ac:dyDescent="0.2">
      <c r="B5269" t="s">
        <v>44</v>
      </c>
      <c r="C5269" t="str">
        <f>HYPERLINK("https://us2.cloudbeds.com/connect/8493803454333002#/reservations/9080486846225021?display=2HB2CXMEC9&amp;reservation_id=9080486846225021", "2HB2CXMEC9")</f>
        <v>2HB2CXMEC9</v>
      </c>
      <c r="D5269" t="s">
        <v>45</v>
      </c>
      <c r="E5269" t="s">
        <v>406</v>
      </c>
      <c r="F5269" t="s">
        <v>61</v>
      </c>
      <c r="G5269" t="s">
        <v>48</v>
      </c>
      <c r="H5269" t="s">
        <v>49</v>
      </c>
      <c r="I5269" t="s">
        <v>50</v>
      </c>
      <c r="J5269" t="s">
        <v>7510</v>
      </c>
      <c r="K5269" t="s">
        <v>7353</v>
      </c>
      <c r="L5269" t="s">
        <v>53</v>
      </c>
      <c r="N5269" t="s">
        <v>9326</v>
      </c>
      <c r="P5269" t="s">
        <v>55</v>
      </c>
      <c r="R5269" t="s">
        <v>53</v>
      </c>
      <c r="T5269" t="s">
        <v>9327</v>
      </c>
      <c r="U5269" t="s">
        <v>58</v>
      </c>
      <c r="V5269">
        <v>1</v>
      </c>
      <c r="W5269">
        <v>1</v>
      </c>
      <c r="X5269">
        <v>2</v>
      </c>
      <c r="Y5269">
        <v>0</v>
      </c>
      <c r="Z5269">
        <v>2</v>
      </c>
      <c r="AA5269">
        <v>154.56</v>
      </c>
      <c r="AB5269">
        <v>154.56</v>
      </c>
      <c r="AC5269">
        <v>136</v>
      </c>
      <c r="AD5269">
        <v>0</v>
      </c>
      <c r="AE5269">
        <v>18.559999999999999</v>
      </c>
      <c r="AF5269">
        <v>0</v>
      </c>
      <c r="AG5269">
        <v>0</v>
      </c>
      <c r="AH5269">
        <v>0</v>
      </c>
      <c r="AI5269">
        <v>27.82</v>
      </c>
      <c r="AJ5269">
        <v>154.56</v>
      </c>
      <c r="AK5269">
        <v>0</v>
      </c>
      <c r="AL5269" t="s">
        <v>53</v>
      </c>
      <c r="AM5269" t="s">
        <v>53</v>
      </c>
      <c r="AN5269" t="s">
        <v>53</v>
      </c>
      <c r="AO5269" t="s">
        <v>53</v>
      </c>
      <c r="AP5269" t="s">
        <v>53</v>
      </c>
    </row>
    <row r="5270" spans="2:42" x14ac:dyDescent="0.2">
      <c r="B5270" t="s">
        <v>44</v>
      </c>
      <c r="C5270" t="str">
        <f>HYPERLINK("https://us2.cloudbeds.com/connect/8493803454333002#/reservations/117207388172486?display=2HB55EA63S&amp;reservation_id=117207388172486", "2HB55EA63S")</f>
        <v>2HB55EA63S</v>
      </c>
      <c r="D5270" t="s">
        <v>45</v>
      </c>
      <c r="E5270" t="s">
        <v>190</v>
      </c>
      <c r="F5270" t="s">
        <v>61</v>
      </c>
      <c r="G5270" t="s">
        <v>48</v>
      </c>
      <c r="H5270" t="s">
        <v>3957</v>
      </c>
      <c r="I5270" t="s">
        <v>3958</v>
      </c>
      <c r="J5270" t="s">
        <v>6397</v>
      </c>
      <c r="K5270" t="s">
        <v>7152</v>
      </c>
      <c r="L5270" t="s">
        <v>53</v>
      </c>
      <c r="P5270" t="s">
        <v>55</v>
      </c>
      <c r="R5270" t="s">
        <v>56</v>
      </c>
      <c r="T5270" t="s">
        <v>9328</v>
      </c>
      <c r="U5270" t="s">
        <v>58</v>
      </c>
      <c r="V5270">
        <v>1</v>
      </c>
      <c r="W5270">
        <v>1</v>
      </c>
      <c r="X5270">
        <v>1</v>
      </c>
      <c r="Y5270">
        <v>0</v>
      </c>
      <c r="Z5270">
        <v>1</v>
      </c>
      <c r="AA5270">
        <v>195.48</v>
      </c>
      <c r="AB5270">
        <v>195.48</v>
      </c>
      <c r="AC5270">
        <v>172</v>
      </c>
      <c r="AD5270">
        <v>0</v>
      </c>
      <c r="AE5270">
        <v>23.48</v>
      </c>
      <c r="AF5270">
        <v>0</v>
      </c>
      <c r="AG5270">
        <v>0</v>
      </c>
      <c r="AH5270">
        <v>0</v>
      </c>
      <c r="AI5270">
        <v>0</v>
      </c>
      <c r="AJ5270">
        <v>195.48</v>
      </c>
      <c r="AK5270">
        <v>0</v>
      </c>
      <c r="AL5270" t="s">
        <v>53</v>
      </c>
      <c r="AM5270" t="s">
        <v>53</v>
      </c>
      <c r="AN5270" t="s">
        <v>53</v>
      </c>
      <c r="AO5270" t="s">
        <v>53</v>
      </c>
      <c r="AP5270" t="s">
        <v>53</v>
      </c>
    </row>
    <row r="5271" spans="2:42" x14ac:dyDescent="0.2">
      <c r="B5271" t="s">
        <v>44</v>
      </c>
      <c r="C5271" t="str">
        <f>HYPERLINK("https://us2.cloudbeds.com/connect/8493803454333002#/reservations/9080486846225065?display=2HB5H6P30G&amp;reservation_id=9080486846225065", "2HB5H6P30G")</f>
        <v>2HB5H6P30G</v>
      </c>
      <c r="D5271" t="s">
        <v>45</v>
      </c>
      <c r="E5271" t="s">
        <v>305</v>
      </c>
      <c r="F5271" t="s">
        <v>61</v>
      </c>
      <c r="G5271" t="s">
        <v>48</v>
      </c>
      <c r="H5271" t="s">
        <v>49</v>
      </c>
      <c r="I5271" t="s">
        <v>50</v>
      </c>
      <c r="J5271" t="s">
        <v>7353</v>
      </c>
      <c r="K5271" t="s">
        <v>8750</v>
      </c>
      <c r="L5271" t="s">
        <v>53</v>
      </c>
      <c r="N5271" t="s">
        <v>9329</v>
      </c>
      <c r="P5271" t="s">
        <v>55</v>
      </c>
      <c r="R5271" t="s">
        <v>53</v>
      </c>
      <c r="T5271" t="s">
        <v>9330</v>
      </c>
      <c r="U5271" t="s">
        <v>58</v>
      </c>
      <c r="V5271">
        <v>1</v>
      </c>
      <c r="W5271">
        <v>1</v>
      </c>
      <c r="X5271">
        <v>2</v>
      </c>
      <c r="Y5271">
        <v>0</v>
      </c>
      <c r="Z5271">
        <v>2</v>
      </c>
      <c r="AA5271">
        <v>176.85</v>
      </c>
      <c r="AB5271">
        <v>176.85</v>
      </c>
      <c r="AC5271">
        <v>155.61000000000001</v>
      </c>
      <c r="AD5271">
        <v>0</v>
      </c>
      <c r="AE5271">
        <v>21.24</v>
      </c>
      <c r="AF5271">
        <v>0</v>
      </c>
      <c r="AG5271">
        <v>0</v>
      </c>
      <c r="AH5271">
        <v>0</v>
      </c>
      <c r="AI5271">
        <v>31.83</v>
      </c>
      <c r="AJ5271">
        <v>176.85</v>
      </c>
      <c r="AK5271">
        <v>0</v>
      </c>
      <c r="AL5271" t="s">
        <v>53</v>
      </c>
      <c r="AM5271" t="s">
        <v>53</v>
      </c>
      <c r="AN5271" t="s">
        <v>53</v>
      </c>
      <c r="AO5271" t="s">
        <v>53</v>
      </c>
      <c r="AP5271" t="s">
        <v>53</v>
      </c>
    </row>
    <row r="5272" spans="2:42" x14ac:dyDescent="0.2">
      <c r="B5272" t="s">
        <v>44</v>
      </c>
      <c r="C5272" t="str">
        <f>HYPERLINK("https://us2.cloudbeds.com/connect/8493803454333002#/reservations/9080486846225116?display=2HB7R8ZZFW&amp;reservation_id=9080486846225116", "2HB7R8ZZFW")</f>
        <v>2HB7R8ZZFW</v>
      </c>
      <c r="D5272" t="s">
        <v>45</v>
      </c>
      <c r="E5272" t="s">
        <v>165</v>
      </c>
      <c r="F5272" t="s">
        <v>61</v>
      </c>
      <c r="G5272" t="s">
        <v>48</v>
      </c>
      <c r="H5272" t="s">
        <v>49</v>
      </c>
      <c r="I5272" t="s">
        <v>62</v>
      </c>
      <c r="J5272" t="s">
        <v>6397</v>
      </c>
      <c r="K5272" t="s">
        <v>7152</v>
      </c>
      <c r="L5272" t="s">
        <v>53</v>
      </c>
      <c r="N5272" t="s">
        <v>9331</v>
      </c>
      <c r="P5272" t="s">
        <v>55</v>
      </c>
      <c r="R5272" t="s">
        <v>56</v>
      </c>
      <c r="T5272" t="s">
        <v>9332</v>
      </c>
      <c r="U5272" t="s">
        <v>55</v>
      </c>
      <c r="V5272">
        <v>1</v>
      </c>
      <c r="W5272">
        <v>1</v>
      </c>
      <c r="X5272">
        <v>2</v>
      </c>
      <c r="Y5272">
        <v>0</v>
      </c>
      <c r="Z5272">
        <v>2</v>
      </c>
      <c r="AA5272">
        <v>163.4</v>
      </c>
      <c r="AB5272">
        <v>163.4</v>
      </c>
      <c r="AC5272">
        <v>163.4</v>
      </c>
      <c r="AD5272">
        <v>0</v>
      </c>
      <c r="AE5272">
        <v>0</v>
      </c>
      <c r="AF5272">
        <v>0</v>
      </c>
      <c r="AG5272">
        <v>0</v>
      </c>
      <c r="AH5272">
        <v>0</v>
      </c>
      <c r="AI5272">
        <v>29.41</v>
      </c>
      <c r="AJ5272">
        <v>163.4</v>
      </c>
      <c r="AK5272">
        <v>0</v>
      </c>
      <c r="AL5272" t="s">
        <v>53</v>
      </c>
      <c r="AM5272" t="s">
        <v>53</v>
      </c>
      <c r="AN5272" t="s">
        <v>53</v>
      </c>
      <c r="AO5272" t="s">
        <v>53</v>
      </c>
      <c r="AP5272" t="s">
        <v>53</v>
      </c>
    </row>
    <row r="5273" spans="2:42" x14ac:dyDescent="0.2">
      <c r="B5273" t="s">
        <v>44</v>
      </c>
      <c r="C5273" t="str">
        <f>HYPERLINK("https://us2.cloudbeds.com/connect/8493803454333002#/reservations/9080486846227643?display=2HFCT2J123&amp;reservation_id=9080486846227643", "2HFCT2J123")</f>
        <v>2HFCT2J123</v>
      </c>
      <c r="D5273" t="s">
        <v>45</v>
      </c>
      <c r="E5273" t="s">
        <v>265</v>
      </c>
      <c r="F5273" t="s">
        <v>61</v>
      </c>
      <c r="G5273" t="s">
        <v>48</v>
      </c>
      <c r="H5273" t="s">
        <v>49</v>
      </c>
      <c r="I5273" t="s">
        <v>50</v>
      </c>
      <c r="J5273" t="s">
        <v>5594</v>
      </c>
      <c r="K5273" t="s">
        <v>7353</v>
      </c>
      <c r="L5273" t="s">
        <v>53</v>
      </c>
      <c r="N5273" t="s">
        <v>9333</v>
      </c>
      <c r="P5273" t="s">
        <v>55</v>
      </c>
      <c r="R5273" t="s">
        <v>56</v>
      </c>
      <c r="T5273" t="s">
        <v>9334</v>
      </c>
      <c r="U5273" t="s">
        <v>58</v>
      </c>
      <c r="V5273">
        <v>4</v>
      </c>
      <c r="W5273">
        <v>1</v>
      </c>
      <c r="X5273">
        <v>1</v>
      </c>
      <c r="Y5273">
        <v>0</v>
      </c>
      <c r="Z5273">
        <v>1</v>
      </c>
      <c r="AA5273">
        <v>680.19</v>
      </c>
      <c r="AB5273">
        <v>680.19</v>
      </c>
      <c r="AC5273">
        <v>598.5</v>
      </c>
      <c r="AD5273">
        <v>0</v>
      </c>
      <c r="AE5273">
        <v>81.69</v>
      </c>
      <c r="AF5273">
        <v>0</v>
      </c>
      <c r="AG5273">
        <v>0</v>
      </c>
      <c r="AH5273">
        <v>0</v>
      </c>
      <c r="AI5273">
        <v>122.43</v>
      </c>
      <c r="AJ5273">
        <v>680.19</v>
      </c>
      <c r="AK5273">
        <v>0</v>
      </c>
      <c r="AL5273" t="s">
        <v>53</v>
      </c>
      <c r="AM5273" t="s">
        <v>53</v>
      </c>
      <c r="AN5273" t="s">
        <v>53</v>
      </c>
      <c r="AO5273" t="s">
        <v>53</v>
      </c>
      <c r="AP5273" t="s">
        <v>53</v>
      </c>
    </row>
    <row r="5274" spans="2:42" x14ac:dyDescent="0.2">
      <c r="B5274" t="s">
        <v>44</v>
      </c>
      <c r="C5274" t="str">
        <f>HYPERLINK("https://us2.cloudbeds.com/connect/8493803454333002#/reservations/9080486846227771?display=2HFH58R38G&amp;reservation_id=9080486846227771", "2HFH58R38G")</f>
        <v>2HFH58R38G</v>
      </c>
      <c r="D5274" t="s">
        <v>45</v>
      </c>
      <c r="E5274" t="s">
        <v>185</v>
      </c>
      <c r="F5274" t="s">
        <v>47</v>
      </c>
      <c r="G5274" t="s">
        <v>48</v>
      </c>
      <c r="H5274" t="s">
        <v>49</v>
      </c>
      <c r="I5274" t="s">
        <v>50</v>
      </c>
      <c r="J5274" t="s">
        <v>7830</v>
      </c>
      <c r="K5274" t="s">
        <v>7905</v>
      </c>
      <c r="L5274" t="s">
        <v>53</v>
      </c>
      <c r="N5274" t="s">
        <v>9335</v>
      </c>
      <c r="P5274" t="s">
        <v>55</v>
      </c>
      <c r="R5274" t="s">
        <v>53</v>
      </c>
      <c r="T5274" t="s">
        <v>9336</v>
      </c>
      <c r="U5274" t="s">
        <v>58</v>
      </c>
      <c r="V5274">
        <v>1</v>
      </c>
      <c r="W5274">
        <v>1</v>
      </c>
      <c r="X5274">
        <v>2</v>
      </c>
      <c r="Y5274">
        <v>0</v>
      </c>
      <c r="Z5274">
        <v>2</v>
      </c>
      <c r="AA5274">
        <v>129.57</v>
      </c>
      <c r="AB5274">
        <v>288.5</v>
      </c>
      <c r="AC5274">
        <v>114</v>
      </c>
      <c r="AD5274">
        <v>0</v>
      </c>
      <c r="AE5274">
        <v>15.57</v>
      </c>
      <c r="AF5274">
        <v>0</v>
      </c>
      <c r="AG5274">
        <v>0</v>
      </c>
      <c r="AH5274">
        <v>0</v>
      </c>
      <c r="AI5274">
        <v>23.32</v>
      </c>
      <c r="AJ5274">
        <v>129.57</v>
      </c>
      <c r="AK5274">
        <v>0</v>
      </c>
      <c r="AL5274" t="s">
        <v>53</v>
      </c>
      <c r="AM5274" t="s">
        <v>53</v>
      </c>
      <c r="AN5274" t="s">
        <v>53</v>
      </c>
      <c r="AO5274" t="s">
        <v>53</v>
      </c>
      <c r="AP5274" t="s">
        <v>53</v>
      </c>
    </row>
    <row r="5275" spans="2:42" x14ac:dyDescent="0.2">
      <c r="B5275" t="s">
        <v>44</v>
      </c>
      <c r="C5275" t="str">
        <f>HYPERLINK("https://us2.cloudbeds.com/connect/8493803454333002#/reservations/9080486846228241?display=2HG218HKDY&amp;reservation_id=9080486846228241", "2HG218HKDY")</f>
        <v>2HG218HKDY</v>
      </c>
      <c r="D5275" t="s">
        <v>45</v>
      </c>
      <c r="E5275" t="s">
        <v>223</v>
      </c>
      <c r="F5275" t="s">
        <v>47</v>
      </c>
      <c r="G5275" t="s">
        <v>48</v>
      </c>
      <c r="H5275" t="s">
        <v>49</v>
      </c>
      <c r="I5275" t="s">
        <v>50</v>
      </c>
      <c r="J5275" t="s">
        <v>6396</v>
      </c>
      <c r="K5275" t="s">
        <v>7962</v>
      </c>
      <c r="L5275" t="s">
        <v>53</v>
      </c>
      <c r="N5275" t="s">
        <v>9337</v>
      </c>
      <c r="P5275" t="s">
        <v>55</v>
      </c>
      <c r="R5275" t="s">
        <v>53</v>
      </c>
      <c r="T5275" t="s">
        <v>9338</v>
      </c>
      <c r="U5275" t="s">
        <v>58</v>
      </c>
      <c r="V5275">
        <v>3</v>
      </c>
      <c r="W5275">
        <v>1</v>
      </c>
      <c r="X5275">
        <v>2</v>
      </c>
      <c r="Y5275">
        <v>0</v>
      </c>
      <c r="Z5275">
        <v>2</v>
      </c>
      <c r="AA5275">
        <v>523.08000000000004</v>
      </c>
      <c r="AB5275">
        <v>523.08000000000004</v>
      </c>
      <c r="AC5275">
        <v>460.25</v>
      </c>
      <c r="AD5275">
        <v>0</v>
      </c>
      <c r="AE5275">
        <v>62.83</v>
      </c>
      <c r="AF5275">
        <v>0</v>
      </c>
      <c r="AG5275">
        <v>0</v>
      </c>
      <c r="AH5275">
        <v>0</v>
      </c>
      <c r="AI5275">
        <v>94.15</v>
      </c>
      <c r="AJ5275">
        <v>523.08000000000004</v>
      </c>
      <c r="AK5275">
        <v>0</v>
      </c>
      <c r="AL5275" t="s">
        <v>53</v>
      </c>
      <c r="AM5275" t="s">
        <v>53</v>
      </c>
      <c r="AN5275" t="s">
        <v>53</v>
      </c>
      <c r="AO5275" t="s">
        <v>53</v>
      </c>
      <c r="AP5275" t="s">
        <v>53</v>
      </c>
    </row>
    <row r="5276" spans="2:42" x14ac:dyDescent="0.2">
      <c r="B5276" t="s">
        <v>44</v>
      </c>
      <c r="C5276" t="str">
        <f>HYPERLINK("https://us2.cloudbeds.com/connect/8493803454333002#/reservations/9080486846228386?display=2HG7NB7DUY&amp;reservation_id=9080486846228386", "2HG7NB7DUY")</f>
        <v>2HG7NB7DUY</v>
      </c>
      <c r="D5276" t="s">
        <v>9111</v>
      </c>
      <c r="E5276" t="s">
        <v>121</v>
      </c>
      <c r="F5276" t="s">
        <v>86</v>
      </c>
      <c r="G5276" t="s">
        <v>48</v>
      </c>
      <c r="H5276" t="s">
        <v>49</v>
      </c>
      <c r="I5276" t="s">
        <v>62</v>
      </c>
      <c r="J5276" t="s">
        <v>5593</v>
      </c>
      <c r="K5276" t="s">
        <v>7706</v>
      </c>
      <c r="L5276" t="s">
        <v>53</v>
      </c>
      <c r="N5276" t="s">
        <v>9339</v>
      </c>
      <c r="P5276" t="s">
        <v>55</v>
      </c>
      <c r="R5276" t="s">
        <v>56</v>
      </c>
      <c r="T5276" t="s">
        <v>9340</v>
      </c>
      <c r="U5276" t="s">
        <v>55</v>
      </c>
      <c r="V5276">
        <v>2</v>
      </c>
      <c r="W5276">
        <v>1</v>
      </c>
      <c r="X5276">
        <v>2</v>
      </c>
      <c r="Y5276">
        <v>0</v>
      </c>
      <c r="Z5276">
        <v>2</v>
      </c>
      <c r="AA5276">
        <v>419</v>
      </c>
      <c r="AB5276">
        <v>419</v>
      </c>
      <c r="AC5276">
        <v>419</v>
      </c>
      <c r="AD5276">
        <v>0</v>
      </c>
      <c r="AE5276">
        <v>0</v>
      </c>
      <c r="AF5276">
        <v>0</v>
      </c>
      <c r="AG5276">
        <v>0</v>
      </c>
      <c r="AH5276">
        <v>0</v>
      </c>
      <c r="AI5276">
        <v>75.42</v>
      </c>
      <c r="AJ5276">
        <v>419</v>
      </c>
      <c r="AK5276">
        <v>0</v>
      </c>
      <c r="AL5276" t="s">
        <v>53</v>
      </c>
      <c r="AM5276" t="s">
        <v>53</v>
      </c>
      <c r="AN5276" t="s">
        <v>53</v>
      </c>
      <c r="AO5276" t="s">
        <v>53</v>
      </c>
      <c r="AP5276" t="s">
        <v>53</v>
      </c>
    </row>
    <row r="5277" spans="2:42" x14ac:dyDescent="0.2">
      <c r="B5277" t="s">
        <v>44</v>
      </c>
      <c r="C5277" t="str">
        <f>HYPERLINK("https://us2.cloudbeds.com/connect/8493803454333002#/reservations/9080486846228786?display=2HGNWY76ZK&amp;reservation_id=9080486846228786", "2HGNWY76ZK")</f>
        <v>2HGNWY76ZK</v>
      </c>
      <c r="D5277" t="s">
        <v>45</v>
      </c>
      <c r="E5277" t="s">
        <v>185</v>
      </c>
      <c r="F5277" t="s">
        <v>47</v>
      </c>
      <c r="G5277" t="s">
        <v>48</v>
      </c>
      <c r="H5277" t="s">
        <v>49</v>
      </c>
      <c r="I5277" t="s">
        <v>62</v>
      </c>
      <c r="J5277" t="s">
        <v>7829</v>
      </c>
      <c r="K5277" t="s">
        <v>7830</v>
      </c>
      <c r="L5277" t="s">
        <v>53</v>
      </c>
      <c r="N5277" t="s">
        <v>9341</v>
      </c>
      <c r="P5277" t="s">
        <v>55</v>
      </c>
      <c r="R5277" t="s">
        <v>56</v>
      </c>
      <c r="T5277" t="s">
        <v>9342</v>
      </c>
      <c r="U5277" t="s">
        <v>55</v>
      </c>
      <c r="V5277">
        <v>1</v>
      </c>
      <c r="W5277">
        <v>1</v>
      </c>
      <c r="X5277">
        <v>2</v>
      </c>
      <c r="Y5277">
        <v>0</v>
      </c>
      <c r="Z5277">
        <v>2</v>
      </c>
      <c r="AA5277">
        <v>152</v>
      </c>
      <c r="AB5277">
        <v>152</v>
      </c>
      <c r="AC5277">
        <v>152</v>
      </c>
      <c r="AD5277">
        <v>0</v>
      </c>
      <c r="AE5277">
        <v>0</v>
      </c>
      <c r="AF5277">
        <v>0</v>
      </c>
      <c r="AG5277">
        <v>0</v>
      </c>
      <c r="AH5277">
        <v>0</v>
      </c>
      <c r="AI5277">
        <v>27.36</v>
      </c>
      <c r="AJ5277">
        <v>152</v>
      </c>
      <c r="AK5277">
        <v>0</v>
      </c>
      <c r="AL5277" t="s">
        <v>53</v>
      </c>
      <c r="AM5277" t="s">
        <v>53</v>
      </c>
      <c r="AN5277" t="s">
        <v>53</v>
      </c>
      <c r="AO5277" t="s">
        <v>53</v>
      </c>
      <c r="AP5277" t="s">
        <v>53</v>
      </c>
    </row>
    <row r="5278" spans="2:42" x14ac:dyDescent="0.2">
      <c r="B5278" t="s">
        <v>44</v>
      </c>
      <c r="C5278" t="str">
        <f>HYPERLINK("https://us2.cloudbeds.com/connect/8493803454333002#/reservations/9080486846228793?display=2HGNWY7AGJ&amp;reservation_id=9080486846228793", "2HGNWY7AGJ")</f>
        <v>2HGNWY7AGJ</v>
      </c>
      <c r="D5278" t="s">
        <v>45</v>
      </c>
      <c r="E5278" t="s">
        <v>265</v>
      </c>
      <c r="F5278" t="s">
        <v>61</v>
      </c>
      <c r="G5278" t="s">
        <v>48</v>
      </c>
      <c r="H5278" t="s">
        <v>49</v>
      </c>
      <c r="I5278" t="s">
        <v>62</v>
      </c>
      <c r="J5278" t="s">
        <v>7302</v>
      </c>
      <c r="K5278" t="s">
        <v>5593</v>
      </c>
      <c r="L5278" t="s">
        <v>53</v>
      </c>
      <c r="N5278" t="s">
        <v>9343</v>
      </c>
      <c r="P5278" t="s">
        <v>55</v>
      </c>
      <c r="R5278" t="s">
        <v>56</v>
      </c>
      <c r="T5278" t="s">
        <v>9344</v>
      </c>
      <c r="U5278" t="s">
        <v>55</v>
      </c>
      <c r="V5278">
        <v>1</v>
      </c>
      <c r="W5278">
        <v>1</v>
      </c>
      <c r="X5278">
        <v>2</v>
      </c>
      <c r="Y5278">
        <v>0</v>
      </c>
      <c r="Z5278">
        <v>2</v>
      </c>
      <c r="AA5278">
        <v>211</v>
      </c>
      <c r="AB5278">
        <v>211</v>
      </c>
      <c r="AC5278">
        <v>211</v>
      </c>
      <c r="AD5278">
        <v>0</v>
      </c>
      <c r="AE5278">
        <v>0</v>
      </c>
      <c r="AF5278">
        <v>0</v>
      </c>
      <c r="AG5278">
        <v>0</v>
      </c>
      <c r="AH5278">
        <v>0</v>
      </c>
      <c r="AI5278">
        <v>37.979999999999997</v>
      </c>
      <c r="AJ5278">
        <v>211</v>
      </c>
      <c r="AK5278">
        <v>0</v>
      </c>
      <c r="AL5278" t="s">
        <v>53</v>
      </c>
      <c r="AM5278" t="s">
        <v>53</v>
      </c>
      <c r="AN5278" t="s">
        <v>53</v>
      </c>
      <c r="AO5278" t="s">
        <v>53</v>
      </c>
      <c r="AP5278" t="s">
        <v>53</v>
      </c>
    </row>
    <row r="5279" spans="2:42" x14ac:dyDescent="0.2">
      <c r="B5279" t="s">
        <v>44</v>
      </c>
      <c r="C5279" t="str">
        <f>HYPERLINK("https://us2.cloudbeds.com/connect/8493803454333002#/reservations/9080486846228807?display=2HGP0N8SKD&amp;reservation_id=9080486846228807", "2HGP0N8SKD")</f>
        <v>2HGP0N8SKD</v>
      </c>
      <c r="D5279" t="s">
        <v>45</v>
      </c>
      <c r="E5279" t="s">
        <v>165</v>
      </c>
      <c r="F5279" t="s">
        <v>61</v>
      </c>
      <c r="G5279" t="s">
        <v>48</v>
      </c>
      <c r="H5279" t="s">
        <v>49</v>
      </c>
      <c r="I5279" t="s">
        <v>62</v>
      </c>
      <c r="J5279" t="s">
        <v>8391</v>
      </c>
      <c r="K5279" t="s">
        <v>7974</v>
      </c>
      <c r="L5279" t="s">
        <v>53</v>
      </c>
      <c r="N5279" t="s">
        <v>9345</v>
      </c>
      <c r="P5279" t="s">
        <v>55</v>
      </c>
      <c r="R5279" t="s">
        <v>56</v>
      </c>
      <c r="T5279" t="s">
        <v>9346</v>
      </c>
      <c r="U5279" t="s">
        <v>55</v>
      </c>
      <c r="V5279">
        <v>1</v>
      </c>
      <c r="W5279">
        <v>1</v>
      </c>
      <c r="X5279">
        <v>2</v>
      </c>
      <c r="Y5279">
        <v>0</v>
      </c>
      <c r="Z5279">
        <v>2</v>
      </c>
      <c r="AA5279">
        <v>153</v>
      </c>
      <c r="AB5279">
        <v>153</v>
      </c>
      <c r="AC5279">
        <v>153</v>
      </c>
      <c r="AD5279">
        <v>0</v>
      </c>
      <c r="AE5279">
        <v>0</v>
      </c>
      <c r="AF5279">
        <v>0</v>
      </c>
      <c r="AG5279">
        <v>0</v>
      </c>
      <c r="AH5279">
        <v>0</v>
      </c>
      <c r="AI5279">
        <v>27.54</v>
      </c>
      <c r="AJ5279">
        <v>153</v>
      </c>
      <c r="AK5279">
        <v>0</v>
      </c>
      <c r="AL5279" t="s">
        <v>53</v>
      </c>
      <c r="AM5279" t="s">
        <v>53</v>
      </c>
      <c r="AN5279" t="s">
        <v>53</v>
      </c>
      <c r="AO5279" t="s">
        <v>53</v>
      </c>
      <c r="AP5279" t="s">
        <v>53</v>
      </c>
    </row>
    <row r="5280" spans="2:42" x14ac:dyDescent="0.2">
      <c r="B5280" t="s">
        <v>44</v>
      </c>
      <c r="C5280" t="str">
        <f>HYPERLINK("https://us2.cloudbeds.com/connect/8493803454333002#/reservations/9080486846229185?display=2HH71BAMD2&amp;reservation_id=9080486846229185", "2HH71BAMD2")</f>
        <v>2HH71BAMD2</v>
      </c>
      <c r="D5280" t="s">
        <v>45</v>
      </c>
      <c r="E5280" t="s">
        <v>113</v>
      </c>
      <c r="F5280" t="s">
        <v>61</v>
      </c>
      <c r="G5280" t="s">
        <v>48</v>
      </c>
      <c r="H5280" t="s">
        <v>49</v>
      </c>
      <c r="I5280" t="s">
        <v>50</v>
      </c>
      <c r="J5280" t="s">
        <v>8300</v>
      </c>
      <c r="K5280" t="s">
        <v>8816</v>
      </c>
      <c r="L5280" t="s">
        <v>53</v>
      </c>
      <c r="N5280" t="s">
        <v>9347</v>
      </c>
      <c r="P5280" t="s">
        <v>55</v>
      </c>
      <c r="R5280" t="s">
        <v>53</v>
      </c>
      <c r="T5280" t="s">
        <v>9348</v>
      </c>
      <c r="U5280" t="s">
        <v>58</v>
      </c>
      <c r="V5280">
        <v>3</v>
      </c>
      <c r="W5280">
        <v>1</v>
      </c>
      <c r="X5280">
        <v>2</v>
      </c>
      <c r="Y5280">
        <v>0</v>
      </c>
      <c r="Z5280">
        <v>2</v>
      </c>
      <c r="AA5280">
        <v>504.33</v>
      </c>
      <c r="AB5280">
        <v>504.33</v>
      </c>
      <c r="AC5280">
        <v>443.74</v>
      </c>
      <c r="AD5280">
        <v>0</v>
      </c>
      <c r="AE5280">
        <v>60.59</v>
      </c>
      <c r="AF5280">
        <v>0</v>
      </c>
      <c r="AG5280">
        <v>0</v>
      </c>
      <c r="AH5280">
        <v>0</v>
      </c>
      <c r="AI5280">
        <v>90.78</v>
      </c>
      <c r="AJ5280">
        <v>504.33</v>
      </c>
      <c r="AK5280">
        <v>0</v>
      </c>
      <c r="AL5280" t="s">
        <v>53</v>
      </c>
      <c r="AM5280" t="s">
        <v>53</v>
      </c>
      <c r="AN5280" t="s">
        <v>53</v>
      </c>
      <c r="AO5280" t="s">
        <v>53</v>
      </c>
      <c r="AP5280" t="s">
        <v>53</v>
      </c>
    </row>
    <row r="5281" spans="2:42" x14ac:dyDescent="0.2">
      <c r="B5281" t="s">
        <v>44</v>
      </c>
      <c r="C5281" t="str">
        <f>HYPERLINK("https://us2.cloudbeds.com/connect/8493803454333002#/reservations/9080486846229783?display=2HX30M0R9H&amp;reservation_id=9080486846229783", "2HX30M0R9H")</f>
        <v>2HX30M0R9H</v>
      </c>
      <c r="D5281" t="s">
        <v>45</v>
      </c>
      <c r="E5281" t="s">
        <v>185</v>
      </c>
      <c r="F5281" t="s">
        <v>47</v>
      </c>
      <c r="G5281" t="s">
        <v>48</v>
      </c>
      <c r="H5281" t="s">
        <v>49</v>
      </c>
      <c r="I5281" t="s">
        <v>62</v>
      </c>
      <c r="J5281" t="s">
        <v>5593</v>
      </c>
      <c r="K5281" t="s">
        <v>5594</v>
      </c>
      <c r="L5281" t="s">
        <v>53</v>
      </c>
      <c r="N5281" t="s">
        <v>9349</v>
      </c>
      <c r="P5281" t="s">
        <v>55</v>
      </c>
      <c r="R5281" t="s">
        <v>56</v>
      </c>
      <c r="T5281" t="s">
        <v>9350</v>
      </c>
      <c r="U5281" t="s">
        <v>55</v>
      </c>
      <c r="V5281">
        <v>1</v>
      </c>
      <c r="W5281">
        <v>1</v>
      </c>
      <c r="X5281">
        <v>2</v>
      </c>
      <c r="Y5281">
        <v>0</v>
      </c>
      <c r="Z5281">
        <v>2</v>
      </c>
      <c r="AA5281">
        <v>216</v>
      </c>
      <c r="AB5281">
        <v>216</v>
      </c>
      <c r="AC5281">
        <v>216</v>
      </c>
      <c r="AD5281">
        <v>0</v>
      </c>
      <c r="AE5281">
        <v>0</v>
      </c>
      <c r="AF5281">
        <v>0</v>
      </c>
      <c r="AG5281">
        <v>0</v>
      </c>
      <c r="AH5281">
        <v>0</v>
      </c>
      <c r="AI5281">
        <v>38.880000000000003</v>
      </c>
      <c r="AJ5281">
        <v>216</v>
      </c>
      <c r="AK5281">
        <v>0</v>
      </c>
      <c r="AL5281" t="s">
        <v>53</v>
      </c>
      <c r="AM5281" t="s">
        <v>53</v>
      </c>
      <c r="AN5281" t="s">
        <v>53</v>
      </c>
      <c r="AO5281" t="s">
        <v>53</v>
      </c>
      <c r="AP5281" t="s">
        <v>53</v>
      </c>
    </row>
    <row r="5282" spans="2:42" x14ac:dyDescent="0.2">
      <c r="B5282" t="s">
        <v>44</v>
      </c>
      <c r="C5282" t="str">
        <f>HYPERLINK("https://us2.cloudbeds.com/connect/8493803454333002#/reservations/9080486846229935?display=2HXBAKZU0D&amp;reservation_id=9080486846229935", "2HXBAKZU0D")</f>
        <v>2HXBAKZU0D</v>
      </c>
      <c r="D5282" t="s">
        <v>45</v>
      </c>
      <c r="E5282" t="s">
        <v>223</v>
      </c>
      <c r="F5282" t="s">
        <v>47</v>
      </c>
      <c r="G5282" t="s">
        <v>48</v>
      </c>
      <c r="H5282" t="s">
        <v>49</v>
      </c>
      <c r="I5282" t="s">
        <v>62</v>
      </c>
      <c r="J5282" t="s">
        <v>8119</v>
      </c>
      <c r="K5282" t="s">
        <v>7864</v>
      </c>
      <c r="L5282" t="s">
        <v>53</v>
      </c>
      <c r="N5282" t="s">
        <v>9351</v>
      </c>
      <c r="P5282" t="s">
        <v>55</v>
      </c>
      <c r="R5282" t="s">
        <v>56</v>
      </c>
      <c r="T5282" t="s">
        <v>9352</v>
      </c>
      <c r="U5282" t="s">
        <v>55</v>
      </c>
      <c r="V5282">
        <v>1</v>
      </c>
      <c r="W5282">
        <v>1</v>
      </c>
      <c r="X5282">
        <v>2</v>
      </c>
      <c r="Y5282">
        <v>0</v>
      </c>
      <c r="Z5282">
        <v>2</v>
      </c>
      <c r="AA5282">
        <v>155.80000000000001</v>
      </c>
      <c r="AB5282">
        <v>155.80000000000001</v>
      </c>
      <c r="AC5282">
        <v>155.80000000000001</v>
      </c>
      <c r="AD5282">
        <v>0</v>
      </c>
      <c r="AE5282">
        <v>0</v>
      </c>
      <c r="AF5282">
        <v>0</v>
      </c>
      <c r="AG5282">
        <v>0</v>
      </c>
      <c r="AH5282">
        <v>0</v>
      </c>
      <c r="AI5282">
        <v>28.04</v>
      </c>
      <c r="AJ5282">
        <v>155.80000000000001</v>
      </c>
      <c r="AK5282">
        <v>0</v>
      </c>
      <c r="AL5282" t="s">
        <v>53</v>
      </c>
      <c r="AM5282" t="s">
        <v>53</v>
      </c>
      <c r="AN5282" t="s">
        <v>9353</v>
      </c>
      <c r="AO5282" t="s">
        <v>53</v>
      </c>
      <c r="AP5282" t="s">
        <v>53</v>
      </c>
    </row>
    <row r="5283" spans="2:42" x14ac:dyDescent="0.2">
      <c r="B5283" t="s">
        <v>44</v>
      </c>
      <c r="C5283" t="str">
        <f>HYPERLINK("https://us2.cloudbeds.com/connect/8493803454333002#/reservations/9080486846229978?display=2HXEERTTGG&amp;reservation_id=9080486846229978", "2HXEERTTGG")</f>
        <v>2HXEERTTGG</v>
      </c>
      <c r="D5283" t="s">
        <v>45</v>
      </c>
      <c r="E5283" t="s">
        <v>190</v>
      </c>
      <c r="F5283" t="s">
        <v>61</v>
      </c>
      <c r="G5283" t="s">
        <v>48</v>
      </c>
      <c r="H5283" t="s">
        <v>49</v>
      </c>
      <c r="I5283" t="s">
        <v>50</v>
      </c>
      <c r="J5283" t="s">
        <v>7352</v>
      </c>
      <c r="K5283" t="s">
        <v>7353</v>
      </c>
      <c r="L5283" t="s">
        <v>53</v>
      </c>
      <c r="N5283" t="s">
        <v>9354</v>
      </c>
      <c r="P5283" t="s">
        <v>55</v>
      </c>
      <c r="R5283" t="s">
        <v>53</v>
      </c>
      <c r="T5283" t="s">
        <v>9355</v>
      </c>
      <c r="U5283" t="s">
        <v>58</v>
      </c>
      <c r="V5283">
        <v>2</v>
      </c>
      <c r="W5283">
        <v>1</v>
      </c>
      <c r="X5283">
        <v>2</v>
      </c>
      <c r="Y5283">
        <v>0</v>
      </c>
      <c r="Z5283">
        <v>2</v>
      </c>
      <c r="AA5283">
        <v>327.49</v>
      </c>
      <c r="AB5283">
        <v>327.49</v>
      </c>
      <c r="AC5283">
        <v>288.14999999999998</v>
      </c>
      <c r="AD5283">
        <v>0</v>
      </c>
      <c r="AE5283">
        <v>39.340000000000003</v>
      </c>
      <c r="AF5283">
        <v>0</v>
      </c>
      <c r="AG5283">
        <v>0</v>
      </c>
      <c r="AH5283">
        <v>0</v>
      </c>
      <c r="AI5283">
        <v>58.95</v>
      </c>
      <c r="AJ5283">
        <v>327.49</v>
      </c>
      <c r="AK5283">
        <v>0</v>
      </c>
      <c r="AL5283" t="s">
        <v>53</v>
      </c>
      <c r="AM5283" t="s">
        <v>53</v>
      </c>
      <c r="AN5283" t="s">
        <v>53</v>
      </c>
      <c r="AO5283" t="s">
        <v>53</v>
      </c>
      <c r="AP5283" t="s">
        <v>53</v>
      </c>
    </row>
    <row r="5284" spans="2:42" x14ac:dyDescent="0.2">
      <c r="B5284" t="s">
        <v>44</v>
      </c>
      <c r="C5284" t="str">
        <f>HYPERLINK("https://us2.cloudbeds.com/connect/8493803454333002#/reservations/9080486846230147?display=2HXZE1DQJD&amp;reservation_id=9080486846230147", "2HXZE1DQJD")</f>
        <v>2HXZE1DQJD</v>
      </c>
      <c r="D5284" t="s">
        <v>45</v>
      </c>
      <c r="E5284" t="s">
        <v>113</v>
      </c>
      <c r="F5284" t="s">
        <v>61</v>
      </c>
      <c r="G5284" t="s">
        <v>48</v>
      </c>
      <c r="H5284" t="s">
        <v>49</v>
      </c>
      <c r="I5284" t="s">
        <v>50</v>
      </c>
      <c r="J5284" t="s">
        <v>7821</v>
      </c>
      <c r="K5284" t="s">
        <v>8133</v>
      </c>
      <c r="L5284" t="s">
        <v>53</v>
      </c>
      <c r="N5284" t="s">
        <v>9356</v>
      </c>
      <c r="P5284" t="s">
        <v>55</v>
      </c>
      <c r="R5284" t="s">
        <v>53</v>
      </c>
      <c r="T5284" t="s">
        <v>9357</v>
      </c>
      <c r="U5284" t="s">
        <v>58</v>
      </c>
      <c r="V5284">
        <v>1</v>
      </c>
      <c r="W5284">
        <v>1</v>
      </c>
      <c r="X5284">
        <v>2</v>
      </c>
      <c r="Y5284">
        <v>0</v>
      </c>
      <c r="Z5284">
        <v>2</v>
      </c>
      <c r="AA5284">
        <v>166.11</v>
      </c>
      <c r="AB5284">
        <v>166.11</v>
      </c>
      <c r="AC5284">
        <v>146.16</v>
      </c>
      <c r="AD5284">
        <v>0</v>
      </c>
      <c r="AE5284">
        <v>19.95</v>
      </c>
      <c r="AF5284">
        <v>0</v>
      </c>
      <c r="AG5284">
        <v>0</v>
      </c>
      <c r="AH5284">
        <v>0</v>
      </c>
      <c r="AI5284">
        <v>29.9</v>
      </c>
      <c r="AJ5284">
        <v>166.11</v>
      </c>
      <c r="AK5284">
        <v>0</v>
      </c>
      <c r="AL5284" t="s">
        <v>53</v>
      </c>
      <c r="AM5284" t="s">
        <v>53</v>
      </c>
      <c r="AN5284" t="s">
        <v>53</v>
      </c>
      <c r="AO5284" t="s">
        <v>53</v>
      </c>
      <c r="AP5284" t="s">
        <v>53</v>
      </c>
    </row>
    <row r="5285" spans="2:42" x14ac:dyDescent="0.2">
      <c r="B5285" t="s">
        <v>44</v>
      </c>
      <c r="C5285" t="str">
        <f>HYPERLINK("https://us2.cloudbeds.com/connect/8493803454333002#/reservations/9080486846230991?display=2HKDYMPMMZ&amp;reservation_id=9080486846230991", "2HKDYMPMMZ")</f>
        <v>2HKDYMPMMZ</v>
      </c>
      <c r="D5285" t="s">
        <v>45</v>
      </c>
      <c r="E5285" t="s">
        <v>105</v>
      </c>
      <c r="F5285" t="s">
        <v>47</v>
      </c>
      <c r="G5285" t="s">
        <v>48</v>
      </c>
      <c r="H5285" t="s">
        <v>49</v>
      </c>
      <c r="I5285" t="s">
        <v>62</v>
      </c>
      <c r="J5285" t="s">
        <v>7966</v>
      </c>
      <c r="K5285" t="s">
        <v>8060</v>
      </c>
      <c r="L5285" t="s">
        <v>53</v>
      </c>
      <c r="N5285" t="s">
        <v>9358</v>
      </c>
      <c r="P5285" t="s">
        <v>55</v>
      </c>
      <c r="R5285" t="s">
        <v>118</v>
      </c>
      <c r="T5285" t="s">
        <v>9359</v>
      </c>
      <c r="U5285" t="s">
        <v>55</v>
      </c>
      <c r="V5285">
        <v>1</v>
      </c>
      <c r="W5285">
        <v>1</v>
      </c>
      <c r="X5285">
        <v>2</v>
      </c>
      <c r="Y5285">
        <v>0</v>
      </c>
      <c r="Z5285">
        <v>2</v>
      </c>
      <c r="AA5285">
        <v>138</v>
      </c>
      <c r="AB5285">
        <v>138</v>
      </c>
      <c r="AC5285">
        <v>138</v>
      </c>
      <c r="AD5285">
        <v>0</v>
      </c>
      <c r="AE5285">
        <v>0</v>
      </c>
      <c r="AF5285">
        <v>0</v>
      </c>
      <c r="AG5285">
        <v>0</v>
      </c>
      <c r="AH5285">
        <v>0</v>
      </c>
      <c r="AI5285">
        <v>24.84</v>
      </c>
      <c r="AJ5285">
        <v>138</v>
      </c>
      <c r="AK5285">
        <v>0</v>
      </c>
      <c r="AL5285" t="s">
        <v>53</v>
      </c>
      <c r="AM5285" t="s">
        <v>53</v>
      </c>
      <c r="AN5285" t="s">
        <v>53</v>
      </c>
      <c r="AO5285" t="s">
        <v>53</v>
      </c>
      <c r="AP5285" t="s">
        <v>53</v>
      </c>
    </row>
    <row r="5286" spans="2:42" x14ac:dyDescent="0.2">
      <c r="B5286" t="s">
        <v>44</v>
      </c>
      <c r="C5286" t="str">
        <f>HYPERLINK("https://us2.cloudbeds.com/connect/8493803454333002#/reservations/9080486846232190?display=2HMS4ABEBJ&amp;reservation_id=9080486846232190", "2HMS4ABEBJ")</f>
        <v>2HMS4ABEBJ</v>
      </c>
      <c r="D5286" t="s">
        <v>45</v>
      </c>
      <c r="E5286" t="s">
        <v>138</v>
      </c>
      <c r="F5286" t="s">
        <v>70</v>
      </c>
      <c r="G5286" t="s">
        <v>48</v>
      </c>
      <c r="H5286" t="s">
        <v>49</v>
      </c>
      <c r="I5286" t="s">
        <v>50</v>
      </c>
      <c r="J5286" t="s">
        <v>7830</v>
      </c>
      <c r="K5286" t="s">
        <v>7905</v>
      </c>
      <c r="L5286" t="s">
        <v>53</v>
      </c>
      <c r="N5286" t="s">
        <v>9360</v>
      </c>
      <c r="P5286" t="s">
        <v>55</v>
      </c>
      <c r="R5286" t="s">
        <v>53</v>
      </c>
      <c r="T5286" t="s">
        <v>9361</v>
      </c>
      <c r="U5286" t="s">
        <v>58</v>
      </c>
      <c r="V5286">
        <v>1</v>
      </c>
      <c r="W5286">
        <v>1</v>
      </c>
      <c r="X5286">
        <v>2</v>
      </c>
      <c r="Y5286">
        <v>0</v>
      </c>
      <c r="Z5286">
        <v>2</v>
      </c>
      <c r="AA5286">
        <v>142.18</v>
      </c>
      <c r="AB5286">
        <v>142.18</v>
      </c>
      <c r="AC5286">
        <v>125.1</v>
      </c>
      <c r="AD5286">
        <v>0</v>
      </c>
      <c r="AE5286">
        <v>17.079999999999998</v>
      </c>
      <c r="AF5286">
        <v>0</v>
      </c>
      <c r="AG5286">
        <v>0</v>
      </c>
      <c r="AH5286">
        <v>0</v>
      </c>
      <c r="AI5286">
        <v>25.59</v>
      </c>
      <c r="AJ5286">
        <v>142.18</v>
      </c>
      <c r="AK5286">
        <v>0</v>
      </c>
      <c r="AL5286" t="s">
        <v>53</v>
      </c>
      <c r="AM5286" t="s">
        <v>53</v>
      </c>
      <c r="AN5286" t="s">
        <v>53</v>
      </c>
      <c r="AO5286" t="s">
        <v>53</v>
      </c>
      <c r="AP5286" t="s">
        <v>53</v>
      </c>
    </row>
    <row r="5287" spans="2:42" x14ac:dyDescent="0.2">
      <c r="B5287" t="s">
        <v>44</v>
      </c>
      <c r="C5287" t="str">
        <f>HYPERLINK("https://us2.cloudbeds.com/connect/8493803454333002#/reservations/9080486846232483?display=2HN7KPXNGH&amp;reservation_id=9080486846232483", "2HN7KPXNGH")</f>
        <v>2HN7KPXNGH</v>
      </c>
      <c r="D5287" t="s">
        <v>45</v>
      </c>
      <c r="E5287" t="s">
        <v>113</v>
      </c>
      <c r="F5287" t="s">
        <v>61</v>
      </c>
      <c r="G5287" t="s">
        <v>48</v>
      </c>
      <c r="H5287" t="s">
        <v>49</v>
      </c>
      <c r="I5287" t="s">
        <v>50</v>
      </c>
      <c r="J5287" t="s">
        <v>6373</v>
      </c>
      <c r="K5287" t="s">
        <v>6374</v>
      </c>
      <c r="L5287" t="s">
        <v>53</v>
      </c>
      <c r="N5287" t="s">
        <v>9362</v>
      </c>
      <c r="P5287" t="s">
        <v>55</v>
      </c>
      <c r="R5287" t="s">
        <v>53</v>
      </c>
      <c r="T5287" t="s">
        <v>9363</v>
      </c>
      <c r="U5287" t="s">
        <v>58</v>
      </c>
      <c r="V5287">
        <v>2</v>
      </c>
      <c r="W5287">
        <v>1</v>
      </c>
      <c r="X5287">
        <v>2</v>
      </c>
      <c r="Y5287">
        <v>0</v>
      </c>
      <c r="Z5287">
        <v>2</v>
      </c>
      <c r="AA5287">
        <v>335.5</v>
      </c>
      <c r="AB5287">
        <v>335.5</v>
      </c>
      <c r="AC5287">
        <v>295.2</v>
      </c>
      <c r="AD5287">
        <v>0</v>
      </c>
      <c r="AE5287">
        <v>40.299999999999997</v>
      </c>
      <c r="AF5287">
        <v>0</v>
      </c>
      <c r="AG5287">
        <v>0</v>
      </c>
      <c r="AH5287">
        <v>0</v>
      </c>
      <c r="AI5287">
        <v>60.39</v>
      </c>
      <c r="AJ5287">
        <v>335.5</v>
      </c>
      <c r="AK5287">
        <v>0</v>
      </c>
      <c r="AL5287" t="s">
        <v>53</v>
      </c>
      <c r="AM5287" t="s">
        <v>53</v>
      </c>
      <c r="AN5287" t="s">
        <v>53</v>
      </c>
      <c r="AO5287" t="s">
        <v>53</v>
      </c>
      <c r="AP5287" t="s">
        <v>53</v>
      </c>
    </row>
    <row r="5288" spans="2:42" x14ac:dyDescent="0.2">
      <c r="B5288" t="s">
        <v>44</v>
      </c>
      <c r="C5288" t="str">
        <f>HYPERLINK("https://us2.cloudbeds.com/connect/8493803454333002#/reservations/117743373164765?display=2HNZ631MUS&amp;reservation_id=117743373164765", "2HNZ631MUS")</f>
        <v>2HNZ631MUS</v>
      </c>
      <c r="D5288" t="s">
        <v>45</v>
      </c>
      <c r="E5288" t="s">
        <v>113</v>
      </c>
      <c r="F5288" t="s">
        <v>61</v>
      </c>
      <c r="G5288" t="s">
        <v>48</v>
      </c>
      <c r="H5288" t="s">
        <v>3957</v>
      </c>
      <c r="I5288" t="s">
        <v>3975</v>
      </c>
      <c r="J5288" t="s">
        <v>5594</v>
      </c>
      <c r="K5288" t="s">
        <v>7706</v>
      </c>
      <c r="L5288" t="s">
        <v>53</v>
      </c>
      <c r="P5288" t="s">
        <v>55</v>
      </c>
      <c r="R5288" t="s">
        <v>53</v>
      </c>
      <c r="T5288" t="s">
        <v>9364</v>
      </c>
      <c r="U5288" t="s">
        <v>58</v>
      </c>
      <c r="V5288">
        <v>1</v>
      </c>
      <c r="W5288">
        <v>1</v>
      </c>
      <c r="X5288">
        <v>2</v>
      </c>
      <c r="Y5288">
        <v>0</v>
      </c>
      <c r="Z5288">
        <v>2</v>
      </c>
      <c r="AA5288">
        <v>187.53</v>
      </c>
      <c r="AB5288">
        <v>187.53</v>
      </c>
      <c r="AC5288">
        <v>165</v>
      </c>
      <c r="AD5288">
        <v>0</v>
      </c>
      <c r="AE5288">
        <v>22.53</v>
      </c>
      <c r="AF5288">
        <v>0</v>
      </c>
      <c r="AG5288">
        <v>0</v>
      </c>
      <c r="AH5288">
        <v>0</v>
      </c>
      <c r="AI5288">
        <v>0</v>
      </c>
      <c r="AJ5288">
        <v>187.53</v>
      </c>
      <c r="AK5288">
        <v>0</v>
      </c>
      <c r="AL5288" t="s">
        <v>53</v>
      </c>
      <c r="AM5288" t="s">
        <v>53</v>
      </c>
      <c r="AN5288" t="s">
        <v>53</v>
      </c>
      <c r="AO5288" t="s">
        <v>53</v>
      </c>
      <c r="AP5288" t="s">
        <v>53</v>
      </c>
    </row>
    <row r="5289" spans="2:42" x14ac:dyDescent="0.2">
      <c r="B5289" t="s">
        <v>44</v>
      </c>
      <c r="C5289" t="str">
        <f>HYPERLINK("https://us2.cloudbeds.com/connect/8493803454333002#/reservations/117747919782110?display=2HNRN8T0R1&amp;reservation_id=117747919782110", "2HNRN8T0R1")</f>
        <v>2HNRN8T0R1</v>
      </c>
      <c r="D5289" t="s">
        <v>45</v>
      </c>
      <c r="E5289" t="s">
        <v>85</v>
      </c>
      <c r="F5289" t="s">
        <v>86</v>
      </c>
      <c r="G5289" t="s">
        <v>3974</v>
      </c>
      <c r="H5289" t="s">
        <v>3957</v>
      </c>
      <c r="I5289" t="s">
        <v>3975</v>
      </c>
      <c r="J5289" t="s">
        <v>7962</v>
      </c>
      <c r="K5289" t="s">
        <v>8133</v>
      </c>
      <c r="L5289" t="s">
        <v>53</v>
      </c>
      <c r="P5289" t="s">
        <v>55</v>
      </c>
      <c r="R5289" t="s">
        <v>53</v>
      </c>
      <c r="T5289" t="s">
        <v>9365</v>
      </c>
      <c r="U5289" t="s">
        <v>58</v>
      </c>
      <c r="V5289">
        <v>2</v>
      </c>
      <c r="W5289">
        <v>1</v>
      </c>
      <c r="X5289">
        <v>2</v>
      </c>
      <c r="Y5289">
        <v>2</v>
      </c>
      <c r="Z5289">
        <v>4</v>
      </c>
      <c r="AA5289">
        <v>373.57</v>
      </c>
      <c r="AB5289">
        <v>373.57</v>
      </c>
      <c r="AC5289">
        <v>328.7</v>
      </c>
      <c r="AD5289">
        <v>0</v>
      </c>
      <c r="AE5289">
        <v>44.87</v>
      </c>
      <c r="AF5289">
        <v>0</v>
      </c>
      <c r="AG5289">
        <v>0</v>
      </c>
      <c r="AH5289">
        <v>0</v>
      </c>
      <c r="AI5289">
        <v>0</v>
      </c>
      <c r="AJ5289">
        <v>373.57</v>
      </c>
      <c r="AK5289">
        <v>0</v>
      </c>
      <c r="AL5289" t="s">
        <v>53</v>
      </c>
      <c r="AM5289" t="s">
        <v>53</v>
      </c>
      <c r="AN5289" t="s">
        <v>53</v>
      </c>
      <c r="AO5289" t="s">
        <v>53</v>
      </c>
      <c r="AP5289" t="s">
        <v>53</v>
      </c>
    </row>
    <row r="5290" spans="2:42" x14ac:dyDescent="0.2">
      <c r="B5290" t="s">
        <v>44</v>
      </c>
      <c r="C5290" t="str">
        <f>HYPERLINK("https://us2.cloudbeds.com/connect/8493803454333002#/reservations/9080486846233583?display=2HZJHXRHSF&amp;reservation_id=9080486846233583", "2HZJHXRHSF")</f>
        <v>2HZJHXRHSF</v>
      </c>
      <c r="D5290" t="s">
        <v>45</v>
      </c>
      <c r="E5290" t="s">
        <v>223</v>
      </c>
      <c r="F5290" t="s">
        <v>47</v>
      </c>
      <c r="G5290" t="s">
        <v>48</v>
      </c>
      <c r="H5290" t="s">
        <v>49</v>
      </c>
      <c r="I5290" t="s">
        <v>50</v>
      </c>
      <c r="J5290" t="s">
        <v>8750</v>
      </c>
      <c r="K5290" t="s">
        <v>6396</v>
      </c>
      <c r="L5290" t="s">
        <v>53</v>
      </c>
      <c r="N5290" t="s">
        <v>9366</v>
      </c>
      <c r="P5290" t="s">
        <v>55</v>
      </c>
      <c r="R5290" t="s">
        <v>53</v>
      </c>
      <c r="T5290" t="s">
        <v>9367</v>
      </c>
      <c r="U5290" t="s">
        <v>58</v>
      </c>
      <c r="V5290">
        <v>2</v>
      </c>
      <c r="W5290">
        <v>1</v>
      </c>
      <c r="X5290">
        <v>2</v>
      </c>
      <c r="Y5290">
        <v>0</v>
      </c>
      <c r="Z5290">
        <v>2</v>
      </c>
      <c r="AA5290">
        <v>450.07</v>
      </c>
      <c r="AB5290">
        <v>450.07</v>
      </c>
      <c r="AC5290">
        <v>396</v>
      </c>
      <c r="AD5290">
        <v>0</v>
      </c>
      <c r="AE5290">
        <v>54.07</v>
      </c>
      <c r="AF5290">
        <v>0</v>
      </c>
      <c r="AG5290">
        <v>0</v>
      </c>
      <c r="AH5290">
        <v>0</v>
      </c>
      <c r="AI5290">
        <v>81.010000000000005</v>
      </c>
      <c r="AJ5290">
        <v>450.07</v>
      </c>
      <c r="AK5290">
        <v>0</v>
      </c>
      <c r="AL5290" t="s">
        <v>53</v>
      </c>
      <c r="AM5290" t="s">
        <v>53</v>
      </c>
      <c r="AN5290" t="s">
        <v>53</v>
      </c>
      <c r="AO5290" t="s">
        <v>53</v>
      </c>
      <c r="AP5290" t="s">
        <v>53</v>
      </c>
    </row>
    <row r="5291" spans="2:42" x14ac:dyDescent="0.2">
      <c r="B5291" t="s">
        <v>44</v>
      </c>
      <c r="C5291" t="str">
        <f>HYPERLINK("https://us2.cloudbeds.com/connect/8493803454333002#/reservations/9080486846233641?display=2HZY1FAH0C&amp;reservation_id=9080486846233641", "2HZY1FAH0C")</f>
        <v>2HZY1FAH0C</v>
      </c>
      <c r="D5291" t="s">
        <v>45</v>
      </c>
      <c r="E5291" t="s">
        <v>223</v>
      </c>
      <c r="F5291" t="s">
        <v>47</v>
      </c>
      <c r="G5291" t="s">
        <v>48</v>
      </c>
      <c r="H5291" t="s">
        <v>49</v>
      </c>
      <c r="I5291" t="s">
        <v>50</v>
      </c>
      <c r="J5291" t="s">
        <v>7975</v>
      </c>
      <c r="K5291" t="s">
        <v>8367</v>
      </c>
      <c r="L5291" t="s">
        <v>53</v>
      </c>
      <c r="N5291" t="s">
        <v>9368</v>
      </c>
      <c r="P5291" t="s">
        <v>55</v>
      </c>
      <c r="R5291" t="s">
        <v>53</v>
      </c>
      <c r="T5291" t="s">
        <v>9369</v>
      </c>
      <c r="U5291" t="s">
        <v>58</v>
      </c>
      <c r="V5291">
        <v>2</v>
      </c>
      <c r="W5291">
        <v>1</v>
      </c>
      <c r="X5291">
        <v>2</v>
      </c>
      <c r="Y5291">
        <v>0</v>
      </c>
      <c r="Z5291">
        <v>2</v>
      </c>
      <c r="AA5291">
        <v>344.7</v>
      </c>
      <c r="AB5291">
        <v>344.7</v>
      </c>
      <c r="AC5291">
        <v>303.3</v>
      </c>
      <c r="AD5291">
        <v>0</v>
      </c>
      <c r="AE5291">
        <v>41.4</v>
      </c>
      <c r="AF5291">
        <v>0</v>
      </c>
      <c r="AG5291">
        <v>0</v>
      </c>
      <c r="AH5291">
        <v>0</v>
      </c>
      <c r="AI5291">
        <v>62.05</v>
      </c>
      <c r="AJ5291">
        <v>344.7</v>
      </c>
      <c r="AK5291">
        <v>0</v>
      </c>
      <c r="AL5291" t="s">
        <v>53</v>
      </c>
      <c r="AM5291" t="s">
        <v>53</v>
      </c>
      <c r="AN5291" t="s">
        <v>53</v>
      </c>
      <c r="AO5291" t="s">
        <v>53</v>
      </c>
      <c r="AP5291" t="s">
        <v>53</v>
      </c>
    </row>
    <row r="5292" spans="2:42" x14ac:dyDescent="0.2">
      <c r="B5292" t="s">
        <v>44</v>
      </c>
      <c r="C5292" t="str">
        <f>HYPERLINK("https://us2.cloudbeds.com/connect/8493803454333002#/reservations/9080486846234036?display=2HP5YAKUX7&amp;reservation_id=9080486846234036", "2HP5YAKUX7")</f>
        <v>2HP5YAKUX7</v>
      </c>
      <c r="D5292" t="s">
        <v>45</v>
      </c>
      <c r="E5292" t="s">
        <v>110</v>
      </c>
      <c r="F5292" t="s">
        <v>47</v>
      </c>
      <c r="G5292" t="s">
        <v>48</v>
      </c>
      <c r="H5292" t="s">
        <v>49</v>
      </c>
      <c r="I5292" t="s">
        <v>50</v>
      </c>
      <c r="J5292" t="s">
        <v>5743</v>
      </c>
      <c r="K5292" t="s">
        <v>5744</v>
      </c>
      <c r="L5292" t="s">
        <v>53</v>
      </c>
      <c r="N5292" t="s">
        <v>9370</v>
      </c>
      <c r="P5292" t="s">
        <v>55</v>
      </c>
      <c r="R5292" t="s">
        <v>53</v>
      </c>
      <c r="T5292" t="s">
        <v>9371</v>
      </c>
      <c r="U5292" t="s">
        <v>58</v>
      </c>
      <c r="V5292">
        <v>2</v>
      </c>
      <c r="W5292">
        <v>1</v>
      </c>
      <c r="X5292">
        <v>2</v>
      </c>
      <c r="Y5292">
        <v>0</v>
      </c>
      <c r="Z5292">
        <v>2</v>
      </c>
      <c r="AA5292">
        <v>445.34</v>
      </c>
      <c r="AB5292">
        <v>896.1</v>
      </c>
      <c r="AC5292">
        <v>391.85</v>
      </c>
      <c r="AD5292">
        <v>5</v>
      </c>
      <c r="AE5292">
        <v>53.91</v>
      </c>
      <c r="AF5292">
        <v>0</v>
      </c>
      <c r="AG5292">
        <v>0</v>
      </c>
      <c r="AH5292">
        <v>0</v>
      </c>
      <c r="AI5292">
        <v>81.14</v>
      </c>
      <c r="AJ5292">
        <v>450.76</v>
      </c>
      <c r="AK5292">
        <v>0</v>
      </c>
      <c r="AL5292" t="s">
        <v>53</v>
      </c>
      <c r="AM5292" t="s">
        <v>53</v>
      </c>
      <c r="AN5292" t="s">
        <v>53</v>
      </c>
      <c r="AO5292" t="s">
        <v>53</v>
      </c>
      <c r="AP5292" t="s">
        <v>53</v>
      </c>
    </row>
    <row r="5293" spans="2:42" x14ac:dyDescent="0.2">
      <c r="B5293" t="s">
        <v>44</v>
      </c>
      <c r="C5293" t="str">
        <f>HYPERLINK("https://us2.cloudbeds.com/connect/8493803454333002#/reservations/9080486846234037?display=2HP5Y8AXHQ&amp;reservation_id=9080486846234037", "2HP5Y8AXHQ")</f>
        <v>2HP5Y8AXHQ</v>
      </c>
      <c r="D5293" t="s">
        <v>45</v>
      </c>
      <c r="E5293" t="s">
        <v>105</v>
      </c>
      <c r="F5293" t="s">
        <v>47</v>
      </c>
      <c r="G5293" t="s">
        <v>48</v>
      </c>
      <c r="H5293" t="s">
        <v>49</v>
      </c>
      <c r="I5293" t="s">
        <v>50</v>
      </c>
      <c r="J5293" t="s">
        <v>5743</v>
      </c>
      <c r="K5293" t="s">
        <v>5744</v>
      </c>
      <c r="L5293" t="s">
        <v>53</v>
      </c>
      <c r="N5293" t="s">
        <v>9372</v>
      </c>
      <c r="P5293" t="s">
        <v>55</v>
      </c>
      <c r="R5293" t="s">
        <v>53</v>
      </c>
      <c r="T5293" t="s">
        <v>9373</v>
      </c>
      <c r="U5293" t="s">
        <v>58</v>
      </c>
      <c r="V5293">
        <v>2</v>
      </c>
      <c r="W5293">
        <v>1</v>
      </c>
      <c r="X5293">
        <v>2</v>
      </c>
      <c r="Y5293">
        <v>0</v>
      </c>
      <c r="Z5293">
        <v>2</v>
      </c>
      <c r="AA5293">
        <v>445.34</v>
      </c>
      <c r="AB5293">
        <v>890.68</v>
      </c>
      <c r="AC5293">
        <v>391.85</v>
      </c>
      <c r="AD5293">
        <v>0</v>
      </c>
      <c r="AE5293">
        <v>53.49</v>
      </c>
      <c r="AF5293">
        <v>0</v>
      </c>
      <c r="AG5293">
        <v>0</v>
      </c>
      <c r="AH5293">
        <v>0</v>
      </c>
      <c r="AI5293">
        <v>80.16</v>
      </c>
      <c r="AJ5293">
        <v>445.34</v>
      </c>
      <c r="AK5293">
        <v>0</v>
      </c>
      <c r="AL5293" t="s">
        <v>53</v>
      </c>
      <c r="AM5293" t="s">
        <v>53</v>
      </c>
      <c r="AN5293" t="s">
        <v>53</v>
      </c>
      <c r="AO5293" t="s">
        <v>53</v>
      </c>
      <c r="AP5293" t="s">
        <v>53</v>
      </c>
    </row>
    <row r="5294" spans="2:42" x14ac:dyDescent="0.2">
      <c r="B5294" t="s">
        <v>44</v>
      </c>
      <c r="C5294" t="str">
        <f>HYPERLINK("https://us2.cloudbeds.com/connect/8493803454333002#/reservations/9080486846234114?display=2HP8WPU0AW&amp;reservation_id=9080486846234114", "2HP8WPU0AW")</f>
        <v>2HP8WPU0AW</v>
      </c>
      <c r="D5294" t="s">
        <v>45</v>
      </c>
      <c r="E5294" t="s">
        <v>487</v>
      </c>
      <c r="F5294" t="s">
        <v>61</v>
      </c>
      <c r="G5294" t="s">
        <v>48</v>
      </c>
      <c r="H5294" t="s">
        <v>49</v>
      </c>
      <c r="I5294" t="s">
        <v>62</v>
      </c>
      <c r="J5294" t="s">
        <v>8060</v>
      </c>
      <c r="K5294" t="s">
        <v>8829</v>
      </c>
      <c r="L5294" t="s">
        <v>53</v>
      </c>
      <c r="N5294" t="s">
        <v>9374</v>
      </c>
      <c r="P5294" t="s">
        <v>55</v>
      </c>
      <c r="R5294" t="s">
        <v>56</v>
      </c>
      <c r="T5294" t="s">
        <v>9375</v>
      </c>
      <c r="U5294" t="s">
        <v>55</v>
      </c>
      <c r="V5294">
        <v>5</v>
      </c>
      <c r="W5294">
        <v>1</v>
      </c>
      <c r="X5294">
        <v>2</v>
      </c>
      <c r="Y5294">
        <v>0</v>
      </c>
      <c r="Z5294">
        <v>2</v>
      </c>
      <c r="AA5294">
        <v>819</v>
      </c>
      <c r="AB5294">
        <v>819</v>
      </c>
      <c r="AC5294">
        <v>819</v>
      </c>
      <c r="AD5294">
        <v>0</v>
      </c>
      <c r="AE5294">
        <v>0</v>
      </c>
      <c r="AF5294">
        <v>0</v>
      </c>
      <c r="AG5294">
        <v>0</v>
      </c>
      <c r="AH5294">
        <v>0</v>
      </c>
      <c r="AI5294">
        <v>147.41999999999999</v>
      </c>
      <c r="AJ5294">
        <v>819</v>
      </c>
      <c r="AK5294">
        <v>0</v>
      </c>
      <c r="AL5294" t="s">
        <v>53</v>
      </c>
      <c r="AM5294" t="s">
        <v>53</v>
      </c>
      <c r="AN5294" t="s">
        <v>53</v>
      </c>
      <c r="AO5294" t="s">
        <v>53</v>
      </c>
      <c r="AP5294" t="s">
        <v>53</v>
      </c>
    </row>
    <row r="5295" spans="2:42" x14ac:dyDescent="0.2">
      <c r="B5295" t="s">
        <v>44</v>
      </c>
      <c r="C5295" t="str">
        <f>HYPERLINK("https://us2.cloudbeds.com/connect/8493803454333002#/reservations/9080486846234769?display=2HQ84400W7&amp;reservation_id=9080486846234769", "2HQ84400W7")</f>
        <v>2HQ84400W7</v>
      </c>
      <c r="D5295" t="s">
        <v>45</v>
      </c>
      <c r="E5295" t="s">
        <v>2020</v>
      </c>
      <c r="F5295" t="s">
        <v>47</v>
      </c>
      <c r="G5295" t="s">
        <v>48</v>
      </c>
      <c r="H5295" t="s">
        <v>49</v>
      </c>
      <c r="I5295" t="s">
        <v>62</v>
      </c>
      <c r="J5295" t="s">
        <v>7510</v>
      </c>
      <c r="K5295" t="s">
        <v>7353</v>
      </c>
      <c r="L5295" t="s">
        <v>53</v>
      </c>
      <c r="N5295" t="s">
        <v>9376</v>
      </c>
      <c r="P5295" t="s">
        <v>55</v>
      </c>
      <c r="R5295" t="s">
        <v>56</v>
      </c>
      <c r="T5295" t="s">
        <v>9377</v>
      </c>
      <c r="U5295" t="s">
        <v>55</v>
      </c>
      <c r="V5295">
        <v>2</v>
      </c>
      <c r="W5295">
        <v>2</v>
      </c>
      <c r="X5295">
        <v>3</v>
      </c>
      <c r="Y5295">
        <v>0</v>
      </c>
      <c r="Z5295">
        <v>3</v>
      </c>
      <c r="AA5295">
        <v>332</v>
      </c>
      <c r="AB5295">
        <v>332</v>
      </c>
      <c r="AC5295">
        <v>332</v>
      </c>
      <c r="AD5295">
        <v>0</v>
      </c>
      <c r="AE5295">
        <v>0</v>
      </c>
      <c r="AF5295">
        <v>0</v>
      </c>
      <c r="AG5295">
        <v>0</v>
      </c>
      <c r="AH5295">
        <v>0</v>
      </c>
      <c r="AI5295">
        <v>59.76</v>
      </c>
      <c r="AJ5295">
        <v>332</v>
      </c>
      <c r="AK5295">
        <v>0</v>
      </c>
      <c r="AL5295" t="s">
        <v>53</v>
      </c>
      <c r="AM5295" t="s">
        <v>53</v>
      </c>
      <c r="AN5295" t="s">
        <v>9378</v>
      </c>
      <c r="AO5295" t="s">
        <v>53</v>
      </c>
      <c r="AP5295" t="s">
        <v>53</v>
      </c>
    </row>
    <row r="5296" spans="2:42" x14ac:dyDescent="0.2">
      <c r="B5296" t="s">
        <v>44</v>
      </c>
      <c r="C5296" t="str">
        <f>HYPERLINK("https://us2.cloudbeds.com/connect/8493803454333002#/reservations/117850819551437?display=2HQ8CJMQ44&amp;reservation_id=117850819551437", "2HQ8CJMQ44")</f>
        <v>2HQ8CJMQ44</v>
      </c>
      <c r="D5296" t="s">
        <v>45</v>
      </c>
      <c r="E5296" t="s">
        <v>190</v>
      </c>
      <c r="F5296" t="s">
        <v>61</v>
      </c>
      <c r="G5296" t="s">
        <v>48</v>
      </c>
      <c r="H5296" t="s">
        <v>3957</v>
      </c>
      <c r="I5296" t="s">
        <v>3958</v>
      </c>
      <c r="J5296" t="s">
        <v>8713</v>
      </c>
      <c r="K5296" t="s">
        <v>8871</v>
      </c>
      <c r="L5296" t="s">
        <v>53</v>
      </c>
      <c r="P5296" t="s">
        <v>55</v>
      </c>
      <c r="R5296" t="s">
        <v>56</v>
      </c>
      <c r="T5296" t="s">
        <v>9379</v>
      </c>
      <c r="U5296" t="s">
        <v>58</v>
      </c>
      <c r="V5296">
        <v>4</v>
      </c>
      <c r="W5296">
        <v>1</v>
      </c>
      <c r="X5296">
        <v>1</v>
      </c>
      <c r="Y5296">
        <v>0</v>
      </c>
      <c r="Z5296">
        <v>1</v>
      </c>
      <c r="AA5296">
        <v>772.83</v>
      </c>
      <c r="AB5296">
        <v>772.83</v>
      </c>
      <c r="AC5296">
        <v>680</v>
      </c>
      <c r="AD5296">
        <v>0</v>
      </c>
      <c r="AE5296">
        <v>92.83</v>
      </c>
      <c r="AF5296">
        <v>0</v>
      </c>
      <c r="AG5296">
        <v>0</v>
      </c>
      <c r="AH5296">
        <v>0</v>
      </c>
      <c r="AI5296">
        <v>0</v>
      </c>
      <c r="AJ5296">
        <v>772.83</v>
      </c>
      <c r="AK5296">
        <v>0</v>
      </c>
      <c r="AL5296" t="s">
        <v>53</v>
      </c>
      <c r="AM5296" t="s">
        <v>53</v>
      </c>
      <c r="AN5296" t="s">
        <v>53</v>
      </c>
      <c r="AO5296" t="s">
        <v>53</v>
      </c>
      <c r="AP5296" t="s">
        <v>53</v>
      </c>
    </row>
    <row r="5297" spans="2:42" x14ac:dyDescent="0.2">
      <c r="B5297" t="s">
        <v>44</v>
      </c>
      <c r="C5297" t="str">
        <f>HYPERLINK("https://us2.cloudbeds.com/connect/8493803454333002#/reservations/117887074578603?display=2HR3EWTC2W&amp;reservation_id=117887074578603", "2HR3EWTC2W")</f>
        <v>2HR3EWTC2W</v>
      </c>
      <c r="D5297" t="s">
        <v>45</v>
      </c>
      <c r="E5297" t="s">
        <v>85</v>
      </c>
      <c r="F5297" t="s">
        <v>86</v>
      </c>
      <c r="G5297" t="s">
        <v>48</v>
      </c>
      <c r="H5297" t="s">
        <v>3957</v>
      </c>
      <c r="I5297" t="s">
        <v>3975</v>
      </c>
      <c r="J5297" t="s">
        <v>7906</v>
      </c>
      <c r="K5297" t="s">
        <v>8713</v>
      </c>
      <c r="L5297" t="s">
        <v>53</v>
      </c>
      <c r="P5297" t="s">
        <v>55</v>
      </c>
      <c r="R5297" t="s">
        <v>53</v>
      </c>
      <c r="T5297" t="s">
        <v>9380</v>
      </c>
      <c r="U5297" t="s">
        <v>58</v>
      </c>
      <c r="V5297">
        <v>2</v>
      </c>
      <c r="W5297">
        <v>1</v>
      </c>
      <c r="X5297">
        <v>2</v>
      </c>
      <c r="Y5297">
        <v>0</v>
      </c>
      <c r="Z5297">
        <v>2</v>
      </c>
      <c r="AA5297">
        <v>440.97</v>
      </c>
      <c r="AB5297">
        <v>440.97</v>
      </c>
      <c r="AC5297">
        <v>388</v>
      </c>
      <c r="AD5297">
        <v>0</v>
      </c>
      <c r="AE5297">
        <v>52.97</v>
      </c>
      <c r="AF5297">
        <v>0</v>
      </c>
      <c r="AG5297">
        <v>0</v>
      </c>
      <c r="AH5297">
        <v>0</v>
      </c>
      <c r="AI5297">
        <v>0</v>
      </c>
      <c r="AJ5297">
        <v>440.97</v>
      </c>
      <c r="AK5297">
        <v>0</v>
      </c>
      <c r="AL5297" t="s">
        <v>53</v>
      </c>
      <c r="AM5297" t="s">
        <v>53</v>
      </c>
      <c r="AN5297" t="s">
        <v>53</v>
      </c>
      <c r="AO5297" t="s">
        <v>53</v>
      </c>
      <c r="AP5297" t="s">
        <v>53</v>
      </c>
    </row>
    <row r="5298" spans="2:42" x14ac:dyDescent="0.2">
      <c r="B5298" t="s">
        <v>44</v>
      </c>
      <c r="C5298" t="str">
        <f>HYPERLINK("https://us2.cloudbeds.com/connect/8493803454333002#/reservations/9080486846235438?display=2HRG23UEVX&amp;reservation_id=9080486846235438", "2HRG23UEVX")</f>
        <v>2HRG23UEVX</v>
      </c>
      <c r="D5298" t="s">
        <v>45</v>
      </c>
      <c r="E5298" t="s">
        <v>265</v>
      </c>
      <c r="F5298" t="s">
        <v>61</v>
      </c>
      <c r="G5298" t="s">
        <v>48</v>
      </c>
      <c r="H5298" t="s">
        <v>49</v>
      </c>
      <c r="I5298" t="s">
        <v>62</v>
      </c>
      <c r="J5298" t="s">
        <v>8713</v>
      </c>
      <c r="K5298" t="s">
        <v>8249</v>
      </c>
      <c r="L5298" t="s">
        <v>53</v>
      </c>
      <c r="N5298" t="s">
        <v>9381</v>
      </c>
      <c r="P5298" t="s">
        <v>55</v>
      </c>
      <c r="R5298" t="s">
        <v>56</v>
      </c>
      <c r="T5298" t="s">
        <v>9382</v>
      </c>
      <c r="U5298" t="s">
        <v>55</v>
      </c>
      <c r="V5298">
        <v>3</v>
      </c>
      <c r="W5298">
        <v>1</v>
      </c>
      <c r="X5298">
        <v>2</v>
      </c>
      <c r="Y5298">
        <v>0</v>
      </c>
      <c r="Z5298">
        <v>2</v>
      </c>
      <c r="AA5298">
        <v>519</v>
      </c>
      <c r="AB5298">
        <v>519</v>
      </c>
      <c r="AC5298">
        <v>519</v>
      </c>
      <c r="AD5298">
        <v>0</v>
      </c>
      <c r="AE5298">
        <v>0</v>
      </c>
      <c r="AF5298">
        <v>0</v>
      </c>
      <c r="AG5298">
        <v>0</v>
      </c>
      <c r="AH5298">
        <v>0</v>
      </c>
      <c r="AI5298">
        <v>93.42</v>
      </c>
      <c r="AJ5298">
        <v>519</v>
      </c>
      <c r="AK5298">
        <v>0</v>
      </c>
      <c r="AL5298" t="s">
        <v>53</v>
      </c>
      <c r="AM5298" t="s">
        <v>53</v>
      </c>
      <c r="AN5298" t="s">
        <v>53</v>
      </c>
      <c r="AO5298" t="s">
        <v>53</v>
      </c>
      <c r="AP5298" t="s">
        <v>53</v>
      </c>
    </row>
    <row r="5299" spans="2:42" x14ac:dyDescent="0.2">
      <c r="B5299" t="s">
        <v>44</v>
      </c>
      <c r="C5299" t="str">
        <f>HYPERLINK("https://us2.cloudbeds.com/connect/8493803454333002#/reservations/9080486846235744?display=2HS3ABDZTQ&amp;reservation_id=9080486846235744", "2HS3ABDZTQ")</f>
        <v>2HS3ABDZTQ</v>
      </c>
      <c r="D5299" t="s">
        <v>45</v>
      </c>
      <c r="E5299" t="s">
        <v>110</v>
      </c>
      <c r="F5299" t="s">
        <v>47</v>
      </c>
      <c r="G5299" t="s">
        <v>48</v>
      </c>
      <c r="H5299" t="s">
        <v>49</v>
      </c>
      <c r="I5299" t="s">
        <v>62</v>
      </c>
      <c r="J5299" t="s">
        <v>8750</v>
      </c>
      <c r="K5299" t="s">
        <v>6396</v>
      </c>
      <c r="L5299" t="s">
        <v>53</v>
      </c>
      <c r="N5299" t="s">
        <v>9383</v>
      </c>
      <c r="P5299" t="s">
        <v>55</v>
      </c>
      <c r="R5299" t="s">
        <v>56</v>
      </c>
      <c r="T5299" t="s">
        <v>9384</v>
      </c>
      <c r="U5299" t="s">
        <v>55</v>
      </c>
      <c r="V5299">
        <v>2</v>
      </c>
      <c r="W5299">
        <v>1</v>
      </c>
      <c r="X5299">
        <v>2</v>
      </c>
      <c r="Y5299">
        <v>0</v>
      </c>
      <c r="Z5299">
        <v>2</v>
      </c>
      <c r="AA5299">
        <v>396</v>
      </c>
      <c r="AB5299">
        <v>396</v>
      </c>
      <c r="AC5299">
        <v>396</v>
      </c>
      <c r="AD5299">
        <v>0</v>
      </c>
      <c r="AE5299">
        <v>0</v>
      </c>
      <c r="AF5299">
        <v>0</v>
      </c>
      <c r="AG5299">
        <v>0</v>
      </c>
      <c r="AH5299">
        <v>0</v>
      </c>
      <c r="AI5299">
        <v>71.28</v>
      </c>
      <c r="AJ5299">
        <v>396</v>
      </c>
      <c r="AK5299">
        <v>0</v>
      </c>
      <c r="AL5299" t="s">
        <v>53</v>
      </c>
      <c r="AM5299" t="s">
        <v>53</v>
      </c>
      <c r="AN5299" t="s">
        <v>53</v>
      </c>
      <c r="AO5299" t="s">
        <v>53</v>
      </c>
      <c r="AP5299" t="s">
        <v>53</v>
      </c>
    </row>
    <row r="5300" spans="2:42" x14ac:dyDescent="0.2">
      <c r="B5300" t="s">
        <v>44</v>
      </c>
      <c r="C5300" t="str">
        <f>HYPERLINK("https://us2.cloudbeds.com/connect/8493803454333002#/reservations/9080486846236281?display=2HTC8BXVD9&amp;reservation_id=9080486846236281", "2HTC8BXVD9")</f>
        <v>2HTC8BXVD9</v>
      </c>
      <c r="D5300" t="s">
        <v>45</v>
      </c>
      <c r="E5300" t="s">
        <v>185</v>
      </c>
      <c r="F5300" t="s">
        <v>47</v>
      </c>
      <c r="G5300" t="s">
        <v>48</v>
      </c>
      <c r="H5300" t="s">
        <v>49</v>
      </c>
      <c r="I5300" t="s">
        <v>50</v>
      </c>
      <c r="J5300" t="s">
        <v>7353</v>
      </c>
      <c r="K5300" t="s">
        <v>7151</v>
      </c>
      <c r="L5300" t="s">
        <v>53</v>
      </c>
      <c r="N5300" t="s">
        <v>9385</v>
      </c>
      <c r="P5300" t="s">
        <v>55</v>
      </c>
      <c r="R5300" t="s">
        <v>53</v>
      </c>
      <c r="T5300" t="s">
        <v>9386</v>
      </c>
      <c r="U5300" t="s">
        <v>58</v>
      </c>
      <c r="V5300">
        <v>2</v>
      </c>
      <c r="W5300">
        <v>1</v>
      </c>
      <c r="X5300">
        <v>1</v>
      </c>
      <c r="Y5300">
        <v>0</v>
      </c>
      <c r="Z5300">
        <v>1</v>
      </c>
      <c r="AA5300">
        <v>387.33</v>
      </c>
      <c r="AB5300">
        <v>387.33</v>
      </c>
      <c r="AC5300">
        <v>340.8</v>
      </c>
      <c r="AD5300">
        <v>0</v>
      </c>
      <c r="AE5300">
        <v>46.53</v>
      </c>
      <c r="AF5300">
        <v>0</v>
      </c>
      <c r="AG5300">
        <v>0</v>
      </c>
      <c r="AH5300">
        <v>0</v>
      </c>
      <c r="AI5300">
        <v>69.72</v>
      </c>
      <c r="AJ5300">
        <v>387.33</v>
      </c>
      <c r="AK5300">
        <v>0</v>
      </c>
      <c r="AL5300" t="s">
        <v>53</v>
      </c>
      <c r="AM5300" t="s">
        <v>53</v>
      </c>
      <c r="AN5300" t="s">
        <v>53</v>
      </c>
      <c r="AO5300" t="s">
        <v>53</v>
      </c>
      <c r="AP5300" t="s">
        <v>53</v>
      </c>
    </row>
    <row r="5301" spans="2:42" x14ac:dyDescent="0.2">
      <c r="B5301" t="s">
        <v>44</v>
      </c>
      <c r="C5301" t="str">
        <f>HYPERLINK("https://us2.cloudbeds.com/connect/8493803454333002#/reservations/118064631034058?display=2HV8UW6FZ4&amp;reservation_id=118064631034058", "2HV8UW6FZ4")</f>
        <v>2HV8UW6FZ4</v>
      </c>
      <c r="D5301" t="s">
        <v>45</v>
      </c>
      <c r="E5301" t="s">
        <v>128</v>
      </c>
      <c r="F5301" t="s">
        <v>86</v>
      </c>
      <c r="G5301" t="s">
        <v>48</v>
      </c>
      <c r="H5301" t="s">
        <v>3957</v>
      </c>
      <c r="I5301" t="s">
        <v>3975</v>
      </c>
      <c r="J5301" t="s">
        <v>9135</v>
      </c>
      <c r="K5301" t="s">
        <v>8313</v>
      </c>
      <c r="L5301" t="s">
        <v>53</v>
      </c>
      <c r="P5301" t="s">
        <v>55</v>
      </c>
      <c r="R5301" t="s">
        <v>53</v>
      </c>
      <c r="T5301" t="s">
        <v>9387</v>
      </c>
      <c r="U5301" t="s">
        <v>58</v>
      </c>
      <c r="V5301">
        <v>1</v>
      </c>
      <c r="W5301">
        <v>1</v>
      </c>
      <c r="X5301">
        <v>2</v>
      </c>
      <c r="Y5301">
        <v>0</v>
      </c>
      <c r="Z5301">
        <v>2</v>
      </c>
      <c r="AA5301">
        <v>160.25</v>
      </c>
      <c r="AB5301">
        <v>160.25</v>
      </c>
      <c r="AC5301">
        <v>141</v>
      </c>
      <c r="AD5301">
        <v>0</v>
      </c>
      <c r="AE5301">
        <v>19.25</v>
      </c>
      <c r="AF5301">
        <v>0</v>
      </c>
      <c r="AG5301">
        <v>0</v>
      </c>
      <c r="AH5301">
        <v>0</v>
      </c>
      <c r="AI5301">
        <v>0</v>
      </c>
      <c r="AJ5301">
        <v>160.25</v>
      </c>
      <c r="AK5301">
        <v>0</v>
      </c>
      <c r="AL5301" t="s">
        <v>53</v>
      </c>
      <c r="AM5301" t="s">
        <v>53</v>
      </c>
      <c r="AN5301" t="s">
        <v>53</v>
      </c>
      <c r="AO5301" t="s">
        <v>53</v>
      </c>
      <c r="AP5301" t="s">
        <v>53</v>
      </c>
    </row>
    <row r="5302" spans="2:42" x14ac:dyDescent="0.2">
      <c r="B5302" t="s">
        <v>44</v>
      </c>
      <c r="C5302" t="str">
        <f>HYPERLINK("https://us2.cloudbeds.com/connect/8493803454333002#/reservations/118094046662791?display=2HVVNK7NC0&amp;reservation_id=118094046662791", "2HVVNK7NC0")</f>
        <v>2HVVNK7NC0</v>
      </c>
      <c r="D5302" t="s">
        <v>45</v>
      </c>
      <c r="E5302" t="s">
        <v>155</v>
      </c>
      <c r="F5302" t="s">
        <v>86</v>
      </c>
      <c r="G5302" t="s">
        <v>48</v>
      </c>
      <c r="H5302" t="s">
        <v>3957</v>
      </c>
      <c r="I5302" t="s">
        <v>3989</v>
      </c>
      <c r="J5302" t="s">
        <v>5594</v>
      </c>
      <c r="K5302" t="s">
        <v>7706</v>
      </c>
      <c r="L5302" t="s">
        <v>53</v>
      </c>
      <c r="P5302" t="s">
        <v>55</v>
      </c>
      <c r="R5302" t="s">
        <v>56</v>
      </c>
      <c r="T5302" t="s">
        <v>9388</v>
      </c>
      <c r="U5302" t="s">
        <v>58</v>
      </c>
      <c r="V5302">
        <v>1</v>
      </c>
      <c r="W5302">
        <v>1</v>
      </c>
      <c r="X5302">
        <v>1</v>
      </c>
      <c r="Y5302">
        <v>0</v>
      </c>
      <c r="Z5302">
        <v>1</v>
      </c>
      <c r="AA5302">
        <v>180.02</v>
      </c>
      <c r="AB5302">
        <v>180.02</v>
      </c>
      <c r="AC5302">
        <v>158.4</v>
      </c>
      <c r="AD5302">
        <v>0</v>
      </c>
      <c r="AE5302">
        <v>21.62</v>
      </c>
      <c r="AF5302">
        <v>0</v>
      </c>
      <c r="AG5302">
        <v>0</v>
      </c>
      <c r="AH5302">
        <v>0</v>
      </c>
      <c r="AI5302">
        <v>0</v>
      </c>
      <c r="AJ5302">
        <v>180.02</v>
      </c>
      <c r="AK5302">
        <v>0</v>
      </c>
      <c r="AL5302" t="s">
        <v>53</v>
      </c>
      <c r="AM5302" t="s">
        <v>53</v>
      </c>
      <c r="AN5302" t="s">
        <v>53</v>
      </c>
      <c r="AO5302" t="s">
        <v>53</v>
      </c>
      <c r="AP5302" t="s">
        <v>53</v>
      </c>
    </row>
    <row r="5303" spans="2:42" x14ac:dyDescent="0.2">
      <c r="B5303" t="s">
        <v>44</v>
      </c>
      <c r="C5303" t="str">
        <f>HYPERLINK("https://us2.cloudbeds.com/connect/8493803454333002#/reservations/118098247041222?display=2HW1VV3E5T&amp;reservation_id=118098247041222", "2HW1VV3E5T")</f>
        <v>2HW1VV3E5T</v>
      </c>
      <c r="D5303" t="s">
        <v>45</v>
      </c>
      <c r="E5303" t="s">
        <v>373</v>
      </c>
      <c r="F5303" t="s">
        <v>47</v>
      </c>
      <c r="G5303" t="s">
        <v>48</v>
      </c>
      <c r="H5303" t="s">
        <v>3957</v>
      </c>
      <c r="I5303" t="s">
        <v>3975</v>
      </c>
      <c r="J5303" t="s">
        <v>7151</v>
      </c>
      <c r="K5303" t="s">
        <v>6396</v>
      </c>
      <c r="L5303" t="s">
        <v>53</v>
      </c>
      <c r="P5303" t="s">
        <v>55</v>
      </c>
      <c r="R5303" t="s">
        <v>53</v>
      </c>
      <c r="T5303" t="s">
        <v>9389</v>
      </c>
      <c r="U5303" t="s">
        <v>58</v>
      </c>
      <c r="V5303">
        <v>1</v>
      </c>
      <c r="W5303">
        <v>1</v>
      </c>
      <c r="X5303">
        <v>2</v>
      </c>
      <c r="Y5303">
        <v>0</v>
      </c>
      <c r="Z5303">
        <v>2</v>
      </c>
      <c r="AA5303">
        <v>221.63</v>
      </c>
      <c r="AB5303">
        <v>221.63</v>
      </c>
      <c r="AC5303">
        <v>195</v>
      </c>
      <c r="AD5303">
        <v>0</v>
      </c>
      <c r="AE5303">
        <v>26.63</v>
      </c>
      <c r="AF5303">
        <v>0</v>
      </c>
      <c r="AG5303">
        <v>0</v>
      </c>
      <c r="AH5303">
        <v>0</v>
      </c>
      <c r="AI5303">
        <v>0</v>
      </c>
      <c r="AJ5303">
        <v>221.63</v>
      </c>
      <c r="AK5303">
        <v>0</v>
      </c>
      <c r="AL5303" t="s">
        <v>53</v>
      </c>
      <c r="AM5303" t="s">
        <v>53</v>
      </c>
      <c r="AN5303" t="s">
        <v>53</v>
      </c>
      <c r="AO5303" t="s">
        <v>53</v>
      </c>
      <c r="AP5303" t="s">
        <v>53</v>
      </c>
    </row>
    <row r="5304" spans="2:42" x14ac:dyDescent="0.2">
      <c r="B5304" t="s">
        <v>44</v>
      </c>
      <c r="C5304" t="str">
        <f>HYPERLINK("https://us2.cloudbeds.com/connect/8493803454333002#/reservations/9080486846238303?display=2HW72H0VH2&amp;reservation_id=9080486846238303", "2HW72H0VH2")</f>
        <v>2HW72H0VH2</v>
      </c>
      <c r="D5304" t="s">
        <v>45</v>
      </c>
      <c r="E5304" t="s">
        <v>69</v>
      </c>
      <c r="F5304" t="s">
        <v>70</v>
      </c>
      <c r="G5304" t="s">
        <v>48</v>
      </c>
      <c r="H5304" t="s">
        <v>49</v>
      </c>
      <c r="I5304" t="s">
        <v>50</v>
      </c>
      <c r="J5304" t="s">
        <v>8138</v>
      </c>
      <c r="K5304" t="s">
        <v>5403</v>
      </c>
      <c r="L5304" t="s">
        <v>53</v>
      </c>
      <c r="N5304" t="s">
        <v>9390</v>
      </c>
      <c r="P5304" t="s">
        <v>55</v>
      </c>
      <c r="R5304" t="s">
        <v>53</v>
      </c>
      <c r="T5304" t="s">
        <v>9391</v>
      </c>
      <c r="U5304" t="s">
        <v>58</v>
      </c>
      <c r="V5304">
        <v>2</v>
      </c>
      <c r="W5304">
        <v>1</v>
      </c>
      <c r="X5304">
        <v>2</v>
      </c>
      <c r="Y5304">
        <v>0</v>
      </c>
      <c r="Z5304">
        <v>2</v>
      </c>
      <c r="AA5304">
        <v>371.91</v>
      </c>
      <c r="AB5304">
        <v>743.82</v>
      </c>
      <c r="AC5304">
        <v>327.25</v>
      </c>
      <c r="AD5304">
        <v>0</v>
      </c>
      <c r="AE5304">
        <v>44.66</v>
      </c>
      <c r="AF5304">
        <v>0</v>
      </c>
      <c r="AG5304">
        <v>0</v>
      </c>
      <c r="AH5304">
        <v>0</v>
      </c>
      <c r="AI5304">
        <v>66.94</v>
      </c>
      <c r="AJ5304">
        <v>371.91</v>
      </c>
      <c r="AK5304">
        <v>0</v>
      </c>
      <c r="AL5304" t="s">
        <v>53</v>
      </c>
      <c r="AM5304" t="s">
        <v>53</v>
      </c>
      <c r="AN5304" t="s">
        <v>53</v>
      </c>
      <c r="AO5304" t="s">
        <v>53</v>
      </c>
      <c r="AP5304" t="s">
        <v>53</v>
      </c>
    </row>
    <row r="5305" spans="2:42" x14ac:dyDescent="0.2">
      <c r="B5305" t="s">
        <v>44</v>
      </c>
      <c r="C5305" t="str">
        <f>HYPERLINK("https://us2.cloudbeds.com/connect/8493803454333002#/reservations/118108111421578?display=2HW9K00BMZ&amp;reservation_id=118108111421578", "2HW9K00BMZ")</f>
        <v>2HW9K00BMZ</v>
      </c>
      <c r="D5305" t="s">
        <v>45</v>
      </c>
      <c r="E5305" t="s">
        <v>85</v>
      </c>
      <c r="F5305" t="s">
        <v>86</v>
      </c>
      <c r="G5305" t="s">
        <v>4520</v>
      </c>
      <c r="H5305" t="s">
        <v>3957</v>
      </c>
      <c r="I5305" t="s">
        <v>3958</v>
      </c>
      <c r="J5305" t="s">
        <v>5594</v>
      </c>
      <c r="K5305" t="s">
        <v>7352</v>
      </c>
      <c r="L5305" t="s">
        <v>53</v>
      </c>
      <c r="P5305" t="s">
        <v>55</v>
      </c>
      <c r="R5305" t="s">
        <v>56</v>
      </c>
      <c r="T5305" t="s">
        <v>9392</v>
      </c>
      <c r="U5305" t="s">
        <v>58</v>
      </c>
      <c r="V5305">
        <v>2</v>
      </c>
      <c r="W5305">
        <v>1</v>
      </c>
      <c r="X5305">
        <v>1</v>
      </c>
      <c r="Y5305">
        <v>0</v>
      </c>
      <c r="Z5305">
        <v>1</v>
      </c>
      <c r="AA5305">
        <v>349.81</v>
      </c>
      <c r="AB5305">
        <v>349.81</v>
      </c>
      <c r="AC5305">
        <v>307.8</v>
      </c>
      <c r="AD5305">
        <v>0</v>
      </c>
      <c r="AE5305">
        <v>42.01</v>
      </c>
      <c r="AF5305">
        <v>0</v>
      </c>
      <c r="AG5305">
        <v>0</v>
      </c>
      <c r="AH5305">
        <v>0</v>
      </c>
      <c r="AI5305">
        <v>0</v>
      </c>
      <c r="AJ5305">
        <v>349.81</v>
      </c>
      <c r="AK5305">
        <v>0</v>
      </c>
      <c r="AL5305" t="s">
        <v>53</v>
      </c>
      <c r="AM5305" t="s">
        <v>53</v>
      </c>
      <c r="AN5305" t="s">
        <v>53</v>
      </c>
      <c r="AO5305" t="s">
        <v>53</v>
      </c>
      <c r="AP5305" t="s">
        <v>53</v>
      </c>
    </row>
    <row r="5306" spans="2:42" x14ac:dyDescent="0.2">
      <c r="B5306" t="s">
        <v>44</v>
      </c>
      <c r="C5306" t="str">
        <f>HYPERLINK("https://us2.cloudbeds.com/connect/8493803454333002#/reservations/9080486846238327?display=2HW9TY5UVM&amp;reservation_id=9080486846238327", "2HW9TY5UVM")</f>
        <v>2HW9TY5UVM</v>
      </c>
      <c r="D5306" t="s">
        <v>45</v>
      </c>
      <c r="E5306" t="s">
        <v>185</v>
      </c>
      <c r="F5306" t="s">
        <v>47</v>
      </c>
      <c r="G5306" t="s">
        <v>48</v>
      </c>
      <c r="H5306" t="s">
        <v>49</v>
      </c>
      <c r="I5306" t="s">
        <v>50</v>
      </c>
      <c r="J5306" t="s">
        <v>7966</v>
      </c>
      <c r="K5306" t="s">
        <v>8060</v>
      </c>
      <c r="L5306" t="s">
        <v>53</v>
      </c>
      <c r="N5306" t="s">
        <v>9393</v>
      </c>
      <c r="P5306" t="s">
        <v>55</v>
      </c>
      <c r="R5306" t="s">
        <v>53</v>
      </c>
      <c r="T5306" t="s">
        <v>9394</v>
      </c>
      <c r="U5306" t="s">
        <v>58</v>
      </c>
      <c r="V5306">
        <v>1</v>
      </c>
      <c r="W5306">
        <v>1</v>
      </c>
      <c r="X5306">
        <v>2</v>
      </c>
      <c r="Y5306">
        <v>0</v>
      </c>
      <c r="Z5306">
        <v>2</v>
      </c>
      <c r="AA5306">
        <v>155.47999999999999</v>
      </c>
      <c r="AB5306">
        <v>310.95999999999998</v>
      </c>
      <c r="AC5306">
        <v>136.80000000000001</v>
      </c>
      <c r="AD5306">
        <v>0</v>
      </c>
      <c r="AE5306">
        <v>18.68</v>
      </c>
      <c r="AF5306">
        <v>0</v>
      </c>
      <c r="AG5306">
        <v>0</v>
      </c>
      <c r="AH5306">
        <v>0</v>
      </c>
      <c r="AI5306">
        <v>27.99</v>
      </c>
      <c r="AJ5306">
        <v>155.47999999999999</v>
      </c>
      <c r="AK5306">
        <v>0</v>
      </c>
      <c r="AL5306" t="s">
        <v>53</v>
      </c>
      <c r="AM5306" t="s">
        <v>53</v>
      </c>
      <c r="AN5306" t="s">
        <v>53</v>
      </c>
      <c r="AO5306" t="s">
        <v>53</v>
      </c>
      <c r="AP5306" t="s">
        <v>53</v>
      </c>
    </row>
    <row r="5307" spans="2:42" x14ac:dyDescent="0.2">
      <c r="B5307" t="s">
        <v>44</v>
      </c>
      <c r="C5307" t="str">
        <f>HYPERLINK("https://us2.cloudbeds.com/connect/8493803454333002#/reservations/9080486846239095?display=2X05FGDN1A&amp;reservation_id=9080486846239095", "2X05FGDN1A")</f>
        <v>2X05FGDN1A</v>
      </c>
      <c r="D5307" t="s">
        <v>45</v>
      </c>
      <c r="E5307" t="s">
        <v>110</v>
      </c>
      <c r="F5307" t="s">
        <v>47</v>
      </c>
      <c r="G5307" t="s">
        <v>48</v>
      </c>
      <c r="H5307" t="s">
        <v>49</v>
      </c>
      <c r="I5307" t="s">
        <v>50</v>
      </c>
      <c r="J5307" t="s">
        <v>8594</v>
      </c>
      <c r="K5307" t="s">
        <v>7925</v>
      </c>
      <c r="L5307" t="s">
        <v>53</v>
      </c>
      <c r="N5307" t="s">
        <v>9395</v>
      </c>
      <c r="P5307" t="s">
        <v>55</v>
      </c>
      <c r="R5307" t="s">
        <v>53</v>
      </c>
      <c r="T5307" t="s">
        <v>9396</v>
      </c>
      <c r="U5307" t="s">
        <v>58</v>
      </c>
      <c r="V5307">
        <v>2</v>
      </c>
      <c r="W5307">
        <v>1</v>
      </c>
      <c r="X5307">
        <v>2</v>
      </c>
      <c r="Y5307">
        <v>0</v>
      </c>
      <c r="Z5307">
        <v>2</v>
      </c>
      <c r="AA5307">
        <v>373.11</v>
      </c>
      <c r="AB5307">
        <v>373.11</v>
      </c>
      <c r="AC5307">
        <v>328.31</v>
      </c>
      <c r="AD5307">
        <v>0</v>
      </c>
      <c r="AE5307">
        <v>44.8</v>
      </c>
      <c r="AF5307">
        <v>0</v>
      </c>
      <c r="AG5307">
        <v>0</v>
      </c>
      <c r="AH5307">
        <v>0</v>
      </c>
      <c r="AI5307">
        <v>67.16</v>
      </c>
      <c r="AJ5307">
        <v>373.11</v>
      </c>
      <c r="AK5307">
        <v>0</v>
      </c>
      <c r="AL5307" t="s">
        <v>53</v>
      </c>
      <c r="AM5307" t="s">
        <v>53</v>
      </c>
      <c r="AN5307" t="s">
        <v>53</v>
      </c>
      <c r="AO5307" t="s">
        <v>53</v>
      </c>
      <c r="AP5307" t="s">
        <v>53</v>
      </c>
    </row>
    <row r="5308" spans="2:42" x14ac:dyDescent="0.2">
      <c r="B5308" t="s">
        <v>44</v>
      </c>
      <c r="C5308" t="str">
        <f>HYPERLINK("https://us2.cloudbeds.com/connect/8493803454333002#/reservations/118158916870375?display=2X0FV6GSC6&amp;reservation_id=118158916870375", "2X0FV6GSC6")</f>
        <v>2X0FV6GSC6</v>
      </c>
      <c r="D5308" t="s">
        <v>45</v>
      </c>
      <c r="E5308" t="s">
        <v>138</v>
      </c>
      <c r="F5308" t="s">
        <v>70</v>
      </c>
      <c r="G5308" t="s">
        <v>48</v>
      </c>
      <c r="H5308" t="s">
        <v>3957</v>
      </c>
      <c r="I5308" t="s">
        <v>3989</v>
      </c>
      <c r="J5308" t="s">
        <v>5594</v>
      </c>
      <c r="K5308" t="s">
        <v>7706</v>
      </c>
      <c r="L5308" t="s">
        <v>53</v>
      </c>
      <c r="P5308" t="s">
        <v>55</v>
      </c>
      <c r="R5308" t="s">
        <v>56</v>
      </c>
      <c r="T5308" t="s">
        <v>9397</v>
      </c>
      <c r="U5308" t="s">
        <v>58</v>
      </c>
      <c r="V5308">
        <v>1</v>
      </c>
      <c r="W5308">
        <v>1</v>
      </c>
      <c r="X5308">
        <v>1</v>
      </c>
      <c r="Y5308">
        <v>0</v>
      </c>
      <c r="Z5308">
        <v>1</v>
      </c>
      <c r="AA5308">
        <v>165.93</v>
      </c>
      <c r="AB5308">
        <v>165.93</v>
      </c>
      <c r="AC5308">
        <v>146</v>
      </c>
      <c r="AD5308">
        <v>0</v>
      </c>
      <c r="AE5308">
        <v>19.93</v>
      </c>
      <c r="AF5308">
        <v>0</v>
      </c>
      <c r="AG5308">
        <v>0</v>
      </c>
      <c r="AH5308">
        <v>0</v>
      </c>
      <c r="AI5308">
        <v>0</v>
      </c>
      <c r="AJ5308">
        <v>165.93</v>
      </c>
      <c r="AK5308">
        <v>0</v>
      </c>
      <c r="AL5308" t="s">
        <v>53</v>
      </c>
      <c r="AM5308" t="s">
        <v>53</v>
      </c>
      <c r="AN5308" t="s">
        <v>53</v>
      </c>
      <c r="AO5308" t="s">
        <v>53</v>
      </c>
      <c r="AP5308" t="s">
        <v>53</v>
      </c>
    </row>
    <row r="5309" spans="2:42" x14ac:dyDescent="0.2">
      <c r="B5309" t="s">
        <v>44</v>
      </c>
      <c r="C5309" t="str">
        <f>HYPERLINK("https://us2.cloudbeds.com/connect/8493803454333002#/reservations/9080486846239576?display=2X0YAZ46NH&amp;reservation_id=9080486846239576", "2X0YAZ46NH")</f>
        <v>2X0YAZ46NH</v>
      </c>
      <c r="D5309" t="s">
        <v>45</v>
      </c>
      <c r="E5309" t="s">
        <v>105</v>
      </c>
      <c r="F5309" t="s">
        <v>47</v>
      </c>
      <c r="G5309" t="s">
        <v>48</v>
      </c>
      <c r="H5309" t="s">
        <v>49</v>
      </c>
      <c r="I5309" t="s">
        <v>62</v>
      </c>
      <c r="J5309" t="s">
        <v>7706</v>
      </c>
      <c r="K5309" t="s">
        <v>7352</v>
      </c>
      <c r="L5309" t="s">
        <v>53</v>
      </c>
      <c r="N5309" t="s">
        <v>9398</v>
      </c>
      <c r="P5309" t="s">
        <v>55</v>
      </c>
      <c r="R5309" t="s">
        <v>56</v>
      </c>
      <c r="T5309" t="s">
        <v>9399</v>
      </c>
      <c r="U5309" t="s">
        <v>55</v>
      </c>
      <c r="V5309">
        <v>1</v>
      </c>
      <c r="W5309">
        <v>1</v>
      </c>
      <c r="X5309">
        <v>2</v>
      </c>
      <c r="Y5309">
        <v>0</v>
      </c>
      <c r="Z5309">
        <v>2</v>
      </c>
      <c r="AA5309">
        <v>148</v>
      </c>
      <c r="AB5309">
        <v>148</v>
      </c>
      <c r="AC5309">
        <v>148</v>
      </c>
      <c r="AD5309">
        <v>0</v>
      </c>
      <c r="AE5309">
        <v>0</v>
      </c>
      <c r="AF5309">
        <v>0</v>
      </c>
      <c r="AG5309">
        <v>0</v>
      </c>
      <c r="AH5309">
        <v>0</v>
      </c>
      <c r="AI5309">
        <v>26.64</v>
      </c>
      <c r="AJ5309">
        <v>148</v>
      </c>
      <c r="AK5309">
        <v>0</v>
      </c>
      <c r="AL5309" t="s">
        <v>53</v>
      </c>
      <c r="AM5309" t="s">
        <v>53</v>
      </c>
      <c r="AN5309" t="s">
        <v>53</v>
      </c>
      <c r="AO5309" t="s">
        <v>53</v>
      </c>
      <c r="AP5309" t="s">
        <v>53</v>
      </c>
    </row>
    <row r="5310" spans="2:42" x14ac:dyDescent="0.2">
      <c r="B5310" t="s">
        <v>44</v>
      </c>
      <c r="C5310" t="str">
        <f>HYPERLINK("https://us2.cloudbeds.com/connect/8493803454333002#/reservations/9080486846239882?display=2X101YHHD9&amp;reservation_id=9080486846239882", "2X101YHHD9")</f>
        <v>2X101YHHD9</v>
      </c>
      <c r="D5310" t="s">
        <v>45</v>
      </c>
      <c r="E5310" t="s">
        <v>213</v>
      </c>
      <c r="F5310" t="s">
        <v>86</v>
      </c>
      <c r="G5310" t="s">
        <v>48</v>
      </c>
      <c r="H5310" t="s">
        <v>49</v>
      </c>
      <c r="I5310" t="s">
        <v>50</v>
      </c>
      <c r="J5310" t="s">
        <v>7706</v>
      </c>
      <c r="K5310" t="s">
        <v>7352</v>
      </c>
      <c r="L5310" t="s">
        <v>53</v>
      </c>
      <c r="N5310" t="s">
        <v>9400</v>
      </c>
      <c r="P5310" t="s">
        <v>55</v>
      </c>
      <c r="R5310" t="s">
        <v>53</v>
      </c>
      <c r="T5310" t="s">
        <v>9401</v>
      </c>
      <c r="U5310" t="s">
        <v>58</v>
      </c>
      <c r="V5310">
        <v>1</v>
      </c>
      <c r="W5310">
        <v>1</v>
      </c>
      <c r="X5310">
        <v>2</v>
      </c>
      <c r="Y5310">
        <v>0</v>
      </c>
      <c r="Z5310">
        <v>2</v>
      </c>
      <c r="AA5310">
        <v>169.79</v>
      </c>
      <c r="AB5310">
        <v>169.79</v>
      </c>
      <c r="AC5310">
        <v>149.4</v>
      </c>
      <c r="AD5310">
        <v>0</v>
      </c>
      <c r="AE5310">
        <v>20.39</v>
      </c>
      <c r="AF5310">
        <v>0</v>
      </c>
      <c r="AG5310">
        <v>0</v>
      </c>
      <c r="AH5310">
        <v>0</v>
      </c>
      <c r="AI5310">
        <v>30.56</v>
      </c>
      <c r="AJ5310">
        <v>169.79</v>
      </c>
      <c r="AK5310">
        <v>0</v>
      </c>
      <c r="AL5310" t="s">
        <v>53</v>
      </c>
      <c r="AM5310" t="s">
        <v>53</v>
      </c>
      <c r="AN5310" t="s">
        <v>53</v>
      </c>
      <c r="AO5310" t="s">
        <v>53</v>
      </c>
      <c r="AP5310" t="s">
        <v>53</v>
      </c>
    </row>
    <row r="5311" spans="2:42" x14ac:dyDescent="0.2">
      <c r="B5311" t="s">
        <v>44</v>
      </c>
      <c r="C5311" t="str">
        <f>HYPERLINK("https://us2.cloudbeds.com/connect/8493803454333002#/reservations/9080486846239883?display=2X0WMKPZ6G&amp;reservation_id=9080486846239883", "2X0WMKPZ6G")</f>
        <v>2X0WMKPZ6G</v>
      </c>
      <c r="D5311" t="s">
        <v>45</v>
      </c>
      <c r="E5311" t="s">
        <v>155</v>
      </c>
      <c r="F5311" t="s">
        <v>86</v>
      </c>
      <c r="G5311" t="s">
        <v>48</v>
      </c>
      <c r="H5311" t="s">
        <v>49</v>
      </c>
      <c r="I5311" t="s">
        <v>50</v>
      </c>
      <c r="J5311" t="s">
        <v>7706</v>
      </c>
      <c r="K5311" t="s">
        <v>7352</v>
      </c>
      <c r="L5311" t="s">
        <v>53</v>
      </c>
      <c r="N5311" t="s">
        <v>9402</v>
      </c>
      <c r="P5311" t="s">
        <v>55</v>
      </c>
      <c r="R5311" t="s">
        <v>53</v>
      </c>
      <c r="T5311" t="s">
        <v>9403</v>
      </c>
      <c r="U5311" t="s">
        <v>58</v>
      </c>
      <c r="V5311">
        <v>1</v>
      </c>
      <c r="W5311">
        <v>1</v>
      </c>
      <c r="X5311">
        <v>2</v>
      </c>
      <c r="Y5311">
        <v>0</v>
      </c>
      <c r="Z5311">
        <v>2</v>
      </c>
      <c r="AA5311">
        <v>169.79</v>
      </c>
      <c r="AB5311">
        <v>169.79</v>
      </c>
      <c r="AC5311">
        <v>149.4</v>
      </c>
      <c r="AD5311">
        <v>0</v>
      </c>
      <c r="AE5311">
        <v>20.39</v>
      </c>
      <c r="AF5311">
        <v>0</v>
      </c>
      <c r="AG5311">
        <v>0</v>
      </c>
      <c r="AH5311">
        <v>0</v>
      </c>
      <c r="AI5311">
        <v>30.56</v>
      </c>
      <c r="AJ5311">
        <v>169.79</v>
      </c>
      <c r="AK5311">
        <v>0</v>
      </c>
      <c r="AL5311" t="s">
        <v>53</v>
      </c>
      <c r="AM5311" t="s">
        <v>53</v>
      </c>
      <c r="AN5311" t="s">
        <v>53</v>
      </c>
      <c r="AO5311" t="s">
        <v>53</v>
      </c>
      <c r="AP5311" t="s">
        <v>53</v>
      </c>
    </row>
    <row r="5312" spans="2:42" x14ac:dyDescent="0.2">
      <c r="B5312" t="s">
        <v>44</v>
      </c>
      <c r="C5312" t="str">
        <f>HYPERLINK("https://us2.cloudbeds.com/connect/8493803454333002#/reservations/118191825936532?display=2X18E3A4H6&amp;reservation_id=118191825936532", "2X18E3A4H6")</f>
        <v>2X18E3A4H6</v>
      </c>
      <c r="D5312" t="s">
        <v>45</v>
      </c>
      <c r="E5312" t="s">
        <v>78</v>
      </c>
      <c r="F5312" t="s">
        <v>61</v>
      </c>
      <c r="G5312" t="s">
        <v>48</v>
      </c>
      <c r="H5312" t="s">
        <v>3957</v>
      </c>
      <c r="I5312" t="s">
        <v>3958</v>
      </c>
      <c r="J5312" t="s">
        <v>8119</v>
      </c>
      <c r="K5312" t="s">
        <v>7864</v>
      </c>
      <c r="L5312" t="s">
        <v>53</v>
      </c>
      <c r="P5312" t="s">
        <v>55</v>
      </c>
      <c r="R5312" t="s">
        <v>56</v>
      </c>
      <c r="T5312" t="s">
        <v>9404</v>
      </c>
      <c r="U5312" t="s">
        <v>58</v>
      </c>
      <c r="V5312">
        <v>1</v>
      </c>
      <c r="W5312">
        <v>1</v>
      </c>
      <c r="X5312">
        <v>1</v>
      </c>
      <c r="Y5312">
        <v>0</v>
      </c>
      <c r="Z5312">
        <v>1</v>
      </c>
      <c r="AA5312">
        <v>202.3</v>
      </c>
      <c r="AB5312">
        <v>202.3</v>
      </c>
      <c r="AC5312">
        <v>178</v>
      </c>
      <c r="AD5312">
        <v>0</v>
      </c>
      <c r="AE5312">
        <v>24.3</v>
      </c>
      <c r="AF5312">
        <v>0</v>
      </c>
      <c r="AG5312">
        <v>0</v>
      </c>
      <c r="AH5312">
        <v>0</v>
      </c>
      <c r="AI5312">
        <v>0</v>
      </c>
      <c r="AJ5312">
        <v>202.3</v>
      </c>
      <c r="AK5312">
        <v>0</v>
      </c>
      <c r="AL5312" t="s">
        <v>53</v>
      </c>
      <c r="AM5312" t="s">
        <v>53</v>
      </c>
      <c r="AN5312" t="s">
        <v>53</v>
      </c>
      <c r="AO5312" t="s">
        <v>53</v>
      </c>
      <c r="AP5312" t="s">
        <v>53</v>
      </c>
    </row>
    <row r="5313" spans="2:42" x14ac:dyDescent="0.2">
      <c r="B5313" t="s">
        <v>44</v>
      </c>
      <c r="C5313" t="str">
        <f>HYPERLINK("https://us2.cloudbeds.com/connect/8493803454333002#/reservations/118189173002399?display=2X16CA9B0P&amp;reservation_id=118189173002399", "2X16CA9B0P")</f>
        <v>2X16CA9B0P</v>
      </c>
      <c r="D5313" t="s">
        <v>45</v>
      </c>
      <c r="E5313" t="s">
        <v>78</v>
      </c>
      <c r="F5313" t="s">
        <v>61</v>
      </c>
      <c r="G5313" t="s">
        <v>3974</v>
      </c>
      <c r="H5313" t="s">
        <v>3957</v>
      </c>
      <c r="I5313" t="s">
        <v>3975</v>
      </c>
      <c r="J5313" t="s">
        <v>6373</v>
      </c>
      <c r="K5313" t="s">
        <v>8765</v>
      </c>
      <c r="L5313" t="s">
        <v>53</v>
      </c>
      <c r="P5313" t="s">
        <v>55</v>
      </c>
      <c r="R5313" t="s">
        <v>53</v>
      </c>
      <c r="T5313" t="s">
        <v>9405</v>
      </c>
      <c r="U5313" t="s">
        <v>58</v>
      </c>
      <c r="V5313">
        <v>1</v>
      </c>
      <c r="W5313">
        <v>1</v>
      </c>
      <c r="X5313">
        <v>2</v>
      </c>
      <c r="Y5313">
        <v>0</v>
      </c>
      <c r="Z5313">
        <v>2</v>
      </c>
      <c r="AA5313">
        <v>223.48</v>
      </c>
      <c r="AB5313">
        <v>223.48</v>
      </c>
      <c r="AC5313">
        <v>196.65</v>
      </c>
      <c r="AD5313">
        <v>0</v>
      </c>
      <c r="AE5313">
        <v>26.83</v>
      </c>
      <c r="AF5313">
        <v>0</v>
      </c>
      <c r="AG5313">
        <v>0</v>
      </c>
      <c r="AH5313">
        <v>0</v>
      </c>
      <c r="AI5313">
        <v>0</v>
      </c>
      <c r="AJ5313">
        <v>223.48</v>
      </c>
      <c r="AK5313">
        <v>0</v>
      </c>
      <c r="AL5313" t="s">
        <v>53</v>
      </c>
      <c r="AM5313" t="s">
        <v>53</v>
      </c>
      <c r="AN5313" t="s">
        <v>53</v>
      </c>
      <c r="AO5313" t="s">
        <v>53</v>
      </c>
      <c r="AP5313" t="s">
        <v>53</v>
      </c>
    </row>
    <row r="5314" spans="2:42" x14ac:dyDescent="0.2">
      <c r="B5314" t="s">
        <v>44</v>
      </c>
      <c r="C5314" t="str">
        <f>HYPERLINK("https://us2.cloudbeds.com/connect/8493803454333002#/reservations/9080486846240149?display=2X1AHXVAE0&amp;reservation_id=9080486846240149", "2X1AHXVAE0")</f>
        <v>2X1AHXVAE0</v>
      </c>
      <c r="D5314" t="s">
        <v>45</v>
      </c>
      <c r="E5314" t="s">
        <v>179</v>
      </c>
      <c r="F5314" t="s">
        <v>47</v>
      </c>
      <c r="G5314" t="s">
        <v>48</v>
      </c>
      <c r="H5314" t="s">
        <v>49</v>
      </c>
      <c r="I5314" t="s">
        <v>62</v>
      </c>
      <c r="J5314" t="s">
        <v>6397</v>
      </c>
      <c r="K5314" t="s">
        <v>7821</v>
      </c>
      <c r="L5314" t="s">
        <v>53</v>
      </c>
      <c r="N5314" t="s">
        <v>9406</v>
      </c>
      <c r="P5314" t="s">
        <v>55</v>
      </c>
      <c r="R5314" t="s">
        <v>56</v>
      </c>
      <c r="T5314" t="s">
        <v>9407</v>
      </c>
      <c r="U5314" t="s">
        <v>55</v>
      </c>
      <c r="V5314">
        <v>3</v>
      </c>
      <c r="W5314">
        <v>1</v>
      </c>
      <c r="X5314">
        <v>2</v>
      </c>
      <c r="Y5314">
        <v>0</v>
      </c>
      <c r="Z5314">
        <v>2</v>
      </c>
      <c r="AA5314">
        <v>461.7</v>
      </c>
      <c r="AB5314">
        <v>461.7</v>
      </c>
      <c r="AC5314">
        <v>461.7</v>
      </c>
      <c r="AD5314">
        <v>0</v>
      </c>
      <c r="AE5314">
        <v>0</v>
      </c>
      <c r="AF5314">
        <v>0</v>
      </c>
      <c r="AG5314">
        <v>0</v>
      </c>
      <c r="AH5314">
        <v>0</v>
      </c>
      <c r="AI5314">
        <v>83.11</v>
      </c>
      <c r="AJ5314">
        <v>461.7</v>
      </c>
      <c r="AK5314">
        <v>0</v>
      </c>
      <c r="AL5314" t="s">
        <v>53</v>
      </c>
      <c r="AM5314" t="s">
        <v>53</v>
      </c>
      <c r="AN5314" t="s">
        <v>53</v>
      </c>
      <c r="AO5314" t="s">
        <v>53</v>
      </c>
      <c r="AP5314" t="s">
        <v>53</v>
      </c>
    </row>
    <row r="5315" spans="2:42" x14ac:dyDescent="0.2">
      <c r="B5315" t="s">
        <v>44</v>
      </c>
      <c r="C5315" t="str">
        <f>HYPERLINK("https://us2.cloudbeds.com/connect/8493803454333002#/reservations/9080486846240269?display=2X1HFG6A4C&amp;reservation_id=9080486846240269", "2X1HFG6A4C")</f>
        <v>2X1HFG6A4C</v>
      </c>
      <c r="D5315" t="s">
        <v>45</v>
      </c>
      <c r="E5315" t="s">
        <v>190</v>
      </c>
      <c r="F5315" t="s">
        <v>61</v>
      </c>
      <c r="G5315" t="s">
        <v>48</v>
      </c>
      <c r="H5315" t="s">
        <v>49</v>
      </c>
      <c r="I5315" t="s">
        <v>50</v>
      </c>
      <c r="J5315" t="s">
        <v>6373</v>
      </c>
      <c r="K5315" t="s">
        <v>6374</v>
      </c>
      <c r="L5315" t="s">
        <v>53</v>
      </c>
      <c r="N5315" t="s">
        <v>9408</v>
      </c>
      <c r="P5315" t="s">
        <v>55</v>
      </c>
      <c r="R5315" t="s">
        <v>53</v>
      </c>
      <c r="T5315" t="s">
        <v>9409</v>
      </c>
      <c r="U5315" t="s">
        <v>58</v>
      </c>
      <c r="V5315">
        <v>2</v>
      </c>
      <c r="W5315">
        <v>1</v>
      </c>
      <c r="X5315">
        <v>2</v>
      </c>
      <c r="Y5315">
        <v>0</v>
      </c>
      <c r="Z5315">
        <v>2</v>
      </c>
      <c r="AA5315">
        <v>372.15</v>
      </c>
      <c r="AB5315">
        <v>372.15</v>
      </c>
      <c r="AC5315">
        <v>327.45999999999998</v>
      </c>
      <c r="AD5315">
        <v>0</v>
      </c>
      <c r="AE5315">
        <v>44.69</v>
      </c>
      <c r="AF5315">
        <v>0</v>
      </c>
      <c r="AG5315">
        <v>0</v>
      </c>
      <c r="AH5315">
        <v>0</v>
      </c>
      <c r="AI5315">
        <v>66.989999999999995</v>
      </c>
      <c r="AJ5315">
        <v>372.15</v>
      </c>
      <c r="AK5315">
        <v>0</v>
      </c>
      <c r="AL5315" t="s">
        <v>53</v>
      </c>
      <c r="AM5315" t="s">
        <v>53</v>
      </c>
      <c r="AN5315" t="s">
        <v>53</v>
      </c>
      <c r="AO5315" t="s">
        <v>53</v>
      </c>
      <c r="AP5315" t="s">
        <v>53</v>
      </c>
    </row>
    <row r="5316" spans="2:42" x14ac:dyDescent="0.2">
      <c r="B5316" t="s">
        <v>44</v>
      </c>
      <c r="C5316" t="str">
        <f>HYPERLINK("https://us2.cloudbeds.com/connect/8493803454333002#/reservations/9080486846240394?display=2X1M8E191T&amp;reservation_id=9080486846240394", "2X1M8E191T")</f>
        <v>2X1M8E191T</v>
      </c>
      <c r="D5316" t="s">
        <v>45</v>
      </c>
      <c r="E5316" t="s">
        <v>98</v>
      </c>
      <c r="F5316" t="s">
        <v>86</v>
      </c>
      <c r="G5316" t="s">
        <v>48</v>
      </c>
      <c r="H5316" t="s">
        <v>49</v>
      </c>
      <c r="I5316" t="s">
        <v>50</v>
      </c>
      <c r="J5316" t="s">
        <v>8750</v>
      </c>
      <c r="K5316" t="s">
        <v>6396</v>
      </c>
      <c r="L5316" t="s">
        <v>53</v>
      </c>
      <c r="N5316" t="s">
        <v>9410</v>
      </c>
      <c r="P5316" t="s">
        <v>55</v>
      </c>
      <c r="R5316" t="s">
        <v>53</v>
      </c>
      <c r="T5316" t="s">
        <v>9411</v>
      </c>
      <c r="U5316" t="s">
        <v>58</v>
      </c>
      <c r="V5316">
        <v>2</v>
      </c>
      <c r="W5316">
        <v>1</v>
      </c>
      <c r="X5316">
        <v>2</v>
      </c>
      <c r="Y5316">
        <v>0</v>
      </c>
      <c r="Z5316">
        <v>2</v>
      </c>
      <c r="AA5316">
        <v>502.35</v>
      </c>
      <c r="AB5316">
        <v>502.35</v>
      </c>
      <c r="AC5316">
        <v>442</v>
      </c>
      <c r="AD5316">
        <v>0</v>
      </c>
      <c r="AE5316">
        <v>60.35</v>
      </c>
      <c r="AF5316">
        <v>0</v>
      </c>
      <c r="AG5316">
        <v>0</v>
      </c>
      <c r="AH5316">
        <v>0</v>
      </c>
      <c r="AI5316">
        <v>90.42</v>
      </c>
      <c r="AJ5316">
        <v>502.35</v>
      </c>
      <c r="AK5316">
        <v>0</v>
      </c>
      <c r="AL5316" t="s">
        <v>53</v>
      </c>
      <c r="AM5316" t="s">
        <v>53</v>
      </c>
      <c r="AN5316" t="s">
        <v>53</v>
      </c>
      <c r="AO5316" t="s">
        <v>53</v>
      </c>
      <c r="AP5316" t="s">
        <v>53</v>
      </c>
    </row>
    <row r="5317" spans="2:42" x14ac:dyDescent="0.2">
      <c r="B5317" t="s">
        <v>44</v>
      </c>
      <c r="C5317" t="str">
        <f>HYPERLINK("https://us2.cloudbeds.com/connect/8493803454333002#/reservations/9080486846240395?display=2X1MBG01U7&amp;reservation_id=9080486846240395", "2X1MBG01U7")</f>
        <v>2X1MBG01U7</v>
      </c>
      <c r="D5317" t="s">
        <v>45</v>
      </c>
      <c r="E5317" t="s">
        <v>121</v>
      </c>
      <c r="F5317" t="s">
        <v>86</v>
      </c>
      <c r="G5317" t="s">
        <v>48</v>
      </c>
      <c r="H5317" t="s">
        <v>49</v>
      </c>
      <c r="I5317" t="s">
        <v>50</v>
      </c>
      <c r="J5317" t="s">
        <v>8750</v>
      </c>
      <c r="K5317" t="s">
        <v>6396</v>
      </c>
      <c r="L5317" t="s">
        <v>53</v>
      </c>
      <c r="N5317" t="s">
        <v>9412</v>
      </c>
      <c r="P5317" t="s">
        <v>55</v>
      </c>
      <c r="R5317" t="s">
        <v>53</v>
      </c>
      <c r="T5317" t="s">
        <v>9413</v>
      </c>
      <c r="U5317" t="s">
        <v>58</v>
      </c>
      <c r="V5317">
        <v>2</v>
      </c>
      <c r="W5317">
        <v>1</v>
      </c>
      <c r="X5317">
        <v>2</v>
      </c>
      <c r="Y5317">
        <v>0</v>
      </c>
      <c r="Z5317">
        <v>2</v>
      </c>
      <c r="AA5317">
        <v>502.35</v>
      </c>
      <c r="AB5317">
        <v>502.35</v>
      </c>
      <c r="AC5317">
        <v>442</v>
      </c>
      <c r="AD5317">
        <v>0</v>
      </c>
      <c r="AE5317">
        <v>60.35</v>
      </c>
      <c r="AF5317">
        <v>0</v>
      </c>
      <c r="AG5317">
        <v>0</v>
      </c>
      <c r="AH5317">
        <v>0</v>
      </c>
      <c r="AI5317">
        <v>90.42</v>
      </c>
      <c r="AJ5317">
        <v>502.35</v>
      </c>
      <c r="AK5317">
        <v>0</v>
      </c>
      <c r="AL5317" t="s">
        <v>53</v>
      </c>
      <c r="AM5317" t="s">
        <v>53</v>
      </c>
      <c r="AN5317" t="s">
        <v>53</v>
      </c>
      <c r="AO5317" t="s">
        <v>53</v>
      </c>
      <c r="AP5317" t="s">
        <v>53</v>
      </c>
    </row>
    <row r="5318" spans="2:42" x14ac:dyDescent="0.2">
      <c r="B5318" t="s">
        <v>44</v>
      </c>
      <c r="C5318" t="str">
        <f>HYPERLINK("https://us2.cloudbeds.com/connect/8493803454333002#/reservations/9080486846240472?display=2X1QW90P7D&amp;reservation_id=9080486846240472", "2X1QW90P7D")</f>
        <v>2X1QW90P7D</v>
      </c>
      <c r="D5318" t="s">
        <v>45</v>
      </c>
      <c r="E5318" t="s">
        <v>165</v>
      </c>
      <c r="F5318" t="s">
        <v>61</v>
      </c>
      <c r="G5318" t="s">
        <v>48</v>
      </c>
      <c r="H5318" t="s">
        <v>49</v>
      </c>
      <c r="I5318" t="s">
        <v>50</v>
      </c>
      <c r="J5318" t="s">
        <v>7864</v>
      </c>
      <c r="K5318" t="s">
        <v>8816</v>
      </c>
      <c r="L5318" t="s">
        <v>53</v>
      </c>
      <c r="N5318" t="s">
        <v>9414</v>
      </c>
      <c r="P5318" t="s">
        <v>55</v>
      </c>
      <c r="R5318" t="s">
        <v>53</v>
      </c>
      <c r="T5318" t="s">
        <v>9415</v>
      </c>
      <c r="U5318" t="s">
        <v>58</v>
      </c>
      <c r="V5318">
        <v>1</v>
      </c>
      <c r="W5318">
        <v>1</v>
      </c>
      <c r="X5318">
        <v>2</v>
      </c>
      <c r="Y5318">
        <v>0</v>
      </c>
      <c r="Z5318">
        <v>2</v>
      </c>
      <c r="AA5318">
        <v>190.25</v>
      </c>
      <c r="AB5318">
        <v>190.25</v>
      </c>
      <c r="AC5318">
        <v>167.4</v>
      </c>
      <c r="AD5318">
        <v>0</v>
      </c>
      <c r="AE5318">
        <v>22.85</v>
      </c>
      <c r="AF5318">
        <v>0</v>
      </c>
      <c r="AG5318">
        <v>0</v>
      </c>
      <c r="AH5318">
        <v>0</v>
      </c>
      <c r="AI5318">
        <v>34.25</v>
      </c>
      <c r="AJ5318">
        <v>190.25</v>
      </c>
      <c r="AK5318">
        <v>0</v>
      </c>
      <c r="AL5318" t="s">
        <v>53</v>
      </c>
      <c r="AM5318" t="s">
        <v>53</v>
      </c>
      <c r="AN5318" t="s">
        <v>53</v>
      </c>
      <c r="AO5318" t="s">
        <v>53</v>
      </c>
      <c r="AP5318" t="s">
        <v>53</v>
      </c>
    </row>
    <row r="5319" spans="2:42" x14ac:dyDescent="0.2">
      <c r="B5319" t="s">
        <v>44</v>
      </c>
      <c r="C5319" t="str">
        <f>HYPERLINK("https://us2.cloudbeds.com/connect/8493803454333002#/reservations/118240035381460?display=2X2CZVQ08Z&amp;reservation_id=118240035381460", "2X2CZVQ08Z")</f>
        <v>2X2CZVQ08Z</v>
      </c>
      <c r="D5319" t="s">
        <v>45</v>
      </c>
      <c r="E5319" t="s">
        <v>179</v>
      </c>
      <c r="F5319" t="s">
        <v>47</v>
      </c>
      <c r="G5319" t="s">
        <v>48</v>
      </c>
      <c r="H5319" t="s">
        <v>3957</v>
      </c>
      <c r="I5319" t="s">
        <v>3975</v>
      </c>
      <c r="J5319" t="s">
        <v>7353</v>
      </c>
      <c r="K5319" t="s">
        <v>7151</v>
      </c>
      <c r="L5319" t="s">
        <v>53</v>
      </c>
      <c r="P5319" t="s">
        <v>55</v>
      </c>
      <c r="R5319" t="s">
        <v>53</v>
      </c>
      <c r="T5319" t="s">
        <v>9416</v>
      </c>
      <c r="U5319" t="s">
        <v>58</v>
      </c>
      <c r="V5319">
        <v>2</v>
      </c>
      <c r="W5319">
        <v>1</v>
      </c>
      <c r="X5319">
        <v>2</v>
      </c>
      <c r="Y5319">
        <v>0</v>
      </c>
      <c r="Z5319">
        <v>2</v>
      </c>
      <c r="AA5319">
        <v>415.96</v>
      </c>
      <c r="AB5319">
        <v>415.96</v>
      </c>
      <c r="AC5319">
        <v>366</v>
      </c>
      <c r="AD5319">
        <v>0</v>
      </c>
      <c r="AE5319">
        <v>49.96</v>
      </c>
      <c r="AF5319">
        <v>0</v>
      </c>
      <c r="AG5319">
        <v>0</v>
      </c>
      <c r="AH5319">
        <v>0</v>
      </c>
      <c r="AI5319">
        <v>0</v>
      </c>
      <c r="AJ5319">
        <v>415.96</v>
      </c>
      <c r="AK5319">
        <v>0</v>
      </c>
      <c r="AL5319" t="s">
        <v>53</v>
      </c>
      <c r="AM5319" t="s">
        <v>53</v>
      </c>
      <c r="AN5319" t="s">
        <v>53</v>
      </c>
      <c r="AO5319" t="s">
        <v>53</v>
      </c>
      <c r="AP5319" t="s">
        <v>53</v>
      </c>
    </row>
    <row r="5320" spans="2:42" x14ac:dyDescent="0.2">
      <c r="B5320" t="s">
        <v>44</v>
      </c>
      <c r="C5320" t="str">
        <f>HYPERLINK("https://us2.cloudbeds.com/connect/8493803454333002#/reservations/118248508010671?display=2X2JAF4DCF&amp;reservation_id=118248508010671", "2X2JAF4DCF")</f>
        <v>2X2JAF4DCF</v>
      </c>
      <c r="D5320" t="s">
        <v>45</v>
      </c>
      <c r="E5320" t="s">
        <v>265</v>
      </c>
      <c r="F5320" t="s">
        <v>61</v>
      </c>
      <c r="G5320" t="s">
        <v>48</v>
      </c>
      <c r="H5320" t="s">
        <v>3957</v>
      </c>
      <c r="I5320" t="s">
        <v>3975</v>
      </c>
      <c r="J5320" t="s">
        <v>7353</v>
      </c>
      <c r="K5320" t="s">
        <v>6396</v>
      </c>
      <c r="L5320" t="s">
        <v>53</v>
      </c>
      <c r="P5320" t="s">
        <v>55</v>
      </c>
      <c r="R5320" t="s">
        <v>53</v>
      </c>
      <c r="T5320" t="s">
        <v>9417</v>
      </c>
      <c r="U5320" t="s">
        <v>58</v>
      </c>
      <c r="V5320">
        <v>3</v>
      </c>
      <c r="W5320">
        <v>1</v>
      </c>
      <c r="X5320">
        <v>2</v>
      </c>
      <c r="Y5320">
        <v>0</v>
      </c>
      <c r="Z5320">
        <v>2</v>
      </c>
      <c r="AA5320">
        <v>676.23</v>
      </c>
      <c r="AB5320">
        <v>676.23</v>
      </c>
      <c r="AC5320">
        <v>595</v>
      </c>
      <c r="AD5320">
        <v>0</v>
      </c>
      <c r="AE5320">
        <v>81.23</v>
      </c>
      <c r="AF5320">
        <v>0</v>
      </c>
      <c r="AG5320">
        <v>0</v>
      </c>
      <c r="AH5320">
        <v>0</v>
      </c>
      <c r="AI5320">
        <v>0</v>
      </c>
      <c r="AJ5320">
        <v>676.23</v>
      </c>
      <c r="AK5320">
        <v>0</v>
      </c>
      <c r="AL5320" t="s">
        <v>53</v>
      </c>
      <c r="AM5320" t="s">
        <v>53</v>
      </c>
      <c r="AN5320" t="s">
        <v>53</v>
      </c>
      <c r="AO5320" t="s">
        <v>53</v>
      </c>
      <c r="AP5320" t="s">
        <v>53</v>
      </c>
    </row>
    <row r="5321" spans="2:42" x14ac:dyDescent="0.2">
      <c r="B5321" t="s">
        <v>44</v>
      </c>
      <c r="C5321" t="str">
        <f>HYPERLINK("https://us2.cloudbeds.com/connect/8493803454333002#/reservations/9080486846240960?display=2X2HV2RMCJ&amp;reservation_id=9080486846240960", "2X2HV2RMCJ")</f>
        <v>2X2HV2RMCJ</v>
      </c>
      <c r="D5321" t="s">
        <v>45</v>
      </c>
      <c r="E5321" t="s">
        <v>98</v>
      </c>
      <c r="F5321" t="s">
        <v>86</v>
      </c>
      <c r="G5321" t="s">
        <v>48</v>
      </c>
      <c r="H5321" t="s">
        <v>49</v>
      </c>
      <c r="I5321" t="s">
        <v>50</v>
      </c>
      <c r="J5321" t="s">
        <v>7706</v>
      </c>
      <c r="K5321" t="s">
        <v>7352</v>
      </c>
      <c r="L5321" t="s">
        <v>53</v>
      </c>
      <c r="N5321" t="s">
        <v>9418</v>
      </c>
      <c r="P5321" t="s">
        <v>55</v>
      </c>
      <c r="R5321" t="s">
        <v>53</v>
      </c>
      <c r="T5321" t="s">
        <v>9419</v>
      </c>
      <c r="U5321" t="s">
        <v>58</v>
      </c>
      <c r="V5321">
        <v>1</v>
      </c>
      <c r="W5321">
        <v>1</v>
      </c>
      <c r="X5321">
        <v>2</v>
      </c>
      <c r="Y5321">
        <v>1</v>
      </c>
      <c r="Z5321">
        <v>3</v>
      </c>
      <c r="AA5321">
        <v>160.36000000000001</v>
      </c>
      <c r="AB5321">
        <v>160.36000000000001</v>
      </c>
      <c r="AC5321">
        <v>141.1</v>
      </c>
      <c r="AD5321">
        <v>0</v>
      </c>
      <c r="AE5321">
        <v>19.260000000000002</v>
      </c>
      <c r="AF5321">
        <v>0</v>
      </c>
      <c r="AG5321">
        <v>0</v>
      </c>
      <c r="AH5321">
        <v>0</v>
      </c>
      <c r="AI5321">
        <v>28.86</v>
      </c>
      <c r="AJ5321">
        <v>160.36000000000001</v>
      </c>
      <c r="AK5321">
        <v>0</v>
      </c>
      <c r="AL5321" t="s">
        <v>53</v>
      </c>
      <c r="AM5321" t="s">
        <v>53</v>
      </c>
      <c r="AN5321" t="s">
        <v>53</v>
      </c>
      <c r="AO5321" t="s">
        <v>53</v>
      </c>
      <c r="AP5321" t="s">
        <v>53</v>
      </c>
    </row>
    <row r="5322" spans="2:42" x14ac:dyDescent="0.2">
      <c r="B5322" t="s">
        <v>44</v>
      </c>
      <c r="C5322" t="str">
        <f>HYPERLINK("https://us2.cloudbeds.com/connect/8493803454333002#/reservations/9080486846241034?display=2X2M6QJTJ1&amp;reservation_id=9080486846241034", "2X2M6QJTJ1")</f>
        <v>2X2M6QJTJ1</v>
      </c>
      <c r="D5322" t="s">
        <v>45</v>
      </c>
      <c r="E5322" t="s">
        <v>190</v>
      </c>
      <c r="F5322" t="s">
        <v>61</v>
      </c>
      <c r="G5322" t="s">
        <v>48</v>
      </c>
      <c r="H5322" t="s">
        <v>49</v>
      </c>
      <c r="I5322" t="s">
        <v>8964</v>
      </c>
      <c r="J5322" t="s">
        <v>8750</v>
      </c>
      <c r="K5322" t="s">
        <v>6396</v>
      </c>
      <c r="L5322" t="s">
        <v>53</v>
      </c>
      <c r="N5322" t="s">
        <v>9420</v>
      </c>
      <c r="P5322" t="s">
        <v>55</v>
      </c>
      <c r="R5322" t="s">
        <v>53</v>
      </c>
      <c r="T5322" t="s">
        <v>9421</v>
      </c>
      <c r="U5322" t="s">
        <v>58</v>
      </c>
      <c r="V5322">
        <v>2</v>
      </c>
      <c r="W5322">
        <v>1</v>
      </c>
      <c r="X5322">
        <v>1</v>
      </c>
      <c r="Y5322">
        <v>0</v>
      </c>
      <c r="Z5322">
        <v>1</v>
      </c>
      <c r="AA5322">
        <v>423</v>
      </c>
      <c r="AB5322">
        <v>0</v>
      </c>
      <c r="AC5322">
        <v>423</v>
      </c>
      <c r="AD5322">
        <v>0</v>
      </c>
      <c r="AE5322">
        <v>0</v>
      </c>
      <c r="AF5322">
        <v>0</v>
      </c>
      <c r="AG5322">
        <v>0</v>
      </c>
      <c r="AH5322">
        <v>0</v>
      </c>
      <c r="AI5322">
        <v>63.45</v>
      </c>
      <c r="AJ5322">
        <v>423</v>
      </c>
      <c r="AK5322">
        <v>423</v>
      </c>
      <c r="AL5322" t="s">
        <v>53</v>
      </c>
      <c r="AM5322" t="s">
        <v>53</v>
      </c>
      <c r="AN5322" t="s">
        <v>53</v>
      </c>
      <c r="AO5322" t="s">
        <v>53</v>
      </c>
      <c r="AP5322" t="s">
        <v>53</v>
      </c>
    </row>
    <row r="5323" spans="2:42" x14ac:dyDescent="0.2">
      <c r="B5323" t="s">
        <v>44</v>
      </c>
      <c r="C5323" t="str">
        <f>HYPERLINK("https://us2.cloudbeds.com/connect/8493803454333002#/reservations/9080486846241133?display=2X2RZUKJR3&amp;reservation_id=9080486846241133", "2X2RZUKJR3")</f>
        <v>2X2RZUKJR3</v>
      </c>
      <c r="D5323" t="s">
        <v>45</v>
      </c>
      <c r="E5323" t="s">
        <v>487</v>
      </c>
      <c r="F5323" t="s">
        <v>61</v>
      </c>
      <c r="G5323" t="s">
        <v>48</v>
      </c>
      <c r="H5323" t="s">
        <v>49</v>
      </c>
      <c r="I5323" t="s">
        <v>50</v>
      </c>
      <c r="J5323" t="s">
        <v>8750</v>
      </c>
      <c r="K5323" t="s">
        <v>7151</v>
      </c>
      <c r="L5323" t="s">
        <v>53</v>
      </c>
      <c r="N5323" t="s">
        <v>9422</v>
      </c>
      <c r="P5323" t="s">
        <v>55</v>
      </c>
      <c r="R5323" t="s">
        <v>53</v>
      </c>
      <c r="T5323" t="s">
        <v>9423</v>
      </c>
      <c r="U5323" t="s">
        <v>58</v>
      </c>
      <c r="V5323">
        <v>1</v>
      </c>
      <c r="W5323">
        <v>1</v>
      </c>
      <c r="X5323">
        <v>2</v>
      </c>
      <c r="Y5323">
        <v>0</v>
      </c>
      <c r="Z5323">
        <v>2</v>
      </c>
      <c r="AA5323">
        <v>238.67</v>
      </c>
      <c r="AB5323">
        <v>238.67</v>
      </c>
      <c r="AC5323">
        <v>210</v>
      </c>
      <c r="AD5323">
        <v>0</v>
      </c>
      <c r="AE5323">
        <v>28.67</v>
      </c>
      <c r="AF5323">
        <v>0</v>
      </c>
      <c r="AG5323">
        <v>0</v>
      </c>
      <c r="AH5323">
        <v>0</v>
      </c>
      <c r="AI5323">
        <v>42.96</v>
      </c>
      <c r="AJ5323">
        <v>238.67</v>
      </c>
      <c r="AK5323">
        <v>0</v>
      </c>
      <c r="AL5323" t="s">
        <v>53</v>
      </c>
      <c r="AM5323" t="s">
        <v>53</v>
      </c>
      <c r="AN5323" t="s">
        <v>53</v>
      </c>
      <c r="AO5323" t="s">
        <v>53</v>
      </c>
      <c r="AP5323" t="s">
        <v>53</v>
      </c>
    </row>
    <row r="5324" spans="2:42" x14ac:dyDescent="0.2">
      <c r="B5324" t="s">
        <v>44</v>
      </c>
      <c r="C5324" t="str">
        <f>HYPERLINK("https://us2.cloudbeds.com/connect/8493803454333002#/reservations/9080486846241139?display=2X2SDN45NA&amp;reservation_id=9080486846241139", "2X2SDN45NA")</f>
        <v>2X2SDN45NA</v>
      </c>
      <c r="D5324" t="s">
        <v>45</v>
      </c>
      <c r="E5324" t="s">
        <v>179</v>
      </c>
      <c r="F5324" t="s">
        <v>47</v>
      </c>
      <c r="G5324" t="s">
        <v>48</v>
      </c>
      <c r="H5324" t="s">
        <v>49</v>
      </c>
      <c r="I5324" t="s">
        <v>50</v>
      </c>
      <c r="J5324" t="s">
        <v>7706</v>
      </c>
      <c r="K5324" t="s">
        <v>7352</v>
      </c>
      <c r="L5324" t="s">
        <v>53</v>
      </c>
      <c r="N5324" t="s">
        <v>9424</v>
      </c>
      <c r="P5324" t="s">
        <v>55</v>
      </c>
      <c r="R5324" t="s">
        <v>53</v>
      </c>
      <c r="T5324" t="s">
        <v>9425</v>
      </c>
      <c r="U5324" t="s">
        <v>58</v>
      </c>
      <c r="V5324">
        <v>1</v>
      </c>
      <c r="W5324">
        <v>1</v>
      </c>
      <c r="X5324">
        <v>2</v>
      </c>
      <c r="Y5324">
        <v>0</v>
      </c>
      <c r="Z5324">
        <v>2</v>
      </c>
      <c r="AA5324">
        <v>151.37</v>
      </c>
      <c r="AB5324">
        <v>151.37</v>
      </c>
      <c r="AC5324">
        <v>133.19999999999999</v>
      </c>
      <c r="AD5324">
        <v>0</v>
      </c>
      <c r="AE5324">
        <v>18.170000000000002</v>
      </c>
      <c r="AF5324">
        <v>0</v>
      </c>
      <c r="AG5324">
        <v>0</v>
      </c>
      <c r="AH5324">
        <v>0</v>
      </c>
      <c r="AI5324">
        <v>27.25</v>
      </c>
      <c r="AJ5324">
        <v>151.37</v>
      </c>
      <c r="AK5324">
        <v>0</v>
      </c>
      <c r="AL5324" t="s">
        <v>53</v>
      </c>
      <c r="AM5324" t="s">
        <v>53</v>
      </c>
      <c r="AN5324" t="s">
        <v>53</v>
      </c>
      <c r="AO5324" t="s">
        <v>53</v>
      </c>
      <c r="AP5324" t="s">
        <v>53</v>
      </c>
    </row>
    <row r="5325" spans="2:42" x14ac:dyDescent="0.2">
      <c r="B5325" t="s">
        <v>44</v>
      </c>
      <c r="C5325" t="str">
        <f>HYPERLINK("https://us2.cloudbeds.com/connect/8493803454333002#/reservations/9080486846241164?display=2X2U4JHPNA&amp;reservation_id=9080486846241164", "2X2U4JHPNA")</f>
        <v>2X2U4JHPNA</v>
      </c>
      <c r="D5325" t="s">
        <v>45</v>
      </c>
      <c r="E5325" t="s">
        <v>373</v>
      </c>
      <c r="F5325" t="s">
        <v>47</v>
      </c>
      <c r="G5325" t="s">
        <v>48</v>
      </c>
      <c r="H5325" t="s">
        <v>49</v>
      </c>
      <c r="I5325" t="s">
        <v>62</v>
      </c>
      <c r="J5325" t="s">
        <v>7353</v>
      </c>
      <c r="K5325" t="s">
        <v>7151</v>
      </c>
      <c r="L5325" t="s">
        <v>53</v>
      </c>
      <c r="N5325" t="s">
        <v>9426</v>
      </c>
      <c r="P5325" t="s">
        <v>55</v>
      </c>
      <c r="R5325" t="s">
        <v>56</v>
      </c>
      <c r="T5325" t="s">
        <v>9427</v>
      </c>
      <c r="U5325" t="s">
        <v>55</v>
      </c>
      <c r="V5325">
        <v>2</v>
      </c>
      <c r="W5325">
        <v>1</v>
      </c>
      <c r="X5325">
        <v>2</v>
      </c>
      <c r="Y5325">
        <v>0</v>
      </c>
      <c r="Z5325">
        <v>2</v>
      </c>
      <c r="AA5325">
        <v>366</v>
      </c>
      <c r="AB5325">
        <v>366</v>
      </c>
      <c r="AC5325">
        <v>366</v>
      </c>
      <c r="AD5325">
        <v>0</v>
      </c>
      <c r="AE5325">
        <v>0</v>
      </c>
      <c r="AF5325">
        <v>0</v>
      </c>
      <c r="AG5325">
        <v>0</v>
      </c>
      <c r="AH5325">
        <v>0</v>
      </c>
      <c r="AI5325">
        <v>65.88</v>
      </c>
      <c r="AJ5325">
        <v>366</v>
      </c>
      <c r="AK5325">
        <v>0</v>
      </c>
      <c r="AL5325" t="s">
        <v>53</v>
      </c>
      <c r="AM5325" t="s">
        <v>53</v>
      </c>
      <c r="AN5325" t="s">
        <v>53</v>
      </c>
      <c r="AO5325" t="s">
        <v>53</v>
      </c>
      <c r="AP5325" t="s">
        <v>53</v>
      </c>
    </row>
    <row r="5326" spans="2:42" x14ac:dyDescent="0.2">
      <c r="B5326" t="s">
        <v>44</v>
      </c>
      <c r="C5326" t="str">
        <f>HYPERLINK("https://us2.cloudbeds.com/connect/8493803454333002#/reservations/9080486846241311?display=2X36F9UXZR&amp;reservation_id=9080486846241311", "2X36F9UXZR")</f>
        <v>2X36F9UXZR</v>
      </c>
      <c r="D5326" t="s">
        <v>45</v>
      </c>
      <c r="E5326" t="s">
        <v>46</v>
      </c>
      <c r="F5326" t="s">
        <v>47</v>
      </c>
      <c r="G5326" t="s">
        <v>48</v>
      </c>
      <c r="H5326" t="s">
        <v>49</v>
      </c>
      <c r="I5326" t="s">
        <v>50</v>
      </c>
      <c r="J5326" t="s">
        <v>7706</v>
      </c>
      <c r="K5326" t="s">
        <v>7352</v>
      </c>
      <c r="L5326" t="s">
        <v>53</v>
      </c>
      <c r="N5326" t="s">
        <v>9428</v>
      </c>
      <c r="P5326" t="s">
        <v>58</v>
      </c>
      <c r="R5326" t="s">
        <v>53</v>
      </c>
      <c r="T5326" t="s">
        <v>9429</v>
      </c>
      <c r="U5326" t="s">
        <v>58</v>
      </c>
      <c r="V5326">
        <v>1</v>
      </c>
      <c r="W5326">
        <v>1</v>
      </c>
      <c r="X5326">
        <v>2</v>
      </c>
      <c r="Y5326">
        <v>0</v>
      </c>
      <c r="Z5326">
        <v>2</v>
      </c>
      <c r="AA5326">
        <v>151.37</v>
      </c>
      <c r="AB5326">
        <v>151.37</v>
      </c>
      <c r="AC5326">
        <v>133.19999999999999</v>
      </c>
      <c r="AD5326">
        <v>0</v>
      </c>
      <c r="AE5326">
        <v>18.170000000000002</v>
      </c>
      <c r="AF5326">
        <v>0</v>
      </c>
      <c r="AG5326">
        <v>0</v>
      </c>
      <c r="AH5326">
        <v>0</v>
      </c>
      <c r="AI5326">
        <v>27.25</v>
      </c>
      <c r="AJ5326">
        <v>151.37</v>
      </c>
      <c r="AK5326">
        <v>0</v>
      </c>
      <c r="AL5326" t="s">
        <v>53</v>
      </c>
      <c r="AM5326" t="s">
        <v>53</v>
      </c>
      <c r="AN5326" t="s">
        <v>53</v>
      </c>
      <c r="AO5326" t="s">
        <v>53</v>
      </c>
      <c r="AP5326" t="s">
        <v>53</v>
      </c>
    </row>
    <row r="5327" spans="2:42" x14ac:dyDescent="0.2">
      <c r="B5327" t="s">
        <v>44</v>
      </c>
      <c r="C5327" t="str">
        <f>HYPERLINK("https://us2.cloudbeds.com/connect/8493803454333002#/reservations/9080486846242919?display=2X5U6PKRJ2&amp;reservation_id=9080486846242919", "2X5U6PKRJ2")</f>
        <v>2X5U6PKRJ2</v>
      </c>
      <c r="D5327" t="s">
        <v>45</v>
      </c>
      <c r="E5327" t="s">
        <v>381</v>
      </c>
      <c r="F5327" t="s">
        <v>47</v>
      </c>
      <c r="G5327" t="s">
        <v>48</v>
      </c>
      <c r="H5327" t="s">
        <v>49</v>
      </c>
      <c r="I5327" t="s">
        <v>50</v>
      </c>
      <c r="J5327" t="s">
        <v>7706</v>
      </c>
      <c r="K5327" t="s">
        <v>7352</v>
      </c>
      <c r="L5327" t="s">
        <v>53</v>
      </c>
      <c r="N5327" t="s">
        <v>9430</v>
      </c>
      <c r="P5327" t="s">
        <v>55</v>
      </c>
      <c r="R5327" t="s">
        <v>53</v>
      </c>
      <c r="T5327" t="s">
        <v>9431</v>
      </c>
      <c r="U5327" t="s">
        <v>58</v>
      </c>
      <c r="V5327">
        <v>1</v>
      </c>
      <c r="W5327">
        <v>1</v>
      </c>
      <c r="X5327">
        <v>2</v>
      </c>
      <c r="Y5327">
        <v>0</v>
      </c>
      <c r="Z5327">
        <v>2</v>
      </c>
      <c r="AA5327">
        <v>167.75</v>
      </c>
      <c r="AB5327">
        <v>167.75</v>
      </c>
      <c r="AC5327">
        <v>147.6</v>
      </c>
      <c r="AD5327">
        <v>0</v>
      </c>
      <c r="AE5327">
        <v>20.149999999999999</v>
      </c>
      <c r="AF5327">
        <v>0</v>
      </c>
      <c r="AG5327">
        <v>0</v>
      </c>
      <c r="AH5327">
        <v>0</v>
      </c>
      <c r="AI5327">
        <v>30.2</v>
      </c>
      <c r="AJ5327">
        <v>167.75</v>
      </c>
      <c r="AK5327">
        <v>0</v>
      </c>
      <c r="AL5327" t="s">
        <v>53</v>
      </c>
      <c r="AM5327" t="s">
        <v>53</v>
      </c>
      <c r="AN5327" t="s">
        <v>53</v>
      </c>
      <c r="AO5327" t="s">
        <v>53</v>
      </c>
      <c r="AP5327" t="s">
        <v>53</v>
      </c>
    </row>
    <row r="5328" spans="2:42" x14ac:dyDescent="0.2">
      <c r="B5328" t="s">
        <v>44</v>
      </c>
      <c r="C5328" t="str">
        <f>HYPERLINK("https://us2.cloudbeds.com/connect/8493803454333002#/reservations/9080486846243140?display=2X67X2QVTG&amp;reservation_id=9080486846243140", "2X67X2QVTG")</f>
        <v>2X67X2QVTG</v>
      </c>
      <c r="D5328" t="s">
        <v>45</v>
      </c>
      <c r="E5328" t="s">
        <v>105</v>
      </c>
      <c r="F5328" t="s">
        <v>47</v>
      </c>
      <c r="G5328" t="s">
        <v>48</v>
      </c>
      <c r="H5328" t="s">
        <v>49</v>
      </c>
      <c r="I5328" t="s">
        <v>50</v>
      </c>
      <c r="J5328" t="s">
        <v>7821</v>
      </c>
      <c r="K5328" t="s">
        <v>8300</v>
      </c>
      <c r="L5328" t="s">
        <v>53</v>
      </c>
      <c r="N5328" t="s">
        <v>9432</v>
      </c>
      <c r="P5328" t="s">
        <v>55</v>
      </c>
      <c r="R5328" t="s">
        <v>53</v>
      </c>
      <c r="T5328" t="s">
        <v>9433</v>
      </c>
      <c r="U5328" t="s">
        <v>58</v>
      </c>
      <c r="V5328">
        <v>4</v>
      </c>
      <c r="W5328">
        <v>1</v>
      </c>
      <c r="X5328">
        <v>2</v>
      </c>
      <c r="Y5328">
        <v>0</v>
      </c>
      <c r="Z5328">
        <v>2</v>
      </c>
      <c r="AA5328">
        <v>683.68</v>
      </c>
      <c r="AB5328">
        <v>683.68</v>
      </c>
      <c r="AC5328">
        <v>601.57000000000005</v>
      </c>
      <c r="AD5328">
        <v>0</v>
      </c>
      <c r="AE5328">
        <v>82.11</v>
      </c>
      <c r="AF5328">
        <v>0</v>
      </c>
      <c r="AG5328">
        <v>0</v>
      </c>
      <c r="AH5328">
        <v>0</v>
      </c>
      <c r="AI5328">
        <v>123.06</v>
      </c>
      <c r="AJ5328">
        <v>683.68</v>
      </c>
      <c r="AK5328">
        <v>0</v>
      </c>
      <c r="AL5328" t="s">
        <v>53</v>
      </c>
      <c r="AM5328" t="s">
        <v>53</v>
      </c>
      <c r="AN5328" t="s">
        <v>53</v>
      </c>
      <c r="AO5328" t="s">
        <v>53</v>
      </c>
      <c r="AP5328" t="s">
        <v>53</v>
      </c>
    </row>
    <row r="5329" spans="2:42" x14ac:dyDescent="0.2">
      <c r="B5329" t="s">
        <v>44</v>
      </c>
      <c r="C5329" t="str">
        <f>HYPERLINK("https://us2.cloudbeds.com/connect/8493803454333002#/reservations/118424196124813?display=2X6NBN05E6&amp;reservation_id=118424196124813", "2X6NBN05E6")</f>
        <v>2X6NBN05E6</v>
      </c>
      <c r="D5329" t="s">
        <v>45</v>
      </c>
      <c r="E5329" t="s">
        <v>98</v>
      </c>
      <c r="F5329" t="s">
        <v>86</v>
      </c>
      <c r="G5329" t="s">
        <v>48</v>
      </c>
      <c r="H5329" t="s">
        <v>3957</v>
      </c>
      <c r="I5329" t="s">
        <v>3975</v>
      </c>
      <c r="J5329" t="s">
        <v>6374</v>
      </c>
      <c r="K5329" t="s">
        <v>7829</v>
      </c>
      <c r="L5329" t="s">
        <v>53</v>
      </c>
      <c r="P5329" t="s">
        <v>55</v>
      </c>
      <c r="R5329" t="s">
        <v>53</v>
      </c>
      <c r="T5329" t="s">
        <v>9434</v>
      </c>
      <c r="U5329" t="s">
        <v>58</v>
      </c>
      <c r="V5329">
        <v>1</v>
      </c>
      <c r="W5329">
        <v>1</v>
      </c>
      <c r="X5329">
        <v>2</v>
      </c>
      <c r="Y5329">
        <v>2</v>
      </c>
      <c r="Z5329">
        <v>4</v>
      </c>
      <c r="AA5329">
        <v>227.3</v>
      </c>
      <c r="AB5329">
        <v>227.3</v>
      </c>
      <c r="AC5329">
        <v>200</v>
      </c>
      <c r="AD5329">
        <v>0</v>
      </c>
      <c r="AE5329">
        <v>27.3</v>
      </c>
      <c r="AF5329">
        <v>0</v>
      </c>
      <c r="AG5329">
        <v>0</v>
      </c>
      <c r="AH5329">
        <v>0</v>
      </c>
      <c r="AI5329">
        <v>0</v>
      </c>
      <c r="AJ5329">
        <v>227.3</v>
      </c>
      <c r="AK5329">
        <v>0</v>
      </c>
      <c r="AL5329" t="s">
        <v>53</v>
      </c>
      <c r="AM5329" t="s">
        <v>53</v>
      </c>
      <c r="AN5329" t="s">
        <v>53</v>
      </c>
      <c r="AO5329" t="s">
        <v>53</v>
      </c>
      <c r="AP5329" t="s">
        <v>53</v>
      </c>
    </row>
    <row r="5330" spans="2:42" x14ac:dyDescent="0.2">
      <c r="B5330" t="s">
        <v>44</v>
      </c>
      <c r="C5330" t="str">
        <f>HYPERLINK("https://us2.cloudbeds.com/connect/8493803454333002#/reservations/118432449515734?display=2X6TZJFUQC&amp;reservation_id=118432449515734", "2X6TZJFUQC")</f>
        <v>2X6TZJFUQC</v>
      </c>
      <c r="D5330" t="s">
        <v>45</v>
      </c>
      <c r="E5330" t="s">
        <v>305</v>
      </c>
      <c r="F5330" t="s">
        <v>61</v>
      </c>
      <c r="G5330" t="s">
        <v>48</v>
      </c>
      <c r="H5330" t="s">
        <v>3957</v>
      </c>
      <c r="I5330" t="s">
        <v>3975</v>
      </c>
      <c r="J5330" t="s">
        <v>8750</v>
      </c>
      <c r="K5330" t="s">
        <v>7151</v>
      </c>
      <c r="L5330" t="s">
        <v>53</v>
      </c>
      <c r="P5330" t="s">
        <v>55</v>
      </c>
      <c r="R5330" t="s">
        <v>53</v>
      </c>
      <c r="T5330" t="s">
        <v>9435</v>
      </c>
      <c r="U5330" t="s">
        <v>58</v>
      </c>
      <c r="V5330">
        <v>1</v>
      </c>
      <c r="W5330">
        <v>1</v>
      </c>
      <c r="X5330">
        <v>2</v>
      </c>
      <c r="Y5330">
        <v>0</v>
      </c>
      <c r="Z5330">
        <v>2</v>
      </c>
      <c r="AA5330">
        <v>264.81</v>
      </c>
      <c r="AB5330">
        <v>264.81</v>
      </c>
      <c r="AC5330">
        <v>233</v>
      </c>
      <c r="AD5330">
        <v>0</v>
      </c>
      <c r="AE5330">
        <v>31.81</v>
      </c>
      <c r="AF5330">
        <v>0</v>
      </c>
      <c r="AG5330">
        <v>0</v>
      </c>
      <c r="AH5330">
        <v>0</v>
      </c>
      <c r="AI5330">
        <v>0</v>
      </c>
      <c r="AJ5330">
        <v>264.81</v>
      </c>
      <c r="AK5330">
        <v>0</v>
      </c>
      <c r="AL5330" t="s">
        <v>53</v>
      </c>
      <c r="AM5330" t="s">
        <v>53</v>
      </c>
      <c r="AN5330" t="s">
        <v>53</v>
      </c>
      <c r="AO5330" t="s">
        <v>53</v>
      </c>
      <c r="AP5330" t="s">
        <v>53</v>
      </c>
    </row>
    <row r="5331" spans="2:42" x14ac:dyDescent="0.2">
      <c r="B5331" t="s">
        <v>44</v>
      </c>
      <c r="C5331" t="str">
        <f>HYPERLINK("https://us2.cloudbeds.com/connect/8493803454333002#/reservations/9080486846244319?display=2X7KY47YWQ&amp;reservation_id=9080486846244319", "2X7KY47YWQ")</f>
        <v>2X7KY47YWQ</v>
      </c>
      <c r="D5331" t="s">
        <v>45</v>
      </c>
      <c r="E5331" t="s">
        <v>165</v>
      </c>
      <c r="F5331" t="s">
        <v>61</v>
      </c>
      <c r="G5331" t="s">
        <v>48</v>
      </c>
      <c r="H5331" t="s">
        <v>49</v>
      </c>
      <c r="I5331" t="s">
        <v>50</v>
      </c>
      <c r="J5331" t="s">
        <v>8119</v>
      </c>
      <c r="K5331" t="s">
        <v>7864</v>
      </c>
      <c r="L5331" t="s">
        <v>53</v>
      </c>
      <c r="N5331" t="s">
        <v>9436</v>
      </c>
      <c r="P5331" t="s">
        <v>55</v>
      </c>
      <c r="R5331" t="s">
        <v>53</v>
      </c>
      <c r="T5331" t="s">
        <v>9437</v>
      </c>
      <c r="U5331" t="s">
        <v>58</v>
      </c>
      <c r="V5331">
        <v>1</v>
      </c>
      <c r="W5331">
        <v>1</v>
      </c>
      <c r="X5331">
        <v>2</v>
      </c>
      <c r="Y5331">
        <v>0</v>
      </c>
      <c r="Z5331">
        <v>2</v>
      </c>
      <c r="AA5331">
        <v>151.83000000000001</v>
      </c>
      <c r="AB5331">
        <v>151.83000000000001</v>
      </c>
      <c r="AC5331">
        <v>133.6</v>
      </c>
      <c r="AD5331">
        <v>0</v>
      </c>
      <c r="AE5331">
        <v>18.23</v>
      </c>
      <c r="AF5331">
        <v>0</v>
      </c>
      <c r="AG5331">
        <v>0</v>
      </c>
      <c r="AH5331">
        <v>0</v>
      </c>
      <c r="AI5331">
        <v>27.33</v>
      </c>
      <c r="AJ5331">
        <v>151.83000000000001</v>
      </c>
      <c r="AK5331">
        <v>0</v>
      </c>
      <c r="AL5331" t="s">
        <v>53</v>
      </c>
      <c r="AM5331" t="s">
        <v>53</v>
      </c>
      <c r="AN5331" t="s">
        <v>53</v>
      </c>
      <c r="AO5331" t="s">
        <v>53</v>
      </c>
      <c r="AP5331" t="s">
        <v>53</v>
      </c>
    </row>
    <row r="5332" spans="2:42" x14ac:dyDescent="0.2">
      <c r="B5332" t="s">
        <v>44</v>
      </c>
      <c r="C5332" t="str">
        <f>HYPERLINK("https://us2.cloudbeds.com/connect/8493803454333002#/reservations/9080486846244544?display=2X7PP87W6Q&amp;reservation_id=9080486846244544", "2X7PP87W6Q")</f>
        <v>2X7PP87W6Q</v>
      </c>
      <c r="D5332" t="s">
        <v>45</v>
      </c>
      <c r="E5332" t="s">
        <v>185</v>
      </c>
      <c r="F5332" t="s">
        <v>47</v>
      </c>
      <c r="G5332" t="s">
        <v>48</v>
      </c>
      <c r="H5332" t="s">
        <v>49</v>
      </c>
      <c r="I5332" t="s">
        <v>62</v>
      </c>
      <c r="J5332" t="s">
        <v>6373</v>
      </c>
      <c r="K5332" t="s">
        <v>7829</v>
      </c>
      <c r="L5332" t="s">
        <v>53</v>
      </c>
      <c r="N5332" t="s">
        <v>9438</v>
      </c>
      <c r="P5332" t="s">
        <v>55</v>
      </c>
      <c r="R5332" t="s">
        <v>56</v>
      </c>
      <c r="T5332" t="s">
        <v>9439</v>
      </c>
      <c r="U5332" t="s">
        <v>55</v>
      </c>
      <c r="V5332">
        <v>3</v>
      </c>
      <c r="W5332">
        <v>1</v>
      </c>
      <c r="X5332">
        <v>1</v>
      </c>
      <c r="Y5332">
        <v>0</v>
      </c>
      <c r="Z5332">
        <v>1</v>
      </c>
      <c r="AA5332">
        <v>506</v>
      </c>
      <c r="AB5332">
        <v>506</v>
      </c>
      <c r="AC5332">
        <v>506</v>
      </c>
      <c r="AD5332">
        <v>0</v>
      </c>
      <c r="AE5332">
        <v>0</v>
      </c>
      <c r="AF5332">
        <v>0</v>
      </c>
      <c r="AG5332">
        <v>0</v>
      </c>
      <c r="AH5332">
        <v>0</v>
      </c>
      <c r="AI5332">
        <v>91.08</v>
      </c>
      <c r="AJ5332">
        <v>506</v>
      </c>
      <c r="AK5332">
        <v>0</v>
      </c>
      <c r="AL5332" t="s">
        <v>53</v>
      </c>
      <c r="AM5332" t="s">
        <v>53</v>
      </c>
      <c r="AN5332" t="s">
        <v>53</v>
      </c>
      <c r="AO5332" t="s">
        <v>53</v>
      </c>
      <c r="AP5332" t="s">
        <v>53</v>
      </c>
    </row>
    <row r="5333" spans="2:42" x14ac:dyDescent="0.2">
      <c r="B5333" t="s">
        <v>44</v>
      </c>
      <c r="C5333" t="str">
        <f>HYPERLINK("https://us2.cloudbeds.com/connect/8493803454333002#/reservations/9080486846244761?display=2X7VJHRYMZ&amp;reservation_id=9080486846244761", "2X7VJHRYMZ")</f>
        <v>2X7VJHRYMZ</v>
      </c>
      <c r="D5333" t="s">
        <v>45</v>
      </c>
      <c r="E5333" t="s">
        <v>381</v>
      </c>
      <c r="F5333" t="s">
        <v>47</v>
      </c>
      <c r="G5333" t="s">
        <v>48</v>
      </c>
      <c r="H5333" t="s">
        <v>49</v>
      </c>
      <c r="I5333" t="s">
        <v>62</v>
      </c>
      <c r="J5333" t="s">
        <v>8750</v>
      </c>
      <c r="K5333" t="s">
        <v>6396</v>
      </c>
      <c r="L5333" t="s">
        <v>53</v>
      </c>
      <c r="N5333" t="s">
        <v>9440</v>
      </c>
      <c r="P5333" t="s">
        <v>55</v>
      </c>
      <c r="R5333" t="s">
        <v>56</v>
      </c>
      <c r="T5333" t="s">
        <v>9441</v>
      </c>
      <c r="U5333" t="s">
        <v>55</v>
      </c>
      <c r="V5333">
        <v>2</v>
      </c>
      <c r="W5333">
        <v>1</v>
      </c>
      <c r="X5333">
        <v>2</v>
      </c>
      <c r="Y5333">
        <v>0</v>
      </c>
      <c r="Z5333">
        <v>2</v>
      </c>
      <c r="AA5333">
        <v>414</v>
      </c>
      <c r="AB5333">
        <v>416.71</v>
      </c>
      <c r="AC5333">
        <v>414</v>
      </c>
      <c r="AD5333">
        <v>2.5</v>
      </c>
      <c r="AE5333">
        <v>0.21</v>
      </c>
      <c r="AF5333">
        <v>0</v>
      </c>
      <c r="AG5333">
        <v>0</v>
      </c>
      <c r="AH5333">
        <v>0</v>
      </c>
      <c r="AI5333">
        <v>75.010000000000005</v>
      </c>
      <c r="AJ5333">
        <v>416.71</v>
      </c>
      <c r="AK5333">
        <v>0</v>
      </c>
      <c r="AL5333" t="s">
        <v>53</v>
      </c>
      <c r="AM5333" t="s">
        <v>53</v>
      </c>
      <c r="AN5333" t="s">
        <v>53</v>
      </c>
      <c r="AO5333" t="s">
        <v>53</v>
      </c>
      <c r="AP5333" t="s">
        <v>53</v>
      </c>
    </row>
    <row r="5334" spans="2:42" x14ac:dyDescent="0.2">
      <c r="B5334" t="s">
        <v>44</v>
      </c>
      <c r="C5334" t="str">
        <f>HYPERLINK("https://us2.cloudbeds.com/connect/8493803454333002#/reservations/9080486846245144?display=2X8BUNUQ3Y&amp;reservation_id=9080486846245144", "2X8BUNUQ3Y")</f>
        <v>2X8BUNUQ3Y</v>
      </c>
      <c r="D5334" t="s">
        <v>45</v>
      </c>
      <c r="E5334" t="s">
        <v>85</v>
      </c>
      <c r="F5334" t="s">
        <v>86</v>
      </c>
      <c r="G5334" t="s">
        <v>48</v>
      </c>
      <c r="H5334" t="s">
        <v>49</v>
      </c>
      <c r="I5334" t="s">
        <v>8964</v>
      </c>
      <c r="J5334" t="s">
        <v>7510</v>
      </c>
      <c r="K5334" t="s">
        <v>7151</v>
      </c>
      <c r="L5334" t="s">
        <v>53</v>
      </c>
      <c r="N5334" t="s">
        <v>9442</v>
      </c>
      <c r="P5334" t="s">
        <v>55</v>
      </c>
      <c r="R5334" t="s">
        <v>53</v>
      </c>
      <c r="T5334" t="s">
        <v>9443</v>
      </c>
      <c r="U5334" t="s">
        <v>58</v>
      </c>
      <c r="V5334">
        <v>3</v>
      </c>
      <c r="W5334">
        <v>1</v>
      </c>
      <c r="X5334">
        <v>2</v>
      </c>
      <c r="Y5334">
        <v>0</v>
      </c>
      <c r="Z5334">
        <v>2</v>
      </c>
      <c r="AA5334">
        <v>678</v>
      </c>
      <c r="AB5334">
        <v>0</v>
      </c>
      <c r="AC5334">
        <v>678</v>
      </c>
      <c r="AD5334">
        <v>0</v>
      </c>
      <c r="AE5334">
        <v>0</v>
      </c>
      <c r="AF5334">
        <v>0</v>
      </c>
      <c r="AG5334">
        <v>0</v>
      </c>
      <c r="AH5334">
        <v>0</v>
      </c>
      <c r="AI5334">
        <v>101.7</v>
      </c>
      <c r="AJ5334">
        <v>678</v>
      </c>
      <c r="AK5334">
        <v>678</v>
      </c>
      <c r="AL5334" t="s">
        <v>53</v>
      </c>
      <c r="AM5334" t="s">
        <v>53</v>
      </c>
      <c r="AN5334" t="s">
        <v>9444</v>
      </c>
      <c r="AO5334" t="s">
        <v>53</v>
      </c>
      <c r="AP5334" t="s">
        <v>53</v>
      </c>
    </row>
    <row r="5335" spans="2:42" x14ac:dyDescent="0.2">
      <c r="B5335" t="s">
        <v>44</v>
      </c>
      <c r="C5335" t="str">
        <f>HYPERLINK("https://us2.cloudbeds.com/connect/8493803454333002#/reservations/9080486846245157?display=2X8DN4P7T3&amp;reservation_id=9080486846245157", "2X8DN4P7T3")</f>
        <v>2X8DN4P7T3</v>
      </c>
      <c r="D5335" t="s">
        <v>45</v>
      </c>
      <c r="E5335" t="s">
        <v>185</v>
      </c>
      <c r="F5335" t="s">
        <v>47</v>
      </c>
      <c r="G5335" t="s">
        <v>48</v>
      </c>
      <c r="H5335" t="s">
        <v>49</v>
      </c>
      <c r="I5335" t="s">
        <v>50</v>
      </c>
      <c r="J5335" t="s">
        <v>8300</v>
      </c>
      <c r="K5335" t="s">
        <v>7864</v>
      </c>
      <c r="L5335" t="s">
        <v>53</v>
      </c>
      <c r="N5335" t="s">
        <v>9445</v>
      </c>
      <c r="P5335" t="s">
        <v>55</v>
      </c>
      <c r="R5335" t="s">
        <v>53</v>
      </c>
      <c r="T5335" t="s">
        <v>9446</v>
      </c>
      <c r="U5335" t="s">
        <v>58</v>
      </c>
      <c r="V5335">
        <v>2</v>
      </c>
      <c r="W5335">
        <v>1</v>
      </c>
      <c r="X5335">
        <v>2</v>
      </c>
      <c r="Y5335">
        <v>0</v>
      </c>
      <c r="Z5335">
        <v>2</v>
      </c>
      <c r="AA5335">
        <v>314.83</v>
      </c>
      <c r="AB5335">
        <v>314.83</v>
      </c>
      <c r="AC5335">
        <v>277.01</v>
      </c>
      <c r="AD5335">
        <v>0</v>
      </c>
      <c r="AE5335">
        <v>37.82</v>
      </c>
      <c r="AF5335">
        <v>0</v>
      </c>
      <c r="AG5335">
        <v>0</v>
      </c>
      <c r="AH5335">
        <v>0</v>
      </c>
      <c r="AI5335">
        <v>56.67</v>
      </c>
      <c r="AJ5335">
        <v>314.83</v>
      </c>
      <c r="AK5335">
        <v>0</v>
      </c>
      <c r="AL5335" t="s">
        <v>53</v>
      </c>
      <c r="AM5335" t="s">
        <v>53</v>
      </c>
      <c r="AN5335" t="s">
        <v>53</v>
      </c>
      <c r="AO5335" t="s">
        <v>53</v>
      </c>
      <c r="AP5335" t="s">
        <v>53</v>
      </c>
    </row>
    <row r="5336" spans="2:42" x14ac:dyDescent="0.2">
      <c r="B5336" t="s">
        <v>44</v>
      </c>
      <c r="C5336" t="str">
        <f>HYPERLINK("https://us2.cloudbeds.com/connect/8493803454333002#/reservations/9080486846245457?display=2X8NBBCMBE&amp;reservation_id=9080486846245457", "2X8NBBCMBE")</f>
        <v>2X8NBBCMBE</v>
      </c>
      <c r="D5336" t="s">
        <v>45</v>
      </c>
      <c r="E5336" t="s">
        <v>406</v>
      </c>
      <c r="F5336" t="s">
        <v>61</v>
      </c>
      <c r="G5336" t="s">
        <v>48</v>
      </c>
      <c r="H5336" t="s">
        <v>49</v>
      </c>
      <c r="I5336" t="s">
        <v>50</v>
      </c>
      <c r="J5336" t="s">
        <v>8319</v>
      </c>
      <c r="K5336" t="s">
        <v>8394</v>
      </c>
      <c r="L5336" t="s">
        <v>53</v>
      </c>
      <c r="N5336" t="s">
        <v>9447</v>
      </c>
      <c r="P5336" t="s">
        <v>55</v>
      </c>
      <c r="R5336" t="s">
        <v>53</v>
      </c>
      <c r="T5336" t="s">
        <v>9448</v>
      </c>
      <c r="U5336" t="s">
        <v>58</v>
      </c>
      <c r="V5336">
        <v>2</v>
      </c>
      <c r="W5336">
        <v>1</v>
      </c>
      <c r="X5336">
        <v>2</v>
      </c>
      <c r="Y5336">
        <v>0</v>
      </c>
      <c r="Z5336">
        <v>2</v>
      </c>
      <c r="AA5336">
        <v>360.03</v>
      </c>
      <c r="AB5336">
        <v>360.03</v>
      </c>
      <c r="AC5336">
        <v>316.8</v>
      </c>
      <c r="AD5336">
        <v>0</v>
      </c>
      <c r="AE5336">
        <v>43.23</v>
      </c>
      <c r="AF5336">
        <v>0</v>
      </c>
      <c r="AG5336">
        <v>0</v>
      </c>
      <c r="AH5336">
        <v>0</v>
      </c>
      <c r="AI5336">
        <v>64.81</v>
      </c>
      <c r="AJ5336">
        <v>360.03</v>
      </c>
      <c r="AK5336">
        <v>0</v>
      </c>
      <c r="AL5336" t="s">
        <v>53</v>
      </c>
      <c r="AM5336" t="s">
        <v>53</v>
      </c>
      <c r="AN5336" t="s">
        <v>53</v>
      </c>
      <c r="AO5336" t="s">
        <v>53</v>
      </c>
      <c r="AP5336" t="s">
        <v>53</v>
      </c>
    </row>
    <row r="5337" spans="2:42" x14ac:dyDescent="0.2">
      <c r="B5337" t="s">
        <v>44</v>
      </c>
      <c r="C5337" t="str">
        <f>HYPERLINK("https://us2.cloudbeds.com/connect/8493803454333002#/reservations/9080486846245944?display=2X95ED34NQ&amp;reservation_id=9080486846245944", "2X95ED34NQ")</f>
        <v>2X95ED34NQ</v>
      </c>
      <c r="D5337" t="s">
        <v>45</v>
      </c>
      <c r="E5337" t="s">
        <v>69</v>
      </c>
      <c r="F5337" t="s">
        <v>70</v>
      </c>
      <c r="G5337" t="s">
        <v>48</v>
      </c>
      <c r="H5337" t="s">
        <v>49</v>
      </c>
      <c r="I5337" t="s">
        <v>50</v>
      </c>
      <c r="J5337" t="s">
        <v>4008</v>
      </c>
      <c r="K5337" t="s">
        <v>4009</v>
      </c>
      <c r="L5337" t="s">
        <v>53</v>
      </c>
      <c r="N5337" t="s">
        <v>9449</v>
      </c>
      <c r="P5337" t="s">
        <v>55</v>
      </c>
      <c r="R5337" t="s">
        <v>53</v>
      </c>
      <c r="T5337" t="s">
        <v>9450</v>
      </c>
      <c r="U5337" t="s">
        <v>58</v>
      </c>
      <c r="V5337">
        <v>1</v>
      </c>
      <c r="W5337">
        <v>1</v>
      </c>
      <c r="X5337">
        <v>1</v>
      </c>
      <c r="Y5337">
        <v>0</v>
      </c>
      <c r="Z5337">
        <v>1</v>
      </c>
      <c r="AA5337">
        <v>129.22999999999999</v>
      </c>
      <c r="AB5337">
        <v>129.22999999999999</v>
      </c>
      <c r="AC5337">
        <v>113.71</v>
      </c>
      <c r="AD5337">
        <v>0</v>
      </c>
      <c r="AE5337">
        <v>15.52</v>
      </c>
      <c r="AF5337">
        <v>0</v>
      </c>
      <c r="AG5337">
        <v>0</v>
      </c>
      <c r="AH5337">
        <v>0</v>
      </c>
      <c r="AI5337">
        <v>23.26</v>
      </c>
      <c r="AJ5337">
        <v>129.22999999999999</v>
      </c>
      <c r="AK5337">
        <v>0</v>
      </c>
      <c r="AL5337" t="s">
        <v>53</v>
      </c>
      <c r="AM5337" t="s">
        <v>53</v>
      </c>
      <c r="AN5337" t="s">
        <v>53</v>
      </c>
      <c r="AO5337" t="s">
        <v>53</v>
      </c>
      <c r="AP5337" t="s">
        <v>53</v>
      </c>
    </row>
    <row r="5338" spans="2:42" x14ac:dyDescent="0.2">
      <c r="B5338" t="s">
        <v>44</v>
      </c>
      <c r="C5338" t="str">
        <f>HYPERLINK("https://us2.cloudbeds.com/connect/8493803454333002#/reservations/9080486846246003?display=2X989S46U1&amp;reservation_id=9080486846246003", "2X989S46U1")</f>
        <v>2X989S46U1</v>
      </c>
      <c r="D5338" t="s">
        <v>45</v>
      </c>
      <c r="E5338" t="s">
        <v>85</v>
      </c>
      <c r="F5338" t="s">
        <v>86</v>
      </c>
      <c r="G5338" t="s">
        <v>48</v>
      </c>
      <c r="H5338" t="s">
        <v>49</v>
      </c>
      <c r="I5338" t="s">
        <v>50</v>
      </c>
      <c r="J5338" t="s">
        <v>6373</v>
      </c>
      <c r="K5338" t="s">
        <v>8765</v>
      </c>
      <c r="L5338" t="s">
        <v>53</v>
      </c>
      <c r="N5338" t="s">
        <v>9451</v>
      </c>
      <c r="P5338" t="s">
        <v>55</v>
      </c>
      <c r="R5338" t="s">
        <v>56</v>
      </c>
      <c r="T5338" t="s">
        <v>9452</v>
      </c>
      <c r="U5338" t="s">
        <v>58</v>
      </c>
      <c r="V5338">
        <v>1</v>
      </c>
      <c r="W5338">
        <v>1</v>
      </c>
      <c r="X5338">
        <v>2</v>
      </c>
      <c r="Y5338">
        <v>2</v>
      </c>
      <c r="Z5338">
        <v>4</v>
      </c>
      <c r="AA5338">
        <v>222.52</v>
      </c>
      <c r="AB5338">
        <v>236.07</v>
      </c>
      <c r="AC5338">
        <v>195.79</v>
      </c>
      <c r="AD5338">
        <v>12.5</v>
      </c>
      <c r="AE5338">
        <v>27.78</v>
      </c>
      <c r="AF5338">
        <v>0</v>
      </c>
      <c r="AG5338">
        <v>0</v>
      </c>
      <c r="AH5338">
        <v>0</v>
      </c>
      <c r="AI5338">
        <v>42.49</v>
      </c>
      <c r="AJ5338">
        <v>236.07</v>
      </c>
      <c r="AK5338">
        <v>0</v>
      </c>
      <c r="AL5338" t="s">
        <v>53</v>
      </c>
      <c r="AM5338" t="s">
        <v>53</v>
      </c>
      <c r="AN5338" t="s">
        <v>53</v>
      </c>
      <c r="AO5338" t="s">
        <v>53</v>
      </c>
      <c r="AP5338" t="s">
        <v>53</v>
      </c>
    </row>
    <row r="5339" spans="2:42" x14ac:dyDescent="0.2">
      <c r="B5339" t="s">
        <v>44</v>
      </c>
      <c r="C5339" t="str">
        <f>HYPERLINK("https://us2.cloudbeds.com/connect/8493803454333002#/reservations/9080486846246823?display=2XA6WAAWGR&amp;reservation_id=9080486846246823", "2XA6WAAWGR")</f>
        <v>2XA6WAAWGR</v>
      </c>
      <c r="D5339" t="s">
        <v>45</v>
      </c>
      <c r="E5339" t="s">
        <v>121</v>
      </c>
      <c r="F5339" t="s">
        <v>86</v>
      </c>
      <c r="G5339" t="s">
        <v>48</v>
      </c>
      <c r="H5339" t="s">
        <v>49</v>
      </c>
      <c r="I5339" t="s">
        <v>62</v>
      </c>
      <c r="J5339" t="s">
        <v>7706</v>
      </c>
      <c r="K5339" t="s">
        <v>7352</v>
      </c>
      <c r="L5339" t="s">
        <v>53</v>
      </c>
      <c r="N5339" t="s">
        <v>9453</v>
      </c>
      <c r="P5339" t="s">
        <v>55</v>
      </c>
      <c r="R5339" t="s">
        <v>56</v>
      </c>
      <c r="T5339" t="s">
        <v>9454</v>
      </c>
      <c r="U5339" t="s">
        <v>55</v>
      </c>
      <c r="V5339">
        <v>1</v>
      </c>
      <c r="W5339">
        <v>1</v>
      </c>
      <c r="X5339">
        <v>4</v>
      </c>
      <c r="Y5339">
        <v>0</v>
      </c>
      <c r="Z5339">
        <v>4</v>
      </c>
      <c r="AA5339">
        <v>197</v>
      </c>
      <c r="AB5339">
        <v>197</v>
      </c>
      <c r="AC5339">
        <v>197</v>
      </c>
      <c r="AD5339">
        <v>0</v>
      </c>
      <c r="AE5339">
        <v>0</v>
      </c>
      <c r="AF5339">
        <v>0</v>
      </c>
      <c r="AG5339">
        <v>0</v>
      </c>
      <c r="AH5339">
        <v>0</v>
      </c>
      <c r="AI5339">
        <v>35.46</v>
      </c>
      <c r="AJ5339">
        <v>197</v>
      </c>
      <c r="AK5339">
        <v>0</v>
      </c>
      <c r="AL5339" t="s">
        <v>53</v>
      </c>
      <c r="AM5339" t="s">
        <v>53</v>
      </c>
      <c r="AN5339" t="s">
        <v>53</v>
      </c>
      <c r="AO5339" t="s">
        <v>53</v>
      </c>
      <c r="AP5339" t="s">
        <v>53</v>
      </c>
    </row>
    <row r="5340" spans="2:42" x14ac:dyDescent="0.2">
      <c r="B5340" t="s">
        <v>44</v>
      </c>
      <c r="C5340" t="str">
        <f>HYPERLINK("https://us2.cloudbeds.com/connect/8493803454333002#/reservations/9080486846246915?display=2XAB3PGYC3&amp;reservation_id=9080486846246915", "2XAB3PGYC3")</f>
        <v>2XAB3PGYC3</v>
      </c>
      <c r="D5340" t="s">
        <v>45</v>
      </c>
      <c r="E5340" t="s">
        <v>179</v>
      </c>
      <c r="F5340" t="s">
        <v>47</v>
      </c>
      <c r="G5340" t="s">
        <v>48</v>
      </c>
      <c r="H5340" t="s">
        <v>49</v>
      </c>
      <c r="I5340" t="s">
        <v>50</v>
      </c>
      <c r="J5340" t="s">
        <v>7352</v>
      </c>
      <c r="K5340" t="s">
        <v>7510</v>
      </c>
      <c r="L5340" t="s">
        <v>53</v>
      </c>
      <c r="N5340" t="s">
        <v>9455</v>
      </c>
      <c r="P5340" t="s">
        <v>55</v>
      </c>
      <c r="R5340" t="s">
        <v>53</v>
      </c>
      <c r="T5340" t="s">
        <v>9456</v>
      </c>
      <c r="U5340" t="s">
        <v>58</v>
      </c>
      <c r="V5340">
        <v>1</v>
      </c>
      <c r="W5340">
        <v>1</v>
      </c>
      <c r="X5340">
        <v>2</v>
      </c>
      <c r="Y5340">
        <v>0</v>
      </c>
      <c r="Z5340">
        <v>2</v>
      </c>
      <c r="AA5340">
        <v>181.05</v>
      </c>
      <c r="AB5340">
        <v>181.05</v>
      </c>
      <c r="AC5340">
        <v>159.30000000000001</v>
      </c>
      <c r="AD5340">
        <v>0</v>
      </c>
      <c r="AE5340">
        <v>21.75</v>
      </c>
      <c r="AF5340">
        <v>0</v>
      </c>
      <c r="AG5340">
        <v>0</v>
      </c>
      <c r="AH5340">
        <v>0</v>
      </c>
      <c r="AI5340">
        <v>32.590000000000003</v>
      </c>
      <c r="AJ5340">
        <v>181.05</v>
      </c>
      <c r="AK5340">
        <v>0</v>
      </c>
      <c r="AL5340" t="s">
        <v>53</v>
      </c>
      <c r="AM5340" t="s">
        <v>53</v>
      </c>
      <c r="AN5340" t="s">
        <v>53</v>
      </c>
      <c r="AO5340" t="s">
        <v>53</v>
      </c>
      <c r="AP5340" t="s">
        <v>53</v>
      </c>
    </row>
    <row r="5341" spans="2:42" x14ac:dyDescent="0.2">
      <c r="B5341" t="s">
        <v>44</v>
      </c>
      <c r="C5341" t="str">
        <f>HYPERLINK("https://us2.cloudbeds.com/connect/8493803454333002#/reservations/9080486846247039?display=2XAHV2C7T6&amp;reservation_id=9080486846247039", "2XAHV2C7T6")</f>
        <v>2XAHV2C7T6</v>
      </c>
      <c r="D5341" t="s">
        <v>45</v>
      </c>
      <c r="E5341" t="s">
        <v>9457</v>
      </c>
      <c r="F5341" t="s">
        <v>61</v>
      </c>
      <c r="G5341" t="s">
        <v>48</v>
      </c>
      <c r="H5341" t="s">
        <v>49</v>
      </c>
      <c r="I5341" t="s">
        <v>50</v>
      </c>
      <c r="J5341" t="s">
        <v>7829</v>
      </c>
      <c r="K5341" t="s">
        <v>8594</v>
      </c>
      <c r="L5341" t="s">
        <v>53</v>
      </c>
      <c r="N5341" t="s">
        <v>9458</v>
      </c>
      <c r="P5341" t="s">
        <v>55</v>
      </c>
      <c r="R5341" t="s">
        <v>53</v>
      </c>
      <c r="T5341" t="s">
        <v>9459</v>
      </c>
      <c r="U5341" t="s">
        <v>58</v>
      </c>
      <c r="V5341">
        <v>4</v>
      </c>
      <c r="W5341">
        <v>2</v>
      </c>
      <c r="X5341">
        <v>2</v>
      </c>
      <c r="Y5341">
        <v>0</v>
      </c>
      <c r="Z5341">
        <v>2</v>
      </c>
      <c r="AA5341">
        <v>740.54</v>
      </c>
      <c r="AB5341">
        <v>740.54</v>
      </c>
      <c r="AC5341">
        <v>651.6</v>
      </c>
      <c r="AD5341">
        <v>0</v>
      </c>
      <c r="AE5341">
        <v>88.94</v>
      </c>
      <c r="AF5341">
        <v>0</v>
      </c>
      <c r="AG5341">
        <v>0</v>
      </c>
      <c r="AH5341">
        <v>0</v>
      </c>
      <c r="AI5341">
        <v>133.30000000000001</v>
      </c>
      <c r="AJ5341">
        <v>740.54</v>
      </c>
      <c r="AK5341">
        <v>0</v>
      </c>
      <c r="AL5341" t="s">
        <v>53</v>
      </c>
      <c r="AM5341" t="s">
        <v>53</v>
      </c>
      <c r="AN5341" t="s">
        <v>9460</v>
      </c>
      <c r="AO5341" t="s">
        <v>53</v>
      </c>
      <c r="AP5341" t="s">
        <v>53</v>
      </c>
    </row>
    <row r="5342" spans="2:42" x14ac:dyDescent="0.2">
      <c r="B5342" t="s">
        <v>44</v>
      </c>
      <c r="C5342" t="str">
        <f>HYPERLINK("https://us2.cloudbeds.com/connect/8493803454333002#/reservations/9080486846247323?display=2XAW6DT64D&amp;reservation_id=9080486846247323", "2XAW6DT64D")</f>
        <v>2XAW6DT64D</v>
      </c>
      <c r="D5342" t="s">
        <v>45</v>
      </c>
      <c r="E5342" t="s">
        <v>155</v>
      </c>
      <c r="F5342" t="s">
        <v>86</v>
      </c>
      <c r="G5342" t="s">
        <v>48</v>
      </c>
      <c r="H5342" t="s">
        <v>49</v>
      </c>
      <c r="I5342" t="s">
        <v>50</v>
      </c>
      <c r="J5342" t="s">
        <v>7830</v>
      </c>
      <c r="K5342" t="s">
        <v>7905</v>
      </c>
      <c r="L5342" t="s">
        <v>53</v>
      </c>
      <c r="N5342" t="s">
        <v>9461</v>
      </c>
      <c r="P5342" t="s">
        <v>55</v>
      </c>
      <c r="R5342" t="s">
        <v>53</v>
      </c>
      <c r="T5342" t="s">
        <v>9462</v>
      </c>
      <c r="U5342" t="s">
        <v>58</v>
      </c>
      <c r="V5342">
        <v>1</v>
      </c>
      <c r="W5342">
        <v>1</v>
      </c>
      <c r="X5342">
        <v>2</v>
      </c>
      <c r="Y5342">
        <v>2</v>
      </c>
      <c r="Z5342">
        <v>4</v>
      </c>
      <c r="AA5342">
        <v>178.72</v>
      </c>
      <c r="AB5342">
        <v>178.72</v>
      </c>
      <c r="AC5342">
        <v>157.25</v>
      </c>
      <c r="AD5342">
        <v>0</v>
      </c>
      <c r="AE5342">
        <v>21.47</v>
      </c>
      <c r="AF5342">
        <v>0</v>
      </c>
      <c r="AG5342">
        <v>0</v>
      </c>
      <c r="AH5342">
        <v>0</v>
      </c>
      <c r="AI5342">
        <v>32.17</v>
      </c>
      <c r="AJ5342">
        <v>178.72</v>
      </c>
      <c r="AK5342">
        <v>0</v>
      </c>
      <c r="AL5342" t="s">
        <v>53</v>
      </c>
      <c r="AM5342" t="s">
        <v>53</v>
      </c>
      <c r="AN5342" t="s">
        <v>53</v>
      </c>
      <c r="AO5342" t="s">
        <v>53</v>
      </c>
      <c r="AP5342" t="s">
        <v>53</v>
      </c>
    </row>
    <row r="5343" spans="2:42" x14ac:dyDescent="0.2">
      <c r="B5343" t="s">
        <v>44</v>
      </c>
      <c r="C5343" t="str">
        <f>HYPERLINK("https://us2.cloudbeds.com/connect/8493803454333002#/reservations/9080486846247896?display=2XBZS0KP9Q&amp;reservation_id=9080486846247896", "2XBZS0KP9Q")</f>
        <v>2XBZS0KP9Q</v>
      </c>
      <c r="D5343" t="s">
        <v>45</v>
      </c>
      <c r="E5343" t="s">
        <v>373</v>
      </c>
      <c r="F5343" t="s">
        <v>47</v>
      </c>
      <c r="G5343" t="s">
        <v>48</v>
      </c>
      <c r="H5343" t="s">
        <v>49</v>
      </c>
      <c r="I5343" t="s">
        <v>50</v>
      </c>
      <c r="J5343" t="s">
        <v>6397</v>
      </c>
      <c r="K5343" t="s">
        <v>7822</v>
      </c>
      <c r="L5343" t="s">
        <v>53</v>
      </c>
      <c r="N5343" t="s">
        <v>9463</v>
      </c>
      <c r="P5343" t="s">
        <v>55</v>
      </c>
      <c r="R5343" t="s">
        <v>53</v>
      </c>
      <c r="T5343" t="s">
        <v>9464</v>
      </c>
      <c r="U5343" t="s">
        <v>58</v>
      </c>
      <c r="V5343">
        <v>5</v>
      </c>
      <c r="W5343">
        <v>1</v>
      </c>
      <c r="X5343">
        <v>1</v>
      </c>
      <c r="Y5343">
        <v>0</v>
      </c>
      <c r="Z5343">
        <v>1</v>
      </c>
      <c r="AA5343">
        <v>883.28</v>
      </c>
      <c r="AB5343">
        <v>883.28</v>
      </c>
      <c r="AC5343">
        <v>777.19</v>
      </c>
      <c r="AD5343">
        <v>0</v>
      </c>
      <c r="AE5343">
        <v>106.09</v>
      </c>
      <c r="AF5343">
        <v>0</v>
      </c>
      <c r="AG5343">
        <v>0</v>
      </c>
      <c r="AH5343">
        <v>0</v>
      </c>
      <c r="AI5343">
        <v>158.99</v>
      </c>
      <c r="AJ5343">
        <v>883.28</v>
      </c>
      <c r="AK5343">
        <v>0</v>
      </c>
      <c r="AL5343" t="s">
        <v>53</v>
      </c>
      <c r="AM5343" t="s">
        <v>53</v>
      </c>
      <c r="AN5343" t="s">
        <v>53</v>
      </c>
      <c r="AO5343" t="s">
        <v>53</v>
      </c>
      <c r="AP5343" t="s">
        <v>53</v>
      </c>
    </row>
    <row r="5344" spans="2:42" x14ac:dyDescent="0.2">
      <c r="B5344" t="s">
        <v>44</v>
      </c>
      <c r="C5344" t="str">
        <f>HYPERLINK("https://us2.cloudbeds.com/connect/8493803454333002#/reservations/9080486846248020?display=2XBVFAW21X&amp;reservation_id=9080486846248020", "2XBVFAW21X")</f>
        <v>2XBVFAW21X</v>
      </c>
      <c r="D5344" t="s">
        <v>45</v>
      </c>
      <c r="E5344" t="s">
        <v>190</v>
      </c>
      <c r="F5344" t="s">
        <v>61</v>
      </c>
      <c r="G5344" t="s">
        <v>48</v>
      </c>
      <c r="H5344" t="s">
        <v>49</v>
      </c>
      <c r="I5344" t="s">
        <v>50</v>
      </c>
      <c r="J5344" t="s">
        <v>7152</v>
      </c>
      <c r="K5344" t="s">
        <v>7962</v>
      </c>
      <c r="L5344" t="s">
        <v>53</v>
      </c>
      <c r="N5344" t="s">
        <v>9465</v>
      </c>
      <c r="P5344" t="s">
        <v>55</v>
      </c>
      <c r="R5344" t="s">
        <v>53</v>
      </c>
      <c r="T5344" t="s">
        <v>9466</v>
      </c>
      <c r="U5344" t="s">
        <v>58</v>
      </c>
      <c r="V5344">
        <v>1</v>
      </c>
      <c r="W5344">
        <v>1</v>
      </c>
      <c r="X5344">
        <v>2</v>
      </c>
      <c r="Y5344">
        <v>0</v>
      </c>
      <c r="Z5344">
        <v>2</v>
      </c>
      <c r="AA5344">
        <v>176.78</v>
      </c>
      <c r="AB5344">
        <v>757.36</v>
      </c>
      <c r="AC5344">
        <v>155.55000000000001</v>
      </c>
      <c r="AD5344">
        <v>0</v>
      </c>
      <c r="AE5344">
        <v>21.23</v>
      </c>
      <c r="AF5344">
        <v>0</v>
      </c>
      <c r="AG5344">
        <v>0</v>
      </c>
      <c r="AH5344">
        <v>0</v>
      </c>
      <c r="AI5344">
        <v>31.82</v>
      </c>
      <c r="AJ5344">
        <v>176.78</v>
      </c>
      <c r="AK5344">
        <v>0</v>
      </c>
      <c r="AL5344" t="s">
        <v>53</v>
      </c>
      <c r="AM5344" t="s">
        <v>53</v>
      </c>
      <c r="AN5344" t="s">
        <v>9467</v>
      </c>
      <c r="AO5344" t="s">
        <v>53</v>
      </c>
      <c r="AP5344" t="s">
        <v>53</v>
      </c>
    </row>
    <row r="5345" spans="2:42" x14ac:dyDescent="0.2">
      <c r="B5345" t="s">
        <v>44</v>
      </c>
      <c r="C5345" t="str">
        <f>HYPERLINK("https://us2.cloudbeds.com/connect/8493803454333002#/reservations/118786737131671?display=2XF72F63F3&amp;reservation_id=118786737131671", "2XF72F63F3")</f>
        <v>2XF72F63F3</v>
      </c>
      <c r="D5345" t="s">
        <v>45</v>
      </c>
      <c r="E5345" t="s">
        <v>406</v>
      </c>
      <c r="F5345" t="s">
        <v>61</v>
      </c>
      <c r="G5345" t="s">
        <v>3974</v>
      </c>
      <c r="H5345" t="s">
        <v>3957</v>
      </c>
      <c r="I5345" t="s">
        <v>3975</v>
      </c>
      <c r="J5345" t="s">
        <v>8143</v>
      </c>
      <c r="K5345" t="s">
        <v>7864</v>
      </c>
      <c r="L5345" t="s">
        <v>53</v>
      </c>
      <c r="P5345" t="s">
        <v>55</v>
      </c>
      <c r="R5345" t="s">
        <v>53</v>
      </c>
      <c r="T5345" t="s">
        <v>9468</v>
      </c>
      <c r="U5345" t="s">
        <v>58</v>
      </c>
      <c r="V5345">
        <v>3</v>
      </c>
      <c r="W5345">
        <v>1</v>
      </c>
      <c r="X5345">
        <v>2</v>
      </c>
      <c r="Y5345">
        <v>0</v>
      </c>
      <c r="Z5345">
        <v>2</v>
      </c>
      <c r="AA5345">
        <v>563.62</v>
      </c>
      <c r="AB5345">
        <v>563.62</v>
      </c>
      <c r="AC5345">
        <v>495.9</v>
      </c>
      <c r="AD5345">
        <v>0</v>
      </c>
      <c r="AE5345">
        <v>67.72</v>
      </c>
      <c r="AF5345">
        <v>0</v>
      </c>
      <c r="AG5345">
        <v>0</v>
      </c>
      <c r="AH5345">
        <v>0</v>
      </c>
      <c r="AI5345">
        <v>0</v>
      </c>
      <c r="AJ5345">
        <v>563.62</v>
      </c>
      <c r="AK5345">
        <v>0</v>
      </c>
      <c r="AL5345" t="s">
        <v>53</v>
      </c>
      <c r="AM5345" t="s">
        <v>53</v>
      </c>
      <c r="AN5345" t="s">
        <v>53</v>
      </c>
      <c r="AO5345" t="s">
        <v>53</v>
      </c>
      <c r="AP5345" t="s">
        <v>53</v>
      </c>
    </row>
    <row r="5346" spans="2:42" x14ac:dyDescent="0.2">
      <c r="B5346" t="s">
        <v>44</v>
      </c>
      <c r="C5346" t="str">
        <f>HYPERLINK("https://us2.cloudbeds.com/connect/8493803454333002#/reservations/9080486846250268?display=2XFBK21YU5&amp;reservation_id=9080486846250268", "2XFBK21YU5")</f>
        <v>2XFBK21YU5</v>
      </c>
      <c r="D5346" t="s">
        <v>45</v>
      </c>
      <c r="E5346" t="s">
        <v>105</v>
      </c>
      <c r="F5346" t="s">
        <v>47</v>
      </c>
      <c r="G5346" t="s">
        <v>48</v>
      </c>
      <c r="H5346" t="s">
        <v>49</v>
      </c>
      <c r="I5346" t="s">
        <v>62</v>
      </c>
      <c r="J5346" t="s">
        <v>7926</v>
      </c>
      <c r="K5346" t="s">
        <v>8871</v>
      </c>
      <c r="L5346" t="s">
        <v>53</v>
      </c>
      <c r="N5346" t="s">
        <v>9469</v>
      </c>
      <c r="P5346" t="s">
        <v>55</v>
      </c>
      <c r="R5346" t="s">
        <v>56</v>
      </c>
      <c r="T5346" t="s">
        <v>9470</v>
      </c>
      <c r="U5346" t="s">
        <v>55</v>
      </c>
      <c r="V5346">
        <v>2</v>
      </c>
      <c r="W5346">
        <v>1</v>
      </c>
      <c r="X5346">
        <v>1</v>
      </c>
      <c r="Y5346">
        <v>0</v>
      </c>
      <c r="Z5346">
        <v>1</v>
      </c>
      <c r="AA5346">
        <v>299.25</v>
      </c>
      <c r="AB5346">
        <v>299.25</v>
      </c>
      <c r="AC5346">
        <v>299.25</v>
      </c>
      <c r="AD5346">
        <v>0</v>
      </c>
      <c r="AE5346">
        <v>0</v>
      </c>
      <c r="AF5346">
        <v>0</v>
      </c>
      <c r="AG5346">
        <v>0</v>
      </c>
      <c r="AH5346">
        <v>0</v>
      </c>
      <c r="AI5346">
        <v>53.87</v>
      </c>
      <c r="AJ5346">
        <v>299.25</v>
      </c>
      <c r="AK5346">
        <v>0</v>
      </c>
      <c r="AL5346" t="s">
        <v>53</v>
      </c>
      <c r="AM5346" t="s">
        <v>53</v>
      </c>
      <c r="AN5346" t="s">
        <v>53</v>
      </c>
      <c r="AO5346" t="s">
        <v>53</v>
      </c>
      <c r="AP5346" t="s">
        <v>53</v>
      </c>
    </row>
    <row r="5347" spans="2:42" x14ac:dyDescent="0.2">
      <c r="B5347" t="s">
        <v>44</v>
      </c>
      <c r="C5347" t="str">
        <f>HYPERLINK("https://us2.cloudbeds.com/connect/8493803454333002#/reservations/9080486846250982?display=2XG1N5PP7M&amp;reservation_id=9080486846250982", "2XG1N5PP7M")</f>
        <v>2XG1N5PP7M</v>
      </c>
      <c r="D5347" t="s">
        <v>45</v>
      </c>
      <c r="E5347" t="s">
        <v>92</v>
      </c>
      <c r="F5347" t="s">
        <v>86</v>
      </c>
      <c r="G5347" t="s">
        <v>48</v>
      </c>
      <c r="H5347" t="s">
        <v>49</v>
      </c>
      <c r="I5347" t="s">
        <v>8964</v>
      </c>
      <c r="J5347" t="s">
        <v>7821</v>
      </c>
      <c r="K5347" t="s">
        <v>8133</v>
      </c>
      <c r="L5347" t="s">
        <v>53</v>
      </c>
      <c r="N5347" t="s">
        <v>9471</v>
      </c>
      <c r="P5347" t="s">
        <v>55</v>
      </c>
      <c r="R5347" t="s">
        <v>53</v>
      </c>
      <c r="T5347" t="s">
        <v>9472</v>
      </c>
      <c r="U5347" t="s">
        <v>58</v>
      </c>
      <c r="V5347">
        <v>1</v>
      </c>
      <c r="W5347">
        <v>1</v>
      </c>
      <c r="X5347">
        <v>3</v>
      </c>
      <c r="Y5347">
        <v>0</v>
      </c>
      <c r="Z5347">
        <v>3</v>
      </c>
      <c r="AA5347">
        <v>216</v>
      </c>
      <c r="AB5347">
        <v>0</v>
      </c>
      <c r="AC5347">
        <v>216</v>
      </c>
      <c r="AD5347">
        <v>0</v>
      </c>
      <c r="AE5347">
        <v>0</v>
      </c>
      <c r="AF5347">
        <v>0</v>
      </c>
      <c r="AG5347">
        <v>0</v>
      </c>
      <c r="AH5347">
        <v>0</v>
      </c>
      <c r="AI5347">
        <v>32.4</v>
      </c>
      <c r="AJ5347">
        <v>216</v>
      </c>
      <c r="AK5347">
        <v>216</v>
      </c>
      <c r="AL5347" t="s">
        <v>53</v>
      </c>
      <c r="AM5347" t="s">
        <v>53</v>
      </c>
      <c r="AN5347" t="s">
        <v>53</v>
      </c>
      <c r="AO5347" t="s">
        <v>53</v>
      </c>
      <c r="AP5347" t="s">
        <v>53</v>
      </c>
    </row>
    <row r="5348" spans="2:42" x14ac:dyDescent="0.2">
      <c r="B5348" t="s">
        <v>44</v>
      </c>
      <c r="C5348" t="str">
        <f>HYPERLINK("https://us2.cloudbeds.com/connect/8493803454333002#/reservations/9080486846251681?display=2XGN99VTTQ&amp;reservation_id=9080486846251681", "2XGN99VTTQ")</f>
        <v>2XGN99VTTQ</v>
      </c>
      <c r="D5348" t="s">
        <v>45</v>
      </c>
      <c r="E5348" t="s">
        <v>406</v>
      </c>
      <c r="F5348" t="s">
        <v>61</v>
      </c>
      <c r="G5348" t="s">
        <v>48</v>
      </c>
      <c r="H5348" t="s">
        <v>49</v>
      </c>
      <c r="I5348" t="s">
        <v>62</v>
      </c>
      <c r="J5348" t="s">
        <v>6396</v>
      </c>
      <c r="K5348" t="s">
        <v>7152</v>
      </c>
      <c r="L5348" t="s">
        <v>53</v>
      </c>
      <c r="N5348" t="s">
        <v>9473</v>
      </c>
      <c r="P5348" t="s">
        <v>55</v>
      </c>
      <c r="R5348" t="s">
        <v>56</v>
      </c>
      <c r="T5348" t="s">
        <v>9474</v>
      </c>
      <c r="U5348" t="s">
        <v>55</v>
      </c>
      <c r="V5348">
        <v>2</v>
      </c>
      <c r="W5348">
        <v>1</v>
      </c>
      <c r="X5348">
        <v>2</v>
      </c>
      <c r="Y5348">
        <v>0</v>
      </c>
      <c r="Z5348">
        <v>2</v>
      </c>
      <c r="AA5348">
        <v>369</v>
      </c>
      <c r="AB5348">
        <v>369</v>
      </c>
      <c r="AC5348">
        <v>369</v>
      </c>
      <c r="AD5348">
        <v>0</v>
      </c>
      <c r="AE5348">
        <v>0</v>
      </c>
      <c r="AF5348">
        <v>0</v>
      </c>
      <c r="AG5348">
        <v>0</v>
      </c>
      <c r="AH5348">
        <v>0</v>
      </c>
      <c r="AI5348">
        <v>66.42</v>
      </c>
      <c r="AJ5348">
        <v>369</v>
      </c>
      <c r="AK5348">
        <v>0</v>
      </c>
      <c r="AL5348" t="s">
        <v>53</v>
      </c>
      <c r="AM5348" t="s">
        <v>53</v>
      </c>
      <c r="AN5348" t="s">
        <v>53</v>
      </c>
      <c r="AO5348" t="s">
        <v>53</v>
      </c>
      <c r="AP5348" t="s">
        <v>53</v>
      </c>
    </row>
    <row r="5349" spans="2:42" x14ac:dyDescent="0.2">
      <c r="B5349" t="s">
        <v>44</v>
      </c>
      <c r="C5349" t="str">
        <f>HYPERLINK("https://us2.cloudbeds.com/connect/8493803454333002#/reservations/118865532559497?display=2XH22SJ178&amp;reservation_id=118865532559497", "2XH22SJ178")</f>
        <v>2XH22SJ178</v>
      </c>
      <c r="D5349" t="s">
        <v>45</v>
      </c>
      <c r="E5349" t="s">
        <v>179</v>
      </c>
      <c r="F5349" t="s">
        <v>47</v>
      </c>
      <c r="G5349" t="s">
        <v>48</v>
      </c>
      <c r="H5349" t="s">
        <v>3957</v>
      </c>
      <c r="I5349" t="s">
        <v>3975</v>
      </c>
      <c r="J5349" t="s">
        <v>7624</v>
      </c>
      <c r="K5349" t="s">
        <v>8670</v>
      </c>
      <c r="L5349" t="s">
        <v>53</v>
      </c>
      <c r="P5349" t="s">
        <v>55</v>
      </c>
      <c r="R5349" t="s">
        <v>53</v>
      </c>
      <c r="T5349" t="s">
        <v>9475</v>
      </c>
      <c r="U5349" t="s">
        <v>58</v>
      </c>
      <c r="V5349">
        <v>4</v>
      </c>
      <c r="W5349">
        <v>1</v>
      </c>
      <c r="X5349">
        <v>1</v>
      </c>
      <c r="Y5349">
        <v>0</v>
      </c>
      <c r="Z5349">
        <v>1</v>
      </c>
      <c r="AA5349">
        <v>708.04</v>
      </c>
      <c r="AB5349">
        <v>708.04</v>
      </c>
      <c r="AC5349">
        <v>623</v>
      </c>
      <c r="AD5349">
        <v>0</v>
      </c>
      <c r="AE5349">
        <v>85.04</v>
      </c>
      <c r="AF5349">
        <v>0</v>
      </c>
      <c r="AG5349">
        <v>0</v>
      </c>
      <c r="AH5349">
        <v>0</v>
      </c>
      <c r="AI5349">
        <v>0</v>
      </c>
      <c r="AJ5349">
        <v>708.04</v>
      </c>
      <c r="AK5349">
        <v>0</v>
      </c>
      <c r="AL5349" t="s">
        <v>53</v>
      </c>
      <c r="AM5349" t="s">
        <v>53</v>
      </c>
      <c r="AN5349" t="s">
        <v>53</v>
      </c>
      <c r="AO5349" t="s">
        <v>53</v>
      </c>
      <c r="AP5349" t="s">
        <v>53</v>
      </c>
    </row>
    <row r="5350" spans="2:42" x14ac:dyDescent="0.2">
      <c r="B5350" t="s">
        <v>44</v>
      </c>
      <c r="C5350" t="str">
        <f>HYPERLINK("https://us2.cloudbeds.com/connect/8493803454333002#/reservations/118866774446243?display=2XH31JPC2V&amp;reservation_id=118866774446243", "2XH31JPC2V")</f>
        <v>2XH31JPC2V</v>
      </c>
      <c r="D5350" t="s">
        <v>45</v>
      </c>
      <c r="E5350" t="s">
        <v>223</v>
      </c>
      <c r="F5350" t="s">
        <v>47</v>
      </c>
      <c r="G5350" t="s">
        <v>48</v>
      </c>
      <c r="H5350" t="s">
        <v>3957</v>
      </c>
      <c r="I5350" t="s">
        <v>3975</v>
      </c>
      <c r="J5350" t="s">
        <v>7624</v>
      </c>
      <c r="K5350" t="s">
        <v>8670</v>
      </c>
      <c r="L5350" t="s">
        <v>53</v>
      </c>
      <c r="P5350" t="s">
        <v>55</v>
      </c>
      <c r="R5350" t="s">
        <v>53</v>
      </c>
      <c r="T5350" t="s">
        <v>9476</v>
      </c>
      <c r="U5350" t="s">
        <v>58</v>
      </c>
      <c r="V5350">
        <v>4</v>
      </c>
      <c r="W5350">
        <v>1</v>
      </c>
      <c r="X5350">
        <v>1</v>
      </c>
      <c r="Y5350">
        <v>0</v>
      </c>
      <c r="Z5350">
        <v>1</v>
      </c>
      <c r="AA5350">
        <v>708.04</v>
      </c>
      <c r="AB5350">
        <v>708.04</v>
      </c>
      <c r="AC5350">
        <v>623</v>
      </c>
      <c r="AD5350">
        <v>0</v>
      </c>
      <c r="AE5350">
        <v>85.04</v>
      </c>
      <c r="AF5350">
        <v>0</v>
      </c>
      <c r="AG5350">
        <v>0</v>
      </c>
      <c r="AH5350">
        <v>0</v>
      </c>
      <c r="AI5350">
        <v>0</v>
      </c>
      <c r="AJ5350">
        <v>708.04</v>
      </c>
      <c r="AK5350">
        <v>0</v>
      </c>
      <c r="AL5350" t="s">
        <v>53</v>
      </c>
      <c r="AM5350" t="s">
        <v>53</v>
      </c>
      <c r="AN5350" t="s">
        <v>53</v>
      </c>
      <c r="AO5350" t="s">
        <v>53</v>
      </c>
      <c r="AP5350" t="s">
        <v>53</v>
      </c>
    </row>
    <row r="5351" spans="2:42" x14ac:dyDescent="0.2">
      <c r="B5351" t="s">
        <v>44</v>
      </c>
      <c r="C5351" t="str">
        <f>HYPERLINK("https://us2.cloudbeds.com/connect/8493803454333002#/reservations/118925025366229?display=2XXF51G2ZF&amp;reservation_id=118925025366229", "2XXF51G2ZF")</f>
        <v>2XXF51G2ZF</v>
      </c>
      <c r="D5351" t="s">
        <v>45</v>
      </c>
      <c r="E5351" t="s">
        <v>487</v>
      </c>
      <c r="F5351" t="s">
        <v>61</v>
      </c>
      <c r="G5351" t="s">
        <v>48</v>
      </c>
      <c r="H5351" t="s">
        <v>3957</v>
      </c>
      <c r="I5351" t="s">
        <v>3958</v>
      </c>
      <c r="J5351" t="s">
        <v>7352</v>
      </c>
      <c r="K5351" t="s">
        <v>7510</v>
      </c>
      <c r="L5351" t="s">
        <v>53</v>
      </c>
      <c r="P5351" t="s">
        <v>58</v>
      </c>
      <c r="R5351" t="s">
        <v>56</v>
      </c>
      <c r="T5351" t="s">
        <v>9477</v>
      </c>
      <c r="U5351" t="s">
        <v>58</v>
      </c>
      <c r="V5351">
        <v>1</v>
      </c>
      <c r="W5351">
        <v>1</v>
      </c>
      <c r="X5351">
        <v>1</v>
      </c>
      <c r="Y5351">
        <v>0</v>
      </c>
      <c r="Z5351">
        <v>1</v>
      </c>
      <c r="AA5351">
        <v>175.03</v>
      </c>
      <c r="AB5351">
        <v>175.03</v>
      </c>
      <c r="AC5351">
        <v>154</v>
      </c>
      <c r="AD5351">
        <v>0</v>
      </c>
      <c r="AE5351">
        <v>21.03</v>
      </c>
      <c r="AF5351">
        <v>0</v>
      </c>
      <c r="AG5351">
        <v>0</v>
      </c>
      <c r="AH5351">
        <v>0</v>
      </c>
      <c r="AI5351">
        <v>0</v>
      </c>
      <c r="AJ5351">
        <v>175.03</v>
      </c>
      <c r="AK5351">
        <v>0</v>
      </c>
      <c r="AL5351" t="s">
        <v>53</v>
      </c>
      <c r="AM5351" t="s">
        <v>53</v>
      </c>
      <c r="AN5351" t="s">
        <v>53</v>
      </c>
      <c r="AO5351" t="s">
        <v>53</v>
      </c>
      <c r="AP5351" t="s">
        <v>53</v>
      </c>
    </row>
    <row r="5352" spans="2:42" x14ac:dyDescent="0.2">
      <c r="B5352" t="s">
        <v>44</v>
      </c>
      <c r="C5352" t="str">
        <f>HYPERLINK("https://us2.cloudbeds.com/connect/8493803454333002#/reservations/118925449298165?display=2XXFFSVK8P&amp;reservation_id=118925449298165", "2XXFFSVK8P")</f>
        <v>2XXFFSVK8P</v>
      </c>
      <c r="D5352" t="s">
        <v>45</v>
      </c>
      <c r="E5352" t="s">
        <v>46</v>
      </c>
      <c r="F5352" t="s">
        <v>47</v>
      </c>
      <c r="G5352" t="s">
        <v>48</v>
      </c>
      <c r="H5352" t="s">
        <v>3957</v>
      </c>
      <c r="I5352" t="s">
        <v>3958</v>
      </c>
      <c r="J5352" t="s">
        <v>7352</v>
      </c>
      <c r="K5352" t="s">
        <v>7510</v>
      </c>
      <c r="L5352" t="s">
        <v>53</v>
      </c>
      <c r="P5352" t="s">
        <v>55</v>
      </c>
      <c r="R5352" t="s">
        <v>56</v>
      </c>
      <c r="T5352" t="s">
        <v>9478</v>
      </c>
      <c r="U5352" t="s">
        <v>58</v>
      </c>
      <c r="V5352">
        <v>1</v>
      </c>
      <c r="W5352">
        <v>1</v>
      </c>
      <c r="X5352">
        <v>1</v>
      </c>
      <c r="Y5352">
        <v>0</v>
      </c>
      <c r="Z5352">
        <v>1</v>
      </c>
      <c r="AA5352">
        <v>164.8</v>
      </c>
      <c r="AB5352">
        <v>164.8</v>
      </c>
      <c r="AC5352">
        <v>145</v>
      </c>
      <c r="AD5352">
        <v>0</v>
      </c>
      <c r="AE5352">
        <v>19.8</v>
      </c>
      <c r="AF5352">
        <v>0</v>
      </c>
      <c r="AG5352">
        <v>0</v>
      </c>
      <c r="AH5352">
        <v>0</v>
      </c>
      <c r="AI5352">
        <v>0</v>
      </c>
      <c r="AJ5352">
        <v>164.8</v>
      </c>
      <c r="AK5352">
        <v>0</v>
      </c>
      <c r="AL5352" t="s">
        <v>53</v>
      </c>
      <c r="AM5352" t="s">
        <v>53</v>
      </c>
      <c r="AN5352" t="s">
        <v>53</v>
      </c>
      <c r="AO5352" t="s">
        <v>53</v>
      </c>
      <c r="AP5352" t="s">
        <v>53</v>
      </c>
    </row>
    <row r="5353" spans="2:42" x14ac:dyDescent="0.2">
      <c r="B5353" t="s">
        <v>44</v>
      </c>
      <c r="C5353" t="str">
        <f>HYPERLINK("https://us2.cloudbeds.com/connect/8493803454333002#/reservations/9080486846253290?display=2XXHKSQ7A6&amp;reservation_id=9080486846253290", "2XXHKSQ7A6")</f>
        <v>2XXHKSQ7A6</v>
      </c>
      <c r="D5353" t="s">
        <v>45</v>
      </c>
      <c r="E5353" t="s">
        <v>7965</v>
      </c>
      <c r="F5353" t="s">
        <v>70</v>
      </c>
      <c r="G5353" t="s">
        <v>48</v>
      </c>
      <c r="H5353" t="s">
        <v>49</v>
      </c>
      <c r="I5353" t="s">
        <v>62</v>
      </c>
      <c r="J5353" t="s">
        <v>4009</v>
      </c>
      <c r="K5353" t="s">
        <v>8319</v>
      </c>
      <c r="L5353" t="s">
        <v>53</v>
      </c>
      <c r="N5353" t="s">
        <v>9479</v>
      </c>
      <c r="P5353" t="s">
        <v>55</v>
      </c>
      <c r="R5353" t="s">
        <v>125</v>
      </c>
      <c r="T5353" t="s">
        <v>9480</v>
      </c>
      <c r="U5353" t="s">
        <v>55</v>
      </c>
      <c r="V5353">
        <v>2</v>
      </c>
      <c r="W5353">
        <v>2</v>
      </c>
      <c r="X5353">
        <v>4</v>
      </c>
      <c r="Y5353">
        <v>0</v>
      </c>
      <c r="Z5353">
        <v>4</v>
      </c>
      <c r="AA5353">
        <v>274</v>
      </c>
      <c r="AB5353">
        <v>274</v>
      </c>
      <c r="AC5353">
        <v>274</v>
      </c>
      <c r="AD5353">
        <v>0</v>
      </c>
      <c r="AE5353">
        <v>0</v>
      </c>
      <c r="AF5353">
        <v>0</v>
      </c>
      <c r="AG5353">
        <v>0</v>
      </c>
      <c r="AH5353">
        <v>0</v>
      </c>
      <c r="AI5353">
        <v>49.32</v>
      </c>
      <c r="AJ5353">
        <v>274</v>
      </c>
      <c r="AK5353">
        <v>0</v>
      </c>
      <c r="AL5353" t="s">
        <v>53</v>
      </c>
      <c r="AM5353" t="s">
        <v>53</v>
      </c>
      <c r="AN5353" t="s">
        <v>53</v>
      </c>
      <c r="AO5353" t="s">
        <v>53</v>
      </c>
      <c r="AP5353" t="s">
        <v>53</v>
      </c>
    </row>
    <row r="5354" spans="2:42" x14ac:dyDescent="0.2">
      <c r="B5354" t="s">
        <v>44</v>
      </c>
      <c r="C5354" t="str">
        <f>HYPERLINK("https://us2.cloudbeds.com/connect/8493803454333002#/reservations/9080486846253371?display=2XXYVHFC07&amp;reservation_id=9080486846253371", "2XXYVHFC07")</f>
        <v>2XXYVHFC07</v>
      </c>
      <c r="D5354" t="s">
        <v>45</v>
      </c>
      <c r="E5354" t="s">
        <v>78</v>
      </c>
      <c r="F5354" t="s">
        <v>61</v>
      </c>
      <c r="G5354" t="s">
        <v>48</v>
      </c>
      <c r="H5354" t="s">
        <v>49</v>
      </c>
      <c r="I5354" t="s">
        <v>50</v>
      </c>
      <c r="J5354" t="s">
        <v>7510</v>
      </c>
      <c r="K5354" t="s">
        <v>7353</v>
      </c>
      <c r="L5354" t="s">
        <v>53</v>
      </c>
      <c r="N5354" t="s">
        <v>9481</v>
      </c>
      <c r="P5354" t="s">
        <v>55</v>
      </c>
      <c r="R5354" t="s">
        <v>53</v>
      </c>
      <c r="T5354" t="s">
        <v>9482</v>
      </c>
      <c r="U5354" t="s">
        <v>58</v>
      </c>
      <c r="V5354">
        <v>1</v>
      </c>
      <c r="W5354">
        <v>1</v>
      </c>
      <c r="X5354">
        <v>2</v>
      </c>
      <c r="Y5354">
        <v>0</v>
      </c>
      <c r="Z5354">
        <v>2</v>
      </c>
      <c r="AA5354">
        <v>143.19999999999999</v>
      </c>
      <c r="AB5354">
        <v>143.19999999999999</v>
      </c>
      <c r="AC5354">
        <v>126</v>
      </c>
      <c r="AD5354">
        <v>0</v>
      </c>
      <c r="AE5354">
        <v>17.2</v>
      </c>
      <c r="AF5354">
        <v>0</v>
      </c>
      <c r="AG5354">
        <v>0</v>
      </c>
      <c r="AH5354">
        <v>0</v>
      </c>
      <c r="AI5354">
        <v>25.78</v>
      </c>
      <c r="AJ5354">
        <v>143.19999999999999</v>
      </c>
      <c r="AK5354">
        <v>0</v>
      </c>
      <c r="AL5354" t="s">
        <v>53</v>
      </c>
      <c r="AM5354" t="s">
        <v>53</v>
      </c>
      <c r="AN5354" t="s">
        <v>9483</v>
      </c>
      <c r="AO5354" t="s">
        <v>53</v>
      </c>
      <c r="AP5354" t="s">
        <v>53</v>
      </c>
    </row>
    <row r="5355" spans="2:42" x14ac:dyDescent="0.2">
      <c r="B5355" t="s">
        <v>44</v>
      </c>
      <c r="C5355" t="str">
        <f>HYPERLINK("https://us2.cloudbeds.com/connect/8493803454333002#/reservations/118935161708798?display=2XXN01NZWG&amp;reservation_id=118935161708798", "2XXN01NZWG")</f>
        <v>2XXN01NZWG</v>
      </c>
      <c r="D5355" t="s">
        <v>45</v>
      </c>
      <c r="E5355" t="s">
        <v>69</v>
      </c>
      <c r="F5355" t="s">
        <v>70</v>
      </c>
      <c r="G5355" t="s">
        <v>48</v>
      </c>
      <c r="H5355" t="s">
        <v>3957</v>
      </c>
      <c r="I5355" t="s">
        <v>3975</v>
      </c>
      <c r="J5355" t="s">
        <v>7510</v>
      </c>
      <c r="K5355" t="s">
        <v>7353</v>
      </c>
      <c r="L5355" t="s">
        <v>53</v>
      </c>
      <c r="P5355" t="s">
        <v>55</v>
      </c>
      <c r="R5355" t="s">
        <v>53</v>
      </c>
      <c r="T5355" t="s">
        <v>9484</v>
      </c>
      <c r="U5355" t="s">
        <v>58</v>
      </c>
      <c r="V5355">
        <v>1</v>
      </c>
      <c r="W5355">
        <v>1</v>
      </c>
      <c r="X5355">
        <v>2</v>
      </c>
      <c r="Y5355">
        <v>0</v>
      </c>
      <c r="Z5355">
        <v>2</v>
      </c>
      <c r="AA5355">
        <v>140.93</v>
      </c>
      <c r="AB5355">
        <v>140.93</v>
      </c>
      <c r="AC5355">
        <v>124</v>
      </c>
      <c r="AD5355">
        <v>0</v>
      </c>
      <c r="AE5355">
        <v>16.93</v>
      </c>
      <c r="AF5355">
        <v>0</v>
      </c>
      <c r="AG5355">
        <v>0</v>
      </c>
      <c r="AH5355">
        <v>0</v>
      </c>
      <c r="AI5355">
        <v>0</v>
      </c>
      <c r="AJ5355">
        <v>140.93</v>
      </c>
      <c r="AK5355">
        <v>0</v>
      </c>
      <c r="AL5355" t="s">
        <v>53</v>
      </c>
      <c r="AM5355" t="s">
        <v>53</v>
      </c>
      <c r="AN5355" t="s">
        <v>53</v>
      </c>
      <c r="AO5355" t="s">
        <v>53</v>
      </c>
      <c r="AP5355" t="s">
        <v>53</v>
      </c>
    </row>
    <row r="5356" spans="2:42" x14ac:dyDescent="0.2">
      <c r="B5356" t="s">
        <v>44</v>
      </c>
      <c r="C5356" t="str">
        <f>HYPERLINK("https://us2.cloudbeds.com/connect/8493803454333002#/reservations/9080486846253484?display=2XXR10QQZR&amp;reservation_id=9080486846253484", "2XXR10QQZR")</f>
        <v>2XXR10QQZR</v>
      </c>
      <c r="D5356" t="s">
        <v>45</v>
      </c>
      <c r="E5356" t="s">
        <v>381</v>
      </c>
      <c r="F5356" t="s">
        <v>47</v>
      </c>
      <c r="G5356" t="s">
        <v>48</v>
      </c>
      <c r="H5356" t="s">
        <v>49</v>
      </c>
      <c r="I5356" t="s">
        <v>50</v>
      </c>
      <c r="J5356" t="s">
        <v>7821</v>
      </c>
      <c r="K5356" t="s">
        <v>7822</v>
      </c>
      <c r="L5356" t="s">
        <v>53</v>
      </c>
      <c r="N5356" t="s">
        <v>9485</v>
      </c>
      <c r="P5356" t="s">
        <v>55</v>
      </c>
      <c r="R5356" t="s">
        <v>53</v>
      </c>
      <c r="T5356" t="s">
        <v>9486</v>
      </c>
      <c r="U5356" t="s">
        <v>58</v>
      </c>
      <c r="V5356">
        <v>2</v>
      </c>
      <c r="W5356">
        <v>1</v>
      </c>
      <c r="X5356">
        <v>2</v>
      </c>
      <c r="Y5356">
        <v>0</v>
      </c>
      <c r="Z5356">
        <v>2</v>
      </c>
      <c r="AA5356">
        <v>397.42</v>
      </c>
      <c r="AB5356">
        <v>587.88</v>
      </c>
      <c r="AC5356">
        <v>349.69</v>
      </c>
      <c r="AD5356">
        <v>0</v>
      </c>
      <c r="AE5356">
        <v>47.73</v>
      </c>
      <c r="AF5356">
        <v>0</v>
      </c>
      <c r="AG5356">
        <v>0</v>
      </c>
      <c r="AH5356">
        <v>0</v>
      </c>
      <c r="AI5356">
        <v>71.540000000000006</v>
      </c>
      <c r="AJ5356">
        <v>397.42</v>
      </c>
      <c r="AK5356">
        <v>397.42</v>
      </c>
      <c r="AL5356" t="s">
        <v>53</v>
      </c>
      <c r="AM5356" t="s">
        <v>53</v>
      </c>
      <c r="AN5356" t="s">
        <v>9487</v>
      </c>
      <c r="AO5356" t="s">
        <v>53</v>
      </c>
      <c r="AP5356" t="s">
        <v>53</v>
      </c>
    </row>
    <row r="5357" spans="2:42" x14ac:dyDescent="0.2">
      <c r="B5357" t="s">
        <v>44</v>
      </c>
      <c r="C5357" t="str">
        <f>HYPERLINK("https://us2.cloudbeds.com/connect/8493803454333002#/reservations/118943154475218?display=2XXT69E8ZH&amp;reservation_id=118943154475218", "2XXT69E8ZH")</f>
        <v>2XXT69E8ZH</v>
      </c>
      <c r="D5357" t="s">
        <v>45</v>
      </c>
      <c r="E5357" t="s">
        <v>373</v>
      </c>
      <c r="F5357" t="s">
        <v>47</v>
      </c>
      <c r="G5357" t="s">
        <v>48</v>
      </c>
      <c r="H5357" t="s">
        <v>3957</v>
      </c>
      <c r="I5357" t="s">
        <v>3958</v>
      </c>
      <c r="J5357" t="s">
        <v>7352</v>
      </c>
      <c r="K5357" t="s">
        <v>7510</v>
      </c>
      <c r="L5357" t="s">
        <v>53</v>
      </c>
      <c r="P5357" t="s">
        <v>55</v>
      </c>
      <c r="R5357" t="s">
        <v>56</v>
      </c>
      <c r="T5357" t="s">
        <v>9488</v>
      </c>
      <c r="U5357" t="s">
        <v>58</v>
      </c>
      <c r="V5357">
        <v>1</v>
      </c>
      <c r="W5357">
        <v>1</v>
      </c>
      <c r="X5357">
        <v>1</v>
      </c>
      <c r="Y5357">
        <v>0</v>
      </c>
      <c r="Z5357">
        <v>1</v>
      </c>
      <c r="AA5357">
        <v>164.8</v>
      </c>
      <c r="AB5357">
        <v>164.8</v>
      </c>
      <c r="AC5357">
        <v>145</v>
      </c>
      <c r="AD5357">
        <v>0</v>
      </c>
      <c r="AE5357">
        <v>19.8</v>
      </c>
      <c r="AF5357">
        <v>0</v>
      </c>
      <c r="AG5357">
        <v>0</v>
      </c>
      <c r="AH5357">
        <v>0</v>
      </c>
      <c r="AI5357">
        <v>0</v>
      </c>
      <c r="AJ5357">
        <v>164.8</v>
      </c>
      <c r="AK5357">
        <v>0</v>
      </c>
      <c r="AL5357" t="s">
        <v>53</v>
      </c>
      <c r="AM5357" t="s">
        <v>53</v>
      </c>
      <c r="AN5357" t="s">
        <v>53</v>
      </c>
      <c r="AO5357" t="s">
        <v>53</v>
      </c>
      <c r="AP5357" t="s">
        <v>53</v>
      </c>
    </row>
    <row r="5358" spans="2:42" x14ac:dyDescent="0.2">
      <c r="B5358" t="s">
        <v>44</v>
      </c>
      <c r="C5358" t="str">
        <f>HYPERLINK("https://us2.cloudbeds.com/connect/8493803454333002#/reservations/9080486846253722?display=2XJ4UT9C4H&amp;reservation_id=9080486846253722", "2XJ4UT9C4H")</f>
        <v>2XJ4UT9C4H</v>
      </c>
      <c r="D5358" t="s">
        <v>45</v>
      </c>
      <c r="E5358" t="s">
        <v>105</v>
      </c>
      <c r="F5358" t="s">
        <v>47</v>
      </c>
      <c r="G5358" t="s">
        <v>48</v>
      </c>
      <c r="H5358" t="s">
        <v>49</v>
      </c>
      <c r="I5358" t="s">
        <v>50</v>
      </c>
      <c r="J5358" t="s">
        <v>7353</v>
      </c>
      <c r="K5358" t="s">
        <v>8750</v>
      </c>
      <c r="L5358" t="s">
        <v>53</v>
      </c>
      <c r="N5358" t="s">
        <v>9489</v>
      </c>
      <c r="P5358" t="s">
        <v>55</v>
      </c>
      <c r="R5358" t="s">
        <v>53</v>
      </c>
      <c r="T5358" t="s">
        <v>9490</v>
      </c>
      <c r="U5358" t="s">
        <v>58</v>
      </c>
      <c r="V5358">
        <v>1</v>
      </c>
      <c r="W5358">
        <v>1</v>
      </c>
      <c r="X5358">
        <v>2</v>
      </c>
      <c r="Y5358">
        <v>0</v>
      </c>
      <c r="Z5358">
        <v>2</v>
      </c>
      <c r="AA5358">
        <v>189.23</v>
      </c>
      <c r="AB5358">
        <v>189.23</v>
      </c>
      <c r="AC5358">
        <v>166.5</v>
      </c>
      <c r="AD5358">
        <v>0</v>
      </c>
      <c r="AE5358">
        <v>22.73</v>
      </c>
      <c r="AF5358">
        <v>0</v>
      </c>
      <c r="AG5358">
        <v>0</v>
      </c>
      <c r="AH5358">
        <v>0</v>
      </c>
      <c r="AI5358">
        <v>34.06</v>
      </c>
      <c r="AJ5358">
        <v>189.23</v>
      </c>
      <c r="AK5358">
        <v>0</v>
      </c>
      <c r="AL5358" t="s">
        <v>53</v>
      </c>
      <c r="AM5358" t="s">
        <v>53</v>
      </c>
      <c r="AN5358" t="s">
        <v>53</v>
      </c>
      <c r="AO5358" t="s">
        <v>53</v>
      </c>
      <c r="AP5358" t="s">
        <v>53</v>
      </c>
    </row>
    <row r="5359" spans="2:42" x14ac:dyDescent="0.2">
      <c r="B5359" t="s">
        <v>44</v>
      </c>
      <c r="C5359" t="str">
        <f>HYPERLINK("https://us2.cloudbeds.com/connect/8493803454333002#/reservations/9080486846253776?display=2XJ7H4XQVR&amp;reservation_id=9080486846253776", "2XJ7H4XQVR")</f>
        <v>2XJ7H4XQVR</v>
      </c>
      <c r="D5359" t="s">
        <v>45</v>
      </c>
      <c r="E5359" t="s">
        <v>110</v>
      </c>
      <c r="F5359" t="s">
        <v>47</v>
      </c>
      <c r="G5359" t="s">
        <v>48</v>
      </c>
      <c r="H5359" t="s">
        <v>49</v>
      </c>
      <c r="I5359" t="s">
        <v>62</v>
      </c>
      <c r="J5359" t="s">
        <v>5403</v>
      </c>
      <c r="K5359" t="s">
        <v>5905</v>
      </c>
      <c r="L5359" t="s">
        <v>53</v>
      </c>
      <c r="N5359" t="s">
        <v>9491</v>
      </c>
      <c r="P5359" t="s">
        <v>55</v>
      </c>
      <c r="R5359" t="s">
        <v>56</v>
      </c>
      <c r="T5359" t="s">
        <v>9492</v>
      </c>
      <c r="U5359" t="s">
        <v>55</v>
      </c>
      <c r="V5359">
        <v>1</v>
      </c>
      <c r="W5359">
        <v>1</v>
      </c>
      <c r="X5359">
        <v>1</v>
      </c>
      <c r="Y5359">
        <v>0</v>
      </c>
      <c r="Z5359">
        <v>1</v>
      </c>
      <c r="AA5359">
        <v>183.35</v>
      </c>
      <c r="AB5359">
        <v>183.35</v>
      </c>
      <c r="AC5359">
        <v>183.35</v>
      </c>
      <c r="AD5359">
        <v>0</v>
      </c>
      <c r="AE5359">
        <v>0</v>
      </c>
      <c r="AF5359">
        <v>0</v>
      </c>
      <c r="AG5359">
        <v>0</v>
      </c>
      <c r="AH5359">
        <v>0</v>
      </c>
      <c r="AI5359">
        <v>33</v>
      </c>
      <c r="AJ5359">
        <v>183.35</v>
      </c>
      <c r="AK5359">
        <v>0</v>
      </c>
      <c r="AL5359" t="s">
        <v>53</v>
      </c>
      <c r="AM5359" t="s">
        <v>53</v>
      </c>
      <c r="AN5359" t="s">
        <v>53</v>
      </c>
      <c r="AO5359" t="s">
        <v>53</v>
      </c>
      <c r="AP5359" t="s">
        <v>53</v>
      </c>
    </row>
    <row r="5360" spans="2:42" x14ac:dyDescent="0.2">
      <c r="B5360" t="s">
        <v>44</v>
      </c>
      <c r="C5360" t="str">
        <f>HYPERLINK("https://us2.cloudbeds.com/connect/8493803454333002#/reservations/9080486846253855?display=2XJCG2W7CB&amp;reservation_id=9080486846253855", "2XJCG2W7CB")</f>
        <v>2XJCG2W7CB</v>
      </c>
      <c r="D5360" t="s">
        <v>45</v>
      </c>
      <c r="E5360" t="s">
        <v>46</v>
      </c>
      <c r="F5360" t="s">
        <v>47</v>
      </c>
      <c r="G5360" t="s">
        <v>48</v>
      </c>
      <c r="H5360" t="s">
        <v>49</v>
      </c>
      <c r="I5360" t="s">
        <v>50</v>
      </c>
      <c r="J5360" t="s">
        <v>7510</v>
      </c>
      <c r="K5360" t="s">
        <v>8750</v>
      </c>
      <c r="L5360" t="s">
        <v>53</v>
      </c>
      <c r="N5360" t="s">
        <v>9493</v>
      </c>
      <c r="P5360" t="s">
        <v>55</v>
      </c>
      <c r="R5360" t="s">
        <v>53</v>
      </c>
      <c r="T5360" t="s">
        <v>9494</v>
      </c>
      <c r="U5360" t="s">
        <v>58</v>
      </c>
      <c r="V5360">
        <v>2</v>
      </c>
      <c r="W5360">
        <v>1</v>
      </c>
      <c r="X5360">
        <v>2</v>
      </c>
      <c r="Y5360">
        <v>0</v>
      </c>
      <c r="Z5360">
        <v>2</v>
      </c>
      <c r="AA5360">
        <v>324.26</v>
      </c>
      <c r="AB5360">
        <v>324.26</v>
      </c>
      <c r="AC5360">
        <v>285.3</v>
      </c>
      <c r="AD5360">
        <v>0</v>
      </c>
      <c r="AE5360">
        <v>38.96</v>
      </c>
      <c r="AF5360">
        <v>0</v>
      </c>
      <c r="AG5360">
        <v>0</v>
      </c>
      <c r="AH5360">
        <v>0</v>
      </c>
      <c r="AI5360">
        <v>58.37</v>
      </c>
      <c r="AJ5360">
        <v>324.26</v>
      </c>
      <c r="AK5360">
        <v>0</v>
      </c>
      <c r="AL5360" t="s">
        <v>53</v>
      </c>
      <c r="AM5360" t="s">
        <v>53</v>
      </c>
      <c r="AN5360" t="s">
        <v>53</v>
      </c>
      <c r="AO5360" t="s">
        <v>53</v>
      </c>
      <c r="AP5360" t="s">
        <v>53</v>
      </c>
    </row>
    <row r="5361" spans="2:42" x14ac:dyDescent="0.2">
      <c r="B5361" t="s">
        <v>44</v>
      </c>
      <c r="C5361" t="str">
        <f>HYPERLINK("https://us2.cloudbeds.com/connect/8493803454333002#/reservations/9080486846253871?display=2XJD5AFMX2&amp;reservation_id=9080486846253871", "2XJD5AFMX2")</f>
        <v>2XJD5AFMX2</v>
      </c>
      <c r="D5361" t="s">
        <v>45</v>
      </c>
      <c r="E5361" t="s">
        <v>406</v>
      </c>
      <c r="F5361" t="s">
        <v>61</v>
      </c>
      <c r="G5361" t="s">
        <v>48</v>
      </c>
      <c r="H5361" t="s">
        <v>49</v>
      </c>
      <c r="I5361" t="s">
        <v>50</v>
      </c>
      <c r="J5361" t="s">
        <v>7352</v>
      </c>
      <c r="K5361" t="s">
        <v>7510</v>
      </c>
      <c r="L5361" t="s">
        <v>53</v>
      </c>
      <c r="N5361" t="s">
        <v>9495</v>
      </c>
      <c r="P5361" t="s">
        <v>55</v>
      </c>
      <c r="R5361" t="s">
        <v>53</v>
      </c>
      <c r="T5361" t="s">
        <v>9496</v>
      </c>
      <c r="U5361" t="s">
        <v>58</v>
      </c>
      <c r="V5361">
        <v>1</v>
      </c>
      <c r="W5361">
        <v>1</v>
      </c>
      <c r="X5361">
        <v>2</v>
      </c>
      <c r="Y5361">
        <v>0</v>
      </c>
      <c r="Z5361">
        <v>2</v>
      </c>
      <c r="AA5361">
        <v>157.52000000000001</v>
      </c>
      <c r="AB5361">
        <v>157.52000000000001</v>
      </c>
      <c r="AC5361">
        <v>138.6</v>
      </c>
      <c r="AD5361">
        <v>0</v>
      </c>
      <c r="AE5361">
        <v>18.920000000000002</v>
      </c>
      <c r="AF5361">
        <v>0</v>
      </c>
      <c r="AG5361">
        <v>0</v>
      </c>
      <c r="AH5361">
        <v>0</v>
      </c>
      <c r="AI5361">
        <v>28.35</v>
      </c>
      <c r="AJ5361">
        <v>157.52000000000001</v>
      </c>
      <c r="AK5361">
        <v>0</v>
      </c>
      <c r="AL5361" t="s">
        <v>53</v>
      </c>
      <c r="AM5361" t="s">
        <v>53</v>
      </c>
      <c r="AN5361" t="s">
        <v>53</v>
      </c>
      <c r="AO5361" t="s">
        <v>53</v>
      </c>
      <c r="AP5361" t="s">
        <v>53</v>
      </c>
    </row>
    <row r="5362" spans="2:42" x14ac:dyDescent="0.2">
      <c r="B5362" t="s">
        <v>44</v>
      </c>
      <c r="C5362" t="str">
        <f>HYPERLINK("https://us2.cloudbeds.com/connect/8493803454333002#/reservations/118967879414013?display=2XJFB254E2&amp;reservation_id=118967879414013", "2XJFB254E2")</f>
        <v>2XJFB254E2</v>
      </c>
      <c r="D5362" t="s">
        <v>45</v>
      </c>
      <c r="E5362" t="s">
        <v>305</v>
      </c>
      <c r="F5362" t="s">
        <v>61</v>
      </c>
      <c r="G5362" t="s">
        <v>48</v>
      </c>
      <c r="H5362" t="s">
        <v>3957</v>
      </c>
      <c r="I5362" t="s">
        <v>3958</v>
      </c>
      <c r="J5362" t="s">
        <v>7352</v>
      </c>
      <c r="K5362" t="s">
        <v>7510</v>
      </c>
      <c r="L5362" t="s">
        <v>53</v>
      </c>
      <c r="P5362" t="s">
        <v>55</v>
      </c>
      <c r="R5362" t="s">
        <v>56</v>
      </c>
      <c r="T5362" t="s">
        <v>9497</v>
      </c>
      <c r="U5362" t="s">
        <v>58</v>
      </c>
      <c r="V5362">
        <v>1</v>
      </c>
      <c r="W5362">
        <v>1</v>
      </c>
      <c r="X5362">
        <v>1</v>
      </c>
      <c r="Y5362">
        <v>0</v>
      </c>
      <c r="Z5362">
        <v>1</v>
      </c>
      <c r="AA5362">
        <v>175.03</v>
      </c>
      <c r="AB5362">
        <v>175.03</v>
      </c>
      <c r="AC5362">
        <v>154</v>
      </c>
      <c r="AD5362">
        <v>0</v>
      </c>
      <c r="AE5362">
        <v>21.03</v>
      </c>
      <c r="AF5362">
        <v>0</v>
      </c>
      <c r="AG5362">
        <v>0</v>
      </c>
      <c r="AH5362">
        <v>0</v>
      </c>
      <c r="AI5362">
        <v>0</v>
      </c>
      <c r="AJ5362">
        <v>175.03</v>
      </c>
      <c r="AK5362">
        <v>0</v>
      </c>
      <c r="AL5362" t="s">
        <v>53</v>
      </c>
      <c r="AM5362" t="s">
        <v>53</v>
      </c>
      <c r="AN5362" t="s">
        <v>53</v>
      </c>
      <c r="AO5362" t="s">
        <v>53</v>
      </c>
      <c r="AP5362" t="s">
        <v>53</v>
      </c>
    </row>
    <row r="5363" spans="2:42" x14ac:dyDescent="0.2">
      <c r="B5363" t="s">
        <v>44</v>
      </c>
      <c r="C5363" t="str">
        <f>HYPERLINK("https://us2.cloudbeds.com/connect/8493803454333002#/reservations/9080486846254092?display=2XJPAZTZBA&amp;reservation_id=9080486846254092", "2XJPAZTZBA")</f>
        <v>2XJPAZTZBA</v>
      </c>
      <c r="D5363" t="s">
        <v>45</v>
      </c>
      <c r="E5363" t="s">
        <v>213</v>
      </c>
      <c r="F5363" t="s">
        <v>86</v>
      </c>
      <c r="G5363" t="s">
        <v>48</v>
      </c>
      <c r="H5363" t="s">
        <v>49</v>
      </c>
      <c r="I5363" t="s">
        <v>50</v>
      </c>
      <c r="J5363" t="s">
        <v>8300</v>
      </c>
      <c r="K5363" t="s">
        <v>8119</v>
      </c>
      <c r="L5363" t="s">
        <v>53</v>
      </c>
      <c r="N5363" t="s">
        <v>9498</v>
      </c>
      <c r="P5363" t="s">
        <v>55</v>
      </c>
      <c r="R5363" t="s">
        <v>53</v>
      </c>
      <c r="T5363" t="s">
        <v>9499</v>
      </c>
      <c r="U5363" t="s">
        <v>58</v>
      </c>
      <c r="V5363">
        <v>1</v>
      </c>
      <c r="W5363">
        <v>1</v>
      </c>
      <c r="X5363">
        <v>3</v>
      </c>
      <c r="Y5363">
        <v>0</v>
      </c>
      <c r="Z5363">
        <v>3</v>
      </c>
      <c r="AA5363">
        <v>177.97</v>
      </c>
      <c r="AB5363">
        <v>177.97</v>
      </c>
      <c r="AC5363">
        <v>156.6</v>
      </c>
      <c r="AD5363">
        <v>0</v>
      </c>
      <c r="AE5363">
        <v>21.37</v>
      </c>
      <c r="AF5363">
        <v>0</v>
      </c>
      <c r="AG5363">
        <v>0</v>
      </c>
      <c r="AH5363">
        <v>0</v>
      </c>
      <c r="AI5363">
        <v>32.03</v>
      </c>
      <c r="AJ5363">
        <v>177.97</v>
      </c>
      <c r="AK5363">
        <v>0</v>
      </c>
      <c r="AL5363" t="s">
        <v>53</v>
      </c>
      <c r="AM5363" t="s">
        <v>53</v>
      </c>
      <c r="AN5363" t="s">
        <v>9500</v>
      </c>
      <c r="AO5363" t="s">
        <v>53</v>
      </c>
      <c r="AP5363" t="s">
        <v>53</v>
      </c>
    </row>
    <row r="5364" spans="2:42" x14ac:dyDescent="0.2">
      <c r="B5364" t="s">
        <v>44</v>
      </c>
      <c r="C5364" t="str">
        <f>HYPERLINK("https://us2.cloudbeds.com/connect/8493803454333002#/reservations/118983806378141?display=2XJRM16CRM&amp;reservation_id=118983806378141", "2XJRM16CRM")</f>
        <v>2XJRM16CRM</v>
      </c>
      <c r="D5364" t="s">
        <v>45</v>
      </c>
      <c r="E5364" t="s">
        <v>406</v>
      </c>
      <c r="F5364" t="s">
        <v>61</v>
      </c>
      <c r="G5364" t="s">
        <v>48</v>
      </c>
      <c r="H5364" t="s">
        <v>3957</v>
      </c>
      <c r="I5364" t="s">
        <v>3975</v>
      </c>
      <c r="J5364" t="s">
        <v>7925</v>
      </c>
      <c r="K5364" t="s">
        <v>8261</v>
      </c>
      <c r="L5364" t="s">
        <v>53</v>
      </c>
      <c r="P5364" t="s">
        <v>55</v>
      </c>
      <c r="R5364" t="s">
        <v>53</v>
      </c>
      <c r="T5364" t="s">
        <v>9501</v>
      </c>
      <c r="U5364" t="s">
        <v>58</v>
      </c>
      <c r="V5364">
        <v>5</v>
      </c>
      <c r="W5364">
        <v>1</v>
      </c>
      <c r="X5364">
        <v>2</v>
      </c>
      <c r="Y5364">
        <v>0</v>
      </c>
      <c r="Z5364">
        <v>2</v>
      </c>
      <c r="AA5364">
        <v>927.39</v>
      </c>
      <c r="AB5364">
        <v>927.39</v>
      </c>
      <c r="AC5364">
        <v>816</v>
      </c>
      <c r="AD5364">
        <v>0</v>
      </c>
      <c r="AE5364">
        <v>111.39</v>
      </c>
      <c r="AF5364">
        <v>0</v>
      </c>
      <c r="AG5364">
        <v>0</v>
      </c>
      <c r="AH5364">
        <v>0</v>
      </c>
      <c r="AI5364">
        <v>0</v>
      </c>
      <c r="AJ5364">
        <v>927.39</v>
      </c>
      <c r="AK5364">
        <v>0</v>
      </c>
      <c r="AL5364" t="s">
        <v>53</v>
      </c>
      <c r="AM5364" t="s">
        <v>53</v>
      </c>
      <c r="AN5364" t="s">
        <v>53</v>
      </c>
      <c r="AO5364" t="s">
        <v>53</v>
      </c>
      <c r="AP5364" t="s">
        <v>53</v>
      </c>
    </row>
    <row r="5365" spans="2:42" x14ac:dyDescent="0.2">
      <c r="B5365" t="s">
        <v>44</v>
      </c>
      <c r="C5365" t="str">
        <f>HYPERLINK("https://us2.cloudbeds.com/connect/8493803454333002#/reservations/9080486846254182?display=2XJTZCWHW9&amp;reservation_id=9080486846254182", "2XJTZCWHW9")</f>
        <v>2XJTZCWHW9</v>
      </c>
      <c r="D5365" t="s">
        <v>45</v>
      </c>
      <c r="E5365" t="s">
        <v>381</v>
      </c>
      <c r="F5365" t="s">
        <v>47</v>
      </c>
      <c r="G5365" t="s">
        <v>48</v>
      </c>
      <c r="H5365" t="s">
        <v>49</v>
      </c>
      <c r="I5365" t="s">
        <v>50</v>
      </c>
      <c r="J5365" t="s">
        <v>7510</v>
      </c>
      <c r="K5365" t="s">
        <v>8750</v>
      </c>
      <c r="L5365" t="s">
        <v>53</v>
      </c>
      <c r="N5365" t="s">
        <v>9502</v>
      </c>
      <c r="P5365" t="s">
        <v>55</v>
      </c>
      <c r="R5365" t="s">
        <v>53</v>
      </c>
      <c r="T5365" t="s">
        <v>9503</v>
      </c>
      <c r="U5365" t="s">
        <v>58</v>
      </c>
      <c r="V5365">
        <v>2</v>
      </c>
      <c r="W5365">
        <v>1</v>
      </c>
      <c r="X5365">
        <v>1</v>
      </c>
      <c r="Y5365">
        <v>0</v>
      </c>
      <c r="Z5365">
        <v>1</v>
      </c>
      <c r="AA5365">
        <v>324.26</v>
      </c>
      <c r="AB5365">
        <v>324.26</v>
      </c>
      <c r="AC5365">
        <v>285.3</v>
      </c>
      <c r="AD5365">
        <v>0</v>
      </c>
      <c r="AE5365">
        <v>38.96</v>
      </c>
      <c r="AF5365">
        <v>0</v>
      </c>
      <c r="AG5365">
        <v>0</v>
      </c>
      <c r="AH5365">
        <v>0</v>
      </c>
      <c r="AI5365">
        <v>58.37</v>
      </c>
      <c r="AJ5365">
        <v>324.26</v>
      </c>
      <c r="AK5365">
        <v>0</v>
      </c>
      <c r="AL5365" t="s">
        <v>53</v>
      </c>
      <c r="AM5365" t="s">
        <v>53</v>
      </c>
      <c r="AN5365" t="s">
        <v>53</v>
      </c>
      <c r="AO5365" t="s">
        <v>53</v>
      </c>
      <c r="AP5365" t="s">
        <v>53</v>
      </c>
    </row>
    <row r="5366" spans="2:42" x14ac:dyDescent="0.2">
      <c r="B5366" t="s">
        <v>44</v>
      </c>
      <c r="C5366" t="str">
        <f>HYPERLINK("https://us2.cloudbeds.com/connect/8493803454333002#/reservations/9080486846254233?display=2XJVWW3HJ9&amp;reservation_id=9080486846254233", "2XJVWW3HJ9")</f>
        <v>2XJVWW3HJ9</v>
      </c>
      <c r="D5366" t="s">
        <v>45</v>
      </c>
      <c r="E5366" t="s">
        <v>128</v>
      </c>
      <c r="F5366" t="s">
        <v>86</v>
      </c>
      <c r="G5366" t="s">
        <v>48</v>
      </c>
      <c r="H5366" t="s">
        <v>49</v>
      </c>
      <c r="I5366" t="s">
        <v>50</v>
      </c>
      <c r="J5366" t="s">
        <v>7510</v>
      </c>
      <c r="K5366" t="s">
        <v>7353</v>
      </c>
      <c r="L5366" t="s">
        <v>53</v>
      </c>
      <c r="N5366" t="s">
        <v>9504</v>
      </c>
      <c r="P5366" t="s">
        <v>55</v>
      </c>
      <c r="R5366" t="s">
        <v>53</v>
      </c>
      <c r="T5366" t="s">
        <v>9505</v>
      </c>
      <c r="U5366" t="s">
        <v>58</v>
      </c>
      <c r="V5366">
        <v>1</v>
      </c>
      <c r="W5366">
        <v>1</v>
      </c>
      <c r="X5366">
        <v>2</v>
      </c>
      <c r="Y5366">
        <v>0</v>
      </c>
      <c r="Z5366">
        <v>2</v>
      </c>
      <c r="AA5366">
        <v>152.4</v>
      </c>
      <c r="AB5366">
        <v>152.4</v>
      </c>
      <c r="AC5366">
        <v>134.1</v>
      </c>
      <c r="AD5366">
        <v>0</v>
      </c>
      <c r="AE5366">
        <v>18.3</v>
      </c>
      <c r="AF5366">
        <v>0</v>
      </c>
      <c r="AG5366">
        <v>0</v>
      </c>
      <c r="AH5366">
        <v>0</v>
      </c>
      <c r="AI5366">
        <v>27.43</v>
      </c>
      <c r="AJ5366">
        <v>152.4</v>
      </c>
      <c r="AK5366">
        <v>0</v>
      </c>
      <c r="AL5366" t="s">
        <v>53</v>
      </c>
      <c r="AM5366" t="s">
        <v>53</v>
      </c>
      <c r="AN5366" t="s">
        <v>53</v>
      </c>
      <c r="AO5366" t="s">
        <v>53</v>
      </c>
      <c r="AP5366" t="s">
        <v>53</v>
      </c>
    </row>
    <row r="5367" spans="2:42" x14ac:dyDescent="0.2">
      <c r="B5367" t="s">
        <v>44</v>
      </c>
      <c r="C5367" t="str">
        <f>HYPERLINK("https://us2.cloudbeds.com/connect/8493803454333002#/reservations/9080486846254577?display=2XKJVF109E&amp;reservation_id=9080486846254577", "2XKJVF109E")</f>
        <v>2XKJVF109E</v>
      </c>
      <c r="D5367" t="s">
        <v>45</v>
      </c>
      <c r="E5367" t="s">
        <v>190</v>
      </c>
      <c r="F5367" t="s">
        <v>61</v>
      </c>
      <c r="G5367" t="s">
        <v>48</v>
      </c>
      <c r="H5367" t="s">
        <v>49</v>
      </c>
      <c r="I5367" t="s">
        <v>50</v>
      </c>
      <c r="J5367" t="s">
        <v>7829</v>
      </c>
      <c r="K5367" t="s">
        <v>7905</v>
      </c>
      <c r="L5367" t="s">
        <v>53</v>
      </c>
      <c r="N5367" t="s">
        <v>9506</v>
      </c>
      <c r="P5367" t="s">
        <v>55</v>
      </c>
      <c r="R5367" t="s">
        <v>53</v>
      </c>
      <c r="T5367" t="s">
        <v>9507</v>
      </c>
      <c r="U5367" t="s">
        <v>58</v>
      </c>
      <c r="V5367">
        <v>2</v>
      </c>
      <c r="W5367">
        <v>1</v>
      </c>
      <c r="X5367">
        <v>2</v>
      </c>
      <c r="Y5367">
        <v>0</v>
      </c>
      <c r="Z5367">
        <v>2</v>
      </c>
      <c r="AA5367">
        <v>330.39</v>
      </c>
      <c r="AB5367">
        <v>330.39</v>
      </c>
      <c r="AC5367">
        <v>290.7</v>
      </c>
      <c r="AD5367">
        <v>0</v>
      </c>
      <c r="AE5367">
        <v>39.69</v>
      </c>
      <c r="AF5367">
        <v>0</v>
      </c>
      <c r="AG5367">
        <v>0</v>
      </c>
      <c r="AH5367">
        <v>0</v>
      </c>
      <c r="AI5367">
        <v>59.47</v>
      </c>
      <c r="AJ5367">
        <v>330.39</v>
      </c>
      <c r="AK5367">
        <v>0</v>
      </c>
      <c r="AL5367" t="s">
        <v>53</v>
      </c>
      <c r="AM5367" t="s">
        <v>53</v>
      </c>
      <c r="AN5367" t="s">
        <v>9508</v>
      </c>
      <c r="AO5367" t="s">
        <v>53</v>
      </c>
      <c r="AP5367" t="s">
        <v>53</v>
      </c>
    </row>
    <row r="5368" spans="2:42" x14ac:dyDescent="0.2">
      <c r="B5368" t="s">
        <v>44</v>
      </c>
      <c r="C5368" t="str">
        <f>HYPERLINK("https://us2.cloudbeds.com/connect/8493803454333002#/reservations/119033721090203?display=2XY0AFJRES&amp;reservation_id=119033721090203", "2XY0AFJRES")</f>
        <v>2XY0AFJRES</v>
      </c>
      <c r="D5368" t="s">
        <v>45</v>
      </c>
      <c r="E5368" t="s">
        <v>128</v>
      </c>
      <c r="F5368" t="s">
        <v>86</v>
      </c>
      <c r="G5368" t="s">
        <v>48</v>
      </c>
      <c r="H5368" t="s">
        <v>3957</v>
      </c>
      <c r="I5368" t="s">
        <v>3975</v>
      </c>
      <c r="J5368" t="s">
        <v>6374</v>
      </c>
      <c r="K5368" t="s">
        <v>7829</v>
      </c>
      <c r="L5368" t="s">
        <v>53</v>
      </c>
      <c r="P5368" t="s">
        <v>55</v>
      </c>
      <c r="R5368" t="s">
        <v>53</v>
      </c>
      <c r="T5368" t="s">
        <v>9509</v>
      </c>
      <c r="U5368" t="s">
        <v>58</v>
      </c>
      <c r="V5368">
        <v>1</v>
      </c>
      <c r="W5368">
        <v>1</v>
      </c>
      <c r="X5368">
        <v>2</v>
      </c>
      <c r="Y5368">
        <v>1</v>
      </c>
      <c r="Z5368">
        <v>3</v>
      </c>
      <c r="AA5368">
        <v>193.21</v>
      </c>
      <c r="AB5368">
        <v>193.21</v>
      </c>
      <c r="AC5368">
        <v>170</v>
      </c>
      <c r="AD5368">
        <v>0</v>
      </c>
      <c r="AE5368">
        <v>23.21</v>
      </c>
      <c r="AF5368">
        <v>0</v>
      </c>
      <c r="AG5368">
        <v>0</v>
      </c>
      <c r="AH5368">
        <v>0</v>
      </c>
      <c r="AI5368">
        <v>0</v>
      </c>
      <c r="AJ5368">
        <v>193.21</v>
      </c>
      <c r="AK5368">
        <v>0</v>
      </c>
      <c r="AL5368" t="s">
        <v>53</v>
      </c>
      <c r="AM5368" t="s">
        <v>53</v>
      </c>
      <c r="AN5368" t="s">
        <v>53</v>
      </c>
      <c r="AO5368" t="s">
        <v>53</v>
      </c>
      <c r="AP5368" t="s">
        <v>53</v>
      </c>
    </row>
    <row r="5369" spans="2:42" x14ac:dyDescent="0.2">
      <c r="B5369" t="s">
        <v>44</v>
      </c>
      <c r="C5369" t="str">
        <f>HYPERLINK("https://us2.cloudbeds.com/connect/8493803454333002#/reservations/119135134810338?display=2XNCRRB2V8&amp;reservation_id=119135134810338", "2XNCRRB2V8")</f>
        <v>2XNCRRB2V8</v>
      </c>
      <c r="D5369" t="s">
        <v>45</v>
      </c>
      <c r="E5369" t="s">
        <v>9510</v>
      </c>
      <c r="F5369" t="s">
        <v>5257</v>
      </c>
      <c r="G5369" t="s">
        <v>4520</v>
      </c>
      <c r="H5369" t="s">
        <v>3957</v>
      </c>
      <c r="I5369" t="s">
        <v>3958</v>
      </c>
      <c r="J5369" t="s">
        <v>7510</v>
      </c>
      <c r="K5369" t="s">
        <v>7353</v>
      </c>
      <c r="L5369" t="s">
        <v>53</v>
      </c>
      <c r="P5369" t="s">
        <v>55</v>
      </c>
      <c r="R5369" t="s">
        <v>56</v>
      </c>
      <c r="T5369" t="s">
        <v>9511</v>
      </c>
      <c r="U5369" t="s">
        <v>58</v>
      </c>
      <c r="V5369">
        <v>2</v>
      </c>
      <c r="W5369">
        <v>2</v>
      </c>
      <c r="X5369">
        <v>2</v>
      </c>
      <c r="Y5369">
        <v>0</v>
      </c>
      <c r="Z5369">
        <v>2</v>
      </c>
      <c r="AA5369">
        <v>328.34</v>
      </c>
      <c r="AB5369">
        <v>328.34</v>
      </c>
      <c r="AC5369">
        <v>288.89999999999998</v>
      </c>
      <c r="AD5369">
        <v>0</v>
      </c>
      <c r="AE5369">
        <v>39.44</v>
      </c>
      <c r="AF5369">
        <v>0</v>
      </c>
      <c r="AG5369">
        <v>0</v>
      </c>
      <c r="AH5369">
        <v>0</v>
      </c>
      <c r="AI5369">
        <v>0</v>
      </c>
      <c r="AJ5369">
        <v>328.34</v>
      </c>
      <c r="AK5369">
        <v>0</v>
      </c>
      <c r="AL5369" t="s">
        <v>53</v>
      </c>
      <c r="AM5369" t="s">
        <v>53</v>
      </c>
      <c r="AN5369" t="s">
        <v>53</v>
      </c>
      <c r="AO5369" t="s">
        <v>53</v>
      </c>
      <c r="AP5369" t="s">
        <v>53</v>
      </c>
    </row>
    <row r="5370" spans="2:42" x14ac:dyDescent="0.2">
      <c r="B5370" t="s">
        <v>44</v>
      </c>
      <c r="C5370" t="str">
        <f>HYPERLINK("https://us2.cloudbeds.com/connect/8493803454333002#/reservations/119136704700561?display=2XNE1V3JP8&amp;reservation_id=119136704700561", "2XNE1V3JP8")</f>
        <v>2XNE1V3JP8</v>
      </c>
      <c r="D5370" t="s">
        <v>45</v>
      </c>
      <c r="E5370" t="s">
        <v>121</v>
      </c>
      <c r="F5370" t="s">
        <v>86</v>
      </c>
      <c r="G5370" t="s">
        <v>3974</v>
      </c>
      <c r="H5370" t="s">
        <v>3957</v>
      </c>
      <c r="I5370" t="s">
        <v>3975</v>
      </c>
      <c r="J5370" t="s">
        <v>7974</v>
      </c>
      <c r="K5370" t="s">
        <v>7975</v>
      </c>
      <c r="L5370" t="s">
        <v>53</v>
      </c>
      <c r="P5370" t="s">
        <v>55</v>
      </c>
      <c r="R5370" t="s">
        <v>53</v>
      </c>
      <c r="T5370" t="s">
        <v>9512</v>
      </c>
      <c r="U5370" t="s">
        <v>58</v>
      </c>
      <c r="V5370">
        <v>1</v>
      </c>
      <c r="W5370">
        <v>1</v>
      </c>
      <c r="X5370">
        <v>2</v>
      </c>
      <c r="Y5370">
        <v>2</v>
      </c>
      <c r="Z5370">
        <v>4</v>
      </c>
      <c r="AA5370">
        <v>192.18</v>
      </c>
      <c r="AB5370">
        <v>192.18</v>
      </c>
      <c r="AC5370">
        <v>169.1</v>
      </c>
      <c r="AD5370">
        <v>0</v>
      </c>
      <c r="AE5370">
        <v>23.08</v>
      </c>
      <c r="AF5370">
        <v>0</v>
      </c>
      <c r="AG5370">
        <v>0</v>
      </c>
      <c r="AH5370">
        <v>0</v>
      </c>
      <c r="AI5370">
        <v>0</v>
      </c>
      <c r="AJ5370">
        <v>192.18</v>
      </c>
      <c r="AK5370">
        <v>0</v>
      </c>
      <c r="AL5370" t="s">
        <v>53</v>
      </c>
      <c r="AM5370" t="s">
        <v>53</v>
      </c>
      <c r="AN5370" t="s">
        <v>53</v>
      </c>
      <c r="AO5370" t="s">
        <v>53</v>
      </c>
      <c r="AP5370" t="s">
        <v>53</v>
      </c>
    </row>
    <row r="5371" spans="2:42" x14ac:dyDescent="0.2">
      <c r="B5371" t="s">
        <v>44</v>
      </c>
      <c r="C5371" t="str">
        <f>HYPERLINK("https://us2.cloudbeds.com/connect/8493803454333002#/reservations/119231665754271?display=2XPYJDPTZE&amp;reservation_id=119231665754271", "2XPYJDPTZE")</f>
        <v>2XPYJDPTZE</v>
      </c>
      <c r="D5371" t="s">
        <v>45</v>
      </c>
      <c r="E5371" t="s">
        <v>406</v>
      </c>
      <c r="F5371" t="s">
        <v>61</v>
      </c>
      <c r="G5371" t="s">
        <v>48</v>
      </c>
      <c r="H5371" t="s">
        <v>3957</v>
      </c>
      <c r="I5371" t="s">
        <v>3975</v>
      </c>
      <c r="J5371" t="s">
        <v>6374</v>
      </c>
      <c r="K5371" t="s">
        <v>7830</v>
      </c>
      <c r="L5371" t="s">
        <v>53</v>
      </c>
      <c r="P5371" t="s">
        <v>55</v>
      </c>
      <c r="R5371" t="s">
        <v>53</v>
      </c>
      <c r="T5371" t="s">
        <v>9513</v>
      </c>
      <c r="U5371" t="s">
        <v>58</v>
      </c>
      <c r="V5371">
        <v>2</v>
      </c>
      <c r="W5371">
        <v>1</v>
      </c>
      <c r="X5371">
        <v>2</v>
      </c>
      <c r="Y5371">
        <v>0</v>
      </c>
      <c r="Z5371">
        <v>2</v>
      </c>
      <c r="AA5371">
        <v>380.74</v>
      </c>
      <c r="AB5371">
        <v>380.74</v>
      </c>
      <c r="AC5371">
        <v>335</v>
      </c>
      <c r="AD5371">
        <v>0</v>
      </c>
      <c r="AE5371">
        <v>45.74</v>
      </c>
      <c r="AF5371">
        <v>0</v>
      </c>
      <c r="AG5371">
        <v>0</v>
      </c>
      <c r="AH5371">
        <v>0</v>
      </c>
      <c r="AI5371">
        <v>0</v>
      </c>
      <c r="AJ5371">
        <v>380.74</v>
      </c>
      <c r="AK5371">
        <v>0</v>
      </c>
      <c r="AL5371" t="s">
        <v>53</v>
      </c>
      <c r="AM5371" t="s">
        <v>53</v>
      </c>
      <c r="AN5371" t="s">
        <v>53</v>
      </c>
      <c r="AO5371" t="s">
        <v>53</v>
      </c>
      <c r="AP5371" t="s">
        <v>53</v>
      </c>
    </row>
    <row r="5372" spans="2:42" x14ac:dyDescent="0.2">
      <c r="B5372" t="s">
        <v>44</v>
      </c>
      <c r="C5372" t="str">
        <f>HYPERLINK("https://us2.cloudbeds.com/connect/8493803454333002#/reservations/9080486846258914?display=2XPMJNH3ZM&amp;reservation_id=9080486846258914", "2XPMJNH3ZM")</f>
        <v>2XPMJNH3ZM</v>
      </c>
      <c r="D5372" t="s">
        <v>45</v>
      </c>
      <c r="E5372" t="s">
        <v>155</v>
      </c>
      <c r="F5372" t="s">
        <v>86</v>
      </c>
      <c r="G5372" t="s">
        <v>48</v>
      </c>
      <c r="H5372" t="s">
        <v>49</v>
      </c>
      <c r="I5372" t="s">
        <v>8964</v>
      </c>
      <c r="J5372" t="s">
        <v>7510</v>
      </c>
      <c r="K5372" t="s">
        <v>7353</v>
      </c>
      <c r="L5372" t="s">
        <v>53</v>
      </c>
      <c r="N5372" t="s">
        <v>9514</v>
      </c>
      <c r="P5372" t="s">
        <v>55</v>
      </c>
      <c r="R5372" t="s">
        <v>53</v>
      </c>
      <c r="T5372" t="s">
        <v>9515</v>
      </c>
      <c r="U5372" t="s">
        <v>58</v>
      </c>
      <c r="V5372">
        <v>1</v>
      </c>
      <c r="W5372">
        <v>1</v>
      </c>
      <c r="X5372">
        <v>1</v>
      </c>
      <c r="Y5372">
        <v>0</v>
      </c>
      <c r="Z5372">
        <v>1</v>
      </c>
      <c r="AA5372">
        <v>169</v>
      </c>
      <c r="AB5372">
        <v>0</v>
      </c>
      <c r="AC5372">
        <v>169</v>
      </c>
      <c r="AD5372">
        <v>0</v>
      </c>
      <c r="AE5372">
        <v>0</v>
      </c>
      <c r="AF5372">
        <v>0</v>
      </c>
      <c r="AG5372">
        <v>0</v>
      </c>
      <c r="AH5372">
        <v>0</v>
      </c>
      <c r="AI5372">
        <v>25.35</v>
      </c>
      <c r="AJ5372">
        <v>169</v>
      </c>
      <c r="AK5372">
        <v>169</v>
      </c>
      <c r="AL5372" t="s">
        <v>53</v>
      </c>
      <c r="AM5372" t="s">
        <v>53</v>
      </c>
      <c r="AN5372" t="s">
        <v>9516</v>
      </c>
      <c r="AO5372" t="s">
        <v>53</v>
      </c>
      <c r="AP5372" t="s">
        <v>53</v>
      </c>
    </row>
    <row r="5373" spans="2:42" x14ac:dyDescent="0.2">
      <c r="B5373" t="s">
        <v>44</v>
      </c>
      <c r="C5373" t="str">
        <f>HYPERLINK("https://us2.cloudbeds.com/connect/8493803454333002#/reservations/9080486846258915?display=2XPMJVFG3R&amp;reservation_id=9080486846258915", "2XPMJVFG3R")</f>
        <v>2XPMJVFG3R</v>
      </c>
      <c r="D5373" t="s">
        <v>45</v>
      </c>
      <c r="E5373" t="s">
        <v>98</v>
      </c>
      <c r="F5373" t="s">
        <v>86</v>
      </c>
      <c r="G5373" t="s">
        <v>48</v>
      </c>
      <c r="H5373" t="s">
        <v>49</v>
      </c>
      <c r="I5373" t="s">
        <v>8964</v>
      </c>
      <c r="J5373" t="s">
        <v>7510</v>
      </c>
      <c r="K5373" t="s">
        <v>7353</v>
      </c>
      <c r="L5373" t="s">
        <v>53</v>
      </c>
      <c r="N5373" t="s">
        <v>9517</v>
      </c>
      <c r="P5373" t="s">
        <v>55</v>
      </c>
      <c r="R5373" t="s">
        <v>53</v>
      </c>
      <c r="T5373" t="s">
        <v>9518</v>
      </c>
      <c r="U5373" t="s">
        <v>58</v>
      </c>
      <c r="V5373">
        <v>1</v>
      </c>
      <c r="W5373">
        <v>1</v>
      </c>
      <c r="X5373">
        <v>1</v>
      </c>
      <c r="Y5373">
        <v>0</v>
      </c>
      <c r="Z5373">
        <v>1</v>
      </c>
      <c r="AA5373">
        <v>169</v>
      </c>
      <c r="AB5373">
        <v>0</v>
      </c>
      <c r="AC5373">
        <v>169</v>
      </c>
      <c r="AD5373">
        <v>0</v>
      </c>
      <c r="AE5373">
        <v>0</v>
      </c>
      <c r="AF5373">
        <v>0</v>
      </c>
      <c r="AG5373">
        <v>0</v>
      </c>
      <c r="AH5373">
        <v>0</v>
      </c>
      <c r="AI5373">
        <v>25.35</v>
      </c>
      <c r="AJ5373">
        <v>169</v>
      </c>
      <c r="AK5373">
        <v>169</v>
      </c>
      <c r="AL5373" t="s">
        <v>53</v>
      </c>
      <c r="AM5373" t="s">
        <v>53</v>
      </c>
      <c r="AN5373" t="s">
        <v>9519</v>
      </c>
      <c r="AO5373" t="s">
        <v>53</v>
      </c>
      <c r="AP5373" t="s">
        <v>53</v>
      </c>
    </row>
    <row r="5374" spans="2:42" x14ac:dyDescent="0.2">
      <c r="B5374" t="s">
        <v>44</v>
      </c>
      <c r="C5374" t="str">
        <f>HYPERLINK("https://us2.cloudbeds.com/connect/8493803454333002#/reservations/9080486846258976?display=2XPZA5NUP2&amp;reservation_id=9080486846258976", "2XPZA5NUP2")</f>
        <v>2XPZA5NUP2</v>
      </c>
      <c r="D5374" t="s">
        <v>45</v>
      </c>
      <c r="E5374" t="s">
        <v>305</v>
      </c>
      <c r="F5374" t="s">
        <v>61</v>
      </c>
      <c r="G5374" t="s">
        <v>48</v>
      </c>
      <c r="H5374" t="s">
        <v>49</v>
      </c>
      <c r="I5374" t="s">
        <v>8964</v>
      </c>
      <c r="J5374" t="s">
        <v>6397</v>
      </c>
      <c r="K5374" t="s">
        <v>7821</v>
      </c>
      <c r="L5374" t="s">
        <v>53</v>
      </c>
      <c r="N5374" t="s">
        <v>9520</v>
      </c>
      <c r="P5374" t="s">
        <v>55</v>
      </c>
      <c r="R5374" t="s">
        <v>53</v>
      </c>
      <c r="T5374" t="s">
        <v>9521</v>
      </c>
      <c r="U5374" t="s">
        <v>58</v>
      </c>
      <c r="V5374">
        <v>3</v>
      </c>
      <c r="W5374">
        <v>1</v>
      </c>
      <c r="X5374">
        <v>2</v>
      </c>
      <c r="Y5374">
        <v>0</v>
      </c>
      <c r="Z5374">
        <v>2</v>
      </c>
      <c r="AA5374">
        <v>541</v>
      </c>
      <c r="AB5374">
        <v>0</v>
      </c>
      <c r="AC5374">
        <v>541</v>
      </c>
      <c r="AD5374">
        <v>0</v>
      </c>
      <c r="AE5374">
        <v>0</v>
      </c>
      <c r="AF5374">
        <v>0</v>
      </c>
      <c r="AG5374">
        <v>0</v>
      </c>
      <c r="AH5374">
        <v>0</v>
      </c>
      <c r="AI5374">
        <v>81.150000000000006</v>
      </c>
      <c r="AJ5374">
        <v>541</v>
      </c>
      <c r="AK5374">
        <v>541</v>
      </c>
      <c r="AL5374" t="s">
        <v>53</v>
      </c>
      <c r="AM5374" t="s">
        <v>53</v>
      </c>
      <c r="AN5374" t="s">
        <v>53</v>
      </c>
      <c r="AO5374" t="s">
        <v>53</v>
      </c>
      <c r="AP5374" t="s">
        <v>53</v>
      </c>
    </row>
    <row r="5375" spans="2:42" x14ac:dyDescent="0.2">
      <c r="B5375" t="s">
        <v>44</v>
      </c>
      <c r="C5375" t="str">
        <f>HYPERLINK("https://us2.cloudbeds.com/connect/8493803454333002#/reservations/9080486846258987?display=2XPZJY6MFJ&amp;reservation_id=9080486846258987", "2XPZJY6MFJ")</f>
        <v>2XPZJY6MFJ</v>
      </c>
      <c r="D5375" t="s">
        <v>45</v>
      </c>
      <c r="E5375" t="s">
        <v>105</v>
      </c>
      <c r="F5375" t="s">
        <v>47</v>
      </c>
      <c r="G5375" t="s">
        <v>48</v>
      </c>
      <c r="H5375" t="s">
        <v>49</v>
      </c>
      <c r="I5375" t="s">
        <v>50</v>
      </c>
      <c r="J5375" t="s">
        <v>8391</v>
      </c>
      <c r="K5375" t="s">
        <v>7974</v>
      </c>
      <c r="L5375" t="s">
        <v>53</v>
      </c>
      <c r="N5375" t="s">
        <v>9522</v>
      </c>
      <c r="P5375" t="s">
        <v>55</v>
      </c>
      <c r="R5375" t="s">
        <v>53</v>
      </c>
      <c r="T5375" t="s">
        <v>9523</v>
      </c>
      <c r="U5375" t="s">
        <v>58</v>
      </c>
      <c r="V5375">
        <v>1</v>
      </c>
      <c r="W5375">
        <v>1</v>
      </c>
      <c r="X5375">
        <v>2</v>
      </c>
      <c r="Y5375">
        <v>0</v>
      </c>
      <c r="Z5375">
        <v>2</v>
      </c>
      <c r="AA5375">
        <v>148.31</v>
      </c>
      <c r="AB5375">
        <v>148.31</v>
      </c>
      <c r="AC5375">
        <v>130.5</v>
      </c>
      <c r="AD5375">
        <v>0</v>
      </c>
      <c r="AE5375">
        <v>17.809999999999999</v>
      </c>
      <c r="AF5375">
        <v>0</v>
      </c>
      <c r="AG5375">
        <v>0</v>
      </c>
      <c r="AH5375">
        <v>0</v>
      </c>
      <c r="AI5375">
        <v>26.7</v>
      </c>
      <c r="AJ5375">
        <v>148.31</v>
      </c>
      <c r="AK5375">
        <v>0</v>
      </c>
      <c r="AL5375" t="s">
        <v>53</v>
      </c>
      <c r="AM5375" t="s">
        <v>53</v>
      </c>
      <c r="AN5375" t="s">
        <v>53</v>
      </c>
      <c r="AO5375" t="s">
        <v>53</v>
      </c>
      <c r="AP5375" t="s">
        <v>53</v>
      </c>
    </row>
    <row r="5376" spans="2:42" x14ac:dyDescent="0.2">
      <c r="B5376" t="s">
        <v>44</v>
      </c>
      <c r="C5376" t="str">
        <f>HYPERLINK("https://us2.cloudbeds.com/connect/8493803454333002#/reservations/9080486846259004?display=2XPPF95S5Q&amp;reservation_id=9080486846259004", "2XPPF95S5Q")</f>
        <v>2XPPF95S5Q</v>
      </c>
      <c r="D5376" t="s">
        <v>45</v>
      </c>
      <c r="E5376" t="s">
        <v>190</v>
      </c>
      <c r="F5376" t="s">
        <v>61</v>
      </c>
      <c r="G5376" t="s">
        <v>48</v>
      </c>
      <c r="H5376" t="s">
        <v>49</v>
      </c>
      <c r="I5376" t="s">
        <v>50</v>
      </c>
      <c r="J5376" t="s">
        <v>8300</v>
      </c>
      <c r="K5376" t="s">
        <v>7864</v>
      </c>
      <c r="L5376" t="s">
        <v>53</v>
      </c>
      <c r="N5376" t="s">
        <v>9524</v>
      </c>
      <c r="P5376" t="s">
        <v>55</v>
      </c>
      <c r="R5376" t="s">
        <v>56</v>
      </c>
      <c r="T5376" t="s">
        <v>9525</v>
      </c>
      <c r="U5376" t="s">
        <v>58</v>
      </c>
      <c r="V5376">
        <v>2</v>
      </c>
      <c r="W5376">
        <v>1</v>
      </c>
      <c r="X5376">
        <v>2</v>
      </c>
      <c r="Y5376">
        <v>0</v>
      </c>
      <c r="Z5376">
        <v>2</v>
      </c>
      <c r="AA5376">
        <v>367.2</v>
      </c>
      <c r="AB5376">
        <v>367.2</v>
      </c>
      <c r="AC5376">
        <v>323.10000000000002</v>
      </c>
      <c r="AD5376">
        <v>0</v>
      </c>
      <c r="AE5376">
        <v>44.1</v>
      </c>
      <c r="AF5376">
        <v>0</v>
      </c>
      <c r="AG5376">
        <v>0</v>
      </c>
      <c r="AH5376">
        <v>0</v>
      </c>
      <c r="AI5376">
        <v>66.099999999999994</v>
      </c>
      <c r="AJ5376">
        <v>367.2</v>
      </c>
      <c r="AK5376">
        <v>0</v>
      </c>
      <c r="AL5376" t="s">
        <v>53</v>
      </c>
      <c r="AM5376" t="s">
        <v>53</v>
      </c>
      <c r="AN5376" t="s">
        <v>53</v>
      </c>
      <c r="AO5376" t="s">
        <v>53</v>
      </c>
      <c r="AP5376" t="s">
        <v>53</v>
      </c>
    </row>
    <row r="5377" spans="2:42" x14ac:dyDescent="0.2">
      <c r="B5377" t="s">
        <v>44</v>
      </c>
      <c r="C5377" t="str">
        <f>HYPERLINK("https://us2.cloudbeds.com/connect/8493803454333002#/reservations/9080486846259389?display=2XQ68FCZFA&amp;reservation_id=9080486846259389", "2XQ68FCZFA")</f>
        <v>2XQ68FCZFA</v>
      </c>
      <c r="D5377" t="s">
        <v>45</v>
      </c>
      <c r="E5377" t="s">
        <v>185</v>
      </c>
      <c r="F5377" t="s">
        <v>47</v>
      </c>
      <c r="G5377" t="s">
        <v>48</v>
      </c>
      <c r="H5377" t="s">
        <v>49</v>
      </c>
      <c r="I5377" t="s">
        <v>50</v>
      </c>
      <c r="J5377" t="s">
        <v>7510</v>
      </c>
      <c r="K5377" t="s">
        <v>7353</v>
      </c>
      <c r="L5377" t="s">
        <v>53</v>
      </c>
      <c r="N5377" t="s">
        <v>9526</v>
      </c>
      <c r="P5377" t="s">
        <v>55</v>
      </c>
      <c r="R5377" t="s">
        <v>53</v>
      </c>
      <c r="T5377" t="s">
        <v>9527</v>
      </c>
      <c r="U5377" t="s">
        <v>58</v>
      </c>
      <c r="V5377">
        <v>1</v>
      </c>
      <c r="W5377">
        <v>1</v>
      </c>
      <c r="X5377">
        <v>2</v>
      </c>
      <c r="Y5377">
        <v>0</v>
      </c>
      <c r="Z5377">
        <v>2</v>
      </c>
      <c r="AA5377">
        <v>150.37</v>
      </c>
      <c r="AB5377">
        <v>150.37</v>
      </c>
      <c r="AC5377">
        <v>132.30000000000001</v>
      </c>
      <c r="AD5377">
        <v>0</v>
      </c>
      <c r="AE5377">
        <v>18.07</v>
      </c>
      <c r="AF5377">
        <v>0</v>
      </c>
      <c r="AG5377">
        <v>0</v>
      </c>
      <c r="AH5377">
        <v>0</v>
      </c>
      <c r="AI5377">
        <v>27.07</v>
      </c>
      <c r="AJ5377">
        <v>150.37</v>
      </c>
      <c r="AK5377">
        <v>0</v>
      </c>
      <c r="AL5377" t="s">
        <v>53</v>
      </c>
      <c r="AM5377" t="s">
        <v>53</v>
      </c>
      <c r="AN5377" t="s">
        <v>53</v>
      </c>
      <c r="AO5377" t="s">
        <v>53</v>
      </c>
      <c r="AP5377" t="s">
        <v>53</v>
      </c>
    </row>
    <row r="5378" spans="2:42" x14ac:dyDescent="0.2">
      <c r="B5378" t="s">
        <v>44</v>
      </c>
      <c r="C5378" t="str">
        <f>HYPERLINK("https://us2.cloudbeds.com/connect/8493803454333002#/reservations/9080486846259659?display=2XQGWV3F5Y&amp;reservation_id=9080486846259659", "2XQGWV3F5Y")</f>
        <v>2XQGWV3F5Y</v>
      </c>
      <c r="D5378" t="s">
        <v>45</v>
      </c>
      <c r="E5378" t="s">
        <v>373</v>
      </c>
      <c r="F5378" t="s">
        <v>47</v>
      </c>
      <c r="G5378" t="s">
        <v>48</v>
      </c>
      <c r="H5378" t="s">
        <v>49</v>
      </c>
      <c r="I5378" t="s">
        <v>50</v>
      </c>
      <c r="J5378" t="s">
        <v>7510</v>
      </c>
      <c r="K5378" t="s">
        <v>7353</v>
      </c>
      <c r="L5378" t="s">
        <v>53</v>
      </c>
      <c r="N5378" t="s">
        <v>9528</v>
      </c>
      <c r="P5378" t="s">
        <v>55</v>
      </c>
      <c r="R5378" t="s">
        <v>53</v>
      </c>
      <c r="T5378" t="s">
        <v>9529</v>
      </c>
      <c r="U5378" t="s">
        <v>58</v>
      </c>
      <c r="V5378">
        <v>1</v>
      </c>
      <c r="W5378">
        <v>1</v>
      </c>
      <c r="X5378">
        <v>1</v>
      </c>
      <c r="Y5378">
        <v>0</v>
      </c>
      <c r="Z5378">
        <v>1</v>
      </c>
      <c r="AA5378">
        <v>133.65</v>
      </c>
      <c r="AB5378">
        <v>133.65</v>
      </c>
      <c r="AC5378">
        <v>117.6</v>
      </c>
      <c r="AD5378">
        <v>0</v>
      </c>
      <c r="AE5378">
        <v>16.05</v>
      </c>
      <c r="AF5378">
        <v>0</v>
      </c>
      <c r="AG5378">
        <v>0</v>
      </c>
      <c r="AH5378">
        <v>0</v>
      </c>
      <c r="AI5378">
        <v>24.06</v>
      </c>
      <c r="AJ5378">
        <v>133.65</v>
      </c>
      <c r="AK5378">
        <v>0</v>
      </c>
      <c r="AL5378" t="s">
        <v>53</v>
      </c>
      <c r="AM5378" t="s">
        <v>53</v>
      </c>
      <c r="AN5378" t="s">
        <v>53</v>
      </c>
      <c r="AO5378" t="s">
        <v>53</v>
      </c>
      <c r="AP5378" t="s">
        <v>53</v>
      </c>
    </row>
    <row r="5379" spans="2:42" x14ac:dyDescent="0.2">
      <c r="B5379" t="s">
        <v>44</v>
      </c>
      <c r="C5379" t="str">
        <f>HYPERLINK("https://us2.cloudbeds.com/connect/8493803454333002#/reservations/9080486846259822?display=2XQQANKU55&amp;reservation_id=9080486846259822", "2XQQANKU55")</f>
        <v>2XQQANKU55</v>
      </c>
      <c r="D5379" t="s">
        <v>45</v>
      </c>
      <c r="E5379" t="s">
        <v>78</v>
      </c>
      <c r="F5379" t="s">
        <v>61</v>
      </c>
      <c r="G5379" t="s">
        <v>48</v>
      </c>
      <c r="H5379" t="s">
        <v>49</v>
      </c>
      <c r="I5379" t="s">
        <v>50</v>
      </c>
      <c r="J5379" t="s">
        <v>7864</v>
      </c>
      <c r="K5379" t="s">
        <v>8816</v>
      </c>
      <c r="L5379" t="s">
        <v>53</v>
      </c>
      <c r="N5379" t="s">
        <v>9530</v>
      </c>
      <c r="P5379" t="s">
        <v>55</v>
      </c>
      <c r="R5379" t="s">
        <v>53</v>
      </c>
      <c r="T5379" t="s">
        <v>9531</v>
      </c>
      <c r="U5379" t="s">
        <v>58</v>
      </c>
      <c r="V5379">
        <v>1</v>
      </c>
      <c r="W5379">
        <v>1</v>
      </c>
      <c r="X5379">
        <v>2</v>
      </c>
      <c r="Y5379">
        <v>0</v>
      </c>
      <c r="Z5379">
        <v>2</v>
      </c>
      <c r="AA5379">
        <v>179</v>
      </c>
      <c r="AB5379">
        <v>179</v>
      </c>
      <c r="AC5379">
        <v>157.5</v>
      </c>
      <c r="AD5379">
        <v>0</v>
      </c>
      <c r="AE5379">
        <v>21.5</v>
      </c>
      <c r="AF5379">
        <v>0</v>
      </c>
      <c r="AG5379">
        <v>0</v>
      </c>
      <c r="AH5379">
        <v>0</v>
      </c>
      <c r="AI5379">
        <v>32.22</v>
      </c>
      <c r="AJ5379">
        <v>179</v>
      </c>
      <c r="AK5379">
        <v>0</v>
      </c>
      <c r="AL5379" t="s">
        <v>53</v>
      </c>
      <c r="AM5379" t="s">
        <v>53</v>
      </c>
      <c r="AN5379" t="s">
        <v>53</v>
      </c>
      <c r="AO5379" t="s">
        <v>53</v>
      </c>
      <c r="AP5379" t="s">
        <v>53</v>
      </c>
    </row>
    <row r="5380" spans="2:42" x14ac:dyDescent="0.2">
      <c r="B5380" t="s">
        <v>44</v>
      </c>
      <c r="C5380" t="str">
        <f>HYPERLINK("https://us2.cloudbeds.com/connect/8493803454333002#/reservations/9080486846260464?display=2XRP83YVS8&amp;reservation_id=9080486846260464", "2XRP83YVS8")</f>
        <v>2XRP83YVS8</v>
      </c>
      <c r="D5380" t="s">
        <v>45</v>
      </c>
      <c r="E5380" t="s">
        <v>138</v>
      </c>
      <c r="F5380" t="s">
        <v>70</v>
      </c>
      <c r="G5380" t="s">
        <v>48</v>
      </c>
      <c r="H5380" t="s">
        <v>49</v>
      </c>
      <c r="I5380" t="s">
        <v>50</v>
      </c>
      <c r="J5380" t="s">
        <v>7864</v>
      </c>
      <c r="K5380" t="s">
        <v>8816</v>
      </c>
      <c r="L5380" t="s">
        <v>53</v>
      </c>
      <c r="N5380" t="s">
        <v>9532</v>
      </c>
      <c r="P5380" t="s">
        <v>55</v>
      </c>
      <c r="R5380" t="s">
        <v>53</v>
      </c>
      <c r="T5380" t="s">
        <v>9533</v>
      </c>
      <c r="U5380" t="s">
        <v>58</v>
      </c>
      <c r="V5380">
        <v>1</v>
      </c>
      <c r="W5380">
        <v>1</v>
      </c>
      <c r="X5380">
        <v>2</v>
      </c>
      <c r="Y5380">
        <v>0</v>
      </c>
      <c r="Z5380">
        <v>2</v>
      </c>
      <c r="AA5380">
        <v>150.61000000000001</v>
      </c>
      <c r="AB5380">
        <v>150.61000000000001</v>
      </c>
      <c r="AC5380">
        <v>132.52000000000001</v>
      </c>
      <c r="AD5380">
        <v>0</v>
      </c>
      <c r="AE5380">
        <v>18.09</v>
      </c>
      <c r="AF5380">
        <v>0</v>
      </c>
      <c r="AG5380">
        <v>0</v>
      </c>
      <c r="AH5380">
        <v>0</v>
      </c>
      <c r="AI5380">
        <v>27.11</v>
      </c>
      <c r="AJ5380">
        <v>150.61000000000001</v>
      </c>
      <c r="AK5380">
        <v>0</v>
      </c>
      <c r="AL5380" t="s">
        <v>53</v>
      </c>
      <c r="AM5380" t="s">
        <v>53</v>
      </c>
      <c r="AN5380" t="s">
        <v>53</v>
      </c>
      <c r="AO5380" t="s">
        <v>53</v>
      </c>
      <c r="AP5380" t="s">
        <v>53</v>
      </c>
    </row>
    <row r="5381" spans="2:42" x14ac:dyDescent="0.2">
      <c r="B5381" t="s">
        <v>44</v>
      </c>
      <c r="C5381" t="str">
        <f>HYPERLINK("https://us2.cloudbeds.com/connect/8493803454333002#/reservations/9080486846264596?display=2J0HT7ZJKV&amp;reservation_id=9080486846264596", "2J0HT7ZJKV")</f>
        <v>2J0HT7ZJKV</v>
      </c>
      <c r="D5381" t="s">
        <v>45</v>
      </c>
      <c r="E5381" t="s">
        <v>165</v>
      </c>
      <c r="F5381" t="s">
        <v>61</v>
      </c>
      <c r="G5381" t="s">
        <v>48</v>
      </c>
      <c r="H5381" t="s">
        <v>49</v>
      </c>
      <c r="I5381" t="s">
        <v>50</v>
      </c>
      <c r="J5381" t="s">
        <v>7822</v>
      </c>
      <c r="K5381" t="s">
        <v>8143</v>
      </c>
      <c r="L5381" t="s">
        <v>53</v>
      </c>
      <c r="N5381" t="s">
        <v>9534</v>
      </c>
      <c r="P5381" t="s">
        <v>55</v>
      </c>
      <c r="R5381" t="s">
        <v>53</v>
      </c>
      <c r="T5381" t="s">
        <v>9535</v>
      </c>
      <c r="U5381" t="s">
        <v>58</v>
      </c>
      <c r="V5381">
        <v>1</v>
      </c>
      <c r="W5381">
        <v>1</v>
      </c>
      <c r="X5381">
        <v>2</v>
      </c>
      <c r="Y5381">
        <v>0</v>
      </c>
      <c r="Z5381">
        <v>2</v>
      </c>
      <c r="AA5381">
        <v>186.3</v>
      </c>
      <c r="AB5381">
        <v>186.3</v>
      </c>
      <c r="AC5381">
        <v>163.92</v>
      </c>
      <c r="AD5381">
        <v>0</v>
      </c>
      <c r="AE5381">
        <v>22.38</v>
      </c>
      <c r="AF5381">
        <v>0</v>
      </c>
      <c r="AG5381">
        <v>0</v>
      </c>
      <c r="AH5381">
        <v>0</v>
      </c>
      <c r="AI5381">
        <v>33.53</v>
      </c>
      <c r="AJ5381">
        <v>186.3</v>
      </c>
      <c r="AK5381">
        <v>0</v>
      </c>
      <c r="AL5381" t="s">
        <v>53</v>
      </c>
      <c r="AM5381" t="s">
        <v>53</v>
      </c>
      <c r="AN5381" t="s">
        <v>53</v>
      </c>
      <c r="AO5381" t="s">
        <v>53</v>
      </c>
      <c r="AP5381" t="s">
        <v>53</v>
      </c>
    </row>
    <row r="5382" spans="2:42" x14ac:dyDescent="0.2">
      <c r="B5382" t="s">
        <v>44</v>
      </c>
      <c r="C5382" t="str">
        <f>HYPERLINK("https://us2.cloudbeds.com/connect/8493803454333002#/reservations/9080486846264765?display=2J0Z30AC3H&amp;reservation_id=9080486846264765", "2J0Z30AC3H")</f>
        <v>2J0Z30AC3H</v>
      </c>
      <c r="D5382" t="s">
        <v>45</v>
      </c>
      <c r="E5382" t="s">
        <v>223</v>
      </c>
      <c r="F5382" t="s">
        <v>47</v>
      </c>
      <c r="G5382" t="s">
        <v>48</v>
      </c>
      <c r="H5382" t="s">
        <v>49</v>
      </c>
      <c r="I5382" t="s">
        <v>8964</v>
      </c>
      <c r="J5382" t="s">
        <v>7353</v>
      </c>
      <c r="K5382" t="s">
        <v>8750</v>
      </c>
      <c r="L5382" t="s">
        <v>53</v>
      </c>
      <c r="N5382" t="s">
        <v>9536</v>
      </c>
      <c r="P5382" t="s">
        <v>55</v>
      </c>
      <c r="R5382" t="s">
        <v>53</v>
      </c>
      <c r="T5382" t="s">
        <v>9537</v>
      </c>
      <c r="U5382" t="s">
        <v>58</v>
      </c>
      <c r="V5382">
        <v>1</v>
      </c>
      <c r="W5382">
        <v>1</v>
      </c>
      <c r="X5382">
        <v>2</v>
      </c>
      <c r="Y5382">
        <v>0</v>
      </c>
      <c r="Z5382">
        <v>2</v>
      </c>
      <c r="AA5382">
        <v>173</v>
      </c>
      <c r="AB5382">
        <v>0</v>
      </c>
      <c r="AC5382">
        <v>173</v>
      </c>
      <c r="AD5382">
        <v>0</v>
      </c>
      <c r="AE5382">
        <v>0</v>
      </c>
      <c r="AF5382">
        <v>0</v>
      </c>
      <c r="AG5382">
        <v>0</v>
      </c>
      <c r="AH5382">
        <v>0</v>
      </c>
      <c r="AI5382">
        <v>25.95</v>
      </c>
      <c r="AJ5382">
        <v>173</v>
      </c>
      <c r="AK5382">
        <v>173</v>
      </c>
      <c r="AL5382" t="s">
        <v>53</v>
      </c>
      <c r="AM5382" t="s">
        <v>53</v>
      </c>
      <c r="AN5382" t="s">
        <v>53</v>
      </c>
      <c r="AO5382" t="s">
        <v>53</v>
      </c>
      <c r="AP5382" t="s">
        <v>53</v>
      </c>
    </row>
    <row r="5383" spans="2:42" x14ac:dyDescent="0.2">
      <c r="B5383" t="s">
        <v>44</v>
      </c>
      <c r="C5383" t="str">
        <f>HYPERLINK("https://us2.cloudbeds.com/connect/8493803454333002#/reservations/9080486846264897?display=2J0SP4TNR7&amp;reservation_id=9080486846264897", "2J0SP4TNR7")</f>
        <v>2J0SP4TNR7</v>
      </c>
      <c r="D5383" t="s">
        <v>45</v>
      </c>
      <c r="E5383" t="s">
        <v>179</v>
      </c>
      <c r="F5383" t="s">
        <v>47</v>
      </c>
      <c r="G5383" t="s">
        <v>48</v>
      </c>
      <c r="H5383" t="s">
        <v>49</v>
      </c>
      <c r="I5383" t="s">
        <v>50</v>
      </c>
      <c r="J5383" t="s">
        <v>8765</v>
      </c>
      <c r="K5383" t="s">
        <v>7829</v>
      </c>
      <c r="L5383" t="s">
        <v>53</v>
      </c>
      <c r="N5383" t="s">
        <v>9538</v>
      </c>
      <c r="P5383" t="s">
        <v>55</v>
      </c>
      <c r="R5383" t="s">
        <v>53</v>
      </c>
      <c r="T5383" t="s">
        <v>9539</v>
      </c>
      <c r="U5383" t="s">
        <v>58</v>
      </c>
      <c r="V5383">
        <v>2</v>
      </c>
      <c r="W5383">
        <v>1</v>
      </c>
      <c r="X5383">
        <v>2</v>
      </c>
      <c r="Y5383">
        <v>0</v>
      </c>
      <c r="Z5383">
        <v>2</v>
      </c>
      <c r="AA5383">
        <v>332.32</v>
      </c>
      <c r="AB5383">
        <v>332.32</v>
      </c>
      <c r="AC5383">
        <v>292.39999999999998</v>
      </c>
      <c r="AD5383">
        <v>0</v>
      </c>
      <c r="AE5383">
        <v>39.92</v>
      </c>
      <c r="AF5383">
        <v>0</v>
      </c>
      <c r="AG5383">
        <v>0</v>
      </c>
      <c r="AH5383">
        <v>0</v>
      </c>
      <c r="AI5383">
        <v>59.82</v>
      </c>
      <c r="AJ5383">
        <v>332.32</v>
      </c>
      <c r="AK5383">
        <v>0</v>
      </c>
      <c r="AL5383" t="s">
        <v>53</v>
      </c>
      <c r="AM5383" t="s">
        <v>53</v>
      </c>
      <c r="AN5383" t="s">
        <v>53</v>
      </c>
      <c r="AO5383" t="s">
        <v>53</v>
      </c>
      <c r="AP5383" t="s">
        <v>53</v>
      </c>
    </row>
    <row r="5384" spans="2:42" x14ac:dyDescent="0.2">
      <c r="B5384" t="s">
        <v>44</v>
      </c>
      <c r="C5384" t="str">
        <f>HYPERLINK("https://us2.cloudbeds.com/connect/8493803454333002#/reservations/9080486846264901?display=2J0T1H2VUJ&amp;reservation_id=9080486846264901", "2J0T1H2VUJ")</f>
        <v>2J0T1H2VUJ</v>
      </c>
      <c r="D5384" t="s">
        <v>45</v>
      </c>
      <c r="E5384" t="s">
        <v>223</v>
      </c>
      <c r="F5384" t="s">
        <v>47</v>
      </c>
      <c r="G5384" t="s">
        <v>48</v>
      </c>
      <c r="H5384" t="s">
        <v>49</v>
      </c>
      <c r="I5384" t="s">
        <v>50</v>
      </c>
      <c r="J5384" t="s">
        <v>8765</v>
      </c>
      <c r="K5384" t="s">
        <v>7829</v>
      </c>
      <c r="L5384" t="s">
        <v>53</v>
      </c>
      <c r="N5384" t="s">
        <v>9540</v>
      </c>
      <c r="P5384" t="s">
        <v>55</v>
      </c>
      <c r="R5384" t="s">
        <v>53</v>
      </c>
      <c r="T5384" t="s">
        <v>9541</v>
      </c>
      <c r="U5384" t="s">
        <v>58</v>
      </c>
      <c r="V5384">
        <v>2</v>
      </c>
      <c r="W5384">
        <v>1</v>
      </c>
      <c r="X5384">
        <v>1</v>
      </c>
      <c r="Y5384">
        <v>0</v>
      </c>
      <c r="Z5384">
        <v>1</v>
      </c>
      <c r="AA5384">
        <v>332.32</v>
      </c>
      <c r="AB5384">
        <v>332.32</v>
      </c>
      <c r="AC5384">
        <v>292.39999999999998</v>
      </c>
      <c r="AD5384">
        <v>0</v>
      </c>
      <c r="AE5384">
        <v>39.92</v>
      </c>
      <c r="AF5384">
        <v>0</v>
      </c>
      <c r="AG5384">
        <v>0</v>
      </c>
      <c r="AH5384">
        <v>0</v>
      </c>
      <c r="AI5384">
        <v>59.82</v>
      </c>
      <c r="AJ5384">
        <v>332.32</v>
      </c>
      <c r="AK5384">
        <v>0</v>
      </c>
      <c r="AL5384" t="s">
        <v>53</v>
      </c>
      <c r="AM5384" t="s">
        <v>53</v>
      </c>
      <c r="AN5384" t="s">
        <v>53</v>
      </c>
      <c r="AO5384" t="s">
        <v>53</v>
      </c>
      <c r="AP5384" t="s">
        <v>53</v>
      </c>
    </row>
    <row r="5385" spans="2:42" x14ac:dyDescent="0.2">
      <c r="B5385" t="s">
        <v>44</v>
      </c>
      <c r="C5385" t="str">
        <f>HYPERLINK("https://us2.cloudbeds.com/connect/8493803454333002#/reservations/9080486846265007?display=2J0WXGJ11Z&amp;reservation_id=9080486846265007", "2J0WXGJ11Z")</f>
        <v>2J0WXGJ11Z</v>
      </c>
      <c r="D5385" t="s">
        <v>45</v>
      </c>
      <c r="E5385" t="s">
        <v>128</v>
      </c>
      <c r="F5385" t="s">
        <v>86</v>
      </c>
      <c r="G5385" t="s">
        <v>48</v>
      </c>
      <c r="H5385" t="s">
        <v>49</v>
      </c>
      <c r="I5385" t="s">
        <v>50</v>
      </c>
      <c r="J5385" t="s">
        <v>8765</v>
      </c>
      <c r="K5385" t="s">
        <v>6374</v>
      </c>
      <c r="L5385" t="s">
        <v>53</v>
      </c>
      <c r="N5385" t="s">
        <v>9542</v>
      </c>
      <c r="P5385" t="s">
        <v>55</v>
      </c>
      <c r="R5385" t="s">
        <v>53</v>
      </c>
      <c r="T5385" t="s">
        <v>9543</v>
      </c>
      <c r="U5385" t="s">
        <v>58</v>
      </c>
      <c r="V5385">
        <v>1</v>
      </c>
      <c r="W5385">
        <v>1</v>
      </c>
      <c r="X5385">
        <v>1</v>
      </c>
      <c r="Y5385">
        <v>1</v>
      </c>
      <c r="Z5385">
        <v>2</v>
      </c>
      <c r="AA5385">
        <v>177.07</v>
      </c>
      <c r="AB5385">
        <v>177.07</v>
      </c>
      <c r="AC5385">
        <v>155.80000000000001</v>
      </c>
      <c r="AD5385">
        <v>0</v>
      </c>
      <c r="AE5385">
        <v>21.27</v>
      </c>
      <c r="AF5385">
        <v>0</v>
      </c>
      <c r="AG5385">
        <v>0</v>
      </c>
      <c r="AH5385">
        <v>0</v>
      </c>
      <c r="AI5385">
        <v>31.87</v>
      </c>
      <c r="AJ5385">
        <v>177.07</v>
      </c>
      <c r="AK5385">
        <v>0</v>
      </c>
      <c r="AL5385" t="s">
        <v>53</v>
      </c>
      <c r="AM5385" t="s">
        <v>53</v>
      </c>
      <c r="AN5385" t="s">
        <v>53</v>
      </c>
      <c r="AO5385" t="s">
        <v>53</v>
      </c>
      <c r="AP5385" t="s">
        <v>53</v>
      </c>
    </row>
    <row r="5386" spans="2:42" x14ac:dyDescent="0.2">
      <c r="B5386" t="s">
        <v>44</v>
      </c>
      <c r="C5386" t="str">
        <f>HYPERLINK("https://us2.cloudbeds.com/connect/8493803454333002#/reservations/9080486846265098?display=2J1290P29X&amp;reservation_id=9080486846265098", "2J1290P29X")</f>
        <v>2J1290P29X</v>
      </c>
      <c r="D5386" t="s">
        <v>45</v>
      </c>
      <c r="E5386" t="s">
        <v>190</v>
      </c>
      <c r="F5386" t="s">
        <v>61</v>
      </c>
      <c r="G5386" t="s">
        <v>48</v>
      </c>
      <c r="H5386" t="s">
        <v>49</v>
      </c>
      <c r="I5386" t="s">
        <v>50</v>
      </c>
      <c r="J5386" t="s">
        <v>7353</v>
      </c>
      <c r="K5386" t="s">
        <v>8750</v>
      </c>
      <c r="L5386" t="s">
        <v>53</v>
      </c>
      <c r="N5386" t="s">
        <v>9544</v>
      </c>
      <c r="P5386" t="s">
        <v>55</v>
      </c>
      <c r="R5386" t="s">
        <v>53</v>
      </c>
      <c r="T5386" t="s">
        <v>9545</v>
      </c>
      <c r="U5386" t="s">
        <v>58</v>
      </c>
      <c r="V5386">
        <v>1</v>
      </c>
      <c r="W5386">
        <v>1</v>
      </c>
      <c r="X5386">
        <v>2</v>
      </c>
      <c r="Y5386">
        <v>0</v>
      </c>
      <c r="Z5386">
        <v>2</v>
      </c>
      <c r="AA5386">
        <v>185.13</v>
      </c>
      <c r="AB5386">
        <v>185.13</v>
      </c>
      <c r="AC5386">
        <v>162.9</v>
      </c>
      <c r="AD5386">
        <v>0</v>
      </c>
      <c r="AE5386">
        <v>22.23</v>
      </c>
      <c r="AF5386">
        <v>0</v>
      </c>
      <c r="AG5386">
        <v>0</v>
      </c>
      <c r="AH5386">
        <v>0</v>
      </c>
      <c r="AI5386">
        <v>33.32</v>
      </c>
      <c r="AJ5386">
        <v>185.13</v>
      </c>
      <c r="AK5386">
        <v>0</v>
      </c>
      <c r="AL5386" t="s">
        <v>53</v>
      </c>
      <c r="AM5386" t="s">
        <v>53</v>
      </c>
      <c r="AN5386" t="s">
        <v>53</v>
      </c>
      <c r="AO5386" t="s">
        <v>53</v>
      </c>
      <c r="AP5386" t="s">
        <v>53</v>
      </c>
    </row>
    <row r="5387" spans="2:42" x14ac:dyDescent="0.2">
      <c r="B5387" t="s">
        <v>44</v>
      </c>
      <c r="C5387" t="str">
        <f>HYPERLINK("https://us2.cloudbeds.com/connect/8493803454333002#/reservations/9080486846265173?display=2J14RVMUYV&amp;reservation_id=9080486846265173", "2J14RVMUYV")</f>
        <v>2J14RVMUYV</v>
      </c>
      <c r="D5387" t="s">
        <v>45</v>
      </c>
      <c r="E5387" t="s">
        <v>213</v>
      </c>
      <c r="F5387" t="s">
        <v>86</v>
      </c>
      <c r="G5387" t="s">
        <v>48</v>
      </c>
      <c r="H5387" t="s">
        <v>49</v>
      </c>
      <c r="I5387" t="s">
        <v>50</v>
      </c>
      <c r="J5387" t="s">
        <v>7353</v>
      </c>
      <c r="K5387" t="s">
        <v>8750</v>
      </c>
      <c r="L5387" t="s">
        <v>53</v>
      </c>
      <c r="N5387" t="s">
        <v>9546</v>
      </c>
      <c r="P5387" t="s">
        <v>55</v>
      </c>
      <c r="R5387" t="s">
        <v>53</v>
      </c>
      <c r="T5387" t="s">
        <v>9547</v>
      </c>
      <c r="U5387" t="s">
        <v>58</v>
      </c>
      <c r="V5387">
        <v>1</v>
      </c>
      <c r="W5387">
        <v>1</v>
      </c>
      <c r="X5387">
        <v>2</v>
      </c>
      <c r="Y5387">
        <v>0</v>
      </c>
      <c r="Z5387">
        <v>2</v>
      </c>
      <c r="AA5387">
        <v>195.37</v>
      </c>
      <c r="AB5387">
        <v>195.37</v>
      </c>
      <c r="AC5387">
        <v>171.9</v>
      </c>
      <c r="AD5387">
        <v>0</v>
      </c>
      <c r="AE5387">
        <v>23.47</v>
      </c>
      <c r="AF5387">
        <v>0</v>
      </c>
      <c r="AG5387">
        <v>0</v>
      </c>
      <c r="AH5387">
        <v>0</v>
      </c>
      <c r="AI5387">
        <v>35.17</v>
      </c>
      <c r="AJ5387">
        <v>195.37</v>
      </c>
      <c r="AK5387">
        <v>0</v>
      </c>
      <c r="AL5387" t="s">
        <v>53</v>
      </c>
      <c r="AM5387" t="s">
        <v>53</v>
      </c>
      <c r="AN5387" t="s">
        <v>53</v>
      </c>
      <c r="AO5387" t="s">
        <v>53</v>
      </c>
      <c r="AP5387" t="s">
        <v>53</v>
      </c>
    </row>
    <row r="5388" spans="2:42" x14ac:dyDescent="0.2">
      <c r="B5388" t="s">
        <v>44</v>
      </c>
      <c r="C5388" t="str">
        <f>HYPERLINK("https://us2.cloudbeds.com/connect/8493803454333002#/reservations/119605668630689?display=2J1E61U8GV&amp;reservation_id=119605668630689", "2J1E61U8GV")</f>
        <v>2J1E61U8GV</v>
      </c>
      <c r="D5388" t="s">
        <v>45</v>
      </c>
      <c r="E5388" t="s">
        <v>128</v>
      </c>
      <c r="F5388" t="s">
        <v>86</v>
      </c>
      <c r="G5388" t="s">
        <v>48</v>
      </c>
      <c r="H5388" t="s">
        <v>3957</v>
      </c>
      <c r="I5388" t="s">
        <v>3975</v>
      </c>
      <c r="J5388" t="s">
        <v>7623</v>
      </c>
      <c r="K5388" t="s">
        <v>7966</v>
      </c>
      <c r="L5388" t="s">
        <v>53</v>
      </c>
      <c r="P5388" t="s">
        <v>55</v>
      </c>
      <c r="R5388" t="s">
        <v>53</v>
      </c>
      <c r="T5388" t="s">
        <v>9548</v>
      </c>
      <c r="U5388" t="s">
        <v>58</v>
      </c>
      <c r="V5388">
        <v>2</v>
      </c>
      <c r="W5388">
        <v>1</v>
      </c>
      <c r="X5388">
        <v>3</v>
      </c>
      <c r="Y5388">
        <v>0</v>
      </c>
      <c r="Z5388">
        <v>3</v>
      </c>
      <c r="AA5388">
        <v>394.38</v>
      </c>
      <c r="AB5388">
        <v>394.38</v>
      </c>
      <c r="AC5388">
        <v>347</v>
      </c>
      <c r="AD5388">
        <v>0</v>
      </c>
      <c r="AE5388">
        <v>47.38</v>
      </c>
      <c r="AF5388">
        <v>0</v>
      </c>
      <c r="AG5388">
        <v>0</v>
      </c>
      <c r="AH5388">
        <v>0</v>
      </c>
      <c r="AI5388">
        <v>0</v>
      </c>
      <c r="AJ5388">
        <v>394.38</v>
      </c>
      <c r="AK5388">
        <v>0</v>
      </c>
      <c r="AL5388" t="s">
        <v>53</v>
      </c>
      <c r="AM5388" t="s">
        <v>53</v>
      </c>
      <c r="AN5388" t="s">
        <v>53</v>
      </c>
      <c r="AO5388" t="s">
        <v>53</v>
      </c>
      <c r="AP5388" t="s">
        <v>53</v>
      </c>
    </row>
    <row r="5389" spans="2:42" x14ac:dyDescent="0.2">
      <c r="B5389" t="s">
        <v>44</v>
      </c>
      <c r="C5389" t="str">
        <f>HYPERLINK("https://us2.cloudbeds.com/connect/8493803454333002#/reservations/119613722525869?display=2J1KDS5P6Y&amp;reservation_id=119613722525869", "2J1KDS5P6Y")</f>
        <v>2J1KDS5P6Y</v>
      </c>
      <c r="D5389" t="s">
        <v>45</v>
      </c>
      <c r="E5389" t="s">
        <v>305</v>
      </c>
      <c r="F5389" t="s">
        <v>61</v>
      </c>
      <c r="G5389" t="s">
        <v>48</v>
      </c>
      <c r="H5389" t="s">
        <v>3957</v>
      </c>
      <c r="I5389" t="s">
        <v>3975</v>
      </c>
      <c r="J5389" t="s">
        <v>8133</v>
      </c>
      <c r="K5389" t="s">
        <v>8300</v>
      </c>
      <c r="L5389" t="s">
        <v>53</v>
      </c>
      <c r="P5389" t="s">
        <v>55</v>
      </c>
      <c r="R5389" t="s">
        <v>53</v>
      </c>
      <c r="T5389" t="s">
        <v>9549</v>
      </c>
      <c r="U5389" t="s">
        <v>58</v>
      </c>
      <c r="V5389">
        <v>3</v>
      </c>
      <c r="W5389">
        <v>1</v>
      </c>
      <c r="X5389">
        <v>2</v>
      </c>
      <c r="Y5389">
        <v>0</v>
      </c>
      <c r="Z5389">
        <v>2</v>
      </c>
      <c r="AA5389">
        <v>691.01</v>
      </c>
      <c r="AB5389">
        <v>691.01</v>
      </c>
      <c r="AC5389">
        <v>608</v>
      </c>
      <c r="AD5389">
        <v>0</v>
      </c>
      <c r="AE5389">
        <v>83.01</v>
      </c>
      <c r="AF5389">
        <v>0</v>
      </c>
      <c r="AG5389">
        <v>0</v>
      </c>
      <c r="AH5389">
        <v>0</v>
      </c>
      <c r="AI5389">
        <v>0</v>
      </c>
      <c r="AJ5389">
        <v>691.01</v>
      </c>
      <c r="AK5389">
        <v>0</v>
      </c>
      <c r="AL5389" t="s">
        <v>53</v>
      </c>
      <c r="AM5389" t="s">
        <v>53</v>
      </c>
      <c r="AN5389" t="s">
        <v>53</v>
      </c>
      <c r="AO5389" t="s">
        <v>53</v>
      </c>
      <c r="AP5389" t="s">
        <v>53</v>
      </c>
    </row>
    <row r="5390" spans="2:42" x14ac:dyDescent="0.2">
      <c r="B5390" t="s">
        <v>44</v>
      </c>
      <c r="C5390" t="str">
        <f>HYPERLINK("https://us2.cloudbeds.com/connect/8493803454333002#/reservations/119618299654388?display=2J1NVQZ3MS&amp;reservation_id=119618299654388", "2J1NVQZ3MS")</f>
        <v>2J1NVQZ3MS</v>
      </c>
      <c r="D5390" t="s">
        <v>45</v>
      </c>
      <c r="E5390" t="s">
        <v>165</v>
      </c>
      <c r="F5390" t="s">
        <v>61</v>
      </c>
      <c r="G5390" t="s">
        <v>48</v>
      </c>
      <c r="H5390" t="s">
        <v>3957</v>
      </c>
      <c r="I5390" t="s">
        <v>3975</v>
      </c>
      <c r="J5390" t="s">
        <v>4008</v>
      </c>
      <c r="K5390" t="s">
        <v>4009</v>
      </c>
      <c r="L5390" t="s">
        <v>53</v>
      </c>
      <c r="P5390" t="s">
        <v>55</v>
      </c>
      <c r="R5390" t="s">
        <v>53</v>
      </c>
      <c r="T5390" t="s">
        <v>9550</v>
      </c>
      <c r="U5390" t="s">
        <v>58</v>
      </c>
      <c r="V5390">
        <v>1</v>
      </c>
      <c r="W5390">
        <v>1</v>
      </c>
      <c r="X5390">
        <v>2</v>
      </c>
      <c r="Y5390">
        <v>0</v>
      </c>
      <c r="Z5390">
        <v>2</v>
      </c>
      <c r="AA5390">
        <v>184.12</v>
      </c>
      <c r="AB5390">
        <v>184.12</v>
      </c>
      <c r="AC5390">
        <v>162</v>
      </c>
      <c r="AD5390">
        <v>0</v>
      </c>
      <c r="AE5390">
        <v>22.12</v>
      </c>
      <c r="AF5390">
        <v>0</v>
      </c>
      <c r="AG5390">
        <v>0</v>
      </c>
      <c r="AH5390">
        <v>0</v>
      </c>
      <c r="AI5390">
        <v>0</v>
      </c>
      <c r="AJ5390">
        <v>184.12</v>
      </c>
      <c r="AK5390">
        <v>0</v>
      </c>
      <c r="AL5390" t="s">
        <v>53</v>
      </c>
      <c r="AM5390" t="s">
        <v>53</v>
      </c>
      <c r="AN5390" t="s">
        <v>53</v>
      </c>
      <c r="AO5390" t="s">
        <v>53</v>
      </c>
      <c r="AP5390" t="s">
        <v>53</v>
      </c>
    </row>
    <row r="5391" spans="2:42" x14ac:dyDescent="0.2">
      <c r="B5391" t="s">
        <v>44</v>
      </c>
      <c r="C5391" t="str">
        <f>HYPERLINK("https://us2.cloudbeds.com/connect/8493803454333002#/reservations/9080486846265959?display=2J29J805D1&amp;reservation_id=9080486846265959", "2J29J805D1")</f>
        <v>2J29J805D1</v>
      </c>
      <c r="D5391" t="s">
        <v>45</v>
      </c>
      <c r="E5391" t="s">
        <v>105</v>
      </c>
      <c r="F5391" t="s">
        <v>47</v>
      </c>
      <c r="G5391" t="s">
        <v>48</v>
      </c>
      <c r="H5391" t="s">
        <v>49</v>
      </c>
      <c r="I5391" t="s">
        <v>50</v>
      </c>
      <c r="J5391" t="s">
        <v>6373</v>
      </c>
      <c r="K5391" t="s">
        <v>6374</v>
      </c>
      <c r="L5391" t="s">
        <v>53</v>
      </c>
      <c r="N5391" t="s">
        <v>9551</v>
      </c>
      <c r="P5391" t="s">
        <v>55</v>
      </c>
      <c r="R5391" t="s">
        <v>53</v>
      </c>
      <c r="T5391" t="s">
        <v>9552</v>
      </c>
      <c r="U5391" t="s">
        <v>58</v>
      </c>
      <c r="V5391">
        <v>2</v>
      </c>
      <c r="W5391">
        <v>1</v>
      </c>
      <c r="X5391">
        <v>2</v>
      </c>
      <c r="Y5391">
        <v>0</v>
      </c>
      <c r="Z5391">
        <v>2</v>
      </c>
      <c r="AA5391">
        <v>391.59</v>
      </c>
      <c r="AB5391">
        <v>391.59</v>
      </c>
      <c r="AC5391">
        <v>344.56</v>
      </c>
      <c r="AD5391">
        <v>0</v>
      </c>
      <c r="AE5391">
        <v>47.03</v>
      </c>
      <c r="AF5391">
        <v>0</v>
      </c>
      <c r="AG5391">
        <v>0</v>
      </c>
      <c r="AH5391">
        <v>0</v>
      </c>
      <c r="AI5391">
        <v>70.489999999999995</v>
      </c>
      <c r="AJ5391">
        <v>391.59</v>
      </c>
      <c r="AK5391">
        <v>0</v>
      </c>
      <c r="AL5391" t="s">
        <v>53</v>
      </c>
      <c r="AM5391" t="s">
        <v>53</v>
      </c>
      <c r="AN5391" t="s">
        <v>53</v>
      </c>
      <c r="AO5391" t="s">
        <v>53</v>
      </c>
      <c r="AP5391" t="s">
        <v>53</v>
      </c>
    </row>
    <row r="5392" spans="2:42" x14ac:dyDescent="0.2">
      <c r="B5392" t="s">
        <v>44</v>
      </c>
      <c r="C5392" t="str">
        <f>HYPERLINK("https://us2.cloudbeds.com/connect/8493803454333002#/reservations/9080486846265986?display=2J2B0YUEU1&amp;reservation_id=9080486846265986", "2J2B0YUEU1")</f>
        <v>2J2B0YUEU1</v>
      </c>
      <c r="D5392" t="s">
        <v>45</v>
      </c>
      <c r="E5392" t="s">
        <v>155</v>
      </c>
      <c r="F5392" t="s">
        <v>86</v>
      </c>
      <c r="G5392" t="s">
        <v>48</v>
      </c>
      <c r="H5392" t="s">
        <v>49</v>
      </c>
      <c r="I5392" t="s">
        <v>50</v>
      </c>
      <c r="J5392" t="s">
        <v>7353</v>
      </c>
      <c r="K5392" t="s">
        <v>8750</v>
      </c>
      <c r="L5392" t="s">
        <v>53</v>
      </c>
      <c r="N5392" t="s">
        <v>9553</v>
      </c>
      <c r="P5392" t="s">
        <v>55</v>
      </c>
      <c r="R5392" t="s">
        <v>53</v>
      </c>
      <c r="T5392" t="s">
        <v>9554</v>
      </c>
      <c r="U5392" t="s">
        <v>58</v>
      </c>
      <c r="V5392">
        <v>1</v>
      </c>
      <c r="W5392">
        <v>1</v>
      </c>
      <c r="X5392">
        <v>1</v>
      </c>
      <c r="Y5392">
        <v>0</v>
      </c>
      <c r="Z5392">
        <v>1</v>
      </c>
      <c r="AA5392">
        <v>184.51</v>
      </c>
      <c r="AB5392">
        <v>184.51</v>
      </c>
      <c r="AC5392">
        <v>162.35</v>
      </c>
      <c r="AD5392">
        <v>0</v>
      </c>
      <c r="AE5392">
        <v>22.16</v>
      </c>
      <c r="AF5392">
        <v>0</v>
      </c>
      <c r="AG5392">
        <v>0</v>
      </c>
      <c r="AH5392">
        <v>0</v>
      </c>
      <c r="AI5392">
        <v>33.21</v>
      </c>
      <c r="AJ5392">
        <v>184.51</v>
      </c>
      <c r="AK5392">
        <v>0</v>
      </c>
      <c r="AL5392" t="s">
        <v>53</v>
      </c>
      <c r="AM5392" t="s">
        <v>53</v>
      </c>
      <c r="AN5392" t="s">
        <v>53</v>
      </c>
      <c r="AO5392" t="s">
        <v>53</v>
      </c>
      <c r="AP5392" t="s">
        <v>53</v>
      </c>
    </row>
    <row r="5393" spans="2:42" x14ac:dyDescent="0.2">
      <c r="B5393" t="s">
        <v>44</v>
      </c>
      <c r="C5393" t="str">
        <f>HYPERLINK("https://us2.cloudbeds.com/connect/8493803454333002#/reservations/9080486846266076?display=2J2FAAM937&amp;reservation_id=9080486846266076", "2J2FAAM937")</f>
        <v>2J2FAAM937</v>
      </c>
      <c r="D5393" t="s">
        <v>45</v>
      </c>
      <c r="E5393" t="s">
        <v>98</v>
      </c>
      <c r="F5393" t="s">
        <v>86</v>
      </c>
      <c r="G5393" t="s">
        <v>48</v>
      </c>
      <c r="H5393" t="s">
        <v>49</v>
      </c>
      <c r="I5393" t="s">
        <v>8964</v>
      </c>
      <c r="J5393" t="s">
        <v>7353</v>
      </c>
      <c r="K5393" t="s">
        <v>8750</v>
      </c>
      <c r="L5393" t="s">
        <v>53</v>
      </c>
      <c r="N5393" t="s">
        <v>9555</v>
      </c>
      <c r="P5393" t="s">
        <v>55</v>
      </c>
      <c r="R5393" t="s">
        <v>53</v>
      </c>
      <c r="T5393" t="s">
        <v>9556</v>
      </c>
      <c r="U5393" t="s">
        <v>58</v>
      </c>
      <c r="V5393">
        <v>1</v>
      </c>
      <c r="W5393">
        <v>1</v>
      </c>
      <c r="X5393">
        <v>4</v>
      </c>
      <c r="Y5393">
        <v>0</v>
      </c>
      <c r="Z5393">
        <v>4</v>
      </c>
      <c r="AA5393">
        <v>196</v>
      </c>
      <c r="AB5393">
        <v>0</v>
      </c>
      <c r="AC5393">
        <v>196</v>
      </c>
      <c r="AD5393">
        <v>0</v>
      </c>
      <c r="AE5393">
        <v>0</v>
      </c>
      <c r="AF5393">
        <v>0</v>
      </c>
      <c r="AG5393">
        <v>0</v>
      </c>
      <c r="AH5393">
        <v>0</v>
      </c>
      <c r="AI5393">
        <v>29.4</v>
      </c>
      <c r="AJ5393">
        <v>196</v>
      </c>
      <c r="AK5393">
        <v>196</v>
      </c>
      <c r="AL5393" t="s">
        <v>53</v>
      </c>
      <c r="AM5393" t="s">
        <v>53</v>
      </c>
      <c r="AN5393" t="s">
        <v>53</v>
      </c>
      <c r="AO5393" t="s">
        <v>53</v>
      </c>
      <c r="AP5393" t="s">
        <v>53</v>
      </c>
    </row>
    <row r="5394" spans="2:42" x14ac:dyDescent="0.2">
      <c r="B5394" t="s">
        <v>44</v>
      </c>
      <c r="C5394" t="str">
        <f>HYPERLINK("https://us2.cloudbeds.com/connect/8493803454333002#/reservations/119652259635386?display=2J2H8XMY84&amp;reservation_id=119652259635386", "2J2H8XMY84")</f>
        <v>2J2H8XMY84</v>
      </c>
      <c r="D5394" t="s">
        <v>45</v>
      </c>
      <c r="E5394" t="s">
        <v>121</v>
      </c>
      <c r="F5394" t="s">
        <v>86</v>
      </c>
      <c r="G5394" t="s">
        <v>48</v>
      </c>
      <c r="H5394" t="s">
        <v>3957</v>
      </c>
      <c r="I5394" t="s">
        <v>3958</v>
      </c>
      <c r="J5394" t="s">
        <v>7353</v>
      </c>
      <c r="K5394" t="s">
        <v>8750</v>
      </c>
      <c r="L5394" t="s">
        <v>53</v>
      </c>
      <c r="P5394" t="s">
        <v>58</v>
      </c>
      <c r="R5394" t="s">
        <v>56</v>
      </c>
      <c r="T5394" t="s">
        <v>9557</v>
      </c>
      <c r="U5394" t="s">
        <v>58</v>
      </c>
      <c r="V5394">
        <v>1</v>
      </c>
      <c r="W5394">
        <v>1</v>
      </c>
      <c r="X5394">
        <v>1</v>
      </c>
      <c r="Y5394">
        <v>0</v>
      </c>
      <c r="Z5394">
        <v>1</v>
      </c>
      <c r="AA5394">
        <v>217.08</v>
      </c>
      <c r="AB5394">
        <v>217.08</v>
      </c>
      <c r="AC5394">
        <v>191</v>
      </c>
      <c r="AD5394">
        <v>0</v>
      </c>
      <c r="AE5394">
        <v>26.08</v>
      </c>
      <c r="AF5394">
        <v>0</v>
      </c>
      <c r="AG5394">
        <v>0</v>
      </c>
      <c r="AH5394">
        <v>0</v>
      </c>
      <c r="AI5394">
        <v>0</v>
      </c>
      <c r="AJ5394">
        <v>217.08</v>
      </c>
      <c r="AK5394">
        <v>0</v>
      </c>
      <c r="AL5394" t="s">
        <v>53</v>
      </c>
      <c r="AM5394" t="s">
        <v>53</v>
      </c>
      <c r="AN5394" t="s">
        <v>53</v>
      </c>
      <c r="AO5394" t="s">
        <v>53</v>
      </c>
      <c r="AP5394" t="s">
        <v>53</v>
      </c>
    </row>
    <row r="5395" spans="2:42" x14ac:dyDescent="0.2">
      <c r="B5395" t="s">
        <v>44</v>
      </c>
      <c r="C5395" t="str">
        <f>HYPERLINK("https://us2.cloudbeds.com/connect/8493803454333002#/reservations/119652649451731?display=2J2HXHCSAY&amp;reservation_id=119652649451731", "2J2HXHCSAY")</f>
        <v>2J2HXHCSAY</v>
      </c>
      <c r="D5395" t="s">
        <v>45</v>
      </c>
      <c r="E5395" t="s">
        <v>46</v>
      </c>
      <c r="F5395" t="s">
        <v>47</v>
      </c>
      <c r="G5395" t="s">
        <v>48</v>
      </c>
      <c r="H5395" t="s">
        <v>3957</v>
      </c>
      <c r="I5395" t="s">
        <v>3958</v>
      </c>
      <c r="J5395" t="s">
        <v>8750</v>
      </c>
      <c r="K5395" t="s">
        <v>7151</v>
      </c>
      <c r="L5395" t="s">
        <v>53</v>
      </c>
      <c r="P5395" t="s">
        <v>55</v>
      </c>
      <c r="R5395" t="s">
        <v>56</v>
      </c>
      <c r="T5395" t="s">
        <v>9558</v>
      </c>
      <c r="U5395" t="s">
        <v>58</v>
      </c>
      <c r="V5395">
        <v>1</v>
      </c>
      <c r="W5395">
        <v>1</v>
      </c>
      <c r="X5395">
        <v>1</v>
      </c>
      <c r="Y5395">
        <v>0</v>
      </c>
      <c r="Z5395">
        <v>1</v>
      </c>
      <c r="AA5395">
        <v>265.95</v>
      </c>
      <c r="AB5395">
        <v>265.95</v>
      </c>
      <c r="AC5395">
        <v>234</v>
      </c>
      <c r="AD5395">
        <v>0</v>
      </c>
      <c r="AE5395">
        <v>31.95</v>
      </c>
      <c r="AF5395">
        <v>0</v>
      </c>
      <c r="AG5395">
        <v>0</v>
      </c>
      <c r="AH5395">
        <v>0</v>
      </c>
      <c r="AI5395">
        <v>0</v>
      </c>
      <c r="AJ5395">
        <v>265.95</v>
      </c>
      <c r="AK5395">
        <v>0</v>
      </c>
      <c r="AL5395" t="s">
        <v>53</v>
      </c>
      <c r="AM5395" t="s">
        <v>53</v>
      </c>
      <c r="AN5395" t="s">
        <v>53</v>
      </c>
      <c r="AO5395" t="s">
        <v>53</v>
      </c>
      <c r="AP5395" t="s">
        <v>53</v>
      </c>
    </row>
    <row r="5396" spans="2:42" x14ac:dyDescent="0.2">
      <c r="B5396" t="s">
        <v>44</v>
      </c>
      <c r="C5396" t="str">
        <f>HYPERLINK("https://us2.cloudbeds.com/connect/8493803454333002#/reservations/9080486846266339?display=2J2TYXYM19&amp;reservation_id=9080486846266339", "2J2TYXYM19")</f>
        <v>2J2TYXYM19</v>
      </c>
      <c r="D5396" t="s">
        <v>45</v>
      </c>
      <c r="E5396" t="s">
        <v>185</v>
      </c>
      <c r="F5396" t="s">
        <v>47</v>
      </c>
      <c r="G5396" t="s">
        <v>48</v>
      </c>
      <c r="H5396" t="s">
        <v>49</v>
      </c>
      <c r="I5396" t="s">
        <v>50</v>
      </c>
      <c r="J5396" t="s">
        <v>7822</v>
      </c>
      <c r="K5396" t="s">
        <v>8300</v>
      </c>
      <c r="L5396" t="s">
        <v>53</v>
      </c>
      <c r="N5396" t="s">
        <v>9559</v>
      </c>
      <c r="P5396" t="s">
        <v>55</v>
      </c>
      <c r="R5396" t="s">
        <v>53</v>
      </c>
      <c r="T5396" t="s">
        <v>9560</v>
      </c>
      <c r="U5396" t="s">
        <v>58</v>
      </c>
      <c r="V5396">
        <v>2</v>
      </c>
      <c r="W5396">
        <v>1</v>
      </c>
      <c r="X5396">
        <v>1</v>
      </c>
      <c r="Y5396">
        <v>0</v>
      </c>
      <c r="Z5396">
        <v>1</v>
      </c>
      <c r="AA5396">
        <v>361.07</v>
      </c>
      <c r="AB5396">
        <v>361.07</v>
      </c>
      <c r="AC5396">
        <v>317.7</v>
      </c>
      <c r="AD5396">
        <v>0</v>
      </c>
      <c r="AE5396">
        <v>43.37</v>
      </c>
      <c r="AF5396">
        <v>0</v>
      </c>
      <c r="AG5396">
        <v>0</v>
      </c>
      <c r="AH5396">
        <v>0</v>
      </c>
      <c r="AI5396">
        <v>64.989999999999995</v>
      </c>
      <c r="AJ5396">
        <v>361.07</v>
      </c>
      <c r="AK5396">
        <v>0</v>
      </c>
      <c r="AL5396" t="s">
        <v>53</v>
      </c>
      <c r="AM5396" t="s">
        <v>53</v>
      </c>
      <c r="AN5396" t="s">
        <v>53</v>
      </c>
      <c r="AO5396" t="s">
        <v>53</v>
      </c>
      <c r="AP5396" t="s">
        <v>53</v>
      </c>
    </row>
    <row r="5397" spans="2:42" x14ac:dyDescent="0.2">
      <c r="B5397" t="s">
        <v>44</v>
      </c>
      <c r="C5397" t="str">
        <f>HYPERLINK("https://us2.cloudbeds.com/connect/8493803454333002#/reservations/119844825112774?display=2J71C1WU5Z&amp;reservation_id=119844825112774", "2J71C1WU5Z")</f>
        <v>2J71C1WU5Z</v>
      </c>
      <c r="D5397" t="s">
        <v>45</v>
      </c>
      <c r="E5397" t="s">
        <v>305</v>
      </c>
      <c r="F5397" t="s">
        <v>61</v>
      </c>
      <c r="G5397" t="s">
        <v>48</v>
      </c>
      <c r="H5397" t="s">
        <v>3957</v>
      </c>
      <c r="I5397" t="s">
        <v>3989</v>
      </c>
      <c r="J5397" t="s">
        <v>7151</v>
      </c>
      <c r="K5397" t="s">
        <v>6397</v>
      </c>
      <c r="L5397" t="s">
        <v>53</v>
      </c>
      <c r="P5397" t="s">
        <v>55</v>
      </c>
      <c r="R5397" t="s">
        <v>56</v>
      </c>
      <c r="T5397" t="s">
        <v>9561</v>
      </c>
      <c r="U5397" t="s">
        <v>58</v>
      </c>
      <c r="V5397">
        <v>2</v>
      </c>
      <c r="W5397">
        <v>1</v>
      </c>
      <c r="X5397">
        <v>1</v>
      </c>
      <c r="Y5397">
        <v>0</v>
      </c>
      <c r="Z5397">
        <v>1</v>
      </c>
      <c r="AA5397">
        <v>477.34</v>
      </c>
      <c r="AB5397">
        <v>477.34</v>
      </c>
      <c r="AC5397">
        <v>420</v>
      </c>
      <c r="AD5397">
        <v>0</v>
      </c>
      <c r="AE5397">
        <v>57.34</v>
      </c>
      <c r="AF5397">
        <v>0</v>
      </c>
      <c r="AG5397">
        <v>0</v>
      </c>
      <c r="AH5397">
        <v>0</v>
      </c>
      <c r="AI5397">
        <v>0</v>
      </c>
      <c r="AJ5397">
        <v>477.34</v>
      </c>
      <c r="AK5397">
        <v>0</v>
      </c>
      <c r="AL5397" t="s">
        <v>53</v>
      </c>
      <c r="AM5397" t="s">
        <v>53</v>
      </c>
      <c r="AN5397" t="s">
        <v>53</v>
      </c>
      <c r="AO5397" t="s">
        <v>53</v>
      </c>
      <c r="AP5397" t="s">
        <v>53</v>
      </c>
    </row>
    <row r="5398" spans="2:42" x14ac:dyDescent="0.2">
      <c r="B5398" t="s">
        <v>44</v>
      </c>
      <c r="C5398" t="str">
        <f>HYPERLINK("https://us2.cloudbeds.com/connect/8493803454333002#/reservations/9080486846270184?display=2J83QREWJA&amp;reservation_id=9080486846270184", "2J83QREWJA")</f>
        <v>2J83QREWJA</v>
      </c>
      <c r="D5398" t="s">
        <v>45</v>
      </c>
      <c r="E5398" t="s">
        <v>98</v>
      </c>
      <c r="F5398" t="s">
        <v>86</v>
      </c>
      <c r="G5398" t="s">
        <v>48</v>
      </c>
      <c r="H5398" t="s">
        <v>49</v>
      </c>
      <c r="I5398" t="s">
        <v>50</v>
      </c>
      <c r="J5398" t="s">
        <v>6396</v>
      </c>
      <c r="K5398" t="s">
        <v>6397</v>
      </c>
      <c r="L5398" t="s">
        <v>53</v>
      </c>
      <c r="N5398" t="s">
        <v>9562</v>
      </c>
      <c r="P5398" t="s">
        <v>55</v>
      </c>
      <c r="R5398" t="s">
        <v>53</v>
      </c>
      <c r="T5398" t="s">
        <v>9563</v>
      </c>
      <c r="U5398" t="s">
        <v>58</v>
      </c>
      <c r="V5398">
        <v>1</v>
      </c>
      <c r="W5398">
        <v>1</v>
      </c>
      <c r="X5398">
        <v>2</v>
      </c>
      <c r="Y5398">
        <v>1</v>
      </c>
      <c r="Z5398">
        <v>3</v>
      </c>
      <c r="AA5398">
        <v>218.21</v>
      </c>
      <c r="AB5398">
        <v>218.21</v>
      </c>
      <c r="AC5398">
        <v>192</v>
      </c>
      <c r="AD5398">
        <v>0</v>
      </c>
      <c r="AE5398">
        <v>26.21</v>
      </c>
      <c r="AF5398">
        <v>0</v>
      </c>
      <c r="AG5398">
        <v>0</v>
      </c>
      <c r="AH5398">
        <v>0</v>
      </c>
      <c r="AI5398">
        <v>39.28</v>
      </c>
      <c r="AJ5398">
        <v>218.21</v>
      </c>
      <c r="AK5398">
        <v>0</v>
      </c>
      <c r="AL5398" t="s">
        <v>53</v>
      </c>
      <c r="AM5398" t="s">
        <v>53</v>
      </c>
      <c r="AN5398" t="s">
        <v>53</v>
      </c>
      <c r="AO5398" t="s">
        <v>53</v>
      </c>
      <c r="AP5398" t="s">
        <v>53</v>
      </c>
    </row>
    <row r="5399" spans="2:42" x14ac:dyDescent="0.2">
      <c r="B5399" t="s">
        <v>44</v>
      </c>
      <c r="C5399" t="str">
        <f>HYPERLINK("https://us2.cloudbeds.com/connect/8493803454333002#/reservations/9080486846270972?display=2J8WV6QWSQ&amp;reservation_id=9080486846270972", "2J8WV6QWSQ")</f>
        <v>2J8WV6QWSQ</v>
      </c>
      <c r="D5399" t="s">
        <v>45</v>
      </c>
      <c r="E5399" t="s">
        <v>487</v>
      </c>
      <c r="F5399" t="s">
        <v>61</v>
      </c>
      <c r="G5399" t="s">
        <v>48</v>
      </c>
      <c r="H5399" t="s">
        <v>49</v>
      </c>
      <c r="I5399" t="s">
        <v>50</v>
      </c>
      <c r="J5399" t="s">
        <v>7962</v>
      </c>
      <c r="K5399" t="s">
        <v>8133</v>
      </c>
      <c r="L5399" t="s">
        <v>53</v>
      </c>
      <c r="N5399" t="s">
        <v>9564</v>
      </c>
      <c r="P5399" t="s">
        <v>55</v>
      </c>
      <c r="R5399" t="s">
        <v>53</v>
      </c>
      <c r="T5399" t="s">
        <v>9565</v>
      </c>
      <c r="U5399" t="s">
        <v>58</v>
      </c>
      <c r="V5399">
        <v>2</v>
      </c>
      <c r="W5399">
        <v>1</v>
      </c>
      <c r="X5399">
        <v>2</v>
      </c>
      <c r="Y5399">
        <v>0</v>
      </c>
      <c r="Z5399">
        <v>2</v>
      </c>
      <c r="AA5399">
        <v>416.31</v>
      </c>
      <c r="AB5399">
        <v>416.31</v>
      </c>
      <c r="AC5399">
        <v>366.3</v>
      </c>
      <c r="AD5399">
        <v>0</v>
      </c>
      <c r="AE5399">
        <v>50.01</v>
      </c>
      <c r="AF5399">
        <v>0</v>
      </c>
      <c r="AG5399">
        <v>0</v>
      </c>
      <c r="AH5399">
        <v>0</v>
      </c>
      <c r="AI5399">
        <v>74.94</v>
      </c>
      <c r="AJ5399">
        <v>416.31</v>
      </c>
      <c r="AK5399">
        <v>0</v>
      </c>
      <c r="AL5399" t="s">
        <v>53</v>
      </c>
      <c r="AM5399" t="s">
        <v>53</v>
      </c>
      <c r="AN5399" t="s">
        <v>53</v>
      </c>
      <c r="AO5399" t="s">
        <v>53</v>
      </c>
      <c r="AP5399" t="s">
        <v>53</v>
      </c>
    </row>
    <row r="5400" spans="2:42" x14ac:dyDescent="0.2">
      <c r="B5400" t="s">
        <v>44</v>
      </c>
      <c r="C5400" t="str">
        <f>HYPERLINK("https://us2.cloudbeds.com/connect/8493803454333002#/reservations/119971937689731?display=2JA0Q2MZK5&amp;reservation_id=119971937689731", "2JA0Q2MZK5")</f>
        <v>2JA0Q2MZK5</v>
      </c>
      <c r="D5400" t="s">
        <v>45</v>
      </c>
      <c r="E5400" t="s">
        <v>406</v>
      </c>
      <c r="F5400" t="s">
        <v>61</v>
      </c>
      <c r="G5400" t="s">
        <v>48</v>
      </c>
      <c r="H5400" t="s">
        <v>3957</v>
      </c>
      <c r="I5400" t="s">
        <v>3975</v>
      </c>
      <c r="J5400" t="s">
        <v>7821</v>
      </c>
      <c r="K5400" t="s">
        <v>7822</v>
      </c>
      <c r="L5400" t="s">
        <v>53</v>
      </c>
      <c r="P5400" t="s">
        <v>55</v>
      </c>
      <c r="R5400" t="s">
        <v>53</v>
      </c>
      <c r="T5400" t="s">
        <v>9566</v>
      </c>
      <c r="U5400" t="s">
        <v>58</v>
      </c>
      <c r="V5400">
        <v>2</v>
      </c>
      <c r="W5400">
        <v>1</v>
      </c>
      <c r="X5400">
        <v>1</v>
      </c>
      <c r="Y5400">
        <v>0</v>
      </c>
      <c r="Z5400">
        <v>1</v>
      </c>
      <c r="AA5400">
        <v>528.48</v>
      </c>
      <c r="AB5400">
        <v>528.48</v>
      </c>
      <c r="AC5400">
        <v>465</v>
      </c>
      <c r="AD5400">
        <v>0</v>
      </c>
      <c r="AE5400">
        <v>63.48</v>
      </c>
      <c r="AF5400">
        <v>0</v>
      </c>
      <c r="AG5400">
        <v>0</v>
      </c>
      <c r="AH5400">
        <v>0</v>
      </c>
      <c r="AI5400">
        <v>0</v>
      </c>
      <c r="AJ5400">
        <v>528.48</v>
      </c>
      <c r="AK5400">
        <v>0</v>
      </c>
      <c r="AL5400" t="s">
        <v>53</v>
      </c>
      <c r="AM5400" t="s">
        <v>53</v>
      </c>
      <c r="AN5400" t="s">
        <v>53</v>
      </c>
      <c r="AO5400" t="s">
        <v>53</v>
      </c>
      <c r="AP5400" t="s">
        <v>53</v>
      </c>
    </row>
    <row r="5401" spans="2:42" x14ac:dyDescent="0.2">
      <c r="B5401" t="s">
        <v>44</v>
      </c>
      <c r="C5401" t="str">
        <f>HYPERLINK("https://us2.cloudbeds.com/connect/8493803454333002#/reservations/9080486846272214?display=2JASKSXHTD&amp;reservation_id=9080486846272214", "2JASKSXHTD")</f>
        <v>2JASKSXHTD</v>
      </c>
      <c r="D5401" t="s">
        <v>45</v>
      </c>
      <c r="E5401" t="s">
        <v>165</v>
      </c>
      <c r="F5401" t="s">
        <v>61</v>
      </c>
      <c r="G5401" t="s">
        <v>48</v>
      </c>
      <c r="H5401" t="s">
        <v>49</v>
      </c>
      <c r="I5401" t="s">
        <v>62</v>
      </c>
      <c r="J5401" t="s">
        <v>7151</v>
      </c>
      <c r="K5401" t="s">
        <v>6397</v>
      </c>
      <c r="L5401" t="s">
        <v>53</v>
      </c>
      <c r="N5401" t="s">
        <v>9567</v>
      </c>
      <c r="P5401" t="s">
        <v>55</v>
      </c>
      <c r="R5401" t="s">
        <v>56</v>
      </c>
      <c r="T5401" t="s">
        <v>9568</v>
      </c>
      <c r="U5401" t="s">
        <v>55</v>
      </c>
      <c r="V5401">
        <v>2</v>
      </c>
      <c r="W5401">
        <v>1</v>
      </c>
      <c r="X5401">
        <v>2</v>
      </c>
      <c r="Y5401">
        <v>0</v>
      </c>
      <c r="Z5401">
        <v>2</v>
      </c>
      <c r="AA5401">
        <v>413</v>
      </c>
      <c r="AB5401">
        <v>413</v>
      </c>
      <c r="AC5401">
        <v>413</v>
      </c>
      <c r="AD5401">
        <v>0</v>
      </c>
      <c r="AE5401">
        <v>0</v>
      </c>
      <c r="AF5401">
        <v>0</v>
      </c>
      <c r="AG5401">
        <v>0</v>
      </c>
      <c r="AH5401">
        <v>0</v>
      </c>
      <c r="AI5401">
        <v>74.34</v>
      </c>
      <c r="AJ5401">
        <v>413</v>
      </c>
      <c r="AK5401">
        <v>0</v>
      </c>
      <c r="AL5401" t="s">
        <v>53</v>
      </c>
      <c r="AM5401" t="s">
        <v>53</v>
      </c>
      <c r="AN5401" t="s">
        <v>53</v>
      </c>
      <c r="AO5401" t="s">
        <v>53</v>
      </c>
      <c r="AP5401" t="s">
        <v>53</v>
      </c>
    </row>
    <row r="5402" spans="2:42" x14ac:dyDescent="0.2">
      <c r="B5402" t="s">
        <v>44</v>
      </c>
      <c r="C5402" t="str">
        <f>HYPERLINK("https://us2.cloudbeds.com/connect/8493803454333002#/reservations/9080486846275013?display=2JFQDJDV0B&amp;reservation_id=9080486846275013", "2JFQDJDV0B")</f>
        <v>2JFQDJDV0B</v>
      </c>
      <c r="D5402" t="s">
        <v>45</v>
      </c>
      <c r="E5402" t="s">
        <v>165</v>
      </c>
      <c r="F5402" t="s">
        <v>61</v>
      </c>
      <c r="G5402" t="s">
        <v>48</v>
      </c>
      <c r="H5402" t="s">
        <v>49</v>
      </c>
      <c r="I5402" t="s">
        <v>50</v>
      </c>
      <c r="J5402" t="s">
        <v>7830</v>
      </c>
      <c r="K5402" t="s">
        <v>7905</v>
      </c>
      <c r="L5402" t="s">
        <v>53</v>
      </c>
      <c r="N5402" t="s">
        <v>9569</v>
      </c>
      <c r="P5402" t="s">
        <v>55</v>
      </c>
      <c r="R5402" t="s">
        <v>53</v>
      </c>
      <c r="T5402" t="s">
        <v>9570</v>
      </c>
      <c r="U5402" t="s">
        <v>58</v>
      </c>
      <c r="V5402">
        <v>1</v>
      </c>
      <c r="W5402">
        <v>1</v>
      </c>
      <c r="X5402">
        <v>2</v>
      </c>
      <c r="Y5402">
        <v>0</v>
      </c>
      <c r="Z5402">
        <v>2</v>
      </c>
      <c r="AA5402">
        <v>219.91</v>
      </c>
      <c r="AB5402">
        <v>219.91</v>
      </c>
      <c r="AC5402">
        <v>193.5</v>
      </c>
      <c r="AD5402">
        <v>0</v>
      </c>
      <c r="AE5402">
        <v>26.41</v>
      </c>
      <c r="AF5402">
        <v>0</v>
      </c>
      <c r="AG5402">
        <v>0</v>
      </c>
      <c r="AH5402">
        <v>0</v>
      </c>
      <c r="AI5402">
        <v>39.58</v>
      </c>
      <c r="AJ5402">
        <v>219.91</v>
      </c>
      <c r="AK5402">
        <v>0</v>
      </c>
      <c r="AL5402" t="s">
        <v>53</v>
      </c>
      <c r="AM5402" t="s">
        <v>53</v>
      </c>
      <c r="AN5402" t="s">
        <v>53</v>
      </c>
      <c r="AO5402" t="s">
        <v>53</v>
      </c>
      <c r="AP5402" t="s">
        <v>53</v>
      </c>
    </row>
    <row r="5403" spans="2:42" x14ac:dyDescent="0.2">
      <c r="B5403" t="s">
        <v>44</v>
      </c>
      <c r="C5403" t="str">
        <f>HYPERLINK("https://us2.cloudbeds.com/connect/8493803454333002#/reservations/9080486846275968?display=2JGSQD2XUP&amp;reservation_id=9080486846275968", "2JGSQD2XUP")</f>
        <v>2JGSQD2XUP</v>
      </c>
      <c r="D5403" t="s">
        <v>45</v>
      </c>
      <c r="E5403" t="s">
        <v>265</v>
      </c>
      <c r="F5403" t="s">
        <v>61</v>
      </c>
      <c r="G5403" t="s">
        <v>48</v>
      </c>
      <c r="H5403" t="s">
        <v>49</v>
      </c>
      <c r="I5403" t="s">
        <v>8964</v>
      </c>
      <c r="J5403" t="s">
        <v>7962</v>
      </c>
      <c r="K5403" t="s">
        <v>8300</v>
      </c>
      <c r="L5403" t="s">
        <v>53</v>
      </c>
      <c r="N5403" t="s">
        <v>9571</v>
      </c>
      <c r="P5403" t="s">
        <v>55</v>
      </c>
      <c r="R5403" t="s">
        <v>53</v>
      </c>
      <c r="T5403" t="s">
        <v>9572</v>
      </c>
      <c r="U5403" t="s">
        <v>58</v>
      </c>
      <c r="V5403">
        <v>5</v>
      </c>
      <c r="W5403">
        <v>1</v>
      </c>
      <c r="X5403">
        <v>1</v>
      </c>
      <c r="Y5403">
        <v>0</v>
      </c>
      <c r="Z5403">
        <v>1</v>
      </c>
      <c r="AA5403">
        <v>1122</v>
      </c>
      <c r="AB5403">
        <v>0</v>
      </c>
      <c r="AC5403">
        <v>1122</v>
      </c>
      <c r="AD5403">
        <v>0</v>
      </c>
      <c r="AE5403">
        <v>0</v>
      </c>
      <c r="AF5403">
        <v>0</v>
      </c>
      <c r="AG5403">
        <v>0</v>
      </c>
      <c r="AH5403">
        <v>0</v>
      </c>
      <c r="AI5403">
        <v>168.3</v>
      </c>
      <c r="AJ5403">
        <v>1122</v>
      </c>
      <c r="AK5403">
        <v>1122</v>
      </c>
      <c r="AL5403" t="s">
        <v>53</v>
      </c>
      <c r="AM5403" t="s">
        <v>53</v>
      </c>
      <c r="AN5403" t="s">
        <v>53</v>
      </c>
      <c r="AO5403" t="s">
        <v>53</v>
      </c>
      <c r="AP5403" t="s">
        <v>53</v>
      </c>
    </row>
    <row r="5404" spans="2:42" x14ac:dyDescent="0.2">
      <c r="B5404" t="s">
        <v>44</v>
      </c>
      <c r="C5404" t="str">
        <f>HYPERLINK("https://us2.cloudbeds.com/connect/8493803454333002#/reservations/120298691035379?display=2JHMQCP8GV&amp;reservation_id=120298691035379", "2JHMQCP8GV")</f>
        <v>2JHMQCP8GV</v>
      </c>
      <c r="D5404" t="s">
        <v>45</v>
      </c>
      <c r="E5404" t="s">
        <v>121</v>
      </c>
      <c r="F5404" t="s">
        <v>86</v>
      </c>
      <c r="G5404" t="s">
        <v>48</v>
      </c>
      <c r="H5404" t="s">
        <v>3957</v>
      </c>
      <c r="I5404" t="s">
        <v>3975</v>
      </c>
      <c r="J5404" t="s">
        <v>8143</v>
      </c>
      <c r="K5404" t="s">
        <v>8119</v>
      </c>
      <c r="L5404" t="s">
        <v>53</v>
      </c>
      <c r="P5404" t="s">
        <v>55</v>
      </c>
      <c r="R5404" t="s">
        <v>53</v>
      </c>
      <c r="T5404" t="s">
        <v>9573</v>
      </c>
      <c r="U5404" t="s">
        <v>58</v>
      </c>
      <c r="V5404">
        <v>2</v>
      </c>
      <c r="W5404">
        <v>1</v>
      </c>
      <c r="X5404">
        <v>2</v>
      </c>
      <c r="Y5404">
        <v>2</v>
      </c>
      <c r="Z5404">
        <v>4</v>
      </c>
      <c r="AA5404">
        <v>472.8</v>
      </c>
      <c r="AB5404">
        <v>472.8</v>
      </c>
      <c r="AC5404">
        <v>416</v>
      </c>
      <c r="AD5404">
        <v>0</v>
      </c>
      <c r="AE5404">
        <v>56.8</v>
      </c>
      <c r="AF5404">
        <v>0</v>
      </c>
      <c r="AG5404">
        <v>0</v>
      </c>
      <c r="AH5404">
        <v>0</v>
      </c>
      <c r="AI5404">
        <v>0</v>
      </c>
      <c r="AJ5404">
        <v>472.8</v>
      </c>
      <c r="AK5404">
        <v>0</v>
      </c>
      <c r="AL5404" t="s">
        <v>53</v>
      </c>
      <c r="AM5404" t="s">
        <v>53</v>
      </c>
      <c r="AN5404" t="s">
        <v>53</v>
      </c>
      <c r="AO5404" t="s">
        <v>53</v>
      </c>
      <c r="AP5404" t="s">
        <v>53</v>
      </c>
    </row>
    <row r="5405" spans="2:42" x14ac:dyDescent="0.2">
      <c r="B5405" t="s">
        <v>44</v>
      </c>
      <c r="C5405" t="str">
        <f>HYPERLINK("https://us2.cloudbeds.com/connect/8493803454333002#/reservations/9080486846277015?display=2JX8BQ00C7&amp;reservation_id=9080486846277015", "2JX8BQ00C7")</f>
        <v>2JX8BQ00C7</v>
      </c>
      <c r="D5405" t="s">
        <v>45</v>
      </c>
      <c r="E5405" t="s">
        <v>92</v>
      </c>
      <c r="F5405" t="s">
        <v>86</v>
      </c>
      <c r="G5405" t="s">
        <v>48</v>
      </c>
      <c r="H5405" t="s">
        <v>49</v>
      </c>
      <c r="I5405" t="s">
        <v>50</v>
      </c>
      <c r="J5405" t="s">
        <v>6373</v>
      </c>
      <c r="K5405" t="s">
        <v>6374</v>
      </c>
      <c r="L5405" t="s">
        <v>53</v>
      </c>
      <c r="N5405" t="s">
        <v>9574</v>
      </c>
      <c r="P5405" t="s">
        <v>55</v>
      </c>
      <c r="R5405" t="s">
        <v>53</v>
      </c>
      <c r="T5405" t="s">
        <v>9575</v>
      </c>
      <c r="U5405" t="s">
        <v>58</v>
      </c>
      <c r="V5405">
        <v>2</v>
      </c>
      <c r="W5405">
        <v>1</v>
      </c>
      <c r="X5405">
        <v>2</v>
      </c>
      <c r="Y5405">
        <v>1</v>
      </c>
      <c r="Z5405">
        <v>3</v>
      </c>
      <c r="AA5405">
        <v>489.72</v>
      </c>
      <c r="AB5405">
        <v>489.72</v>
      </c>
      <c r="AC5405">
        <v>430.92</v>
      </c>
      <c r="AD5405">
        <v>0</v>
      </c>
      <c r="AE5405">
        <v>58.8</v>
      </c>
      <c r="AF5405">
        <v>0</v>
      </c>
      <c r="AG5405">
        <v>0</v>
      </c>
      <c r="AH5405">
        <v>0</v>
      </c>
      <c r="AI5405">
        <v>88.15</v>
      </c>
      <c r="AJ5405">
        <v>489.72</v>
      </c>
      <c r="AK5405">
        <v>0</v>
      </c>
      <c r="AL5405" t="s">
        <v>53</v>
      </c>
      <c r="AM5405" t="s">
        <v>53</v>
      </c>
      <c r="AN5405" t="s">
        <v>53</v>
      </c>
      <c r="AO5405" t="s">
        <v>53</v>
      </c>
      <c r="AP5405" t="s">
        <v>53</v>
      </c>
    </row>
    <row r="5406" spans="2:42" x14ac:dyDescent="0.2">
      <c r="B5406" t="s">
        <v>44</v>
      </c>
      <c r="C5406" t="str">
        <f>HYPERLINK("https://us2.cloudbeds.com/connect/8493803454333002#/reservations/9080486846277284?display=2JXM5U0MP5&amp;reservation_id=9080486846277284", "2JXM5U0MP5")</f>
        <v>2JXM5U0MP5</v>
      </c>
      <c r="D5406" t="s">
        <v>45</v>
      </c>
      <c r="E5406" t="s">
        <v>113</v>
      </c>
      <c r="F5406" t="s">
        <v>61</v>
      </c>
      <c r="G5406" t="s">
        <v>48</v>
      </c>
      <c r="H5406" t="s">
        <v>49</v>
      </c>
      <c r="I5406" t="s">
        <v>62</v>
      </c>
      <c r="J5406" t="s">
        <v>6396</v>
      </c>
      <c r="K5406" t="s">
        <v>7152</v>
      </c>
      <c r="L5406" t="s">
        <v>53</v>
      </c>
      <c r="N5406" t="s">
        <v>9576</v>
      </c>
      <c r="P5406" t="s">
        <v>55</v>
      </c>
      <c r="R5406" t="s">
        <v>56</v>
      </c>
      <c r="T5406" t="s">
        <v>9577</v>
      </c>
      <c r="U5406" t="s">
        <v>55</v>
      </c>
      <c r="V5406">
        <v>2</v>
      </c>
      <c r="W5406">
        <v>1</v>
      </c>
      <c r="X5406">
        <v>2</v>
      </c>
      <c r="Y5406">
        <v>0</v>
      </c>
      <c r="Z5406">
        <v>2</v>
      </c>
      <c r="AA5406">
        <v>404</v>
      </c>
      <c r="AB5406">
        <v>404</v>
      </c>
      <c r="AC5406">
        <v>404</v>
      </c>
      <c r="AD5406">
        <v>0</v>
      </c>
      <c r="AE5406">
        <v>0</v>
      </c>
      <c r="AF5406">
        <v>0</v>
      </c>
      <c r="AG5406">
        <v>0</v>
      </c>
      <c r="AH5406">
        <v>0</v>
      </c>
      <c r="AI5406">
        <v>72.72</v>
      </c>
      <c r="AJ5406">
        <v>404</v>
      </c>
      <c r="AK5406">
        <v>0</v>
      </c>
      <c r="AL5406" t="s">
        <v>53</v>
      </c>
      <c r="AM5406" t="s">
        <v>53</v>
      </c>
      <c r="AN5406" t="s">
        <v>53</v>
      </c>
      <c r="AO5406" t="s">
        <v>53</v>
      </c>
      <c r="AP5406" t="s">
        <v>53</v>
      </c>
    </row>
    <row r="5407" spans="2:42" x14ac:dyDescent="0.2">
      <c r="B5407" t="s">
        <v>44</v>
      </c>
      <c r="C5407" t="str">
        <f>HYPERLINK("https://us2.cloudbeds.com/connect/8493803454333002#/reservations/120353550815417?display=2JXW95WGNS&amp;reservation_id=120353550815417", "2JXW95WGNS")</f>
        <v>2JXW95WGNS</v>
      </c>
      <c r="D5407" t="s">
        <v>45</v>
      </c>
      <c r="E5407" t="s">
        <v>185</v>
      </c>
      <c r="F5407" t="s">
        <v>47</v>
      </c>
      <c r="G5407" t="s">
        <v>48</v>
      </c>
      <c r="H5407" t="s">
        <v>3957</v>
      </c>
      <c r="I5407" t="s">
        <v>3958</v>
      </c>
      <c r="J5407" t="s">
        <v>8790</v>
      </c>
      <c r="K5407" t="s">
        <v>8391</v>
      </c>
      <c r="L5407" t="s">
        <v>53</v>
      </c>
      <c r="P5407" t="s">
        <v>55</v>
      </c>
      <c r="R5407" t="s">
        <v>56</v>
      </c>
      <c r="T5407" t="s">
        <v>9578</v>
      </c>
      <c r="U5407" t="s">
        <v>58</v>
      </c>
      <c r="V5407">
        <v>5</v>
      </c>
      <c r="W5407">
        <v>1</v>
      </c>
      <c r="X5407">
        <v>1</v>
      </c>
      <c r="Y5407">
        <v>0</v>
      </c>
      <c r="Z5407">
        <v>1</v>
      </c>
      <c r="AA5407">
        <v>947.86</v>
      </c>
      <c r="AB5407">
        <v>947.86</v>
      </c>
      <c r="AC5407">
        <v>834</v>
      </c>
      <c r="AD5407">
        <v>0</v>
      </c>
      <c r="AE5407">
        <v>113.86</v>
      </c>
      <c r="AF5407">
        <v>0</v>
      </c>
      <c r="AG5407">
        <v>0</v>
      </c>
      <c r="AH5407">
        <v>0</v>
      </c>
      <c r="AI5407">
        <v>0</v>
      </c>
      <c r="AJ5407">
        <v>947.86</v>
      </c>
      <c r="AK5407">
        <v>0</v>
      </c>
      <c r="AL5407" t="s">
        <v>53</v>
      </c>
      <c r="AM5407" t="s">
        <v>53</v>
      </c>
      <c r="AN5407" t="s">
        <v>53</v>
      </c>
      <c r="AO5407" t="s">
        <v>53</v>
      </c>
      <c r="AP5407" t="s">
        <v>53</v>
      </c>
    </row>
    <row r="5408" spans="2:42" x14ac:dyDescent="0.2">
      <c r="B5408" t="s">
        <v>44</v>
      </c>
      <c r="C5408" t="str">
        <f>HYPERLINK("https://us2.cloudbeds.com/connect/8493803454333002#/reservations/120385710960792?display=2JJZ5V8VYN&amp;reservation_id=120385710960792", "2JJZ5V8VYN")</f>
        <v>2JJZ5V8VYN</v>
      </c>
      <c r="D5408" t="s">
        <v>45</v>
      </c>
      <c r="E5408" t="s">
        <v>128</v>
      </c>
      <c r="F5408" t="s">
        <v>86</v>
      </c>
      <c r="G5408" t="s">
        <v>48</v>
      </c>
      <c r="H5408" t="s">
        <v>3957</v>
      </c>
      <c r="I5408" t="s">
        <v>3975</v>
      </c>
      <c r="J5408" t="s">
        <v>9579</v>
      </c>
      <c r="K5408" t="s">
        <v>9580</v>
      </c>
      <c r="L5408" t="s">
        <v>53</v>
      </c>
      <c r="P5408" t="s">
        <v>55</v>
      </c>
      <c r="R5408" t="s">
        <v>53</v>
      </c>
      <c r="T5408" t="s">
        <v>9581</v>
      </c>
      <c r="U5408" t="s">
        <v>58</v>
      </c>
      <c r="V5408">
        <v>2</v>
      </c>
      <c r="W5408">
        <v>1</v>
      </c>
      <c r="X5408">
        <v>3</v>
      </c>
      <c r="Y5408">
        <v>0</v>
      </c>
      <c r="Z5408">
        <v>3</v>
      </c>
      <c r="AA5408">
        <v>229.31</v>
      </c>
      <c r="AB5408">
        <v>702.38</v>
      </c>
      <c r="AC5408">
        <v>200</v>
      </c>
      <c r="AD5408">
        <v>0</v>
      </c>
      <c r="AE5408">
        <v>29.31</v>
      </c>
      <c r="AF5408">
        <v>0</v>
      </c>
      <c r="AG5408">
        <v>0</v>
      </c>
      <c r="AH5408">
        <v>0</v>
      </c>
      <c r="AI5408">
        <v>0</v>
      </c>
      <c r="AJ5408">
        <v>229.31</v>
      </c>
      <c r="AK5408">
        <v>0</v>
      </c>
      <c r="AL5408" t="s">
        <v>53</v>
      </c>
      <c r="AM5408" t="s">
        <v>53</v>
      </c>
      <c r="AN5408" t="s">
        <v>53</v>
      </c>
      <c r="AO5408" t="s">
        <v>53</v>
      </c>
      <c r="AP5408" t="s">
        <v>53</v>
      </c>
    </row>
    <row r="5409" spans="2:42" x14ac:dyDescent="0.2">
      <c r="B5409" t="s">
        <v>44</v>
      </c>
      <c r="C5409" t="str">
        <f>HYPERLINK("https://us2.cloudbeds.com/connect/8493803454333002#/reservations/9080486846279462?display=2JMUZJDU13&amp;reservation_id=9080486846279462", "2JMUZJDU13")</f>
        <v>2JMUZJDU13</v>
      </c>
      <c r="D5409" t="s">
        <v>45</v>
      </c>
      <c r="E5409" t="s">
        <v>121</v>
      </c>
      <c r="F5409" t="s">
        <v>86</v>
      </c>
      <c r="G5409" t="s">
        <v>48</v>
      </c>
      <c r="H5409" t="s">
        <v>49</v>
      </c>
      <c r="I5409" t="s">
        <v>50</v>
      </c>
      <c r="J5409" t="s">
        <v>6396</v>
      </c>
      <c r="K5409" t="s">
        <v>7152</v>
      </c>
      <c r="L5409" t="s">
        <v>53</v>
      </c>
      <c r="N5409" t="s">
        <v>9582</v>
      </c>
      <c r="P5409" t="s">
        <v>55</v>
      </c>
      <c r="R5409" t="s">
        <v>53</v>
      </c>
      <c r="T5409" t="s">
        <v>9583</v>
      </c>
      <c r="U5409" t="s">
        <v>58</v>
      </c>
      <c r="V5409">
        <v>2</v>
      </c>
      <c r="W5409">
        <v>1</v>
      </c>
      <c r="X5409">
        <v>2</v>
      </c>
      <c r="Y5409">
        <v>2</v>
      </c>
      <c r="Z5409">
        <v>4</v>
      </c>
      <c r="AA5409">
        <v>432.1</v>
      </c>
      <c r="AB5409">
        <v>432.1</v>
      </c>
      <c r="AC5409">
        <v>380.2</v>
      </c>
      <c r="AD5409">
        <v>0</v>
      </c>
      <c r="AE5409">
        <v>51.9</v>
      </c>
      <c r="AF5409">
        <v>0</v>
      </c>
      <c r="AG5409">
        <v>0</v>
      </c>
      <c r="AH5409">
        <v>0</v>
      </c>
      <c r="AI5409">
        <v>77.78</v>
      </c>
      <c r="AJ5409">
        <v>432.1</v>
      </c>
      <c r="AK5409">
        <v>0</v>
      </c>
      <c r="AL5409" t="s">
        <v>53</v>
      </c>
      <c r="AM5409" t="s">
        <v>53</v>
      </c>
      <c r="AN5409" t="s">
        <v>53</v>
      </c>
      <c r="AO5409" t="s">
        <v>53</v>
      </c>
      <c r="AP5409" t="s">
        <v>53</v>
      </c>
    </row>
    <row r="5410" spans="2:42" x14ac:dyDescent="0.2">
      <c r="B5410" t="s">
        <v>44</v>
      </c>
      <c r="C5410" t="str">
        <f>HYPERLINK("https://us2.cloudbeds.com/connect/8493803454333002#/reservations/9080486846280675?display=2JZ9XD9ZWV&amp;reservation_id=9080486846280675", "2JZ9XD9ZWV")</f>
        <v>2JZ9XD9ZWV</v>
      </c>
      <c r="D5410" t="s">
        <v>45</v>
      </c>
      <c r="E5410" t="s">
        <v>110</v>
      </c>
      <c r="F5410" t="s">
        <v>47</v>
      </c>
      <c r="G5410" t="s">
        <v>48</v>
      </c>
      <c r="H5410" t="s">
        <v>49</v>
      </c>
      <c r="I5410" t="s">
        <v>50</v>
      </c>
      <c r="J5410" t="s">
        <v>7152</v>
      </c>
      <c r="K5410" t="s">
        <v>7962</v>
      </c>
      <c r="L5410" t="s">
        <v>53</v>
      </c>
      <c r="N5410" t="s">
        <v>9584</v>
      </c>
      <c r="P5410" t="s">
        <v>55</v>
      </c>
      <c r="R5410" t="s">
        <v>53</v>
      </c>
      <c r="T5410" t="s">
        <v>9585</v>
      </c>
      <c r="U5410" t="s">
        <v>58</v>
      </c>
      <c r="V5410">
        <v>1</v>
      </c>
      <c r="W5410">
        <v>1</v>
      </c>
      <c r="X5410">
        <v>2</v>
      </c>
      <c r="Y5410">
        <v>0</v>
      </c>
      <c r="Z5410">
        <v>2</v>
      </c>
      <c r="AA5410">
        <v>189.23</v>
      </c>
      <c r="AB5410">
        <v>189.23</v>
      </c>
      <c r="AC5410">
        <v>166.5</v>
      </c>
      <c r="AD5410">
        <v>0</v>
      </c>
      <c r="AE5410">
        <v>22.73</v>
      </c>
      <c r="AF5410">
        <v>0</v>
      </c>
      <c r="AG5410">
        <v>0</v>
      </c>
      <c r="AH5410">
        <v>0</v>
      </c>
      <c r="AI5410">
        <v>34.06</v>
      </c>
      <c r="AJ5410">
        <v>189.23</v>
      </c>
      <c r="AK5410">
        <v>0</v>
      </c>
      <c r="AL5410" t="s">
        <v>53</v>
      </c>
      <c r="AM5410" t="s">
        <v>53</v>
      </c>
      <c r="AN5410" t="s">
        <v>53</v>
      </c>
      <c r="AO5410" t="s">
        <v>53</v>
      </c>
      <c r="AP5410" t="s">
        <v>53</v>
      </c>
    </row>
    <row r="5411" spans="2:42" x14ac:dyDescent="0.2">
      <c r="B5411" t="s">
        <v>44</v>
      </c>
      <c r="C5411" t="str">
        <f>HYPERLINK("https://us2.cloudbeds.com/connect/8493803454333002#/reservations/120579965038810?display=2JZ9JJF11C&amp;reservation_id=120579965038810", "2JZ9JJF11C")</f>
        <v>2JZ9JJF11C</v>
      </c>
      <c r="D5411" t="s">
        <v>45</v>
      </c>
      <c r="E5411" t="s">
        <v>113</v>
      </c>
      <c r="F5411" t="s">
        <v>61</v>
      </c>
      <c r="G5411" t="s">
        <v>3974</v>
      </c>
      <c r="H5411" t="s">
        <v>3957</v>
      </c>
      <c r="I5411" t="s">
        <v>3975</v>
      </c>
      <c r="J5411" t="s">
        <v>7925</v>
      </c>
      <c r="K5411" t="s">
        <v>7926</v>
      </c>
      <c r="L5411" t="s">
        <v>53</v>
      </c>
      <c r="P5411" t="s">
        <v>55</v>
      </c>
      <c r="R5411" t="s">
        <v>53</v>
      </c>
      <c r="T5411" t="s">
        <v>9586</v>
      </c>
      <c r="U5411" t="s">
        <v>58</v>
      </c>
      <c r="V5411">
        <v>1</v>
      </c>
      <c r="W5411">
        <v>1</v>
      </c>
      <c r="X5411">
        <v>2</v>
      </c>
      <c r="Y5411">
        <v>0</v>
      </c>
      <c r="Z5411">
        <v>2</v>
      </c>
      <c r="AA5411">
        <v>212.7</v>
      </c>
      <c r="AB5411">
        <v>212.7</v>
      </c>
      <c r="AC5411">
        <v>187.15</v>
      </c>
      <c r="AD5411">
        <v>0</v>
      </c>
      <c r="AE5411">
        <v>25.55</v>
      </c>
      <c r="AF5411">
        <v>0</v>
      </c>
      <c r="AG5411">
        <v>0</v>
      </c>
      <c r="AH5411">
        <v>0</v>
      </c>
      <c r="AI5411">
        <v>0</v>
      </c>
      <c r="AJ5411">
        <v>212.7</v>
      </c>
      <c r="AK5411">
        <v>0</v>
      </c>
      <c r="AL5411" t="s">
        <v>53</v>
      </c>
      <c r="AM5411" t="s">
        <v>53</v>
      </c>
      <c r="AN5411" t="s">
        <v>53</v>
      </c>
      <c r="AO5411" t="s">
        <v>53</v>
      </c>
      <c r="AP5411" t="s">
        <v>53</v>
      </c>
    </row>
    <row r="5412" spans="2:42" x14ac:dyDescent="0.2">
      <c r="B5412" t="s">
        <v>44</v>
      </c>
      <c r="C5412" t="str">
        <f>HYPERLINK("https://us2.cloudbeds.com/connect/8493803454333002#/reservations/9080486846282230?display=2JPMDNCXVN&amp;reservation_id=9080486846282230", "2JPMDNCXVN")</f>
        <v>2JPMDNCXVN</v>
      </c>
      <c r="D5412" t="s">
        <v>45</v>
      </c>
      <c r="E5412" t="s">
        <v>85</v>
      </c>
      <c r="F5412" t="s">
        <v>86</v>
      </c>
      <c r="G5412" t="s">
        <v>48</v>
      </c>
      <c r="H5412" t="s">
        <v>49</v>
      </c>
      <c r="I5412" t="s">
        <v>50</v>
      </c>
      <c r="J5412" t="s">
        <v>7989</v>
      </c>
      <c r="K5412" t="s">
        <v>8829</v>
      </c>
      <c r="L5412" t="s">
        <v>53</v>
      </c>
      <c r="N5412" t="s">
        <v>9587</v>
      </c>
      <c r="P5412" t="s">
        <v>55</v>
      </c>
      <c r="R5412" t="s">
        <v>53</v>
      </c>
      <c r="T5412" t="s">
        <v>9588</v>
      </c>
      <c r="U5412" t="s">
        <v>58</v>
      </c>
      <c r="V5412">
        <v>2</v>
      </c>
      <c r="W5412">
        <v>1</v>
      </c>
      <c r="X5412">
        <v>2</v>
      </c>
      <c r="Y5412">
        <v>0</v>
      </c>
      <c r="Z5412">
        <v>2</v>
      </c>
      <c r="AA5412">
        <v>371.18</v>
      </c>
      <c r="AB5412">
        <v>371.18</v>
      </c>
      <c r="AC5412">
        <v>326.60000000000002</v>
      </c>
      <c r="AD5412">
        <v>0</v>
      </c>
      <c r="AE5412">
        <v>44.58</v>
      </c>
      <c r="AF5412">
        <v>0</v>
      </c>
      <c r="AG5412">
        <v>0</v>
      </c>
      <c r="AH5412">
        <v>0</v>
      </c>
      <c r="AI5412">
        <v>66.81</v>
      </c>
      <c r="AJ5412">
        <v>371.18</v>
      </c>
      <c r="AK5412">
        <v>0</v>
      </c>
      <c r="AL5412" t="s">
        <v>53</v>
      </c>
      <c r="AM5412" t="s">
        <v>53</v>
      </c>
      <c r="AN5412" t="s">
        <v>53</v>
      </c>
      <c r="AO5412" t="s">
        <v>53</v>
      </c>
      <c r="AP5412" t="s">
        <v>53</v>
      </c>
    </row>
    <row r="5413" spans="2:42" x14ac:dyDescent="0.2">
      <c r="B5413" t="s">
        <v>44</v>
      </c>
      <c r="C5413" t="str">
        <f>HYPERLINK("https://us2.cloudbeds.com/connect/8493803454333002#/reservations/9080486846282787?display=2JQ6A88N7C&amp;reservation_id=9080486846282787", "2JQ6A88N7C")</f>
        <v>2JQ6A88N7C</v>
      </c>
      <c r="D5413" t="s">
        <v>45</v>
      </c>
      <c r="E5413" t="s">
        <v>138</v>
      </c>
      <c r="F5413" t="s">
        <v>70</v>
      </c>
      <c r="G5413" t="s">
        <v>48</v>
      </c>
      <c r="H5413" t="s">
        <v>49</v>
      </c>
      <c r="I5413" t="s">
        <v>62</v>
      </c>
      <c r="J5413" t="s">
        <v>8261</v>
      </c>
      <c r="K5413" t="s">
        <v>7802</v>
      </c>
      <c r="L5413" t="s">
        <v>53</v>
      </c>
      <c r="N5413" t="s">
        <v>9589</v>
      </c>
      <c r="P5413" t="s">
        <v>55</v>
      </c>
      <c r="R5413" t="s">
        <v>201</v>
      </c>
      <c r="T5413" t="s">
        <v>9590</v>
      </c>
      <c r="U5413" t="s">
        <v>55</v>
      </c>
      <c r="V5413">
        <v>1</v>
      </c>
      <c r="W5413">
        <v>1</v>
      </c>
      <c r="X5413">
        <v>2</v>
      </c>
      <c r="Y5413">
        <v>0</v>
      </c>
      <c r="Z5413">
        <v>2</v>
      </c>
      <c r="AA5413">
        <v>166.25</v>
      </c>
      <c r="AB5413">
        <v>166.25</v>
      </c>
      <c r="AC5413">
        <v>166.25</v>
      </c>
      <c r="AD5413">
        <v>0</v>
      </c>
      <c r="AE5413">
        <v>0</v>
      </c>
      <c r="AF5413">
        <v>0</v>
      </c>
      <c r="AG5413">
        <v>0</v>
      </c>
      <c r="AH5413">
        <v>0</v>
      </c>
      <c r="AI5413">
        <v>29.93</v>
      </c>
      <c r="AJ5413">
        <v>166.25</v>
      </c>
      <c r="AK5413">
        <v>0</v>
      </c>
      <c r="AL5413" t="s">
        <v>53</v>
      </c>
      <c r="AM5413" t="s">
        <v>53</v>
      </c>
      <c r="AN5413" t="s">
        <v>53</v>
      </c>
      <c r="AO5413" t="s">
        <v>53</v>
      </c>
      <c r="AP5413" t="s">
        <v>53</v>
      </c>
    </row>
    <row r="5414" spans="2:42" x14ac:dyDescent="0.2">
      <c r="B5414" t="s">
        <v>44</v>
      </c>
      <c r="C5414" t="str">
        <f>HYPERLINK("https://us2.cloudbeds.com/connect/8493803454333002#/reservations/9080486846284309?display=2JSGK3VMR4&amp;reservation_id=9080486846284309", "2JSGK3VMR4")</f>
        <v>2JSGK3VMR4</v>
      </c>
      <c r="D5414" t="s">
        <v>45</v>
      </c>
      <c r="E5414" t="s">
        <v>105</v>
      </c>
      <c r="F5414" t="s">
        <v>47</v>
      </c>
      <c r="G5414" t="s">
        <v>48</v>
      </c>
      <c r="H5414" t="s">
        <v>49</v>
      </c>
      <c r="I5414" t="s">
        <v>50</v>
      </c>
      <c r="J5414" t="s">
        <v>8300</v>
      </c>
      <c r="K5414" t="s">
        <v>8119</v>
      </c>
      <c r="L5414" t="s">
        <v>53</v>
      </c>
      <c r="N5414" t="s">
        <v>9591</v>
      </c>
      <c r="P5414" t="s">
        <v>55</v>
      </c>
      <c r="R5414" t="s">
        <v>53</v>
      </c>
      <c r="T5414" t="s">
        <v>9592</v>
      </c>
      <c r="U5414" t="s">
        <v>58</v>
      </c>
      <c r="V5414">
        <v>1</v>
      </c>
      <c r="W5414">
        <v>1</v>
      </c>
      <c r="X5414">
        <v>2</v>
      </c>
      <c r="Y5414">
        <v>0</v>
      </c>
      <c r="Z5414">
        <v>2</v>
      </c>
      <c r="AA5414">
        <v>186.57</v>
      </c>
      <c r="AB5414">
        <v>186.57</v>
      </c>
      <c r="AC5414">
        <v>164.16</v>
      </c>
      <c r="AD5414">
        <v>0</v>
      </c>
      <c r="AE5414">
        <v>22.41</v>
      </c>
      <c r="AF5414">
        <v>0</v>
      </c>
      <c r="AG5414">
        <v>0</v>
      </c>
      <c r="AH5414">
        <v>0</v>
      </c>
      <c r="AI5414">
        <v>33.58</v>
      </c>
      <c r="AJ5414">
        <v>186.57</v>
      </c>
      <c r="AK5414">
        <v>0</v>
      </c>
      <c r="AL5414" t="s">
        <v>53</v>
      </c>
      <c r="AM5414" t="s">
        <v>53</v>
      </c>
      <c r="AN5414" t="s">
        <v>53</v>
      </c>
      <c r="AO5414" t="s">
        <v>53</v>
      </c>
      <c r="AP5414" t="s">
        <v>53</v>
      </c>
    </row>
    <row r="5415" spans="2:42" x14ac:dyDescent="0.2">
      <c r="B5415" t="s">
        <v>44</v>
      </c>
      <c r="C5415" t="str">
        <f>HYPERLINK("https://us2.cloudbeds.com/connect/8493803454333002#/reservations/9080486846286275?display=2JVPUW4U80&amp;reservation_id=9080486846286275", "2JVPUW4U80")</f>
        <v>2JVPUW4U80</v>
      </c>
      <c r="D5415" t="s">
        <v>45</v>
      </c>
      <c r="E5415" t="s">
        <v>406</v>
      </c>
      <c r="F5415" t="s">
        <v>61</v>
      </c>
      <c r="G5415" t="s">
        <v>48</v>
      </c>
      <c r="H5415" t="s">
        <v>49</v>
      </c>
      <c r="I5415" t="s">
        <v>50</v>
      </c>
      <c r="J5415" t="s">
        <v>7830</v>
      </c>
      <c r="K5415" t="s">
        <v>8713</v>
      </c>
      <c r="L5415" t="s">
        <v>53</v>
      </c>
      <c r="N5415" t="s">
        <v>9593</v>
      </c>
      <c r="P5415" t="s">
        <v>55</v>
      </c>
      <c r="R5415" t="s">
        <v>56</v>
      </c>
      <c r="T5415" t="s">
        <v>9594</v>
      </c>
      <c r="U5415" t="s">
        <v>58</v>
      </c>
      <c r="V5415">
        <v>4</v>
      </c>
      <c r="W5415">
        <v>1</v>
      </c>
      <c r="X5415">
        <v>2</v>
      </c>
      <c r="Y5415">
        <v>0</v>
      </c>
      <c r="Z5415">
        <v>2</v>
      </c>
      <c r="AA5415">
        <v>797.49</v>
      </c>
      <c r="AB5415">
        <v>797.49</v>
      </c>
      <c r="AC5415">
        <v>701.71</v>
      </c>
      <c r="AD5415">
        <v>0</v>
      </c>
      <c r="AE5415">
        <v>95.78</v>
      </c>
      <c r="AF5415">
        <v>0</v>
      </c>
      <c r="AG5415">
        <v>0</v>
      </c>
      <c r="AH5415">
        <v>0</v>
      </c>
      <c r="AI5415">
        <v>143.55000000000001</v>
      </c>
      <c r="AJ5415">
        <v>797.49</v>
      </c>
      <c r="AK5415">
        <v>0</v>
      </c>
      <c r="AL5415" t="s">
        <v>53</v>
      </c>
      <c r="AM5415" t="s">
        <v>53</v>
      </c>
      <c r="AN5415" t="s">
        <v>53</v>
      </c>
      <c r="AO5415" t="s">
        <v>53</v>
      </c>
      <c r="AP5415" t="s">
        <v>53</v>
      </c>
    </row>
    <row r="5416" spans="2:42" x14ac:dyDescent="0.2">
      <c r="B5416" t="s">
        <v>44</v>
      </c>
      <c r="C5416" t="str">
        <f>HYPERLINK("https://us2.cloudbeds.com/connect/8493803454333002#/reservations/9080486846286276?display=2JVPWXQCNR&amp;reservation_id=9080486846286276", "2JVPWXQCNR")</f>
        <v>2JVPWXQCNR</v>
      </c>
      <c r="D5416" t="s">
        <v>45</v>
      </c>
      <c r="E5416" t="s">
        <v>265</v>
      </c>
      <c r="F5416" t="s">
        <v>61</v>
      </c>
      <c r="G5416" t="s">
        <v>48</v>
      </c>
      <c r="H5416" t="s">
        <v>49</v>
      </c>
      <c r="I5416" t="s">
        <v>50</v>
      </c>
      <c r="J5416" t="s">
        <v>7830</v>
      </c>
      <c r="K5416" t="s">
        <v>8713</v>
      </c>
      <c r="L5416" t="s">
        <v>53</v>
      </c>
      <c r="N5416" t="s">
        <v>9595</v>
      </c>
      <c r="P5416" t="s">
        <v>55</v>
      </c>
      <c r="R5416" t="s">
        <v>56</v>
      </c>
      <c r="T5416" t="s">
        <v>9596</v>
      </c>
      <c r="U5416" t="s">
        <v>58</v>
      </c>
      <c r="V5416">
        <v>4</v>
      </c>
      <c r="W5416">
        <v>1</v>
      </c>
      <c r="X5416">
        <v>1</v>
      </c>
      <c r="Y5416">
        <v>0</v>
      </c>
      <c r="Z5416">
        <v>1</v>
      </c>
      <c r="AA5416">
        <v>797.49</v>
      </c>
      <c r="AB5416">
        <v>797.49</v>
      </c>
      <c r="AC5416">
        <v>701.71</v>
      </c>
      <c r="AD5416">
        <v>0</v>
      </c>
      <c r="AE5416">
        <v>95.78</v>
      </c>
      <c r="AF5416">
        <v>0</v>
      </c>
      <c r="AG5416">
        <v>0</v>
      </c>
      <c r="AH5416">
        <v>0</v>
      </c>
      <c r="AI5416">
        <v>143.55000000000001</v>
      </c>
      <c r="AJ5416">
        <v>797.49</v>
      </c>
      <c r="AK5416">
        <v>0</v>
      </c>
      <c r="AL5416" t="s">
        <v>53</v>
      </c>
      <c r="AM5416" t="s">
        <v>53</v>
      </c>
      <c r="AN5416" t="s">
        <v>53</v>
      </c>
      <c r="AO5416" t="s">
        <v>53</v>
      </c>
      <c r="AP5416" t="s">
        <v>53</v>
      </c>
    </row>
    <row r="5417" spans="2:42" x14ac:dyDescent="0.2">
      <c r="B5417" t="s">
        <v>44</v>
      </c>
      <c r="C5417" t="str">
        <f>HYPERLINK("https://us2.cloudbeds.com/connect/8493803454333002#/reservations/9080486846286625?display=2JW58FRYP6&amp;reservation_id=9080486846286625", "2JW58FRYP6")</f>
        <v>2JW58FRYP6</v>
      </c>
      <c r="D5417" t="s">
        <v>45</v>
      </c>
      <c r="E5417" t="s">
        <v>128</v>
      </c>
      <c r="F5417" t="s">
        <v>86</v>
      </c>
      <c r="G5417" t="s">
        <v>48</v>
      </c>
      <c r="H5417" t="s">
        <v>49</v>
      </c>
      <c r="I5417" t="s">
        <v>50</v>
      </c>
      <c r="J5417" t="s">
        <v>7751</v>
      </c>
      <c r="K5417" t="s">
        <v>8071</v>
      </c>
      <c r="L5417" t="s">
        <v>53</v>
      </c>
      <c r="N5417" t="s">
        <v>9597</v>
      </c>
      <c r="P5417" t="s">
        <v>55</v>
      </c>
      <c r="R5417" t="s">
        <v>53</v>
      </c>
      <c r="T5417" t="s">
        <v>9598</v>
      </c>
      <c r="U5417" t="s">
        <v>58</v>
      </c>
      <c r="V5417">
        <v>1</v>
      </c>
      <c r="W5417">
        <v>1</v>
      </c>
      <c r="X5417">
        <v>2</v>
      </c>
      <c r="Y5417">
        <v>0</v>
      </c>
      <c r="Z5417">
        <v>2</v>
      </c>
      <c r="AA5417">
        <v>173.93</v>
      </c>
      <c r="AB5417">
        <v>173.93</v>
      </c>
      <c r="AC5417">
        <v>153.04</v>
      </c>
      <c r="AD5417">
        <v>0</v>
      </c>
      <c r="AE5417">
        <v>20.89</v>
      </c>
      <c r="AF5417">
        <v>0</v>
      </c>
      <c r="AG5417">
        <v>0</v>
      </c>
      <c r="AH5417">
        <v>0</v>
      </c>
      <c r="AI5417">
        <v>31.31</v>
      </c>
      <c r="AJ5417">
        <v>173.93</v>
      </c>
      <c r="AK5417">
        <v>0</v>
      </c>
      <c r="AL5417" t="s">
        <v>53</v>
      </c>
      <c r="AM5417" t="s">
        <v>53</v>
      </c>
      <c r="AN5417" t="s">
        <v>53</v>
      </c>
      <c r="AO5417" t="s">
        <v>53</v>
      </c>
      <c r="AP5417" t="s">
        <v>53</v>
      </c>
    </row>
    <row r="5418" spans="2:42" x14ac:dyDescent="0.2">
      <c r="B5418" t="s">
        <v>44</v>
      </c>
      <c r="C5418" t="str">
        <f>HYPERLINK("https://us2.cloudbeds.com/connect/8493803454333002#/reservations/9080486846286627?display=2JW5B7XK9Y&amp;reservation_id=9080486846286627", "2JW5B7XK9Y")</f>
        <v>2JW5B7XK9Y</v>
      </c>
      <c r="D5418" t="s">
        <v>45</v>
      </c>
      <c r="E5418" t="s">
        <v>155</v>
      </c>
      <c r="F5418" t="s">
        <v>86</v>
      </c>
      <c r="G5418" t="s">
        <v>48</v>
      </c>
      <c r="H5418" t="s">
        <v>49</v>
      </c>
      <c r="I5418" t="s">
        <v>50</v>
      </c>
      <c r="J5418" t="s">
        <v>7751</v>
      </c>
      <c r="K5418" t="s">
        <v>8071</v>
      </c>
      <c r="L5418" t="s">
        <v>53</v>
      </c>
      <c r="N5418" t="s">
        <v>9599</v>
      </c>
      <c r="P5418" t="s">
        <v>55</v>
      </c>
      <c r="R5418" t="s">
        <v>53</v>
      </c>
      <c r="T5418" t="s">
        <v>9600</v>
      </c>
      <c r="U5418" t="s">
        <v>58</v>
      </c>
      <c r="V5418">
        <v>1</v>
      </c>
      <c r="W5418">
        <v>1</v>
      </c>
      <c r="X5418">
        <v>2</v>
      </c>
      <c r="Y5418">
        <v>0</v>
      </c>
      <c r="Z5418">
        <v>2</v>
      </c>
      <c r="AA5418">
        <v>173.93</v>
      </c>
      <c r="AB5418">
        <v>173.93</v>
      </c>
      <c r="AC5418">
        <v>153.04</v>
      </c>
      <c r="AD5418">
        <v>0</v>
      </c>
      <c r="AE5418">
        <v>20.89</v>
      </c>
      <c r="AF5418">
        <v>0</v>
      </c>
      <c r="AG5418">
        <v>0</v>
      </c>
      <c r="AH5418">
        <v>0</v>
      </c>
      <c r="AI5418">
        <v>31.31</v>
      </c>
      <c r="AJ5418">
        <v>173.93</v>
      </c>
      <c r="AK5418">
        <v>0</v>
      </c>
      <c r="AL5418" t="s">
        <v>53</v>
      </c>
      <c r="AM5418" t="s">
        <v>53</v>
      </c>
      <c r="AN5418" t="s">
        <v>53</v>
      </c>
      <c r="AO5418" t="s">
        <v>53</v>
      </c>
      <c r="AP5418" t="s">
        <v>53</v>
      </c>
    </row>
    <row r="5419" spans="2:42" x14ac:dyDescent="0.2">
      <c r="B5419" t="s">
        <v>44</v>
      </c>
      <c r="C5419" t="str">
        <f>HYPERLINK("https://us2.cloudbeds.com/connect/8493803454333002#/reservations/9080486846286837?display=2JWBJFP64B&amp;reservation_id=9080486846286837", "2JWBJFP64B")</f>
        <v>2JWBJFP64B</v>
      </c>
      <c r="D5419" t="s">
        <v>45</v>
      </c>
      <c r="E5419" t="s">
        <v>46</v>
      </c>
      <c r="F5419" t="s">
        <v>47</v>
      </c>
      <c r="G5419" t="s">
        <v>48</v>
      </c>
      <c r="H5419" t="s">
        <v>49</v>
      </c>
      <c r="I5419" t="s">
        <v>50</v>
      </c>
      <c r="J5419" t="s">
        <v>6397</v>
      </c>
      <c r="K5419" t="s">
        <v>7152</v>
      </c>
      <c r="L5419" t="s">
        <v>53</v>
      </c>
      <c r="N5419" t="s">
        <v>9601</v>
      </c>
      <c r="P5419" t="s">
        <v>55</v>
      </c>
      <c r="R5419" t="s">
        <v>53</v>
      </c>
      <c r="T5419" t="s">
        <v>9602</v>
      </c>
      <c r="U5419" t="s">
        <v>58</v>
      </c>
      <c r="V5419">
        <v>1</v>
      </c>
      <c r="W5419">
        <v>1</v>
      </c>
      <c r="X5419">
        <v>2</v>
      </c>
      <c r="Y5419">
        <v>0</v>
      </c>
      <c r="Z5419">
        <v>2</v>
      </c>
      <c r="AA5419">
        <v>163.66</v>
      </c>
      <c r="AB5419">
        <v>163.66</v>
      </c>
      <c r="AC5419">
        <v>144</v>
      </c>
      <c r="AD5419">
        <v>0</v>
      </c>
      <c r="AE5419">
        <v>19.66</v>
      </c>
      <c r="AF5419">
        <v>0</v>
      </c>
      <c r="AG5419">
        <v>0</v>
      </c>
      <c r="AH5419">
        <v>0</v>
      </c>
      <c r="AI5419">
        <v>29.46</v>
      </c>
      <c r="AJ5419">
        <v>163.66</v>
      </c>
      <c r="AK5419">
        <v>0</v>
      </c>
      <c r="AL5419" t="s">
        <v>53</v>
      </c>
      <c r="AM5419" t="s">
        <v>53</v>
      </c>
      <c r="AN5419" t="s">
        <v>53</v>
      </c>
      <c r="AO5419" t="s">
        <v>53</v>
      </c>
      <c r="AP5419" t="s">
        <v>53</v>
      </c>
    </row>
    <row r="5420" spans="2:42" x14ac:dyDescent="0.2">
      <c r="B5420" t="s">
        <v>44</v>
      </c>
      <c r="C5420" t="str">
        <f>HYPERLINK("https://us2.cloudbeds.com/connect/8493803454333002#/reservations/120929361768646?display=2JWG4G12TB&amp;reservation_id=120929361768646", "2JWG4G12TB")</f>
        <v>2JWG4G12TB</v>
      </c>
      <c r="D5420" t="s">
        <v>45</v>
      </c>
      <c r="E5420" t="s">
        <v>9603</v>
      </c>
      <c r="F5420" t="s">
        <v>5444</v>
      </c>
      <c r="G5420" t="s">
        <v>9604</v>
      </c>
      <c r="H5420" t="s">
        <v>3957</v>
      </c>
      <c r="I5420" t="s">
        <v>3958</v>
      </c>
      <c r="J5420" t="s">
        <v>6397</v>
      </c>
      <c r="K5420" t="s">
        <v>7962</v>
      </c>
      <c r="L5420" t="s">
        <v>53</v>
      </c>
      <c r="P5420" t="s">
        <v>55</v>
      </c>
      <c r="R5420" t="s">
        <v>56</v>
      </c>
      <c r="T5420" t="s">
        <v>9605</v>
      </c>
      <c r="U5420" t="s">
        <v>58</v>
      </c>
      <c r="V5420">
        <v>4</v>
      </c>
      <c r="W5420">
        <v>3</v>
      </c>
      <c r="X5420">
        <v>3</v>
      </c>
      <c r="Y5420">
        <v>0</v>
      </c>
      <c r="Z5420">
        <v>3</v>
      </c>
      <c r="AA5420">
        <v>662.81</v>
      </c>
      <c r="AB5420">
        <v>679.09</v>
      </c>
      <c r="AC5420">
        <v>583.20000000000005</v>
      </c>
      <c r="AD5420">
        <v>15</v>
      </c>
      <c r="AE5420">
        <v>80.89</v>
      </c>
      <c r="AF5420">
        <v>0</v>
      </c>
      <c r="AG5420">
        <v>0</v>
      </c>
      <c r="AH5420">
        <v>0</v>
      </c>
      <c r="AI5420">
        <v>0</v>
      </c>
      <c r="AJ5420">
        <v>679.09</v>
      </c>
      <c r="AK5420">
        <v>0</v>
      </c>
      <c r="AL5420" t="s">
        <v>53</v>
      </c>
      <c r="AM5420" t="s">
        <v>53</v>
      </c>
      <c r="AN5420" t="s">
        <v>53</v>
      </c>
      <c r="AO5420" t="s">
        <v>53</v>
      </c>
      <c r="AP5420" t="s">
        <v>53</v>
      </c>
    </row>
    <row r="5421" spans="2:42" x14ac:dyDescent="0.2">
      <c r="B5421" t="s">
        <v>44</v>
      </c>
      <c r="C5421" t="str">
        <f>HYPERLINK("https://us2.cloudbeds.com/connect/8493803454333002#/reservations/9080486846287607?display=2K03JXDRR9&amp;reservation_id=9080486846287607", "2K03JXDRR9")</f>
        <v>2K03JXDRR9</v>
      </c>
      <c r="D5421" t="s">
        <v>45</v>
      </c>
      <c r="E5421" t="s">
        <v>128</v>
      </c>
      <c r="F5421" t="s">
        <v>86</v>
      </c>
      <c r="G5421" t="s">
        <v>48</v>
      </c>
      <c r="H5421" t="s">
        <v>49</v>
      </c>
      <c r="I5421" t="s">
        <v>50</v>
      </c>
      <c r="J5421" t="s">
        <v>7962</v>
      </c>
      <c r="K5421" t="s">
        <v>7821</v>
      </c>
      <c r="L5421" t="s">
        <v>53</v>
      </c>
      <c r="N5421" t="s">
        <v>9606</v>
      </c>
      <c r="P5421" t="s">
        <v>55</v>
      </c>
      <c r="R5421" t="s">
        <v>53</v>
      </c>
      <c r="T5421" t="s">
        <v>9607</v>
      </c>
      <c r="U5421" t="s">
        <v>58</v>
      </c>
      <c r="V5421">
        <v>1</v>
      </c>
      <c r="W5421">
        <v>1</v>
      </c>
      <c r="X5421">
        <v>2</v>
      </c>
      <c r="Y5421">
        <v>0</v>
      </c>
      <c r="Z5421">
        <v>2</v>
      </c>
      <c r="AA5421">
        <v>155.47999999999999</v>
      </c>
      <c r="AB5421">
        <v>155.47999999999999</v>
      </c>
      <c r="AC5421">
        <v>136.80000000000001</v>
      </c>
      <c r="AD5421">
        <v>0</v>
      </c>
      <c r="AE5421">
        <v>18.68</v>
      </c>
      <c r="AF5421">
        <v>0</v>
      </c>
      <c r="AG5421">
        <v>0</v>
      </c>
      <c r="AH5421">
        <v>0</v>
      </c>
      <c r="AI5421">
        <v>27.99</v>
      </c>
      <c r="AJ5421">
        <v>155.47999999999999</v>
      </c>
      <c r="AK5421">
        <v>0</v>
      </c>
      <c r="AL5421" t="s">
        <v>53</v>
      </c>
      <c r="AM5421" t="s">
        <v>53</v>
      </c>
      <c r="AN5421" t="s">
        <v>53</v>
      </c>
      <c r="AO5421" t="s">
        <v>53</v>
      </c>
      <c r="AP5421" t="s">
        <v>53</v>
      </c>
    </row>
    <row r="5422" spans="2:42" x14ac:dyDescent="0.2">
      <c r="B5422" t="s">
        <v>44</v>
      </c>
      <c r="C5422" t="str">
        <f>HYPERLINK("https://us2.cloudbeds.com/connect/8493803454333002#/reservations/9080486846288993?display=2K1F1Z115J&amp;reservation_id=9080486846288993", "2K1F1Z115J")</f>
        <v>2K1F1Z115J</v>
      </c>
      <c r="D5422" t="s">
        <v>45</v>
      </c>
      <c r="E5422" t="s">
        <v>113</v>
      </c>
      <c r="F5422" t="s">
        <v>61</v>
      </c>
      <c r="G5422" t="s">
        <v>48</v>
      </c>
      <c r="H5422" t="s">
        <v>49</v>
      </c>
      <c r="I5422" t="s">
        <v>62</v>
      </c>
      <c r="J5422" t="s">
        <v>8816</v>
      </c>
      <c r="K5422" t="s">
        <v>6373</v>
      </c>
      <c r="L5422" t="s">
        <v>53</v>
      </c>
      <c r="N5422" t="s">
        <v>9608</v>
      </c>
      <c r="P5422" t="s">
        <v>55</v>
      </c>
      <c r="R5422" t="s">
        <v>56</v>
      </c>
      <c r="T5422" t="s">
        <v>9609</v>
      </c>
      <c r="U5422" t="s">
        <v>55</v>
      </c>
      <c r="V5422">
        <v>1</v>
      </c>
      <c r="W5422">
        <v>1</v>
      </c>
      <c r="X5422">
        <v>2</v>
      </c>
      <c r="Y5422">
        <v>0</v>
      </c>
      <c r="Z5422">
        <v>2</v>
      </c>
      <c r="AA5422">
        <v>212.8</v>
      </c>
      <c r="AB5422">
        <v>212.8</v>
      </c>
      <c r="AC5422">
        <v>212.8</v>
      </c>
      <c r="AD5422">
        <v>0</v>
      </c>
      <c r="AE5422">
        <v>0</v>
      </c>
      <c r="AF5422">
        <v>0</v>
      </c>
      <c r="AG5422">
        <v>0</v>
      </c>
      <c r="AH5422">
        <v>0</v>
      </c>
      <c r="AI5422">
        <v>38.299999999999997</v>
      </c>
      <c r="AJ5422">
        <v>212.8</v>
      </c>
      <c r="AK5422">
        <v>0</v>
      </c>
      <c r="AL5422" t="s">
        <v>53</v>
      </c>
      <c r="AM5422" t="s">
        <v>53</v>
      </c>
      <c r="AN5422" t="s">
        <v>53</v>
      </c>
      <c r="AO5422" t="s">
        <v>53</v>
      </c>
      <c r="AP5422" t="s">
        <v>53</v>
      </c>
    </row>
    <row r="5423" spans="2:42" x14ac:dyDescent="0.2">
      <c r="B5423" t="s">
        <v>44</v>
      </c>
      <c r="C5423" t="str">
        <f>HYPERLINK("https://us2.cloudbeds.com/connect/8493803454333002#/reservations/9080486846289408?display=2K1TQ0NCPN&amp;reservation_id=9080486846289408", "2K1TQ0NCPN")</f>
        <v>2K1TQ0NCPN</v>
      </c>
      <c r="D5423" t="s">
        <v>45</v>
      </c>
      <c r="E5423" t="s">
        <v>165</v>
      </c>
      <c r="F5423" t="s">
        <v>61</v>
      </c>
      <c r="G5423" t="s">
        <v>48</v>
      </c>
      <c r="H5423" t="s">
        <v>49</v>
      </c>
      <c r="I5423" t="s">
        <v>50</v>
      </c>
      <c r="J5423" t="s">
        <v>9610</v>
      </c>
      <c r="K5423" t="s">
        <v>8437</v>
      </c>
      <c r="L5423" t="s">
        <v>53</v>
      </c>
      <c r="N5423" t="s">
        <v>9611</v>
      </c>
      <c r="P5423" t="s">
        <v>55</v>
      </c>
      <c r="R5423" t="s">
        <v>53</v>
      </c>
      <c r="T5423" t="s">
        <v>9612</v>
      </c>
      <c r="U5423" t="s">
        <v>58</v>
      </c>
      <c r="V5423">
        <v>4</v>
      </c>
      <c r="W5423">
        <v>1</v>
      </c>
      <c r="X5423">
        <v>2</v>
      </c>
      <c r="Y5423">
        <v>0</v>
      </c>
      <c r="Z5423">
        <v>2</v>
      </c>
      <c r="AA5423">
        <v>831.6</v>
      </c>
      <c r="AB5423">
        <v>831.6</v>
      </c>
      <c r="AC5423">
        <v>731.7</v>
      </c>
      <c r="AD5423">
        <v>0</v>
      </c>
      <c r="AE5423">
        <v>99.9</v>
      </c>
      <c r="AF5423">
        <v>0</v>
      </c>
      <c r="AG5423">
        <v>0</v>
      </c>
      <c r="AH5423">
        <v>0</v>
      </c>
      <c r="AI5423">
        <v>149.69</v>
      </c>
      <c r="AJ5423">
        <v>831.6</v>
      </c>
      <c r="AK5423">
        <v>0</v>
      </c>
      <c r="AL5423" t="s">
        <v>53</v>
      </c>
      <c r="AM5423" t="s">
        <v>53</v>
      </c>
      <c r="AN5423" t="s">
        <v>9613</v>
      </c>
      <c r="AO5423" t="s">
        <v>53</v>
      </c>
      <c r="AP5423" t="s">
        <v>53</v>
      </c>
    </row>
    <row r="5424" spans="2:42" x14ac:dyDescent="0.2">
      <c r="B5424" t="s">
        <v>44</v>
      </c>
      <c r="C5424" t="str">
        <f>HYPERLINK("https://us2.cloudbeds.com/connect/8493803454333002#/reservations/9080486846289589?display=2K24KSRG65&amp;reservation_id=9080486846289589", "2K24KSRG65")</f>
        <v>2K24KSRG65</v>
      </c>
      <c r="D5424" t="s">
        <v>45</v>
      </c>
      <c r="E5424" t="s">
        <v>78</v>
      </c>
      <c r="F5424" t="s">
        <v>61</v>
      </c>
      <c r="G5424" t="s">
        <v>48</v>
      </c>
      <c r="H5424" t="s">
        <v>49</v>
      </c>
      <c r="I5424" t="s">
        <v>50</v>
      </c>
      <c r="J5424" t="s">
        <v>7803</v>
      </c>
      <c r="K5424" t="s">
        <v>7750</v>
      </c>
      <c r="L5424" t="s">
        <v>53</v>
      </c>
      <c r="N5424" t="s">
        <v>9614</v>
      </c>
      <c r="P5424" t="s">
        <v>55</v>
      </c>
      <c r="R5424" t="s">
        <v>53</v>
      </c>
      <c r="T5424" t="s">
        <v>9615</v>
      </c>
      <c r="U5424" t="s">
        <v>58</v>
      </c>
      <c r="V5424">
        <v>4</v>
      </c>
      <c r="W5424">
        <v>1</v>
      </c>
      <c r="X5424">
        <v>2</v>
      </c>
      <c r="Y5424">
        <v>0</v>
      </c>
      <c r="Z5424">
        <v>2</v>
      </c>
      <c r="AA5424">
        <v>635.04999999999995</v>
      </c>
      <c r="AB5424">
        <v>643.17999999999995</v>
      </c>
      <c r="AC5424">
        <v>558.79</v>
      </c>
      <c r="AD5424">
        <v>7.5</v>
      </c>
      <c r="AE5424">
        <v>76.89</v>
      </c>
      <c r="AF5424">
        <v>0</v>
      </c>
      <c r="AG5424">
        <v>0</v>
      </c>
      <c r="AH5424">
        <v>0</v>
      </c>
      <c r="AI5424">
        <v>115.77</v>
      </c>
      <c r="AJ5424">
        <v>643.17999999999995</v>
      </c>
      <c r="AK5424">
        <v>0</v>
      </c>
      <c r="AL5424" t="s">
        <v>53</v>
      </c>
      <c r="AM5424" t="s">
        <v>53</v>
      </c>
      <c r="AN5424" t="s">
        <v>53</v>
      </c>
      <c r="AO5424" t="s">
        <v>53</v>
      </c>
      <c r="AP5424" t="s">
        <v>53</v>
      </c>
    </row>
    <row r="5425" spans="2:42" x14ac:dyDescent="0.2">
      <c r="B5425" t="s">
        <v>44</v>
      </c>
      <c r="C5425" t="str">
        <f>HYPERLINK("https://us2.cloudbeds.com/connect/8493803454333002#/reservations/9080486846289761?display=2K2DMXR1A5&amp;reservation_id=9080486846289761", "2K2DMXR1A5")</f>
        <v>2K2DMXR1A5</v>
      </c>
      <c r="D5425" t="s">
        <v>45</v>
      </c>
      <c r="E5425" t="s">
        <v>381</v>
      </c>
      <c r="F5425" t="s">
        <v>47</v>
      </c>
      <c r="G5425" t="s">
        <v>48</v>
      </c>
      <c r="H5425" t="s">
        <v>49</v>
      </c>
      <c r="I5425" t="s">
        <v>50</v>
      </c>
      <c r="J5425" t="s">
        <v>8911</v>
      </c>
      <c r="K5425" t="s">
        <v>9135</v>
      </c>
      <c r="L5425" t="s">
        <v>53</v>
      </c>
      <c r="N5425" t="s">
        <v>9616</v>
      </c>
      <c r="P5425" t="s">
        <v>55</v>
      </c>
      <c r="R5425" t="s">
        <v>53</v>
      </c>
      <c r="T5425" t="s">
        <v>9617</v>
      </c>
      <c r="U5425" t="s">
        <v>58</v>
      </c>
      <c r="V5425">
        <v>1</v>
      </c>
      <c r="W5425">
        <v>1</v>
      </c>
      <c r="X5425">
        <v>2</v>
      </c>
      <c r="Y5425">
        <v>0</v>
      </c>
      <c r="Z5425">
        <v>2</v>
      </c>
      <c r="AA5425">
        <v>147.29</v>
      </c>
      <c r="AB5425">
        <v>147.29</v>
      </c>
      <c r="AC5425">
        <v>129.6</v>
      </c>
      <c r="AD5425">
        <v>0</v>
      </c>
      <c r="AE5425">
        <v>17.690000000000001</v>
      </c>
      <c r="AF5425">
        <v>0</v>
      </c>
      <c r="AG5425">
        <v>0</v>
      </c>
      <c r="AH5425">
        <v>0</v>
      </c>
      <c r="AI5425">
        <v>26.51</v>
      </c>
      <c r="AJ5425">
        <v>147.29</v>
      </c>
      <c r="AK5425">
        <v>0</v>
      </c>
      <c r="AL5425" t="s">
        <v>53</v>
      </c>
      <c r="AM5425" t="s">
        <v>53</v>
      </c>
      <c r="AN5425" t="s">
        <v>53</v>
      </c>
      <c r="AO5425" t="s">
        <v>53</v>
      </c>
      <c r="AP5425" t="s">
        <v>53</v>
      </c>
    </row>
    <row r="5426" spans="2:42" x14ac:dyDescent="0.2">
      <c r="B5426" t="s">
        <v>44</v>
      </c>
      <c r="C5426" t="str">
        <f>HYPERLINK("https://us2.cloudbeds.com/connect/8493803454333002#/reservations/9080486846289783?display=2K2ER1VPXJ&amp;reservation_id=9080486846289783", "2K2ER1VPXJ")</f>
        <v>2K2ER1VPXJ</v>
      </c>
      <c r="D5426" t="s">
        <v>45</v>
      </c>
      <c r="E5426" t="s">
        <v>46</v>
      </c>
      <c r="F5426" t="s">
        <v>47</v>
      </c>
      <c r="G5426" t="s">
        <v>48</v>
      </c>
      <c r="H5426" t="s">
        <v>49</v>
      </c>
      <c r="I5426" t="s">
        <v>50</v>
      </c>
      <c r="J5426" t="s">
        <v>7152</v>
      </c>
      <c r="K5426" t="s">
        <v>7962</v>
      </c>
      <c r="L5426" t="s">
        <v>53</v>
      </c>
      <c r="N5426" t="s">
        <v>9618</v>
      </c>
      <c r="P5426" t="s">
        <v>55</v>
      </c>
      <c r="R5426" t="s">
        <v>53</v>
      </c>
      <c r="T5426" t="s">
        <v>9619</v>
      </c>
      <c r="U5426" t="s">
        <v>58</v>
      </c>
      <c r="V5426">
        <v>1</v>
      </c>
      <c r="W5426">
        <v>1</v>
      </c>
      <c r="X5426">
        <v>2</v>
      </c>
      <c r="Y5426">
        <v>0</v>
      </c>
      <c r="Z5426">
        <v>2</v>
      </c>
      <c r="AA5426">
        <v>148.31</v>
      </c>
      <c r="AB5426">
        <v>148.31</v>
      </c>
      <c r="AC5426">
        <v>130.5</v>
      </c>
      <c r="AD5426">
        <v>0</v>
      </c>
      <c r="AE5426">
        <v>17.809999999999999</v>
      </c>
      <c r="AF5426">
        <v>0</v>
      </c>
      <c r="AG5426">
        <v>0</v>
      </c>
      <c r="AH5426">
        <v>0</v>
      </c>
      <c r="AI5426">
        <v>26.7</v>
      </c>
      <c r="AJ5426">
        <v>148.31</v>
      </c>
      <c r="AK5426">
        <v>0</v>
      </c>
      <c r="AL5426" t="s">
        <v>53</v>
      </c>
      <c r="AM5426" t="s">
        <v>53</v>
      </c>
      <c r="AN5426" t="s">
        <v>53</v>
      </c>
      <c r="AO5426" t="s">
        <v>53</v>
      </c>
      <c r="AP5426" t="s">
        <v>53</v>
      </c>
    </row>
    <row r="5427" spans="2:42" x14ac:dyDescent="0.2">
      <c r="B5427" t="s">
        <v>44</v>
      </c>
      <c r="C5427" t="str">
        <f>HYPERLINK("https://us2.cloudbeds.com/connect/8493803454333002#/reservations/9080486846289863?display=2K2J3AX04N&amp;reservation_id=9080486846289863", "2K2J3AX04N")</f>
        <v>2K2J3AX04N</v>
      </c>
      <c r="D5427" t="s">
        <v>45</v>
      </c>
      <c r="E5427" t="s">
        <v>78</v>
      </c>
      <c r="F5427" t="s">
        <v>61</v>
      </c>
      <c r="G5427" t="s">
        <v>48</v>
      </c>
      <c r="H5427" t="s">
        <v>49</v>
      </c>
      <c r="I5427" t="s">
        <v>50</v>
      </c>
      <c r="J5427" t="s">
        <v>9610</v>
      </c>
      <c r="K5427" t="s">
        <v>9620</v>
      </c>
      <c r="L5427" t="s">
        <v>53</v>
      </c>
      <c r="N5427" t="s">
        <v>9621</v>
      </c>
      <c r="P5427" t="s">
        <v>55</v>
      </c>
      <c r="R5427" t="s">
        <v>53</v>
      </c>
      <c r="T5427" t="s">
        <v>9622</v>
      </c>
      <c r="U5427" t="s">
        <v>58</v>
      </c>
      <c r="V5427">
        <v>2</v>
      </c>
      <c r="W5427">
        <v>1</v>
      </c>
      <c r="X5427">
        <v>2</v>
      </c>
      <c r="Y5427">
        <v>0</v>
      </c>
      <c r="Z5427">
        <v>2</v>
      </c>
      <c r="AA5427">
        <v>347.32</v>
      </c>
      <c r="AB5427">
        <v>347.32</v>
      </c>
      <c r="AC5427">
        <v>305.60000000000002</v>
      </c>
      <c r="AD5427">
        <v>0</v>
      </c>
      <c r="AE5427">
        <v>41.72</v>
      </c>
      <c r="AF5427">
        <v>0</v>
      </c>
      <c r="AG5427">
        <v>0</v>
      </c>
      <c r="AH5427">
        <v>0</v>
      </c>
      <c r="AI5427">
        <v>62.52</v>
      </c>
      <c r="AJ5427">
        <v>347.32</v>
      </c>
      <c r="AK5427">
        <v>0</v>
      </c>
      <c r="AL5427" t="s">
        <v>53</v>
      </c>
      <c r="AM5427" t="s">
        <v>53</v>
      </c>
      <c r="AN5427" t="s">
        <v>53</v>
      </c>
      <c r="AO5427" t="s">
        <v>53</v>
      </c>
      <c r="AP5427" t="s">
        <v>53</v>
      </c>
    </row>
    <row r="5428" spans="2:42" x14ac:dyDescent="0.2">
      <c r="B5428" t="s">
        <v>44</v>
      </c>
      <c r="C5428" t="str">
        <f>HYPERLINK("https://us2.cloudbeds.com/connect/8493803454333002#/reservations/121065542635760?display=2K2MJ7BF67&amp;reservation_id=121065542635760", "2K2MJ7BF67")</f>
        <v>2K2MJ7BF67</v>
      </c>
      <c r="D5428" t="s">
        <v>45</v>
      </c>
      <c r="E5428" t="s">
        <v>213</v>
      </c>
      <c r="F5428" t="s">
        <v>86</v>
      </c>
      <c r="G5428" t="s">
        <v>48</v>
      </c>
      <c r="H5428" t="s">
        <v>3957</v>
      </c>
      <c r="I5428" t="s">
        <v>3975</v>
      </c>
      <c r="J5428" t="s">
        <v>7803</v>
      </c>
      <c r="K5428" t="s">
        <v>8391</v>
      </c>
      <c r="L5428" t="s">
        <v>53</v>
      </c>
      <c r="P5428" t="s">
        <v>55</v>
      </c>
      <c r="R5428" t="s">
        <v>53</v>
      </c>
      <c r="T5428" t="s">
        <v>9623</v>
      </c>
      <c r="U5428" t="s">
        <v>58</v>
      </c>
      <c r="V5428">
        <v>1</v>
      </c>
      <c r="W5428">
        <v>1</v>
      </c>
      <c r="X5428">
        <v>2</v>
      </c>
      <c r="Y5428">
        <v>0</v>
      </c>
      <c r="Z5428">
        <v>2</v>
      </c>
      <c r="AA5428">
        <v>188.66</v>
      </c>
      <c r="AB5428">
        <v>188.66</v>
      </c>
      <c r="AC5428">
        <v>166</v>
      </c>
      <c r="AD5428">
        <v>0</v>
      </c>
      <c r="AE5428">
        <v>22.66</v>
      </c>
      <c r="AF5428">
        <v>0</v>
      </c>
      <c r="AG5428">
        <v>0</v>
      </c>
      <c r="AH5428">
        <v>0</v>
      </c>
      <c r="AI5428">
        <v>0</v>
      </c>
      <c r="AJ5428">
        <v>188.66</v>
      </c>
      <c r="AK5428">
        <v>0</v>
      </c>
      <c r="AL5428" t="s">
        <v>53</v>
      </c>
      <c r="AM5428" t="s">
        <v>53</v>
      </c>
      <c r="AN5428" t="s">
        <v>53</v>
      </c>
      <c r="AO5428" t="s">
        <v>53</v>
      </c>
      <c r="AP5428" t="s">
        <v>53</v>
      </c>
    </row>
    <row r="5429" spans="2:42" x14ac:dyDescent="0.2">
      <c r="B5429" t="s">
        <v>44</v>
      </c>
      <c r="C5429" t="str">
        <f>HYPERLINK("https://us2.cloudbeds.com/connect/8493803454333002#/reservations/9080486846290021?display=2K2QK4ZPZA&amp;reservation_id=9080486846290021", "2K2QK4ZPZA")</f>
        <v>2K2QK4ZPZA</v>
      </c>
      <c r="D5429" t="s">
        <v>45</v>
      </c>
      <c r="E5429" t="s">
        <v>113</v>
      </c>
      <c r="F5429" t="s">
        <v>61</v>
      </c>
      <c r="G5429" t="s">
        <v>48</v>
      </c>
      <c r="H5429" t="s">
        <v>49</v>
      </c>
      <c r="I5429" t="s">
        <v>62</v>
      </c>
      <c r="J5429" t="s">
        <v>7152</v>
      </c>
      <c r="K5429" t="s">
        <v>7962</v>
      </c>
      <c r="L5429" t="s">
        <v>53</v>
      </c>
      <c r="N5429" t="s">
        <v>9624</v>
      </c>
      <c r="P5429" t="s">
        <v>55</v>
      </c>
      <c r="R5429" t="s">
        <v>56</v>
      </c>
      <c r="T5429" t="s">
        <v>9625</v>
      </c>
      <c r="U5429" t="s">
        <v>55</v>
      </c>
      <c r="V5429">
        <v>1</v>
      </c>
      <c r="W5429">
        <v>1</v>
      </c>
      <c r="X5429">
        <v>2</v>
      </c>
      <c r="Y5429">
        <v>0</v>
      </c>
      <c r="Z5429">
        <v>2</v>
      </c>
      <c r="AA5429">
        <v>154</v>
      </c>
      <c r="AB5429">
        <v>154</v>
      </c>
      <c r="AC5429">
        <v>154</v>
      </c>
      <c r="AD5429">
        <v>0</v>
      </c>
      <c r="AE5429">
        <v>0</v>
      </c>
      <c r="AF5429">
        <v>0</v>
      </c>
      <c r="AG5429">
        <v>0</v>
      </c>
      <c r="AH5429">
        <v>0</v>
      </c>
      <c r="AI5429">
        <v>27.72</v>
      </c>
      <c r="AJ5429">
        <v>154</v>
      </c>
      <c r="AK5429">
        <v>0</v>
      </c>
      <c r="AL5429" t="s">
        <v>53</v>
      </c>
      <c r="AM5429" t="s">
        <v>53</v>
      </c>
      <c r="AN5429" t="s">
        <v>53</v>
      </c>
      <c r="AO5429" t="s">
        <v>53</v>
      </c>
      <c r="AP5429" t="s">
        <v>53</v>
      </c>
    </row>
    <row r="5430" spans="2:42" x14ac:dyDescent="0.2">
      <c r="B5430" t="s">
        <v>44</v>
      </c>
      <c r="C5430" t="str">
        <f>HYPERLINK("https://us2.cloudbeds.com/connect/8493803454333002#/reservations/9080486846290026?display=2K2QKZ24XJ&amp;reservation_id=9080486846290026", "2K2QKZ24XJ")</f>
        <v>2K2QKZ24XJ</v>
      </c>
      <c r="D5430" t="s">
        <v>45</v>
      </c>
      <c r="E5430" t="s">
        <v>113</v>
      </c>
      <c r="F5430" t="s">
        <v>61</v>
      </c>
      <c r="G5430" t="s">
        <v>48</v>
      </c>
      <c r="H5430" t="s">
        <v>49</v>
      </c>
      <c r="I5430" t="s">
        <v>50</v>
      </c>
      <c r="J5430" t="s">
        <v>7962</v>
      </c>
      <c r="K5430" t="s">
        <v>7821</v>
      </c>
      <c r="L5430" t="s">
        <v>53</v>
      </c>
      <c r="N5430" t="s">
        <v>9626</v>
      </c>
      <c r="P5430" t="s">
        <v>55</v>
      </c>
      <c r="R5430" t="s">
        <v>53</v>
      </c>
      <c r="T5430" t="s">
        <v>9627</v>
      </c>
      <c r="U5430" t="s">
        <v>58</v>
      </c>
      <c r="V5430">
        <v>1</v>
      </c>
      <c r="W5430">
        <v>1</v>
      </c>
      <c r="X5430">
        <v>2</v>
      </c>
      <c r="Y5430">
        <v>0</v>
      </c>
      <c r="Z5430">
        <v>2</v>
      </c>
      <c r="AA5430">
        <v>147.29</v>
      </c>
      <c r="AB5430">
        <v>147.29</v>
      </c>
      <c r="AC5430">
        <v>129.6</v>
      </c>
      <c r="AD5430">
        <v>0</v>
      </c>
      <c r="AE5430">
        <v>17.690000000000001</v>
      </c>
      <c r="AF5430">
        <v>0</v>
      </c>
      <c r="AG5430">
        <v>0</v>
      </c>
      <c r="AH5430">
        <v>0</v>
      </c>
      <c r="AI5430">
        <v>26.51</v>
      </c>
      <c r="AJ5430">
        <v>147.29</v>
      </c>
      <c r="AK5430">
        <v>0</v>
      </c>
      <c r="AL5430" t="s">
        <v>53</v>
      </c>
      <c r="AM5430" t="s">
        <v>53</v>
      </c>
      <c r="AN5430" t="s">
        <v>53</v>
      </c>
      <c r="AO5430" t="s">
        <v>53</v>
      </c>
      <c r="AP5430" t="s">
        <v>53</v>
      </c>
    </row>
    <row r="5431" spans="2:42" x14ac:dyDescent="0.2">
      <c r="B5431" t="s">
        <v>44</v>
      </c>
      <c r="C5431" t="str">
        <f>HYPERLINK("https://us2.cloudbeds.com/connect/8493803454333002#/reservations/9080486846290411?display=2K3AAJTANG&amp;reservation_id=9080486846290411", "2K3AAJTANG")</f>
        <v>2K3AAJTANG</v>
      </c>
      <c r="D5431" t="s">
        <v>45</v>
      </c>
      <c r="E5431" t="s">
        <v>113</v>
      </c>
      <c r="F5431" t="s">
        <v>61</v>
      </c>
      <c r="G5431" t="s">
        <v>48</v>
      </c>
      <c r="H5431" t="s">
        <v>49</v>
      </c>
      <c r="I5431" t="s">
        <v>8964</v>
      </c>
      <c r="J5431" t="s">
        <v>7293</v>
      </c>
      <c r="K5431" t="s">
        <v>7931</v>
      </c>
      <c r="L5431" t="s">
        <v>53</v>
      </c>
      <c r="N5431" t="s">
        <v>9628</v>
      </c>
      <c r="P5431" t="s">
        <v>55</v>
      </c>
      <c r="R5431" t="s">
        <v>53</v>
      </c>
      <c r="T5431" t="s">
        <v>9629</v>
      </c>
      <c r="U5431" t="s">
        <v>58</v>
      </c>
      <c r="V5431">
        <v>3</v>
      </c>
      <c r="W5431">
        <v>1</v>
      </c>
      <c r="X5431">
        <v>2</v>
      </c>
      <c r="Y5431">
        <v>0</v>
      </c>
      <c r="Z5431">
        <v>2</v>
      </c>
      <c r="AA5431">
        <v>0</v>
      </c>
      <c r="AB5431">
        <v>0</v>
      </c>
      <c r="AC5431">
        <v>634</v>
      </c>
      <c r="AD5431">
        <v>0</v>
      </c>
      <c r="AE5431">
        <v>0</v>
      </c>
      <c r="AF5431">
        <v>0</v>
      </c>
      <c r="AG5431">
        <v>0</v>
      </c>
      <c r="AH5431">
        <v>0</v>
      </c>
      <c r="AI5431">
        <v>95.1</v>
      </c>
      <c r="AJ5431">
        <v>634</v>
      </c>
      <c r="AK5431">
        <v>634</v>
      </c>
      <c r="AL5431" t="s">
        <v>53</v>
      </c>
      <c r="AM5431" t="s">
        <v>53</v>
      </c>
      <c r="AN5431" t="s">
        <v>53</v>
      </c>
      <c r="AO5431" t="s">
        <v>53</v>
      </c>
      <c r="AP5431" t="s">
        <v>53</v>
      </c>
    </row>
    <row r="5432" spans="2:42" x14ac:dyDescent="0.2">
      <c r="B5432" t="s">
        <v>44</v>
      </c>
      <c r="C5432" t="str">
        <f>HYPERLINK("https://us2.cloudbeds.com/connect/8493803454333002#/reservations/9080486846290547?display=2K3HU8Q2D4&amp;reservation_id=9080486846290547", "2K3HU8Q2D4")</f>
        <v>2K3HU8Q2D4</v>
      </c>
      <c r="D5432" t="s">
        <v>45</v>
      </c>
      <c r="E5432" t="s">
        <v>406</v>
      </c>
      <c r="F5432" t="s">
        <v>61</v>
      </c>
      <c r="G5432" t="s">
        <v>48</v>
      </c>
      <c r="H5432" t="s">
        <v>49</v>
      </c>
      <c r="I5432" t="s">
        <v>50</v>
      </c>
      <c r="J5432" t="s">
        <v>7962</v>
      </c>
      <c r="K5432" t="s">
        <v>7821</v>
      </c>
      <c r="L5432" t="s">
        <v>53</v>
      </c>
      <c r="N5432" t="s">
        <v>9630</v>
      </c>
      <c r="P5432" t="s">
        <v>55</v>
      </c>
      <c r="R5432" t="s">
        <v>53</v>
      </c>
      <c r="T5432" t="s">
        <v>9631</v>
      </c>
      <c r="U5432" t="s">
        <v>58</v>
      </c>
      <c r="V5432">
        <v>1</v>
      </c>
      <c r="W5432">
        <v>1</v>
      </c>
      <c r="X5432">
        <v>2</v>
      </c>
      <c r="Y5432">
        <v>0</v>
      </c>
      <c r="Z5432">
        <v>2</v>
      </c>
      <c r="AA5432">
        <v>147.29</v>
      </c>
      <c r="AB5432">
        <v>147.29</v>
      </c>
      <c r="AC5432">
        <v>129.6</v>
      </c>
      <c r="AD5432">
        <v>0</v>
      </c>
      <c r="AE5432">
        <v>17.690000000000001</v>
      </c>
      <c r="AF5432">
        <v>0</v>
      </c>
      <c r="AG5432">
        <v>0</v>
      </c>
      <c r="AH5432">
        <v>0</v>
      </c>
      <c r="AI5432">
        <v>26.51</v>
      </c>
      <c r="AJ5432">
        <v>147.29</v>
      </c>
      <c r="AK5432">
        <v>0</v>
      </c>
      <c r="AL5432" t="s">
        <v>53</v>
      </c>
      <c r="AM5432" t="s">
        <v>53</v>
      </c>
      <c r="AN5432" t="s">
        <v>53</v>
      </c>
      <c r="AO5432" t="s">
        <v>53</v>
      </c>
      <c r="AP5432" t="s">
        <v>53</v>
      </c>
    </row>
    <row r="5433" spans="2:42" x14ac:dyDescent="0.2">
      <c r="B5433" t="s">
        <v>44</v>
      </c>
      <c r="C5433" t="str">
        <f>HYPERLINK("https://us2.cloudbeds.com/connect/8493803454333002#/reservations/9080486846290604?display=2K3KUH3NXE&amp;reservation_id=9080486846290604", "2K3KUH3NXE")</f>
        <v>2K3KUH3NXE</v>
      </c>
      <c r="D5433" t="s">
        <v>45</v>
      </c>
      <c r="E5433" t="s">
        <v>69</v>
      </c>
      <c r="F5433" t="s">
        <v>70</v>
      </c>
      <c r="G5433" t="s">
        <v>48</v>
      </c>
      <c r="H5433" t="s">
        <v>49</v>
      </c>
      <c r="I5433" t="s">
        <v>50</v>
      </c>
      <c r="J5433" t="s">
        <v>7962</v>
      </c>
      <c r="K5433" t="s">
        <v>7821</v>
      </c>
      <c r="L5433" t="s">
        <v>53</v>
      </c>
      <c r="N5433" t="s">
        <v>9632</v>
      </c>
      <c r="P5433" t="s">
        <v>55</v>
      </c>
      <c r="R5433" t="s">
        <v>53</v>
      </c>
      <c r="T5433" t="s">
        <v>9633</v>
      </c>
      <c r="U5433" t="s">
        <v>58</v>
      </c>
      <c r="V5433">
        <v>1</v>
      </c>
      <c r="W5433">
        <v>1</v>
      </c>
      <c r="X5433">
        <v>2</v>
      </c>
      <c r="Y5433">
        <v>0</v>
      </c>
      <c r="Z5433">
        <v>2</v>
      </c>
      <c r="AA5433">
        <v>115.47</v>
      </c>
      <c r="AB5433">
        <v>115.47</v>
      </c>
      <c r="AC5433">
        <v>101.6</v>
      </c>
      <c r="AD5433">
        <v>0</v>
      </c>
      <c r="AE5433">
        <v>13.87</v>
      </c>
      <c r="AF5433">
        <v>0</v>
      </c>
      <c r="AG5433">
        <v>0</v>
      </c>
      <c r="AH5433">
        <v>0</v>
      </c>
      <c r="AI5433">
        <v>20.78</v>
      </c>
      <c r="AJ5433">
        <v>115.47</v>
      </c>
      <c r="AK5433">
        <v>0</v>
      </c>
      <c r="AL5433" t="s">
        <v>53</v>
      </c>
      <c r="AM5433" t="s">
        <v>53</v>
      </c>
      <c r="AN5433" t="s">
        <v>53</v>
      </c>
      <c r="AO5433" t="s">
        <v>53</v>
      </c>
      <c r="AP5433" t="s">
        <v>53</v>
      </c>
    </row>
    <row r="5434" spans="2:42" x14ac:dyDescent="0.2">
      <c r="B5434" t="s">
        <v>44</v>
      </c>
      <c r="C5434" t="str">
        <f>HYPERLINK("https://us2.cloudbeds.com/connect/8493803454333002#/reservations/9080486846290722?display=2K3RN7K9S1&amp;reservation_id=9080486846290722", "2K3RN7K9S1")</f>
        <v>2K3RN7K9S1</v>
      </c>
      <c r="D5434" t="s">
        <v>45</v>
      </c>
      <c r="E5434" t="s">
        <v>155</v>
      </c>
      <c r="F5434" t="s">
        <v>86</v>
      </c>
      <c r="G5434" t="s">
        <v>48</v>
      </c>
      <c r="H5434" t="s">
        <v>49</v>
      </c>
      <c r="I5434" t="s">
        <v>50</v>
      </c>
      <c r="J5434" t="s">
        <v>7152</v>
      </c>
      <c r="K5434" t="s">
        <v>7821</v>
      </c>
      <c r="L5434" t="s">
        <v>53</v>
      </c>
      <c r="N5434" t="s">
        <v>9634</v>
      </c>
      <c r="P5434" t="s">
        <v>55</v>
      </c>
      <c r="R5434" t="s">
        <v>53</v>
      </c>
      <c r="T5434" t="s">
        <v>9635</v>
      </c>
      <c r="U5434" t="s">
        <v>58</v>
      </c>
      <c r="V5434">
        <v>2</v>
      </c>
      <c r="W5434">
        <v>1</v>
      </c>
      <c r="X5434">
        <v>2</v>
      </c>
      <c r="Y5434">
        <v>1</v>
      </c>
      <c r="Z5434">
        <v>3</v>
      </c>
      <c r="AA5434">
        <v>322.19</v>
      </c>
      <c r="AB5434">
        <v>322.19</v>
      </c>
      <c r="AC5434">
        <v>283.5</v>
      </c>
      <c r="AD5434">
        <v>0</v>
      </c>
      <c r="AE5434">
        <v>38.69</v>
      </c>
      <c r="AF5434">
        <v>0</v>
      </c>
      <c r="AG5434">
        <v>0</v>
      </c>
      <c r="AH5434">
        <v>0</v>
      </c>
      <c r="AI5434">
        <v>57.99</v>
      </c>
      <c r="AJ5434">
        <v>322.19</v>
      </c>
      <c r="AK5434">
        <v>0</v>
      </c>
      <c r="AL5434" t="s">
        <v>53</v>
      </c>
      <c r="AM5434" t="s">
        <v>53</v>
      </c>
      <c r="AN5434" t="s">
        <v>53</v>
      </c>
      <c r="AO5434" t="s">
        <v>53</v>
      </c>
      <c r="AP5434" t="s">
        <v>53</v>
      </c>
    </row>
    <row r="5435" spans="2:42" x14ac:dyDescent="0.2">
      <c r="B5435" t="s">
        <v>44</v>
      </c>
      <c r="C5435" t="str">
        <f>HYPERLINK("https://us2.cloudbeds.com/connect/8493803454333002#/reservations/9080486846290959?display=2K49N4ETNV&amp;reservation_id=9080486846290959", "2K49N4ETNV")</f>
        <v>2K49N4ETNV</v>
      </c>
      <c r="D5435" t="s">
        <v>45</v>
      </c>
      <c r="E5435" t="s">
        <v>121</v>
      </c>
      <c r="F5435" t="s">
        <v>86</v>
      </c>
      <c r="G5435" t="s">
        <v>48</v>
      </c>
      <c r="H5435" t="s">
        <v>49</v>
      </c>
      <c r="I5435" t="s">
        <v>62</v>
      </c>
      <c r="J5435" t="s">
        <v>7152</v>
      </c>
      <c r="K5435" t="s">
        <v>7962</v>
      </c>
      <c r="L5435" t="s">
        <v>53</v>
      </c>
      <c r="N5435" t="s">
        <v>9636</v>
      </c>
      <c r="P5435" t="s">
        <v>55</v>
      </c>
      <c r="R5435" t="s">
        <v>56</v>
      </c>
      <c r="T5435" t="s">
        <v>9637</v>
      </c>
      <c r="U5435" t="s">
        <v>55</v>
      </c>
      <c r="V5435">
        <v>1</v>
      </c>
      <c r="W5435">
        <v>1</v>
      </c>
      <c r="X5435">
        <v>4</v>
      </c>
      <c r="Y5435">
        <v>0</v>
      </c>
      <c r="Z5435">
        <v>4</v>
      </c>
      <c r="AA5435">
        <v>164</v>
      </c>
      <c r="AB5435">
        <v>164</v>
      </c>
      <c r="AC5435">
        <v>164</v>
      </c>
      <c r="AD5435">
        <v>0</v>
      </c>
      <c r="AE5435">
        <v>0</v>
      </c>
      <c r="AF5435">
        <v>0</v>
      </c>
      <c r="AG5435">
        <v>0</v>
      </c>
      <c r="AH5435">
        <v>0</v>
      </c>
      <c r="AI5435">
        <v>29.52</v>
      </c>
      <c r="AJ5435">
        <v>164</v>
      </c>
      <c r="AK5435">
        <v>0</v>
      </c>
      <c r="AL5435" t="s">
        <v>53</v>
      </c>
      <c r="AM5435" t="s">
        <v>53</v>
      </c>
      <c r="AN5435" t="s">
        <v>53</v>
      </c>
      <c r="AO5435" t="s">
        <v>53</v>
      </c>
      <c r="AP5435" t="s">
        <v>53</v>
      </c>
    </row>
    <row r="5436" spans="2:42" x14ac:dyDescent="0.2">
      <c r="B5436" t="s">
        <v>44</v>
      </c>
      <c r="C5436" t="str">
        <f>HYPERLINK("https://us2.cloudbeds.com/connect/8493803454333002#/reservations/9080486846292400?display=2K6PZWSJQA&amp;reservation_id=9080486846292400", "2K6PZWSJQA")</f>
        <v>2K6PZWSJQA</v>
      </c>
      <c r="D5436" t="s">
        <v>45</v>
      </c>
      <c r="E5436" t="s">
        <v>213</v>
      </c>
      <c r="F5436" t="s">
        <v>86</v>
      </c>
      <c r="G5436" t="s">
        <v>48</v>
      </c>
      <c r="H5436" t="s">
        <v>49</v>
      </c>
      <c r="I5436" t="s">
        <v>50</v>
      </c>
      <c r="J5436" t="s">
        <v>7962</v>
      </c>
      <c r="K5436" t="s">
        <v>7821</v>
      </c>
      <c r="L5436" t="s">
        <v>53</v>
      </c>
      <c r="N5436" t="s">
        <v>9638</v>
      </c>
      <c r="P5436" t="s">
        <v>55</v>
      </c>
      <c r="R5436" t="s">
        <v>53</v>
      </c>
      <c r="T5436" t="s">
        <v>9639</v>
      </c>
      <c r="U5436" t="s">
        <v>58</v>
      </c>
      <c r="V5436">
        <v>1</v>
      </c>
      <c r="W5436">
        <v>1</v>
      </c>
      <c r="X5436">
        <v>1</v>
      </c>
      <c r="Y5436">
        <v>1</v>
      </c>
      <c r="Z5436">
        <v>2</v>
      </c>
      <c r="AA5436">
        <v>147.80000000000001</v>
      </c>
      <c r="AB5436">
        <v>147.80000000000001</v>
      </c>
      <c r="AC5436">
        <v>130.05000000000001</v>
      </c>
      <c r="AD5436">
        <v>0</v>
      </c>
      <c r="AE5436">
        <v>17.75</v>
      </c>
      <c r="AF5436">
        <v>0</v>
      </c>
      <c r="AG5436">
        <v>0</v>
      </c>
      <c r="AH5436">
        <v>0</v>
      </c>
      <c r="AI5436">
        <v>26.6</v>
      </c>
      <c r="AJ5436">
        <v>147.80000000000001</v>
      </c>
      <c r="AK5436">
        <v>0</v>
      </c>
      <c r="AL5436" t="s">
        <v>53</v>
      </c>
      <c r="AM5436" t="s">
        <v>53</v>
      </c>
      <c r="AN5436" t="s">
        <v>53</v>
      </c>
      <c r="AO5436" t="s">
        <v>53</v>
      </c>
      <c r="AP5436" t="s">
        <v>53</v>
      </c>
    </row>
    <row r="5437" spans="2:42" x14ac:dyDescent="0.2">
      <c r="B5437" t="s">
        <v>44</v>
      </c>
      <c r="C5437" t="str">
        <f>HYPERLINK("https://us2.cloudbeds.com/connect/8493803454333002#/reservations/9080486846292493?display=2K6TVUC6K7&amp;reservation_id=9080486846292493", "2K6TVUC6K7")</f>
        <v>2K6TVUC6K7</v>
      </c>
      <c r="D5437" t="s">
        <v>45</v>
      </c>
      <c r="E5437" t="s">
        <v>138</v>
      </c>
      <c r="F5437" t="s">
        <v>70</v>
      </c>
      <c r="G5437" t="s">
        <v>48</v>
      </c>
      <c r="H5437" t="s">
        <v>49</v>
      </c>
      <c r="I5437" t="s">
        <v>62</v>
      </c>
      <c r="J5437" t="s">
        <v>7493</v>
      </c>
      <c r="K5437" t="s">
        <v>6344</v>
      </c>
      <c r="L5437" t="s">
        <v>53</v>
      </c>
      <c r="N5437" t="s">
        <v>9640</v>
      </c>
      <c r="P5437" t="s">
        <v>55</v>
      </c>
      <c r="R5437" t="s">
        <v>56</v>
      </c>
      <c r="T5437" t="s">
        <v>9641</v>
      </c>
      <c r="U5437" t="s">
        <v>55</v>
      </c>
      <c r="V5437">
        <v>1</v>
      </c>
      <c r="W5437">
        <v>1</v>
      </c>
      <c r="X5437">
        <v>2</v>
      </c>
      <c r="Y5437">
        <v>0</v>
      </c>
      <c r="Z5437">
        <v>2</v>
      </c>
      <c r="AA5437">
        <v>166</v>
      </c>
      <c r="AB5437">
        <v>166</v>
      </c>
      <c r="AC5437">
        <v>166</v>
      </c>
      <c r="AD5437">
        <v>0</v>
      </c>
      <c r="AE5437">
        <v>0</v>
      </c>
      <c r="AF5437">
        <v>0</v>
      </c>
      <c r="AG5437">
        <v>0</v>
      </c>
      <c r="AH5437">
        <v>0</v>
      </c>
      <c r="AI5437">
        <v>29.88</v>
      </c>
      <c r="AJ5437">
        <v>166</v>
      </c>
      <c r="AK5437">
        <v>0</v>
      </c>
      <c r="AL5437" t="s">
        <v>53</v>
      </c>
      <c r="AM5437" t="s">
        <v>53</v>
      </c>
      <c r="AN5437" t="s">
        <v>53</v>
      </c>
      <c r="AO5437" t="s">
        <v>53</v>
      </c>
      <c r="AP5437" t="s">
        <v>53</v>
      </c>
    </row>
    <row r="5438" spans="2:42" x14ac:dyDescent="0.2">
      <c r="B5438" t="s">
        <v>44</v>
      </c>
      <c r="C5438" t="str">
        <f>HYPERLINK("https://us2.cloudbeds.com/connect/8493803454333002#/reservations/9080486846293022?display=2K7EPV5DAF&amp;reservation_id=9080486846293022", "2K7EPV5DAF")</f>
        <v>2K7EPV5DAF</v>
      </c>
      <c r="D5438" t="s">
        <v>45</v>
      </c>
      <c r="E5438" t="s">
        <v>113</v>
      </c>
      <c r="F5438" t="s">
        <v>61</v>
      </c>
      <c r="G5438" t="s">
        <v>48</v>
      </c>
      <c r="H5438" t="s">
        <v>49</v>
      </c>
      <c r="I5438" t="s">
        <v>50</v>
      </c>
      <c r="J5438" t="s">
        <v>8249</v>
      </c>
      <c r="K5438" t="s">
        <v>8790</v>
      </c>
      <c r="L5438" t="s">
        <v>53</v>
      </c>
      <c r="N5438" t="s">
        <v>9642</v>
      </c>
      <c r="P5438" t="s">
        <v>55</v>
      </c>
      <c r="R5438" t="s">
        <v>53</v>
      </c>
      <c r="T5438" t="s">
        <v>9643</v>
      </c>
      <c r="U5438" t="s">
        <v>58</v>
      </c>
      <c r="V5438">
        <v>2</v>
      </c>
      <c r="W5438">
        <v>1</v>
      </c>
      <c r="X5438">
        <v>2</v>
      </c>
      <c r="Y5438">
        <v>0</v>
      </c>
      <c r="Z5438">
        <v>2</v>
      </c>
      <c r="AA5438">
        <v>367.2</v>
      </c>
      <c r="AB5438">
        <v>367.2</v>
      </c>
      <c r="AC5438">
        <v>323.10000000000002</v>
      </c>
      <c r="AD5438">
        <v>0</v>
      </c>
      <c r="AE5438">
        <v>44.1</v>
      </c>
      <c r="AF5438">
        <v>0</v>
      </c>
      <c r="AG5438">
        <v>0</v>
      </c>
      <c r="AH5438">
        <v>0</v>
      </c>
      <c r="AI5438">
        <v>66.099999999999994</v>
      </c>
      <c r="AJ5438">
        <v>367.2</v>
      </c>
      <c r="AK5438">
        <v>0</v>
      </c>
      <c r="AL5438" t="s">
        <v>53</v>
      </c>
      <c r="AM5438" t="s">
        <v>53</v>
      </c>
      <c r="AN5438" t="s">
        <v>53</v>
      </c>
      <c r="AO5438" t="s">
        <v>53</v>
      </c>
      <c r="AP5438" t="s">
        <v>53</v>
      </c>
    </row>
    <row r="5439" spans="2:42" x14ac:dyDescent="0.2">
      <c r="B5439" t="s">
        <v>44</v>
      </c>
      <c r="C5439" t="str">
        <f>HYPERLINK("https://us2.cloudbeds.com/connect/8493803454333002#/reservations/9080486846293746?display=2K84NGH3KY&amp;reservation_id=9080486846293746", "2K84NGH3KY")</f>
        <v>2K84NGH3KY</v>
      </c>
      <c r="D5439" t="s">
        <v>45</v>
      </c>
      <c r="E5439" t="s">
        <v>381</v>
      </c>
      <c r="F5439" t="s">
        <v>47</v>
      </c>
      <c r="G5439" t="s">
        <v>48</v>
      </c>
      <c r="H5439" t="s">
        <v>49</v>
      </c>
      <c r="I5439" t="s">
        <v>62</v>
      </c>
      <c r="J5439" t="s">
        <v>7152</v>
      </c>
      <c r="K5439" t="s">
        <v>7962</v>
      </c>
      <c r="L5439" t="s">
        <v>53</v>
      </c>
      <c r="N5439" t="s">
        <v>9644</v>
      </c>
      <c r="P5439" t="s">
        <v>55</v>
      </c>
      <c r="R5439" t="s">
        <v>56</v>
      </c>
      <c r="T5439" t="s">
        <v>9645</v>
      </c>
      <c r="U5439" t="s">
        <v>55</v>
      </c>
      <c r="V5439">
        <v>1</v>
      </c>
      <c r="W5439">
        <v>1</v>
      </c>
      <c r="X5439">
        <v>2</v>
      </c>
      <c r="Y5439">
        <v>0</v>
      </c>
      <c r="Z5439">
        <v>2</v>
      </c>
      <c r="AA5439">
        <v>146</v>
      </c>
      <c r="AB5439">
        <v>146</v>
      </c>
      <c r="AC5439">
        <v>146</v>
      </c>
      <c r="AD5439">
        <v>0</v>
      </c>
      <c r="AE5439">
        <v>0</v>
      </c>
      <c r="AF5439">
        <v>0</v>
      </c>
      <c r="AG5439">
        <v>0</v>
      </c>
      <c r="AH5439">
        <v>0</v>
      </c>
      <c r="AI5439">
        <v>26.28</v>
      </c>
      <c r="AJ5439">
        <v>146</v>
      </c>
      <c r="AK5439">
        <v>0</v>
      </c>
      <c r="AL5439" t="s">
        <v>53</v>
      </c>
      <c r="AM5439" t="s">
        <v>53</v>
      </c>
      <c r="AN5439" t="s">
        <v>53</v>
      </c>
      <c r="AO5439" t="s">
        <v>53</v>
      </c>
      <c r="AP5439" t="s">
        <v>53</v>
      </c>
    </row>
    <row r="5440" spans="2:42" x14ac:dyDescent="0.2">
      <c r="B5440" t="s">
        <v>44</v>
      </c>
      <c r="C5440" t="str">
        <f>HYPERLINK("https://us2.cloudbeds.com/connect/8493803454333002#/reservations/9080486846294881?display=2K97HQ1H3V&amp;reservation_id=9080486846294881", "2K97HQ1H3V")</f>
        <v>2K97HQ1H3V</v>
      </c>
      <c r="D5440" t="s">
        <v>45</v>
      </c>
      <c r="E5440" t="s">
        <v>92</v>
      </c>
      <c r="F5440" t="s">
        <v>86</v>
      </c>
      <c r="G5440" t="s">
        <v>48</v>
      </c>
      <c r="H5440" t="s">
        <v>49</v>
      </c>
      <c r="I5440" t="s">
        <v>62</v>
      </c>
      <c r="J5440" t="s">
        <v>7152</v>
      </c>
      <c r="K5440" t="s">
        <v>7962</v>
      </c>
      <c r="L5440" t="s">
        <v>53</v>
      </c>
      <c r="N5440" t="s">
        <v>9646</v>
      </c>
      <c r="P5440" t="s">
        <v>55</v>
      </c>
      <c r="R5440" t="s">
        <v>56</v>
      </c>
      <c r="T5440" t="s">
        <v>9647</v>
      </c>
      <c r="U5440" t="s">
        <v>55</v>
      </c>
      <c r="V5440">
        <v>1</v>
      </c>
      <c r="W5440">
        <v>1</v>
      </c>
      <c r="X5440">
        <v>2</v>
      </c>
      <c r="Y5440">
        <v>0</v>
      </c>
      <c r="Z5440">
        <v>2</v>
      </c>
      <c r="AA5440">
        <v>164</v>
      </c>
      <c r="AB5440">
        <v>164</v>
      </c>
      <c r="AC5440">
        <v>164</v>
      </c>
      <c r="AD5440">
        <v>0</v>
      </c>
      <c r="AE5440">
        <v>0</v>
      </c>
      <c r="AF5440">
        <v>0</v>
      </c>
      <c r="AG5440">
        <v>0</v>
      </c>
      <c r="AH5440">
        <v>0</v>
      </c>
      <c r="AI5440">
        <v>29.52</v>
      </c>
      <c r="AJ5440">
        <v>164</v>
      </c>
      <c r="AK5440">
        <v>0</v>
      </c>
      <c r="AL5440" t="s">
        <v>53</v>
      </c>
      <c r="AM5440" t="s">
        <v>53</v>
      </c>
      <c r="AN5440" t="s">
        <v>53</v>
      </c>
      <c r="AO5440" t="s">
        <v>53</v>
      </c>
      <c r="AP5440" t="s">
        <v>53</v>
      </c>
    </row>
    <row r="5441" spans="2:42" x14ac:dyDescent="0.2">
      <c r="B5441" t="s">
        <v>44</v>
      </c>
      <c r="C5441" t="str">
        <f>HYPERLINK("https://us2.cloudbeds.com/connect/8493803454333002#/reservations/9080486846294957?display=2K99KJX3FE&amp;reservation_id=9080486846294957", "2K99KJX3FE")</f>
        <v>2K99KJX3FE</v>
      </c>
      <c r="D5441" t="s">
        <v>45</v>
      </c>
      <c r="E5441" t="s">
        <v>69</v>
      </c>
      <c r="F5441" t="s">
        <v>70</v>
      </c>
      <c r="G5441" t="s">
        <v>48</v>
      </c>
      <c r="H5441" t="s">
        <v>49</v>
      </c>
      <c r="I5441" t="s">
        <v>62</v>
      </c>
      <c r="J5441" t="s">
        <v>5744</v>
      </c>
      <c r="K5441" t="s">
        <v>9610</v>
      </c>
      <c r="L5441" t="s">
        <v>53</v>
      </c>
      <c r="N5441" t="s">
        <v>9648</v>
      </c>
      <c r="P5441" t="s">
        <v>55</v>
      </c>
      <c r="R5441" t="s">
        <v>201</v>
      </c>
      <c r="T5441" t="s">
        <v>9649</v>
      </c>
      <c r="U5441" t="s">
        <v>55</v>
      </c>
      <c r="V5441">
        <v>2</v>
      </c>
      <c r="W5441">
        <v>1</v>
      </c>
      <c r="X5441">
        <v>2</v>
      </c>
      <c r="Y5441">
        <v>0</v>
      </c>
      <c r="Z5441">
        <v>2</v>
      </c>
      <c r="AA5441">
        <v>327</v>
      </c>
      <c r="AB5441">
        <v>327</v>
      </c>
      <c r="AC5441">
        <v>327</v>
      </c>
      <c r="AD5441">
        <v>0</v>
      </c>
      <c r="AE5441">
        <v>0</v>
      </c>
      <c r="AF5441">
        <v>0</v>
      </c>
      <c r="AG5441">
        <v>0</v>
      </c>
      <c r="AH5441">
        <v>0</v>
      </c>
      <c r="AI5441">
        <v>58.86</v>
      </c>
      <c r="AJ5441">
        <v>327</v>
      </c>
      <c r="AK5441">
        <v>0</v>
      </c>
      <c r="AL5441" t="s">
        <v>53</v>
      </c>
      <c r="AM5441" t="s">
        <v>53</v>
      </c>
      <c r="AN5441" t="s">
        <v>53</v>
      </c>
      <c r="AO5441" t="s">
        <v>53</v>
      </c>
      <c r="AP5441" t="s">
        <v>53</v>
      </c>
    </row>
    <row r="5442" spans="2:42" x14ac:dyDescent="0.2">
      <c r="B5442" t="s">
        <v>44</v>
      </c>
      <c r="C5442" t="str">
        <f>HYPERLINK("https://us2.cloudbeds.com/connect/8493803454333002#/reservations/9080486846295481?display=2K9P7W3TJ3&amp;reservation_id=9080486846295481", "2K9P7W3TJ3")</f>
        <v>2K9P7W3TJ3</v>
      </c>
      <c r="D5442" t="s">
        <v>45</v>
      </c>
      <c r="E5442" t="s">
        <v>78</v>
      </c>
      <c r="F5442" t="s">
        <v>61</v>
      </c>
      <c r="G5442" t="s">
        <v>48</v>
      </c>
      <c r="H5442" t="s">
        <v>49</v>
      </c>
      <c r="I5442" t="s">
        <v>50</v>
      </c>
      <c r="J5442" t="s">
        <v>7152</v>
      </c>
      <c r="K5442" t="s">
        <v>7962</v>
      </c>
      <c r="L5442" t="s">
        <v>53</v>
      </c>
      <c r="N5442" t="s">
        <v>9650</v>
      </c>
      <c r="P5442" t="s">
        <v>55</v>
      </c>
      <c r="R5442" t="s">
        <v>53</v>
      </c>
      <c r="T5442" t="s">
        <v>9651</v>
      </c>
      <c r="U5442" t="s">
        <v>58</v>
      </c>
      <c r="V5442">
        <v>1</v>
      </c>
      <c r="W5442">
        <v>1</v>
      </c>
      <c r="X5442">
        <v>1</v>
      </c>
      <c r="Y5442">
        <v>0</v>
      </c>
      <c r="Z5442">
        <v>1</v>
      </c>
      <c r="AA5442">
        <v>149.74</v>
      </c>
      <c r="AB5442">
        <v>149.74</v>
      </c>
      <c r="AC5442">
        <v>131.75</v>
      </c>
      <c r="AD5442">
        <v>0</v>
      </c>
      <c r="AE5442">
        <v>17.989999999999998</v>
      </c>
      <c r="AF5442">
        <v>0</v>
      </c>
      <c r="AG5442">
        <v>0</v>
      </c>
      <c r="AH5442">
        <v>0</v>
      </c>
      <c r="AI5442">
        <v>26.95</v>
      </c>
      <c r="AJ5442">
        <v>149.74</v>
      </c>
      <c r="AK5442">
        <v>0</v>
      </c>
      <c r="AL5442" t="s">
        <v>53</v>
      </c>
      <c r="AM5442" t="s">
        <v>53</v>
      </c>
      <c r="AN5442" t="s">
        <v>53</v>
      </c>
      <c r="AO5442" t="s">
        <v>53</v>
      </c>
      <c r="AP5442" t="s">
        <v>53</v>
      </c>
    </row>
    <row r="5443" spans="2:42" x14ac:dyDescent="0.2">
      <c r="B5443" t="s">
        <v>44</v>
      </c>
      <c r="C5443" t="str">
        <f>HYPERLINK("https://us2.cloudbeds.com/connect/8493803454333002#/reservations/121371922526406?display=2K9SQUWX9N&amp;reservation_id=121371922526406", "2K9SQUWX9N")</f>
        <v>2K9SQUWX9N</v>
      </c>
      <c r="D5443" t="s">
        <v>45</v>
      </c>
      <c r="E5443" t="s">
        <v>69</v>
      </c>
      <c r="F5443" t="s">
        <v>70</v>
      </c>
      <c r="G5443" t="s">
        <v>48</v>
      </c>
      <c r="H5443" t="s">
        <v>3957</v>
      </c>
      <c r="I5443" t="s">
        <v>3958</v>
      </c>
      <c r="J5443" t="s">
        <v>7822</v>
      </c>
      <c r="K5443" t="s">
        <v>8143</v>
      </c>
      <c r="L5443" t="s">
        <v>53</v>
      </c>
      <c r="P5443" t="s">
        <v>55</v>
      </c>
      <c r="R5443" t="s">
        <v>56</v>
      </c>
      <c r="T5443" t="s">
        <v>9652</v>
      </c>
      <c r="U5443" t="s">
        <v>58</v>
      </c>
      <c r="V5443">
        <v>1</v>
      </c>
      <c r="W5443">
        <v>1</v>
      </c>
      <c r="X5443">
        <v>1</v>
      </c>
      <c r="Y5443">
        <v>0</v>
      </c>
      <c r="Z5443">
        <v>1</v>
      </c>
      <c r="AA5443">
        <v>238.67</v>
      </c>
      <c r="AB5443">
        <v>238.67</v>
      </c>
      <c r="AC5443">
        <v>210</v>
      </c>
      <c r="AD5443">
        <v>0</v>
      </c>
      <c r="AE5443">
        <v>28.67</v>
      </c>
      <c r="AF5443">
        <v>0</v>
      </c>
      <c r="AG5443">
        <v>0</v>
      </c>
      <c r="AH5443">
        <v>0</v>
      </c>
      <c r="AI5443">
        <v>0</v>
      </c>
      <c r="AJ5443">
        <v>238.67</v>
      </c>
      <c r="AK5443">
        <v>0</v>
      </c>
      <c r="AL5443" t="s">
        <v>53</v>
      </c>
      <c r="AM5443" t="s">
        <v>53</v>
      </c>
      <c r="AN5443" t="s">
        <v>53</v>
      </c>
      <c r="AO5443" t="s">
        <v>53</v>
      </c>
      <c r="AP5443" t="s">
        <v>53</v>
      </c>
    </row>
    <row r="5444" spans="2:42" x14ac:dyDescent="0.2">
      <c r="B5444" t="s">
        <v>44</v>
      </c>
      <c r="C5444" t="str">
        <f>HYPERLINK("https://us2.cloudbeds.com/connect/8493803454333002#/reservations/9080486846295697?display=2K9WRUXB3K&amp;reservation_id=9080486846295697", "2K9WRUXB3K")</f>
        <v>2K9WRUXB3K</v>
      </c>
      <c r="D5444" t="s">
        <v>45</v>
      </c>
      <c r="E5444" t="s">
        <v>265</v>
      </c>
      <c r="F5444" t="s">
        <v>61</v>
      </c>
      <c r="G5444" t="s">
        <v>48</v>
      </c>
      <c r="H5444" t="s">
        <v>49</v>
      </c>
      <c r="I5444" t="s">
        <v>50</v>
      </c>
      <c r="J5444" t="s">
        <v>7152</v>
      </c>
      <c r="K5444" t="s">
        <v>7962</v>
      </c>
      <c r="L5444" t="s">
        <v>53</v>
      </c>
      <c r="N5444" t="s">
        <v>9653</v>
      </c>
      <c r="P5444" t="s">
        <v>55</v>
      </c>
      <c r="R5444" t="s">
        <v>53</v>
      </c>
      <c r="T5444" t="s">
        <v>9654</v>
      </c>
      <c r="U5444" t="s">
        <v>58</v>
      </c>
      <c r="V5444">
        <v>1</v>
      </c>
      <c r="W5444">
        <v>1</v>
      </c>
      <c r="X5444">
        <v>1</v>
      </c>
      <c r="Y5444">
        <v>0</v>
      </c>
      <c r="Z5444">
        <v>1</v>
      </c>
      <c r="AA5444">
        <v>158.54</v>
      </c>
      <c r="AB5444">
        <v>158.54</v>
      </c>
      <c r="AC5444">
        <v>139.5</v>
      </c>
      <c r="AD5444">
        <v>0</v>
      </c>
      <c r="AE5444">
        <v>19.04</v>
      </c>
      <c r="AF5444">
        <v>0</v>
      </c>
      <c r="AG5444">
        <v>0</v>
      </c>
      <c r="AH5444">
        <v>0</v>
      </c>
      <c r="AI5444">
        <v>28.54</v>
      </c>
      <c r="AJ5444">
        <v>158.54</v>
      </c>
      <c r="AK5444">
        <v>0</v>
      </c>
      <c r="AL5444" t="s">
        <v>53</v>
      </c>
      <c r="AM5444" t="s">
        <v>53</v>
      </c>
      <c r="AN5444" t="s">
        <v>53</v>
      </c>
      <c r="AO5444" t="s">
        <v>53</v>
      </c>
      <c r="AP5444" t="s">
        <v>53</v>
      </c>
    </row>
    <row r="5445" spans="2:42" x14ac:dyDescent="0.2">
      <c r="B5445" t="s">
        <v>44</v>
      </c>
      <c r="C5445" t="str">
        <f>HYPERLINK("https://us2.cloudbeds.com/connect/8493803454333002#/reservations/9080486846295740?display=2KA1XDM855&amp;reservation_id=9080486846295740", "2KA1XDM855")</f>
        <v>2KA1XDM855</v>
      </c>
      <c r="D5445" t="s">
        <v>45</v>
      </c>
      <c r="E5445" t="s">
        <v>185</v>
      </c>
      <c r="F5445" t="s">
        <v>47</v>
      </c>
      <c r="G5445" t="s">
        <v>48</v>
      </c>
      <c r="H5445" t="s">
        <v>49</v>
      </c>
      <c r="I5445" t="s">
        <v>50</v>
      </c>
      <c r="J5445" t="s">
        <v>7962</v>
      </c>
      <c r="K5445" t="s">
        <v>7821</v>
      </c>
      <c r="L5445" t="s">
        <v>53</v>
      </c>
      <c r="N5445" t="s">
        <v>9655</v>
      </c>
      <c r="P5445" t="s">
        <v>55</v>
      </c>
      <c r="R5445" t="s">
        <v>53</v>
      </c>
      <c r="T5445" t="s">
        <v>9656</v>
      </c>
      <c r="U5445" t="s">
        <v>58</v>
      </c>
      <c r="V5445">
        <v>1</v>
      </c>
      <c r="W5445">
        <v>1</v>
      </c>
      <c r="X5445">
        <v>2</v>
      </c>
      <c r="Y5445">
        <v>0</v>
      </c>
      <c r="Z5445">
        <v>2</v>
      </c>
      <c r="AA5445">
        <v>139.11000000000001</v>
      </c>
      <c r="AB5445">
        <v>139.11000000000001</v>
      </c>
      <c r="AC5445">
        <v>122.4</v>
      </c>
      <c r="AD5445">
        <v>0</v>
      </c>
      <c r="AE5445">
        <v>16.71</v>
      </c>
      <c r="AF5445">
        <v>0</v>
      </c>
      <c r="AG5445">
        <v>0</v>
      </c>
      <c r="AH5445">
        <v>0</v>
      </c>
      <c r="AI5445">
        <v>25.04</v>
      </c>
      <c r="AJ5445">
        <v>139.11000000000001</v>
      </c>
      <c r="AK5445">
        <v>0</v>
      </c>
      <c r="AL5445" t="s">
        <v>53</v>
      </c>
      <c r="AM5445" t="s">
        <v>53</v>
      </c>
      <c r="AN5445" t="s">
        <v>9657</v>
      </c>
      <c r="AO5445" t="s">
        <v>53</v>
      </c>
      <c r="AP5445" t="s">
        <v>53</v>
      </c>
    </row>
    <row r="5446" spans="2:42" x14ac:dyDescent="0.2">
      <c r="B5446" t="s">
        <v>44</v>
      </c>
      <c r="C5446" t="str">
        <f>HYPERLINK("https://us2.cloudbeds.com/connect/8493803454333002#/reservations/9080486846296155?display=2KAHCBFUK8&amp;reservation_id=9080486846296155", "2KAHCBFUK8")</f>
        <v>2KAHCBFUK8</v>
      </c>
      <c r="D5446" t="s">
        <v>45</v>
      </c>
      <c r="E5446" t="s">
        <v>98</v>
      </c>
      <c r="F5446" t="s">
        <v>86</v>
      </c>
      <c r="G5446" t="s">
        <v>48</v>
      </c>
      <c r="H5446" t="s">
        <v>49</v>
      </c>
      <c r="I5446" t="s">
        <v>62</v>
      </c>
      <c r="J5446" t="s">
        <v>9658</v>
      </c>
      <c r="K5446" t="s">
        <v>9659</v>
      </c>
      <c r="L5446" t="s">
        <v>53</v>
      </c>
      <c r="N5446" t="s">
        <v>9660</v>
      </c>
      <c r="P5446" t="s">
        <v>55</v>
      </c>
      <c r="R5446" t="s">
        <v>56</v>
      </c>
      <c r="T5446" t="s">
        <v>9661</v>
      </c>
      <c r="U5446" t="s">
        <v>55</v>
      </c>
      <c r="V5446">
        <v>3</v>
      </c>
      <c r="W5446">
        <v>1</v>
      </c>
      <c r="X5446">
        <v>2</v>
      </c>
      <c r="Y5446">
        <v>0</v>
      </c>
      <c r="Z5446">
        <v>2</v>
      </c>
      <c r="AA5446">
        <v>223</v>
      </c>
      <c r="AB5446">
        <v>223</v>
      </c>
      <c r="AC5446">
        <v>223</v>
      </c>
      <c r="AD5446">
        <v>0</v>
      </c>
      <c r="AE5446">
        <v>0</v>
      </c>
      <c r="AF5446">
        <v>0</v>
      </c>
      <c r="AG5446">
        <v>0</v>
      </c>
      <c r="AH5446">
        <v>0</v>
      </c>
      <c r="AI5446">
        <v>40.14</v>
      </c>
      <c r="AJ5446">
        <v>223</v>
      </c>
      <c r="AK5446">
        <v>0</v>
      </c>
      <c r="AL5446" t="s">
        <v>53</v>
      </c>
      <c r="AM5446" t="s">
        <v>53</v>
      </c>
      <c r="AN5446" t="s">
        <v>53</v>
      </c>
      <c r="AO5446" t="s">
        <v>53</v>
      </c>
      <c r="AP5446" t="s">
        <v>53</v>
      </c>
    </row>
    <row r="5447" spans="2:42" x14ac:dyDescent="0.2">
      <c r="B5447" t="s">
        <v>44</v>
      </c>
      <c r="C5447" t="str">
        <f>HYPERLINK("https://us2.cloudbeds.com/connect/8493803454333002#/reservations/121401737035907?display=2KAXTPC7KJ&amp;reservation_id=121401737035907", "2KAXTPC7KJ")</f>
        <v>2KAXTPC7KJ</v>
      </c>
      <c r="D5447" t="s">
        <v>45</v>
      </c>
      <c r="E5447" t="s">
        <v>190</v>
      </c>
      <c r="F5447" t="s">
        <v>61</v>
      </c>
      <c r="G5447" t="s">
        <v>48</v>
      </c>
      <c r="H5447" t="s">
        <v>3957</v>
      </c>
      <c r="I5447" t="s">
        <v>3975</v>
      </c>
      <c r="J5447" t="s">
        <v>8143</v>
      </c>
      <c r="K5447" t="s">
        <v>8300</v>
      </c>
      <c r="L5447" t="s">
        <v>53</v>
      </c>
      <c r="P5447" t="s">
        <v>55</v>
      </c>
      <c r="R5447" t="s">
        <v>53</v>
      </c>
      <c r="T5447" t="s">
        <v>9662</v>
      </c>
      <c r="U5447" t="s">
        <v>58</v>
      </c>
      <c r="V5447">
        <v>1</v>
      </c>
      <c r="W5447">
        <v>1</v>
      </c>
      <c r="X5447">
        <v>2</v>
      </c>
      <c r="Y5447">
        <v>0</v>
      </c>
      <c r="Z5447">
        <v>2</v>
      </c>
      <c r="AA5447">
        <v>236.39</v>
      </c>
      <c r="AB5447">
        <v>236.39</v>
      </c>
      <c r="AC5447">
        <v>208</v>
      </c>
      <c r="AD5447">
        <v>0</v>
      </c>
      <c r="AE5447">
        <v>28.39</v>
      </c>
      <c r="AF5447">
        <v>0</v>
      </c>
      <c r="AG5447">
        <v>0</v>
      </c>
      <c r="AH5447">
        <v>0</v>
      </c>
      <c r="AI5447">
        <v>0</v>
      </c>
      <c r="AJ5447">
        <v>236.39</v>
      </c>
      <c r="AK5447">
        <v>0</v>
      </c>
      <c r="AL5447" t="s">
        <v>53</v>
      </c>
      <c r="AM5447" t="s">
        <v>53</v>
      </c>
      <c r="AN5447" t="s">
        <v>53</v>
      </c>
      <c r="AO5447" t="s">
        <v>53</v>
      </c>
      <c r="AP5447" t="s">
        <v>53</v>
      </c>
    </row>
    <row r="5448" spans="2:42" x14ac:dyDescent="0.2">
      <c r="B5448" t="s">
        <v>44</v>
      </c>
      <c r="C5448" t="str">
        <f>HYPERLINK("https://us2.cloudbeds.com/connect/8493803454333002#/reservations/9080486846296571?display=2KB65Y4SF2&amp;reservation_id=9080486846296571", "2KB65Y4SF2")</f>
        <v>2KB65Y4SF2</v>
      </c>
      <c r="D5448" t="s">
        <v>45</v>
      </c>
      <c r="E5448" t="s">
        <v>98</v>
      </c>
      <c r="F5448" t="s">
        <v>86</v>
      </c>
      <c r="G5448" t="s">
        <v>48</v>
      </c>
      <c r="H5448" t="s">
        <v>49</v>
      </c>
      <c r="I5448" t="s">
        <v>8964</v>
      </c>
      <c r="J5448" t="s">
        <v>7962</v>
      </c>
      <c r="K5448" t="s">
        <v>7821</v>
      </c>
      <c r="L5448" t="s">
        <v>53</v>
      </c>
      <c r="N5448" t="s">
        <v>9663</v>
      </c>
      <c r="P5448" t="s">
        <v>55</v>
      </c>
      <c r="R5448" t="s">
        <v>53</v>
      </c>
      <c r="T5448" t="s">
        <v>9664</v>
      </c>
      <c r="U5448" t="s">
        <v>58</v>
      </c>
      <c r="V5448">
        <v>1</v>
      </c>
      <c r="W5448">
        <v>1</v>
      </c>
      <c r="X5448">
        <v>3</v>
      </c>
      <c r="Y5448">
        <v>0</v>
      </c>
      <c r="Z5448">
        <v>3</v>
      </c>
      <c r="AA5448">
        <v>157</v>
      </c>
      <c r="AB5448">
        <v>0</v>
      </c>
      <c r="AC5448">
        <v>157</v>
      </c>
      <c r="AD5448">
        <v>0</v>
      </c>
      <c r="AE5448">
        <v>0</v>
      </c>
      <c r="AF5448">
        <v>0</v>
      </c>
      <c r="AG5448">
        <v>0</v>
      </c>
      <c r="AH5448">
        <v>0</v>
      </c>
      <c r="AI5448">
        <v>23.55</v>
      </c>
      <c r="AJ5448">
        <v>157</v>
      </c>
      <c r="AK5448">
        <v>157</v>
      </c>
      <c r="AL5448" t="s">
        <v>53</v>
      </c>
      <c r="AM5448" t="s">
        <v>53</v>
      </c>
      <c r="AN5448" t="s">
        <v>53</v>
      </c>
      <c r="AO5448" t="s">
        <v>53</v>
      </c>
      <c r="AP5448" t="s">
        <v>53</v>
      </c>
    </row>
    <row r="5449" spans="2:42" x14ac:dyDescent="0.2">
      <c r="B5449" t="s">
        <v>44</v>
      </c>
      <c r="C5449" t="str">
        <f>HYPERLINK("https://us2.cloudbeds.com/connect/8493803454333002#/reservations/9080486846296639?display=2KB9A8A2QT&amp;reservation_id=9080486846296639", "2KB9A8A2QT")</f>
        <v>2KB9A8A2QT</v>
      </c>
      <c r="D5449" t="s">
        <v>45</v>
      </c>
      <c r="E5449" t="s">
        <v>406</v>
      </c>
      <c r="F5449" t="s">
        <v>61</v>
      </c>
      <c r="G5449" t="s">
        <v>48</v>
      </c>
      <c r="H5449" t="s">
        <v>49</v>
      </c>
      <c r="I5449" t="s">
        <v>50</v>
      </c>
      <c r="J5449" t="s">
        <v>8670</v>
      </c>
      <c r="K5449" t="s">
        <v>8799</v>
      </c>
      <c r="L5449" t="s">
        <v>53</v>
      </c>
      <c r="N5449" t="s">
        <v>9665</v>
      </c>
      <c r="P5449" t="s">
        <v>55</v>
      </c>
      <c r="R5449" t="s">
        <v>53</v>
      </c>
      <c r="T5449" t="s">
        <v>9666</v>
      </c>
      <c r="U5449" t="s">
        <v>58</v>
      </c>
      <c r="V5449">
        <v>2</v>
      </c>
      <c r="W5449">
        <v>1</v>
      </c>
      <c r="X5449">
        <v>1</v>
      </c>
      <c r="Y5449">
        <v>0</v>
      </c>
      <c r="Z5449">
        <v>1</v>
      </c>
      <c r="AA5449">
        <v>405.2</v>
      </c>
      <c r="AB5449">
        <v>405.2</v>
      </c>
      <c r="AC5449">
        <v>356.53</v>
      </c>
      <c r="AD5449">
        <v>0</v>
      </c>
      <c r="AE5449">
        <v>48.67</v>
      </c>
      <c r="AF5449">
        <v>0</v>
      </c>
      <c r="AG5449">
        <v>0</v>
      </c>
      <c r="AH5449">
        <v>0</v>
      </c>
      <c r="AI5449">
        <v>72.94</v>
      </c>
      <c r="AJ5449">
        <v>405.2</v>
      </c>
      <c r="AK5449">
        <v>0</v>
      </c>
      <c r="AL5449" t="s">
        <v>53</v>
      </c>
      <c r="AM5449" t="s">
        <v>53</v>
      </c>
      <c r="AN5449" t="s">
        <v>53</v>
      </c>
      <c r="AO5449" t="s">
        <v>53</v>
      </c>
      <c r="AP5449" t="s">
        <v>53</v>
      </c>
    </row>
    <row r="5450" spans="2:42" x14ac:dyDescent="0.2">
      <c r="B5450" t="s">
        <v>44</v>
      </c>
      <c r="C5450" t="str">
        <f>HYPERLINK("https://us2.cloudbeds.com/connect/8493803454333002#/reservations/9080486846296740?display=2KBD763Y6T&amp;reservation_id=9080486846296740", "2KBD763Y6T")</f>
        <v>2KBD763Y6T</v>
      </c>
      <c r="D5450" t="s">
        <v>45</v>
      </c>
      <c r="E5450" t="s">
        <v>373</v>
      </c>
      <c r="F5450" t="s">
        <v>47</v>
      </c>
      <c r="G5450" t="s">
        <v>48</v>
      </c>
      <c r="H5450" t="s">
        <v>49</v>
      </c>
      <c r="I5450" t="s">
        <v>50</v>
      </c>
      <c r="J5450" t="s">
        <v>7974</v>
      </c>
      <c r="K5450" t="s">
        <v>7975</v>
      </c>
      <c r="L5450" t="s">
        <v>53</v>
      </c>
      <c r="N5450" t="s">
        <v>9667</v>
      </c>
      <c r="P5450" t="s">
        <v>55</v>
      </c>
      <c r="R5450" t="s">
        <v>53</v>
      </c>
      <c r="T5450" t="s">
        <v>9668</v>
      </c>
      <c r="U5450" t="s">
        <v>58</v>
      </c>
      <c r="V5450">
        <v>1</v>
      </c>
      <c r="W5450">
        <v>1</v>
      </c>
      <c r="X5450">
        <v>2</v>
      </c>
      <c r="Y5450">
        <v>0</v>
      </c>
      <c r="Z5450">
        <v>2</v>
      </c>
      <c r="AA5450">
        <v>143.38</v>
      </c>
      <c r="AB5450">
        <v>143.38</v>
      </c>
      <c r="AC5450">
        <v>126.16</v>
      </c>
      <c r="AD5450">
        <v>0</v>
      </c>
      <c r="AE5450">
        <v>17.22</v>
      </c>
      <c r="AF5450">
        <v>0</v>
      </c>
      <c r="AG5450">
        <v>0</v>
      </c>
      <c r="AH5450">
        <v>0</v>
      </c>
      <c r="AI5450">
        <v>25.81</v>
      </c>
      <c r="AJ5450">
        <v>143.38</v>
      </c>
      <c r="AK5450">
        <v>0</v>
      </c>
      <c r="AL5450" t="s">
        <v>53</v>
      </c>
      <c r="AM5450" t="s">
        <v>53</v>
      </c>
      <c r="AN5450" t="s">
        <v>53</v>
      </c>
      <c r="AO5450" t="s">
        <v>53</v>
      </c>
      <c r="AP5450" t="s">
        <v>53</v>
      </c>
    </row>
    <row r="5451" spans="2:42" x14ac:dyDescent="0.2">
      <c r="B5451" t="s">
        <v>44</v>
      </c>
      <c r="C5451" t="str">
        <f>HYPERLINK("https://us2.cloudbeds.com/connect/8493803454333002#/reservations/9080486846296871?display=2KBK3XYPWG&amp;reservation_id=9080486846296871", "2KBK3XYPWG")</f>
        <v>2KBK3XYPWG</v>
      </c>
      <c r="D5451" t="s">
        <v>45</v>
      </c>
      <c r="E5451" t="s">
        <v>223</v>
      </c>
      <c r="F5451" t="s">
        <v>47</v>
      </c>
      <c r="G5451" t="s">
        <v>48</v>
      </c>
      <c r="H5451" t="s">
        <v>49</v>
      </c>
      <c r="I5451" t="s">
        <v>8964</v>
      </c>
      <c r="J5451" t="s">
        <v>8391</v>
      </c>
      <c r="K5451" t="s">
        <v>7975</v>
      </c>
      <c r="L5451" t="s">
        <v>53</v>
      </c>
      <c r="N5451" t="s">
        <v>9669</v>
      </c>
      <c r="P5451" t="s">
        <v>55</v>
      </c>
      <c r="R5451" t="s">
        <v>53</v>
      </c>
      <c r="T5451" t="s">
        <v>9670</v>
      </c>
      <c r="U5451" t="s">
        <v>58</v>
      </c>
      <c r="V5451">
        <v>2</v>
      </c>
      <c r="W5451">
        <v>1</v>
      </c>
      <c r="X5451">
        <v>2</v>
      </c>
      <c r="Y5451">
        <v>0</v>
      </c>
      <c r="Z5451">
        <v>2</v>
      </c>
      <c r="AA5451">
        <v>0</v>
      </c>
      <c r="AB5451">
        <v>0</v>
      </c>
      <c r="AC5451">
        <v>331</v>
      </c>
      <c r="AD5451">
        <v>0</v>
      </c>
      <c r="AE5451">
        <v>0</v>
      </c>
      <c r="AF5451">
        <v>0</v>
      </c>
      <c r="AG5451">
        <v>0</v>
      </c>
      <c r="AH5451">
        <v>0</v>
      </c>
      <c r="AI5451">
        <v>49.65</v>
      </c>
      <c r="AJ5451">
        <v>331</v>
      </c>
      <c r="AK5451">
        <v>331</v>
      </c>
      <c r="AL5451" t="s">
        <v>53</v>
      </c>
      <c r="AM5451" t="s">
        <v>53</v>
      </c>
      <c r="AN5451" t="s">
        <v>53</v>
      </c>
      <c r="AO5451" t="s">
        <v>53</v>
      </c>
      <c r="AP5451" t="s">
        <v>53</v>
      </c>
    </row>
    <row r="5452" spans="2:42" x14ac:dyDescent="0.2">
      <c r="B5452" t="s">
        <v>44</v>
      </c>
      <c r="C5452" t="str">
        <f>HYPERLINK("https://us2.cloudbeds.com/connect/8493803454333002#/reservations/9080486846297467?display=2KCJR9Z775&amp;reservation_id=9080486846297467", "2KCJR9Z775")</f>
        <v>2KCJR9Z775</v>
      </c>
      <c r="D5452" t="s">
        <v>45</v>
      </c>
      <c r="E5452" t="s">
        <v>155</v>
      </c>
      <c r="F5452" t="s">
        <v>86</v>
      </c>
      <c r="G5452" t="s">
        <v>48</v>
      </c>
      <c r="H5452" t="s">
        <v>49</v>
      </c>
      <c r="I5452" t="s">
        <v>50</v>
      </c>
      <c r="J5452" t="s">
        <v>7864</v>
      </c>
      <c r="K5452" t="s">
        <v>8816</v>
      </c>
      <c r="L5452" t="s">
        <v>53</v>
      </c>
      <c r="N5452" t="s">
        <v>9671</v>
      </c>
      <c r="P5452" t="s">
        <v>55</v>
      </c>
      <c r="R5452" t="s">
        <v>53</v>
      </c>
      <c r="T5452" t="s">
        <v>9672</v>
      </c>
      <c r="U5452" t="s">
        <v>58</v>
      </c>
      <c r="V5452">
        <v>1</v>
      </c>
      <c r="W5452">
        <v>1</v>
      </c>
      <c r="X5452">
        <v>2</v>
      </c>
      <c r="Y5452">
        <v>2</v>
      </c>
      <c r="Z5452">
        <v>4</v>
      </c>
      <c r="AA5452">
        <v>217.86</v>
      </c>
      <c r="AB5452">
        <v>217.86</v>
      </c>
      <c r="AC5452">
        <v>191.7</v>
      </c>
      <c r="AD5452">
        <v>0</v>
      </c>
      <c r="AE5452">
        <v>26.16</v>
      </c>
      <c r="AF5452">
        <v>0</v>
      </c>
      <c r="AG5452">
        <v>0</v>
      </c>
      <c r="AH5452">
        <v>0</v>
      </c>
      <c r="AI5452">
        <v>39.21</v>
      </c>
      <c r="AJ5452">
        <v>217.86</v>
      </c>
      <c r="AK5452">
        <v>0</v>
      </c>
      <c r="AL5452" t="s">
        <v>53</v>
      </c>
      <c r="AM5452" t="s">
        <v>53</v>
      </c>
      <c r="AN5452" t="s">
        <v>53</v>
      </c>
      <c r="AO5452" t="s">
        <v>53</v>
      </c>
      <c r="AP5452" t="s">
        <v>53</v>
      </c>
    </row>
    <row r="5453" spans="2:42" x14ac:dyDescent="0.2">
      <c r="B5453" t="s">
        <v>44</v>
      </c>
      <c r="C5453" t="str">
        <f>HYPERLINK("https://us2.cloudbeds.com/connect/8493803454333002#/reservations/9080486846298911?display=2KF1JSF211&amp;reservation_id=9080486846298911", "2KF1JSF211")</f>
        <v>2KF1JSF211</v>
      </c>
      <c r="D5453" t="s">
        <v>45</v>
      </c>
      <c r="E5453" t="s">
        <v>110</v>
      </c>
      <c r="F5453" t="s">
        <v>47</v>
      </c>
      <c r="G5453" t="s">
        <v>48</v>
      </c>
      <c r="H5453" t="s">
        <v>49</v>
      </c>
      <c r="I5453" t="s">
        <v>50</v>
      </c>
      <c r="J5453" t="s">
        <v>7975</v>
      </c>
      <c r="K5453" t="s">
        <v>8367</v>
      </c>
      <c r="L5453" t="s">
        <v>53</v>
      </c>
      <c r="N5453" t="s">
        <v>9673</v>
      </c>
      <c r="P5453" t="s">
        <v>55</v>
      </c>
      <c r="R5453" t="s">
        <v>53</v>
      </c>
      <c r="T5453" t="s">
        <v>9674</v>
      </c>
      <c r="U5453" t="s">
        <v>58</v>
      </c>
      <c r="V5453">
        <v>2</v>
      </c>
      <c r="W5453">
        <v>1</v>
      </c>
      <c r="X5453">
        <v>2</v>
      </c>
      <c r="Y5453">
        <v>0</v>
      </c>
      <c r="Z5453">
        <v>2</v>
      </c>
      <c r="AA5453">
        <v>388.69</v>
      </c>
      <c r="AB5453">
        <v>388.69</v>
      </c>
      <c r="AC5453">
        <v>342</v>
      </c>
      <c r="AD5453">
        <v>0</v>
      </c>
      <c r="AE5453">
        <v>46.69</v>
      </c>
      <c r="AF5453">
        <v>0</v>
      </c>
      <c r="AG5453">
        <v>0</v>
      </c>
      <c r="AH5453">
        <v>0</v>
      </c>
      <c r="AI5453">
        <v>69.959999999999994</v>
      </c>
      <c r="AJ5453">
        <v>388.69</v>
      </c>
      <c r="AK5453">
        <v>0</v>
      </c>
      <c r="AL5453" t="s">
        <v>53</v>
      </c>
      <c r="AM5453" t="s">
        <v>53</v>
      </c>
      <c r="AN5453" t="s">
        <v>53</v>
      </c>
      <c r="AO5453" t="s">
        <v>53</v>
      </c>
      <c r="AP5453" t="s">
        <v>53</v>
      </c>
    </row>
    <row r="5454" spans="2:42" x14ac:dyDescent="0.2">
      <c r="B5454" t="s">
        <v>44</v>
      </c>
      <c r="C5454" t="str">
        <f>HYPERLINK("https://us2.cloudbeds.com/connect/8493803454333002#/reservations/9080486846299467?display=2KFZE2ZPF1&amp;reservation_id=9080486846299467", "2KFZE2ZPF1")</f>
        <v>2KFZE2ZPF1</v>
      </c>
      <c r="D5454" t="s">
        <v>45</v>
      </c>
      <c r="E5454" t="s">
        <v>46</v>
      </c>
      <c r="F5454" t="s">
        <v>47</v>
      </c>
      <c r="G5454" t="s">
        <v>48</v>
      </c>
      <c r="H5454" t="s">
        <v>49</v>
      </c>
      <c r="I5454" t="s">
        <v>50</v>
      </c>
      <c r="J5454" t="s">
        <v>7962</v>
      </c>
      <c r="K5454" t="s">
        <v>7821</v>
      </c>
      <c r="L5454" t="s">
        <v>53</v>
      </c>
      <c r="N5454" t="s">
        <v>9675</v>
      </c>
      <c r="P5454" t="s">
        <v>55</v>
      </c>
      <c r="R5454" t="s">
        <v>56</v>
      </c>
      <c r="T5454" t="s">
        <v>9676</v>
      </c>
      <c r="U5454" t="s">
        <v>58</v>
      </c>
      <c r="V5454">
        <v>1</v>
      </c>
      <c r="W5454">
        <v>1</v>
      </c>
      <c r="X5454">
        <v>1</v>
      </c>
      <c r="Y5454">
        <v>0</v>
      </c>
      <c r="Z5454">
        <v>1</v>
      </c>
      <c r="AA5454">
        <v>152.4</v>
      </c>
      <c r="AB5454">
        <v>152.4</v>
      </c>
      <c r="AC5454">
        <v>134.1</v>
      </c>
      <c r="AD5454">
        <v>0</v>
      </c>
      <c r="AE5454">
        <v>18.3</v>
      </c>
      <c r="AF5454">
        <v>0</v>
      </c>
      <c r="AG5454">
        <v>0</v>
      </c>
      <c r="AH5454">
        <v>0</v>
      </c>
      <c r="AI5454">
        <v>27.43</v>
      </c>
      <c r="AJ5454">
        <v>152.4</v>
      </c>
      <c r="AK5454">
        <v>0</v>
      </c>
      <c r="AL5454" t="s">
        <v>53</v>
      </c>
      <c r="AM5454" t="s">
        <v>53</v>
      </c>
      <c r="AN5454" t="s">
        <v>53</v>
      </c>
      <c r="AO5454" t="s">
        <v>53</v>
      </c>
      <c r="AP5454" t="s">
        <v>53</v>
      </c>
    </row>
    <row r="5455" spans="2:42" x14ac:dyDescent="0.2">
      <c r="B5455" t="s">
        <v>44</v>
      </c>
      <c r="C5455" t="str">
        <f>HYPERLINK("https://us2.cloudbeds.com/connect/8493803454333002#/reservations/9080486846299481?display=2KFZZKH0Q9&amp;reservation_id=9080486846299481", "2KFZZKH0Q9")</f>
        <v>2KFZZKH0Q9</v>
      </c>
      <c r="D5455" t="s">
        <v>45</v>
      </c>
      <c r="E5455" t="s">
        <v>381</v>
      </c>
      <c r="F5455" t="s">
        <v>47</v>
      </c>
      <c r="G5455" t="s">
        <v>48</v>
      </c>
      <c r="H5455" t="s">
        <v>49</v>
      </c>
      <c r="I5455" t="s">
        <v>50</v>
      </c>
      <c r="J5455" t="s">
        <v>7962</v>
      </c>
      <c r="K5455" t="s">
        <v>7821</v>
      </c>
      <c r="L5455" t="s">
        <v>53</v>
      </c>
      <c r="N5455" t="s">
        <v>9677</v>
      </c>
      <c r="P5455" t="s">
        <v>55</v>
      </c>
      <c r="R5455" t="s">
        <v>56</v>
      </c>
      <c r="T5455" t="s">
        <v>9678</v>
      </c>
      <c r="U5455" t="s">
        <v>58</v>
      </c>
      <c r="V5455">
        <v>1</v>
      </c>
      <c r="W5455">
        <v>1</v>
      </c>
      <c r="X5455">
        <v>1</v>
      </c>
      <c r="Y5455">
        <v>0</v>
      </c>
      <c r="Z5455">
        <v>1</v>
      </c>
      <c r="AA5455">
        <v>152.4</v>
      </c>
      <c r="AB5455">
        <v>152.4</v>
      </c>
      <c r="AC5455">
        <v>134.1</v>
      </c>
      <c r="AD5455">
        <v>0</v>
      </c>
      <c r="AE5455">
        <v>18.3</v>
      </c>
      <c r="AF5455">
        <v>0</v>
      </c>
      <c r="AG5455">
        <v>0</v>
      </c>
      <c r="AH5455">
        <v>0</v>
      </c>
      <c r="AI5455">
        <v>27.43</v>
      </c>
      <c r="AJ5455">
        <v>152.4</v>
      </c>
      <c r="AK5455">
        <v>0</v>
      </c>
      <c r="AL5455" t="s">
        <v>53</v>
      </c>
      <c r="AM5455" t="s">
        <v>53</v>
      </c>
      <c r="AN5455" t="s">
        <v>53</v>
      </c>
      <c r="AO5455" t="s">
        <v>53</v>
      </c>
      <c r="AP5455" t="s">
        <v>53</v>
      </c>
    </row>
    <row r="5456" spans="2:42" x14ac:dyDescent="0.2">
      <c r="B5456" t="s">
        <v>44</v>
      </c>
      <c r="C5456" t="str">
        <f>HYPERLINK("https://us2.cloudbeds.com/connect/8493803454333002#/reservations/9080486846300425?display=2KGNUT5U0N&amp;reservation_id=9080486846300425", "2KGNUT5U0N")</f>
        <v>2KGNUT5U0N</v>
      </c>
      <c r="D5456" t="s">
        <v>45</v>
      </c>
      <c r="E5456" t="s">
        <v>121</v>
      </c>
      <c r="F5456" t="s">
        <v>86</v>
      </c>
      <c r="G5456" t="s">
        <v>48</v>
      </c>
      <c r="H5456" t="s">
        <v>49</v>
      </c>
      <c r="I5456" t="s">
        <v>50</v>
      </c>
      <c r="J5456" t="s">
        <v>7962</v>
      </c>
      <c r="K5456" t="s">
        <v>7821</v>
      </c>
      <c r="L5456" t="s">
        <v>53</v>
      </c>
      <c r="N5456" t="s">
        <v>9679</v>
      </c>
      <c r="P5456" t="s">
        <v>55</v>
      </c>
      <c r="R5456" t="s">
        <v>53</v>
      </c>
      <c r="T5456" t="s">
        <v>9680</v>
      </c>
      <c r="U5456" t="s">
        <v>58</v>
      </c>
      <c r="V5456">
        <v>1</v>
      </c>
      <c r="W5456">
        <v>1</v>
      </c>
      <c r="X5456">
        <v>2</v>
      </c>
      <c r="Y5456">
        <v>2</v>
      </c>
      <c r="Z5456">
        <v>4</v>
      </c>
      <c r="AA5456">
        <v>170.82</v>
      </c>
      <c r="AB5456">
        <v>170.82</v>
      </c>
      <c r="AC5456">
        <v>150.30000000000001</v>
      </c>
      <c r="AD5456">
        <v>0</v>
      </c>
      <c r="AE5456">
        <v>20.52</v>
      </c>
      <c r="AF5456">
        <v>0</v>
      </c>
      <c r="AG5456">
        <v>0</v>
      </c>
      <c r="AH5456">
        <v>0</v>
      </c>
      <c r="AI5456">
        <v>30.75</v>
      </c>
      <c r="AJ5456">
        <v>170.82</v>
      </c>
      <c r="AK5456">
        <v>0</v>
      </c>
      <c r="AL5456" t="s">
        <v>53</v>
      </c>
      <c r="AM5456" t="s">
        <v>53</v>
      </c>
      <c r="AN5456" t="s">
        <v>53</v>
      </c>
      <c r="AO5456" t="s">
        <v>53</v>
      </c>
      <c r="AP5456" t="s">
        <v>53</v>
      </c>
    </row>
    <row r="5457" spans="2:42" x14ac:dyDescent="0.2">
      <c r="B5457" t="s">
        <v>44</v>
      </c>
      <c r="C5457" t="str">
        <f>HYPERLINK("https://us2.cloudbeds.com/connect/8493803454333002#/reservations/9080486846300521?display=2KGR4DX0WZ&amp;reservation_id=9080486846300521", "2KGR4DX0WZ")</f>
        <v>2KGR4DX0WZ</v>
      </c>
      <c r="D5457" t="s">
        <v>45</v>
      </c>
      <c r="E5457" t="s">
        <v>105</v>
      </c>
      <c r="F5457" t="s">
        <v>47</v>
      </c>
      <c r="G5457" t="s">
        <v>48</v>
      </c>
      <c r="H5457" t="s">
        <v>49</v>
      </c>
      <c r="I5457" t="s">
        <v>50</v>
      </c>
      <c r="J5457" t="s">
        <v>7905</v>
      </c>
      <c r="K5457" t="s">
        <v>8594</v>
      </c>
      <c r="L5457" t="s">
        <v>53</v>
      </c>
      <c r="N5457" t="s">
        <v>9681</v>
      </c>
      <c r="P5457" t="s">
        <v>55</v>
      </c>
      <c r="R5457" t="s">
        <v>53</v>
      </c>
      <c r="T5457" t="s">
        <v>9682</v>
      </c>
      <c r="U5457" t="s">
        <v>58</v>
      </c>
      <c r="V5457">
        <v>2</v>
      </c>
      <c r="W5457">
        <v>1</v>
      </c>
      <c r="X5457">
        <v>1</v>
      </c>
      <c r="Y5457">
        <v>0</v>
      </c>
      <c r="Z5457">
        <v>1</v>
      </c>
      <c r="AA5457">
        <v>360.04</v>
      </c>
      <c r="AB5457">
        <v>362.75</v>
      </c>
      <c r="AC5457">
        <v>316.8</v>
      </c>
      <c r="AD5457">
        <v>2.5</v>
      </c>
      <c r="AE5457">
        <v>43.45</v>
      </c>
      <c r="AF5457">
        <v>0</v>
      </c>
      <c r="AG5457">
        <v>0</v>
      </c>
      <c r="AH5457">
        <v>0</v>
      </c>
      <c r="AI5457">
        <v>65.3</v>
      </c>
      <c r="AJ5457">
        <v>362.75</v>
      </c>
      <c r="AK5457">
        <v>0</v>
      </c>
      <c r="AL5457" t="s">
        <v>53</v>
      </c>
      <c r="AM5457" t="s">
        <v>53</v>
      </c>
      <c r="AN5457" t="s">
        <v>53</v>
      </c>
      <c r="AO5457" t="s">
        <v>53</v>
      </c>
      <c r="AP5457" t="s">
        <v>53</v>
      </c>
    </row>
    <row r="5458" spans="2:42" x14ac:dyDescent="0.2">
      <c r="B5458" t="s">
        <v>44</v>
      </c>
      <c r="C5458" t="str">
        <f>HYPERLINK("https://us2.cloudbeds.com/connect/8493803454333002#/reservations/9080486846301272?display=2KHJCC0GQU&amp;reservation_id=9080486846301272", "2KHJCC0GQU")</f>
        <v>2KHJCC0GQU</v>
      </c>
      <c r="D5458" t="s">
        <v>45</v>
      </c>
      <c r="E5458" t="s">
        <v>113</v>
      </c>
      <c r="F5458" t="s">
        <v>61</v>
      </c>
      <c r="G5458" t="s">
        <v>48</v>
      </c>
      <c r="H5458" t="s">
        <v>49</v>
      </c>
      <c r="I5458" t="s">
        <v>50</v>
      </c>
      <c r="J5458" t="s">
        <v>7974</v>
      </c>
      <c r="K5458" t="s">
        <v>7750</v>
      </c>
      <c r="L5458" t="s">
        <v>53</v>
      </c>
      <c r="N5458" t="s">
        <v>9683</v>
      </c>
      <c r="P5458" t="s">
        <v>55</v>
      </c>
      <c r="R5458" t="s">
        <v>53</v>
      </c>
      <c r="T5458" t="s">
        <v>9684</v>
      </c>
      <c r="U5458" t="s">
        <v>58</v>
      </c>
      <c r="V5458">
        <v>2</v>
      </c>
      <c r="W5458">
        <v>1</v>
      </c>
      <c r="X5458">
        <v>2</v>
      </c>
      <c r="Y5458">
        <v>0</v>
      </c>
      <c r="Z5458">
        <v>2</v>
      </c>
      <c r="AA5458">
        <v>355.5</v>
      </c>
      <c r="AB5458">
        <v>355.5</v>
      </c>
      <c r="AC5458">
        <v>312.8</v>
      </c>
      <c r="AD5458">
        <v>0</v>
      </c>
      <c r="AE5458">
        <v>42.7</v>
      </c>
      <c r="AF5458">
        <v>0</v>
      </c>
      <c r="AG5458">
        <v>0</v>
      </c>
      <c r="AH5458">
        <v>0</v>
      </c>
      <c r="AI5458">
        <v>63.99</v>
      </c>
      <c r="AJ5458">
        <v>355.5</v>
      </c>
      <c r="AK5458">
        <v>0</v>
      </c>
      <c r="AL5458" t="s">
        <v>53</v>
      </c>
      <c r="AM5458" t="s">
        <v>53</v>
      </c>
      <c r="AN5458" t="s">
        <v>53</v>
      </c>
      <c r="AO5458" t="s">
        <v>53</v>
      </c>
      <c r="AP5458" t="s">
        <v>53</v>
      </c>
    </row>
    <row r="5459" spans="2:42" x14ac:dyDescent="0.2">
      <c r="B5459" t="s">
        <v>44</v>
      </c>
      <c r="C5459" t="str">
        <f>HYPERLINK("https://us2.cloudbeds.com/connect/8493803454333002#/reservations/9080486846301528?display=2KHREFWSRX&amp;reservation_id=9080486846301528", "2KHREFWSRX")</f>
        <v>2KHREFWSRX</v>
      </c>
      <c r="D5459" t="s">
        <v>45</v>
      </c>
      <c r="E5459" t="s">
        <v>92</v>
      </c>
      <c r="F5459" t="s">
        <v>86</v>
      </c>
      <c r="G5459" t="s">
        <v>48</v>
      </c>
      <c r="H5459" t="s">
        <v>49</v>
      </c>
      <c r="I5459" t="s">
        <v>50</v>
      </c>
      <c r="J5459" t="s">
        <v>7962</v>
      </c>
      <c r="K5459" t="s">
        <v>7821</v>
      </c>
      <c r="L5459" t="s">
        <v>53</v>
      </c>
      <c r="N5459" t="s">
        <v>9685</v>
      </c>
      <c r="P5459" t="s">
        <v>55</v>
      </c>
      <c r="R5459" t="s">
        <v>53</v>
      </c>
      <c r="T5459" t="s">
        <v>9686</v>
      </c>
      <c r="U5459" t="s">
        <v>58</v>
      </c>
      <c r="V5459">
        <v>1</v>
      </c>
      <c r="W5459">
        <v>1</v>
      </c>
      <c r="X5459">
        <v>2</v>
      </c>
      <c r="Y5459">
        <v>0</v>
      </c>
      <c r="Z5459">
        <v>2</v>
      </c>
      <c r="AA5459">
        <v>170.82</v>
      </c>
      <c r="AB5459">
        <v>170.82</v>
      </c>
      <c r="AC5459">
        <v>150.30000000000001</v>
      </c>
      <c r="AD5459">
        <v>0</v>
      </c>
      <c r="AE5459">
        <v>20.52</v>
      </c>
      <c r="AF5459">
        <v>0</v>
      </c>
      <c r="AG5459">
        <v>0</v>
      </c>
      <c r="AH5459">
        <v>0</v>
      </c>
      <c r="AI5459">
        <v>30.75</v>
      </c>
      <c r="AJ5459">
        <v>170.82</v>
      </c>
      <c r="AK5459">
        <v>0</v>
      </c>
      <c r="AL5459" t="s">
        <v>53</v>
      </c>
      <c r="AM5459" t="s">
        <v>53</v>
      </c>
      <c r="AN5459" t="s">
        <v>53</v>
      </c>
      <c r="AO5459" t="s">
        <v>53</v>
      </c>
      <c r="AP5459" t="s">
        <v>53</v>
      </c>
    </row>
    <row r="5460" spans="2:42" x14ac:dyDescent="0.2">
      <c r="B5460" t="s">
        <v>44</v>
      </c>
      <c r="C5460" t="str">
        <f>HYPERLINK("https://us2.cloudbeds.com/connect/8493803454333002#/reservations/121715402555589?display=2KHUPYEMSH&amp;reservation_id=121715402555589", "2KHUPYEMSH")</f>
        <v>2KHUPYEMSH</v>
      </c>
      <c r="D5460" t="s">
        <v>45</v>
      </c>
      <c r="E5460" t="s">
        <v>1471</v>
      </c>
      <c r="F5460" t="s">
        <v>1472</v>
      </c>
      <c r="G5460" t="s">
        <v>3974</v>
      </c>
      <c r="H5460" t="s">
        <v>3957</v>
      </c>
      <c r="I5460" t="s">
        <v>3975</v>
      </c>
      <c r="J5460" t="s">
        <v>9687</v>
      </c>
      <c r="K5460" t="s">
        <v>9688</v>
      </c>
      <c r="L5460" t="s">
        <v>53</v>
      </c>
      <c r="P5460" t="s">
        <v>55</v>
      </c>
      <c r="R5460" t="s">
        <v>53</v>
      </c>
      <c r="T5460" t="s">
        <v>9689</v>
      </c>
      <c r="U5460" t="s">
        <v>58</v>
      </c>
      <c r="V5460">
        <v>2</v>
      </c>
      <c r="W5460">
        <v>2</v>
      </c>
      <c r="X5460">
        <v>4</v>
      </c>
      <c r="Y5460">
        <v>0</v>
      </c>
      <c r="Z5460">
        <v>4</v>
      </c>
      <c r="AA5460">
        <v>444.83</v>
      </c>
      <c r="AB5460">
        <v>444.83</v>
      </c>
      <c r="AC5460">
        <v>391.4</v>
      </c>
      <c r="AD5460">
        <v>0</v>
      </c>
      <c r="AE5460">
        <v>53.43</v>
      </c>
      <c r="AF5460">
        <v>0</v>
      </c>
      <c r="AG5460">
        <v>0</v>
      </c>
      <c r="AH5460">
        <v>0</v>
      </c>
      <c r="AI5460">
        <v>0</v>
      </c>
      <c r="AJ5460">
        <v>444.83</v>
      </c>
      <c r="AK5460">
        <v>0</v>
      </c>
      <c r="AL5460" t="s">
        <v>53</v>
      </c>
      <c r="AM5460" t="s">
        <v>53</v>
      </c>
      <c r="AN5460" t="s">
        <v>53</v>
      </c>
      <c r="AO5460" t="s">
        <v>53</v>
      </c>
      <c r="AP5460" t="s">
        <v>53</v>
      </c>
    </row>
    <row r="5461" spans="2:42" x14ac:dyDescent="0.2">
      <c r="B5461" t="s">
        <v>44</v>
      </c>
      <c r="C5461" t="str">
        <f>HYPERLINK("https://us2.cloudbeds.com/connect/8493803454333002#/reservations/9080486846301762?display=2KX27N6XFT&amp;reservation_id=9080486846301762", "2KX27N6XFT")</f>
        <v>2KX27N6XFT</v>
      </c>
      <c r="D5461" t="s">
        <v>45</v>
      </c>
      <c r="E5461" t="s">
        <v>155</v>
      </c>
      <c r="F5461" t="s">
        <v>86</v>
      </c>
      <c r="G5461" t="s">
        <v>48</v>
      </c>
      <c r="H5461" t="s">
        <v>49</v>
      </c>
      <c r="I5461" t="s">
        <v>50</v>
      </c>
      <c r="J5461" t="s">
        <v>8143</v>
      </c>
      <c r="K5461" t="s">
        <v>8300</v>
      </c>
      <c r="L5461" t="s">
        <v>53</v>
      </c>
      <c r="N5461" t="s">
        <v>9690</v>
      </c>
      <c r="P5461" t="s">
        <v>55</v>
      </c>
      <c r="R5461" t="s">
        <v>53</v>
      </c>
      <c r="T5461" t="s">
        <v>9691</v>
      </c>
      <c r="U5461" t="s">
        <v>58</v>
      </c>
      <c r="V5461">
        <v>1</v>
      </c>
      <c r="W5461">
        <v>1</v>
      </c>
      <c r="X5461">
        <v>2</v>
      </c>
      <c r="Y5461">
        <v>0</v>
      </c>
      <c r="Z5461">
        <v>2</v>
      </c>
      <c r="AA5461">
        <v>200.02</v>
      </c>
      <c r="AB5461">
        <v>200.02</v>
      </c>
      <c r="AC5461">
        <v>176</v>
      </c>
      <c r="AD5461">
        <v>0</v>
      </c>
      <c r="AE5461">
        <v>24.02</v>
      </c>
      <c r="AF5461">
        <v>0</v>
      </c>
      <c r="AG5461">
        <v>0</v>
      </c>
      <c r="AH5461">
        <v>0</v>
      </c>
      <c r="AI5461">
        <v>36</v>
      </c>
      <c r="AJ5461">
        <v>200.02</v>
      </c>
      <c r="AK5461">
        <v>0</v>
      </c>
      <c r="AL5461" t="s">
        <v>53</v>
      </c>
      <c r="AM5461" t="s">
        <v>53</v>
      </c>
      <c r="AN5461" t="s">
        <v>53</v>
      </c>
      <c r="AO5461" t="s">
        <v>53</v>
      </c>
      <c r="AP5461" t="s">
        <v>53</v>
      </c>
    </row>
    <row r="5462" spans="2:42" x14ac:dyDescent="0.2">
      <c r="B5462" t="s">
        <v>44</v>
      </c>
      <c r="C5462" t="str">
        <f>HYPERLINK("https://us2.cloudbeds.com/connect/8493803454333002#/reservations/9080486846301915?display=2KX84329A5&amp;reservation_id=9080486846301915", "2KX84329A5")</f>
        <v>2KX84329A5</v>
      </c>
      <c r="D5462" t="s">
        <v>45</v>
      </c>
      <c r="E5462" t="s">
        <v>138</v>
      </c>
      <c r="F5462" t="s">
        <v>70</v>
      </c>
      <c r="G5462" t="s">
        <v>48</v>
      </c>
      <c r="H5462" t="s">
        <v>49</v>
      </c>
      <c r="I5462" t="s">
        <v>50</v>
      </c>
      <c r="J5462" t="s">
        <v>6454</v>
      </c>
      <c r="K5462" t="s">
        <v>9692</v>
      </c>
      <c r="L5462" t="s">
        <v>53</v>
      </c>
      <c r="N5462" t="s">
        <v>9693</v>
      </c>
      <c r="P5462" t="s">
        <v>55</v>
      </c>
      <c r="R5462" t="s">
        <v>53</v>
      </c>
      <c r="T5462" t="s">
        <v>9694</v>
      </c>
      <c r="U5462" t="s">
        <v>58</v>
      </c>
      <c r="V5462">
        <v>2</v>
      </c>
      <c r="W5462">
        <v>1</v>
      </c>
      <c r="X5462">
        <v>2</v>
      </c>
      <c r="Y5462">
        <v>0</v>
      </c>
      <c r="Z5462">
        <v>2</v>
      </c>
      <c r="AA5462">
        <v>329.59</v>
      </c>
      <c r="AB5462">
        <v>329.59</v>
      </c>
      <c r="AC5462">
        <v>290</v>
      </c>
      <c r="AD5462">
        <v>0</v>
      </c>
      <c r="AE5462">
        <v>39.590000000000003</v>
      </c>
      <c r="AF5462">
        <v>0</v>
      </c>
      <c r="AG5462">
        <v>0</v>
      </c>
      <c r="AH5462">
        <v>0</v>
      </c>
      <c r="AI5462">
        <v>59.33</v>
      </c>
      <c r="AJ5462">
        <v>329.59</v>
      </c>
      <c r="AK5462">
        <v>0</v>
      </c>
      <c r="AL5462" t="s">
        <v>53</v>
      </c>
      <c r="AM5462" t="s">
        <v>53</v>
      </c>
      <c r="AN5462" t="s">
        <v>53</v>
      </c>
      <c r="AO5462" t="s">
        <v>53</v>
      </c>
      <c r="AP5462" t="s">
        <v>53</v>
      </c>
    </row>
    <row r="5463" spans="2:42" x14ac:dyDescent="0.2">
      <c r="B5463" t="s">
        <v>44</v>
      </c>
      <c r="C5463" t="str">
        <f>HYPERLINK("https://us2.cloudbeds.com/connect/8493803454333002#/reservations/9080486846301980?display=2KXAKMAMGN&amp;reservation_id=9080486846301980", "2KXAKMAMGN")</f>
        <v>2KXAKMAMGN</v>
      </c>
      <c r="D5463" t="s">
        <v>45</v>
      </c>
      <c r="E5463" t="s">
        <v>165</v>
      </c>
      <c r="F5463" t="s">
        <v>61</v>
      </c>
      <c r="G5463" t="s">
        <v>48</v>
      </c>
      <c r="H5463" t="s">
        <v>49</v>
      </c>
      <c r="I5463" t="s">
        <v>50</v>
      </c>
      <c r="J5463" t="s">
        <v>9318</v>
      </c>
      <c r="K5463" t="s">
        <v>7623</v>
      </c>
      <c r="L5463" t="s">
        <v>53</v>
      </c>
      <c r="N5463" t="s">
        <v>9695</v>
      </c>
      <c r="P5463" t="s">
        <v>55</v>
      </c>
      <c r="R5463" t="s">
        <v>53</v>
      </c>
      <c r="T5463" t="s">
        <v>9696</v>
      </c>
      <c r="U5463" t="s">
        <v>58</v>
      </c>
      <c r="V5463">
        <v>2</v>
      </c>
      <c r="W5463">
        <v>1</v>
      </c>
      <c r="X5463">
        <v>2</v>
      </c>
      <c r="Y5463">
        <v>0</v>
      </c>
      <c r="Z5463">
        <v>2</v>
      </c>
      <c r="AA5463">
        <v>390.64</v>
      </c>
      <c r="AB5463">
        <v>390.64</v>
      </c>
      <c r="AC5463">
        <v>343.71</v>
      </c>
      <c r="AD5463">
        <v>0</v>
      </c>
      <c r="AE5463">
        <v>46.93</v>
      </c>
      <c r="AF5463">
        <v>0</v>
      </c>
      <c r="AG5463">
        <v>0</v>
      </c>
      <c r="AH5463">
        <v>0</v>
      </c>
      <c r="AI5463">
        <v>70.319999999999993</v>
      </c>
      <c r="AJ5463">
        <v>390.64</v>
      </c>
      <c r="AK5463">
        <v>0</v>
      </c>
      <c r="AL5463" t="s">
        <v>53</v>
      </c>
      <c r="AM5463" t="s">
        <v>53</v>
      </c>
      <c r="AN5463" t="s">
        <v>53</v>
      </c>
      <c r="AO5463" t="s">
        <v>53</v>
      </c>
      <c r="AP5463" t="s">
        <v>53</v>
      </c>
    </row>
    <row r="5464" spans="2:42" x14ac:dyDescent="0.2">
      <c r="B5464" t="s">
        <v>44</v>
      </c>
      <c r="C5464" t="str">
        <f>HYPERLINK("https://us2.cloudbeds.com/connect/8493803454333002#/reservations/121736866898061?display=2KXED3ZYST&amp;reservation_id=121736866898061", "2KXED3ZYST")</f>
        <v>2KXED3ZYST</v>
      </c>
      <c r="D5464" t="s">
        <v>45</v>
      </c>
      <c r="E5464" t="s">
        <v>69</v>
      </c>
      <c r="F5464" t="s">
        <v>70</v>
      </c>
      <c r="G5464" t="s">
        <v>48</v>
      </c>
      <c r="H5464" t="s">
        <v>3957</v>
      </c>
      <c r="I5464" t="s">
        <v>3975</v>
      </c>
      <c r="J5464" t="s">
        <v>8133</v>
      </c>
      <c r="K5464" t="s">
        <v>7822</v>
      </c>
      <c r="L5464" t="s">
        <v>53</v>
      </c>
      <c r="P5464" t="s">
        <v>55</v>
      </c>
      <c r="R5464" t="s">
        <v>53</v>
      </c>
      <c r="T5464" t="s">
        <v>9697</v>
      </c>
      <c r="U5464" t="s">
        <v>58</v>
      </c>
      <c r="V5464">
        <v>1</v>
      </c>
      <c r="W5464">
        <v>1</v>
      </c>
      <c r="X5464">
        <v>2</v>
      </c>
      <c r="Y5464">
        <v>0</v>
      </c>
      <c r="Z5464">
        <v>2</v>
      </c>
      <c r="AA5464">
        <v>234.12</v>
      </c>
      <c r="AB5464">
        <v>234.12</v>
      </c>
      <c r="AC5464">
        <v>206</v>
      </c>
      <c r="AD5464">
        <v>0</v>
      </c>
      <c r="AE5464">
        <v>28.12</v>
      </c>
      <c r="AF5464">
        <v>0</v>
      </c>
      <c r="AG5464">
        <v>0</v>
      </c>
      <c r="AH5464">
        <v>0</v>
      </c>
      <c r="AI5464">
        <v>0</v>
      </c>
      <c r="AJ5464">
        <v>234.12</v>
      </c>
      <c r="AK5464">
        <v>0</v>
      </c>
      <c r="AL5464" t="s">
        <v>53</v>
      </c>
      <c r="AM5464" t="s">
        <v>53</v>
      </c>
      <c r="AN5464" t="s">
        <v>53</v>
      </c>
      <c r="AO5464" t="s">
        <v>53</v>
      </c>
      <c r="AP5464" t="s">
        <v>53</v>
      </c>
    </row>
    <row r="5465" spans="2:42" x14ac:dyDescent="0.2">
      <c r="B5465" t="s">
        <v>44</v>
      </c>
      <c r="C5465" t="str">
        <f>HYPERLINK("https://us2.cloudbeds.com/connect/8493803454333002#/reservations/9080486846302372?display=2KXSFVQ0XS&amp;reservation_id=9080486846302372", "2KXSFVQ0XS")</f>
        <v>2KXSFVQ0XS</v>
      </c>
      <c r="D5465" t="s">
        <v>45</v>
      </c>
      <c r="E5465" t="s">
        <v>69</v>
      </c>
      <c r="F5465" t="s">
        <v>70</v>
      </c>
      <c r="G5465" t="s">
        <v>48</v>
      </c>
      <c r="H5465" t="s">
        <v>49</v>
      </c>
      <c r="I5465" t="s">
        <v>50</v>
      </c>
      <c r="J5465" t="s">
        <v>6828</v>
      </c>
      <c r="K5465" t="s">
        <v>6992</v>
      </c>
      <c r="L5465" t="s">
        <v>53</v>
      </c>
      <c r="N5465" t="s">
        <v>9698</v>
      </c>
      <c r="P5465" t="s">
        <v>55</v>
      </c>
      <c r="R5465" t="s">
        <v>53</v>
      </c>
      <c r="T5465" t="s">
        <v>9699</v>
      </c>
      <c r="U5465" t="s">
        <v>58</v>
      </c>
      <c r="V5465">
        <v>1</v>
      </c>
      <c r="W5465">
        <v>1</v>
      </c>
      <c r="X5465">
        <v>2</v>
      </c>
      <c r="Y5465">
        <v>0</v>
      </c>
      <c r="Z5465">
        <v>2</v>
      </c>
      <c r="AA5465">
        <v>144.78</v>
      </c>
      <c r="AB5465">
        <v>144.78</v>
      </c>
      <c r="AC5465">
        <v>127.39</v>
      </c>
      <c r="AD5465">
        <v>0</v>
      </c>
      <c r="AE5465">
        <v>17.39</v>
      </c>
      <c r="AF5465">
        <v>0</v>
      </c>
      <c r="AG5465">
        <v>0</v>
      </c>
      <c r="AH5465">
        <v>0</v>
      </c>
      <c r="AI5465">
        <v>26.06</v>
      </c>
      <c r="AJ5465">
        <v>144.78</v>
      </c>
      <c r="AK5465">
        <v>0</v>
      </c>
      <c r="AL5465" t="s">
        <v>53</v>
      </c>
      <c r="AM5465" t="s">
        <v>53</v>
      </c>
      <c r="AN5465" t="s">
        <v>53</v>
      </c>
      <c r="AO5465" t="s">
        <v>53</v>
      </c>
      <c r="AP5465" t="s">
        <v>53</v>
      </c>
    </row>
    <row r="5466" spans="2:42" x14ac:dyDescent="0.2">
      <c r="B5466" t="s">
        <v>44</v>
      </c>
      <c r="C5466" t="str">
        <f>HYPERLINK("https://us2.cloudbeds.com/connect/8493803454333002#/reservations/121755833569491?display=2KXT2ZV8CW&amp;reservation_id=121755833569491", "2KXT2ZV8CW")</f>
        <v>2KXT2ZV8CW</v>
      </c>
      <c r="D5466" t="s">
        <v>45</v>
      </c>
      <c r="E5466" t="s">
        <v>190</v>
      </c>
      <c r="F5466" t="s">
        <v>61</v>
      </c>
      <c r="G5466" t="s">
        <v>48</v>
      </c>
      <c r="H5466" t="s">
        <v>3957</v>
      </c>
      <c r="I5466" t="s">
        <v>3975</v>
      </c>
      <c r="J5466" t="s">
        <v>8060</v>
      </c>
      <c r="K5466" t="s">
        <v>7967</v>
      </c>
      <c r="L5466" t="s">
        <v>53</v>
      </c>
      <c r="P5466" t="s">
        <v>55</v>
      </c>
      <c r="R5466" t="s">
        <v>53</v>
      </c>
      <c r="T5466" t="s">
        <v>9700</v>
      </c>
      <c r="U5466" t="s">
        <v>58</v>
      </c>
      <c r="V5466">
        <v>1</v>
      </c>
      <c r="W5466">
        <v>1</v>
      </c>
      <c r="X5466">
        <v>2</v>
      </c>
      <c r="Y5466">
        <v>0</v>
      </c>
      <c r="Z5466">
        <v>2</v>
      </c>
      <c r="AA5466">
        <v>223.89</v>
      </c>
      <c r="AB5466">
        <v>223.89</v>
      </c>
      <c r="AC5466">
        <v>197</v>
      </c>
      <c r="AD5466">
        <v>0</v>
      </c>
      <c r="AE5466">
        <v>26.89</v>
      </c>
      <c r="AF5466">
        <v>0</v>
      </c>
      <c r="AG5466">
        <v>0</v>
      </c>
      <c r="AH5466">
        <v>0</v>
      </c>
      <c r="AI5466">
        <v>0</v>
      </c>
      <c r="AJ5466">
        <v>223.89</v>
      </c>
      <c r="AK5466">
        <v>0</v>
      </c>
      <c r="AL5466" t="s">
        <v>53</v>
      </c>
      <c r="AM5466" t="s">
        <v>53</v>
      </c>
      <c r="AN5466" t="s">
        <v>53</v>
      </c>
      <c r="AO5466" t="s">
        <v>53</v>
      </c>
      <c r="AP5466" t="s">
        <v>53</v>
      </c>
    </row>
    <row r="5467" spans="2:42" x14ac:dyDescent="0.2">
      <c r="B5467" t="s">
        <v>44</v>
      </c>
      <c r="C5467" t="str">
        <f>HYPERLINK("https://us2.cloudbeds.com/connect/8493803454333002#/reservations/9080486846302813?display=2KJFCZ1M4G&amp;reservation_id=9080486846302813", "2KJFCZ1M4G")</f>
        <v>2KJFCZ1M4G</v>
      </c>
      <c r="D5467" t="s">
        <v>45</v>
      </c>
      <c r="E5467" t="s">
        <v>138</v>
      </c>
      <c r="F5467" t="s">
        <v>70</v>
      </c>
      <c r="G5467" t="s">
        <v>48</v>
      </c>
      <c r="H5467" t="s">
        <v>49</v>
      </c>
      <c r="I5467" t="s">
        <v>50</v>
      </c>
      <c r="J5467" t="s">
        <v>9688</v>
      </c>
      <c r="K5467" t="s">
        <v>6832</v>
      </c>
      <c r="L5467" t="s">
        <v>53</v>
      </c>
      <c r="N5467" t="s">
        <v>9701</v>
      </c>
      <c r="P5467" t="s">
        <v>55</v>
      </c>
      <c r="R5467" t="s">
        <v>53</v>
      </c>
      <c r="T5467" t="s">
        <v>9702</v>
      </c>
      <c r="U5467" t="s">
        <v>58</v>
      </c>
      <c r="V5467">
        <v>1</v>
      </c>
      <c r="W5467">
        <v>1</v>
      </c>
      <c r="X5467">
        <v>2</v>
      </c>
      <c r="Y5467">
        <v>0</v>
      </c>
      <c r="Z5467">
        <v>2</v>
      </c>
      <c r="AA5467">
        <v>148.66999999999999</v>
      </c>
      <c r="AB5467">
        <v>148.66999999999999</v>
      </c>
      <c r="AC5467">
        <v>130.81</v>
      </c>
      <c r="AD5467">
        <v>0</v>
      </c>
      <c r="AE5467">
        <v>17.86</v>
      </c>
      <c r="AF5467">
        <v>0</v>
      </c>
      <c r="AG5467">
        <v>0</v>
      </c>
      <c r="AH5467">
        <v>0</v>
      </c>
      <c r="AI5467">
        <v>26.76</v>
      </c>
      <c r="AJ5467">
        <v>148.66999999999999</v>
      </c>
      <c r="AK5467">
        <v>0</v>
      </c>
      <c r="AL5467" t="s">
        <v>53</v>
      </c>
      <c r="AM5467" t="s">
        <v>53</v>
      </c>
      <c r="AN5467" t="s">
        <v>53</v>
      </c>
      <c r="AO5467" t="s">
        <v>53</v>
      </c>
      <c r="AP5467" t="s">
        <v>53</v>
      </c>
    </row>
    <row r="5468" spans="2:42" x14ac:dyDescent="0.2">
      <c r="B5468" t="s">
        <v>44</v>
      </c>
      <c r="C5468" t="str">
        <f>HYPERLINK("https://us2.cloudbeds.com/connect/8493803454333002#/reservations/9080486846302858?display=2KJX8FTX0F&amp;reservation_id=9080486846302858", "2KJX8FTX0F")</f>
        <v>2KJX8FTX0F</v>
      </c>
      <c r="D5468" t="s">
        <v>45</v>
      </c>
      <c r="E5468" t="s">
        <v>155</v>
      </c>
      <c r="F5468" t="s">
        <v>86</v>
      </c>
      <c r="G5468" t="s">
        <v>48</v>
      </c>
      <c r="H5468" t="s">
        <v>49</v>
      </c>
      <c r="I5468" t="s">
        <v>50</v>
      </c>
      <c r="J5468" t="s">
        <v>7905</v>
      </c>
      <c r="K5468" t="s">
        <v>7906</v>
      </c>
      <c r="L5468" t="s">
        <v>53</v>
      </c>
      <c r="N5468" t="s">
        <v>9703</v>
      </c>
      <c r="P5468" t="s">
        <v>55</v>
      </c>
      <c r="R5468" t="s">
        <v>53</v>
      </c>
      <c r="T5468" t="s">
        <v>9704</v>
      </c>
      <c r="U5468" t="s">
        <v>58</v>
      </c>
      <c r="V5468">
        <v>1</v>
      </c>
      <c r="W5468">
        <v>1</v>
      </c>
      <c r="X5468">
        <v>2</v>
      </c>
      <c r="Y5468">
        <v>0</v>
      </c>
      <c r="Z5468">
        <v>2</v>
      </c>
      <c r="AA5468">
        <v>205.48</v>
      </c>
      <c r="AB5468">
        <v>205.48</v>
      </c>
      <c r="AC5468">
        <v>180.8</v>
      </c>
      <c r="AD5468">
        <v>0</v>
      </c>
      <c r="AE5468">
        <v>24.68</v>
      </c>
      <c r="AF5468">
        <v>0</v>
      </c>
      <c r="AG5468">
        <v>0</v>
      </c>
      <c r="AH5468">
        <v>0</v>
      </c>
      <c r="AI5468">
        <v>36.99</v>
      </c>
      <c r="AJ5468">
        <v>205.48</v>
      </c>
      <c r="AK5468">
        <v>0</v>
      </c>
      <c r="AL5468" t="s">
        <v>53</v>
      </c>
      <c r="AM5468" t="s">
        <v>53</v>
      </c>
      <c r="AN5468" t="s">
        <v>53</v>
      </c>
      <c r="AO5468" t="s">
        <v>53</v>
      </c>
      <c r="AP5468" t="s">
        <v>53</v>
      </c>
    </row>
    <row r="5469" spans="2:42" x14ac:dyDescent="0.2">
      <c r="B5469" t="s">
        <v>44</v>
      </c>
      <c r="C5469" t="str">
        <f>HYPERLINK("https://us2.cloudbeds.com/connect/8493803454333002#/reservations/121798780322007?display=2KJTB4PVCT&amp;reservation_id=121798780322007", "2KJTB4PVCT")</f>
        <v>2KJTB4PVCT</v>
      </c>
      <c r="D5469" t="s">
        <v>45</v>
      </c>
      <c r="E5469" t="s">
        <v>155</v>
      </c>
      <c r="F5469" t="s">
        <v>86</v>
      </c>
      <c r="G5469" t="s">
        <v>48</v>
      </c>
      <c r="H5469" t="s">
        <v>3957</v>
      </c>
      <c r="I5469" t="s">
        <v>3975</v>
      </c>
      <c r="J5469" t="s">
        <v>8319</v>
      </c>
      <c r="K5469" t="s">
        <v>7623</v>
      </c>
      <c r="L5469" t="s">
        <v>53</v>
      </c>
      <c r="P5469" t="s">
        <v>55</v>
      </c>
      <c r="R5469" t="s">
        <v>53</v>
      </c>
      <c r="T5469" t="s">
        <v>9705</v>
      </c>
      <c r="U5469" t="s">
        <v>58</v>
      </c>
      <c r="V5469">
        <v>3</v>
      </c>
      <c r="W5469">
        <v>1</v>
      </c>
      <c r="X5469">
        <v>2</v>
      </c>
      <c r="Y5469">
        <v>0</v>
      </c>
      <c r="Z5469">
        <v>2</v>
      </c>
      <c r="AA5469">
        <v>798.97</v>
      </c>
      <c r="AB5469">
        <v>798.97</v>
      </c>
      <c r="AC5469">
        <v>703</v>
      </c>
      <c r="AD5469">
        <v>0</v>
      </c>
      <c r="AE5469">
        <v>95.97</v>
      </c>
      <c r="AF5469">
        <v>0</v>
      </c>
      <c r="AG5469">
        <v>0</v>
      </c>
      <c r="AH5469">
        <v>0</v>
      </c>
      <c r="AI5469">
        <v>0</v>
      </c>
      <c r="AJ5469">
        <v>798.97</v>
      </c>
      <c r="AK5469">
        <v>0</v>
      </c>
      <c r="AL5469" t="s">
        <v>53</v>
      </c>
      <c r="AM5469" t="s">
        <v>53</v>
      </c>
      <c r="AN5469" t="s">
        <v>53</v>
      </c>
      <c r="AO5469" t="s">
        <v>53</v>
      </c>
      <c r="AP5469" t="s">
        <v>53</v>
      </c>
    </row>
    <row r="5470" spans="2:42" x14ac:dyDescent="0.2">
      <c r="B5470" t="s">
        <v>44</v>
      </c>
      <c r="C5470" t="str">
        <f>HYPERLINK("https://us2.cloudbeds.com/connect/8493803454333002#/reservations/9080486846303270?display=2KK6FC2HV0&amp;reservation_id=9080486846303270", "2KK6FC2HV0")</f>
        <v>2KK6FC2HV0</v>
      </c>
      <c r="D5470" t="s">
        <v>45</v>
      </c>
      <c r="E5470" t="s">
        <v>179</v>
      </c>
      <c r="F5470" t="s">
        <v>47</v>
      </c>
      <c r="G5470" t="s">
        <v>48</v>
      </c>
      <c r="H5470" t="s">
        <v>49</v>
      </c>
      <c r="I5470" t="s">
        <v>50</v>
      </c>
      <c r="J5470" t="s">
        <v>6373</v>
      </c>
      <c r="K5470" t="s">
        <v>8765</v>
      </c>
      <c r="L5470" t="s">
        <v>53</v>
      </c>
      <c r="N5470" t="s">
        <v>9706</v>
      </c>
      <c r="P5470" t="s">
        <v>55</v>
      </c>
      <c r="R5470" t="s">
        <v>53</v>
      </c>
      <c r="T5470" t="s">
        <v>9707</v>
      </c>
      <c r="U5470" t="s">
        <v>58</v>
      </c>
      <c r="V5470">
        <v>1</v>
      </c>
      <c r="W5470">
        <v>1</v>
      </c>
      <c r="X5470">
        <v>2</v>
      </c>
      <c r="Y5470">
        <v>0</v>
      </c>
      <c r="Z5470">
        <v>2</v>
      </c>
      <c r="AA5470">
        <v>201.84</v>
      </c>
      <c r="AB5470">
        <v>201.84</v>
      </c>
      <c r="AC5470">
        <v>177.6</v>
      </c>
      <c r="AD5470">
        <v>0</v>
      </c>
      <c r="AE5470">
        <v>24.24</v>
      </c>
      <c r="AF5470">
        <v>0</v>
      </c>
      <c r="AG5470">
        <v>0</v>
      </c>
      <c r="AH5470">
        <v>0</v>
      </c>
      <c r="AI5470">
        <v>36.33</v>
      </c>
      <c r="AJ5470">
        <v>201.84</v>
      </c>
      <c r="AK5470">
        <v>0</v>
      </c>
      <c r="AL5470" t="s">
        <v>53</v>
      </c>
      <c r="AM5470" t="s">
        <v>53</v>
      </c>
      <c r="AN5470" t="s">
        <v>53</v>
      </c>
      <c r="AO5470" t="s">
        <v>53</v>
      </c>
      <c r="AP5470" t="s">
        <v>53</v>
      </c>
    </row>
    <row r="5471" spans="2:42" x14ac:dyDescent="0.2">
      <c r="B5471" t="s">
        <v>44</v>
      </c>
      <c r="C5471" t="str">
        <f>HYPERLINK("https://us2.cloudbeds.com/connect/8493803454333002#/reservations/9080486846303657?display=2KKU4V7DHN&amp;reservation_id=9080486846303657", "2KKU4V7DHN")</f>
        <v>2KKU4V7DHN</v>
      </c>
      <c r="D5471" t="s">
        <v>45</v>
      </c>
      <c r="E5471" t="s">
        <v>110</v>
      </c>
      <c r="F5471" t="s">
        <v>47</v>
      </c>
      <c r="G5471" t="s">
        <v>48</v>
      </c>
      <c r="H5471" t="s">
        <v>49</v>
      </c>
      <c r="I5471" t="s">
        <v>50</v>
      </c>
      <c r="J5471" t="s">
        <v>7822</v>
      </c>
      <c r="K5471" t="s">
        <v>8143</v>
      </c>
      <c r="L5471" t="s">
        <v>53</v>
      </c>
      <c r="N5471" t="s">
        <v>9708</v>
      </c>
      <c r="P5471" t="s">
        <v>55</v>
      </c>
      <c r="R5471" t="s">
        <v>53</v>
      </c>
      <c r="T5471" t="s">
        <v>9709</v>
      </c>
      <c r="U5471" t="s">
        <v>58</v>
      </c>
      <c r="V5471">
        <v>1</v>
      </c>
      <c r="W5471">
        <v>1</v>
      </c>
      <c r="X5471">
        <v>2</v>
      </c>
      <c r="Y5471">
        <v>0</v>
      </c>
      <c r="Z5471">
        <v>2</v>
      </c>
      <c r="AA5471">
        <v>219.91</v>
      </c>
      <c r="AB5471">
        <v>219.91</v>
      </c>
      <c r="AC5471">
        <v>193.5</v>
      </c>
      <c r="AD5471">
        <v>0</v>
      </c>
      <c r="AE5471">
        <v>26.41</v>
      </c>
      <c r="AF5471">
        <v>0</v>
      </c>
      <c r="AG5471">
        <v>0</v>
      </c>
      <c r="AH5471">
        <v>0</v>
      </c>
      <c r="AI5471">
        <v>39.58</v>
      </c>
      <c r="AJ5471">
        <v>219.91</v>
      </c>
      <c r="AK5471">
        <v>0</v>
      </c>
      <c r="AL5471" t="s">
        <v>53</v>
      </c>
      <c r="AM5471" t="s">
        <v>53</v>
      </c>
      <c r="AN5471" t="s">
        <v>53</v>
      </c>
      <c r="AO5471" t="s">
        <v>53</v>
      </c>
      <c r="AP5471" t="s">
        <v>53</v>
      </c>
    </row>
    <row r="5472" spans="2:42" x14ac:dyDescent="0.2">
      <c r="B5472" t="s">
        <v>44</v>
      </c>
      <c r="C5472" t="str">
        <f>HYPERLINK("https://us2.cloudbeds.com/connect/8493803454333002#/reservations/9080486846305496?display=2KNRE1S546&amp;reservation_id=9080486846305496", "2KNRE1S546")</f>
        <v>2KNRE1S546</v>
      </c>
      <c r="D5472" t="s">
        <v>45</v>
      </c>
      <c r="E5472" t="s">
        <v>373</v>
      </c>
      <c r="F5472" t="s">
        <v>47</v>
      </c>
      <c r="G5472" t="s">
        <v>48</v>
      </c>
      <c r="H5472" t="s">
        <v>49</v>
      </c>
      <c r="I5472" t="s">
        <v>62</v>
      </c>
      <c r="J5472" t="s">
        <v>9710</v>
      </c>
      <c r="K5472" t="s">
        <v>9711</v>
      </c>
      <c r="L5472" t="s">
        <v>53</v>
      </c>
      <c r="N5472" t="s">
        <v>9712</v>
      </c>
      <c r="P5472" t="s">
        <v>55</v>
      </c>
      <c r="R5472" t="s">
        <v>118</v>
      </c>
      <c r="T5472" t="s">
        <v>9713</v>
      </c>
      <c r="U5472" t="s">
        <v>55</v>
      </c>
      <c r="V5472">
        <v>6</v>
      </c>
      <c r="W5472">
        <v>1</v>
      </c>
      <c r="X5472">
        <v>1</v>
      </c>
      <c r="Y5472">
        <v>0</v>
      </c>
      <c r="Z5472">
        <v>1</v>
      </c>
      <c r="AA5472">
        <v>384</v>
      </c>
      <c r="AB5472">
        <v>384</v>
      </c>
      <c r="AC5472">
        <v>384</v>
      </c>
      <c r="AD5472">
        <v>0</v>
      </c>
      <c r="AE5472">
        <v>0</v>
      </c>
      <c r="AF5472">
        <v>0</v>
      </c>
      <c r="AG5472">
        <v>0</v>
      </c>
      <c r="AH5472">
        <v>0</v>
      </c>
      <c r="AI5472">
        <v>69.12</v>
      </c>
      <c r="AJ5472">
        <v>384</v>
      </c>
      <c r="AK5472">
        <v>0</v>
      </c>
      <c r="AL5472" t="s">
        <v>53</v>
      </c>
      <c r="AM5472" t="s">
        <v>53</v>
      </c>
      <c r="AN5472" t="s">
        <v>53</v>
      </c>
      <c r="AO5472" t="s">
        <v>53</v>
      </c>
      <c r="AP5472" t="s">
        <v>53</v>
      </c>
    </row>
    <row r="5473" spans="2:42" x14ac:dyDescent="0.2">
      <c r="B5473" t="s">
        <v>44</v>
      </c>
      <c r="C5473" t="str">
        <f>HYPERLINK("https://us2.cloudbeds.com/connect/8493803454333002#/reservations/9080486846306470?display=2KZUFZEHQE&amp;reservation_id=9080486846306470", "2KZUFZEHQE")</f>
        <v>2KZUFZEHQE</v>
      </c>
      <c r="D5473" t="s">
        <v>45</v>
      </c>
      <c r="E5473" t="s">
        <v>46</v>
      </c>
      <c r="F5473" t="s">
        <v>47</v>
      </c>
      <c r="G5473" t="s">
        <v>48</v>
      </c>
      <c r="H5473" t="s">
        <v>49</v>
      </c>
      <c r="I5473" t="s">
        <v>50</v>
      </c>
      <c r="J5473" t="s">
        <v>8816</v>
      </c>
      <c r="K5473" t="s">
        <v>6374</v>
      </c>
      <c r="L5473" t="s">
        <v>53</v>
      </c>
      <c r="N5473" t="s">
        <v>9714</v>
      </c>
      <c r="P5473" t="s">
        <v>55</v>
      </c>
      <c r="R5473" t="s">
        <v>53</v>
      </c>
      <c r="T5473" t="s">
        <v>9715</v>
      </c>
      <c r="U5473" t="s">
        <v>58</v>
      </c>
      <c r="V5473">
        <v>3</v>
      </c>
      <c r="W5473">
        <v>1</v>
      </c>
      <c r="X5473">
        <v>2</v>
      </c>
      <c r="Y5473">
        <v>0</v>
      </c>
      <c r="Z5473">
        <v>2</v>
      </c>
      <c r="AA5473">
        <v>599.4</v>
      </c>
      <c r="AB5473">
        <v>599.4</v>
      </c>
      <c r="AC5473">
        <v>527.4</v>
      </c>
      <c r="AD5473">
        <v>0</v>
      </c>
      <c r="AE5473">
        <v>72</v>
      </c>
      <c r="AF5473">
        <v>0</v>
      </c>
      <c r="AG5473">
        <v>0</v>
      </c>
      <c r="AH5473">
        <v>0</v>
      </c>
      <c r="AI5473">
        <v>107.89</v>
      </c>
      <c r="AJ5473">
        <v>599.4</v>
      </c>
      <c r="AK5473">
        <v>0</v>
      </c>
      <c r="AL5473" t="s">
        <v>53</v>
      </c>
      <c r="AM5473" t="s">
        <v>53</v>
      </c>
      <c r="AN5473" t="s">
        <v>53</v>
      </c>
      <c r="AO5473" t="s">
        <v>53</v>
      </c>
      <c r="AP5473" t="s">
        <v>53</v>
      </c>
    </row>
    <row r="5474" spans="2:42" x14ac:dyDescent="0.2">
      <c r="B5474" t="s">
        <v>44</v>
      </c>
      <c r="C5474" t="str">
        <f>HYPERLINK("https://us2.cloudbeds.com/connect/8493803454333002#/reservations/9080486846306827?display=2KP8C86G22&amp;reservation_id=9080486846306827", "2KP8C86G22")</f>
        <v>2KP8C86G22</v>
      </c>
      <c r="D5474" t="s">
        <v>45</v>
      </c>
      <c r="E5474" t="s">
        <v>110</v>
      </c>
      <c r="F5474" t="s">
        <v>47</v>
      </c>
      <c r="G5474" t="s">
        <v>48</v>
      </c>
      <c r="H5474" t="s">
        <v>49</v>
      </c>
      <c r="I5474" t="s">
        <v>50</v>
      </c>
      <c r="J5474" t="s">
        <v>8133</v>
      </c>
      <c r="K5474" t="s">
        <v>7822</v>
      </c>
      <c r="L5474" t="s">
        <v>53</v>
      </c>
      <c r="N5474" t="s">
        <v>9716</v>
      </c>
      <c r="P5474" t="s">
        <v>55</v>
      </c>
      <c r="R5474" t="s">
        <v>53</v>
      </c>
      <c r="T5474" t="s">
        <v>9717</v>
      </c>
      <c r="U5474" t="s">
        <v>58</v>
      </c>
      <c r="V5474">
        <v>1</v>
      </c>
      <c r="W5474">
        <v>1</v>
      </c>
      <c r="X5474">
        <v>1</v>
      </c>
      <c r="Y5474">
        <v>0</v>
      </c>
      <c r="Z5474">
        <v>1</v>
      </c>
      <c r="AA5474">
        <v>180.93</v>
      </c>
      <c r="AB5474">
        <v>180.93</v>
      </c>
      <c r="AC5474">
        <v>159.19999999999999</v>
      </c>
      <c r="AD5474">
        <v>0</v>
      </c>
      <c r="AE5474">
        <v>21.73</v>
      </c>
      <c r="AF5474">
        <v>0</v>
      </c>
      <c r="AG5474">
        <v>0</v>
      </c>
      <c r="AH5474">
        <v>0</v>
      </c>
      <c r="AI5474">
        <v>32.57</v>
      </c>
      <c r="AJ5474">
        <v>180.93</v>
      </c>
      <c r="AK5474">
        <v>0</v>
      </c>
      <c r="AL5474" t="s">
        <v>53</v>
      </c>
      <c r="AM5474" t="s">
        <v>53</v>
      </c>
      <c r="AN5474" t="s">
        <v>9718</v>
      </c>
      <c r="AO5474" t="s">
        <v>53</v>
      </c>
      <c r="AP5474" t="s">
        <v>53</v>
      </c>
    </row>
    <row r="5475" spans="2:42" x14ac:dyDescent="0.2">
      <c r="B5475" t="s">
        <v>44</v>
      </c>
      <c r="C5475" t="str">
        <f>HYPERLINK("https://us2.cloudbeds.com/connect/8493803454333002#/reservations/9080486846306862?display=2KP95NA0MJ&amp;reservation_id=9080486846306862", "2KP95NA0MJ")</f>
        <v>2KP95NA0MJ</v>
      </c>
      <c r="D5475" t="s">
        <v>45</v>
      </c>
      <c r="E5475" t="s">
        <v>105</v>
      </c>
      <c r="F5475" t="s">
        <v>47</v>
      </c>
      <c r="G5475" t="s">
        <v>48</v>
      </c>
      <c r="H5475" t="s">
        <v>49</v>
      </c>
      <c r="I5475" t="s">
        <v>50</v>
      </c>
      <c r="J5475" t="s">
        <v>7325</v>
      </c>
      <c r="K5475" t="s">
        <v>6991</v>
      </c>
      <c r="L5475" t="s">
        <v>53</v>
      </c>
      <c r="N5475" t="s">
        <v>9719</v>
      </c>
      <c r="P5475" t="s">
        <v>55</v>
      </c>
      <c r="R5475" t="s">
        <v>53</v>
      </c>
      <c r="T5475" t="s">
        <v>9720</v>
      </c>
      <c r="U5475" t="s">
        <v>58</v>
      </c>
      <c r="V5475">
        <v>2</v>
      </c>
      <c r="W5475">
        <v>1</v>
      </c>
      <c r="X5475">
        <v>2</v>
      </c>
      <c r="Y5475">
        <v>0</v>
      </c>
      <c r="Z5475">
        <v>2</v>
      </c>
      <c r="AA5475">
        <v>286.39999999999998</v>
      </c>
      <c r="AB5475">
        <v>289.11</v>
      </c>
      <c r="AC5475">
        <v>252</v>
      </c>
      <c r="AD5475">
        <v>2.5</v>
      </c>
      <c r="AE5475">
        <v>34.61</v>
      </c>
      <c r="AF5475">
        <v>0</v>
      </c>
      <c r="AG5475">
        <v>0</v>
      </c>
      <c r="AH5475">
        <v>0</v>
      </c>
      <c r="AI5475">
        <v>52.04</v>
      </c>
      <c r="AJ5475">
        <v>289.11</v>
      </c>
      <c r="AK5475">
        <v>0</v>
      </c>
      <c r="AL5475" t="s">
        <v>53</v>
      </c>
      <c r="AM5475" t="s">
        <v>53</v>
      </c>
      <c r="AN5475" t="s">
        <v>9721</v>
      </c>
      <c r="AO5475" t="s">
        <v>53</v>
      </c>
      <c r="AP5475" t="s">
        <v>53</v>
      </c>
    </row>
    <row r="5476" spans="2:42" x14ac:dyDescent="0.2">
      <c r="B5476" t="s">
        <v>44</v>
      </c>
      <c r="C5476" t="str">
        <f>HYPERLINK("https://us2.cloudbeds.com/connect/8493803454333002#/reservations/122033373581443?display=2KPCWX16VF&amp;reservation_id=122033373581443", "2KPCWX16VF")</f>
        <v>2KPCWX16VF</v>
      </c>
      <c r="D5476" t="s">
        <v>45</v>
      </c>
      <c r="E5476" t="s">
        <v>487</v>
      </c>
      <c r="F5476" t="s">
        <v>61</v>
      </c>
      <c r="G5476" t="s">
        <v>7801</v>
      </c>
      <c r="H5476" t="s">
        <v>3957</v>
      </c>
      <c r="I5476" t="s">
        <v>3958</v>
      </c>
      <c r="J5476" t="s">
        <v>8765</v>
      </c>
      <c r="K5476" t="s">
        <v>7829</v>
      </c>
      <c r="L5476" t="s">
        <v>53</v>
      </c>
      <c r="P5476" t="s">
        <v>55</v>
      </c>
      <c r="R5476" t="s">
        <v>56</v>
      </c>
      <c r="T5476" t="s">
        <v>9722</v>
      </c>
      <c r="U5476" t="s">
        <v>58</v>
      </c>
      <c r="V5476">
        <v>2</v>
      </c>
      <c r="W5476">
        <v>1</v>
      </c>
      <c r="X5476">
        <v>1</v>
      </c>
      <c r="Y5476">
        <v>0</v>
      </c>
      <c r="Z5476">
        <v>1</v>
      </c>
      <c r="AA5476">
        <v>411.18</v>
      </c>
      <c r="AB5476">
        <v>411.18</v>
      </c>
      <c r="AC5476">
        <v>361.8</v>
      </c>
      <c r="AD5476">
        <v>0</v>
      </c>
      <c r="AE5476">
        <v>49.38</v>
      </c>
      <c r="AF5476">
        <v>0</v>
      </c>
      <c r="AG5476">
        <v>0</v>
      </c>
      <c r="AH5476">
        <v>0</v>
      </c>
      <c r="AI5476">
        <v>0</v>
      </c>
      <c r="AJ5476">
        <v>411.18</v>
      </c>
      <c r="AK5476">
        <v>0</v>
      </c>
      <c r="AL5476" t="s">
        <v>53</v>
      </c>
      <c r="AM5476" t="s">
        <v>53</v>
      </c>
      <c r="AN5476" t="s">
        <v>53</v>
      </c>
      <c r="AO5476" t="s">
        <v>53</v>
      </c>
      <c r="AP5476" t="s">
        <v>53</v>
      </c>
    </row>
    <row r="5477" spans="2:42" x14ac:dyDescent="0.2">
      <c r="B5477" t="s">
        <v>44</v>
      </c>
      <c r="C5477" t="str">
        <f>HYPERLINK("https://us2.cloudbeds.com/connect/8493803454333002#/reservations/122040348565704?display=2KPXCPHE5T&amp;reservation_id=122040348565704", "2KPXCPHE5T")</f>
        <v>2KPXCPHE5T</v>
      </c>
      <c r="D5477" t="s">
        <v>45</v>
      </c>
      <c r="E5477" t="s">
        <v>213</v>
      </c>
      <c r="F5477" t="s">
        <v>86</v>
      </c>
      <c r="G5477" t="s">
        <v>48</v>
      </c>
      <c r="H5477" t="s">
        <v>3957</v>
      </c>
      <c r="I5477" t="s">
        <v>3975</v>
      </c>
      <c r="J5477" t="s">
        <v>8367</v>
      </c>
      <c r="K5477" t="s">
        <v>8071</v>
      </c>
      <c r="L5477" t="s">
        <v>53</v>
      </c>
      <c r="P5477" t="s">
        <v>55</v>
      </c>
      <c r="R5477" t="s">
        <v>53</v>
      </c>
      <c r="T5477" t="s">
        <v>9723</v>
      </c>
      <c r="U5477" t="s">
        <v>58</v>
      </c>
      <c r="V5477">
        <v>2</v>
      </c>
      <c r="W5477">
        <v>1</v>
      </c>
      <c r="X5477">
        <v>2</v>
      </c>
      <c r="Y5477">
        <v>2</v>
      </c>
      <c r="Z5477">
        <v>4</v>
      </c>
      <c r="AA5477">
        <v>439.83</v>
      </c>
      <c r="AB5477">
        <v>439.83</v>
      </c>
      <c r="AC5477">
        <v>387</v>
      </c>
      <c r="AD5477">
        <v>0</v>
      </c>
      <c r="AE5477">
        <v>52.83</v>
      </c>
      <c r="AF5477">
        <v>0</v>
      </c>
      <c r="AG5477">
        <v>0</v>
      </c>
      <c r="AH5477">
        <v>0</v>
      </c>
      <c r="AI5477">
        <v>0</v>
      </c>
      <c r="AJ5477">
        <v>439.83</v>
      </c>
      <c r="AK5477">
        <v>0</v>
      </c>
      <c r="AL5477" t="s">
        <v>53</v>
      </c>
      <c r="AM5477" t="s">
        <v>53</v>
      </c>
      <c r="AN5477" t="s">
        <v>53</v>
      </c>
      <c r="AO5477" t="s">
        <v>53</v>
      </c>
      <c r="AP5477" t="s">
        <v>53</v>
      </c>
    </row>
    <row r="5478" spans="2:42" x14ac:dyDescent="0.2">
      <c r="B5478" t="s">
        <v>44</v>
      </c>
      <c r="C5478" t="str">
        <f>HYPERLINK("https://us2.cloudbeds.com/connect/8493803454333002#/reservations/122041948500155?display=2KPJKYKVR1&amp;reservation_id=122041948500155", "2KPJKYKVR1")</f>
        <v>2KPJKYKVR1</v>
      </c>
      <c r="D5478" t="s">
        <v>45</v>
      </c>
      <c r="E5478" t="s">
        <v>190</v>
      </c>
      <c r="F5478" t="s">
        <v>61</v>
      </c>
      <c r="G5478" t="s">
        <v>7801</v>
      </c>
      <c r="H5478" t="s">
        <v>3957</v>
      </c>
      <c r="I5478" t="s">
        <v>3958</v>
      </c>
      <c r="J5478" t="s">
        <v>7821</v>
      </c>
      <c r="K5478" t="s">
        <v>7822</v>
      </c>
      <c r="L5478" t="s">
        <v>53</v>
      </c>
      <c r="P5478" t="s">
        <v>55</v>
      </c>
      <c r="R5478" t="s">
        <v>56</v>
      </c>
      <c r="T5478" t="s">
        <v>9724</v>
      </c>
      <c r="U5478" t="s">
        <v>58</v>
      </c>
      <c r="V5478">
        <v>2</v>
      </c>
      <c r="W5478">
        <v>1</v>
      </c>
      <c r="X5478">
        <v>1</v>
      </c>
      <c r="Y5478">
        <v>0</v>
      </c>
      <c r="Z5478">
        <v>1</v>
      </c>
      <c r="AA5478">
        <v>428.58</v>
      </c>
      <c r="AB5478">
        <v>428.58</v>
      </c>
      <c r="AC5478">
        <v>377.1</v>
      </c>
      <c r="AD5478">
        <v>0</v>
      </c>
      <c r="AE5478">
        <v>51.48</v>
      </c>
      <c r="AF5478">
        <v>0</v>
      </c>
      <c r="AG5478">
        <v>0</v>
      </c>
      <c r="AH5478">
        <v>0</v>
      </c>
      <c r="AI5478">
        <v>0</v>
      </c>
      <c r="AJ5478">
        <v>428.58</v>
      </c>
      <c r="AK5478">
        <v>0</v>
      </c>
      <c r="AL5478" t="s">
        <v>53</v>
      </c>
      <c r="AM5478" t="s">
        <v>53</v>
      </c>
      <c r="AN5478" t="s">
        <v>53</v>
      </c>
      <c r="AO5478" t="s">
        <v>53</v>
      </c>
      <c r="AP5478" t="s">
        <v>53</v>
      </c>
    </row>
    <row r="5479" spans="2:42" x14ac:dyDescent="0.2">
      <c r="B5479" t="s">
        <v>44</v>
      </c>
      <c r="C5479" t="str">
        <f>HYPERLINK("https://us2.cloudbeds.com/connect/8493803454333002#/reservations/9080486846307574?display=2KPWJ24BNU&amp;reservation_id=9080486846307574", "2KPWJ24BNU")</f>
        <v>2KPWJ24BNU</v>
      </c>
      <c r="D5479" t="s">
        <v>45</v>
      </c>
      <c r="E5479" t="s">
        <v>165</v>
      </c>
      <c r="F5479" t="s">
        <v>61</v>
      </c>
      <c r="G5479" t="s">
        <v>48</v>
      </c>
      <c r="H5479" t="s">
        <v>49</v>
      </c>
      <c r="I5479" t="s">
        <v>50</v>
      </c>
      <c r="J5479" t="s">
        <v>5744</v>
      </c>
      <c r="K5479" t="s">
        <v>9725</v>
      </c>
      <c r="L5479" t="s">
        <v>53</v>
      </c>
      <c r="N5479" t="s">
        <v>9726</v>
      </c>
      <c r="P5479" t="s">
        <v>55</v>
      </c>
      <c r="R5479" t="s">
        <v>53</v>
      </c>
      <c r="T5479" t="s">
        <v>9727</v>
      </c>
      <c r="U5479" t="s">
        <v>58</v>
      </c>
      <c r="V5479">
        <v>1</v>
      </c>
      <c r="W5479">
        <v>1</v>
      </c>
      <c r="X5479">
        <v>2</v>
      </c>
      <c r="Y5479">
        <v>0</v>
      </c>
      <c r="Z5479">
        <v>2</v>
      </c>
      <c r="AA5479">
        <v>188.2</v>
      </c>
      <c r="AB5479">
        <v>188.2</v>
      </c>
      <c r="AC5479">
        <v>165.6</v>
      </c>
      <c r="AD5479">
        <v>0</v>
      </c>
      <c r="AE5479">
        <v>22.6</v>
      </c>
      <c r="AF5479">
        <v>0</v>
      </c>
      <c r="AG5479">
        <v>0</v>
      </c>
      <c r="AH5479">
        <v>0</v>
      </c>
      <c r="AI5479">
        <v>33.880000000000003</v>
      </c>
      <c r="AJ5479">
        <v>188.2</v>
      </c>
      <c r="AK5479">
        <v>0</v>
      </c>
      <c r="AL5479" t="s">
        <v>53</v>
      </c>
      <c r="AM5479" t="s">
        <v>53</v>
      </c>
      <c r="AN5479" t="s">
        <v>53</v>
      </c>
      <c r="AO5479" t="s">
        <v>53</v>
      </c>
      <c r="AP5479" t="s">
        <v>53</v>
      </c>
    </row>
    <row r="5480" spans="2:42" x14ac:dyDescent="0.2">
      <c r="B5480" t="s">
        <v>44</v>
      </c>
      <c r="C5480" t="str">
        <f>HYPERLINK("https://us2.cloudbeds.com/connect/8493803454333002#/reservations/122070545047691?display=2KQ8PC01PJ&amp;reservation_id=122070545047691", "2KQ8PC01PJ")</f>
        <v>2KQ8PC01PJ</v>
      </c>
      <c r="D5480" t="s">
        <v>45</v>
      </c>
      <c r="E5480" t="s">
        <v>165</v>
      </c>
      <c r="F5480" t="s">
        <v>61</v>
      </c>
      <c r="G5480" t="s">
        <v>7801</v>
      </c>
      <c r="H5480" t="s">
        <v>3957</v>
      </c>
      <c r="I5480" t="s">
        <v>3975</v>
      </c>
      <c r="J5480" t="s">
        <v>8871</v>
      </c>
      <c r="K5480" t="s">
        <v>8261</v>
      </c>
      <c r="L5480" t="s">
        <v>53</v>
      </c>
      <c r="P5480" t="s">
        <v>55</v>
      </c>
      <c r="R5480" t="s">
        <v>53</v>
      </c>
      <c r="T5480" t="s">
        <v>9728</v>
      </c>
      <c r="U5480" t="s">
        <v>58</v>
      </c>
      <c r="V5480">
        <v>2</v>
      </c>
      <c r="W5480">
        <v>1</v>
      </c>
      <c r="X5480">
        <v>1</v>
      </c>
      <c r="Y5480">
        <v>0</v>
      </c>
      <c r="Z5480">
        <v>1</v>
      </c>
      <c r="AA5480">
        <v>406.08</v>
      </c>
      <c r="AB5480">
        <v>406.08</v>
      </c>
      <c r="AC5480">
        <v>357.3</v>
      </c>
      <c r="AD5480">
        <v>0</v>
      </c>
      <c r="AE5480">
        <v>48.78</v>
      </c>
      <c r="AF5480">
        <v>0</v>
      </c>
      <c r="AG5480">
        <v>0</v>
      </c>
      <c r="AH5480">
        <v>0</v>
      </c>
      <c r="AI5480">
        <v>0</v>
      </c>
      <c r="AJ5480">
        <v>406.08</v>
      </c>
      <c r="AK5480">
        <v>0</v>
      </c>
      <c r="AL5480" t="s">
        <v>53</v>
      </c>
      <c r="AM5480" t="s">
        <v>53</v>
      </c>
      <c r="AN5480" t="s">
        <v>53</v>
      </c>
      <c r="AO5480" t="s">
        <v>53</v>
      </c>
      <c r="AP5480" t="s">
        <v>53</v>
      </c>
    </row>
    <row r="5481" spans="2:42" x14ac:dyDescent="0.2">
      <c r="B5481" t="s">
        <v>44</v>
      </c>
      <c r="C5481" t="str">
        <f>HYPERLINK("https://us2.cloudbeds.com/connect/8493803454333002#/reservations/122095004590294?display=2KQRNBUT49&amp;reservation_id=122095004590294", "2KQRNBUT49")</f>
        <v>2KQRNBUT49</v>
      </c>
      <c r="D5481" t="s">
        <v>45</v>
      </c>
      <c r="E5481" t="s">
        <v>46</v>
      </c>
      <c r="F5481" t="s">
        <v>47</v>
      </c>
      <c r="G5481" t="s">
        <v>48</v>
      </c>
      <c r="H5481" t="s">
        <v>3957</v>
      </c>
      <c r="I5481" t="s">
        <v>3958</v>
      </c>
      <c r="J5481" t="s">
        <v>8133</v>
      </c>
      <c r="K5481" t="s">
        <v>8143</v>
      </c>
      <c r="L5481" t="s">
        <v>53</v>
      </c>
      <c r="P5481" t="s">
        <v>55</v>
      </c>
      <c r="R5481" t="s">
        <v>56</v>
      </c>
      <c r="T5481" t="s">
        <v>9729</v>
      </c>
      <c r="U5481" t="s">
        <v>58</v>
      </c>
      <c r="V5481">
        <v>2</v>
      </c>
      <c r="W5481">
        <v>1</v>
      </c>
      <c r="X5481">
        <v>1</v>
      </c>
      <c r="Y5481">
        <v>0</v>
      </c>
      <c r="Z5481">
        <v>1</v>
      </c>
      <c r="AA5481">
        <v>470.53</v>
      </c>
      <c r="AB5481">
        <v>470.53</v>
      </c>
      <c r="AC5481">
        <v>414</v>
      </c>
      <c r="AD5481">
        <v>0</v>
      </c>
      <c r="AE5481">
        <v>56.53</v>
      </c>
      <c r="AF5481">
        <v>0</v>
      </c>
      <c r="AG5481">
        <v>0</v>
      </c>
      <c r="AH5481">
        <v>0</v>
      </c>
      <c r="AI5481">
        <v>0</v>
      </c>
      <c r="AJ5481">
        <v>470.53</v>
      </c>
      <c r="AK5481">
        <v>0</v>
      </c>
      <c r="AL5481" t="s">
        <v>53</v>
      </c>
      <c r="AM5481" t="s">
        <v>53</v>
      </c>
      <c r="AN5481" t="s">
        <v>53</v>
      </c>
      <c r="AO5481" t="s">
        <v>53</v>
      </c>
      <c r="AP5481" t="s">
        <v>53</v>
      </c>
    </row>
    <row r="5482" spans="2:42" x14ac:dyDescent="0.2">
      <c r="B5482" t="s">
        <v>44</v>
      </c>
      <c r="C5482" t="str">
        <f>HYPERLINK("https://us2.cloudbeds.com/connect/8493803454333002#/reservations/9080486846308329?display=2KQSB3ZNNH&amp;reservation_id=9080486846308329", "2KQSB3ZNNH")</f>
        <v>2KQSB3ZNNH</v>
      </c>
      <c r="D5482" t="s">
        <v>45</v>
      </c>
      <c r="E5482" t="s">
        <v>78</v>
      </c>
      <c r="F5482" t="s">
        <v>61</v>
      </c>
      <c r="G5482" t="s">
        <v>48</v>
      </c>
      <c r="H5482" t="s">
        <v>49</v>
      </c>
      <c r="I5482" t="s">
        <v>50</v>
      </c>
      <c r="J5482" t="s">
        <v>7821</v>
      </c>
      <c r="K5482" t="s">
        <v>8133</v>
      </c>
      <c r="L5482" t="s">
        <v>53</v>
      </c>
      <c r="N5482" t="s">
        <v>9730</v>
      </c>
      <c r="P5482" t="s">
        <v>55</v>
      </c>
      <c r="R5482" t="s">
        <v>53</v>
      </c>
      <c r="T5482" t="s">
        <v>9731</v>
      </c>
      <c r="U5482" t="s">
        <v>58</v>
      </c>
      <c r="V5482">
        <v>1</v>
      </c>
      <c r="W5482">
        <v>1</v>
      </c>
      <c r="X5482">
        <v>2</v>
      </c>
      <c r="Y5482">
        <v>0</v>
      </c>
      <c r="Z5482">
        <v>2</v>
      </c>
      <c r="AA5482">
        <v>212.75</v>
      </c>
      <c r="AB5482">
        <v>212.75</v>
      </c>
      <c r="AC5482">
        <v>187.2</v>
      </c>
      <c r="AD5482">
        <v>0</v>
      </c>
      <c r="AE5482">
        <v>25.55</v>
      </c>
      <c r="AF5482">
        <v>0</v>
      </c>
      <c r="AG5482">
        <v>0</v>
      </c>
      <c r="AH5482">
        <v>0</v>
      </c>
      <c r="AI5482">
        <v>38.299999999999997</v>
      </c>
      <c r="AJ5482">
        <v>212.75</v>
      </c>
      <c r="AK5482">
        <v>0</v>
      </c>
      <c r="AL5482" t="s">
        <v>53</v>
      </c>
      <c r="AM5482" t="s">
        <v>53</v>
      </c>
      <c r="AN5482" t="s">
        <v>53</v>
      </c>
      <c r="AO5482" t="s">
        <v>53</v>
      </c>
      <c r="AP5482" t="s">
        <v>53</v>
      </c>
    </row>
    <row r="5483" spans="2:42" x14ac:dyDescent="0.2">
      <c r="B5483" t="s">
        <v>44</v>
      </c>
      <c r="C5483" t="str">
        <f>HYPERLINK("https://us2.cloudbeds.com/connect/8493803454333002#/reservations/9080486846308434?display=2KR0ADRR71&amp;reservation_id=9080486846308434", "2KR0ADRR71")</f>
        <v>2KR0ADRR71</v>
      </c>
      <c r="D5483" t="s">
        <v>45</v>
      </c>
      <c r="E5483" t="s">
        <v>85</v>
      </c>
      <c r="F5483" t="s">
        <v>86</v>
      </c>
      <c r="G5483" t="s">
        <v>48</v>
      </c>
      <c r="H5483" t="s">
        <v>49</v>
      </c>
      <c r="I5483" t="s">
        <v>62</v>
      </c>
      <c r="J5483" t="s">
        <v>8133</v>
      </c>
      <c r="K5483" t="s">
        <v>7822</v>
      </c>
      <c r="L5483" t="s">
        <v>53</v>
      </c>
      <c r="N5483" t="s">
        <v>9732</v>
      </c>
      <c r="P5483" t="s">
        <v>55</v>
      </c>
      <c r="R5483" t="s">
        <v>56</v>
      </c>
      <c r="T5483" t="s">
        <v>9733</v>
      </c>
      <c r="U5483" t="s">
        <v>55</v>
      </c>
      <c r="V5483">
        <v>1</v>
      </c>
      <c r="W5483">
        <v>1</v>
      </c>
      <c r="X5483">
        <v>2</v>
      </c>
      <c r="Y5483">
        <v>2</v>
      </c>
      <c r="Z5483">
        <v>4</v>
      </c>
      <c r="AA5483">
        <v>224</v>
      </c>
      <c r="AB5483">
        <v>224</v>
      </c>
      <c r="AC5483">
        <v>224</v>
      </c>
      <c r="AD5483">
        <v>0</v>
      </c>
      <c r="AE5483">
        <v>0</v>
      </c>
      <c r="AF5483">
        <v>0</v>
      </c>
      <c r="AG5483">
        <v>0</v>
      </c>
      <c r="AH5483">
        <v>0</v>
      </c>
      <c r="AI5483">
        <v>40.32</v>
      </c>
      <c r="AJ5483">
        <v>224</v>
      </c>
      <c r="AK5483">
        <v>0</v>
      </c>
      <c r="AL5483" t="s">
        <v>53</v>
      </c>
      <c r="AM5483" t="s">
        <v>53</v>
      </c>
      <c r="AN5483" t="s">
        <v>53</v>
      </c>
      <c r="AO5483" t="s">
        <v>53</v>
      </c>
      <c r="AP5483" t="s">
        <v>53</v>
      </c>
    </row>
    <row r="5484" spans="2:42" x14ac:dyDescent="0.2">
      <c r="B5484" t="s">
        <v>44</v>
      </c>
      <c r="C5484" t="str">
        <f>HYPERLINK("https://us2.cloudbeds.com/connect/8493803454333002#/reservations/9080486846308445?display=2KR0JZ7MJ9&amp;reservation_id=9080486846308445", "2KR0JZ7MJ9")</f>
        <v>2KR0JZ7MJ9</v>
      </c>
      <c r="D5484" t="s">
        <v>45</v>
      </c>
      <c r="E5484" t="s">
        <v>128</v>
      </c>
      <c r="F5484" t="s">
        <v>86</v>
      </c>
      <c r="G5484" t="s">
        <v>48</v>
      </c>
      <c r="H5484" t="s">
        <v>49</v>
      </c>
      <c r="I5484" t="s">
        <v>50</v>
      </c>
      <c r="J5484" t="s">
        <v>8816</v>
      </c>
      <c r="K5484" t="s">
        <v>6373</v>
      </c>
      <c r="L5484" t="s">
        <v>53</v>
      </c>
      <c r="N5484" t="s">
        <v>9734</v>
      </c>
      <c r="P5484" t="s">
        <v>55</v>
      </c>
      <c r="R5484" t="s">
        <v>53</v>
      </c>
      <c r="T5484" t="s">
        <v>9735</v>
      </c>
      <c r="U5484" t="s">
        <v>58</v>
      </c>
      <c r="V5484">
        <v>1</v>
      </c>
      <c r="W5484">
        <v>1</v>
      </c>
      <c r="X5484">
        <v>2</v>
      </c>
      <c r="Y5484">
        <v>1</v>
      </c>
      <c r="Z5484">
        <v>3</v>
      </c>
      <c r="AA5484">
        <v>186.57</v>
      </c>
      <c r="AB5484">
        <v>186.57</v>
      </c>
      <c r="AC5484">
        <v>164.16</v>
      </c>
      <c r="AD5484">
        <v>0</v>
      </c>
      <c r="AE5484">
        <v>22.41</v>
      </c>
      <c r="AF5484">
        <v>0</v>
      </c>
      <c r="AG5484">
        <v>0</v>
      </c>
      <c r="AH5484">
        <v>0</v>
      </c>
      <c r="AI5484">
        <v>33.58</v>
      </c>
      <c r="AJ5484">
        <v>186.57</v>
      </c>
      <c r="AK5484">
        <v>0</v>
      </c>
      <c r="AL5484" t="s">
        <v>53</v>
      </c>
      <c r="AM5484" t="s">
        <v>53</v>
      </c>
      <c r="AN5484" t="s">
        <v>53</v>
      </c>
      <c r="AO5484" t="s">
        <v>53</v>
      </c>
      <c r="AP5484" t="s">
        <v>53</v>
      </c>
    </row>
    <row r="5485" spans="2:42" x14ac:dyDescent="0.2">
      <c r="B5485" t="s">
        <v>44</v>
      </c>
      <c r="C5485" t="str">
        <f>HYPERLINK("https://us2.cloudbeds.com/connect/8493803454333002#/reservations/122106089910447?display=2KR39KC8FQ&amp;reservation_id=122106089910447", "2KR39KC8FQ")</f>
        <v>2KR39KC8FQ</v>
      </c>
      <c r="D5485" t="s">
        <v>45</v>
      </c>
      <c r="E5485" t="s">
        <v>305</v>
      </c>
      <c r="F5485" t="s">
        <v>61</v>
      </c>
      <c r="G5485" t="s">
        <v>48</v>
      </c>
      <c r="H5485" t="s">
        <v>3957</v>
      </c>
      <c r="I5485" t="s">
        <v>3958</v>
      </c>
      <c r="J5485" t="s">
        <v>7821</v>
      </c>
      <c r="K5485" t="s">
        <v>8133</v>
      </c>
      <c r="L5485" t="s">
        <v>53</v>
      </c>
      <c r="P5485" t="s">
        <v>55</v>
      </c>
      <c r="R5485" t="s">
        <v>56</v>
      </c>
      <c r="T5485" t="s">
        <v>9736</v>
      </c>
      <c r="U5485" t="s">
        <v>58</v>
      </c>
      <c r="V5485">
        <v>1</v>
      </c>
      <c r="W5485">
        <v>1</v>
      </c>
      <c r="X5485">
        <v>1</v>
      </c>
      <c r="Y5485">
        <v>0</v>
      </c>
      <c r="Z5485">
        <v>1</v>
      </c>
      <c r="AA5485">
        <v>236.39</v>
      </c>
      <c r="AB5485">
        <v>236.39</v>
      </c>
      <c r="AC5485">
        <v>208</v>
      </c>
      <c r="AD5485">
        <v>0</v>
      </c>
      <c r="AE5485">
        <v>28.39</v>
      </c>
      <c r="AF5485">
        <v>0</v>
      </c>
      <c r="AG5485">
        <v>0</v>
      </c>
      <c r="AH5485">
        <v>0</v>
      </c>
      <c r="AI5485">
        <v>0</v>
      </c>
      <c r="AJ5485">
        <v>236.39</v>
      </c>
      <c r="AK5485">
        <v>0</v>
      </c>
      <c r="AL5485" t="s">
        <v>53</v>
      </c>
      <c r="AM5485" t="s">
        <v>53</v>
      </c>
      <c r="AN5485" t="s">
        <v>53</v>
      </c>
      <c r="AO5485" t="s">
        <v>53</v>
      </c>
      <c r="AP5485" t="s">
        <v>53</v>
      </c>
    </row>
    <row r="5486" spans="2:42" x14ac:dyDescent="0.2">
      <c r="B5486" t="s">
        <v>44</v>
      </c>
      <c r="C5486" t="str">
        <f>HYPERLINK("https://us2.cloudbeds.com/connect/8493803454333002#/reservations/9080486846308532?display=2KR4HTUGNM&amp;reservation_id=9080486846308532", "2KR4HTUGNM")</f>
        <v>2KR4HTUGNM</v>
      </c>
      <c r="D5486" t="s">
        <v>45</v>
      </c>
      <c r="E5486" t="s">
        <v>185</v>
      </c>
      <c r="F5486" t="s">
        <v>47</v>
      </c>
      <c r="G5486" t="s">
        <v>48</v>
      </c>
      <c r="H5486" t="s">
        <v>49</v>
      </c>
      <c r="I5486" t="s">
        <v>50</v>
      </c>
      <c r="J5486" t="s">
        <v>8133</v>
      </c>
      <c r="K5486" t="s">
        <v>7822</v>
      </c>
      <c r="L5486" t="s">
        <v>53</v>
      </c>
      <c r="N5486" t="s">
        <v>9737</v>
      </c>
      <c r="P5486" t="s">
        <v>55</v>
      </c>
      <c r="R5486" t="s">
        <v>53</v>
      </c>
      <c r="T5486" t="s">
        <v>9738</v>
      </c>
      <c r="U5486" t="s">
        <v>58</v>
      </c>
      <c r="V5486">
        <v>1</v>
      </c>
      <c r="W5486">
        <v>1</v>
      </c>
      <c r="X5486">
        <v>2</v>
      </c>
      <c r="Y5486">
        <v>0</v>
      </c>
      <c r="Z5486">
        <v>2</v>
      </c>
      <c r="AA5486">
        <v>203.54</v>
      </c>
      <c r="AB5486">
        <v>203.54</v>
      </c>
      <c r="AC5486">
        <v>179.1</v>
      </c>
      <c r="AD5486">
        <v>0</v>
      </c>
      <c r="AE5486">
        <v>24.44</v>
      </c>
      <c r="AF5486">
        <v>0</v>
      </c>
      <c r="AG5486">
        <v>0</v>
      </c>
      <c r="AH5486">
        <v>0</v>
      </c>
      <c r="AI5486">
        <v>36.64</v>
      </c>
      <c r="AJ5486">
        <v>203.54</v>
      </c>
      <c r="AK5486">
        <v>0</v>
      </c>
      <c r="AL5486" t="s">
        <v>53</v>
      </c>
      <c r="AM5486" t="s">
        <v>53</v>
      </c>
      <c r="AN5486" t="s">
        <v>53</v>
      </c>
      <c r="AO5486" t="s">
        <v>53</v>
      </c>
      <c r="AP5486" t="s">
        <v>53</v>
      </c>
    </row>
    <row r="5487" spans="2:42" x14ac:dyDescent="0.2">
      <c r="B5487" t="s">
        <v>44</v>
      </c>
      <c r="C5487" t="str">
        <f>HYPERLINK("https://us2.cloudbeds.com/connect/8493803454333002#/reservations/9080486846308552?display=2KR68NJGGT&amp;reservation_id=9080486846308552", "2KR68NJGGT")</f>
        <v>2KR68NJGGT</v>
      </c>
      <c r="D5487" t="s">
        <v>602</v>
      </c>
      <c r="E5487" t="s">
        <v>53</v>
      </c>
      <c r="F5487" t="s">
        <v>70</v>
      </c>
      <c r="G5487" t="s">
        <v>48</v>
      </c>
      <c r="H5487" t="s">
        <v>49</v>
      </c>
      <c r="I5487" t="s">
        <v>62</v>
      </c>
      <c r="J5487" t="s">
        <v>8816</v>
      </c>
      <c r="K5487" t="s">
        <v>6373</v>
      </c>
      <c r="L5487" t="s">
        <v>53</v>
      </c>
      <c r="N5487" t="s">
        <v>9739</v>
      </c>
      <c r="P5487" t="s">
        <v>55</v>
      </c>
      <c r="R5487" t="s">
        <v>56</v>
      </c>
      <c r="T5487" t="s">
        <v>9740</v>
      </c>
      <c r="U5487" t="s">
        <v>55</v>
      </c>
      <c r="V5487">
        <v>1</v>
      </c>
      <c r="W5487">
        <v>1</v>
      </c>
      <c r="X5487">
        <v>2</v>
      </c>
      <c r="Y5487">
        <v>0</v>
      </c>
      <c r="Z5487">
        <v>2</v>
      </c>
      <c r="AA5487">
        <v>152</v>
      </c>
      <c r="AB5487">
        <v>152</v>
      </c>
      <c r="AC5487">
        <v>152</v>
      </c>
      <c r="AD5487">
        <v>0</v>
      </c>
      <c r="AE5487">
        <v>0</v>
      </c>
      <c r="AF5487">
        <v>0</v>
      </c>
      <c r="AG5487">
        <v>0</v>
      </c>
      <c r="AH5487">
        <v>0</v>
      </c>
      <c r="AI5487">
        <v>27.36</v>
      </c>
      <c r="AJ5487">
        <v>152</v>
      </c>
      <c r="AK5487">
        <v>0</v>
      </c>
      <c r="AL5487">
        <v>152</v>
      </c>
      <c r="AM5487">
        <v>152</v>
      </c>
      <c r="AN5487" t="s">
        <v>9741</v>
      </c>
      <c r="AO5487" t="s">
        <v>53</v>
      </c>
      <c r="AP5487" t="s">
        <v>53</v>
      </c>
    </row>
    <row r="5488" spans="2:42" x14ac:dyDescent="0.2">
      <c r="B5488" t="s">
        <v>44</v>
      </c>
      <c r="C5488" t="str">
        <f>HYPERLINK("https://us2.cloudbeds.com/connect/8493803454333002#/reservations/9080486846308940?display=2KRQBWT4VE&amp;reservation_id=9080486846308940", "2KRQBWT4VE")</f>
        <v>2KRQBWT4VE</v>
      </c>
      <c r="D5488" t="s">
        <v>45</v>
      </c>
      <c r="E5488" t="s">
        <v>213</v>
      </c>
      <c r="F5488" t="s">
        <v>86</v>
      </c>
      <c r="G5488" t="s">
        <v>48</v>
      </c>
      <c r="H5488" t="s">
        <v>49</v>
      </c>
      <c r="I5488" t="s">
        <v>50</v>
      </c>
      <c r="J5488" t="s">
        <v>7906</v>
      </c>
      <c r="K5488" t="s">
        <v>8713</v>
      </c>
      <c r="L5488" t="s">
        <v>53</v>
      </c>
      <c r="N5488" t="s">
        <v>9742</v>
      </c>
      <c r="P5488" t="s">
        <v>55</v>
      </c>
      <c r="R5488" t="s">
        <v>53</v>
      </c>
      <c r="T5488" t="s">
        <v>9743</v>
      </c>
      <c r="U5488" t="s">
        <v>58</v>
      </c>
      <c r="V5488">
        <v>2</v>
      </c>
      <c r="W5488">
        <v>1</v>
      </c>
      <c r="X5488">
        <v>2</v>
      </c>
      <c r="Y5488">
        <v>0</v>
      </c>
      <c r="Z5488">
        <v>2</v>
      </c>
      <c r="AA5488">
        <v>439.54</v>
      </c>
      <c r="AB5488">
        <v>439.54</v>
      </c>
      <c r="AC5488">
        <v>386.75</v>
      </c>
      <c r="AD5488">
        <v>0</v>
      </c>
      <c r="AE5488">
        <v>52.79</v>
      </c>
      <c r="AF5488">
        <v>0</v>
      </c>
      <c r="AG5488">
        <v>0</v>
      </c>
      <c r="AH5488">
        <v>0</v>
      </c>
      <c r="AI5488">
        <v>79.12</v>
      </c>
      <c r="AJ5488">
        <v>439.54</v>
      </c>
      <c r="AK5488">
        <v>0</v>
      </c>
      <c r="AL5488" t="s">
        <v>53</v>
      </c>
      <c r="AM5488" t="s">
        <v>53</v>
      </c>
      <c r="AN5488" t="s">
        <v>53</v>
      </c>
      <c r="AO5488" t="s">
        <v>53</v>
      </c>
      <c r="AP5488" t="s">
        <v>53</v>
      </c>
    </row>
    <row r="5489" spans="2:42" x14ac:dyDescent="0.2">
      <c r="B5489" t="s">
        <v>44</v>
      </c>
      <c r="C5489" t="str">
        <f>HYPERLINK("https://us2.cloudbeds.com/connect/8493803454333002#/reservations/9080486846308979?display=2KRS562WK1&amp;reservation_id=9080486846308979", "2KRS562WK1")</f>
        <v>2KRS562WK1</v>
      </c>
      <c r="D5489" t="s">
        <v>45</v>
      </c>
      <c r="E5489" t="s">
        <v>69</v>
      </c>
      <c r="F5489" t="s">
        <v>70</v>
      </c>
      <c r="G5489" t="s">
        <v>48</v>
      </c>
      <c r="H5489" t="s">
        <v>49</v>
      </c>
      <c r="I5489" t="s">
        <v>62</v>
      </c>
      <c r="J5489" t="s">
        <v>8816</v>
      </c>
      <c r="K5489" t="s">
        <v>6373</v>
      </c>
      <c r="L5489" t="s">
        <v>53</v>
      </c>
      <c r="N5489" t="s">
        <v>9744</v>
      </c>
      <c r="P5489" t="s">
        <v>55</v>
      </c>
      <c r="R5489" t="s">
        <v>56</v>
      </c>
      <c r="T5489" t="s">
        <v>9745</v>
      </c>
      <c r="U5489" t="s">
        <v>55</v>
      </c>
      <c r="V5489">
        <v>1</v>
      </c>
      <c r="W5489">
        <v>1</v>
      </c>
      <c r="X5489">
        <v>2</v>
      </c>
      <c r="Y5489">
        <v>0</v>
      </c>
      <c r="Z5489">
        <v>2</v>
      </c>
      <c r="AA5489">
        <v>152</v>
      </c>
      <c r="AB5489">
        <v>152</v>
      </c>
      <c r="AC5489">
        <v>152</v>
      </c>
      <c r="AD5489">
        <v>0</v>
      </c>
      <c r="AE5489">
        <v>0</v>
      </c>
      <c r="AF5489">
        <v>0</v>
      </c>
      <c r="AG5489">
        <v>0</v>
      </c>
      <c r="AH5489">
        <v>0</v>
      </c>
      <c r="AI5489">
        <v>27.36</v>
      </c>
      <c r="AJ5489">
        <v>152</v>
      </c>
      <c r="AK5489">
        <v>0</v>
      </c>
      <c r="AL5489" t="s">
        <v>53</v>
      </c>
      <c r="AM5489" t="s">
        <v>53</v>
      </c>
      <c r="AN5489" t="s">
        <v>9746</v>
      </c>
      <c r="AO5489" t="s">
        <v>53</v>
      </c>
      <c r="AP5489" t="s">
        <v>53</v>
      </c>
    </row>
    <row r="5490" spans="2:42" x14ac:dyDescent="0.2">
      <c r="B5490" t="s">
        <v>44</v>
      </c>
      <c r="C5490" t="str">
        <f>HYPERLINK("https://us2.cloudbeds.com/connect/8493803454333002#/reservations/122141507838110?display=2KRUNKNA11&amp;reservation_id=122141507838110", "2KRUNKNA11")</f>
        <v>2KRUNKNA11</v>
      </c>
      <c r="D5490" t="s">
        <v>45</v>
      </c>
      <c r="E5490" t="s">
        <v>78</v>
      </c>
      <c r="F5490" t="s">
        <v>61</v>
      </c>
      <c r="G5490" t="s">
        <v>3974</v>
      </c>
      <c r="H5490" t="s">
        <v>3957</v>
      </c>
      <c r="I5490" t="s">
        <v>3975</v>
      </c>
      <c r="J5490" t="s">
        <v>8816</v>
      </c>
      <c r="K5490" t="s">
        <v>6373</v>
      </c>
      <c r="L5490" t="s">
        <v>53</v>
      </c>
      <c r="P5490" t="s">
        <v>55</v>
      </c>
      <c r="R5490" t="s">
        <v>53</v>
      </c>
      <c r="T5490" t="s">
        <v>9747</v>
      </c>
      <c r="U5490" t="s">
        <v>58</v>
      </c>
      <c r="V5490">
        <v>1</v>
      </c>
      <c r="W5490">
        <v>1</v>
      </c>
      <c r="X5490">
        <v>2</v>
      </c>
      <c r="Y5490">
        <v>0</v>
      </c>
      <c r="Z5490">
        <v>2</v>
      </c>
      <c r="AA5490">
        <v>196.5</v>
      </c>
      <c r="AB5490">
        <v>196.5</v>
      </c>
      <c r="AC5490">
        <v>172.9</v>
      </c>
      <c r="AD5490">
        <v>0</v>
      </c>
      <c r="AE5490">
        <v>23.6</v>
      </c>
      <c r="AF5490">
        <v>0</v>
      </c>
      <c r="AG5490">
        <v>0</v>
      </c>
      <c r="AH5490">
        <v>0</v>
      </c>
      <c r="AI5490">
        <v>0</v>
      </c>
      <c r="AJ5490">
        <v>196.5</v>
      </c>
      <c r="AK5490">
        <v>0</v>
      </c>
      <c r="AL5490" t="s">
        <v>53</v>
      </c>
      <c r="AM5490" t="s">
        <v>53</v>
      </c>
      <c r="AN5490" t="s">
        <v>53</v>
      </c>
      <c r="AO5490" t="s">
        <v>53</v>
      </c>
      <c r="AP5490" t="s">
        <v>53</v>
      </c>
    </row>
    <row r="5491" spans="2:42" x14ac:dyDescent="0.2">
      <c r="B5491" t="s">
        <v>44</v>
      </c>
      <c r="C5491" t="str">
        <f>HYPERLINK("https://us2.cloudbeds.com/connect/8493803454333002#/reservations/9080486846309646?display=2KSSMQHQ6X&amp;reservation_id=9080486846309646", "2KSSMQHQ6X")</f>
        <v>2KSSMQHQ6X</v>
      </c>
      <c r="D5491" t="s">
        <v>45</v>
      </c>
      <c r="E5491" t="s">
        <v>487</v>
      </c>
      <c r="F5491" t="s">
        <v>61</v>
      </c>
      <c r="G5491" t="s">
        <v>48</v>
      </c>
      <c r="H5491" t="s">
        <v>49</v>
      </c>
      <c r="I5491" t="s">
        <v>50</v>
      </c>
      <c r="J5491" t="s">
        <v>8816</v>
      </c>
      <c r="K5491" t="s">
        <v>8765</v>
      </c>
      <c r="L5491" t="s">
        <v>53</v>
      </c>
      <c r="N5491" t="s">
        <v>9748</v>
      </c>
      <c r="P5491" t="s">
        <v>55</v>
      </c>
      <c r="R5491" t="s">
        <v>53</v>
      </c>
      <c r="T5491" t="s">
        <v>9749</v>
      </c>
      <c r="U5491" t="s">
        <v>58</v>
      </c>
      <c r="V5491">
        <v>2</v>
      </c>
      <c r="W5491">
        <v>1</v>
      </c>
      <c r="X5491">
        <v>1</v>
      </c>
      <c r="Y5491">
        <v>0</v>
      </c>
      <c r="Z5491">
        <v>1</v>
      </c>
      <c r="AA5491">
        <v>372.77</v>
      </c>
      <c r="AB5491">
        <v>372.77</v>
      </c>
      <c r="AC5491">
        <v>328</v>
      </c>
      <c r="AD5491">
        <v>0</v>
      </c>
      <c r="AE5491">
        <v>44.77</v>
      </c>
      <c r="AF5491">
        <v>0</v>
      </c>
      <c r="AG5491">
        <v>0</v>
      </c>
      <c r="AH5491">
        <v>0</v>
      </c>
      <c r="AI5491">
        <v>67.099999999999994</v>
      </c>
      <c r="AJ5491">
        <v>372.77</v>
      </c>
      <c r="AK5491">
        <v>0</v>
      </c>
      <c r="AL5491" t="s">
        <v>53</v>
      </c>
      <c r="AM5491" t="s">
        <v>53</v>
      </c>
      <c r="AN5491" t="s">
        <v>53</v>
      </c>
      <c r="AO5491" t="s">
        <v>53</v>
      </c>
      <c r="AP5491" t="s">
        <v>53</v>
      </c>
    </row>
    <row r="5492" spans="2:42" x14ac:dyDescent="0.2">
      <c r="B5492" t="s">
        <v>44</v>
      </c>
      <c r="C5492" t="str">
        <f>HYPERLINK("https://us2.cloudbeds.com/connect/8493803454333002#/reservations/9080486846309782?display=2KT3YW21W7&amp;reservation_id=9080486846309782", "2KT3YW21W7")</f>
        <v>2KT3YW21W7</v>
      </c>
      <c r="D5492" t="s">
        <v>45</v>
      </c>
      <c r="E5492" t="s">
        <v>155</v>
      </c>
      <c r="F5492" t="s">
        <v>86</v>
      </c>
      <c r="G5492" t="s">
        <v>48</v>
      </c>
      <c r="H5492" t="s">
        <v>49</v>
      </c>
      <c r="I5492" t="s">
        <v>50</v>
      </c>
      <c r="J5492" t="s">
        <v>8816</v>
      </c>
      <c r="K5492" t="s">
        <v>6373</v>
      </c>
      <c r="L5492" t="s">
        <v>53</v>
      </c>
      <c r="N5492" t="s">
        <v>9750</v>
      </c>
      <c r="P5492" t="s">
        <v>55</v>
      </c>
      <c r="R5492" t="s">
        <v>53</v>
      </c>
      <c r="T5492" t="s">
        <v>9751</v>
      </c>
      <c r="U5492" t="s">
        <v>58</v>
      </c>
      <c r="V5492">
        <v>1</v>
      </c>
      <c r="W5492">
        <v>1</v>
      </c>
      <c r="X5492">
        <v>2</v>
      </c>
      <c r="Y5492">
        <v>2</v>
      </c>
      <c r="Z5492">
        <v>4</v>
      </c>
      <c r="AA5492">
        <v>178.02</v>
      </c>
      <c r="AB5492">
        <v>178.02</v>
      </c>
      <c r="AC5492">
        <v>156.65</v>
      </c>
      <c r="AD5492">
        <v>0</v>
      </c>
      <c r="AE5492">
        <v>21.37</v>
      </c>
      <c r="AF5492">
        <v>0</v>
      </c>
      <c r="AG5492">
        <v>0</v>
      </c>
      <c r="AH5492">
        <v>0</v>
      </c>
      <c r="AI5492">
        <v>32.04</v>
      </c>
      <c r="AJ5492">
        <v>178.02</v>
      </c>
      <c r="AK5492">
        <v>0</v>
      </c>
      <c r="AL5492" t="s">
        <v>53</v>
      </c>
      <c r="AM5492" t="s">
        <v>53</v>
      </c>
      <c r="AN5492" t="s">
        <v>53</v>
      </c>
      <c r="AO5492" t="s">
        <v>53</v>
      </c>
      <c r="AP5492" t="s">
        <v>53</v>
      </c>
    </row>
    <row r="5493" spans="2:42" x14ac:dyDescent="0.2">
      <c r="B5493" t="s">
        <v>44</v>
      </c>
      <c r="C5493" t="str">
        <f>HYPERLINK("https://us2.cloudbeds.com/connect/8493803454333002#/reservations/122195685249200?display=2KT6YWHKR1&amp;reservation_id=122195685249200", "2KT6YWHKR1")</f>
        <v>2KT6YWHKR1</v>
      </c>
      <c r="D5493" t="s">
        <v>45</v>
      </c>
      <c r="E5493" t="s">
        <v>190</v>
      </c>
      <c r="F5493" t="s">
        <v>61</v>
      </c>
      <c r="G5493" t="s">
        <v>3974</v>
      </c>
      <c r="H5493" t="s">
        <v>3957</v>
      </c>
      <c r="I5493" t="s">
        <v>3975</v>
      </c>
      <c r="J5493" t="s">
        <v>8816</v>
      </c>
      <c r="K5493" t="s">
        <v>6373</v>
      </c>
      <c r="L5493" t="s">
        <v>53</v>
      </c>
      <c r="P5493" t="s">
        <v>55</v>
      </c>
      <c r="R5493" t="s">
        <v>53</v>
      </c>
      <c r="T5493" t="s">
        <v>9752</v>
      </c>
      <c r="U5493" t="s">
        <v>58</v>
      </c>
      <c r="V5493">
        <v>1</v>
      </c>
      <c r="W5493">
        <v>1</v>
      </c>
      <c r="X5493">
        <v>2</v>
      </c>
      <c r="Y5493">
        <v>0</v>
      </c>
      <c r="Z5493">
        <v>2</v>
      </c>
      <c r="AA5493">
        <v>196.5</v>
      </c>
      <c r="AB5493">
        <v>196.5</v>
      </c>
      <c r="AC5493">
        <v>172.9</v>
      </c>
      <c r="AD5493">
        <v>0</v>
      </c>
      <c r="AE5493">
        <v>23.6</v>
      </c>
      <c r="AF5493">
        <v>0</v>
      </c>
      <c r="AG5493">
        <v>0</v>
      </c>
      <c r="AH5493">
        <v>0</v>
      </c>
      <c r="AI5493">
        <v>0</v>
      </c>
      <c r="AJ5493">
        <v>196.5</v>
      </c>
      <c r="AK5493">
        <v>0</v>
      </c>
      <c r="AL5493" t="s">
        <v>53</v>
      </c>
      <c r="AM5493" t="s">
        <v>53</v>
      </c>
      <c r="AN5493" t="s">
        <v>53</v>
      </c>
      <c r="AO5493" t="s">
        <v>53</v>
      </c>
      <c r="AP5493" t="s">
        <v>53</v>
      </c>
    </row>
    <row r="5494" spans="2:42" x14ac:dyDescent="0.2">
      <c r="B5494" t="s">
        <v>44</v>
      </c>
      <c r="C5494" t="str">
        <f>HYPERLINK("https://us2.cloudbeds.com/connect/8493803454333002#/reservations/9080486846311704?display=2KW54E8QPM&amp;reservation_id=9080486846311704", "2KW54E8QPM")</f>
        <v>2KW54E8QPM</v>
      </c>
      <c r="D5494" t="s">
        <v>45</v>
      </c>
      <c r="E5494" t="s">
        <v>9753</v>
      </c>
      <c r="F5494" t="s">
        <v>86</v>
      </c>
      <c r="G5494" t="s">
        <v>48</v>
      </c>
      <c r="H5494" t="s">
        <v>49</v>
      </c>
      <c r="I5494" t="s">
        <v>8964</v>
      </c>
      <c r="J5494" t="s">
        <v>7975</v>
      </c>
      <c r="K5494" t="s">
        <v>7751</v>
      </c>
      <c r="L5494" t="s">
        <v>53</v>
      </c>
      <c r="N5494" t="s">
        <v>9754</v>
      </c>
      <c r="P5494" t="s">
        <v>55</v>
      </c>
      <c r="R5494" t="s">
        <v>53</v>
      </c>
      <c r="T5494" t="s">
        <v>9755</v>
      </c>
      <c r="U5494" t="s">
        <v>58</v>
      </c>
      <c r="V5494">
        <v>3</v>
      </c>
      <c r="W5494">
        <v>2</v>
      </c>
      <c r="X5494">
        <v>4</v>
      </c>
      <c r="Y5494">
        <v>0</v>
      </c>
      <c r="Z5494">
        <v>4</v>
      </c>
      <c r="AA5494">
        <v>646</v>
      </c>
      <c r="AB5494">
        <v>0</v>
      </c>
      <c r="AC5494">
        <v>646</v>
      </c>
      <c r="AD5494">
        <v>0</v>
      </c>
      <c r="AE5494">
        <v>0</v>
      </c>
      <c r="AF5494">
        <v>0</v>
      </c>
      <c r="AG5494">
        <v>0</v>
      </c>
      <c r="AH5494">
        <v>0</v>
      </c>
      <c r="AI5494">
        <v>96.9</v>
      </c>
      <c r="AJ5494">
        <v>646</v>
      </c>
      <c r="AK5494">
        <v>646</v>
      </c>
      <c r="AL5494" t="s">
        <v>53</v>
      </c>
      <c r="AM5494" t="s">
        <v>53</v>
      </c>
      <c r="AN5494" t="s">
        <v>53</v>
      </c>
      <c r="AO5494" t="s">
        <v>53</v>
      </c>
      <c r="AP5494" t="s">
        <v>53</v>
      </c>
    </row>
    <row r="5495" spans="2:42" x14ac:dyDescent="0.2">
      <c r="B5495" t="s">
        <v>44</v>
      </c>
      <c r="C5495" t="str">
        <f>HYPERLINK("https://us2.cloudbeds.com/connect/8493803454333002#/reservations/9080486846311943?display=2KWCZ6BST3&amp;reservation_id=9080486846311943", "2KWCZ6BST3")</f>
        <v>2KWCZ6BST3</v>
      </c>
      <c r="D5495" t="s">
        <v>45</v>
      </c>
      <c r="E5495" t="s">
        <v>179</v>
      </c>
      <c r="F5495" t="s">
        <v>47</v>
      </c>
      <c r="G5495" t="s">
        <v>48</v>
      </c>
      <c r="H5495" t="s">
        <v>49</v>
      </c>
      <c r="I5495" t="s">
        <v>50</v>
      </c>
      <c r="J5495" t="s">
        <v>8133</v>
      </c>
      <c r="K5495" t="s">
        <v>8143</v>
      </c>
      <c r="L5495" t="s">
        <v>53</v>
      </c>
      <c r="N5495" t="s">
        <v>9756</v>
      </c>
      <c r="P5495" t="s">
        <v>55</v>
      </c>
      <c r="R5495" t="s">
        <v>53</v>
      </c>
      <c r="T5495" t="s">
        <v>9757</v>
      </c>
      <c r="U5495" t="s">
        <v>58</v>
      </c>
      <c r="V5495">
        <v>2</v>
      </c>
      <c r="W5495">
        <v>1</v>
      </c>
      <c r="X5495">
        <v>2</v>
      </c>
      <c r="Y5495">
        <v>0</v>
      </c>
      <c r="Z5495">
        <v>2</v>
      </c>
      <c r="AA5495">
        <v>401.87</v>
      </c>
      <c r="AB5495">
        <v>401.87</v>
      </c>
      <c r="AC5495">
        <v>353.6</v>
      </c>
      <c r="AD5495">
        <v>0</v>
      </c>
      <c r="AE5495">
        <v>48.27</v>
      </c>
      <c r="AF5495">
        <v>0</v>
      </c>
      <c r="AG5495">
        <v>0</v>
      </c>
      <c r="AH5495">
        <v>0</v>
      </c>
      <c r="AI5495">
        <v>72.34</v>
      </c>
      <c r="AJ5495">
        <v>401.87</v>
      </c>
      <c r="AK5495">
        <v>0</v>
      </c>
      <c r="AL5495" t="s">
        <v>53</v>
      </c>
      <c r="AM5495" t="s">
        <v>53</v>
      </c>
      <c r="AN5495" t="s">
        <v>53</v>
      </c>
      <c r="AO5495" t="s">
        <v>53</v>
      </c>
      <c r="AP5495" t="s">
        <v>53</v>
      </c>
    </row>
    <row r="5496" spans="2:42" x14ac:dyDescent="0.2">
      <c r="B5496" t="s">
        <v>44</v>
      </c>
      <c r="C5496" t="str">
        <f>HYPERLINK("https://us2.cloudbeds.com/connect/8493803454333002#/reservations/9080486846312250?display=2KWNF3GVVP&amp;reservation_id=9080486846312250", "2KWNF3GVVP")</f>
        <v>2KWNF3GVVP</v>
      </c>
      <c r="D5496" t="s">
        <v>45</v>
      </c>
      <c r="E5496" t="s">
        <v>487</v>
      </c>
      <c r="F5496" t="s">
        <v>61</v>
      </c>
      <c r="G5496" t="s">
        <v>48</v>
      </c>
      <c r="H5496" t="s">
        <v>49</v>
      </c>
      <c r="I5496" t="s">
        <v>50</v>
      </c>
      <c r="J5496" t="s">
        <v>8119</v>
      </c>
      <c r="K5496" t="s">
        <v>7864</v>
      </c>
      <c r="L5496" t="s">
        <v>53</v>
      </c>
      <c r="N5496" t="s">
        <v>9758</v>
      </c>
      <c r="P5496" t="s">
        <v>55</v>
      </c>
      <c r="R5496" t="s">
        <v>53</v>
      </c>
      <c r="T5496" t="s">
        <v>9759</v>
      </c>
      <c r="U5496" t="s">
        <v>58</v>
      </c>
      <c r="V5496">
        <v>1</v>
      </c>
      <c r="W5496">
        <v>1</v>
      </c>
      <c r="X5496">
        <v>1</v>
      </c>
      <c r="Y5496">
        <v>0</v>
      </c>
      <c r="Z5496">
        <v>1</v>
      </c>
      <c r="AA5496">
        <v>188.2</v>
      </c>
      <c r="AB5496">
        <v>188.2</v>
      </c>
      <c r="AC5496">
        <v>165.6</v>
      </c>
      <c r="AD5496">
        <v>0</v>
      </c>
      <c r="AE5496">
        <v>22.6</v>
      </c>
      <c r="AF5496">
        <v>0</v>
      </c>
      <c r="AG5496">
        <v>0</v>
      </c>
      <c r="AH5496">
        <v>0</v>
      </c>
      <c r="AI5496">
        <v>33.880000000000003</v>
      </c>
      <c r="AJ5496">
        <v>188.2</v>
      </c>
      <c r="AK5496">
        <v>0</v>
      </c>
      <c r="AL5496" t="s">
        <v>53</v>
      </c>
      <c r="AM5496" t="s">
        <v>53</v>
      </c>
      <c r="AN5496" t="s">
        <v>53</v>
      </c>
      <c r="AO5496" t="s">
        <v>53</v>
      </c>
      <c r="AP5496" t="s">
        <v>53</v>
      </c>
    </row>
    <row r="5497" spans="2:42" x14ac:dyDescent="0.2">
      <c r="B5497" t="s">
        <v>44</v>
      </c>
      <c r="C5497" t="str">
        <f>HYPERLINK("https://us2.cloudbeds.com/connect/8493803454333002#/reservations/9080486846312680?display=2Y05YB80V9&amp;reservation_id=9080486846312680", "2Y05YB80V9")</f>
        <v>2Y05YB80V9</v>
      </c>
      <c r="D5497" t="s">
        <v>45</v>
      </c>
      <c r="E5497" t="s">
        <v>179</v>
      </c>
      <c r="F5497" t="s">
        <v>47</v>
      </c>
      <c r="G5497" t="s">
        <v>48</v>
      </c>
      <c r="H5497" t="s">
        <v>49</v>
      </c>
      <c r="I5497" t="s">
        <v>50</v>
      </c>
      <c r="J5497" t="s">
        <v>8143</v>
      </c>
      <c r="K5497" t="s">
        <v>8300</v>
      </c>
      <c r="L5497" t="s">
        <v>53</v>
      </c>
      <c r="N5497" t="s">
        <v>9760</v>
      </c>
      <c r="P5497" t="s">
        <v>55</v>
      </c>
      <c r="R5497" t="s">
        <v>53</v>
      </c>
      <c r="T5497" t="s">
        <v>9761</v>
      </c>
      <c r="U5497" t="s">
        <v>58</v>
      </c>
      <c r="V5497">
        <v>1</v>
      </c>
      <c r="W5497">
        <v>1</v>
      </c>
      <c r="X5497">
        <v>2</v>
      </c>
      <c r="Y5497">
        <v>0</v>
      </c>
      <c r="Z5497">
        <v>2</v>
      </c>
      <c r="AA5497">
        <v>188.38</v>
      </c>
      <c r="AB5497">
        <v>188.38</v>
      </c>
      <c r="AC5497">
        <v>165.75</v>
      </c>
      <c r="AD5497">
        <v>0</v>
      </c>
      <c r="AE5497">
        <v>22.63</v>
      </c>
      <c r="AF5497">
        <v>0</v>
      </c>
      <c r="AG5497">
        <v>0</v>
      </c>
      <c r="AH5497">
        <v>0</v>
      </c>
      <c r="AI5497">
        <v>33.909999999999997</v>
      </c>
      <c r="AJ5497">
        <v>188.38</v>
      </c>
      <c r="AK5497">
        <v>0</v>
      </c>
      <c r="AL5497" t="s">
        <v>53</v>
      </c>
      <c r="AM5497" t="s">
        <v>53</v>
      </c>
      <c r="AN5497" t="s">
        <v>53</v>
      </c>
      <c r="AO5497" t="s">
        <v>53</v>
      </c>
      <c r="AP5497" t="s">
        <v>53</v>
      </c>
    </row>
    <row r="5498" spans="2:42" x14ac:dyDescent="0.2">
      <c r="B5498" t="s">
        <v>44</v>
      </c>
      <c r="C5498" t="str">
        <f>HYPERLINK("https://us2.cloudbeds.com/connect/8493803454333002#/reservations/9080486846313040?display=2Y0XYTSTFK&amp;reservation_id=9080486846313040", "2Y0XYTSTFK")</f>
        <v>2Y0XYTSTFK</v>
      </c>
      <c r="D5498" t="s">
        <v>45</v>
      </c>
      <c r="E5498" t="s">
        <v>138</v>
      </c>
      <c r="F5498" t="s">
        <v>70</v>
      </c>
      <c r="G5498" t="s">
        <v>48</v>
      </c>
      <c r="H5498" t="s">
        <v>49</v>
      </c>
      <c r="I5498" t="s">
        <v>8964</v>
      </c>
      <c r="J5498" t="s">
        <v>9762</v>
      </c>
      <c r="K5498" t="s">
        <v>9763</v>
      </c>
      <c r="L5498" t="s">
        <v>53</v>
      </c>
      <c r="N5498" t="s">
        <v>9764</v>
      </c>
      <c r="P5498" t="s">
        <v>55</v>
      </c>
      <c r="R5498" t="s">
        <v>53</v>
      </c>
      <c r="T5498" t="s">
        <v>9765</v>
      </c>
      <c r="U5498" t="s">
        <v>58</v>
      </c>
      <c r="V5498">
        <v>1</v>
      </c>
      <c r="W5498">
        <v>1</v>
      </c>
      <c r="X5498">
        <v>1</v>
      </c>
      <c r="Y5498">
        <v>0</v>
      </c>
      <c r="Z5498">
        <v>1</v>
      </c>
      <c r="AA5498">
        <v>0</v>
      </c>
      <c r="AB5498">
        <v>0</v>
      </c>
      <c r="AC5498">
        <v>67</v>
      </c>
      <c r="AD5498">
        <v>0</v>
      </c>
      <c r="AE5498">
        <v>0</v>
      </c>
      <c r="AF5498">
        <v>0</v>
      </c>
      <c r="AG5498">
        <v>0</v>
      </c>
      <c r="AH5498">
        <v>0</v>
      </c>
      <c r="AI5498">
        <v>10.050000000000001</v>
      </c>
      <c r="AJ5498">
        <v>67</v>
      </c>
      <c r="AK5498">
        <v>67</v>
      </c>
      <c r="AL5498" t="s">
        <v>53</v>
      </c>
      <c r="AM5498" t="s">
        <v>53</v>
      </c>
      <c r="AN5498" t="s">
        <v>53</v>
      </c>
      <c r="AO5498" t="s">
        <v>53</v>
      </c>
      <c r="AP5498" t="s">
        <v>53</v>
      </c>
    </row>
    <row r="5499" spans="2:42" x14ac:dyDescent="0.2">
      <c r="B5499" t="s">
        <v>44</v>
      </c>
      <c r="C5499" t="str">
        <f>HYPERLINK("https://us2.cloudbeds.com/connect/8493803454333002#/reservations/9080486846313095?display=2Y0KN7WWU2&amp;reservation_id=9080486846313095", "2Y0KN7WWU2")</f>
        <v>2Y0KN7WWU2</v>
      </c>
      <c r="D5499" t="s">
        <v>45</v>
      </c>
      <c r="E5499" t="s">
        <v>138</v>
      </c>
      <c r="F5499" t="s">
        <v>70</v>
      </c>
      <c r="G5499" t="s">
        <v>48</v>
      </c>
      <c r="H5499" t="s">
        <v>49</v>
      </c>
      <c r="I5499" t="s">
        <v>50</v>
      </c>
      <c r="J5499" t="s">
        <v>7926</v>
      </c>
      <c r="K5499" t="s">
        <v>8249</v>
      </c>
      <c r="L5499" t="s">
        <v>53</v>
      </c>
      <c r="N5499" t="s">
        <v>9766</v>
      </c>
      <c r="P5499" t="s">
        <v>55</v>
      </c>
      <c r="R5499" t="s">
        <v>53</v>
      </c>
      <c r="T5499" t="s">
        <v>9767</v>
      </c>
      <c r="U5499" t="s">
        <v>58</v>
      </c>
      <c r="V5499">
        <v>1</v>
      </c>
      <c r="W5499">
        <v>1</v>
      </c>
      <c r="X5499">
        <v>1</v>
      </c>
      <c r="Y5499">
        <v>0</v>
      </c>
      <c r="Z5499">
        <v>1</v>
      </c>
      <c r="AA5499">
        <v>171.96</v>
      </c>
      <c r="AB5499">
        <v>171.96</v>
      </c>
      <c r="AC5499">
        <v>151.30000000000001</v>
      </c>
      <c r="AD5499">
        <v>0</v>
      </c>
      <c r="AE5499">
        <v>20.66</v>
      </c>
      <c r="AF5499">
        <v>0</v>
      </c>
      <c r="AG5499">
        <v>0</v>
      </c>
      <c r="AH5499">
        <v>0</v>
      </c>
      <c r="AI5499">
        <v>30.95</v>
      </c>
      <c r="AJ5499">
        <v>171.96</v>
      </c>
      <c r="AK5499">
        <v>0</v>
      </c>
      <c r="AL5499" t="s">
        <v>53</v>
      </c>
      <c r="AM5499" t="s">
        <v>53</v>
      </c>
      <c r="AN5499" t="s">
        <v>53</v>
      </c>
      <c r="AO5499" t="s">
        <v>53</v>
      </c>
      <c r="AP5499" t="s">
        <v>53</v>
      </c>
    </row>
    <row r="5500" spans="2:42" x14ac:dyDescent="0.2">
      <c r="B5500" t="s">
        <v>44</v>
      </c>
      <c r="C5500" t="str">
        <f>HYPERLINK("https://us2.cloudbeds.com/connect/8493803454333002#/reservations/9080486846313610?display=2Y17HURA5A&amp;reservation_id=9080486846313610", "2Y17HURA5A")</f>
        <v>2Y17HURA5A</v>
      </c>
      <c r="D5500" t="s">
        <v>45</v>
      </c>
      <c r="E5500" t="s">
        <v>179</v>
      </c>
      <c r="F5500" t="s">
        <v>47</v>
      </c>
      <c r="G5500" t="s">
        <v>48</v>
      </c>
      <c r="H5500" t="s">
        <v>49</v>
      </c>
      <c r="I5500" t="s">
        <v>50</v>
      </c>
      <c r="J5500" t="s">
        <v>7829</v>
      </c>
      <c r="K5500" t="s">
        <v>7906</v>
      </c>
      <c r="L5500" t="s">
        <v>53</v>
      </c>
      <c r="N5500" t="s">
        <v>9768</v>
      </c>
      <c r="P5500" t="s">
        <v>55</v>
      </c>
      <c r="R5500" t="s">
        <v>53</v>
      </c>
      <c r="T5500" t="s">
        <v>9769</v>
      </c>
      <c r="U5500" t="s">
        <v>58</v>
      </c>
      <c r="V5500">
        <v>3</v>
      </c>
      <c r="W5500">
        <v>1</v>
      </c>
      <c r="X5500">
        <v>1</v>
      </c>
      <c r="Y5500">
        <v>0</v>
      </c>
      <c r="Z5500">
        <v>1</v>
      </c>
      <c r="AA5500">
        <v>575.23</v>
      </c>
      <c r="AB5500">
        <v>575.23</v>
      </c>
      <c r="AC5500">
        <v>506.15</v>
      </c>
      <c r="AD5500">
        <v>0</v>
      </c>
      <c r="AE5500">
        <v>69.08</v>
      </c>
      <c r="AF5500">
        <v>0</v>
      </c>
      <c r="AG5500">
        <v>0</v>
      </c>
      <c r="AH5500">
        <v>0</v>
      </c>
      <c r="AI5500">
        <v>103.54</v>
      </c>
      <c r="AJ5500">
        <v>575.23</v>
      </c>
      <c r="AK5500">
        <v>0</v>
      </c>
      <c r="AL5500" t="s">
        <v>53</v>
      </c>
      <c r="AM5500" t="s">
        <v>53</v>
      </c>
      <c r="AN5500" t="s">
        <v>53</v>
      </c>
      <c r="AO5500" t="s">
        <v>53</v>
      </c>
      <c r="AP5500" t="s">
        <v>53</v>
      </c>
    </row>
    <row r="5501" spans="2:42" x14ac:dyDescent="0.2">
      <c r="B5501" t="s">
        <v>44</v>
      </c>
      <c r="C5501" t="str">
        <f>HYPERLINK("https://us2.cloudbeds.com/connect/8493803454333002#/reservations/9080486846313615?display=2Y17NP10SX&amp;reservation_id=9080486846313615", "2Y17NP10SX")</f>
        <v>2Y17NP10SX</v>
      </c>
      <c r="D5501" t="s">
        <v>45</v>
      </c>
      <c r="E5501" t="s">
        <v>179</v>
      </c>
      <c r="F5501" t="s">
        <v>47</v>
      </c>
      <c r="G5501" t="s">
        <v>48</v>
      </c>
      <c r="H5501" t="s">
        <v>49</v>
      </c>
      <c r="I5501" t="s">
        <v>50</v>
      </c>
      <c r="J5501" t="s">
        <v>8053</v>
      </c>
      <c r="K5501" t="s">
        <v>7803</v>
      </c>
      <c r="L5501" t="s">
        <v>53</v>
      </c>
      <c r="N5501" t="s">
        <v>9770</v>
      </c>
      <c r="P5501" t="s">
        <v>55</v>
      </c>
      <c r="R5501" t="s">
        <v>53</v>
      </c>
      <c r="T5501" t="s">
        <v>9771</v>
      </c>
      <c r="U5501" t="s">
        <v>58</v>
      </c>
      <c r="V5501">
        <v>1</v>
      </c>
      <c r="W5501">
        <v>1</v>
      </c>
      <c r="X5501">
        <v>2</v>
      </c>
      <c r="Y5501">
        <v>0</v>
      </c>
      <c r="Z5501">
        <v>2</v>
      </c>
      <c r="AA5501">
        <v>149.63999999999999</v>
      </c>
      <c r="AB5501">
        <v>149.63999999999999</v>
      </c>
      <c r="AC5501">
        <v>131.66999999999999</v>
      </c>
      <c r="AD5501">
        <v>0</v>
      </c>
      <c r="AE5501">
        <v>17.97</v>
      </c>
      <c r="AF5501">
        <v>0</v>
      </c>
      <c r="AG5501">
        <v>0</v>
      </c>
      <c r="AH5501">
        <v>0</v>
      </c>
      <c r="AI5501">
        <v>26.94</v>
      </c>
      <c r="AJ5501">
        <v>149.63999999999999</v>
      </c>
      <c r="AK5501">
        <v>0</v>
      </c>
      <c r="AL5501" t="s">
        <v>53</v>
      </c>
      <c r="AM5501" t="s">
        <v>53</v>
      </c>
      <c r="AN5501" t="s">
        <v>53</v>
      </c>
      <c r="AO5501" t="s">
        <v>53</v>
      </c>
      <c r="AP5501" t="s">
        <v>53</v>
      </c>
    </row>
    <row r="5502" spans="2:42" x14ac:dyDescent="0.2">
      <c r="B5502" t="s">
        <v>44</v>
      </c>
      <c r="C5502" t="str">
        <f>HYPERLINK("https://us2.cloudbeds.com/connect/8493803454333002#/reservations/9080486846313648?display=2Y18S0Y9KG&amp;reservation_id=9080486846313648", "2Y18S0Y9KG")</f>
        <v>2Y18S0Y9KG</v>
      </c>
      <c r="D5502" t="s">
        <v>45</v>
      </c>
      <c r="E5502" t="s">
        <v>223</v>
      </c>
      <c r="F5502" t="s">
        <v>47</v>
      </c>
      <c r="G5502" t="s">
        <v>48</v>
      </c>
      <c r="H5502" t="s">
        <v>49</v>
      </c>
      <c r="I5502" t="s">
        <v>62</v>
      </c>
      <c r="J5502" t="s">
        <v>8816</v>
      </c>
      <c r="K5502" t="s">
        <v>8765</v>
      </c>
      <c r="L5502" t="s">
        <v>53</v>
      </c>
      <c r="N5502" t="s">
        <v>9772</v>
      </c>
      <c r="P5502" t="s">
        <v>55</v>
      </c>
      <c r="R5502" t="s">
        <v>56</v>
      </c>
      <c r="T5502" t="s">
        <v>9773</v>
      </c>
      <c r="U5502" t="s">
        <v>55</v>
      </c>
      <c r="V5502">
        <v>2</v>
      </c>
      <c r="W5502">
        <v>1</v>
      </c>
      <c r="X5502">
        <v>2</v>
      </c>
      <c r="Y5502">
        <v>0</v>
      </c>
      <c r="Z5502">
        <v>2</v>
      </c>
      <c r="AA5502">
        <v>388</v>
      </c>
      <c r="AB5502">
        <v>388</v>
      </c>
      <c r="AC5502">
        <v>388</v>
      </c>
      <c r="AD5502">
        <v>0</v>
      </c>
      <c r="AE5502">
        <v>0</v>
      </c>
      <c r="AF5502">
        <v>0</v>
      </c>
      <c r="AG5502">
        <v>0</v>
      </c>
      <c r="AH5502">
        <v>0</v>
      </c>
      <c r="AI5502">
        <v>69.84</v>
      </c>
      <c r="AJ5502">
        <v>388</v>
      </c>
      <c r="AK5502">
        <v>0</v>
      </c>
      <c r="AL5502" t="s">
        <v>53</v>
      </c>
      <c r="AM5502" t="s">
        <v>53</v>
      </c>
      <c r="AN5502" t="s">
        <v>53</v>
      </c>
      <c r="AO5502" t="s">
        <v>53</v>
      </c>
      <c r="AP5502" t="s">
        <v>53</v>
      </c>
    </row>
    <row r="5503" spans="2:42" x14ac:dyDescent="0.2">
      <c r="B5503" t="s">
        <v>44</v>
      </c>
      <c r="C5503" t="str">
        <f>HYPERLINK("https://us2.cloudbeds.com/connect/8493803454333002#/reservations/9080486846314163?display=2Y1UA2KS1B&amp;reservation_id=9080486846314163", "2Y1UA2KS1B")</f>
        <v>2Y1UA2KS1B</v>
      </c>
      <c r="D5503" t="s">
        <v>45</v>
      </c>
      <c r="E5503" t="s">
        <v>223</v>
      </c>
      <c r="F5503" t="s">
        <v>47</v>
      </c>
      <c r="G5503" t="s">
        <v>48</v>
      </c>
      <c r="H5503" t="s">
        <v>49</v>
      </c>
      <c r="I5503" t="s">
        <v>50</v>
      </c>
      <c r="J5503" t="s">
        <v>7822</v>
      </c>
      <c r="K5503" t="s">
        <v>8143</v>
      </c>
      <c r="L5503" t="s">
        <v>53</v>
      </c>
      <c r="N5503" t="s">
        <v>9774</v>
      </c>
      <c r="P5503" t="s">
        <v>55</v>
      </c>
      <c r="R5503" t="s">
        <v>53</v>
      </c>
      <c r="T5503" t="s">
        <v>9775</v>
      </c>
      <c r="U5503" t="s">
        <v>58</v>
      </c>
      <c r="V5503">
        <v>1</v>
      </c>
      <c r="W5503">
        <v>1</v>
      </c>
      <c r="X5503">
        <v>2</v>
      </c>
      <c r="Y5503">
        <v>0</v>
      </c>
      <c r="Z5503">
        <v>2</v>
      </c>
      <c r="AA5503">
        <v>196.39</v>
      </c>
      <c r="AB5503">
        <v>196.39</v>
      </c>
      <c r="AC5503">
        <v>172.8</v>
      </c>
      <c r="AD5503">
        <v>0</v>
      </c>
      <c r="AE5503">
        <v>23.59</v>
      </c>
      <c r="AF5503">
        <v>0</v>
      </c>
      <c r="AG5503">
        <v>0</v>
      </c>
      <c r="AH5503">
        <v>0</v>
      </c>
      <c r="AI5503">
        <v>35.35</v>
      </c>
      <c r="AJ5503">
        <v>196.39</v>
      </c>
      <c r="AK5503">
        <v>0</v>
      </c>
      <c r="AL5503" t="s">
        <v>53</v>
      </c>
      <c r="AM5503" t="s">
        <v>53</v>
      </c>
      <c r="AN5503" t="s">
        <v>53</v>
      </c>
      <c r="AO5503" t="s">
        <v>53</v>
      </c>
      <c r="AP5503" t="s">
        <v>53</v>
      </c>
    </row>
    <row r="5504" spans="2:42" x14ac:dyDescent="0.2">
      <c r="B5504" t="s">
        <v>44</v>
      </c>
      <c r="C5504" t="str">
        <f>HYPERLINK("https://us2.cloudbeds.com/connect/8493803454333002#/reservations/122454893727929?display=2Y29CBWYHP&amp;reservation_id=122454893727929", "2Y29CBWYHP")</f>
        <v>2Y29CBWYHP</v>
      </c>
      <c r="D5504" t="s">
        <v>45</v>
      </c>
      <c r="E5504" t="s">
        <v>774</v>
      </c>
      <c r="F5504" t="s">
        <v>47</v>
      </c>
      <c r="G5504" t="s">
        <v>48</v>
      </c>
      <c r="H5504" t="s">
        <v>3957</v>
      </c>
      <c r="I5504" t="s">
        <v>3975</v>
      </c>
      <c r="J5504" t="s">
        <v>8119</v>
      </c>
      <c r="K5504" t="s">
        <v>8816</v>
      </c>
      <c r="L5504" t="s">
        <v>53</v>
      </c>
      <c r="P5504" t="s">
        <v>55</v>
      </c>
      <c r="R5504" t="s">
        <v>53</v>
      </c>
      <c r="T5504" t="s">
        <v>9776</v>
      </c>
      <c r="U5504" t="s">
        <v>58</v>
      </c>
      <c r="V5504">
        <v>4</v>
      </c>
      <c r="W5504">
        <v>2</v>
      </c>
      <c r="X5504">
        <v>2</v>
      </c>
      <c r="Y5504">
        <v>0</v>
      </c>
      <c r="Z5504">
        <v>2</v>
      </c>
      <c r="AA5504">
        <v>820.56</v>
      </c>
      <c r="AB5504">
        <v>820.56</v>
      </c>
      <c r="AC5504">
        <v>722</v>
      </c>
      <c r="AD5504">
        <v>0</v>
      </c>
      <c r="AE5504">
        <v>98.56</v>
      </c>
      <c r="AF5504">
        <v>0</v>
      </c>
      <c r="AG5504">
        <v>0</v>
      </c>
      <c r="AH5504">
        <v>0</v>
      </c>
      <c r="AI5504">
        <v>0</v>
      </c>
      <c r="AJ5504">
        <v>820.56</v>
      </c>
      <c r="AK5504">
        <v>0</v>
      </c>
      <c r="AL5504" t="s">
        <v>53</v>
      </c>
      <c r="AM5504" t="s">
        <v>53</v>
      </c>
      <c r="AN5504" t="s">
        <v>9777</v>
      </c>
      <c r="AO5504" t="s">
        <v>53</v>
      </c>
      <c r="AP5504" t="s">
        <v>53</v>
      </c>
    </row>
    <row r="5505" spans="2:42" x14ac:dyDescent="0.2">
      <c r="B5505" t="s">
        <v>44</v>
      </c>
      <c r="C5505" t="str">
        <f>HYPERLINK("https://us2.cloudbeds.com/connect/8493803454333002#/reservations/122458573926556?display=2Y2C7D7JV9&amp;reservation_id=122458573926556", "2Y2C7D7JV9")</f>
        <v>2Y2C7D7JV9</v>
      </c>
      <c r="D5505" t="s">
        <v>45</v>
      </c>
      <c r="E5505" t="s">
        <v>179</v>
      </c>
      <c r="F5505" t="s">
        <v>47</v>
      </c>
      <c r="G5505" t="s">
        <v>48</v>
      </c>
      <c r="H5505" t="s">
        <v>3957</v>
      </c>
      <c r="I5505" t="s">
        <v>3958</v>
      </c>
      <c r="J5505" t="s">
        <v>7975</v>
      </c>
      <c r="K5505" t="s">
        <v>8367</v>
      </c>
      <c r="L5505" t="s">
        <v>53</v>
      </c>
      <c r="P5505" t="s">
        <v>55</v>
      </c>
      <c r="R5505" t="s">
        <v>56</v>
      </c>
      <c r="T5505" t="s">
        <v>9778</v>
      </c>
      <c r="U5505" t="s">
        <v>58</v>
      </c>
      <c r="V5505">
        <v>2</v>
      </c>
      <c r="W5505">
        <v>1</v>
      </c>
      <c r="X5505">
        <v>1</v>
      </c>
      <c r="Y5505">
        <v>0</v>
      </c>
      <c r="Z5505">
        <v>1</v>
      </c>
      <c r="AA5505">
        <v>431.89</v>
      </c>
      <c r="AB5505">
        <v>431.89</v>
      </c>
      <c r="AC5505">
        <v>380</v>
      </c>
      <c r="AD5505">
        <v>0</v>
      </c>
      <c r="AE5505">
        <v>51.89</v>
      </c>
      <c r="AF5505">
        <v>0</v>
      </c>
      <c r="AG5505">
        <v>0</v>
      </c>
      <c r="AH5505">
        <v>0</v>
      </c>
      <c r="AI5505">
        <v>0</v>
      </c>
      <c r="AJ5505">
        <v>431.89</v>
      </c>
      <c r="AK5505">
        <v>0</v>
      </c>
      <c r="AL5505" t="s">
        <v>53</v>
      </c>
      <c r="AM5505" t="s">
        <v>53</v>
      </c>
      <c r="AN5505" t="s">
        <v>53</v>
      </c>
      <c r="AO5505" t="s">
        <v>53</v>
      </c>
      <c r="AP5505" t="s">
        <v>53</v>
      </c>
    </row>
    <row r="5506" spans="2:42" x14ac:dyDescent="0.2">
      <c r="B5506" t="s">
        <v>44</v>
      </c>
      <c r="C5506" t="str">
        <f>HYPERLINK("https://us2.cloudbeds.com/connect/8493803454333002#/reservations/9080486846314650?display=2Y2KWR62WG&amp;reservation_id=9080486846314650", "2Y2KWR62WG")</f>
        <v>2Y2KWR62WG</v>
      </c>
      <c r="D5506" t="s">
        <v>45</v>
      </c>
      <c r="E5506" t="s">
        <v>373</v>
      </c>
      <c r="F5506" t="s">
        <v>47</v>
      </c>
      <c r="G5506" t="s">
        <v>48</v>
      </c>
      <c r="H5506" t="s">
        <v>49</v>
      </c>
      <c r="I5506" t="s">
        <v>50</v>
      </c>
      <c r="J5506" t="s">
        <v>8300</v>
      </c>
      <c r="K5506" t="s">
        <v>8119</v>
      </c>
      <c r="L5506" t="s">
        <v>53</v>
      </c>
      <c r="N5506" t="s">
        <v>9779</v>
      </c>
      <c r="P5506" t="s">
        <v>55</v>
      </c>
      <c r="R5506" t="s">
        <v>53</v>
      </c>
      <c r="T5506" t="s">
        <v>9780</v>
      </c>
      <c r="U5506" t="s">
        <v>58</v>
      </c>
      <c r="V5506">
        <v>1</v>
      </c>
      <c r="W5506">
        <v>1</v>
      </c>
      <c r="X5506">
        <v>1</v>
      </c>
      <c r="Y5506">
        <v>0</v>
      </c>
      <c r="Z5506">
        <v>1</v>
      </c>
      <c r="AA5506">
        <v>165.47</v>
      </c>
      <c r="AB5506">
        <v>165.47</v>
      </c>
      <c r="AC5506">
        <v>145.6</v>
      </c>
      <c r="AD5506">
        <v>0</v>
      </c>
      <c r="AE5506">
        <v>19.87</v>
      </c>
      <c r="AF5506">
        <v>0</v>
      </c>
      <c r="AG5506">
        <v>0</v>
      </c>
      <c r="AH5506">
        <v>0</v>
      </c>
      <c r="AI5506">
        <v>29.78</v>
      </c>
      <c r="AJ5506">
        <v>165.47</v>
      </c>
      <c r="AK5506">
        <v>0</v>
      </c>
      <c r="AL5506" t="s">
        <v>53</v>
      </c>
      <c r="AM5506" t="s">
        <v>53</v>
      </c>
      <c r="AN5506" t="s">
        <v>53</v>
      </c>
      <c r="AO5506" t="s">
        <v>53</v>
      </c>
      <c r="AP5506" t="s">
        <v>53</v>
      </c>
    </row>
    <row r="5507" spans="2:42" x14ac:dyDescent="0.2">
      <c r="B5507" t="s">
        <v>44</v>
      </c>
      <c r="C5507" t="str">
        <f>HYPERLINK("https://us2.cloudbeds.com/connect/8493803454333002#/reservations/9080486846314742?display=2Y2PW00EAH&amp;reservation_id=9080486846314742", "2Y2PW00EAH")</f>
        <v>2Y2PW00EAH</v>
      </c>
      <c r="D5507" t="s">
        <v>45</v>
      </c>
      <c r="E5507" t="s">
        <v>85</v>
      </c>
      <c r="F5507" t="s">
        <v>86</v>
      </c>
      <c r="G5507" t="s">
        <v>48</v>
      </c>
      <c r="H5507" t="s">
        <v>49</v>
      </c>
      <c r="I5507" t="s">
        <v>50</v>
      </c>
      <c r="J5507" t="s">
        <v>7822</v>
      </c>
      <c r="K5507" t="s">
        <v>8119</v>
      </c>
      <c r="L5507" t="s">
        <v>53</v>
      </c>
      <c r="N5507" t="s">
        <v>9781</v>
      </c>
      <c r="P5507" t="s">
        <v>55</v>
      </c>
      <c r="R5507" t="s">
        <v>53</v>
      </c>
      <c r="T5507" t="s">
        <v>9782</v>
      </c>
      <c r="U5507" t="s">
        <v>58</v>
      </c>
      <c r="V5507">
        <v>3</v>
      </c>
      <c r="W5507">
        <v>1</v>
      </c>
      <c r="X5507">
        <v>3</v>
      </c>
      <c r="Y5507">
        <v>0</v>
      </c>
      <c r="Z5507">
        <v>3</v>
      </c>
      <c r="AA5507">
        <v>644.34</v>
      </c>
      <c r="AB5507">
        <v>644.34</v>
      </c>
      <c r="AC5507">
        <v>566.95000000000005</v>
      </c>
      <c r="AD5507">
        <v>0</v>
      </c>
      <c r="AE5507">
        <v>77.39</v>
      </c>
      <c r="AF5507">
        <v>0</v>
      </c>
      <c r="AG5507">
        <v>0</v>
      </c>
      <c r="AH5507">
        <v>0</v>
      </c>
      <c r="AI5507">
        <v>115.98</v>
      </c>
      <c r="AJ5507">
        <v>644.34</v>
      </c>
      <c r="AK5507">
        <v>0</v>
      </c>
      <c r="AL5507" t="s">
        <v>53</v>
      </c>
      <c r="AM5507" t="s">
        <v>53</v>
      </c>
      <c r="AN5507" t="s">
        <v>53</v>
      </c>
      <c r="AO5507" t="s">
        <v>53</v>
      </c>
      <c r="AP5507" t="s">
        <v>53</v>
      </c>
    </row>
    <row r="5508" spans="2:42" x14ac:dyDescent="0.2">
      <c r="B5508" t="s">
        <v>44</v>
      </c>
      <c r="C5508" t="str">
        <f>HYPERLINK("https://us2.cloudbeds.com/connect/8493803454333002#/reservations/9080486846314793?display=2Y2TSUP1RC&amp;reservation_id=9080486846314793", "2Y2TSUP1RC")</f>
        <v>2Y2TSUP1RC</v>
      </c>
      <c r="D5508" t="s">
        <v>45</v>
      </c>
      <c r="E5508" t="s">
        <v>190</v>
      </c>
      <c r="F5508" t="s">
        <v>61</v>
      </c>
      <c r="G5508" t="s">
        <v>48</v>
      </c>
      <c r="H5508" t="s">
        <v>49</v>
      </c>
      <c r="I5508" t="s">
        <v>50</v>
      </c>
      <c r="J5508" t="s">
        <v>7864</v>
      </c>
      <c r="K5508" t="s">
        <v>8816</v>
      </c>
      <c r="L5508" t="s">
        <v>53</v>
      </c>
      <c r="N5508" t="s">
        <v>9783</v>
      </c>
      <c r="P5508" t="s">
        <v>55</v>
      </c>
      <c r="R5508" t="s">
        <v>53</v>
      </c>
      <c r="T5508" t="s">
        <v>9784</v>
      </c>
      <c r="U5508" t="s">
        <v>58</v>
      </c>
      <c r="V5508">
        <v>1</v>
      </c>
      <c r="W5508">
        <v>1</v>
      </c>
      <c r="X5508">
        <v>2</v>
      </c>
      <c r="Y5508">
        <v>0</v>
      </c>
      <c r="Z5508">
        <v>2</v>
      </c>
      <c r="AA5508">
        <v>190.25</v>
      </c>
      <c r="AB5508">
        <v>190.25</v>
      </c>
      <c r="AC5508">
        <v>167.4</v>
      </c>
      <c r="AD5508">
        <v>0</v>
      </c>
      <c r="AE5508">
        <v>22.85</v>
      </c>
      <c r="AF5508">
        <v>0</v>
      </c>
      <c r="AG5508">
        <v>0</v>
      </c>
      <c r="AH5508">
        <v>0</v>
      </c>
      <c r="AI5508">
        <v>34.25</v>
      </c>
      <c r="AJ5508">
        <v>190.25</v>
      </c>
      <c r="AK5508">
        <v>0</v>
      </c>
      <c r="AL5508" t="s">
        <v>53</v>
      </c>
      <c r="AM5508" t="s">
        <v>53</v>
      </c>
      <c r="AN5508" t="s">
        <v>53</v>
      </c>
      <c r="AO5508" t="s">
        <v>53</v>
      </c>
      <c r="AP5508" t="s">
        <v>53</v>
      </c>
    </row>
    <row r="5509" spans="2:42" x14ac:dyDescent="0.2">
      <c r="B5509" t="s">
        <v>44</v>
      </c>
      <c r="C5509" t="str">
        <f>HYPERLINK("https://us2.cloudbeds.com/connect/8493803454333002#/reservations/9080486846314847?display=2Y3086N8UP&amp;reservation_id=9080486846314847", "2Y3086N8UP")</f>
        <v>2Y3086N8UP</v>
      </c>
      <c r="D5509" t="s">
        <v>45</v>
      </c>
      <c r="E5509" t="s">
        <v>46</v>
      </c>
      <c r="F5509" t="s">
        <v>47</v>
      </c>
      <c r="G5509" t="s">
        <v>48</v>
      </c>
      <c r="H5509" t="s">
        <v>49</v>
      </c>
      <c r="I5509" t="s">
        <v>50</v>
      </c>
      <c r="J5509" t="s">
        <v>6374</v>
      </c>
      <c r="K5509" t="s">
        <v>7829</v>
      </c>
      <c r="L5509" t="s">
        <v>53</v>
      </c>
      <c r="N5509" t="s">
        <v>9785</v>
      </c>
      <c r="P5509" t="s">
        <v>55</v>
      </c>
      <c r="R5509" t="s">
        <v>53</v>
      </c>
      <c r="T5509" t="s">
        <v>9786</v>
      </c>
      <c r="U5509" t="s">
        <v>58</v>
      </c>
      <c r="V5509">
        <v>1</v>
      </c>
      <c r="W5509">
        <v>1</v>
      </c>
      <c r="X5509">
        <v>1</v>
      </c>
      <c r="Y5509">
        <v>0</v>
      </c>
      <c r="Z5509">
        <v>1</v>
      </c>
      <c r="AA5509">
        <v>163.35</v>
      </c>
      <c r="AB5509">
        <v>163.35</v>
      </c>
      <c r="AC5509">
        <v>143.72999999999999</v>
      </c>
      <c r="AD5509">
        <v>0</v>
      </c>
      <c r="AE5509">
        <v>19.62</v>
      </c>
      <c r="AF5509">
        <v>0</v>
      </c>
      <c r="AG5509">
        <v>0</v>
      </c>
      <c r="AH5509">
        <v>0</v>
      </c>
      <c r="AI5509">
        <v>29.4</v>
      </c>
      <c r="AJ5509">
        <v>163.35</v>
      </c>
      <c r="AK5509">
        <v>0</v>
      </c>
      <c r="AL5509" t="s">
        <v>53</v>
      </c>
      <c r="AM5509" t="s">
        <v>53</v>
      </c>
      <c r="AN5509" t="s">
        <v>53</v>
      </c>
      <c r="AO5509" t="s">
        <v>53</v>
      </c>
      <c r="AP5509" t="s">
        <v>53</v>
      </c>
    </row>
    <row r="5510" spans="2:42" x14ac:dyDescent="0.2">
      <c r="B5510" t="s">
        <v>44</v>
      </c>
      <c r="C5510" t="str">
        <f>HYPERLINK("https://us2.cloudbeds.com/connect/8493803454333002#/reservations/9080486846315864?display=2Y53Y6KYDH&amp;reservation_id=9080486846315864", "2Y53Y6KYDH")</f>
        <v>2Y53Y6KYDH</v>
      </c>
      <c r="D5510" t="s">
        <v>45</v>
      </c>
      <c r="E5510" t="s">
        <v>373</v>
      </c>
      <c r="F5510" t="s">
        <v>47</v>
      </c>
      <c r="G5510" t="s">
        <v>48</v>
      </c>
      <c r="H5510" t="s">
        <v>49</v>
      </c>
      <c r="I5510" t="s">
        <v>50</v>
      </c>
      <c r="J5510" t="s">
        <v>7822</v>
      </c>
      <c r="K5510" t="s">
        <v>8300</v>
      </c>
      <c r="L5510" t="s">
        <v>53</v>
      </c>
      <c r="N5510" t="s">
        <v>9787</v>
      </c>
      <c r="P5510" t="s">
        <v>55</v>
      </c>
      <c r="R5510" t="s">
        <v>53</v>
      </c>
      <c r="T5510" t="s">
        <v>9788</v>
      </c>
      <c r="U5510" t="s">
        <v>58</v>
      </c>
      <c r="V5510">
        <v>2</v>
      </c>
      <c r="W5510">
        <v>2</v>
      </c>
      <c r="X5510">
        <v>2</v>
      </c>
      <c r="Y5510">
        <v>0</v>
      </c>
      <c r="Z5510">
        <v>2</v>
      </c>
      <c r="AA5510">
        <v>434.37</v>
      </c>
      <c r="AB5510">
        <v>434.37</v>
      </c>
      <c r="AC5510">
        <v>382.2</v>
      </c>
      <c r="AD5510">
        <v>0</v>
      </c>
      <c r="AE5510">
        <v>52.17</v>
      </c>
      <c r="AF5510">
        <v>0</v>
      </c>
      <c r="AG5510">
        <v>0</v>
      </c>
      <c r="AH5510">
        <v>0</v>
      </c>
      <c r="AI5510">
        <v>78.19</v>
      </c>
      <c r="AJ5510">
        <v>434.37</v>
      </c>
      <c r="AK5510">
        <v>0</v>
      </c>
      <c r="AL5510" t="s">
        <v>53</v>
      </c>
      <c r="AM5510" t="s">
        <v>53</v>
      </c>
      <c r="AN5510" t="s">
        <v>53</v>
      </c>
      <c r="AO5510" t="s">
        <v>53</v>
      </c>
      <c r="AP5510" t="s">
        <v>53</v>
      </c>
    </row>
    <row r="5511" spans="2:42" x14ac:dyDescent="0.2">
      <c r="B5511" t="s">
        <v>44</v>
      </c>
      <c r="C5511" t="str">
        <f>HYPERLINK("https://us2.cloudbeds.com/connect/8493803454333002#/reservations/9080486846317107?display=2Y79R4G4XY&amp;reservation_id=9080486846317107", "2Y79R4G4XY")</f>
        <v>2Y79R4G4XY</v>
      </c>
      <c r="D5511" t="s">
        <v>45</v>
      </c>
      <c r="E5511" t="s">
        <v>46</v>
      </c>
      <c r="F5511" t="s">
        <v>47</v>
      </c>
      <c r="G5511" t="s">
        <v>48</v>
      </c>
      <c r="H5511" t="s">
        <v>49</v>
      </c>
      <c r="I5511" t="s">
        <v>50</v>
      </c>
      <c r="J5511" t="s">
        <v>8143</v>
      </c>
      <c r="K5511" t="s">
        <v>8119</v>
      </c>
      <c r="L5511" t="s">
        <v>53</v>
      </c>
      <c r="N5511" t="s">
        <v>9789</v>
      </c>
      <c r="P5511" t="s">
        <v>55</v>
      </c>
      <c r="R5511" t="s">
        <v>53</v>
      </c>
      <c r="T5511" t="s">
        <v>9790</v>
      </c>
      <c r="U5511" t="s">
        <v>58</v>
      </c>
      <c r="V5511">
        <v>2</v>
      </c>
      <c r="W5511">
        <v>1</v>
      </c>
      <c r="X5511">
        <v>2</v>
      </c>
      <c r="Y5511">
        <v>0</v>
      </c>
      <c r="Z5511">
        <v>2</v>
      </c>
      <c r="AA5511">
        <v>349.13</v>
      </c>
      <c r="AB5511">
        <v>349.13</v>
      </c>
      <c r="AC5511">
        <v>307.2</v>
      </c>
      <c r="AD5511">
        <v>0</v>
      </c>
      <c r="AE5511">
        <v>41.93</v>
      </c>
      <c r="AF5511">
        <v>0</v>
      </c>
      <c r="AG5511">
        <v>0</v>
      </c>
      <c r="AH5511">
        <v>0</v>
      </c>
      <c r="AI5511">
        <v>62.84</v>
      </c>
      <c r="AJ5511">
        <v>349.13</v>
      </c>
      <c r="AK5511">
        <v>0</v>
      </c>
      <c r="AL5511" t="s">
        <v>53</v>
      </c>
      <c r="AM5511" t="s">
        <v>53</v>
      </c>
      <c r="AN5511" t="s">
        <v>53</v>
      </c>
      <c r="AO5511" t="s">
        <v>53</v>
      </c>
      <c r="AP5511" t="s">
        <v>53</v>
      </c>
    </row>
    <row r="5512" spans="2:42" x14ac:dyDescent="0.2">
      <c r="B5512" t="s">
        <v>44</v>
      </c>
      <c r="C5512" t="str">
        <f>HYPERLINK("https://us2.cloudbeds.com/connect/8493803454333002#/reservations/9080486846317179?display=2Y7C689VMT&amp;reservation_id=9080486846317179", "2Y7C689VMT")</f>
        <v>2Y7C689VMT</v>
      </c>
      <c r="D5512" t="s">
        <v>45</v>
      </c>
      <c r="E5512" t="s">
        <v>190</v>
      </c>
      <c r="F5512" t="s">
        <v>61</v>
      </c>
      <c r="G5512" t="s">
        <v>48</v>
      </c>
      <c r="H5512" t="s">
        <v>49</v>
      </c>
      <c r="I5512" t="s">
        <v>50</v>
      </c>
      <c r="J5512" t="s">
        <v>8871</v>
      </c>
      <c r="K5512" t="s">
        <v>7802</v>
      </c>
      <c r="L5512" t="s">
        <v>53</v>
      </c>
      <c r="N5512" t="s">
        <v>9791</v>
      </c>
      <c r="P5512" t="s">
        <v>55</v>
      </c>
      <c r="R5512" t="s">
        <v>53</v>
      </c>
      <c r="T5512" t="s">
        <v>9792</v>
      </c>
      <c r="U5512" t="s">
        <v>58</v>
      </c>
      <c r="V5512">
        <v>3</v>
      </c>
      <c r="W5512">
        <v>1</v>
      </c>
      <c r="X5512">
        <v>2</v>
      </c>
      <c r="Y5512">
        <v>0</v>
      </c>
      <c r="Z5512">
        <v>2</v>
      </c>
      <c r="AA5512">
        <v>490.98</v>
      </c>
      <c r="AB5512">
        <v>490.98</v>
      </c>
      <c r="AC5512">
        <v>432.01</v>
      </c>
      <c r="AD5512">
        <v>0</v>
      </c>
      <c r="AE5512">
        <v>58.97</v>
      </c>
      <c r="AF5512">
        <v>0</v>
      </c>
      <c r="AG5512">
        <v>0</v>
      </c>
      <c r="AH5512">
        <v>0</v>
      </c>
      <c r="AI5512">
        <v>88.38</v>
      </c>
      <c r="AJ5512">
        <v>490.98</v>
      </c>
      <c r="AK5512">
        <v>50</v>
      </c>
      <c r="AL5512" t="s">
        <v>53</v>
      </c>
      <c r="AM5512" t="s">
        <v>53</v>
      </c>
      <c r="AN5512" t="s">
        <v>53</v>
      </c>
      <c r="AO5512" t="s">
        <v>53</v>
      </c>
      <c r="AP5512" t="s">
        <v>53</v>
      </c>
    </row>
    <row r="5513" spans="2:42" x14ac:dyDescent="0.2">
      <c r="B5513" t="s">
        <v>44</v>
      </c>
      <c r="C5513" t="str">
        <f>HYPERLINK("https://us2.cloudbeds.com/connect/8493803454333002#/reservations/9080486846317348?display=2Y7JHT5PQE&amp;reservation_id=9080486846317348", "2Y7JHT5PQE")</f>
        <v>2Y7JHT5PQE</v>
      </c>
      <c r="D5513" t="s">
        <v>45</v>
      </c>
      <c r="E5513" t="s">
        <v>110</v>
      </c>
      <c r="F5513" t="s">
        <v>47</v>
      </c>
      <c r="G5513" t="s">
        <v>48</v>
      </c>
      <c r="H5513" t="s">
        <v>49</v>
      </c>
      <c r="I5513" t="s">
        <v>50</v>
      </c>
      <c r="J5513" t="s">
        <v>8615</v>
      </c>
      <c r="K5513" t="s">
        <v>6379</v>
      </c>
      <c r="L5513" t="s">
        <v>53</v>
      </c>
      <c r="N5513" t="s">
        <v>9793</v>
      </c>
      <c r="P5513" t="s">
        <v>55</v>
      </c>
      <c r="R5513" t="s">
        <v>53</v>
      </c>
      <c r="T5513" t="s">
        <v>9794</v>
      </c>
      <c r="U5513" t="s">
        <v>58</v>
      </c>
      <c r="V5513">
        <v>1</v>
      </c>
      <c r="W5513">
        <v>1</v>
      </c>
      <c r="X5513">
        <v>2</v>
      </c>
      <c r="Y5513">
        <v>0</v>
      </c>
      <c r="Z5513">
        <v>2</v>
      </c>
      <c r="AA5513">
        <v>169.12</v>
      </c>
      <c r="AB5513">
        <v>169.12</v>
      </c>
      <c r="AC5513">
        <v>148.80000000000001</v>
      </c>
      <c r="AD5513">
        <v>0</v>
      </c>
      <c r="AE5513">
        <v>20.32</v>
      </c>
      <c r="AF5513">
        <v>0</v>
      </c>
      <c r="AG5513">
        <v>0</v>
      </c>
      <c r="AH5513">
        <v>0</v>
      </c>
      <c r="AI5513">
        <v>30.44</v>
      </c>
      <c r="AJ5513">
        <v>169.12</v>
      </c>
      <c r="AK5513">
        <v>0</v>
      </c>
      <c r="AL5513" t="s">
        <v>53</v>
      </c>
      <c r="AM5513" t="s">
        <v>53</v>
      </c>
      <c r="AN5513" t="s">
        <v>53</v>
      </c>
      <c r="AO5513" t="s">
        <v>53</v>
      </c>
      <c r="AP5513" t="s">
        <v>53</v>
      </c>
    </row>
    <row r="5514" spans="2:42" x14ac:dyDescent="0.2">
      <c r="B5514" t="s">
        <v>44</v>
      </c>
      <c r="C5514" t="str">
        <f>HYPERLINK("https://us2.cloudbeds.com/connect/8493803454333002#/reservations/9080486846319098?display=2Y9XC8QWHG&amp;reservation_id=9080486846319098", "2Y9XC8QWHG")</f>
        <v>2Y9XC8QWHG</v>
      </c>
      <c r="D5514" t="s">
        <v>45</v>
      </c>
      <c r="E5514" t="s">
        <v>105</v>
      </c>
      <c r="F5514" t="s">
        <v>47</v>
      </c>
      <c r="G5514" t="s">
        <v>48</v>
      </c>
      <c r="H5514" t="s">
        <v>49</v>
      </c>
      <c r="I5514" t="s">
        <v>50</v>
      </c>
      <c r="J5514" t="s">
        <v>7925</v>
      </c>
      <c r="K5514" t="s">
        <v>7926</v>
      </c>
      <c r="L5514" t="s">
        <v>53</v>
      </c>
      <c r="N5514" t="s">
        <v>9795</v>
      </c>
      <c r="P5514" t="s">
        <v>55</v>
      </c>
      <c r="R5514" t="s">
        <v>53</v>
      </c>
      <c r="T5514" t="s">
        <v>9796</v>
      </c>
      <c r="U5514" t="s">
        <v>58</v>
      </c>
      <c r="V5514">
        <v>1</v>
      </c>
      <c r="W5514">
        <v>1</v>
      </c>
      <c r="X5514">
        <v>2</v>
      </c>
      <c r="Y5514">
        <v>0</v>
      </c>
      <c r="Z5514">
        <v>2</v>
      </c>
      <c r="AA5514">
        <v>186.16</v>
      </c>
      <c r="AB5514">
        <v>186.16</v>
      </c>
      <c r="AC5514">
        <v>163.80000000000001</v>
      </c>
      <c r="AD5514">
        <v>0</v>
      </c>
      <c r="AE5514">
        <v>22.36</v>
      </c>
      <c r="AF5514">
        <v>0</v>
      </c>
      <c r="AG5514">
        <v>0</v>
      </c>
      <c r="AH5514">
        <v>0</v>
      </c>
      <c r="AI5514">
        <v>33.51</v>
      </c>
      <c r="AJ5514">
        <v>186.16</v>
      </c>
      <c r="AK5514">
        <v>0</v>
      </c>
      <c r="AL5514" t="s">
        <v>53</v>
      </c>
      <c r="AM5514" t="s">
        <v>53</v>
      </c>
      <c r="AN5514" t="s">
        <v>53</v>
      </c>
      <c r="AO5514" t="s">
        <v>53</v>
      </c>
      <c r="AP5514" t="s">
        <v>53</v>
      </c>
    </row>
    <row r="5515" spans="2:42" x14ac:dyDescent="0.2">
      <c r="B5515" t="s">
        <v>44</v>
      </c>
      <c r="C5515" t="str">
        <f>HYPERLINK("https://us2.cloudbeds.com/connect/8493803454333002#/reservations/9080486846319109?display=2Y9XVTHUUA&amp;reservation_id=9080486846319109", "2Y9XVTHUUA")</f>
        <v>2Y9XVTHUUA</v>
      </c>
      <c r="D5515" t="s">
        <v>45</v>
      </c>
      <c r="E5515" t="s">
        <v>113</v>
      </c>
      <c r="F5515" t="s">
        <v>61</v>
      </c>
      <c r="G5515" t="s">
        <v>48</v>
      </c>
      <c r="H5515" t="s">
        <v>49</v>
      </c>
      <c r="I5515" t="s">
        <v>50</v>
      </c>
      <c r="J5515" t="s">
        <v>7751</v>
      </c>
      <c r="K5515" t="s">
        <v>4008</v>
      </c>
      <c r="L5515" t="s">
        <v>53</v>
      </c>
      <c r="N5515" t="s">
        <v>9797</v>
      </c>
      <c r="P5515" t="s">
        <v>55</v>
      </c>
      <c r="R5515" t="s">
        <v>53</v>
      </c>
      <c r="T5515" t="s">
        <v>9798</v>
      </c>
      <c r="U5515" t="s">
        <v>58</v>
      </c>
      <c r="V5515">
        <v>2</v>
      </c>
      <c r="W5515">
        <v>1</v>
      </c>
      <c r="X5515">
        <v>1</v>
      </c>
      <c r="Y5515">
        <v>0</v>
      </c>
      <c r="Z5515">
        <v>1</v>
      </c>
      <c r="AA5515">
        <v>304.58</v>
      </c>
      <c r="AB5515">
        <v>304.58</v>
      </c>
      <c r="AC5515">
        <v>268</v>
      </c>
      <c r="AD5515">
        <v>0</v>
      </c>
      <c r="AE5515">
        <v>36.58</v>
      </c>
      <c r="AF5515">
        <v>0</v>
      </c>
      <c r="AG5515">
        <v>0</v>
      </c>
      <c r="AH5515">
        <v>0</v>
      </c>
      <c r="AI5515">
        <v>54.82</v>
      </c>
      <c r="AJ5515">
        <v>304.58</v>
      </c>
      <c r="AK5515">
        <v>0</v>
      </c>
      <c r="AL5515" t="s">
        <v>53</v>
      </c>
      <c r="AM5515" t="s">
        <v>53</v>
      </c>
      <c r="AN5515" t="s">
        <v>53</v>
      </c>
      <c r="AO5515" t="s">
        <v>53</v>
      </c>
      <c r="AP5515" t="s">
        <v>53</v>
      </c>
    </row>
    <row r="5516" spans="2:42" x14ac:dyDescent="0.2">
      <c r="B5516" t="s">
        <v>44</v>
      </c>
      <c r="C5516" t="str">
        <f>HYPERLINK("https://us2.cloudbeds.com/connect/8493803454333002#/reservations/9080486846319287?display=2Y9PR5K8CM&amp;reservation_id=9080486846319287", "2Y9PR5K8CM")</f>
        <v>2Y9PR5K8CM</v>
      </c>
      <c r="D5516" t="s">
        <v>45</v>
      </c>
      <c r="E5516" t="s">
        <v>406</v>
      </c>
      <c r="F5516" t="s">
        <v>61</v>
      </c>
      <c r="G5516" t="s">
        <v>48</v>
      </c>
      <c r="H5516" t="s">
        <v>49</v>
      </c>
      <c r="I5516" t="s">
        <v>50</v>
      </c>
      <c r="J5516" t="s">
        <v>7864</v>
      </c>
      <c r="K5516" t="s">
        <v>8816</v>
      </c>
      <c r="L5516" t="s">
        <v>53</v>
      </c>
      <c r="N5516" t="s">
        <v>9799</v>
      </c>
      <c r="P5516" t="s">
        <v>55</v>
      </c>
      <c r="R5516" t="s">
        <v>53</v>
      </c>
      <c r="T5516" t="s">
        <v>9800</v>
      </c>
      <c r="U5516" t="s">
        <v>58</v>
      </c>
      <c r="V5516">
        <v>1</v>
      </c>
      <c r="W5516">
        <v>1</v>
      </c>
      <c r="X5516">
        <v>2</v>
      </c>
      <c r="Y5516">
        <v>0</v>
      </c>
      <c r="Z5516">
        <v>2</v>
      </c>
      <c r="AA5516">
        <v>190.25</v>
      </c>
      <c r="AB5516">
        <v>190.25</v>
      </c>
      <c r="AC5516">
        <v>167.4</v>
      </c>
      <c r="AD5516">
        <v>0</v>
      </c>
      <c r="AE5516">
        <v>22.85</v>
      </c>
      <c r="AF5516">
        <v>0</v>
      </c>
      <c r="AG5516">
        <v>0</v>
      </c>
      <c r="AH5516">
        <v>0</v>
      </c>
      <c r="AI5516">
        <v>34.25</v>
      </c>
      <c r="AJ5516">
        <v>190.25</v>
      </c>
      <c r="AK5516">
        <v>0</v>
      </c>
      <c r="AL5516" t="s">
        <v>53</v>
      </c>
      <c r="AM5516" t="s">
        <v>53</v>
      </c>
      <c r="AN5516" t="s">
        <v>53</v>
      </c>
      <c r="AO5516" t="s">
        <v>53</v>
      </c>
      <c r="AP5516" t="s">
        <v>53</v>
      </c>
    </row>
    <row r="5517" spans="2:42" x14ac:dyDescent="0.2">
      <c r="B5517" t="s">
        <v>44</v>
      </c>
      <c r="C5517" t="str">
        <f>HYPERLINK("https://us2.cloudbeds.com/connect/8493803454333002#/reservations/9080486846319781?display=2YAGZVDNMH&amp;reservation_id=9080486846319781", "2YAGZVDNMH")</f>
        <v>2YAGZVDNMH</v>
      </c>
      <c r="D5517" t="s">
        <v>45</v>
      </c>
      <c r="E5517" t="s">
        <v>406</v>
      </c>
      <c r="F5517" t="s">
        <v>61</v>
      </c>
      <c r="G5517" t="s">
        <v>48</v>
      </c>
      <c r="H5517" t="s">
        <v>49</v>
      </c>
      <c r="I5517" t="s">
        <v>62</v>
      </c>
      <c r="J5517" t="s">
        <v>8816</v>
      </c>
      <c r="K5517" t="s">
        <v>6374</v>
      </c>
      <c r="L5517" t="s">
        <v>53</v>
      </c>
      <c r="N5517" t="s">
        <v>9801</v>
      </c>
      <c r="P5517" t="s">
        <v>55</v>
      </c>
      <c r="R5517" t="s">
        <v>56</v>
      </c>
      <c r="T5517" t="s">
        <v>9802</v>
      </c>
      <c r="U5517" t="s">
        <v>55</v>
      </c>
      <c r="V5517">
        <v>3</v>
      </c>
      <c r="W5517">
        <v>1</v>
      </c>
      <c r="X5517">
        <v>2</v>
      </c>
      <c r="Y5517">
        <v>0</v>
      </c>
      <c r="Z5517">
        <v>2</v>
      </c>
      <c r="AA5517">
        <v>661</v>
      </c>
      <c r="AB5517">
        <v>661</v>
      </c>
      <c r="AC5517">
        <v>661</v>
      </c>
      <c r="AD5517">
        <v>0</v>
      </c>
      <c r="AE5517">
        <v>0</v>
      </c>
      <c r="AF5517">
        <v>0</v>
      </c>
      <c r="AG5517">
        <v>0</v>
      </c>
      <c r="AH5517">
        <v>0</v>
      </c>
      <c r="AI5517">
        <v>118.98</v>
      </c>
      <c r="AJ5517">
        <v>661</v>
      </c>
      <c r="AK5517">
        <v>0</v>
      </c>
      <c r="AL5517" t="s">
        <v>53</v>
      </c>
      <c r="AM5517" t="s">
        <v>53</v>
      </c>
      <c r="AN5517" t="s">
        <v>53</v>
      </c>
      <c r="AO5517" t="s">
        <v>53</v>
      </c>
      <c r="AP5517" t="s">
        <v>53</v>
      </c>
    </row>
    <row r="5518" spans="2:42" x14ac:dyDescent="0.2">
      <c r="B5518" t="s">
        <v>44</v>
      </c>
      <c r="C5518" t="str">
        <f>HYPERLINK("https://us2.cloudbeds.com/connect/8493803454333002#/reservations/9080486846319806?display=2YAX8RGBRC&amp;reservation_id=9080486846319806", "2YAX8RGBRC")</f>
        <v>2YAX8RGBRC</v>
      </c>
      <c r="D5518" t="s">
        <v>45</v>
      </c>
      <c r="E5518" t="s">
        <v>265</v>
      </c>
      <c r="F5518" t="s">
        <v>61</v>
      </c>
      <c r="G5518" t="s">
        <v>48</v>
      </c>
      <c r="H5518" t="s">
        <v>49</v>
      </c>
      <c r="I5518" t="s">
        <v>50</v>
      </c>
      <c r="J5518" t="s">
        <v>6373</v>
      </c>
      <c r="K5518" t="s">
        <v>8765</v>
      </c>
      <c r="L5518" t="s">
        <v>53</v>
      </c>
      <c r="N5518" t="s">
        <v>9803</v>
      </c>
      <c r="P5518" t="s">
        <v>55</v>
      </c>
      <c r="R5518" t="s">
        <v>53</v>
      </c>
      <c r="T5518" t="s">
        <v>9804</v>
      </c>
      <c r="U5518" t="s">
        <v>58</v>
      </c>
      <c r="V5518">
        <v>1</v>
      </c>
      <c r="W5518">
        <v>1</v>
      </c>
      <c r="X5518">
        <v>2</v>
      </c>
      <c r="Y5518">
        <v>0</v>
      </c>
      <c r="Z5518">
        <v>2</v>
      </c>
      <c r="AA5518">
        <v>216.85</v>
      </c>
      <c r="AB5518">
        <v>216.85</v>
      </c>
      <c r="AC5518">
        <v>190.8</v>
      </c>
      <c r="AD5518">
        <v>0</v>
      </c>
      <c r="AE5518">
        <v>26.05</v>
      </c>
      <c r="AF5518">
        <v>0</v>
      </c>
      <c r="AG5518">
        <v>0</v>
      </c>
      <c r="AH5518">
        <v>0</v>
      </c>
      <c r="AI5518">
        <v>39.03</v>
      </c>
      <c r="AJ5518">
        <v>216.85</v>
      </c>
      <c r="AK5518">
        <v>0</v>
      </c>
      <c r="AL5518" t="s">
        <v>53</v>
      </c>
      <c r="AM5518" t="s">
        <v>53</v>
      </c>
      <c r="AN5518" t="s">
        <v>9805</v>
      </c>
      <c r="AO5518" t="s">
        <v>53</v>
      </c>
      <c r="AP5518" t="s">
        <v>53</v>
      </c>
    </row>
    <row r="5519" spans="2:42" x14ac:dyDescent="0.2">
      <c r="B5519" t="s">
        <v>44</v>
      </c>
      <c r="C5519" t="str">
        <f>HYPERLINK("https://us2.cloudbeds.com/connect/8493803454333002#/reservations/9080486846319919?display=2YAZUFY009&amp;reservation_id=9080486846319919", "2YAZUFY009")</f>
        <v>2YAZUFY009</v>
      </c>
      <c r="D5519" t="s">
        <v>45</v>
      </c>
      <c r="E5519" t="s">
        <v>487</v>
      </c>
      <c r="F5519" t="s">
        <v>61</v>
      </c>
      <c r="G5519" t="s">
        <v>48</v>
      </c>
      <c r="H5519" t="s">
        <v>49</v>
      </c>
      <c r="I5519" t="s">
        <v>50</v>
      </c>
      <c r="J5519" t="s">
        <v>7830</v>
      </c>
      <c r="K5519" t="s">
        <v>7906</v>
      </c>
      <c r="L5519" t="s">
        <v>53</v>
      </c>
      <c r="N5519" t="s">
        <v>9806</v>
      </c>
      <c r="P5519" t="s">
        <v>55</v>
      </c>
      <c r="R5519" t="s">
        <v>53</v>
      </c>
      <c r="T5519" t="s">
        <v>9807</v>
      </c>
      <c r="U5519" t="s">
        <v>58</v>
      </c>
      <c r="V5519">
        <v>2</v>
      </c>
      <c r="W5519">
        <v>1</v>
      </c>
      <c r="X5519">
        <v>1</v>
      </c>
      <c r="Y5519">
        <v>0</v>
      </c>
      <c r="Z5519">
        <v>1</v>
      </c>
      <c r="AA5519">
        <v>396.44</v>
      </c>
      <c r="AB5519">
        <v>396.44</v>
      </c>
      <c r="AC5519">
        <v>348.84</v>
      </c>
      <c r="AD5519">
        <v>0</v>
      </c>
      <c r="AE5519">
        <v>47.6</v>
      </c>
      <c r="AF5519">
        <v>0</v>
      </c>
      <c r="AG5519">
        <v>0</v>
      </c>
      <c r="AH5519">
        <v>0</v>
      </c>
      <c r="AI5519">
        <v>71.36</v>
      </c>
      <c r="AJ5519">
        <v>396.44</v>
      </c>
      <c r="AK5519">
        <v>0</v>
      </c>
      <c r="AL5519" t="s">
        <v>53</v>
      </c>
      <c r="AM5519" t="s">
        <v>53</v>
      </c>
      <c r="AN5519" t="s">
        <v>9808</v>
      </c>
      <c r="AO5519" t="s">
        <v>53</v>
      </c>
      <c r="AP5519" t="s">
        <v>53</v>
      </c>
    </row>
    <row r="5520" spans="2:42" x14ac:dyDescent="0.2">
      <c r="B5520" t="s">
        <v>44</v>
      </c>
      <c r="C5520" t="str">
        <f>HYPERLINK("https://us2.cloudbeds.com/connect/8493803454333002#/reservations/9080486846320004?display=2YAT77TKK0&amp;reservation_id=9080486846320004", "2YAT77TKK0")</f>
        <v>2YAT77TKK0</v>
      </c>
      <c r="D5520" t="s">
        <v>45</v>
      </c>
      <c r="E5520" t="s">
        <v>138</v>
      </c>
      <c r="F5520" t="s">
        <v>70</v>
      </c>
      <c r="G5520" t="s">
        <v>48</v>
      </c>
      <c r="H5520" t="s">
        <v>49</v>
      </c>
      <c r="I5520" t="s">
        <v>62</v>
      </c>
      <c r="J5520" t="s">
        <v>7829</v>
      </c>
      <c r="K5520" t="s">
        <v>7830</v>
      </c>
      <c r="L5520" t="s">
        <v>53</v>
      </c>
      <c r="N5520" t="s">
        <v>9809</v>
      </c>
      <c r="P5520" t="s">
        <v>55</v>
      </c>
      <c r="R5520" t="s">
        <v>56</v>
      </c>
      <c r="T5520" t="s">
        <v>9810</v>
      </c>
      <c r="U5520" t="s">
        <v>55</v>
      </c>
      <c r="V5520">
        <v>1</v>
      </c>
      <c r="W5520">
        <v>1</v>
      </c>
      <c r="X5520">
        <v>1</v>
      </c>
      <c r="Y5520">
        <v>0</v>
      </c>
      <c r="Z5520">
        <v>1</v>
      </c>
      <c r="AA5520">
        <v>162.44999999999999</v>
      </c>
      <c r="AB5520">
        <v>162.44999999999999</v>
      </c>
      <c r="AC5520">
        <v>162.44999999999999</v>
      </c>
      <c r="AD5520">
        <v>0</v>
      </c>
      <c r="AE5520">
        <v>0</v>
      </c>
      <c r="AF5520">
        <v>0</v>
      </c>
      <c r="AG5520">
        <v>0</v>
      </c>
      <c r="AH5520">
        <v>0</v>
      </c>
      <c r="AI5520">
        <v>29.24</v>
      </c>
      <c r="AJ5520">
        <v>162.44999999999999</v>
      </c>
      <c r="AK5520">
        <v>0</v>
      </c>
      <c r="AL5520" t="s">
        <v>53</v>
      </c>
      <c r="AM5520" t="s">
        <v>53</v>
      </c>
      <c r="AN5520" t="s">
        <v>53</v>
      </c>
      <c r="AO5520" t="s">
        <v>53</v>
      </c>
      <c r="AP5520" t="s">
        <v>53</v>
      </c>
    </row>
    <row r="5521" spans="2:42" x14ac:dyDescent="0.2">
      <c r="B5521" t="s">
        <v>44</v>
      </c>
      <c r="C5521" t="str">
        <f>HYPERLINK("https://us2.cloudbeds.com/connect/8493803454333002#/reservations/122849143361680?display=2YBHYBNSW9&amp;reservation_id=122849143361680", "2YBHYBNSW9")</f>
        <v>2YBHYBNSW9</v>
      </c>
      <c r="D5521" t="s">
        <v>45</v>
      </c>
      <c r="E5521" t="s">
        <v>373</v>
      </c>
      <c r="F5521" t="s">
        <v>47</v>
      </c>
      <c r="G5521" t="s">
        <v>48</v>
      </c>
      <c r="H5521" t="s">
        <v>3957</v>
      </c>
      <c r="I5521" t="s">
        <v>3975</v>
      </c>
      <c r="J5521" t="s">
        <v>8765</v>
      </c>
      <c r="K5521" t="s">
        <v>6374</v>
      </c>
      <c r="L5521" t="s">
        <v>53</v>
      </c>
      <c r="P5521" t="s">
        <v>55</v>
      </c>
      <c r="R5521" t="s">
        <v>53</v>
      </c>
      <c r="T5521" t="s">
        <v>9811</v>
      </c>
      <c r="U5521" t="s">
        <v>58</v>
      </c>
      <c r="V5521">
        <v>1</v>
      </c>
      <c r="W5521">
        <v>1</v>
      </c>
      <c r="X5521">
        <v>2</v>
      </c>
      <c r="Y5521">
        <v>0</v>
      </c>
      <c r="Z5521">
        <v>2</v>
      </c>
      <c r="AA5521">
        <v>242.08</v>
      </c>
      <c r="AB5521">
        <v>242.08</v>
      </c>
      <c r="AC5521">
        <v>213</v>
      </c>
      <c r="AD5521">
        <v>0</v>
      </c>
      <c r="AE5521">
        <v>29.08</v>
      </c>
      <c r="AF5521">
        <v>0</v>
      </c>
      <c r="AG5521">
        <v>0</v>
      </c>
      <c r="AH5521">
        <v>0</v>
      </c>
      <c r="AI5521">
        <v>0</v>
      </c>
      <c r="AJ5521">
        <v>242.08</v>
      </c>
      <c r="AK5521">
        <v>0</v>
      </c>
      <c r="AL5521" t="s">
        <v>53</v>
      </c>
      <c r="AM5521" t="s">
        <v>53</v>
      </c>
      <c r="AN5521" t="s">
        <v>9777</v>
      </c>
      <c r="AO5521" t="s">
        <v>53</v>
      </c>
      <c r="AP5521" t="s">
        <v>53</v>
      </c>
    </row>
    <row r="5522" spans="2:42" x14ac:dyDescent="0.2">
      <c r="B5522" t="s">
        <v>44</v>
      </c>
      <c r="C5522" t="str">
        <f>HYPERLINK("https://us2.cloudbeds.com/connect/8493803454333002#/reservations/9080486846320491?display=2YBRTX41XT&amp;reservation_id=9080486846320491", "2YBRTX41XT")</f>
        <v>2YBRTX41XT</v>
      </c>
      <c r="D5522" t="s">
        <v>45</v>
      </c>
      <c r="E5522" t="s">
        <v>213</v>
      </c>
      <c r="F5522" t="s">
        <v>86</v>
      </c>
      <c r="G5522" t="s">
        <v>48</v>
      </c>
      <c r="H5522" t="s">
        <v>49</v>
      </c>
      <c r="I5522" t="s">
        <v>50</v>
      </c>
      <c r="J5522" t="s">
        <v>7829</v>
      </c>
      <c r="K5522" t="s">
        <v>7830</v>
      </c>
      <c r="L5522" t="s">
        <v>53</v>
      </c>
      <c r="N5522" t="s">
        <v>9812</v>
      </c>
      <c r="P5522" t="s">
        <v>55</v>
      </c>
      <c r="R5522" t="s">
        <v>53</v>
      </c>
      <c r="T5522" t="s">
        <v>9813</v>
      </c>
      <c r="U5522" t="s">
        <v>58</v>
      </c>
      <c r="V5522">
        <v>1</v>
      </c>
      <c r="W5522">
        <v>1</v>
      </c>
      <c r="X5522">
        <v>2</v>
      </c>
      <c r="Y5522">
        <v>2</v>
      </c>
      <c r="Z5522">
        <v>4</v>
      </c>
      <c r="AA5522">
        <v>209.69</v>
      </c>
      <c r="AB5522">
        <v>209.69</v>
      </c>
      <c r="AC5522">
        <v>184.5</v>
      </c>
      <c r="AD5522">
        <v>0</v>
      </c>
      <c r="AE5522">
        <v>25.19</v>
      </c>
      <c r="AF5522">
        <v>0</v>
      </c>
      <c r="AG5522">
        <v>0</v>
      </c>
      <c r="AH5522">
        <v>0</v>
      </c>
      <c r="AI5522">
        <v>37.74</v>
      </c>
      <c r="AJ5522">
        <v>209.69</v>
      </c>
      <c r="AK5522">
        <v>0</v>
      </c>
      <c r="AL5522" t="s">
        <v>53</v>
      </c>
      <c r="AM5522" t="s">
        <v>53</v>
      </c>
      <c r="AN5522" t="s">
        <v>53</v>
      </c>
      <c r="AO5522" t="s">
        <v>53</v>
      </c>
      <c r="AP5522" t="s">
        <v>53</v>
      </c>
    </row>
    <row r="5523" spans="2:42" x14ac:dyDescent="0.2">
      <c r="B5523" t="s">
        <v>44</v>
      </c>
      <c r="C5523" t="str">
        <f>HYPERLINK("https://us2.cloudbeds.com/connect/8493803454333002#/reservations/9080486846322018?display=2YEZJBFKN9&amp;reservation_id=9080486846322018", "2YEZJBFKN9")</f>
        <v>2YEZJBFKN9</v>
      </c>
      <c r="D5523" t="s">
        <v>45</v>
      </c>
      <c r="E5523" t="s">
        <v>185</v>
      </c>
      <c r="F5523" t="s">
        <v>47</v>
      </c>
      <c r="G5523" t="s">
        <v>48</v>
      </c>
      <c r="H5523" t="s">
        <v>49</v>
      </c>
      <c r="I5523" t="s">
        <v>62</v>
      </c>
      <c r="J5523" t="s">
        <v>7925</v>
      </c>
      <c r="K5523" t="s">
        <v>8249</v>
      </c>
      <c r="L5523" t="s">
        <v>53</v>
      </c>
      <c r="N5523" t="s">
        <v>9814</v>
      </c>
      <c r="P5523" t="s">
        <v>55</v>
      </c>
      <c r="R5523" t="s">
        <v>125</v>
      </c>
      <c r="T5523" t="s">
        <v>9815</v>
      </c>
      <c r="U5523" t="s">
        <v>55</v>
      </c>
      <c r="V5523">
        <v>2</v>
      </c>
      <c r="W5523">
        <v>1</v>
      </c>
      <c r="X5523">
        <v>2</v>
      </c>
      <c r="Y5523">
        <v>0</v>
      </c>
      <c r="Z5523">
        <v>2</v>
      </c>
      <c r="AA5523">
        <v>366</v>
      </c>
      <c r="AB5523">
        <v>366</v>
      </c>
      <c r="AC5523">
        <v>366</v>
      </c>
      <c r="AD5523">
        <v>0</v>
      </c>
      <c r="AE5523">
        <v>0</v>
      </c>
      <c r="AF5523">
        <v>0</v>
      </c>
      <c r="AG5523">
        <v>0</v>
      </c>
      <c r="AH5523">
        <v>0</v>
      </c>
      <c r="AI5523">
        <v>65.88</v>
      </c>
      <c r="AJ5523">
        <v>366</v>
      </c>
      <c r="AK5523">
        <v>0</v>
      </c>
      <c r="AL5523" t="s">
        <v>53</v>
      </c>
      <c r="AM5523" t="s">
        <v>53</v>
      </c>
      <c r="AN5523" t="s">
        <v>53</v>
      </c>
      <c r="AO5523" t="s">
        <v>53</v>
      </c>
      <c r="AP5523" t="s">
        <v>53</v>
      </c>
    </row>
    <row r="5524" spans="2:42" x14ac:dyDescent="0.2">
      <c r="B5524" t="s">
        <v>44</v>
      </c>
      <c r="C5524" t="str">
        <f>HYPERLINK("https://us2.cloudbeds.com/connect/8493803454333002#/reservations/9080486846322226?display=2YF1CCXCV0&amp;reservation_id=9080486846322226", "2YF1CCXCV0")</f>
        <v>2YF1CCXCV0</v>
      </c>
      <c r="D5524" t="s">
        <v>45</v>
      </c>
      <c r="E5524" t="s">
        <v>85</v>
      </c>
      <c r="F5524" t="s">
        <v>86</v>
      </c>
      <c r="G5524" t="s">
        <v>48</v>
      </c>
      <c r="H5524" t="s">
        <v>49</v>
      </c>
      <c r="I5524" t="s">
        <v>50</v>
      </c>
      <c r="J5524" t="s">
        <v>8765</v>
      </c>
      <c r="K5524" t="s">
        <v>6374</v>
      </c>
      <c r="L5524" t="s">
        <v>53</v>
      </c>
      <c r="N5524" t="s">
        <v>9816</v>
      </c>
      <c r="P5524" t="s">
        <v>55</v>
      </c>
      <c r="R5524" t="s">
        <v>53</v>
      </c>
      <c r="T5524" t="s">
        <v>9817</v>
      </c>
      <c r="U5524" t="s">
        <v>58</v>
      </c>
      <c r="V5524">
        <v>1</v>
      </c>
      <c r="W5524">
        <v>1</v>
      </c>
      <c r="X5524">
        <v>3</v>
      </c>
      <c r="Y5524">
        <v>0</v>
      </c>
      <c r="Z5524">
        <v>3</v>
      </c>
      <c r="AA5524">
        <v>230.88</v>
      </c>
      <c r="AB5524">
        <v>230.88</v>
      </c>
      <c r="AC5524">
        <v>203.15</v>
      </c>
      <c r="AD5524">
        <v>0</v>
      </c>
      <c r="AE5524">
        <v>27.73</v>
      </c>
      <c r="AF5524">
        <v>0</v>
      </c>
      <c r="AG5524">
        <v>0</v>
      </c>
      <c r="AH5524">
        <v>0</v>
      </c>
      <c r="AI5524">
        <v>41.56</v>
      </c>
      <c r="AJ5524">
        <v>230.88</v>
      </c>
      <c r="AK5524">
        <v>0</v>
      </c>
      <c r="AL5524" t="s">
        <v>53</v>
      </c>
      <c r="AM5524" t="s">
        <v>53</v>
      </c>
      <c r="AN5524" t="s">
        <v>53</v>
      </c>
      <c r="AO5524" t="s">
        <v>53</v>
      </c>
      <c r="AP5524" t="s">
        <v>53</v>
      </c>
    </row>
    <row r="5525" spans="2:42" x14ac:dyDescent="0.2">
      <c r="B5525" t="s">
        <v>44</v>
      </c>
      <c r="C5525" t="str">
        <f>HYPERLINK("https://us2.cloudbeds.com/connect/8493803454333002#/reservations/9080486846322227?display=2YF16F9F80&amp;reservation_id=9080486846322227", "2YF16F9F80")</f>
        <v>2YF16F9F80</v>
      </c>
      <c r="D5525" t="s">
        <v>45</v>
      </c>
      <c r="E5525" t="s">
        <v>121</v>
      </c>
      <c r="F5525" t="s">
        <v>86</v>
      </c>
      <c r="G5525" t="s">
        <v>48</v>
      </c>
      <c r="H5525" t="s">
        <v>49</v>
      </c>
      <c r="I5525" t="s">
        <v>50</v>
      </c>
      <c r="J5525" t="s">
        <v>8765</v>
      </c>
      <c r="K5525" t="s">
        <v>6374</v>
      </c>
      <c r="L5525" t="s">
        <v>53</v>
      </c>
      <c r="N5525" t="s">
        <v>9818</v>
      </c>
      <c r="P5525" t="s">
        <v>55</v>
      </c>
      <c r="R5525" t="s">
        <v>53</v>
      </c>
      <c r="T5525" t="s">
        <v>9819</v>
      </c>
      <c r="U5525" t="s">
        <v>58</v>
      </c>
      <c r="V5525">
        <v>1</v>
      </c>
      <c r="W5525">
        <v>1</v>
      </c>
      <c r="X5525">
        <v>1</v>
      </c>
      <c r="Y5525">
        <v>0</v>
      </c>
      <c r="Z5525">
        <v>1</v>
      </c>
      <c r="AA5525">
        <v>230.88</v>
      </c>
      <c r="AB5525">
        <v>230.88</v>
      </c>
      <c r="AC5525">
        <v>203.15</v>
      </c>
      <c r="AD5525">
        <v>0</v>
      </c>
      <c r="AE5525">
        <v>27.73</v>
      </c>
      <c r="AF5525">
        <v>0</v>
      </c>
      <c r="AG5525">
        <v>0</v>
      </c>
      <c r="AH5525">
        <v>0</v>
      </c>
      <c r="AI5525">
        <v>41.56</v>
      </c>
      <c r="AJ5525">
        <v>230.88</v>
      </c>
      <c r="AK5525">
        <v>0</v>
      </c>
      <c r="AL5525" t="s">
        <v>53</v>
      </c>
      <c r="AM5525" t="s">
        <v>53</v>
      </c>
      <c r="AN5525" t="s">
        <v>53</v>
      </c>
      <c r="AO5525" t="s">
        <v>53</v>
      </c>
      <c r="AP5525" t="s">
        <v>53</v>
      </c>
    </row>
    <row r="5526" spans="2:42" x14ac:dyDescent="0.2">
      <c r="B5526" t="s">
        <v>44</v>
      </c>
      <c r="C5526" t="str">
        <f>HYPERLINK("https://us2.cloudbeds.com/connect/8493803454333002#/reservations/9080486846323973?display=2YGRUXP0B8&amp;reservation_id=9080486846323973", "2YGRUXP0B8")</f>
        <v>2YGRUXP0B8</v>
      </c>
      <c r="D5526" t="s">
        <v>45</v>
      </c>
      <c r="E5526" t="s">
        <v>213</v>
      </c>
      <c r="F5526" t="s">
        <v>86</v>
      </c>
      <c r="G5526" t="s">
        <v>48</v>
      </c>
      <c r="H5526" t="s">
        <v>49</v>
      </c>
      <c r="I5526" t="s">
        <v>50</v>
      </c>
      <c r="J5526" t="s">
        <v>8119</v>
      </c>
      <c r="K5526" t="s">
        <v>7864</v>
      </c>
      <c r="L5526" t="s">
        <v>53</v>
      </c>
      <c r="N5526" t="s">
        <v>9820</v>
      </c>
      <c r="P5526" t="s">
        <v>55</v>
      </c>
      <c r="R5526" t="s">
        <v>53</v>
      </c>
      <c r="T5526" t="s">
        <v>9821</v>
      </c>
      <c r="U5526" t="s">
        <v>58</v>
      </c>
      <c r="V5526">
        <v>1</v>
      </c>
      <c r="W5526">
        <v>1</v>
      </c>
      <c r="X5526">
        <v>2</v>
      </c>
      <c r="Y5526">
        <v>0</v>
      </c>
      <c r="Z5526">
        <v>2</v>
      </c>
      <c r="AA5526">
        <v>218.89</v>
      </c>
      <c r="AB5526">
        <v>218.89</v>
      </c>
      <c r="AC5526">
        <v>192.6</v>
      </c>
      <c r="AD5526">
        <v>0</v>
      </c>
      <c r="AE5526">
        <v>26.29</v>
      </c>
      <c r="AF5526">
        <v>0</v>
      </c>
      <c r="AG5526">
        <v>0</v>
      </c>
      <c r="AH5526">
        <v>0</v>
      </c>
      <c r="AI5526">
        <v>39.4</v>
      </c>
      <c r="AJ5526">
        <v>218.89</v>
      </c>
      <c r="AK5526">
        <v>0</v>
      </c>
      <c r="AL5526" t="s">
        <v>53</v>
      </c>
      <c r="AM5526" t="s">
        <v>53</v>
      </c>
      <c r="AN5526" t="s">
        <v>53</v>
      </c>
      <c r="AO5526" t="s">
        <v>53</v>
      </c>
      <c r="AP5526" t="s">
        <v>53</v>
      </c>
    </row>
    <row r="5527" spans="2:42" x14ac:dyDescent="0.2">
      <c r="B5527" t="s">
        <v>44</v>
      </c>
      <c r="C5527" t="str">
        <f>HYPERLINK("https://us2.cloudbeds.com/connect/8493803454333002#/reservations/123101786120414?display=2YHF8VQ221&amp;reservation_id=123101786120414", "2YHF8VQ221")</f>
        <v>2YHF8VQ221</v>
      </c>
      <c r="D5527" t="s">
        <v>45</v>
      </c>
      <c r="E5527" t="s">
        <v>9822</v>
      </c>
      <c r="F5527" t="s">
        <v>511</v>
      </c>
      <c r="G5527" t="s">
        <v>48</v>
      </c>
      <c r="H5527" t="s">
        <v>3957</v>
      </c>
      <c r="I5527" t="s">
        <v>3989</v>
      </c>
      <c r="J5527" t="s">
        <v>7925</v>
      </c>
      <c r="K5527" t="s">
        <v>7926</v>
      </c>
      <c r="L5527" t="s">
        <v>53</v>
      </c>
      <c r="P5527" t="s">
        <v>55</v>
      </c>
      <c r="R5527" t="s">
        <v>56</v>
      </c>
      <c r="T5527" t="s">
        <v>9823</v>
      </c>
      <c r="U5527" t="s">
        <v>58</v>
      </c>
      <c r="V5527">
        <v>2</v>
      </c>
      <c r="W5527">
        <v>2</v>
      </c>
      <c r="X5527">
        <v>2</v>
      </c>
      <c r="Y5527">
        <v>0</v>
      </c>
      <c r="Z5527">
        <v>2</v>
      </c>
      <c r="AA5527">
        <v>433.02</v>
      </c>
      <c r="AB5527">
        <v>433.02</v>
      </c>
      <c r="AC5527">
        <v>381</v>
      </c>
      <c r="AD5527">
        <v>0</v>
      </c>
      <c r="AE5527">
        <v>52.02</v>
      </c>
      <c r="AF5527">
        <v>0</v>
      </c>
      <c r="AG5527">
        <v>0</v>
      </c>
      <c r="AH5527">
        <v>0</v>
      </c>
      <c r="AI5527">
        <v>0</v>
      </c>
      <c r="AJ5527">
        <v>433.02</v>
      </c>
      <c r="AK5527">
        <v>0</v>
      </c>
      <c r="AL5527" t="s">
        <v>53</v>
      </c>
      <c r="AM5527" t="s">
        <v>53</v>
      </c>
      <c r="AN5527" t="s">
        <v>53</v>
      </c>
      <c r="AO5527" t="s">
        <v>53</v>
      </c>
      <c r="AP5527" t="s">
        <v>53</v>
      </c>
    </row>
    <row r="5528" spans="2:42" x14ac:dyDescent="0.2">
      <c r="B5528" t="s">
        <v>44</v>
      </c>
      <c r="C5528" t="str">
        <f>HYPERLINK("https://us2.cloudbeds.com/connect/8493803454333002#/reservations/9080486846324838?display=2YHMG1G8NS&amp;reservation_id=9080486846324838", "2YHMG1G8NS")</f>
        <v>2YHMG1G8NS</v>
      </c>
      <c r="D5528" t="s">
        <v>45</v>
      </c>
      <c r="E5528" t="s">
        <v>487</v>
      </c>
      <c r="F5528" t="s">
        <v>61</v>
      </c>
      <c r="G5528" t="s">
        <v>48</v>
      </c>
      <c r="H5528" t="s">
        <v>49</v>
      </c>
      <c r="I5528" t="s">
        <v>50</v>
      </c>
      <c r="J5528" t="s">
        <v>7864</v>
      </c>
      <c r="K5528" t="s">
        <v>8816</v>
      </c>
      <c r="L5528" t="s">
        <v>53</v>
      </c>
      <c r="N5528" t="s">
        <v>9824</v>
      </c>
      <c r="P5528" t="s">
        <v>55</v>
      </c>
      <c r="R5528" t="s">
        <v>53</v>
      </c>
      <c r="T5528" t="s">
        <v>9825</v>
      </c>
      <c r="U5528" t="s">
        <v>58</v>
      </c>
      <c r="V5528">
        <v>1</v>
      </c>
      <c r="W5528">
        <v>1</v>
      </c>
      <c r="X5528">
        <v>1</v>
      </c>
      <c r="Y5528">
        <v>0</v>
      </c>
      <c r="Z5528">
        <v>1</v>
      </c>
      <c r="AA5528">
        <v>238.67</v>
      </c>
      <c r="AB5528">
        <v>238.67</v>
      </c>
      <c r="AC5528">
        <v>210</v>
      </c>
      <c r="AD5528">
        <v>0</v>
      </c>
      <c r="AE5528">
        <v>28.67</v>
      </c>
      <c r="AF5528">
        <v>0</v>
      </c>
      <c r="AG5528">
        <v>0</v>
      </c>
      <c r="AH5528">
        <v>0</v>
      </c>
      <c r="AI5528">
        <v>42.96</v>
      </c>
      <c r="AJ5528">
        <v>238.67</v>
      </c>
      <c r="AK5528">
        <v>0</v>
      </c>
      <c r="AL5528" t="s">
        <v>53</v>
      </c>
      <c r="AM5528" t="s">
        <v>53</v>
      </c>
      <c r="AN5528" t="s">
        <v>53</v>
      </c>
      <c r="AO5528" t="s">
        <v>53</v>
      </c>
      <c r="AP5528" t="s">
        <v>53</v>
      </c>
    </row>
    <row r="5529" spans="2:42" x14ac:dyDescent="0.2">
      <c r="B5529" t="s">
        <v>44</v>
      </c>
      <c r="C5529" t="str">
        <f>HYPERLINK("https://us2.cloudbeds.com/connect/8493803454333002#/reservations/9080486846325053?display=2YHSPV1RYA&amp;reservation_id=9080486846325053", "2YHSPV1RYA")</f>
        <v>2YHSPV1RYA</v>
      </c>
      <c r="D5529" t="s">
        <v>45</v>
      </c>
      <c r="E5529" t="s">
        <v>113</v>
      </c>
      <c r="F5529" t="s">
        <v>61</v>
      </c>
      <c r="G5529" t="s">
        <v>48</v>
      </c>
      <c r="H5529" t="s">
        <v>49</v>
      </c>
      <c r="I5529" t="s">
        <v>50</v>
      </c>
      <c r="J5529" t="s">
        <v>7829</v>
      </c>
      <c r="K5529" t="s">
        <v>7830</v>
      </c>
      <c r="L5529" t="s">
        <v>53</v>
      </c>
      <c r="N5529" t="s">
        <v>9826</v>
      </c>
      <c r="P5529" t="s">
        <v>55</v>
      </c>
      <c r="R5529" t="s">
        <v>53</v>
      </c>
      <c r="T5529" t="s">
        <v>9827</v>
      </c>
      <c r="U5529" t="s">
        <v>58</v>
      </c>
      <c r="V5529">
        <v>1</v>
      </c>
      <c r="W5529">
        <v>1</v>
      </c>
      <c r="X5529">
        <v>2</v>
      </c>
      <c r="Y5529">
        <v>0</v>
      </c>
      <c r="Z5529">
        <v>2</v>
      </c>
      <c r="AA5529">
        <v>185.37</v>
      </c>
      <c r="AB5529">
        <v>185.37</v>
      </c>
      <c r="AC5529">
        <v>163.11000000000001</v>
      </c>
      <c r="AD5529">
        <v>0</v>
      </c>
      <c r="AE5529">
        <v>22.26</v>
      </c>
      <c r="AF5529">
        <v>0</v>
      </c>
      <c r="AG5529">
        <v>0</v>
      </c>
      <c r="AH5529">
        <v>0</v>
      </c>
      <c r="AI5529">
        <v>33.369999999999997</v>
      </c>
      <c r="AJ5529">
        <v>185.37</v>
      </c>
      <c r="AK5529">
        <v>0</v>
      </c>
      <c r="AL5529" t="s">
        <v>53</v>
      </c>
      <c r="AM5529" t="s">
        <v>53</v>
      </c>
      <c r="AN5529" t="s">
        <v>9828</v>
      </c>
      <c r="AO5529" t="s">
        <v>53</v>
      </c>
      <c r="AP5529" t="s">
        <v>53</v>
      </c>
    </row>
    <row r="5530" spans="2:42" x14ac:dyDescent="0.2">
      <c r="B5530" t="s">
        <v>44</v>
      </c>
      <c r="C5530" t="str">
        <f>HYPERLINK("https://us2.cloudbeds.com/connect/8493803454333002#/reservations/123119662215327?display=2YHT3ZCZTT&amp;reservation_id=123119662215327", "2YHT3ZCZTT")</f>
        <v>2YHT3ZCZTT</v>
      </c>
      <c r="D5530" t="s">
        <v>45</v>
      </c>
      <c r="E5530" t="s">
        <v>128</v>
      </c>
      <c r="F5530" t="s">
        <v>86</v>
      </c>
      <c r="G5530" t="s">
        <v>3974</v>
      </c>
      <c r="H5530" t="s">
        <v>3957</v>
      </c>
      <c r="I5530" t="s">
        <v>3975</v>
      </c>
      <c r="J5530" t="s">
        <v>7325</v>
      </c>
      <c r="K5530" t="s">
        <v>9829</v>
      </c>
      <c r="L5530" t="s">
        <v>53</v>
      </c>
      <c r="P5530" t="s">
        <v>55</v>
      </c>
      <c r="R5530" t="s">
        <v>53</v>
      </c>
      <c r="T5530" t="s">
        <v>9830</v>
      </c>
      <c r="U5530" t="s">
        <v>58</v>
      </c>
      <c r="V5530">
        <v>1</v>
      </c>
      <c r="W5530">
        <v>1</v>
      </c>
      <c r="X5530">
        <v>3</v>
      </c>
      <c r="Y5530">
        <v>0</v>
      </c>
      <c r="Z5530">
        <v>3</v>
      </c>
      <c r="AA5530">
        <v>194.35</v>
      </c>
      <c r="AB5530">
        <v>194.35</v>
      </c>
      <c r="AC5530">
        <v>171</v>
      </c>
      <c r="AD5530">
        <v>0</v>
      </c>
      <c r="AE5530">
        <v>23.35</v>
      </c>
      <c r="AF5530">
        <v>0</v>
      </c>
      <c r="AG5530">
        <v>0</v>
      </c>
      <c r="AH5530">
        <v>0</v>
      </c>
      <c r="AI5530">
        <v>0</v>
      </c>
      <c r="AJ5530">
        <v>194.35</v>
      </c>
      <c r="AK5530">
        <v>0</v>
      </c>
      <c r="AL5530" t="s">
        <v>53</v>
      </c>
      <c r="AM5530" t="s">
        <v>53</v>
      </c>
      <c r="AN5530" t="s">
        <v>53</v>
      </c>
      <c r="AO5530" t="s">
        <v>53</v>
      </c>
      <c r="AP5530" t="s">
        <v>53</v>
      </c>
    </row>
    <row r="5531" spans="2:42" x14ac:dyDescent="0.2">
      <c r="B5531" t="s">
        <v>44</v>
      </c>
      <c r="C5531" t="str">
        <f>HYPERLINK("https://us2.cloudbeds.com/connect/8493803454333002#/reservations/9080486846325246?display=2YX28MNHYD&amp;reservation_id=9080486846325246", "2YX28MNHYD")</f>
        <v>2YX28MNHYD</v>
      </c>
      <c r="D5531" t="s">
        <v>45</v>
      </c>
      <c r="E5531" t="s">
        <v>110</v>
      </c>
      <c r="F5531" t="s">
        <v>47</v>
      </c>
      <c r="G5531" t="s">
        <v>48</v>
      </c>
      <c r="H5531" t="s">
        <v>49</v>
      </c>
      <c r="I5531" t="s">
        <v>50</v>
      </c>
      <c r="J5531" t="s">
        <v>8071</v>
      </c>
      <c r="K5531" t="s">
        <v>4008</v>
      </c>
      <c r="L5531" t="s">
        <v>53</v>
      </c>
      <c r="N5531" t="s">
        <v>9831</v>
      </c>
      <c r="P5531" t="s">
        <v>55</v>
      </c>
      <c r="R5531" t="s">
        <v>53</v>
      </c>
      <c r="T5531" t="s">
        <v>9832</v>
      </c>
      <c r="U5531" t="s">
        <v>58</v>
      </c>
      <c r="V5531">
        <v>1</v>
      </c>
      <c r="W5531">
        <v>1</v>
      </c>
      <c r="X5531">
        <v>2</v>
      </c>
      <c r="Y5531">
        <v>0</v>
      </c>
      <c r="Z5531">
        <v>2</v>
      </c>
      <c r="AA5531">
        <v>158.54</v>
      </c>
      <c r="AB5531">
        <v>158.54</v>
      </c>
      <c r="AC5531">
        <v>139.5</v>
      </c>
      <c r="AD5531">
        <v>0</v>
      </c>
      <c r="AE5531">
        <v>19.04</v>
      </c>
      <c r="AF5531">
        <v>0</v>
      </c>
      <c r="AG5531">
        <v>0</v>
      </c>
      <c r="AH5531">
        <v>0</v>
      </c>
      <c r="AI5531">
        <v>28.54</v>
      </c>
      <c r="AJ5531">
        <v>158.54</v>
      </c>
      <c r="AK5531">
        <v>0</v>
      </c>
      <c r="AL5531" t="s">
        <v>53</v>
      </c>
      <c r="AM5531" t="s">
        <v>53</v>
      </c>
      <c r="AN5531" t="s">
        <v>53</v>
      </c>
      <c r="AO5531" t="s">
        <v>53</v>
      </c>
      <c r="AP5531" t="s">
        <v>53</v>
      </c>
    </row>
    <row r="5532" spans="2:42" x14ac:dyDescent="0.2">
      <c r="B5532" t="s">
        <v>44</v>
      </c>
      <c r="C5532" t="str">
        <f>HYPERLINK("https://us2.cloudbeds.com/connect/8493803454333002#/reservations/123135201525904?display=2YX84QHW96&amp;reservation_id=123135201525904", "2YX84QHW96")</f>
        <v>2YX84QHW96</v>
      </c>
      <c r="D5532" t="s">
        <v>45</v>
      </c>
      <c r="E5532" t="s">
        <v>138</v>
      </c>
      <c r="F5532" t="s">
        <v>70</v>
      </c>
      <c r="G5532" t="s">
        <v>48</v>
      </c>
      <c r="H5532" t="s">
        <v>3957</v>
      </c>
      <c r="I5532" t="s">
        <v>3958</v>
      </c>
      <c r="J5532" t="s">
        <v>8143</v>
      </c>
      <c r="K5532" t="s">
        <v>8300</v>
      </c>
      <c r="L5532" t="s">
        <v>53</v>
      </c>
      <c r="P5532" t="s">
        <v>55</v>
      </c>
      <c r="R5532" t="s">
        <v>56</v>
      </c>
      <c r="T5532" t="s">
        <v>9833</v>
      </c>
      <c r="U5532" t="s">
        <v>58</v>
      </c>
      <c r="V5532">
        <v>1</v>
      </c>
      <c r="W5532">
        <v>1</v>
      </c>
      <c r="X5532">
        <v>1</v>
      </c>
      <c r="Y5532">
        <v>0</v>
      </c>
      <c r="Z5532">
        <v>1</v>
      </c>
      <c r="AA5532">
        <v>211.39</v>
      </c>
      <c r="AB5532">
        <v>211.39</v>
      </c>
      <c r="AC5532">
        <v>186</v>
      </c>
      <c r="AD5532">
        <v>0</v>
      </c>
      <c r="AE5532">
        <v>25.39</v>
      </c>
      <c r="AF5532">
        <v>0</v>
      </c>
      <c r="AG5532">
        <v>0</v>
      </c>
      <c r="AH5532">
        <v>0</v>
      </c>
      <c r="AI5532">
        <v>0</v>
      </c>
      <c r="AJ5532">
        <v>211.39</v>
      </c>
      <c r="AK5532">
        <v>0</v>
      </c>
      <c r="AL5532" t="s">
        <v>53</v>
      </c>
      <c r="AM5532" t="s">
        <v>53</v>
      </c>
      <c r="AN5532" t="s">
        <v>53</v>
      </c>
      <c r="AO5532" t="s">
        <v>53</v>
      </c>
      <c r="AP5532" t="s">
        <v>53</v>
      </c>
    </row>
    <row r="5533" spans="2:42" x14ac:dyDescent="0.2">
      <c r="B5533" t="s">
        <v>44</v>
      </c>
      <c r="C5533" t="str">
        <f>HYPERLINK("https://us2.cloudbeds.com/connect/8493803454333002#/reservations/123153183572096?display=2YXJAC58ME&amp;reservation_id=123153183572096", "2YXJAC58ME")</f>
        <v>2YXJAC58ME</v>
      </c>
      <c r="D5533" t="s">
        <v>45</v>
      </c>
      <c r="E5533" t="s">
        <v>105</v>
      </c>
      <c r="F5533" t="s">
        <v>47</v>
      </c>
      <c r="G5533" t="s">
        <v>3974</v>
      </c>
      <c r="H5533" t="s">
        <v>3957</v>
      </c>
      <c r="I5533" t="s">
        <v>3975</v>
      </c>
      <c r="J5533" t="s">
        <v>8594</v>
      </c>
      <c r="K5533" t="s">
        <v>7925</v>
      </c>
      <c r="L5533" t="s">
        <v>53</v>
      </c>
      <c r="P5533" t="s">
        <v>55</v>
      </c>
      <c r="R5533" t="s">
        <v>53</v>
      </c>
      <c r="T5533" t="s">
        <v>9834</v>
      </c>
      <c r="U5533" t="s">
        <v>58</v>
      </c>
      <c r="V5533">
        <v>2</v>
      </c>
      <c r="W5533">
        <v>1</v>
      </c>
      <c r="X5533">
        <v>1</v>
      </c>
      <c r="Y5533">
        <v>0</v>
      </c>
      <c r="Z5533">
        <v>1</v>
      </c>
      <c r="AA5533">
        <v>451.29</v>
      </c>
      <c r="AB5533">
        <v>451.29</v>
      </c>
      <c r="AC5533">
        <v>397.1</v>
      </c>
      <c r="AD5533">
        <v>0</v>
      </c>
      <c r="AE5533">
        <v>54.19</v>
      </c>
      <c r="AF5533">
        <v>0</v>
      </c>
      <c r="AG5533">
        <v>0</v>
      </c>
      <c r="AH5533">
        <v>0</v>
      </c>
      <c r="AI5533">
        <v>0</v>
      </c>
      <c r="AJ5533">
        <v>451.29</v>
      </c>
      <c r="AK5533">
        <v>0</v>
      </c>
      <c r="AL5533" t="s">
        <v>53</v>
      </c>
      <c r="AM5533" t="s">
        <v>53</v>
      </c>
      <c r="AN5533" t="s">
        <v>53</v>
      </c>
      <c r="AO5533" t="s">
        <v>53</v>
      </c>
      <c r="AP5533" t="s">
        <v>53</v>
      </c>
    </row>
    <row r="5534" spans="2:42" x14ac:dyDescent="0.2">
      <c r="B5534" t="s">
        <v>44</v>
      </c>
      <c r="C5534" t="str">
        <f>HYPERLINK("https://us2.cloudbeds.com/connect/8493803454333002#/reservations/9080486846325799?display=2YXNECJUX5&amp;reservation_id=9080486846325799", "2YXNECJUX5")</f>
        <v>2YXNECJUX5</v>
      </c>
      <c r="D5534" t="s">
        <v>45</v>
      </c>
      <c r="E5534" t="s">
        <v>223</v>
      </c>
      <c r="F5534" t="s">
        <v>47</v>
      </c>
      <c r="G5534" t="s">
        <v>48</v>
      </c>
      <c r="H5534" t="s">
        <v>49</v>
      </c>
      <c r="I5534" t="s">
        <v>50</v>
      </c>
      <c r="J5534" t="s">
        <v>8143</v>
      </c>
      <c r="K5534" t="s">
        <v>8119</v>
      </c>
      <c r="L5534" t="s">
        <v>53</v>
      </c>
      <c r="N5534" t="s">
        <v>9835</v>
      </c>
      <c r="P5534" t="s">
        <v>55</v>
      </c>
      <c r="R5534" t="s">
        <v>53</v>
      </c>
      <c r="T5534" t="s">
        <v>9836</v>
      </c>
      <c r="U5534" t="s">
        <v>58</v>
      </c>
      <c r="V5534">
        <v>2</v>
      </c>
      <c r="W5534">
        <v>1</v>
      </c>
      <c r="X5534">
        <v>1</v>
      </c>
      <c r="Y5534">
        <v>0</v>
      </c>
      <c r="Z5534">
        <v>1</v>
      </c>
      <c r="AA5534">
        <v>387.66</v>
      </c>
      <c r="AB5534">
        <v>387.66</v>
      </c>
      <c r="AC5534">
        <v>341.1</v>
      </c>
      <c r="AD5534">
        <v>0</v>
      </c>
      <c r="AE5534">
        <v>46.56</v>
      </c>
      <c r="AF5534">
        <v>0</v>
      </c>
      <c r="AG5534">
        <v>0</v>
      </c>
      <c r="AH5534">
        <v>0</v>
      </c>
      <c r="AI5534">
        <v>69.78</v>
      </c>
      <c r="AJ5534">
        <v>387.66</v>
      </c>
      <c r="AK5534">
        <v>0</v>
      </c>
      <c r="AL5534" t="s">
        <v>53</v>
      </c>
      <c r="AM5534" t="s">
        <v>53</v>
      </c>
      <c r="AN5534" t="s">
        <v>53</v>
      </c>
      <c r="AO5534" t="s">
        <v>53</v>
      </c>
      <c r="AP5534" t="s">
        <v>53</v>
      </c>
    </row>
    <row r="5535" spans="2:42" x14ac:dyDescent="0.2">
      <c r="B5535" t="s">
        <v>44</v>
      </c>
      <c r="C5535" t="str">
        <f>HYPERLINK("https://us2.cloudbeds.com/connect/8493803454333002#/reservations/9080486846325991?display=2YXVX285BB&amp;reservation_id=9080486846325991", "2YXVX285BB")</f>
        <v>2YXVX285BB</v>
      </c>
      <c r="D5535" t="s">
        <v>45</v>
      </c>
      <c r="E5535" t="s">
        <v>185</v>
      </c>
      <c r="F5535" t="s">
        <v>47</v>
      </c>
      <c r="G5535" t="s">
        <v>48</v>
      </c>
      <c r="H5535" t="s">
        <v>49</v>
      </c>
      <c r="I5535" t="s">
        <v>50</v>
      </c>
      <c r="J5535" t="s">
        <v>7905</v>
      </c>
      <c r="K5535" t="s">
        <v>7906</v>
      </c>
      <c r="L5535" t="s">
        <v>53</v>
      </c>
      <c r="N5535" t="s">
        <v>9837</v>
      </c>
      <c r="P5535" t="s">
        <v>55</v>
      </c>
      <c r="R5535" t="s">
        <v>53</v>
      </c>
      <c r="T5535" t="s">
        <v>9838</v>
      </c>
      <c r="U5535" t="s">
        <v>58</v>
      </c>
      <c r="V5535">
        <v>1</v>
      </c>
      <c r="W5535">
        <v>1</v>
      </c>
      <c r="X5535">
        <v>2</v>
      </c>
      <c r="Y5535">
        <v>0</v>
      </c>
      <c r="Z5535">
        <v>2</v>
      </c>
      <c r="AA5535">
        <v>209.89</v>
      </c>
      <c r="AB5535">
        <v>209.89</v>
      </c>
      <c r="AC5535">
        <v>184.68</v>
      </c>
      <c r="AD5535">
        <v>0</v>
      </c>
      <c r="AE5535">
        <v>25.21</v>
      </c>
      <c r="AF5535">
        <v>0</v>
      </c>
      <c r="AG5535">
        <v>0</v>
      </c>
      <c r="AH5535">
        <v>0</v>
      </c>
      <c r="AI5535">
        <v>37.78</v>
      </c>
      <c r="AJ5535">
        <v>209.89</v>
      </c>
      <c r="AK5535">
        <v>0</v>
      </c>
      <c r="AL5535" t="s">
        <v>53</v>
      </c>
      <c r="AM5535" t="s">
        <v>53</v>
      </c>
      <c r="AN5535" t="s">
        <v>53</v>
      </c>
      <c r="AO5535" t="s">
        <v>53</v>
      </c>
      <c r="AP5535" t="s">
        <v>53</v>
      </c>
    </row>
    <row r="5536" spans="2:42" x14ac:dyDescent="0.2">
      <c r="B5536" t="s">
        <v>44</v>
      </c>
      <c r="C5536" t="str">
        <f>HYPERLINK("https://us2.cloudbeds.com/connect/8493803454333002#/reservations/9080486846326060?display=2YJ1PPUU4P&amp;reservation_id=9080486846326060", "2YJ1PPUU4P")</f>
        <v>2YJ1PPUU4P</v>
      </c>
      <c r="D5536" t="s">
        <v>45</v>
      </c>
      <c r="E5536" t="s">
        <v>223</v>
      </c>
      <c r="F5536" t="s">
        <v>47</v>
      </c>
      <c r="G5536" t="s">
        <v>48</v>
      </c>
      <c r="H5536" t="s">
        <v>49</v>
      </c>
      <c r="I5536" t="s">
        <v>50</v>
      </c>
      <c r="J5536" t="s">
        <v>8053</v>
      </c>
      <c r="K5536" t="s">
        <v>7803</v>
      </c>
      <c r="L5536" t="s">
        <v>53</v>
      </c>
      <c r="N5536" t="s">
        <v>9839</v>
      </c>
      <c r="P5536" t="s">
        <v>55</v>
      </c>
      <c r="R5536" t="s">
        <v>53</v>
      </c>
      <c r="T5536" t="s">
        <v>9840</v>
      </c>
      <c r="U5536" t="s">
        <v>58</v>
      </c>
      <c r="V5536">
        <v>1</v>
      </c>
      <c r="W5536">
        <v>1</v>
      </c>
      <c r="X5536">
        <v>2</v>
      </c>
      <c r="Y5536">
        <v>0</v>
      </c>
      <c r="Z5536">
        <v>2</v>
      </c>
      <c r="AA5536">
        <v>155.47999999999999</v>
      </c>
      <c r="AB5536">
        <v>155.47999999999999</v>
      </c>
      <c r="AC5536">
        <v>136.80000000000001</v>
      </c>
      <c r="AD5536">
        <v>0</v>
      </c>
      <c r="AE5536">
        <v>18.68</v>
      </c>
      <c r="AF5536">
        <v>0</v>
      </c>
      <c r="AG5536">
        <v>0</v>
      </c>
      <c r="AH5536">
        <v>0</v>
      </c>
      <c r="AI5536">
        <v>27.99</v>
      </c>
      <c r="AJ5536">
        <v>155.47999999999999</v>
      </c>
      <c r="AK5536">
        <v>0</v>
      </c>
      <c r="AL5536" t="s">
        <v>53</v>
      </c>
      <c r="AM5536" t="s">
        <v>53</v>
      </c>
      <c r="AN5536" t="s">
        <v>53</v>
      </c>
      <c r="AO5536" t="s">
        <v>53</v>
      </c>
      <c r="AP5536" t="s">
        <v>53</v>
      </c>
    </row>
    <row r="5537" spans="2:42" x14ac:dyDescent="0.2">
      <c r="B5537" t="s">
        <v>44</v>
      </c>
      <c r="C5537" t="str">
        <f>HYPERLINK("https://us2.cloudbeds.com/connect/8493803454333002#/reservations/9080486846326161?display=2YJ7EWJQ4Q&amp;reservation_id=9080486846326161", "2YJ7EWJQ4Q")</f>
        <v>2YJ7EWJQ4Q</v>
      </c>
      <c r="D5537" t="s">
        <v>45</v>
      </c>
      <c r="E5537" t="s">
        <v>69</v>
      </c>
      <c r="F5537" t="s">
        <v>70</v>
      </c>
      <c r="G5537" t="s">
        <v>48</v>
      </c>
      <c r="H5537" t="s">
        <v>49</v>
      </c>
      <c r="I5537" t="s">
        <v>50</v>
      </c>
      <c r="J5537" t="s">
        <v>8143</v>
      </c>
      <c r="K5537" t="s">
        <v>8300</v>
      </c>
      <c r="L5537" t="s">
        <v>53</v>
      </c>
      <c r="N5537" t="s">
        <v>9841</v>
      </c>
      <c r="P5537" t="s">
        <v>55</v>
      </c>
      <c r="R5537" t="s">
        <v>53</v>
      </c>
      <c r="T5537" t="s">
        <v>9842</v>
      </c>
      <c r="U5537" t="s">
        <v>58</v>
      </c>
      <c r="V5537">
        <v>1</v>
      </c>
      <c r="W5537">
        <v>1</v>
      </c>
      <c r="X5537">
        <v>1</v>
      </c>
      <c r="Y5537">
        <v>0</v>
      </c>
      <c r="Z5537">
        <v>1</v>
      </c>
      <c r="AA5537">
        <v>169.12</v>
      </c>
      <c r="AB5537">
        <v>169.12</v>
      </c>
      <c r="AC5537">
        <v>148.80000000000001</v>
      </c>
      <c r="AD5537">
        <v>0</v>
      </c>
      <c r="AE5537">
        <v>20.32</v>
      </c>
      <c r="AF5537">
        <v>0</v>
      </c>
      <c r="AG5537">
        <v>0</v>
      </c>
      <c r="AH5537">
        <v>0</v>
      </c>
      <c r="AI5537">
        <v>30.44</v>
      </c>
      <c r="AJ5537">
        <v>169.12</v>
      </c>
      <c r="AK5537">
        <v>0</v>
      </c>
      <c r="AL5537" t="s">
        <v>53</v>
      </c>
      <c r="AM5537" t="s">
        <v>53</v>
      </c>
      <c r="AN5537" t="s">
        <v>53</v>
      </c>
      <c r="AO5537" t="s">
        <v>53</v>
      </c>
      <c r="AP5537" t="s">
        <v>53</v>
      </c>
    </row>
    <row r="5538" spans="2:42" x14ac:dyDescent="0.2">
      <c r="B5538" t="s">
        <v>44</v>
      </c>
      <c r="C5538" t="str">
        <f>HYPERLINK("https://us2.cloudbeds.com/connect/8493803454333002#/reservations/9080486846326182?display=2YJ861QKPS&amp;reservation_id=9080486846326182", "2YJ861QKPS")</f>
        <v>2YJ861QKPS</v>
      </c>
      <c r="D5538" t="s">
        <v>45</v>
      </c>
      <c r="E5538" t="s">
        <v>179</v>
      </c>
      <c r="F5538" t="s">
        <v>47</v>
      </c>
      <c r="G5538" t="s">
        <v>48</v>
      </c>
      <c r="H5538" t="s">
        <v>49</v>
      </c>
      <c r="I5538" t="s">
        <v>50</v>
      </c>
      <c r="J5538" t="s">
        <v>8300</v>
      </c>
      <c r="K5538" t="s">
        <v>7864</v>
      </c>
      <c r="L5538" t="s">
        <v>53</v>
      </c>
      <c r="N5538" t="s">
        <v>9843</v>
      </c>
      <c r="P5538" t="s">
        <v>55</v>
      </c>
      <c r="R5538" t="s">
        <v>53</v>
      </c>
      <c r="T5538" t="s">
        <v>9844</v>
      </c>
      <c r="U5538" t="s">
        <v>58</v>
      </c>
      <c r="V5538">
        <v>2</v>
      </c>
      <c r="W5538">
        <v>1</v>
      </c>
      <c r="X5538">
        <v>2</v>
      </c>
      <c r="Y5538">
        <v>0</v>
      </c>
      <c r="Z5538">
        <v>2</v>
      </c>
      <c r="AA5538">
        <v>379.64</v>
      </c>
      <c r="AB5538">
        <v>379.64</v>
      </c>
      <c r="AC5538">
        <v>334.05</v>
      </c>
      <c r="AD5538">
        <v>0</v>
      </c>
      <c r="AE5538">
        <v>45.59</v>
      </c>
      <c r="AF5538">
        <v>0</v>
      </c>
      <c r="AG5538">
        <v>0</v>
      </c>
      <c r="AH5538">
        <v>0</v>
      </c>
      <c r="AI5538">
        <v>68.34</v>
      </c>
      <c r="AJ5538">
        <v>379.64</v>
      </c>
      <c r="AK5538">
        <v>0</v>
      </c>
      <c r="AL5538" t="s">
        <v>53</v>
      </c>
      <c r="AM5538" t="s">
        <v>53</v>
      </c>
      <c r="AN5538" t="s">
        <v>53</v>
      </c>
      <c r="AO5538" t="s">
        <v>53</v>
      </c>
      <c r="AP5538" t="s">
        <v>53</v>
      </c>
    </row>
    <row r="5539" spans="2:42" x14ac:dyDescent="0.2">
      <c r="B5539" t="s">
        <v>44</v>
      </c>
      <c r="C5539" t="str">
        <f>HYPERLINK("https://us2.cloudbeds.com/connect/8493803454333002#/reservations/9080486846326724?display=2YJWQZ6XAC&amp;reservation_id=9080486846326724", "2YJWQZ6XAC")</f>
        <v>2YJWQZ6XAC</v>
      </c>
      <c r="D5539" t="s">
        <v>45</v>
      </c>
      <c r="E5539" t="s">
        <v>98</v>
      </c>
      <c r="F5539" t="s">
        <v>86</v>
      </c>
      <c r="G5539" t="s">
        <v>48</v>
      </c>
      <c r="H5539" t="s">
        <v>49</v>
      </c>
      <c r="I5539" t="s">
        <v>50</v>
      </c>
      <c r="J5539" t="s">
        <v>8871</v>
      </c>
      <c r="K5539" t="s">
        <v>8790</v>
      </c>
      <c r="L5539" t="s">
        <v>53</v>
      </c>
      <c r="N5539" t="s">
        <v>9845</v>
      </c>
      <c r="P5539" t="s">
        <v>55</v>
      </c>
      <c r="R5539" t="s">
        <v>53</v>
      </c>
      <c r="T5539" t="s">
        <v>9846</v>
      </c>
      <c r="U5539" t="s">
        <v>58</v>
      </c>
      <c r="V5539">
        <v>1</v>
      </c>
      <c r="W5539">
        <v>1</v>
      </c>
      <c r="X5539">
        <v>2</v>
      </c>
      <c r="Y5539">
        <v>0</v>
      </c>
      <c r="Z5539">
        <v>2</v>
      </c>
      <c r="AA5539">
        <v>176.85</v>
      </c>
      <c r="AB5539">
        <v>176.85</v>
      </c>
      <c r="AC5539">
        <v>155.61000000000001</v>
      </c>
      <c r="AD5539">
        <v>0</v>
      </c>
      <c r="AE5539">
        <v>21.24</v>
      </c>
      <c r="AF5539">
        <v>0</v>
      </c>
      <c r="AG5539">
        <v>0</v>
      </c>
      <c r="AH5539">
        <v>0</v>
      </c>
      <c r="AI5539">
        <v>31.83</v>
      </c>
      <c r="AJ5539">
        <v>176.85</v>
      </c>
      <c r="AK5539">
        <v>0</v>
      </c>
      <c r="AL5539" t="s">
        <v>53</v>
      </c>
      <c r="AM5539" t="s">
        <v>53</v>
      </c>
      <c r="AN5539" t="s">
        <v>53</v>
      </c>
      <c r="AO5539" t="s">
        <v>53</v>
      </c>
      <c r="AP5539" t="s">
        <v>53</v>
      </c>
    </row>
    <row r="5540" spans="2:42" x14ac:dyDescent="0.2">
      <c r="B5540" t="s">
        <v>44</v>
      </c>
      <c r="C5540" t="str">
        <f>HYPERLINK("https://us2.cloudbeds.com/connect/8493803454333002#/reservations/9080486846326775?display=2YK2BEG825&amp;reservation_id=9080486846326775", "2YK2BEG825")</f>
        <v>2YK2BEG825</v>
      </c>
      <c r="D5540" t="s">
        <v>45</v>
      </c>
      <c r="E5540" t="s">
        <v>155</v>
      </c>
      <c r="F5540" t="s">
        <v>86</v>
      </c>
      <c r="G5540" t="s">
        <v>48</v>
      </c>
      <c r="H5540" t="s">
        <v>49</v>
      </c>
      <c r="I5540" t="s">
        <v>50</v>
      </c>
      <c r="J5540" t="s">
        <v>8119</v>
      </c>
      <c r="K5540" t="s">
        <v>7864</v>
      </c>
      <c r="L5540" t="s">
        <v>53</v>
      </c>
      <c r="N5540" t="s">
        <v>9847</v>
      </c>
      <c r="P5540" t="s">
        <v>55</v>
      </c>
      <c r="R5540" t="s">
        <v>53</v>
      </c>
      <c r="T5540" t="s">
        <v>9848</v>
      </c>
      <c r="U5540" t="s">
        <v>58</v>
      </c>
      <c r="V5540">
        <v>1</v>
      </c>
      <c r="W5540">
        <v>1</v>
      </c>
      <c r="X5540">
        <v>2</v>
      </c>
      <c r="Y5540">
        <v>0</v>
      </c>
      <c r="Z5540">
        <v>2</v>
      </c>
      <c r="AA5540">
        <v>218.89</v>
      </c>
      <c r="AB5540">
        <v>218.89</v>
      </c>
      <c r="AC5540">
        <v>192.6</v>
      </c>
      <c r="AD5540">
        <v>0</v>
      </c>
      <c r="AE5540">
        <v>26.29</v>
      </c>
      <c r="AF5540">
        <v>0</v>
      </c>
      <c r="AG5540">
        <v>0</v>
      </c>
      <c r="AH5540">
        <v>0</v>
      </c>
      <c r="AI5540">
        <v>39.4</v>
      </c>
      <c r="AJ5540">
        <v>218.89</v>
      </c>
      <c r="AK5540">
        <v>0</v>
      </c>
      <c r="AL5540" t="s">
        <v>53</v>
      </c>
      <c r="AM5540" t="s">
        <v>53</v>
      </c>
      <c r="AN5540" t="s">
        <v>53</v>
      </c>
      <c r="AO5540" t="s">
        <v>53</v>
      </c>
      <c r="AP5540" t="s">
        <v>53</v>
      </c>
    </row>
    <row r="5541" spans="2:42" x14ac:dyDescent="0.2">
      <c r="B5541" t="s">
        <v>44</v>
      </c>
      <c r="C5541" t="str">
        <f>HYPERLINK("https://us2.cloudbeds.com/connect/8493803454333002#/reservations/9080486846326921?display=2YK9EEYJ3E&amp;reservation_id=9080486846326921", "2YK9EEYJ3E")</f>
        <v>2YK9EEYJ3E</v>
      </c>
      <c r="D5541" t="s">
        <v>45</v>
      </c>
      <c r="E5541" t="s">
        <v>185</v>
      </c>
      <c r="F5541" t="s">
        <v>47</v>
      </c>
      <c r="G5541" t="s">
        <v>48</v>
      </c>
      <c r="H5541" t="s">
        <v>49</v>
      </c>
      <c r="I5541" t="s">
        <v>50</v>
      </c>
      <c r="J5541" t="s">
        <v>7906</v>
      </c>
      <c r="K5541" t="s">
        <v>8594</v>
      </c>
      <c r="L5541" t="s">
        <v>53</v>
      </c>
      <c r="N5541" t="s">
        <v>9849</v>
      </c>
      <c r="P5541" t="s">
        <v>55</v>
      </c>
      <c r="R5541" t="s">
        <v>53</v>
      </c>
      <c r="T5541" t="s">
        <v>9850</v>
      </c>
      <c r="U5541" t="s">
        <v>58</v>
      </c>
      <c r="V5541">
        <v>1</v>
      </c>
      <c r="W5541">
        <v>1</v>
      </c>
      <c r="X5541">
        <v>1</v>
      </c>
      <c r="Y5541">
        <v>0</v>
      </c>
      <c r="Z5541">
        <v>1</v>
      </c>
      <c r="AA5541">
        <v>154.61000000000001</v>
      </c>
      <c r="AB5541">
        <v>154.61000000000001</v>
      </c>
      <c r="AC5541">
        <v>136.04</v>
      </c>
      <c r="AD5541">
        <v>0</v>
      </c>
      <c r="AE5541">
        <v>18.57</v>
      </c>
      <c r="AF5541">
        <v>0</v>
      </c>
      <c r="AG5541">
        <v>0</v>
      </c>
      <c r="AH5541">
        <v>0</v>
      </c>
      <c r="AI5541">
        <v>27.83</v>
      </c>
      <c r="AJ5541">
        <v>154.61000000000001</v>
      </c>
      <c r="AK5541">
        <v>0</v>
      </c>
      <c r="AL5541" t="s">
        <v>53</v>
      </c>
      <c r="AM5541" t="s">
        <v>53</v>
      </c>
      <c r="AN5541" t="s">
        <v>53</v>
      </c>
      <c r="AO5541" t="s">
        <v>53</v>
      </c>
      <c r="AP5541" t="s">
        <v>53</v>
      </c>
    </row>
    <row r="5542" spans="2:42" x14ac:dyDescent="0.2">
      <c r="B5542" t="s">
        <v>44</v>
      </c>
      <c r="C5542" t="str">
        <f>HYPERLINK("https://us2.cloudbeds.com/connect/8493803454333002#/reservations/9080486846327044?display=2YKFTPQD4Q&amp;reservation_id=9080486846327044", "2YKFTPQD4Q")</f>
        <v>2YKFTPQD4Q</v>
      </c>
      <c r="D5542" t="s">
        <v>45</v>
      </c>
      <c r="E5542" t="s">
        <v>265</v>
      </c>
      <c r="F5542" t="s">
        <v>61</v>
      </c>
      <c r="G5542" t="s">
        <v>48</v>
      </c>
      <c r="H5542" t="s">
        <v>49</v>
      </c>
      <c r="I5542" t="s">
        <v>50</v>
      </c>
      <c r="J5542" t="s">
        <v>8300</v>
      </c>
      <c r="K5542" t="s">
        <v>7864</v>
      </c>
      <c r="L5542" t="s">
        <v>53</v>
      </c>
      <c r="N5542" t="s">
        <v>9851</v>
      </c>
      <c r="P5542" t="s">
        <v>55</v>
      </c>
      <c r="R5542" t="s">
        <v>53</v>
      </c>
      <c r="T5542" t="s">
        <v>9852</v>
      </c>
      <c r="U5542" t="s">
        <v>58</v>
      </c>
      <c r="V5542">
        <v>2</v>
      </c>
      <c r="W5542">
        <v>1</v>
      </c>
      <c r="X5542">
        <v>1</v>
      </c>
      <c r="Y5542">
        <v>0</v>
      </c>
      <c r="Z5542">
        <v>1</v>
      </c>
      <c r="AA5542">
        <v>357.32</v>
      </c>
      <c r="AB5542">
        <v>357.32</v>
      </c>
      <c r="AC5542">
        <v>314.39999999999998</v>
      </c>
      <c r="AD5542">
        <v>0</v>
      </c>
      <c r="AE5542">
        <v>42.92</v>
      </c>
      <c r="AF5542">
        <v>0</v>
      </c>
      <c r="AG5542">
        <v>0</v>
      </c>
      <c r="AH5542">
        <v>0</v>
      </c>
      <c r="AI5542">
        <v>64.319999999999993</v>
      </c>
      <c r="AJ5542">
        <v>357.32</v>
      </c>
      <c r="AK5542">
        <v>0</v>
      </c>
      <c r="AL5542" t="s">
        <v>53</v>
      </c>
      <c r="AM5542" t="s">
        <v>53</v>
      </c>
      <c r="AN5542" t="s">
        <v>53</v>
      </c>
      <c r="AO5542" t="s">
        <v>53</v>
      </c>
      <c r="AP5542" t="s">
        <v>53</v>
      </c>
    </row>
    <row r="5543" spans="2:42" x14ac:dyDescent="0.2">
      <c r="B5543" t="s">
        <v>44</v>
      </c>
      <c r="C5543" t="str">
        <f>HYPERLINK("https://us2.cloudbeds.com/connect/8493803454333002#/reservations/9080486846327165?display=2YKMZRSQAT&amp;reservation_id=9080486846327165", "2YKMZRSQAT")</f>
        <v>2YKMZRSQAT</v>
      </c>
      <c r="D5543" t="s">
        <v>45</v>
      </c>
      <c r="E5543" t="s">
        <v>265</v>
      </c>
      <c r="F5543" t="s">
        <v>61</v>
      </c>
      <c r="G5543" t="s">
        <v>48</v>
      </c>
      <c r="H5543" t="s">
        <v>49</v>
      </c>
      <c r="I5543" t="s">
        <v>62</v>
      </c>
      <c r="J5543" t="s">
        <v>8249</v>
      </c>
      <c r="K5543" t="s">
        <v>7802</v>
      </c>
      <c r="L5543" t="s">
        <v>53</v>
      </c>
      <c r="N5543" t="s">
        <v>9853</v>
      </c>
      <c r="P5543" t="s">
        <v>55</v>
      </c>
      <c r="R5543" t="s">
        <v>56</v>
      </c>
      <c r="T5543" t="s">
        <v>9854</v>
      </c>
      <c r="U5543" t="s">
        <v>55</v>
      </c>
      <c r="V5543">
        <v>4</v>
      </c>
      <c r="W5543">
        <v>1</v>
      </c>
      <c r="X5543">
        <v>1</v>
      </c>
      <c r="Y5543">
        <v>0</v>
      </c>
      <c r="Z5543">
        <v>1</v>
      </c>
      <c r="AA5543">
        <v>747</v>
      </c>
      <c r="AB5543">
        <v>747</v>
      </c>
      <c r="AC5543">
        <v>747</v>
      </c>
      <c r="AD5543">
        <v>0</v>
      </c>
      <c r="AE5543">
        <v>0</v>
      </c>
      <c r="AF5543">
        <v>0</v>
      </c>
      <c r="AG5543">
        <v>0</v>
      </c>
      <c r="AH5543">
        <v>0</v>
      </c>
      <c r="AI5543">
        <v>134.46</v>
      </c>
      <c r="AJ5543">
        <v>747</v>
      </c>
      <c r="AK5543">
        <v>0</v>
      </c>
      <c r="AL5543" t="s">
        <v>53</v>
      </c>
      <c r="AM5543" t="s">
        <v>53</v>
      </c>
      <c r="AN5543" t="s">
        <v>53</v>
      </c>
      <c r="AO5543" t="s">
        <v>53</v>
      </c>
      <c r="AP5543" t="s">
        <v>53</v>
      </c>
    </row>
    <row r="5544" spans="2:42" x14ac:dyDescent="0.2">
      <c r="B5544" t="s">
        <v>44</v>
      </c>
      <c r="C5544" t="str">
        <f>HYPERLINK("https://us2.cloudbeds.com/connect/8493803454333002#/reservations/9080486846329782?display=2YZKENVH5C&amp;reservation_id=9080486846329782", "2YZKENVH5C")</f>
        <v>2YZKENVH5C</v>
      </c>
      <c r="D5544" t="s">
        <v>45</v>
      </c>
      <c r="E5544" t="s">
        <v>265</v>
      </c>
      <c r="F5544" t="s">
        <v>61</v>
      </c>
      <c r="G5544" t="s">
        <v>48</v>
      </c>
      <c r="H5544" t="s">
        <v>49</v>
      </c>
      <c r="I5544" t="s">
        <v>62</v>
      </c>
      <c r="J5544" t="s">
        <v>7975</v>
      </c>
      <c r="K5544" t="s">
        <v>7750</v>
      </c>
      <c r="L5544" t="s">
        <v>53</v>
      </c>
      <c r="N5544" t="s">
        <v>9855</v>
      </c>
      <c r="P5544" t="s">
        <v>58</v>
      </c>
      <c r="R5544" t="s">
        <v>56</v>
      </c>
      <c r="T5544" t="s">
        <v>9856</v>
      </c>
      <c r="U5544" t="s">
        <v>55</v>
      </c>
      <c r="V5544">
        <v>1</v>
      </c>
      <c r="W5544">
        <v>1</v>
      </c>
      <c r="X5544">
        <v>1</v>
      </c>
      <c r="Y5544">
        <v>0</v>
      </c>
      <c r="Z5544">
        <v>1</v>
      </c>
      <c r="AA5544">
        <v>190.95</v>
      </c>
      <c r="AB5544">
        <v>190.95</v>
      </c>
      <c r="AC5544">
        <v>190.95</v>
      </c>
      <c r="AD5544">
        <v>0</v>
      </c>
      <c r="AE5544">
        <v>0</v>
      </c>
      <c r="AF5544">
        <v>0</v>
      </c>
      <c r="AG5544">
        <v>0</v>
      </c>
      <c r="AH5544">
        <v>0</v>
      </c>
      <c r="AI5544">
        <v>34.369999999999997</v>
      </c>
      <c r="AJ5544">
        <v>190.95</v>
      </c>
      <c r="AK5544">
        <v>0</v>
      </c>
      <c r="AL5544" t="s">
        <v>53</v>
      </c>
      <c r="AM5544" t="s">
        <v>53</v>
      </c>
      <c r="AN5544" t="s">
        <v>53</v>
      </c>
      <c r="AO5544" t="s">
        <v>53</v>
      </c>
      <c r="AP5544" t="s">
        <v>53</v>
      </c>
    </row>
    <row r="5545" spans="2:42" x14ac:dyDescent="0.2">
      <c r="B5545" t="s">
        <v>44</v>
      </c>
      <c r="C5545" t="str">
        <f>HYPERLINK("https://us2.cloudbeds.com/connect/8493803454333002#/reservations/123410342645986?display=2YZN69R7YY&amp;reservation_id=123410342645986", "2YZN69R7YY")</f>
        <v>2YZN69R7YY</v>
      </c>
      <c r="D5545" t="s">
        <v>45</v>
      </c>
      <c r="E5545" t="s">
        <v>265</v>
      </c>
      <c r="F5545" t="s">
        <v>61</v>
      </c>
      <c r="G5545" t="s">
        <v>48</v>
      </c>
      <c r="H5545" t="s">
        <v>3957</v>
      </c>
      <c r="I5545" t="s">
        <v>3989</v>
      </c>
      <c r="J5545" t="s">
        <v>7750</v>
      </c>
      <c r="K5545" t="s">
        <v>8367</v>
      </c>
      <c r="L5545" t="s">
        <v>53</v>
      </c>
      <c r="P5545" t="s">
        <v>55</v>
      </c>
      <c r="R5545" t="s">
        <v>56</v>
      </c>
      <c r="T5545" t="s">
        <v>9857</v>
      </c>
      <c r="U5545" t="s">
        <v>58</v>
      </c>
      <c r="V5545">
        <v>1</v>
      </c>
      <c r="W5545">
        <v>1</v>
      </c>
      <c r="X5545">
        <v>1</v>
      </c>
      <c r="Y5545">
        <v>0</v>
      </c>
      <c r="Z5545">
        <v>1</v>
      </c>
      <c r="AA5545">
        <v>229.12</v>
      </c>
      <c r="AB5545">
        <v>229.12</v>
      </c>
      <c r="AC5545">
        <v>201.6</v>
      </c>
      <c r="AD5545">
        <v>0</v>
      </c>
      <c r="AE5545">
        <v>27.52</v>
      </c>
      <c r="AF5545">
        <v>0</v>
      </c>
      <c r="AG5545">
        <v>0</v>
      </c>
      <c r="AH5545">
        <v>0</v>
      </c>
      <c r="AI5545">
        <v>0</v>
      </c>
      <c r="AJ5545">
        <v>229.12</v>
      </c>
      <c r="AK5545">
        <v>0</v>
      </c>
      <c r="AL5545" t="s">
        <v>53</v>
      </c>
      <c r="AM5545" t="s">
        <v>53</v>
      </c>
      <c r="AN5545" t="s">
        <v>53</v>
      </c>
      <c r="AO5545" t="s">
        <v>53</v>
      </c>
      <c r="AP5545" t="s">
        <v>53</v>
      </c>
    </row>
    <row r="5546" spans="2:42" x14ac:dyDescent="0.2">
      <c r="B5546" t="s">
        <v>44</v>
      </c>
      <c r="C5546" t="str">
        <f>HYPERLINK("https://us2.cloudbeds.com/connect/8493803454333002#/reservations/9080486846330925?display=2YPYA1TM1A&amp;reservation_id=9080486846330925", "2YPYA1TM1A")</f>
        <v>2YPYA1TM1A</v>
      </c>
      <c r="D5546" t="s">
        <v>45</v>
      </c>
      <c r="E5546" t="s">
        <v>213</v>
      </c>
      <c r="F5546" t="s">
        <v>86</v>
      </c>
      <c r="G5546" t="s">
        <v>48</v>
      </c>
      <c r="H5546" t="s">
        <v>49</v>
      </c>
      <c r="I5546" t="s">
        <v>50</v>
      </c>
      <c r="J5546" t="s">
        <v>9858</v>
      </c>
      <c r="K5546" t="s">
        <v>7543</v>
      </c>
      <c r="L5546" t="s">
        <v>53</v>
      </c>
      <c r="N5546" t="s">
        <v>9859</v>
      </c>
      <c r="P5546" t="s">
        <v>55</v>
      </c>
      <c r="R5546" t="s">
        <v>53</v>
      </c>
      <c r="T5546" t="s">
        <v>9860</v>
      </c>
      <c r="U5546" t="s">
        <v>58</v>
      </c>
      <c r="V5546">
        <v>3</v>
      </c>
      <c r="W5546">
        <v>1</v>
      </c>
      <c r="X5546">
        <v>2</v>
      </c>
      <c r="Y5546">
        <v>0</v>
      </c>
      <c r="Z5546">
        <v>2</v>
      </c>
      <c r="AA5546">
        <v>380.94</v>
      </c>
      <c r="AB5546">
        <v>380.94</v>
      </c>
      <c r="AC5546">
        <v>335.2</v>
      </c>
      <c r="AD5546">
        <v>0</v>
      </c>
      <c r="AE5546">
        <v>45.74</v>
      </c>
      <c r="AF5546">
        <v>0</v>
      </c>
      <c r="AG5546">
        <v>0</v>
      </c>
      <c r="AH5546">
        <v>0</v>
      </c>
      <c r="AI5546">
        <v>68.569999999999993</v>
      </c>
      <c r="AJ5546">
        <v>380.94</v>
      </c>
      <c r="AK5546">
        <v>0</v>
      </c>
      <c r="AL5546" t="s">
        <v>53</v>
      </c>
      <c r="AM5546" t="s">
        <v>53</v>
      </c>
      <c r="AN5546" t="s">
        <v>53</v>
      </c>
      <c r="AO5546" t="s">
        <v>53</v>
      </c>
      <c r="AP5546" t="s">
        <v>53</v>
      </c>
    </row>
    <row r="5547" spans="2:42" x14ac:dyDescent="0.2">
      <c r="B5547" t="s">
        <v>44</v>
      </c>
      <c r="C5547" t="str">
        <f>HYPERLINK("https://us2.cloudbeds.com/connect/8493803454333002#/reservations/123460164964490?display=2YPSPCAMN1&amp;reservation_id=123460164964490", "2YPSPCAMN1")</f>
        <v>2YPSPCAMN1</v>
      </c>
      <c r="D5547" t="s">
        <v>45</v>
      </c>
      <c r="E5547" t="s">
        <v>78</v>
      </c>
      <c r="F5547" t="s">
        <v>61</v>
      </c>
      <c r="G5547" t="s">
        <v>7801</v>
      </c>
      <c r="H5547" t="s">
        <v>3957</v>
      </c>
      <c r="I5547" t="s">
        <v>3958</v>
      </c>
      <c r="J5547" t="s">
        <v>8300</v>
      </c>
      <c r="K5547" t="s">
        <v>8119</v>
      </c>
      <c r="L5547" t="s">
        <v>53</v>
      </c>
      <c r="P5547" t="s">
        <v>58</v>
      </c>
      <c r="R5547" t="s">
        <v>56</v>
      </c>
      <c r="T5547" t="s">
        <v>9861</v>
      </c>
      <c r="U5547" t="s">
        <v>58</v>
      </c>
      <c r="V5547">
        <v>1</v>
      </c>
      <c r="W5547">
        <v>1</v>
      </c>
      <c r="X5547">
        <v>1</v>
      </c>
      <c r="Y5547">
        <v>0</v>
      </c>
      <c r="Z5547">
        <v>1</v>
      </c>
      <c r="AA5547">
        <v>198.43</v>
      </c>
      <c r="AB5547">
        <v>198.43</v>
      </c>
      <c r="AC5547">
        <v>174.6</v>
      </c>
      <c r="AD5547">
        <v>0</v>
      </c>
      <c r="AE5547">
        <v>23.83</v>
      </c>
      <c r="AF5547">
        <v>0</v>
      </c>
      <c r="AG5547">
        <v>0</v>
      </c>
      <c r="AH5547">
        <v>0</v>
      </c>
      <c r="AI5547">
        <v>0</v>
      </c>
      <c r="AJ5547">
        <v>198.43</v>
      </c>
      <c r="AK5547">
        <v>0</v>
      </c>
      <c r="AL5547" t="s">
        <v>53</v>
      </c>
      <c r="AM5547" t="s">
        <v>53</v>
      </c>
      <c r="AN5547" t="s">
        <v>53</v>
      </c>
      <c r="AO5547" t="s">
        <v>53</v>
      </c>
      <c r="AP5547" t="s">
        <v>53</v>
      </c>
    </row>
    <row r="5548" spans="2:42" x14ac:dyDescent="0.2">
      <c r="B5548" t="s">
        <v>44</v>
      </c>
      <c r="C5548" t="str">
        <f>HYPERLINK("https://us2.cloudbeds.com/connect/8493803454333002#/reservations/9080486846332079?display=2YQM3YZHWF&amp;reservation_id=9080486846332079", "2YQM3YZHWF")</f>
        <v>2YQM3YZHWF</v>
      </c>
      <c r="D5548" t="s">
        <v>45</v>
      </c>
      <c r="E5548" t="s">
        <v>487</v>
      </c>
      <c r="F5548" t="s">
        <v>61</v>
      </c>
      <c r="G5548" t="s">
        <v>48</v>
      </c>
      <c r="H5548" t="s">
        <v>49</v>
      </c>
      <c r="I5548" t="s">
        <v>50</v>
      </c>
      <c r="J5548" t="s">
        <v>8594</v>
      </c>
      <c r="K5548" t="s">
        <v>7925</v>
      </c>
      <c r="L5548" t="s">
        <v>53</v>
      </c>
      <c r="N5548" t="s">
        <v>9862</v>
      </c>
      <c r="P5548" t="s">
        <v>55</v>
      </c>
      <c r="R5548" t="s">
        <v>53</v>
      </c>
      <c r="T5548" t="s">
        <v>9863</v>
      </c>
      <c r="U5548" t="s">
        <v>58</v>
      </c>
      <c r="V5548">
        <v>2</v>
      </c>
      <c r="W5548">
        <v>1</v>
      </c>
      <c r="X5548">
        <v>2</v>
      </c>
      <c r="Y5548">
        <v>0</v>
      </c>
      <c r="Z5548">
        <v>2</v>
      </c>
      <c r="AA5548">
        <v>463.36</v>
      </c>
      <c r="AB5548">
        <v>463.36</v>
      </c>
      <c r="AC5548">
        <v>407.7</v>
      </c>
      <c r="AD5548">
        <v>0</v>
      </c>
      <c r="AE5548">
        <v>55.66</v>
      </c>
      <c r="AF5548">
        <v>0</v>
      </c>
      <c r="AG5548">
        <v>0</v>
      </c>
      <c r="AH5548">
        <v>0</v>
      </c>
      <c r="AI5548">
        <v>83.4</v>
      </c>
      <c r="AJ5548">
        <v>463.36</v>
      </c>
      <c r="AK5548">
        <v>0</v>
      </c>
      <c r="AL5548" t="s">
        <v>53</v>
      </c>
      <c r="AM5548" t="s">
        <v>53</v>
      </c>
      <c r="AN5548" t="s">
        <v>53</v>
      </c>
      <c r="AO5548" t="s">
        <v>53</v>
      </c>
      <c r="AP5548" t="s">
        <v>53</v>
      </c>
    </row>
    <row r="5549" spans="2:42" x14ac:dyDescent="0.2">
      <c r="B5549" t="s">
        <v>44</v>
      </c>
      <c r="C5549" t="str">
        <f>HYPERLINK("https://us2.cloudbeds.com/connect/8493803454333002#/reservations/9080486846332152?display=2YQZVK0FMP&amp;reservation_id=9080486846332152", "2YQZVK0FMP")</f>
        <v>2YQZVK0FMP</v>
      </c>
      <c r="D5549" t="s">
        <v>45</v>
      </c>
      <c r="E5549" t="s">
        <v>98</v>
      </c>
      <c r="F5549" t="s">
        <v>86</v>
      </c>
      <c r="G5549" t="s">
        <v>48</v>
      </c>
      <c r="H5549" t="s">
        <v>49</v>
      </c>
      <c r="I5549" t="s">
        <v>50</v>
      </c>
      <c r="J5549" t="s">
        <v>8300</v>
      </c>
      <c r="K5549" t="s">
        <v>7864</v>
      </c>
      <c r="L5549" t="s">
        <v>53</v>
      </c>
      <c r="N5549" t="s">
        <v>9864</v>
      </c>
      <c r="P5549" t="s">
        <v>55</v>
      </c>
      <c r="R5549" t="s">
        <v>53</v>
      </c>
      <c r="T5549" t="s">
        <v>9865</v>
      </c>
      <c r="U5549" t="s">
        <v>58</v>
      </c>
      <c r="V5549">
        <v>2</v>
      </c>
      <c r="W5549">
        <v>1</v>
      </c>
      <c r="X5549">
        <v>2</v>
      </c>
      <c r="Y5549">
        <v>0</v>
      </c>
      <c r="Z5549">
        <v>2</v>
      </c>
      <c r="AA5549">
        <v>383.68</v>
      </c>
      <c r="AB5549">
        <v>383.68</v>
      </c>
      <c r="AC5549">
        <v>337.6</v>
      </c>
      <c r="AD5549">
        <v>0</v>
      </c>
      <c r="AE5549">
        <v>46.08</v>
      </c>
      <c r="AF5549">
        <v>0</v>
      </c>
      <c r="AG5549">
        <v>0</v>
      </c>
      <c r="AH5549">
        <v>0</v>
      </c>
      <c r="AI5549">
        <v>69.06</v>
      </c>
      <c r="AJ5549">
        <v>383.68</v>
      </c>
      <c r="AK5549">
        <v>0</v>
      </c>
      <c r="AL5549" t="s">
        <v>53</v>
      </c>
      <c r="AM5549" t="s">
        <v>53</v>
      </c>
      <c r="AN5549" t="s">
        <v>53</v>
      </c>
      <c r="AO5549" t="s">
        <v>53</v>
      </c>
      <c r="AP5549" t="s">
        <v>53</v>
      </c>
    </row>
    <row r="5550" spans="2:42" x14ac:dyDescent="0.2">
      <c r="B5550" t="s">
        <v>44</v>
      </c>
      <c r="C5550" t="str">
        <f>HYPERLINK("https://us2.cloudbeds.com/connect/8493803454333002#/reservations/9080486846332286?display=2YQUTZ15VB&amp;reservation_id=9080486846332286", "2YQUTZ15VB")</f>
        <v>2YQUTZ15VB</v>
      </c>
      <c r="D5550" t="s">
        <v>45</v>
      </c>
      <c r="E5550" t="s">
        <v>155</v>
      </c>
      <c r="F5550" t="s">
        <v>86</v>
      </c>
      <c r="G5550" t="s">
        <v>48</v>
      </c>
      <c r="H5550" t="s">
        <v>49</v>
      </c>
      <c r="I5550" t="s">
        <v>62</v>
      </c>
      <c r="J5550" t="s">
        <v>8300</v>
      </c>
      <c r="K5550" t="s">
        <v>8119</v>
      </c>
      <c r="L5550" t="s">
        <v>53</v>
      </c>
      <c r="N5550" t="s">
        <v>9866</v>
      </c>
      <c r="P5550" t="s">
        <v>55</v>
      </c>
      <c r="R5550" t="s">
        <v>56</v>
      </c>
      <c r="T5550" t="s">
        <v>9867</v>
      </c>
      <c r="U5550" t="s">
        <v>55</v>
      </c>
      <c r="V5550">
        <v>1</v>
      </c>
      <c r="W5550">
        <v>1</v>
      </c>
      <c r="X5550">
        <v>2</v>
      </c>
      <c r="Y5550">
        <v>1</v>
      </c>
      <c r="Z5550">
        <v>3</v>
      </c>
      <c r="AA5550">
        <v>205</v>
      </c>
      <c r="AB5550">
        <v>205</v>
      </c>
      <c r="AC5550">
        <v>205</v>
      </c>
      <c r="AD5550">
        <v>0</v>
      </c>
      <c r="AE5550">
        <v>0</v>
      </c>
      <c r="AF5550">
        <v>0</v>
      </c>
      <c r="AG5550">
        <v>0</v>
      </c>
      <c r="AH5550">
        <v>0</v>
      </c>
      <c r="AI5550">
        <v>36.9</v>
      </c>
      <c r="AJ5550">
        <v>205</v>
      </c>
      <c r="AK5550">
        <v>0</v>
      </c>
      <c r="AL5550" t="s">
        <v>53</v>
      </c>
      <c r="AM5550" t="s">
        <v>53</v>
      </c>
      <c r="AN5550" t="s">
        <v>53</v>
      </c>
      <c r="AO5550" t="s">
        <v>53</v>
      </c>
      <c r="AP5550" t="s">
        <v>53</v>
      </c>
    </row>
    <row r="5551" spans="2:42" x14ac:dyDescent="0.2">
      <c r="B5551" t="s">
        <v>44</v>
      </c>
      <c r="C5551" t="str">
        <f>HYPERLINK("https://us2.cloudbeds.com/connect/8493803454333002#/reservations/9080486846332378?display=2YR1M51JZA&amp;reservation_id=9080486846332378", "2YR1M51JZA")</f>
        <v>2YR1M51JZA</v>
      </c>
      <c r="D5551" t="s">
        <v>45</v>
      </c>
      <c r="E5551" t="s">
        <v>138</v>
      </c>
      <c r="F5551" t="s">
        <v>70</v>
      </c>
      <c r="G5551" t="s">
        <v>48</v>
      </c>
      <c r="H5551" t="s">
        <v>49</v>
      </c>
      <c r="I5551" t="s">
        <v>8964</v>
      </c>
      <c r="J5551" t="s">
        <v>7803</v>
      </c>
      <c r="K5551" t="s">
        <v>8391</v>
      </c>
      <c r="L5551" t="s">
        <v>53</v>
      </c>
      <c r="N5551" t="s">
        <v>9868</v>
      </c>
      <c r="P5551" t="s">
        <v>55</v>
      </c>
      <c r="R5551" t="s">
        <v>53</v>
      </c>
      <c r="T5551" t="s">
        <v>9869</v>
      </c>
      <c r="U5551" t="s">
        <v>58</v>
      </c>
      <c r="V5551">
        <v>1</v>
      </c>
      <c r="W5551">
        <v>1</v>
      </c>
      <c r="X5551">
        <v>2</v>
      </c>
      <c r="Y5551">
        <v>0</v>
      </c>
      <c r="Z5551">
        <v>2</v>
      </c>
      <c r="AA5551">
        <v>0</v>
      </c>
      <c r="AB5551">
        <v>0</v>
      </c>
      <c r="AC5551">
        <v>156</v>
      </c>
      <c r="AD5551">
        <v>0</v>
      </c>
      <c r="AE5551">
        <v>0</v>
      </c>
      <c r="AF5551">
        <v>0</v>
      </c>
      <c r="AG5551">
        <v>0</v>
      </c>
      <c r="AH5551">
        <v>0</v>
      </c>
      <c r="AI5551">
        <v>23.4</v>
      </c>
      <c r="AJ5551">
        <v>156</v>
      </c>
      <c r="AK5551">
        <v>156</v>
      </c>
      <c r="AL5551" t="s">
        <v>53</v>
      </c>
      <c r="AM5551" t="s">
        <v>53</v>
      </c>
      <c r="AN5551" t="s">
        <v>53</v>
      </c>
      <c r="AO5551" t="s">
        <v>53</v>
      </c>
      <c r="AP5551" t="s">
        <v>53</v>
      </c>
    </row>
    <row r="5552" spans="2:42" x14ac:dyDescent="0.2">
      <c r="B5552" t="s">
        <v>44</v>
      </c>
      <c r="C5552" t="str">
        <f>HYPERLINK("https://us2.cloudbeds.com/connect/8493803454333002#/reservations/9080486846332565?display=2YR9KJ4JHH&amp;reservation_id=9080486846332565", "2YR9KJ4JHH")</f>
        <v>2YR9KJ4JHH</v>
      </c>
      <c r="D5552" t="s">
        <v>45</v>
      </c>
      <c r="E5552" t="s">
        <v>265</v>
      </c>
      <c r="F5552" t="s">
        <v>61</v>
      </c>
      <c r="G5552" t="s">
        <v>48</v>
      </c>
      <c r="H5552" t="s">
        <v>49</v>
      </c>
      <c r="I5552" t="s">
        <v>50</v>
      </c>
      <c r="J5552" t="s">
        <v>7864</v>
      </c>
      <c r="K5552" t="s">
        <v>6373</v>
      </c>
      <c r="L5552" t="s">
        <v>53</v>
      </c>
      <c r="N5552" t="s">
        <v>9870</v>
      </c>
      <c r="P5552" t="s">
        <v>55</v>
      </c>
      <c r="R5552" t="s">
        <v>53</v>
      </c>
      <c r="T5552" t="s">
        <v>9871</v>
      </c>
      <c r="U5552" t="s">
        <v>58</v>
      </c>
      <c r="V5552">
        <v>2</v>
      </c>
      <c r="W5552">
        <v>1</v>
      </c>
      <c r="X5552">
        <v>1</v>
      </c>
      <c r="Y5552">
        <v>0</v>
      </c>
      <c r="Z5552">
        <v>1</v>
      </c>
      <c r="AA5552">
        <v>377.32</v>
      </c>
      <c r="AB5552">
        <v>377.32</v>
      </c>
      <c r="AC5552">
        <v>332</v>
      </c>
      <c r="AD5552">
        <v>0</v>
      </c>
      <c r="AE5552">
        <v>45.32</v>
      </c>
      <c r="AF5552">
        <v>0</v>
      </c>
      <c r="AG5552">
        <v>0</v>
      </c>
      <c r="AH5552">
        <v>0</v>
      </c>
      <c r="AI5552">
        <v>67.92</v>
      </c>
      <c r="AJ5552">
        <v>377.32</v>
      </c>
      <c r="AK5552">
        <v>0</v>
      </c>
      <c r="AL5552" t="s">
        <v>53</v>
      </c>
      <c r="AM5552" t="s">
        <v>53</v>
      </c>
      <c r="AN5552" t="s">
        <v>53</v>
      </c>
      <c r="AO5552" t="s">
        <v>53</v>
      </c>
      <c r="AP5552" t="s">
        <v>53</v>
      </c>
    </row>
    <row r="5553" spans="2:42" x14ac:dyDescent="0.2">
      <c r="B5553" t="s">
        <v>44</v>
      </c>
      <c r="C5553" t="str">
        <f>HYPERLINK("https://us2.cloudbeds.com/connect/8493803454333002#/reservations/9080486846333025?display=2YRUBU9Y0V&amp;reservation_id=9080486846333025", "2YRUBU9Y0V")</f>
        <v>2YRUBU9Y0V</v>
      </c>
      <c r="D5553" t="s">
        <v>45</v>
      </c>
      <c r="E5553" t="s">
        <v>92</v>
      </c>
      <c r="F5553" t="s">
        <v>86</v>
      </c>
      <c r="G5553" t="s">
        <v>48</v>
      </c>
      <c r="H5553" t="s">
        <v>49</v>
      </c>
      <c r="I5553" t="s">
        <v>50</v>
      </c>
      <c r="J5553" t="s">
        <v>8300</v>
      </c>
      <c r="K5553" t="s">
        <v>8119</v>
      </c>
      <c r="L5553" t="s">
        <v>53</v>
      </c>
      <c r="N5553" t="s">
        <v>9872</v>
      </c>
      <c r="P5553" t="s">
        <v>55</v>
      </c>
      <c r="R5553" t="s">
        <v>53</v>
      </c>
      <c r="T5553" t="s">
        <v>9873</v>
      </c>
      <c r="U5553" t="s">
        <v>58</v>
      </c>
      <c r="V5553">
        <v>1</v>
      </c>
      <c r="W5553">
        <v>1</v>
      </c>
      <c r="X5553">
        <v>2</v>
      </c>
      <c r="Y5553">
        <v>0</v>
      </c>
      <c r="Z5553">
        <v>2</v>
      </c>
      <c r="AA5553">
        <v>209.69</v>
      </c>
      <c r="AB5553">
        <v>209.69</v>
      </c>
      <c r="AC5553">
        <v>184.5</v>
      </c>
      <c r="AD5553">
        <v>0</v>
      </c>
      <c r="AE5553">
        <v>25.19</v>
      </c>
      <c r="AF5553">
        <v>0</v>
      </c>
      <c r="AG5553">
        <v>0</v>
      </c>
      <c r="AH5553">
        <v>0</v>
      </c>
      <c r="AI5553">
        <v>37.74</v>
      </c>
      <c r="AJ5553">
        <v>209.69</v>
      </c>
      <c r="AK5553">
        <v>0</v>
      </c>
      <c r="AL5553" t="s">
        <v>53</v>
      </c>
      <c r="AM5553" t="s">
        <v>53</v>
      </c>
      <c r="AN5553" t="s">
        <v>53</v>
      </c>
      <c r="AO5553" t="s">
        <v>53</v>
      </c>
      <c r="AP5553" t="s">
        <v>53</v>
      </c>
    </row>
    <row r="5554" spans="2:42" x14ac:dyDescent="0.2">
      <c r="B5554" t="s">
        <v>44</v>
      </c>
      <c r="C5554" t="str">
        <f>HYPERLINK("https://us2.cloudbeds.com/connect/8493803454333002#/reservations/9080486846333220?display=2YS5M0GPMG&amp;reservation_id=9080486846333220", "2YS5M0GPMG")</f>
        <v>2YS5M0GPMG</v>
      </c>
      <c r="D5554" t="s">
        <v>45</v>
      </c>
      <c r="E5554" t="s">
        <v>190</v>
      </c>
      <c r="F5554" t="s">
        <v>61</v>
      </c>
      <c r="G5554" t="s">
        <v>48</v>
      </c>
      <c r="H5554" t="s">
        <v>49</v>
      </c>
      <c r="I5554" t="s">
        <v>50</v>
      </c>
      <c r="J5554" t="s">
        <v>8391</v>
      </c>
      <c r="K5554" t="s">
        <v>7975</v>
      </c>
      <c r="L5554" t="s">
        <v>53</v>
      </c>
      <c r="N5554" t="s">
        <v>9874</v>
      </c>
      <c r="P5554" t="s">
        <v>55</v>
      </c>
      <c r="R5554" t="s">
        <v>53</v>
      </c>
      <c r="T5554" t="s">
        <v>9875</v>
      </c>
      <c r="U5554" t="s">
        <v>58</v>
      </c>
      <c r="V5554">
        <v>2</v>
      </c>
      <c r="W5554">
        <v>1</v>
      </c>
      <c r="X5554">
        <v>2</v>
      </c>
      <c r="Y5554">
        <v>0</v>
      </c>
      <c r="Z5554">
        <v>2</v>
      </c>
      <c r="AA5554">
        <v>344.15</v>
      </c>
      <c r="AB5554">
        <v>344.15</v>
      </c>
      <c r="AC5554">
        <v>302.81</v>
      </c>
      <c r="AD5554">
        <v>0</v>
      </c>
      <c r="AE5554">
        <v>41.34</v>
      </c>
      <c r="AF5554">
        <v>0</v>
      </c>
      <c r="AG5554">
        <v>0</v>
      </c>
      <c r="AH5554">
        <v>0</v>
      </c>
      <c r="AI5554">
        <v>61.95</v>
      </c>
      <c r="AJ5554">
        <v>344.15</v>
      </c>
      <c r="AK5554">
        <v>0</v>
      </c>
      <c r="AL5554" t="s">
        <v>53</v>
      </c>
      <c r="AM5554" t="s">
        <v>53</v>
      </c>
      <c r="AN5554" t="s">
        <v>53</v>
      </c>
      <c r="AO5554" t="s">
        <v>53</v>
      </c>
      <c r="AP5554" t="s">
        <v>53</v>
      </c>
    </row>
    <row r="5555" spans="2:42" x14ac:dyDescent="0.2">
      <c r="B5555" t="s">
        <v>44</v>
      </c>
      <c r="C5555" t="str">
        <f>HYPERLINK("https://us2.cloudbeds.com/connect/8493803454333002#/reservations/123559712080077?display=2YS6S12UE8&amp;reservation_id=123559712080077", "2YS6S12UE8")</f>
        <v>2YS6S12UE8</v>
      </c>
      <c r="D5555" t="s">
        <v>45</v>
      </c>
      <c r="E5555" t="s">
        <v>305</v>
      </c>
      <c r="F5555" t="s">
        <v>61</v>
      </c>
      <c r="G5555" t="s">
        <v>48</v>
      </c>
      <c r="H5555" t="s">
        <v>3957</v>
      </c>
      <c r="I5555" t="s">
        <v>3975</v>
      </c>
      <c r="J5555" t="s">
        <v>8594</v>
      </c>
      <c r="K5555" t="s">
        <v>7926</v>
      </c>
      <c r="L5555" t="s">
        <v>53</v>
      </c>
      <c r="P5555" t="s">
        <v>55</v>
      </c>
      <c r="R5555" t="s">
        <v>53</v>
      </c>
      <c r="T5555" t="s">
        <v>9876</v>
      </c>
      <c r="U5555" t="s">
        <v>58</v>
      </c>
      <c r="V5555">
        <v>3</v>
      </c>
      <c r="W5555">
        <v>1</v>
      </c>
      <c r="X5555">
        <v>2</v>
      </c>
      <c r="Y5555">
        <v>0</v>
      </c>
      <c r="Z5555">
        <v>2</v>
      </c>
      <c r="AA5555">
        <v>730.79</v>
      </c>
      <c r="AB5555">
        <v>730.79</v>
      </c>
      <c r="AC5555">
        <v>643</v>
      </c>
      <c r="AD5555">
        <v>0</v>
      </c>
      <c r="AE5555">
        <v>87.79</v>
      </c>
      <c r="AF5555">
        <v>0</v>
      </c>
      <c r="AG5555">
        <v>0</v>
      </c>
      <c r="AH5555">
        <v>0</v>
      </c>
      <c r="AI5555">
        <v>0</v>
      </c>
      <c r="AJ5555">
        <v>730.79</v>
      </c>
      <c r="AK5555">
        <v>0</v>
      </c>
      <c r="AL5555" t="s">
        <v>53</v>
      </c>
      <c r="AM5555" t="s">
        <v>53</v>
      </c>
      <c r="AN5555" t="s">
        <v>53</v>
      </c>
      <c r="AO5555" t="s">
        <v>53</v>
      </c>
      <c r="AP5555" t="s">
        <v>53</v>
      </c>
    </row>
    <row r="5556" spans="2:42" x14ac:dyDescent="0.2">
      <c r="B5556" t="s">
        <v>44</v>
      </c>
      <c r="C5556" t="str">
        <f>HYPERLINK("https://us2.cloudbeds.com/connect/8493803454333002#/reservations/9080486846333319?display=2YS9XYK9GA&amp;reservation_id=9080486846333319", "2YS9XYK9GA")</f>
        <v>2YS9XYK9GA</v>
      </c>
      <c r="D5556" t="s">
        <v>45</v>
      </c>
      <c r="E5556" t="s">
        <v>487</v>
      </c>
      <c r="F5556" t="s">
        <v>61</v>
      </c>
      <c r="G5556" t="s">
        <v>48</v>
      </c>
      <c r="H5556" t="s">
        <v>49</v>
      </c>
      <c r="I5556" t="s">
        <v>50</v>
      </c>
      <c r="J5556" t="s">
        <v>8300</v>
      </c>
      <c r="K5556" t="s">
        <v>8119</v>
      </c>
      <c r="L5556" t="s">
        <v>53</v>
      </c>
      <c r="N5556" t="s">
        <v>9877</v>
      </c>
      <c r="P5556" t="s">
        <v>55</v>
      </c>
      <c r="R5556" t="s">
        <v>53</v>
      </c>
      <c r="T5556" t="s">
        <v>9878</v>
      </c>
      <c r="U5556" t="s">
        <v>58</v>
      </c>
      <c r="V5556">
        <v>1</v>
      </c>
      <c r="W5556">
        <v>1</v>
      </c>
      <c r="X5556">
        <v>1</v>
      </c>
      <c r="Y5556">
        <v>0</v>
      </c>
      <c r="Z5556">
        <v>1</v>
      </c>
      <c r="AA5556">
        <v>198.43</v>
      </c>
      <c r="AB5556">
        <v>198.43</v>
      </c>
      <c r="AC5556">
        <v>174.6</v>
      </c>
      <c r="AD5556">
        <v>0</v>
      </c>
      <c r="AE5556">
        <v>23.83</v>
      </c>
      <c r="AF5556">
        <v>0</v>
      </c>
      <c r="AG5556">
        <v>0</v>
      </c>
      <c r="AH5556">
        <v>0</v>
      </c>
      <c r="AI5556">
        <v>35.72</v>
      </c>
      <c r="AJ5556">
        <v>198.43</v>
      </c>
      <c r="AK5556">
        <v>0</v>
      </c>
      <c r="AL5556" t="s">
        <v>53</v>
      </c>
      <c r="AM5556" t="s">
        <v>53</v>
      </c>
      <c r="AN5556" t="s">
        <v>53</v>
      </c>
      <c r="AO5556" t="s">
        <v>53</v>
      </c>
      <c r="AP5556" t="s">
        <v>53</v>
      </c>
    </row>
    <row r="5557" spans="2:42" x14ac:dyDescent="0.2">
      <c r="B5557" t="s">
        <v>44</v>
      </c>
      <c r="C5557" t="str">
        <f>HYPERLINK("https://us2.cloudbeds.com/connect/8493803454333002#/reservations/123567595938034?display=2YSCVFVTDR&amp;reservation_id=123567595938034", "2YSCVFVTDR")</f>
        <v>2YSCVFVTDR</v>
      </c>
      <c r="D5557" t="s">
        <v>45</v>
      </c>
      <c r="E5557" t="s">
        <v>305</v>
      </c>
      <c r="F5557" t="s">
        <v>61</v>
      </c>
      <c r="G5557" t="s">
        <v>48</v>
      </c>
      <c r="H5557" t="s">
        <v>3957</v>
      </c>
      <c r="I5557" t="s">
        <v>3958</v>
      </c>
      <c r="J5557" t="s">
        <v>8300</v>
      </c>
      <c r="K5557" t="s">
        <v>8119</v>
      </c>
      <c r="L5557" t="s">
        <v>53</v>
      </c>
      <c r="P5557" t="s">
        <v>55</v>
      </c>
      <c r="R5557" t="s">
        <v>56</v>
      </c>
      <c r="T5557" t="s">
        <v>9879</v>
      </c>
      <c r="U5557" t="s">
        <v>58</v>
      </c>
      <c r="V5557">
        <v>1</v>
      </c>
      <c r="W5557">
        <v>1</v>
      </c>
      <c r="X5557">
        <v>2</v>
      </c>
      <c r="Y5557">
        <v>0</v>
      </c>
      <c r="Z5557">
        <v>2</v>
      </c>
      <c r="AA5557">
        <v>220.49</v>
      </c>
      <c r="AB5557">
        <v>220.49</v>
      </c>
      <c r="AC5557">
        <v>194</v>
      </c>
      <c r="AD5557">
        <v>0</v>
      </c>
      <c r="AE5557">
        <v>26.49</v>
      </c>
      <c r="AF5557">
        <v>0</v>
      </c>
      <c r="AG5557">
        <v>0</v>
      </c>
      <c r="AH5557">
        <v>0</v>
      </c>
      <c r="AI5557">
        <v>0</v>
      </c>
      <c r="AJ5557">
        <v>220.49</v>
      </c>
      <c r="AK5557">
        <v>0</v>
      </c>
      <c r="AL5557" t="s">
        <v>53</v>
      </c>
      <c r="AM5557" t="s">
        <v>53</v>
      </c>
      <c r="AN5557" t="s">
        <v>53</v>
      </c>
      <c r="AO5557" t="s">
        <v>53</v>
      </c>
      <c r="AP5557" t="s">
        <v>53</v>
      </c>
    </row>
    <row r="5558" spans="2:42" x14ac:dyDescent="0.2">
      <c r="B5558" t="s">
        <v>44</v>
      </c>
      <c r="C5558" t="str">
        <f>HYPERLINK("https://us2.cloudbeds.com/connect/8493803454333002#/reservations/9080486846333391?display=2YSD5SPT7M&amp;reservation_id=9080486846333391", "2YSD5SPT7M")</f>
        <v>2YSD5SPT7M</v>
      </c>
      <c r="D5558" t="s">
        <v>45</v>
      </c>
      <c r="E5558" t="s">
        <v>305</v>
      </c>
      <c r="F5558" t="s">
        <v>61</v>
      </c>
      <c r="G5558" t="s">
        <v>48</v>
      </c>
      <c r="H5558" t="s">
        <v>49</v>
      </c>
      <c r="I5558" t="s">
        <v>50</v>
      </c>
      <c r="J5558" t="s">
        <v>8119</v>
      </c>
      <c r="K5558" t="s">
        <v>8816</v>
      </c>
      <c r="L5558" t="s">
        <v>53</v>
      </c>
      <c r="N5558" t="s">
        <v>9880</v>
      </c>
      <c r="P5558" t="s">
        <v>55</v>
      </c>
      <c r="R5558" t="s">
        <v>53</v>
      </c>
      <c r="T5558" t="s">
        <v>9881</v>
      </c>
      <c r="U5558" t="s">
        <v>58</v>
      </c>
      <c r="V5558">
        <v>2</v>
      </c>
      <c r="W5558">
        <v>1</v>
      </c>
      <c r="X5558">
        <v>1</v>
      </c>
      <c r="Y5558">
        <v>0</v>
      </c>
      <c r="Z5558">
        <v>1</v>
      </c>
      <c r="AA5558">
        <v>417.32</v>
      </c>
      <c r="AB5558">
        <v>417.32</v>
      </c>
      <c r="AC5558">
        <v>367.2</v>
      </c>
      <c r="AD5558">
        <v>0</v>
      </c>
      <c r="AE5558">
        <v>50.12</v>
      </c>
      <c r="AF5558">
        <v>0</v>
      </c>
      <c r="AG5558">
        <v>0</v>
      </c>
      <c r="AH5558">
        <v>0</v>
      </c>
      <c r="AI5558">
        <v>75.12</v>
      </c>
      <c r="AJ5558">
        <v>417.32</v>
      </c>
      <c r="AK5558">
        <v>0</v>
      </c>
      <c r="AL5558" t="s">
        <v>53</v>
      </c>
      <c r="AM5558" t="s">
        <v>53</v>
      </c>
      <c r="AN5558" t="s">
        <v>53</v>
      </c>
      <c r="AO5558" t="s">
        <v>53</v>
      </c>
      <c r="AP5558" t="s">
        <v>53</v>
      </c>
    </row>
    <row r="5559" spans="2:42" x14ac:dyDescent="0.2">
      <c r="B5559" t="s">
        <v>44</v>
      </c>
      <c r="C5559" t="str">
        <f>HYPERLINK("https://us2.cloudbeds.com/connect/8493803454333002#/reservations/9080486846334112?display=2YTHY85YYP&amp;reservation_id=9080486846334112", "2YTHY85YYP")</f>
        <v>2YTHY85YYP</v>
      </c>
      <c r="D5559" t="s">
        <v>45</v>
      </c>
      <c r="E5559" t="s">
        <v>121</v>
      </c>
      <c r="F5559" t="s">
        <v>86</v>
      </c>
      <c r="G5559" t="s">
        <v>48</v>
      </c>
      <c r="H5559" t="s">
        <v>49</v>
      </c>
      <c r="I5559" t="s">
        <v>50</v>
      </c>
      <c r="J5559" t="s">
        <v>8119</v>
      </c>
      <c r="K5559" t="s">
        <v>7864</v>
      </c>
      <c r="L5559" t="s">
        <v>53</v>
      </c>
      <c r="N5559" t="s">
        <v>9882</v>
      </c>
      <c r="P5559" t="s">
        <v>55</v>
      </c>
      <c r="R5559" t="s">
        <v>53</v>
      </c>
      <c r="T5559" t="s">
        <v>9883</v>
      </c>
      <c r="U5559" t="s">
        <v>58</v>
      </c>
      <c r="V5559">
        <v>1</v>
      </c>
      <c r="W5559">
        <v>1</v>
      </c>
      <c r="X5559">
        <v>2</v>
      </c>
      <c r="Y5559">
        <v>0</v>
      </c>
      <c r="Z5559">
        <v>2</v>
      </c>
      <c r="AA5559">
        <v>238.32</v>
      </c>
      <c r="AB5559">
        <v>238.32</v>
      </c>
      <c r="AC5559">
        <v>209.7</v>
      </c>
      <c r="AD5559">
        <v>0</v>
      </c>
      <c r="AE5559">
        <v>28.62</v>
      </c>
      <c r="AF5559">
        <v>0</v>
      </c>
      <c r="AG5559">
        <v>0</v>
      </c>
      <c r="AH5559">
        <v>0</v>
      </c>
      <c r="AI5559">
        <v>42.9</v>
      </c>
      <c r="AJ5559">
        <v>238.32</v>
      </c>
      <c r="AK5559">
        <v>0</v>
      </c>
      <c r="AL5559" t="s">
        <v>53</v>
      </c>
      <c r="AM5559" t="s">
        <v>53</v>
      </c>
      <c r="AN5559" t="s">
        <v>53</v>
      </c>
      <c r="AO5559" t="s">
        <v>53</v>
      </c>
      <c r="AP5559" t="s">
        <v>53</v>
      </c>
    </row>
    <row r="5560" spans="2:42" x14ac:dyDescent="0.2">
      <c r="B5560" t="s">
        <v>44</v>
      </c>
      <c r="C5560" t="str">
        <f>HYPERLINK("https://us2.cloudbeds.com/connect/8493803454333002#/reservations/9080486846334515?display=2YUAS0N257&amp;reservation_id=9080486846334515", "2YUAS0N257")</f>
        <v>2YUAS0N257</v>
      </c>
      <c r="D5560" t="s">
        <v>45</v>
      </c>
      <c r="E5560" t="s">
        <v>185</v>
      </c>
      <c r="F5560" t="s">
        <v>47</v>
      </c>
      <c r="G5560" t="s">
        <v>48</v>
      </c>
      <c r="H5560" t="s">
        <v>49</v>
      </c>
      <c r="I5560" t="s">
        <v>50</v>
      </c>
      <c r="J5560" t="s">
        <v>5743</v>
      </c>
      <c r="K5560" t="s">
        <v>7088</v>
      </c>
      <c r="L5560" t="s">
        <v>53</v>
      </c>
      <c r="N5560" t="s">
        <v>9884</v>
      </c>
      <c r="P5560" t="s">
        <v>55</v>
      </c>
      <c r="R5560" t="s">
        <v>53</v>
      </c>
      <c r="T5560" t="s">
        <v>9885</v>
      </c>
      <c r="U5560" t="s">
        <v>58</v>
      </c>
      <c r="V5560">
        <v>5</v>
      </c>
      <c r="W5560">
        <v>1</v>
      </c>
      <c r="X5560">
        <v>2</v>
      </c>
      <c r="Y5560">
        <v>0</v>
      </c>
      <c r="Z5560">
        <v>2</v>
      </c>
      <c r="AA5560">
        <v>1064.81</v>
      </c>
      <c r="AB5560">
        <v>1064.81</v>
      </c>
      <c r="AC5560">
        <v>936.9</v>
      </c>
      <c r="AD5560">
        <v>0</v>
      </c>
      <c r="AE5560">
        <v>127.91</v>
      </c>
      <c r="AF5560">
        <v>0</v>
      </c>
      <c r="AG5560">
        <v>0</v>
      </c>
      <c r="AH5560">
        <v>0</v>
      </c>
      <c r="AI5560">
        <v>191.67</v>
      </c>
      <c r="AJ5560">
        <v>1064.81</v>
      </c>
      <c r="AK5560">
        <v>0</v>
      </c>
      <c r="AL5560" t="s">
        <v>53</v>
      </c>
      <c r="AM5560" t="s">
        <v>53</v>
      </c>
      <c r="AN5560" t="s">
        <v>53</v>
      </c>
      <c r="AO5560" t="s">
        <v>53</v>
      </c>
      <c r="AP5560" t="s">
        <v>53</v>
      </c>
    </row>
    <row r="5561" spans="2:42" x14ac:dyDescent="0.2">
      <c r="B5561" t="s">
        <v>44</v>
      </c>
      <c r="C5561" t="str">
        <f>HYPERLINK("https://us2.cloudbeds.com/connect/8493803454333002#/reservations/123721580454105?display=2YW064Q1BH&amp;reservation_id=123721580454105", "2YW064Q1BH")</f>
        <v>2YW064Q1BH</v>
      </c>
      <c r="D5561" t="s">
        <v>45</v>
      </c>
      <c r="E5561" t="s">
        <v>92</v>
      </c>
      <c r="F5561" t="s">
        <v>86</v>
      </c>
      <c r="G5561" t="s">
        <v>7801</v>
      </c>
      <c r="H5561" t="s">
        <v>3957</v>
      </c>
      <c r="I5561" t="s">
        <v>3958</v>
      </c>
      <c r="J5561" t="s">
        <v>8119</v>
      </c>
      <c r="K5561" t="s">
        <v>7864</v>
      </c>
      <c r="L5561" t="s">
        <v>53</v>
      </c>
      <c r="P5561" t="s">
        <v>55</v>
      </c>
      <c r="R5561" t="s">
        <v>56</v>
      </c>
      <c r="T5561" t="s">
        <v>9886</v>
      </c>
      <c r="U5561" t="s">
        <v>58</v>
      </c>
      <c r="V5561">
        <v>1</v>
      </c>
      <c r="W5561">
        <v>1</v>
      </c>
      <c r="X5561">
        <v>1</v>
      </c>
      <c r="Y5561">
        <v>0</v>
      </c>
      <c r="Z5561">
        <v>1</v>
      </c>
      <c r="AA5561">
        <v>238.32</v>
      </c>
      <c r="AB5561">
        <v>238.32</v>
      </c>
      <c r="AC5561">
        <v>209.7</v>
      </c>
      <c r="AD5561">
        <v>0</v>
      </c>
      <c r="AE5561">
        <v>28.62</v>
      </c>
      <c r="AF5561">
        <v>0</v>
      </c>
      <c r="AG5561">
        <v>0</v>
      </c>
      <c r="AH5561">
        <v>0</v>
      </c>
      <c r="AI5561">
        <v>0</v>
      </c>
      <c r="AJ5561">
        <v>238.32</v>
      </c>
      <c r="AK5561">
        <v>0</v>
      </c>
      <c r="AL5561" t="s">
        <v>53</v>
      </c>
      <c r="AM5561" t="s">
        <v>53</v>
      </c>
      <c r="AN5561" t="s">
        <v>53</v>
      </c>
      <c r="AO5561" t="s">
        <v>53</v>
      </c>
      <c r="AP5561" t="s">
        <v>53</v>
      </c>
    </row>
    <row r="5562" spans="2:42" x14ac:dyDescent="0.2">
      <c r="B5562" t="s">
        <v>44</v>
      </c>
      <c r="C5562" t="str">
        <f>HYPERLINK("https://us2.cloudbeds.com/connect/8493803454333002#/reservations/9080486846336926?display=2M0BPQKXMT&amp;reservation_id=9080486846336926", "2M0BPQKXMT")</f>
        <v>2M0BPQKXMT</v>
      </c>
      <c r="D5562" t="s">
        <v>45</v>
      </c>
      <c r="E5562" t="s">
        <v>69</v>
      </c>
      <c r="F5562" t="s">
        <v>70</v>
      </c>
      <c r="G5562" t="s">
        <v>48</v>
      </c>
      <c r="H5562" t="s">
        <v>49</v>
      </c>
      <c r="I5562" t="s">
        <v>8964</v>
      </c>
      <c r="J5562" t="s">
        <v>9692</v>
      </c>
      <c r="K5562" t="s">
        <v>9829</v>
      </c>
      <c r="L5562" t="s">
        <v>53</v>
      </c>
      <c r="N5562" t="s">
        <v>9887</v>
      </c>
      <c r="P5562" t="s">
        <v>55</v>
      </c>
      <c r="R5562" t="s">
        <v>53</v>
      </c>
      <c r="T5562" t="s">
        <v>9888</v>
      </c>
      <c r="U5562" t="s">
        <v>58</v>
      </c>
      <c r="V5562">
        <v>2</v>
      </c>
      <c r="W5562">
        <v>1</v>
      </c>
      <c r="X5562">
        <v>2</v>
      </c>
      <c r="Y5562">
        <v>0</v>
      </c>
      <c r="Z5562">
        <v>2</v>
      </c>
      <c r="AA5562">
        <v>0</v>
      </c>
      <c r="AB5562">
        <v>0</v>
      </c>
      <c r="AC5562">
        <v>304</v>
      </c>
      <c r="AD5562">
        <v>0</v>
      </c>
      <c r="AE5562">
        <v>0</v>
      </c>
      <c r="AF5562">
        <v>0</v>
      </c>
      <c r="AG5562">
        <v>0</v>
      </c>
      <c r="AH5562">
        <v>0</v>
      </c>
      <c r="AI5562">
        <v>45.6</v>
      </c>
      <c r="AJ5562">
        <v>304</v>
      </c>
      <c r="AK5562">
        <v>304</v>
      </c>
      <c r="AL5562" t="s">
        <v>53</v>
      </c>
      <c r="AM5562" t="s">
        <v>53</v>
      </c>
      <c r="AN5562" t="s">
        <v>53</v>
      </c>
      <c r="AO5562" t="s">
        <v>53</v>
      </c>
      <c r="AP5562" t="s">
        <v>53</v>
      </c>
    </row>
    <row r="5563" spans="2:42" x14ac:dyDescent="0.2">
      <c r="B5563" t="s">
        <v>44</v>
      </c>
      <c r="C5563" t="str">
        <f>HYPERLINK("https://us2.cloudbeds.com/connect/8493803454333002#/reservations/9080486846337077?display=2M0GANAVY8&amp;reservation_id=9080486846337077", "2M0GANAVY8")</f>
        <v>2M0GANAVY8</v>
      </c>
      <c r="D5563" t="s">
        <v>45</v>
      </c>
      <c r="E5563" t="s">
        <v>138</v>
      </c>
      <c r="F5563" t="s">
        <v>70</v>
      </c>
      <c r="G5563" t="s">
        <v>48</v>
      </c>
      <c r="H5563" t="s">
        <v>49</v>
      </c>
      <c r="I5563" t="s">
        <v>50</v>
      </c>
      <c r="J5563" t="s">
        <v>8819</v>
      </c>
      <c r="K5563" t="s">
        <v>9858</v>
      </c>
      <c r="L5563" t="s">
        <v>53</v>
      </c>
      <c r="N5563" t="s">
        <v>9889</v>
      </c>
      <c r="P5563" t="s">
        <v>55</v>
      </c>
      <c r="R5563" t="s">
        <v>53</v>
      </c>
      <c r="T5563" t="s">
        <v>9890</v>
      </c>
      <c r="U5563" t="s">
        <v>58</v>
      </c>
      <c r="V5563">
        <v>1</v>
      </c>
      <c r="W5563">
        <v>1</v>
      </c>
      <c r="X5563">
        <v>2</v>
      </c>
      <c r="Y5563">
        <v>0</v>
      </c>
      <c r="Z5563">
        <v>2</v>
      </c>
      <c r="AA5563">
        <v>118.65</v>
      </c>
      <c r="AB5563">
        <v>118.65</v>
      </c>
      <c r="AC5563">
        <v>104.4</v>
      </c>
      <c r="AD5563">
        <v>0</v>
      </c>
      <c r="AE5563">
        <v>14.25</v>
      </c>
      <c r="AF5563">
        <v>0</v>
      </c>
      <c r="AG5563">
        <v>0</v>
      </c>
      <c r="AH5563">
        <v>0</v>
      </c>
      <c r="AI5563">
        <v>21.36</v>
      </c>
      <c r="AJ5563">
        <v>118.65</v>
      </c>
      <c r="AK5563">
        <v>118.65</v>
      </c>
      <c r="AL5563" t="s">
        <v>53</v>
      </c>
      <c r="AM5563" t="s">
        <v>53</v>
      </c>
      <c r="AN5563" t="s">
        <v>53</v>
      </c>
      <c r="AO5563" t="s">
        <v>53</v>
      </c>
      <c r="AP5563" t="s">
        <v>53</v>
      </c>
    </row>
    <row r="5564" spans="2:42" x14ac:dyDescent="0.2">
      <c r="B5564" t="s">
        <v>44</v>
      </c>
      <c r="C5564" t="str">
        <f>HYPERLINK("https://us2.cloudbeds.com/connect/8493803454333002#/reservations/9080486846338663?display=2M2004QHKH&amp;reservation_id=9080486846338663", "2M2004QHKH")</f>
        <v>2M2004QHKH</v>
      </c>
      <c r="D5564" t="s">
        <v>45</v>
      </c>
      <c r="E5564" t="s">
        <v>78</v>
      </c>
      <c r="F5564" t="s">
        <v>61</v>
      </c>
      <c r="G5564" t="s">
        <v>48</v>
      </c>
      <c r="H5564" t="s">
        <v>49</v>
      </c>
      <c r="I5564" t="s">
        <v>50</v>
      </c>
      <c r="J5564" t="s">
        <v>7750</v>
      </c>
      <c r="K5564" t="s">
        <v>8367</v>
      </c>
      <c r="L5564" t="s">
        <v>53</v>
      </c>
      <c r="N5564" t="s">
        <v>9891</v>
      </c>
      <c r="P5564" t="s">
        <v>55</v>
      </c>
      <c r="R5564" t="s">
        <v>53</v>
      </c>
      <c r="T5564" t="s">
        <v>9892</v>
      </c>
      <c r="U5564" t="s">
        <v>58</v>
      </c>
      <c r="V5564">
        <v>1</v>
      </c>
      <c r="W5564">
        <v>1</v>
      </c>
      <c r="X5564">
        <v>2</v>
      </c>
      <c r="Y5564">
        <v>0</v>
      </c>
      <c r="Z5564">
        <v>2</v>
      </c>
      <c r="AA5564">
        <v>220.57</v>
      </c>
      <c r="AB5564">
        <v>220.57</v>
      </c>
      <c r="AC5564">
        <v>194.08</v>
      </c>
      <c r="AD5564">
        <v>0</v>
      </c>
      <c r="AE5564">
        <v>26.49</v>
      </c>
      <c r="AF5564">
        <v>0</v>
      </c>
      <c r="AG5564">
        <v>0</v>
      </c>
      <c r="AH5564">
        <v>0</v>
      </c>
      <c r="AI5564">
        <v>39.700000000000003</v>
      </c>
      <c r="AJ5564">
        <v>220.57</v>
      </c>
      <c r="AK5564">
        <v>0</v>
      </c>
      <c r="AL5564" t="s">
        <v>53</v>
      </c>
      <c r="AM5564" t="s">
        <v>53</v>
      </c>
      <c r="AN5564" t="s">
        <v>53</v>
      </c>
      <c r="AO5564" t="s">
        <v>53</v>
      </c>
      <c r="AP5564" t="s">
        <v>53</v>
      </c>
    </row>
    <row r="5565" spans="2:42" x14ac:dyDescent="0.2">
      <c r="B5565" t="s">
        <v>44</v>
      </c>
      <c r="C5565" t="str">
        <f>HYPERLINK("https://us2.cloudbeds.com/connect/8493803454333002#/reservations/123869196451993?display=2M2FG2GPSZ&amp;reservation_id=123869196451993", "2M2FG2GPSZ")</f>
        <v>2M2FG2GPSZ</v>
      </c>
      <c r="D5565" t="s">
        <v>45</v>
      </c>
      <c r="E5565" t="s">
        <v>113</v>
      </c>
      <c r="F5565" t="s">
        <v>61</v>
      </c>
      <c r="G5565" t="s">
        <v>3974</v>
      </c>
      <c r="H5565" t="s">
        <v>3957</v>
      </c>
      <c r="I5565" t="s">
        <v>3975</v>
      </c>
      <c r="J5565" t="s">
        <v>8670</v>
      </c>
      <c r="K5565" t="s">
        <v>7989</v>
      </c>
      <c r="L5565" t="s">
        <v>53</v>
      </c>
      <c r="P5565" t="s">
        <v>55</v>
      </c>
      <c r="R5565" t="s">
        <v>53</v>
      </c>
      <c r="T5565" t="s">
        <v>9893</v>
      </c>
      <c r="U5565" t="s">
        <v>58</v>
      </c>
      <c r="V5565">
        <v>1</v>
      </c>
      <c r="W5565">
        <v>1</v>
      </c>
      <c r="X5565">
        <v>2</v>
      </c>
      <c r="Y5565">
        <v>0</v>
      </c>
      <c r="Z5565">
        <v>2</v>
      </c>
      <c r="AA5565">
        <v>258.04000000000002</v>
      </c>
      <c r="AB5565">
        <v>260.75</v>
      </c>
      <c r="AC5565">
        <v>227.05</v>
      </c>
      <c r="AD5565">
        <v>2.5</v>
      </c>
      <c r="AE5565">
        <v>31.2</v>
      </c>
      <c r="AF5565">
        <v>0</v>
      </c>
      <c r="AG5565">
        <v>0</v>
      </c>
      <c r="AH5565">
        <v>0</v>
      </c>
      <c r="AI5565">
        <v>0</v>
      </c>
      <c r="AJ5565">
        <v>260.75</v>
      </c>
      <c r="AK5565">
        <v>0</v>
      </c>
      <c r="AL5565" t="s">
        <v>53</v>
      </c>
      <c r="AM5565" t="s">
        <v>53</v>
      </c>
      <c r="AN5565" t="s">
        <v>53</v>
      </c>
      <c r="AO5565" t="s">
        <v>53</v>
      </c>
      <c r="AP5565" t="s">
        <v>53</v>
      </c>
    </row>
    <row r="5566" spans="2:42" x14ac:dyDescent="0.2">
      <c r="B5566" t="s">
        <v>44</v>
      </c>
      <c r="C5566" t="str">
        <f>HYPERLINK("https://us2.cloudbeds.com/connect/8493803454333002#/reservations/9080486846339207?display=2M2MPA4ZBK&amp;reservation_id=9080486846339207", "2M2MPA4ZBK")</f>
        <v>2M2MPA4ZBK</v>
      </c>
      <c r="D5566" t="s">
        <v>45</v>
      </c>
      <c r="E5566" t="s">
        <v>155</v>
      </c>
      <c r="F5566" t="s">
        <v>86</v>
      </c>
      <c r="G5566" t="s">
        <v>48</v>
      </c>
      <c r="H5566" t="s">
        <v>49</v>
      </c>
      <c r="I5566" t="s">
        <v>50</v>
      </c>
      <c r="J5566" t="s">
        <v>7906</v>
      </c>
      <c r="K5566" t="s">
        <v>8713</v>
      </c>
      <c r="L5566" t="s">
        <v>53</v>
      </c>
      <c r="N5566" t="s">
        <v>9894</v>
      </c>
      <c r="P5566" t="s">
        <v>55</v>
      </c>
      <c r="R5566" t="s">
        <v>53</v>
      </c>
      <c r="T5566" t="s">
        <v>9895</v>
      </c>
      <c r="U5566" t="s">
        <v>58</v>
      </c>
      <c r="V5566">
        <v>2</v>
      </c>
      <c r="W5566">
        <v>1</v>
      </c>
      <c r="X5566">
        <v>2</v>
      </c>
      <c r="Y5566">
        <v>2</v>
      </c>
      <c r="Z5566">
        <v>4</v>
      </c>
      <c r="AA5566">
        <v>464.37</v>
      </c>
      <c r="AB5566">
        <v>464.37</v>
      </c>
      <c r="AC5566">
        <v>408.6</v>
      </c>
      <c r="AD5566">
        <v>0</v>
      </c>
      <c r="AE5566">
        <v>55.77</v>
      </c>
      <c r="AF5566">
        <v>0</v>
      </c>
      <c r="AG5566">
        <v>0</v>
      </c>
      <c r="AH5566">
        <v>0</v>
      </c>
      <c r="AI5566">
        <v>83.59</v>
      </c>
      <c r="AJ5566">
        <v>464.37</v>
      </c>
      <c r="AK5566">
        <v>0</v>
      </c>
      <c r="AL5566" t="s">
        <v>53</v>
      </c>
      <c r="AM5566" t="s">
        <v>53</v>
      </c>
      <c r="AN5566" t="s">
        <v>53</v>
      </c>
      <c r="AO5566" t="s">
        <v>53</v>
      </c>
      <c r="AP5566" t="s">
        <v>53</v>
      </c>
    </row>
    <row r="5567" spans="2:42" x14ac:dyDescent="0.2">
      <c r="B5567" t="s">
        <v>44</v>
      </c>
      <c r="C5567" t="str">
        <f>HYPERLINK("https://us2.cloudbeds.com/connect/8493803454333002#/reservations/9080486846339320?display=2M2T616567&amp;reservation_id=9080486846339320", "2M2T616567")</f>
        <v>2M2T616567</v>
      </c>
      <c r="D5567" t="s">
        <v>45</v>
      </c>
      <c r="E5567" t="s">
        <v>85</v>
      </c>
      <c r="F5567" t="s">
        <v>86</v>
      </c>
      <c r="G5567" t="s">
        <v>48</v>
      </c>
      <c r="H5567" t="s">
        <v>49</v>
      </c>
      <c r="I5567" t="s">
        <v>50</v>
      </c>
      <c r="J5567" t="s">
        <v>8060</v>
      </c>
      <c r="K5567" t="s">
        <v>7967</v>
      </c>
      <c r="L5567" t="s">
        <v>53</v>
      </c>
      <c r="N5567" t="s">
        <v>9896</v>
      </c>
      <c r="P5567" t="s">
        <v>55</v>
      </c>
      <c r="R5567" t="s">
        <v>53</v>
      </c>
      <c r="T5567" t="s">
        <v>9897</v>
      </c>
      <c r="U5567" t="s">
        <v>58</v>
      </c>
      <c r="V5567">
        <v>1</v>
      </c>
      <c r="W5567">
        <v>1</v>
      </c>
      <c r="X5567">
        <v>2</v>
      </c>
      <c r="Y5567">
        <v>0</v>
      </c>
      <c r="Z5567">
        <v>2</v>
      </c>
      <c r="AA5567">
        <v>185.13</v>
      </c>
      <c r="AB5567">
        <v>185.13</v>
      </c>
      <c r="AC5567">
        <v>162.9</v>
      </c>
      <c r="AD5567">
        <v>0</v>
      </c>
      <c r="AE5567">
        <v>22.23</v>
      </c>
      <c r="AF5567">
        <v>0</v>
      </c>
      <c r="AG5567">
        <v>0</v>
      </c>
      <c r="AH5567">
        <v>0</v>
      </c>
      <c r="AI5567">
        <v>33.32</v>
      </c>
      <c r="AJ5567">
        <v>185.13</v>
      </c>
      <c r="AK5567">
        <v>0</v>
      </c>
      <c r="AL5567" t="s">
        <v>53</v>
      </c>
      <c r="AM5567" t="s">
        <v>53</v>
      </c>
      <c r="AN5567" t="s">
        <v>53</v>
      </c>
      <c r="AO5567" t="s">
        <v>53</v>
      </c>
      <c r="AP5567" t="s">
        <v>53</v>
      </c>
    </row>
    <row r="5568" spans="2:42" x14ac:dyDescent="0.2">
      <c r="B5568" t="s">
        <v>44</v>
      </c>
      <c r="C5568" t="str">
        <f>HYPERLINK("https://us2.cloudbeds.com/connect/8493803454333002#/reservations/9080486846339770?display=2M3XCVP7E1&amp;reservation_id=9080486846339770", "2M3XCVP7E1")</f>
        <v>2M3XCVP7E1</v>
      </c>
      <c r="D5568" t="s">
        <v>45</v>
      </c>
      <c r="E5568" t="s">
        <v>179</v>
      </c>
      <c r="F5568" t="s">
        <v>47</v>
      </c>
      <c r="G5568" t="s">
        <v>48</v>
      </c>
      <c r="H5568" t="s">
        <v>49</v>
      </c>
      <c r="I5568" t="s">
        <v>50</v>
      </c>
      <c r="J5568" t="s">
        <v>8816</v>
      </c>
      <c r="K5568" t="s">
        <v>6373</v>
      </c>
      <c r="L5568" t="s">
        <v>53</v>
      </c>
      <c r="N5568" t="s">
        <v>9898</v>
      </c>
      <c r="P5568" t="s">
        <v>55</v>
      </c>
      <c r="R5568" t="s">
        <v>53</v>
      </c>
      <c r="T5568" t="s">
        <v>9899</v>
      </c>
      <c r="U5568" t="s">
        <v>58</v>
      </c>
      <c r="V5568">
        <v>1</v>
      </c>
      <c r="W5568">
        <v>1</v>
      </c>
      <c r="X5568">
        <v>2</v>
      </c>
      <c r="Y5568">
        <v>0</v>
      </c>
      <c r="Z5568">
        <v>2</v>
      </c>
      <c r="AA5568">
        <v>180.93</v>
      </c>
      <c r="AB5568">
        <v>180.93</v>
      </c>
      <c r="AC5568">
        <v>159.19999999999999</v>
      </c>
      <c r="AD5568">
        <v>0</v>
      </c>
      <c r="AE5568">
        <v>21.73</v>
      </c>
      <c r="AF5568">
        <v>0</v>
      </c>
      <c r="AG5568">
        <v>0</v>
      </c>
      <c r="AH5568">
        <v>0</v>
      </c>
      <c r="AI5568">
        <v>32.57</v>
      </c>
      <c r="AJ5568">
        <v>180.93</v>
      </c>
      <c r="AK5568">
        <v>0</v>
      </c>
      <c r="AL5568" t="s">
        <v>53</v>
      </c>
      <c r="AM5568" t="s">
        <v>53</v>
      </c>
      <c r="AN5568" t="s">
        <v>9900</v>
      </c>
      <c r="AO5568" t="s">
        <v>53</v>
      </c>
      <c r="AP5568" t="s">
        <v>53</v>
      </c>
    </row>
    <row r="5569" spans="2:42" x14ac:dyDescent="0.2">
      <c r="B5569" t="s">
        <v>44</v>
      </c>
      <c r="C5569" t="str">
        <f>HYPERLINK("https://us2.cloudbeds.com/connect/8493803454333002#/reservations/9080486846339835?display=2M3YWMG9GR&amp;reservation_id=9080486846339835", "2M3YWMG9GR")</f>
        <v>2M3YWMG9GR</v>
      </c>
      <c r="D5569" t="s">
        <v>45</v>
      </c>
      <c r="E5569" t="s">
        <v>113</v>
      </c>
      <c r="F5569" t="s">
        <v>61</v>
      </c>
      <c r="G5569" t="s">
        <v>48</v>
      </c>
      <c r="H5569" t="s">
        <v>49</v>
      </c>
      <c r="I5569" t="s">
        <v>62</v>
      </c>
      <c r="J5569" t="s">
        <v>6828</v>
      </c>
      <c r="K5569" t="s">
        <v>6829</v>
      </c>
      <c r="L5569" t="s">
        <v>53</v>
      </c>
      <c r="N5569" t="s">
        <v>9901</v>
      </c>
      <c r="P5569" t="s">
        <v>55</v>
      </c>
      <c r="R5569" t="s">
        <v>56</v>
      </c>
      <c r="T5569" t="s">
        <v>9902</v>
      </c>
      <c r="U5569" t="s">
        <v>55</v>
      </c>
      <c r="V5569">
        <v>2</v>
      </c>
      <c r="W5569">
        <v>1</v>
      </c>
      <c r="X5569">
        <v>2</v>
      </c>
      <c r="Y5569">
        <v>0</v>
      </c>
      <c r="Z5569">
        <v>2</v>
      </c>
      <c r="AA5569">
        <v>337</v>
      </c>
      <c r="AB5569">
        <v>337</v>
      </c>
      <c r="AC5569">
        <v>337</v>
      </c>
      <c r="AD5569">
        <v>0</v>
      </c>
      <c r="AE5569">
        <v>0</v>
      </c>
      <c r="AF5569">
        <v>0</v>
      </c>
      <c r="AG5569">
        <v>0</v>
      </c>
      <c r="AH5569">
        <v>0</v>
      </c>
      <c r="AI5569">
        <v>60.66</v>
      </c>
      <c r="AJ5569">
        <v>337</v>
      </c>
      <c r="AK5569">
        <v>0</v>
      </c>
      <c r="AL5569" t="s">
        <v>53</v>
      </c>
      <c r="AM5569" t="s">
        <v>53</v>
      </c>
      <c r="AN5569" t="s">
        <v>53</v>
      </c>
      <c r="AO5569" t="s">
        <v>53</v>
      </c>
      <c r="AP5569" t="s">
        <v>53</v>
      </c>
    </row>
    <row r="5570" spans="2:42" x14ac:dyDescent="0.2">
      <c r="B5570" t="s">
        <v>44</v>
      </c>
      <c r="C5570" t="str">
        <f>HYPERLINK("https://us2.cloudbeds.com/connect/8493803454333002#/reservations/9080486846339890?display=2M3Z714UDZ&amp;reservation_id=9080486846339890", "2M3Z714UDZ")</f>
        <v>2M3Z714UDZ</v>
      </c>
      <c r="D5570" t="s">
        <v>45</v>
      </c>
      <c r="E5570" t="s">
        <v>113</v>
      </c>
      <c r="F5570" t="s">
        <v>61</v>
      </c>
      <c r="G5570" t="s">
        <v>48</v>
      </c>
      <c r="H5570" t="s">
        <v>49</v>
      </c>
      <c r="I5570" t="s">
        <v>50</v>
      </c>
      <c r="J5570" t="s">
        <v>5905</v>
      </c>
      <c r="K5570" t="s">
        <v>7293</v>
      </c>
      <c r="L5570" t="s">
        <v>53</v>
      </c>
      <c r="N5570" t="s">
        <v>9903</v>
      </c>
      <c r="P5570" t="s">
        <v>55</v>
      </c>
      <c r="R5570" t="s">
        <v>53</v>
      </c>
      <c r="T5570" t="s">
        <v>9904</v>
      </c>
      <c r="U5570" t="s">
        <v>58</v>
      </c>
      <c r="V5570">
        <v>2</v>
      </c>
      <c r="W5570">
        <v>1</v>
      </c>
      <c r="X5570">
        <v>2</v>
      </c>
      <c r="Y5570">
        <v>0</v>
      </c>
      <c r="Z5570">
        <v>2</v>
      </c>
      <c r="AA5570">
        <v>372.6</v>
      </c>
      <c r="AB5570">
        <v>372.6</v>
      </c>
      <c r="AC5570">
        <v>327.85</v>
      </c>
      <c r="AD5570">
        <v>0</v>
      </c>
      <c r="AE5570">
        <v>44.75</v>
      </c>
      <c r="AF5570">
        <v>0</v>
      </c>
      <c r="AG5570">
        <v>0</v>
      </c>
      <c r="AH5570">
        <v>0</v>
      </c>
      <c r="AI5570">
        <v>67.069999999999993</v>
      </c>
      <c r="AJ5570">
        <v>372.6</v>
      </c>
      <c r="AK5570">
        <v>0</v>
      </c>
      <c r="AL5570" t="s">
        <v>53</v>
      </c>
      <c r="AM5570" t="s">
        <v>53</v>
      </c>
      <c r="AN5570" t="s">
        <v>53</v>
      </c>
      <c r="AO5570" t="s">
        <v>53</v>
      </c>
      <c r="AP5570" t="s">
        <v>53</v>
      </c>
    </row>
    <row r="5571" spans="2:42" x14ac:dyDescent="0.2">
      <c r="B5571" t="s">
        <v>44</v>
      </c>
      <c r="C5571" t="str">
        <f>HYPERLINK("https://us2.cloudbeds.com/connect/8493803454333002#/reservations/9080486846342272?display=2M7K2WESBS&amp;reservation_id=9080486846342272", "2M7K2WESBS")</f>
        <v>2M7K2WESBS</v>
      </c>
      <c r="D5571" t="s">
        <v>45</v>
      </c>
      <c r="E5571" t="s">
        <v>69</v>
      </c>
      <c r="F5571" t="s">
        <v>70</v>
      </c>
      <c r="G5571" t="s">
        <v>48</v>
      </c>
      <c r="H5571" t="s">
        <v>49</v>
      </c>
      <c r="I5571" t="s">
        <v>50</v>
      </c>
      <c r="J5571" t="s">
        <v>7864</v>
      </c>
      <c r="K5571" t="s">
        <v>8816</v>
      </c>
      <c r="L5571" t="s">
        <v>53</v>
      </c>
      <c r="N5571" t="s">
        <v>9905</v>
      </c>
      <c r="P5571" t="s">
        <v>55</v>
      </c>
      <c r="R5571" t="s">
        <v>53</v>
      </c>
      <c r="T5571" t="s">
        <v>9906</v>
      </c>
      <c r="U5571" t="s">
        <v>58</v>
      </c>
      <c r="V5571">
        <v>1</v>
      </c>
      <c r="W5571">
        <v>1</v>
      </c>
      <c r="X5571">
        <v>1</v>
      </c>
      <c r="Y5571">
        <v>0</v>
      </c>
      <c r="Z5571">
        <v>1</v>
      </c>
      <c r="AA5571">
        <v>169.12</v>
      </c>
      <c r="AB5571">
        <v>169.12</v>
      </c>
      <c r="AC5571">
        <v>148.80000000000001</v>
      </c>
      <c r="AD5571">
        <v>0</v>
      </c>
      <c r="AE5571">
        <v>20.32</v>
      </c>
      <c r="AF5571">
        <v>0</v>
      </c>
      <c r="AG5571">
        <v>0</v>
      </c>
      <c r="AH5571">
        <v>0</v>
      </c>
      <c r="AI5571">
        <v>30.44</v>
      </c>
      <c r="AJ5571">
        <v>169.12</v>
      </c>
      <c r="AK5571">
        <v>0</v>
      </c>
      <c r="AL5571" t="s">
        <v>53</v>
      </c>
      <c r="AM5571" t="s">
        <v>53</v>
      </c>
      <c r="AN5571" t="s">
        <v>9907</v>
      </c>
      <c r="AO5571" t="s">
        <v>53</v>
      </c>
      <c r="AP5571" t="s">
        <v>53</v>
      </c>
    </row>
    <row r="5572" spans="2:42" x14ac:dyDescent="0.2">
      <c r="B5572" t="s">
        <v>44</v>
      </c>
      <c r="C5572" t="str">
        <f>HYPERLINK("https://us2.cloudbeds.com/connect/8493803454333002#/reservations/9080486846342434?display=2M7QXWA0R7&amp;reservation_id=9080486846342434", "2M7QXWA0R7")</f>
        <v>2M7QXWA0R7</v>
      </c>
      <c r="D5572" t="s">
        <v>45</v>
      </c>
      <c r="E5572" t="s">
        <v>223</v>
      </c>
      <c r="F5572" t="s">
        <v>47</v>
      </c>
      <c r="G5572" t="s">
        <v>48</v>
      </c>
      <c r="H5572" t="s">
        <v>49</v>
      </c>
      <c r="I5572" t="s">
        <v>50</v>
      </c>
      <c r="J5572" t="s">
        <v>7864</v>
      </c>
      <c r="K5572" t="s">
        <v>8816</v>
      </c>
      <c r="L5572" t="s">
        <v>53</v>
      </c>
      <c r="N5572" t="s">
        <v>9908</v>
      </c>
      <c r="P5572" t="s">
        <v>55</v>
      </c>
      <c r="R5572" t="s">
        <v>53</v>
      </c>
      <c r="T5572" t="s">
        <v>9909</v>
      </c>
      <c r="U5572" t="s">
        <v>58</v>
      </c>
      <c r="V5572">
        <v>1</v>
      </c>
      <c r="W5572">
        <v>1</v>
      </c>
      <c r="X5572">
        <v>2</v>
      </c>
      <c r="Y5572">
        <v>0</v>
      </c>
      <c r="Z5572">
        <v>2</v>
      </c>
      <c r="AA5572">
        <v>202.53</v>
      </c>
      <c r="AB5572">
        <v>202.53</v>
      </c>
      <c r="AC5572">
        <v>178.2</v>
      </c>
      <c r="AD5572">
        <v>0</v>
      </c>
      <c r="AE5572">
        <v>24.33</v>
      </c>
      <c r="AF5572">
        <v>0</v>
      </c>
      <c r="AG5572">
        <v>0</v>
      </c>
      <c r="AH5572">
        <v>0</v>
      </c>
      <c r="AI5572">
        <v>36.46</v>
      </c>
      <c r="AJ5572">
        <v>202.53</v>
      </c>
      <c r="AK5572">
        <v>0</v>
      </c>
      <c r="AL5572" t="s">
        <v>53</v>
      </c>
      <c r="AM5572" t="s">
        <v>53</v>
      </c>
      <c r="AN5572" t="s">
        <v>53</v>
      </c>
      <c r="AO5572" t="s">
        <v>53</v>
      </c>
      <c r="AP5572" t="s">
        <v>53</v>
      </c>
    </row>
    <row r="5573" spans="2:42" x14ac:dyDescent="0.2">
      <c r="B5573" t="s">
        <v>44</v>
      </c>
      <c r="C5573" t="str">
        <f>HYPERLINK("https://us2.cloudbeds.com/connect/8493803454333002#/reservations/9080486846342504?display=2M7SH1YMW9&amp;reservation_id=9080486846342504", "2M7SH1YMW9")</f>
        <v>2M7SH1YMW9</v>
      </c>
      <c r="D5573" t="s">
        <v>45</v>
      </c>
      <c r="E5573" t="s">
        <v>185</v>
      </c>
      <c r="F5573" t="s">
        <v>47</v>
      </c>
      <c r="G5573" t="s">
        <v>48</v>
      </c>
      <c r="H5573" t="s">
        <v>49</v>
      </c>
      <c r="I5573" t="s">
        <v>50</v>
      </c>
      <c r="J5573" t="s">
        <v>7864</v>
      </c>
      <c r="K5573" t="s">
        <v>6373</v>
      </c>
      <c r="L5573" t="s">
        <v>53</v>
      </c>
      <c r="N5573" t="s">
        <v>9910</v>
      </c>
      <c r="P5573" t="s">
        <v>55</v>
      </c>
      <c r="R5573" t="s">
        <v>53</v>
      </c>
      <c r="T5573" t="s">
        <v>9911</v>
      </c>
      <c r="U5573" t="s">
        <v>58</v>
      </c>
      <c r="V5573">
        <v>2</v>
      </c>
      <c r="W5573">
        <v>1</v>
      </c>
      <c r="X5573">
        <v>2</v>
      </c>
      <c r="Y5573">
        <v>0</v>
      </c>
      <c r="Z5573">
        <v>2</v>
      </c>
      <c r="AA5573">
        <v>416.3</v>
      </c>
      <c r="AB5573">
        <v>416.3</v>
      </c>
      <c r="AC5573">
        <v>366.3</v>
      </c>
      <c r="AD5573">
        <v>0</v>
      </c>
      <c r="AE5573">
        <v>50</v>
      </c>
      <c r="AF5573">
        <v>0</v>
      </c>
      <c r="AG5573">
        <v>0</v>
      </c>
      <c r="AH5573">
        <v>0</v>
      </c>
      <c r="AI5573">
        <v>74.930000000000007</v>
      </c>
      <c r="AJ5573">
        <v>416.3</v>
      </c>
      <c r="AK5573">
        <v>0</v>
      </c>
      <c r="AL5573" t="s">
        <v>53</v>
      </c>
      <c r="AM5573" t="s">
        <v>53</v>
      </c>
      <c r="AN5573" t="s">
        <v>53</v>
      </c>
      <c r="AO5573" t="s">
        <v>53</v>
      </c>
      <c r="AP5573" t="s">
        <v>53</v>
      </c>
    </row>
    <row r="5574" spans="2:42" x14ac:dyDescent="0.2">
      <c r="B5574" t="s">
        <v>44</v>
      </c>
      <c r="C5574" t="str">
        <f>HYPERLINK("https://us2.cloudbeds.com/connect/8493803454333002#/reservations/9080486846342662?display=2M80SU93WQ&amp;reservation_id=9080486846342662", "2M80SU93WQ")</f>
        <v>2M80SU93WQ</v>
      </c>
      <c r="D5574" t="s">
        <v>45</v>
      </c>
      <c r="E5574" t="s">
        <v>128</v>
      </c>
      <c r="F5574" t="s">
        <v>86</v>
      </c>
      <c r="G5574" t="s">
        <v>48</v>
      </c>
      <c r="H5574" t="s">
        <v>49</v>
      </c>
      <c r="I5574" t="s">
        <v>62</v>
      </c>
      <c r="J5574" t="s">
        <v>7864</v>
      </c>
      <c r="K5574" t="s">
        <v>8816</v>
      </c>
      <c r="L5574" t="s">
        <v>53</v>
      </c>
      <c r="N5574" t="s">
        <v>9912</v>
      </c>
      <c r="P5574" t="s">
        <v>55</v>
      </c>
      <c r="R5574" t="s">
        <v>56</v>
      </c>
      <c r="T5574" t="s">
        <v>9913</v>
      </c>
      <c r="U5574" t="s">
        <v>55</v>
      </c>
      <c r="V5574">
        <v>1</v>
      </c>
      <c r="W5574">
        <v>1</v>
      </c>
      <c r="X5574">
        <v>1</v>
      </c>
      <c r="Y5574">
        <v>3</v>
      </c>
      <c r="Z5574">
        <v>4</v>
      </c>
      <c r="AA5574">
        <v>223</v>
      </c>
      <c r="AB5574">
        <v>223</v>
      </c>
      <c r="AC5574">
        <v>223</v>
      </c>
      <c r="AD5574">
        <v>0</v>
      </c>
      <c r="AE5574">
        <v>0</v>
      </c>
      <c r="AF5574">
        <v>0</v>
      </c>
      <c r="AG5574">
        <v>0</v>
      </c>
      <c r="AH5574">
        <v>0</v>
      </c>
      <c r="AI5574">
        <v>40.14</v>
      </c>
      <c r="AJ5574">
        <v>223</v>
      </c>
      <c r="AK5574">
        <v>0</v>
      </c>
      <c r="AL5574" t="s">
        <v>53</v>
      </c>
      <c r="AM5574" t="s">
        <v>53</v>
      </c>
      <c r="AN5574" t="s">
        <v>53</v>
      </c>
      <c r="AO5574" t="s">
        <v>53</v>
      </c>
      <c r="AP5574" t="s">
        <v>53</v>
      </c>
    </row>
    <row r="5575" spans="2:42" x14ac:dyDescent="0.2">
      <c r="B5575" t="s">
        <v>44</v>
      </c>
      <c r="C5575" t="str">
        <f>HYPERLINK("https://us2.cloudbeds.com/connect/8493803454333002#/reservations/9080486846342919?display=2M8AMV35DE&amp;reservation_id=9080486846342919", "2M8AMV35DE")</f>
        <v>2M8AMV35DE</v>
      </c>
      <c r="D5575" t="s">
        <v>45</v>
      </c>
      <c r="E5575" t="s">
        <v>373</v>
      </c>
      <c r="F5575" t="s">
        <v>47</v>
      </c>
      <c r="G5575" t="s">
        <v>48</v>
      </c>
      <c r="H5575" t="s">
        <v>49</v>
      </c>
      <c r="I5575" t="s">
        <v>50</v>
      </c>
      <c r="J5575" t="s">
        <v>6373</v>
      </c>
      <c r="K5575" t="s">
        <v>8765</v>
      </c>
      <c r="L5575" t="s">
        <v>53</v>
      </c>
      <c r="N5575" t="s">
        <v>9914</v>
      </c>
      <c r="P5575" t="s">
        <v>55</v>
      </c>
      <c r="R5575" t="s">
        <v>53</v>
      </c>
      <c r="T5575" t="s">
        <v>9915</v>
      </c>
      <c r="U5575" t="s">
        <v>58</v>
      </c>
      <c r="V5575">
        <v>1</v>
      </c>
      <c r="W5575">
        <v>1</v>
      </c>
      <c r="X5575">
        <v>2</v>
      </c>
      <c r="Y5575">
        <v>0</v>
      </c>
      <c r="Z5575">
        <v>2</v>
      </c>
      <c r="AA5575">
        <v>287.54000000000002</v>
      </c>
      <c r="AB5575">
        <v>287.54000000000002</v>
      </c>
      <c r="AC5575">
        <v>253</v>
      </c>
      <c r="AD5575">
        <v>0</v>
      </c>
      <c r="AE5575">
        <v>34.54</v>
      </c>
      <c r="AF5575">
        <v>0</v>
      </c>
      <c r="AG5575">
        <v>0</v>
      </c>
      <c r="AH5575">
        <v>0</v>
      </c>
      <c r="AI5575">
        <v>51.76</v>
      </c>
      <c r="AJ5575">
        <v>287.54000000000002</v>
      </c>
      <c r="AK5575">
        <v>0</v>
      </c>
      <c r="AL5575" t="s">
        <v>53</v>
      </c>
      <c r="AM5575" t="s">
        <v>53</v>
      </c>
      <c r="AN5575" t="s">
        <v>9916</v>
      </c>
      <c r="AO5575" t="s">
        <v>53</v>
      </c>
      <c r="AP5575" t="s">
        <v>53</v>
      </c>
    </row>
    <row r="5576" spans="2:42" x14ac:dyDescent="0.2">
      <c r="B5576" t="s">
        <v>44</v>
      </c>
      <c r="C5576" t="str">
        <f>HYPERLINK("https://us2.cloudbeds.com/connect/8493803454333002#/reservations/124154970980491?display=2M95P959VY&amp;reservation_id=124154970980491", "2M95P959VY")</f>
        <v>2M95P959VY</v>
      </c>
      <c r="D5576" t="s">
        <v>45</v>
      </c>
      <c r="E5576" t="s">
        <v>165</v>
      </c>
      <c r="F5576" t="s">
        <v>61</v>
      </c>
      <c r="G5576" t="s">
        <v>3974</v>
      </c>
      <c r="H5576" t="s">
        <v>3957</v>
      </c>
      <c r="I5576" t="s">
        <v>3975</v>
      </c>
      <c r="J5576" t="s">
        <v>8261</v>
      </c>
      <c r="K5576" t="s">
        <v>7802</v>
      </c>
      <c r="L5576" t="s">
        <v>53</v>
      </c>
      <c r="P5576" t="s">
        <v>55</v>
      </c>
      <c r="R5576" t="s">
        <v>53</v>
      </c>
      <c r="T5576" t="s">
        <v>9917</v>
      </c>
      <c r="U5576" t="s">
        <v>58</v>
      </c>
      <c r="V5576">
        <v>1</v>
      </c>
      <c r="W5576">
        <v>1</v>
      </c>
      <c r="X5576">
        <v>2</v>
      </c>
      <c r="Y5576">
        <v>0</v>
      </c>
      <c r="Z5576">
        <v>2</v>
      </c>
      <c r="AA5576">
        <v>218.1</v>
      </c>
      <c r="AB5576">
        <v>218.1</v>
      </c>
      <c r="AC5576">
        <v>191.9</v>
      </c>
      <c r="AD5576">
        <v>0</v>
      </c>
      <c r="AE5576">
        <v>26.2</v>
      </c>
      <c r="AF5576">
        <v>0</v>
      </c>
      <c r="AG5576">
        <v>0</v>
      </c>
      <c r="AH5576">
        <v>0</v>
      </c>
      <c r="AI5576">
        <v>0</v>
      </c>
      <c r="AJ5576">
        <v>218.1</v>
      </c>
      <c r="AK5576">
        <v>0</v>
      </c>
      <c r="AL5576" t="s">
        <v>53</v>
      </c>
      <c r="AM5576" t="s">
        <v>53</v>
      </c>
      <c r="AN5576" t="s">
        <v>53</v>
      </c>
      <c r="AO5576" t="s">
        <v>53</v>
      </c>
      <c r="AP5576" t="s">
        <v>53</v>
      </c>
    </row>
    <row r="5577" spans="2:42" x14ac:dyDescent="0.2">
      <c r="B5577" t="s">
        <v>44</v>
      </c>
      <c r="C5577" t="str">
        <f>HYPERLINK("https://us2.cloudbeds.com/connect/8493803454333002#/reservations/9080486846343955?display=2M9DBA3PR3&amp;reservation_id=9080486846343955", "2M9DBA3PR3")</f>
        <v>2M9DBA3PR3</v>
      </c>
      <c r="D5577" t="s">
        <v>45</v>
      </c>
      <c r="E5577" t="s">
        <v>85</v>
      </c>
      <c r="F5577" t="s">
        <v>86</v>
      </c>
      <c r="G5577" t="s">
        <v>48</v>
      </c>
      <c r="H5577" t="s">
        <v>49</v>
      </c>
      <c r="I5577" t="s">
        <v>50</v>
      </c>
      <c r="J5577" t="s">
        <v>8871</v>
      </c>
      <c r="K5577" t="s">
        <v>8790</v>
      </c>
      <c r="L5577" t="s">
        <v>53</v>
      </c>
      <c r="N5577" t="s">
        <v>9918</v>
      </c>
      <c r="P5577" t="s">
        <v>55</v>
      </c>
      <c r="R5577" t="s">
        <v>53</v>
      </c>
      <c r="T5577" t="s">
        <v>9919</v>
      </c>
      <c r="U5577" t="s">
        <v>58</v>
      </c>
      <c r="V5577">
        <v>1</v>
      </c>
      <c r="W5577">
        <v>1</v>
      </c>
      <c r="X5577">
        <v>2</v>
      </c>
      <c r="Y5577">
        <v>0</v>
      </c>
      <c r="Z5577">
        <v>2</v>
      </c>
      <c r="AA5577">
        <v>177.82</v>
      </c>
      <c r="AB5577">
        <v>177.82</v>
      </c>
      <c r="AC5577">
        <v>156.46</v>
      </c>
      <c r="AD5577">
        <v>0</v>
      </c>
      <c r="AE5577">
        <v>21.36</v>
      </c>
      <c r="AF5577">
        <v>0</v>
      </c>
      <c r="AG5577">
        <v>0</v>
      </c>
      <c r="AH5577">
        <v>0</v>
      </c>
      <c r="AI5577">
        <v>32.01</v>
      </c>
      <c r="AJ5577">
        <v>177.82</v>
      </c>
      <c r="AK5577">
        <v>0</v>
      </c>
      <c r="AL5577" t="s">
        <v>53</v>
      </c>
      <c r="AM5577" t="s">
        <v>53</v>
      </c>
      <c r="AN5577" t="s">
        <v>53</v>
      </c>
      <c r="AO5577" t="s">
        <v>53</v>
      </c>
      <c r="AP5577" t="s">
        <v>53</v>
      </c>
    </row>
    <row r="5578" spans="2:42" x14ac:dyDescent="0.2">
      <c r="B5578" t="s">
        <v>44</v>
      </c>
      <c r="C5578" t="str">
        <f>HYPERLINK("https://us2.cloudbeds.com/connect/8493803454333002#/reservations/9080486846344155?display=2M9XDF630K&amp;reservation_id=9080486846344155", "2M9XDF630K")</f>
        <v>2M9XDF630K</v>
      </c>
      <c r="D5578" t="s">
        <v>45</v>
      </c>
      <c r="E5578" t="s">
        <v>69</v>
      </c>
      <c r="F5578" t="s">
        <v>70</v>
      </c>
      <c r="G5578" t="s">
        <v>48</v>
      </c>
      <c r="H5578" t="s">
        <v>49</v>
      </c>
      <c r="I5578" t="s">
        <v>50</v>
      </c>
      <c r="J5578" t="s">
        <v>6992</v>
      </c>
      <c r="K5578" t="s">
        <v>6829</v>
      </c>
      <c r="L5578" t="s">
        <v>53</v>
      </c>
      <c r="N5578" t="s">
        <v>9920</v>
      </c>
      <c r="P5578" t="s">
        <v>55</v>
      </c>
      <c r="R5578" t="s">
        <v>53</v>
      </c>
      <c r="T5578" t="s">
        <v>9921</v>
      </c>
      <c r="U5578" t="s">
        <v>58</v>
      </c>
      <c r="V5578">
        <v>1</v>
      </c>
      <c r="W5578">
        <v>1</v>
      </c>
      <c r="X5578">
        <v>2</v>
      </c>
      <c r="Y5578">
        <v>0</v>
      </c>
      <c r="Z5578">
        <v>2</v>
      </c>
      <c r="AA5578">
        <v>150.37</v>
      </c>
      <c r="AB5578">
        <v>150.37</v>
      </c>
      <c r="AC5578">
        <v>132.30000000000001</v>
      </c>
      <c r="AD5578">
        <v>0</v>
      </c>
      <c r="AE5578">
        <v>18.07</v>
      </c>
      <c r="AF5578">
        <v>0</v>
      </c>
      <c r="AG5578">
        <v>0</v>
      </c>
      <c r="AH5578">
        <v>0</v>
      </c>
      <c r="AI5578">
        <v>27.07</v>
      </c>
      <c r="AJ5578">
        <v>150.37</v>
      </c>
      <c r="AK5578">
        <v>0</v>
      </c>
      <c r="AL5578" t="s">
        <v>53</v>
      </c>
      <c r="AM5578" t="s">
        <v>53</v>
      </c>
      <c r="AN5578" t="s">
        <v>53</v>
      </c>
      <c r="AO5578" t="s">
        <v>53</v>
      </c>
      <c r="AP5578" t="s">
        <v>53</v>
      </c>
    </row>
    <row r="5579" spans="2:42" x14ac:dyDescent="0.2">
      <c r="B5579" t="s">
        <v>44</v>
      </c>
      <c r="C5579" t="str">
        <f>HYPERLINK("https://us2.cloudbeds.com/connect/8493803454333002#/reservations/9080486846344440?display=2M9RRJHKGZ&amp;reservation_id=9080486846344440", "2M9RRJHKGZ")</f>
        <v>2M9RRJHKGZ</v>
      </c>
      <c r="D5579" t="s">
        <v>45</v>
      </c>
      <c r="E5579" t="s">
        <v>179</v>
      </c>
      <c r="F5579" t="s">
        <v>47</v>
      </c>
      <c r="G5579" t="s">
        <v>48</v>
      </c>
      <c r="H5579" t="s">
        <v>49</v>
      </c>
      <c r="I5579" t="s">
        <v>50</v>
      </c>
      <c r="J5579" t="s">
        <v>7864</v>
      </c>
      <c r="K5579" t="s">
        <v>8816</v>
      </c>
      <c r="L5579" t="s">
        <v>53</v>
      </c>
      <c r="N5579" t="s">
        <v>9922</v>
      </c>
      <c r="P5579" t="s">
        <v>55</v>
      </c>
      <c r="R5579" t="s">
        <v>53</v>
      </c>
      <c r="T5579" t="s">
        <v>9923</v>
      </c>
      <c r="U5579" t="s">
        <v>58</v>
      </c>
      <c r="V5579">
        <v>1</v>
      </c>
      <c r="W5579">
        <v>1</v>
      </c>
      <c r="X5579">
        <v>2</v>
      </c>
      <c r="Y5579">
        <v>0</v>
      </c>
      <c r="Z5579">
        <v>2</v>
      </c>
      <c r="AA5579">
        <v>202.53</v>
      </c>
      <c r="AB5579">
        <v>202.53</v>
      </c>
      <c r="AC5579">
        <v>178.2</v>
      </c>
      <c r="AD5579">
        <v>0</v>
      </c>
      <c r="AE5579">
        <v>24.33</v>
      </c>
      <c r="AF5579">
        <v>0</v>
      </c>
      <c r="AG5579">
        <v>0</v>
      </c>
      <c r="AH5579">
        <v>0</v>
      </c>
      <c r="AI5579">
        <v>36.46</v>
      </c>
      <c r="AJ5579">
        <v>202.53</v>
      </c>
      <c r="AK5579">
        <v>0</v>
      </c>
      <c r="AL5579" t="s">
        <v>53</v>
      </c>
      <c r="AM5579" t="s">
        <v>53</v>
      </c>
      <c r="AN5579" t="s">
        <v>53</v>
      </c>
      <c r="AO5579" t="s">
        <v>53</v>
      </c>
      <c r="AP5579" t="s">
        <v>53</v>
      </c>
    </row>
    <row r="5580" spans="2:42" x14ac:dyDescent="0.2">
      <c r="B5580" t="s">
        <v>44</v>
      </c>
      <c r="C5580" t="str">
        <f>HYPERLINK("https://us2.cloudbeds.com/connect/8493803454333002#/reservations/9080486846344800?display=2MA6HDZMNT&amp;reservation_id=9080486846344800", "2MA6HDZMNT")</f>
        <v>2MA6HDZMNT</v>
      </c>
      <c r="D5580" t="s">
        <v>45</v>
      </c>
      <c r="E5580" t="s">
        <v>78</v>
      </c>
      <c r="F5580" t="s">
        <v>61</v>
      </c>
      <c r="G5580" t="s">
        <v>48</v>
      </c>
      <c r="H5580" t="s">
        <v>49</v>
      </c>
      <c r="I5580" t="s">
        <v>50</v>
      </c>
      <c r="J5580" t="s">
        <v>8765</v>
      </c>
      <c r="K5580" t="s">
        <v>6374</v>
      </c>
      <c r="L5580" t="s">
        <v>53</v>
      </c>
      <c r="N5580" t="s">
        <v>9924</v>
      </c>
      <c r="P5580" t="s">
        <v>55</v>
      </c>
      <c r="R5580" t="s">
        <v>53</v>
      </c>
      <c r="T5580" t="s">
        <v>9925</v>
      </c>
      <c r="U5580" t="s">
        <v>58</v>
      </c>
      <c r="V5580">
        <v>1</v>
      </c>
      <c r="W5580">
        <v>1</v>
      </c>
      <c r="X5580">
        <v>2</v>
      </c>
      <c r="Y5580">
        <v>0</v>
      </c>
      <c r="Z5580">
        <v>2</v>
      </c>
      <c r="AA5580">
        <v>254.06</v>
      </c>
      <c r="AB5580">
        <v>254.06</v>
      </c>
      <c r="AC5580">
        <v>223.55</v>
      </c>
      <c r="AD5580">
        <v>0</v>
      </c>
      <c r="AE5580">
        <v>30.51</v>
      </c>
      <c r="AF5580">
        <v>0</v>
      </c>
      <c r="AG5580">
        <v>0</v>
      </c>
      <c r="AH5580">
        <v>0</v>
      </c>
      <c r="AI5580">
        <v>45.73</v>
      </c>
      <c r="AJ5580">
        <v>254.06</v>
      </c>
      <c r="AK5580">
        <v>0</v>
      </c>
      <c r="AL5580" t="s">
        <v>53</v>
      </c>
      <c r="AM5580" t="s">
        <v>53</v>
      </c>
      <c r="AN5580" t="s">
        <v>53</v>
      </c>
      <c r="AO5580" t="s">
        <v>53</v>
      </c>
      <c r="AP5580" t="s">
        <v>53</v>
      </c>
    </row>
    <row r="5581" spans="2:42" x14ac:dyDescent="0.2">
      <c r="B5581" t="s">
        <v>44</v>
      </c>
      <c r="C5581" t="str">
        <f>HYPERLINK("https://us2.cloudbeds.com/connect/8493803454333002#/reservations/9080486846345104?display=2MAH6B7CSH&amp;reservation_id=9080486846345104", "2MAH6B7CSH")</f>
        <v>2MAH6B7CSH</v>
      </c>
      <c r="D5581" t="s">
        <v>45</v>
      </c>
      <c r="E5581" t="s">
        <v>69</v>
      </c>
      <c r="F5581" t="s">
        <v>70</v>
      </c>
      <c r="G5581" t="s">
        <v>48</v>
      </c>
      <c r="H5581" t="s">
        <v>49</v>
      </c>
      <c r="I5581" t="s">
        <v>62</v>
      </c>
      <c r="J5581" t="s">
        <v>6454</v>
      </c>
      <c r="K5581" t="s">
        <v>5508</v>
      </c>
      <c r="L5581" t="s">
        <v>53</v>
      </c>
      <c r="N5581" t="s">
        <v>9926</v>
      </c>
      <c r="P5581" t="s">
        <v>55</v>
      </c>
      <c r="R5581" t="s">
        <v>56</v>
      </c>
      <c r="T5581" t="s">
        <v>9927</v>
      </c>
      <c r="U5581" t="s">
        <v>55</v>
      </c>
      <c r="V5581">
        <v>1</v>
      </c>
      <c r="W5581">
        <v>1</v>
      </c>
      <c r="X5581">
        <v>2</v>
      </c>
      <c r="Y5581">
        <v>0</v>
      </c>
      <c r="Z5581">
        <v>2</v>
      </c>
      <c r="AA5581">
        <v>186</v>
      </c>
      <c r="AB5581">
        <v>186</v>
      </c>
      <c r="AC5581">
        <v>186</v>
      </c>
      <c r="AD5581">
        <v>0</v>
      </c>
      <c r="AE5581">
        <v>0</v>
      </c>
      <c r="AF5581">
        <v>0</v>
      </c>
      <c r="AG5581">
        <v>0</v>
      </c>
      <c r="AH5581">
        <v>0</v>
      </c>
      <c r="AI5581">
        <v>33.479999999999997</v>
      </c>
      <c r="AJ5581">
        <v>186</v>
      </c>
      <c r="AK5581">
        <v>0</v>
      </c>
      <c r="AL5581" t="s">
        <v>53</v>
      </c>
      <c r="AM5581" t="s">
        <v>53</v>
      </c>
      <c r="AN5581" t="s">
        <v>53</v>
      </c>
      <c r="AO5581" t="s">
        <v>53</v>
      </c>
      <c r="AP5581" t="s">
        <v>53</v>
      </c>
    </row>
    <row r="5582" spans="2:42" x14ac:dyDescent="0.2">
      <c r="B5582" t="s">
        <v>44</v>
      </c>
      <c r="C5582" t="str">
        <f>HYPERLINK("https://us2.cloudbeds.com/connect/8493803454333002#/reservations/124218984689864?display=2MAMAW747J&amp;reservation_id=124218984689864", "2MAMAW747J")</f>
        <v>2MAMAW747J</v>
      </c>
      <c r="D5582" t="s">
        <v>45</v>
      </c>
      <c r="E5582" t="s">
        <v>128</v>
      </c>
      <c r="F5582" t="s">
        <v>86</v>
      </c>
      <c r="G5582" t="s">
        <v>48</v>
      </c>
      <c r="H5582" t="s">
        <v>3957</v>
      </c>
      <c r="I5582" t="s">
        <v>3975</v>
      </c>
      <c r="J5582" t="s">
        <v>8437</v>
      </c>
      <c r="K5582" t="s">
        <v>9928</v>
      </c>
      <c r="L5582" t="s">
        <v>53</v>
      </c>
      <c r="P5582" t="s">
        <v>55</v>
      </c>
      <c r="R5582" t="s">
        <v>53</v>
      </c>
      <c r="T5582" t="s">
        <v>9929</v>
      </c>
      <c r="U5582" t="s">
        <v>58</v>
      </c>
      <c r="V5582">
        <v>1</v>
      </c>
      <c r="W5582">
        <v>1</v>
      </c>
      <c r="X5582">
        <v>2</v>
      </c>
      <c r="Y5582">
        <v>0</v>
      </c>
      <c r="Z5582">
        <v>2</v>
      </c>
      <c r="AA5582">
        <v>256.85000000000002</v>
      </c>
      <c r="AB5582">
        <v>256.85000000000002</v>
      </c>
      <c r="AC5582">
        <v>226</v>
      </c>
      <c r="AD5582">
        <v>0</v>
      </c>
      <c r="AE5582">
        <v>30.85</v>
      </c>
      <c r="AF5582">
        <v>0</v>
      </c>
      <c r="AG5582">
        <v>0</v>
      </c>
      <c r="AH5582">
        <v>0</v>
      </c>
      <c r="AI5582">
        <v>0</v>
      </c>
      <c r="AJ5582">
        <v>256.85000000000002</v>
      </c>
      <c r="AK5582">
        <v>0</v>
      </c>
      <c r="AL5582" t="s">
        <v>53</v>
      </c>
      <c r="AM5582" t="s">
        <v>53</v>
      </c>
      <c r="AN5582" t="s">
        <v>53</v>
      </c>
      <c r="AO5582" t="s">
        <v>53</v>
      </c>
      <c r="AP5582" t="s">
        <v>53</v>
      </c>
    </row>
    <row r="5583" spans="2:42" x14ac:dyDescent="0.2">
      <c r="B5583" t="s">
        <v>44</v>
      </c>
      <c r="C5583" t="str">
        <f>HYPERLINK("https://us2.cloudbeds.com/connect/8493803454333002#/reservations/9080486846345720?display=2MB9EUTQJ9&amp;reservation_id=9080486846345720", "2MB9EUTQJ9")</f>
        <v>2MB9EUTQJ9</v>
      </c>
      <c r="D5583" t="s">
        <v>45</v>
      </c>
      <c r="E5583" t="s">
        <v>121</v>
      </c>
      <c r="F5583" t="s">
        <v>86</v>
      </c>
      <c r="G5583" t="s">
        <v>48</v>
      </c>
      <c r="H5583" t="s">
        <v>49</v>
      </c>
      <c r="I5583" t="s">
        <v>50</v>
      </c>
      <c r="J5583" t="s">
        <v>7926</v>
      </c>
      <c r="K5583" t="s">
        <v>8871</v>
      </c>
      <c r="L5583" t="s">
        <v>53</v>
      </c>
      <c r="N5583" t="s">
        <v>9930</v>
      </c>
      <c r="P5583" t="s">
        <v>55</v>
      </c>
      <c r="R5583" t="s">
        <v>53</v>
      </c>
      <c r="T5583" t="s">
        <v>9931</v>
      </c>
      <c r="U5583" t="s">
        <v>58</v>
      </c>
      <c r="V5583">
        <v>2</v>
      </c>
      <c r="W5583">
        <v>1</v>
      </c>
      <c r="X5583">
        <v>4</v>
      </c>
      <c r="Y5583">
        <v>0</v>
      </c>
      <c r="Z5583">
        <v>4</v>
      </c>
      <c r="AA5583">
        <v>388.18</v>
      </c>
      <c r="AB5583">
        <v>388.18</v>
      </c>
      <c r="AC5583">
        <v>341.57</v>
      </c>
      <c r="AD5583">
        <v>0</v>
      </c>
      <c r="AE5583">
        <v>46.61</v>
      </c>
      <c r="AF5583">
        <v>0</v>
      </c>
      <c r="AG5583">
        <v>0</v>
      </c>
      <c r="AH5583">
        <v>0</v>
      </c>
      <c r="AI5583">
        <v>69.87</v>
      </c>
      <c r="AJ5583">
        <v>388.18</v>
      </c>
      <c r="AK5583">
        <v>0</v>
      </c>
      <c r="AL5583" t="s">
        <v>53</v>
      </c>
      <c r="AM5583" t="s">
        <v>53</v>
      </c>
      <c r="AN5583" t="s">
        <v>53</v>
      </c>
      <c r="AO5583" t="s">
        <v>53</v>
      </c>
      <c r="AP5583" t="s">
        <v>53</v>
      </c>
    </row>
    <row r="5584" spans="2:42" x14ac:dyDescent="0.2">
      <c r="B5584" t="s">
        <v>44</v>
      </c>
      <c r="C5584" t="str">
        <f>HYPERLINK("https://us2.cloudbeds.com/connect/8493803454333002#/reservations/9080486846346093?display=2MBPSUC3CY&amp;reservation_id=9080486846346093", "2MBPSUC3CY")</f>
        <v>2MBPSUC3CY</v>
      </c>
      <c r="D5584" t="s">
        <v>45</v>
      </c>
      <c r="E5584" t="s">
        <v>110</v>
      </c>
      <c r="F5584" t="s">
        <v>47</v>
      </c>
      <c r="G5584" t="s">
        <v>48</v>
      </c>
      <c r="H5584" t="s">
        <v>49</v>
      </c>
      <c r="I5584" t="s">
        <v>50</v>
      </c>
      <c r="J5584" t="s">
        <v>9692</v>
      </c>
      <c r="K5584" t="s">
        <v>7325</v>
      </c>
      <c r="L5584" t="s">
        <v>53</v>
      </c>
      <c r="N5584" t="s">
        <v>9932</v>
      </c>
      <c r="P5584" t="s">
        <v>58</v>
      </c>
      <c r="R5584" t="s">
        <v>56</v>
      </c>
      <c r="T5584" t="s">
        <v>9933</v>
      </c>
      <c r="U5584" t="s">
        <v>58</v>
      </c>
      <c r="V5584">
        <v>1</v>
      </c>
      <c r="W5584">
        <v>1</v>
      </c>
      <c r="X5584">
        <v>1</v>
      </c>
      <c r="Y5584">
        <v>0</v>
      </c>
      <c r="Z5584">
        <v>1</v>
      </c>
      <c r="AA5584">
        <v>154.5</v>
      </c>
      <c r="AB5584">
        <v>154.5</v>
      </c>
      <c r="AC5584">
        <v>135.94</v>
      </c>
      <c r="AD5584">
        <v>0</v>
      </c>
      <c r="AE5584">
        <v>18.559999999999999</v>
      </c>
      <c r="AF5584">
        <v>0</v>
      </c>
      <c r="AG5584">
        <v>0</v>
      </c>
      <c r="AH5584">
        <v>0</v>
      </c>
      <c r="AI5584">
        <v>27.81</v>
      </c>
      <c r="AJ5584">
        <v>154.5</v>
      </c>
      <c r="AK5584">
        <v>0</v>
      </c>
      <c r="AL5584" t="s">
        <v>53</v>
      </c>
      <c r="AM5584" t="s">
        <v>53</v>
      </c>
      <c r="AN5584" t="s">
        <v>53</v>
      </c>
      <c r="AO5584" t="s">
        <v>53</v>
      </c>
      <c r="AP5584" t="s">
        <v>53</v>
      </c>
    </row>
    <row r="5585" spans="2:42" x14ac:dyDescent="0.2">
      <c r="B5585" t="s">
        <v>44</v>
      </c>
      <c r="C5585" t="str">
        <f>HYPERLINK("https://us2.cloudbeds.com/connect/8493803454333002#/reservations/124432921108642?display=2MFMWX2BDZ&amp;reservation_id=124432921108642", "2MFMWX2BDZ")</f>
        <v>2MFMWX2BDZ</v>
      </c>
      <c r="D5585" t="s">
        <v>45</v>
      </c>
      <c r="E5585" t="s">
        <v>155</v>
      </c>
      <c r="F5585" t="s">
        <v>86</v>
      </c>
      <c r="G5585" t="s">
        <v>48</v>
      </c>
      <c r="H5585" t="s">
        <v>3957</v>
      </c>
      <c r="I5585" t="s">
        <v>3975</v>
      </c>
      <c r="J5585" t="s">
        <v>6373</v>
      </c>
      <c r="K5585" t="s">
        <v>7830</v>
      </c>
      <c r="L5585" t="s">
        <v>53</v>
      </c>
      <c r="P5585" t="s">
        <v>55</v>
      </c>
      <c r="R5585" t="s">
        <v>53</v>
      </c>
      <c r="T5585" t="s">
        <v>9934</v>
      </c>
      <c r="U5585" t="s">
        <v>58</v>
      </c>
      <c r="V5585">
        <v>4</v>
      </c>
      <c r="W5585">
        <v>1</v>
      </c>
      <c r="X5585">
        <v>2</v>
      </c>
      <c r="Y5585">
        <v>0</v>
      </c>
      <c r="Z5585">
        <v>2</v>
      </c>
      <c r="AA5585">
        <v>1143.32</v>
      </c>
      <c r="AB5585">
        <v>1143.32</v>
      </c>
      <c r="AC5585">
        <v>1006</v>
      </c>
      <c r="AD5585">
        <v>0</v>
      </c>
      <c r="AE5585">
        <v>137.32</v>
      </c>
      <c r="AF5585">
        <v>0</v>
      </c>
      <c r="AG5585">
        <v>0</v>
      </c>
      <c r="AH5585">
        <v>0</v>
      </c>
      <c r="AI5585">
        <v>0</v>
      </c>
      <c r="AJ5585">
        <v>1143.32</v>
      </c>
      <c r="AK5585">
        <v>0</v>
      </c>
      <c r="AL5585" t="s">
        <v>53</v>
      </c>
      <c r="AM5585" t="s">
        <v>53</v>
      </c>
      <c r="AN5585" t="s">
        <v>53</v>
      </c>
      <c r="AO5585" t="s">
        <v>53</v>
      </c>
      <c r="AP5585" t="s">
        <v>53</v>
      </c>
    </row>
    <row r="5586" spans="2:42" x14ac:dyDescent="0.2">
      <c r="B5586" t="s">
        <v>44</v>
      </c>
      <c r="C5586" t="str">
        <f>HYPERLINK("https://us2.cloudbeds.com/connect/8493803454333002#/reservations/9080486846350908?display=2MHEWKH496&amp;reservation_id=9080486846350908", "2MHEWKH496")</f>
        <v>2MHEWKH496</v>
      </c>
      <c r="D5586" t="s">
        <v>45</v>
      </c>
      <c r="E5586" t="s">
        <v>128</v>
      </c>
      <c r="F5586" t="s">
        <v>86</v>
      </c>
      <c r="G5586" t="s">
        <v>48</v>
      </c>
      <c r="H5586" t="s">
        <v>49</v>
      </c>
      <c r="I5586" t="s">
        <v>50</v>
      </c>
      <c r="J5586" t="s">
        <v>9935</v>
      </c>
      <c r="K5586" t="s">
        <v>9936</v>
      </c>
      <c r="L5586" t="s">
        <v>53</v>
      </c>
      <c r="N5586" t="s">
        <v>9937</v>
      </c>
      <c r="P5586" t="s">
        <v>55</v>
      </c>
      <c r="R5586" t="s">
        <v>53</v>
      </c>
      <c r="T5586" t="s">
        <v>9938</v>
      </c>
      <c r="U5586" t="s">
        <v>58</v>
      </c>
      <c r="V5586">
        <v>3</v>
      </c>
      <c r="W5586">
        <v>1</v>
      </c>
      <c r="X5586">
        <v>2</v>
      </c>
      <c r="Y5586">
        <v>0</v>
      </c>
      <c r="Z5586">
        <v>2</v>
      </c>
      <c r="AA5586">
        <v>274.11</v>
      </c>
      <c r="AB5586">
        <v>274.11</v>
      </c>
      <c r="AC5586">
        <v>241.2</v>
      </c>
      <c r="AD5586">
        <v>0</v>
      </c>
      <c r="AE5586">
        <v>32.909999999999997</v>
      </c>
      <c r="AF5586">
        <v>0</v>
      </c>
      <c r="AG5586">
        <v>0</v>
      </c>
      <c r="AH5586">
        <v>0</v>
      </c>
      <c r="AI5586">
        <v>49.34</v>
      </c>
      <c r="AJ5586">
        <v>274.11</v>
      </c>
      <c r="AK5586">
        <v>0</v>
      </c>
      <c r="AL5586" t="s">
        <v>53</v>
      </c>
      <c r="AM5586" t="s">
        <v>53</v>
      </c>
      <c r="AN5586" t="s">
        <v>53</v>
      </c>
      <c r="AO5586" t="s">
        <v>53</v>
      </c>
      <c r="AP5586" t="s">
        <v>53</v>
      </c>
    </row>
    <row r="5587" spans="2:42" x14ac:dyDescent="0.2">
      <c r="B5587" t="s">
        <v>44</v>
      </c>
      <c r="C5587" t="str">
        <f>HYPERLINK("https://us2.cloudbeds.com/connect/8493803454333002#/reservations/124560076951768?display=2MXMEM8416&amp;reservation_id=124560076951768", "2MXMEM8416")</f>
        <v>2MXMEM8416</v>
      </c>
      <c r="D5587" t="s">
        <v>45</v>
      </c>
      <c r="E5587" t="s">
        <v>305</v>
      </c>
      <c r="F5587" t="s">
        <v>61</v>
      </c>
      <c r="G5587" t="s">
        <v>48</v>
      </c>
      <c r="H5587" t="s">
        <v>3957</v>
      </c>
      <c r="I5587" t="s">
        <v>3975</v>
      </c>
      <c r="J5587" t="s">
        <v>7829</v>
      </c>
      <c r="K5587" t="s">
        <v>7830</v>
      </c>
      <c r="L5587" t="s">
        <v>53</v>
      </c>
      <c r="P5587" t="s">
        <v>55</v>
      </c>
      <c r="R5587" t="s">
        <v>53</v>
      </c>
      <c r="T5587" t="s">
        <v>9939</v>
      </c>
      <c r="U5587" t="s">
        <v>58</v>
      </c>
      <c r="V5587">
        <v>1</v>
      </c>
      <c r="W5587">
        <v>1</v>
      </c>
      <c r="X5587">
        <v>1</v>
      </c>
      <c r="Y5587">
        <v>0</v>
      </c>
      <c r="Z5587">
        <v>1</v>
      </c>
      <c r="AA5587">
        <v>204.57</v>
      </c>
      <c r="AB5587">
        <v>204.57</v>
      </c>
      <c r="AC5587">
        <v>180</v>
      </c>
      <c r="AD5587">
        <v>0</v>
      </c>
      <c r="AE5587">
        <v>24.57</v>
      </c>
      <c r="AF5587">
        <v>0</v>
      </c>
      <c r="AG5587">
        <v>0</v>
      </c>
      <c r="AH5587">
        <v>0</v>
      </c>
      <c r="AI5587">
        <v>0</v>
      </c>
      <c r="AJ5587">
        <v>204.57</v>
      </c>
      <c r="AK5587">
        <v>0</v>
      </c>
      <c r="AL5587" t="s">
        <v>53</v>
      </c>
      <c r="AM5587" t="s">
        <v>53</v>
      </c>
      <c r="AN5587" t="s">
        <v>9940</v>
      </c>
      <c r="AO5587" t="s">
        <v>53</v>
      </c>
      <c r="AP5587" t="s">
        <v>53</v>
      </c>
    </row>
    <row r="5588" spans="2:42" x14ac:dyDescent="0.2">
      <c r="B5588" t="s">
        <v>44</v>
      </c>
      <c r="C5588" t="str">
        <f>HYPERLINK("https://us2.cloudbeds.com/connect/8493803454333002#/reservations/9080486846352230?display=2MXZ6E9CAU&amp;reservation_id=9080486846352230", "2MXZ6E9CAU")</f>
        <v>2MXZ6E9CAU</v>
      </c>
      <c r="D5588" t="s">
        <v>45</v>
      </c>
      <c r="E5588" t="s">
        <v>110</v>
      </c>
      <c r="F5588" t="s">
        <v>47</v>
      </c>
      <c r="G5588" t="s">
        <v>48</v>
      </c>
      <c r="H5588" t="s">
        <v>49</v>
      </c>
      <c r="I5588" t="s">
        <v>50</v>
      </c>
      <c r="J5588" t="s">
        <v>8249</v>
      </c>
      <c r="K5588" t="s">
        <v>8790</v>
      </c>
      <c r="L5588" t="s">
        <v>53</v>
      </c>
      <c r="N5588" t="s">
        <v>9941</v>
      </c>
      <c r="P5588" t="s">
        <v>55</v>
      </c>
      <c r="R5588" t="s">
        <v>53</v>
      </c>
      <c r="T5588" t="s">
        <v>9942</v>
      </c>
      <c r="U5588" t="s">
        <v>58</v>
      </c>
      <c r="V5588">
        <v>2</v>
      </c>
      <c r="W5588">
        <v>1</v>
      </c>
      <c r="X5588">
        <v>2</v>
      </c>
      <c r="Y5588">
        <v>0</v>
      </c>
      <c r="Z5588">
        <v>2</v>
      </c>
      <c r="AA5588">
        <v>339.13</v>
      </c>
      <c r="AB5588">
        <v>339.13</v>
      </c>
      <c r="AC5588">
        <v>298.39</v>
      </c>
      <c r="AD5588">
        <v>0</v>
      </c>
      <c r="AE5588">
        <v>40.74</v>
      </c>
      <c r="AF5588">
        <v>0</v>
      </c>
      <c r="AG5588">
        <v>0</v>
      </c>
      <c r="AH5588">
        <v>0</v>
      </c>
      <c r="AI5588">
        <v>61.04</v>
      </c>
      <c r="AJ5588">
        <v>339.13</v>
      </c>
      <c r="AK5588">
        <v>0</v>
      </c>
      <c r="AL5588" t="s">
        <v>53</v>
      </c>
      <c r="AM5588" t="s">
        <v>53</v>
      </c>
      <c r="AN5588" t="s">
        <v>9943</v>
      </c>
      <c r="AO5588" t="s">
        <v>53</v>
      </c>
      <c r="AP5588" t="s">
        <v>53</v>
      </c>
    </row>
    <row r="5589" spans="2:42" x14ac:dyDescent="0.2">
      <c r="B5589" t="s">
        <v>44</v>
      </c>
      <c r="C5589" t="str">
        <f>HYPERLINK("https://us2.cloudbeds.com/connect/8493803454333002#/reservations/124564710760698?display=2MXQ12JMYK&amp;reservation_id=124564710760698", "2MXQ12JMYK")</f>
        <v>2MXQ12JMYK</v>
      </c>
      <c r="D5589" t="s">
        <v>45</v>
      </c>
      <c r="E5589" t="s">
        <v>110</v>
      </c>
      <c r="F5589" t="s">
        <v>47</v>
      </c>
      <c r="G5589" t="s">
        <v>48</v>
      </c>
      <c r="H5589" t="s">
        <v>3957</v>
      </c>
      <c r="I5589" t="s">
        <v>3975</v>
      </c>
      <c r="J5589" t="s">
        <v>8816</v>
      </c>
      <c r="K5589" t="s">
        <v>6373</v>
      </c>
      <c r="L5589" t="s">
        <v>53</v>
      </c>
      <c r="P5589" t="s">
        <v>55</v>
      </c>
      <c r="R5589" t="s">
        <v>53</v>
      </c>
      <c r="T5589" t="s">
        <v>9944</v>
      </c>
      <c r="U5589" t="s">
        <v>58</v>
      </c>
      <c r="V5589">
        <v>1</v>
      </c>
      <c r="W5589">
        <v>1</v>
      </c>
      <c r="X5589">
        <v>1</v>
      </c>
      <c r="Y5589">
        <v>0</v>
      </c>
      <c r="Z5589">
        <v>1</v>
      </c>
      <c r="AA5589">
        <v>280.72000000000003</v>
      </c>
      <c r="AB5589">
        <v>280.72000000000003</v>
      </c>
      <c r="AC5589">
        <v>247</v>
      </c>
      <c r="AD5589">
        <v>0</v>
      </c>
      <c r="AE5589">
        <v>33.72</v>
      </c>
      <c r="AF5589">
        <v>0</v>
      </c>
      <c r="AG5589">
        <v>0</v>
      </c>
      <c r="AH5589">
        <v>0</v>
      </c>
      <c r="AI5589">
        <v>0</v>
      </c>
      <c r="AJ5589">
        <v>280.72000000000003</v>
      </c>
      <c r="AK5589">
        <v>0</v>
      </c>
      <c r="AL5589" t="s">
        <v>53</v>
      </c>
      <c r="AM5589" t="s">
        <v>53</v>
      </c>
      <c r="AN5589" t="s">
        <v>53</v>
      </c>
      <c r="AO5589" t="s">
        <v>53</v>
      </c>
      <c r="AP5589" t="s">
        <v>53</v>
      </c>
    </row>
    <row r="5590" spans="2:42" x14ac:dyDescent="0.2">
      <c r="B5590" t="s">
        <v>44</v>
      </c>
      <c r="C5590" t="str">
        <f>HYPERLINK("https://us2.cloudbeds.com/connect/8493803454333002#/reservations/124572876415110?display=2MXWBZ31TN&amp;reservation_id=124572876415110", "2MXWBZ31TN")</f>
        <v>2MXWBZ31TN</v>
      </c>
      <c r="D5590" t="s">
        <v>45</v>
      </c>
      <c r="E5590" t="s">
        <v>121</v>
      </c>
      <c r="F5590" t="s">
        <v>86</v>
      </c>
      <c r="G5590" t="s">
        <v>48</v>
      </c>
      <c r="H5590" t="s">
        <v>3957</v>
      </c>
      <c r="I5590" t="s">
        <v>3975</v>
      </c>
      <c r="J5590" t="s">
        <v>6374</v>
      </c>
      <c r="K5590" t="s">
        <v>8594</v>
      </c>
      <c r="L5590" t="s">
        <v>53</v>
      </c>
      <c r="P5590" t="s">
        <v>55</v>
      </c>
      <c r="R5590" t="s">
        <v>53</v>
      </c>
      <c r="T5590" t="s">
        <v>9945</v>
      </c>
      <c r="U5590" t="s">
        <v>58</v>
      </c>
      <c r="V5590">
        <v>5</v>
      </c>
      <c r="W5590">
        <v>1</v>
      </c>
      <c r="X5590">
        <v>2</v>
      </c>
      <c r="Y5590">
        <v>0</v>
      </c>
      <c r="Z5590">
        <v>2</v>
      </c>
      <c r="AA5590">
        <v>1266.08</v>
      </c>
      <c r="AB5590">
        <v>1266.08</v>
      </c>
      <c r="AC5590">
        <v>1114</v>
      </c>
      <c r="AD5590">
        <v>0</v>
      </c>
      <c r="AE5590">
        <v>152.08000000000001</v>
      </c>
      <c r="AF5590">
        <v>0</v>
      </c>
      <c r="AG5590">
        <v>0</v>
      </c>
      <c r="AH5590">
        <v>0</v>
      </c>
      <c r="AI5590">
        <v>0</v>
      </c>
      <c r="AJ5590">
        <v>1266.08</v>
      </c>
      <c r="AK5590">
        <v>0</v>
      </c>
      <c r="AL5590" t="s">
        <v>53</v>
      </c>
      <c r="AM5590" t="s">
        <v>53</v>
      </c>
      <c r="AN5590" t="s">
        <v>53</v>
      </c>
      <c r="AO5590" t="s">
        <v>53</v>
      </c>
      <c r="AP5590" t="s">
        <v>53</v>
      </c>
    </row>
    <row r="5591" spans="2:42" x14ac:dyDescent="0.2">
      <c r="B5591" t="s">
        <v>44</v>
      </c>
      <c r="C5591" t="str">
        <f>HYPERLINK("https://us2.cloudbeds.com/connect/8493803454333002#/reservations/124582665166999?display=2MJ6US7GPR&amp;reservation_id=124582665166999", "2MJ6US7GPR")</f>
        <v>2MJ6US7GPR</v>
      </c>
      <c r="D5591" t="s">
        <v>45</v>
      </c>
      <c r="E5591" t="s">
        <v>138</v>
      </c>
      <c r="F5591" t="s">
        <v>70</v>
      </c>
      <c r="G5591" t="s">
        <v>48</v>
      </c>
      <c r="H5591" t="s">
        <v>3957</v>
      </c>
      <c r="I5591" t="s">
        <v>3975</v>
      </c>
      <c r="J5591" t="s">
        <v>8270</v>
      </c>
      <c r="K5591" t="s">
        <v>7542</v>
      </c>
      <c r="L5591" t="s">
        <v>53</v>
      </c>
      <c r="P5591" t="s">
        <v>55</v>
      </c>
      <c r="R5591" t="s">
        <v>53</v>
      </c>
      <c r="T5591" t="s">
        <v>9946</v>
      </c>
      <c r="U5591" t="s">
        <v>58</v>
      </c>
      <c r="V5591">
        <v>1</v>
      </c>
      <c r="W5591">
        <v>1</v>
      </c>
      <c r="X5591">
        <v>1</v>
      </c>
      <c r="Y5591">
        <v>0</v>
      </c>
      <c r="Z5591">
        <v>1</v>
      </c>
      <c r="AA5591">
        <v>120.47</v>
      </c>
      <c r="AB5591">
        <v>120.47</v>
      </c>
      <c r="AC5591">
        <v>106</v>
      </c>
      <c r="AD5591">
        <v>0</v>
      </c>
      <c r="AE5591">
        <v>14.47</v>
      </c>
      <c r="AF5591">
        <v>0</v>
      </c>
      <c r="AG5591">
        <v>0</v>
      </c>
      <c r="AH5591">
        <v>0</v>
      </c>
      <c r="AI5591">
        <v>0</v>
      </c>
      <c r="AJ5591">
        <v>120.47</v>
      </c>
      <c r="AK5591">
        <v>0</v>
      </c>
      <c r="AL5591" t="s">
        <v>53</v>
      </c>
      <c r="AM5591" t="s">
        <v>53</v>
      </c>
      <c r="AN5591" t="s">
        <v>53</v>
      </c>
      <c r="AO5591" t="s">
        <v>53</v>
      </c>
      <c r="AP5591" t="s">
        <v>53</v>
      </c>
    </row>
    <row r="5592" spans="2:42" x14ac:dyDescent="0.2">
      <c r="B5592" t="s">
        <v>44</v>
      </c>
      <c r="C5592" t="str">
        <f>HYPERLINK("https://us2.cloudbeds.com/connect/8493803454333002#/reservations/9080486846356367?display=2MZVCT9Y8B&amp;reservation_id=9080486846356367", "2MZVCT9Y8B")</f>
        <v>2MZVCT9Y8B</v>
      </c>
      <c r="D5592" t="s">
        <v>45</v>
      </c>
      <c r="E5592" t="s">
        <v>92</v>
      </c>
      <c r="F5592" t="s">
        <v>86</v>
      </c>
      <c r="G5592" t="s">
        <v>48</v>
      </c>
      <c r="H5592" t="s">
        <v>49</v>
      </c>
      <c r="I5592" t="s">
        <v>50</v>
      </c>
      <c r="J5592" t="s">
        <v>7926</v>
      </c>
      <c r="K5592" t="s">
        <v>8249</v>
      </c>
      <c r="L5592" t="s">
        <v>53</v>
      </c>
      <c r="N5592" t="s">
        <v>9947</v>
      </c>
      <c r="P5592" t="s">
        <v>55</v>
      </c>
      <c r="R5592" t="s">
        <v>53</v>
      </c>
      <c r="T5592" t="s">
        <v>9948</v>
      </c>
      <c r="U5592" t="s">
        <v>58</v>
      </c>
      <c r="V5592">
        <v>1</v>
      </c>
      <c r="W5592">
        <v>1</v>
      </c>
      <c r="X5592">
        <v>4</v>
      </c>
      <c r="Y5592">
        <v>0</v>
      </c>
      <c r="Z5592">
        <v>4</v>
      </c>
      <c r="AA5592">
        <v>219.59</v>
      </c>
      <c r="AB5592">
        <v>219.59</v>
      </c>
      <c r="AC5592">
        <v>193.23</v>
      </c>
      <c r="AD5592">
        <v>0</v>
      </c>
      <c r="AE5592">
        <v>26.36</v>
      </c>
      <c r="AF5592">
        <v>0</v>
      </c>
      <c r="AG5592">
        <v>0</v>
      </c>
      <c r="AH5592">
        <v>0</v>
      </c>
      <c r="AI5592">
        <v>39.53</v>
      </c>
      <c r="AJ5592">
        <v>219.59</v>
      </c>
      <c r="AK5592">
        <v>0</v>
      </c>
      <c r="AL5592" t="s">
        <v>53</v>
      </c>
      <c r="AM5592" t="s">
        <v>53</v>
      </c>
      <c r="AN5592" t="s">
        <v>53</v>
      </c>
      <c r="AO5592" t="s">
        <v>53</v>
      </c>
      <c r="AP5592" t="s">
        <v>53</v>
      </c>
    </row>
    <row r="5593" spans="2:42" x14ac:dyDescent="0.2">
      <c r="B5593" t="s">
        <v>44</v>
      </c>
      <c r="C5593" t="str">
        <f>HYPERLINK("https://us2.cloudbeds.com/connect/8493803454333002#/reservations/9080486846356393?display=2MZWPA86E6&amp;reservation_id=9080486846356393", "2MZWPA86E6")</f>
        <v>2MZWPA86E6</v>
      </c>
      <c r="D5593" t="s">
        <v>45</v>
      </c>
      <c r="E5593" t="s">
        <v>305</v>
      </c>
      <c r="F5593" t="s">
        <v>61</v>
      </c>
      <c r="G5593" t="s">
        <v>48</v>
      </c>
      <c r="H5593" t="s">
        <v>49</v>
      </c>
      <c r="I5593" t="s">
        <v>50</v>
      </c>
      <c r="J5593" t="s">
        <v>7905</v>
      </c>
      <c r="K5593" t="s">
        <v>7906</v>
      </c>
      <c r="L5593" t="s">
        <v>53</v>
      </c>
      <c r="N5593" t="s">
        <v>9949</v>
      </c>
      <c r="P5593" t="s">
        <v>55</v>
      </c>
      <c r="R5593" t="s">
        <v>53</v>
      </c>
      <c r="T5593" t="s">
        <v>9950</v>
      </c>
      <c r="U5593" t="s">
        <v>58</v>
      </c>
      <c r="V5593">
        <v>1</v>
      </c>
      <c r="W5593">
        <v>1</v>
      </c>
      <c r="X5593">
        <v>2</v>
      </c>
      <c r="Y5593">
        <v>0</v>
      </c>
      <c r="Z5593">
        <v>2</v>
      </c>
      <c r="AA5593">
        <v>220.25</v>
      </c>
      <c r="AB5593">
        <v>220.25</v>
      </c>
      <c r="AC5593">
        <v>193.8</v>
      </c>
      <c r="AD5593">
        <v>0</v>
      </c>
      <c r="AE5593">
        <v>26.45</v>
      </c>
      <c r="AF5593">
        <v>0</v>
      </c>
      <c r="AG5593">
        <v>0</v>
      </c>
      <c r="AH5593">
        <v>0</v>
      </c>
      <c r="AI5593">
        <v>39.65</v>
      </c>
      <c r="AJ5593">
        <v>220.25</v>
      </c>
      <c r="AK5593">
        <v>0</v>
      </c>
      <c r="AL5593" t="s">
        <v>53</v>
      </c>
      <c r="AM5593" t="s">
        <v>53</v>
      </c>
      <c r="AN5593" t="s">
        <v>53</v>
      </c>
      <c r="AO5593" t="s">
        <v>53</v>
      </c>
      <c r="AP5593" t="s">
        <v>53</v>
      </c>
    </row>
    <row r="5594" spans="2:42" x14ac:dyDescent="0.2">
      <c r="B5594" t="s">
        <v>44</v>
      </c>
      <c r="C5594" t="str">
        <f>HYPERLINK("https://us2.cloudbeds.com/connect/8493803454333002#/reservations/9080486846357293?display=2MPW3SZCHN&amp;reservation_id=9080486846357293", "2MPW3SZCHN")</f>
        <v>2MPW3SZCHN</v>
      </c>
      <c r="D5594" t="s">
        <v>45</v>
      </c>
      <c r="E5594" t="s">
        <v>69</v>
      </c>
      <c r="F5594" t="s">
        <v>70</v>
      </c>
      <c r="G5594" t="s">
        <v>48</v>
      </c>
      <c r="H5594" t="s">
        <v>49</v>
      </c>
      <c r="I5594" t="s">
        <v>50</v>
      </c>
      <c r="J5594" t="s">
        <v>8871</v>
      </c>
      <c r="K5594" t="s">
        <v>8790</v>
      </c>
      <c r="L5594" t="s">
        <v>53</v>
      </c>
      <c r="N5594" t="s">
        <v>9951</v>
      </c>
      <c r="P5594" t="s">
        <v>55</v>
      </c>
      <c r="R5594" t="s">
        <v>53</v>
      </c>
      <c r="T5594" t="s">
        <v>9952</v>
      </c>
      <c r="U5594" t="s">
        <v>58</v>
      </c>
      <c r="V5594">
        <v>1</v>
      </c>
      <c r="W5594">
        <v>1</v>
      </c>
      <c r="X5594">
        <v>2</v>
      </c>
      <c r="Y5594">
        <v>0</v>
      </c>
      <c r="Z5594">
        <v>2</v>
      </c>
      <c r="AA5594">
        <v>154.5</v>
      </c>
      <c r="AB5594">
        <v>154.5</v>
      </c>
      <c r="AC5594">
        <v>135.94</v>
      </c>
      <c r="AD5594">
        <v>0</v>
      </c>
      <c r="AE5594">
        <v>18.559999999999999</v>
      </c>
      <c r="AF5594">
        <v>0</v>
      </c>
      <c r="AG5594">
        <v>0</v>
      </c>
      <c r="AH5594">
        <v>0</v>
      </c>
      <c r="AI5594">
        <v>27.81</v>
      </c>
      <c r="AJ5594">
        <v>154.5</v>
      </c>
      <c r="AK5594">
        <v>0</v>
      </c>
      <c r="AL5594" t="s">
        <v>53</v>
      </c>
      <c r="AM5594" t="s">
        <v>53</v>
      </c>
      <c r="AN5594" t="s">
        <v>53</v>
      </c>
      <c r="AO5594" t="s">
        <v>53</v>
      </c>
      <c r="AP5594" t="s">
        <v>53</v>
      </c>
    </row>
    <row r="5595" spans="2:42" x14ac:dyDescent="0.2">
      <c r="B5595" t="s">
        <v>44</v>
      </c>
      <c r="C5595" t="str">
        <f>HYPERLINK("https://us2.cloudbeds.com/connect/8493803454333002#/reservations/9080486846358033?display=2MQQD3RCNR&amp;reservation_id=9080486846358033", "2MQQD3RCNR")</f>
        <v>2MQQD3RCNR</v>
      </c>
      <c r="D5595" t="s">
        <v>45</v>
      </c>
      <c r="E5595" t="s">
        <v>128</v>
      </c>
      <c r="F5595" t="s">
        <v>86</v>
      </c>
      <c r="G5595" t="s">
        <v>48</v>
      </c>
      <c r="H5595" t="s">
        <v>49</v>
      </c>
      <c r="I5595" t="s">
        <v>62</v>
      </c>
      <c r="J5595" t="s">
        <v>6373</v>
      </c>
      <c r="K5595" t="s">
        <v>8765</v>
      </c>
      <c r="L5595" t="s">
        <v>53</v>
      </c>
      <c r="N5595" t="s">
        <v>9953</v>
      </c>
      <c r="P5595" t="s">
        <v>55</v>
      </c>
      <c r="R5595" t="s">
        <v>56</v>
      </c>
      <c r="T5595" t="s">
        <v>9954</v>
      </c>
      <c r="U5595" t="s">
        <v>55</v>
      </c>
      <c r="V5595">
        <v>1</v>
      </c>
      <c r="W5595">
        <v>1</v>
      </c>
      <c r="X5595">
        <v>2</v>
      </c>
      <c r="Y5595">
        <v>2</v>
      </c>
      <c r="Z5595">
        <v>4</v>
      </c>
      <c r="AA5595">
        <v>294</v>
      </c>
      <c r="AB5595">
        <v>294</v>
      </c>
      <c r="AC5595">
        <v>294</v>
      </c>
      <c r="AD5595">
        <v>0</v>
      </c>
      <c r="AE5595">
        <v>0</v>
      </c>
      <c r="AF5595">
        <v>0</v>
      </c>
      <c r="AG5595">
        <v>0</v>
      </c>
      <c r="AH5595">
        <v>0</v>
      </c>
      <c r="AI5595">
        <v>52.92</v>
      </c>
      <c r="AJ5595">
        <v>294</v>
      </c>
      <c r="AK5595">
        <v>0</v>
      </c>
      <c r="AL5595" t="s">
        <v>53</v>
      </c>
      <c r="AM5595" t="s">
        <v>53</v>
      </c>
      <c r="AN5595" t="s">
        <v>53</v>
      </c>
      <c r="AO5595" t="s">
        <v>53</v>
      </c>
      <c r="AP5595" t="s">
        <v>53</v>
      </c>
    </row>
    <row r="5596" spans="2:42" x14ac:dyDescent="0.2">
      <c r="B5596" t="s">
        <v>44</v>
      </c>
      <c r="C5596" t="str">
        <f>HYPERLINK("https://us2.cloudbeds.com/connect/8493803454333002#/reservations/124924558090443?display=2MR7M0D2WB&amp;reservation_id=124924558090443", "2MR7M0D2WB")</f>
        <v>2MR7M0D2WB</v>
      </c>
      <c r="D5596" t="s">
        <v>45</v>
      </c>
      <c r="E5596" t="s">
        <v>265</v>
      </c>
      <c r="F5596" t="s">
        <v>61</v>
      </c>
      <c r="G5596" t="s">
        <v>48</v>
      </c>
      <c r="H5596" t="s">
        <v>3957</v>
      </c>
      <c r="I5596" t="s">
        <v>3989</v>
      </c>
      <c r="J5596" t="s">
        <v>8765</v>
      </c>
      <c r="K5596" t="s">
        <v>6374</v>
      </c>
      <c r="L5596" t="s">
        <v>53</v>
      </c>
      <c r="P5596" t="s">
        <v>55</v>
      </c>
      <c r="R5596" t="s">
        <v>56</v>
      </c>
      <c r="T5596" t="s">
        <v>9955</v>
      </c>
      <c r="U5596" t="s">
        <v>58</v>
      </c>
      <c r="V5596">
        <v>1</v>
      </c>
      <c r="W5596">
        <v>1</v>
      </c>
      <c r="X5596">
        <v>1</v>
      </c>
      <c r="Y5596">
        <v>0</v>
      </c>
      <c r="Z5596">
        <v>1</v>
      </c>
      <c r="AA5596">
        <v>323.91000000000003</v>
      </c>
      <c r="AB5596">
        <v>323.91000000000003</v>
      </c>
      <c r="AC5596">
        <v>285</v>
      </c>
      <c r="AD5596">
        <v>0</v>
      </c>
      <c r="AE5596">
        <v>38.909999999999997</v>
      </c>
      <c r="AF5596">
        <v>0</v>
      </c>
      <c r="AG5596">
        <v>0</v>
      </c>
      <c r="AH5596">
        <v>0</v>
      </c>
      <c r="AI5596">
        <v>0</v>
      </c>
      <c r="AJ5596">
        <v>323.91000000000003</v>
      </c>
      <c r="AK5596">
        <v>0</v>
      </c>
      <c r="AL5596" t="s">
        <v>53</v>
      </c>
      <c r="AM5596" t="s">
        <v>53</v>
      </c>
      <c r="AN5596" t="s">
        <v>9956</v>
      </c>
      <c r="AO5596" t="s">
        <v>53</v>
      </c>
      <c r="AP5596" t="s">
        <v>53</v>
      </c>
    </row>
    <row r="5597" spans="2:42" x14ac:dyDescent="0.2">
      <c r="B5597" t="s">
        <v>44</v>
      </c>
      <c r="C5597" t="str">
        <f>HYPERLINK("https://us2.cloudbeds.com/connect/8493803454333002#/reservations/9080486846358661?display=2MRZ42BGMK&amp;reservation_id=9080486846358661", "2MRZ42BGMK")</f>
        <v>2MRZ42BGMK</v>
      </c>
      <c r="D5597" t="s">
        <v>45</v>
      </c>
      <c r="E5597" t="s">
        <v>113</v>
      </c>
      <c r="F5597" t="s">
        <v>61</v>
      </c>
      <c r="G5597" t="s">
        <v>48</v>
      </c>
      <c r="H5597" t="s">
        <v>49</v>
      </c>
      <c r="I5597" t="s">
        <v>50</v>
      </c>
      <c r="J5597" t="s">
        <v>7926</v>
      </c>
      <c r="K5597" t="s">
        <v>8249</v>
      </c>
      <c r="L5597" t="s">
        <v>53</v>
      </c>
      <c r="N5597" t="s">
        <v>9957</v>
      </c>
      <c r="P5597" t="s">
        <v>55</v>
      </c>
      <c r="R5597" t="s">
        <v>53</v>
      </c>
      <c r="T5597" t="s">
        <v>9958</v>
      </c>
      <c r="U5597" t="s">
        <v>58</v>
      </c>
      <c r="V5597">
        <v>1</v>
      </c>
      <c r="W5597">
        <v>1</v>
      </c>
      <c r="X5597">
        <v>2</v>
      </c>
      <c r="Y5597">
        <v>0</v>
      </c>
      <c r="Z5597">
        <v>2</v>
      </c>
      <c r="AA5597">
        <v>209.89</v>
      </c>
      <c r="AB5597">
        <v>209.89</v>
      </c>
      <c r="AC5597">
        <v>184.68</v>
      </c>
      <c r="AD5597">
        <v>0</v>
      </c>
      <c r="AE5597">
        <v>25.21</v>
      </c>
      <c r="AF5597">
        <v>0</v>
      </c>
      <c r="AG5597">
        <v>0</v>
      </c>
      <c r="AH5597">
        <v>0</v>
      </c>
      <c r="AI5597">
        <v>37.78</v>
      </c>
      <c r="AJ5597">
        <v>209.89</v>
      </c>
      <c r="AK5597">
        <v>0</v>
      </c>
      <c r="AL5597" t="s">
        <v>53</v>
      </c>
      <c r="AM5597" t="s">
        <v>53</v>
      </c>
      <c r="AN5597" t="s">
        <v>53</v>
      </c>
      <c r="AO5597" t="s">
        <v>53</v>
      </c>
      <c r="AP5597" t="s">
        <v>53</v>
      </c>
    </row>
    <row r="5598" spans="2:42" x14ac:dyDescent="0.2">
      <c r="B5598" t="s">
        <v>44</v>
      </c>
      <c r="C5598" t="str">
        <f>HYPERLINK("https://us2.cloudbeds.com/connect/8493803454333002#/reservations/9080486846358734?display=2MRSBYYWDP&amp;reservation_id=9080486846358734", "2MRSBYYWDP")</f>
        <v>2MRSBYYWDP</v>
      </c>
      <c r="D5598" t="s">
        <v>45</v>
      </c>
      <c r="E5598" t="s">
        <v>190</v>
      </c>
      <c r="F5598" t="s">
        <v>61</v>
      </c>
      <c r="G5598" t="s">
        <v>48</v>
      </c>
      <c r="H5598" t="s">
        <v>49</v>
      </c>
      <c r="I5598" t="s">
        <v>62</v>
      </c>
      <c r="J5598" t="s">
        <v>8394</v>
      </c>
      <c r="K5598" t="s">
        <v>8060</v>
      </c>
      <c r="L5598" t="s">
        <v>53</v>
      </c>
      <c r="N5598" t="s">
        <v>9959</v>
      </c>
      <c r="P5598" t="s">
        <v>55</v>
      </c>
      <c r="R5598" t="s">
        <v>56</v>
      </c>
      <c r="T5598" t="s">
        <v>9960</v>
      </c>
      <c r="U5598" t="s">
        <v>55</v>
      </c>
      <c r="V5598">
        <v>4</v>
      </c>
      <c r="W5598">
        <v>1</v>
      </c>
      <c r="X5598">
        <v>2</v>
      </c>
      <c r="Y5598">
        <v>0</v>
      </c>
      <c r="Z5598">
        <v>2</v>
      </c>
      <c r="AA5598">
        <v>819</v>
      </c>
      <c r="AB5598">
        <v>819</v>
      </c>
      <c r="AC5598">
        <v>819</v>
      </c>
      <c r="AD5598">
        <v>0</v>
      </c>
      <c r="AE5598">
        <v>0</v>
      </c>
      <c r="AF5598">
        <v>0</v>
      </c>
      <c r="AG5598">
        <v>0</v>
      </c>
      <c r="AH5598">
        <v>0</v>
      </c>
      <c r="AI5598">
        <v>147.41999999999999</v>
      </c>
      <c r="AJ5598">
        <v>819</v>
      </c>
      <c r="AK5598">
        <v>0</v>
      </c>
      <c r="AL5598" t="s">
        <v>53</v>
      </c>
      <c r="AM5598" t="s">
        <v>53</v>
      </c>
      <c r="AN5598" t="s">
        <v>9961</v>
      </c>
      <c r="AO5598" t="s">
        <v>53</v>
      </c>
      <c r="AP5598" t="s">
        <v>53</v>
      </c>
    </row>
    <row r="5599" spans="2:42" x14ac:dyDescent="0.2">
      <c r="B5599" t="s">
        <v>44</v>
      </c>
      <c r="C5599" t="str">
        <f>HYPERLINK("https://us2.cloudbeds.com/connect/8493803454333002#/reservations/124950901842055?display=2MRS254QQZ&amp;reservation_id=124950901842055", "2MRS254QQZ")</f>
        <v>2MRS254QQZ</v>
      </c>
      <c r="D5599" t="s">
        <v>45</v>
      </c>
      <c r="E5599" t="s">
        <v>85</v>
      </c>
      <c r="F5599" t="s">
        <v>86</v>
      </c>
      <c r="G5599" t="s">
        <v>48</v>
      </c>
      <c r="H5599" t="s">
        <v>3957</v>
      </c>
      <c r="I5599" t="s">
        <v>3975</v>
      </c>
      <c r="J5599" t="s">
        <v>7829</v>
      </c>
      <c r="K5599" t="s">
        <v>7830</v>
      </c>
      <c r="L5599" t="s">
        <v>53</v>
      </c>
      <c r="P5599" t="s">
        <v>55</v>
      </c>
      <c r="R5599" t="s">
        <v>53</v>
      </c>
      <c r="T5599" t="s">
        <v>9962</v>
      </c>
      <c r="U5599" t="s">
        <v>58</v>
      </c>
      <c r="V5599">
        <v>1</v>
      </c>
      <c r="W5599">
        <v>1</v>
      </c>
      <c r="X5599">
        <v>2</v>
      </c>
      <c r="Y5599">
        <v>0</v>
      </c>
      <c r="Z5599">
        <v>2</v>
      </c>
      <c r="AA5599">
        <v>240.94</v>
      </c>
      <c r="AB5599">
        <v>240.94</v>
      </c>
      <c r="AC5599">
        <v>212</v>
      </c>
      <c r="AD5599">
        <v>0</v>
      </c>
      <c r="AE5599">
        <v>28.94</v>
      </c>
      <c r="AF5599">
        <v>0</v>
      </c>
      <c r="AG5599">
        <v>0</v>
      </c>
      <c r="AH5599">
        <v>0</v>
      </c>
      <c r="AI5599">
        <v>0</v>
      </c>
      <c r="AJ5599">
        <v>240.94</v>
      </c>
      <c r="AK5599">
        <v>0</v>
      </c>
      <c r="AL5599" t="s">
        <v>53</v>
      </c>
      <c r="AM5599" t="s">
        <v>53</v>
      </c>
      <c r="AN5599" t="s">
        <v>53</v>
      </c>
      <c r="AO5599" t="s">
        <v>53</v>
      </c>
      <c r="AP5599" t="s">
        <v>53</v>
      </c>
    </row>
    <row r="5600" spans="2:42" x14ac:dyDescent="0.2">
      <c r="B5600" t="s">
        <v>44</v>
      </c>
      <c r="C5600" t="str">
        <f>HYPERLINK("https://us2.cloudbeds.com/connect/8493803454333002#/reservations/9080486846358826?display=2MS0VXKJKP&amp;reservation_id=9080486846358826", "2MS0VXKJKP")</f>
        <v>2MS0VXKJKP</v>
      </c>
      <c r="D5600" t="s">
        <v>45</v>
      </c>
      <c r="E5600" t="s">
        <v>98</v>
      </c>
      <c r="F5600" t="s">
        <v>86</v>
      </c>
      <c r="G5600" t="s">
        <v>48</v>
      </c>
      <c r="H5600" t="s">
        <v>49</v>
      </c>
      <c r="I5600" t="s">
        <v>50</v>
      </c>
      <c r="J5600" t="s">
        <v>6373</v>
      </c>
      <c r="K5600" t="s">
        <v>8765</v>
      </c>
      <c r="L5600" t="s">
        <v>53</v>
      </c>
      <c r="N5600" t="s">
        <v>9963</v>
      </c>
      <c r="P5600" t="s">
        <v>55</v>
      </c>
      <c r="R5600" t="s">
        <v>53</v>
      </c>
      <c r="T5600" t="s">
        <v>9964</v>
      </c>
      <c r="U5600" t="s">
        <v>58</v>
      </c>
      <c r="V5600">
        <v>1</v>
      </c>
      <c r="W5600">
        <v>1</v>
      </c>
      <c r="X5600">
        <v>2</v>
      </c>
      <c r="Y5600">
        <v>0</v>
      </c>
      <c r="Z5600">
        <v>2</v>
      </c>
      <c r="AA5600">
        <v>300.70999999999998</v>
      </c>
      <c r="AB5600">
        <v>300.70999999999998</v>
      </c>
      <c r="AC5600">
        <v>264.60000000000002</v>
      </c>
      <c r="AD5600">
        <v>0</v>
      </c>
      <c r="AE5600">
        <v>36.11</v>
      </c>
      <c r="AF5600">
        <v>0</v>
      </c>
      <c r="AG5600">
        <v>0</v>
      </c>
      <c r="AH5600">
        <v>0</v>
      </c>
      <c r="AI5600">
        <v>54.13</v>
      </c>
      <c r="AJ5600">
        <v>300.70999999999998</v>
      </c>
      <c r="AK5600">
        <v>0</v>
      </c>
      <c r="AL5600" t="s">
        <v>53</v>
      </c>
      <c r="AM5600" t="s">
        <v>53</v>
      </c>
      <c r="AN5600" t="s">
        <v>53</v>
      </c>
      <c r="AO5600" t="s">
        <v>53</v>
      </c>
      <c r="AP5600" t="s">
        <v>53</v>
      </c>
    </row>
    <row r="5601" spans="2:42" x14ac:dyDescent="0.2">
      <c r="B5601" t="s">
        <v>44</v>
      </c>
      <c r="C5601" t="str">
        <f>HYPERLINK("https://us2.cloudbeds.com/connect/8493803454333002#/reservations/9080486846359043?display=2MSEHH2J35&amp;reservation_id=9080486846359043", "2MSEHH2J35")</f>
        <v>2MSEHH2J35</v>
      </c>
      <c r="D5601" t="s">
        <v>45</v>
      </c>
      <c r="E5601" t="s">
        <v>69</v>
      </c>
      <c r="F5601" t="s">
        <v>70</v>
      </c>
      <c r="G5601" t="s">
        <v>48</v>
      </c>
      <c r="H5601" t="s">
        <v>49</v>
      </c>
      <c r="I5601" t="s">
        <v>50</v>
      </c>
      <c r="J5601" t="s">
        <v>7830</v>
      </c>
      <c r="K5601" t="s">
        <v>7905</v>
      </c>
      <c r="L5601" t="s">
        <v>53</v>
      </c>
      <c r="N5601" t="s">
        <v>9965</v>
      </c>
      <c r="P5601" t="s">
        <v>55</v>
      </c>
      <c r="R5601" t="s">
        <v>53</v>
      </c>
      <c r="T5601" t="s">
        <v>9966</v>
      </c>
      <c r="U5601" t="s">
        <v>58</v>
      </c>
      <c r="V5601">
        <v>1</v>
      </c>
      <c r="W5601">
        <v>1</v>
      </c>
      <c r="X5601">
        <v>2</v>
      </c>
      <c r="Y5601">
        <v>0</v>
      </c>
      <c r="Z5601">
        <v>2</v>
      </c>
      <c r="AA5601">
        <v>185.47</v>
      </c>
      <c r="AB5601">
        <v>185.47</v>
      </c>
      <c r="AC5601">
        <v>163.19999999999999</v>
      </c>
      <c r="AD5601">
        <v>0</v>
      </c>
      <c r="AE5601">
        <v>22.27</v>
      </c>
      <c r="AF5601">
        <v>0</v>
      </c>
      <c r="AG5601">
        <v>0</v>
      </c>
      <c r="AH5601">
        <v>0</v>
      </c>
      <c r="AI5601">
        <v>33.380000000000003</v>
      </c>
      <c r="AJ5601">
        <v>185.47</v>
      </c>
      <c r="AK5601">
        <v>0</v>
      </c>
      <c r="AL5601" t="s">
        <v>53</v>
      </c>
      <c r="AM5601" t="s">
        <v>53</v>
      </c>
      <c r="AN5601" t="s">
        <v>53</v>
      </c>
      <c r="AO5601" t="s">
        <v>53</v>
      </c>
      <c r="AP5601" t="s">
        <v>53</v>
      </c>
    </row>
    <row r="5602" spans="2:42" x14ac:dyDescent="0.2">
      <c r="B5602" t="s">
        <v>44</v>
      </c>
      <c r="C5602" t="str">
        <f>HYPERLINK("https://us2.cloudbeds.com/connect/8493803454333002#/reservations/9080486846359251?display=2MSQ62MXXX&amp;reservation_id=9080486846359251", "2MSQ62MXXX")</f>
        <v>2MSQ62MXXX</v>
      </c>
      <c r="D5602" t="s">
        <v>45</v>
      </c>
      <c r="E5602" t="s">
        <v>121</v>
      </c>
      <c r="F5602" t="s">
        <v>86</v>
      </c>
      <c r="G5602" t="s">
        <v>48</v>
      </c>
      <c r="H5602" t="s">
        <v>49</v>
      </c>
      <c r="I5602" t="s">
        <v>62</v>
      </c>
      <c r="J5602" t="s">
        <v>6373</v>
      </c>
      <c r="K5602" t="s">
        <v>8765</v>
      </c>
      <c r="L5602" t="s">
        <v>53</v>
      </c>
      <c r="N5602" t="s">
        <v>9967</v>
      </c>
      <c r="P5602" t="s">
        <v>55</v>
      </c>
      <c r="R5602" t="s">
        <v>56</v>
      </c>
      <c r="T5602" t="s">
        <v>9968</v>
      </c>
      <c r="U5602" t="s">
        <v>55</v>
      </c>
      <c r="V5602">
        <v>1</v>
      </c>
      <c r="W5602">
        <v>1</v>
      </c>
      <c r="X5602">
        <v>2</v>
      </c>
      <c r="Y5602">
        <v>0</v>
      </c>
      <c r="Z5602">
        <v>2</v>
      </c>
      <c r="AA5602">
        <v>294</v>
      </c>
      <c r="AB5602">
        <v>294</v>
      </c>
      <c r="AC5602">
        <v>294</v>
      </c>
      <c r="AD5602">
        <v>0</v>
      </c>
      <c r="AE5602">
        <v>0</v>
      </c>
      <c r="AF5602">
        <v>0</v>
      </c>
      <c r="AG5602">
        <v>0</v>
      </c>
      <c r="AH5602">
        <v>0</v>
      </c>
      <c r="AI5602">
        <v>52.92</v>
      </c>
      <c r="AJ5602">
        <v>294</v>
      </c>
      <c r="AK5602">
        <v>0</v>
      </c>
      <c r="AL5602" t="s">
        <v>53</v>
      </c>
      <c r="AM5602" t="s">
        <v>53</v>
      </c>
      <c r="AN5602" t="s">
        <v>53</v>
      </c>
      <c r="AO5602" t="s">
        <v>53</v>
      </c>
      <c r="AP5602" t="s">
        <v>53</v>
      </c>
    </row>
    <row r="5603" spans="2:42" x14ac:dyDescent="0.2">
      <c r="B5603" t="s">
        <v>44</v>
      </c>
      <c r="C5603" t="str">
        <f>HYPERLINK("https://us2.cloudbeds.com/connect/8493803454333002#/reservations/9080486846359772?display=2MTQUPDVNP&amp;reservation_id=9080486846359772", "2MTQUPDVNP")</f>
        <v>2MTQUPDVNP</v>
      </c>
      <c r="D5603" t="s">
        <v>45</v>
      </c>
      <c r="E5603" t="s">
        <v>85</v>
      </c>
      <c r="F5603" t="s">
        <v>86</v>
      </c>
      <c r="G5603" t="s">
        <v>48</v>
      </c>
      <c r="H5603" t="s">
        <v>49</v>
      </c>
      <c r="I5603" t="s">
        <v>8964</v>
      </c>
      <c r="J5603" t="s">
        <v>9935</v>
      </c>
      <c r="K5603" t="s">
        <v>9969</v>
      </c>
      <c r="L5603" t="s">
        <v>53</v>
      </c>
      <c r="N5603" t="s">
        <v>9970</v>
      </c>
      <c r="P5603" t="s">
        <v>55</v>
      </c>
      <c r="R5603" t="s">
        <v>53</v>
      </c>
      <c r="T5603" t="s">
        <v>9971</v>
      </c>
      <c r="U5603" t="s">
        <v>58</v>
      </c>
      <c r="V5603">
        <v>2</v>
      </c>
      <c r="W5603">
        <v>1</v>
      </c>
      <c r="X5603">
        <v>2</v>
      </c>
      <c r="Y5603">
        <v>2</v>
      </c>
      <c r="Z5603">
        <v>4</v>
      </c>
      <c r="AA5603">
        <v>0</v>
      </c>
      <c r="AB5603">
        <v>0</v>
      </c>
      <c r="AC5603">
        <v>189</v>
      </c>
      <c r="AD5603">
        <v>0</v>
      </c>
      <c r="AE5603">
        <v>0</v>
      </c>
      <c r="AF5603">
        <v>0</v>
      </c>
      <c r="AG5603">
        <v>0</v>
      </c>
      <c r="AH5603">
        <v>0</v>
      </c>
      <c r="AI5603">
        <v>28.35</v>
      </c>
      <c r="AJ5603">
        <v>189</v>
      </c>
      <c r="AK5603">
        <v>189</v>
      </c>
      <c r="AL5603" t="s">
        <v>53</v>
      </c>
      <c r="AM5603" t="s">
        <v>53</v>
      </c>
      <c r="AN5603" t="s">
        <v>53</v>
      </c>
      <c r="AO5603" t="s">
        <v>53</v>
      </c>
      <c r="AP5603" t="s">
        <v>53</v>
      </c>
    </row>
    <row r="5604" spans="2:42" x14ac:dyDescent="0.2">
      <c r="B5604" t="s">
        <v>44</v>
      </c>
      <c r="C5604" t="str">
        <f>HYPERLINK("https://us2.cloudbeds.com/connect/8493803454333002#/reservations/9080486846362637?display=2N10VF84RG&amp;reservation_id=9080486846362637", "2N10VF84RG")</f>
        <v>2N10VF84RG</v>
      </c>
      <c r="D5604" t="s">
        <v>45</v>
      </c>
      <c r="E5604" t="s">
        <v>113</v>
      </c>
      <c r="F5604" t="s">
        <v>61</v>
      </c>
      <c r="G5604" t="s">
        <v>48</v>
      </c>
      <c r="H5604" t="s">
        <v>49</v>
      </c>
      <c r="I5604" t="s">
        <v>62</v>
      </c>
      <c r="J5604" t="s">
        <v>5508</v>
      </c>
      <c r="K5604" t="s">
        <v>9692</v>
      </c>
      <c r="L5604" t="s">
        <v>53</v>
      </c>
      <c r="N5604" t="s">
        <v>9972</v>
      </c>
      <c r="P5604" t="s">
        <v>55</v>
      </c>
      <c r="R5604" t="s">
        <v>56</v>
      </c>
      <c r="T5604" t="s">
        <v>9973</v>
      </c>
      <c r="U5604" t="s">
        <v>55</v>
      </c>
      <c r="V5604">
        <v>1</v>
      </c>
      <c r="W5604">
        <v>1</v>
      </c>
      <c r="X5604">
        <v>2</v>
      </c>
      <c r="Y5604">
        <v>0</v>
      </c>
      <c r="Z5604">
        <v>2</v>
      </c>
      <c r="AA5604">
        <v>155.80000000000001</v>
      </c>
      <c r="AB5604">
        <v>155.80000000000001</v>
      </c>
      <c r="AC5604">
        <v>155.80000000000001</v>
      </c>
      <c r="AD5604">
        <v>0</v>
      </c>
      <c r="AE5604">
        <v>0</v>
      </c>
      <c r="AF5604">
        <v>0</v>
      </c>
      <c r="AG5604">
        <v>0</v>
      </c>
      <c r="AH5604">
        <v>0</v>
      </c>
      <c r="AI5604">
        <v>28.04</v>
      </c>
      <c r="AJ5604">
        <v>155.80000000000001</v>
      </c>
      <c r="AK5604">
        <v>0</v>
      </c>
      <c r="AL5604" t="s">
        <v>53</v>
      </c>
      <c r="AM5604" t="s">
        <v>53</v>
      </c>
      <c r="AN5604" t="s">
        <v>53</v>
      </c>
      <c r="AO5604" t="s">
        <v>53</v>
      </c>
      <c r="AP5604" t="s">
        <v>53</v>
      </c>
    </row>
    <row r="5605" spans="2:42" x14ac:dyDescent="0.2">
      <c r="B5605" t="s">
        <v>44</v>
      </c>
      <c r="C5605" t="str">
        <f>HYPERLINK("https://us2.cloudbeds.com/connect/8493803454333002#/reservations/9080486846362882?display=2N19XBV5DX&amp;reservation_id=9080486846362882", "2N19XBV5DX")</f>
        <v>2N19XBV5DX</v>
      </c>
      <c r="D5605" t="s">
        <v>45</v>
      </c>
      <c r="E5605" t="s">
        <v>78</v>
      </c>
      <c r="F5605" t="s">
        <v>61</v>
      </c>
      <c r="G5605" t="s">
        <v>48</v>
      </c>
      <c r="H5605" t="s">
        <v>49</v>
      </c>
      <c r="I5605" t="s">
        <v>50</v>
      </c>
      <c r="J5605" t="s">
        <v>6454</v>
      </c>
      <c r="K5605" t="s">
        <v>9692</v>
      </c>
      <c r="L5605" t="s">
        <v>53</v>
      </c>
      <c r="N5605" t="s">
        <v>9974</v>
      </c>
      <c r="P5605" t="s">
        <v>55</v>
      </c>
      <c r="R5605" t="s">
        <v>53</v>
      </c>
      <c r="T5605" t="s">
        <v>9975</v>
      </c>
      <c r="U5605" t="s">
        <v>58</v>
      </c>
      <c r="V5605">
        <v>2</v>
      </c>
      <c r="W5605">
        <v>1</v>
      </c>
      <c r="X5605">
        <v>2</v>
      </c>
      <c r="Y5605">
        <v>0</v>
      </c>
      <c r="Z5605">
        <v>2</v>
      </c>
      <c r="AA5605">
        <v>387.17</v>
      </c>
      <c r="AB5605">
        <v>387.17</v>
      </c>
      <c r="AC5605">
        <v>340.67</v>
      </c>
      <c r="AD5605">
        <v>0</v>
      </c>
      <c r="AE5605">
        <v>46.5</v>
      </c>
      <c r="AF5605">
        <v>0</v>
      </c>
      <c r="AG5605">
        <v>0</v>
      </c>
      <c r="AH5605">
        <v>0</v>
      </c>
      <c r="AI5605">
        <v>69.69</v>
      </c>
      <c r="AJ5605">
        <v>387.17</v>
      </c>
      <c r="AK5605">
        <v>0</v>
      </c>
      <c r="AL5605" t="s">
        <v>53</v>
      </c>
      <c r="AM5605" t="s">
        <v>53</v>
      </c>
      <c r="AN5605" t="s">
        <v>53</v>
      </c>
      <c r="AO5605" t="s">
        <v>53</v>
      </c>
      <c r="AP5605" t="s">
        <v>53</v>
      </c>
    </row>
    <row r="5606" spans="2:42" x14ac:dyDescent="0.2">
      <c r="B5606" t="s">
        <v>44</v>
      </c>
      <c r="C5606" t="str">
        <f>HYPERLINK("https://us2.cloudbeds.com/connect/8493803454333002#/reservations/125294299320561?display=2N2TVZWS8T&amp;reservation_id=125294299320561", "2N2TVZWS8T")</f>
        <v>2N2TVZWS8T</v>
      </c>
      <c r="D5606" t="s">
        <v>45</v>
      </c>
      <c r="E5606" t="s">
        <v>128</v>
      </c>
      <c r="F5606" t="s">
        <v>86</v>
      </c>
      <c r="G5606" t="s">
        <v>48</v>
      </c>
      <c r="H5606" t="s">
        <v>3957</v>
      </c>
      <c r="I5606" t="s">
        <v>3989</v>
      </c>
      <c r="J5606" t="s">
        <v>8249</v>
      </c>
      <c r="K5606" t="s">
        <v>8261</v>
      </c>
      <c r="L5606" t="s">
        <v>53</v>
      </c>
      <c r="P5606" t="s">
        <v>55</v>
      </c>
      <c r="R5606" t="s">
        <v>56</v>
      </c>
      <c r="T5606" t="s">
        <v>9976</v>
      </c>
      <c r="U5606" t="s">
        <v>58</v>
      </c>
      <c r="V5606">
        <v>3</v>
      </c>
      <c r="W5606">
        <v>1</v>
      </c>
      <c r="X5606">
        <v>2</v>
      </c>
      <c r="Y5606">
        <v>0</v>
      </c>
      <c r="Z5606">
        <v>2</v>
      </c>
      <c r="AA5606">
        <v>692.13</v>
      </c>
      <c r="AB5606">
        <v>692.13</v>
      </c>
      <c r="AC5606">
        <v>609</v>
      </c>
      <c r="AD5606">
        <v>0</v>
      </c>
      <c r="AE5606">
        <v>83.13</v>
      </c>
      <c r="AF5606">
        <v>0</v>
      </c>
      <c r="AG5606">
        <v>0</v>
      </c>
      <c r="AH5606">
        <v>0</v>
      </c>
      <c r="AI5606">
        <v>0</v>
      </c>
      <c r="AJ5606">
        <v>692.13</v>
      </c>
      <c r="AK5606">
        <v>0</v>
      </c>
      <c r="AL5606" t="s">
        <v>53</v>
      </c>
      <c r="AM5606" t="s">
        <v>53</v>
      </c>
      <c r="AN5606" t="s">
        <v>9977</v>
      </c>
      <c r="AO5606" t="s">
        <v>53</v>
      </c>
      <c r="AP5606" t="s">
        <v>53</v>
      </c>
    </row>
    <row r="5607" spans="2:42" x14ac:dyDescent="0.2">
      <c r="B5607" t="s">
        <v>44</v>
      </c>
      <c r="C5607" t="str">
        <f>HYPERLINK("https://us2.cloudbeds.com/connect/8493803454333002#/reservations/9080486846364427?display=2N3M303BGR&amp;reservation_id=9080486846364427", "2N3M303BGR")</f>
        <v>2N3M303BGR</v>
      </c>
      <c r="D5607" t="s">
        <v>45</v>
      </c>
      <c r="E5607" t="s">
        <v>85</v>
      </c>
      <c r="F5607" t="s">
        <v>86</v>
      </c>
      <c r="G5607" t="s">
        <v>48</v>
      </c>
      <c r="H5607" t="s">
        <v>49</v>
      </c>
      <c r="I5607" t="s">
        <v>62</v>
      </c>
      <c r="J5607" t="s">
        <v>7830</v>
      </c>
      <c r="K5607" t="s">
        <v>7905</v>
      </c>
      <c r="L5607" t="s">
        <v>53</v>
      </c>
      <c r="N5607" t="s">
        <v>9978</v>
      </c>
      <c r="P5607" t="s">
        <v>55</v>
      </c>
      <c r="R5607" t="s">
        <v>1475</v>
      </c>
      <c r="T5607" t="s">
        <v>9979</v>
      </c>
      <c r="U5607" t="s">
        <v>55</v>
      </c>
      <c r="V5607">
        <v>1</v>
      </c>
      <c r="W5607">
        <v>1</v>
      </c>
      <c r="X5607">
        <v>2</v>
      </c>
      <c r="Y5607">
        <v>2</v>
      </c>
      <c r="Z5607">
        <v>4</v>
      </c>
      <c r="AA5607">
        <v>230</v>
      </c>
      <c r="AB5607">
        <v>230</v>
      </c>
      <c r="AC5607">
        <v>230</v>
      </c>
      <c r="AD5607">
        <v>0</v>
      </c>
      <c r="AE5607">
        <v>0</v>
      </c>
      <c r="AF5607">
        <v>0</v>
      </c>
      <c r="AG5607">
        <v>0</v>
      </c>
      <c r="AH5607">
        <v>0</v>
      </c>
      <c r="AI5607">
        <v>41.4</v>
      </c>
      <c r="AJ5607">
        <v>230</v>
      </c>
      <c r="AK5607">
        <v>0</v>
      </c>
      <c r="AL5607" t="s">
        <v>53</v>
      </c>
      <c r="AM5607" t="s">
        <v>53</v>
      </c>
      <c r="AN5607" t="s">
        <v>53</v>
      </c>
      <c r="AO5607" t="s">
        <v>53</v>
      </c>
      <c r="AP5607" t="s">
        <v>53</v>
      </c>
    </row>
    <row r="5608" spans="2:42" x14ac:dyDescent="0.2">
      <c r="B5608" t="s">
        <v>44</v>
      </c>
      <c r="C5608" t="str">
        <f>HYPERLINK("https://us2.cloudbeds.com/connect/8493803454333002#/reservations/9080486846366980?display=2N7W7K1SMX&amp;reservation_id=9080486846366980", "2N7W7K1SMX")</f>
        <v>2N7W7K1SMX</v>
      </c>
      <c r="D5608" t="s">
        <v>45</v>
      </c>
      <c r="E5608" t="s">
        <v>155</v>
      </c>
      <c r="F5608" t="s">
        <v>86</v>
      </c>
      <c r="G5608" t="s">
        <v>48</v>
      </c>
      <c r="H5608" t="s">
        <v>49</v>
      </c>
      <c r="I5608" t="s">
        <v>50</v>
      </c>
      <c r="J5608" t="s">
        <v>8871</v>
      </c>
      <c r="K5608" t="s">
        <v>8261</v>
      </c>
      <c r="L5608" t="s">
        <v>53</v>
      </c>
      <c r="N5608" t="s">
        <v>9980</v>
      </c>
      <c r="P5608" t="s">
        <v>55</v>
      </c>
      <c r="R5608" t="s">
        <v>53</v>
      </c>
      <c r="T5608" t="s">
        <v>9981</v>
      </c>
      <c r="U5608" t="s">
        <v>58</v>
      </c>
      <c r="V5608">
        <v>2</v>
      </c>
      <c r="W5608">
        <v>1</v>
      </c>
      <c r="X5608">
        <v>2</v>
      </c>
      <c r="Y5608">
        <v>0</v>
      </c>
      <c r="Z5608">
        <v>2</v>
      </c>
      <c r="AA5608">
        <v>467.11</v>
      </c>
      <c r="AB5608">
        <v>467.11</v>
      </c>
      <c r="AC5608">
        <v>411</v>
      </c>
      <c r="AD5608">
        <v>0</v>
      </c>
      <c r="AE5608">
        <v>56.11</v>
      </c>
      <c r="AF5608">
        <v>0</v>
      </c>
      <c r="AG5608">
        <v>0</v>
      </c>
      <c r="AH5608">
        <v>0</v>
      </c>
      <c r="AI5608">
        <v>84.08</v>
      </c>
      <c r="AJ5608">
        <v>467.11</v>
      </c>
      <c r="AK5608">
        <v>0</v>
      </c>
      <c r="AL5608" t="s">
        <v>53</v>
      </c>
      <c r="AM5608" t="s">
        <v>53</v>
      </c>
      <c r="AN5608" t="s">
        <v>53</v>
      </c>
      <c r="AO5608" t="s">
        <v>53</v>
      </c>
      <c r="AP5608" t="s">
        <v>53</v>
      </c>
    </row>
    <row r="5609" spans="2:42" x14ac:dyDescent="0.2">
      <c r="B5609" t="s">
        <v>44</v>
      </c>
      <c r="C5609" t="str">
        <f>HYPERLINK("https://us2.cloudbeds.com/connect/8493803454333002#/reservations/9080486846367572?display=2N8XMC3UF2&amp;reservation_id=9080486846367572", "2N8XMC3UF2")</f>
        <v>2N8XMC3UF2</v>
      </c>
      <c r="D5609" t="s">
        <v>45</v>
      </c>
      <c r="E5609" t="s">
        <v>138</v>
      </c>
      <c r="F5609" t="s">
        <v>70</v>
      </c>
      <c r="G5609" t="s">
        <v>48</v>
      </c>
      <c r="H5609" t="s">
        <v>49</v>
      </c>
      <c r="I5609" t="s">
        <v>50</v>
      </c>
      <c r="J5609" t="s">
        <v>6374</v>
      </c>
      <c r="K5609" t="s">
        <v>7829</v>
      </c>
      <c r="L5609" t="s">
        <v>53</v>
      </c>
      <c r="N5609" t="s">
        <v>9982</v>
      </c>
      <c r="P5609" t="s">
        <v>55</v>
      </c>
      <c r="R5609" t="s">
        <v>53</v>
      </c>
      <c r="T5609" t="s">
        <v>9983</v>
      </c>
      <c r="U5609" t="s">
        <v>58</v>
      </c>
      <c r="V5609">
        <v>1</v>
      </c>
      <c r="W5609">
        <v>1</v>
      </c>
      <c r="X5609">
        <v>1</v>
      </c>
      <c r="Y5609">
        <v>0</v>
      </c>
      <c r="Z5609">
        <v>1</v>
      </c>
      <c r="AA5609">
        <v>157.29</v>
      </c>
      <c r="AB5609">
        <v>157.29</v>
      </c>
      <c r="AC5609">
        <v>138.4</v>
      </c>
      <c r="AD5609">
        <v>0</v>
      </c>
      <c r="AE5609">
        <v>18.89</v>
      </c>
      <c r="AF5609">
        <v>0</v>
      </c>
      <c r="AG5609">
        <v>0</v>
      </c>
      <c r="AH5609">
        <v>0</v>
      </c>
      <c r="AI5609">
        <v>28.31</v>
      </c>
      <c r="AJ5609">
        <v>157.29</v>
      </c>
      <c r="AK5609">
        <v>0</v>
      </c>
      <c r="AL5609" t="s">
        <v>53</v>
      </c>
      <c r="AM5609" t="s">
        <v>53</v>
      </c>
      <c r="AN5609" t="s">
        <v>53</v>
      </c>
      <c r="AO5609" t="s">
        <v>53</v>
      </c>
      <c r="AP5609" t="s">
        <v>53</v>
      </c>
    </row>
    <row r="5610" spans="2:42" x14ac:dyDescent="0.2">
      <c r="B5610" t="s">
        <v>44</v>
      </c>
      <c r="C5610" t="str">
        <f>HYPERLINK("https://us2.cloudbeds.com/connect/8493803454333002#/reservations/9080486846369048?display=2NA1GA27VB&amp;reservation_id=9080486846369048", "2NA1GA27VB")</f>
        <v>2NA1GA27VB</v>
      </c>
      <c r="D5610" t="s">
        <v>45</v>
      </c>
      <c r="E5610" t="s">
        <v>487</v>
      </c>
      <c r="F5610" t="s">
        <v>61</v>
      </c>
      <c r="G5610" t="s">
        <v>48</v>
      </c>
      <c r="H5610" t="s">
        <v>49</v>
      </c>
      <c r="I5610" t="s">
        <v>50</v>
      </c>
      <c r="J5610" t="s">
        <v>9318</v>
      </c>
      <c r="K5610" t="s">
        <v>7624</v>
      </c>
      <c r="L5610" t="s">
        <v>53</v>
      </c>
      <c r="N5610" t="s">
        <v>9984</v>
      </c>
      <c r="P5610" t="s">
        <v>55</v>
      </c>
      <c r="R5610" t="s">
        <v>53</v>
      </c>
      <c r="T5610" t="s">
        <v>9985</v>
      </c>
      <c r="U5610" t="s">
        <v>58</v>
      </c>
      <c r="V5610">
        <v>3</v>
      </c>
      <c r="W5610">
        <v>1</v>
      </c>
      <c r="X5610">
        <v>2</v>
      </c>
      <c r="Y5610">
        <v>0</v>
      </c>
      <c r="Z5610">
        <v>2</v>
      </c>
      <c r="AA5610">
        <v>637.42999999999995</v>
      </c>
      <c r="AB5610">
        <v>637.42999999999995</v>
      </c>
      <c r="AC5610">
        <v>560.87</v>
      </c>
      <c r="AD5610">
        <v>0</v>
      </c>
      <c r="AE5610">
        <v>76.56</v>
      </c>
      <c r="AF5610">
        <v>0</v>
      </c>
      <c r="AG5610">
        <v>0</v>
      </c>
      <c r="AH5610">
        <v>0</v>
      </c>
      <c r="AI5610">
        <v>114.74</v>
      </c>
      <c r="AJ5610">
        <v>637.42999999999995</v>
      </c>
      <c r="AK5610">
        <v>0</v>
      </c>
      <c r="AL5610" t="s">
        <v>53</v>
      </c>
      <c r="AM5610" t="s">
        <v>53</v>
      </c>
      <c r="AN5610" t="s">
        <v>53</v>
      </c>
      <c r="AO5610" t="s">
        <v>53</v>
      </c>
      <c r="AP5610" t="s">
        <v>53</v>
      </c>
    </row>
    <row r="5611" spans="2:42" x14ac:dyDescent="0.2">
      <c r="B5611" t="s">
        <v>44</v>
      </c>
      <c r="C5611" t="str">
        <f>HYPERLINK("https://us2.cloudbeds.com/connect/8493803454333002#/reservations/125612185469137?display=2NAC3G0HQ3&amp;reservation_id=125612185469137", "2NAC3G0HQ3")</f>
        <v>2NAC3G0HQ3</v>
      </c>
      <c r="D5611" t="s">
        <v>45</v>
      </c>
      <c r="E5611" t="s">
        <v>185</v>
      </c>
      <c r="F5611" t="s">
        <v>47</v>
      </c>
      <c r="G5611" t="s">
        <v>48</v>
      </c>
      <c r="H5611" t="s">
        <v>3957</v>
      </c>
      <c r="I5611" t="s">
        <v>3975</v>
      </c>
      <c r="J5611" t="s">
        <v>8594</v>
      </c>
      <c r="K5611" t="s">
        <v>8713</v>
      </c>
      <c r="L5611" t="s">
        <v>53</v>
      </c>
      <c r="P5611" t="s">
        <v>55</v>
      </c>
      <c r="R5611" t="s">
        <v>53</v>
      </c>
      <c r="T5611" t="s">
        <v>9986</v>
      </c>
      <c r="U5611" t="s">
        <v>58</v>
      </c>
      <c r="V5611">
        <v>1</v>
      </c>
      <c r="W5611">
        <v>1</v>
      </c>
      <c r="X5611">
        <v>2</v>
      </c>
      <c r="Y5611">
        <v>0</v>
      </c>
      <c r="Z5611">
        <v>2</v>
      </c>
      <c r="AA5611">
        <v>245.48</v>
      </c>
      <c r="AB5611">
        <v>245.48</v>
      </c>
      <c r="AC5611">
        <v>216</v>
      </c>
      <c r="AD5611">
        <v>0</v>
      </c>
      <c r="AE5611">
        <v>29.48</v>
      </c>
      <c r="AF5611">
        <v>0</v>
      </c>
      <c r="AG5611">
        <v>0</v>
      </c>
      <c r="AH5611">
        <v>0</v>
      </c>
      <c r="AI5611">
        <v>0</v>
      </c>
      <c r="AJ5611">
        <v>245.48</v>
      </c>
      <c r="AK5611">
        <v>0</v>
      </c>
      <c r="AL5611" t="s">
        <v>53</v>
      </c>
      <c r="AM5611" t="s">
        <v>53</v>
      </c>
      <c r="AN5611" t="s">
        <v>53</v>
      </c>
      <c r="AO5611" t="s">
        <v>53</v>
      </c>
      <c r="AP5611" t="s">
        <v>53</v>
      </c>
    </row>
    <row r="5612" spans="2:42" x14ac:dyDescent="0.2">
      <c r="B5612" t="s">
        <v>44</v>
      </c>
      <c r="C5612" t="str">
        <f>HYPERLINK("https://us2.cloudbeds.com/connect/8493803454333002#/reservations/125613262819566?display=2NACV0FD9Q&amp;reservation_id=125613262819566", "2NACV0FD9Q")</f>
        <v>2NACV0FD9Q</v>
      </c>
      <c r="D5612" t="s">
        <v>45</v>
      </c>
      <c r="E5612" t="s">
        <v>98</v>
      </c>
      <c r="F5612" t="s">
        <v>86</v>
      </c>
      <c r="G5612" t="s">
        <v>48</v>
      </c>
      <c r="H5612" t="s">
        <v>3957</v>
      </c>
      <c r="I5612" t="s">
        <v>3975</v>
      </c>
      <c r="J5612" t="s">
        <v>8594</v>
      </c>
      <c r="K5612" t="s">
        <v>8713</v>
      </c>
      <c r="L5612" t="s">
        <v>53</v>
      </c>
      <c r="P5612" t="s">
        <v>55</v>
      </c>
      <c r="R5612" t="s">
        <v>53</v>
      </c>
      <c r="T5612" t="s">
        <v>9987</v>
      </c>
      <c r="U5612" t="s">
        <v>58</v>
      </c>
      <c r="V5612">
        <v>1</v>
      </c>
      <c r="W5612">
        <v>1</v>
      </c>
      <c r="X5612">
        <v>4</v>
      </c>
      <c r="Y5612">
        <v>0</v>
      </c>
      <c r="Z5612">
        <v>4</v>
      </c>
      <c r="AA5612">
        <v>276.18</v>
      </c>
      <c r="AB5612">
        <v>276.18</v>
      </c>
      <c r="AC5612">
        <v>243</v>
      </c>
      <c r="AD5612">
        <v>0</v>
      </c>
      <c r="AE5612">
        <v>33.18</v>
      </c>
      <c r="AF5612">
        <v>0</v>
      </c>
      <c r="AG5612">
        <v>0</v>
      </c>
      <c r="AH5612">
        <v>0</v>
      </c>
      <c r="AI5612">
        <v>0</v>
      </c>
      <c r="AJ5612">
        <v>276.18</v>
      </c>
      <c r="AK5612">
        <v>0</v>
      </c>
      <c r="AL5612" t="s">
        <v>53</v>
      </c>
      <c r="AM5612" t="s">
        <v>53</v>
      </c>
      <c r="AN5612" t="s">
        <v>53</v>
      </c>
      <c r="AO5612" t="s">
        <v>53</v>
      </c>
      <c r="AP5612" t="s">
        <v>53</v>
      </c>
    </row>
    <row r="5613" spans="2:42" x14ac:dyDescent="0.2">
      <c r="B5613" t="s">
        <v>44</v>
      </c>
      <c r="C5613" t="str">
        <f>HYPERLINK("https://us2.cloudbeds.com/connect/8493803454333002#/reservations/9080486846369446?display=2NAEBBZ76K&amp;reservation_id=9080486846369446", "2NAEBBZ76K")</f>
        <v>2NAEBBZ76K</v>
      </c>
      <c r="D5613" t="s">
        <v>45</v>
      </c>
      <c r="E5613" t="s">
        <v>85</v>
      </c>
      <c r="F5613" t="s">
        <v>86</v>
      </c>
      <c r="G5613" t="s">
        <v>48</v>
      </c>
      <c r="H5613" t="s">
        <v>49</v>
      </c>
      <c r="I5613" t="s">
        <v>50</v>
      </c>
      <c r="J5613" t="s">
        <v>6374</v>
      </c>
      <c r="K5613" t="s">
        <v>7829</v>
      </c>
      <c r="L5613" t="s">
        <v>53</v>
      </c>
      <c r="N5613" t="s">
        <v>9988</v>
      </c>
      <c r="P5613" t="s">
        <v>55</v>
      </c>
      <c r="R5613" t="s">
        <v>53</v>
      </c>
      <c r="T5613" t="s">
        <v>9989</v>
      </c>
      <c r="U5613" t="s">
        <v>58</v>
      </c>
      <c r="V5613">
        <v>1</v>
      </c>
      <c r="W5613">
        <v>1</v>
      </c>
      <c r="X5613">
        <v>2</v>
      </c>
      <c r="Y5613">
        <v>0</v>
      </c>
      <c r="Z5613">
        <v>2</v>
      </c>
      <c r="AA5613">
        <v>211.73</v>
      </c>
      <c r="AB5613">
        <v>211.73</v>
      </c>
      <c r="AC5613">
        <v>186.3</v>
      </c>
      <c r="AD5613">
        <v>0</v>
      </c>
      <c r="AE5613">
        <v>25.43</v>
      </c>
      <c r="AF5613">
        <v>0</v>
      </c>
      <c r="AG5613">
        <v>0</v>
      </c>
      <c r="AH5613">
        <v>0</v>
      </c>
      <c r="AI5613">
        <v>38.11</v>
      </c>
      <c r="AJ5613">
        <v>211.73</v>
      </c>
      <c r="AK5613">
        <v>0</v>
      </c>
      <c r="AL5613" t="s">
        <v>53</v>
      </c>
      <c r="AM5613" t="s">
        <v>53</v>
      </c>
      <c r="AN5613" t="s">
        <v>53</v>
      </c>
      <c r="AO5613" t="s">
        <v>53</v>
      </c>
      <c r="AP5613" t="s">
        <v>53</v>
      </c>
    </row>
    <row r="5614" spans="2:42" x14ac:dyDescent="0.2">
      <c r="B5614" t="s">
        <v>44</v>
      </c>
      <c r="C5614" t="str">
        <f>HYPERLINK("https://us2.cloudbeds.com/connect/8493803454333002#/reservations/9080486846370196?display=2NBGVKX7T1&amp;reservation_id=9080486846370196", "2NBGVKX7T1")</f>
        <v>2NBGVKX7T1</v>
      </c>
      <c r="D5614" t="s">
        <v>45</v>
      </c>
      <c r="E5614" t="s">
        <v>373</v>
      </c>
      <c r="F5614" t="s">
        <v>47</v>
      </c>
      <c r="G5614" t="s">
        <v>48</v>
      </c>
      <c r="H5614" t="s">
        <v>49</v>
      </c>
      <c r="I5614" t="s">
        <v>62</v>
      </c>
      <c r="J5614" t="s">
        <v>8713</v>
      </c>
      <c r="K5614" t="s">
        <v>7926</v>
      </c>
      <c r="L5614" t="s">
        <v>53</v>
      </c>
      <c r="N5614" t="s">
        <v>9990</v>
      </c>
      <c r="P5614" t="s">
        <v>55</v>
      </c>
      <c r="R5614" t="s">
        <v>56</v>
      </c>
      <c r="T5614" t="s">
        <v>9991</v>
      </c>
      <c r="U5614" t="s">
        <v>55</v>
      </c>
      <c r="V5614">
        <v>2</v>
      </c>
      <c r="W5614">
        <v>1</v>
      </c>
      <c r="X5614">
        <v>2</v>
      </c>
      <c r="Y5614">
        <v>0</v>
      </c>
      <c r="Z5614">
        <v>2</v>
      </c>
      <c r="AA5614">
        <v>408</v>
      </c>
      <c r="AB5614">
        <v>408</v>
      </c>
      <c r="AC5614">
        <v>408</v>
      </c>
      <c r="AD5614">
        <v>0</v>
      </c>
      <c r="AE5614">
        <v>0</v>
      </c>
      <c r="AF5614">
        <v>0</v>
      </c>
      <c r="AG5614">
        <v>0</v>
      </c>
      <c r="AH5614">
        <v>0</v>
      </c>
      <c r="AI5614">
        <v>73.44</v>
      </c>
      <c r="AJ5614">
        <v>408</v>
      </c>
      <c r="AK5614">
        <v>0</v>
      </c>
      <c r="AL5614" t="s">
        <v>53</v>
      </c>
      <c r="AM5614" t="s">
        <v>53</v>
      </c>
      <c r="AN5614" t="s">
        <v>53</v>
      </c>
      <c r="AO5614" t="s">
        <v>53</v>
      </c>
      <c r="AP5614" t="s">
        <v>53</v>
      </c>
    </row>
    <row r="5615" spans="2:42" x14ac:dyDescent="0.2">
      <c r="B5615" t="s">
        <v>44</v>
      </c>
      <c r="C5615" t="str">
        <f>HYPERLINK("https://us2.cloudbeds.com/connect/8493803454333002#/reservations/125667385274501?display=2NBYRVVG9P&amp;reservation_id=125667385274501", "2NBYRVVG9P")</f>
        <v>2NBYRVVG9P</v>
      </c>
      <c r="D5615" t="s">
        <v>45</v>
      </c>
      <c r="E5615" t="s">
        <v>78</v>
      </c>
      <c r="F5615" t="s">
        <v>61</v>
      </c>
      <c r="G5615" t="s">
        <v>48</v>
      </c>
      <c r="H5615" t="s">
        <v>3957</v>
      </c>
      <c r="I5615" t="s">
        <v>3958</v>
      </c>
      <c r="J5615" t="s">
        <v>6374</v>
      </c>
      <c r="K5615" t="s">
        <v>7829</v>
      </c>
      <c r="L5615" t="s">
        <v>53</v>
      </c>
      <c r="P5615" t="s">
        <v>55</v>
      </c>
      <c r="R5615" t="s">
        <v>56</v>
      </c>
      <c r="T5615" t="s">
        <v>9992</v>
      </c>
      <c r="U5615" t="s">
        <v>58</v>
      </c>
      <c r="V5615">
        <v>1</v>
      </c>
      <c r="W5615">
        <v>1</v>
      </c>
      <c r="X5615">
        <v>1</v>
      </c>
      <c r="Y5615">
        <v>1</v>
      </c>
      <c r="Z5615">
        <v>2</v>
      </c>
      <c r="AA5615">
        <v>197.76</v>
      </c>
      <c r="AB5615">
        <v>197.76</v>
      </c>
      <c r="AC5615">
        <v>174</v>
      </c>
      <c r="AD5615">
        <v>0</v>
      </c>
      <c r="AE5615">
        <v>23.76</v>
      </c>
      <c r="AF5615">
        <v>0</v>
      </c>
      <c r="AG5615">
        <v>0</v>
      </c>
      <c r="AH5615">
        <v>0</v>
      </c>
      <c r="AI5615">
        <v>0</v>
      </c>
      <c r="AJ5615">
        <v>197.76</v>
      </c>
      <c r="AK5615">
        <v>0</v>
      </c>
      <c r="AL5615" t="s">
        <v>53</v>
      </c>
      <c r="AM5615" t="s">
        <v>53</v>
      </c>
      <c r="AN5615" t="s">
        <v>53</v>
      </c>
      <c r="AO5615" t="s">
        <v>53</v>
      </c>
      <c r="AP5615" t="s">
        <v>53</v>
      </c>
    </row>
    <row r="5616" spans="2:42" x14ac:dyDescent="0.2">
      <c r="B5616" t="s">
        <v>44</v>
      </c>
      <c r="C5616" t="str">
        <f>HYPERLINK("https://us2.cloudbeds.com/connect/8493803454333002#/reservations/9080486846370344?display=2NBZ0YU28Q&amp;reservation_id=9080486846370344", "2NBZ0YU28Q")</f>
        <v>2NBZ0YU28Q</v>
      </c>
      <c r="D5616" t="s">
        <v>45</v>
      </c>
      <c r="E5616" t="s">
        <v>69</v>
      </c>
      <c r="F5616" t="s">
        <v>70</v>
      </c>
      <c r="G5616" t="s">
        <v>48</v>
      </c>
      <c r="H5616" t="s">
        <v>49</v>
      </c>
      <c r="I5616" t="s">
        <v>62</v>
      </c>
      <c r="J5616" t="s">
        <v>6374</v>
      </c>
      <c r="K5616" t="s">
        <v>7829</v>
      </c>
      <c r="L5616" t="s">
        <v>53</v>
      </c>
      <c r="N5616" t="s">
        <v>9993</v>
      </c>
      <c r="P5616" t="s">
        <v>55</v>
      </c>
      <c r="R5616" t="s">
        <v>9994</v>
      </c>
      <c r="T5616" t="s">
        <v>9995</v>
      </c>
      <c r="U5616" t="s">
        <v>55</v>
      </c>
      <c r="V5616">
        <v>1</v>
      </c>
      <c r="W5616">
        <v>1</v>
      </c>
      <c r="X5616">
        <v>1</v>
      </c>
      <c r="Y5616">
        <v>0</v>
      </c>
      <c r="Z5616">
        <v>1</v>
      </c>
      <c r="AA5616">
        <v>154</v>
      </c>
      <c r="AB5616">
        <v>154</v>
      </c>
      <c r="AC5616">
        <v>154</v>
      </c>
      <c r="AD5616">
        <v>0</v>
      </c>
      <c r="AE5616">
        <v>0</v>
      </c>
      <c r="AF5616">
        <v>0</v>
      </c>
      <c r="AG5616">
        <v>0</v>
      </c>
      <c r="AH5616">
        <v>0</v>
      </c>
      <c r="AI5616">
        <v>27.72</v>
      </c>
      <c r="AJ5616">
        <v>154</v>
      </c>
      <c r="AK5616">
        <v>0</v>
      </c>
      <c r="AL5616" t="s">
        <v>53</v>
      </c>
      <c r="AM5616" t="s">
        <v>53</v>
      </c>
      <c r="AN5616" t="s">
        <v>9996</v>
      </c>
      <c r="AO5616" t="s">
        <v>53</v>
      </c>
      <c r="AP5616" t="s">
        <v>53</v>
      </c>
    </row>
    <row r="5617" spans="2:42" x14ac:dyDescent="0.2">
      <c r="B5617" t="s">
        <v>44</v>
      </c>
      <c r="C5617" t="str">
        <f>HYPERLINK("https://us2.cloudbeds.com/connect/8493803454333002#/reservations/9080486846374083?display=2NGEPR16PM&amp;reservation_id=9080486846374083", "2NGEPR16PM")</f>
        <v>2NGEPR16PM</v>
      </c>
      <c r="D5617" t="s">
        <v>45</v>
      </c>
      <c r="E5617" t="s">
        <v>265</v>
      </c>
      <c r="F5617" t="s">
        <v>61</v>
      </c>
      <c r="G5617" t="s">
        <v>48</v>
      </c>
      <c r="H5617" t="s">
        <v>49</v>
      </c>
      <c r="I5617" t="s">
        <v>50</v>
      </c>
      <c r="J5617" t="s">
        <v>7829</v>
      </c>
      <c r="K5617" t="s">
        <v>7830</v>
      </c>
      <c r="L5617" t="s">
        <v>53</v>
      </c>
      <c r="N5617" t="s">
        <v>9997</v>
      </c>
      <c r="P5617" t="s">
        <v>55</v>
      </c>
      <c r="R5617" t="s">
        <v>53</v>
      </c>
      <c r="T5617" t="s">
        <v>9998</v>
      </c>
      <c r="U5617" t="s">
        <v>58</v>
      </c>
      <c r="V5617">
        <v>1</v>
      </c>
      <c r="W5617">
        <v>1</v>
      </c>
      <c r="X5617">
        <v>1</v>
      </c>
      <c r="Y5617">
        <v>0</v>
      </c>
      <c r="Z5617">
        <v>1</v>
      </c>
      <c r="AA5617">
        <v>206.39</v>
      </c>
      <c r="AB5617">
        <v>206.39</v>
      </c>
      <c r="AC5617">
        <v>181.6</v>
      </c>
      <c r="AD5617">
        <v>0</v>
      </c>
      <c r="AE5617">
        <v>24.79</v>
      </c>
      <c r="AF5617">
        <v>0</v>
      </c>
      <c r="AG5617">
        <v>0</v>
      </c>
      <c r="AH5617">
        <v>0</v>
      </c>
      <c r="AI5617">
        <v>37.15</v>
      </c>
      <c r="AJ5617">
        <v>206.39</v>
      </c>
      <c r="AK5617">
        <v>0</v>
      </c>
      <c r="AL5617" t="s">
        <v>53</v>
      </c>
      <c r="AM5617" t="s">
        <v>53</v>
      </c>
      <c r="AN5617" t="s">
        <v>53</v>
      </c>
      <c r="AO5617" t="s">
        <v>53</v>
      </c>
      <c r="AP5617" t="s">
        <v>53</v>
      </c>
    </row>
    <row r="5618" spans="2:42" x14ac:dyDescent="0.2">
      <c r="B5618" t="s">
        <v>44</v>
      </c>
      <c r="C5618" t="str">
        <f>HYPERLINK("https://us2.cloudbeds.com/connect/8493803454333002#/reservations/9080486846374608?display=2NGVKTR6MP&amp;reservation_id=9080486846374608", "2NGVKTR6MP")</f>
        <v>2NGVKTR6MP</v>
      </c>
      <c r="D5618" t="s">
        <v>45</v>
      </c>
      <c r="E5618" t="s">
        <v>179</v>
      </c>
      <c r="F5618" t="s">
        <v>47</v>
      </c>
      <c r="G5618" t="s">
        <v>48</v>
      </c>
      <c r="H5618" t="s">
        <v>49</v>
      </c>
      <c r="I5618" t="s">
        <v>50</v>
      </c>
      <c r="J5618" t="s">
        <v>7926</v>
      </c>
      <c r="K5618" t="s">
        <v>8249</v>
      </c>
      <c r="L5618" t="s">
        <v>53</v>
      </c>
      <c r="N5618" t="s">
        <v>9999</v>
      </c>
      <c r="P5618" t="s">
        <v>55</v>
      </c>
      <c r="R5618" t="s">
        <v>53</v>
      </c>
      <c r="T5618" t="s">
        <v>10000</v>
      </c>
      <c r="U5618" t="s">
        <v>58</v>
      </c>
      <c r="V5618">
        <v>1</v>
      </c>
      <c r="W5618">
        <v>1</v>
      </c>
      <c r="X5618">
        <v>1</v>
      </c>
      <c r="Y5618">
        <v>0</v>
      </c>
      <c r="Z5618">
        <v>1</v>
      </c>
      <c r="AA5618">
        <v>200.48</v>
      </c>
      <c r="AB5618">
        <v>399.93</v>
      </c>
      <c r="AC5618">
        <v>176.4</v>
      </c>
      <c r="AD5618">
        <v>0</v>
      </c>
      <c r="AE5618">
        <v>24.08</v>
      </c>
      <c r="AF5618">
        <v>0</v>
      </c>
      <c r="AG5618">
        <v>0</v>
      </c>
      <c r="AH5618">
        <v>0</v>
      </c>
      <c r="AI5618">
        <v>36.090000000000003</v>
      </c>
      <c r="AJ5618">
        <v>200.48</v>
      </c>
      <c r="AK5618">
        <v>0</v>
      </c>
      <c r="AL5618" t="s">
        <v>53</v>
      </c>
      <c r="AM5618" t="s">
        <v>53</v>
      </c>
      <c r="AN5618" t="s">
        <v>10001</v>
      </c>
      <c r="AO5618" t="s">
        <v>53</v>
      </c>
      <c r="AP5618" t="s">
        <v>53</v>
      </c>
    </row>
    <row r="5619" spans="2:42" x14ac:dyDescent="0.2">
      <c r="B5619" t="s">
        <v>44</v>
      </c>
      <c r="C5619" t="str">
        <f>HYPERLINK("https://us2.cloudbeds.com/connect/8493803454333002#/reservations/9080486846374657?display=2NH03S0T9X&amp;reservation_id=9080486846374657", "2NH03S0T9X")</f>
        <v>2NH03S0T9X</v>
      </c>
      <c r="D5619" t="s">
        <v>45</v>
      </c>
      <c r="E5619" t="s">
        <v>92</v>
      </c>
      <c r="F5619" t="s">
        <v>86</v>
      </c>
      <c r="G5619" t="s">
        <v>48</v>
      </c>
      <c r="H5619" t="s">
        <v>49</v>
      </c>
      <c r="I5619" t="s">
        <v>50</v>
      </c>
      <c r="J5619" t="s">
        <v>7325</v>
      </c>
      <c r="K5619" t="s">
        <v>6992</v>
      </c>
      <c r="L5619" t="s">
        <v>53</v>
      </c>
      <c r="N5619" t="s">
        <v>10002</v>
      </c>
      <c r="P5619" t="s">
        <v>55</v>
      </c>
      <c r="R5619" t="s">
        <v>53</v>
      </c>
      <c r="T5619" t="s">
        <v>10003</v>
      </c>
      <c r="U5619" t="s">
        <v>58</v>
      </c>
      <c r="V5619">
        <v>4</v>
      </c>
      <c r="W5619">
        <v>1</v>
      </c>
      <c r="X5619">
        <v>2</v>
      </c>
      <c r="Y5619">
        <v>0</v>
      </c>
      <c r="Z5619">
        <v>2</v>
      </c>
      <c r="AA5619">
        <v>748.2</v>
      </c>
      <c r="AB5619">
        <v>753.62</v>
      </c>
      <c r="AC5619">
        <v>658.34</v>
      </c>
      <c r="AD5619">
        <v>5</v>
      </c>
      <c r="AE5619">
        <v>90.28</v>
      </c>
      <c r="AF5619">
        <v>0</v>
      </c>
      <c r="AG5619">
        <v>0</v>
      </c>
      <c r="AH5619">
        <v>0</v>
      </c>
      <c r="AI5619">
        <v>135.65</v>
      </c>
      <c r="AJ5619">
        <v>753.62</v>
      </c>
      <c r="AK5619">
        <v>0</v>
      </c>
      <c r="AL5619" t="s">
        <v>53</v>
      </c>
      <c r="AM5619" t="s">
        <v>53</v>
      </c>
      <c r="AN5619" t="s">
        <v>53</v>
      </c>
      <c r="AO5619" t="s">
        <v>53</v>
      </c>
      <c r="AP5619" t="s">
        <v>53</v>
      </c>
    </row>
    <row r="5620" spans="2:42" x14ac:dyDescent="0.2">
      <c r="B5620" t="s">
        <v>44</v>
      </c>
      <c r="C5620" t="str">
        <f>HYPERLINK("https://us2.cloudbeds.com/connect/8493803454333002#/reservations/9080486846375200?display=2NHHB0A7ND&amp;reservation_id=9080486846375200", "2NHHB0A7ND")</f>
        <v>2NHHB0A7ND</v>
      </c>
      <c r="D5620" t="s">
        <v>45</v>
      </c>
      <c r="E5620" t="s">
        <v>121</v>
      </c>
      <c r="F5620" t="s">
        <v>86</v>
      </c>
      <c r="G5620" t="s">
        <v>48</v>
      </c>
      <c r="H5620" t="s">
        <v>49</v>
      </c>
      <c r="I5620" t="s">
        <v>50</v>
      </c>
      <c r="J5620" t="s">
        <v>8686</v>
      </c>
      <c r="K5620" t="s">
        <v>5402</v>
      </c>
      <c r="L5620" t="s">
        <v>53</v>
      </c>
      <c r="N5620" t="s">
        <v>10004</v>
      </c>
      <c r="P5620" t="s">
        <v>55</v>
      </c>
      <c r="R5620" t="s">
        <v>53</v>
      </c>
      <c r="T5620" t="s">
        <v>10005</v>
      </c>
      <c r="U5620" t="s">
        <v>58</v>
      </c>
      <c r="V5620">
        <v>1</v>
      </c>
      <c r="W5620">
        <v>1</v>
      </c>
      <c r="X5620">
        <v>2</v>
      </c>
      <c r="Y5620">
        <v>0</v>
      </c>
      <c r="Z5620">
        <v>2</v>
      </c>
      <c r="AA5620">
        <v>191.42</v>
      </c>
      <c r="AB5620">
        <v>191.42</v>
      </c>
      <c r="AC5620">
        <v>168.43</v>
      </c>
      <c r="AD5620">
        <v>0</v>
      </c>
      <c r="AE5620">
        <v>22.99</v>
      </c>
      <c r="AF5620">
        <v>0</v>
      </c>
      <c r="AG5620">
        <v>0</v>
      </c>
      <c r="AH5620">
        <v>0</v>
      </c>
      <c r="AI5620">
        <v>34.46</v>
      </c>
      <c r="AJ5620">
        <v>191.42</v>
      </c>
      <c r="AK5620">
        <v>0</v>
      </c>
      <c r="AL5620" t="s">
        <v>53</v>
      </c>
      <c r="AM5620" t="s">
        <v>53</v>
      </c>
      <c r="AN5620" t="s">
        <v>10006</v>
      </c>
      <c r="AO5620" t="s">
        <v>53</v>
      </c>
      <c r="AP5620" t="s">
        <v>53</v>
      </c>
    </row>
    <row r="5621" spans="2:42" x14ac:dyDescent="0.2">
      <c r="B5621" t="s">
        <v>44</v>
      </c>
      <c r="C5621" t="str">
        <f>HYPERLINK("https://us2.cloudbeds.com/connect/8493803454333002#/reservations/9080486846375421?display=2NHNDDPSU2&amp;reservation_id=9080486846375421", "2NHNDDPSU2")</f>
        <v>2NHNDDPSU2</v>
      </c>
      <c r="D5621" t="s">
        <v>45</v>
      </c>
      <c r="E5621" t="s">
        <v>121</v>
      </c>
      <c r="F5621" t="s">
        <v>86</v>
      </c>
      <c r="G5621" t="s">
        <v>48</v>
      </c>
      <c r="H5621" t="s">
        <v>49</v>
      </c>
      <c r="I5621" t="s">
        <v>50</v>
      </c>
      <c r="J5621" t="s">
        <v>5402</v>
      </c>
      <c r="K5621" t="s">
        <v>8138</v>
      </c>
      <c r="L5621" t="s">
        <v>53</v>
      </c>
      <c r="N5621" t="s">
        <v>10007</v>
      </c>
      <c r="P5621" t="s">
        <v>55</v>
      </c>
      <c r="R5621" t="s">
        <v>53</v>
      </c>
      <c r="T5621" t="s">
        <v>10008</v>
      </c>
      <c r="U5621" t="s">
        <v>58</v>
      </c>
      <c r="V5621">
        <v>1</v>
      </c>
      <c r="W5621">
        <v>1</v>
      </c>
      <c r="X5621">
        <v>2</v>
      </c>
      <c r="Y5621">
        <v>0</v>
      </c>
      <c r="Z5621">
        <v>2</v>
      </c>
      <c r="AA5621">
        <v>182.62</v>
      </c>
      <c r="AB5621">
        <v>182.62</v>
      </c>
      <c r="AC5621">
        <v>160.69</v>
      </c>
      <c r="AD5621">
        <v>0</v>
      </c>
      <c r="AE5621">
        <v>21.93</v>
      </c>
      <c r="AF5621">
        <v>0</v>
      </c>
      <c r="AG5621">
        <v>0</v>
      </c>
      <c r="AH5621">
        <v>0</v>
      </c>
      <c r="AI5621">
        <v>32.869999999999997</v>
      </c>
      <c r="AJ5621">
        <v>182.62</v>
      </c>
      <c r="AK5621">
        <v>0</v>
      </c>
      <c r="AL5621" t="s">
        <v>53</v>
      </c>
      <c r="AM5621" t="s">
        <v>53</v>
      </c>
      <c r="AN5621" t="s">
        <v>10009</v>
      </c>
      <c r="AO5621" t="s">
        <v>53</v>
      </c>
      <c r="AP5621" t="s">
        <v>53</v>
      </c>
    </row>
    <row r="5622" spans="2:42" x14ac:dyDescent="0.2">
      <c r="B5622" t="s">
        <v>44</v>
      </c>
      <c r="C5622" t="str">
        <f>HYPERLINK("https://us2.cloudbeds.com/connect/8493803454333002#/reservations/9080486846375434?display=2NHNQ5KPG3&amp;reservation_id=9080486846375434", "2NHNQ5KPG3")</f>
        <v>2NHNQ5KPG3</v>
      </c>
      <c r="D5622" t="s">
        <v>45</v>
      </c>
      <c r="E5622" t="s">
        <v>105</v>
      </c>
      <c r="F5622" t="s">
        <v>47</v>
      </c>
      <c r="G5622" t="s">
        <v>48</v>
      </c>
      <c r="H5622" t="s">
        <v>49</v>
      </c>
      <c r="I5622" t="s">
        <v>50</v>
      </c>
      <c r="J5622" t="s">
        <v>7829</v>
      </c>
      <c r="K5622" t="s">
        <v>7830</v>
      </c>
      <c r="L5622" t="s">
        <v>53</v>
      </c>
      <c r="N5622" t="s">
        <v>10010</v>
      </c>
      <c r="P5622" t="s">
        <v>55</v>
      </c>
      <c r="R5622" t="s">
        <v>53</v>
      </c>
      <c r="T5622" t="s">
        <v>10011</v>
      </c>
      <c r="U5622" t="s">
        <v>58</v>
      </c>
      <c r="V5622">
        <v>1</v>
      </c>
      <c r="W5622">
        <v>1</v>
      </c>
      <c r="X5622">
        <v>2</v>
      </c>
      <c r="Y5622">
        <v>0</v>
      </c>
      <c r="Z5622">
        <v>2</v>
      </c>
      <c r="AA5622">
        <v>190.25</v>
      </c>
      <c r="AB5622">
        <v>190.25</v>
      </c>
      <c r="AC5622">
        <v>167.4</v>
      </c>
      <c r="AD5622">
        <v>0</v>
      </c>
      <c r="AE5622">
        <v>22.85</v>
      </c>
      <c r="AF5622">
        <v>0</v>
      </c>
      <c r="AG5622">
        <v>0</v>
      </c>
      <c r="AH5622">
        <v>0</v>
      </c>
      <c r="AI5622">
        <v>34.25</v>
      </c>
      <c r="AJ5622">
        <v>190.25</v>
      </c>
      <c r="AK5622">
        <v>0</v>
      </c>
      <c r="AL5622" t="s">
        <v>53</v>
      </c>
      <c r="AM5622" t="s">
        <v>53</v>
      </c>
      <c r="AN5622" t="s">
        <v>53</v>
      </c>
      <c r="AO5622" t="s">
        <v>53</v>
      </c>
      <c r="AP5622" t="s">
        <v>53</v>
      </c>
    </row>
    <row r="5623" spans="2:42" x14ac:dyDescent="0.2">
      <c r="B5623" t="s">
        <v>44</v>
      </c>
      <c r="C5623" t="str">
        <f>HYPERLINK("https://us2.cloudbeds.com/connect/8493803454333002#/reservations/9080486846375699?display=2NHW7M98R4&amp;reservation_id=9080486846375699", "2NHW7M98R4")</f>
        <v>2NHW7M98R4</v>
      </c>
      <c r="D5623" t="s">
        <v>45</v>
      </c>
      <c r="E5623" t="s">
        <v>223</v>
      </c>
      <c r="F5623" t="s">
        <v>47</v>
      </c>
      <c r="G5623" t="s">
        <v>48</v>
      </c>
      <c r="H5623" t="s">
        <v>49</v>
      </c>
      <c r="I5623" t="s">
        <v>50</v>
      </c>
      <c r="J5623" t="s">
        <v>7829</v>
      </c>
      <c r="K5623" t="s">
        <v>7830</v>
      </c>
      <c r="L5623" t="s">
        <v>53</v>
      </c>
      <c r="N5623" t="s">
        <v>10012</v>
      </c>
      <c r="P5623" t="s">
        <v>55</v>
      </c>
      <c r="R5623" t="s">
        <v>53</v>
      </c>
      <c r="T5623" t="s">
        <v>10013</v>
      </c>
      <c r="U5623" t="s">
        <v>58</v>
      </c>
      <c r="V5623">
        <v>1</v>
      </c>
      <c r="W5623">
        <v>1</v>
      </c>
      <c r="X5623">
        <v>1</v>
      </c>
      <c r="Y5623">
        <v>0</v>
      </c>
      <c r="Z5623">
        <v>1</v>
      </c>
      <c r="AA5623">
        <v>190.25</v>
      </c>
      <c r="AB5623">
        <v>190.25</v>
      </c>
      <c r="AC5623">
        <v>167.4</v>
      </c>
      <c r="AD5623">
        <v>0</v>
      </c>
      <c r="AE5623">
        <v>22.85</v>
      </c>
      <c r="AF5623">
        <v>0</v>
      </c>
      <c r="AG5623">
        <v>0</v>
      </c>
      <c r="AH5623">
        <v>0</v>
      </c>
      <c r="AI5623">
        <v>34.25</v>
      </c>
      <c r="AJ5623">
        <v>190.25</v>
      </c>
      <c r="AK5623">
        <v>0</v>
      </c>
      <c r="AL5623" t="s">
        <v>53</v>
      </c>
      <c r="AM5623" t="s">
        <v>53</v>
      </c>
      <c r="AN5623" t="s">
        <v>8834</v>
      </c>
      <c r="AO5623" t="s">
        <v>53</v>
      </c>
      <c r="AP5623" t="s">
        <v>53</v>
      </c>
    </row>
    <row r="5624" spans="2:42" x14ac:dyDescent="0.2">
      <c r="B5624" t="s">
        <v>44</v>
      </c>
      <c r="C5624" t="str">
        <f>HYPERLINK("https://us2.cloudbeds.com/connect/8493803454333002#/reservations/9080486846376158?display=2NXAS8SMX6&amp;reservation_id=9080486846376158", "2NXAS8SMX6")</f>
        <v>2NXAS8SMX6</v>
      </c>
      <c r="D5624" t="s">
        <v>45</v>
      </c>
      <c r="E5624" t="s">
        <v>46</v>
      </c>
      <c r="F5624" t="s">
        <v>47</v>
      </c>
      <c r="G5624" t="s">
        <v>48</v>
      </c>
      <c r="H5624" t="s">
        <v>49</v>
      </c>
      <c r="I5624" t="s">
        <v>50</v>
      </c>
      <c r="J5624" t="s">
        <v>7829</v>
      </c>
      <c r="K5624" t="s">
        <v>7830</v>
      </c>
      <c r="L5624" t="s">
        <v>53</v>
      </c>
      <c r="N5624" t="s">
        <v>10014</v>
      </c>
      <c r="P5624" t="s">
        <v>55</v>
      </c>
      <c r="R5624" t="s">
        <v>53</v>
      </c>
      <c r="T5624" t="s">
        <v>10015</v>
      </c>
      <c r="U5624" t="s">
        <v>58</v>
      </c>
      <c r="V5624">
        <v>1</v>
      </c>
      <c r="W5624">
        <v>1</v>
      </c>
      <c r="X5624">
        <v>1</v>
      </c>
      <c r="Y5624">
        <v>1</v>
      </c>
      <c r="Z5624">
        <v>2</v>
      </c>
      <c r="AA5624">
        <v>169.12</v>
      </c>
      <c r="AB5624">
        <v>169.12</v>
      </c>
      <c r="AC5624">
        <v>148.80000000000001</v>
      </c>
      <c r="AD5624">
        <v>0</v>
      </c>
      <c r="AE5624">
        <v>20.32</v>
      </c>
      <c r="AF5624">
        <v>0</v>
      </c>
      <c r="AG5624">
        <v>0</v>
      </c>
      <c r="AH5624">
        <v>0</v>
      </c>
      <c r="AI5624">
        <v>30.44</v>
      </c>
      <c r="AJ5624">
        <v>169.12</v>
      </c>
      <c r="AK5624">
        <v>0</v>
      </c>
      <c r="AL5624" t="s">
        <v>53</v>
      </c>
      <c r="AM5624" t="s">
        <v>53</v>
      </c>
      <c r="AN5624" t="s">
        <v>53</v>
      </c>
      <c r="AO5624" t="s">
        <v>53</v>
      </c>
      <c r="AP5624" t="s">
        <v>53</v>
      </c>
    </row>
    <row r="5625" spans="2:42" x14ac:dyDescent="0.2">
      <c r="B5625" t="s">
        <v>44</v>
      </c>
      <c r="C5625" t="str">
        <f>HYPERLINK("https://us2.cloudbeds.com/connect/8493803454333002#/reservations/9080486846376257?display=2NXDVV0GK4&amp;reservation_id=9080486846376257", "2NXDVV0GK4")</f>
        <v>2NXDVV0GK4</v>
      </c>
      <c r="D5625" t="s">
        <v>45</v>
      </c>
      <c r="E5625" t="s">
        <v>373</v>
      </c>
      <c r="F5625" t="s">
        <v>47</v>
      </c>
      <c r="G5625" t="s">
        <v>48</v>
      </c>
      <c r="H5625" t="s">
        <v>49</v>
      </c>
      <c r="I5625" t="s">
        <v>50</v>
      </c>
      <c r="J5625" t="s">
        <v>7829</v>
      </c>
      <c r="K5625" t="s">
        <v>7830</v>
      </c>
      <c r="L5625" t="s">
        <v>53</v>
      </c>
      <c r="N5625" t="s">
        <v>10016</v>
      </c>
      <c r="P5625" t="s">
        <v>55</v>
      </c>
      <c r="R5625" t="s">
        <v>53</v>
      </c>
      <c r="T5625" t="s">
        <v>10017</v>
      </c>
      <c r="U5625" t="s">
        <v>58</v>
      </c>
      <c r="V5625">
        <v>1</v>
      </c>
      <c r="W5625">
        <v>1</v>
      </c>
      <c r="X5625">
        <v>1</v>
      </c>
      <c r="Y5625">
        <v>0</v>
      </c>
      <c r="Z5625">
        <v>1</v>
      </c>
      <c r="AA5625">
        <v>169.12</v>
      </c>
      <c r="AB5625">
        <v>176.72</v>
      </c>
      <c r="AC5625">
        <v>148.80000000000001</v>
      </c>
      <c r="AD5625">
        <v>7</v>
      </c>
      <c r="AE5625">
        <v>20.92</v>
      </c>
      <c r="AF5625">
        <v>0</v>
      </c>
      <c r="AG5625">
        <v>0</v>
      </c>
      <c r="AH5625">
        <v>0</v>
      </c>
      <c r="AI5625">
        <v>31.81</v>
      </c>
      <c r="AJ5625">
        <v>176.72</v>
      </c>
      <c r="AK5625">
        <v>0</v>
      </c>
      <c r="AL5625" t="s">
        <v>53</v>
      </c>
      <c r="AM5625" t="s">
        <v>53</v>
      </c>
      <c r="AN5625" t="s">
        <v>53</v>
      </c>
      <c r="AO5625" t="s">
        <v>53</v>
      </c>
      <c r="AP5625" t="s">
        <v>53</v>
      </c>
    </row>
    <row r="5626" spans="2:42" x14ac:dyDescent="0.2">
      <c r="B5626" t="s">
        <v>44</v>
      </c>
      <c r="C5626" t="str">
        <f>HYPERLINK("https://us2.cloudbeds.com/connect/8493803454333002#/reservations/9080486846376387?display=2NXXPEMWJK&amp;reservation_id=9080486846376387", "2NXXPEMWJK")</f>
        <v>2NXXPEMWJK</v>
      </c>
      <c r="D5626" t="s">
        <v>45</v>
      </c>
      <c r="E5626" t="s">
        <v>128</v>
      </c>
      <c r="F5626" t="s">
        <v>86</v>
      </c>
      <c r="G5626" t="s">
        <v>48</v>
      </c>
      <c r="H5626" t="s">
        <v>49</v>
      </c>
      <c r="I5626" t="s">
        <v>50</v>
      </c>
      <c r="J5626" t="s">
        <v>8829</v>
      </c>
      <c r="K5626" t="s">
        <v>9135</v>
      </c>
      <c r="L5626" t="s">
        <v>53</v>
      </c>
      <c r="N5626" t="s">
        <v>10018</v>
      </c>
      <c r="P5626" t="s">
        <v>55</v>
      </c>
      <c r="R5626" t="s">
        <v>53</v>
      </c>
      <c r="T5626" t="s">
        <v>10019</v>
      </c>
      <c r="U5626" t="s">
        <v>58</v>
      </c>
      <c r="V5626">
        <v>2</v>
      </c>
      <c r="W5626">
        <v>1</v>
      </c>
      <c r="X5626">
        <v>3</v>
      </c>
      <c r="Y5626">
        <v>0</v>
      </c>
      <c r="Z5626">
        <v>3</v>
      </c>
      <c r="AA5626">
        <v>388.68</v>
      </c>
      <c r="AB5626">
        <v>388.68</v>
      </c>
      <c r="AC5626">
        <v>342</v>
      </c>
      <c r="AD5626">
        <v>0</v>
      </c>
      <c r="AE5626">
        <v>46.68</v>
      </c>
      <c r="AF5626">
        <v>0</v>
      </c>
      <c r="AG5626">
        <v>0</v>
      </c>
      <c r="AH5626">
        <v>0</v>
      </c>
      <c r="AI5626">
        <v>69.959999999999994</v>
      </c>
      <c r="AJ5626">
        <v>388.68</v>
      </c>
      <c r="AK5626">
        <v>0</v>
      </c>
      <c r="AL5626" t="s">
        <v>53</v>
      </c>
      <c r="AM5626" t="s">
        <v>53</v>
      </c>
      <c r="AN5626" t="s">
        <v>53</v>
      </c>
      <c r="AO5626" t="s">
        <v>53</v>
      </c>
      <c r="AP5626" t="s">
        <v>53</v>
      </c>
    </row>
    <row r="5627" spans="2:42" x14ac:dyDescent="0.2">
      <c r="B5627" t="s">
        <v>44</v>
      </c>
      <c r="C5627" t="str">
        <f>HYPERLINK("https://us2.cloudbeds.com/connect/8493803454333002#/reservations/9080486846376566?display=2NXZ5QV8QC&amp;reservation_id=9080486846376566", "2NXZ5QV8QC")</f>
        <v>2NXZ5QV8QC</v>
      </c>
      <c r="D5627" t="s">
        <v>45</v>
      </c>
      <c r="E5627" t="s">
        <v>105</v>
      </c>
      <c r="F5627" t="s">
        <v>47</v>
      </c>
      <c r="G5627" t="s">
        <v>48</v>
      </c>
      <c r="H5627" t="s">
        <v>49</v>
      </c>
      <c r="I5627" t="s">
        <v>62</v>
      </c>
      <c r="J5627" t="s">
        <v>8871</v>
      </c>
      <c r="K5627" t="s">
        <v>8261</v>
      </c>
      <c r="L5627" t="s">
        <v>53</v>
      </c>
      <c r="N5627" t="s">
        <v>10020</v>
      </c>
      <c r="P5627" t="s">
        <v>55</v>
      </c>
      <c r="R5627" t="s">
        <v>56</v>
      </c>
      <c r="T5627" t="s">
        <v>10021</v>
      </c>
      <c r="U5627" t="s">
        <v>55</v>
      </c>
      <c r="V5627">
        <v>2</v>
      </c>
      <c r="W5627">
        <v>1</v>
      </c>
      <c r="X5627">
        <v>1</v>
      </c>
      <c r="Y5627">
        <v>1</v>
      </c>
      <c r="Z5627">
        <v>2</v>
      </c>
      <c r="AA5627">
        <v>377</v>
      </c>
      <c r="AB5627">
        <v>377</v>
      </c>
      <c r="AC5627">
        <v>377</v>
      </c>
      <c r="AD5627">
        <v>0</v>
      </c>
      <c r="AE5627">
        <v>0</v>
      </c>
      <c r="AF5627">
        <v>0</v>
      </c>
      <c r="AG5627">
        <v>0</v>
      </c>
      <c r="AH5627">
        <v>0</v>
      </c>
      <c r="AI5627">
        <v>67.86</v>
      </c>
      <c r="AJ5627">
        <v>377</v>
      </c>
      <c r="AK5627">
        <v>0</v>
      </c>
      <c r="AL5627" t="s">
        <v>53</v>
      </c>
      <c r="AM5627" t="s">
        <v>53</v>
      </c>
      <c r="AN5627" t="s">
        <v>53</v>
      </c>
      <c r="AO5627" t="s">
        <v>53</v>
      </c>
      <c r="AP5627" t="s">
        <v>53</v>
      </c>
    </row>
    <row r="5628" spans="2:42" x14ac:dyDescent="0.2">
      <c r="B5628" t="s">
        <v>44</v>
      </c>
      <c r="C5628" t="str">
        <f>HYPERLINK("https://us2.cloudbeds.com/connect/8493803454333002#/reservations/9080486846376846?display=2NJ2V7DSFK&amp;reservation_id=9080486846376846", "2NJ2V7DSFK")</f>
        <v>2NJ2V7DSFK</v>
      </c>
      <c r="D5628" t="s">
        <v>45</v>
      </c>
      <c r="E5628" t="s">
        <v>78</v>
      </c>
      <c r="F5628" t="s">
        <v>61</v>
      </c>
      <c r="G5628" t="s">
        <v>48</v>
      </c>
      <c r="H5628" t="s">
        <v>49</v>
      </c>
      <c r="I5628" t="s">
        <v>50</v>
      </c>
      <c r="J5628" t="s">
        <v>8713</v>
      </c>
      <c r="K5628" t="s">
        <v>7926</v>
      </c>
      <c r="L5628" t="s">
        <v>53</v>
      </c>
      <c r="N5628" t="s">
        <v>10022</v>
      </c>
      <c r="P5628" t="s">
        <v>55</v>
      </c>
      <c r="R5628" t="s">
        <v>53</v>
      </c>
      <c r="T5628" t="s">
        <v>10023</v>
      </c>
      <c r="U5628" t="s">
        <v>58</v>
      </c>
      <c r="V5628">
        <v>2</v>
      </c>
      <c r="W5628">
        <v>1</v>
      </c>
      <c r="X5628">
        <v>2</v>
      </c>
      <c r="Y5628">
        <v>0</v>
      </c>
      <c r="Z5628">
        <v>2</v>
      </c>
      <c r="AA5628">
        <v>425.05</v>
      </c>
      <c r="AB5628">
        <v>425.05</v>
      </c>
      <c r="AC5628">
        <v>374</v>
      </c>
      <c r="AD5628">
        <v>0</v>
      </c>
      <c r="AE5628">
        <v>51.05</v>
      </c>
      <c r="AF5628">
        <v>0</v>
      </c>
      <c r="AG5628">
        <v>0</v>
      </c>
      <c r="AH5628">
        <v>0</v>
      </c>
      <c r="AI5628">
        <v>76.510000000000005</v>
      </c>
      <c r="AJ5628">
        <v>425.05</v>
      </c>
      <c r="AK5628">
        <v>0</v>
      </c>
      <c r="AL5628" t="s">
        <v>53</v>
      </c>
      <c r="AM5628" t="s">
        <v>53</v>
      </c>
      <c r="AN5628" t="s">
        <v>53</v>
      </c>
      <c r="AO5628" t="s">
        <v>53</v>
      </c>
      <c r="AP5628" t="s">
        <v>53</v>
      </c>
    </row>
    <row r="5629" spans="2:42" x14ac:dyDescent="0.2">
      <c r="B5629" t="s">
        <v>44</v>
      </c>
      <c r="C5629" t="str">
        <f>HYPERLINK("https://us2.cloudbeds.com/connect/8493803454333002#/reservations/9080486846376945?display=2NJ6QGXVM7&amp;reservation_id=9080486846376945", "2NJ6QGXVM7")</f>
        <v>2NJ6QGXVM7</v>
      </c>
      <c r="D5629" t="s">
        <v>45</v>
      </c>
      <c r="E5629" t="s">
        <v>46</v>
      </c>
      <c r="F5629" t="s">
        <v>47</v>
      </c>
      <c r="G5629" t="s">
        <v>48</v>
      </c>
      <c r="H5629" t="s">
        <v>49</v>
      </c>
      <c r="I5629" t="s">
        <v>50</v>
      </c>
      <c r="J5629" t="s">
        <v>7830</v>
      </c>
      <c r="K5629" t="s">
        <v>7906</v>
      </c>
      <c r="L5629" t="s">
        <v>53</v>
      </c>
      <c r="N5629" t="s">
        <v>10024</v>
      </c>
      <c r="P5629" t="s">
        <v>55</v>
      </c>
      <c r="R5629" t="s">
        <v>53</v>
      </c>
      <c r="T5629" t="s">
        <v>10025</v>
      </c>
      <c r="U5629" t="s">
        <v>58</v>
      </c>
      <c r="V5629">
        <v>2</v>
      </c>
      <c r="W5629">
        <v>1</v>
      </c>
      <c r="X5629">
        <v>1</v>
      </c>
      <c r="Y5629">
        <v>0</v>
      </c>
      <c r="Z5629">
        <v>1</v>
      </c>
      <c r="AA5629">
        <v>396.06</v>
      </c>
      <c r="AB5629">
        <v>396.06</v>
      </c>
      <c r="AC5629">
        <v>348.5</v>
      </c>
      <c r="AD5629">
        <v>0</v>
      </c>
      <c r="AE5629">
        <v>47.56</v>
      </c>
      <c r="AF5629">
        <v>0</v>
      </c>
      <c r="AG5629">
        <v>0</v>
      </c>
      <c r="AH5629">
        <v>0</v>
      </c>
      <c r="AI5629">
        <v>71.290000000000006</v>
      </c>
      <c r="AJ5629">
        <v>396.06</v>
      </c>
      <c r="AK5629">
        <v>0</v>
      </c>
      <c r="AL5629" t="s">
        <v>53</v>
      </c>
      <c r="AM5629" t="s">
        <v>53</v>
      </c>
      <c r="AN5629" t="s">
        <v>53</v>
      </c>
      <c r="AO5629" t="s">
        <v>53</v>
      </c>
      <c r="AP5629" t="s">
        <v>53</v>
      </c>
    </row>
    <row r="5630" spans="2:42" x14ac:dyDescent="0.2">
      <c r="B5630" t="s">
        <v>44</v>
      </c>
      <c r="C5630" t="str">
        <f>HYPERLINK("https://us2.cloudbeds.com/connect/8493803454333002#/reservations/125993276162266?display=2NJA67PRS6&amp;reservation_id=125993276162266", "2NJA67PRS6")</f>
        <v>2NJA67PRS6</v>
      </c>
      <c r="D5630" t="s">
        <v>45</v>
      </c>
      <c r="E5630" t="s">
        <v>78</v>
      </c>
      <c r="F5630" t="s">
        <v>61</v>
      </c>
      <c r="G5630" t="s">
        <v>48</v>
      </c>
      <c r="H5630" t="s">
        <v>3957</v>
      </c>
      <c r="I5630" t="s">
        <v>3958</v>
      </c>
      <c r="J5630" t="s">
        <v>7829</v>
      </c>
      <c r="K5630" t="s">
        <v>7830</v>
      </c>
      <c r="L5630" t="s">
        <v>53</v>
      </c>
      <c r="P5630" t="s">
        <v>55</v>
      </c>
      <c r="R5630" t="s">
        <v>56</v>
      </c>
      <c r="T5630" t="s">
        <v>10026</v>
      </c>
      <c r="U5630" t="s">
        <v>58</v>
      </c>
      <c r="V5630">
        <v>1</v>
      </c>
      <c r="W5630">
        <v>1</v>
      </c>
      <c r="X5630">
        <v>2</v>
      </c>
      <c r="Y5630">
        <v>0</v>
      </c>
      <c r="Z5630">
        <v>2</v>
      </c>
      <c r="AA5630">
        <v>225.03</v>
      </c>
      <c r="AB5630">
        <v>225.03</v>
      </c>
      <c r="AC5630">
        <v>198</v>
      </c>
      <c r="AD5630">
        <v>0</v>
      </c>
      <c r="AE5630">
        <v>27.03</v>
      </c>
      <c r="AF5630">
        <v>0</v>
      </c>
      <c r="AG5630">
        <v>0</v>
      </c>
      <c r="AH5630">
        <v>0</v>
      </c>
      <c r="AI5630">
        <v>0</v>
      </c>
      <c r="AJ5630">
        <v>225.03</v>
      </c>
      <c r="AK5630">
        <v>0</v>
      </c>
      <c r="AL5630" t="s">
        <v>53</v>
      </c>
      <c r="AM5630" t="s">
        <v>53</v>
      </c>
      <c r="AN5630" t="s">
        <v>53</v>
      </c>
      <c r="AO5630" t="s">
        <v>53</v>
      </c>
      <c r="AP5630" t="s">
        <v>53</v>
      </c>
    </row>
    <row r="5631" spans="2:42" x14ac:dyDescent="0.2">
      <c r="B5631" t="s">
        <v>44</v>
      </c>
      <c r="C5631" t="str">
        <f>HYPERLINK("https://us2.cloudbeds.com/connect/8493803454333002#/reservations/126014446399639?display=2NJQJ62TTR&amp;reservation_id=126014446399639", "2NJQJ62TTR")</f>
        <v>2NJQJ62TTR</v>
      </c>
      <c r="D5631" t="s">
        <v>45</v>
      </c>
      <c r="E5631" t="s">
        <v>92</v>
      </c>
      <c r="F5631" t="s">
        <v>86</v>
      </c>
      <c r="G5631" t="s">
        <v>48</v>
      </c>
      <c r="H5631" t="s">
        <v>3957</v>
      </c>
      <c r="I5631" t="s">
        <v>3975</v>
      </c>
      <c r="J5631" t="s">
        <v>7829</v>
      </c>
      <c r="K5631" t="s">
        <v>7830</v>
      </c>
      <c r="L5631" t="s">
        <v>53</v>
      </c>
      <c r="P5631" t="s">
        <v>55</v>
      </c>
      <c r="R5631" t="s">
        <v>53</v>
      </c>
      <c r="T5631" t="s">
        <v>10027</v>
      </c>
      <c r="U5631" t="s">
        <v>58</v>
      </c>
      <c r="V5631">
        <v>1</v>
      </c>
      <c r="W5631">
        <v>1</v>
      </c>
      <c r="X5631">
        <v>2</v>
      </c>
      <c r="Y5631">
        <v>0</v>
      </c>
      <c r="Z5631">
        <v>2</v>
      </c>
      <c r="AA5631">
        <v>237.53</v>
      </c>
      <c r="AB5631">
        <v>237.53</v>
      </c>
      <c r="AC5631">
        <v>209</v>
      </c>
      <c r="AD5631">
        <v>0</v>
      </c>
      <c r="AE5631">
        <v>28.53</v>
      </c>
      <c r="AF5631">
        <v>0</v>
      </c>
      <c r="AG5631">
        <v>0</v>
      </c>
      <c r="AH5631">
        <v>0</v>
      </c>
      <c r="AI5631">
        <v>0</v>
      </c>
      <c r="AJ5631">
        <v>237.53</v>
      </c>
      <c r="AK5631">
        <v>0</v>
      </c>
      <c r="AL5631" t="s">
        <v>53</v>
      </c>
      <c r="AM5631" t="s">
        <v>53</v>
      </c>
      <c r="AN5631" t="s">
        <v>53</v>
      </c>
      <c r="AO5631" t="s">
        <v>53</v>
      </c>
      <c r="AP5631" t="s">
        <v>53</v>
      </c>
    </row>
    <row r="5632" spans="2:42" x14ac:dyDescent="0.2">
      <c r="B5632" t="s">
        <v>44</v>
      </c>
      <c r="C5632" t="str">
        <f>HYPERLINK("https://us2.cloudbeds.com/connect/8493803454333002#/reservations/9080486846377690?display=2NK8PQCVXA&amp;reservation_id=9080486846377690", "2NK8PQCVXA")</f>
        <v>2NK8PQCVXA</v>
      </c>
      <c r="D5632" t="s">
        <v>45</v>
      </c>
      <c r="E5632" t="s">
        <v>373</v>
      </c>
      <c r="F5632" t="s">
        <v>47</v>
      </c>
      <c r="G5632" t="s">
        <v>48</v>
      </c>
      <c r="H5632" t="s">
        <v>49</v>
      </c>
      <c r="I5632" t="s">
        <v>50</v>
      </c>
      <c r="J5632" t="s">
        <v>7830</v>
      </c>
      <c r="K5632" t="s">
        <v>8713</v>
      </c>
      <c r="L5632" t="s">
        <v>53</v>
      </c>
      <c r="N5632" t="s">
        <v>10028</v>
      </c>
      <c r="P5632" t="s">
        <v>55</v>
      </c>
      <c r="R5632" t="s">
        <v>53</v>
      </c>
      <c r="T5632" t="s">
        <v>10029</v>
      </c>
      <c r="U5632" t="s">
        <v>58</v>
      </c>
      <c r="V5632">
        <v>4</v>
      </c>
      <c r="W5632">
        <v>1</v>
      </c>
      <c r="X5632">
        <v>2</v>
      </c>
      <c r="Y5632">
        <v>0</v>
      </c>
      <c r="Z5632">
        <v>2</v>
      </c>
      <c r="AA5632">
        <v>843.84</v>
      </c>
      <c r="AB5632">
        <v>843.84</v>
      </c>
      <c r="AC5632">
        <v>742.5</v>
      </c>
      <c r="AD5632">
        <v>0</v>
      </c>
      <c r="AE5632">
        <v>101.34</v>
      </c>
      <c r="AF5632">
        <v>0</v>
      </c>
      <c r="AG5632">
        <v>0</v>
      </c>
      <c r="AH5632">
        <v>0</v>
      </c>
      <c r="AI5632">
        <v>151.88999999999999</v>
      </c>
      <c r="AJ5632">
        <v>843.84</v>
      </c>
      <c r="AK5632">
        <v>0</v>
      </c>
      <c r="AL5632" t="s">
        <v>53</v>
      </c>
      <c r="AM5632" t="s">
        <v>53</v>
      </c>
      <c r="AN5632" t="s">
        <v>53</v>
      </c>
      <c r="AO5632" t="s">
        <v>53</v>
      </c>
      <c r="AP5632" t="s">
        <v>53</v>
      </c>
    </row>
    <row r="5633" spans="2:42" x14ac:dyDescent="0.2">
      <c r="B5633" t="s">
        <v>44</v>
      </c>
      <c r="C5633" t="str">
        <f>HYPERLINK("https://us2.cloudbeds.com/connect/8493803454333002#/reservations/126073107075262?display=2NY603AMBR&amp;reservation_id=126073107075262", "2NY603AMBR")</f>
        <v>2NY603AMBR</v>
      </c>
      <c r="D5633" t="s">
        <v>45</v>
      </c>
      <c r="E5633" t="s">
        <v>105</v>
      </c>
      <c r="F5633" t="s">
        <v>47</v>
      </c>
      <c r="G5633" t="s">
        <v>48</v>
      </c>
      <c r="H5633" t="s">
        <v>3957</v>
      </c>
      <c r="I5633" t="s">
        <v>3975</v>
      </c>
      <c r="J5633" t="s">
        <v>7830</v>
      </c>
      <c r="K5633" t="s">
        <v>7905</v>
      </c>
      <c r="L5633" t="s">
        <v>53</v>
      </c>
      <c r="P5633" t="s">
        <v>55</v>
      </c>
      <c r="R5633" t="s">
        <v>53</v>
      </c>
      <c r="T5633" t="s">
        <v>10030</v>
      </c>
      <c r="U5633" t="s">
        <v>58</v>
      </c>
      <c r="V5633">
        <v>1</v>
      </c>
      <c r="W5633">
        <v>1</v>
      </c>
      <c r="X5633">
        <v>2</v>
      </c>
      <c r="Y5633">
        <v>0</v>
      </c>
      <c r="Z5633">
        <v>2</v>
      </c>
      <c r="AA5633">
        <v>214.8</v>
      </c>
      <c r="AB5633">
        <v>214.8</v>
      </c>
      <c r="AC5633">
        <v>189</v>
      </c>
      <c r="AD5633">
        <v>0</v>
      </c>
      <c r="AE5633">
        <v>25.8</v>
      </c>
      <c r="AF5633">
        <v>0</v>
      </c>
      <c r="AG5633">
        <v>0</v>
      </c>
      <c r="AH5633">
        <v>0</v>
      </c>
      <c r="AI5633">
        <v>0</v>
      </c>
      <c r="AJ5633">
        <v>214.8</v>
      </c>
      <c r="AK5633">
        <v>0</v>
      </c>
      <c r="AL5633" t="s">
        <v>53</v>
      </c>
      <c r="AM5633" t="s">
        <v>53</v>
      </c>
      <c r="AN5633" t="s">
        <v>53</v>
      </c>
      <c r="AO5633" t="s">
        <v>53</v>
      </c>
      <c r="AP5633" t="s">
        <v>53</v>
      </c>
    </row>
    <row r="5634" spans="2:42" x14ac:dyDescent="0.2">
      <c r="B5634" t="s">
        <v>44</v>
      </c>
      <c r="C5634" t="str">
        <f>HYPERLINK("https://us2.cloudbeds.com/connect/8493803454333002#/reservations/9080486846380994?display=2NZP7393BN&amp;reservation_id=9080486846380994", "2NZP7393BN")</f>
        <v>2NZP7393BN</v>
      </c>
      <c r="D5634" t="s">
        <v>45</v>
      </c>
      <c r="E5634" t="s">
        <v>128</v>
      </c>
      <c r="F5634" t="s">
        <v>86</v>
      </c>
      <c r="G5634" t="s">
        <v>48</v>
      </c>
      <c r="H5634" t="s">
        <v>49</v>
      </c>
      <c r="I5634" t="s">
        <v>50</v>
      </c>
      <c r="J5634" t="s">
        <v>8139</v>
      </c>
      <c r="K5634" t="s">
        <v>7294</v>
      </c>
      <c r="L5634" t="s">
        <v>53</v>
      </c>
      <c r="N5634" t="s">
        <v>10031</v>
      </c>
      <c r="P5634" t="s">
        <v>55</v>
      </c>
      <c r="R5634" t="s">
        <v>53</v>
      </c>
      <c r="T5634" t="s">
        <v>10032</v>
      </c>
      <c r="U5634" t="s">
        <v>58</v>
      </c>
      <c r="V5634">
        <v>2</v>
      </c>
      <c r="W5634">
        <v>1</v>
      </c>
      <c r="X5634">
        <v>2</v>
      </c>
      <c r="Y5634">
        <v>0</v>
      </c>
      <c r="Z5634">
        <v>2</v>
      </c>
      <c r="AA5634">
        <v>397.04</v>
      </c>
      <c r="AB5634">
        <v>397.04</v>
      </c>
      <c r="AC5634">
        <v>349.35</v>
      </c>
      <c r="AD5634">
        <v>0</v>
      </c>
      <c r="AE5634">
        <v>47.69</v>
      </c>
      <c r="AF5634">
        <v>0</v>
      </c>
      <c r="AG5634">
        <v>0</v>
      </c>
      <c r="AH5634">
        <v>0</v>
      </c>
      <c r="AI5634">
        <v>71.47</v>
      </c>
      <c r="AJ5634">
        <v>397.04</v>
      </c>
      <c r="AK5634">
        <v>0</v>
      </c>
      <c r="AL5634" t="s">
        <v>53</v>
      </c>
      <c r="AM5634" t="s">
        <v>53</v>
      </c>
      <c r="AN5634" t="s">
        <v>53</v>
      </c>
      <c r="AO5634" t="s">
        <v>53</v>
      </c>
      <c r="AP5634" t="s">
        <v>53</v>
      </c>
    </row>
    <row r="5635" spans="2:42" x14ac:dyDescent="0.2">
      <c r="B5635" t="s">
        <v>44</v>
      </c>
      <c r="C5635" t="str">
        <f>HYPERLINK("https://us2.cloudbeds.com/connect/8493803454333002#/reservations/9080486846381773?display=2NPG8336WF&amp;reservation_id=9080486846381773", "2NPG8336WF")</f>
        <v>2NPG8336WF</v>
      </c>
      <c r="D5635" t="s">
        <v>45</v>
      </c>
      <c r="E5635" t="s">
        <v>69</v>
      </c>
      <c r="F5635" t="s">
        <v>70</v>
      </c>
      <c r="G5635" t="s">
        <v>48</v>
      </c>
      <c r="H5635" t="s">
        <v>49</v>
      </c>
      <c r="I5635" t="s">
        <v>50</v>
      </c>
      <c r="J5635" t="s">
        <v>7803</v>
      </c>
      <c r="K5635" t="s">
        <v>8391</v>
      </c>
      <c r="L5635" t="s">
        <v>53</v>
      </c>
      <c r="N5635" t="s">
        <v>10033</v>
      </c>
      <c r="P5635" t="s">
        <v>55</v>
      </c>
      <c r="R5635" t="s">
        <v>53</v>
      </c>
      <c r="T5635" t="s">
        <v>10034</v>
      </c>
      <c r="U5635" t="s">
        <v>58</v>
      </c>
      <c r="V5635">
        <v>1</v>
      </c>
      <c r="W5635">
        <v>1</v>
      </c>
      <c r="X5635">
        <v>2</v>
      </c>
      <c r="Y5635">
        <v>0</v>
      </c>
      <c r="Z5635">
        <v>2</v>
      </c>
      <c r="AA5635">
        <v>168.78</v>
      </c>
      <c r="AB5635">
        <v>168.78</v>
      </c>
      <c r="AC5635">
        <v>148.5</v>
      </c>
      <c r="AD5635">
        <v>0</v>
      </c>
      <c r="AE5635">
        <v>20.28</v>
      </c>
      <c r="AF5635">
        <v>0</v>
      </c>
      <c r="AG5635">
        <v>0</v>
      </c>
      <c r="AH5635">
        <v>0</v>
      </c>
      <c r="AI5635">
        <v>30.38</v>
      </c>
      <c r="AJ5635">
        <v>168.78</v>
      </c>
      <c r="AK5635">
        <v>0</v>
      </c>
      <c r="AL5635" t="s">
        <v>53</v>
      </c>
      <c r="AM5635" t="s">
        <v>53</v>
      </c>
      <c r="AN5635" t="s">
        <v>53</v>
      </c>
      <c r="AO5635" t="s">
        <v>53</v>
      </c>
      <c r="AP5635" t="s">
        <v>53</v>
      </c>
    </row>
    <row r="5636" spans="2:42" x14ac:dyDescent="0.2">
      <c r="B5636" t="s">
        <v>44</v>
      </c>
      <c r="C5636" t="str">
        <f>HYPERLINK("https://us2.cloudbeds.com/connect/8493803454333002#/reservations/9080486846382012?display=2NPNJDCFBD&amp;reservation_id=9080486846382012", "2NPNJDCFBD")</f>
        <v>2NPNJDCFBD</v>
      </c>
      <c r="D5636" t="s">
        <v>45</v>
      </c>
      <c r="E5636" t="s">
        <v>185</v>
      </c>
      <c r="F5636" t="s">
        <v>47</v>
      </c>
      <c r="G5636" t="s">
        <v>48</v>
      </c>
      <c r="H5636" t="s">
        <v>49</v>
      </c>
      <c r="I5636" t="s">
        <v>62</v>
      </c>
      <c r="J5636" t="s">
        <v>8249</v>
      </c>
      <c r="K5636" t="s">
        <v>8871</v>
      </c>
      <c r="L5636" t="s">
        <v>53</v>
      </c>
      <c r="N5636" t="s">
        <v>10035</v>
      </c>
      <c r="P5636" t="s">
        <v>55</v>
      </c>
      <c r="R5636" t="s">
        <v>56</v>
      </c>
      <c r="T5636" t="s">
        <v>10036</v>
      </c>
      <c r="U5636" t="s">
        <v>55</v>
      </c>
      <c r="V5636">
        <v>1</v>
      </c>
      <c r="W5636">
        <v>1</v>
      </c>
      <c r="X5636">
        <v>1</v>
      </c>
      <c r="Y5636">
        <v>0</v>
      </c>
      <c r="Z5636">
        <v>1</v>
      </c>
      <c r="AA5636">
        <v>175.75</v>
      </c>
      <c r="AB5636">
        <v>175.75</v>
      </c>
      <c r="AC5636">
        <v>175.75</v>
      </c>
      <c r="AD5636">
        <v>0</v>
      </c>
      <c r="AE5636">
        <v>0</v>
      </c>
      <c r="AF5636">
        <v>0</v>
      </c>
      <c r="AG5636">
        <v>0</v>
      </c>
      <c r="AH5636">
        <v>0</v>
      </c>
      <c r="AI5636">
        <v>31.64</v>
      </c>
      <c r="AJ5636">
        <v>175.75</v>
      </c>
      <c r="AK5636">
        <v>0</v>
      </c>
      <c r="AL5636" t="s">
        <v>53</v>
      </c>
      <c r="AM5636" t="s">
        <v>53</v>
      </c>
      <c r="AN5636" t="s">
        <v>53</v>
      </c>
      <c r="AO5636" t="s">
        <v>53</v>
      </c>
      <c r="AP5636" t="s">
        <v>53</v>
      </c>
    </row>
    <row r="5637" spans="2:42" x14ac:dyDescent="0.2">
      <c r="B5637" t="s">
        <v>44</v>
      </c>
      <c r="C5637" t="str">
        <f>HYPERLINK("https://us2.cloudbeds.com/connect/8493803454333002#/reservations/9080486846382281?display=2NPWAMJDB7&amp;reservation_id=9080486846382281", "2NPWAMJDB7")</f>
        <v>2NPWAMJDB7</v>
      </c>
      <c r="D5637" t="s">
        <v>45</v>
      </c>
      <c r="E5637" t="s">
        <v>85</v>
      </c>
      <c r="F5637" t="s">
        <v>86</v>
      </c>
      <c r="G5637" t="s">
        <v>48</v>
      </c>
      <c r="H5637" t="s">
        <v>49</v>
      </c>
      <c r="I5637" t="s">
        <v>62</v>
      </c>
      <c r="J5637" t="s">
        <v>10037</v>
      </c>
      <c r="K5637" t="s">
        <v>10038</v>
      </c>
      <c r="L5637" t="s">
        <v>53</v>
      </c>
      <c r="N5637" t="s">
        <v>10039</v>
      </c>
      <c r="P5637" t="s">
        <v>55</v>
      </c>
      <c r="R5637" t="s">
        <v>513</v>
      </c>
      <c r="T5637" t="s">
        <v>10040</v>
      </c>
      <c r="U5637" t="s">
        <v>55</v>
      </c>
      <c r="V5637">
        <v>2</v>
      </c>
      <c r="W5637">
        <v>1</v>
      </c>
      <c r="X5637">
        <v>2</v>
      </c>
      <c r="Y5637">
        <v>0</v>
      </c>
      <c r="Z5637">
        <v>2</v>
      </c>
      <c r="AA5637">
        <v>112.1</v>
      </c>
      <c r="AB5637">
        <v>112.1</v>
      </c>
      <c r="AC5637">
        <v>112.1</v>
      </c>
      <c r="AD5637">
        <v>0</v>
      </c>
      <c r="AE5637">
        <v>0</v>
      </c>
      <c r="AF5637">
        <v>0</v>
      </c>
      <c r="AG5637">
        <v>0</v>
      </c>
      <c r="AH5637">
        <v>0</v>
      </c>
      <c r="AI5637">
        <v>20.18</v>
      </c>
      <c r="AJ5637">
        <v>112.1</v>
      </c>
      <c r="AK5637">
        <v>0</v>
      </c>
      <c r="AL5637" t="s">
        <v>53</v>
      </c>
      <c r="AM5637" t="s">
        <v>53</v>
      </c>
      <c r="AN5637" t="s">
        <v>53</v>
      </c>
      <c r="AO5637" t="s">
        <v>53</v>
      </c>
      <c r="AP5637" t="s">
        <v>53</v>
      </c>
    </row>
    <row r="5638" spans="2:42" x14ac:dyDescent="0.2">
      <c r="B5638" t="s">
        <v>44</v>
      </c>
      <c r="C5638" t="str">
        <f>HYPERLINK("https://us2.cloudbeds.com/connect/8493803454333002#/reservations/9080486846382438?display=2NQ48KMGFV&amp;reservation_id=9080486846382438", "2NQ48KMGFV")</f>
        <v>2NQ48KMGFV</v>
      </c>
      <c r="D5638" t="s">
        <v>45</v>
      </c>
      <c r="E5638" t="s">
        <v>128</v>
      </c>
      <c r="F5638" t="s">
        <v>86</v>
      </c>
      <c r="G5638" t="s">
        <v>48</v>
      </c>
      <c r="H5638" t="s">
        <v>49</v>
      </c>
      <c r="I5638" t="s">
        <v>50</v>
      </c>
      <c r="J5638" t="s">
        <v>9928</v>
      </c>
      <c r="K5638" t="s">
        <v>7492</v>
      </c>
      <c r="L5638" t="s">
        <v>53</v>
      </c>
      <c r="N5638" t="s">
        <v>10041</v>
      </c>
      <c r="P5638" t="s">
        <v>55</v>
      </c>
      <c r="R5638" t="s">
        <v>53</v>
      </c>
      <c r="T5638" t="s">
        <v>10042</v>
      </c>
      <c r="U5638" t="s">
        <v>58</v>
      </c>
      <c r="V5638">
        <v>1</v>
      </c>
      <c r="W5638">
        <v>1</v>
      </c>
      <c r="X5638">
        <v>3</v>
      </c>
      <c r="Y5638">
        <v>0</v>
      </c>
      <c r="Z5638">
        <v>3</v>
      </c>
      <c r="AA5638">
        <v>196.28</v>
      </c>
      <c r="AB5638">
        <v>196.28</v>
      </c>
      <c r="AC5638">
        <v>172.71</v>
      </c>
      <c r="AD5638">
        <v>0</v>
      </c>
      <c r="AE5638">
        <v>23.57</v>
      </c>
      <c r="AF5638">
        <v>0</v>
      </c>
      <c r="AG5638">
        <v>0</v>
      </c>
      <c r="AH5638">
        <v>0</v>
      </c>
      <c r="AI5638">
        <v>35.33</v>
      </c>
      <c r="AJ5638">
        <v>196.28</v>
      </c>
      <c r="AK5638">
        <v>0</v>
      </c>
      <c r="AL5638" t="s">
        <v>53</v>
      </c>
      <c r="AM5638" t="s">
        <v>53</v>
      </c>
      <c r="AN5638" t="s">
        <v>53</v>
      </c>
      <c r="AO5638" t="s">
        <v>53</v>
      </c>
      <c r="AP5638" t="s">
        <v>53</v>
      </c>
    </row>
    <row r="5639" spans="2:42" x14ac:dyDescent="0.2">
      <c r="B5639" t="s">
        <v>44</v>
      </c>
      <c r="C5639" t="str">
        <f>HYPERLINK("https://us2.cloudbeds.com/connect/8493803454333002#/reservations/9080486846382719?display=2NQD4HGZSH&amp;reservation_id=9080486846382719", "2NQD4HGZSH")</f>
        <v>2NQD4HGZSH</v>
      </c>
      <c r="D5639" t="s">
        <v>45</v>
      </c>
      <c r="E5639" t="s">
        <v>92</v>
      </c>
      <c r="F5639" t="s">
        <v>86</v>
      </c>
      <c r="G5639" t="s">
        <v>48</v>
      </c>
      <c r="H5639" t="s">
        <v>49</v>
      </c>
      <c r="I5639" t="s">
        <v>50</v>
      </c>
      <c r="J5639" t="s">
        <v>7830</v>
      </c>
      <c r="K5639" t="s">
        <v>7905</v>
      </c>
      <c r="L5639" t="s">
        <v>53</v>
      </c>
      <c r="N5639" t="s">
        <v>10043</v>
      </c>
      <c r="P5639" t="s">
        <v>55</v>
      </c>
      <c r="R5639" t="s">
        <v>53</v>
      </c>
      <c r="T5639" t="s">
        <v>10044</v>
      </c>
      <c r="U5639" t="s">
        <v>58</v>
      </c>
      <c r="V5639">
        <v>1</v>
      </c>
      <c r="W5639">
        <v>1</v>
      </c>
      <c r="X5639">
        <v>2</v>
      </c>
      <c r="Y5639">
        <v>0</v>
      </c>
      <c r="Z5639">
        <v>2</v>
      </c>
      <c r="AA5639">
        <v>203.54</v>
      </c>
      <c r="AB5639">
        <v>203.54</v>
      </c>
      <c r="AC5639">
        <v>179.1</v>
      </c>
      <c r="AD5639">
        <v>0</v>
      </c>
      <c r="AE5639">
        <v>24.44</v>
      </c>
      <c r="AF5639">
        <v>0</v>
      </c>
      <c r="AG5639">
        <v>0</v>
      </c>
      <c r="AH5639">
        <v>0</v>
      </c>
      <c r="AI5639">
        <v>36.64</v>
      </c>
      <c r="AJ5639">
        <v>203.54</v>
      </c>
      <c r="AK5639">
        <v>0</v>
      </c>
      <c r="AL5639" t="s">
        <v>53</v>
      </c>
      <c r="AM5639" t="s">
        <v>53</v>
      </c>
      <c r="AN5639" t="s">
        <v>53</v>
      </c>
      <c r="AO5639" t="s">
        <v>53</v>
      </c>
      <c r="AP5639" t="s">
        <v>53</v>
      </c>
    </row>
    <row r="5640" spans="2:42" x14ac:dyDescent="0.2">
      <c r="B5640" t="s">
        <v>44</v>
      </c>
      <c r="C5640" t="str">
        <f>HYPERLINK("https://us2.cloudbeds.com/connect/8493803454333002#/reservations/9080486846382859?display=2NQGNK85QR&amp;reservation_id=9080486846382859", "2NQGNK85QR")</f>
        <v>2NQGNK85QR</v>
      </c>
      <c r="D5640" t="s">
        <v>45</v>
      </c>
      <c r="E5640" t="s">
        <v>78</v>
      </c>
      <c r="F5640" t="s">
        <v>61</v>
      </c>
      <c r="G5640" t="s">
        <v>48</v>
      </c>
      <c r="H5640" t="s">
        <v>49</v>
      </c>
      <c r="I5640" t="s">
        <v>50</v>
      </c>
      <c r="J5640" t="s">
        <v>7830</v>
      </c>
      <c r="K5640" t="s">
        <v>7905</v>
      </c>
      <c r="L5640" t="s">
        <v>53</v>
      </c>
      <c r="N5640" t="s">
        <v>10045</v>
      </c>
      <c r="P5640" t="s">
        <v>55</v>
      </c>
      <c r="R5640" t="s">
        <v>53</v>
      </c>
      <c r="T5640" t="s">
        <v>10046</v>
      </c>
      <c r="U5640" t="s">
        <v>58</v>
      </c>
      <c r="V5640">
        <v>1</v>
      </c>
      <c r="W5640">
        <v>1</v>
      </c>
      <c r="X5640">
        <v>1</v>
      </c>
      <c r="Y5640">
        <v>0</v>
      </c>
      <c r="Z5640">
        <v>1</v>
      </c>
      <c r="AA5640">
        <v>170.93</v>
      </c>
      <c r="AB5640">
        <v>170.93</v>
      </c>
      <c r="AC5640">
        <v>150.4</v>
      </c>
      <c r="AD5640">
        <v>0</v>
      </c>
      <c r="AE5640">
        <v>20.53</v>
      </c>
      <c r="AF5640">
        <v>0</v>
      </c>
      <c r="AG5640">
        <v>0</v>
      </c>
      <c r="AH5640">
        <v>0</v>
      </c>
      <c r="AI5640">
        <v>30.77</v>
      </c>
      <c r="AJ5640">
        <v>170.93</v>
      </c>
      <c r="AK5640">
        <v>0</v>
      </c>
      <c r="AL5640" t="s">
        <v>53</v>
      </c>
      <c r="AM5640" t="s">
        <v>53</v>
      </c>
      <c r="AN5640" t="s">
        <v>53</v>
      </c>
      <c r="AO5640" t="s">
        <v>53</v>
      </c>
      <c r="AP5640" t="s">
        <v>53</v>
      </c>
    </row>
    <row r="5641" spans="2:42" x14ac:dyDescent="0.2">
      <c r="B5641" t="s">
        <v>44</v>
      </c>
      <c r="C5641" t="str">
        <f>HYPERLINK("https://us2.cloudbeds.com/connect/8493803454333002#/reservations/9080486846382861?display=2NQGNY8U4H&amp;reservation_id=9080486846382861", "2NQGNY8U4H")</f>
        <v>2NQGNY8U4H</v>
      </c>
      <c r="D5641" t="s">
        <v>45</v>
      </c>
      <c r="E5641" t="s">
        <v>305</v>
      </c>
      <c r="F5641" t="s">
        <v>61</v>
      </c>
      <c r="G5641" t="s">
        <v>48</v>
      </c>
      <c r="H5641" t="s">
        <v>49</v>
      </c>
      <c r="I5641" t="s">
        <v>50</v>
      </c>
      <c r="J5641" t="s">
        <v>7830</v>
      </c>
      <c r="K5641" t="s">
        <v>7905</v>
      </c>
      <c r="L5641" t="s">
        <v>53</v>
      </c>
      <c r="N5641" t="s">
        <v>10047</v>
      </c>
      <c r="P5641" t="s">
        <v>55</v>
      </c>
      <c r="R5641" t="s">
        <v>53</v>
      </c>
      <c r="T5641" t="s">
        <v>10048</v>
      </c>
      <c r="U5641" t="s">
        <v>58</v>
      </c>
      <c r="V5641">
        <v>1</v>
      </c>
      <c r="W5641">
        <v>1</v>
      </c>
      <c r="X5641">
        <v>1</v>
      </c>
      <c r="Y5641">
        <v>0</v>
      </c>
      <c r="Z5641">
        <v>1</v>
      </c>
      <c r="AA5641">
        <v>170.93</v>
      </c>
      <c r="AB5641">
        <v>170.93</v>
      </c>
      <c r="AC5641">
        <v>150.4</v>
      </c>
      <c r="AD5641">
        <v>0</v>
      </c>
      <c r="AE5641">
        <v>20.53</v>
      </c>
      <c r="AF5641">
        <v>0</v>
      </c>
      <c r="AG5641">
        <v>0</v>
      </c>
      <c r="AH5641">
        <v>0</v>
      </c>
      <c r="AI5641">
        <v>30.77</v>
      </c>
      <c r="AJ5641">
        <v>170.93</v>
      </c>
      <c r="AK5641">
        <v>0</v>
      </c>
      <c r="AL5641" t="s">
        <v>53</v>
      </c>
      <c r="AM5641" t="s">
        <v>53</v>
      </c>
      <c r="AN5641" t="s">
        <v>53</v>
      </c>
      <c r="AO5641" t="s">
        <v>53</v>
      </c>
      <c r="AP5641" t="s">
        <v>53</v>
      </c>
    </row>
    <row r="5642" spans="2:42" x14ac:dyDescent="0.2">
      <c r="B5642" t="s">
        <v>44</v>
      </c>
      <c r="C5642" t="str">
        <f>HYPERLINK("https://us2.cloudbeds.com/connect/8493803454333002#/reservations/126306847232202?display=2NQYWN73CK&amp;reservation_id=126306847232202", "2NQYWN73CK")</f>
        <v>2NQYWN73CK</v>
      </c>
      <c r="D5642" t="s">
        <v>45</v>
      </c>
      <c r="E5642" t="s">
        <v>213</v>
      </c>
      <c r="F5642" t="s">
        <v>86</v>
      </c>
      <c r="G5642" t="s">
        <v>3974</v>
      </c>
      <c r="H5642" t="s">
        <v>3957</v>
      </c>
      <c r="I5642" t="s">
        <v>3975</v>
      </c>
      <c r="J5642" t="s">
        <v>7325</v>
      </c>
      <c r="K5642" t="s">
        <v>9829</v>
      </c>
      <c r="L5642" t="s">
        <v>53</v>
      </c>
      <c r="P5642" t="s">
        <v>55</v>
      </c>
      <c r="R5642" t="s">
        <v>53</v>
      </c>
      <c r="T5642" t="s">
        <v>10049</v>
      </c>
      <c r="U5642" t="s">
        <v>58</v>
      </c>
      <c r="V5642">
        <v>1</v>
      </c>
      <c r="W5642">
        <v>1</v>
      </c>
      <c r="X5642">
        <v>2</v>
      </c>
      <c r="Y5642">
        <v>0</v>
      </c>
      <c r="Z5642">
        <v>2</v>
      </c>
      <c r="AA5642">
        <v>196.5</v>
      </c>
      <c r="AB5642">
        <v>196.5</v>
      </c>
      <c r="AC5642">
        <v>172.9</v>
      </c>
      <c r="AD5642">
        <v>0</v>
      </c>
      <c r="AE5642">
        <v>23.6</v>
      </c>
      <c r="AF5642">
        <v>0</v>
      </c>
      <c r="AG5642">
        <v>0</v>
      </c>
      <c r="AH5642">
        <v>0</v>
      </c>
      <c r="AI5642">
        <v>0</v>
      </c>
      <c r="AJ5642">
        <v>196.5</v>
      </c>
      <c r="AK5642">
        <v>0</v>
      </c>
      <c r="AL5642" t="s">
        <v>53</v>
      </c>
      <c r="AM5642" t="s">
        <v>53</v>
      </c>
      <c r="AN5642" t="s">
        <v>53</v>
      </c>
      <c r="AO5642" t="s">
        <v>53</v>
      </c>
      <c r="AP5642" t="s">
        <v>53</v>
      </c>
    </row>
    <row r="5643" spans="2:42" x14ac:dyDescent="0.2">
      <c r="B5643" t="s">
        <v>44</v>
      </c>
      <c r="C5643" t="str">
        <f>HYPERLINK("https://us2.cloudbeds.com/connect/8493803454333002#/reservations/9080486846383421?display=2NR2586044&amp;reservation_id=9080486846383421", "2NR2586044")</f>
        <v>2NR2586044</v>
      </c>
      <c r="D5643" t="s">
        <v>45</v>
      </c>
      <c r="E5643" t="s">
        <v>85</v>
      </c>
      <c r="F5643" t="s">
        <v>86</v>
      </c>
      <c r="G5643" t="s">
        <v>48</v>
      </c>
      <c r="H5643" t="s">
        <v>49</v>
      </c>
      <c r="I5643" t="s">
        <v>50</v>
      </c>
      <c r="J5643" t="s">
        <v>7905</v>
      </c>
      <c r="K5643" t="s">
        <v>7906</v>
      </c>
      <c r="L5643" t="s">
        <v>53</v>
      </c>
      <c r="N5643" t="s">
        <v>10050</v>
      </c>
      <c r="P5643" t="s">
        <v>55</v>
      </c>
      <c r="R5643" t="s">
        <v>53</v>
      </c>
      <c r="T5643" t="s">
        <v>10051</v>
      </c>
      <c r="U5643" t="s">
        <v>58</v>
      </c>
      <c r="V5643">
        <v>1</v>
      </c>
      <c r="W5643">
        <v>1</v>
      </c>
      <c r="X5643">
        <v>1</v>
      </c>
      <c r="Y5643">
        <v>0</v>
      </c>
      <c r="Z5643">
        <v>1</v>
      </c>
      <c r="AA5643">
        <v>226.39</v>
      </c>
      <c r="AB5643">
        <v>226.39</v>
      </c>
      <c r="AC5643">
        <v>199.2</v>
      </c>
      <c r="AD5643">
        <v>0</v>
      </c>
      <c r="AE5643">
        <v>27.19</v>
      </c>
      <c r="AF5643">
        <v>0</v>
      </c>
      <c r="AG5643">
        <v>0</v>
      </c>
      <c r="AH5643">
        <v>0</v>
      </c>
      <c r="AI5643">
        <v>40.75</v>
      </c>
      <c r="AJ5643">
        <v>226.39</v>
      </c>
      <c r="AK5643">
        <v>0</v>
      </c>
      <c r="AL5643" t="s">
        <v>53</v>
      </c>
      <c r="AM5643" t="s">
        <v>53</v>
      </c>
      <c r="AN5643" t="s">
        <v>53</v>
      </c>
      <c r="AO5643" t="s">
        <v>53</v>
      </c>
      <c r="AP5643" t="s">
        <v>53</v>
      </c>
    </row>
    <row r="5644" spans="2:42" x14ac:dyDescent="0.2">
      <c r="B5644" t="s">
        <v>44</v>
      </c>
      <c r="C5644" t="str">
        <f>HYPERLINK("https://us2.cloudbeds.com/connect/8493803454333002#/reservations/9080486846383615?display=2NR9JF0THB&amp;reservation_id=9080486846383615", "2NR9JF0THB")</f>
        <v>2NR9JF0THB</v>
      </c>
      <c r="D5644" t="s">
        <v>45</v>
      </c>
      <c r="E5644" t="s">
        <v>92</v>
      </c>
      <c r="F5644" t="s">
        <v>86</v>
      </c>
      <c r="G5644" t="s">
        <v>48</v>
      </c>
      <c r="H5644" t="s">
        <v>49</v>
      </c>
      <c r="I5644" t="s">
        <v>50</v>
      </c>
      <c r="J5644" t="s">
        <v>7802</v>
      </c>
      <c r="K5644" t="s">
        <v>7803</v>
      </c>
      <c r="L5644" t="s">
        <v>53</v>
      </c>
      <c r="N5644" t="s">
        <v>10052</v>
      </c>
      <c r="P5644" t="s">
        <v>55</v>
      </c>
      <c r="R5644" t="s">
        <v>53</v>
      </c>
      <c r="T5644" t="s">
        <v>10053</v>
      </c>
      <c r="U5644" t="s">
        <v>58</v>
      </c>
      <c r="V5644">
        <v>2</v>
      </c>
      <c r="W5644">
        <v>1</v>
      </c>
      <c r="X5644">
        <v>2</v>
      </c>
      <c r="Y5644">
        <v>0</v>
      </c>
      <c r="Z5644">
        <v>2</v>
      </c>
      <c r="AA5644">
        <v>430.62</v>
      </c>
      <c r="AB5644">
        <v>430.62</v>
      </c>
      <c r="AC5644">
        <v>378.9</v>
      </c>
      <c r="AD5644">
        <v>0</v>
      </c>
      <c r="AE5644">
        <v>51.72</v>
      </c>
      <c r="AF5644">
        <v>0</v>
      </c>
      <c r="AG5644">
        <v>0</v>
      </c>
      <c r="AH5644">
        <v>0</v>
      </c>
      <c r="AI5644">
        <v>77.510000000000005</v>
      </c>
      <c r="AJ5644">
        <v>430.62</v>
      </c>
      <c r="AK5644">
        <v>0</v>
      </c>
      <c r="AL5644" t="s">
        <v>53</v>
      </c>
      <c r="AM5644" t="s">
        <v>53</v>
      </c>
      <c r="AN5644" t="s">
        <v>53</v>
      </c>
      <c r="AO5644" t="s">
        <v>53</v>
      </c>
      <c r="AP5644" t="s">
        <v>53</v>
      </c>
    </row>
    <row r="5645" spans="2:42" x14ac:dyDescent="0.2">
      <c r="B5645" t="s">
        <v>44</v>
      </c>
      <c r="C5645" t="str">
        <f>HYPERLINK("https://us2.cloudbeds.com/connect/8493803454333002#/reservations/9080486846383720?display=2NREG18WP4&amp;reservation_id=9080486846383720", "2NREG18WP4")</f>
        <v>2NREG18WP4</v>
      </c>
      <c r="D5645" t="s">
        <v>45</v>
      </c>
      <c r="E5645" t="s">
        <v>223</v>
      </c>
      <c r="F5645" t="s">
        <v>47</v>
      </c>
      <c r="G5645" t="s">
        <v>48</v>
      </c>
      <c r="H5645" t="s">
        <v>49</v>
      </c>
      <c r="I5645" t="s">
        <v>50</v>
      </c>
      <c r="J5645" t="s">
        <v>7830</v>
      </c>
      <c r="K5645" t="s">
        <v>7905</v>
      </c>
      <c r="L5645" t="s">
        <v>53</v>
      </c>
      <c r="N5645" t="s">
        <v>10054</v>
      </c>
      <c r="P5645" t="s">
        <v>55</v>
      </c>
      <c r="R5645" t="s">
        <v>53</v>
      </c>
      <c r="T5645" t="s">
        <v>10055</v>
      </c>
      <c r="U5645" t="s">
        <v>58</v>
      </c>
      <c r="V5645">
        <v>1</v>
      </c>
      <c r="W5645">
        <v>1</v>
      </c>
      <c r="X5645">
        <v>2</v>
      </c>
      <c r="Y5645">
        <v>0</v>
      </c>
      <c r="Z5645">
        <v>2</v>
      </c>
      <c r="AA5645">
        <v>181.05</v>
      </c>
      <c r="AB5645">
        <v>181.05</v>
      </c>
      <c r="AC5645">
        <v>159.30000000000001</v>
      </c>
      <c r="AD5645">
        <v>0</v>
      </c>
      <c r="AE5645">
        <v>21.75</v>
      </c>
      <c r="AF5645">
        <v>0</v>
      </c>
      <c r="AG5645">
        <v>0</v>
      </c>
      <c r="AH5645">
        <v>0</v>
      </c>
      <c r="AI5645">
        <v>32.590000000000003</v>
      </c>
      <c r="AJ5645">
        <v>181.05</v>
      </c>
      <c r="AK5645">
        <v>0</v>
      </c>
      <c r="AL5645" t="s">
        <v>53</v>
      </c>
      <c r="AM5645" t="s">
        <v>53</v>
      </c>
      <c r="AN5645" t="s">
        <v>53</v>
      </c>
      <c r="AO5645" t="s">
        <v>53</v>
      </c>
      <c r="AP5645" t="s">
        <v>53</v>
      </c>
    </row>
    <row r="5646" spans="2:42" x14ac:dyDescent="0.2">
      <c r="B5646" t="s">
        <v>44</v>
      </c>
      <c r="C5646" t="str">
        <f>HYPERLINK("https://us2.cloudbeds.com/connect/8493803454333002#/reservations/9080486846384118?display=2NRWY7QW5T&amp;reservation_id=9080486846384118", "2NRWY7QW5T")</f>
        <v>2NRWY7QW5T</v>
      </c>
      <c r="D5646" t="s">
        <v>45</v>
      </c>
      <c r="E5646" t="s">
        <v>92</v>
      </c>
      <c r="F5646" t="s">
        <v>86</v>
      </c>
      <c r="G5646" t="s">
        <v>48</v>
      </c>
      <c r="H5646" t="s">
        <v>49</v>
      </c>
      <c r="I5646" t="s">
        <v>50</v>
      </c>
      <c r="J5646" t="s">
        <v>7905</v>
      </c>
      <c r="K5646" t="s">
        <v>7906</v>
      </c>
      <c r="L5646" t="s">
        <v>53</v>
      </c>
      <c r="N5646" t="s">
        <v>10056</v>
      </c>
      <c r="P5646" t="s">
        <v>55</v>
      </c>
      <c r="R5646" t="s">
        <v>53</v>
      </c>
      <c r="T5646" t="s">
        <v>10057</v>
      </c>
      <c r="U5646" t="s">
        <v>58</v>
      </c>
      <c r="V5646">
        <v>1</v>
      </c>
      <c r="W5646">
        <v>1</v>
      </c>
      <c r="X5646">
        <v>2</v>
      </c>
      <c r="Y5646">
        <v>0</v>
      </c>
      <c r="Z5646">
        <v>2</v>
      </c>
      <c r="AA5646">
        <v>254.69</v>
      </c>
      <c r="AB5646">
        <v>254.69</v>
      </c>
      <c r="AC5646">
        <v>224.1</v>
      </c>
      <c r="AD5646">
        <v>0</v>
      </c>
      <c r="AE5646">
        <v>30.59</v>
      </c>
      <c r="AF5646">
        <v>0</v>
      </c>
      <c r="AG5646">
        <v>0</v>
      </c>
      <c r="AH5646">
        <v>0</v>
      </c>
      <c r="AI5646">
        <v>45.84</v>
      </c>
      <c r="AJ5646">
        <v>254.69</v>
      </c>
      <c r="AK5646">
        <v>0</v>
      </c>
      <c r="AL5646" t="s">
        <v>53</v>
      </c>
      <c r="AM5646" t="s">
        <v>53</v>
      </c>
      <c r="AN5646" t="s">
        <v>53</v>
      </c>
      <c r="AO5646" t="s">
        <v>53</v>
      </c>
      <c r="AP5646" t="s">
        <v>53</v>
      </c>
    </row>
    <row r="5647" spans="2:42" x14ac:dyDescent="0.2">
      <c r="B5647" t="s">
        <v>44</v>
      </c>
      <c r="C5647" t="str">
        <f>HYPERLINK("https://us2.cloudbeds.com/connect/8493803454333002#/reservations/9080486846384271?display=2NS6TDWPYJ&amp;reservation_id=9080486846384271", "2NS6TDWPYJ")</f>
        <v>2NS6TDWPYJ</v>
      </c>
      <c r="D5647" t="s">
        <v>45</v>
      </c>
      <c r="E5647" t="s">
        <v>213</v>
      </c>
      <c r="F5647" t="s">
        <v>86</v>
      </c>
      <c r="G5647" t="s">
        <v>48</v>
      </c>
      <c r="H5647" t="s">
        <v>49</v>
      </c>
      <c r="I5647" t="s">
        <v>50</v>
      </c>
      <c r="J5647" t="s">
        <v>8249</v>
      </c>
      <c r="K5647" t="s">
        <v>8871</v>
      </c>
      <c r="L5647" t="s">
        <v>53</v>
      </c>
      <c r="N5647" t="s">
        <v>10058</v>
      </c>
      <c r="P5647" t="s">
        <v>55</v>
      </c>
      <c r="R5647" t="s">
        <v>53</v>
      </c>
      <c r="T5647" t="s">
        <v>10059</v>
      </c>
      <c r="U5647" t="s">
        <v>58</v>
      </c>
      <c r="V5647">
        <v>1</v>
      </c>
      <c r="W5647">
        <v>1</v>
      </c>
      <c r="X5647">
        <v>2</v>
      </c>
      <c r="Y5647">
        <v>0</v>
      </c>
      <c r="Z5647">
        <v>2</v>
      </c>
      <c r="AA5647">
        <v>202.12</v>
      </c>
      <c r="AB5647">
        <v>202.12</v>
      </c>
      <c r="AC5647">
        <v>177.84</v>
      </c>
      <c r="AD5647">
        <v>0</v>
      </c>
      <c r="AE5647">
        <v>24.28</v>
      </c>
      <c r="AF5647">
        <v>0</v>
      </c>
      <c r="AG5647">
        <v>0</v>
      </c>
      <c r="AH5647">
        <v>0</v>
      </c>
      <c r="AI5647">
        <v>36.380000000000003</v>
      </c>
      <c r="AJ5647">
        <v>202.12</v>
      </c>
      <c r="AK5647">
        <v>0</v>
      </c>
      <c r="AL5647" t="s">
        <v>53</v>
      </c>
      <c r="AM5647" t="s">
        <v>53</v>
      </c>
      <c r="AN5647" t="s">
        <v>53</v>
      </c>
      <c r="AO5647" t="s">
        <v>53</v>
      </c>
      <c r="AP5647" t="s">
        <v>53</v>
      </c>
    </row>
    <row r="5648" spans="2:42" x14ac:dyDescent="0.2">
      <c r="B5648" t="s">
        <v>44</v>
      </c>
      <c r="C5648" t="str">
        <f>HYPERLINK("https://us2.cloudbeds.com/connect/8493803454333002#/reservations/9080486846384272?display=2NS6TK3KRF&amp;reservation_id=9080486846384272", "2NS6TK3KRF")</f>
        <v>2NS6TK3KRF</v>
      </c>
      <c r="D5648" t="s">
        <v>45</v>
      </c>
      <c r="E5648" t="s">
        <v>46</v>
      </c>
      <c r="F5648" t="s">
        <v>47</v>
      </c>
      <c r="G5648" t="s">
        <v>48</v>
      </c>
      <c r="H5648" t="s">
        <v>49</v>
      </c>
      <c r="I5648" t="s">
        <v>50</v>
      </c>
      <c r="J5648" t="s">
        <v>7906</v>
      </c>
      <c r="K5648" t="s">
        <v>8713</v>
      </c>
      <c r="L5648" t="s">
        <v>53</v>
      </c>
      <c r="N5648" t="s">
        <v>10060</v>
      </c>
      <c r="P5648" t="s">
        <v>55</v>
      </c>
      <c r="R5648" t="s">
        <v>53</v>
      </c>
      <c r="T5648" t="s">
        <v>10061</v>
      </c>
      <c r="U5648" t="s">
        <v>58</v>
      </c>
      <c r="V5648">
        <v>2</v>
      </c>
      <c r="W5648">
        <v>1</v>
      </c>
      <c r="X5648">
        <v>1</v>
      </c>
      <c r="Y5648">
        <v>0</v>
      </c>
      <c r="Z5648">
        <v>1</v>
      </c>
      <c r="AA5648">
        <v>377.31</v>
      </c>
      <c r="AB5648">
        <v>377.31</v>
      </c>
      <c r="AC5648">
        <v>332</v>
      </c>
      <c r="AD5648">
        <v>0</v>
      </c>
      <c r="AE5648">
        <v>45.31</v>
      </c>
      <c r="AF5648">
        <v>0</v>
      </c>
      <c r="AG5648">
        <v>0</v>
      </c>
      <c r="AH5648">
        <v>0</v>
      </c>
      <c r="AI5648">
        <v>67.92</v>
      </c>
      <c r="AJ5648">
        <v>377.31</v>
      </c>
      <c r="AK5648">
        <v>0</v>
      </c>
      <c r="AL5648" t="s">
        <v>53</v>
      </c>
      <c r="AM5648" t="s">
        <v>53</v>
      </c>
      <c r="AN5648" t="s">
        <v>53</v>
      </c>
      <c r="AO5648" t="s">
        <v>53</v>
      </c>
      <c r="AP5648" t="s">
        <v>53</v>
      </c>
    </row>
    <row r="5649" spans="2:42" x14ac:dyDescent="0.2">
      <c r="B5649" t="s">
        <v>44</v>
      </c>
      <c r="C5649" t="str">
        <f>HYPERLINK("https://us2.cloudbeds.com/connect/8493803454333002#/reservations/126374335439010?display=2NS8861V2K&amp;reservation_id=126374335439010", "2NS8861V2K")</f>
        <v>2NS8861V2K</v>
      </c>
      <c r="D5649" t="s">
        <v>45</v>
      </c>
      <c r="E5649" t="s">
        <v>92</v>
      </c>
      <c r="F5649" t="s">
        <v>86</v>
      </c>
      <c r="G5649" t="s">
        <v>48</v>
      </c>
      <c r="H5649" t="s">
        <v>3957</v>
      </c>
      <c r="I5649" t="s">
        <v>3958</v>
      </c>
      <c r="J5649" t="s">
        <v>7906</v>
      </c>
      <c r="K5649" t="s">
        <v>8713</v>
      </c>
      <c r="L5649" t="s">
        <v>53</v>
      </c>
      <c r="P5649" t="s">
        <v>55</v>
      </c>
      <c r="R5649" t="s">
        <v>56</v>
      </c>
      <c r="T5649" t="s">
        <v>10062</v>
      </c>
      <c r="U5649" t="s">
        <v>58</v>
      </c>
      <c r="V5649">
        <v>2</v>
      </c>
      <c r="W5649">
        <v>1</v>
      </c>
      <c r="X5649">
        <v>1</v>
      </c>
      <c r="Y5649">
        <v>0</v>
      </c>
      <c r="Z5649">
        <v>1</v>
      </c>
      <c r="AA5649">
        <v>537.55999999999995</v>
      </c>
      <c r="AB5649">
        <v>537.55999999999995</v>
      </c>
      <c r="AC5649">
        <v>473</v>
      </c>
      <c r="AD5649">
        <v>0</v>
      </c>
      <c r="AE5649">
        <v>64.56</v>
      </c>
      <c r="AF5649">
        <v>0</v>
      </c>
      <c r="AG5649">
        <v>0</v>
      </c>
      <c r="AH5649">
        <v>0</v>
      </c>
      <c r="AI5649">
        <v>0</v>
      </c>
      <c r="AJ5649">
        <v>537.55999999999995</v>
      </c>
      <c r="AK5649">
        <v>0</v>
      </c>
      <c r="AL5649" t="s">
        <v>53</v>
      </c>
      <c r="AM5649" t="s">
        <v>53</v>
      </c>
      <c r="AN5649" t="s">
        <v>53</v>
      </c>
      <c r="AO5649" t="s">
        <v>53</v>
      </c>
      <c r="AP5649" t="s">
        <v>53</v>
      </c>
    </row>
    <row r="5650" spans="2:42" x14ac:dyDescent="0.2">
      <c r="B5650" t="s">
        <v>44</v>
      </c>
      <c r="C5650" t="str">
        <f>HYPERLINK("https://us2.cloudbeds.com/connect/8493803454333002#/reservations/126403384844491?display=2NSUZF9FX6&amp;reservation_id=126403384844491", "2NSUZF9FX6")</f>
        <v>2NSUZF9FX6</v>
      </c>
      <c r="D5650" t="s">
        <v>45</v>
      </c>
      <c r="E5650" t="s">
        <v>46</v>
      </c>
      <c r="F5650" t="s">
        <v>47</v>
      </c>
      <c r="G5650" t="s">
        <v>48</v>
      </c>
      <c r="H5650" t="s">
        <v>3957</v>
      </c>
      <c r="I5650" t="s">
        <v>3958</v>
      </c>
      <c r="J5650" t="s">
        <v>7925</v>
      </c>
      <c r="K5650" t="s">
        <v>8249</v>
      </c>
      <c r="L5650" t="s">
        <v>53</v>
      </c>
      <c r="P5650" t="s">
        <v>55</v>
      </c>
      <c r="R5650" t="s">
        <v>56</v>
      </c>
      <c r="T5650" t="s">
        <v>10063</v>
      </c>
      <c r="U5650" t="s">
        <v>58</v>
      </c>
      <c r="V5650">
        <v>2</v>
      </c>
      <c r="W5650">
        <v>1</v>
      </c>
      <c r="X5650">
        <v>1</v>
      </c>
      <c r="Y5650">
        <v>0</v>
      </c>
      <c r="Z5650">
        <v>1</v>
      </c>
      <c r="AA5650">
        <v>444.38</v>
      </c>
      <c r="AB5650">
        <v>444.38</v>
      </c>
      <c r="AC5650">
        <v>391</v>
      </c>
      <c r="AD5650">
        <v>0</v>
      </c>
      <c r="AE5650">
        <v>53.38</v>
      </c>
      <c r="AF5650">
        <v>0</v>
      </c>
      <c r="AG5650">
        <v>0</v>
      </c>
      <c r="AH5650">
        <v>0</v>
      </c>
      <c r="AI5650">
        <v>0</v>
      </c>
      <c r="AJ5650">
        <v>444.38</v>
      </c>
      <c r="AK5650">
        <v>0</v>
      </c>
      <c r="AL5650" t="s">
        <v>53</v>
      </c>
      <c r="AM5650" t="s">
        <v>53</v>
      </c>
      <c r="AN5650" t="s">
        <v>53</v>
      </c>
      <c r="AO5650" t="s">
        <v>53</v>
      </c>
      <c r="AP5650" t="s">
        <v>53</v>
      </c>
    </row>
    <row r="5651" spans="2:42" x14ac:dyDescent="0.2">
      <c r="B5651" t="s">
        <v>44</v>
      </c>
      <c r="C5651" t="str">
        <f>HYPERLINK("https://us2.cloudbeds.com/connect/8493803454333002#/reservations/9080486846386484?display=2NVQ367MR2&amp;reservation_id=9080486846386484", "2NVQ367MR2")</f>
        <v>2NVQ367MR2</v>
      </c>
      <c r="D5651" t="s">
        <v>45</v>
      </c>
      <c r="E5651" t="s">
        <v>69</v>
      </c>
      <c r="F5651" t="s">
        <v>70</v>
      </c>
      <c r="G5651" t="s">
        <v>48</v>
      </c>
      <c r="H5651" t="s">
        <v>49</v>
      </c>
      <c r="I5651" t="s">
        <v>50</v>
      </c>
      <c r="J5651" t="s">
        <v>9610</v>
      </c>
      <c r="K5651" t="s">
        <v>9620</v>
      </c>
      <c r="L5651" t="s">
        <v>53</v>
      </c>
      <c r="N5651" t="s">
        <v>10064</v>
      </c>
      <c r="P5651" t="s">
        <v>55</v>
      </c>
      <c r="R5651" t="s">
        <v>53</v>
      </c>
      <c r="T5651" t="s">
        <v>10065</v>
      </c>
      <c r="U5651" t="s">
        <v>58</v>
      </c>
      <c r="V5651">
        <v>2</v>
      </c>
      <c r="W5651">
        <v>1</v>
      </c>
      <c r="X5651">
        <v>2</v>
      </c>
      <c r="Y5651">
        <v>0</v>
      </c>
      <c r="Z5651">
        <v>2</v>
      </c>
      <c r="AA5651">
        <v>362.44</v>
      </c>
      <c r="AB5651">
        <v>362.44</v>
      </c>
      <c r="AC5651">
        <v>318.91000000000003</v>
      </c>
      <c r="AD5651">
        <v>0</v>
      </c>
      <c r="AE5651">
        <v>43.53</v>
      </c>
      <c r="AF5651">
        <v>0</v>
      </c>
      <c r="AG5651">
        <v>0</v>
      </c>
      <c r="AH5651">
        <v>0</v>
      </c>
      <c r="AI5651">
        <v>65.239999999999995</v>
      </c>
      <c r="AJ5651">
        <v>362.44</v>
      </c>
      <c r="AK5651">
        <v>0</v>
      </c>
      <c r="AL5651" t="s">
        <v>53</v>
      </c>
      <c r="AM5651" t="s">
        <v>53</v>
      </c>
      <c r="AN5651" t="s">
        <v>53</v>
      </c>
      <c r="AO5651" t="s">
        <v>53</v>
      </c>
      <c r="AP5651" t="s">
        <v>53</v>
      </c>
    </row>
    <row r="5652" spans="2:42" x14ac:dyDescent="0.2">
      <c r="B5652" t="s">
        <v>44</v>
      </c>
      <c r="C5652" t="str">
        <f>HYPERLINK("https://us2.cloudbeds.com/connect/8493803454333002#/reservations/9080486846387474?display=2Z00PN8GUK&amp;reservation_id=9080486846387474", "2Z00PN8GUK")</f>
        <v>2Z00PN8GUK</v>
      </c>
      <c r="D5652" t="s">
        <v>45</v>
      </c>
      <c r="E5652" t="s">
        <v>185</v>
      </c>
      <c r="F5652" t="s">
        <v>47</v>
      </c>
      <c r="G5652" t="s">
        <v>48</v>
      </c>
      <c r="H5652" t="s">
        <v>49</v>
      </c>
      <c r="I5652" t="s">
        <v>50</v>
      </c>
      <c r="J5652" t="s">
        <v>8871</v>
      </c>
      <c r="K5652" t="s">
        <v>8790</v>
      </c>
      <c r="L5652" t="s">
        <v>53</v>
      </c>
      <c r="N5652" t="s">
        <v>10066</v>
      </c>
      <c r="P5652" t="s">
        <v>55</v>
      </c>
      <c r="R5652" t="s">
        <v>53</v>
      </c>
      <c r="T5652" t="s">
        <v>10067</v>
      </c>
      <c r="U5652" t="s">
        <v>58</v>
      </c>
      <c r="V5652">
        <v>1</v>
      </c>
      <c r="W5652">
        <v>1</v>
      </c>
      <c r="X5652">
        <v>2</v>
      </c>
      <c r="Y5652">
        <v>0</v>
      </c>
      <c r="Z5652">
        <v>2</v>
      </c>
      <c r="AA5652">
        <v>192.29</v>
      </c>
      <c r="AB5652">
        <v>192.29</v>
      </c>
      <c r="AC5652">
        <v>169.2</v>
      </c>
      <c r="AD5652">
        <v>0</v>
      </c>
      <c r="AE5652">
        <v>23.09</v>
      </c>
      <c r="AF5652">
        <v>0</v>
      </c>
      <c r="AG5652">
        <v>0</v>
      </c>
      <c r="AH5652">
        <v>0</v>
      </c>
      <c r="AI5652">
        <v>34.61</v>
      </c>
      <c r="AJ5652">
        <v>192.29</v>
      </c>
      <c r="AK5652">
        <v>0</v>
      </c>
      <c r="AL5652" t="s">
        <v>53</v>
      </c>
      <c r="AM5652" t="s">
        <v>53</v>
      </c>
      <c r="AN5652" t="s">
        <v>53</v>
      </c>
      <c r="AO5652" t="s">
        <v>53</v>
      </c>
      <c r="AP5652" t="s">
        <v>53</v>
      </c>
    </row>
    <row r="5653" spans="2:42" x14ac:dyDescent="0.2">
      <c r="B5653" t="s">
        <v>44</v>
      </c>
      <c r="C5653" t="str">
        <f>HYPERLINK("https://us2.cloudbeds.com/connect/8493803454333002#/reservations/9080486846387707?display=2Z0A7427EN&amp;reservation_id=9080486846387707", "2Z0A7427EN")</f>
        <v>2Z0A7427EN</v>
      </c>
      <c r="D5653" t="s">
        <v>45</v>
      </c>
      <c r="E5653" t="s">
        <v>110</v>
      </c>
      <c r="F5653" t="s">
        <v>47</v>
      </c>
      <c r="G5653" t="s">
        <v>48</v>
      </c>
      <c r="H5653" t="s">
        <v>49</v>
      </c>
      <c r="I5653" t="s">
        <v>62</v>
      </c>
      <c r="J5653" t="s">
        <v>7802</v>
      </c>
      <c r="K5653" t="s">
        <v>8053</v>
      </c>
      <c r="L5653" t="s">
        <v>53</v>
      </c>
      <c r="N5653" t="s">
        <v>10068</v>
      </c>
      <c r="P5653" t="s">
        <v>55</v>
      </c>
      <c r="R5653" t="s">
        <v>56</v>
      </c>
      <c r="T5653" t="s">
        <v>10069</v>
      </c>
      <c r="U5653" t="s">
        <v>55</v>
      </c>
      <c r="V5653">
        <v>1</v>
      </c>
      <c r="W5653">
        <v>1</v>
      </c>
      <c r="X5653">
        <v>2</v>
      </c>
      <c r="Y5653">
        <v>0</v>
      </c>
      <c r="Z5653">
        <v>2</v>
      </c>
      <c r="AA5653">
        <v>192.85</v>
      </c>
      <c r="AB5653">
        <v>192.85</v>
      </c>
      <c r="AC5653">
        <v>192.85</v>
      </c>
      <c r="AD5653">
        <v>0</v>
      </c>
      <c r="AE5653">
        <v>0</v>
      </c>
      <c r="AF5653">
        <v>0</v>
      </c>
      <c r="AG5653">
        <v>0</v>
      </c>
      <c r="AH5653">
        <v>0</v>
      </c>
      <c r="AI5653">
        <v>34.71</v>
      </c>
      <c r="AJ5653">
        <v>192.85</v>
      </c>
      <c r="AK5653">
        <v>0</v>
      </c>
      <c r="AL5653" t="s">
        <v>53</v>
      </c>
      <c r="AM5653" t="s">
        <v>53</v>
      </c>
      <c r="AN5653" t="s">
        <v>53</v>
      </c>
      <c r="AO5653" t="s">
        <v>53</v>
      </c>
      <c r="AP5653" t="s">
        <v>53</v>
      </c>
    </row>
    <row r="5654" spans="2:42" x14ac:dyDescent="0.2">
      <c r="B5654" t="s">
        <v>44</v>
      </c>
      <c r="C5654" t="str">
        <f>HYPERLINK("https://us2.cloudbeds.com/connect/8493803454333002#/reservations/9080486846387752?display=2Z0B8DX9BY&amp;reservation_id=9080486846387752", "2Z0B8DX9BY")</f>
        <v>2Z0B8DX9BY</v>
      </c>
      <c r="D5654" t="s">
        <v>45</v>
      </c>
      <c r="E5654" t="s">
        <v>85</v>
      </c>
      <c r="F5654" t="s">
        <v>86</v>
      </c>
      <c r="G5654" t="s">
        <v>48</v>
      </c>
      <c r="H5654" t="s">
        <v>49</v>
      </c>
      <c r="I5654" t="s">
        <v>50</v>
      </c>
      <c r="J5654" t="s">
        <v>8865</v>
      </c>
      <c r="K5654" t="s">
        <v>10070</v>
      </c>
      <c r="L5654" t="s">
        <v>53</v>
      </c>
      <c r="N5654" t="s">
        <v>10071</v>
      </c>
      <c r="P5654" t="s">
        <v>55</v>
      </c>
      <c r="R5654" t="s">
        <v>53</v>
      </c>
      <c r="T5654" t="s">
        <v>10072</v>
      </c>
      <c r="U5654" t="s">
        <v>58</v>
      </c>
      <c r="V5654">
        <v>1</v>
      </c>
      <c r="W5654">
        <v>1</v>
      </c>
      <c r="X5654">
        <v>2</v>
      </c>
      <c r="Y5654">
        <v>0</v>
      </c>
      <c r="Z5654">
        <v>2</v>
      </c>
      <c r="AA5654">
        <v>90.01</v>
      </c>
      <c r="AB5654">
        <v>90.01</v>
      </c>
      <c r="AC5654">
        <v>79.2</v>
      </c>
      <c r="AD5654">
        <v>0</v>
      </c>
      <c r="AE5654">
        <v>10.81</v>
      </c>
      <c r="AF5654">
        <v>0</v>
      </c>
      <c r="AG5654">
        <v>0</v>
      </c>
      <c r="AH5654">
        <v>0</v>
      </c>
      <c r="AI5654">
        <v>16.2</v>
      </c>
      <c r="AJ5654">
        <v>90.01</v>
      </c>
      <c r="AK5654">
        <v>0</v>
      </c>
      <c r="AL5654" t="s">
        <v>53</v>
      </c>
      <c r="AM5654" t="s">
        <v>53</v>
      </c>
      <c r="AN5654" t="s">
        <v>53</v>
      </c>
      <c r="AO5654" t="s">
        <v>53</v>
      </c>
      <c r="AP5654" t="s">
        <v>53</v>
      </c>
    </row>
    <row r="5655" spans="2:42" x14ac:dyDescent="0.2">
      <c r="B5655" t="s">
        <v>44</v>
      </c>
      <c r="C5655" t="str">
        <f>HYPERLINK("https://us2.cloudbeds.com/connect/8493803454333002#/reservations/9080486846387754?display=2Z0BBT5KAR&amp;reservation_id=9080486846387754", "2Z0BBT5KAR")</f>
        <v>2Z0BBT5KAR</v>
      </c>
      <c r="D5655" t="s">
        <v>45</v>
      </c>
      <c r="E5655" t="s">
        <v>213</v>
      </c>
      <c r="F5655" t="s">
        <v>86</v>
      </c>
      <c r="G5655" t="s">
        <v>48</v>
      </c>
      <c r="H5655" t="s">
        <v>49</v>
      </c>
      <c r="I5655" t="s">
        <v>50</v>
      </c>
      <c r="J5655" t="s">
        <v>8865</v>
      </c>
      <c r="K5655" t="s">
        <v>10070</v>
      </c>
      <c r="L5655" t="s">
        <v>53</v>
      </c>
      <c r="N5655" t="s">
        <v>10073</v>
      </c>
      <c r="P5655" t="s">
        <v>55</v>
      </c>
      <c r="R5655" t="s">
        <v>53</v>
      </c>
      <c r="T5655" t="s">
        <v>10074</v>
      </c>
      <c r="U5655" t="s">
        <v>58</v>
      </c>
      <c r="V5655">
        <v>1</v>
      </c>
      <c r="W5655">
        <v>1</v>
      </c>
      <c r="X5655">
        <v>2</v>
      </c>
      <c r="Y5655">
        <v>0</v>
      </c>
      <c r="Z5655">
        <v>2</v>
      </c>
      <c r="AA5655">
        <v>90.01</v>
      </c>
      <c r="AB5655">
        <v>90.01</v>
      </c>
      <c r="AC5655">
        <v>79.2</v>
      </c>
      <c r="AD5655">
        <v>0</v>
      </c>
      <c r="AE5655">
        <v>10.81</v>
      </c>
      <c r="AF5655">
        <v>0</v>
      </c>
      <c r="AG5655">
        <v>0</v>
      </c>
      <c r="AH5655">
        <v>0</v>
      </c>
      <c r="AI5655">
        <v>16.2</v>
      </c>
      <c r="AJ5655">
        <v>90.01</v>
      </c>
      <c r="AK5655">
        <v>0</v>
      </c>
      <c r="AL5655" t="s">
        <v>53</v>
      </c>
      <c r="AM5655" t="s">
        <v>53</v>
      </c>
      <c r="AN5655" t="s">
        <v>53</v>
      </c>
      <c r="AO5655" t="s">
        <v>53</v>
      </c>
      <c r="AP5655" t="s">
        <v>53</v>
      </c>
    </row>
    <row r="5656" spans="2:42" x14ac:dyDescent="0.2">
      <c r="B5656" t="s">
        <v>44</v>
      </c>
      <c r="C5656" t="str">
        <f>HYPERLINK("https://us2.cloudbeds.com/connect/8493803454333002#/reservations/9080486846387825?display=2Z0E7CV43E&amp;reservation_id=9080486846387825", "2Z0E7CV43E")</f>
        <v>2Z0E7CV43E</v>
      </c>
      <c r="D5656" t="s">
        <v>45</v>
      </c>
      <c r="E5656" t="s">
        <v>113</v>
      </c>
      <c r="F5656" t="s">
        <v>61</v>
      </c>
      <c r="G5656" t="s">
        <v>48</v>
      </c>
      <c r="H5656" t="s">
        <v>49</v>
      </c>
      <c r="I5656" t="s">
        <v>50</v>
      </c>
      <c r="J5656" t="s">
        <v>8713</v>
      </c>
      <c r="K5656" t="s">
        <v>7925</v>
      </c>
      <c r="L5656" t="s">
        <v>53</v>
      </c>
      <c r="N5656" t="s">
        <v>10075</v>
      </c>
      <c r="P5656" t="s">
        <v>55</v>
      </c>
      <c r="R5656" t="s">
        <v>53</v>
      </c>
      <c r="T5656" t="s">
        <v>10076</v>
      </c>
      <c r="U5656" t="s">
        <v>58</v>
      </c>
      <c r="V5656">
        <v>1</v>
      </c>
      <c r="W5656">
        <v>1</v>
      </c>
      <c r="X5656">
        <v>2</v>
      </c>
      <c r="Y5656">
        <v>0</v>
      </c>
      <c r="Z5656">
        <v>2</v>
      </c>
      <c r="AA5656">
        <v>223.15</v>
      </c>
      <c r="AB5656">
        <v>223.15</v>
      </c>
      <c r="AC5656">
        <v>196.35</v>
      </c>
      <c r="AD5656">
        <v>0</v>
      </c>
      <c r="AE5656">
        <v>26.8</v>
      </c>
      <c r="AF5656">
        <v>0</v>
      </c>
      <c r="AG5656">
        <v>0</v>
      </c>
      <c r="AH5656">
        <v>0</v>
      </c>
      <c r="AI5656">
        <v>40.17</v>
      </c>
      <c r="AJ5656">
        <v>223.15</v>
      </c>
      <c r="AK5656">
        <v>0</v>
      </c>
      <c r="AL5656" t="s">
        <v>53</v>
      </c>
      <c r="AM5656" t="s">
        <v>53</v>
      </c>
      <c r="AN5656" t="s">
        <v>53</v>
      </c>
      <c r="AO5656" t="s">
        <v>53</v>
      </c>
      <c r="AP5656" t="s">
        <v>53</v>
      </c>
    </row>
    <row r="5657" spans="2:42" x14ac:dyDescent="0.2">
      <c r="B5657" t="s">
        <v>44</v>
      </c>
      <c r="C5657" t="str">
        <f>HYPERLINK("https://us2.cloudbeds.com/connect/8493803454333002#/reservations/9080486846389033?display=2Z1NW7VTCC&amp;reservation_id=9080486846389033", "2Z1NW7VTCC")</f>
        <v>2Z1NW7VTCC</v>
      </c>
      <c r="D5657" t="s">
        <v>45</v>
      </c>
      <c r="E5657" t="s">
        <v>69</v>
      </c>
      <c r="F5657" t="s">
        <v>70</v>
      </c>
      <c r="G5657" t="s">
        <v>48</v>
      </c>
      <c r="H5657" t="s">
        <v>49</v>
      </c>
      <c r="I5657" t="s">
        <v>50</v>
      </c>
      <c r="J5657" t="s">
        <v>7906</v>
      </c>
      <c r="K5657" t="s">
        <v>8594</v>
      </c>
      <c r="L5657" t="s">
        <v>53</v>
      </c>
      <c r="N5657" t="s">
        <v>10077</v>
      </c>
      <c r="P5657" t="s">
        <v>55</v>
      </c>
      <c r="R5657" t="s">
        <v>53</v>
      </c>
      <c r="T5657" t="s">
        <v>10078</v>
      </c>
      <c r="U5657" t="s">
        <v>58</v>
      </c>
      <c r="V5657">
        <v>1</v>
      </c>
      <c r="W5657">
        <v>1</v>
      </c>
      <c r="X5657">
        <v>2</v>
      </c>
      <c r="Y5657">
        <v>0</v>
      </c>
      <c r="Z5657">
        <v>2</v>
      </c>
      <c r="AA5657">
        <v>190.25</v>
      </c>
      <c r="AB5657">
        <v>190.25</v>
      </c>
      <c r="AC5657">
        <v>167.4</v>
      </c>
      <c r="AD5657">
        <v>0</v>
      </c>
      <c r="AE5657">
        <v>22.85</v>
      </c>
      <c r="AF5657">
        <v>0</v>
      </c>
      <c r="AG5657">
        <v>0</v>
      </c>
      <c r="AH5657">
        <v>0</v>
      </c>
      <c r="AI5657">
        <v>34.25</v>
      </c>
      <c r="AJ5657">
        <v>190.25</v>
      </c>
      <c r="AK5657">
        <v>0</v>
      </c>
      <c r="AL5657" t="s">
        <v>53</v>
      </c>
      <c r="AM5657" t="s">
        <v>53</v>
      </c>
      <c r="AN5657" t="s">
        <v>53</v>
      </c>
      <c r="AO5657" t="s">
        <v>53</v>
      </c>
      <c r="AP5657" t="s">
        <v>53</v>
      </c>
    </row>
    <row r="5658" spans="2:42" x14ac:dyDescent="0.2">
      <c r="B5658" t="s">
        <v>44</v>
      </c>
      <c r="C5658" t="str">
        <f>HYPERLINK("https://us2.cloudbeds.com/connect/8493803454333002#/reservations/9080486846389527?display=2Z26DJJ88T&amp;reservation_id=9080486846389527", "2Z26DJJ88T")</f>
        <v>2Z26DJJ88T</v>
      </c>
      <c r="D5658" t="s">
        <v>45</v>
      </c>
      <c r="E5658" t="s">
        <v>179</v>
      </c>
      <c r="F5658" t="s">
        <v>47</v>
      </c>
      <c r="G5658" t="s">
        <v>48</v>
      </c>
      <c r="H5658" t="s">
        <v>49</v>
      </c>
      <c r="I5658" t="s">
        <v>50</v>
      </c>
      <c r="J5658" t="s">
        <v>8871</v>
      </c>
      <c r="K5658" t="s">
        <v>8790</v>
      </c>
      <c r="L5658" t="s">
        <v>53</v>
      </c>
      <c r="N5658" t="s">
        <v>10079</v>
      </c>
      <c r="P5658" t="s">
        <v>55</v>
      </c>
      <c r="R5658" t="s">
        <v>53</v>
      </c>
      <c r="T5658" t="s">
        <v>10080</v>
      </c>
      <c r="U5658" t="s">
        <v>58</v>
      </c>
      <c r="V5658">
        <v>1</v>
      </c>
      <c r="W5658">
        <v>1</v>
      </c>
      <c r="X5658">
        <v>2</v>
      </c>
      <c r="Y5658">
        <v>0</v>
      </c>
      <c r="Z5658">
        <v>2</v>
      </c>
      <c r="AA5658">
        <v>181.61</v>
      </c>
      <c r="AB5658">
        <v>181.61</v>
      </c>
      <c r="AC5658">
        <v>159.80000000000001</v>
      </c>
      <c r="AD5658">
        <v>0</v>
      </c>
      <c r="AE5658">
        <v>21.81</v>
      </c>
      <c r="AF5658">
        <v>0</v>
      </c>
      <c r="AG5658">
        <v>0</v>
      </c>
      <c r="AH5658">
        <v>0</v>
      </c>
      <c r="AI5658">
        <v>32.69</v>
      </c>
      <c r="AJ5658">
        <v>181.61</v>
      </c>
      <c r="AK5658">
        <v>0</v>
      </c>
      <c r="AL5658" t="s">
        <v>53</v>
      </c>
      <c r="AM5658" t="s">
        <v>53</v>
      </c>
      <c r="AN5658" t="s">
        <v>53</v>
      </c>
      <c r="AO5658" t="s">
        <v>53</v>
      </c>
      <c r="AP5658" t="s">
        <v>53</v>
      </c>
    </row>
    <row r="5659" spans="2:42" x14ac:dyDescent="0.2">
      <c r="B5659" t="s">
        <v>44</v>
      </c>
      <c r="C5659" t="str">
        <f>HYPERLINK("https://us2.cloudbeds.com/connect/8493803454333002#/reservations/9080486846390388?display=2Z3AXJE395&amp;reservation_id=9080486846390388", "2Z3AXJE395")</f>
        <v>2Z3AXJE395</v>
      </c>
      <c r="D5659" t="s">
        <v>45</v>
      </c>
      <c r="E5659" t="s">
        <v>92</v>
      </c>
      <c r="F5659" t="s">
        <v>86</v>
      </c>
      <c r="G5659" t="s">
        <v>48</v>
      </c>
      <c r="H5659" t="s">
        <v>49</v>
      </c>
      <c r="I5659" t="s">
        <v>50</v>
      </c>
      <c r="J5659" t="s">
        <v>7989</v>
      </c>
      <c r="K5659" t="s">
        <v>8799</v>
      </c>
      <c r="L5659" t="s">
        <v>53</v>
      </c>
      <c r="N5659" t="s">
        <v>10081</v>
      </c>
      <c r="P5659" t="s">
        <v>55</v>
      </c>
      <c r="R5659" t="s">
        <v>53</v>
      </c>
      <c r="T5659" t="s">
        <v>10082</v>
      </c>
      <c r="U5659" t="s">
        <v>58</v>
      </c>
      <c r="V5659">
        <v>1</v>
      </c>
      <c r="W5659">
        <v>1</v>
      </c>
      <c r="X5659">
        <v>2</v>
      </c>
      <c r="Y5659">
        <v>0</v>
      </c>
      <c r="Z5659">
        <v>2</v>
      </c>
      <c r="AA5659">
        <v>259.85000000000002</v>
      </c>
      <c r="AB5659">
        <v>259.85000000000002</v>
      </c>
      <c r="AC5659">
        <v>228.65</v>
      </c>
      <c r="AD5659">
        <v>0</v>
      </c>
      <c r="AE5659">
        <v>31.2</v>
      </c>
      <c r="AF5659">
        <v>0</v>
      </c>
      <c r="AG5659">
        <v>0</v>
      </c>
      <c r="AH5659">
        <v>0</v>
      </c>
      <c r="AI5659">
        <v>46.77</v>
      </c>
      <c r="AJ5659">
        <v>259.85000000000002</v>
      </c>
      <c r="AK5659">
        <v>0</v>
      </c>
      <c r="AL5659" t="s">
        <v>53</v>
      </c>
      <c r="AM5659" t="s">
        <v>53</v>
      </c>
      <c r="AN5659" t="s">
        <v>53</v>
      </c>
      <c r="AO5659" t="s">
        <v>53</v>
      </c>
      <c r="AP5659" t="s">
        <v>53</v>
      </c>
    </row>
    <row r="5660" spans="2:42" x14ac:dyDescent="0.2">
      <c r="B5660" t="s">
        <v>44</v>
      </c>
      <c r="C5660" t="str">
        <f>HYPERLINK("https://us2.cloudbeds.com/connect/8493803454333002#/reservations/9080486846390389?display=2Z3AXQJ10U&amp;reservation_id=9080486846390389", "2Z3AXQJ10U")</f>
        <v>2Z3AXQJ10U</v>
      </c>
      <c r="D5660" t="s">
        <v>45</v>
      </c>
      <c r="E5660" t="s">
        <v>121</v>
      </c>
      <c r="F5660" t="s">
        <v>86</v>
      </c>
      <c r="G5660" t="s">
        <v>48</v>
      </c>
      <c r="H5660" t="s">
        <v>49</v>
      </c>
      <c r="I5660" t="s">
        <v>50</v>
      </c>
      <c r="J5660" t="s">
        <v>7989</v>
      </c>
      <c r="K5660" t="s">
        <v>8799</v>
      </c>
      <c r="L5660" t="s">
        <v>53</v>
      </c>
      <c r="N5660" t="s">
        <v>10083</v>
      </c>
      <c r="P5660" t="s">
        <v>55</v>
      </c>
      <c r="R5660" t="s">
        <v>53</v>
      </c>
      <c r="T5660" t="s">
        <v>10084</v>
      </c>
      <c r="U5660" t="s">
        <v>58</v>
      </c>
      <c r="V5660">
        <v>1</v>
      </c>
      <c r="W5660">
        <v>1</v>
      </c>
      <c r="X5660">
        <v>2</v>
      </c>
      <c r="Y5660">
        <v>0</v>
      </c>
      <c r="Z5660">
        <v>2</v>
      </c>
      <c r="AA5660">
        <v>259.85000000000002</v>
      </c>
      <c r="AB5660">
        <v>259.85000000000002</v>
      </c>
      <c r="AC5660">
        <v>228.65</v>
      </c>
      <c r="AD5660">
        <v>0</v>
      </c>
      <c r="AE5660">
        <v>31.2</v>
      </c>
      <c r="AF5660">
        <v>0</v>
      </c>
      <c r="AG5660">
        <v>0</v>
      </c>
      <c r="AH5660">
        <v>0</v>
      </c>
      <c r="AI5660">
        <v>46.77</v>
      </c>
      <c r="AJ5660">
        <v>259.85000000000002</v>
      </c>
      <c r="AK5660">
        <v>0</v>
      </c>
      <c r="AL5660" t="s">
        <v>53</v>
      </c>
      <c r="AM5660" t="s">
        <v>53</v>
      </c>
      <c r="AN5660" t="s">
        <v>53</v>
      </c>
      <c r="AO5660" t="s">
        <v>53</v>
      </c>
      <c r="AP5660" t="s">
        <v>53</v>
      </c>
    </row>
    <row r="5661" spans="2:42" x14ac:dyDescent="0.2">
      <c r="B5661" t="s">
        <v>44</v>
      </c>
      <c r="C5661" t="str">
        <f>HYPERLINK("https://us2.cloudbeds.com/connect/8493803454333002#/reservations/9080486846390463?display=2Z3DRF63JC&amp;reservation_id=9080486846390463", "2Z3DRF63JC")</f>
        <v>2Z3DRF63JC</v>
      </c>
      <c r="D5661" t="s">
        <v>45</v>
      </c>
      <c r="E5661" t="s">
        <v>223</v>
      </c>
      <c r="F5661" t="s">
        <v>47</v>
      </c>
      <c r="G5661" t="s">
        <v>48</v>
      </c>
      <c r="H5661" t="s">
        <v>49</v>
      </c>
      <c r="I5661" t="s">
        <v>62</v>
      </c>
      <c r="J5661" t="s">
        <v>7906</v>
      </c>
      <c r="K5661" t="s">
        <v>8594</v>
      </c>
      <c r="L5661" t="s">
        <v>53</v>
      </c>
      <c r="N5661" t="s">
        <v>10085</v>
      </c>
      <c r="P5661" t="s">
        <v>55</v>
      </c>
      <c r="R5661" t="s">
        <v>56</v>
      </c>
      <c r="T5661" t="s">
        <v>10086</v>
      </c>
      <c r="U5661" t="s">
        <v>55</v>
      </c>
      <c r="V5661">
        <v>1</v>
      </c>
      <c r="W5661">
        <v>1</v>
      </c>
      <c r="X5661">
        <v>1</v>
      </c>
      <c r="Y5661">
        <v>0</v>
      </c>
      <c r="Z5661">
        <v>1</v>
      </c>
      <c r="AA5661">
        <v>198</v>
      </c>
      <c r="AB5661">
        <v>198</v>
      </c>
      <c r="AC5661">
        <v>198</v>
      </c>
      <c r="AD5661">
        <v>0</v>
      </c>
      <c r="AE5661">
        <v>0</v>
      </c>
      <c r="AF5661">
        <v>0</v>
      </c>
      <c r="AG5661">
        <v>0</v>
      </c>
      <c r="AH5661">
        <v>0</v>
      </c>
      <c r="AI5661">
        <v>35.64</v>
      </c>
      <c r="AJ5661">
        <v>198</v>
      </c>
      <c r="AK5661">
        <v>0</v>
      </c>
      <c r="AL5661" t="s">
        <v>53</v>
      </c>
      <c r="AM5661" t="s">
        <v>53</v>
      </c>
      <c r="AN5661" t="s">
        <v>53</v>
      </c>
      <c r="AO5661" t="s">
        <v>53</v>
      </c>
      <c r="AP5661" t="s">
        <v>53</v>
      </c>
    </row>
    <row r="5662" spans="2:42" x14ac:dyDescent="0.2">
      <c r="B5662" t="s">
        <v>44</v>
      </c>
      <c r="C5662" t="str">
        <f>HYPERLINK("https://us2.cloudbeds.com/connect/8493803454333002#/reservations/9080486846390480?display=2Z3ERDF8FM&amp;reservation_id=9080486846390480", "2Z3ERDF8FM")</f>
        <v>2Z3ERDF8FM</v>
      </c>
      <c r="D5662" t="s">
        <v>45</v>
      </c>
      <c r="E5662" t="s">
        <v>406</v>
      </c>
      <c r="F5662" t="s">
        <v>61</v>
      </c>
      <c r="G5662" t="s">
        <v>48</v>
      </c>
      <c r="H5662" t="s">
        <v>49</v>
      </c>
      <c r="I5662" t="s">
        <v>50</v>
      </c>
      <c r="J5662" t="s">
        <v>8713</v>
      </c>
      <c r="K5662" t="s">
        <v>7925</v>
      </c>
      <c r="L5662" t="s">
        <v>53</v>
      </c>
      <c r="N5662" t="s">
        <v>10087</v>
      </c>
      <c r="P5662" t="s">
        <v>55</v>
      </c>
      <c r="R5662" t="s">
        <v>53</v>
      </c>
      <c r="T5662" t="s">
        <v>10088</v>
      </c>
      <c r="U5662" t="s">
        <v>58</v>
      </c>
      <c r="V5662">
        <v>1</v>
      </c>
      <c r="W5662">
        <v>1</v>
      </c>
      <c r="X5662">
        <v>2</v>
      </c>
      <c r="Y5662">
        <v>0</v>
      </c>
      <c r="Z5662">
        <v>2</v>
      </c>
      <c r="AA5662">
        <v>223.15</v>
      </c>
      <c r="AB5662">
        <v>223.15</v>
      </c>
      <c r="AC5662">
        <v>196.35</v>
      </c>
      <c r="AD5662">
        <v>0</v>
      </c>
      <c r="AE5662">
        <v>26.8</v>
      </c>
      <c r="AF5662">
        <v>0</v>
      </c>
      <c r="AG5662">
        <v>0</v>
      </c>
      <c r="AH5662">
        <v>0</v>
      </c>
      <c r="AI5662">
        <v>40.17</v>
      </c>
      <c r="AJ5662">
        <v>223.15</v>
      </c>
      <c r="AK5662">
        <v>0</v>
      </c>
      <c r="AL5662" t="s">
        <v>53</v>
      </c>
      <c r="AM5662" t="s">
        <v>53</v>
      </c>
      <c r="AN5662" t="s">
        <v>53</v>
      </c>
      <c r="AO5662" t="s">
        <v>53</v>
      </c>
      <c r="AP5662" t="s">
        <v>53</v>
      </c>
    </row>
    <row r="5663" spans="2:42" x14ac:dyDescent="0.2">
      <c r="B5663" t="s">
        <v>44</v>
      </c>
      <c r="C5663" t="str">
        <f>HYPERLINK("https://us2.cloudbeds.com/connect/8493803454333002#/reservations/9080486846390583?display=2Z3JPR1PBE&amp;reservation_id=9080486846390583", "2Z3JPR1PBE")</f>
        <v>2Z3JPR1PBE</v>
      </c>
      <c r="D5663" t="s">
        <v>45</v>
      </c>
      <c r="E5663" t="s">
        <v>165</v>
      </c>
      <c r="F5663" t="s">
        <v>61</v>
      </c>
      <c r="G5663" t="s">
        <v>48</v>
      </c>
      <c r="H5663" t="s">
        <v>49</v>
      </c>
      <c r="I5663" t="s">
        <v>62</v>
      </c>
      <c r="J5663" t="s">
        <v>8686</v>
      </c>
      <c r="K5663" t="s">
        <v>5402</v>
      </c>
      <c r="L5663" t="s">
        <v>53</v>
      </c>
      <c r="N5663" t="s">
        <v>10089</v>
      </c>
      <c r="P5663" t="s">
        <v>55</v>
      </c>
      <c r="R5663" t="s">
        <v>56</v>
      </c>
      <c r="T5663" t="s">
        <v>10090</v>
      </c>
      <c r="U5663" t="s">
        <v>55</v>
      </c>
      <c r="V5663">
        <v>1</v>
      </c>
      <c r="W5663">
        <v>1</v>
      </c>
      <c r="X5663">
        <v>2</v>
      </c>
      <c r="Y5663">
        <v>0</v>
      </c>
      <c r="Z5663">
        <v>2</v>
      </c>
      <c r="AA5663">
        <v>186</v>
      </c>
      <c r="AB5663">
        <v>186</v>
      </c>
      <c r="AC5663">
        <v>186</v>
      </c>
      <c r="AD5663">
        <v>0</v>
      </c>
      <c r="AE5663">
        <v>0</v>
      </c>
      <c r="AF5663">
        <v>0</v>
      </c>
      <c r="AG5663">
        <v>0</v>
      </c>
      <c r="AH5663">
        <v>0</v>
      </c>
      <c r="AI5663">
        <v>33.479999999999997</v>
      </c>
      <c r="AJ5663">
        <v>186</v>
      </c>
      <c r="AK5663">
        <v>0</v>
      </c>
      <c r="AL5663" t="s">
        <v>53</v>
      </c>
      <c r="AM5663" t="s">
        <v>53</v>
      </c>
      <c r="AN5663" t="s">
        <v>53</v>
      </c>
      <c r="AO5663" t="s">
        <v>53</v>
      </c>
      <c r="AP5663" t="s">
        <v>53</v>
      </c>
    </row>
    <row r="5664" spans="2:42" x14ac:dyDescent="0.2">
      <c r="B5664" t="s">
        <v>44</v>
      </c>
      <c r="C5664" t="str">
        <f>HYPERLINK("https://us2.cloudbeds.com/connect/8493803454333002#/reservations/9080486846390585?display=2Z3JTFHDG1&amp;reservation_id=9080486846390585", "2Z3JTFHDG1")</f>
        <v>2Z3JTFHDG1</v>
      </c>
      <c r="D5664" t="s">
        <v>45</v>
      </c>
      <c r="E5664" t="s">
        <v>10091</v>
      </c>
      <c r="F5664" t="s">
        <v>47</v>
      </c>
      <c r="G5664" t="s">
        <v>48</v>
      </c>
      <c r="H5664" t="s">
        <v>49</v>
      </c>
      <c r="I5664" t="s">
        <v>62</v>
      </c>
      <c r="J5664" t="s">
        <v>8686</v>
      </c>
      <c r="K5664" t="s">
        <v>5402</v>
      </c>
      <c r="L5664" t="s">
        <v>53</v>
      </c>
      <c r="N5664" t="s">
        <v>10092</v>
      </c>
      <c r="P5664" t="s">
        <v>55</v>
      </c>
      <c r="R5664" t="s">
        <v>56</v>
      </c>
      <c r="T5664" t="s">
        <v>10093</v>
      </c>
      <c r="U5664" t="s">
        <v>55</v>
      </c>
      <c r="V5664">
        <v>2</v>
      </c>
      <c r="W5664">
        <v>2</v>
      </c>
      <c r="X5664">
        <v>2</v>
      </c>
      <c r="Y5664">
        <v>0</v>
      </c>
      <c r="Z5664">
        <v>2</v>
      </c>
      <c r="AA5664">
        <v>360</v>
      </c>
      <c r="AB5664">
        <v>360</v>
      </c>
      <c r="AC5664">
        <v>360</v>
      </c>
      <c r="AD5664">
        <v>0</v>
      </c>
      <c r="AE5664">
        <v>0</v>
      </c>
      <c r="AF5664">
        <v>0</v>
      </c>
      <c r="AG5664">
        <v>0</v>
      </c>
      <c r="AH5664">
        <v>0</v>
      </c>
      <c r="AI5664">
        <v>64.8</v>
      </c>
      <c r="AJ5664">
        <v>360</v>
      </c>
      <c r="AK5664">
        <v>0</v>
      </c>
      <c r="AL5664" t="s">
        <v>53</v>
      </c>
      <c r="AM5664" t="s">
        <v>53</v>
      </c>
      <c r="AN5664" t="s">
        <v>53</v>
      </c>
      <c r="AO5664" t="s">
        <v>53</v>
      </c>
      <c r="AP5664" t="s">
        <v>53</v>
      </c>
    </row>
    <row r="5665" spans="2:42" x14ac:dyDescent="0.2">
      <c r="B5665" t="s">
        <v>44</v>
      </c>
      <c r="C5665" t="str">
        <f>HYPERLINK("https://us2.cloudbeds.com/connect/8493803454333002#/reservations/9080486846390588?display=2Z3JWATRHY&amp;reservation_id=9080486846390588", "2Z3JWATRHY")</f>
        <v>2Z3JWATRHY</v>
      </c>
      <c r="D5665" t="s">
        <v>45</v>
      </c>
      <c r="E5665" t="s">
        <v>185</v>
      </c>
      <c r="F5665" t="s">
        <v>47</v>
      </c>
      <c r="G5665" t="s">
        <v>48</v>
      </c>
      <c r="H5665" t="s">
        <v>49</v>
      </c>
      <c r="I5665" t="s">
        <v>62</v>
      </c>
      <c r="J5665" t="s">
        <v>8686</v>
      </c>
      <c r="K5665" t="s">
        <v>5402</v>
      </c>
      <c r="L5665" t="s">
        <v>53</v>
      </c>
      <c r="N5665" t="s">
        <v>10094</v>
      </c>
      <c r="P5665" t="s">
        <v>55</v>
      </c>
      <c r="R5665" t="s">
        <v>56</v>
      </c>
      <c r="T5665" t="s">
        <v>10095</v>
      </c>
      <c r="U5665" t="s">
        <v>55</v>
      </c>
      <c r="V5665">
        <v>1</v>
      </c>
      <c r="W5665">
        <v>1</v>
      </c>
      <c r="X5665">
        <v>2</v>
      </c>
      <c r="Y5665">
        <v>0</v>
      </c>
      <c r="Z5665">
        <v>2</v>
      </c>
      <c r="AA5665">
        <v>180</v>
      </c>
      <c r="AB5665">
        <v>180</v>
      </c>
      <c r="AC5665">
        <v>180</v>
      </c>
      <c r="AD5665">
        <v>0</v>
      </c>
      <c r="AE5665">
        <v>0</v>
      </c>
      <c r="AF5665">
        <v>0</v>
      </c>
      <c r="AG5665">
        <v>0</v>
      </c>
      <c r="AH5665">
        <v>0</v>
      </c>
      <c r="AI5665">
        <v>32.4</v>
      </c>
      <c r="AJ5665">
        <v>180</v>
      </c>
      <c r="AK5665">
        <v>0</v>
      </c>
      <c r="AL5665" t="s">
        <v>53</v>
      </c>
      <c r="AM5665" t="s">
        <v>53</v>
      </c>
      <c r="AN5665" t="s">
        <v>53</v>
      </c>
      <c r="AO5665" t="s">
        <v>53</v>
      </c>
      <c r="AP5665" t="s">
        <v>53</v>
      </c>
    </row>
    <row r="5666" spans="2:42" x14ac:dyDescent="0.2">
      <c r="B5666" t="s">
        <v>44</v>
      </c>
      <c r="C5666" t="str">
        <f>HYPERLINK("https://us2.cloudbeds.com/connect/8493803454333002#/reservations/9080486846391132?display=2Z4CW75PF2&amp;reservation_id=9080486846391132", "2Z4CW75PF2")</f>
        <v>2Z4CW75PF2</v>
      </c>
      <c r="D5666" t="s">
        <v>45</v>
      </c>
      <c r="E5666" t="s">
        <v>185</v>
      </c>
      <c r="F5666" t="s">
        <v>47</v>
      </c>
      <c r="G5666" t="s">
        <v>48</v>
      </c>
      <c r="H5666" t="s">
        <v>49</v>
      </c>
      <c r="I5666" t="s">
        <v>50</v>
      </c>
      <c r="J5666" t="s">
        <v>8713</v>
      </c>
      <c r="K5666" t="s">
        <v>7925</v>
      </c>
      <c r="L5666" t="s">
        <v>53</v>
      </c>
      <c r="N5666" t="s">
        <v>10096</v>
      </c>
      <c r="P5666" t="s">
        <v>55</v>
      </c>
      <c r="R5666" t="s">
        <v>53</v>
      </c>
      <c r="T5666" t="s">
        <v>10097</v>
      </c>
      <c r="U5666" t="s">
        <v>58</v>
      </c>
      <c r="V5666">
        <v>1</v>
      </c>
      <c r="W5666">
        <v>1</v>
      </c>
      <c r="X5666">
        <v>2</v>
      </c>
      <c r="Y5666">
        <v>0</v>
      </c>
      <c r="Z5666">
        <v>2</v>
      </c>
      <c r="AA5666">
        <v>198.21</v>
      </c>
      <c r="AB5666">
        <v>198.21</v>
      </c>
      <c r="AC5666">
        <v>174.4</v>
      </c>
      <c r="AD5666">
        <v>0</v>
      </c>
      <c r="AE5666">
        <v>23.81</v>
      </c>
      <c r="AF5666">
        <v>0</v>
      </c>
      <c r="AG5666">
        <v>0</v>
      </c>
      <c r="AH5666">
        <v>0</v>
      </c>
      <c r="AI5666">
        <v>35.68</v>
      </c>
      <c r="AJ5666">
        <v>198.21</v>
      </c>
      <c r="AK5666">
        <v>0</v>
      </c>
      <c r="AL5666" t="s">
        <v>53</v>
      </c>
      <c r="AM5666" t="s">
        <v>53</v>
      </c>
      <c r="AN5666" t="s">
        <v>53</v>
      </c>
      <c r="AO5666" t="s">
        <v>53</v>
      </c>
      <c r="AP5666" t="s">
        <v>53</v>
      </c>
    </row>
    <row r="5667" spans="2:42" x14ac:dyDescent="0.2">
      <c r="B5667" t="s">
        <v>44</v>
      </c>
      <c r="C5667" t="str">
        <f>HYPERLINK("https://us2.cloudbeds.com/connect/8493803454333002#/reservations/9080486846391148?display=2Z4DCMY1GE&amp;reservation_id=9080486846391148", "2Z4DCMY1GE")</f>
        <v>2Z4DCMY1GE</v>
      </c>
      <c r="D5667" t="s">
        <v>45</v>
      </c>
      <c r="E5667" t="s">
        <v>223</v>
      </c>
      <c r="F5667" t="s">
        <v>47</v>
      </c>
      <c r="G5667" t="s">
        <v>48</v>
      </c>
      <c r="H5667" t="s">
        <v>49</v>
      </c>
      <c r="I5667" t="s">
        <v>62</v>
      </c>
      <c r="J5667" t="s">
        <v>8594</v>
      </c>
      <c r="K5667" t="s">
        <v>7926</v>
      </c>
      <c r="L5667" t="s">
        <v>53</v>
      </c>
      <c r="N5667" t="s">
        <v>10098</v>
      </c>
      <c r="P5667" t="s">
        <v>55</v>
      </c>
      <c r="R5667" t="s">
        <v>56</v>
      </c>
      <c r="T5667" t="s">
        <v>10099</v>
      </c>
      <c r="U5667" t="s">
        <v>55</v>
      </c>
      <c r="V5667">
        <v>3</v>
      </c>
      <c r="W5667">
        <v>1</v>
      </c>
      <c r="X5667">
        <v>1</v>
      </c>
      <c r="Y5667">
        <v>0</v>
      </c>
      <c r="Z5667">
        <v>1</v>
      </c>
      <c r="AA5667">
        <v>642</v>
      </c>
      <c r="AB5667">
        <v>642</v>
      </c>
      <c r="AC5667">
        <v>642</v>
      </c>
      <c r="AD5667">
        <v>0</v>
      </c>
      <c r="AE5667">
        <v>0</v>
      </c>
      <c r="AF5667">
        <v>0</v>
      </c>
      <c r="AG5667">
        <v>0</v>
      </c>
      <c r="AH5667">
        <v>0</v>
      </c>
      <c r="AI5667">
        <v>115.56</v>
      </c>
      <c r="AJ5667">
        <v>642</v>
      </c>
      <c r="AK5667">
        <v>0</v>
      </c>
      <c r="AL5667" t="s">
        <v>53</v>
      </c>
      <c r="AM5667" t="s">
        <v>53</v>
      </c>
      <c r="AN5667" t="s">
        <v>53</v>
      </c>
      <c r="AO5667" t="s">
        <v>53</v>
      </c>
      <c r="AP5667" t="s">
        <v>53</v>
      </c>
    </row>
    <row r="5668" spans="2:42" x14ac:dyDescent="0.2">
      <c r="B5668" t="s">
        <v>44</v>
      </c>
      <c r="C5668" t="str">
        <f>HYPERLINK("https://us2.cloudbeds.com/connect/8493803454333002#/reservations/126766639194272?display=2Z4F0EW7JA&amp;reservation_id=126766639194272", "2Z4F0EW7JA")</f>
        <v>2Z4F0EW7JA</v>
      </c>
      <c r="D5668" t="s">
        <v>45</v>
      </c>
      <c r="E5668" t="s">
        <v>223</v>
      </c>
      <c r="F5668" t="s">
        <v>47</v>
      </c>
      <c r="G5668" t="s">
        <v>48</v>
      </c>
      <c r="H5668" t="s">
        <v>3957</v>
      </c>
      <c r="I5668" t="s">
        <v>3989</v>
      </c>
      <c r="J5668" t="s">
        <v>7905</v>
      </c>
      <c r="K5668" t="s">
        <v>7906</v>
      </c>
      <c r="L5668" t="s">
        <v>53</v>
      </c>
      <c r="P5668" t="s">
        <v>55</v>
      </c>
      <c r="R5668" t="s">
        <v>56</v>
      </c>
      <c r="T5668" t="s">
        <v>10100</v>
      </c>
      <c r="U5668" t="s">
        <v>58</v>
      </c>
      <c r="V5668">
        <v>1</v>
      </c>
      <c r="W5668">
        <v>1</v>
      </c>
      <c r="X5668">
        <v>1</v>
      </c>
      <c r="Y5668">
        <v>0</v>
      </c>
      <c r="Z5668">
        <v>1</v>
      </c>
      <c r="AA5668">
        <v>260.26</v>
      </c>
      <c r="AB5668">
        <v>260.26</v>
      </c>
      <c r="AC5668">
        <v>229</v>
      </c>
      <c r="AD5668">
        <v>0</v>
      </c>
      <c r="AE5668">
        <v>31.26</v>
      </c>
      <c r="AF5668">
        <v>0</v>
      </c>
      <c r="AG5668">
        <v>0</v>
      </c>
      <c r="AH5668">
        <v>0</v>
      </c>
      <c r="AI5668">
        <v>0</v>
      </c>
      <c r="AJ5668">
        <v>260.26</v>
      </c>
      <c r="AK5668">
        <v>0</v>
      </c>
      <c r="AL5668" t="s">
        <v>53</v>
      </c>
      <c r="AM5668" t="s">
        <v>53</v>
      </c>
      <c r="AN5668" t="s">
        <v>53</v>
      </c>
      <c r="AO5668" t="s">
        <v>53</v>
      </c>
      <c r="AP5668" t="s">
        <v>53</v>
      </c>
    </row>
    <row r="5669" spans="2:42" x14ac:dyDescent="0.2">
      <c r="B5669" t="s">
        <v>44</v>
      </c>
      <c r="C5669" t="str">
        <f>HYPERLINK("https://us2.cloudbeds.com/connect/8493803454333002#/reservations/9080486846391554?display=2Z54MWM6P2&amp;reservation_id=9080486846391554", "2Z54MWM6P2")</f>
        <v>2Z54MWM6P2</v>
      </c>
      <c r="D5669" t="s">
        <v>45</v>
      </c>
      <c r="E5669" t="s">
        <v>128</v>
      </c>
      <c r="F5669" t="s">
        <v>86</v>
      </c>
      <c r="G5669" t="s">
        <v>48</v>
      </c>
      <c r="H5669" t="s">
        <v>49</v>
      </c>
      <c r="I5669" t="s">
        <v>8964</v>
      </c>
      <c r="J5669" t="s">
        <v>8053</v>
      </c>
      <c r="K5669" t="s">
        <v>7803</v>
      </c>
      <c r="L5669" t="s">
        <v>53</v>
      </c>
      <c r="N5669" t="s">
        <v>10101</v>
      </c>
      <c r="P5669" t="s">
        <v>55</v>
      </c>
      <c r="R5669" t="s">
        <v>53</v>
      </c>
      <c r="T5669" t="s">
        <v>10102</v>
      </c>
      <c r="U5669" t="s">
        <v>58</v>
      </c>
      <c r="V5669">
        <v>1</v>
      </c>
      <c r="W5669">
        <v>1</v>
      </c>
      <c r="X5669">
        <v>2</v>
      </c>
      <c r="Y5669">
        <v>2</v>
      </c>
      <c r="Z5669">
        <v>4</v>
      </c>
      <c r="AA5669">
        <v>0</v>
      </c>
      <c r="AB5669">
        <v>0</v>
      </c>
      <c r="AC5669">
        <v>200</v>
      </c>
      <c r="AD5669">
        <v>0</v>
      </c>
      <c r="AE5669">
        <v>0</v>
      </c>
      <c r="AF5669">
        <v>0</v>
      </c>
      <c r="AG5669">
        <v>0</v>
      </c>
      <c r="AH5669">
        <v>0</v>
      </c>
      <c r="AI5669">
        <v>30</v>
      </c>
      <c r="AJ5669">
        <v>200</v>
      </c>
      <c r="AK5669">
        <v>200</v>
      </c>
      <c r="AL5669" t="s">
        <v>53</v>
      </c>
      <c r="AM5669" t="s">
        <v>53</v>
      </c>
      <c r="AN5669" t="s">
        <v>53</v>
      </c>
      <c r="AO5669" t="s">
        <v>53</v>
      </c>
      <c r="AP5669" t="s">
        <v>53</v>
      </c>
    </row>
    <row r="5670" spans="2:42" x14ac:dyDescent="0.2">
      <c r="B5670" t="s">
        <v>44</v>
      </c>
      <c r="C5670" t="str">
        <f>HYPERLINK("https://us2.cloudbeds.com/connect/8493803454333002#/reservations/9080486846393230?display=2Z7TYEUUZW&amp;reservation_id=9080486846393230", "2Z7TYEUUZW")</f>
        <v>2Z7TYEUUZW</v>
      </c>
      <c r="D5670" t="s">
        <v>45</v>
      </c>
      <c r="E5670" t="s">
        <v>165</v>
      </c>
      <c r="F5670" t="s">
        <v>61</v>
      </c>
      <c r="G5670" t="s">
        <v>48</v>
      </c>
      <c r="H5670" t="s">
        <v>49</v>
      </c>
      <c r="I5670" t="s">
        <v>50</v>
      </c>
      <c r="J5670" t="s">
        <v>7906</v>
      </c>
      <c r="K5670" t="s">
        <v>8594</v>
      </c>
      <c r="L5670" t="s">
        <v>53</v>
      </c>
      <c r="N5670" t="s">
        <v>10103</v>
      </c>
      <c r="P5670" t="s">
        <v>55</v>
      </c>
      <c r="R5670" t="s">
        <v>53</v>
      </c>
      <c r="T5670" t="s">
        <v>10104</v>
      </c>
      <c r="U5670" t="s">
        <v>58</v>
      </c>
      <c r="V5670">
        <v>1</v>
      </c>
      <c r="W5670">
        <v>1</v>
      </c>
      <c r="X5670">
        <v>2</v>
      </c>
      <c r="Y5670">
        <v>0</v>
      </c>
      <c r="Z5670">
        <v>2</v>
      </c>
      <c r="AA5670">
        <v>216.85</v>
      </c>
      <c r="AB5670">
        <v>216.85</v>
      </c>
      <c r="AC5670">
        <v>190.8</v>
      </c>
      <c r="AD5670">
        <v>0</v>
      </c>
      <c r="AE5670">
        <v>26.05</v>
      </c>
      <c r="AF5670">
        <v>0</v>
      </c>
      <c r="AG5670">
        <v>0</v>
      </c>
      <c r="AH5670">
        <v>0</v>
      </c>
      <c r="AI5670">
        <v>39.03</v>
      </c>
      <c r="AJ5670">
        <v>216.85</v>
      </c>
      <c r="AK5670">
        <v>0</v>
      </c>
      <c r="AL5670" t="s">
        <v>53</v>
      </c>
      <c r="AM5670" t="s">
        <v>53</v>
      </c>
      <c r="AN5670" t="s">
        <v>53</v>
      </c>
      <c r="AO5670" t="s">
        <v>53</v>
      </c>
      <c r="AP5670" t="s">
        <v>53</v>
      </c>
    </row>
    <row r="5671" spans="2:42" x14ac:dyDescent="0.2">
      <c r="B5671" t="s">
        <v>44</v>
      </c>
      <c r="C5671" t="str">
        <f>HYPERLINK("https://us2.cloudbeds.com/connect/8493803454333002#/reservations/9080486846394450?display=2Z94468MB7&amp;reservation_id=9080486846394450", "2Z94468MB7")</f>
        <v>2Z94468MB7</v>
      </c>
      <c r="D5671" t="s">
        <v>45</v>
      </c>
      <c r="E5671" t="s">
        <v>138</v>
      </c>
      <c r="F5671" t="s">
        <v>70</v>
      </c>
      <c r="G5671" t="s">
        <v>48</v>
      </c>
      <c r="H5671" t="s">
        <v>49</v>
      </c>
      <c r="I5671" t="s">
        <v>50</v>
      </c>
      <c r="J5671" t="s">
        <v>7906</v>
      </c>
      <c r="K5671" t="s">
        <v>8594</v>
      </c>
      <c r="L5671" t="s">
        <v>53</v>
      </c>
      <c r="N5671" t="s">
        <v>10105</v>
      </c>
      <c r="P5671" t="s">
        <v>55</v>
      </c>
      <c r="R5671" t="s">
        <v>53</v>
      </c>
      <c r="T5671" t="s">
        <v>10106</v>
      </c>
      <c r="U5671" t="s">
        <v>58</v>
      </c>
      <c r="V5671">
        <v>1</v>
      </c>
      <c r="W5671">
        <v>1</v>
      </c>
      <c r="X5671">
        <v>2</v>
      </c>
      <c r="Y5671">
        <v>0</v>
      </c>
      <c r="Z5671">
        <v>2</v>
      </c>
      <c r="AA5671">
        <v>191.28</v>
      </c>
      <c r="AB5671">
        <v>191.28</v>
      </c>
      <c r="AC5671">
        <v>168.3</v>
      </c>
      <c r="AD5671">
        <v>0</v>
      </c>
      <c r="AE5671">
        <v>22.98</v>
      </c>
      <c r="AF5671">
        <v>0</v>
      </c>
      <c r="AG5671">
        <v>0</v>
      </c>
      <c r="AH5671">
        <v>0</v>
      </c>
      <c r="AI5671">
        <v>34.43</v>
      </c>
      <c r="AJ5671">
        <v>191.28</v>
      </c>
      <c r="AK5671">
        <v>0</v>
      </c>
      <c r="AL5671" t="s">
        <v>53</v>
      </c>
      <c r="AM5671" t="s">
        <v>53</v>
      </c>
      <c r="AN5671" t="s">
        <v>53</v>
      </c>
      <c r="AO5671" t="s">
        <v>53</v>
      </c>
      <c r="AP5671" t="s">
        <v>53</v>
      </c>
    </row>
    <row r="5672" spans="2:42" x14ac:dyDescent="0.2">
      <c r="B5672" t="s">
        <v>44</v>
      </c>
      <c r="C5672" t="str">
        <f>HYPERLINK("https://us2.cloudbeds.com/connect/8493803454333002#/reservations/9080486846394958?display=2Z9M4R85A7&amp;reservation_id=9080486846394958", "2Z9M4R85A7")</f>
        <v>2Z9M4R85A7</v>
      </c>
      <c r="D5672" t="s">
        <v>45</v>
      </c>
      <c r="E5672" t="s">
        <v>487</v>
      </c>
      <c r="F5672" t="s">
        <v>61</v>
      </c>
      <c r="G5672" t="s">
        <v>48</v>
      </c>
      <c r="H5672" t="s">
        <v>49</v>
      </c>
      <c r="I5672" t="s">
        <v>50</v>
      </c>
      <c r="J5672" t="s">
        <v>7906</v>
      </c>
      <c r="K5672" t="s">
        <v>8594</v>
      </c>
      <c r="L5672" t="s">
        <v>53</v>
      </c>
      <c r="N5672" t="s">
        <v>10107</v>
      </c>
      <c r="P5672" t="s">
        <v>55</v>
      </c>
      <c r="R5672" t="s">
        <v>53</v>
      </c>
      <c r="T5672" t="s">
        <v>10108</v>
      </c>
      <c r="U5672" t="s">
        <v>58</v>
      </c>
      <c r="V5672">
        <v>1</v>
      </c>
      <c r="W5672">
        <v>1</v>
      </c>
      <c r="X5672">
        <v>2</v>
      </c>
      <c r="Y5672">
        <v>0</v>
      </c>
      <c r="Z5672">
        <v>2</v>
      </c>
      <c r="AA5672">
        <v>192.75</v>
      </c>
      <c r="AB5672">
        <v>192.75</v>
      </c>
      <c r="AC5672">
        <v>169.6</v>
      </c>
      <c r="AD5672">
        <v>0</v>
      </c>
      <c r="AE5672">
        <v>23.15</v>
      </c>
      <c r="AF5672">
        <v>0</v>
      </c>
      <c r="AG5672">
        <v>0</v>
      </c>
      <c r="AH5672">
        <v>0</v>
      </c>
      <c r="AI5672">
        <v>34.700000000000003</v>
      </c>
      <c r="AJ5672">
        <v>192.75</v>
      </c>
      <c r="AK5672">
        <v>0</v>
      </c>
      <c r="AL5672" t="s">
        <v>53</v>
      </c>
      <c r="AM5672" t="s">
        <v>53</v>
      </c>
      <c r="AN5672" t="s">
        <v>10109</v>
      </c>
      <c r="AO5672" t="s">
        <v>53</v>
      </c>
      <c r="AP5672" t="s">
        <v>53</v>
      </c>
    </row>
    <row r="5673" spans="2:42" x14ac:dyDescent="0.2">
      <c r="B5673" t="s">
        <v>44</v>
      </c>
      <c r="C5673" t="str">
        <f>HYPERLINK("https://us2.cloudbeds.com/connect/8493803454333002#/reservations/126988285202613?display=2Z9YY0P4MK&amp;reservation_id=126988285202613", "2Z9YY0P4MK")</f>
        <v>2Z9YY0P4MK</v>
      </c>
      <c r="D5673" t="s">
        <v>45</v>
      </c>
      <c r="E5673" t="s">
        <v>223</v>
      </c>
      <c r="F5673" t="s">
        <v>47</v>
      </c>
      <c r="G5673" t="s">
        <v>5966</v>
      </c>
      <c r="H5673" t="s">
        <v>3957</v>
      </c>
      <c r="I5673" t="s">
        <v>3975</v>
      </c>
      <c r="J5673" t="s">
        <v>8790</v>
      </c>
      <c r="K5673" t="s">
        <v>7802</v>
      </c>
      <c r="L5673" t="s">
        <v>53</v>
      </c>
      <c r="P5673" t="s">
        <v>55</v>
      </c>
      <c r="R5673" t="s">
        <v>53</v>
      </c>
      <c r="T5673" t="s">
        <v>10110</v>
      </c>
      <c r="U5673" t="s">
        <v>58</v>
      </c>
      <c r="V5673">
        <v>2</v>
      </c>
      <c r="W5673">
        <v>1</v>
      </c>
      <c r="X5673">
        <v>2</v>
      </c>
      <c r="Y5673">
        <v>0</v>
      </c>
      <c r="Z5673">
        <v>2</v>
      </c>
      <c r="AA5673">
        <v>358.22</v>
      </c>
      <c r="AB5673">
        <v>358.22</v>
      </c>
      <c r="AC5673">
        <v>315.2</v>
      </c>
      <c r="AD5673">
        <v>0</v>
      </c>
      <c r="AE5673">
        <v>43.02</v>
      </c>
      <c r="AF5673">
        <v>0</v>
      </c>
      <c r="AG5673">
        <v>0</v>
      </c>
      <c r="AH5673">
        <v>0</v>
      </c>
      <c r="AI5673">
        <v>0</v>
      </c>
      <c r="AJ5673">
        <v>358.22</v>
      </c>
      <c r="AK5673">
        <v>0</v>
      </c>
      <c r="AL5673" t="s">
        <v>53</v>
      </c>
      <c r="AM5673" t="s">
        <v>53</v>
      </c>
      <c r="AN5673" t="s">
        <v>53</v>
      </c>
      <c r="AO5673" t="s">
        <v>53</v>
      </c>
      <c r="AP5673" t="s">
        <v>53</v>
      </c>
    </row>
    <row r="5674" spans="2:42" x14ac:dyDescent="0.2">
      <c r="B5674" t="s">
        <v>44</v>
      </c>
      <c r="C5674" t="str">
        <f>HYPERLINK("https://us2.cloudbeds.com/connect/8493803454333002#/reservations/9080486846395053?display=2Z9P9ZFZH5&amp;reservation_id=9080486846395053", "2Z9P9ZFZH5")</f>
        <v>2Z9P9ZFZH5</v>
      </c>
      <c r="D5674" t="s">
        <v>45</v>
      </c>
      <c r="E5674" t="s">
        <v>69</v>
      </c>
      <c r="F5674" t="s">
        <v>70</v>
      </c>
      <c r="G5674" t="s">
        <v>48</v>
      </c>
      <c r="H5674" t="s">
        <v>49</v>
      </c>
      <c r="I5674" t="s">
        <v>50</v>
      </c>
      <c r="J5674" t="s">
        <v>5743</v>
      </c>
      <c r="K5674" t="s">
        <v>5744</v>
      </c>
      <c r="L5674" t="s">
        <v>53</v>
      </c>
      <c r="N5674" t="s">
        <v>10111</v>
      </c>
      <c r="P5674" t="s">
        <v>55</v>
      </c>
      <c r="R5674" t="s">
        <v>53</v>
      </c>
      <c r="T5674" t="s">
        <v>10112</v>
      </c>
      <c r="U5674" t="s">
        <v>58</v>
      </c>
      <c r="V5674">
        <v>2</v>
      </c>
      <c r="W5674">
        <v>1</v>
      </c>
      <c r="X5674">
        <v>2</v>
      </c>
      <c r="Y5674">
        <v>0</v>
      </c>
      <c r="Z5674">
        <v>2</v>
      </c>
      <c r="AA5674">
        <v>404.21</v>
      </c>
      <c r="AB5674">
        <v>404.21</v>
      </c>
      <c r="AC5674">
        <v>355.67</v>
      </c>
      <c r="AD5674">
        <v>0</v>
      </c>
      <c r="AE5674">
        <v>48.54</v>
      </c>
      <c r="AF5674">
        <v>0</v>
      </c>
      <c r="AG5674">
        <v>0</v>
      </c>
      <c r="AH5674">
        <v>0</v>
      </c>
      <c r="AI5674">
        <v>72.760000000000005</v>
      </c>
      <c r="AJ5674">
        <v>404.21</v>
      </c>
      <c r="AK5674">
        <v>0</v>
      </c>
      <c r="AL5674" t="s">
        <v>53</v>
      </c>
      <c r="AM5674" t="s">
        <v>53</v>
      </c>
      <c r="AN5674" t="s">
        <v>53</v>
      </c>
      <c r="AO5674" t="s">
        <v>53</v>
      </c>
      <c r="AP5674" t="s">
        <v>53</v>
      </c>
    </row>
    <row r="5675" spans="2:42" x14ac:dyDescent="0.2">
      <c r="B5675" t="s">
        <v>44</v>
      </c>
      <c r="C5675" t="str">
        <f>HYPERLINK("https://us2.cloudbeds.com/connect/8493803454333002#/reservations/127000677581015?display=2Z9V7MBB5S&amp;reservation_id=127000677581015", "2Z9V7MBB5S")</f>
        <v>2Z9V7MBB5S</v>
      </c>
      <c r="D5675" t="s">
        <v>45</v>
      </c>
      <c r="E5675" t="s">
        <v>179</v>
      </c>
      <c r="F5675" t="s">
        <v>47</v>
      </c>
      <c r="G5675" t="s">
        <v>48</v>
      </c>
      <c r="H5675" t="s">
        <v>3957</v>
      </c>
      <c r="I5675" t="s">
        <v>3975</v>
      </c>
      <c r="J5675" t="s">
        <v>7906</v>
      </c>
      <c r="K5675" t="s">
        <v>8594</v>
      </c>
      <c r="L5675" t="s">
        <v>53</v>
      </c>
      <c r="P5675" t="s">
        <v>55</v>
      </c>
      <c r="R5675" t="s">
        <v>53</v>
      </c>
      <c r="T5675" t="s">
        <v>10113</v>
      </c>
      <c r="U5675" t="s">
        <v>58</v>
      </c>
      <c r="V5675">
        <v>1</v>
      </c>
      <c r="W5675">
        <v>1</v>
      </c>
      <c r="X5675">
        <v>2</v>
      </c>
      <c r="Y5675">
        <v>0</v>
      </c>
      <c r="Z5675">
        <v>2</v>
      </c>
      <c r="AA5675">
        <v>226.17</v>
      </c>
      <c r="AB5675">
        <v>226.17</v>
      </c>
      <c r="AC5675">
        <v>199</v>
      </c>
      <c r="AD5675">
        <v>0</v>
      </c>
      <c r="AE5675">
        <v>27.17</v>
      </c>
      <c r="AF5675">
        <v>0</v>
      </c>
      <c r="AG5675">
        <v>0</v>
      </c>
      <c r="AH5675">
        <v>0</v>
      </c>
      <c r="AI5675">
        <v>0</v>
      </c>
      <c r="AJ5675">
        <v>226.17</v>
      </c>
      <c r="AK5675">
        <v>0</v>
      </c>
      <c r="AL5675" t="s">
        <v>53</v>
      </c>
      <c r="AM5675" t="s">
        <v>53</v>
      </c>
      <c r="AN5675" t="s">
        <v>53</v>
      </c>
      <c r="AO5675" t="s">
        <v>53</v>
      </c>
      <c r="AP5675" t="s">
        <v>53</v>
      </c>
    </row>
    <row r="5676" spans="2:42" x14ac:dyDescent="0.2">
      <c r="B5676" t="s">
        <v>44</v>
      </c>
      <c r="C5676" t="str">
        <f>HYPERLINK("https://us2.cloudbeds.com/connect/8493803454333002#/reservations/9080486846396654?display=2ZBYZQ4VZ5&amp;reservation_id=9080486846396654", "2ZBYZQ4VZ5")</f>
        <v>2ZBYZQ4VZ5</v>
      </c>
      <c r="D5676" t="s">
        <v>45</v>
      </c>
      <c r="E5676" t="s">
        <v>305</v>
      </c>
      <c r="F5676" t="s">
        <v>61</v>
      </c>
      <c r="G5676" t="s">
        <v>48</v>
      </c>
      <c r="H5676" t="s">
        <v>49</v>
      </c>
      <c r="I5676" t="s">
        <v>50</v>
      </c>
      <c r="J5676" t="s">
        <v>7293</v>
      </c>
      <c r="K5676" t="s">
        <v>7294</v>
      </c>
      <c r="L5676" t="s">
        <v>53</v>
      </c>
      <c r="N5676" t="s">
        <v>10114</v>
      </c>
      <c r="P5676" t="s">
        <v>55</v>
      </c>
      <c r="R5676" t="s">
        <v>53</v>
      </c>
      <c r="T5676" t="s">
        <v>10115</v>
      </c>
      <c r="U5676" t="s">
        <v>58</v>
      </c>
      <c r="V5676">
        <v>1</v>
      </c>
      <c r="W5676">
        <v>1</v>
      </c>
      <c r="X5676">
        <v>2</v>
      </c>
      <c r="Y5676">
        <v>0</v>
      </c>
      <c r="Z5676">
        <v>2</v>
      </c>
      <c r="AA5676">
        <v>193.21</v>
      </c>
      <c r="AB5676">
        <v>193.21</v>
      </c>
      <c r="AC5676">
        <v>170</v>
      </c>
      <c r="AD5676">
        <v>0</v>
      </c>
      <c r="AE5676">
        <v>23.21</v>
      </c>
      <c r="AF5676">
        <v>0</v>
      </c>
      <c r="AG5676">
        <v>0</v>
      </c>
      <c r="AH5676">
        <v>0</v>
      </c>
      <c r="AI5676">
        <v>34.78</v>
      </c>
      <c r="AJ5676">
        <v>193.21</v>
      </c>
      <c r="AK5676">
        <v>0</v>
      </c>
      <c r="AL5676" t="s">
        <v>53</v>
      </c>
      <c r="AM5676" t="s">
        <v>53</v>
      </c>
      <c r="AN5676" t="s">
        <v>53</v>
      </c>
      <c r="AO5676" t="s">
        <v>53</v>
      </c>
      <c r="AP5676" t="s">
        <v>53</v>
      </c>
    </row>
    <row r="5677" spans="2:42" x14ac:dyDescent="0.2">
      <c r="B5677" t="s">
        <v>44</v>
      </c>
      <c r="C5677" t="str">
        <f>HYPERLINK("https://us2.cloudbeds.com/connect/8493803454333002#/reservations/9080486846396824?display=2ZBS41A155&amp;reservation_id=9080486846396824", "2ZBS41A155")</f>
        <v>2ZBS41A155</v>
      </c>
      <c r="D5677" t="s">
        <v>45</v>
      </c>
      <c r="E5677" t="s">
        <v>69</v>
      </c>
      <c r="F5677" t="s">
        <v>70</v>
      </c>
      <c r="G5677" t="s">
        <v>48</v>
      </c>
      <c r="H5677" t="s">
        <v>49</v>
      </c>
      <c r="I5677" t="s">
        <v>50</v>
      </c>
      <c r="J5677" t="s">
        <v>9829</v>
      </c>
      <c r="K5677" t="s">
        <v>6828</v>
      </c>
      <c r="L5677" t="s">
        <v>53</v>
      </c>
      <c r="N5677" t="s">
        <v>10116</v>
      </c>
      <c r="P5677" t="s">
        <v>55</v>
      </c>
      <c r="R5677" t="s">
        <v>53</v>
      </c>
      <c r="T5677" t="s">
        <v>10117</v>
      </c>
      <c r="U5677" t="s">
        <v>58</v>
      </c>
      <c r="V5677">
        <v>2</v>
      </c>
      <c r="W5677">
        <v>1</v>
      </c>
      <c r="X5677">
        <v>2</v>
      </c>
      <c r="Y5677">
        <v>0</v>
      </c>
      <c r="Z5677">
        <v>2</v>
      </c>
      <c r="AA5677">
        <v>334.48</v>
      </c>
      <c r="AB5677">
        <v>334.48</v>
      </c>
      <c r="AC5677">
        <v>294.3</v>
      </c>
      <c r="AD5677">
        <v>0</v>
      </c>
      <c r="AE5677">
        <v>40.18</v>
      </c>
      <c r="AF5677">
        <v>0</v>
      </c>
      <c r="AG5677">
        <v>0</v>
      </c>
      <c r="AH5677">
        <v>0</v>
      </c>
      <c r="AI5677">
        <v>60.21</v>
      </c>
      <c r="AJ5677">
        <v>334.48</v>
      </c>
      <c r="AK5677">
        <v>0</v>
      </c>
      <c r="AL5677" t="s">
        <v>53</v>
      </c>
      <c r="AM5677" t="s">
        <v>53</v>
      </c>
      <c r="AN5677" t="s">
        <v>53</v>
      </c>
      <c r="AO5677" t="s">
        <v>53</v>
      </c>
      <c r="AP5677" t="s">
        <v>53</v>
      </c>
    </row>
    <row r="5678" spans="2:42" x14ac:dyDescent="0.2">
      <c r="B5678" t="s">
        <v>44</v>
      </c>
      <c r="C5678" t="str">
        <f>HYPERLINK("https://us2.cloudbeds.com/connect/8493803454333002#/reservations/9080486846396870?display=2ZBV83Q4TC&amp;reservation_id=9080486846396870", "2ZBV83Q4TC")</f>
        <v>2ZBV83Q4TC</v>
      </c>
      <c r="D5678" t="s">
        <v>45</v>
      </c>
      <c r="E5678" t="s">
        <v>305</v>
      </c>
      <c r="F5678" t="s">
        <v>61</v>
      </c>
      <c r="G5678" t="s">
        <v>48</v>
      </c>
      <c r="H5678" t="s">
        <v>49</v>
      </c>
      <c r="I5678" t="s">
        <v>50</v>
      </c>
      <c r="J5678" t="s">
        <v>7906</v>
      </c>
      <c r="K5678" t="s">
        <v>8594</v>
      </c>
      <c r="L5678" t="s">
        <v>53</v>
      </c>
      <c r="N5678" t="s">
        <v>10118</v>
      </c>
      <c r="P5678" t="s">
        <v>55</v>
      </c>
      <c r="R5678" t="s">
        <v>53</v>
      </c>
      <c r="T5678" t="s">
        <v>10119</v>
      </c>
      <c r="U5678" t="s">
        <v>58</v>
      </c>
      <c r="V5678">
        <v>1</v>
      </c>
      <c r="W5678">
        <v>1</v>
      </c>
      <c r="X5678">
        <v>1</v>
      </c>
      <c r="Y5678">
        <v>0</v>
      </c>
      <c r="Z5678">
        <v>1</v>
      </c>
      <c r="AA5678">
        <v>216.85</v>
      </c>
      <c r="AB5678">
        <v>216.85</v>
      </c>
      <c r="AC5678">
        <v>190.8</v>
      </c>
      <c r="AD5678">
        <v>0</v>
      </c>
      <c r="AE5678">
        <v>26.05</v>
      </c>
      <c r="AF5678">
        <v>0</v>
      </c>
      <c r="AG5678">
        <v>0</v>
      </c>
      <c r="AH5678">
        <v>0</v>
      </c>
      <c r="AI5678">
        <v>39.03</v>
      </c>
      <c r="AJ5678">
        <v>216.85</v>
      </c>
      <c r="AK5678">
        <v>0</v>
      </c>
      <c r="AL5678" t="s">
        <v>53</v>
      </c>
      <c r="AM5678" t="s">
        <v>53</v>
      </c>
      <c r="AN5678" t="s">
        <v>53</v>
      </c>
      <c r="AO5678" t="s">
        <v>53</v>
      </c>
      <c r="AP5678" t="s">
        <v>53</v>
      </c>
    </row>
    <row r="5679" spans="2:42" x14ac:dyDescent="0.2">
      <c r="B5679" t="s">
        <v>44</v>
      </c>
      <c r="C5679" t="str">
        <f>HYPERLINK("https://us2.cloudbeds.com/connect/8493803454333002#/reservations/127121806172305?display=2ZCQ0Q5V99&amp;reservation_id=127121806172305", "2ZCQ0Q5V99")</f>
        <v>2ZCQ0Q5V99</v>
      </c>
      <c r="D5679" t="s">
        <v>45</v>
      </c>
      <c r="E5679" t="s">
        <v>179</v>
      </c>
      <c r="F5679" t="s">
        <v>47</v>
      </c>
      <c r="G5679" t="s">
        <v>48</v>
      </c>
      <c r="H5679" t="s">
        <v>3957</v>
      </c>
      <c r="I5679" t="s">
        <v>3975</v>
      </c>
      <c r="J5679" t="s">
        <v>8594</v>
      </c>
      <c r="K5679" t="s">
        <v>7925</v>
      </c>
      <c r="L5679" t="s">
        <v>53</v>
      </c>
      <c r="P5679" t="s">
        <v>55</v>
      </c>
      <c r="R5679" t="s">
        <v>53</v>
      </c>
      <c r="T5679" t="s">
        <v>10120</v>
      </c>
      <c r="U5679" t="s">
        <v>58</v>
      </c>
      <c r="V5679">
        <v>2</v>
      </c>
      <c r="W5679">
        <v>1</v>
      </c>
      <c r="X5679">
        <v>2</v>
      </c>
      <c r="Y5679">
        <v>0</v>
      </c>
      <c r="Z5679">
        <v>2</v>
      </c>
      <c r="AA5679">
        <v>504.6</v>
      </c>
      <c r="AB5679">
        <v>504.6</v>
      </c>
      <c r="AC5679">
        <v>444</v>
      </c>
      <c r="AD5679">
        <v>0</v>
      </c>
      <c r="AE5679">
        <v>60.6</v>
      </c>
      <c r="AF5679">
        <v>0</v>
      </c>
      <c r="AG5679">
        <v>0</v>
      </c>
      <c r="AH5679">
        <v>0</v>
      </c>
      <c r="AI5679">
        <v>0</v>
      </c>
      <c r="AJ5679">
        <v>504.6</v>
      </c>
      <c r="AK5679">
        <v>0</v>
      </c>
      <c r="AL5679" t="s">
        <v>53</v>
      </c>
      <c r="AM5679" t="s">
        <v>53</v>
      </c>
      <c r="AN5679" t="s">
        <v>53</v>
      </c>
      <c r="AO5679" t="s">
        <v>53</v>
      </c>
      <c r="AP5679" t="s">
        <v>53</v>
      </c>
    </row>
    <row r="5680" spans="2:42" x14ac:dyDescent="0.2">
      <c r="B5680" t="s">
        <v>44</v>
      </c>
      <c r="C5680" t="str">
        <f>HYPERLINK("https://us2.cloudbeds.com/connect/8493803454333002#/reservations/9080486846397632?display=2ZD5CP606B&amp;reservation_id=9080486846397632", "2ZD5CP606B")</f>
        <v>2ZD5CP606B</v>
      </c>
      <c r="D5680" t="s">
        <v>45</v>
      </c>
      <c r="E5680" t="s">
        <v>46</v>
      </c>
      <c r="F5680" t="s">
        <v>47</v>
      </c>
      <c r="G5680" t="s">
        <v>7801</v>
      </c>
      <c r="H5680" t="s">
        <v>49</v>
      </c>
      <c r="I5680" t="s">
        <v>50</v>
      </c>
      <c r="J5680" t="s">
        <v>10121</v>
      </c>
      <c r="K5680" t="s">
        <v>6380</v>
      </c>
      <c r="L5680" t="s">
        <v>53</v>
      </c>
      <c r="N5680" t="s">
        <v>10122</v>
      </c>
      <c r="P5680" t="s">
        <v>55</v>
      </c>
      <c r="R5680" t="s">
        <v>53</v>
      </c>
      <c r="T5680" t="s">
        <v>10123</v>
      </c>
      <c r="U5680" t="s">
        <v>58</v>
      </c>
      <c r="V5680">
        <v>3</v>
      </c>
      <c r="W5680">
        <v>1</v>
      </c>
      <c r="X5680">
        <v>1</v>
      </c>
      <c r="Y5680">
        <v>0</v>
      </c>
      <c r="Z5680">
        <v>1</v>
      </c>
      <c r="AA5680">
        <v>570.77</v>
      </c>
      <c r="AB5680">
        <v>570.77</v>
      </c>
      <c r="AC5680">
        <v>502.2</v>
      </c>
      <c r="AD5680">
        <v>0</v>
      </c>
      <c r="AE5680">
        <v>68.569999999999993</v>
      </c>
      <c r="AF5680">
        <v>0</v>
      </c>
      <c r="AG5680">
        <v>0</v>
      </c>
      <c r="AH5680">
        <v>0</v>
      </c>
      <c r="AI5680">
        <v>102.74</v>
      </c>
      <c r="AJ5680">
        <v>570.77</v>
      </c>
      <c r="AK5680">
        <v>0</v>
      </c>
      <c r="AL5680" t="s">
        <v>53</v>
      </c>
      <c r="AM5680" t="s">
        <v>53</v>
      </c>
      <c r="AN5680" t="s">
        <v>53</v>
      </c>
      <c r="AO5680" t="s">
        <v>53</v>
      </c>
      <c r="AP5680" t="s">
        <v>53</v>
      </c>
    </row>
    <row r="5681" spans="2:42" x14ac:dyDescent="0.2">
      <c r="B5681" t="s">
        <v>44</v>
      </c>
      <c r="C5681" t="str">
        <f>HYPERLINK("https://us2.cloudbeds.com/connect/8493803454333002#/reservations/9080486846397659?display=2ZD6JR7SZA&amp;reservation_id=9080486846397659", "2ZD6JR7SZA")</f>
        <v>2ZD6JR7SZA</v>
      </c>
      <c r="D5681" t="s">
        <v>45</v>
      </c>
      <c r="E5681" t="s">
        <v>165</v>
      </c>
      <c r="F5681" t="s">
        <v>61</v>
      </c>
      <c r="G5681" t="s">
        <v>48</v>
      </c>
      <c r="H5681" t="s">
        <v>49</v>
      </c>
      <c r="I5681" t="s">
        <v>50</v>
      </c>
      <c r="J5681" t="s">
        <v>8594</v>
      </c>
      <c r="K5681" t="s">
        <v>8713</v>
      </c>
      <c r="L5681" t="s">
        <v>53</v>
      </c>
      <c r="N5681" t="s">
        <v>10124</v>
      </c>
      <c r="P5681" t="s">
        <v>55</v>
      </c>
      <c r="R5681" t="s">
        <v>53</v>
      </c>
      <c r="T5681" t="s">
        <v>10125</v>
      </c>
      <c r="U5681" t="s">
        <v>58</v>
      </c>
      <c r="V5681">
        <v>1</v>
      </c>
      <c r="W5681">
        <v>1</v>
      </c>
      <c r="X5681">
        <v>2</v>
      </c>
      <c r="Y5681">
        <v>0</v>
      </c>
      <c r="Z5681">
        <v>2</v>
      </c>
      <c r="AA5681">
        <v>275.04000000000002</v>
      </c>
      <c r="AB5681">
        <v>275.04000000000002</v>
      </c>
      <c r="AC5681">
        <v>242</v>
      </c>
      <c r="AD5681">
        <v>0</v>
      </c>
      <c r="AE5681">
        <v>33.04</v>
      </c>
      <c r="AF5681">
        <v>0</v>
      </c>
      <c r="AG5681">
        <v>0</v>
      </c>
      <c r="AH5681">
        <v>0</v>
      </c>
      <c r="AI5681">
        <v>49.51</v>
      </c>
      <c r="AJ5681">
        <v>275.04000000000002</v>
      </c>
      <c r="AK5681">
        <v>0</v>
      </c>
      <c r="AL5681" t="s">
        <v>53</v>
      </c>
      <c r="AM5681" t="s">
        <v>53</v>
      </c>
      <c r="AN5681" t="s">
        <v>53</v>
      </c>
      <c r="AO5681" t="s">
        <v>53</v>
      </c>
      <c r="AP5681" t="s">
        <v>53</v>
      </c>
    </row>
    <row r="5682" spans="2:42" x14ac:dyDescent="0.2">
      <c r="B5682" t="s">
        <v>44</v>
      </c>
      <c r="C5682" t="str">
        <f>HYPERLINK("https://us2.cloudbeds.com/connect/8493803454333002#/reservations/9080486846397904?display=2ZDYJ4K38B&amp;reservation_id=9080486846397904", "2ZDYJ4K38B")</f>
        <v>2ZDYJ4K38B</v>
      </c>
      <c r="D5682" t="s">
        <v>45</v>
      </c>
      <c r="E5682" t="s">
        <v>85</v>
      </c>
      <c r="F5682" t="s">
        <v>86</v>
      </c>
      <c r="G5682" t="s">
        <v>48</v>
      </c>
      <c r="H5682" t="s">
        <v>49</v>
      </c>
      <c r="I5682" t="s">
        <v>50</v>
      </c>
      <c r="J5682" t="s">
        <v>8790</v>
      </c>
      <c r="K5682" t="s">
        <v>8261</v>
      </c>
      <c r="L5682" t="s">
        <v>53</v>
      </c>
      <c r="N5682" t="s">
        <v>10126</v>
      </c>
      <c r="P5682" t="s">
        <v>55</v>
      </c>
      <c r="R5682" t="s">
        <v>53</v>
      </c>
      <c r="T5682" t="s">
        <v>10127</v>
      </c>
      <c r="U5682" t="s">
        <v>58</v>
      </c>
      <c r="V5682">
        <v>1</v>
      </c>
      <c r="W5682">
        <v>1</v>
      </c>
      <c r="X5682">
        <v>2</v>
      </c>
      <c r="Y5682">
        <v>0</v>
      </c>
      <c r="Z5682">
        <v>2</v>
      </c>
      <c r="AA5682">
        <v>194.17</v>
      </c>
      <c r="AB5682">
        <v>194.17</v>
      </c>
      <c r="AC5682">
        <v>170.85</v>
      </c>
      <c r="AD5682">
        <v>0</v>
      </c>
      <c r="AE5682">
        <v>23.32</v>
      </c>
      <c r="AF5682">
        <v>0</v>
      </c>
      <c r="AG5682">
        <v>0</v>
      </c>
      <c r="AH5682">
        <v>0</v>
      </c>
      <c r="AI5682">
        <v>34.950000000000003</v>
      </c>
      <c r="AJ5682">
        <v>194.17</v>
      </c>
      <c r="AK5682">
        <v>0</v>
      </c>
      <c r="AL5682" t="s">
        <v>53</v>
      </c>
      <c r="AM5682" t="s">
        <v>53</v>
      </c>
      <c r="AN5682" t="s">
        <v>53</v>
      </c>
      <c r="AO5682" t="s">
        <v>53</v>
      </c>
      <c r="AP5682" t="s">
        <v>53</v>
      </c>
    </row>
    <row r="5683" spans="2:42" x14ac:dyDescent="0.2">
      <c r="B5683" t="s">
        <v>44</v>
      </c>
      <c r="C5683" t="str">
        <f>HYPERLINK("https://us2.cloudbeds.com/connect/8493803454333002#/reservations/9080486846397905?display=2ZDYDKB9JA&amp;reservation_id=9080486846397905", "2ZDYDKB9JA")</f>
        <v>2ZDYDKB9JA</v>
      </c>
      <c r="D5683" t="s">
        <v>45</v>
      </c>
      <c r="E5683" t="s">
        <v>213</v>
      </c>
      <c r="F5683" t="s">
        <v>86</v>
      </c>
      <c r="G5683" t="s">
        <v>48</v>
      </c>
      <c r="H5683" t="s">
        <v>49</v>
      </c>
      <c r="I5683" t="s">
        <v>50</v>
      </c>
      <c r="J5683" t="s">
        <v>8790</v>
      </c>
      <c r="K5683" t="s">
        <v>8261</v>
      </c>
      <c r="L5683" t="s">
        <v>53</v>
      </c>
      <c r="N5683" t="s">
        <v>10128</v>
      </c>
      <c r="P5683" t="s">
        <v>55</v>
      </c>
      <c r="R5683" t="s">
        <v>53</v>
      </c>
      <c r="T5683" t="s">
        <v>10129</v>
      </c>
      <c r="U5683" t="s">
        <v>58</v>
      </c>
      <c r="V5683">
        <v>1</v>
      </c>
      <c r="W5683">
        <v>1</v>
      </c>
      <c r="X5683">
        <v>2</v>
      </c>
      <c r="Y5683">
        <v>0</v>
      </c>
      <c r="Z5683">
        <v>2</v>
      </c>
      <c r="AA5683">
        <v>194.17</v>
      </c>
      <c r="AB5683">
        <v>194.17</v>
      </c>
      <c r="AC5683">
        <v>170.85</v>
      </c>
      <c r="AD5683">
        <v>0</v>
      </c>
      <c r="AE5683">
        <v>23.32</v>
      </c>
      <c r="AF5683">
        <v>0</v>
      </c>
      <c r="AG5683">
        <v>0</v>
      </c>
      <c r="AH5683">
        <v>0</v>
      </c>
      <c r="AI5683">
        <v>34.950000000000003</v>
      </c>
      <c r="AJ5683">
        <v>194.17</v>
      </c>
      <c r="AK5683">
        <v>0</v>
      </c>
      <c r="AL5683" t="s">
        <v>53</v>
      </c>
      <c r="AM5683" t="s">
        <v>53</v>
      </c>
      <c r="AN5683" t="s">
        <v>53</v>
      </c>
      <c r="AO5683" t="s">
        <v>53</v>
      </c>
      <c r="AP5683" t="s">
        <v>53</v>
      </c>
    </row>
    <row r="5684" spans="2:42" x14ac:dyDescent="0.2">
      <c r="B5684" t="s">
        <v>44</v>
      </c>
      <c r="C5684" t="str">
        <f>HYPERLINK("https://us2.cloudbeds.com/connect/8493803454333002#/reservations/9080486846398948?display=2ZFHK03N6B&amp;reservation_id=9080486846398948", "2ZFHK03N6B")</f>
        <v>2ZFHK03N6B</v>
      </c>
      <c r="D5684" t="s">
        <v>45</v>
      </c>
      <c r="E5684" t="s">
        <v>113</v>
      </c>
      <c r="F5684" t="s">
        <v>61</v>
      </c>
      <c r="G5684" t="s">
        <v>48</v>
      </c>
      <c r="H5684" t="s">
        <v>49</v>
      </c>
      <c r="I5684" t="s">
        <v>50</v>
      </c>
      <c r="J5684" t="s">
        <v>8594</v>
      </c>
      <c r="K5684" t="s">
        <v>8713</v>
      </c>
      <c r="L5684" t="s">
        <v>53</v>
      </c>
      <c r="N5684" t="s">
        <v>10130</v>
      </c>
      <c r="P5684" t="s">
        <v>55</v>
      </c>
      <c r="R5684" t="s">
        <v>53</v>
      </c>
      <c r="T5684" t="s">
        <v>10131</v>
      </c>
      <c r="U5684" t="s">
        <v>58</v>
      </c>
      <c r="V5684">
        <v>1</v>
      </c>
      <c r="W5684">
        <v>1</v>
      </c>
      <c r="X5684">
        <v>1</v>
      </c>
      <c r="Y5684">
        <v>0</v>
      </c>
      <c r="Z5684">
        <v>1</v>
      </c>
      <c r="AA5684">
        <v>242.43</v>
      </c>
      <c r="AB5684">
        <v>242.43</v>
      </c>
      <c r="AC5684">
        <v>213.3</v>
      </c>
      <c r="AD5684">
        <v>0</v>
      </c>
      <c r="AE5684">
        <v>29.13</v>
      </c>
      <c r="AF5684">
        <v>0</v>
      </c>
      <c r="AG5684">
        <v>0</v>
      </c>
      <c r="AH5684">
        <v>0</v>
      </c>
      <c r="AI5684">
        <v>43.64</v>
      </c>
      <c r="AJ5684">
        <v>242.43</v>
      </c>
      <c r="AK5684">
        <v>0</v>
      </c>
      <c r="AL5684" t="s">
        <v>53</v>
      </c>
      <c r="AM5684" t="s">
        <v>53</v>
      </c>
      <c r="AN5684" t="s">
        <v>53</v>
      </c>
      <c r="AO5684" t="s">
        <v>53</v>
      </c>
      <c r="AP5684" t="s">
        <v>53</v>
      </c>
    </row>
    <row r="5685" spans="2:42" x14ac:dyDescent="0.2">
      <c r="B5685" t="s">
        <v>44</v>
      </c>
      <c r="C5685" t="str">
        <f>HYPERLINK("https://us2.cloudbeds.com/connect/8493803454333002#/reservations/9080486846399365?display=2ZG33VC6HY&amp;reservation_id=9080486846399365", "2ZG33VC6HY")</f>
        <v>2ZG33VC6HY</v>
      </c>
      <c r="D5685" t="s">
        <v>45</v>
      </c>
      <c r="E5685" t="s">
        <v>223</v>
      </c>
      <c r="F5685" t="s">
        <v>47</v>
      </c>
      <c r="G5685" t="s">
        <v>48</v>
      </c>
      <c r="H5685" t="s">
        <v>49</v>
      </c>
      <c r="I5685" t="s">
        <v>50</v>
      </c>
      <c r="J5685" t="s">
        <v>8871</v>
      </c>
      <c r="K5685" t="s">
        <v>8790</v>
      </c>
      <c r="L5685" t="s">
        <v>53</v>
      </c>
      <c r="N5685" t="s">
        <v>10132</v>
      </c>
      <c r="P5685" t="s">
        <v>55</v>
      </c>
      <c r="R5685" t="s">
        <v>53</v>
      </c>
      <c r="T5685" t="s">
        <v>10133</v>
      </c>
      <c r="U5685" t="s">
        <v>58</v>
      </c>
      <c r="V5685">
        <v>1</v>
      </c>
      <c r="W5685">
        <v>1</v>
      </c>
      <c r="X5685">
        <v>2</v>
      </c>
      <c r="Y5685">
        <v>0</v>
      </c>
      <c r="Z5685">
        <v>2</v>
      </c>
      <c r="AA5685">
        <v>199.45</v>
      </c>
      <c r="AB5685">
        <v>199.45</v>
      </c>
      <c r="AC5685">
        <v>175.5</v>
      </c>
      <c r="AD5685">
        <v>0</v>
      </c>
      <c r="AE5685">
        <v>23.95</v>
      </c>
      <c r="AF5685">
        <v>0</v>
      </c>
      <c r="AG5685">
        <v>0</v>
      </c>
      <c r="AH5685">
        <v>0</v>
      </c>
      <c r="AI5685">
        <v>35.9</v>
      </c>
      <c r="AJ5685">
        <v>199.45</v>
      </c>
      <c r="AK5685">
        <v>0</v>
      </c>
      <c r="AL5685" t="s">
        <v>53</v>
      </c>
      <c r="AM5685" t="s">
        <v>53</v>
      </c>
      <c r="AN5685" t="s">
        <v>53</v>
      </c>
      <c r="AO5685" t="s">
        <v>53</v>
      </c>
      <c r="AP5685" t="s">
        <v>53</v>
      </c>
    </row>
    <row r="5686" spans="2:42" x14ac:dyDescent="0.2">
      <c r="B5686" t="s">
        <v>44</v>
      </c>
      <c r="C5686" t="str">
        <f>HYPERLINK("https://us2.cloudbeds.com/connect/8493803454333002#/reservations/127275301245169?display=2ZGCSV9KDY&amp;reservation_id=127275301245169", "2ZGCSV9KDY")</f>
        <v>2ZGCSV9KDY</v>
      </c>
      <c r="D5686" t="s">
        <v>45</v>
      </c>
      <c r="E5686" t="s">
        <v>155</v>
      </c>
      <c r="F5686" t="s">
        <v>86</v>
      </c>
      <c r="G5686" t="s">
        <v>4520</v>
      </c>
      <c r="H5686" t="s">
        <v>3957</v>
      </c>
      <c r="I5686" t="s">
        <v>3958</v>
      </c>
      <c r="J5686" t="s">
        <v>8249</v>
      </c>
      <c r="K5686" t="s">
        <v>8871</v>
      </c>
      <c r="L5686" t="s">
        <v>53</v>
      </c>
      <c r="P5686" t="s">
        <v>55</v>
      </c>
      <c r="R5686" t="s">
        <v>56</v>
      </c>
      <c r="T5686" t="s">
        <v>10134</v>
      </c>
      <c r="U5686" t="s">
        <v>58</v>
      </c>
      <c r="V5686">
        <v>1</v>
      </c>
      <c r="W5686">
        <v>1</v>
      </c>
      <c r="X5686">
        <v>1</v>
      </c>
      <c r="Y5686">
        <v>0</v>
      </c>
      <c r="Z5686">
        <v>1</v>
      </c>
      <c r="AA5686">
        <v>217.86</v>
      </c>
      <c r="AB5686">
        <v>217.86</v>
      </c>
      <c r="AC5686">
        <v>191.7</v>
      </c>
      <c r="AD5686">
        <v>0</v>
      </c>
      <c r="AE5686">
        <v>26.16</v>
      </c>
      <c r="AF5686">
        <v>0</v>
      </c>
      <c r="AG5686">
        <v>0</v>
      </c>
      <c r="AH5686">
        <v>0</v>
      </c>
      <c r="AI5686">
        <v>0</v>
      </c>
      <c r="AJ5686">
        <v>217.86</v>
      </c>
      <c r="AK5686">
        <v>0</v>
      </c>
      <c r="AL5686" t="s">
        <v>53</v>
      </c>
      <c r="AM5686" t="s">
        <v>53</v>
      </c>
      <c r="AN5686" t="s">
        <v>53</v>
      </c>
      <c r="AO5686" t="s">
        <v>53</v>
      </c>
      <c r="AP5686" t="s">
        <v>53</v>
      </c>
    </row>
    <row r="5687" spans="2:42" x14ac:dyDescent="0.2">
      <c r="B5687" t="s">
        <v>44</v>
      </c>
      <c r="C5687" t="str">
        <f>HYPERLINK("https://us2.cloudbeds.com/connect/8493803454333002#/reservations/9080486846400408?display=2ZH6T02V14&amp;reservation_id=9080486846400408", "2ZH6T02V14")</f>
        <v>2ZH6T02V14</v>
      </c>
      <c r="D5687" t="s">
        <v>45</v>
      </c>
      <c r="E5687" t="s">
        <v>78</v>
      </c>
      <c r="F5687" t="s">
        <v>61</v>
      </c>
      <c r="G5687" t="s">
        <v>48</v>
      </c>
      <c r="H5687" t="s">
        <v>49</v>
      </c>
      <c r="I5687" t="s">
        <v>50</v>
      </c>
      <c r="J5687" t="s">
        <v>8911</v>
      </c>
      <c r="K5687" t="s">
        <v>8900</v>
      </c>
      <c r="L5687" t="s">
        <v>53</v>
      </c>
      <c r="N5687" t="s">
        <v>10135</v>
      </c>
      <c r="P5687" t="s">
        <v>55</v>
      </c>
      <c r="R5687" t="s">
        <v>53</v>
      </c>
      <c r="T5687" t="s">
        <v>10136</v>
      </c>
      <c r="U5687" t="s">
        <v>58</v>
      </c>
      <c r="V5687">
        <v>3</v>
      </c>
      <c r="W5687">
        <v>1</v>
      </c>
      <c r="X5687">
        <v>2</v>
      </c>
      <c r="Y5687">
        <v>0</v>
      </c>
      <c r="Z5687">
        <v>2</v>
      </c>
      <c r="AA5687">
        <v>620.98</v>
      </c>
      <c r="AB5687">
        <v>620.98</v>
      </c>
      <c r="AC5687">
        <v>546.4</v>
      </c>
      <c r="AD5687">
        <v>0</v>
      </c>
      <c r="AE5687">
        <v>74.58</v>
      </c>
      <c r="AF5687">
        <v>0</v>
      </c>
      <c r="AG5687">
        <v>0</v>
      </c>
      <c r="AH5687">
        <v>0</v>
      </c>
      <c r="AI5687">
        <v>111.78</v>
      </c>
      <c r="AJ5687">
        <v>620.98</v>
      </c>
      <c r="AK5687">
        <v>0</v>
      </c>
      <c r="AL5687" t="s">
        <v>53</v>
      </c>
      <c r="AM5687" t="s">
        <v>53</v>
      </c>
      <c r="AN5687" t="s">
        <v>53</v>
      </c>
      <c r="AO5687" t="s">
        <v>53</v>
      </c>
      <c r="AP5687" t="s">
        <v>53</v>
      </c>
    </row>
    <row r="5688" spans="2:42" x14ac:dyDescent="0.2">
      <c r="B5688" t="s">
        <v>44</v>
      </c>
      <c r="C5688" t="str">
        <f>HYPERLINK("https://us2.cloudbeds.com/connect/8493803454333002#/reservations/9080486846400412?display=2ZH72K182S&amp;reservation_id=9080486846400412", "2ZH72K182S")</f>
        <v>2ZH72K182S</v>
      </c>
      <c r="D5688" t="s">
        <v>45</v>
      </c>
      <c r="E5688" t="s">
        <v>128</v>
      </c>
      <c r="F5688" t="s">
        <v>86</v>
      </c>
      <c r="G5688" t="s">
        <v>48</v>
      </c>
      <c r="H5688" t="s">
        <v>49</v>
      </c>
      <c r="I5688" t="s">
        <v>50</v>
      </c>
      <c r="J5688" t="s">
        <v>10137</v>
      </c>
      <c r="K5688" t="s">
        <v>8865</v>
      </c>
      <c r="L5688" t="s">
        <v>53</v>
      </c>
      <c r="N5688" t="s">
        <v>10138</v>
      </c>
      <c r="P5688" t="s">
        <v>55</v>
      </c>
      <c r="R5688" t="s">
        <v>53</v>
      </c>
      <c r="T5688" t="s">
        <v>10139</v>
      </c>
      <c r="U5688" t="s">
        <v>58</v>
      </c>
      <c r="V5688">
        <v>1</v>
      </c>
      <c r="W5688">
        <v>1</v>
      </c>
      <c r="X5688">
        <v>2</v>
      </c>
      <c r="Y5688">
        <v>2</v>
      </c>
      <c r="Z5688">
        <v>4</v>
      </c>
      <c r="AA5688">
        <v>83.51</v>
      </c>
      <c r="AB5688">
        <v>83.51</v>
      </c>
      <c r="AC5688">
        <v>73.48</v>
      </c>
      <c r="AD5688">
        <v>0</v>
      </c>
      <c r="AE5688">
        <v>10.029999999999999</v>
      </c>
      <c r="AF5688">
        <v>0</v>
      </c>
      <c r="AG5688">
        <v>0</v>
      </c>
      <c r="AH5688">
        <v>0</v>
      </c>
      <c r="AI5688">
        <v>15.03</v>
      </c>
      <c r="AJ5688">
        <v>83.51</v>
      </c>
      <c r="AK5688">
        <v>0</v>
      </c>
      <c r="AL5688" t="s">
        <v>53</v>
      </c>
      <c r="AM5688" t="s">
        <v>53</v>
      </c>
      <c r="AN5688" t="s">
        <v>53</v>
      </c>
      <c r="AO5688" t="s">
        <v>53</v>
      </c>
      <c r="AP5688" t="s">
        <v>53</v>
      </c>
    </row>
    <row r="5689" spans="2:42" x14ac:dyDescent="0.2">
      <c r="B5689" t="s">
        <v>44</v>
      </c>
      <c r="C5689" t="str">
        <f>HYPERLINK("https://us2.cloudbeds.com/connect/8493803454333002#/reservations/9080486846400413?display=2ZH72Q9AEZ&amp;reservation_id=9080486846400413", "2ZH72Q9AEZ")</f>
        <v>2ZH72Q9AEZ</v>
      </c>
      <c r="D5689" t="s">
        <v>45</v>
      </c>
      <c r="E5689" t="s">
        <v>85</v>
      </c>
      <c r="F5689" t="s">
        <v>86</v>
      </c>
      <c r="G5689" t="s">
        <v>48</v>
      </c>
      <c r="H5689" t="s">
        <v>49</v>
      </c>
      <c r="I5689" t="s">
        <v>50</v>
      </c>
      <c r="J5689" t="s">
        <v>10137</v>
      </c>
      <c r="K5689" t="s">
        <v>8865</v>
      </c>
      <c r="L5689" t="s">
        <v>53</v>
      </c>
      <c r="N5689" t="s">
        <v>10140</v>
      </c>
      <c r="P5689" t="s">
        <v>55</v>
      </c>
      <c r="R5689" t="s">
        <v>53</v>
      </c>
      <c r="T5689" t="s">
        <v>10141</v>
      </c>
      <c r="U5689" t="s">
        <v>58</v>
      </c>
      <c r="V5689">
        <v>1</v>
      </c>
      <c r="W5689">
        <v>1</v>
      </c>
      <c r="X5689">
        <v>2</v>
      </c>
      <c r="Y5689">
        <v>0</v>
      </c>
      <c r="Z5689">
        <v>2</v>
      </c>
      <c r="AA5689">
        <v>83.51</v>
      </c>
      <c r="AB5689">
        <v>83.51</v>
      </c>
      <c r="AC5689">
        <v>73.48</v>
      </c>
      <c r="AD5689">
        <v>0</v>
      </c>
      <c r="AE5689">
        <v>10.029999999999999</v>
      </c>
      <c r="AF5689">
        <v>0</v>
      </c>
      <c r="AG5689">
        <v>0</v>
      </c>
      <c r="AH5689">
        <v>0</v>
      </c>
      <c r="AI5689">
        <v>15.03</v>
      </c>
      <c r="AJ5689">
        <v>83.51</v>
      </c>
      <c r="AK5689">
        <v>0</v>
      </c>
      <c r="AL5689" t="s">
        <v>53</v>
      </c>
      <c r="AM5689" t="s">
        <v>53</v>
      </c>
      <c r="AN5689" t="s">
        <v>53</v>
      </c>
      <c r="AO5689" t="s">
        <v>53</v>
      </c>
      <c r="AP5689" t="s">
        <v>53</v>
      </c>
    </row>
    <row r="5690" spans="2:42" x14ac:dyDescent="0.2">
      <c r="B5690" t="s">
        <v>44</v>
      </c>
      <c r="C5690" t="str">
        <f>HYPERLINK("https://us2.cloudbeds.com/connect/8493803454333002#/reservations/9080486846400603?display=2ZHD9ZEGXC&amp;reservation_id=9080486846400603", "2ZHD9ZEGXC")</f>
        <v>2ZHD9ZEGXC</v>
      </c>
      <c r="D5690" t="s">
        <v>45</v>
      </c>
      <c r="E5690" t="s">
        <v>105</v>
      </c>
      <c r="F5690" t="s">
        <v>47</v>
      </c>
      <c r="G5690" t="s">
        <v>48</v>
      </c>
      <c r="H5690" t="s">
        <v>49</v>
      </c>
      <c r="I5690" t="s">
        <v>50</v>
      </c>
      <c r="J5690" t="s">
        <v>6832</v>
      </c>
      <c r="K5690" t="s">
        <v>6379</v>
      </c>
      <c r="L5690" t="s">
        <v>53</v>
      </c>
      <c r="N5690" t="s">
        <v>10142</v>
      </c>
      <c r="P5690" t="s">
        <v>55</v>
      </c>
      <c r="R5690" t="s">
        <v>53</v>
      </c>
      <c r="T5690" t="s">
        <v>10143</v>
      </c>
      <c r="U5690" t="s">
        <v>58</v>
      </c>
      <c r="V5690">
        <v>2</v>
      </c>
      <c r="W5690">
        <v>1</v>
      </c>
      <c r="X5690">
        <v>2</v>
      </c>
      <c r="Y5690">
        <v>0</v>
      </c>
      <c r="Z5690">
        <v>2</v>
      </c>
      <c r="AA5690">
        <v>376.06</v>
      </c>
      <c r="AB5690">
        <v>376.06</v>
      </c>
      <c r="AC5690">
        <v>330.88</v>
      </c>
      <c r="AD5690">
        <v>0</v>
      </c>
      <c r="AE5690">
        <v>45.18</v>
      </c>
      <c r="AF5690">
        <v>0</v>
      </c>
      <c r="AG5690">
        <v>0</v>
      </c>
      <c r="AH5690">
        <v>0</v>
      </c>
      <c r="AI5690">
        <v>67.69</v>
      </c>
      <c r="AJ5690">
        <v>376.06</v>
      </c>
      <c r="AK5690">
        <v>0</v>
      </c>
      <c r="AL5690" t="s">
        <v>53</v>
      </c>
      <c r="AM5690" t="s">
        <v>53</v>
      </c>
      <c r="AN5690" t="s">
        <v>53</v>
      </c>
      <c r="AO5690" t="s">
        <v>53</v>
      </c>
      <c r="AP5690" t="s">
        <v>53</v>
      </c>
    </row>
    <row r="5691" spans="2:42" x14ac:dyDescent="0.2">
      <c r="B5691" t="s">
        <v>44</v>
      </c>
      <c r="C5691" t="str">
        <f>HYPERLINK("https://us2.cloudbeds.com/connect/8493803454333002#/reservations/127342110929107?display=2ZHVK2WXEX&amp;reservation_id=127342110929107", "2ZHVK2WXEX")</f>
        <v>2ZHVK2WXEX</v>
      </c>
      <c r="D5691" t="s">
        <v>45</v>
      </c>
      <c r="E5691" t="s">
        <v>46</v>
      </c>
      <c r="F5691" t="s">
        <v>47</v>
      </c>
      <c r="G5691" t="s">
        <v>7801</v>
      </c>
      <c r="H5691" t="s">
        <v>3957</v>
      </c>
      <c r="I5691" t="s">
        <v>3958</v>
      </c>
      <c r="J5691" t="s">
        <v>8713</v>
      </c>
      <c r="K5691" t="s">
        <v>7925</v>
      </c>
      <c r="L5691" t="s">
        <v>53</v>
      </c>
      <c r="P5691" t="s">
        <v>55</v>
      </c>
      <c r="R5691" t="s">
        <v>56</v>
      </c>
      <c r="T5691" t="s">
        <v>10144</v>
      </c>
      <c r="U5691" t="s">
        <v>58</v>
      </c>
      <c r="V5691">
        <v>1</v>
      </c>
      <c r="W5691">
        <v>1</v>
      </c>
      <c r="X5691">
        <v>1</v>
      </c>
      <c r="Y5691">
        <v>0</v>
      </c>
      <c r="Z5691">
        <v>1</v>
      </c>
      <c r="AA5691">
        <v>228.09</v>
      </c>
      <c r="AB5691">
        <v>228.09</v>
      </c>
      <c r="AC5691">
        <v>200.7</v>
      </c>
      <c r="AD5691">
        <v>0</v>
      </c>
      <c r="AE5691">
        <v>27.39</v>
      </c>
      <c r="AF5691">
        <v>0</v>
      </c>
      <c r="AG5691">
        <v>0</v>
      </c>
      <c r="AH5691">
        <v>0</v>
      </c>
      <c r="AI5691">
        <v>0</v>
      </c>
      <c r="AJ5691">
        <v>228.09</v>
      </c>
      <c r="AK5691">
        <v>0</v>
      </c>
      <c r="AL5691" t="s">
        <v>53</v>
      </c>
      <c r="AM5691" t="s">
        <v>53</v>
      </c>
      <c r="AN5691" t="s">
        <v>53</v>
      </c>
      <c r="AO5691" t="s">
        <v>53</v>
      </c>
      <c r="AP5691" t="s">
        <v>53</v>
      </c>
    </row>
    <row r="5692" spans="2:42" x14ac:dyDescent="0.2">
      <c r="B5692" t="s">
        <v>44</v>
      </c>
      <c r="C5692" t="str">
        <f>HYPERLINK("https://us2.cloudbeds.com/connect/8493803454333002#/reservations/9080486846401642?display=2ZXHWY5MQH&amp;reservation_id=9080486846401642", "2ZXHWY5MQH")</f>
        <v>2ZXHWY5MQH</v>
      </c>
      <c r="D5692" t="s">
        <v>45</v>
      </c>
      <c r="E5692" t="s">
        <v>92</v>
      </c>
      <c r="F5692" t="s">
        <v>86</v>
      </c>
      <c r="G5692" t="s">
        <v>48</v>
      </c>
      <c r="H5692" t="s">
        <v>49</v>
      </c>
      <c r="I5692" t="s">
        <v>50</v>
      </c>
      <c r="J5692" t="s">
        <v>8249</v>
      </c>
      <c r="K5692" t="s">
        <v>7802</v>
      </c>
      <c r="L5692" t="s">
        <v>53</v>
      </c>
      <c r="N5692" t="s">
        <v>10145</v>
      </c>
      <c r="P5692" t="s">
        <v>55</v>
      </c>
      <c r="R5692" t="s">
        <v>53</v>
      </c>
      <c r="T5692" t="s">
        <v>10146</v>
      </c>
      <c r="U5692" t="s">
        <v>58</v>
      </c>
      <c r="V5692">
        <v>4</v>
      </c>
      <c r="W5692">
        <v>1</v>
      </c>
      <c r="X5692">
        <v>3</v>
      </c>
      <c r="Y5692">
        <v>0</v>
      </c>
      <c r="Z5692">
        <v>3</v>
      </c>
      <c r="AA5692">
        <v>880.67</v>
      </c>
      <c r="AB5692">
        <v>880.67</v>
      </c>
      <c r="AC5692">
        <v>774.9</v>
      </c>
      <c r="AD5692">
        <v>0</v>
      </c>
      <c r="AE5692">
        <v>105.77</v>
      </c>
      <c r="AF5692">
        <v>0</v>
      </c>
      <c r="AG5692">
        <v>0</v>
      </c>
      <c r="AH5692">
        <v>0</v>
      </c>
      <c r="AI5692">
        <v>158.52000000000001</v>
      </c>
      <c r="AJ5692">
        <v>880.67</v>
      </c>
      <c r="AK5692">
        <v>0</v>
      </c>
      <c r="AL5692" t="s">
        <v>53</v>
      </c>
      <c r="AM5692" t="s">
        <v>53</v>
      </c>
      <c r="AN5692" t="s">
        <v>53</v>
      </c>
      <c r="AO5692" t="s">
        <v>53</v>
      </c>
      <c r="AP5692" t="s">
        <v>53</v>
      </c>
    </row>
    <row r="5693" spans="2:42" x14ac:dyDescent="0.2">
      <c r="B5693" t="s">
        <v>44</v>
      </c>
      <c r="C5693" t="str">
        <f>HYPERLINK("https://us2.cloudbeds.com/connect/8493803454333002#/reservations/127380940673278?display=2ZXSM98E5R&amp;reservation_id=127380940673278", "2ZXSM98E5R")</f>
        <v>2ZXSM98E5R</v>
      </c>
      <c r="D5693" t="s">
        <v>45</v>
      </c>
      <c r="E5693" t="s">
        <v>113</v>
      </c>
      <c r="F5693" t="s">
        <v>61</v>
      </c>
      <c r="G5693" t="s">
        <v>48</v>
      </c>
      <c r="H5693" t="s">
        <v>3957</v>
      </c>
      <c r="I5693" t="s">
        <v>3975</v>
      </c>
      <c r="J5693" t="s">
        <v>7089</v>
      </c>
      <c r="K5693" t="s">
        <v>9928</v>
      </c>
      <c r="L5693" t="s">
        <v>53</v>
      </c>
      <c r="P5693" t="s">
        <v>55</v>
      </c>
      <c r="R5693" t="s">
        <v>53</v>
      </c>
      <c r="T5693" t="s">
        <v>10147</v>
      </c>
      <c r="U5693" t="s">
        <v>58</v>
      </c>
      <c r="V5693">
        <v>2</v>
      </c>
      <c r="W5693">
        <v>1</v>
      </c>
      <c r="X5693">
        <v>2</v>
      </c>
      <c r="Y5693">
        <v>0</v>
      </c>
      <c r="Z5693">
        <v>2</v>
      </c>
      <c r="AA5693">
        <v>506.89</v>
      </c>
      <c r="AB5693">
        <v>506.89</v>
      </c>
      <c r="AC5693">
        <v>446</v>
      </c>
      <c r="AD5693">
        <v>0</v>
      </c>
      <c r="AE5693">
        <v>60.89</v>
      </c>
      <c r="AF5693">
        <v>0</v>
      </c>
      <c r="AG5693">
        <v>0</v>
      </c>
      <c r="AH5693">
        <v>0</v>
      </c>
      <c r="AI5693">
        <v>0</v>
      </c>
      <c r="AJ5693">
        <v>506.89</v>
      </c>
      <c r="AK5693">
        <v>0</v>
      </c>
      <c r="AL5693" t="s">
        <v>53</v>
      </c>
      <c r="AM5693" t="s">
        <v>53</v>
      </c>
      <c r="AN5693" t="s">
        <v>53</v>
      </c>
      <c r="AO5693" t="s">
        <v>53</v>
      </c>
      <c r="AP5693" t="s">
        <v>53</v>
      </c>
    </row>
    <row r="5694" spans="2:42" x14ac:dyDescent="0.2">
      <c r="B5694" t="s">
        <v>44</v>
      </c>
      <c r="C5694" t="str">
        <f>HYPERLINK("https://us2.cloudbeds.com/connect/8493803454333002#/reservations/9080486846402221?display=2ZJ7M37UN0&amp;reservation_id=9080486846402221", "2ZJ7M37UN0")</f>
        <v>2ZJ7M37UN0</v>
      </c>
      <c r="D5694" t="s">
        <v>45</v>
      </c>
      <c r="E5694" t="s">
        <v>138</v>
      </c>
      <c r="F5694" t="s">
        <v>70</v>
      </c>
      <c r="G5694" t="s">
        <v>48</v>
      </c>
      <c r="H5694" t="s">
        <v>49</v>
      </c>
      <c r="I5694" t="s">
        <v>50</v>
      </c>
      <c r="J5694" t="s">
        <v>7925</v>
      </c>
      <c r="K5694" t="s">
        <v>7926</v>
      </c>
      <c r="L5694" t="s">
        <v>53</v>
      </c>
      <c r="N5694" t="s">
        <v>10148</v>
      </c>
      <c r="P5694" t="s">
        <v>55</v>
      </c>
      <c r="R5694" t="s">
        <v>53</v>
      </c>
      <c r="T5694" t="s">
        <v>10149</v>
      </c>
      <c r="U5694" t="s">
        <v>58</v>
      </c>
      <c r="V5694">
        <v>1</v>
      </c>
      <c r="W5694">
        <v>1</v>
      </c>
      <c r="X5694">
        <v>2</v>
      </c>
      <c r="Y5694">
        <v>0</v>
      </c>
      <c r="Z5694">
        <v>2</v>
      </c>
      <c r="AA5694">
        <v>196.39</v>
      </c>
      <c r="AB5694">
        <v>196.39</v>
      </c>
      <c r="AC5694">
        <v>172.8</v>
      </c>
      <c r="AD5694">
        <v>0</v>
      </c>
      <c r="AE5694">
        <v>23.59</v>
      </c>
      <c r="AF5694">
        <v>0</v>
      </c>
      <c r="AG5694">
        <v>0</v>
      </c>
      <c r="AH5694">
        <v>0</v>
      </c>
      <c r="AI5694">
        <v>35.35</v>
      </c>
      <c r="AJ5694">
        <v>196.39</v>
      </c>
      <c r="AK5694">
        <v>0</v>
      </c>
      <c r="AL5694" t="s">
        <v>53</v>
      </c>
      <c r="AM5694" t="s">
        <v>53</v>
      </c>
      <c r="AN5694" t="s">
        <v>53</v>
      </c>
      <c r="AO5694" t="s">
        <v>53</v>
      </c>
      <c r="AP5694" t="s">
        <v>53</v>
      </c>
    </row>
    <row r="5695" spans="2:42" x14ac:dyDescent="0.2">
      <c r="B5695" t="s">
        <v>44</v>
      </c>
      <c r="C5695" t="str">
        <f>HYPERLINK("https://us2.cloudbeds.com/connect/8493803454333002#/reservations/9080486846402674?display=2ZJUU2W2KF&amp;reservation_id=9080486846402674", "2ZJUU2W2KF")</f>
        <v>2ZJUU2W2KF</v>
      </c>
      <c r="D5695" t="s">
        <v>45</v>
      </c>
      <c r="E5695" t="s">
        <v>128</v>
      </c>
      <c r="F5695" t="s">
        <v>86</v>
      </c>
      <c r="G5695" t="s">
        <v>48</v>
      </c>
      <c r="H5695" t="s">
        <v>49</v>
      </c>
      <c r="I5695" t="s">
        <v>50</v>
      </c>
      <c r="J5695" t="s">
        <v>4008</v>
      </c>
      <c r="K5695" t="s">
        <v>4009</v>
      </c>
      <c r="L5695" t="s">
        <v>53</v>
      </c>
      <c r="N5695" t="s">
        <v>10150</v>
      </c>
      <c r="P5695" t="s">
        <v>55</v>
      </c>
      <c r="R5695" t="s">
        <v>53</v>
      </c>
      <c r="T5695" t="s">
        <v>10151</v>
      </c>
      <c r="U5695" t="s">
        <v>58</v>
      </c>
      <c r="V5695">
        <v>1</v>
      </c>
      <c r="W5695">
        <v>1</v>
      </c>
      <c r="X5695">
        <v>2</v>
      </c>
      <c r="Y5695">
        <v>1</v>
      </c>
      <c r="Z5695">
        <v>3</v>
      </c>
      <c r="AA5695">
        <v>171.83</v>
      </c>
      <c r="AB5695">
        <v>171.83</v>
      </c>
      <c r="AC5695">
        <v>151.19999999999999</v>
      </c>
      <c r="AD5695">
        <v>0</v>
      </c>
      <c r="AE5695">
        <v>20.63</v>
      </c>
      <c r="AF5695">
        <v>0</v>
      </c>
      <c r="AG5695">
        <v>0</v>
      </c>
      <c r="AH5695">
        <v>0</v>
      </c>
      <c r="AI5695">
        <v>30.93</v>
      </c>
      <c r="AJ5695">
        <v>171.83</v>
      </c>
      <c r="AK5695">
        <v>0</v>
      </c>
      <c r="AL5695" t="s">
        <v>53</v>
      </c>
      <c r="AM5695" t="s">
        <v>53</v>
      </c>
      <c r="AN5695" t="s">
        <v>53</v>
      </c>
      <c r="AO5695" t="s">
        <v>53</v>
      </c>
      <c r="AP5695" t="s">
        <v>53</v>
      </c>
    </row>
    <row r="5696" spans="2:42" x14ac:dyDescent="0.2">
      <c r="B5696" t="s">
        <v>44</v>
      </c>
      <c r="C5696" t="str">
        <f>HYPERLINK("https://us2.cloudbeds.com/connect/8493803454333002#/reservations/9080486846402754?display=2ZK2YREUQP&amp;reservation_id=9080486846402754", "2ZK2YREUQP")</f>
        <v>2ZK2YREUQP</v>
      </c>
      <c r="D5696" t="s">
        <v>45</v>
      </c>
      <c r="E5696" t="s">
        <v>92</v>
      </c>
      <c r="F5696" t="s">
        <v>86</v>
      </c>
      <c r="G5696" t="s">
        <v>48</v>
      </c>
      <c r="H5696" t="s">
        <v>49</v>
      </c>
      <c r="I5696" t="s">
        <v>50</v>
      </c>
      <c r="J5696" t="s">
        <v>7975</v>
      </c>
      <c r="K5696" t="s">
        <v>7751</v>
      </c>
      <c r="L5696" t="s">
        <v>53</v>
      </c>
      <c r="N5696" t="s">
        <v>10152</v>
      </c>
      <c r="P5696" t="s">
        <v>55</v>
      </c>
      <c r="R5696" t="s">
        <v>53</v>
      </c>
      <c r="T5696" t="s">
        <v>10153</v>
      </c>
      <c r="U5696" t="s">
        <v>58</v>
      </c>
      <c r="V5696">
        <v>3</v>
      </c>
      <c r="W5696">
        <v>1</v>
      </c>
      <c r="X5696">
        <v>4</v>
      </c>
      <c r="Y5696">
        <v>0</v>
      </c>
      <c r="Z5696">
        <v>4</v>
      </c>
      <c r="AA5696">
        <v>702.69</v>
      </c>
      <c r="AB5696">
        <v>702.69</v>
      </c>
      <c r="AC5696">
        <v>618.29999999999995</v>
      </c>
      <c r="AD5696">
        <v>0</v>
      </c>
      <c r="AE5696">
        <v>84.39</v>
      </c>
      <c r="AF5696">
        <v>0</v>
      </c>
      <c r="AG5696">
        <v>0</v>
      </c>
      <c r="AH5696">
        <v>0</v>
      </c>
      <c r="AI5696">
        <v>126.48</v>
      </c>
      <c r="AJ5696">
        <v>702.69</v>
      </c>
      <c r="AK5696">
        <v>0</v>
      </c>
      <c r="AL5696" t="s">
        <v>53</v>
      </c>
      <c r="AM5696" t="s">
        <v>53</v>
      </c>
      <c r="AN5696" t="s">
        <v>53</v>
      </c>
      <c r="AO5696" t="s">
        <v>53</v>
      </c>
      <c r="AP5696" t="s">
        <v>53</v>
      </c>
    </row>
    <row r="5697" spans="2:42" x14ac:dyDescent="0.2">
      <c r="B5697" t="s">
        <v>44</v>
      </c>
      <c r="C5697" t="str">
        <f>HYPERLINK("https://us2.cloudbeds.com/connect/8493803454333002#/reservations/9080486846403140?display=2ZKZ1JMZGV&amp;reservation_id=9080486846403140", "2ZKZ1JMZGV")</f>
        <v>2ZKZ1JMZGV</v>
      </c>
      <c r="D5697" t="s">
        <v>45</v>
      </c>
      <c r="E5697" t="s">
        <v>92</v>
      </c>
      <c r="F5697" t="s">
        <v>86</v>
      </c>
      <c r="G5697" t="s">
        <v>48</v>
      </c>
      <c r="H5697" t="s">
        <v>49</v>
      </c>
      <c r="I5697" t="s">
        <v>50</v>
      </c>
      <c r="J5697" t="s">
        <v>8713</v>
      </c>
      <c r="K5697" t="s">
        <v>7925</v>
      </c>
      <c r="L5697" t="s">
        <v>53</v>
      </c>
      <c r="N5697" t="s">
        <v>10154</v>
      </c>
      <c r="P5697" t="s">
        <v>55</v>
      </c>
      <c r="R5697" t="s">
        <v>53</v>
      </c>
      <c r="T5697" t="s">
        <v>10155</v>
      </c>
      <c r="U5697" t="s">
        <v>58</v>
      </c>
      <c r="V5697">
        <v>1</v>
      </c>
      <c r="W5697">
        <v>1</v>
      </c>
      <c r="X5697">
        <v>2</v>
      </c>
      <c r="Y5697">
        <v>0</v>
      </c>
      <c r="Z5697">
        <v>2</v>
      </c>
      <c r="AA5697">
        <v>256.74</v>
      </c>
      <c r="AB5697">
        <v>256.74</v>
      </c>
      <c r="AC5697">
        <v>225.9</v>
      </c>
      <c r="AD5697">
        <v>0</v>
      </c>
      <c r="AE5697">
        <v>30.84</v>
      </c>
      <c r="AF5697">
        <v>0</v>
      </c>
      <c r="AG5697">
        <v>0</v>
      </c>
      <c r="AH5697">
        <v>0</v>
      </c>
      <c r="AI5697">
        <v>46.21</v>
      </c>
      <c r="AJ5697">
        <v>256.74</v>
      </c>
      <c r="AK5697">
        <v>0</v>
      </c>
      <c r="AL5697" t="s">
        <v>53</v>
      </c>
      <c r="AM5697" t="s">
        <v>53</v>
      </c>
      <c r="AN5697" t="s">
        <v>53</v>
      </c>
      <c r="AO5697" t="s">
        <v>53</v>
      </c>
      <c r="AP5697" t="s">
        <v>53</v>
      </c>
    </row>
    <row r="5698" spans="2:42" x14ac:dyDescent="0.2">
      <c r="B5698" t="s">
        <v>44</v>
      </c>
      <c r="C5698" t="str">
        <f>HYPERLINK("https://us2.cloudbeds.com/connect/8493803454333002#/reservations/9080486846403214?display=2ZKSN81H55&amp;reservation_id=9080486846403214", "2ZKSN81H55")</f>
        <v>2ZKSN81H55</v>
      </c>
      <c r="D5698" t="s">
        <v>45</v>
      </c>
      <c r="E5698" t="s">
        <v>373</v>
      </c>
      <c r="F5698" t="s">
        <v>47</v>
      </c>
      <c r="G5698" t="s">
        <v>48</v>
      </c>
      <c r="H5698" t="s">
        <v>49</v>
      </c>
      <c r="I5698" t="s">
        <v>50</v>
      </c>
      <c r="J5698" t="s">
        <v>7802</v>
      </c>
      <c r="K5698" t="s">
        <v>8053</v>
      </c>
      <c r="L5698" t="s">
        <v>53</v>
      </c>
      <c r="N5698" t="s">
        <v>10156</v>
      </c>
      <c r="P5698" t="s">
        <v>55</v>
      </c>
      <c r="R5698" t="s">
        <v>53</v>
      </c>
      <c r="T5698" t="s">
        <v>10157</v>
      </c>
      <c r="U5698" t="s">
        <v>58</v>
      </c>
      <c r="V5698">
        <v>1</v>
      </c>
      <c r="W5698">
        <v>1</v>
      </c>
      <c r="X5698">
        <v>2</v>
      </c>
      <c r="Y5698">
        <v>0</v>
      </c>
      <c r="Z5698">
        <v>2</v>
      </c>
      <c r="AA5698">
        <v>197.24</v>
      </c>
      <c r="AB5698">
        <v>197.24</v>
      </c>
      <c r="AC5698">
        <v>173.56</v>
      </c>
      <c r="AD5698">
        <v>0</v>
      </c>
      <c r="AE5698">
        <v>23.68</v>
      </c>
      <c r="AF5698">
        <v>0</v>
      </c>
      <c r="AG5698">
        <v>0</v>
      </c>
      <c r="AH5698">
        <v>0</v>
      </c>
      <c r="AI5698">
        <v>35.5</v>
      </c>
      <c r="AJ5698">
        <v>197.24</v>
      </c>
      <c r="AK5698">
        <v>0</v>
      </c>
      <c r="AL5698" t="s">
        <v>53</v>
      </c>
      <c r="AM5698" t="s">
        <v>53</v>
      </c>
      <c r="AN5698" t="s">
        <v>53</v>
      </c>
      <c r="AO5698" t="s">
        <v>53</v>
      </c>
      <c r="AP5698" t="s">
        <v>53</v>
      </c>
    </row>
    <row r="5699" spans="2:42" x14ac:dyDescent="0.2">
      <c r="B5699" t="s">
        <v>44</v>
      </c>
      <c r="C5699" t="str">
        <f>HYPERLINK("https://us2.cloudbeds.com/connect/8493803454333002#/reservations/9080486846403610?display=2ZYY94RVXZ&amp;reservation_id=9080486846403610", "2ZYY94RVXZ")</f>
        <v>2ZYY94RVXZ</v>
      </c>
      <c r="D5699" t="s">
        <v>45</v>
      </c>
      <c r="E5699" t="s">
        <v>69</v>
      </c>
      <c r="F5699" t="s">
        <v>70</v>
      </c>
      <c r="G5699" t="s">
        <v>48</v>
      </c>
      <c r="H5699" t="s">
        <v>49</v>
      </c>
      <c r="I5699" t="s">
        <v>50</v>
      </c>
      <c r="J5699" t="s">
        <v>7975</v>
      </c>
      <c r="K5699" t="s">
        <v>7750</v>
      </c>
      <c r="L5699" t="s">
        <v>53</v>
      </c>
      <c r="N5699" t="s">
        <v>10158</v>
      </c>
      <c r="P5699" t="s">
        <v>55</v>
      </c>
      <c r="R5699" t="s">
        <v>53</v>
      </c>
      <c r="T5699" t="s">
        <v>10159</v>
      </c>
      <c r="U5699" t="s">
        <v>58</v>
      </c>
      <c r="V5699">
        <v>1</v>
      </c>
      <c r="W5699">
        <v>1</v>
      </c>
      <c r="X5699">
        <v>2</v>
      </c>
      <c r="Y5699">
        <v>0</v>
      </c>
      <c r="Z5699">
        <v>2</v>
      </c>
      <c r="AA5699">
        <v>163.25</v>
      </c>
      <c r="AB5699">
        <v>163.25</v>
      </c>
      <c r="AC5699">
        <v>143.63999999999999</v>
      </c>
      <c r="AD5699">
        <v>0</v>
      </c>
      <c r="AE5699">
        <v>19.61</v>
      </c>
      <c r="AF5699">
        <v>0</v>
      </c>
      <c r="AG5699">
        <v>0</v>
      </c>
      <c r="AH5699">
        <v>0</v>
      </c>
      <c r="AI5699">
        <v>29.39</v>
      </c>
      <c r="AJ5699">
        <v>163.25</v>
      </c>
      <c r="AK5699">
        <v>0</v>
      </c>
      <c r="AL5699" t="s">
        <v>53</v>
      </c>
      <c r="AM5699" t="s">
        <v>53</v>
      </c>
      <c r="AN5699" t="s">
        <v>53</v>
      </c>
      <c r="AO5699" t="s">
        <v>53</v>
      </c>
      <c r="AP5699" t="s">
        <v>53</v>
      </c>
    </row>
    <row r="5700" spans="2:42" x14ac:dyDescent="0.2">
      <c r="B5700" t="s">
        <v>44</v>
      </c>
      <c r="C5700" t="str">
        <f>HYPERLINK("https://us2.cloudbeds.com/connect/8493803454333002#/reservations/9080486846406909?display=2ZQFF8HXSA&amp;reservation_id=9080486846406909", "2ZQFF8HXSA")</f>
        <v>2ZQFF8HXSA</v>
      </c>
      <c r="D5700" t="s">
        <v>45</v>
      </c>
      <c r="E5700" t="s">
        <v>155</v>
      </c>
      <c r="F5700" t="s">
        <v>86</v>
      </c>
      <c r="G5700" t="s">
        <v>48</v>
      </c>
      <c r="H5700" t="s">
        <v>49</v>
      </c>
      <c r="I5700" t="s">
        <v>50</v>
      </c>
      <c r="J5700" t="s">
        <v>8261</v>
      </c>
      <c r="K5700" t="s">
        <v>7803</v>
      </c>
      <c r="L5700" t="s">
        <v>53</v>
      </c>
      <c r="N5700" t="s">
        <v>10160</v>
      </c>
      <c r="P5700" t="s">
        <v>55</v>
      </c>
      <c r="R5700" t="s">
        <v>53</v>
      </c>
      <c r="T5700" t="s">
        <v>10161</v>
      </c>
      <c r="U5700" t="s">
        <v>58</v>
      </c>
      <c r="V5700">
        <v>3</v>
      </c>
      <c r="W5700">
        <v>1</v>
      </c>
      <c r="X5700">
        <v>2</v>
      </c>
      <c r="Y5700">
        <v>0</v>
      </c>
      <c r="Z5700">
        <v>2</v>
      </c>
      <c r="AA5700">
        <v>658.71</v>
      </c>
      <c r="AB5700">
        <v>658.71</v>
      </c>
      <c r="AC5700">
        <v>579.6</v>
      </c>
      <c r="AD5700">
        <v>0</v>
      </c>
      <c r="AE5700">
        <v>79.11</v>
      </c>
      <c r="AF5700">
        <v>0</v>
      </c>
      <c r="AG5700">
        <v>0</v>
      </c>
      <c r="AH5700">
        <v>0</v>
      </c>
      <c r="AI5700">
        <v>118.57</v>
      </c>
      <c r="AJ5700">
        <v>658.71</v>
      </c>
      <c r="AK5700">
        <v>0</v>
      </c>
      <c r="AL5700" t="s">
        <v>53</v>
      </c>
      <c r="AM5700" t="s">
        <v>53</v>
      </c>
      <c r="AN5700" t="s">
        <v>53</v>
      </c>
      <c r="AO5700" t="s">
        <v>53</v>
      </c>
      <c r="AP5700" t="s">
        <v>53</v>
      </c>
    </row>
    <row r="5701" spans="2:42" x14ac:dyDescent="0.2">
      <c r="B5701" t="s">
        <v>44</v>
      </c>
      <c r="C5701" t="str">
        <f>HYPERLINK("https://us2.cloudbeds.com/connect/8493803454333002#/reservations/127742566715602?display=2ZRBMYU4CZ&amp;reservation_id=127742566715602", "2ZRBMYU4CZ")</f>
        <v>2ZRBMYU4CZ</v>
      </c>
      <c r="D5701" t="s">
        <v>45</v>
      </c>
      <c r="E5701" t="s">
        <v>110</v>
      </c>
      <c r="F5701" t="s">
        <v>47</v>
      </c>
      <c r="G5701" t="s">
        <v>3974</v>
      </c>
      <c r="H5701" t="s">
        <v>3957</v>
      </c>
      <c r="I5701" t="s">
        <v>3975</v>
      </c>
      <c r="J5701" t="s">
        <v>7989</v>
      </c>
      <c r="K5701" t="s">
        <v>8799</v>
      </c>
      <c r="L5701" t="s">
        <v>53</v>
      </c>
      <c r="P5701" t="s">
        <v>55</v>
      </c>
      <c r="R5701" t="s">
        <v>53</v>
      </c>
      <c r="T5701" t="s">
        <v>10162</v>
      </c>
      <c r="U5701" t="s">
        <v>58</v>
      </c>
      <c r="V5701">
        <v>1</v>
      </c>
      <c r="W5701">
        <v>1</v>
      </c>
      <c r="X5701">
        <v>2</v>
      </c>
      <c r="Y5701">
        <v>0</v>
      </c>
      <c r="Z5701">
        <v>2</v>
      </c>
      <c r="AA5701">
        <v>242.93</v>
      </c>
      <c r="AB5701">
        <v>242.93</v>
      </c>
      <c r="AC5701">
        <v>213.75</v>
      </c>
      <c r="AD5701">
        <v>0</v>
      </c>
      <c r="AE5701">
        <v>29.18</v>
      </c>
      <c r="AF5701">
        <v>0</v>
      </c>
      <c r="AG5701">
        <v>0</v>
      </c>
      <c r="AH5701">
        <v>0</v>
      </c>
      <c r="AI5701">
        <v>0</v>
      </c>
      <c r="AJ5701">
        <v>242.93</v>
      </c>
      <c r="AK5701">
        <v>0</v>
      </c>
      <c r="AL5701" t="s">
        <v>53</v>
      </c>
      <c r="AM5701" t="s">
        <v>53</v>
      </c>
      <c r="AN5701" t="s">
        <v>53</v>
      </c>
      <c r="AO5701" t="s">
        <v>53</v>
      </c>
      <c r="AP5701" t="s">
        <v>53</v>
      </c>
    </row>
    <row r="5702" spans="2:42" x14ac:dyDescent="0.2">
      <c r="B5702" t="s">
        <v>44</v>
      </c>
      <c r="C5702" t="str">
        <f>HYPERLINK("https://us2.cloudbeds.com/connect/8493803454333002#/reservations/9080486846407848?display=2ZRNS7SVBV&amp;reservation_id=9080486846407848", "2ZRNS7SVBV")</f>
        <v>2ZRNS7SVBV</v>
      </c>
      <c r="D5702" t="s">
        <v>45</v>
      </c>
      <c r="E5702" t="s">
        <v>78</v>
      </c>
      <c r="F5702" t="s">
        <v>61</v>
      </c>
      <c r="G5702" t="s">
        <v>48</v>
      </c>
      <c r="H5702" t="s">
        <v>49</v>
      </c>
      <c r="I5702" t="s">
        <v>50</v>
      </c>
      <c r="J5702" t="s">
        <v>8437</v>
      </c>
      <c r="K5702" t="s">
        <v>7492</v>
      </c>
      <c r="L5702" t="s">
        <v>53</v>
      </c>
      <c r="N5702" t="s">
        <v>10163</v>
      </c>
      <c r="P5702" t="s">
        <v>55</v>
      </c>
      <c r="R5702" t="s">
        <v>53</v>
      </c>
      <c r="T5702" t="s">
        <v>10164</v>
      </c>
      <c r="U5702" t="s">
        <v>58</v>
      </c>
      <c r="V5702">
        <v>2</v>
      </c>
      <c r="W5702">
        <v>1</v>
      </c>
      <c r="X5702">
        <v>2</v>
      </c>
      <c r="Y5702">
        <v>0</v>
      </c>
      <c r="Z5702">
        <v>2</v>
      </c>
      <c r="AA5702">
        <v>364.32</v>
      </c>
      <c r="AB5702">
        <v>364.32</v>
      </c>
      <c r="AC5702">
        <v>320.57</v>
      </c>
      <c r="AD5702">
        <v>0</v>
      </c>
      <c r="AE5702">
        <v>43.75</v>
      </c>
      <c r="AF5702">
        <v>0</v>
      </c>
      <c r="AG5702">
        <v>0</v>
      </c>
      <c r="AH5702">
        <v>0</v>
      </c>
      <c r="AI5702">
        <v>65.58</v>
      </c>
      <c r="AJ5702">
        <v>364.32</v>
      </c>
      <c r="AK5702">
        <v>0</v>
      </c>
      <c r="AL5702" t="s">
        <v>53</v>
      </c>
      <c r="AM5702" t="s">
        <v>53</v>
      </c>
      <c r="AN5702" t="s">
        <v>53</v>
      </c>
      <c r="AO5702" t="s">
        <v>53</v>
      </c>
      <c r="AP5702" t="s">
        <v>53</v>
      </c>
    </row>
    <row r="5703" spans="2:42" x14ac:dyDescent="0.2">
      <c r="B5703" t="s">
        <v>44</v>
      </c>
      <c r="C5703" t="str">
        <f>HYPERLINK("https://us2.cloudbeds.com/connect/8493803454333002#/reservations/9080486846407918?display=2ZRRRBQQP1&amp;reservation_id=9080486846407918", "2ZRRRBQQP1")</f>
        <v>2ZRRRBQQP1</v>
      </c>
      <c r="D5703" t="s">
        <v>45</v>
      </c>
      <c r="E5703" t="s">
        <v>155</v>
      </c>
      <c r="F5703" t="s">
        <v>86</v>
      </c>
      <c r="G5703" t="s">
        <v>48</v>
      </c>
      <c r="H5703" t="s">
        <v>49</v>
      </c>
      <c r="I5703" t="s">
        <v>62</v>
      </c>
      <c r="J5703" t="s">
        <v>8713</v>
      </c>
      <c r="K5703" t="s">
        <v>7925</v>
      </c>
      <c r="L5703" t="s">
        <v>53</v>
      </c>
      <c r="N5703" t="s">
        <v>10165</v>
      </c>
      <c r="P5703" t="s">
        <v>55</v>
      </c>
      <c r="R5703" t="s">
        <v>56</v>
      </c>
      <c r="T5703" t="s">
        <v>10166</v>
      </c>
      <c r="U5703" t="s">
        <v>55</v>
      </c>
      <c r="V5703">
        <v>1</v>
      </c>
      <c r="W5703">
        <v>1</v>
      </c>
      <c r="X5703">
        <v>2</v>
      </c>
      <c r="Y5703">
        <v>0</v>
      </c>
      <c r="Z5703">
        <v>2</v>
      </c>
      <c r="AA5703">
        <v>254</v>
      </c>
      <c r="AB5703">
        <v>254</v>
      </c>
      <c r="AC5703">
        <v>254</v>
      </c>
      <c r="AD5703">
        <v>0</v>
      </c>
      <c r="AE5703">
        <v>0</v>
      </c>
      <c r="AF5703">
        <v>0</v>
      </c>
      <c r="AG5703">
        <v>0</v>
      </c>
      <c r="AH5703">
        <v>0</v>
      </c>
      <c r="AI5703">
        <v>45.72</v>
      </c>
      <c r="AJ5703">
        <v>254</v>
      </c>
      <c r="AK5703">
        <v>0</v>
      </c>
      <c r="AL5703" t="s">
        <v>53</v>
      </c>
      <c r="AM5703" t="s">
        <v>53</v>
      </c>
      <c r="AN5703" t="s">
        <v>53</v>
      </c>
      <c r="AO5703" t="s">
        <v>53</v>
      </c>
      <c r="AP5703" t="s">
        <v>53</v>
      </c>
    </row>
    <row r="5704" spans="2:42" x14ac:dyDescent="0.2">
      <c r="B5704" t="s">
        <v>44</v>
      </c>
      <c r="C5704" t="str">
        <f>HYPERLINK("https://us2.cloudbeds.com/connect/8493803454333002#/reservations/9080486846408041?display=2ZS0UQ9XEV&amp;reservation_id=9080486846408041", "2ZS0UQ9XEV")</f>
        <v>2ZS0UQ9XEV</v>
      </c>
      <c r="D5704" t="s">
        <v>45</v>
      </c>
      <c r="E5704" t="s">
        <v>487</v>
      </c>
      <c r="F5704" t="s">
        <v>61</v>
      </c>
      <c r="G5704" t="s">
        <v>48</v>
      </c>
      <c r="H5704" t="s">
        <v>49</v>
      </c>
      <c r="I5704" t="s">
        <v>50</v>
      </c>
      <c r="J5704" t="s">
        <v>8391</v>
      </c>
      <c r="K5704" t="s">
        <v>7974</v>
      </c>
      <c r="L5704" t="s">
        <v>53</v>
      </c>
      <c r="N5704" t="s">
        <v>10167</v>
      </c>
      <c r="P5704" t="s">
        <v>55</v>
      </c>
      <c r="R5704" t="s">
        <v>53</v>
      </c>
      <c r="T5704" t="s">
        <v>10168</v>
      </c>
      <c r="U5704" t="s">
        <v>58</v>
      </c>
      <c r="V5704">
        <v>1</v>
      </c>
      <c r="W5704">
        <v>1</v>
      </c>
      <c r="X5704">
        <v>2</v>
      </c>
      <c r="Y5704">
        <v>0</v>
      </c>
      <c r="Z5704">
        <v>2</v>
      </c>
      <c r="AA5704">
        <v>189.47</v>
      </c>
      <c r="AB5704">
        <v>189.47</v>
      </c>
      <c r="AC5704">
        <v>166.72</v>
      </c>
      <c r="AD5704">
        <v>0</v>
      </c>
      <c r="AE5704">
        <v>22.75</v>
      </c>
      <c r="AF5704">
        <v>0</v>
      </c>
      <c r="AG5704">
        <v>0</v>
      </c>
      <c r="AH5704">
        <v>0</v>
      </c>
      <c r="AI5704">
        <v>34.1</v>
      </c>
      <c r="AJ5704">
        <v>189.47</v>
      </c>
      <c r="AK5704">
        <v>0</v>
      </c>
      <c r="AL5704" t="s">
        <v>53</v>
      </c>
      <c r="AM5704" t="s">
        <v>53</v>
      </c>
      <c r="AN5704" t="s">
        <v>53</v>
      </c>
      <c r="AO5704" t="s">
        <v>53</v>
      </c>
      <c r="AP5704" t="s">
        <v>53</v>
      </c>
    </row>
    <row r="5705" spans="2:42" x14ac:dyDescent="0.2">
      <c r="B5705" t="s">
        <v>44</v>
      </c>
      <c r="C5705" t="str">
        <f>HYPERLINK("https://us2.cloudbeds.com/connect/8493803454333002#/reservations/9080486846408243?display=2ZSCNQ4TVG&amp;reservation_id=9080486846408243", "2ZSCNQ4TVG")</f>
        <v>2ZSCNQ4TVG</v>
      </c>
      <c r="D5705" t="s">
        <v>45</v>
      </c>
      <c r="E5705" t="s">
        <v>110</v>
      </c>
      <c r="F5705" t="s">
        <v>47</v>
      </c>
      <c r="G5705" t="s">
        <v>48</v>
      </c>
      <c r="H5705" t="s">
        <v>49</v>
      </c>
      <c r="I5705" t="s">
        <v>62</v>
      </c>
      <c r="J5705" t="s">
        <v>10169</v>
      </c>
      <c r="K5705" t="s">
        <v>10170</v>
      </c>
      <c r="L5705" t="s">
        <v>53</v>
      </c>
      <c r="N5705" t="s">
        <v>10171</v>
      </c>
      <c r="P5705" t="s">
        <v>55</v>
      </c>
      <c r="R5705" t="s">
        <v>56</v>
      </c>
      <c r="T5705" t="s">
        <v>10172</v>
      </c>
      <c r="U5705" t="s">
        <v>55</v>
      </c>
      <c r="V5705">
        <v>1</v>
      </c>
      <c r="W5705">
        <v>1</v>
      </c>
      <c r="X5705">
        <v>2</v>
      </c>
      <c r="Y5705">
        <v>0</v>
      </c>
      <c r="Z5705">
        <v>2</v>
      </c>
      <c r="AA5705">
        <v>136</v>
      </c>
      <c r="AB5705">
        <v>136</v>
      </c>
      <c r="AC5705">
        <v>136</v>
      </c>
      <c r="AD5705">
        <v>0</v>
      </c>
      <c r="AE5705">
        <v>0</v>
      </c>
      <c r="AF5705">
        <v>0</v>
      </c>
      <c r="AG5705">
        <v>0</v>
      </c>
      <c r="AH5705">
        <v>0</v>
      </c>
      <c r="AI5705">
        <v>24.48</v>
      </c>
      <c r="AJ5705">
        <v>136</v>
      </c>
      <c r="AK5705">
        <v>0</v>
      </c>
      <c r="AL5705" t="s">
        <v>53</v>
      </c>
      <c r="AM5705" t="s">
        <v>53</v>
      </c>
      <c r="AN5705" t="s">
        <v>53</v>
      </c>
      <c r="AO5705" t="s">
        <v>53</v>
      </c>
      <c r="AP5705" t="s">
        <v>53</v>
      </c>
    </row>
    <row r="5706" spans="2:42" x14ac:dyDescent="0.2">
      <c r="B5706" t="s">
        <v>44</v>
      </c>
      <c r="C5706" t="str">
        <f>HYPERLINK("https://us2.cloudbeds.com/connect/8493803454333002#/reservations/127793369538803?display=2ZSX0Q6J1M&amp;reservation_id=127793369538803", "2ZSX0Q6J1M")</f>
        <v>2ZSX0Q6J1M</v>
      </c>
      <c r="D5706" t="s">
        <v>45</v>
      </c>
      <c r="E5706" t="s">
        <v>46</v>
      </c>
      <c r="F5706" t="s">
        <v>47</v>
      </c>
      <c r="G5706" t="s">
        <v>48</v>
      </c>
      <c r="H5706" t="s">
        <v>3957</v>
      </c>
      <c r="I5706" t="s">
        <v>3958</v>
      </c>
      <c r="J5706" t="s">
        <v>8871</v>
      </c>
      <c r="K5706" t="s">
        <v>8790</v>
      </c>
      <c r="L5706" t="s">
        <v>53</v>
      </c>
      <c r="P5706" t="s">
        <v>55</v>
      </c>
      <c r="R5706" t="s">
        <v>56</v>
      </c>
      <c r="T5706" t="s">
        <v>10173</v>
      </c>
      <c r="U5706" t="s">
        <v>58</v>
      </c>
      <c r="V5706">
        <v>1</v>
      </c>
      <c r="W5706">
        <v>1</v>
      </c>
      <c r="X5706">
        <v>1</v>
      </c>
      <c r="Y5706">
        <v>0</v>
      </c>
      <c r="Z5706">
        <v>1</v>
      </c>
      <c r="AA5706">
        <v>222.75</v>
      </c>
      <c r="AB5706">
        <v>222.75</v>
      </c>
      <c r="AC5706">
        <v>196</v>
      </c>
      <c r="AD5706">
        <v>0</v>
      </c>
      <c r="AE5706">
        <v>26.75</v>
      </c>
      <c r="AF5706">
        <v>0</v>
      </c>
      <c r="AG5706">
        <v>0</v>
      </c>
      <c r="AH5706">
        <v>0</v>
      </c>
      <c r="AI5706">
        <v>0</v>
      </c>
      <c r="AJ5706">
        <v>222.75</v>
      </c>
      <c r="AK5706">
        <v>0</v>
      </c>
      <c r="AL5706" t="s">
        <v>53</v>
      </c>
      <c r="AM5706" t="s">
        <v>53</v>
      </c>
      <c r="AN5706" t="s">
        <v>53</v>
      </c>
      <c r="AO5706" t="s">
        <v>53</v>
      </c>
      <c r="AP5706" t="s">
        <v>53</v>
      </c>
    </row>
    <row r="5707" spans="2:42" x14ac:dyDescent="0.2">
      <c r="B5707" t="s">
        <v>44</v>
      </c>
      <c r="C5707" t="str">
        <f>HYPERLINK("https://us2.cloudbeds.com/connect/8493803454333002#/reservations/9080486846410735?display=2ZWS6J8E83&amp;reservation_id=9080486846410735", "2ZWS6J8E83")</f>
        <v>2ZWS6J8E83</v>
      </c>
      <c r="D5707" t="s">
        <v>45</v>
      </c>
      <c r="E5707" t="s">
        <v>155</v>
      </c>
      <c r="F5707" t="s">
        <v>86</v>
      </c>
      <c r="G5707" t="s">
        <v>48</v>
      </c>
      <c r="H5707" t="s">
        <v>49</v>
      </c>
      <c r="I5707" t="s">
        <v>50</v>
      </c>
      <c r="J5707" t="s">
        <v>7926</v>
      </c>
      <c r="K5707" t="s">
        <v>8249</v>
      </c>
      <c r="L5707" t="s">
        <v>53</v>
      </c>
      <c r="N5707" t="s">
        <v>10174</v>
      </c>
      <c r="P5707" t="s">
        <v>55</v>
      </c>
      <c r="R5707" t="s">
        <v>53</v>
      </c>
      <c r="T5707" t="s">
        <v>10175</v>
      </c>
      <c r="U5707" t="s">
        <v>58</v>
      </c>
      <c r="V5707">
        <v>1</v>
      </c>
      <c r="W5707">
        <v>1</v>
      </c>
      <c r="X5707">
        <v>4</v>
      </c>
      <c r="Y5707">
        <v>0</v>
      </c>
      <c r="Z5707">
        <v>4</v>
      </c>
      <c r="AA5707">
        <v>220.94</v>
      </c>
      <c r="AB5707">
        <v>220.94</v>
      </c>
      <c r="AC5707">
        <v>194.4</v>
      </c>
      <c r="AD5707">
        <v>0</v>
      </c>
      <c r="AE5707">
        <v>26.54</v>
      </c>
      <c r="AF5707">
        <v>0</v>
      </c>
      <c r="AG5707">
        <v>0</v>
      </c>
      <c r="AH5707">
        <v>0</v>
      </c>
      <c r="AI5707">
        <v>39.770000000000003</v>
      </c>
      <c r="AJ5707">
        <v>220.94</v>
      </c>
      <c r="AK5707">
        <v>0</v>
      </c>
      <c r="AL5707" t="s">
        <v>53</v>
      </c>
      <c r="AM5707" t="s">
        <v>53</v>
      </c>
      <c r="AN5707" t="s">
        <v>53</v>
      </c>
      <c r="AO5707" t="s">
        <v>53</v>
      </c>
      <c r="AP5707" t="s">
        <v>53</v>
      </c>
    </row>
    <row r="5708" spans="2:42" x14ac:dyDescent="0.2">
      <c r="B5708" t="s">
        <v>44</v>
      </c>
      <c r="C5708" t="str">
        <f>HYPERLINK("https://us2.cloudbeds.com/connect/8493803454333002#/reservations/9080486846411325?display=2P0H9VCN57&amp;reservation_id=9080486846411325", "2P0H9VCN57")</f>
        <v>2P0H9VCN57</v>
      </c>
      <c r="D5708" t="s">
        <v>45</v>
      </c>
      <c r="E5708" t="s">
        <v>78</v>
      </c>
      <c r="F5708" t="s">
        <v>61</v>
      </c>
      <c r="G5708" t="s">
        <v>48</v>
      </c>
      <c r="H5708" t="s">
        <v>49</v>
      </c>
      <c r="I5708" t="s">
        <v>62</v>
      </c>
      <c r="J5708" t="s">
        <v>7492</v>
      </c>
      <c r="K5708" t="s">
        <v>7493</v>
      </c>
      <c r="L5708" t="s">
        <v>53</v>
      </c>
      <c r="N5708" t="s">
        <v>10176</v>
      </c>
      <c r="P5708" t="s">
        <v>55</v>
      </c>
      <c r="R5708" t="s">
        <v>56</v>
      </c>
      <c r="T5708" t="s">
        <v>10177</v>
      </c>
      <c r="U5708" t="s">
        <v>55</v>
      </c>
      <c r="V5708">
        <v>1</v>
      </c>
      <c r="W5708">
        <v>1</v>
      </c>
      <c r="X5708">
        <v>2</v>
      </c>
      <c r="Y5708">
        <v>0</v>
      </c>
      <c r="Z5708">
        <v>2</v>
      </c>
      <c r="AA5708">
        <v>192</v>
      </c>
      <c r="AB5708">
        <v>192</v>
      </c>
      <c r="AC5708">
        <v>192</v>
      </c>
      <c r="AD5708">
        <v>0</v>
      </c>
      <c r="AE5708">
        <v>0</v>
      </c>
      <c r="AF5708">
        <v>0</v>
      </c>
      <c r="AG5708">
        <v>0</v>
      </c>
      <c r="AH5708">
        <v>0</v>
      </c>
      <c r="AI5708">
        <v>34.56</v>
      </c>
      <c r="AJ5708">
        <v>192</v>
      </c>
      <c r="AK5708">
        <v>0</v>
      </c>
      <c r="AL5708" t="s">
        <v>53</v>
      </c>
      <c r="AM5708" t="s">
        <v>53</v>
      </c>
      <c r="AN5708" t="s">
        <v>53</v>
      </c>
      <c r="AO5708" t="s">
        <v>53</v>
      </c>
      <c r="AP5708" t="s">
        <v>53</v>
      </c>
    </row>
    <row r="5709" spans="2:42" x14ac:dyDescent="0.2">
      <c r="B5709" t="s">
        <v>44</v>
      </c>
      <c r="C5709" t="str">
        <f>HYPERLINK("https://us2.cloudbeds.com/connect/8493803454333002#/reservations/9080486846411442?display=2P0YYRSV2C&amp;reservation_id=9080486846411442", "2P0YYRSV2C")</f>
        <v>2P0YYRSV2C</v>
      </c>
      <c r="D5709" t="s">
        <v>45</v>
      </c>
      <c r="E5709" t="s">
        <v>487</v>
      </c>
      <c r="F5709" t="s">
        <v>61</v>
      </c>
      <c r="G5709" t="s">
        <v>48</v>
      </c>
      <c r="H5709" t="s">
        <v>49</v>
      </c>
      <c r="I5709" t="s">
        <v>50</v>
      </c>
      <c r="J5709" t="s">
        <v>7925</v>
      </c>
      <c r="K5709" t="s">
        <v>8871</v>
      </c>
      <c r="L5709" t="s">
        <v>53</v>
      </c>
      <c r="N5709" t="s">
        <v>10178</v>
      </c>
      <c r="P5709" t="s">
        <v>55</v>
      </c>
      <c r="R5709" t="s">
        <v>53</v>
      </c>
      <c r="T5709" t="s">
        <v>10179</v>
      </c>
      <c r="U5709" t="s">
        <v>58</v>
      </c>
      <c r="V5709">
        <v>3</v>
      </c>
      <c r="W5709">
        <v>1</v>
      </c>
      <c r="X5709">
        <v>1</v>
      </c>
      <c r="Y5709">
        <v>0</v>
      </c>
      <c r="Z5709">
        <v>1</v>
      </c>
      <c r="AA5709">
        <v>555.52</v>
      </c>
      <c r="AB5709">
        <v>555.52</v>
      </c>
      <c r="AC5709">
        <v>488.8</v>
      </c>
      <c r="AD5709">
        <v>0</v>
      </c>
      <c r="AE5709">
        <v>66.72</v>
      </c>
      <c r="AF5709">
        <v>0</v>
      </c>
      <c r="AG5709">
        <v>0</v>
      </c>
      <c r="AH5709">
        <v>0</v>
      </c>
      <c r="AI5709">
        <v>99.99</v>
      </c>
      <c r="AJ5709">
        <v>555.52</v>
      </c>
      <c r="AK5709">
        <v>0</v>
      </c>
      <c r="AL5709" t="s">
        <v>53</v>
      </c>
      <c r="AM5709" t="s">
        <v>53</v>
      </c>
      <c r="AN5709" t="s">
        <v>53</v>
      </c>
      <c r="AO5709" t="s">
        <v>53</v>
      </c>
      <c r="AP5709" t="s">
        <v>53</v>
      </c>
    </row>
    <row r="5710" spans="2:42" x14ac:dyDescent="0.2">
      <c r="B5710" t="s">
        <v>44</v>
      </c>
      <c r="C5710" t="str">
        <f>HYPERLINK("https://us2.cloudbeds.com/connect/8493803454333002#/reservations/128010553659527?display=2P0Y6BJTBA&amp;reservation_id=128010553659527", "2P0Y6BJTBA")</f>
        <v>2P0Y6BJTBA</v>
      </c>
      <c r="D5710" t="s">
        <v>45</v>
      </c>
      <c r="E5710" t="s">
        <v>185</v>
      </c>
      <c r="F5710" t="s">
        <v>47</v>
      </c>
      <c r="G5710" t="s">
        <v>48</v>
      </c>
      <c r="H5710" t="s">
        <v>3957</v>
      </c>
      <c r="I5710" t="s">
        <v>3975</v>
      </c>
      <c r="J5710" t="s">
        <v>4008</v>
      </c>
      <c r="K5710" t="s">
        <v>8319</v>
      </c>
      <c r="L5710" t="s">
        <v>53</v>
      </c>
      <c r="P5710" t="s">
        <v>55</v>
      </c>
      <c r="R5710" t="s">
        <v>53</v>
      </c>
      <c r="T5710" t="s">
        <v>10180</v>
      </c>
      <c r="U5710" t="s">
        <v>58</v>
      </c>
      <c r="V5710">
        <v>2</v>
      </c>
      <c r="W5710">
        <v>1</v>
      </c>
      <c r="X5710">
        <v>2</v>
      </c>
      <c r="Y5710">
        <v>0</v>
      </c>
      <c r="Z5710">
        <v>2</v>
      </c>
      <c r="AA5710">
        <v>389.83</v>
      </c>
      <c r="AB5710">
        <v>389.83</v>
      </c>
      <c r="AC5710">
        <v>343</v>
      </c>
      <c r="AD5710">
        <v>0</v>
      </c>
      <c r="AE5710">
        <v>46.83</v>
      </c>
      <c r="AF5710">
        <v>0</v>
      </c>
      <c r="AG5710">
        <v>0</v>
      </c>
      <c r="AH5710">
        <v>0</v>
      </c>
      <c r="AI5710">
        <v>0</v>
      </c>
      <c r="AJ5710">
        <v>389.83</v>
      </c>
      <c r="AK5710">
        <v>0</v>
      </c>
      <c r="AL5710" t="s">
        <v>53</v>
      </c>
      <c r="AM5710" t="s">
        <v>53</v>
      </c>
      <c r="AN5710" t="s">
        <v>53</v>
      </c>
      <c r="AO5710" t="s">
        <v>53</v>
      </c>
      <c r="AP5710" t="s">
        <v>53</v>
      </c>
    </row>
    <row r="5711" spans="2:42" x14ac:dyDescent="0.2">
      <c r="B5711" t="s">
        <v>44</v>
      </c>
      <c r="C5711" t="str">
        <f>HYPERLINK("https://us2.cloudbeds.com/connect/8493803454333002#/reservations/9080486846411958?display=2P15XP3P9S&amp;reservation_id=9080486846411958", "2P15XP3P9S")</f>
        <v>2P15XP3P9S</v>
      </c>
      <c r="D5711" t="s">
        <v>45</v>
      </c>
      <c r="E5711" t="s">
        <v>78</v>
      </c>
      <c r="F5711" t="s">
        <v>61</v>
      </c>
      <c r="G5711" t="s">
        <v>48</v>
      </c>
      <c r="H5711" t="s">
        <v>49</v>
      </c>
      <c r="I5711" t="s">
        <v>50</v>
      </c>
      <c r="J5711" t="s">
        <v>7926</v>
      </c>
      <c r="K5711" t="s">
        <v>8871</v>
      </c>
      <c r="L5711" t="s">
        <v>53</v>
      </c>
      <c r="N5711" t="s">
        <v>10181</v>
      </c>
      <c r="P5711" t="s">
        <v>55</v>
      </c>
      <c r="R5711" t="s">
        <v>53</v>
      </c>
      <c r="T5711" t="s">
        <v>10182</v>
      </c>
      <c r="U5711" t="s">
        <v>58</v>
      </c>
      <c r="V5711">
        <v>2</v>
      </c>
      <c r="W5711">
        <v>1</v>
      </c>
      <c r="X5711">
        <v>2</v>
      </c>
      <c r="Y5711">
        <v>0</v>
      </c>
      <c r="Z5711">
        <v>2</v>
      </c>
      <c r="AA5711">
        <v>418.35</v>
      </c>
      <c r="AB5711">
        <v>418.35</v>
      </c>
      <c r="AC5711">
        <v>368.1</v>
      </c>
      <c r="AD5711">
        <v>0</v>
      </c>
      <c r="AE5711">
        <v>50.25</v>
      </c>
      <c r="AF5711">
        <v>0</v>
      </c>
      <c r="AG5711">
        <v>0</v>
      </c>
      <c r="AH5711">
        <v>0</v>
      </c>
      <c r="AI5711">
        <v>75.3</v>
      </c>
      <c r="AJ5711">
        <v>418.35</v>
      </c>
      <c r="AK5711">
        <v>0</v>
      </c>
      <c r="AL5711" t="s">
        <v>53</v>
      </c>
      <c r="AM5711" t="s">
        <v>53</v>
      </c>
      <c r="AN5711" t="s">
        <v>53</v>
      </c>
      <c r="AO5711" t="s">
        <v>53</v>
      </c>
      <c r="AP5711" t="s">
        <v>53</v>
      </c>
    </row>
    <row r="5712" spans="2:42" x14ac:dyDescent="0.2">
      <c r="B5712" t="s">
        <v>44</v>
      </c>
      <c r="C5712" t="str">
        <f>HYPERLINK("https://us2.cloudbeds.com/connect/8493803454333002#/reservations/9080486846412574?display=2P1PYCNY3U&amp;reservation_id=9080486846412574", "2P1PYCNY3U")</f>
        <v>2P1PYCNY3U</v>
      </c>
      <c r="D5712" t="s">
        <v>45</v>
      </c>
      <c r="E5712" t="s">
        <v>373</v>
      </c>
      <c r="F5712" t="s">
        <v>47</v>
      </c>
      <c r="G5712" t="s">
        <v>48</v>
      </c>
      <c r="H5712" t="s">
        <v>49</v>
      </c>
      <c r="I5712" t="s">
        <v>8964</v>
      </c>
      <c r="J5712" t="s">
        <v>7926</v>
      </c>
      <c r="K5712" t="s">
        <v>7802</v>
      </c>
      <c r="L5712" t="s">
        <v>53</v>
      </c>
      <c r="N5712" t="s">
        <v>10183</v>
      </c>
      <c r="P5712" t="s">
        <v>55</v>
      </c>
      <c r="R5712" t="s">
        <v>53</v>
      </c>
      <c r="T5712" t="s">
        <v>10184</v>
      </c>
      <c r="U5712" t="s">
        <v>58</v>
      </c>
      <c r="V5712">
        <v>5</v>
      </c>
      <c r="W5712">
        <v>1</v>
      </c>
      <c r="X5712">
        <v>2</v>
      </c>
      <c r="Y5712">
        <v>0</v>
      </c>
      <c r="Z5712">
        <v>2</v>
      </c>
      <c r="AA5712">
        <v>0</v>
      </c>
      <c r="AB5712">
        <v>970</v>
      </c>
      <c r="AC5712">
        <v>970</v>
      </c>
      <c r="AD5712">
        <v>0</v>
      </c>
      <c r="AE5712">
        <v>0</v>
      </c>
      <c r="AF5712">
        <v>0</v>
      </c>
      <c r="AG5712">
        <v>0</v>
      </c>
      <c r="AH5712">
        <v>0</v>
      </c>
      <c r="AI5712">
        <v>145.5</v>
      </c>
      <c r="AJ5712">
        <v>970</v>
      </c>
      <c r="AK5712">
        <v>0</v>
      </c>
      <c r="AL5712" t="s">
        <v>53</v>
      </c>
      <c r="AM5712" t="s">
        <v>53</v>
      </c>
      <c r="AN5712" t="s">
        <v>53</v>
      </c>
      <c r="AO5712" t="s">
        <v>53</v>
      </c>
      <c r="AP5712" t="s">
        <v>53</v>
      </c>
    </row>
    <row r="5713" spans="2:42" x14ac:dyDescent="0.2">
      <c r="B5713" t="s">
        <v>44</v>
      </c>
      <c r="C5713" t="str">
        <f>HYPERLINK("https://us2.cloudbeds.com/connect/8493803454333002#/reservations/9080486846412994?display=2P25J0EDQA&amp;reservation_id=9080486846412994", "2P25J0EDQA")</f>
        <v>2P25J0EDQA</v>
      </c>
      <c r="D5713" t="s">
        <v>45</v>
      </c>
      <c r="E5713" t="s">
        <v>373</v>
      </c>
      <c r="F5713" t="s">
        <v>47</v>
      </c>
      <c r="G5713" t="s">
        <v>48</v>
      </c>
      <c r="H5713" t="s">
        <v>49</v>
      </c>
      <c r="I5713" t="s">
        <v>50</v>
      </c>
      <c r="J5713" t="s">
        <v>7967</v>
      </c>
      <c r="K5713" t="s">
        <v>8829</v>
      </c>
      <c r="L5713" t="s">
        <v>53</v>
      </c>
      <c r="N5713" t="s">
        <v>10185</v>
      </c>
      <c r="P5713" t="s">
        <v>55</v>
      </c>
      <c r="R5713" t="s">
        <v>53</v>
      </c>
      <c r="T5713" t="s">
        <v>10186</v>
      </c>
      <c r="U5713" t="s">
        <v>58</v>
      </c>
      <c r="V5713">
        <v>4</v>
      </c>
      <c r="W5713">
        <v>1</v>
      </c>
      <c r="X5713">
        <v>2</v>
      </c>
      <c r="Y5713">
        <v>0</v>
      </c>
      <c r="Z5713">
        <v>2</v>
      </c>
      <c r="AA5713">
        <v>884.77</v>
      </c>
      <c r="AB5713">
        <v>884.77</v>
      </c>
      <c r="AC5713">
        <v>778.5</v>
      </c>
      <c r="AD5713">
        <v>0</v>
      </c>
      <c r="AE5713">
        <v>106.27</v>
      </c>
      <c r="AF5713">
        <v>0</v>
      </c>
      <c r="AG5713">
        <v>0</v>
      </c>
      <c r="AH5713">
        <v>0</v>
      </c>
      <c r="AI5713">
        <v>159.26</v>
      </c>
      <c r="AJ5713">
        <v>884.77</v>
      </c>
      <c r="AK5713">
        <v>0</v>
      </c>
      <c r="AL5713" t="s">
        <v>53</v>
      </c>
      <c r="AM5713" t="s">
        <v>53</v>
      </c>
      <c r="AN5713" t="s">
        <v>53</v>
      </c>
      <c r="AO5713" t="s">
        <v>53</v>
      </c>
      <c r="AP5713" t="s">
        <v>53</v>
      </c>
    </row>
    <row r="5714" spans="2:42" x14ac:dyDescent="0.2">
      <c r="B5714" t="s">
        <v>44</v>
      </c>
      <c r="C5714" t="str">
        <f>HYPERLINK("https://us2.cloudbeds.com/connect/8493803454333002#/reservations/9080486846413150?display=2P2ACY2SEQ&amp;reservation_id=9080486846413150", "2P2ACY2SEQ")</f>
        <v>2P2ACY2SEQ</v>
      </c>
      <c r="D5714" t="s">
        <v>45</v>
      </c>
      <c r="E5714" t="s">
        <v>213</v>
      </c>
      <c r="F5714" t="s">
        <v>86</v>
      </c>
      <c r="G5714" t="s">
        <v>48</v>
      </c>
      <c r="H5714" t="s">
        <v>49</v>
      </c>
      <c r="I5714" t="s">
        <v>8964</v>
      </c>
      <c r="J5714" t="s">
        <v>7925</v>
      </c>
      <c r="K5714" t="s">
        <v>7926</v>
      </c>
      <c r="L5714" t="s">
        <v>53</v>
      </c>
      <c r="N5714" t="s">
        <v>10187</v>
      </c>
      <c r="P5714" t="s">
        <v>55</v>
      </c>
      <c r="R5714" t="s">
        <v>53</v>
      </c>
      <c r="T5714" t="s">
        <v>10188</v>
      </c>
      <c r="U5714" t="s">
        <v>58</v>
      </c>
      <c r="V5714">
        <v>1</v>
      </c>
      <c r="W5714">
        <v>1</v>
      </c>
      <c r="X5714">
        <v>2</v>
      </c>
      <c r="Y5714">
        <v>0</v>
      </c>
      <c r="Z5714">
        <v>2</v>
      </c>
      <c r="AA5714">
        <v>0</v>
      </c>
      <c r="AB5714">
        <v>0</v>
      </c>
      <c r="AC5714">
        <v>219</v>
      </c>
      <c r="AD5714">
        <v>0</v>
      </c>
      <c r="AE5714">
        <v>0</v>
      </c>
      <c r="AF5714">
        <v>0</v>
      </c>
      <c r="AG5714">
        <v>0</v>
      </c>
      <c r="AH5714">
        <v>0</v>
      </c>
      <c r="AI5714">
        <v>32.85</v>
      </c>
      <c r="AJ5714">
        <v>219</v>
      </c>
      <c r="AK5714">
        <v>219</v>
      </c>
      <c r="AL5714" t="s">
        <v>53</v>
      </c>
      <c r="AM5714" t="s">
        <v>53</v>
      </c>
      <c r="AN5714" t="s">
        <v>53</v>
      </c>
      <c r="AO5714" t="s">
        <v>53</v>
      </c>
      <c r="AP5714" t="s">
        <v>53</v>
      </c>
    </row>
    <row r="5715" spans="2:42" x14ac:dyDescent="0.2">
      <c r="B5715" t="s">
        <v>44</v>
      </c>
      <c r="C5715" t="str">
        <f>HYPERLINK("https://us2.cloudbeds.com/connect/8493803454333002#/reservations/128108627595493?display=2P2V4C4Z1R&amp;reservation_id=128108627595493", "2P2V4C4Z1R")</f>
        <v>2P2V4C4Z1R</v>
      </c>
      <c r="D5715" t="s">
        <v>45</v>
      </c>
      <c r="E5715" t="s">
        <v>155</v>
      </c>
      <c r="F5715" t="s">
        <v>86</v>
      </c>
      <c r="G5715" t="s">
        <v>48</v>
      </c>
      <c r="H5715" t="s">
        <v>3957</v>
      </c>
      <c r="I5715" t="s">
        <v>3958</v>
      </c>
      <c r="J5715" t="s">
        <v>7925</v>
      </c>
      <c r="K5715" t="s">
        <v>7926</v>
      </c>
      <c r="L5715" t="s">
        <v>53</v>
      </c>
      <c r="P5715" t="s">
        <v>55</v>
      </c>
      <c r="R5715" t="s">
        <v>56</v>
      </c>
      <c r="T5715" t="s">
        <v>10189</v>
      </c>
      <c r="U5715" t="s">
        <v>58</v>
      </c>
      <c r="V5715">
        <v>1</v>
      </c>
      <c r="W5715">
        <v>1</v>
      </c>
      <c r="X5715">
        <v>1</v>
      </c>
      <c r="Y5715">
        <v>0</v>
      </c>
      <c r="Z5715">
        <v>1</v>
      </c>
      <c r="AA5715">
        <v>242.08</v>
      </c>
      <c r="AB5715">
        <v>242.08</v>
      </c>
      <c r="AC5715">
        <v>213</v>
      </c>
      <c r="AD5715">
        <v>0</v>
      </c>
      <c r="AE5715">
        <v>29.08</v>
      </c>
      <c r="AF5715">
        <v>0</v>
      </c>
      <c r="AG5715">
        <v>0</v>
      </c>
      <c r="AH5715">
        <v>0</v>
      </c>
      <c r="AI5715">
        <v>0</v>
      </c>
      <c r="AJ5715">
        <v>242.08</v>
      </c>
      <c r="AK5715">
        <v>0</v>
      </c>
      <c r="AL5715" t="s">
        <v>53</v>
      </c>
      <c r="AM5715" t="s">
        <v>53</v>
      </c>
      <c r="AN5715" t="s">
        <v>53</v>
      </c>
      <c r="AO5715" t="s">
        <v>53</v>
      </c>
      <c r="AP5715" t="s">
        <v>53</v>
      </c>
    </row>
    <row r="5716" spans="2:42" x14ac:dyDescent="0.2">
      <c r="B5716" t="s">
        <v>44</v>
      </c>
      <c r="C5716" t="str">
        <f>HYPERLINK("https://us2.cloudbeds.com/connect/8493803454333002#/reservations/9080486846413777?display=2P32RNMU69&amp;reservation_id=9080486846413777", "2P32RNMU69")</f>
        <v>2P32RNMU69</v>
      </c>
      <c r="D5716" t="s">
        <v>45</v>
      </c>
      <c r="E5716" t="s">
        <v>121</v>
      </c>
      <c r="F5716" t="s">
        <v>86</v>
      </c>
      <c r="G5716" t="s">
        <v>48</v>
      </c>
      <c r="H5716" t="s">
        <v>49</v>
      </c>
      <c r="I5716" t="s">
        <v>50</v>
      </c>
      <c r="J5716" t="s">
        <v>7925</v>
      </c>
      <c r="K5716" t="s">
        <v>7926</v>
      </c>
      <c r="L5716" t="s">
        <v>53</v>
      </c>
      <c r="N5716" t="s">
        <v>10190</v>
      </c>
      <c r="P5716" t="s">
        <v>55</v>
      </c>
      <c r="R5716" t="s">
        <v>53</v>
      </c>
      <c r="T5716" t="s">
        <v>10191</v>
      </c>
      <c r="U5716" t="s">
        <v>58</v>
      </c>
      <c r="V5716">
        <v>1</v>
      </c>
      <c r="W5716">
        <v>1</v>
      </c>
      <c r="X5716">
        <v>1</v>
      </c>
      <c r="Y5716">
        <v>0</v>
      </c>
      <c r="Z5716">
        <v>1</v>
      </c>
      <c r="AA5716">
        <v>193.66</v>
      </c>
      <c r="AB5716">
        <v>193.66</v>
      </c>
      <c r="AC5716">
        <v>170.4</v>
      </c>
      <c r="AD5716">
        <v>0</v>
      </c>
      <c r="AE5716">
        <v>23.26</v>
      </c>
      <c r="AF5716">
        <v>0</v>
      </c>
      <c r="AG5716">
        <v>0</v>
      </c>
      <c r="AH5716">
        <v>0</v>
      </c>
      <c r="AI5716">
        <v>34.86</v>
      </c>
      <c r="AJ5716">
        <v>193.66</v>
      </c>
      <c r="AK5716">
        <v>0</v>
      </c>
      <c r="AL5716" t="s">
        <v>53</v>
      </c>
      <c r="AM5716" t="s">
        <v>53</v>
      </c>
      <c r="AN5716" t="s">
        <v>53</v>
      </c>
      <c r="AO5716" t="s">
        <v>53</v>
      </c>
      <c r="AP5716" t="s">
        <v>53</v>
      </c>
    </row>
    <row r="5717" spans="2:42" x14ac:dyDescent="0.2">
      <c r="B5717" t="s">
        <v>44</v>
      </c>
      <c r="C5717" t="str">
        <f>HYPERLINK("https://us2.cloudbeds.com/connect/8493803454333002#/reservations/9080486846414114?display=2P3HU8J2Q3&amp;reservation_id=9080486846414114", "2P3HU8J2Q3")</f>
        <v>2P3HU8J2Q3</v>
      </c>
      <c r="D5717" t="s">
        <v>45</v>
      </c>
      <c r="E5717" t="s">
        <v>165</v>
      </c>
      <c r="F5717" t="s">
        <v>61</v>
      </c>
      <c r="G5717" t="s">
        <v>48</v>
      </c>
      <c r="H5717" t="s">
        <v>49</v>
      </c>
      <c r="I5717" t="s">
        <v>50</v>
      </c>
      <c r="J5717" t="s">
        <v>10192</v>
      </c>
      <c r="K5717" t="s">
        <v>10193</v>
      </c>
      <c r="L5717" t="s">
        <v>53</v>
      </c>
      <c r="N5717" t="s">
        <v>10194</v>
      </c>
      <c r="P5717" t="s">
        <v>55</v>
      </c>
      <c r="R5717" t="s">
        <v>53</v>
      </c>
      <c r="T5717" t="s">
        <v>10195</v>
      </c>
      <c r="U5717" t="s">
        <v>58</v>
      </c>
      <c r="V5717">
        <v>2</v>
      </c>
      <c r="W5717">
        <v>1</v>
      </c>
      <c r="X5717">
        <v>2</v>
      </c>
      <c r="Y5717">
        <v>0</v>
      </c>
      <c r="Z5717">
        <v>2</v>
      </c>
      <c r="AA5717">
        <v>180.78</v>
      </c>
      <c r="AB5717">
        <v>90.84</v>
      </c>
      <c r="AC5717">
        <v>159.07</v>
      </c>
      <c r="AD5717">
        <v>0</v>
      </c>
      <c r="AE5717">
        <v>21.71</v>
      </c>
      <c r="AF5717">
        <v>0</v>
      </c>
      <c r="AG5717">
        <v>0</v>
      </c>
      <c r="AH5717">
        <v>0</v>
      </c>
      <c r="AI5717">
        <v>32.54</v>
      </c>
      <c r="AJ5717">
        <v>180.78</v>
      </c>
      <c r="AK5717">
        <v>89.94</v>
      </c>
      <c r="AL5717" t="s">
        <v>53</v>
      </c>
      <c r="AM5717" t="s">
        <v>53</v>
      </c>
      <c r="AN5717" t="s">
        <v>10196</v>
      </c>
      <c r="AO5717" t="s">
        <v>53</v>
      </c>
      <c r="AP5717" t="s">
        <v>53</v>
      </c>
    </row>
    <row r="5718" spans="2:42" x14ac:dyDescent="0.2">
      <c r="B5718" t="s">
        <v>44</v>
      </c>
      <c r="C5718" t="str">
        <f>HYPERLINK("https://us2.cloudbeds.com/connect/8493803454333002#/reservations/9080486846414252?display=2P3PHS01M3&amp;reservation_id=9080486846414252", "2P3PHS01M3")</f>
        <v>2P3PHS01M3</v>
      </c>
      <c r="D5718" t="s">
        <v>45</v>
      </c>
      <c r="E5718" t="s">
        <v>185</v>
      </c>
      <c r="F5718" t="s">
        <v>47</v>
      </c>
      <c r="G5718" t="s">
        <v>48</v>
      </c>
      <c r="H5718" t="s">
        <v>49</v>
      </c>
      <c r="I5718" t="s">
        <v>50</v>
      </c>
      <c r="J5718" t="s">
        <v>8367</v>
      </c>
      <c r="K5718" t="s">
        <v>8071</v>
      </c>
      <c r="L5718" t="s">
        <v>53</v>
      </c>
      <c r="N5718" t="s">
        <v>10197</v>
      </c>
      <c r="P5718" t="s">
        <v>55</v>
      </c>
      <c r="R5718" t="s">
        <v>53</v>
      </c>
      <c r="T5718" t="s">
        <v>10198</v>
      </c>
      <c r="U5718" t="s">
        <v>58</v>
      </c>
      <c r="V5718">
        <v>2</v>
      </c>
      <c r="W5718">
        <v>2</v>
      </c>
      <c r="X5718">
        <v>3</v>
      </c>
      <c r="Y5718">
        <v>0</v>
      </c>
      <c r="Z5718">
        <v>3</v>
      </c>
      <c r="AA5718">
        <v>359.59</v>
      </c>
      <c r="AB5718">
        <v>359.59</v>
      </c>
      <c r="AC5718">
        <v>316.39999999999998</v>
      </c>
      <c r="AD5718">
        <v>0</v>
      </c>
      <c r="AE5718">
        <v>43.19</v>
      </c>
      <c r="AF5718">
        <v>0</v>
      </c>
      <c r="AG5718">
        <v>0</v>
      </c>
      <c r="AH5718">
        <v>0</v>
      </c>
      <c r="AI5718">
        <v>64.73</v>
      </c>
      <c r="AJ5718">
        <v>359.59</v>
      </c>
      <c r="AK5718">
        <v>0</v>
      </c>
      <c r="AL5718" t="s">
        <v>53</v>
      </c>
      <c r="AM5718" t="s">
        <v>53</v>
      </c>
      <c r="AN5718" t="s">
        <v>53</v>
      </c>
      <c r="AO5718" t="s">
        <v>53</v>
      </c>
      <c r="AP5718" t="s">
        <v>53</v>
      </c>
    </row>
    <row r="5719" spans="2:42" x14ac:dyDescent="0.2">
      <c r="B5719" t="s">
        <v>44</v>
      </c>
      <c r="C5719" t="str">
        <f>HYPERLINK("https://us2.cloudbeds.com/connect/8493803454333002#/reservations/128148328014035?display=2P3SSQJD3V&amp;reservation_id=128148328014035", "2P3SSQJD3V")</f>
        <v>2P3SSQJD3V</v>
      </c>
      <c r="D5719" t="s">
        <v>45</v>
      </c>
      <c r="E5719" t="s">
        <v>128</v>
      </c>
      <c r="F5719" t="s">
        <v>86</v>
      </c>
      <c r="G5719" t="s">
        <v>48</v>
      </c>
      <c r="H5719" t="s">
        <v>3957</v>
      </c>
      <c r="I5719" t="s">
        <v>3975</v>
      </c>
      <c r="J5719" t="s">
        <v>8261</v>
      </c>
      <c r="K5719" t="s">
        <v>7802</v>
      </c>
      <c r="L5719" t="s">
        <v>53</v>
      </c>
      <c r="P5719" t="s">
        <v>55</v>
      </c>
      <c r="R5719" t="s">
        <v>53</v>
      </c>
      <c r="T5719" t="s">
        <v>10199</v>
      </c>
      <c r="U5719" t="s">
        <v>58</v>
      </c>
      <c r="V5719">
        <v>1</v>
      </c>
      <c r="W5719">
        <v>1</v>
      </c>
      <c r="X5719">
        <v>2</v>
      </c>
      <c r="Y5719">
        <v>0</v>
      </c>
      <c r="Z5719">
        <v>2</v>
      </c>
      <c r="AA5719">
        <v>239.81</v>
      </c>
      <c r="AB5719">
        <v>239.81</v>
      </c>
      <c r="AC5719">
        <v>211</v>
      </c>
      <c r="AD5719">
        <v>0</v>
      </c>
      <c r="AE5719">
        <v>28.81</v>
      </c>
      <c r="AF5719">
        <v>0</v>
      </c>
      <c r="AG5719">
        <v>0</v>
      </c>
      <c r="AH5719">
        <v>0</v>
      </c>
      <c r="AI5719">
        <v>0</v>
      </c>
      <c r="AJ5719">
        <v>239.81</v>
      </c>
      <c r="AK5719">
        <v>0</v>
      </c>
      <c r="AL5719" t="s">
        <v>53</v>
      </c>
      <c r="AM5719" t="s">
        <v>53</v>
      </c>
      <c r="AN5719" t="s">
        <v>53</v>
      </c>
      <c r="AO5719" t="s">
        <v>53</v>
      </c>
      <c r="AP5719" t="s">
        <v>53</v>
      </c>
    </row>
    <row r="5720" spans="2:42" x14ac:dyDescent="0.2">
      <c r="B5720" t="s">
        <v>44</v>
      </c>
      <c r="C5720" t="str">
        <f>HYPERLINK("https://us2.cloudbeds.com/connect/8493803454333002#/reservations/9080486846414874?display=2P4ZTCQEHV&amp;reservation_id=9080486846414874", "2P4ZTCQEHV")</f>
        <v>2P4ZTCQEHV</v>
      </c>
      <c r="D5720" t="s">
        <v>45</v>
      </c>
      <c r="E5720" t="s">
        <v>113</v>
      </c>
      <c r="F5720" t="s">
        <v>61</v>
      </c>
      <c r="G5720" t="s">
        <v>48</v>
      </c>
      <c r="H5720" t="s">
        <v>49</v>
      </c>
      <c r="I5720" t="s">
        <v>50</v>
      </c>
      <c r="J5720" t="s">
        <v>8261</v>
      </c>
      <c r="K5720" t="s">
        <v>7802</v>
      </c>
      <c r="L5720" t="s">
        <v>53</v>
      </c>
      <c r="N5720" t="s">
        <v>10200</v>
      </c>
      <c r="P5720" t="s">
        <v>55</v>
      </c>
      <c r="R5720" t="s">
        <v>53</v>
      </c>
      <c r="T5720" t="s">
        <v>10201</v>
      </c>
      <c r="U5720" t="s">
        <v>58</v>
      </c>
      <c r="V5720">
        <v>1</v>
      </c>
      <c r="W5720">
        <v>1</v>
      </c>
      <c r="X5720">
        <v>2</v>
      </c>
      <c r="Y5720">
        <v>0</v>
      </c>
      <c r="Z5720">
        <v>2</v>
      </c>
      <c r="AA5720">
        <v>203.54</v>
      </c>
      <c r="AB5720">
        <v>203.54</v>
      </c>
      <c r="AC5720">
        <v>179.1</v>
      </c>
      <c r="AD5720">
        <v>0</v>
      </c>
      <c r="AE5720">
        <v>24.44</v>
      </c>
      <c r="AF5720">
        <v>0</v>
      </c>
      <c r="AG5720">
        <v>0</v>
      </c>
      <c r="AH5720">
        <v>0</v>
      </c>
      <c r="AI5720">
        <v>36.64</v>
      </c>
      <c r="AJ5720">
        <v>203.54</v>
      </c>
      <c r="AK5720">
        <v>0</v>
      </c>
      <c r="AL5720" t="s">
        <v>53</v>
      </c>
      <c r="AM5720" t="s">
        <v>53</v>
      </c>
      <c r="AN5720" t="s">
        <v>53</v>
      </c>
      <c r="AO5720" t="s">
        <v>53</v>
      </c>
      <c r="AP5720" t="s">
        <v>53</v>
      </c>
    </row>
    <row r="5721" spans="2:42" x14ac:dyDescent="0.2">
      <c r="B5721" t="s">
        <v>44</v>
      </c>
      <c r="C5721" t="str">
        <f>HYPERLINK("https://us2.cloudbeds.com/connect/8493803454333002#/reservations/9080486846416890?display=2P80HNK7KD&amp;reservation_id=9080486846416890", "2P80HNK7KD")</f>
        <v>2P80HNK7KD</v>
      </c>
      <c r="D5721" t="s">
        <v>45</v>
      </c>
      <c r="E5721" t="s">
        <v>213</v>
      </c>
      <c r="F5721" t="s">
        <v>86</v>
      </c>
      <c r="G5721" t="s">
        <v>48</v>
      </c>
      <c r="H5721" t="s">
        <v>49</v>
      </c>
      <c r="I5721" t="s">
        <v>50</v>
      </c>
      <c r="J5721" t="s">
        <v>8871</v>
      </c>
      <c r="K5721" t="s">
        <v>8790</v>
      </c>
      <c r="L5721" t="s">
        <v>53</v>
      </c>
      <c r="N5721" t="s">
        <v>10202</v>
      </c>
      <c r="P5721" t="s">
        <v>55</v>
      </c>
      <c r="R5721" t="s">
        <v>53</v>
      </c>
      <c r="T5721" t="s">
        <v>10203</v>
      </c>
      <c r="U5721" t="s">
        <v>58</v>
      </c>
      <c r="V5721">
        <v>1</v>
      </c>
      <c r="W5721">
        <v>1</v>
      </c>
      <c r="X5721">
        <v>2</v>
      </c>
      <c r="Y5721">
        <v>0</v>
      </c>
      <c r="Z5721">
        <v>2</v>
      </c>
      <c r="AA5721">
        <v>226.05</v>
      </c>
      <c r="AB5721">
        <v>226.05</v>
      </c>
      <c r="AC5721">
        <v>198.9</v>
      </c>
      <c r="AD5721">
        <v>0</v>
      </c>
      <c r="AE5721">
        <v>27.15</v>
      </c>
      <c r="AF5721">
        <v>0</v>
      </c>
      <c r="AG5721">
        <v>0</v>
      </c>
      <c r="AH5721">
        <v>0</v>
      </c>
      <c r="AI5721">
        <v>40.69</v>
      </c>
      <c r="AJ5721">
        <v>226.05</v>
      </c>
      <c r="AK5721">
        <v>0</v>
      </c>
      <c r="AL5721" t="s">
        <v>53</v>
      </c>
      <c r="AM5721" t="s">
        <v>53</v>
      </c>
      <c r="AN5721" t="s">
        <v>53</v>
      </c>
      <c r="AO5721" t="s">
        <v>53</v>
      </c>
      <c r="AP5721" t="s">
        <v>53</v>
      </c>
    </row>
    <row r="5722" spans="2:42" x14ac:dyDescent="0.2">
      <c r="B5722" t="s">
        <v>44</v>
      </c>
      <c r="C5722" t="str">
        <f>HYPERLINK("https://us2.cloudbeds.com/connect/8493803454333002#/reservations/9080486846416891?display=2P80CNY7C2&amp;reservation_id=9080486846416891", "2P80CNY7C2")</f>
        <v>2P80CNY7C2</v>
      </c>
      <c r="D5722" t="s">
        <v>45</v>
      </c>
      <c r="E5722" t="s">
        <v>121</v>
      </c>
      <c r="F5722" t="s">
        <v>86</v>
      </c>
      <c r="G5722" t="s">
        <v>48</v>
      </c>
      <c r="H5722" t="s">
        <v>49</v>
      </c>
      <c r="I5722" t="s">
        <v>50</v>
      </c>
      <c r="J5722" t="s">
        <v>8871</v>
      </c>
      <c r="K5722" t="s">
        <v>8790</v>
      </c>
      <c r="L5722" t="s">
        <v>53</v>
      </c>
      <c r="N5722" t="s">
        <v>10204</v>
      </c>
      <c r="P5722" t="s">
        <v>55</v>
      </c>
      <c r="R5722" t="s">
        <v>53</v>
      </c>
      <c r="T5722" t="s">
        <v>10205</v>
      </c>
      <c r="U5722" t="s">
        <v>58</v>
      </c>
      <c r="V5722">
        <v>1</v>
      </c>
      <c r="W5722">
        <v>1</v>
      </c>
      <c r="X5722">
        <v>1</v>
      </c>
      <c r="Y5722">
        <v>1</v>
      </c>
      <c r="Z5722">
        <v>2</v>
      </c>
      <c r="AA5722">
        <v>226.05</v>
      </c>
      <c r="AB5722">
        <v>226.05</v>
      </c>
      <c r="AC5722">
        <v>198.9</v>
      </c>
      <c r="AD5722">
        <v>0</v>
      </c>
      <c r="AE5722">
        <v>27.15</v>
      </c>
      <c r="AF5722">
        <v>0</v>
      </c>
      <c r="AG5722">
        <v>0</v>
      </c>
      <c r="AH5722">
        <v>0</v>
      </c>
      <c r="AI5722">
        <v>40.69</v>
      </c>
      <c r="AJ5722">
        <v>226.05</v>
      </c>
      <c r="AK5722">
        <v>0</v>
      </c>
      <c r="AL5722" t="s">
        <v>53</v>
      </c>
      <c r="AM5722" t="s">
        <v>53</v>
      </c>
      <c r="AN5722" t="s">
        <v>53</v>
      </c>
      <c r="AO5722" t="s">
        <v>53</v>
      </c>
      <c r="AP5722" t="s">
        <v>53</v>
      </c>
    </row>
    <row r="5723" spans="2:42" x14ac:dyDescent="0.2">
      <c r="B5723" t="s">
        <v>44</v>
      </c>
      <c r="C5723" t="str">
        <f>HYPERLINK("https://us2.cloudbeds.com/connect/8493803454333002#/reservations/9080486846417722?display=2P8STW8T4J&amp;reservation_id=9080486846417722", "2P8STW8T4J")</f>
        <v>2P8STW8T4J</v>
      </c>
      <c r="D5723" t="s">
        <v>45</v>
      </c>
      <c r="E5723" t="s">
        <v>406</v>
      </c>
      <c r="F5723" t="s">
        <v>61</v>
      </c>
      <c r="G5723" t="s">
        <v>48</v>
      </c>
      <c r="H5723" t="s">
        <v>49</v>
      </c>
      <c r="I5723" t="s">
        <v>50</v>
      </c>
      <c r="J5723" t="s">
        <v>8391</v>
      </c>
      <c r="K5723" t="s">
        <v>7750</v>
      </c>
      <c r="L5723" t="s">
        <v>53</v>
      </c>
      <c r="N5723" t="s">
        <v>10206</v>
      </c>
      <c r="P5723" t="s">
        <v>55</v>
      </c>
      <c r="R5723" t="s">
        <v>53</v>
      </c>
      <c r="T5723" t="s">
        <v>10207</v>
      </c>
      <c r="U5723" t="s">
        <v>58</v>
      </c>
      <c r="V5723">
        <v>3</v>
      </c>
      <c r="W5723">
        <v>1</v>
      </c>
      <c r="X5723">
        <v>2</v>
      </c>
      <c r="Y5723">
        <v>0</v>
      </c>
      <c r="Z5723">
        <v>2</v>
      </c>
      <c r="AA5723">
        <v>559.80999999999995</v>
      </c>
      <c r="AB5723">
        <v>559.80999999999995</v>
      </c>
      <c r="AC5723">
        <v>492.57</v>
      </c>
      <c r="AD5723">
        <v>0</v>
      </c>
      <c r="AE5723">
        <v>67.239999999999995</v>
      </c>
      <c r="AF5723">
        <v>0</v>
      </c>
      <c r="AG5723">
        <v>0</v>
      </c>
      <c r="AH5723">
        <v>0</v>
      </c>
      <c r="AI5723">
        <v>100.77</v>
      </c>
      <c r="AJ5723">
        <v>559.80999999999995</v>
      </c>
      <c r="AK5723">
        <v>0</v>
      </c>
      <c r="AL5723" t="s">
        <v>53</v>
      </c>
      <c r="AM5723" t="s">
        <v>53</v>
      </c>
      <c r="AN5723" t="s">
        <v>53</v>
      </c>
      <c r="AO5723" t="s">
        <v>53</v>
      </c>
      <c r="AP5723" t="s">
        <v>53</v>
      </c>
    </row>
    <row r="5724" spans="2:42" x14ac:dyDescent="0.2">
      <c r="B5724" t="s">
        <v>44</v>
      </c>
      <c r="C5724" t="str">
        <f>HYPERLINK("https://us2.cloudbeds.com/connect/8493803454333002#/reservations/128378193387771?display=2P98SD58RT&amp;reservation_id=128378193387771", "2P98SD58RT")</f>
        <v>2P98SD58RT</v>
      </c>
      <c r="D5724" t="s">
        <v>45</v>
      </c>
      <c r="E5724" t="s">
        <v>381</v>
      </c>
      <c r="F5724" t="s">
        <v>47</v>
      </c>
      <c r="G5724" t="s">
        <v>4520</v>
      </c>
      <c r="H5724" t="s">
        <v>3957</v>
      </c>
      <c r="I5724" t="s">
        <v>3989</v>
      </c>
      <c r="J5724" t="s">
        <v>7967</v>
      </c>
      <c r="K5724" t="s">
        <v>7989</v>
      </c>
      <c r="L5724" t="s">
        <v>53</v>
      </c>
      <c r="P5724" t="s">
        <v>55</v>
      </c>
      <c r="R5724" t="s">
        <v>56</v>
      </c>
      <c r="T5724" t="s">
        <v>10208</v>
      </c>
      <c r="U5724" t="s">
        <v>58</v>
      </c>
      <c r="V5724">
        <v>2</v>
      </c>
      <c r="W5724">
        <v>1</v>
      </c>
      <c r="X5724">
        <v>1</v>
      </c>
      <c r="Y5724">
        <v>0</v>
      </c>
      <c r="Z5724">
        <v>1</v>
      </c>
      <c r="AA5724">
        <v>534.95000000000005</v>
      </c>
      <c r="AB5724">
        <v>1069.9000000000001</v>
      </c>
      <c r="AC5724">
        <v>470.7</v>
      </c>
      <c r="AD5724">
        <v>0</v>
      </c>
      <c r="AE5724">
        <v>64.25</v>
      </c>
      <c r="AF5724">
        <v>0</v>
      </c>
      <c r="AG5724">
        <v>0</v>
      </c>
      <c r="AH5724">
        <v>0</v>
      </c>
      <c r="AI5724">
        <v>0</v>
      </c>
      <c r="AJ5724">
        <v>534.95000000000005</v>
      </c>
      <c r="AK5724">
        <v>150</v>
      </c>
      <c r="AL5724" t="s">
        <v>53</v>
      </c>
      <c r="AM5724" t="s">
        <v>53</v>
      </c>
      <c r="AN5724" t="s">
        <v>53</v>
      </c>
      <c r="AO5724" t="s">
        <v>53</v>
      </c>
      <c r="AP5724" t="s">
        <v>53</v>
      </c>
    </row>
    <row r="5725" spans="2:42" x14ac:dyDescent="0.2">
      <c r="B5725" t="s">
        <v>44</v>
      </c>
      <c r="C5725" t="str">
        <f>HYPERLINK("https://us2.cloudbeds.com/connect/8493803454333002#/reservations/9080486846418248?display=2P9C6DZG80&amp;reservation_id=9080486846418248", "2P9C6DZG80")</f>
        <v>2P9C6DZG80</v>
      </c>
      <c r="D5725" t="s">
        <v>45</v>
      </c>
      <c r="E5725" t="s">
        <v>223</v>
      </c>
      <c r="F5725" t="s">
        <v>47</v>
      </c>
      <c r="G5725" t="s">
        <v>48</v>
      </c>
      <c r="H5725" t="s">
        <v>49</v>
      </c>
      <c r="I5725" t="s">
        <v>50</v>
      </c>
      <c r="J5725" t="s">
        <v>7926</v>
      </c>
      <c r="K5725" t="s">
        <v>8249</v>
      </c>
      <c r="L5725" t="s">
        <v>53</v>
      </c>
      <c r="N5725" t="s">
        <v>10209</v>
      </c>
      <c r="P5725" t="s">
        <v>55</v>
      </c>
      <c r="R5725" t="s">
        <v>53</v>
      </c>
      <c r="T5725" t="s">
        <v>10210</v>
      </c>
      <c r="U5725" t="s">
        <v>58</v>
      </c>
      <c r="V5725">
        <v>1</v>
      </c>
      <c r="W5725">
        <v>1</v>
      </c>
      <c r="X5725">
        <v>2</v>
      </c>
      <c r="Y5725">
        <v>0</v>
      </c>
      <c r="Z5725">
        <v>2</v>
      </c>
      <c r="AA5725">
        <v>174.56</v>
      </c>
      <c r="AB5725">
        <v>174.56</v>
      </c>
      <c r="AC5725">
        <v>153.6</v>
      </c>
      <c r="AD5725">
        <v>0</v>
      </c>
      <c r="AE5725">
        <v>20.96</v>
      </c>
      <c r="AF5725">
        <v>0</v>
      </c>
      <c r="AG5725">
        <v>0</v>
      </c>
      <c r="AH5725">
        <v>0</v>
      </c>
      <c r="AI5725">
        <v>31.42</v>
      </c>
      <c r="AJ5725">
        <v>174.56</v>
      </c>
      <c r="AK5725">
        <v>0</v>
      </c>
      <c r="AL5725" t="s">
        <v>53</v>
      </c>
      <c r="AM5725" t="s">
        <v>53</v>
      </c>
      <c r="AN5725" t="s">
        <v>53</v>
      </c>
      <c r="AO5725" t="s">
        <v>53</v>
      </c>
      <c r="AP5725" t="s">
        <v>53</v>
      </c>
    </row>
    <row r="5726" spans="2:42" x14ac:dyDescent="0.2">
      <c r="B5726" t="s">
        <v>44</v>
      </c>
      <c r="C5726" t="str">
        <f>HYPERLINK("https://us2.cloudbeds.com/connect/8493803454333002#/reservations/128394432868491?display=2P9YEBNP08&amp;reservation_id=128394432868491", "2P9YEBNP08")</f>
        <v>2P9YEBNP08</v>
      </c>
      <c r="D5726" t="s">
        <v>45</v>
      </c>
      <c r="E5726" t="s">
        <v>305</v>
      </c>
      <c r="F5726" t="s">
        <v>61</v>
      </c>
      <c r="G5726" t="s">
        <v>4520</v>
      </c>
      <c r="H5726" t="s">
        <v>3957</v>
      </c>
      <c r="I5726" t="s">
        <v>3958</v>
      </c>
      <c r="J5726" t="s">
        <v>8249</v>
      </c>
      <c r="K5726" t="s">
        <v>4009</v>
      </c>
      <c r="L5726" t="s">
        <v>53</v>
      </c>
      <c r="P5726" t="s">
        <v>55</v>
      </c>
      <c r="R5726" t="s">
        <v>56</v>
      </c>
      <c r="T5726" t="s">
        <v>10211</v>
      </c>
      <c r="U5726" t="s">
        <v>58</v>
      </c>
      <c r="V5726">
        <v>15</v>
      </c>
      <c r="W5726">
        <v>1</v>
      </c>
      <c r="X5726">
        <v>1</v>
      </c>
      <c r="Y5726">
        <v>0</v>
      </c>
      <c r="Z5726">
        <v>1</v>
      </c>
      <c r="AA5726">
        <v>2992.82</v>
      </c>
      <c r="AB5726">
        <v>2992.82</v>
      </c>
      <c r="AC5726">
        <v>2633.4</v>
      </c>
      <c r="AD5726">
        <v>0</v>
      </c>
      <c r="AE5726">
        <v>359.42</v>
      </c>
      <c r="AF5726">
        <v>0</v>
      </c>
      <c r="AG5726">
        <v>0</v>
      </c>
      <c r="AH5726">
        <v>0</v>
      </c>
      <c r="AI5726">
        <v>0</v>
      </c>
      <c r="AJ5726">
        <v>2992.82</v>
      </c>
      <c r="AK5726">
        <v>0</v>
      </c>
      <c r="AL5726" t="s">
        <v>53</v>
      </c>
      <c r="AM5726" t="s">
        <v>53</v>
      </c>
      <c r="AN5726" t="s">
        <v>53</v>
      </c>
      <c r="AO5726" t="s">
        <v>53</v>
      </c>
      <c r="AP5726" t="s">
        <v>53</v>
      </c>
    </row>
    <row r="5727" spans="2:42" x14ac:dyDescent="0.2">
      <c r="B5727" t="s">
        <v>44</v>
      </c>
      <c r="C5727" t="str">
        <f>HYPERLINK("https://us2.cloudbeds.com/connect/8493803454333002#/reservations/9080486846418521?display=2P9YJ7DEC6&amp;reservation_id=9080486846418521", "2P9YJ7DEC6")</f>
        <v>2P9YJ7DEC6</v>
      </c>
      <c r="D5727" t="s">
        <v>45</v>
      </c>
      <c r="E5727" t="s">
        <v>190</v>
      </c>
      <c r="F5727" t="s">
        <v>61</v>
      </c>
      <c r="G5727" t="s">
        <v>48</v>
      </c>
      <c r="H5727" t="s">
        <v>49</v>
      </c>
      <c r="I5727" t="s">
        <v>50</v>
      </c>
      <c r="J5727" t="s">
        <v>9928</v>
      </c>
      <c r="K5727" t="s">
        <v>6345</v>
      </c>
      <c r="L5727" t="s">
        <v>53</v>
      </c>
      <c r="N5727" t="s">
        <v>10212</v>
      </c>
      <c r="P5727" t="s">
        <v>55</v>
      </c>
      <c r="R5727" t="s">
        <v>53</v>
      </c>
      <c r="T5727" t="s">
        <v>10213</v>
      </c>
      <c r="U5727" t="s">
        <v>58</v>
      </c>
      <c r="V5727">
        <v>4</v>
      </c>
      <c r="W5727">
        <v>1</v>
      </c>
      <c r="X5727">
        <v>2</v>
      </c>
      <c r="Y5727">
        <v>0</v>
      </c>
      <c r="Z5727">
        <v>2</v>
      </c>
      <c r="AA5727">
        <v>729.17</v>
      </c>
      <c r="AB5727">
        <v>729.17</v>
      </c>
      <c r="AC5727">
        <v>641.6</v>
      </c>
      <c r="AD5727">
        <v>0</v>
      </c>
      <c r="AE5727">
        <v>87.57</v>
      </c>
      <c r="AF5727">
        <v>0</v>
      </c>
      <c r="AG5727">
        <v>0</v>
      </c>
      <c r="AH5727">
        <v>0</v>
      </c>
      <c r="AI5727">
        <v>131.25</v>
      </c>
      <c r="AJ5727">
        <v>729.17</v>
      </c>
      <c r="AK5727">
        <v>0</v>
      </c>
      <c r="AL5727" t="s">
        <v>53</v>
      </c>
      <c r="AM5727" t="s">
        <v>53</v>
      </c>
      <c r="AN5727" t="s">
        <v>53</v>
      </c>
      <c r="AO5727" t="s">
        <v>53</v>
      </c>
      <c r="AP5727" t="s">
        <v>53</v>
      </c>
    </row>
    <row r="5728" spans="2:42" x14ac:dyDescent="0.2">
      <c r="B5728" t="s">
        <v>44</v>
      </c>
      <c r="C5728" t="str">
        <f>HYPERLINK("https://us2.cloudbeds.com/connect/8493803454333002#/reservations/128412416774395?display=2PA2BT7ERR&amp;reservation_id=128412416774395", "2PA2BT7ERR")</f>
        <v>2PA2BT7ERR</v>
      </c>
      <c r="D5728" t="s">
        <v>45</v>
      </c>
      <c r="E5728" t="s">
        <v>165</v>
      </c>
      <c r="F5728" t="s">
        <v>61</v>
      </c>
      <c r="G5728" t="s">
        <v>48</v>
      </c>
      <c r="H5728" t="s">
        <v>3957</v>
      </c>
      <c r="I5728" t="s">
        <v>3975</v>
      </c>
      <c r="J5728" t="s">
        <v>8249</v>
      </c>
      <c r="K5728" t="s">
        <v>8871</v>
      </c>
      <c r="L5728" t="s">
        <v>53</v>
      </c>
      <c r="P5728" t="s">
        <v>55</v>
      </c>
      <c r="R5728" t="s">
        <v>53</v>
      </c>
      <c r="T5728" t="s">
        <v>10214</v>
      </c>
      <c r="U5728" t="s">
        <v>58</v>
      </c>
      <c r="V5728">
        <v>1</v>
      </c>
      <c r="W5728">
        <v>1</v>
      </c>
      <c r="X5728">
        <v>2</v>
      </c>
      <c r="Y5728">
        <v>0</v>
      </c>
      <c r="Z5728">
        <v>2</v>
      </c>
      <c r="AA5728">
        <v>231.85</v>
      </c>
      <c r="AB5728">
        <v>231.85</v>
      </c>
      <c r="AC5728">
        <v>204</v>
      </c>
      <c r="AD5728">
        <v>0</v>
      </c>
      <c r="AE5728">
        <v>27.85</v>
      </c>
      <c r="AF5728">
        <v>0</v>
      </c>
      <c r="AG5728">
        <v>0</v>
      </c>
      <c r="AH5728">
        <v>0</v>
      </c>
      <c r="AI5728">
        <v>0</v>
      </c>
      <c r="AJ5728">
        <v>231.85</v>
      </c>
      <c r="AK5728">
        <v>0</v>
      </c>
      <c r="AL5728" t="s">
        <v>53</v>
      </c>
      <c r="AM5728" t="s">
        <v>53</v>
      </c>
      <c r="AN5728" t="s">
        <v>53</v>
      </c>
      <c r="AO5728" t="s">
        <v>53</v>
      </c>
      <c r="AP5728" t="s">
        <v>53</v>
      </c>
    </row>
    <row r="5729" spans="2:42" x14ac:dyDescent="0.2">
      <c r="B5729" t="s">
        <v>44</v>
      </c>
      <c r="C5729" t="str">
        <f>HYPERLINK("https://us2.cloudbeds.com/connect/8493803454333002#/reservations/128425486356694?display=2PACFRRRR9&amp;reservation_id=128425486356694", "2PACFRRRR9")</f>
        <v>2PACFRRRR9</v>
      </c>
      <c r="D5729" t="s">
        <v>45</v>
      </c>
      <c r="E5729" t="s">
        <v>98</v>
      </c>
      <c r="F5729" t="s">
        <v>86</v>
      </c>
      <c r="G5729" t="s">
        <v>48</v>
      </c>
      <c r="H5729" t="s">
        <v>3957</v>
      </c>
      <c r="I5729" t="s">
        <v>3958</v>
      </c>
      <c r="J5729" t="s">
        <v>8071</v>
      </c>
      <c r="K5729" t="s">
        <v>4008</v>
      </c>
      <c r="L5729" t="s">
        <v>53</v>
      </c>
      <c r="P5729" t="s">
        <v>55</v>
      </c>
      <c r="R5729" t="s">
        <v>56</v>
      </c>
      <c r="T5729" t="s">
        <v>10215</v>
      </c>
      <c r="U5729" t="s">
        <v>58</v>
      </c>
      <c r="V5729">
        <v>1</v>
      </c>
      <c r="W5729">
        <v>1</v>
      </c>
      <c r="X5729">
        <v>1</v>
      </c>
      <c r="Y5729">
        <v>0</v>
      </c>
      <c r="Z5729">
        <v>1</v>
      </c>
      <c r="AA5729">
        <v>187.53</v>
      </c>
      <c r="AB5729">
        <v>187.53</v>
      </c>
      <c r="AC5729">
        <v>165</v>
      </c>
      <c r="AD5729">
        <v>0</v>
      </c>
      <c r="AE5729">
        <v>22.53</v>
      </c>
      <c r="AF5729">
        <v>0</v>
      </c>
      <c r="AG5729">
        <v>0</v>
      </c>
      <c r="AH5729">
        <v>0</v>
      </c>
      <c r="AI5729">
        <v>0</v>
      </c>
      <c r="AJ5729">
        <v>187.53</v>
      </c>
      <c r="AK5729">
        <v>0</v>
      </c>
      <c r="AL5729" t="s">
        <v>53</v>
      </c>
      <c r="AM5729" t="s">
        <v>53</v>
      </c>
      <c r="AN5729" t="s">
        <v>53</v>
      </c>
      <c r="AO5729" t="s">
        <v>53</v>
      </c>
      <c r="AP5729" t="s">
        <v>53</v>
      </c>
    </row>
    <row r="5730" spans="2:42" x14ac:dyDescent="0.2">
      <c r="B5730" t="s">
        <v>44</v>
      </c>
      <c r="C5730" t="str">
        <f>HYPERLINK("https://us2.cloudbeds.com/connect/8493803454333002#/reservations/9080486846419471?display=2PAH24EA4J&amp;reservation_id=9080486846419471", "2PAH24EA4J")</f>
        <v>2PAH24EA4J</v>
      </c>
      <c r="D5730" t="s">
        <v>45</v>
      </c>
      <c r="E5730" t="s">
        <v>105</v>
      </c>
      <c r="F5730" t="s">
        <v>47</v>
      </c>
      <c r="G5730" t="s">
        <v>48</v>
      </c>
      <c r="H5730" t="s">
        <v>49</v>
      </c>
      <c r="I5730" t="s">
        <v>62</v>
      </c>
      <c r="J5730" t="s">
        <v>8261</v>
      </c>
      <c r="K5730" t="s">
        <v>7802</v>
      </c>
      <c r="L5730" t="s">
        <v>53</v>
      </c>
      <c r="N5730" t="s">
        <v>10216</v>
      </c>
      <c r="P5730" t="s">
        <v>58</v>
      </c>
      <c r="R5730" t="s">
        <v>56</v>
      </c>
      <c r="T5730" t="s">
        <v>10217</v>
      </c>
      <c r="U5730" t="s">
        <v>55</v>
      </c>
      <c r="V5730">
        <v>1</v>
      </c>
      <c r="W5730">
        <v>1</v>
      </c>
      <c r="X5730">
        <v>2</v>
      </c>
      <c r="Y5730">
        <v>0</v>
      </c>
      <c r="Z5730">
        <v>2</v>
      </c>
      <c r="AA5730">
        <v>183</v>
      </c>
      <c r="AB5730">
        <v>183</v>
      </c>
      <c r="AC5730">
        <v>183</v>
      </c>
      <c r="AD5730">
        <v>0</v>
      </c>
      <c r="AE5730">
        <v>0</v>
      </c>
      <c r="AF5730">
        <v>0</v>
      </c>
      <c r="AG5730">
        <v>0</v>
      </c>
      <c r="AH5730">
        <v>0</v>
      </c>
      <c r="AI5730">
        <v>32.94</v>
      </c>
      <c r="AJ5730">
        <v>183</v>
      </c>
      <c r="AK5730">
        <v>0</v>
      </c>
      <c r="AL5730" t="s">
        <v>53</v>
      </c>
      <c r="AM5730" t="s">
        <v>53</v>
      </c>
      <c r="AN5730" t="s">
        <v>53</v>
      </c>
      <c r="AO5730" t="s">
        <v>53</v>
      </c>
      <c r="AP5730" t="s">
        <v>53</v>
      </c>
    </row>
    <row r="5731" spans="2:42" x14ac:dyDescent="0.2">
      <c r="B5731" t="s">
        <v>44</v>
      </c>
      <c r="C5731" t="str">
        <f>HYPERLINK("https://us2.cloudbeds.com/connect/8493803454333002#/reservations/9080486846419703?display=2PAZBDE1R7&amp;reservation_id=9080486846419703", "2PAZBDE1R7")</f>
        <v>2PAZBDE1R7</v>
      </c>
      <c r="D5731" t="s">
        <v>45</v>
      </c>
      <c r="E5731" t="s">
        <v>138</v>
      </c>
      <c r="F5731" t="s">
        <v>70</v>
      </c>
      <c r="G5731" t="s">
        <v>48</v>
      </c>
      <c r="H5731" t="s">
        <v>49</v>
      </c>
      <c r="I5731" t="s">
        <v>62</v>
      </c>
      <c r="J5731" t="s">
        <v>9620</v>
      </c>
      <c r="K5731" t="s">
        <v>7089</v>
      </c>
      <c r="L5731" t="s">
        <v>53</v>
      </c>
      <c r="N5731" t="s">
        <v>10218</v>
      </c>
      <c r="P5731" t="s">
        <v>55</v>
      </c>
      <c r="R5731" t="s">
        <v>56</v>
      </c>
      <c r="T5731" t="s">
        <v>10219</v>
      </c>
      <c r="U5731" t="s">
        <v>55</v>
      </c>
      <c r="V5731">
        <v>1</v>
      </c>
      <c r="W5731">
        <v>1</v>
      </c>
      <c r="X5731">
        <v>2</v>
      </c>
      <c r="Y5731">
        <v>0</v>
      </c>
      <c r="Z5731">
        <v>2</v>
      </c>
      <c r="AA5731">
        <v>166.25</v>
      </c>
      <c r="AB5731">
        <v>166.25</v>
      </c>
      <c r="AC5731">
        <v>166.25</v>
      </c>
      <c r="AD5731">
        <v>0</v>
      </c>
      <c r="AE5731">
        <v>0</v>
      </c>
      <c r="AF5731">
        <v>0</v>
      </c>
      <c r="AG5731">
        <v>0</v>
      </c>
      <c r="AH5731">
        <v>0</v>
      </c>
      <c r="AI5731">
        <v>29.93</v>
      </c>
      <c r="AJ5731">
        <v>166.25</v>
      </c>
      <c r="AK5731">
        <v>0</v>
      </c>
      <c r="AL5731" t="s">
        <v>53</v>
      </c>
      <c r="AM5731" t="s">
        <v>53</v>
      </c>
      <c r="AN5731" t="s">
        <v>53</v>
      </c>
      <c r="AO5731" t="s">
        <v>53</v>
      </c>
      <c r="AP5731" t="s">
        <v>53</v>
      </c>
    </row>
    <row r="5732" spans="2:42" x14ac:dyDescent="0.2">
      <c r="B5732" t="s">
        <v>44</v>
      </c>
      <c r="C5732" t="str">
        <f>HYPERLINK("https://us2.cloudbeds.com/connect/8493803454333002#/reservations/9080486846419831?display=2PATFYFRGT&amp;reservation_id=9080486846419831", "2PATFYFRGT")</f>
        <v>2PATFYFRGT</v>
      </c>
      <c r="D5732" t="s">
        <v>45</v>
      </c>
      <c r="E5732" t="s">
        <v>305</v>
      </c>
      <c r="F5732" t="s">
        <v>61</v>
      </c>
      <c r="G5732" t="s">
        <v>48</v>
      </c>
      <c r="H5732" t="s">
        <v>49</v>
      </c>
      <c r="I5732" t="s">
        <v>50</v>
      </c>
      <c r="J5732" t="s">
        <v>7926</v>
      </c>
      <c r="K5732" t="s">
        <v>8249</v>
      </c>
      <c r="L5732" t="s">
        <v>53</v>
      </c>
      <c r="N5732" t="s">
        <v>10220</v>
      </c>
      <c r="P5732" t="s">
        <v>55</v>
      </c>
      <c r="R5732" t="s">
        <v>53</v>
      </c>
      <c r="T5732" t="s">
        <v>10221</v>
      </c>
      <c r="U5732" t="s">
        <v>58</v>
      </c>
      <c r="V5732">
        <v>1</v>
      </c>
      <c r="W5732">
        <v>1</v>
      </c>
      <c r="X5732">
        <v>2</v>
      </c>
      <c r="Y5732">
        <v>0</v>
      </c>
      <c r="Z5732">
        <v>2</v>
      </c>
      <c r="AA5732">
        <v>208.66</v>
      </c>
      <c r="AB5732">
        <v>208.66</v>
      </c>
      <c r="AC5732">
        <v>183.6</v>
      </c>
      <c r="AD5732">
        <v>0</v>
      </c>
      <c r="AE5732">
        <v>25.06</v>
      </c>
      <c r="AF5732">
        <v>0</v>
      </c>
      <c r="AG5732">
        <v>0</v>
      </c>
      <c r="AH5732">
        <v>0</v>
      </c>
      <c r="AI5732">
        <v>37.56</v>
      </c>
      <c r="AJ5732">
        <v>208.66</v>
      </c>
      <c r="AK5732">
        <v>0</v>
      </c>
      <c r="AL5732" t="s">
        <v>53</v>
      </c>
      <c r="AM5732" t="s">
        <v>53</v>
      </c>
      <c r="AN5732" t="s">
        <v>53</v>
      </c>
      <c r="AO5732" t="s">
        <v>53</v>
      </c>
      <c r="AP5732" t="s">
        <v>53</v>
      </c>
    </row>
    <row r="5733" spans="2:42" x14ac:dyDescent="0.2">
      <c r="B5733" t="s">
        <v>44</v>
      </c>
      <c r="C5733" t="str">
        <f>HYPERLINK("https://us2.cloudbeds.com/connect/8493803454333002#/reservations/9080486846420114?display=2PB5JCPF5G&amp;reservation_id=9080486846420114", "2PB5JCPF5G")</f>
        <v>2PB5JCPF5G</v>
      </c>
      <c r="D5733" t="s">
        <v>45</v>
      </c>
      <c r="E5733" t="s">
        <v>213</v>
      </c>
      <c r="F5733" t="s">
        <v>86</v>
      </c>
      <c r="G5733" t="s">
        <v>48</v>
      </c>
      <c r="H5733" t="s">
        <v>49</v>
      </c>
      <c r="I5733" t="s">
        <v>62</v>
      </c>
      <c r="J5733" t="s">
        <v>4008</v>
      </c>
      <c r="K5733" t="s">
        <v>4009</v>
      </c>
      <c r="L5733" t="s">
        <v>53</v>
      </c>
      <c r="N5733" t="s">
        <v>10222</v>
      </c>
      <c r="P5733" t="s">
        <v>55</v>
      </c>
      <c r="R5733" t="s">
        <v>56</v>
      </c>
      <c r="T5733" t="s">
        <v>10223</v>
      </c>
      <c r="U5733" t="s">
        <v>55</v>
      </c>
      <c r="V5733">
        <v>1</v>
      </c>
      <c r="W5733">
        <v>1</v>
      </c>
      <c r="X5733">
        <v>4</v>
      </c>
      <c r="Y5733">
        <v>0</v>
      </c>
      <c r="Z5733">
        <v>4</v>
      </c>
      <c r="AA5733">
        <v>169.1</v>
      </c>
      <c r="AB5733">
        <v>169.1</v>
      </c>
      <c r="AC5733">
        <v>169.1</v>
      </c>
      <c r="AD5733">
        <v>0</v>
      </c>
      <c r="AE5733">
        <v>0</v>
      </c>
      <c r="AF5733">
        <v>0</v>
      </c>
      <c r="AG5733">
        <v>0</v>
      </c>
      <c r="AH5733">
        <v>0</v>
      </c>
      <c r="AI5733">
        <v>30.44</v>
      </c>
      <c r="AJ5733">
        <v>169.1</v>
      </c>
      <c r="AK5733">
        <v>0</v>
      </c>
      <c r="AL5733" t="s">
        <v>53</v>
      </c>
      <c r="AM5733" t="s">
        <v>53</v>
      </c>
      <c r="AN5733" t="s">
        <v>53</v>
      </c>
      <c r="AO5733" t="s">
        <v>53</v>
      </c>
      <c r="AP5733" t="s">
        <v>53</v>
      </c>
    </row>
    <row r="5734" spans="2:42" x14ac:dyDescent="0.2">
      <c r="B5734" t="s">
        <v>44</v>
      </c>
      <c r="C5734" t="str">
        <f>HYPERLINK("https://us2.cloudbeds.com/connect/8493803454333002#/reservations/9080486846420271?display=2PBCK3GSPA&amp;reservation_id=9080486846420271", "2PBCK3GSPA")</f>
        <v>2PBCK3GSPA</v>
      </c>
      <c r="D5734" t="s">
        <v>45</v>
      </c>
      <c r="E5734" t="s">
        <v>78</v>
      </c>
      <c r="F5734" t="s">
        <v>61</v>
      </c>
      <c r="G5734" t="s">
        <v>48</v>
      </c>
      <c r="H5734" t="s">
        <v>49</v>
      </c>
      <c r="I5734" t="s">
        <v>50</v>
      </c>
      <c r="J5734" t="s">
        <v>5744</v>
      </c>
      <c r="K5734" t="s">
        <v>9610</v>
      </c>
      <c r="L5734" t="s">
        <v>53</v>
      </c>
      <c r="N5734" t="s">
        <v>10224</v>
      </c>
      <c r="P5734" t="s">
        <v>55</v>
      </c>
      <c r="R5734" t="s">
        <v>53</v>
      </c>
      <c r="T5734" t="s">
        <v>10225</v>
      </c>
      <c r="U5734" t="s">
        <v>58</v>
      </c>
      <c r="V5734">
        <v>2</v>
      </c>
      <c r="W5734">
        <v>1</v>
      </c>
      <c r="X5734">
        <v>2</v>
      </c>
      <c r="Y5734">
        <v>0</v>
      </c>
      <c r="Z5734">
        <v>2</v>
      </c>
      <c r="AA5734">
        <v>370.23</v>
      </c>
      <c r="AB5734">
        <v>370.23</v>
      </c>
      <c r="AC5734">
        <v>325.75</v>
      </c>
      <c r="AD5734">
        <v>0</v>
      </c>
      <c r="AE5734">
        <v>44.48</v>
      </c>
      <c r="AF5734">
        <v>0</v>
      </c>
      <c r="AG5734">
        <v>0</v>
      </c>
      <c r="AH5734">
        <v>0</v>
      </c>
      <c r="AI5734">
        <v>66.64</v>
      </c>
      <c r="AJ5734">
        <v>370.23</v>
      </c>
      <c r="AK5734">
        <v>0</v>
      </c>
      <c r="AL5734" t="s">
        <v>53</v>
      </c>
      <c r="AM5734" t="s">
        <v>53</v>
      </c>
      <c r="AN5734" t="s">
        <v>10226</v>
      </c>
      <c r="AO5734" t="s">
        <v>53</v>
      </c>
      <c r="AP5734" t="s">
        <v>53</v>
      </c>
    </row>
    <row r="5735" spans="2:42" x14ac:dyDescent="0.2">
      <c r="B5735" t="s">
        <v>44</v>
      </c>
      <c r="C5735" t="str">
        <f>HYPERLINK("https://us2.cloudbeds.com/connect/8493803454333002#/reservations/9080486846420457?display=2PBKRG8AHH&amp;reservation_id=9080486846420457", "2PBKRG8AHH")</f>
        <v>2PBKRG8AHH</v>
      </c>
      <c r="D5735" t="s">
        <v>45</v>
      </c>
      <c r="E5735" t="s">
        <v>165</v>
      </c>
      <c r="F5735" t="s">
        <v>61</v>
      </c>
      <c r="G5735" t="s">
        <v>48</v>
      </c>
      <c r="H5735" t="s">
        <v>49</v>
      </c>
      <c r="I5735" t="s">
        <v>50</v>
      </c>
      <c r="J5735" t="s">
        <v>6832</v>
      </c>
      <c r="K5735" t="s">
        <v>6379</v>
      </c>
      <c r="L5735" t="s">
        <v>53</v>
      </c>
      <c r="N5735" t="s">
        <v>10227</v>
      </c>
      <c r="P5735" t="s">
        <v>55</v>
      </c>
      <c r="R5735" t="s">
        <v>53</v>
      </c>
      <c r="T5735" t="s">
        <v>10228</v>
      </c>
      <c r="U5735" t="s">
        <v>58</v>
      </c>
      <c r="V5735">
        <v>2</v>
      </c>
      <c r="W5735">
        <v>1</v>
      </c>
      <c r="X5735">
        <v>2</v>
      </c>
      <c r="Y5735">
        <v>0</v>
      </c>
      <c r="Z5735">
        <v>2</v>
      </c>
      <c r="AA5735">
        <v>411.02</v>
      </c>
      <c r="AB5735">
        <v>411.02</v>
      </c>
      <c r="AC5735">
        <v>361.66</v>
      </c>
      <c r="AD5735">
        <v>0</v>
      </c>
      <c r="AE5735">
        <v>49.36</v>
      </c>
      <c r="AF5735">
        <v>0</v>
      </c>
      <c r="AG5735">
        <v>0</v>
      </c>
      <c r="AH5735">
        <v>0</v>
      </c>
      <c r="AI5735">
        <v>73.98</v>
      </c>
      <c r="AJ5735">
        <v>411.02</v>
      </c>
      <c r="AK5735">
        <v>0</v>
      </c>
      <c r="AL5735" t="s">
        <v>53</v>
      </c>
      <c r="AM5735" t="s">
        <v>53</v>
      </c>
      <c r="AN5735" t="s">
        <v>53</v>
      </c>
      <c r="AO5735" t="s">
        <v>53</v>
      </c>
      <c r="AP5735" t="s">
        <v>53</v>
      </c>
    </row>
    <row r="5736" spans="2:42" x14ac:dyDescent="0.2">
      <c r="B5736" t="s">
        <v>44</v>
      </c>
      <c r="C5736" t="str">
        <f>HYPERLINK("https://us2.cloudbeds.com/connect/8493803454333002#/reservations/9080486846420536?display=2PBZ35JEX0&amp;reservation_id=9080486846420536", "2PBZ35JEX0")</f>
        <v>2PBZ35JEX0</v>
      </c>
      <c r="D5736" t="s">
        <v>45</v>
      </c>
      <c r="E5736" t="s">
        <v>155</v>
      </c>
      <c r="F5736" t="s">
        <v>86</v>
      </c>
      <c r="G5736" t="s">
        <v>48</v>
      </c>
      <c r="H5736" t="s">
        <v>49</v>
      </c>
      <c r="I5736" t="s">
        <v>50</v>
      </c>
      <c r="J5736" t="s">
        <v>7803</v>
      </c>
      <c r="K5736" t="s">
        <v>8391</v>
      </c>
      <c r="L5736" t="s">
        <v>53</v>
      </c>
      <c r="N5736" t="s">
        <v>10229</v>
      </c>
      <c r="P5736" t="s">
        <v>55</v>
      </c>
      <c r="R5736" t="s">
        <v>53</v>
      </c>
      <c r="T5736" t="s">
        <v>10230</v>
      </c>
      <c r="U5736" t="s">
        <v>58</v>
      </c>
      <c r="V5736">
        <v>1</v>
      </c>
      <c r="W5736">
        <v>1</v>
      </c>
      <c r="X5736">
        <v>2</v>
      </c>
      <c r="Y5736">
        <v>0</v>
      </c>
      <c r="Z5736">
        <v>2</v>
      </c>
      <c r="AA5736">
        <v>171.88</v>
      </c>
      <c r="AB5736">
        <v>171.88</v>
      </c>
      <c r="AC5736">
        <v>151.24</v>
      </c>
      <c r="AD5736">
        <v>0</v>
      </c>
      <c r="AE5736">
        <v>20.64</v>
      </c>
      <c r="AF5736">
        <v>0</v>
      </c>
      <c r="AG5736">
        <v>0</v>
      </c>
      <c r="AH5736">
        <v>0</v>
      </c>
      <c r="AI5736">
        <v>30.94</v>
      </c>
      <c r="AJ5736">
        <v>171.88</v>
      </c>
      <c r="AK5736">
        <v>0</v>
      </c>
      <c r="AL5736" t="s">
        <v>53</v>
      </c>
      <c r="AM5736" t="s">
        <v>53</v>
      </c>
      <c r="AN5736" t="s">
        <v>53</v>
      </c>
      <c r="AO5736" t="s">
        <v>53</v>
      </c>
      <c r="AP5736" t="s">
        <v>53</v>
      </c>
    </row>
    <row r="5737" spans="2:42" x14ac:dyDescent="0.2">
      <c r="B5737" t="s">
        <v>44</v>
      </c>
      <c r="C5737" t="str">
        <f>HYPERLINK("https://us2.cloudbeds.com/connect/8493803454333002#/reservations/9080486846420725?display=2PC0TMQNEK&amp;reservation_id=9080486846420725", "2PC0TMQNEK")</f>
        <v>2PC0TMQNEK</v>
      </c>
      <c r="D5737" t="s">
        <v>45</v>
      </c>
      <c r="E5737" t="s">
        <v>487</v>
      </c>
      <c r="F5737" t="s">
        <v>61</v>
      </c>
      <c r="G5737" t="s">
        <v>48</v>
      </c>
      <c r="H5737" t="s">
        <v>49</v>
      </c>
      <c r="I5737" t="s">
        <v>50</v>
      </c>
      <c r="J5737" t="s">
        <v>8261</v>
      </c>
      <c r="K5737" t="s">
        <v>8053</v>
      </c>
      <c r="L5737" t="s">
        <v>53</v>
      </c>
      <c r="N5737" t="s">
        <v>10231</v>
      </c>
      <c r="P5737" t="s">
        <v>55</v>
      </c>
      <c r="R5737" t="s">
        <v>53</v>
      </c>
      <c r="T5737" t="s">
        <v>10232</v>
      </c>
      <c r="U5737" t="s">
        <v>58</v>
      </c>
      <c r="V5737">
        <v>2</v>
      </c>
      <c r="W5737">
        <v>1</v>
      </c>
      <c r="X5737">
        <v>1</v>
      </c>
      <c r="Y5737">
        <v>1</v>
      </c>
      <c r="Z5737">
        <v>2</v>
      </c>
      <c r="AA5737">
        <v>388.35</v>
      </c>
      <c r="AB5737">
        <v>388.35</v>
      </c>
      <c r="AC5737">
        <v>341.7</v>
      </c>
      <c r="AD5737">
        <v>0</v>
      </c>
      <c r="AE5737">
        <v>46.65</v>
      </c>
      <c r="AF5737">
        <v>0</v>
      </c>
      <c r="AG5737">
        <v>0</v>
      </c>
      <c r="AH5737">
        <v>0</v>
      </c>
      <c r="AI5737">
        <v>69.900000000000006</v>
      </c>
      <c r="AJ5737">
        <v>388.35</v>
      </c>
      <c r="AK5737">
        <v>0</v>
      </c>
      <c r="AL5737" t="s">
        <v>53</v>
      </c>
      <c r="AM5737" t="s">
        <v>53</v>
      </c>
      <c r="AN5737" t="s">
        <v>53</v>
      </c>
      <c r="AO5737" t="s">
        <v>53</v>
      </c>
      <c r="AP5737" t="s">
        <v>53</v>
      </c>
    </row>
    <row r="5738" spans="2:42" x14ac:dyDescent="0.2">
      <c r="B5738" t="s">
        <v>44</v>
      </c>
      <c r="C5738" t="str">
        <f>HYPERLINK("https://us2.cloudbeds.com/connect/8493803454333002#/reservations/128516958740611?display=2PCHA5PP90&amp;reservation_id=128516958740611", "2PCHA5PP90")</f>
        <v>2PCHA5PP90</v>
      </c>
      <c r="D5738" t="s">
        <v>45</v>
      </c>
      <c r="E5738" t="s">
        <v>223</v>
      </c>
      <c r="F5738" t="s">
        <v>47</v>
      </c>
      <c r="G5738" t="s">
        <v>48</v>
      </c>
      <c r="H5738" t="s">
        <v>3957</v>
      </c>
      <c r="I5738" t="s">
        <v>3989</v>
      </c>
      <c r="J5738" t="s">
        <v>8249</v>
      </c>
      <c r="K5738" t="s">
        <v>8871</v>
      </c>
      <c r="L5738" t="s">
        <v>53</v>
      </c>
      <c r="P5738" t="s">
        <v>58</v>
      </c>
      <c r="R5738" t="s">
        <v>56</v>
      </c>
      <c r="T5738" t="s">
        <v>10233</v>
      </c>
      <c r="U5738" t="s">
        <v>58</v>
      </c>
      <c r="V5738">
        <v>1</v>
      </c>
      <c r="W5738">
        <v>1</v>
      </c>
      <c r="X5738">
        <v>1</v>
      </c>
      <c r="Y5738">
        <v>0</v>
      </c>
      <c r="Z5738">
        <v>1</v>
      </c>
      <c r="AA5738">
        <v>218.21</v>
      </c>
      <c r="AB5738">
        <v>218.21</v>
      </c>
      <c r="AC5738">
        <v>192</v>
      </c>
      <c r="AD5738">
        <v>0</v>
      </c>
      <c r="AE5738">
        <v>26.21</v>
      </c>
      <c r="AF5738">
        <v>0</v>
      </c>
      <c r="AG5738">
        <v>0</v>
      </c>
      <c r="AH5738">
        <v>0</v>
      </c>
      <c r="AI5738">
        <v>0</v>
      </c>
      <c r="AJ5738">
        <v>218.21</v>
      </c>
      <c r="AK5738">
        <v>0</v>
      </c>
      <c r="AL5738" t="s">
        <v>53</v>
      </c>
      <c r="AM5738" t="s">
        <v>53</v>
      </c>
      <c r="AN5738" t="s">
        <v>53</v>
      </c>
      <c r="AO5738" t="s">
        <v>53</v>
      </c>
      <c r="AP5738" t="s">
        <v>53</v>
      </c>
    </row>
    <row r="5739" spans="2:42" x14ac:dyDescent="0.2">
      <c r="B5739" t="s">
        <v>44</v>
      </c>
      <c r="C5739" t="str">
        <f>HYPERLINK("https://us2.cloudbeds.com/connect/8493803454333002#/reservations/9080486846424170?display=2PH21Q9R5P&amp;reservation_id=9080486846424170", "2PH21Q9R5P")</f>
        <v>2PH21Q9R5P</v>
      </c>
      <c r="D5739" t="s">
        <v>45</v>
      </c>
      <c r="E5739" t="s">
        <v>121</v>
      </c>
      <c r="F5739" t="s">
        <v>86</v>
      </c>
      <c r="G5739" t="s">
        <v>48</v>
      </c>
      <c r="H5739" t="s">
        <v>49</v>
      </c>
      <c r="I5739" t="s">
        <v>50</v>
      </c>
      <c r="J5739" t="s">
        <v>8261</v>
      </c>
      <c r="K5739" t="s">
        <v>8053</v>
      </c>
      <c r="L5739" t="s">
        <v>53</v>
      </c>
      <c r="N5739" t="s">
        <v>10234</v>
      </c>
      <c r="P5739" t="s">
        <v>55</v>
      </c>
      <c r="R5739" t="s">
        <v>53</v>
      </c>
      <c r="T5739" t="s">
        <v>10235</v>
      </c>
      <c r="U5739" t="s">
        <v>58</v>
      </c>
      <c r="V5739">
        <v>2</v>
      </c>
      <c r="W5739">
        <v>1</v>
      </c>
      <c r="X5739">
        <v>3</v>
      </c>
      <c r="Y5739">
        <v>0</v>
      </c>
      <c r="Z5739">
        <v>3</v>
      </c>
      <c r="AA5739">
        <v>392.77</v>
      </c>
      <c r="AB5739">
        <v>392.77</v>
      </c>
      <c r="AC5739">
        <v>345.6</v>
      </c>
      <c r="AD5739">
        <v>0</v>
      </c>
      <c r="AE5739">
        <v>47.17</v>
      </c>
      <c r="AF5739">
        <v>0</v>
      </c>
      <c r="AG5739">
        <v>0</v>
      </c>
      <c r="AH5739">
        <v>0</v>
      </c>
      <c r="AI5739">
        <v>70.7</v>
      </c>
      <c r="AJ5739">
        <v>392.77</v>
      </c>
      <c r="AK5739">
        <v>0</v>
      </c>
      <c r="AL5739" t="s">
        <v>53</v>
      </c>
      <c r="AM5739" t="s">
        <v>53</v>
      </c>
      <c r="AN5739" t="s">
        <v>53</v>
      </c>
      <c r="AO5739" t="s">
        <v>53</v>
      </c>
      <c r="AP5739" t="s">
        <v>53</v>
      </c>
    </row>
    <row r="5740" spans="2:42" x14ac:dyDescent="0.2">
      <c r="B5740" t="s">
        <v>44</v>
      </c>
      <c r="C5740" t="str">
        <f>HYPERLINK("https://us2.cloudbeds.com/connect/8493803454333002#/reservations/128729233404119?display=2PHGM9D6CS&amp;reservation_id=128729233404119", "2PHGM9D6CS")</f>
        <v>2PHGM9D6CS</v>
      </c>
      <c r="D5740" t="s">
        <v>45</v>
      </c>
      <c r="E5740" t="s">
        <v>373</v>
      </c>
      <c r="F5740" t="s">
        <v>47</v>
      </c>
      <c r="G5740" t="s">
        <v>48</v>
      </c>
      <c r="H5740" t="s">
        <v>3957</v>
      </c>
      <c r="I5740" t="s">
        <v>3958</v>
      </c>
      <c r="J5740" t="s">
        <v>7803</v>
      </c>
      <c r="K5740" t="s">
        <v>8391</v>
      </c>
      <c r="L5740" t="s">
        <v>53</v>
      </c>
      <c r="P5740" t="s">
        <v>55</v>
      </c>
      <c r="R5740" t="s">
        <v>56</v>
      </c>
      <c r="T5740" t="s">
        <v>10236</v>
      </c>
      <c r="U5740" t="s">
        <v>58</v>
      </c>
      <c r="V5740">
        <v>1</v>
      </c>
      <c r="W5740">
        <v>1</v>
      </c>
      <c r="X5740">
        <v>1</v>
      </c>
      <c r="Y5740">
        <v>0</v>
      </c>
      <c r="Z5740">
        <v>1</v>
      </c>
      <c r="AA5740">
        <v>188.66</v>
      </c>
      <c r="AB5740">
        <v>188.66</v>
      </c>
      <c r="AC5740">
        <v>166</v>
      </c>
      <c r="AD5740">
        <v>0</v>
      </c>
      <c r="AE5740">
        <v>22.66</v>
      </c>
      <c r="AF5740">
        <v>0</v>
      </c>
      <c r="AG5740">
        <v>0</v>
      </c>
      <c r="AH5740">
        <v>0</v>
      </c>
      <c r="AI5740">
        <v>0</v>
      </c>
      <c r="AJ5740">
        <v>188.66</v>
      </c>
      <c r="AK5740">
        <v>0</v>
      </c>
      <c r="AL5740" t="s">
        <v>53</v>
      </c>
      <c r="AM5740" t="s">
        <v>53</v>
      </c>
      <c r="AN5740" t="s">
        <v>53</v>
      </c>
      <c r="AO5740" t="s">
        <v>53</v>
      </c>
      <c r="AP5740" t="s">
        <v>53</v>
      </c>
    </row>
    <row r="5741" spans="2:42" x14ac:dyDescent="0.2">
      <c r="B5741" t="s">
        <v>44</v>
      </c>
      <c r="C5741" t="str">
        <f>HYPERLINK("https://us2.cloudbeds.com/connect/8493803454333002#/reservations/128730497892481?display=2PHHYJYEZ0&amp;reservation_id=128730497892481", "2PHHYJYEZ0")</f>
        <v>2PHHYJYEZ0</v>
      </c>
      <c r="D5741" t="s">
        <v>45</v>
      </c>
      <c r="E5741" t="s">
        <v>46</v>
      </c>
      <c r="F5741" t="s">
        <v>47</v>
      </c>
      <c r="G5741" t="s">
        <v>48</v>
      </c>
      <c r="H5741" t="s">
        <v>3957</v>
      </c>
      <c r="I5741" t="s">
        <v>3958</v>
      </c>
      <c r="J5741" t="s">
        <v>8249</v>
      </c>
      <c r="K5741" t="s">
        <v>8871</v>
      </c>
      <c r="L5741" t="s">
        <v>53</v>
      </c>
      <c r="P5741" t="s">
        <v>55</v>
      </c>
      <c r="R5741" t="s">
        <v>56</v>
      </c>
      <c r="T5741" t="s">
        <v>10237</v>
      </c>
      <c r="U5741" t="s">
        <v>58</v>
      </c>
      <c r="V5741">
        <v>1</v>
      </c>
      <c r="W5741">
        <v>1</v>
      </c>
      <c r="X5741">
        <v>1</v>
      </c>
      <c r="Y5741">
        <v>0</v>
      </c>
      <c r="Z5741">
        <v>1</v>
      </c>
      <c r="AA5741">
        <v>223.89</v>
      </c>
      <c r="AB5741">
        <v>223.89</v>
      </c>
      <c r="AC5741">
        <v>197</v>
      </c>
      <c r="AD5741">
        <v>0</v>
      </c>
      <c r="AE5741">
        <v>26.89</v>
      </c>
      <c r="AF5741">
        <v>0</v>
      </c>
      <c r="AG5741">
        <v>0</v>
      </c>
      <c r="AH5741">
        <v>0</v>
      </c>
      <c r="AI5741">
        <v>0</v>
      </c>
      <c r="AJ5741">
        <v>223.89</v>
      </c>
      <c r="AK5741">
        <v>0</v>
      </c>
      <c r="AL5741" t="s">
        <v>53</v>
      </c>
      <c r="AM5741" t="s">
        <v>53</v>
      </c>
      <c r="AN5741" t="s">
        <v>53</v>
      </c>
      <c r="AO5741" t="s">
        <v>53</v>
      </c>
      <c r="AP5741" t="s">
        <v>53</v>
      </c>
    </row>
    <row r="5742" spans="2:42" x14ac:dyDescent="0.2">
      <c r="B5742" t="s">
        <v>44</v>
      </c>
      <c r="C5742" t="str">
        <f>HYPERLINK("https://us2.cloudbeds.com/connect/8493803454333002#/reservations/9080486846425053?display=2PHU70XKT6&amp;reservation_id=9080486846425053", "2PHU70XKT6")</f>
        <v>2PHU70XKT6</v>
      </c>
      <c r="D5742" t="s">
        <v>45</v>
      </c>
      <c r="E5742" t="s">
        <v>78</v>
      </c>
      <c r="F5742" t="s">
        <v>61</v>
      </c>
      <c r="G5742" t="s">
        <v>48</v>
      </c>
      <c r="H5742" t="s">
        <v>49</v>
      </c>
      <c r="I5742" t="s">
        <v>62</v>
      </c>
      <c r="J5742" t="s">
        <v>6991</v>
      </c>
      <c r="K5742" t="s">
        <v>6992</v>
      </c>
      <c r="L5742" t="s">
        <v>53</v>
      </c>
      <c r="N5742" t="s">
        <v>10238</v>
      </c>
      <c r="P5742" t="s">
        <v>55</v>
      </c>
      <c r="R5742" t="s">
        <v>125</v>
      </c>
      <c r="T5742" t="s">
        <v>10239</v>
      </c>
      <c r="U5742" t="s">
        <v>55</v>
      </c>
      <c r="V5742">
        <v>2</v>
      </c>
      <c r="W5742">
        <v>1</v>
      </c>
      <c r="X5742">
        <v>2</v>
      </c>
      <c r="Y5742">
        <v>0</v>
      </c>
      <c r="Z5742">
        <v>2</v>
      </c>
      <c r="AA5742">
        <v>342.95</v>
      </c>
      <c r="AB5742">
        <v>342.95</v>
      </c>
      <c r="AC5742">
        <v>342.95</v>
      </c>
      <c r="AD5742">
        <v>0</v>
      </c>
      <c r="AE5742">
        <v>0</v>
      </c>
      <c r="AF5742">
        <v>0</v>
      </c>
      <c r="AG5742">
        <v>0</v>
      </c>
      <c r="AH5742">
        <v>0</v>
      </c>
      <c r="AI5742">
        <v>61.73</v>
      </c>
      <c r="AJ5742">
        <v>342.95</v>
      </c>
      <c r="AK5742">
        <v>0</v>
      </c>
      <c r="AL5742" t="s">
        <v>53</v>
      </c>
      <c r="AM5742" t="s">
        <v>53</v>
      </c>
      <c r="AN5742" t="s">
        <v>53</v>
      </c>
      <c r="AO5742" t="s">
        <v>53</v>
      </c>
      <c r="AP5742" t="s">
        <v>53</v>
      </c>
    </row>
    <row r="5743" spans="2:42" x14ac:dyDescent="0.2">
      <c r="B5743" t="s">
        <v>44</v>
      </c>
      <c r="C5743" t="str">
        <f>HYPERLINK("https://us2.cloudbeds.com/connect/8493803454333002#/reservations/9080486846425141?display=2PHWYQ5ZUS&amp;reservation_id=9080486846425141", "2PHWYQ5ZUS")</f>
        <v>2PHWYQ5ZUS</v>
      </c>
      <c r="D5743" t="s">
        <v>45</v>
      </c>
      <c r="E5743" t="s">
        <v>110</v>
      </c>
      <c r="F5743" t="s">
        <v>47</v>
      </c>
      <c r="G5743" t="s">
        <v>48</v>
      </c>
      <c r="H5743" t="s">
        <v>49</v>
      </c>
      <c r="I5743" t="s">
        <v>62</v>
      </c>
      <c r="J5743" t="s">
        <v>4008</v>
      </c>
      <c r="K5743" t="s">
        <v>4009</v>
      </c>
      <c r="L5743" t="s">
        <v>53</v>
      </c>
      <c r="N5743" t="s">
        <v>10240</v>
      </c>
      <c r="P5743" t="s">
        <v>55</v>
      </c>
      <c r="R5743" t="s">
        <v>56</v>
      </c>
      <c r="T5743" t="s">
        <v>10241</v>
      </c>
      <c r="U5743" t="s">
        <v>55</v>
      </c>
      <c r="V5743">
        <v>1</v>
      </c>
      <c r="W5743">
        <v>1</v>
      </c>
      <c r="X5743">
        <v>2</v>
      </c>
      <c r="Y5743">
        <v>0</v>
      </c>
      <c r="Z5743">
        <v>2</v>
      </c>
      <c r="AA5743">
        <v>150.1</v>
      </c>
      <c r="AB5743">
        <v>150.1</v>
      </c>
      <c r="AC5743">
        <v>150.1</v>
      </c>
      <c r="AD5743">
        <v>0</v>
      </c>
      <c r="AE5743">
        <v>0</v>
      </c>
      <c r="AF5743">
        <v>0</v>
      </c>
      <c r="AG5743">
        <v>0</v>
      </c>
      <c r="AH5743">
        <v>0</v>
      </c>
      <c r="AI5743">
        <v>27.02</v>
      </c>
      <c r="AJ5743">
        <v>150.1</v>
      </c>
      <c r="AK5743">
        <v>0</v>
      </c>
      <c r="AL5743" t="s">
        <v>53</v>
      </c>
      <c r="AM5743" t="s">
        <v>53</v>
      </c>
      <c r="AN5743" t="s">
        <v>53</v>
      </c>
      <c r="AO5743" t="s">
        <v>53</v>
      </c>
      <c r="AP5743" t="s">
        <v>53</v>
      </c>
    </row>
    <row r="5744" spans="2:42" x14ac:dyDescent="0.2">
      <c r="B5744" t="s">
        <v>44</v>
      </c>
      <c r="C5744" t="str">
        <f>HYPERLINK("https://us2.cloudbeds.com/connect/8493803454333002#/reservations/9080486846425193?display=2PX1XGFNDJ&amp;reservation_id=9080486846425193", "2PX1XGFNDJ")</f>
        <v>2PX1XGFNDJ</v>
      </c>
      <c r="D5744" t="s">
        <v>45</v>
      </c>
      <c r="E5744" t="s">
        <v>98</v>
      </c>
      <c r="F5744" t="s">
        <v>86</v>
      </c>
      <c r="G5744" t="s">
        <v>48</v>
      </c>
      <c r="H5744" t="s">
        <v>49</v>
      </c>
      <c r="I5744" t="s">
        <v>50</v>
      </c>
      <c r="J5744" t="s">
        <v>8670</v>
      </c>
      <c r="K5744" t="s">
        <v>8799</v>
      </c>
      <c r="L5744" t="s">
        <v>53</v>
      </c>
      <c r="N5744" t="s">
        <v>10242</v>
      </c>
      <c r="P5744" t="s">
        <v>55</v>
      </c>
      <c r="R5744" t="s">
        <v>53</v>
      </c>
      <c r="T5744" t="s">
        <v>10243</v>
      </c>
      <c r="U5744" t="s">
        <v>58</v>
      </c>
      <c r="V5744">
        <v>2</v>
      </c>
      <c r="W5744">
        <v>1</v>
      </c>
      <c r="X5744">
        <v>2</v>
      </c>
      <c r="Y5744">
        <v>0</v>
      </c>
      <c r="Z5744">
        <v>2</v>
      </c>
      <c r="AA5744">
        <v>462.1</v>
      </c>
      <c r="AB5744">
        <v>462.1</v>
      </c>
      <c r="AC5744">
        <v>406.6</v>
      </c>
      <c r="AD5744">
        <v>0</v>
      </c>
      <c r="AE5744">
        <v>55.5</v>
      </c>
      <c r="AF5744">
        <v>0</v>
      </c>
      <c r="AG5744">
        <v>0</v>
      </c>
      <c r="AH5744">
        <v>0</v>
      </c>
      <c r="AI5744">
        <v>83.18</v>
      </c>
      <c r="AJ5744">
        <v>462.1</v>
      </c>
      <c r="AK5744">
        <v>0</v>
      </c>
      <c r="AL5744" t="s">
        <v>53</v>
      </c>
      <c r="AM5744" t="s">
        <v>53</v>
      </c>
      <c r="AN5744" t="s">
        <v>53</v>
      </c>
      <c r="AO5744" t="s">
        <v>53</v>
      </c>
      <c r="AP5744" t="s">
        <v>53</v>
      </c>
    </row>
    <row r="5745" spans="2:42" x14ac:dyDescent="0.2">
      <c r="B5745" t="s">
        <v>44</v>
      </c>
      <c r="C5745" t="str">
        <f>HYPERLINK("https://us2.cloudbeds.com/connect/8493803454333002#/reservations/128769535602915?display=2PXET399D8&amp;reservation_id=128769535602915", "2PXET399D8")</f>
        <v>2PXET399D8</v>
      </c>
      <c r="D5745" t="s">
        <v>45</v>
      </c>
      <c r="E5745" t="s">
        <v>179</v>
      </c>
      <c r="F5745" t="s">
        <v>47</v>
      </c>
      <c r="G5745" t="s">
        <v>8291</v>
      </c>
      <c r="H5745" t="s">
        <v>3957</v>
      </c>
      <c r="I5745" t="s">
        <v>3975</v>
      </c>
      <c r="J5745" t="s">
        <v>8367</v>
      </c>
      <c r="K5745" t="s">
        <v>8071</v>
      </c>
      <c r="L5745" t="s">
        <v>53</v>
      </c>
      <c r="P5745" t="s">
        <v>55</v>
      </c>
      <c r="R5745" t="s">
        <v>53</v>
      </c>
      <c r="T5745" t="s">
        <v>10244</v>
      </c>
      <c r="U5745" t="s">
        <v>58</v>
      </c>
      <c r="V5745">
        <v>2</v>
      </c>
      <c r="W5745">
        <v>2</v>
      </c>
      <c r="X5745">
        <v>2</v>
      </c>
      <c r="Y5745">
        <v>0</v>
      </c>
      <c r="Z5745">
        <v>2</v>
      </c>
      <c r="AA5745">
        <v>381.98</v>
      </c>
      <c r="AB5745">
        <v>381.98</v>
      </c>
      <c r="AC5745">
        <v>336.1</v>
      </c>
      <c r="AD5745">
        <v>0</v>
      </c>
      <c r="AE5745">
        <v>45.88</v>
      </c>
      <c r="AF5745">
        <v>0</v>
      </c>
      <c r="AG5745">
        <v>0</v>
      </c>
      <c r="AH5745">
        <v>0</v>
      </c>
      <c r="AI5745">
        <v>0</v>
      </c>
      <c r="AJ5745">
        <v>381.98</v>
      </c>
      <c r="AK5745">
        <v>0</v>
      </c>
      <c r="AL5745" t="s">
        <v>53</v>
      </c>
      <c r="AM5745" t="s">
        <v>53</v>
      </c>
      <c r="AN5745" t="s">
        <v>53</v>
      </c>
      <c r="AO5745" t="s">
        <v>53</v>
      </c>
      <c r="AP5745" t="s">
        <v>53</v>
      </c>
    </row>
    <row r="5746" spans="2:42" x14ac:dyDescent="0.2">
      <c r="B5746" t="s">
        <v>44</v>
      </c>
      <c r="C5746" t="str">
        <f>HYPERLINK("https://us2.cloudbeds.com/connect/8493803454333002#/reservations/128796906844385?display=2PJ32GEE2V&amp;reservation_id=128796906844385", "2PJ32GEE2V")</f>
        <v>2PJ32GEE2V</v>
      </c>
      <c r="D5746" t="s">
        <v>45</v>
      </c>
      <c r="E5746" t="s">
        <v>373</v>
      </c>
      <c r="F5746" t="s">
        <v>47</v>
      </c>
      <c r="G5746" t="s">
        <v>48</v>
      </c>
      <c r="H5746" t="s">
        <v>3957</v>
      </c>
      <c r="I5746" t="s">
        <v>3958</v>
      </c>
      <c r="J5746" t="s">
        <v>7751</v>
      </c>
      <c r="K5746" t="s">
        <v>8071</v>
      </c>
      <c r="L5746" t="s">
        <v>53</v>
      </c>
      <c r="P5746" t="s">
        <v>55</v>
      </c>
      <c r="R5746" t="s">
        <v>56</v>
      </c>
      <c r="T5746" t="s">
        <v>10245</v>
      </c>
      <c r="U5746" t="s">
        <v>58</v>
      </c>
      <c r="V5746">
        <v>1</v>
      </c>
      <c r="W5746">
        <v>1</v>
      </c>
      <c r="X5746">
        <v>1</v>
      </c>
      <c r="Y5746">
        <v>0</v>
      </c>
      <c r="Z5746">
        <v>1</v>
      </c>
      <c r="AA5746">
        <v>171.62</v>
      </c>
      <c r="AB5746">
        <v>171.62</v>
      </c>
      <c r="AC5746">
        <v>151</v>
      </c>
      <c r="AD5746">
        <v>0</v>
      </c>
      <c r="AE5746">
        <v>20.62</v>
      </c>
      <c r="AF5746">
        <v>0</v>
      </c>
      <c r="AG5746">
        <v>0</v>
      </c>
      <c r="AH5746">
        <v>0</v>
      </c>
      <c r="AI5746">
        <v>0</v>
      </c>
      <c r="AJ5746">
        <v>171.62</v>
      </c>
      <c r="AK5746">
        <v>0</v>
      </c>
      <c r="AL5746" t="s">
        <v>53</v>
      </c>
      <c r="AM5746" t="s">
        <v>53</v>
      </c>
      <c r="AN5746" t="s">
        <v>53</v>
      </c>
      <c r="AO5746" t="s">
        <v>53</v>
      </c>
      <c r="AP5746" t="s">
        <v>53</v>
      </c>
    </row>
    <row r="5747" spans="2:42" x14ac:dyDescent="0.2">
      <c r="B5747" t="s">
        <v>44</v>
      </c>
      <c r="C5747" t="str">
        <f>HYPERLINK("https://us2.cloudbeds.com/connect/8493803454333002#/reservations/9080486846426536?display=2PJAYMZXPG&amp;reservation_id=9080486846426536", "2PJAYMZXPG")</f>
        <v>2PJAYMZXPG</v>
      </c>
      <c r="D5747" t="s">
        <v>45</v>
      </c>
      <c r="E5747" t="s">
        <v>98</v>
      </c>
      <c r="F5747" t="s">
        <v>86</v>
      </c>
      <c r="G5747" t="s">
        <v>48</v>
      </c>
      <c r="H5747" t="s">
        <v>49</v>
      </c>
      <c r="I5747" t="s">
        <v>50</v>
      </c>
      <c r="J5747" t="s">
        <v>6379</v>
      </c>
      <c r="K5747" t="s">
        <v>10121</v>
      </c>
      <c r="L5747" t="s">
        <v>53</v>
      </c>
      <c r="N5747" t="s">
        <v>10246</v>
      </c>
      <c r="P5747" t="s">
        <v>55</v>
      </c>
      <c r="R5747" t="s">
        <v>53</v>
      </c>
      <c r="T5747" t="s">
        <v>10247</v>
      </c>
      <c r="U5747" t="s">
        <v>58</v>
      </c>
      <c r="V5747">
        <v>1</v>
      </c>
      <c r="W5747">
        <v>1</v>
      </c>
      <c r="X5747">
        <v>2</v>
      </c>
      <c r="Y5747">
        <v>0</v>
      </c>
      <c r="Z5747">
        <v>2</v>
      </c>
      <c r="AA5747">
        <v>217.86</v>
      </c>
      <c r="AB5747">
        <v>217.86</v>
      </c>
      <c r="AC5747">
        <v>191.7</v>
      </c>
      <c r="AD5747">
        <v>0</v>
      </c>
      <c r="AE5747">
        <v>26.16</v>
      </c>
      <c r="AF5747">
        <v>0</v>
      </c>
      <c r="AG5747">
        <v>0</v>
      </c>
      <c r="AH5747">
        <v>0</v>
      </c>
      <c r="AI5747">
        <v>39.21</v>
      </c>
      <c r="AJ5747">
        <v>217.86</v>
      </c>
      <c r="AK5747">
        <v>0</v>
      </c>
      <c r="AL5747" t="s">
        <v>53</v>
      </c>
      <c r="AM5747" t="s">
        <v>53</v>
      </c>
      <c r="AN5747" t="s">
        <v>53</v>
      </c>
      <c r="AO5747" t="s">
        <v>53</v>
      </c>
      <c r="AP5747" t="s">
        <v>53</v>
      </c>
    </row>
    <row r="5748" spans="2:42" x14ac:dyDescent="0.2">
      <c r="B5748" t="s">
        <v>44</v>
      </c>
      <c r="C5748" t="str">
        <f>HYPERLINK("https://us2.cloudbeds.com/connect/8493803454333002#/reservations/9080486846426560?display=2PJB62WWRP&amp;reservation_id=9080486846426560", "2PJB62WWRP")</f>
        <v>2PJB62WWRP</v>
      </c>
      <c r="D5748" t="s">
        <v>45</v>
      </c>
      <c r="E5748" t="s">
        <v>121</v>
      </c>
      <c r="F5748" t="s">
        <v>86</v>
      </c>
      <c r="G5748" t="s">
        <v>48</v>
      </c>
      <c r="H5748" t="s">
        <v>49</v>
      </c>
      <c r="I5748" t="s">
        <v>62</v>
      </c>
      <c r="J5748" t="s">
        <v>7931</v>
      </c>
      <c r="K5748" t="s">
        <v>5744</v>
      </c>
      <c r="L5748" t="s">
        <v>53</v>
      </c>
      <c r="N5748" t="s">
        <v>10248</v>
      </c>
      <c r="P5748" t="s">
        <v>55</v>
      </c>
      <c r="R5748" t="s">
        <v>56</v>
      </c>
      <c r="T5748" t="s">
        <v>10249</v>
      </c>
      <c r="U5748" t="s">
        <v>55</v>
      </c>
      <c r="V5748">
        <v>1</v>
      </c>
      <c r="W5748">
        <v>1</v>
      </c>
      <c r="X5748">
        <v>4</v>
      </c>
      <c r="Y5748">
        <v>0</v>
      </c>
      <c r="Z5748">
        <v>4</v>
      </c>
      <c r="AA5748">
        <v>231</v>
      </c>
      <c r="AB5748">
        <v>231</v>
      </c>
      <c r="AC5748">
        <v>231</v>
      </c>
      <c r="AD5748">
        <v>0</v>
      </c>
      <c r="AE5748">
        <v>0</v>
      </c>
      <c r="AF5748">
        <v>0</v>
      </c>
      <c r="AG5748">
        <v>0</v>
      </c>
      <c r="AH5748">
        <v>0</v>
      </c>
      <c r="AI5748">
        <v>41.58</v>
      </c>
      <c r="AJ5748">
        <v>231</v>
      </c>
      <c r="AK5748">
        <v>0</v>
      </c>
      <c r="AL5748" t="s">
        <v>53</v>
      </c>
      <c r="AM5748" t="s">
        <v>53</v>
      </c>
      <c r="AN5748" t="s">
        <v>53</v>
      </c>
      <c r="AO5748" t="s">
        <v>53</v>
      </c>
      <c r="AP5748" t="s">
        <v>53</v>
      </c>
    </row>
    <row r="5749" spans="2:42" x14ac:dyDescent="0.2">
      <c r="B5749" t="s">
        <v>44</v>
      </c>
      <c r="C5749" t="str">
        <f>HYPERLINK("https://us2.cloudbeds.com/connect/8493803454333002#/reservations/9080486846426776?display=2PJXYKXJWK&amp;reservation_id=9080486846426776", "2PJXYKXJWK")</f>
        <v>2PJXYKXJWK</v>
      </c>
      <c r="D5749" t="s">
        <v>45</v>
      </c>
      <c r="E5749" t="s">
        <v>113</v>
      </c>
      <c r="F5749" t="s">
        <v>61</v>
      </c>
      <c r="G5749" t="s">
        <v>48</v>
      </c>
      <c r="H5749" t="s">
        <v>49</v>
      </c>
      <c r="I5749" t="s">
        <v>50</v>
      </c>
      <c r="J5749" t="s">
        <v>8790</v>
      </c>
      <c r="K5749" t="s">
        <v>8261</v>
      </c>
      <c r="L5749" t="s">
        <v>53</v>
      </c>
      <c r="N5749" t="s">
        <v>10250</v>
      </c>
      <c r="P5749" t="s">
        <v>55</v>
      </c>
      <c r="R5749" t="s">
        <v>53</v>
      </c>
      <c r="T5749" t="s">
        <v>10251</v>
      </c>
      <c r="U5749" t="s">
        <v>58</v>
      </c>
      <c r="V5749">
        <v>1</v>
      </c>
      <c r="W5749">
        <v>1</v>
      </c>
      <c r="X5749">
        <v>2</v>
      </c>
      <c r="Y5749">
        <v>0</v>
      </c>
      <c r="Z5749">
        <v>2</v>
      </c>
      <c r="AA5749">
        <v>202.53</v>
      </c>
      <c r="AB5749">
        <v>202.53</v>
      </c>
      <c r="AC5749">
        <v>178.2</v>
      </c>
      <c r="AD5749">
        <v>0</v>
      </c>
      <c r="AE5749">
        <v>24.33</v>
      </c>
      <c r="AF5749">
        <v>0</v>
      </c>
      <c r="AG5749">
        <v>0</v>
      </c>
      <c r="AH5749">
        <v>0</v>
      </c>
      <c r="AI5749">
        <v>36.46</v>
      </c>
      <c r="AJ5749">
        <v>202.53</v>
      </c>
      <c r="AK5749">
        <v>0</v>
      </c>
      <c r="AL5749" t="s">
        <v>53</v>
      </c>
      <c r="AM5749" t="s">
        <v>53</v>
      </c>
      <c r="AN5749" t="s">
        <v>53</v>
      </c>
      <c r="AO5749" t="s">
        <v>53</v>
      </c>
      <c r="AP5749" t="s">
        <v>53</v>
      </c>
    </row>
    <row r="5750" spans="2:42" x14ac:dyDescent="0.2">
      <c r="B5750" t="s">
        <v>44</v>
      </c>
      <c r="C5750" t="str">
        <f>HYPERLINK("https://us2.cloudbeds.com/connect/8493803454333002#/reservations/9080486846426985?display=2PJRKCFNXZ&amp;reservation_id=9080486846426985", "2PJRKCFNXZ")</f>
        <v>2PJRKCFNXZ</v>
      </c>
      <c r="D5750" t="s">
        <v>45</v>
      </c>
      <c r="E5750" t="s">
        <v>179</v>
      </c>
      <c r="F5750" t="s">
        <v>47</v>
      </c>
      <c r="G5750" t="s">
        <v>48</v>
      </c>
      <c r="H5750" t="s">
        <v>49</v>
      </c>
      <c r="I5750" t="s">
        <v>50</v>
      </c>
      <c r="J5750" t="s">
        <v>8249</v>
      </c>
      <c r="K5750" t="s">
        <v>8871</v>
      </c>
      <c r="L5750" t="s">
        <v>53</v>
      </c>
      <c r="N5750" t="s">
        <v>10252</v>
      </c>
      <c r="P5750" t="s">
        <v>55</v>
      </c>
      <c r="R5750" t="s">
        <v>53</v>
      </c>
      <c r="T5750" t="s">
        <v>10253</v>
      </c>
      <c r="U5750" t="s">
        <v>58</v>
      </c>
      <c r="V5750">
        <v>1</v>
      </c>
      <c r="W5750">
        <v>1</v>
      </c>
      <c r="X5750">
        <v>2</v>
      </c>
      <c r="Y5750">
        <v>0</v>
      </c>
      <c r="Z5750">
        <v>2</v>
      </c>
      <c r="AA5750">
        <v>201.51</v>
      </c>
      <c r="AB5750">
        <v>201.51</v>
      </c>
      <c r="AC5750">
        <v>177.3</v>
      </c>
      <c r="AD5750">
        <v>0</v>
      </c>
      <c r="AE5750">
        <v>24.21</v>
      </c>
      <c r="AF5750">
        <v>0</v>
      </c>
      <c r="AG5750">
        <v>0</v>
      </c>
      <c r="AH5750">
        <v>0</v>
      </c>
      <c r="AI5750">
        <v>36.270000000000003</v>
      </c>
      <c r="AJ5750">
        <v>201.51</v>
      </c>
      <c r="AK5750">
        <v>0</v>
      </c>
      <c r="AL5750" t="s">
        <v>53</v>
      </c>
      <c r="AM5750" t="s">
        <v>53</v>
      </c>
      <c r="AN5750" t="s">
        <v>53</v>
      </c>
      <c r="AO5750" t="s">
        <v>53</v>
      </c>
      <c r="AP5750" t="s">
        <v>53</v>
      </c>
    </row>
    <row r="5751" spans="2:42" x14ac:dyDescent="0.2">
      <c r="B5751" t="s">
        <v>44</v>
      </c>
      <c r="C5751" t="str">
        <f>HYPERLINK("https://us2.cloudbeds.com/connect/8493803454333002#/reservations/9080486846427485?display=2PKHKEB7BW&amp;reservation_id=9080486846427485", "2PKHKEB7BW")</f>
        <v>2PKHKEB7BW</v>
      </c>
      <c r="D5751" t="s">
        <v>45</v>
      </c>
      <c r="E5751" t="s">
        <v>185</v>
      </c>
      <c r="F5751" t="s">
        <v>47</v>
      </c>
      <c r="G5751" t="s">
        <v>48</v>
      </c>
      <c r="H5751" t="s">
        <v>49</v>
      </c>
      <c r="I5751" t="s">
        <v>50</v>
      </c>
      <c r="J5751" t="s">
        <v>6832</v>
      </c>
      <c r="K5751" t="s">
        <v>6379</v>
      </c>
      <c r="L5751" t="s">
        <v>53</v>
      </c>
      <c r="N5751" t="s">
        <v>10254</v>
      </c>
      <c r="P5751" t="s">
        <v>55</v>
      </c>
      <c r="R5751" t="s">
        <v>53</v>
      </c>
      <c r="T5751" t="s">
        <v>10255</v>
      </c>
      <c r="U5751" t="s">
        <v>58</v>
      </c>
      <c r="V5751">
        <v>2</v>
      </c>
      <c r="W5751">
        <v>1</v>
      </c>
      <c r="X5751">
        <v>2</v>
      </c>
      <c r="Y5751">
        <v>0</v>
      </c>
      <c r="Z5751">
        <v>2</v>
      </c>
      <c r="AA5751">
        <v>382.86</v>
      </c>
      <c r="AB5751">
        <v>382.86</v>
      </c>
      <c r="AC5751">
        <v>336.87</v>
      </c>
      <c r="AD5751">
        <v>0</v>
      </c>
      <c r="AE5751">
        <v>45.99</v>
      </c>
      <c r="AF5751">
        <v>0</v>
      </c>
      <c r="AG5751">
        <v>0</v>
      </c>
      <c r="AH5751">
        <v>0</v>
      </c>
      <c r="AI5751">
        <v>68.91</v>
      </c>
      <c r="AJ5751">
        <v>382.86</v>
      </c>
      <c r="AK5751">
        <v>0</v>
      </c>
      <c r="AL5751" t="s">
        <v>53</v>
      </c>
      <c r="AM5751" t="s">
        <v>53</v>
      </c>
      <c r="AN5751" t="s">
        <v>53</v>
      </c>
      <c r="AO5751" t="s">
        <v>53</v>
      </c>
      <c r="AP5751" t="s">
        <v>53</v>
      </c>
    </row>
    <row r="5752" spans="2:42" x14ac:dyDescent="0.2">
      <c r="B5752" t="s">
        <v>44</v>
      </c>
      <c r="C5752" t="str">
        <f>HYPERLINK("https://us2.cloudbeds.com/connect/8493803454333002#/reservations/9080486846427720?display=2PKRBXZY9S&amp;reservation_id=9080486846427720", "2PKRBXZY9S")</f>
        <v>2PKRBXZY9S</v>
      </c>
      <c r="D5752" t="s">
        <v>45</v>
      </c>
      <c r="E5752" t="s">
        <v>406</v>
      </c>
      <c r="F5752" t="s">
        <v>61</v>
      </c>
      <c r="G5752" t="s">
        <v>48</v>
      </c>
      <c r="H5752" t="s">
        <v>49</v>
      </c>
      <c r="I5752" t="s">
        <v>50</v>
      </c>
      <c r="J5752" t="s">
        <v>8799</v>
      </c>
      <c r="K5752" t="s">
        <v>8829</v>
      </c>
      <c r="L5752" t="s">
        <v>53</v>
      </c>
      <c r="N5752" t="s">
        <v>10256</v>
      </c>
      <c r="P5752" t="s">
        <v>55</v>
      </c>
      <c r="R5752" t="s">
        <v>53</v>
      </c>
      <c r="T5752" t="s">
        <v>10257</v>
      </c>
      <c r="U5752" t="s">
        <v>58</v>
      </c>
      <c r="V5752">
        <v>1</v>
      </c>
      <c r="W5752">
        <v>1</v>
      </c>
      <c r="X5752">
        <v>2</v>
      </c>
      <c r="Y5752">
        <v>0</v>
      </c>
      <c r="Z5752">
        <v>2</v>
      </c>
      <c r="AA5752">
        <v>160.02000000000001</v>
      </c>
      <c r="AB5752">
        <v>160.02000000000001</v>
      </c>
      <c r="AC5752">
        <v>140.80000000000001</v>
      </c>
      <c r="AD5752">
        <v>0</v>
      </c>
      <c r="AE5752">
        <v>19.22</v>
      </c>
      <c r="AF5752">
        <v>0</v>
      </c>
      <c r="AG5752">
        <v>0</v>
      </c>
      <c r="AH5752">
        <v>0</v>
      </c>
      <c r="AI5752">
        <v>28.8</v>
      </c>
      <c r="AJ5752">
        <v>160.02000000000001</v>
      </c>
      <c r="AK5752">
        <v>0</v>
      </c>
      <c r="AL5752" t="s">
        <v>53</v>
      </c>
      <c r="AM5752" t="s">
        <v>53</v>
      </c>
      <c r="AN5752" t="s">
        <v>53</v>
      </c>
      <c r="AO5752" t="s">
        <v>53</v>
      </c>
      <c r="AP5752" t="s">
        <v>53</v>
      </c>
    </row>
    <row r="5753" spans="2:42" x14ac:dyDescent="0.2">
      <c r="B5753" t="s">
        <v>44</v>
      </c>
      <c r="C5753" t="str">
        <f>HYPERLINK("https://us2.cloudbeds.com/connect/8493803454333002#/reservations/9080486846427874?display=2PY2BGZCGG&amp;reservation_id=9080486846427874", "2PY2BGZCGG")</f>
        <v>2PY2BGZCGG</v>
      </c>
      <c r="D5753" t="s">
        <v>45</v>
      </c>
      <c r="E5753" t="s">
        <v>487</v>
      </c>
      <c r="F5753" t="s">
        <v>61</v>
      </c>
      <c r="G5753" t="s">
        <v>48</v>
      </c>
      <c r="H5753" t="s">
        <v>49</v>
      </c>
      <c r="I5753" t="s">
        <v>50</v>
      </c>
      <c r="J5753" t="s">
        <v>8790</v>
      </c>
      <c r="K5753" t="s">
        <v>8261</v>
      </c>
      <c r="L5753" t="s">
        <v>53</v>
      </c>
      <c r="N5753" t="s">
        <v>10258</v>
      </c>
      <c r="P5753" t="s">
        <v>55</v>
      </c>
      <c r="R5753" t="s">
        <v>53</v>
      </c>
      <c r="T5753" t="s">
        <v>10259</v>
      </c>
      <c r="U5753" t="s">
        <v>58</v>
      </c>
      <c r="V5753">
        <v>1</v>
      </c>
      <c r="W5753">
        <v>1</v>
      </c>
      <c r="X5753">
        <v>2</v>
      </c>
      <c r="Y5753">
        <v>0</v>
      </c>
      <c r="Z5753">
        <v>2</v>
      </c>
      <c r="AA5753">
        <v>191.28</v>
      </c>
      <c r="AB5753">
        <v>191.28</v>
      </c>
      <c r="AC5753">
        <v>168.3</v>
      </c>
      <c r="AD5753">
        <v>0</v>
      </c>
      <c r="AE5753">
        <v>22.98</v>
      </c>
      <c r="AF5753">
        <v>0</v>
      </c>
      <c r="AG5753">
        <v>0</v>
      </c>
      <c r="AH5753">
        <v>0</v>
      </c>
      <c r="AI5753">
        <v>34.43</v>
      </c>
      <c r="AJ5753">
        <v>191.28</v>
      </c>
      <c r="AK5753">
        <v>0</v>
      </c>
      <c r="AL5753" t="s">
        <v>53</v>
      </c>
      <c r="AM5753" t="s">
        <v>53</v>
      </c>
      <c r="AN5753" t="s">
        <v>53</v>
      </c>
      <c r="AO5753" t="s">
        <v>53</v>
      </c>
      <c r="AP5753" t="s">
        <v>53</v>
      </c>
    </row>
    <row r="5754" spans="2:42" x14ac:dyDescent="0.2">
      <c r="B5754" t="s">
        <v>44</v>
      </c>
      <c r="C5754" t="str">
        <f>HYPERLINK("https://us2.cloudbeds.com/connect/8493803454333002#/reservations/9080486846428023?display=2PY9DMQEP5&amp;reservation_id=9080486846428023", "2PY9DMQEP5")</f>
        <v>2PY9DMQEP5</v>
      </c>
      <c r="D5754" t="s">
        <v>45</v>
      </c>
      <c r="E5754" t="s">
        <v>223</v>
      </c>
      <c r="F5754" t="s">
        <v>47</v>
      </c>
      <c r="G5754" t="s">
        <v>48</v>
      </c>
      <c r="H5754" t="s">
        <v>49</v>
      </c>
      <c r="I5754" t="s">
        <v>62</v>
      </c>
      <c r="J5754" t="s">
        <v>8367</v>
      </c>
      <c r="K5754" t="s">
        <v>7751</v>
      </c>
      <c r="L5754" t="s">
        <v>53</v>
      </c>
      <c r="N5754" t="s">
        <v>10260</v>
      </c>
      <c r="P5754" t="s">
        <v>55</v>
      </c>
      <c r="R5754" t="s">
        <v>66</v>
      </c>
      <c r="T5754" t="s">
        <v>10261</v>
      </c>
      <c r="U5754" t="s">
        <v>55</v>
      </c>
      <c r="V5754">
        <v>1</v>
      </c>
      <c r="W5754">
        <v>1</v>
      </c>
      <c r="X5754">
        <v>2</v>
      </c>
      <c r="Y5754">
        <v>0</v>
      </c>
      <c r="Z5754">
        <v>2</v>
      </c>
      <c r="AA5754">
        <v>174.8</v>
      </c>
      <c r="AB5754">
        <v>174.8</v>
      </c>
      <c r="AC5754">
        <v>174.8</v>
      </c>
      <c r="AD5754">
        <v>0</v>
      </c>
      <c r="AE5754">
        <v>0</v>
      </c>
      <c r="AF5754">
        <v>0</v>
      </c>
      <c r="AG5754">
        <v>0</v>
      </c>
      <c r="AH5754">
        <v>0</v>
      </c>
      <c r="AI5754">
        <v>31.46</v>
      </c>
      <c r="AJ5754">
        <v>174.8</v>
      </c>
      <c r="AK5754">
        <v>0</v>
      </c>
      <c r="AL5754" t="s">
        <v>53</v>
      </c>
      <c r="AM5754" t="s">
        <v>53</v>
      </c>
      <c r="AN5754" t="s">
        <v>53</v>
      </c>
      <c r="AO5754" t="s">
        <v>53</v>
      </c>
      <c r="AP5754" t="s">
        <v>53</v>
      </c>
    </row>
    <row r="5755" spans="2:42" x14ac:dyDescent="0.2">
      <c r="B5755" t="s">
        <v>44</v>
      </c>
      <c r="C5755" t="str">
        <f>HYPERLINK("https://us2.cloudbeds.com/connect/8493803454333002#/reservations/9080486846429468?display=2PNRTKRZVX&amp;reservation_id=9080486846429468", "2PNRTKRZVX")</f>
        <v>2PNRTKRZVX</v>
      </c>
      <c r="D5755" t="s">
        <v>45</v>
      </c>
      <c r="E5755" t="s">
        <v>46</v>
      </c>
      <c r="F5755" t="s">
        <v>47</v>
      </c>
      <c r="G5755" t="s">
        <v>48</v>
      </c>
      <c r="H5755" t="s">
        <v>49</v>
      </c>
      <c r="I5755" t="s">
        <v>62</v>
      </c>
      <c r="J5755" t="s">
        <v>7751</v>
      </c>
      <c r="K5755" t="s">
        <v>8071</v>
      </c>
      <c r="L5755" t="s">
        <v>53</v>
      </c>
      <c r="N5755" t="s">
        <v>10262</v>
      </c>
      <c r="P5755" t="s">
        <v>55</v>
      </c>
      <c r="R5755" t="s">
        <v>56</v>
      </c>
      <c r="T5755" t="s">
        <v>10263</v>
      </c>
      <c r="U5755" t="s">
        <v>55</v>
      </c>
      <c r="V5755">
        <v>1</v>
      </c>
      <c r="W5755">
        <v>1</v>
      </c>
      <c r="X5755">
        <v>2</v>
      </c>
      <c r="Y5755">
        <v>0</v>
      </c>
      <c r="Z5755">
        <v>2</v>
      </c>
      <c r="AA5755">
        <v>144.4</v>
      </c>
      <c r="AB5755">
        <v>144.4</v>
      </c>
      <c r="AC5755">
        <v>144.4</v>
      </c>
      <c r="AD5755">
        <v>0</v>
      </c>
      <c r="AE5755">
        <v>0</v>
      </c>
      <c r="AF5755">
        <v>0</v>
      </c>
      <c r="AG5755">
        <v>0</v>
      </c>
      <c r="AH5755">
        <v>0</v>
      </c>
      <c r="AI5755">
        <v>25.99</v>
      </c>
      <c r="AJ5755">
        <v>144.4</v>
      </c>
      <c r="AK5755">
        <v>0</v>
      </c>
      <c r="AL5755" t="s">
        <v>53</v>
      </c>
      <c r="AM5755" t="s">
        <v>53</v>
      </c>
      <c r="AN5755" t="s">
        <v>53</v>
      </c>
      <c r="AO5755" t="s">
        <v>53</v>
      </c>
      <c r="AP5755" t="s">
        <v>53</v>
      </c>
    </row>
    <row r="5756" spans="2:42" x14ac:dyDescent="0.2">
      <c r="B5756" t="s">
        <v>44</v>
      </c>
      <c r="C5756" t="str">
        <f>HYPERLINK("https://us2.cloudbeds.com/connect/8493803454333002#/reservations/9080486846430054?display=2PZJRHM4ZD&amp;reservation_id=9080486846430054", "2PZJRHM4ZD")</f>
        <v>2PZJRHM4ZD</v>
      </c>
      <c r="D5756" t="s">
        <v>45</v>
      </c>
      <c r="E5756" t="s">
        <v>78</v>
      </c>
      <c r="F5756" t="s">
        <v>61</v>
      </c>
      <c r="G5756" t="s">
        <v>48</v>
      </c>
      <c r="H5756" t="s">
        <v>49</v>
      </c>
      <c r="I5756" t="s">
        <v>50</v>
      </c>
      <c r="J5756" t="s">
        <v>5402</v>
      </c>
      <c r="K5756" t="s">
        <v>5403</v>
      </c>
      <c r="L5756" t="s">
        <v>53</v>
      </c>
      <c r="N5756" t="s">
        <v>10264</v>
      </c>
      <c r="P5756" t="s">
        <v>55</v>
      </c>
      <c r="R5756" t="s">
        <v>53</v>
      </c>
      <c r="T5756" t="s">
        <v>10265</v>
      </c>
      <c r="U5756" t="s">
        <v>58</v>
      </c>
      <c r="V5756">
        <v>3</v>
      </c>
      <c r="W5756">
        <v>1</v>
      </c>
      <c r="X5756">
        <v>2</v>
      </c>
      <c r="Y5756">
        <v>0</v>
      </c>
      <c r="Z5756">
        <v>2</v>
      </c>
      <c r="AA5756">
        <v>569.42999999999995</v>
      </c>
      <c r="AB5756">
        <v>569.42999999999995</v>
      </c>
      <c r="AC5756">
        <v>501.03</v>
      </c>
      <c r="AD5756">
        <v>0</v>
      </c>
      <c r="AE5756">
        <v>68.400000000000006</v>
      </c>
      <c r="AF5756">
        <v>0</v>
      </c>
      <c r="AG5756">
        <v>0</v>
      </c>
      <c r="AH5756">
        <v>0</v>
      </c>
      <c r="AI5756">
        <v>102.5</v>
      </c>
      <c r="AJ5756">
        <v>569.42999999999995</v>
      </c>
      <c r="AK5756">
        <v>0</v>
      </c>
      <c r="AL5756" t="s">
        <v>53</v>
      </c>
      <c r="AM5756" t="s">
        <v>53</v>
      </c>
      <c r="AN5756" t="s">
        <v>53</v>
      </c>
      <c r="AO5756" t="s">
        <v>53</v>
      </c>
      <c r="AP5756" t="s">
        <v>53</v>
      </c>
    </row>
    <row r="5757" spans="2:42" x14ac:dyDescent="0.2">
      <c r="B5757" t="s">
        <v>44</v>
      </c>
      <c r="C5757" t="str">
        <f>HYPERLINK("https://us2.cloudbeds.com/connect/8493803454333002#/reservations/9080486846430314?display=2PZTJ5FGGP&amp;reservation_id=9080486846430314", "2PZTJ5FGGP")</f>
        <v>2PZTJ5FGGP</v>
      </c>
      <c r="D5757" t="s">
        <v>45</v>
      </c>
      <c r="E5757" t="s">
        <v>105</v>
      </c>
      <c r="F5757" t="s">
        <v>47</v>
      </c>
      <c r="G5757" t="s">
        <v>48</v>
      </c>
      <c r="H5757" t="s">
        <v>49</v>
      </c>
      <c r="I5757" t="s">
        <v>62</v>
      </c>
      <c r="J5757" t="s">
        <v>8394</v>
      </c>
      <c r="K5757" t="s">
        <v>7623</v>
      </c>
      <c r="L5757" t="s">
        <v>53</v>
      </c>
      <c r="N5757" t="s">
        <v>10266</v>
      </c>
      <c r="P5757" t="s">
        <v>55</v>
      </c>
      <c r="R5757" t="s">
        <v>56</v>
      </c>
      <c r="T5757" t="s">
        <v>10267</v>
      </c>
      <c r="U5757" t="s">
        <v>55</v>
      </c>
      <c r="V5757">
        <v>1</v>
      </c>
      <c r="W5757">
        <v>1</v>
      </c>
      <c r="X5757">
        <v>2</v>
      </c>
      <c r="Y5757">
        <v>0</v>
      </c>
      <c r="Z5757">
        <v>2</v>
      </c>
      <c r="AA5757">
        <v>186.2</v>
      </c>
      <c r="AB5757">
        <v>186.2</v>
      </c>
      <c r="AC5757">
        <v>186.2</v>
      </c>
      <c r="AD5757">
        <v>0</v>
      </c>
      <c r="AE5757">
        <v>0</v>
      </c>
      <c r="AF5757">
        <v>0</v>
      </c>
      <c r="AG5757">
        <v>0</v>
      </c>
      <c r="AH5757">
        <v>0</v>
      </c>
      <c r="AI5757">
        <v>33.520000000000003</v>
      </c>
      <c r="AJ5757">
        <v>186.2</v>
      </c>
      <c r="AK5757">
        <v>0</v>
      </c>
      <c r="AL5757" t="s">
        <v>53</v>
      </c>
      <c r="AM5757" t="s">
        <v>53</v>
      </c>
      <c r="AN5757" t="s">
        <v>53</v>
      </c>
      <c r="AO5757" t="s">
        <v>53</v>
      </c>
      <c r="AP5757" t="s">
        <v>53</v>
      </c>
    </row>
    <row r="5758" spans="2:42" x14ac:dyDescent="0.2">
      <c r="B5758" t="s">
        <v>44</v>
      </c>
      <c r="C5758" t="str">
        <f>HYPERLINK("https://us2.cloudbeds.com/connect/8493803454333002#/reservations/9080486846430791?display=2PPC2ZHQVS&amp;reservation_id=9080486846430791", "2PPC2ZHQVS")</f>
        <v>2PPC2ZHQVS</v>
      </c>
      <c r="D5758" t="s">
        <v>45</v>
      </c>
      <c r="E5758" t="s">
        <v>10268</v>
      </c>
      <c r="F5758" t="s">
        <v>86</v>
      </c>
      <c r="G5758" t="s">
        <v>48</v>
      </c>
      <c r="H5758" t="s">
        <v>49</v>
      </c>
      <c r="I5758" t="s">
        <v>62</v>
      </c>
      <c r="J5758" t="s">
        <v>5402</v>
      </c>
      <c r="K5758" t="s">
        <v>8138</v>
      </c>
      <c r="L5758" t="s">
        <v>53</v>
      </c>
      <c r="N5758" t="s">
        <v>10269</v>
      </c>
      <c r="P5758" t="s">
        <v>55</v>
      </c>
      <c r="R5758" t="s">
        <v>56</v>
      </c>
      <c r="T5758" t="s">
        <v>10270</v>
      </c>
      <c r="U5758" t="s">
        <v>55</v>
      </c>
      <c r="V5758">
        <v>3</v>
      </c>
      <c r="W5758">
        <v>3</v>
      </c>
      <c r="X5758">
        <v>6</v>
      </c>
      <c r="Y5758">
        <v>0</v>
      </c>
      <c r="Z5758">
        <v>6</v>
      </c>
      <c r="AA5758">
        <v>532.95000000000005</v>
      </c>
      <c r="AB5758">
        <v>532.95000000000005</v>
      </c>
      <c r="AC5758">
        <v>532.95000000000005</v>
      </c>
      <c r="AD5758">
        <v>0</v>
      </c>
      <c r="AE5758">
        <v>0</v>
      </c>
      <c r="AF5758">
        <v>0</v>
      </c>
      <c r="AG5758">
        <v>0</v>
      </c>
      <c r="AH5758">
        <v>0</v>
      </c>
      <c r="AI5758">
        <v>95.93</v>
      </c>
      <c r="AJ5758">
        <v>532.95000000000005</v>
      </c>
      <c r="AK5758">
        <v>0</v>
      </c>
      <c r="AL5758" t="s">
        <v>53</v>
      </c>
      <c r="AM5758" t="s">
        <v>53</v>
      </c>
      <c r="AN5758" t="s">
        <v>53</v>
      </c>
      <c r="AO5758" t="s">
        <v>53</v>
      </c>
      <c r="AP5758" t="s">
        <v>53</v>
      </c>
    </row>
    <row r="5759" spans="2:42" x14ac:dyDescent="0.2">
      <c r="B5759" t="s">
        <v>44</v>
      </c>
      <c r="C5759" t="str">
        <f>HYPERLINK("https://us2.cloudbeds.com/connect/8493803454333002#/reservations/9080486846430823?display=2PPD7Y3QYC&amp;reservation_id=9080486846430823", "2PPD7Y3QYC")</f>
        <v>2PPD7Y3QYC</v>
      </c>
      <c r="D5759" t="s">
        <v>45</v>
      </c>
      <c r="E5759" t="s">
        <v>113</v>
      </c>
      <c r="F5759" t="s">
        <v>61</v>
      </c>
      <c r="G5759" t="s">
        <v>48</v>
      </c>
      <c r="H5759" t="s">
        <v>49</v>
      </c>
      <c r="I5759" t="s">
        <v>50</v>
      </c>
      <c r="J5759" t="s">
        <v>8367</v>
      </c>
      <c r="K5759" t="s">
        <v>7751</v>
      </c>
      <c r="L5759" t="s">
        <v>53</v>
      </c>
      <c r="N5759" t="s">
        <v>10271</v>
      </c>
      <c r="P5759" t="s">
        <v>55</v>
      </c>
      <c r="R5759" t="s">
        <v>53</v>
      </c>
      <c r="T5759" t="s">
        <v>10272</v>
      </c>
      <c r="U5759" t="s">
        <v>58</v>
      </c>
      <c r="V5759">
        <v>1</v>
      </c>
      <c r="W5759">
        <v>1</v>
      </c>
      <c r="X5759">
        <v>2</v>
      </c>
      <c r="Y5759">
        <v>0</v>
      </c>
      <c r="Z5759">
        <v>2</v>
      </c>
      <c r="AA5759">
        <v>209.69</v>
      </c>
      <c r="AB5759">
        <v>209.69</v>
      </c>
      <c r="AC5759">
        <v>184.5</v>
      </c>
      <c r="AD5759">
        <v>0</v>
      </c>
      <c r="AE5759">
        <v>25.19</v>
      </c>
      <c r="AF5759">
        <v>0</v>
      </c>
      <c r="AG5759">
        <v>0</v>
      </c>
      <c r="AH5759">
        <v>0</v>
      </c>
      <c r="AI5759">
        <v>37.74</v>
      </c>
      <c r="AJ5759">
        <v>209.69</v>
      </c>
      <c r="AK5759">
        <v>0</v>
      </c>
      <c r="AL5759" t="s">
        <v>53</v>
      </c>
      <c r="AM5759" t="s">
        <v>53</v>
      </c>
      <c r="AN5759" t="s">
        <v>53</v>
      </c>
      <c r="AO5759" t="s">
        <v>53</v>
      </c>
      <c r="AP5759" t="s">
        <v>53</v>
      </c>
    </row>
    <row r="5760" spans="2:42" x14ac:dyDescent="0.2">
      <c r="B5760" t="s">
        <v>44</v>
      </c>
      <c r="C5760" t="str">
        <f>HYPERLINK("https://us2.cloudbeds.com/connect/8493803454333002#/reservations/9080486846430852?display=2PPE312384&amp;reservation_id=9080486846430852", "2PPE312384")</f>
        <v>2PPE312384</v>
      </c>
      <c r="D5760" t="s">
        <v>45</v>
      </c>
      <c r="E5760" t="s">
        <v>98</v>
      </c>
      <c r="F5760" t="s">
        <v>86</v>
      </c>
      <c r="G5760" t="s">
        <v>48</v>
      </c>
      <c r="H5760" t="s">
        <v>49</v>
      </c>
      <c r="I5760" t="s">
        <v>62</v>
      </c>
      <c r="J5760" t="s">
        <v>8261</v>
      </c>
      <c r="K5760" t="s">
        <v>7802</v>
      </c>
      <c r="L5760" t="s">
        <v>53</v>
      </c>
      <c r="N5760" t="s">
        <v>10273</v>
      </c>
      <c r="P5760" t="s">
        <v>55</v>
      </c>
      <c r="R5760" t="s">
        <v>56</v>
      </c>
      <c r="T5760" t="s">
        <v>10274</v>
      </c>
      <c r="U5760" t="s">
        <v>55</v>
      </c>
      <c r="V5760">
        <v>1</v>
      </c>
      <c r="W5760">
        <v>1</v>
      </c>
      <c r="X5760">
        <v>2</v>
      </c>
      <c r="Y5760">
        <v>1</v>
      </c>
      <c r="Z5760">
        <v>3</v>
      </c>
      <c r="AA5760">
        <v>234</v>
      </c>
      <c r="AB5760">
        <v>208</v>
      </c>
      <c r="AC5760">
        <v>234</v>
      </c>
      <c r="AD5760">
        <v>0</v>
      </c>
      <c r="AE5760">
        <v>0</v>
      </c>
      <c r="AF5760">
        <v>0</v>
      </c>
      <c r="AG5760">
        <v>0</v>
      </c>
      <c r="AH5760">
        <v>0</v>
      </c>
      <c r="AI5760">
        <v>42.12</v>
      </c>
      <c r="AJ5760">
        <v>234</v>
      </c>
      <c r="AK5760">
        <v>26</v>
      </c>
      <c r="AL5760" t="s">
        <v>53</v>
      </c>
      <c r="AM5760" t="s">
        <v>53</v>
      </c>
      <c r="AN5760" t="s">
        <v>53</v>
      </c>
      <c r="AO5760" t="s">
        <v>53</v>
      </c>
      <c r="AP5760" t="s">
        <v>53</v>
      </c>
    </row>
    <row r="5761" spans="2:42" x14ac:dyDescent="0.2">
      <c r="B5761" t="s">
        <v>44</v>
      </c>
      <c r="C5761" t="str">
        <f>HYPERLINK("https://us2.cloudbeds.com/connect/8493803454333002#/reservations/9080486846432348?display=2PQQ7G1ZTF&amp;reservation_id=9080486846432348", "2PQQ7G1ZTF")</f>
        <v>2PQQ7G1ZTF</v>
      </c>
      <c r="D5761" t="s">
        <v>45</v>
      </c>
      <c r="E5761" t="s">
        <v>113</v>
      </c>
      <c r="F5761" t="s">
        <v>61</v>
      </c>
      <c r="G5761" t="s">
        <v>48</v>
      </c>
      <c r="H5761" t="s">
        <v>49</v>
      </c>
      <c r="I5761" t="s">
        <v>50</v>
      </c>
      <c r="J5761" t="s">
        <v>7624</v>
      </c>
      <c r="K5761" t="s">
        <v>8060</v>
      </c>
      <c r="L5761" t="s">
        <v>53</v>
      </c>
      <c r="N5761" t="s">
        <v>10275</v>
      </c>
      <c r="P5761" t="s">
        <v>55</v>
      </c>
      <c r="R5761" t="s">
        <v>53</v>
      </c>
      <c r="T5761" t="s">
        <v>10276</v>
      </c>
      <c r="U5761" t="s">
        <v>58</v>
      </c>
      <c r="V5761">
        <v>2</v>
      </c>
      <c r="W5761">
        <v>1</v>
      </c>
      <c r="X5761">
        <v>2</v>
      </c>
      <c r="Y5761">
        <v>0</v>
      </c>
      <c r="Z5761">
        <v>2</v>
      </c>
      <c r="AA5761">
        <v>377</v>
      </c>
      <c r="AB5761">
        <v>377</v>
      </c>
      <c r="AC5761">
        <v>331.73</v>
      </c>
      <c r="AD5761">
        <v>0</v>
      </c>
      <c r="AE5761">
        <v>45.27</v>
      </c>
      <c r="AF5761">
        <v>0</v>
      </c>
      <c r="AG5761">
        <v>0</v>
      </c>
      <c r="AH5761">
        <v>0</v>
      </c>
      <c r="AI5761">
        <v>67.86</v>
      </c>
      <c r="AJ5761">
        <v>377</v>
      </c>
      <c r="AK5761">
        <v>0</v>
      </c>
      <c r="AL5761" t="s">
        <v>53</v>
      </c>
      <c r="AM5761" t="s">
        <v>53</v>
      </c>
      <c r="AN5761" t="s">
        <v>53</v>
      </c>
      <c r="AO5761" t="s">
        <v>53</v>
      </c>
      <c r="AP5761" t="s">
        <v>53</v>
      </c>
    </row>
    <row r="5762" spans="2:42" x14ac:dyDescent="0.2">
      <c r="B5762" t="s">
        <v>44</v>
      </c>
      <c r="C5762" t="str">
        <f>HYPERLINK("https://us2.cloudbeds.com/connect/8493803454333002#/reservations/9080486846432777?display=2PR6XXV06K&amp;reservation_id=9080486846432777", "2PR6XXV06K")</f>
        <v>2PR6XXV06K</v>
      </c>
      <c r="D5762" t="s">
        <v>45</v>
      </c>
      <c r="E5762" t="s">
        <v>381</v>
      </c>
      <c r="F5762" t="s">
        <v>47</v>
      </c>
      <c r="G5762" t="s">
        <v>48</v>
      </c>
      <c r="H5762" t="s">
        <v>49</v>
      </c>
      <c r="I5762" t="s">
        <v>50</v>
      </c>
      <c r="J5762" t="s">
        <v>8871</v>
      </c>
      <c r="K5762" t="s">
        <v>8790</v>
      </c>
      <c r="L5762" t="s">
        <v>53</v>
      </c>
      <c r="N5762" t="s">
        <v>10277</v>
      </c>
      <c r="P5762" t="s">
        <v>55</v>
      </c>
      <c r="R5762" t="s">
        <v>53</v>
      </c>
      <c r="T5762" t="s">
        <v>10278</v>
      </c>
      <c r="U5762" t="s">
        <v>58</v>
      </c>
      <c r="V5762">
        <v>1</v>
      </c>
      <c r="W5762">
        <v>1</v>
      </c>
      <c r="X5762">
        <v>1</v>
      </c>
      <c r="Y5762">
        <v>0</v>
      </c>
      <c r="Z5762">
        <v>1</v>
      </c>
      <c r="AA5762">
        <v>184.57</v>
      </c>
      <c r="AB5762">
        <v>184.57</v>
      </c>
      <c r="AC5762">
        <v>162.4</v>
      </c>
      <c r="AD5762">
        <v>0</v>
      </c>
      <c r="AE5762">
        <v>22.17</v>
      </c>
      <c r="AF5762">
        <v>0</v>
      </c>
      <c r="AG5762">
        <v>0</v>
      </c>
      <c r="AH5762">
        <v>0</v>
      </c>
      <c r="AI5762">
        <v>33.22</v>
      </c>
      <c r="AJ5762">
        <v>184.57</v>
      </c>
      <c r="AK5762">
        <v>0</v>
      </c>
      <c r="AL5762" t="s">
        <v>53</v>
      </c>
      <c r="AM5762" t="s">
        <v>53</v>
      </c>
      <c r="AN5762" t="s">
        <v>53</v>
      </c>
      <c r="AO5762" t="s">
        <v>53</v>
      </c>
      <c r="AP5762" t="s">
        <v>53</v>
      </c>
    </row>
    <row r="5763" spans="2:42" x14ac:dyDescent="0.2">
      <c r="B5763" t="s">
        <v>44</v>
      </c>
      <c r="C5763" t="str">
        <f>HYPERLINK("https://us2.cloudbeds.com/connect/8493803454333002#/reservations/129146440941697?display=2PR9NTRUSZ&amp;reservation_id=129146440941697", "2PR9NTRUSZ")</f>
        <v>2PR9NTRUSZ</v>
      </c>
      <c r="D5763" t="s">
        <v>45</v>
      </c>
      <c r="E5763" t="s">
        <v>10279</v>
      </c>
      <c r="F5763" t="s">
        <v>3979</v>
      </c>
      <c r="G5763" t="s">
        <v>48</v>
      </c>
      <c r="H5763" t="s">
        <v>3957</v>
      </c>
      <c r="I5763" t="s">
        <v>3989</v>
      </c>
      <c r="J5763" t="s">
        <v>8790</v>
      </c>
      <c r="K5763" t="s">
        <v>8261</v>
      </c>
      <c r="L5763" t="s">
        <v>53</v>
      </c>
      <c r="P5763" t="s">
        <v>55</v>
      </c>
      <c r="R5763" t="s">
        <v>56</v>
      </c>
      <c r="T5763" t="s">
        <v>10280</v>
      </c>
      <c r="U5763" t="s">
        <v>58</v>
      </c>
      <c r="V5763">
        <v>2</v>
      </c>
      <c r="W5763">
        <v>2</v>
      </c>
      <c r="X5763">
        <v>3</v>
      </c>
      <c r="Y5763">
        <v>0</v>
      </c>
      <c r="Z5763">
        <v>3</v>
      </c>
      <c r="AA5763">
        <v>446.65</v>
      </c>
      <c r="AB5763">
        <v>446.65</v>
      </c>
      <c r="AC5763">
        <v>393</v>
      </c>
      <c r="AD5763">
        <v>0</v>
      </c>
      <c r="AE5763">
        <v>53.65</v>
      </c>
      <c r="AF5763">
        <v>0</v>
      </c>
      <c r="AG5763">
        <v>0</v>
      </c>
      <c r="AH5763">
        <v>0</v>
      </c>
      <c r="AI5763">
        <v>0</v>
      </c>
      <c r="AJ5763">
        <v>446.65</v>
      </c>
      <c r="AK5763">
        <v>0</v>
      </c>
      <c r="AL5763" t="s">
        <v>53</v>
      </c>
      <c r="AM5763" t="s">
        <v>53</v>
      </c>
      <c r="AN5763" t="s">
        <v>53</v>
      </c>
      <c r="AO5763" t="s">
        <v>53</v>
      </c>
      <c r="AP5763" t="s">
        <v>53</v>
      </c>
    </row>
    <row r="5764" spans="2:42" x14ac:dyDescent="0.2">
      <c r="B5764" t="s">
        <v>44</v>
      </c>
      <c r="C5764" t="str">
        <f>HYPERLINK("https://us2.cloudbeds.com/connect/8493803454333002#/reservations/129170169360524?display=2PRS3795HG&amp;reservation_id=129170169360524", "2PRS3795HG")</f>
        <v>2PRS3795HG</v>
      </c>
      <c r="D5764" t="s">
        <v>45</v>
      </c>
      <c r="E5764" t="s">
        <v>138</v>
      </c>
      <c r="F5764" t="s">
        <v>70</v>
      </c>
      <c r="G5764" t="s">
        <v>48</v>
      </c>
      <c r="H5764" t="s">
        <v>3957</v>
      </c>
      <c r="I5764" t="s">
        <v>3975</v>
      </c>
      <c r="J5764" t="s">
        <v>7624</v>
      </c>
      <c r="K5764" t="s">
        <v>7966</v>
      </c>
      <c r="L5764" t="s">
        <v>53</v>
      </c>
      <c r="P5764" t="s">
        <v>55</v>
      </c>
      <c r="R5764" t="s">
        <v>53</v>
      </c>
      <c r="T5764" t="s">
        <v>10281</v>
      </c>
      <c r="U5764" t="s">
        <v>58</v>
      </c>
      <c r="V5764">
        <v>1</v>
      </c>
      <c r="W5764">
        <v>1</v>
      </c>
      <c r="X5764">
        <v>1</v>
      </c>
      <c r="Y5764">
        <v>0</v>
      </c>
      <c r="Z5764">
        <v>1</v>
      </c>
      <c r="AA5764">
        <v>189.8</v>
      </c>
      <c r="AB5764">
        <v>189.8</v>
      </c>
      <c r="AC5764">
        <v>167</v>
      </c>
      <c r="AD5764">
        <v>0</v>
      </c>
      <c r="AE5764">
        <v>22.8</v>
      </c>
      <c r="AF5764">
        <v>0</v>
      </c>
      <c r="AG5764">
        <v>0</v>
      </c>
      <c r="AH5764">
        <v>0</v>
      </c>
      <c r="AI5764">
        <v>0</v>
      </c>
      <c r="AJ5764">
        <v>189.8</v>
      </c>
      <c r="AK5764">
        <v>0</v>
      </c>
      <c r="AL5764" t="s">
        <v>53</v>
      </c>
      <c r="AM5764" t="s">
        <v>53</v>
      </c>
      <c r="AN5764" t="s">
        <v>10282</v>
      </c>
      <c r="AO5764" t="s">
        <v>53</v>
      </c>
      <c r="AP5764" t="s">
        <v>53</v>
      </c>
    </row>
    <row r="5765" spans="2:42" x14ac:dyDescent="0.2">
      <c r="B5765" t="s">
        <v>44</v>
      </c>
      <c r="C5765" t="str">
        <f>HYPERLINK("https://us2.cloudbeds.com/connect/8493803454333002#/reservations/9080486846433998?display=2PSNP0ZCQJ&amp;reservation_id=9080486846433998", "2PSNP0ZCQJ")</f>
        <v>2PSNP0ZCQJ</v>
      </c>
      <c r="D5765" t="s">
        <v>45</v>
      </c>
      <c r="E5765" t="s">
        <v>223</v>
      </c>
      <c r="F5765" t="s">
        <v>47</v>
      </c>
      <c r="G5765" t="s">
        <v>48</v>
      </c>
      <c r="H5765" t="s">
        <v>49</v>
      </c>
      <c r="I5765" t="s">
        <v>50</v>
      </c>
      <c r="J5765" t="s">
        <v>7802</v>
      </c>
      <c r="K5765" t="s">
        <v>8053</v>
      </c>
      <c r="L5765" t="s">
        <v>53</v>
      </c>
      <c r="N5765" t="s">
        <v>10283</v>
      </c>
      <c r="P5765" t="s">
        <v>55</v>
      </c>
      <c r="R5765" t="s">
        <v>53</v>
      </c>
      <c r="T5765" t="s">
        <v>10284</v>
      </c>
      <c r="U5765" t="s">
        <v>58</v>
      </c>
      <c r="V5765">
        <v>1</v>
      </c>
      <c r="W5765">
        <v>1</v>
      </c>
      <c r="X5765">
        <v>1</v>
      </c>
      <c r="Y5765">
        <v>0</v>
      </c>
      <c r="Z5765">
        <v>1</v>
      </c>
      <c r="AA5765">
        <v>206.61</v>
      </c>
      <c r="AB5765">
        <v>206.61</v>
      </c>
      <c r="AC5765">
        <v>181.8</v>
      </c>
      <c r="AD5765">
        <v>0</v>
      </c>
      <c r="AE5765">
        <v>24.81</v>
      </c>
      <c r="AF5765">
        <v>0</v>
      </c>
      <c r="AG5765">
        <v>0</v>
      </c>
      <c r="AH5765">
        <v>0</v>
      </c>
      <c r="AI5765">
        <v>37.19</v>
      </c>
      <c r="AJ5765">
        <v>206.61</v>
      </c>
      <c r="AK5765">
        <v>0</v>
      </c>
      <c r="AL5765" t="s">
        <v>53</v>
      </c>
      <c r="AM5765" t="s">
        <v>53</v>
      </c>
      <c r="AN5765" t="s">
        <v>53</v>
      </c>
      <c r="AO5765" t="s">
        <v>53</v>
      </c>
      <c r="AP5765" t="s">
        <v>53</v>
      </c>
    </row>
    <row r="5766" spans="2:42" x14ac:dyDescent="0.2">
      <c r="B5766" t="s">
        <v>44</v>
      </c>
      <c r="C5766" t="str">
        <f>HYPERLINK("https://us2.cloudbeds.com/connect/8493803454333002#/reservations/9080486846434034?display=2PSPHW92NR&amp;reservation_id=9080486846434034", "2PSPHW92NR")</f>
        <v>2PSPHW92NR</v>
      </c>
      <c r="D5766" t="s">
        <v>45</v>
      </c>
      <c r="E5766" t="s">
        <v>165</v>
      </c>
      <c r="F5766" t="s">
        <v>61</v>
      </c>
      <c r="G5766" t="s">
        <v>48</v>
      </c>
      <c r="H5766" t="s">
        <v>49</v>
      </c>
      <c r="I5766" t="s">
        <v>50</v>
      </c>
      <c r="J5766" t="s">
        <v>7751</v>
      </c>
      <c r="K5766" t="s">
        <v>4008</v>
      </c>
      <c r="L5766" t="s">
        <v>53</v>
      </c>
      <c r="N5766" t="s">
        <v>10285</v>
      </c>
      <c r="P5766" t="s">
        <v>55</v>
      </c>
      <c r="R5766" t="s">
        <v>53</v>
      </c>
      <c r="T5766" t="s">
        <v>10286</v>
      </c>
      <c r="U5766" t="s">
        <v>58</v>
      </c>
      <c r="V5766">
        <v>2</v>
      </c>
      <c r="W5766">
        <v>1</v>
      </c>
      <c r="X5766">
        <v>2</v>
      </c>
      <c r="Y5766">
        <v>0</v>
      </c>
      <c r="Z5766">
        <v>2</v>
      </c>
      <c r="AA5766">
        <v>335.49</v>
      </c>
      <c r="AB5766">
        <v>335.49</v>
      </c>
      <c r="AC5766">
        <v>295.2</v>
      </c>
      <c r="AD5766">
        <v>0</v>
      </c>
      <c r="AE5766">
        <v>40.29</v>
      </c>
      <c r="AF5766">
        <v>0</v>
      </c>
      <c r="AG5766">
        <v>0</v>
      </c>
      <c r="AH5766">
        <v>0</v>
      </c>
      <c r="AI5766">
        <v>60.39</v>
      </c>
      <c r="AJ5766">
        <v>335.49</v>
      </c>
      <c r="AK5766">
        <v>0</v>
      </c>
      <c r="AL5766" t="s">
        <v>53</v>
      </c>
      <c r="AM5766" t="s">
        <v>53</v>
      </c>
      <c r="AN5766" t="s">
        <v>53</v>
      </c>
      <c r="AO5766" t="s">
        <v>53</v>
      </c>
      <c r="AP5766" t="s">
        <v>53</v>
      </c>
    </row>
    <row r="5767" spans="2:42" x14ac:dyDescent="0.2">
      <c r="B5767" t="s">
        <v>44</v>
      </c>
      <c r="C5767" t="str">
        <f>HYPERLINK("https://us2.cloudbeds.com/connect/8493803454333002#/reservations/9080486846434400?display=2PTAF4MCCT&amp;reservation_id=9080486846434400", "2PTAF4MCCT")</f>
        <v>2PTAF4MCCT</v>
      </c>
      <c r="D5767" t="s">
        <v>45</v>
      </c>
      <c r="E5767" t="s">
        <v>110</v>
      </c>
      <c r="F5767" t="s">
        <v>47</v>
      </c>
      <c r="G5767" t="s">
        <v>48</v>
      </c>
      <c r="H5767" t="s">
        <v>49</v>
      </c>
      <c r="I5767" t="s">
        <v>50</v>
      </c>
      <c r="J5767" t="s">
        <v>8261</v>
      </c>
      <c r="K5767" t="s">
        <v>7802</v>
      </c>
      <c r="L5767" t="s">
        <v>53</v>
      </c>
      <c r="N5767" t="s">
        <v>10287</v>
      </c>
      <c r="P5767" t="s">
        <v>55</v>
      </c>
      <c r="R5767" t="s">
        <v>53</v>
      </c>
      <c r="T5767" t="s">
        <v>10288</v>
      </c>
      <c r="U5767" t="s">
        <v>58</v>
      </c>
      <c r="V5767">
        <v>1</v>
      </c>
      <c r="W5767">
        <v>1</v>
      </c>
      <c r="X5767">
        <v>2</v>
      </c>
      <c r="Y5767">
        <v>0</v>
      </c>
      <c r="Z5767">
        <v>2</v>
      </c>
      <c r="AA5767">
        <v>200.94</v>
      </c>
      <c r="AB5767">
        <v>200.94</v>
      </c>
      <c r="AC5767">
        <v>176.8</v>
      </c>
      <c r="AD5767">
        <v>0</v>
      </c>
      <c r="AE5767">
        <v>24.14</v>
      </c>
      <c r="AF5767">
        <v>0</v>
      </c>
      <c r="AG5767">
        <v>0</v>
      </c>
      <c r="AH5767">
        <v>0</v>
      </c>
      <c r="AI5767">
        <v>36.17</v>
      </c>
      <c r="AJ5767">
        <v>200.94</v>
      </c>
      <c r="AK5767">
        <v>0</v>
      </c>
      <c r="AL5767" t="s">
        <v>53</v>
      </c>
      <c r="AM5767" t="s">
        <v>53</v>
      </c>
      <c r="AN5767" t="s">
        <v>53</v>
      </c>
      <c r="AO5767" t="s">
        <v>53</v>
      </c>
      <c r="AP5767" t="s">
        <v>53</v>
      </c>
    </row>
    <row r="5768" spans="2:42" x14ac:dyDescent="0.2">
      <c r="B5768" t="s">
        <v>44</v>
      </c>
      <c r="C5768" t="str">
        <f>HYPERLINK("https://us2.cloudbeds.com/connect/8493803454333002#/reservations/9080486846434762?display=2PTTJ7NWEM&amp;reservation_id=9080486846434762", "2PTTJ7NWEM")</f>
        <v>2PTTJ7NWEM</v>
      </c>
      <c r="D5768" t="s">
        <v>45</v>
      </c>
      <c r="E5768" t="s">
        <v>78</v>
      </c>
      <c r="F5768" t="s">
        <v>61</v>
      </c>
      <c r="G5768" t="s">
        <v>48</v>
      </c>
      <c r="H5768" t="s">
        <v>49</v>
      </c>
      <c r="I5768" t="s">
        <v>50</v>
      </c>
      <c r="J5768" t="s">
        <v>8367</v>
      </c>
      <c r="K5768" t="s">
        <v>7751</v>
      </c>
      <c r="L5768" t="s">
        <v>53</v>
      </c>
      <c r="N5768" t="s">
        <v>10289</v>
      </c>
      <c r="P5768" t="s">
        <v>55</v>
      </c>
      <c r="R5768" t="s">
        <v>53</v>
      </c>
      <c r="T5768" t="s">
        <v>10290</v>
      </c>
      <c r="U5768" t="s">
        <v>58</v>
      </c>
      <c r="V5768">
        <v>1</v>
      </c>
      <c r="W5768">
        <v>1</v>
      </c>
      <c r="X5768">
        <v>2</v>
      </c>
      <c r="Y5768">
        <v>0</v>
      </c>
      <c r="Z5768">
        <v>2</v>
      </c>
      <c r="AA5768">
        <v>199.19</v>
      </c>
      <c r="AB5768">
        <v>199.19</v>
      </c>
      <c r="AC5768">
        <v>175.27</v>
      </c>
      <c r="AD5768">
        <v>0</v>
      </c>
      <c r="AE5768">
        <v>23.92</v>
      </c>
      <c r="AF5768">
        <v>0</v>
      </c>
      <c r="AG5768">
        <v>0</v>
      </c>
      <c r="AH5768">
        <v>0</v>
      </c>
      <c r="AI5768">
        <v>35.85</v>
      </c>
      <c r="AJ5768">
        <v>199.19</v>
      </c>
      <c r="AK5768">
        <v>0</v>
      </c>
      <c r="AL5768" t="s">
        <v>53</v>
      </c>
      <c r="AM5768" t="s">
        <v>53</v>
      </c>
      <c r="AN5768" t="s">
        <v>53</v>
      </c>
      <c r="AO5768" t="s">
        <v>53</v>
      </c>
      <c r="AP5768" t="s">
        <v>53</v>
      </c>
    </row>
    <row r="5769" spans="2:42" x14ac:dyDescent="0.2">
      <c r="B5769" t="s">
        <v>44</v>
      </c>
      <c r="C5769" t="str">
        <f>HYPERLINK("https://us2.cloudbeds.com/connect/8493803454333002#/reservations/9080486846436568?display=2PWZNPSBK3&amp;reservation_id=9080486846436568", "2PWZNPSBK3")</f>
        <v>2PWZNPSBK3</v>
      </c>
      <c r="D5769" t="s">
        <v>10291</v>
      </c>
      <c r="E5769" t="s">
        <v>128</v>
      </c>
      <c r="F5769" t="s">
        <v>86</v>
      </c>
      <c r="G5769" t="s">
        <v>48</v>
      </c>
      <c r="H5769" t="s">
        <v>49</v>
      </c>
      <c r="I5769" t="s">
        <v>50</v>
      </c>
      <c r="J5769" t="s">
        <v>10292</v>
      </c>
      <c r="K5769" t="s">
        <v>10293</v>
      </c>
      <c r="L5769" t="s">
        <v>53</v>
      </c>
      <c r="N5769" t="s">
        <v>10294</v>
      </c>
      <c r="P5769" t="s">
        <v>55</v>
      </c>
      <c r="R5769" t="s">
        <v>53</v>
      </c>
      <c r="T5769" t="s">
        <v>10295</v>
      </c>
      <c r="U5769" t="s">
        <v>58</v>
      </c>
      <c r="V5769">
        <v>1</v>
      </c>
      <c r="W5769">
        <v>1</v>
      </c>
      <c r="X5769">
        <v>1</v>
      </c>
      <c r="Y5769">
        <v>0</v>
      </c>
      <c r="Z5769">
        <v>1</v>
      </c>
      <c r="AA5769">
        <v>256.74</v>
      </c>
      <c r="AB5769">
        <v>0</v>
      </c>
      <c r="AC5769">
        <v>225.9</v>
      </c>
      <c r="AD5769">
        <v>0</v>
      </c>
      <c r="AE5769">
        <v>33.1</v>
      </c>
      <c r="AF5769">
        <v>0</v>
      </c>
      <c r="AG5769">
        <v>0</v>
      </c>
      <c r="AH5769">
        <v>0</v>
      </c>
      <c r="AI5769">
        <v>46.62</v>
      </c>
      <c r="AJ5769">
        <v>259</v>
      </c>
      <c r="AK5769">
        <v>259</v>
      </c>
      <c r="AL5769" t="s">
        <v>53</v>
      </c>
      <c r="AM5769" t="s">
        <v>53</v>
      </c>
      <c r="AN5769" t="s">
        <v>10296</v>
      </c>
      <c r="AO5769" t="s">
        <v>53</v>
      </c>
      <c r="AP5769" t="s">
        <v>53</v>
      </c>
    </row>
    <row r="5770" spans="2:42" x14ac:dyDescent="0.2">
      <c r="B5770" t="s">
        <v>44</v>
      </c>
      <c r="C5770" t="str">
        <f>HYPERLINK("https://us2.cloudbeds.com/connect/8493803454333002#/reservations/9080486846437442?display=2Q0M5NCH1G&amp;reservation_id=9080486846437442", "2Q0M5NCH1G")</f>
        <v>2Q0M5NCH1G</v>
      </c>
      <c r="D5770" t="s">
        <v>45</v>
      </c>
      <c r="E5770" t="s">
        <v>113</v>
      </c>
      <c r="F5770" t="s">
        <v>61</v>
      </c>
      <c r="G5770" t="s">
        <v>48</v>
      </c>
      <c r="H5770" t="s">
        <v>49</v>
      </c>
      <c r="I5770" t="s">
        <v>50</v>
      </c>
      <c r="J5770" t="s">
        <v>9725</v>
      </c>
      <c r="K5770" t="s">
        <v>9610</v>
      </c>
      <c r="L5770" t="s">
        <v>53</v>
      </c>
      <c r="N5770" t="s">
        <v>10297</v>
      </c>
      <c r="P5770" t="s">
        <v>55</v>
      </c>
      <c r="R5770" t="s">
        <v>53</v>
      </c>
      <c r="T5770" t="s">
        <v>10298</v>
      </c>
      <c r="U5770" t="s">
        <v>58</v>
      </c>
      <c r="V5770">
        <v>1</v>
      </c>
      <c r="W5770">
        <v>1</v>
      </c>
      <c r="X5770">
        <v>2</v>
      </c>
      <c r="Y5770">
        <v>0</v>
      </c>
      <c r="Z5770">
        <v>2</v>
      </c>
      <c r="AA5770">
        <v>191.28</v>
      </c>
      <c r="AB5770">
        <v>191.28</v>
      </c>
      <c r="AC5770">
        <v>168.3</v>
      </c>
      <c r="AD5770">
        <v>0</v>
      </c>
      <c r="AE5770">
        <v>22.98</v>
      </c>
      <c r="AF5770">
        <v>0</v>
      </c>
      <c r="AG5770">
        <v>0</v>
      </c>
      <c r="AH5770">
        <v>0</v>
      </c>
      <c r="AI5770">
        <v>34.43</v>
      </c>
      <c r="AJ5770">
        <v>191.28</v>
      </c>
      <c r="AK5770">
        <v>0</v>
      </c>
      <c r="AL5770" t="s">
        <v>53</v>
      </c>
      <c r="AM5770" t="s">
        <v>53</v>
      </c>
      <c r="AN5770" t="s">
        <v>53</v>
      </c>
      <c r="AO5770" t="s">
        <v>53</v>
      </c>
      <c r="AP5770" t="s">
        <v>53</v>
      </c>
    </row>
    <row r="5771" spans="2:42" x14ac:dyDescent="0.2">
      <c r="B5771" t="s">
        <v>44</v>
      </c>
      <c r="C5771" t="str">
        <f>HYPERLINK("https://us2.cloudbeds.com/connect/8493803454333002#/reservations/9080486846437572?display=2Q0QXZJVX0&amp;reservation_id=9080486846437572", "2Q0QXZJVX0")</f>
        <v>2Q0QXZJVX0</v>
      </c>
      <c r="D5771" t="s">
        <v>45</v>
      </c>
      <c r="E5771" t="s">
        <v>155</v>
      </c>
      <c r="F5771" t="s">
        <v>86</v>
      </c>
      <c r="G5771" t="s">
        <v>48</v>
      </c>
      <c r="H5771" t="s">
        <v>49</v>
      </c>
      <c r="I5771" t="s">
        <v>62</v>
      </c>
      <c r="J5771" t="s">
        <v>9725</v>
      </c>
      <c r="K5771" t="s">
        <v>9610</v>
      </c>
      <c r="L5771" t="s">
        <v>53</v>
      </c>
      <c r="N5771" t="s">
        <v>10299</v>
      </c>
      <c r="P5771" t="s">
        <v>55</v>
      </c>
      <c r="R5771" t="s">
        <v>56</v>
      </c>
      <c r="T5771" t="s">
        <v>10300</v>
      </c>
      <c r="U5771" t="s">
        <v>55</v>
      </c>
      <c r="V5771">
        <v>1</v>
      </c>
      <c r="W5771">
        <v>1</v>
      </c>
      <c r="X5771">
        <v>3</v>
      </c>
      <c r="Y5771">
        <v>0</v>
      </c>
      <c r="Z5771">
        <v>3</v>
      </c>
      <c r="AA5771">
        <v>189.05</v>
      </c>
      <c r="AB5771">
        <v>189.05</v>
      </c>
      <c r="AC5771">
        <v>189.05</v>
      </c>
      <c r="AD5771">
        <v>0</v>
      </c>
      <c r="AE5771">
        <v>0</v>
      </c>
      <c r="AF5771">
        <v>0</v>
      </c>
      <c r="AG5771">
        <v>0</v>
      </c>
      <c r="AH5771">
        <v>0</v>
      </c>
      <c r="AI5771">
        <v>34.03</v>
      </c>
      <c r="AJ5771">
        <v>189.05</v>
      </c>
      <c r="AK5771">
        <v>0</v>
      </c>
      <c r="AL5771" t="s">
        <v>53</v>
      </c>
      <c r="AM5771" t="s">
        <v>53</v>
      </c>
      <c r="AN5771" t="s">
        <v>53</v>
      </c>
      <c r="AO5771" t="s">
        <v>53</v>
      </c>
      <c r="AP5771" t="s">
        <v>53</v>
      </c>
    </row>
    <row r="5772" spans="2:42" x14ac:dyDescent="0.2">
      <c r="B5772" t="s">
        <v>44</v>
      </c>
      <c r="C5772" t="str">
        <f>HYPERLINK("https://us2.cloudbeds.com/connect/8493803454333002#/reservations/9080486846437906?display=2Q14GBPTU2&amp;reservation_id=9080486846437906", "2Q14GBPTU2")</f>
        <v>2Q14GBPTU2</v>
      </c>
      <c r="D5772" t="s">
        <v>45</v>
      </c>
      <c r="E5772" t="s">
        <v>406</v>
      </c>
      <c r="F5772" t="s">
        <v>61</v>
      </c>
      <c r="G5772" t="s">
        <v>48</v>
      </c>
      <c r="H5772" t="s">
        <v>49</v>
      </c>
      <c r="I5772" t="s">
        <v>50</v>
      </c>
      <c r="J5772" t="s">
        <v>8261</v>
      </c>
      <c r="K5772" t="s">
        <v>8053</v>
      </c>
      <c r="L5772" t="s">
        <v>53</v>
      </c>
      <c r="N5772" t="s">
        <v>10301</v>
      </c>
      <c r="P5772" t="s">
        <v>55</v>
      </c>
      <c r="R5772" t="s">
        <v>53</v>
      </c>
      <c r="T5772" t="s">
        <v>10302</v>
      </c>
      <c r="U5772" t="s">
        <v>58</v>
      </c>
      <c r="V5772">
        <v>2</v>
      </c>
      <c r="W5772">
        <v>1</v>
      </c>
      <c r="X5772">
        <v>2</v>
      </c>
      <c r="Y5772">
        <v>0</v>
      </c>
      <c r="Z5772">
        <v>2</v>
      </c>
      <c r="AA5772">
        <v>460.28</v>
      </c>
      <c r="AB5772">
        <v>467.33</v>
      </c>
      <c r="AC5772">
        <v>405</v>
      </c>
      <c r="AD5772">
        <v>6.5</v>
      </c>
      <c r="AE5772">
        <v>55.83</v>
      </c>
      <c r="AF5772">
        <v>0</v>
      </c>
      <c r="AG5772">
        <v>0</v>
      </c>
      <c r="AH5772">
        <v>0</v>
      </c>
      <c r="AI5772">
        <v>84.12</v>
      </c>
      <c r="AJ5772">
        <v>467.33</v>
      </c>
      <c r="AK5772">
        <v>0</v>
      </c>
      <c r="AL5772" t="s">
        <v>53</v>
      </c>
      <c r="AM5772" t="s">
        <v>53</v>
      </c>
      <c r="AN5772" t="s">
        <v>53</v>
      </c>
      <c r="AO5772" t="s">
        <v>53</v>
      </c>
      <c r="AP5772" t="s">
        <v>53</v>
      </c>
    </row>
    <row r="5773" spans="2:42" x14ac:dyDescent="0.2">
      <c r="B5773" t="s">
        <v>44</v>
      </c>
      <c r="C5773" t="str">
        <f>HYPERLINK("https://us2.cloudbeds.com/connect/8493803454333002#/reservations/9080486846439783?display=2Q1TTVVPC3&amp;reservation_id=9080486846439783", "2Q1TTVVPC3")</f>
        <v>2Q1TTVVPC3</v>
      </c>
      <c r="D5773" t="s">
        <v>45</v>
      </c>
      <c r="E5773" t="s">
        <v>179</v>
      </c>
      <c r="F5773" t="s">
        <v>47</v>
      </c>
      <c r="G5773" t="s">
        <v>48</v>
      </c>
      <c r="H5773" t="s">
        <v>49</v>
      </c>
      <c r="I5773" t="s">
        <v>50</v>
      </c>
      <c r="J5773" t="s">
        <v>8261</v>
      </c>
      <c r="K5773" t="s">
        <v>7802</v>
      </c>
      <c r="L5773" t="s">
        <v>53</v>
      </c>
      <c r="N5773" t="s">
        <v>10303</v>
      </c>
      <c r="P5773" t="s">
        <v>55</v>
      </c>
      <c r="R5773" t="s">
        <v>53</v>
      </c>
      <c r="T5773" t="s">
        <v>10304</v>
      </c>
      <c r="U5773" t="s">
        <v>58</v>
      </c>
      <c r="V5773">
        <v>1</v>
      </c>
      <c r="W5773">
        <v>1</v>
      </c>
      <c r="X5773">
        <v>2</v>
      </c>
      <c r="Y5773">
        <v>0</v>
      </c>
      <c r="Z5773">
        <v>2</v>
      </c>
      <c r="AA5773">
        <v>217.86</v>
      </c>
      <c r="AB5773">
        <v>217.86</v>
      </c>
      <c r="AC5773">
        <v>191.7</v>
      </c>
      <c r="AD5773">
        <v>0</v>
      </c>
      <c r="AE5773">
        <v>26.16</v>
      </c>
      <c r="AF5773">
        <v>0</v>
      </c>
      <c r="AG5773">
        <v>0</v>
      </c>
      <c r="AH5773">
        <v>0</v>
      </c>
      <c r="AI5773">
        <v>39.21</v>
      </c>
      <c r="AJ5773">
        <v>217.86</v>
      </c>
      <c r="AK5773">
        <v>0</v>
      </c>
      <c r="AL5773" t="s">
        <v>53</v>
      </c>
      <c r="AM5773" t="s">
        <v>53</v>
      </c>
      <c r="AN5773" t="s">
        <v>53</v>
      </c>
      <c r="AO5773" t="s">
        <v>53</v>
      </c>
      <c r="AP5773" t="s">
        <v>53</v>
      </c>
    </row>
    <row r="5774" spans="2:42" x14ac:dyDescent="0.2">
      <c r="B5774" t="s">
        <v>44</v>
      </c>
      <c r="C5774" t="str">
        <f>HYPERLINK("https://us2.cloudbeds.com/connect/8493803454333002#/reservations/9080486846439939?display=2Q1UNX0J2G&amp;reservation_id=9080486846439939", "2Q1UNX0J2G")</f>
        <v>2Q1UNX0J2G</v>
      </c>
      <c r="D5774" t="s">
        <v>45</v>
      </c>
      <c r="E5774" t="s">
        <v>85</v>
      </c>
      <c r="F5774" t="s">
        <v>86</v>
      </c>
      <c r="G5774" t="s">
        <v>48</v>
      </c>
      <c r="H5774" t="s">
        <v>49</v>
      </c>
      <c r="I5774" t="s">
        <v>50</v>
      </c>
      <c r="J5774" t="s">
        <v>8053</v>
      </c>
      <c r="K5774" t="s">
        <v>7803</v>
      </c>
      <c r="L5774" t="s">
        <v>53</v>
      </c>
      <c r="N5774" t="s">
        <v>10305</v>
      </c>
      <c r="P5774" t="s">
        <v>55</v>
      </c>
      <c r="R5774" t="s">
        <v>53</v>
      </c>
      <c r="T5774" t="s">
        <v>10306</v>
      </c>
      <c r="U5774" t="s">
        <v>58</v>
      </c>
      <c r="V5774">
        <v>1</v>
      </c>
      <c r="W5774">
        <v>1</v>
      </c>
      <c r="X5774">
        <v>2</v>
      </c>
      <c r="Y5774">
        <v>0</v>
      </c>
      <c r="Z5774">
        <v>2</v>
      </c>
      <c r="AA5774">
        <v>180.02</v>
      </c>
      <c r="AB5774">
        <v>180.02</v>
      </c>
      <c r="AC5774">
        <v>158.4</v>
      </c>
      <c r="AD5774">
        <v>0</v>
      </c>
      <c r="AE5774">
        <v>21.62</v>
      </c>
      <c r="AF5774">
        <v>0</v>
      </c>
      <c r="AG5774">
        <v>0</v>
      </c>
      <c r="AH5774">
        <v>0</v>
      </c>
      <c r="AI5774">
        <v>32.4</v>
      </c>
      <c r="AJ5774">
        <v>180.02</v>
      </c>
      <c r="AK5774">
        <v>0</v>
      </c>
      <c r="AL5774" t="s">
        <v>53</v>
      </c>
      <c r="AM5774" t="s">
        <v>53</v>
      </c>
      <c r="AN5774" t="s">
        <v>53</v>
      </c>
      <c r="AO5774" t="s">
        <v>53</v>
      </c>
      <c r="AP5774" t="s">
        <v>53</v>
      </c>
    </row>
    <row r="5775" spans="2:42" x14ac:dyDescent="0.2">
      <c r="B5775" t="s">
        <v>44</v>
      </c>
      <c r="C5775" t="str">
        <f>HYPERLINK("https://us2.cloudbeds.com/connect/8493803454333002#/reservations/9080486846439941?display=2Q1UTE9U2U&amp;reservation_id=9080486846439941", "2Q1UTE9U2U")</f>
        <v>2Q1UTE9U2U</v>
      </c>
      <c r="D5775" t="s">
        <v>45</v>
      </c>
      <c r="E5775" t="s">
        <v>179</v>
      </c>
      <c r="F5775" t="s">
        <v>47</v>
      </c>
      <c r="G5775" t="s">
        <v>48</v>
      </c>
      <c r="H5775" t="s">
        <v>49</v>
      </c>
      <c r="I5775" t="s">
        <v>50</v>
      </c>
      <c r="J5775" t="s">
        <v>8790</v>
      </c>
      <c r="K5775" t="s">
        <v>8261</v>
      </c>
      <c r="L5775" t="s">
        <v>53</v>
      </c>
      <c r="N5775" t="s">
        <v>10307</v>
      </c>
      <c r="P5775" t="s">
        <v>55</v>
      </c>
      <c r="R5775" t="s">
        <v>53</v>
      </c>
      <c r="T5775" t="s">
        <v>10308</v>
      </c>
      <c r="U5775" t="s">
        <v>58</v>
      </c>
      <c r="V5775">
        <v>1</v>
      </c>
      <c r="W5775">
        <v>1</v>
      </c>
      <c r="X5775">
        <v>2</v>
      </c>
      <c r="Y5775">
        <v>0</v>
      </c>
      <c r="Z5775">
        <v>2</v>
      </c>
      <c r="AA5775">
        <v>175.48</v>
      </c>
      <c r="AB5775">
        <v>175.48</v>
      </c>
      <c r="AC5775">
        <v>154.4</v>
      </c>
      <c r="AD5775">
        <v>0</v>
      </c>
      <c r="AE5775">
        <v>21.08</v>
      </c>
      <c r="AF5775">
        <v>0</v>
      </c>
      <c r="AG5775">
        <v>0</v>
      </c>
      <c r="AH5775">
        <v>0</v>
      </c>
      <c r="AI5775">
        <v>31.59</v>
      </c>
      <c r="AJ5775">
        <v>175.48</v>
      </c>
      <c r="AK5775">
        <v>0</v>
      </c>
      <c r="AL5775" t="s">
        <v>53</v>
      </c>
      <c r="AM5775" t="s">
        <v>53</v>
      </c>
      <c r="AN5775" t="s">
        <v>53</v>
      </c>
      <c r="AO5775" t="s">
        <v>53</v>
      </c>
      <c r="AP5775" t="s">
        <v>53</v>
      </c>
    </row>
    <row r="5776" spans="2:42" x14ac:dyDescent="0.2">
      <c r="B5776" t="s">
        <v>44</v>
      </c>
      <c r="C5776" t="str">
        <f>HYPERLINK("https://us2.cloudbeds.com/connect/8493803454333002#/reservations/9080486846440603?display=2Q2XG6JE9G&amp;reservation_id=9080486846440603", "2Q2XG6JE9G")</f>
        <v>2Q2XG6JE9G</v>
      </c>
      <c r="D5776" t="s">
        <v>45</v>
      </c>
      <c r="E5776" t="s">
        <v>78</v>
      </c>
      <c r="F5776" t="s">
        <v>61</v>
      </c>
      <c r="G5776" t="s">
        <v>48</v>
      </c>
      <c r="H5776" t="s">
        <v>49</v>
      </c>
      <c r="I5776" t="s">
        <v>50</v>
      </c>
      <c r="J5776" t="s">
        <v>5743</v>
      </c>
      <c r="K5776" t="s">
        <v>7931</v>
      </c>
      <c r="L5776" t="s">
        <v>53</v>
      </c>
      <c r="N5776" t="s">
        <v>10309</v>
      </c>
      <c r="P5776" t="s">
        <v>55</v>
      </c>
      <c r="R5776" t="s">
        <v>53</v>
      </c>
      <c r="T5776" t="s">
        <v>10310</v>
      </c>
      <c r="U5776" t="s">
        <v>58</v>
      </c>
      <c r="V5776">
        <v>1</v>
      </c>
      <c r="W5776">
        <v>1</v>
      </c>
      <c r="X5776">
        <v>2</v>
      </c>
      <c r="Y5776">
        <v>0</v>
      </c>
      <c r="Z5776">
        <v>2</v>
      </c>
      <c r="AA5776">
        <v>244.87</v>
      </c>
      <c r="AB5776">
        <v>244.87</v>
      </c>
      <c r="AC5776">
        <v>215.46</v>
      </c>
      <c r="AD5776">
        <v>0</v>
      </c>
      <c r="AE5776">
        <v>29.41</v>
      </c>
      <c r="AF5776">
        <v>0</v>
      </c>
      <c r="AG5776">
        <v>0</v>
      </c>
      <c r="AH5776">
        <v>0</v>
      </c>
      <c r="AI5776">
        <v>44.08</v>
      </c>
      <c r="AJ5776">
        <v>244.87</v>
      </c>
      <c r="AK5776">
        <v>0</v>
      </c>
      <c r="AL5776" t="s">
        <v>53</v>
      </c>
      <c r="AM5776" t="s">
        <v>53</v>
      </c>
      <c r="AN5776" t="s">
        <v>53</v>
      </c>
      <c r="AO5776" t="s">
        <v>53</v>
      </c>
      <c r="AP5776" t="s">
        <v>53</v>
      </c>
    </row>
    <row r="5777" spans="2:42" x14ac:dyDescent="0.2">
      <c r="B5777" t="s">
        <v>44</v>
      </c>
      <c r="C5777" t="str">
        <f>HYPERLINK("https://us2.cloudbeds.com/connect/8493803454333002#/reservations/9080486846440702?display=2Q2YFM7PAD&amp;reservation_id=9080486846440702", "2Q2YFM7PAD")</f>
        <v>2Q2YFM7PAD</v>
      </c>
      <c r="D5777" t="s">
        <v>45</v>
      </c>
      <c r="E5777" t="s">
        <v>373</v>
      </c>
      <c r="F5777" t="s">
        <v>47</v>
      </c>
      <c r="G5777" t="s">
        <v>48</v>
      </c>
      <c r="H5777" t="s">
        <v>49</v>
      </c>
      <c r="I5777" t="s">
        <v>50</v>
      </c>
      <c r="J5777" t="s">
        <v>7966</v>
      </c>
      <c r="K5777" t="s">
        <v>7967</v>
      </c>
      <c r="L5777" t="s">
        <v>53</v>
      </c>
      <c r="N5777" t="s">
        <v>10311</v>
      </c>
      <c r="P5777" t="s">
        <v>55</v>
      </c>
      <c r="R5777" t="s">
        <v>53</v>
      </c>
      <c r="T5777" t="s">
        <v>10312</v>
      </c>
      <c r="U5777" t="s">
        <v>58</v>
      </c>
      <c r="V5777">
        <v>2</v>
      </c>
      <c r="W5777">
        <v>1</v>
      </c>
      <c r="X5777">
        <v>2</v>
      </c>
      <c r="Y5777">
        <v>0</v>
      </c>
      <c r="Z5777">
        <v>2</v>
      </c>
      <c r="AA5777">
        <v>411.17</v>
      </c>
      <c r="AB5777">
        <v>411.17</v>
      </c>
      <c r="AC5777">
        <v>361.8</v>
      </c>
      <c r="AD5777">
        <v>0</v>
      </c>
      <c r="AE5777">
        <v>49.37</v>
      </c>
      <c r="AF5777">
        <v>0</v>
      </c>
      <c r="AG5777">
        <v>0</v>
      </c>
      <c r="AH5777">
        <v>0</v>
      </c>
      <c r="AI5777">
        <v>74.010000000000005</v>
      </c>
      <c r="AJ5777">
        <v>411.17</v>
      </c>
      <c r="AK5777">
        <v>0</v>
      </c>
      <c r="AL5777" t="s">
        <v>53</v>
      </c>
      <c r="AM5777" t="s">
        <v>53</v>
      </c>
      <c r="AN5777" t="s">
        <v>53</v>
      </c>
      <c r="AO5777" t="s">
        <v>53</v>
      </c>
      <c r="AP5777" t="s">
        <v>53</v>
      </c>
    </row>
    <row r="5778" spans="2:42" x14ac:dyDescent="0.2">
      <c r="B5778" t="s">
        <v>44</v>
      </c>
      <c r="C5778" t="str">
        <f>HYPERLINK("https://us2.cloudbeds.com/connect/8493803454333002#/reservations/9080486846440866?display=2Q2MSX8V3U&amp;reservation_id=9080486846440866", "2Q2MSX8V3U")</f>
        <v>2Q2MSX8V3U</v>
      </c>
      <c r="D5778" t="s">
        <v>45</v>
      </c>
      <c r="E5778" t="s">
        <v>190</v>
      </c>
      <c r="F5778" t="s">
        <v>61</v>
      </c>
      <c r="G5778" t="s">
        <v>48</v>
      </c>
      <c r="H5778" t="s">
        <v>49</v>
      </c>
      <c r="I5778" t="s">
        <v>50</v>
      </c>
      <c r="J5778" t="s">
        <v>7293</v>
      </c>
      <c r="K5778" t="s">
        <v>5744</v>
      </c>
      <c r="L5778" t="s">
        <v>53</v>
      </c>
      <c r="N5778" t="s">
        <v>10313</v>
      </c>
      <c r="P5778" t="s">
        <v>55</v>
      </c>
      <c r="R5778" t="s">
        <v>53</v>
      </c>
      <c r="T5778" t="s">
        <v>10314</v>
      </c>
      <c r="U5778" t="s">
        <v>58</v>
      </c>
      <c r="V5778">
        <v>4</v>
      </c>
      <c r="W5778">
        <v>1</v>
      </c>
      <c r="X5778">
        <v>2</v>
      </c>
      <c r="Y5778">
        <v>0</v>
      </c>
      <c r="Z5778">
        <v>2</v>
      </c>
      <c r="AA5778">
        <v>895</v>
      </c>
      <c r="AB5778">
        <v>897.17</v>
      </c>
      <c r="AC5778">
        <v>787.5</v>
      </c>
      <c r="AD5778">
        <v>2</v>
      </c>
      <c r="AE5778">
        <v>107.67</v>
      </c>
      <c r="AF5778">
        <v>0</v>
      </c>
      <c r="AG5778">
        <v>0</v>
      </c>
      <c r="AH5778">
        <v>0</v>
      </c>
      <c r="AI5778">
        <v>161.49</v>
      </c>
      <c r="AJ5778">
        <v>897.17</v>
      </c>
      <c r="AK5778">
        <v>0</v>
      </c>
      <c r="AL5778" t="s">
        <v>53</v>
      </c>
      <c r="AM5778" t="s">
        <v>53</v>
      </c>
      <c r="AN5778" t="s">
        <v>53</v>
      </c>
      <c r="AO5778" t="s">
        <v>53</v>
      </c>
      <c r="AP5778" t="s">
        <v>53</v>
      </c>
    </row>
    <row r="5779" spans="2:42" x14ac:dyDescent="0.2">
      <c r="B5779" t="s">
        <v>44</v>
      </c>
      <c r="C5779" t="str">
        <f>HYPERLINK("https://us2.cloudbeds.com/connect/8493803454333002#/reservations/9080486846440979?display=2Q2RNMGDQZ&amp;reservation_id=9080486846440979", "2Q2RNMGDQZ")</f>
        <v>2Q2RNMGDQZ</v>
      </c>
      <c r="D5779" t="s">
        <v>45</v>
      </c>
      <c r="E5779" t="s">
        <v>105</v>
      </c>
      <c r="F5779" t="s">
        <v>47</v>
      </c>
      <c r="G5779" t="s">
        <v>48</v>
      </c>
      <c r="H5779" t="s">
        <v>49</v>
      </c>
      <c r="I5779" t="s">
        <v>50</v>
      </c>
      <c r="J5779" t="s">
        <v>7975</v>
      </c>
      <c r="K5779" t="s">
        <v>7750</v>
      </c>
      <c r="L5779" t="s">
        <v>53</v>
      </c>
      <c r="N5779" t="s">
        <v>10315</v>
      </c>
      <c r="P5779" t="s">
        <v>55</v>
      </c>
      <c r="R5779" t="s">
        <v>53</v>
      </c>
      <c r="T5779" t="s">
        <v>10316</v>
      </c>
      <c r="U5779" t="s">
        <v>58</v>
      </c>
      <c r="V5779">
        <v>1</v>
      </c>
      <c r="W5779">
        <v>1</v>
      </c>
      <c r="X5779">
        <v>2</v>
      </c>
      <c r="Y5779">
        <v>0</v>
      </c>
      <c r="Z5779">
        <v>2</v>
      </c>
      <c r="AA5779">
        <v>201.13</v>
      </c>
      <c r="AB5779">
        <v>201.13</v>
      </c>
      <c r="AC5779">
        <v>176.98</v>
      </c>
      <c r="AD5779">
        <v>0</v>
      </c>
      <c r="AE5779">
        <v>24.15</v>
      </c>
      <c r="AF5779">
        <v>0</v>
      </c>
      <c r="AG5779">
        <v>0</v>
      </c>
      <c r="AH5779">
        <v>0</v>
      </c>
      <c r="AI5779">
        <v>36.200000000000003</v>
      </c>
      <c r="AJ5779">
        <v>201.13</v>
      </c>
      <c r="AK5779">
        <v>0</v>
      </c>
      <c r="AL5779" t="s">
        <v>53</v>
      </c>
      <c r="AM5779" t="s">
        <v>53</v>
      </c>
      <c r="AN5779" t="s">
        <v>53</v>
      </c>
      <c r="AO5779" t="s">
        <v>53</v>
      </c>
      <c r="AP5779" t="s">
        <v>53</v>
      </c>
    </row>
    <row r="5780" spans="2:42" x14ac:dyDescent="0.2">
      <c r="B5780" t="s">
        <v>44</v>
      </c>
      <c r="C5780" t="str">
        <f>HYPERLINK("https://us2.cloudbeds.com/connect/8493803454333002#/reservations/129528579293359?display=2Q38KE0T53&amp;reservation_id=129528579293359", "2Q38KE0T53")</f>
        <v>2Q38KE0T53</v>
      </c>
      <c r="D5780" t="s">
        <v>45</v>
      </c>
      <c r="E5780" t="s">
        <v>110</v>
      </c>
      <c r="F5780" t="s">
        <v>47</v>
      </c>
      <c r="G5780" t="s">
        <v>3974</v>
      </c>
      <c r="H5780" t="s">
        <v>3957</v>
      </c>
      <c r="I5780" t="s">
        <v>3975</v>
      </c>
      <c r="J5780" t="s">
        <v>9318</v>
      </c>
      <c r="K5780" t="s">
        <v>8394</v>
      </c>
      <c r="L5780" t="s">
        <v>53</v>
      </c>
      <c r="P5780" t="s">
        <v>55</v>
      </c>
      <c r="R5780" t="s">
        <v>53</v>
      </c>
      <c r="T5780" t="s">
        <v>10317</v>
      </c>
      <c r="U5780" t="s">
        <v>58</v>
      </c>
      <c r="V5780">
        <v>1</v>
      </c>
      <c r="W5780">
        <v>1</v>
      </c>
      <c r="X5780">
        <v>2</v>
      </c>
      <c r="Y5780">
        <v>0</v>
      </c>
      <c r="Z5780">
        <v>2</v>
      </c>
      <c r="AA5780">
        <v>205.14</v>
      </c>
      <c r="AB5780">
        <v>205.14</v>
      </c>
      <c r="AC5780">
        <v>180.5</v>
      </c>
      <c r="AD5780">
        <v>0</v>
      </c>
      <c r="AE5780">
        <v>24.64</v>
      </c>
      <c r="AF5780">
        <v>0</v>
      </c>
      <c r="AG5780">
        <v>0</v>
      </c>
      <c r="AH5780">
        <v>0</v>
      </c>
      <c r="AI5780">
        <v>0</v>
      </c>
      <c r="AJ5780">
        <v>205.14</v>
      </c>
      <c r="AK5780">
        <v>0</v>
      </c>
      <c r="AL5780" t="s">
        <v>53</v>
      </c>
      <c r="AM5780" t="s">
        <v>53</v>
      </c>
      <c r="AN5780" t="s">
        <v>53</v>
      </c>
      <c r="AO5780" t="s">
        <v>53</v>
      </c>
      <c r="AP5780" t="s">
        <v>53</v>
      </c>
    </row>
    <row r="5781" spans="2:42" x14ac:dyDescent="0.2">
      <c r="B5781" t="s">
        <v>44</v>
      </c>
      <c r="C5781" t="str">
        <f>HYPERLINK("https://us2.cloudbeds.com/connect/8493803454333002#/reservations/9080486846441405?display=2Q3ASXVA7W&amp;reservation_id=9080486846441405", "2Q3ASXVA7W")</f>
        <v>2Q3ASXVA7W</v>
      </c>
      <c r="D5781" t="s">
        <v>45</v>
      </c>
      <c r="E5781" t="s">
        <v>46</v>
      </c>
      <c r="F5781" t="s">
        <v>47</v>
      </c>
      <c r="G5781" t="s">
        <v>48</v>
      </c>
      <c r="H5781" t="s">
        <v>49</v>
      </c>
      <c r="I5781" t="s">
        <v>50</v>
      </c>
      <c r="J5781" t="s">
        <v>8790</v>
      </c>
      <c r="K5781" t="s">
        <v>8261</v>
      </c>
      <c r="L5781" t="s">
        <v>53</v>
      </c>
      <c r="N5781" t="s">
        <v>10318</v>
      </c>
      <c r="P5781" t="s">
        <v>55</v>
      </c>
      <c r="R5781" t="s">
        <v>53</v>
      </c>
      <c r="T5781" t="s">
        <v>10319</v>
      </c>
      <c r="U5781" t="s">
        <v>58</v>
      </c>
      <c r="V5781">
        <v>1</v>
      </c>
      <c r="W5781">
        <v>1</v>
      </c>
      <c r="X5781">
        <v>2</v>
      </c>
      <c r="Y5781">
        <v>0</v>
      </c>
      <c r="Z5781">
        <v>2</v>
      </c>
      <c r="AA5781">
        <v>197.41</v>
      </c>
      <c r="AB5781">
        <v>197.41</v>
      </c>
      <c r="AC5781">
        <v>173.7</v>
      </c>
      <c r="AD5781">
        <v>0</v>
      </c>
      <c r="AE5781">
        <v>23.71</v>
      </c>
      <c r="AF5781">
        <v>0</v>
      </c>
      <c r="AG5781">
        <v>0</v>
      </c>
      <c r="AH5781">
        <v>0</v>
      </c>
      <c r="AI5781">
        <v>35.53</v>
      </c>
      <c r="AJ5781">
        <v>197.41</v>
      </c>
      <c r="AK5781">
        <v>0</v>
      </c>
      <c r="AL5781" t="s">
        <v>53</v>
      </c>
      <c r="AM5781" t="s">
        <v>53</v>
      </c>
      <c r="AN5781" t="s">
        <v>53</v>
      </c>
      <c r="AO5781" t="s">
        <v>53</v>
      </c>
      <c r="AP5781" t="s">
        <v>53</v>
      </c>
    </row>
    <row r="5782" spans="2:42" x14ac:dyDescent="0.2">
      <c r="B5782" t="s">
        <v>44</v>
      </c>
      <c r="C5782" t="str">
        <f>HYPERLINK("https://us2.cloudbeds.com/connect/8493803454333002#/reservations/9080486846441406?display=2Q3B3ZBDU0&amp;reservation_id=9080486846441406", "2Q3B3ZBDU0")</f>
        <v>2Q3B3ZBDU0</v>
      </c>
      <c r="D5782" t="s">
        <v>45</v>
      </c>
      <c r="E5782" t="s">
        <v>381</v>
      </c>
      <c r="F5782" t="s">
        <v>47</v>
      </c>
      <c r="G5782" t="s">
        <v>48</v>
      </c>
      <c r="H5782" t="s">
        <v>49</v>
      </c>
      <c r="I5782" t="s">
        <v>50</v>
      </c>
      <c r="J5782" t="s">
        <v>8790</v>
      </c>
      <c r="K5782" t="s">
        <v>8261</v>
      </c>
      <c r="L5782" t="s">
        <v>53</v>
      </c>
      <c r="N5782" t="s">
        <v>10320</v>
      </c>
      <c r="P5782" t="s">
        <v>55</v>
      </c>
      <c r="R5782" t="s">
        <v>56</v>
      </c>
      <c r="T5782" t="s">
        <v>10321</v>
      </c>
      <c r="U5782" t="s">
        <v>58</v>
      </c>
      <c r="V5782">
        <v>1</v>
      </c>
      <c r="W5782">
        <v>1</v>
      </c>
      <c r="X5782">
        <v>1</v>
      </c>
      <c r="Y5782">
        <v>1</v>
      </c>
      <c r="Z5782">
        <v>2</v>
      </c>
      <c r="AA5782">
        <v>197.41</v>
      </c>
      <c r="AB5782">
        <v>197.41</v>
      </c>
      <c r="AC5782">
        <v>173.7</v>
      </c>
      <c r="AD5782">
        <v>0</v>
      </c>
      <c r="AE5782">
        <v>23.71</v>
      </c>
      <c r="AF5782">
        <v>0</v>
      </c>
      <c r="AG5782">
        <v>0</v>
      </c>
      <c r="AH5782">
        <v>0</v>
      </c>
      <c r="AI5782">
        <v>35.53</v>
      </c>
      <c r="AJ5782">
        <v>197.41</v>
      </c>
      <c r="AK5782">
        <v>0</v>
      </c>
      <c r="AL5782" t="s">
        <v>53</v>
      </c>
      <c r="AM5782" t="s">
        <v>53</v>
      </c>
      <c r="AN5782" t="s">
        <v>53</v>
      </c>
      <c r="AO5782" t="s">
        <v>53</v>
      </c>
      <c r="AP5782" t="s">
        <v>53</v>
      </c>
    </row>
    <row r="5783" spans="2:42" x14ac:dyDescent="0.2">
      <c r="B5783" t="s">
        <v>44</v>
      </c>
      <c r="C5783" t="str">
        <f>HYPERLINK("https://us2.cloudbeds.com/connect/8493803454333002#/reservations/129533232107655?display=2Q3C7AD9TN&amp;reservation_id=129533232107655", "2Q3C7AD9TN")</f>
        <v>2Q3C7AD9TN</v>
      </c>
      <c r="D5783" t="s">
        <v>45</v>
      </c>
      <c r="E5783" t="s">
        <v>121</v>
      </c>
      <c r="F5783" t="s">
        <v>86</v>
      </c>
      <c r="G5783" t="s">
        <v>48</v>
      </c>
      <c r="H5783" t="s">
        <v>3957</v>
      </c>
      <c r="I5783" t="s">
        <v>3958</v>
      </c>
      <c r="J5783" t="s">
        <v>8790</v>
      </c>
      <c r="K5783" t="s">
        <v>8261</v>
      </c>
      <c r="L5783" t="s">
        <v>53</v>
      </c>
      <c r="P5783" t="s">
        <v>55</v>
      </c>
      <c r="R5783" t="s">
        <v>56</v>
      </c>
      <c r="T5783" t="s">
        <v>10322</v>
      </c>
      <c r="U5783" t="s">
        <v>58</v>
      </c>
      <c r="V5783">
        <v>1</v>
      </c>
      <c r="W5783">
        <v>1</v>
      </c>
      <c r="X5783">
        <v>1</v>
      </c>
      <c r="Y5783">
        <v>0</v>
      </c>
      <c r="Z5783">
        <v>1</v>
      </c>
      <c r="AA5783">
        <v>246.62</v>
      </c>
      <c r="AB5783">
        <v>246.62</v>
      </c>
      <c r="AC5783">
        <v>217</v>
      </c>
      <c r="AD5783">
        <v>0</v>
      </c>
      <c r="AE5783">
        <v>29.62</v>
      </c>
      <c r="AF5783">
        <v>0</v>
      </c>
      <c r="AG5783">
        <v>0</v>
      </c>
      <c r="AH5783">
        <v>0</v>
      </c>
      <c r="AI5783">
        <v>0</v>
      </c>
      <c r="AJ5783">
        <v>246.62</v>
      </c>
      <c r="AK5783">
        <v>0</v>
      </c>
      <c r="AL5783" t="s">
        <v>53</v>
      </c>
      <c r="AM5783" t="s">
        <v>53</v>
      </c>
      <c r="AN5783" t="s">
        <v>53</v>
      </c>
      <c r="AO5783" t="s">
        <v>53</v>
      </c>
      <c r="AP5783" t="s">
        <v>53</v>
      </c>
    </row>
    <row r="5784" spans="2:42" x14ac:dyDescent="0.2">
      <c r="B5784" t="s">
        <v>44</v>
      </c>
      <c r="C5784" t="str">
        <f>HYPERLINK("https://us2.cloudbeds.com/connect/8493803454333002#/reservations/9080486846441890?display=2Q44HSPVQW&amp;reservation_id=9080486846441890", "2Q44HSPVQW")</f>
        <v>2Q44HSPVQW</v>
      </c>
      <c r="D5784" t="s">
        <v>45</v>
      </c>
      <c r="E5784" t="s">
        <v>46</v>
      </c>
      <c r="F5784" t="s">
        <v>47</v>
      </c>
      <c r="G5784" t="s">
        <v>48</v>
      </c>
      <c r="H5784" t="s">
        <v>49</v>
      </c>
      <c r="I5784" t="s">
        <v>50</v>
      </c>
      <c r="J5784" t="s">
        <v>8261</v>
      </c>
      <c r="K5784" t="s">
        <v>7802</v>
      </c>
      <c r="L5784" t="s">
        <v>53</v>
      </c>
      <c r="N5784" t="s">
        <v>10323</v>
      </c>
      <c r="P5784" t="s">
        <v>55</v>
      </c>
      <c r="R5784" t="s">
        <v>53</v>
      </c>
      <c r="T5784" t="s">
        <v>10324</v>
      </c>
      <c r="U5784" t="s">
        <v>58</v>
      </c>
      <c r="V5784">
        <v>1</v>
      </c>
      <c r="W5784">
        <v>1</v>
      </c>
      <c r="X5784">
        <v>1</v>
      </c>
      <c r="Y5784">
        <v>0</v>
      </c>
      <c r="Z5784">
        <v>1</v>
      </c>
      <c r="AA5784">
        <v>217.86</v>
      </c>
      <c r="AB5784">
        <v>217.86</v>
      </c>
      <c r="AC5784">
        <v>191.7</v>
      </c>
      <c r="AD5784">
        <v>0</v>
      </c>
      <c r="AE5784">
        <v>26.16</v>
      </c>
      <c r="AF5784">
        <v>0</v>
      </c>
      <c r="AG5784">
        <v>0</v>
      </c>
      <c r="AH5784">
        <v>0</v>
      </c>
      <c r="AI5784">
        <v>39.21</v>
      </c>
      <c r="AJ5784">
        <v>217.86</v>
      </c>
      <c r="AK5784">
        <v>0</v>
      </c>
      <c r="AL5784" t="s">
        <v>53</v>
      </c>
      <c r="AM5784" t="s">
        <v>53</v>
      </c>
      <c r="AN5784" t="s">
        <v>53</v>
      </c>
      <c r="AO5784" t="s">
        <v>53</v>
      </c>
      <c r="AP5784" t="s">
        <v>53</v>
      </c>
    </row>
    <row r="5785" spans="2:42" x14ac:dyDescent="0.2">
      <c r="B5785" t="s">
        <v>44</v>
      </c>
      <c r="C5785" t="str">
        <f>HYPERLINK("https://us2.cloudbeds.com/connect/8493803454333002#/reservations/9080486846444182?display=2Q7P67AKQ3&amp;reservation_id=9080486846444182", "2Q7P67AKQ3")</f>
        <v>2Q7P67AKQ3</v>
      </c>
      <c r="D5785" t="s">
        <v>45</v>
      </c>
      <c r="E5785" t="s">
        <v>165</v>
      </c>
      <c r="F5785" t="s">
        <v>61</v>
      </c>
      <c r="G5785" t="s">
        <v>48</v>
      </c>
      <c r="H5785" t="s">
        <v>49</v>
      </c>
      <c r="I5785" t="s">
        <v>62</v>
      </c>
      <c r="J5785" t="s">
        <v>7803</v>
      </c>
      <c r="K5785" t="s">
        <v>8391</v>
      </c>
      <c r="L5785" t="s">
        <v>53</v>
      </c>
      <c r="N5785" t="s">
        <v>10325</v>
      </c>
      <c r="P5785" t="s">
        <v>55</v>
      </c>
      <c r="R5785" t="s">
        <v>205</v>
      </c>
      <c r="T5785" t="s">
        <v>10326</v>
      </c>
      <c r="U5785" t="s">
        <v>55</v>
      </c>
      <c r="V5785">
        <v>1</v>
      </c>
      <c r="W5785">
        <v>1</v>
      </c>
      <c r="X5785">
        <v>2</v>
      </c>
      <c r="Y5785">
        <v>0</v>
      </c>
      <c r="Z5785">
        <v>2</v>
      </c>
      <c r="AA5785">
        <v>187</v>
      </c>
      <c r="AB5785">
        <v>187</v>
      </c>
      <c r="AC5785">
        <v>187</v>
      </c>
      <c r="AD5785">
        <v>0</v>
      </c>
      <c r="AE5785">
        <v>0</v>
      </c>
      <c r="AF5785">
        <v>0</v>
      </c>
      <c r="AG5785">
        <v>0</v>
      </c>
      <c r="AH5785">
        <v>0</v>
      </c>
      <c r="AI5785">
        <v>33.659999999999997</v>
      </c>
      <c r="AJ5785">
        <v>187</v>
      </c>
      <c r="AK5785">
        <v>0</v>
      </c>
      <c r="AL5785" t="s">
        <v>53</v>
      </c>
      <c r="AM5785" t="s">
        <v>53</v>
      </c>
      <c r="AN5785" t="s">
        <v>53</v>
      </c>
      <c r="AO5785" t="s">
        <v>53</v>
      </c>
      <c r="AP5785" t="s">
        <v>53</v>
      </c>
    </row>
    <row r="5786" spans="2:42" x14ac:dyDescent="0.2">
      <c r="B5786" t="s">
        <v>44</v>
      </c>
      <c r="C5786" t="str">
        <f>HYPERLINK("https://us2.cloudbeds.com/connect/8493803454333002#/reservations/129755927531730?display=2Q8JYN2ZQQ&amp;reservation_id=129755927531730", "2Q8JYN2ZQQ")</f>
        <v>2Q8JYN2ZQQ</v>
      </c>
      <c r="D5786" t="s">
        <v>45</v>
      </c>
      <c r="E5786" t="s">
        <v>128</v>
      </c>
      <c r="F5786" t="s">
        <v>86</v>
      </c>
      <c r="G5786" t="s">
        <v>4520</v>
      </c>
      <c r="H5786" t="s">
        <v>3957</v>
      </c>
      <c r="I5786" t="s">
        <v>3989</v>
      </c>
      <c r="J5786" t="s">
        <v>7802</v>
      </c>
      <c r="K5786" t="s">
        <v>8053</v>
      </c>
      <c r="L5786" t="s">
        <v>53</v>
      </c>
      <c r="P5786" t="s">
        <v>55</v>
      </c>
      <c r="R5786" t="s">
        <v>56</v>
      </c>
      <c r="T5786" t="s">
        <v>10327</v>
      </c>
      <c r="U5786" t="s">
        <v>58</v>
      </c>
      <c r="V5786">
        <v>1</v>
      </c>
      <c r="W5786">
        <v>1</v>
      </c>
      <c r="X5786">
        <v>1</v>
      </c>
      <c r="Y5786">
        <v>0</v>
      </c>
      <c r="Z5786">
        <v>1</v>
      </c>
      <c r="AA5786">
        <v>235.26</v>
      </c>
      <c r="AB5786">
        <v>235.26</v>
      </c>
      <c r="AC5786">
        <v>207</v>
      </c>
      <c r="AD5786">
        <v>0</v>
      </c>
      <c r="AE5786">
        <v>28.26</v>
      </c>
      <c r="AF5786">
        <v>0</v>
      </c>
      <c r="AG5786">
        <v>0</v>
      </c>
      <c r="AH5786">
        <v>0</v>
      </c>
      <c r="AI5786">
        <v>0</v>
      </c>
      <c r="AJ5786">
        <v>235.26</v>
      </c>
      <c r="AK5786">
        <v>0</v>
      </c>
      <c r="AL5786" t="s">
        <v>53</v>
      </c>
      <c r="AM5786" t="s">
        <v>53</v>
      </c>
      <c r="AN5786" t="s">
        <v>10328</v>
      </c>
      <c r="AO5786" t="s">
        <v>53</v>
      </c>
      <c r="AP5786" t="s">
        <v>53</v>
      </c>
    </row>
    <row r="5787" spans="2:42" x14ac:dyDescent="0.2">
      <c r="B5787" t="s">
        <v>44</v>
      </c>
      <c r="C5787" t="str">
        <f>HYPERLINK("https://us2.cloudbeds.com/connect/8493803454333002#/reservations/9080486846448010?display=2QAZ9P6JV1&amp;reservation_id=9080486846448010", "2QAZ9P6JV1")</f>
        <v>2QAZ9P6JV1</v>
      </c>
      <c r="D5787" t="s">
        <v>45</v>
      </c>
      <c r="E5787" t="s">
        <v>179</v>
      </c>
      <c r="F5787" t="s">
        <v>47</v>
      </c>
      <c r="G5787" t="s">
        <v>48</v>
      </c>
      <c r="H5787" t="s">
        <v>49</v>
      </c>
      <c r="I5787" t="s">
        <v>50</v>
      </c>
      <c r="J5787" t="s">
        <v>7802</v>
      </c>
      <c r="K5787" t="s">
        <v>8053</v>
      </c>
      <c r="L5787" t="s">
        <v>53</v>
      </c>
      <c r="N5787" t="s">
        <v>10329</v>
      </c>
      <c r="P5787" t="s">
        <v>55</v>
      </c>
      <c r="R5787" t="s">
        <v>53</v>
      </c>
      <c r="T5787" t="s">
        <v>10330</v>
      </c>
      <c r="U5787" t="s">
        <v>58</v>
      </c>
      <c r="V5787">
        <v>1</v>
      </c>
      <c r="W5787">
        <v>1</v>
      </c>
      <c r="X5787">
        <v>2</v>
      </c>
      <c r="Y5787">
        <v>0</v>
      </c>
      <c r="Z5787">
        <v>2</v>
      </c>
      <c r="AA5787">
        <v>209.69</v>
      </c>
      <c r="AB5787">
        <v>209.69</v>
      </c>
      <c r="AC5787">
        <v>184.5</v>
      </c>
      <c r="AD5787">
        <v>0</v>
      </c>
      <c r="AE5787">
        <v>25.19</v>
      </c>
      <c r="AF5787">
        <v>0</v>
      </c>
      <c r="AG5787">
        <v>0</v>
      </c>
      <c r="AH5787">
        <v>0</v>
      </c>
      <c r="AI5787">
        <v>37.74</v>
      </c>
      <c r="AJ5787">
        <v>209.69</v>
      </c>
      <c r="AK5787">
        <v>0</v>
      </c>
      <c r="AL5787" t="s">
        <v>53</v>
      </c>
      <c r="AM5787" t="s">
        <v>53</v>
      </c>
      <c r="AN5787" t="s">
        <v>53</v>
      </c>
      <c r="AO5787" t="s">
        <v>53</v>
      </c>
      <c r="AP5787" t="s">
        <v>53</v>
      </c>
    </row>
    <row r="5788" spans="2:42" x14ac:dyDescent="0.2">
      <c r="B5788" t="s">
        <v>44</v>
      </c>
      <c r="C5788" t="str">
        <f>HYPERLINK("https://us2.cloudbeds.com/connect/8493803454333002#/reservations/9080486846448089?display=2QAQFPDBJ9&amp;reservation_id=9080486846448089", "2QAQFPDBJ9")</f>
        <v>2QAQFPDBJ9</v>
      </c>
      <c r="D5788" t="s">
        <v>45</v>
      </c>
      <c r="E5788" t="s">
        <v>381</v>
      </c>
      <c r="F5788" t="s">
        <v>47</v>
      </c>
      <c r="G5788" t="s">
        <v>48</v>
      </c>
      <c r="H5788" t="s">
        <v>49</v>
      </c>
      <c r="I5788" t="s">
        <v>50</v>
      </c>
      <c r="J5788" t="s">
        <v>8261</v>
      </c>
      <c r="K5788" t="s">
        <v>8053</v>
      </c>
      <c r="L5788" t="s">
        <v>53</v>
      </c>
      <c r="N5788" t="s">
        <v>10331</v>
      </c>
      <c r="P5788" t="s">
        <v>55</v>
      </c>
      <c r="R5788" t="s">
        <v>53</v>
      </c>
      <c r="T5788" t="s">
        <v>10332</v>
      </c>
      <c r="U5788" t="s">
        <v>58</v>
      </c>
      <c r="V5788">
        <v>2</v>
      </c>
      <c r="W5788">
        <v>1</v>
      </c>
      <c r="X5788">
        <v>2</v>
      </c>
      <c r="Y5788">
        <v>0</v>
      </c>
      <c r="Z5788">
        <v>2</v>
      </c>
      <c r="AA5788">
        <v>432.67</v>
      </c>
      <c r="AB5788">
        <v>432.67</v>
      </c>
      <c r="AC5788">
        <v>380.7</v>
      </c>
      <c r="AD5788">
        <v>0</v>
      </c>
      <c r="AE5788">
        <v>51.97</v>
      </c>
      <c r="AF5788">
        <v>0</v>
      </c>
      <c r="AG5788">
        <v>0</v>
      </c>
      <c r="AH5788">
        <v>0</v>
      </c>
      <c r="AI5788">
        <v>77.88</v>
      </c>
      <c r="AJ5788">
        <v>432.67</v>
      </c>
      <c r="AK5788">
        <v>0</v>
      </c>
      <c r="AL5788" t="s">
        <v>53</v>
      </c>
      <c r="AM5788" t="s">
        <v>53</v>
      </c>
      <c r="AN5788" t="s">
        <v>53</v>
      </c>
      <c r="AO5788" t="s">
        <v>53</v>
      </c>
      <c r="AP5788" t="s">
        <v>53</v>
      </c>
    </row>
    <row r="5789" spans="2:42" x14ac:dyDescent="0.2">
      <c r="B5789" t="s">
        <v>44</v>
      </c>
      <c r="C5789" t="str">
        <f>HYPERLINK("https://us2.cloudbeds.com/connect/8493803454333002#/reservations/9080486846448518?display=2QBAAEU75U&amp;reservation_id=9080486846448518", "2QBAAEU75U")</f>
        <v>2QBAAEU75U</v>
      </c>
      <c r="D5789" t="s">
        <v>45</v>
      </c>
      <c r="E5789" t="s">
        <v>213</v>
      </c>
      <c r="F5789" t="s">
        <v>86</v>
      </c>
      <c r="G5789" t="s">
        <v>48</v>
      </c>
      <c r="H5789" t="s">
        <v>49</v>
      </c>
      <c r="I5789" t="s">
        <v>50</v>
      </c>
      <c r="J5789" t="s">
        <v>8261</v>
      </c>
      <c r="K5789" t="s">
        <v>7802</v>
      </c>
      <c r="L5789" t="s">
        <v>53</v>
      </c>
      <c r="N5789" t="s">
        <v>10333</v>
      </c>
      <c r="P5789" t="s">
        <v>55</v>
      </c>
      <c r="R5789" t="s">
        <v>53</v>
      </c>
      <c r="T5789" t="s">
        <v>10334</v>
      </c>
      <c r="U5789" t="s">
        <v>58</v>
      </c>
      <c r="V5789">
        <v>1</v>
      </c>
      <c r="W5789">
        <v>1</v>
      </c>
      <c r="X5789">
        <v>1</v>
      </c>
      <c r="Y5789">
        <v>1</v>
      </c>
      <c r="Z5789">
        <v>2</v>
      </c>
      <c r="AA5789">
        <v>251.62</v>
      </c>
      <c r="AB5789">
        <v>251.62</v>
      </c>
      <c r="AC5789">
        <v>221.4</v>
      </c>
      <c r="AD5789">
        <v>0</v>
      </c>
      <c r="AE5789">
        <v>30.22</v>
      </c>
      <c r="AF5789">
        <v>0</v>
      </c>
      <c r="AG5789">
        <v>0</v>
      </c>
      <c r="AH5789">
        <v>0</v>
      </c>
      <c r="AI5789">
        <v>45.29</v>
      </c>
      <c r="AJ5789">
        <v>251.62</v>
      </c>
      <c r="AK5789">
        <v>0</v>
      </c>
      <c r="AL5789" t="s">
        <v>53</v>
      </c>
      <c r="AM5789" t="s">
        <v>53</v>
      </c>
      <c r="AN5789" t="s">
        <v>53</v>
      </c>
      <c r="AO5789" t="s">
        <v>53</v>
      </c>
      <c r="AP5789" t="s">
        <v>53</v>
      </c>
    </row>
    <row r="5790" spans="2:42" x14ac:dyDescent="0.2">
      <c r="B5790" t="s">
        <v>44</v>
      </c>
      <c r="C5790" t="str">
        <f>HYPERLINK("https://us2.cloudbeds.com/connect/8493803454333002#/reservations/9080486846448542?display=2QBBKMEYVG&amp;reservation_id=9080486846448542", "2QBBKMEYVG")</f>
        <v>2QBBKMEYVG</v>
      </c>
      <c r="D5790" t="s">
        <v>45</v>
      </c>
      <c r="E5790" t="s">
        <v>110</v>
      </c>
      <c r="F5790" t="s">
        <v>47</v>
      </c>
      <c r="G5790" t="s">
        <v>48</v>
      </c>
      <c r="H5790" t="s">
        <v>49</v>
      </c>
      <c r="I5790" t="s">
        <v>62</v>
      </c>
      <c r="J5790" t="s">
        <v>6454</v>
      </c>
      <c r="K5790" t="s">
        <v>5508</v>
      </c>
      <c r="L5790" t="s">
        <v>53</v>
      </c>
      <c r="N5790" t="s">
        <v>10335</v>
      </c>
      <c r="P5790" t="s">
        <v>55</v>
      </c>
      <c r="R5790" t="s">
        <v>56</v>
      </c>
      <c r="T5790" t="s">
        <v>10336</v>
      </c>
      <c r="U5790" t="s">
        <v>55</v>
      </c>
      <c r="V5790">
        <v>1</v>
      </c>
      <c r="W5790">
        <v>1</v>
      </c>
      <c r="X5790">
        <v>2</v>
      </c>
      <c r="Y5790">
        <v>0</v>
      </c>
      <c r="Z5790">
        <v>2</v>
      </c>
      <c r="AA5790">
        <v>184.3</v>
      </c>
      <c r="AB5790">
        <v>184.3</v>
      </c>
      <c r="AC5790">
        <v>184.3</v>
      </c>
      <c r="AD5790">
        <v>0</v>
      </c>
      <c r="AE5790">
        <v>0</v>
      </c>
      <c r="AF5790">
        <v>0</v>
      </c>
      <c r="AG5790">
        <v>0</v>
      </c>
      <c r="AH5790">
        <v>0</v>
      </c>
      <c r="AI5790">
        <v>33.17</v>
      </c>
      <c r="AJ5790">
        <v>184.3</v>
      </c>
      <c r="AK5790">
        <v>0</v>
      </c>
      <c r="AL5790" t="s">
        <v>53</v>
      </c>
      <c r="AM5790" t="s">
        <v>53</v>
      </c>
      <c r="AN5790" t="s">
        <v>53</v>
      </c>
      <c r="AO5790" t="s">
        <v>53</v>
      </c>
      <c r="AP5790" t="s">
        <v>53</v>
      </c>
    </row>
    <row r="5791" spans="2:42" x14ac:dyDescent="0.2">
      <c r="B5791" t="s">
        <v>44</v>
      </c>
      <c r="C5791" t="str">
        <f>HYPERLINK("https://us2.cloudbeds.com/connect/8493803454333002#/reservations/9080486846448563?display=2QBCE3CM96&amp;reservation_id=9080486846448563", "2QBCE3CM96")</f>
        <v>2QBCE3CM96</v>
      </c>
      <c r="D5791" t="s">
        <v>45</v>
      </c>
      <c r="E5791" t="s">
        <v>85</v>
      </c>
      <c r="F5791" t="s">
        <v>86</v>
      </c>
      <c r="G5791" t="s">
        <v>48</v>
      </c>
      <c r="H5791" t="s">
        <v>49</v>
      </c>
      <c r="I5791" t="s">
        <v>50</v>
      </c>
      <c r="J5791" t="s">
        <v>8829</v>
      </c>
      <c r="K5791" t="s">
        <v>9135</v>
      </c>
      <c r="L5791" t="s">
        <v>53</v>
      </c>
      <c r="N5791" t="s">
        <v>10337</v>
      </c>
      <c r="P5791" t="s">
        <v>55</v>
      </c>
      <c r="R5791" t="s">
        <v>53</v>
      </c>
      <c r="T5791" t="s">
        <v>10338</v>
      </c>
      <c r="U5791" t="s">
        <v>58</v>
      </c>
      <c r="V5791">
        <v>2</v>
      </c>
      <c r="W5791">
        <v>1</v>
      </c>
      <c r="X5791">
        <v>2</v>
      </c>
      <c r="Y5791">
        <v>0</v>
      </c>
      <c r="Z5791">
        <v>2</v>
      </c>
      <c r="AA5791">
        <v>320.3</v>
      </c>
      <c r="AB5791">
        <v>320.3</v>
      </c>
      <c r="AC5791">
        <v>281.82</v>
      </c>
      <c r="AD5791">
        <v>0</v>
      </c>
      <c r="AE5791">
        <v>38.479999999999997</v>
      </c>
      <c r="AF5791">
        <v>0</v>
      </c>
      <c r="AG5791">
        <v>0</v>
      </c>
      <c r="AH5791">
        <v>0</v>
      </c>
      <c r="AI5791">
        <v>57.65</v>
      </c>
      <c r="AJ5791">
        <v>320.3</v>
      </c>
      <c r="AK5791">
        <v>0</v>
      </c>
      <c r="AL5791" t="s">
        <v>53</v>
      </c>
      <c r="AM5791" t="s">
        <v>53</v>
      </c>
      <c r="AN5791" t="s">
        <v>10339</v>
      </c>
      <c r="AO5791" t="s">
        <v>53</v>
      </c>
      <c r="AP5791" t="s">
        <v>53</v>
      </c>
    </row>
    <row r="5792" spans="2:42" x14ac:dyDescent="0.2">
      <c r="B5792" t="s">
        <v>44</v>
      </c>
      <c r="C5792" t="str">
        <f>HYPERLINK("https://us2.cloudbeds.com/connect/8493803454333002#/reservations/129880521244817?display=2QBH4BQFV1&amp;reservation_id=129880521244817", "2QBH4BQFV1")</f>
        <v>2QBH4BQFV1</v>
      </c>
      <c r="D5792" t="s">
        <v>45</v>
      </c>
      <c r="E5792" t="s">
        <v>165</v>
      </c>
      <c r="F5792" t="s">
        <v>61</v>
      </c>
      <c r="G5792" t="s">
        <v>3974</v>
      </c>
      <c r="H5792" t="s">
        <v>3957</v>
      </c>
      <c r="I5792" t="s">
        <v>3975</v>
      </c>
      <c r="J5792" t="s">
        <v>6454</v>
      </c>
      <c r="K5792" t="s">
        <v>5508</v>
      </c>
      <c r="L5792" t="s">
        <v>53</v>
      </c>
      <c r="P5792" t="s">
        <v>55</v>
      </c>
      <c r="R5792" t="s">
        <v>53</v>
      </c>
      <c r="T5792" t="s">
        <v>10340</v>
      </c>
      <c r="U5792" t="s">
        <v>58</v>
      </c>
      <c r="V5792">
        <v>1</v>
      </c>
      <c r="W5792">
        <v>1</v>
      </c>
      <c r="X5792">
        <v>2</v>
      </c>
      <c r="Y5792">
        <v>0</v>
      </c>
      <c r="Z5792">
        <v>2</v>
      </c>
      <c r="AA5792">
        <v>215.94</v>
      </c>
      <c r="AB5792">
        <v>215.94</v>
      </c>
      <c r="AC5792">
        <v>190</v>
      </c>
      <c r="AD5792">
        <v>0</v>
      </c>
      <c r="AE5792">
        <v>25.94</v>
      </c>
      <c r="AF5792">
        <v>0</v>
      </c>
      <c r="AG5792">
        <v>0</v>
      </c>
      <c r="AH5792">
        <v>0</v>
      </c>
      <c r="AI5792">
        <v>0</v>
      </c>
      <c r="AJ5792">
        <v>215.94</v>
      </c>
      <c r="AK5792">
        <v>0</v>
      </c>
      <c r="AL5792" t="s">
        <v>53</v>
      </c>
      <c r="AM5792" t="s">
        <v>53</v>
      </c>
      <c r="AN5792" t="s">
        <v>53</v>
      </c>
      <c r="AO5792" t="s">
        <v>53</v>
      </c>
      <c r="AP5792" t="s">
        <v>53</v>
      </c>
    </row>
    <row r="5793" spans="2:42" x14ac:dyDescent="0.2">
      <c r="B5793" t="s">
        <v>44</v>
      </c>
      <c r="C5793" t="str">
        <f>HYPERLINK("https://us2.cloudbeds.com/connect/8493803454333002#/reservations/9080486846448890?display=2QBR26QF1W&amp;reservation_id=9080486846448890", "2QBR26QF1W")</f>
        <v>2QBR26QF1W</v>
      </c>
      <c r="D5793" t="s">
        <v>45</v>
      </c>
      <c r="E5793" t="s">
        <v>78</v>
      </c>
      <c r="F5793" t="s">
        <v>61</v>
      </c>
      <c r="G5793" t="s">
        <v>48</v>
      </c>
      <c r="H5793" t="s">
        <v>49</v>
      </c>
      <c r="I5793" t="s">
        <v>50</v>
      </c>
      <c r="J5793" t="s">
        <v>5403</v>
      </c>
      <c r="K5793" t="s">
        <v>8139</v>
      </c>
      <c r="L5793" t="s">
        <v>53</v>
      </c>
      <c r="N5793" t="s">
        <v>10341</v>
      </c>
      <c r="P5793" t="s">
        <v>55</v>
      </c>
      <c r="R5793" t="s">
        <v>53</v>
      </c>
      <c r="T5793" t="s">
        <v>10342</v>
      </c>
      <c r="U5793" t="s">
        <v>58</v>
      </c>
      <c r="V5793">
        <v>2</v>
      </c>
      <c r="W5793">
        <v>1</v>
      </c>
      <c r="X5793">
        <v>2</v>
      </c>
      <c r="Y5793">
        <v>0</v>
      </c>
      <c r="Z5793">
        <v>2</v>
      </c>
      <c r="AA5793">
        <v>379.49</v>
      </c>
      <c r="AB5793">
        <v>379.49</v>
      </c>
      <c r="AC5793">
        <v>333.9</v>
      </c>
      <c r="AD5793">
        <v>0</v>
      </c>
      <c r="AE5793">
        <v>45.59</v>
      </c>
      <c r="AF5793">
        <v>0</v>
      </c>
      <c r="AG5793">
        <v>0</v>
      </c>
      <c r="AH5793">
        <v>0</v>
      </c>
      <c r="AI5793">
        <v>68.31</v>
      </c>
      <c r="AJ5793">
        <v>379.49</v>
      </c>
      <c r="AK5793">
        <v>0</v>
      </c>
      <c r="AL5793" t="s">
        <v>53</v>
      </c>
      <c r="AM5793" t="s">
        <v>53</v>
      </c>
      <c r="AN5793" t="s">
        <v>53</v>
      </c>
      <c r="AO5793" t="s">
        <v>53</v>
      </c>
      <c r="AP5793" t="s">
        <v>53</v>
      </c>
    </row>
    <row r="5794" spans="2:42" x14ac:dyDescent="0.2">
      <c r="B5794" t="s">
        <v>44</v>
      </c>
      <c r="C5794" t="str">
        <f>HYPERLINK("https://us2.cloudbeds.com/connect/8493803454333002#/reservations/9080486846448911?display=2QBS0EHMXP&amp;reservation_id=9080486846448911", "2QBS0EHMXP")</f>
        <v>2QBS0EHMXP</v>
      </c>
      <c r="D5794" t="s">
        <v>45</v>
      </c>
      <c r="E5794" t="s">
        <v>138</v>
      </c>
      <c r="F5794" t="s">
        <v>70</v>
      </c>
      <c r="G5794" t="s">
        <v>48</v>
      </c>
      <c r="H5794" t="s">
        <v>49</v>
      </c>
      <c r="I5794" t="s">
        <v>62</v>
      </c>
      <c r="J5794" t="s">
        <v>7089</v>
      </c>
      <c r="K5794" t="s">
        <v>9928</v>
      </c>
      <c r="L5794" t="s">
        <v>53</v>
      </c>
      <c r="N5794" t="s">
        <v>10343</v>
      </c>
      <c r="P5794" t="s">
        <v>55</v>
      </c>
      <c r="R5794" t="s">
        <v>56</v>
      </c>
      <c r="T5794" t="s">
        <v>10344</v>
      </c>
      <c r="U5794" t="s">
        <v>55</v>
      </c>
      <c r="V5794">
        <v>2</v>
      </c>
      <c r="W5794">
        <v>1</v>
      </c>
      <c r="X5794">
        <v>2</v>
      </c>
      <c r="Y5794">
        <v>0</v>
      </c>
      <c r="Z5794">
        <v>2</v>
      </c>
      <c r="AA5794">
        <v>369</v>
      </c>
      <c r="AB5794">
        <v>369</v>
      </c>
      <c r="AC5794">
        <v>369</v>
      </c>
      <c r="AD5794">
        <v>0</v>
      </c>
      <c r="AE5794">
        <v>0</v>
      </c>
      <c r="AF5794">
        <v>0</v>
      </c>
      <c r="AG5794">
        <v>0</v>
      </c>
      <c r="AH5794">
        <v>0</v>
      </c>
      <c r="AI5794">
        <v>66.42</v>
      </c>
      <c r="AJ5794">
        <v>369</v>
      </c>
      <c r="AK5794">
        <v>0</v>
      </c>
      <c r="AL5794" t="s">
        <v>53</v>
      </c>
      <c r="AM5794" t="s">
        <v>53</v>
      </c>
      <c r="AN5794" t="s">
        <v>53</v>
      </c>
      <c r="AO5794" t="s">
        <v>53</v>
      </c>
      <c r="AP5794" t="s">
        <v>53</v>
      </c>
    </row>
    <row r="5795" spans="2:42" x14ac:dyDescent="0.2">
      <c r="B5795" t="s">
        <v>44</v>
      </c>
      <c r="C5795" t="str">
        <f>HYPERLINK("https://us2.cloudbeds.com/connect/8493803454333002#/reservations/129920025071771?display=2QCENPFN4A&amp;reservation_id=129920025071771", "2QCENPFN4A")</f>
        <v>2QCENPFN4A</v>
      </c>
      <c r="D5795" t="s">
        <v>45</v>
      </c>
      <c r="E5795" t="s">
        <v>113</v>
      </c>
      <c r="F5795" t="s">
        <v>61</v>
      </c>
      <c r="G5795" t="s">
        <v>48</v>
      </c>
      <c r="H5795" t="s">
        <v>3957</v>
      </c>
      <c r="I5795" t="s">
        <v>3975</v>
      </c>
      <c r="J5795" t="s">
        <v>6991</v>
      </c>
      <c r="K5795" t="s">
        <v>6828</v>
      </c>
      <c r="L5795" t="s">
        <v>53</v>
      </c>
      <c r="P5795" t="s">
        <v>58</v>
      </c>
      <c r="R5795" t="s">
        <v>53</v>
      </c>
      <c r="T5795" t="s">
        <v>10345</v>
      </c>
      <c r="U5795" t="s">
        <v>58</v>
      </c>
      <c r="V5795">
        <v>1</v>
      </c>
      <c r="W5795">
        <v>1</v>
      </c>
      <c r="X5795">
        <v>2</v>
      </c>
      <c r="Y5795">
        <v>0</v>
      </c>
      <c r="Z5795">
        <v>2</v>
      </c>
      <c r="AA5795">
        <v>214.8</v>
      </c>
      <c r="AB5795">
        <v>214.8</v>
      </c>
      <c r="AC5795">
        <v>189</v>
      </c>
      <c r="AD5795">
        <v>0</v>
      </c>
      <c r="AE5795">
        <v>25.8</v>
      </c>
      <c r="AF5795">
        <v>0</v>
      </c>
      <c r="AG5795">
        <v>0</v>
      </c>
      <c r="AH5795">
        <v>0</v>
      </c>
      <c r="AI5795">
        <v>0</v>
      </c>
      <c r="AJ5795">
        <v>214.8</v>
      </c>
      <c r="AK5795">
        <v>0</v>
      </c>
      <c r="AL5795" t="s">
        <v>53</v>
      </c>
      <c r="AM5795" t="s">
        <v>53</v>
      </c>
      <c r="AN5795" t="s">
        <v>53</v>
      </c>
      <c r="AO5795" t="s">
        <v>53</v>
      </c>
      <c r="AP5795" t="s">
        <v>53</v>
      </c>
    </row>
    <row r="5796" spans="2:42" x14ac:dyDescent="0.2">
      <c r="B5796" t="s">
        <v>44</v>
      </c>
      <c r="C5796" t="str">
        <f>HYPERLINK("https://us2.cloudbeds.com/connect/8493803454333002#/reservations/129926514405567?display=2QCJZJEWAW&amp;reservation_id=129926514405567", "2QCJZJEWAW")</f>
        <v>2QCJZJEWAW</v>
      </c>
      <c r="D5796" t="s">
        <v>45</v>
      </c>
      <c r="E5796" t="s">
        <v>165</v>
      </c>
      <c r="F5796" t="s">
        <v>61</v>
      </c>
      <c r="G5796" t="s">
        <v>48</v>
      </c>
      <c r="H5796" t="s">
        <v>3957</v>
      </c>
      <c r="I5796" t="s">
        <v>3975</v>
      </c>
      <c r="J5796" t="s">
        <v>6992</v>
      </c>
      <c r="K5796" t="s">
        <v>6829</v>
      </c>
      <c r="L5796" t="s">
        <v>53</v>
      </c>
      <c r="P5796" t="s">
        <v>55</v>
      </c>
      <c r="R5796" t="s">
        <v>53</v>
      </c>
      <c r="T5796" t="s">
        <v>10346</v>
      </c>
      <c r="U5796" t="s">
        <v>58</v>
      </c>
      <c r="V5796">
        <v>1</v>
      </c>
      <c r="W5796">
        <v>1</v>
      </c>
      <c r="X5796">
        <v>2</v>
      </c>
      <c r="Y5796">
        <v>0</v>
      </c>
      <c r="Z5796">
        <v>2</v>
      </c>
      <c r="AA5796">
        <v>198.9</v>
      </c>
      <c r="AB5796">
        <v>198.9</v>
      </c>
      <c r="AC5796">
        <v>175</v>
      </c>
      <c r="AD5796">
        <v>0</v>
      </c>
      <c r="AE5796">
        <v>23.9</v>
      </c>
      <c r="AF5796">
        <v>0</v>
      </c>
      <c r="AG5796">
        <v>0</v>
      </c>
      <c r="AH5796">
        <v>0</v>
      </c>
      <c r="AI5796">
        <v>0</v>
      </c>
      <c r="AJ5796">
        <v>198.9</v>
      </c>
      <c r="AK5796">
        <v>0</v>
      </c>
      <c r="AL5796" t="s">
        <v>53</v>
      </c>
      <c r="AM5796" t="s">
        <v>53</v>
      </c>
      <c r="AN5796" t="s">
        <v>53</v>
      </c>
      <c r="AO5796" t="s">
        <v>53</v>
      </c>
      <c r="AP5796" t="s">
        <v>53</v>
      </c>
    </row>
    <row r="5797" spans="2:42" x14ac:dyDescent="0.2">
      <c r="B5797" t="s">
        <v>44</v>
      </c>
      <c r="C5797" t="str">
        <f>HYPERLINK("https://us2.cloudbeds.com/connect/8493803454333002#/reservations/9080486846449510?display=2QCRD5YFYM&amp;reservation_id=9080486846449510", "2QCRD5YFYM")</f>
        <v>2QCRD5YFYM</v>
      </c>
      <c r="D5797" t="s">
        <v>45</v>
      </c>
      <c r="E5797" t="s">
        <v>110</v>
      </c>
      <c r="F5797" t="s">
        <v>47</v>
      </c>
      <c r="G5797" t="s">
        <v>48</v>
      </c>
      <c r="H5797" t="s">
        <v>49</v>
      </c>
      <c r="I5797" t="s">
        <v>8964</v>
      </c>
      <c r="J5797" t="s">
        <v>6379</v>
      </c>
      <c r="K5797" t="s">
        <v>10121</v>
      </c>
      <c r="L5797" t="s">
        <v>53</v>
      </c>
      <c r="N5797" t="s">
        <v>10347</v>
      </c>
      <c r="P5797" t="s">
        <v>55</v>
      </c>
      <c r="R5797" t="s">
        <v>53</v>
      </c>
      <c r="T5797" t="s">
        <v>10348</v>
      </c>
      <c r="U5797" t="s">
        <v>58</v>
      </c>
      <c r="V5797">
        <v>1</v>
      </c>
      <c r="W5797">
        <v>1</v>
      </c>
      <c r="X5797">
        <v>2</v>
      </c>
      <c r="Y5797">
        <v>0</v>
      </c>
      <c r="Z5797">
        <v>2</v>
      </c>
      <c r="AA5797">
        <v>0</v>
      </c>
      <c r="AB5797">
        <v>0</v>
      </c>
      <c r="AC5797">
        <v>200</v>
      </c>
      <c r="AD5797">
        <v>0</v>
      </c>
      <c r="AE5797">
        <v>0</v>
      </c>
      <c r="AF5797">
        <v>0</v>
      </c>
      <c r="AG5797">
        <v>0</v>
      </c>
      <c r="AH5797">
        <v>0</v>
      </c>
      <c r="AI5797">
        <v>30</v>
      </c>
      <c r="AJ5797">
        <v>200</v>
      </c>
      <c r="AK5797">
        <v>200</v>
      </c>
      <c r="AL5797" t="s">
        <v>53</v>
      </c>
      <c r="AM5797" t="s">
        <v>53</v>
      </c>
      <c r="AN5797" t="s">
        <v>53</v>
      </c>
      <c r="AO5797" t="s">
        <v>53</v>
      </c>
      <c r="AP5797" t="s">
        <v>53</v>
      </c>
    </row>
    <row r="5798" spans="2:42" x14ac:dyDescent="0.2">
      <c r="B5798" t="s">
        <v>44</v>
      </c>
      <c r="C5798" t="str">
        <f>HYPERLINK("https://us2.cloudbeds.com/connect/8493803454333002#/reservations/129946939441290?display=2QD2XGCNBE&amp;reservation_id=129946939441290", "2QD2XGCNBE")</f>
        <v>2QD2XGCNBE</v>
      </c>
      <c r="D5798" t="s">
        <v>45</v>
      </c>
      <c r="E5798" t="s">
        <v>105</v>
      </c>
      <c r="F5798" t="s">
        <v>47</v>
      </c>
      <c r="G5798" t="s">
        <v>48</v>
      </c>
      <c r="H5798" t="s">
        <v>3957</v>
      </c>
      <c r="I5798" t="s">
        <v>3958</v>
      </c>
      <c r="J5798" t="s">
        <v>7802</v>
      </c>
      <c r="K5798" t="s">
        <v>8053</v>
      </c>
      <c r="L5798" t="s">
        <v>53</v>
      </c>
      <c r="P5798" t="s">
        <v>55</v>
      </c>
      <c r="R5798" t="s">
        <v>56</v>
      </c>
      <c r="T5798" t="s">
        <v>10349</v>
      </c>
      <c r="U5798" t="s">
        <v>58</v>
      </c>
      <c r="V5798">
        <v>1</v>
      </c>
      <c r="W5798">
        <v>1</v>
      </c>
      <c r="X5798">
        <v>1</v>
      </c>
      <c r="Y5798">
        <v>0</v>
      </c>
      <c r="Z5798">
        <v>1</v>
      </c>
      <c r="AA5798">
        <v>232.99</v>
      </c>
      <c r="AB5798">
        <v>232.99</v>
      </c>
      <c r="AC5798">
        <v>205</v>
      </c>
      <c r="AD5798">
        <v>0</v>
      </c>
      <c r="AE5798">
        <v>27.99</v>
      </c>
      <c r="AF5798">
        <v>0</v>
      </c>
      <c r="AG5798">
        <v>0</v>
      </c>
      <c r="AH5798">
        <v>0</v>
      </c>
      <c r="AI5798">
        <v>0</v>
      </c>
      <c r="AJ5798">
        <v>232.99</v>
      </c>
      <c r="AK5798">
        <v>0</v>
      </c>
      <c r="AL5798" t="s">
        <v>53</v>
      </c>
      <c r="AM5798" t="s">
        <v>53</v>
      </c>
      <c r="AN5798" t="s">
        <v>53</v>
      </c>
      <c r="AO5798" t="s">
        <v>53</v>
      </c>
      <c r="AP5798" t="s">
        <v>53</v>
      </c>
    </row>
    <row r="5799" spans="2:42" x14ac:dyDescent="0.2">
      <c r="B5799" t="s">
        <v>44</v>
      </c>
      <c r="C5799" t="str">
        <f>HYPERLINK("https://us2.cloudbeds.com/connect/8493803454333002#/reservations/9080486846450687?display=2QEW0QQZMK&amp;reservation_id=9080486846450687", "2QEW0QQZMK")</f>
        <v>2QEW0QQZMK</v>
      </c>
      <c r="D5799" t="s">
        <v>45</v>
      </c>
      <c r="E5799" t="s">
        <v>85</v>
      </c>
      <c r="F5799" t="s">
        <v>86</v>
      </c>
      <c r="G5799" t="s">
        <v>48</v>
      </c>
      <c r="H5799" t="s">
        <v>49</v>
      </c>
      <c r="I5799" t="s">
        <v>62</v>
      </c>
      <c r="J5799" t="s">
        <v>9318</v>
      </c>
      <c r="K5799" t="s">
        <v>8394</v>
      </c>
      <c r="L5799" t="s">
        <v>53</v>
      </c>
      <c r="N5799" t="s">
        <v>10350</v>
      </c>
      <c r="P5799" t="s">
        <v>55</v>
      </c>
      <c r="R5799" t="s">
        <v>56</v>
      </c>
      <c r="T5799" t="s">
        <v>10351</v>
      </c>
      <c r="U5799" t="s">
        <v>55</v>
      </c>
      <c r="V5799">
        <v>1</v>
      </c>
      <c r="W5799">
        <v>1</v>
      </c>
      <c r="X5799">
        <v>2</v>
      </c>
      <c r="Y5799">
        <v>0</v>
      </c>
      <c r="Z5799">
        <v>2</v>
      </c>
      <c r="AA5799">
        <v>206.15</v>
      </c>
      <c r="AB5799">
        <v>206.15</v>
      </c>
      <c r="AC5799">
        <v>206.15</v>
      </c>
      <c r="AD5799">
        <v>0</v>
      </c>
      <c r="AE5799">
        <v>0</v>
      </c>
      <c r="AF5799">
        <v>0</v>
      </c>
      <c r="AG5799">
        <v>0</v>
      </c>
      <c r="AH5799">
        <v>0</v>
      </c>
      <c r="AI5799">
        <v>37.11</v>
      </c>
      <c r="AJ5799">
        <v>206.15</v>
      </c>
      <c r="AK5799">
        <v>0</v>
      </c>
      <c r="AL5799" t="s">
        <v>53</v>
      </c>
      <c r="AM5799" t="s">
        <v>53</v>
      </c>
      <c r="AN5799" t="s">
        <v>53</v>
      </c>
      <c r="AO5799" t="s">
        <v>53</v>
      </c>
      <c r="AP5799" t="s">
        <v>53</v>
      </c>
    </row>
    <row r="5800" spans="2:42" x14ac:dyDescent="0.2">
      <c r="B5800" t="s">
        <v>44</v>
      </c>
      <c r="C5800" t="str">
        <f>HYPERLINK("https://us2.cloudbeds.com/connect/8493803454333002#/reservations/9080486846450974?display=2QFFGEHD72&amp;reservation_id=9080486846450974", "2QFFGEHD72")</f>
        <v>2QFFGEHD72</v>
      </c>
      <c r="D5800" t="s">
        <v>45</v>
      </c>
      <c r="E5800" t="s">
        <v>69</v>
      </c>
      <c r="F5800" t="s">
        <v>70</v>
      </c>
      <c r="G5800" t="s">
        <v>48</v>
      </c>
      <c r="H5800" t="s">
        <v>49</v>
      </c>
      <c r="I5800" t="s">
        <v>62</v>
      </c>
      <c r="J5800" t="s">
        <v>7624</v>
      </c>
      <c r="K5800" t="s">
        <v>7966</v>
      </c>
      <c r="L5800" t="s">
        <v>53</v>
      </c>
      <c r="N5800" t="s">
        <v>10352</v>
      </c>
      <c r="P5800" t="s">
        <v>55</v>
      </c>
      <c r="R5800" t="s">
        <v>56</v>
      </c>
      <c r="T5800" t="s">
        <v>10353</v>
      </c>
      <c r="U5800" t="s">
        <v>55</v>
      </c>
      <c r="V5800">
        <v>1</v>
      </c>
      <c r="W5800">
        <v>1</v>
      </c>
      <c r="X5800">
        <v>1</v>
      </c>
      <c r="Y5800">
        <v>0</v>
      </c>
      <c r="Z5800">
        <v>1</v>
      </c>
      <c r="AA5800">
        <v>171</v>
      </c>
      <c r="AB5800">
        <v>171</v>
      </c>
      <c r="AC5800">
        <v>171</v>
      </c>
      <c r="AD5800">
        <v>0</v>
      </c>
      <c r="AE5800">
        <v>0</v>
      </c>
      <c r="AF5800">
        <v>0</v>
      </c>
      <c r="AG5800">
        <v>0</v>
      </c>
      <c r="AH5800">
        <v>0</v>
      </c>
      <c r="AI5800">
        <v>30.78</v>
      </c>
      <c r="AJ5800">
        <v>171</v>
      </c>
      <c r="AK5800">
        <v>0</v>
      </c>
      <c r="AL5800" t="s">
        <v>53</v>
      </c>
      <c r="AM5800" t="s">
        <v>53</v>
      </c>
      <c r="AN5800" t="s">
        <v>53</v>
      </c>
      <c r="AO5800" t="s">
        <v>53</v>
      </c>
      <c r="AP5800" t="s">
        <v>53</v>
      </c>
    </row>
    <row r="5801" spans="2:42" x14ac:dyDescent="0.2">
      <c r="B5801" t="s">
        <v>44</v>
      </c>
      <c r="C5801" t="str">
        <f>HYPERLINK("https://us2.cloudbeds.com/connect/8493803454333002#/reservations/9080486846452194?display=2QH1JUX4CV&amp;reservation_id=9080486846452194", "2QH1JUX4CV")</f>
        <v>2QH1JUX4CV</v>
      </c>
      <c r="D5801" t="s">
        <v>45</v>
      </c>
      <c r="E5801" t="s">
        <v>121</v>
      </c>
      <c r="F5801" t="s">
        <v>86</v>
      </c>
      <c r="G5801" t="s">
        <v>48</v>
      </c>
      <c r="H5801" t="s">
        <v>49</v>
      </c>
      <c r="I5801" t="s">
        <v>50</v>
      </c>
      <c r="J5801" t="s">
        <v>8053</v>
      </c>
      <c r="K5801" t="s">
        <v>8391</v>
      </c>
      <c r="L5801" t="s">
        <v>53</v>
      </c>
      <c r="N5801" t="s">
        <v>10354</v>
      </c>
      <c r="P5801" t="s">
        <v>55</v>
      </c>
      <c r="R5801" t="s">
        <v>53</v>
      </c>
      <c r="T5801" t="s">
        <v>10355</v>
      </c>
      <c r="U5801" t="s">
        <v>58</v>
      </c>
      <c r="V5801">
        <v>2</v>
      </c>
      <c r="W5801">
        <v>1</v>
      </c>
      <c r="X5801">
        <v>2</v>
      </c>
      <c r="Y5801">
        <v>0</v>
      </c>
      <c r="Z5801">
        <v>2</v>
      </c>
      <c r="AA5801">
        <v>379.48</v>
      </c>
      <c r="AB5801">
        <v>379.48</v>
      </c>
      <c r="AC5801">
        <v>333.9</v>
      </c>
      <c r="AD5801">
        <v>0</v>
      </c>
      <c r="AE5801">
        <v>45.58</v>
      </c>
      <c r="AF5801">
        <v>0</v>
      </c>
      <c r="AG5801">
        <v>0</v>
      </c>
      <c r="AH5801">
        <v>0</v>
      </c>
      <c r="AI5801">
        <v>68.31</v>
      </c>
      <c r="AJ5801">
        <v>379.48</v>
      </c>
      <c r="AK5801">
        <v>0</v>
      </c>
      <c r="AL5801" t="s">
        <v>53</v>
      </c>
      <c r="AM5801" t="s">
        <v>53</v>
      </c>
      <c r="AN5801" t="s">
        <v>53</v>
      </c>
      <c r="AO5801" t="s">
        <v>53</v>
      </c>
      <c r="AP5801" t="s">
        <v>53</v>
      </c>
    </row>
    <row r="5802" spans="2:42" x14ac:dyDescent="0.2">
      <c r="B5802" t="s">
        <v>44</v>
      </c>
      <c r="C5802" t="str">
        <f>HYPERLINK("https://us2.cloudbeds.com/connect/8493803454333002#/reservations/9080486846452552?display=2QHDACU6K5&amp;reservation_id=9080486846452552", "2QHDACU6K5")</f>
        <v>2QHDACU6K5</v>
      </c>
      <c r="D5802" t="s">
        <v>45</v>
      </c>
      <c r="E5802" t="s">
        <v>381</v>
      </c>
      <c r="F5802" t="s">
        <v>47</v>
      </c>
      <c r="G5802" t="s">
        <v>48</v>
      </c>
      <c r="H5802" t="s">
        <v>49</v>
      </c>
      <c r="I5802" t="s">
        <v>50</v>
      </c>
      <c r="J5802" t="s">
        <v>7974</v>
      </c>
      <c r="K5802" t="s">
        <v>7750</v>
      </c>
      <c r="L5802" t="s">
        <v>53</v>
      </c>
      <c r="N5802" t="s">
        <v>10356</v>
      </c>
      <c r="P5802" t="s">
        <v>55</v>
      </c>
      <c r="R5802" t="s">
        <v>53</v>
      </c>
      <c r="T5802" t="s">
        <v>10357</v>
      </c>
      <c r="U5802" t="s">
        <v>58</v>
      </c>
      <c r="V5802">
        <v>2</v>
      </c>
      <c r="W5802">
        <v>1</v>
      </c>
      <c r="X5802">
        <v>2</v>
      </c>
      <c r="Y5802">
        <v>0</v>
      </c>
      <c r="Z5802">
        <v>2</v>
      </c>
      <c r="AA5802">
        <v>427.56</v>
      </c>
      <c r="AB5802">
        <v>427.56</v>
      </c>
      <c r="AC5802">
        <v>376.2</v>
      </c>
      <c r="AD5802">
        <v>2.5</v>
      </c>
      <c r="AE5802">
        <v>51.57</v>
      </c>
      <c r="AF5802">
        <v>0</v>
      </c>
      <c r="AG5802">
        <v>0</v>
      </c>
      <c r="AH5802">
        <v>0</v>
      </c>
      <c r="AI5802">
        <v>77.45</v>
      </c>
      <c r="AJ5802">
        <v>430.27</v>
      </c>
      <c r="AK5802">
        <v>2.71</v>
      </c>
      <c r="AL5802" t="s">
        <v>53</v>
      </c>
      <c r="AM5802" t="s">
        <v>53</v>
      </c>
      <c r="AN5802" t="s">
        <v>53</v>
      </c>
      <c r="AO5802" t="s">
        <v>53</v>
      </c>
      <c r="AP5802" t="s">
        <v>53</v>
      </c>
    </row>
    <row r="5803" spans="2:42" x14ac:dyDescent="0.2">
      <c r="B5803" t="s">
        <v>44</v>
      </c>
      <c r="C5803" t="str">
        <f>HYPERLINK("https://us2.cloudbeds.com/connect/8493803454333002#/reservations/9080486846452554?display=2QHDKKADFP&amp;reservation_id=9080486846452554", "2QHDKKADFP")</f>
        <v>2QHDKKADFP</v>
      </c>
      <c r="D5803" t="s">
        <v>45</v>
      </c>
      <c r="E5803" t="s">
        <v>185</v>
      </c>
      <c r="F5803" t="s">
        <v>47</v>
      </c>
      <c r="G5803" t="s">
        <v>48</v>
      </c>
      <c r="H5803" t="s">
        <v>49</v>
      </c>
      <c r="I5803" t="s">
        <v>50</v>
      </c>
      <c r="J5803" t="s">
        <v>7974</v>
      </c>
      <c r="K5803" t="s">
        <v>7750</v>
      </c>
      <c r="L5803" t="s">
        <v>53</v>
      </c>
      <c r="N5803" t="s">
        <v>10358</v>
      </c>
      <c r="P5803" t="s">
        <v>55</v>
      </c>
      <c r="R5803" t="s">
        <v>53</v>
      </c>
      <c r="T5803" t="s">
        <v>10359</v>
      </c>
      <c r="U5803" t="s">
        <v>58</v>
      </c>
      <c r="V5803">
        <v>2</v>
      </c>
      <c r="W5803">
        <v>1</v>
      </c>
      <c r="X5803">
        <v>2</v>
      </c>
      <c r="Y5803">
        <v>0</v>
      </c>
      <c r="Z5803">
        <v>2</v>
      </c>
      <c r="AA5803">
        <v>427.56</v>
      </c>
      <c r="AB5803">
        <v>431.9</v>
      </c>
      <c r="AC5803">
        <v>376.2</v>
      </c>
      <c r="AD5803">
        <v>4</v>
      </c>
      <c r="AE5803">
        <v>51.7</v>
      </c>
      <c r="AF5803">
        <v>0</v>
      </c>
      <c r="AG5803">
        <v>0</v>
      </c>
      <c r="AH5803">
        <v>0</v>
      </c>
      <c r="AI5803">
        <v>77.739999999999995</v>
      </c>
      <c r="AJ5803">
        <v>431.9</v>
      </c>
      <c r="AK5803">
        <v>0</v>
      </c>
      <c r="AL5803" t="s">
        <v>53</v>
      </c>
      <c r="AM5803" t="s">
        <v>53</v>
      </c>
      <c r="AN5803" t="s">
        <v>53</v>
      </c>
      <c r="AO5803" t="s">
        <v>53</v>
      </c>
      <c r="AP5803" t="s">
        <v>53</v>
      </c>
    </row>
    <row r="5804" spans="2:42" x14ac:dyDescent="0.2">
      <c r="B5804" t="s">
        <v>44</v>
      </c>
      <c r="C5804" t="str">
        <f>HYPERLINK("https://us2.cloudbeds.com/connect/8493803454333002#/reservations/9080486846452556?display=2QHDPQ4G7U&amp;reservation_id=9080486846452556", "2QHDPQ4G7U")</f>
        <v>2QHDPQ4G7U</v>
      </c>
      <c r="D5804" t="s">
        <v>45</v>
      </c>
      <c r="E5804" t="s">
        <v>265</v>
      </c>
      <c r="F5804" t="s">
        <v>61</v>
      </c>
      <c r="G5804" t="s">
        <v>48</v>
      </c>
      <c r="H5804" t="s">
        <v>49</v>
      </c>
      <c r="I5804" t="s">
        <v>62</v>
      </c>
      <c r="J5804" t="s">
        <v>7802</v>
      </c>
      <c r="K5804" t="s">
        <v>8053</v>
      </c>
      <c r="L5804" t="s">
        <v>53</v>
      </c>
      <c r="N5804" t="s">
        <v>10360</v>
      </c>
      <c r="P5804" t="s">
        <v>55</v>
      </c>
      <c r="R5804" t="s">
        <v>56</v>
      </c>
      <c r="T5804" t="s">
        <v>10361</v>
      </c>
      <c r="U5804" t="s">
        <v>55</v>
      </c>
      <c r="V5804">
        <v>1</v>
      </c>
      <c r="W5804">
        <v>1</v>
      </c>
      <c r="X5804">
        <v>1</v>
      </c>
      <c r="Y5804">
        <v>0</v>
      </c>
      <c r="Z5804">
        <v>1</v>
      </c>
      <c r="AA5804">
        <v>253</v>
      </c>
      <c r="AB5804">
        <v>253</v>
      </c>
      <c r="AC5804">
        <v>253</v>
      </c>
      <c r="AD5804">
        <v>0</v>
      </c>
      <c r="AE5804">
        <v>0</v>
      </c>
      <c r="AF5804">
        <v>0</v>
      </c>
      <c r="AG5804">
        <v>0</v>
      </c>
      <c r="AH5804">
        <v>0</v>
      </c>
      <c r="AI5804">
        <v>45.54</v>
      </c>
      <c r="AJ5804">
        <v>253</v>
      </c>
      <c r="AK5804">
        <v>0</v>
      </c>
      <c r="AL5804" t="s">
        <v>53</v>
      </c>
      <c r="AM5804" t="s">
        <v>53</v>
      </c>
      <c r="AN5804" t="s">
        <v>53</v>
      </c>
      <c r="AO5804" t="s">
        <v>53</v>
      </c>
      <c r="AP5804" t="s">
        <v>53</v>
      </c>
    </row>
    <row r="5805" spans="2:42" x14ac:dyDescent="0.2">
      <c r="B5805" t="s">
        <v>44</v>
      </c>
      <c r="C5805" t="str">
        <f>HYPERLINK("https://us2.cloudbeds.com/connect/8493803454333002#/reservations/9080486846452768?display=2QHKCUZUYJ&amp;reservation_id=9080486846452768", "2QHKCUZUYJ")</f>
        <v>2QHKCUZUYJ</v>
      </c>
      <c r="D5805" t="s">
        <v>45</v>
      </c>
      <c r="E5805" t="s">
        <v>190</v>
      </c>
      <c r="F5805" t="s">
        <v>61</v>
      </c>
      <c r="G5805" t="s">
        <v>48</v>
      </c>
      <c r="H5805" t="s">
        <v>49</v>
      </c>
      <c r="I5805" t="s">
        <v>62</v>
      </c>
      <c r="J5805" t="s">
        <v>7802</v>
      </c>
      <c r="K5805" t="s">
        <v>8053</v>
      </c>
      <c r="L5805" t="s">
        <v>53</v>
      </c>
      <c r="N5805" t="s">
        <v>10362</v>
      </c>
      <c r="P5805" t="s">
        <v>55</v>
      </c>
      <c r="R5805" t="s">
        <v>56</v>
      </c>
      <c r="T5805" t="s">
        <v>10363</v>
      </c>
      <c r="U5805" t="s">
        <v>55</v>
      </c>
      <c r="V5805">
        <v>1</v>
      </c>
      <c r="W5805">
        <v>1</v>
      </c>
      <c r="X5805">
        <v>2</v>
      </c>
      <c r="Y5805">
        <v>0</v>
      </c>
      <c r="Z5805">
        <v>2</v>
      </c>
      <c r="AA5805">
        <v>253</v>
      </c>
      <c r="AB5805">
        <v>253</v>
      </c>
      <c r="AC5805">
        <v>253</v>
      </c>
      <c r="AD5805">
        <v>0</v>
      </c>
      <c r="AE5805">
        <v>0</v>
      </c>
      <c r="AF5805">
        <v>0</v>
      </c>
      <c r="AG5805">
        <v>0</v>
      </c>
      <c r="AH5805">
        <v>0</v>
      </c>
      <c r="AI5805">
        <v>45.54</v>
      </c>
      <c r="AJ5805">
        <v>253</v>
      </c>
      <c r="AK5805">
        <v>0</v>
      </c>
      <c r="AL5805" t="s">
        <v>53</v>
      </c>
      <c r="AM5805" t="s">
        <v>53</v>
      </c>
      <c r="AN5805" t="s">
        <v>53</v>
      </c>
      <c r="AO5805" t="s">
        <v>53</v>
      </c>
      <c r="AP5805" t="s">
        <v>53</v>
      </c>
    </row>
    <row r="5806" spans="2:42" x14ac:dyDescent="0.2">
      <c r="B5806" t="s">
        <v>44</v>
      </c>
      <c r="C5806" t="str">
        <f>HYPERLINK("https://us2.cloudbeds.com/connect/8493803454333002#/reservations/9080486846453000?display=2QHRXBUX0N&amp;reservation_id=9080486846453000", "2QHRXBUX0N")</f>
        <v>2QHRXBUX0N</v>
      </c>
      <c r="D5806" t="s">
        <v>45</v>
      </c>
      <c r="E5806" t="s">
        <v>487</v>
      </c>
      <c r="F5806" t="s">
        <v>61</v>
      </c>
      <c r="G5806" t="s">
        <v>48</v>
      </c>
      <c r="H5806" t="s">
        <v>49</v>
      </c>
      <c r="I5806" t="s">
        <v>50</v>
      </c>
      <c r="J5806" t="s">
        <v>7089</v>
      </c>
      <c r="K5806" t="s">
        <v>7492</v>
      </c>
      <c r="L5806" t="s">
        <v>53</v>
      </c>
      <c r="N5806" t="s">
        <v>10364</v>
      </c>
      <c r="P5806" t="s">
        <v>55</v>
      </c>
      <c r="R5806" t="s">
        <v>53</v>
      </c>
      <c r="T5806" t="s">
        <v>10365</v>
      </c>
      <c r="U5806" t="s">
        <v>58</v>
      </c>
      <c r="V5806">
        <v>3</v>
      </c>
      <c r="W5806">
        <v>1</v>
      </c>
      <c r="X5806">
        <v>2</v>
      </c>
      <c r="Y5806">
        <v>0</v>
      </c>
      <c r="Z5806">
        <v>2</v>
      </c>
      <c r="AA5806">
        <v>664.85</v>
      </c>
      <c r="AB5806">
        <v>664.85</v>
      </c>
      <c r="AC5806">
        <v>585</v>
      </c>
      <c r="AD5806">
        <v>0</v>
      </c>
      <c r="AE5806">
        <v>79.849999999999994</v>
      </c>
      <c r="AF5806">
        <v>0</v>
      </c>
      <c r="AG5806">
        <v>0</v>
      </c>
      <c r="AH5806">
        <v>0</v>
      </c>
      <c r="AI5806">
        <v>119.67</v>
      </c>
      <c r="AJ5806">
        <v>664.85</v>
      </c>
      <c r="AK5806">
        <v>0</v>
      </c>
      <c r="AL5806" t="s">
        <v>53</v>
      </c>
      <c r="AM5806" t="s">
        <v>53</v>
      </c>
      <c r="AN5806" t="s">
        <v>53</v>
      </c>
      <c r="AO5806" t="s">
        <v>53</v>
      </c>
      <c r="AP5806" t="s">
        <v>53</v>
      </c>
    </row>
    <row r="5807" spans="2:42" x14ac:dyDescent="0.2">
      <c r="B5807" t="s">
        <v>44</v>
      </c>
      <c r="C5807" t="str">
        <f>HYPERLINK("https://us2.cloudbeds.com/connect/8493803454333002#/reservations/130184116068589?display=2QXY6TWWHY&amp;reservation_id=130184116068589", "2QXY6TWWHY")</f>
        <v>2QXY6TWWHY</v>
      </c>
      <c r="D5807" t="s">
        <v>45</v>
      </c>
      <c r="E5807" t="s">
        <v>190</v>
      </c>
      <c r="F5807" t="s">
        <v>61</v>
      </c>
      <c r="G5807" t="s">
        <v>4520</v>
      </c>
      <c r="H5807" t="s">
        <v>3957</v>
      </c>
      <c r="I5807" t="s">
        <v>3989</v>
      </c>
      <c r="J5807" t="s">
        <v>8367</v>
      </c>
      <c r="K5807" t="s">
        <v>4009</v>
      </c>
      <c r="L5807" t="s">
        <v>53</v>
      </c>
      <c r="P5807" t="s">
        <v>55</v>
      </c>
      <c r="R5807" t="s">
        <v>56</v>
      </c>
      <c r="T5807" t="s">
        <v>10366</v>
      </c>
      <c r="U5807" t="s">
        <v>58</v>
      </c>
      <c r="V5807">
        <v>4</v>
      </c>
      <c r="W5807">
        <v>1</v>
      </c>
      <c r="X5807">
        <v>1</v>
      </c>
      <c r="Y5807">
        <v>0</v>
      </c>
      <c r="Z5807">
        <v>1</v>
      </c>
      <c r="AA5807">
        <v>810.09</v>
      </c>
      <c r="AB5807">
        <v>810.09</v>
      </c>
      <c r="AC5807">
        <v>712.8</v>
      </c>
      <c r="AD5807">
        <v>0</v>
      </c>
      <c r="AE5807">
        <v>97.29</v>
      </c>
      <c r="AF5807">
        <v>0</v>
      </c>
      <c r="AG5807">
        <v>0</v>
      </c>
      <c r="AH5807">
        <v>0</v>
      </c>
      <c r="AI5807">
        <v>0</v>
      </c>
      <c r="AJ5807">
        <v>810.09</v>
      </c>
      <c r="AK5807">
        <v>0</v>
      </c>
      <c r="AL5807" t="s">
        <v>53</v>
      </c>
      <c r="AM5807" t="s">
        <v>53</v>
      </c>
      <c r="AN5807" t="s">
        <v>53</v>
      </c>
      <c r="AO5807" t="s">
        <v>53</v>
      </c>
      <c r="AP5807" t="s">
        <v>53</v>
      </c>
    </row>
    <row r="5808" spans="2:42" x14ac:dyDescent="0.2">
      <c r="B5808" t="s">
        <v>44</v>
      </c>
      <c r="C5808" t="str">
        <f>HYPERLINK("https://us2.cloudbeds.com/connect/8493803454333002#/reservations/9080486846454059?display=2QXVCM1JBB&amp;reservation_id=9080486846454059", "2QXVCM1JBB")</f>
        <v>2QXVCM1JBB</v>
      </c>
      <c r="D5808" t="s">
        <v>45</v>
      </c>
      <c r="E5808" t="s">
        <v>69</v>
      </c>
      <c r="F5808" t="s">
        <v>70</v>
      </c>
      <c r="G5808" t="s">
        <v>48</v>
      </c>
      <c r="H5808" t="s">
        <v>49</v>
      </c>
      <c r="I5808" t="s">
        <v>50</v>
      </c>
      <c r="J5808" t="s">
        <v>7750</v>
      </c>
      <c r="K5808" t="s">
        <v>8367</v>
      </c>
      <c r="L5808" t="s">
        <v>53</v>
      </c>
      <c r="N5808" t="s">
        <v>10367</v>
      </c>
      <c r="P5808" t="s">
        <v>55</v>
      </c>
      <c r="R5808" t="s">
        <v>53</v>
      </c>
      <c r="T5808" t="s">
        <v>10368</v>
      </c>
      <c r="U5808" t="s">
        <v>58</v>
      </c>
      <c r="V5808">
        <v>1</v>
      </c>
      <c r="W5808">
        <v>1</v>
      </c>
      <c r="X5808">
        <v>1</v>
      </c>
      <c r="Y5808">
        <v>0</v>
      </c>
      <c r="Z5808">
        <v>1</v>
      </c>
      <c r="AA5808">
        <v>207.63</v>
      </c>
      <c r="AB5808">
        <v>207.63</v>
      </c>
      <c r="AC5808">
        <v>182.7</v>
      </c>
      <c r="AD5808">
        <v>0</v>
      </c>
      <c r="AE5808">
        <v>24.93</v>
      </c>
      <c r="AF5808">
        <v>0</v>
      </c>
      <c r="AG5808">
        <v>0</v>
      </c>
      <c r="AH5808">
        <v>0</v>
      </c>
      <c r="AI5808">
        <v>37.369999999999997</v>
      </c>
      <c r="AJ5808">
        <v>207.63</v>
      </c>
      <c r="AK5808">
        <v>0</v>
      </c>
      <c r="AL5808" t="s">
        <v>53</v>
      </c>
      <c r="AM5808" t="s">
        <v>53</v>
      </c>
      <c r="AN5808" t="s">
        <v>53</v>
      </c>
      <c r="AO5808" t="s">
        <v>53</v>
      </c>
      <c r="AP5808" t="s">
        <v>53</v>
      </c>
    </row>
    <row r="5809" spans="2:42" x14ac:dyDescent="0.2">
      <c r="B5809" t="s">
        <v>44</v>
      </c>
      <c r="C5809" t="str">
        <f>HYPERLINK("https://us2.cloudbeds.com/connect/8493803454333002#/reservations/9080486846454266?display=2QJ6MBA8G4&amp;reservation_id=9080486846454266", "2QJ6MBA8G4")</f>
        <v>2QJ6MBA8G4</v>
      </c>
      <c r="D5809" t="s">
        <v>45</v>
      </c>
      <c r="E5809" t="s">
        <v>128</v>
      </c>
      <c r="F5809" t="s">
        <v>86</v>
      </c>
      <c r="G5809" t="s">
        <v>48</v>
      </c>
      <c r="H5809" t="s">
        <v>49</v>
      </c>
      <c r="I5809" t="s">
        <v>62</v>
      </c>
      <c r="J5809" t="s">
        <v>9829</v>
      </c>
      <c r="K5809" t="s">
        <v>6991</v>
      </c>
      <c r="L5809" t="s">
        <v>53</v>
      </c>
      <c r="N5809" t="s">
        <v>10369</v>
      </c>
      <c r="P5809" t="s">
        <v>55</v>
      </c>
      <c r="R5809" t="s">
        <v>56</v>
      </c>
      <c r="T5809" t="s">
        <v>10370</v>
      </c>
      <c r="U5809" t="s">
        <v>55</v>
      </c>
      <c r="V5809">
        <v>1</v>
      </c>
      <c r="W5809">
        <v>1</v>
      </c>
      <c r="X5809">
        <v>4</v>
      </c>
      <c r="Y5809">
        <v>0</v>
      </c>
      <c r="Z5809">
        <v>4</v>
      </c>
      <c r="AA5809">
        <v>201.4</v>
      </c>
      <c r="AB5809">
        <v>201.4</v>
      </c>
      <c r="AC5809">
        <v>201.4</v>
      </c>
      <c r="AD5809">
        <v>0</v>
      </c>
      <c r="AE5809">
        <v>0</v>
      </c>
      <c r="AF5809">
        <v>0</v>
      </c>
      <c r="AG5809">
        <v>0</v>
      </c>
      <c r="AH5809">
        <v>0</v>
      </c>
      <c r="AI5809">
        <v>36.25</v>
      </c>
      <c r="AJ5809">
        <v>201.4</v>
      </c>
      <c r="AK5809">
        <v>0</v>
      </c>
      <c r="AL5809" t="s">
        <v>53</v>
      </c>
      <c r="AM5809" t="s">
        <v>53</v>
      </c>
      <c r="AN5809" t="s">
        <v>53</v>
      </c>
      <c r="AO5809" t="s">
        <v>53</v>
      </c>
      <c r="AP5809" t="s">
        <v>53</v>
      </c>
    </row>
    <row r="5810" spans="2:42" x14ac:dyDescent="0.2">
      <c r="B5810" t="s">
        <v>44</v>
      </c>
      <c r="C5810" t="str">
        <f>HYPERLINK("https://us2.cloudbeds.com/connect/8493803454333002#/reservations/9080486846454795?display=2QJSQ8HHPW&amp;reservation_id=9080486846454795", "2QJSQ8HHPW")</f>
        <v>2QJSQ8HHPW</v>
      </c>
      <c r="D5810" t="s">
        <v>45</v>
      </c>
      <c r="E5810" t="s">
        <v>179</v>
      </c>
      <c r="F5810" t="s">
        <v>47</v>
      </c>
      <c r="G5810" t="s">
        <v>48</v>
      </c>
      <c r="H5810" t="s">
        <v>49</v>
      </c>
      <c r="I5810" t="s">
        <v>50</v>
      </c>
      <c r="J5810" t="s">
        <v>7974</v>
      </c>
      <c r="K5810" t="s">
        <v>7975</v>
      </c>
      <c r="L5810" t="s">
        <v>53</v>
      </c>
      <c r="N5810" t="s">
        <v>10371</v>
      </c>
      <c r="P5810" t="s">
        <v>55</v>
      </c>
      <c r="R5810" t="s">
        <v>53</v>
      </c>
      <c r="T5810" t="s">
        <v>10372</v>
      </c>
      <c r="U5810" t="s">
        <v>58</v>
      </c>
      <c r="V5810">
        <v>1</v>
      </c>
      <c r="W5810">
        <v>1</v>
      </c>
      <c r="X5810">
        <v>1</v>
      </c>
      <c r="Y5810">
        <v>0</v>
      </c>
      <c r="Z5810">
        <v>1</v>
      </c>
      <c r="AA5810">
        <v>188.2</v>
      </c>
      <c r="AB5810">
        <v>188.2</v>
      </c>
      <c r="AC5810">
        <v>165.6</v>
      </c>
      <c r="AD5810">
        <v>0</v>
      </c>
      <c r="AE5810">
        <v>22.6</v>
      </c>
      <c r="AF5810">
        <v>0</v>
      </c>
      <c r="AG5810">
        <v>0</v>
      </c>
      <c r="AH5810">
        <v>0</v>
      </c>
      <c r="AI5810">
        <v>33.880000000000003</v>
      </c>
      <c r="AJ5810">
        <v>188.2</v>
      </c>
      <c r="AK5810">
        <v>0</v>
      </c>
      <c r="AL5810" t="s">
        <v>53</v>
      </c>
      <c r="AM5810" t="s">
        <v>53</v>
      </c>
      <c r="AN5810" t="s">
        <v>53</v>
      </c>
      <c r="AO5810" t="s">
        <v>53</v>
      </c>
      <c r="AP5810" t="s">
        <v>53</v>
      </c>
    </row>
    <row r="5811" spans="2:42" x14ac:dyDescent="0.2">
      <c r="B5811" t="s">
        <v>44</v>
      </c>
      <c r="C5811" t="str">
        <f>HYPERLINK("https://us2.cloudbeds.com/connect/8493803454333002#/reservations/9080486846457859?display=2QZTP17588&amp;reservation_id=9080486846457859", "2QZTP17588")</f>
        <v>2QZTP17588</v>
      </c>
      <c r="D5811" t="s">
        <v>45</v>
      </c>
      <c r="E5811" t="s">
        <v>373</v>
      </c>
      <c r="F5811" t="s">
        <v>47</v>
      </c>
      <c r="G5811" t="s">
        <v>48</v>
      </c>
      <c r="H5811" t="s">
        <v>49</v>
      </c>
      <c r="I5811" t="s">
        <v>50</v>
      </c>
      <c r="J5811" t="s">
        <v>8053</v>
      </c>
      <c r="K5811" t="s">
        <v>7803</v>
      </c>
      <c r="L5811" t="s">
        <v>53</v>
      </c>
      <c r="N5811" t="s">
        <v>10373</v>
      </c>
      <c r="P5811" t="s">
        <v>55</v>
      </c>
      <c r="R5811" t="s">
        <v>53</v>
      </c>
      <c r="T5811" t="s">
        <v>10374</v>
      </c>
      <c r="U5811" t="s">
        <v>58</v>
      </c>
      <c r="V5811">
        <v>1</v>
      </c>
      <c r="W5811">
        <v>1</v>
      </c>
      <c r="X5811">
        <v>1</v>
      </c>
      <c r="Y5811">
        <v>0</v>
      </c>
      <c r="Z5811">
        <v>1</v>
      </c>
      <c r="AA5811">
        <v>149.1</v>
      </c>
      <c r="AB5811">
        <v>149.1</v>
      </c>
      <c r="AC5811">
        <v>131.19999999999999</v>
      </c>
      <c r="AD5811">
        <v>0</v>
      </c>
      <c r="AE5811">
        <v>17.899999999999999</v>
      </c>
      <c r="AF5811">
        <v>0</v>
      </c>
      <c r="AG5811">
        <v>0</v>
      </c>
      <c r="AH5811">
        <v>0</v>
      </c>
      <c r="AI5811">
        <v>26.84</v>
      </c>
      <c r="AJ5811">
        <v>149.1</v>
      </c>
      <c r="AK5811">
        <v>0</v>
      </c>
      <c r="AL5811" t="s">
        <v>53</v>
      </c>
      <c r="AM5811" t="s">
        <v>53</v>
      </c>
      <c r="AN5811" t="s">
        <v>53</v>
      </c>
      <c r="AO5811" t="s">
        <v>53</v>
      </c>
      <c r="AP5811" t="s">
        <v>53</v>
      </c>
    </row>
    <row r="5812" spans="2:42" x14ac:dyDescent="0.2">
      <c r="B5812" t="s">
        <v>44</v>
      </c>
      <c r="C5812" t="str">
        <f>HYPERLINK("https://us2.cloudbeds.com/connect/8493803454333002#/reservations/9080486846458295?display=2QPBTE5EPV&amp;reservation_id=9080486846458295", "2QPBTE5EPV")</f>
        <v>2QPBTE5EPV</v>
      </c>
      <c r="D5812" t="s">
        <v>45</v>
      </c>
      <c r="E5812" t="s">
        <v>78</v>
      </c>
      <c r="F5812" t="s">
        <v>61</v>
      </c>
      <c r="G5812" t="s">
        <v>48</v>
      </c>
      <c r="H5812" t="s">
        <v>49</v>
      </c>
      <c r="I5812" t="s">
        <v>50</v>
      </c>
      <c r="J5812" t="s">
        <v>8053</v>
      </c>
      <c r="K5812" t="s">
        <v>7803</v>
      </c>
      <c r="L5812" t="s">
        <v>53</v>
      </c>
      <c r="N5812" t="s">
        <v>10375</v>
      </c>
      <c r="P5812" t="s">
        <v>55</v>
      </c>
      <c r="R5812" t="s">
        <v>53</v>
      </c>
      <c r="T5812" t="s">
        <v>10376</v>
      </c>
      <c r="U5812" t="s">
        <v>58</v>
      </c>
      <c r="V5812">
        <v>1</v>
      </c>
      <c r="W5812">
        <v>1</v>
      </c>
      <c r="X5812">
        <v>2</v>
      </c>
      <c r="Y5812">
        <v>0</v>
      </c>
      <c r="Z5812">
        <v>2</v>
      </c>
      <c r="AA5812">
        <v>159.11000000000001</v>
      </c>
      <c r="AB5812">
        <v>159.11000000000001</v>
      </c>
      <c r="AC5812">
        <v>140</v>
      </c>
      <c r="AD5812">
        <v>0</v>
      </c>
      <c r="AE5812">
        <v>19.11</v>
      </c>
      <c r="AF5812">
        <v>0</v>
      </c>
      <c r="AG5812">
        <v>0</v>
      </c>
      <c r="AH5812">
        <v>0</v>
      </c>
      <c r="AI5812">
        <v>28.64</v>
      </c>
      <c r="AJ5812">
        <v>159.11000000000001</v>
      </c>
      <c r="AK5812">
        <v>0</v>
      </c>
      <c r="AL5812" t="s">
        <v>53</v>
      </c>
      <c r="AM5812" t="s">
        <v>53</v>
      </c>
      <c r="AN5812" t="s">
        <v>53</v>
      </c>
      <c r="AO5812" t="s">
        <v>53</v>
      </c>
      <c r="AP5812" t="s">
        <v>53</v>
      </c>
    </row>
    <row r="5813" spans="2:42" x14ac:dyDescent="0.2">
      <c r="B5813" t="s">
        <v>44</v>
      </c>
      <c r="C5813" t="str">
        <f>HYPERLINK("https://us2.cloudbeds.com/connect/8493803454333002#/reservations/9080486846458811?display=2QPSEW89PJ&amp;reservation_id=9080486846458811", "2QPSEW89PJ")</f>
        <v>2QPSEW89PJ</v>
      </c>
      <c r="D5813" t="s">
        <v>45</v>
      </c>
      <c r="E5813" t="s">
        <v>190</v>
      </c>
      <c r="F5813" t="s">
        <v>61</v>
      </c>
      <c r="G5813" t="s">
        <v>48</v>
      </c>
      <c r="H5813" t="s">
        <v>49</v>
      </c>
      <c r="I5813" t="s">
        <v>50</v>
      </c>
      <c r="J5813" t="s">
        <v>8053</v>
      </c>
      <c r="K5813" t="s">
        <v>7803</v>
      </c>
      <c r="L5813" t="s">
        <v>53</v>
      </c>
      <c r="N5813" t="s">
        <v>10377</v>
      </c>
      <c r="P5813" t="s">
        <v>55</v>
      </c>
      <c r="R5813" t="s">
        <v>53</v>
      </c>
      <c r="T5813" t="s">
        <v>10378</v>
      </c>
      <c r="U5813" t="s">
        <v>58</v>
      </c>
      <c r="V5813">
        <v>1</v>
      </c>
      <c r="W5813">
        <v>1</v>
      </c>
      <c r="X5813">
        <v>1</v>
      </c>
      <c r="Y5813">
        <v>0</v>
      </c>
      <c r="Z5813">
        <v>1</v>
      </c>
      <c r="AA5813">
        <v>169.06</v>
      </c>
      <c r="AB5813">
        <v>169.06</v>
      </c>
      <c r="AC5813">
        <v>148.75</v>
      </c>
      <c r="AD5813">
        <v>0</v>
      </c>
      <c r="AE5813">
        <v>20.309999999999999</v>
      </c>
      <c r="AF5813">
        <v>0</v>
      </c>
      <c r="AG5813">
        <v>0</v>
      </c>
      <c r="AH5813">
        <v>0</v>
      </c>
      <c r="AI5813">
        <v>30.43</v>
      </c>
      <c r="AJ5813">
        <v>169.06</v>
      </c>
      <c r="AK5813">
        <v>0</v>
      </c>
      <c r="AL5813" t="s">
        <v>53</v>
      </c>
      <c r="AM5813" t="s">
        <v>53</v>
      </c>
      <c r="AN5813" t="s">
        <v>53</v>
      </c>
      <c r="AO5813" t="s">
        <v>53</v>
      </c>
      <c r="AP5813" t="s">
        <v>53</v>
      </c>
    </row>
    <row r="5814" spans="2:42" x14ac:dyDescent="0.2">
      <c r="B5814" t="s">
        <v>44</v>
      </c>
      <c r="C5814" t="str">
        <f>HYPERLINK("https://us2.cloudbeds.com/connect/8493803454333002#/reservations/9080486846459187?display=2QQ6WEF4ZT&amp;reservation_id=9080486846459187", "2QQ6WEF4ZT")</f>
        <v>2QQ6WEF4ZT</v>
      </c>
      <c r="D5814" t="s">
        <v>45</v>
      </c>
      <c r="E5814" t="s">
        <v>487</v>
      </c>
      <c r="F5814" t="s">
        <v>61</v>
      </c>
      <c r="G5814" t="s">
        <v>48</v>
      </c>
      <c r="H5814" t="s">
        <v>49</v>
      </c>
      <c r="I5814" t="s">
        <v>50</v>
      </c>
      <c r="J5814" t="s">
        <v>8053</v>
      </c>
      <c r="K5814" t="s">
        <v>7803</v>
      </c>
      <c r="L5814" t="s">
        <v>53</v>
      </c>
      <c r="N5814" t="s">
        <v>10379</v>
      </c>
      <c r="P5814" t="s">
        <v>55</v>
      </c>
      <c r="R5814" t="s">
        <v>53</v>
      </c>
      <c r="T5814" t="s">
        <v>10380</v>
      </c>
      <c r="U5814" t="s">
        <v>58</v>
      </c>
      <c r="V5814">
        <v>1</v>
      </c>
      <c r="W5814">
        <v>1</v>
      </c>
      <c r="X5814">
        <v>2</v>
      </c>
      <c r="Y5814">
        <v>0</v>
      </c>
      <c r="Z5814">
        <v>2</v>
      </c>
      <c r="AA5814">
        <v>159.11000000000001</v>
      </c>
      <c r="AB5814">
        <v>159.11000000000001</v>
      </c>
      <c r="AC5814">
        <v>140</v>
      </c>
      <c r="AD5814">
        <v>0</v>
      </c>
      <c r="AE5814">
        <v>19.11</v>
      </c>
      <c r="AF5814">
        <v>0</v>
      </c>
      <c r="AG5814">
        <v>0</v>
      </c>
      <c r="AH5814">
        <v>0</v>
      </c>
      <c r="AI5814">
        <v>28.64</v>
      </c>
      <c r="AJ5814">
        <v>159.11000000000001</v>
      </c>
      <c r="AK5814">
        <v>0</v>
      </c>
      <c r="AL5814" t="s">
        <v>53</v>
      </c>
      <c r="AM5814" t="s">
        <v>53</v>
      </c>
      <c r="AN5814" t="s">
        <v>53</v>
      </c>
      <c r="AO5814" t="s">
        <v>53</v>
      </c>
      <c r="AP5814" t="s">
        <v>53</v>
      </c>
    </row>
    <row r="5815" spans="2:42" x14ac:dyDescent="0.2">
      <c r="B5815" t="s">
        <v>44</v>
      </c>
      <c r="C5815" t="str">
        <f>HYPERLINK("https://us2.cloudbeds.com/connect/8493803454333002#/reservations/9080486846459189?display=2QQ6TYMPC6&amp;reservation_id=9080486846459189", "2QQ6TYMPC6")</f>
        <v>2QQ6TYMPC6</v>
      </c>
      <c r="D5815" t="s">
        <v>45</v>
      </c>
      <c r="E5815" t="s">
        <v>406</v>
      </c>
      <c r="F5815" t="s">
        <v>61</v>
      </c>
      <c r="G5815" t="s">
        <v>48</v>
      </c>
      <c r="H5815" t="s">
        <v>49</v>
      </c>
      <c r="I5815" t="s">
        <v>50</v>
      </c>
      <c r="J5815" t="s">
        <v>8053</v>
      </c>
      <c r="K5815" t="s">
        <v>7803</v>
      </c>
      <c r="L5815" t="s">
        <v>53</v>
      </c>
      <c r="N5815" t="s">
        <v>10381</v>
      </c>
      <c r="P5815" t="s">
        <v>55</v>
      </c>
      <c r="R5815" t="s">
        <v>53</v>
      </c>
      <c r="T5815" t="s">
        <v>10382</v>
      </c>
      <c r="U5815" t="s">
        <v>58</v>
      </c>
      <c r="V5815">
        <v>1</v>
      </c>
      <c r="W5815">
        <v>1</v>
      </c>
      <c r="X5815">
        <v>2</v>
      </c>
      <c r="Y5815">
        <v>0</v>
      </c>
      <c r="Z5815">
        <v>2</v>
      </c>
      <c r="AA5815">
        <v>159.11000000000001</v>
      </c>
      <c r="AB5815">
        <v>159.11000000000001</v>
      </c>
      <c r="AC5815">
        <v>140</v>
      </c>
      <c r="AD5815">
        <v>0</v>
      </c>
      <c r="AE5815">
        <v>19.11</v>
      </c>
      <c r="AF5815">
        <v>0</v>
      </c>
      <c r="AG5815">
        <v>0</v>
      </c>
      <c r="AH5815">
        <v>0</v>
      </c>
      <c r="AI5815">
        <v>28.64</v>
      </c>
      <c r="AJ5815">
        <v>159.11000000000001</v>
      </c>
      <c r="AK5815">
        <v>0</v>
      </c>
      <c r="AL5815" t="s">
        <v>53</v>
      </c>
      <c r="AM5815" t="s">
        <v>53</v>
      </c>
      <c r="AN5815" t="s">
        <v>53</v>
      </c>
      <c r="AO5815" t="s">
        <v>53</v>
      </c>
      <c r="AP5815" t="s">
        <v>53</v>
      </c>
    </row>
    <row r="5816" spans="2:42" x14ac:dyDescent="0.2">
      <c r="B5816" t="s">
        <v>44</v>
      </c>
      <c r="C5816" t="str">
        <f>HYPERLINK("https://us2.cloudbeds.com/connect/8493803454333002#/reservations/9080486846459933?display=2QQTMS34CK&amp;reservation_id=9080486846459933", "2QQTMS34CK")</f>
        <v>2QQTMS34CK</v>
      </c>
      <c r="D5816" t="s">
        <v>45</v>
      </c>
      <c r="E5816" t="s">
        <v>69</v>
      </c>
      <c r="F5816" t="s">
        <v>70</v>
      </c>
      <c r="G5816" t="s">
        <v>48</v>
      </c>
      <c r="H5816" t="s">
        <v>49</v>
      </c>
      <c r="I5816" t="s">
        <v>50</v>
      </c>
      <c r="J5816" t="s">
        <v>9135</v>
      </c>
      <c r="K5816" t="s">
        <v>8313</v>
      </c>
      <c r="L5816" t="s">
        <v>53</v>
      </c>
      <c r="N5816" t="s">
        <v>10383</v>
      </c>
      <c r="P5816" t="s">
        <v>55</v>
      </c>
      <c r="R5816" t="s">
        <v>53</v>
      </c>
      <c r="T5816" t="s">
        <v>10384</v>
      </c>
      <c r="U5816" t="s">
        <v>58</v>
      </c>
      <c r="V5816">
        <v>1</v>
      </c>
      <c r="W5816">
        <v>1</v>
      </c>
      <c r="X5816">
        <v>2</v>
      </c>
      <c r="Y5816">
        <v>0</v>
      </c>
      <c r="Z5816">
        <v>2</v>
      </c>
      <c r="AA5816">
        <v>157.41999999999999</v>
      </c>
      <c r="AB5816">
        <v>157.41999999999999</v>
      </c>
      <c r="AC5816">
        <v>138.51</v>
      </c>
      <c r="AD5816">
        <v>0</v>
      </c>
      <c r="AE5816">
        <v>18.91</v>
      </c>
      <c r="AF5816">
        <v>0</v>
      </c>
      <c r="AG5816">
        <v>0</v>
      </c>
      <c r="AH5816">
        <v>0</v>
      </c>
      <c r="AI5816">
        <v>28.34</v>
      </c>
      <c r="AJ5816">
        <v>157.41999999999999</v>
      </c>
      <c r="AK5816">
        <v>0</v>
      </c>
      <c r="AL5816" t="s">
        <v>53</v>
      </c>
      <c r="AM5816" t="s">
        <v>53</v>
      </c>
      <c r="AN5816" t="s">
        <v>53</v>
      </c>
      <c r="AO5816" t="s">
        <v>53</v>
      </c>
      <c r="AP5816" t="s">
        <v>53</v>
      </c>
    </row>
    <row r="5817" spans="2:42" x14ac:dyDescent="0.2">
      <c r="B5817" t="s">
        <v>44</v>
      </c>
      <c r="C5817" t="str">
        <f>HYPERLINK("https://us2.cloudbeds.com/connect/8493803454333002#/reservations/130540984180929?display=2QR0HNY912&amp;reservation_id=130540984180929", "2QR0HNY912")</f>
        <v>2QR0HNY912</v>
      </c>
      <c r="D5817" t="s">
        <v>45</v>
      </c>
      <c r="E5817" t="s">
        <v>69</v>
      </c>
      <c r="F5817" t="s">
        <v>70</v>
      </c>
      <c r="G5817" t="s">
        <v>3974</v>
      </c>
      <c r="H5817" t="s">
        <v>3957</v>
      </c>
      <c r="I5817" t="s">
        <v>3975</v>
      </c>
      <c r="J5817" t="s">
        <v>8314</v>
      </c>
      <c r="K5817" t="s">
        <v>6454</v>
      </c>
      <c r="L5817" t="s">
        <v>53</v>
      </c>
      <c r="P5817" t="s">
        <v>55</v>
      </c>
      <c r="R5817" t="s">
        <v>53</v>
      </c>
      <c r="T5817" t="s">
        <v>10385</v>
      </c>
      <c r="U5817" t="s">
        <v>58</v>
      </c>
      <c r="V5817">
        <v>2</v>
      </c>
      <c r="W5817">
        <v>1</v>
      </c>
      <c r="X5817">
        <v>2</v>
      </c>
      <c r="Y5817">
        <v>0</v>
      </c>
      <c r="Z5817">
        <v>2</v>
      </c>
      <c r="AA5817">
        <v>529.04</v>
      </c>
      <c r="AB5817">
        <v>529.04</v>
      </c>
      <c r="AC5817">
        <v>465.5</v>
      </c>
      <c r="AD5817">
        <v>0</v>
      </c>
      <c r="AE5817">
        <v>63.54</v>
      </c>
      <c r="AF5817">
        <v>0</v>
      </c>
      <c r="AG5817">
        <v>0</v>
      </c>
      <c r="AH5817">
        <v>0</v>
      </c>
      <c r="AI5817">
        <v>0</v>
      </c>
      <c r="AJ5817">
        <v>529.04</v>
      </c>
      <c r="AK5817">
        <v>0</v>
      </c>
      <c r="AL5817" t="s">
        <v>53</v>
      </c>
      <c r="AM5817" t="s">
        <v>53</v>
      </c>
      <c r="AN5817" t="s">
        <v>53</v>
      </c>
      <c r="AO5817" t="s">
        <v>53</v>
      </c>
      <c r="AP5817" t="s">
        <v>53</v>
      </c>
    </row>
    <row r="5818" spans="2:42" x14ac:dyDescent="0.2">
      <c r="B5818" t="s">
        <v>44</v>
      </c>
      <c r="C5818" t="str">
        <f>HYPERLINK("https://us2.cloudbeds.com/connect/8493803454333002#/reservations/9080486846460106?display=2QR27TJW5J&amp;reservation_id=9080486846460106", "2QR27TJW5J")</f>
        <v>2QR27TJW5J</v>
      </c>
      <c r="D5818" t="s">
        <v>45</v>
      </c>
      <c r="E5818" t="s">
        <v>128</v>
      </c>
      <c r="F5818" t="s">
        <v>86</v>
      </c>
      <c r="G5818" t="s">
        <v>48</v>
      </c>
      <c r="H5818" t="s">
        <v>49</v>
      </c>
      <c r="I5818" t="s">
        <v>50</v>
      </c>
      <c r="J5818" t="s">
        <v>7966</v>
      </c>
      <c r="K5818" t="s">
        <v>8060</v>
      </c>
      <c r="L5818" t="s">
        <v>53</v>
      </c>
      <c r="N5818" t="s">
        <v>10386</v>
      </c>
      <c r="P5818" t="s">
        <v>55</v>
      </c>
      <c r="R5818" t="s">
        <v>53</v>
      </c>
      <c r="T5818" t="s">
        <v>10387</v>
      </c>
      <c r="U5818" t="s">
        <v>58</v>
      </c>
      <c r="V5818">
        <v>1</v>
      </c>
      <c r="W5818">
        <v>1</v>
      </c>
      <c r="X5818">
        <v>2</v>
      </c>
      <c r="Y5818">
        <v>0</v>
      </c>
      <c r="Z5818">
        <v>2</v>
      </c>
      <c r="AA5818">
        <v>190.02</v>
      </c>
      <c r="AB5818">
        <v>190.02</v>
      </c>
      <c r="AC5818">
        <v>167.2</v>
      </c>
      <c r="AD5818">
        <v>0</v>
      </c>
      <c r="AE5818">
        <v>22.82</v>
      </c>
      <c r="AF5818">
        <v>0</v>
      </c>
      <c r="AG5818">
        <v>0</v>
      </c>
      <c r="AH5818">
        <v>0</v>
      </c>
      <c r="AI5818">
        <v>34.200000000000003</v>
      </c>
      <c r="AJ5818">
        <v>190.02</v>
      </c>
      <c r="AK5818">
        <v>0</v>
      </c>
      <c r="AL5818" t="s">
        <v>53</v>
      </c>
      <c r="AM5818" t="s">
        <v>53</v>
      </c>
      <c r="AN5818" t="s">
        <v>53</v>
      </c>
      <c r="AO5818" t="s">
        <v>53</v>
      </c>
      <c r="AP5818" t="s">
        <v>53</v>
      </c>
    </row>
    <row r="5819" spans="2:42" x14ac:dyDescent="0.2">
      <c r="B5819" t="s">
        <v>44</v>
      </c>
      <c r="C5819" t="str">
        <f>HYPERLINK("https://us2.cloudbeds.com/connect/8493803454333002#/reservations/9080486846460109?display=2QR2AWKZZZ&amp;reservation_id=9080486846460109", "2QR2AWKZZZ")</f>
        <v>2QR2AWKZZZ</v>
      </c>
      <c r="D5819" t="s">
        <v>45</v>
      </c>
      <c r="E5819" t="s">
        <v>92</v>
      </c>
      <c r="F5819" t="s">
        <v>86</v>
      </c>
      <c r="G5819" t="s">
        <v>48</v>
      </c>
      <c r="H5819" t="s">
        <v>49</v>
      </c>
      <c r="I5819" t="s">
        <v>50</v>
      </c>
      <c r="J5819" t="s">
        <v>7966</v>
      </c>
      <c r="K5819" t="s">
        <v>8060</v>
      </c>
      <c r="L5819" t="s">
        <v>53</v>
      </c>
      <c r="N5819" t="s">
        <v>10388</v>
      </c>
      <c r="P5819" t="s">
        <v>55</v>
      </c>
      <c r="R5819" t="s">
        <v>53</v>
      </c>
      <c r="T5819" t="s">
        <v>10389</v>
      </c>
      <c r="U5819" t="s">
        <v>58</v>
      </c>
      <c r="V5819">
        <v>1</v>
      </c>
      <c r="W5819">
        <v>1</v>
      </c>
      <c r="X5819">
        <v>2</v>
      </c>
      <c r="Y5819">
        <v>0</v>
      </c>
      <c r="Z5819">
        <v>2</v>
      </c>
      <c r="AA5819">
        <v>190.02</v>
      </c>
      <c r="AB5819">
        <v>190.02</v>
      </c>
      <c r="AC5819">
        <v>167.2</v>
      </c>
      <c r="AD5819">
        <v>0</v>
      </c>
      <c r="AE5819">
        <v>22.82</v>
      </c>
      <c r="AF5819">
        <v>0</v>
      </c>
      <c r="AG5819">
        <v>0</v>
      </c>
      <c r="AH5819">
        <v>0</v>
      </c>
      <c r="AI5819">
        <v>34.200000000000003</v>
      </c>
      <c r="AJ5819">
        <v>190.02</v>
      </c>
      <c r="AK5819">
        <v>0</v>
      </c>
      <c r="AL5819" t="s">
        <v>53</v>
      </c>
      <c r="AM5819" t="s">
        <v>53</v>
      </c>
      <c r="AN5819" t="s">
        <v>53</v>
      </c>
      <c r="AO5819" t="s">
        <v>53</v>
      </c>
      <c r="AP5819" t="s">
        <v>53</v>
      </c>
    </row>
    <row r="5820" spans="2:42" x14ac:dyDescent="0.2">
      <c r="B5820" t="s">
        <v>44</v>
      </c>
      <c r="C5820" t="str">
        <f>HYPERLINK("https://us2.cloudbeds.com/connect/8493803454333002#/reservations/9080486846460110?display=2QR2AWKZZR&amp;reservation_id=9080486846460110", "2QR2AWKZZR")</f>
        <v>2QR2AWKZZR</v>
      </c>
      <c r="D5820" t="s">
        <v>45</v>
      </c>
      <c r="E5820" t="s">
        <v>155</v>
      </c>
      <c r="F5820" t="s">
        <v>86</v>
      </c>
      <c r="G5820" t="s">
        <v>48</v>
      </c>
      <c r="H5820" t="s">
        <v>49</v>
      </c>
      <c r="I5820" t="s">
        <v>50</v>
      </c>
      <c r="J5820" t="s">
        <v>7966</v>
      </c>
      <c r="K5820" t="s">
        <v>8060</v>
      </c>
      <c r="L5820" t="s">
        <v>53</v>
      </c>
      <c r="N5820" t="s">
        <v>10390</v>
      </c>
      <c r="P5820" t="s">
        <v>55</v>
      </c>
      <c r="R5820" t="s">
        <v>53</v>
      </c>
      <c r="T5820" t="s">
        <v>10391</v>
      </c>
      <c r="U5820" t="s">
        <v>58</v>
      </c>
      <c r="V5820">
        <v>1</v>
      </c>
      <c r="W5820">
        <v>1</v>
      </c>
      <c r="X5820">
        <v>2</v>
      </c>
      <c r="Y5820">
        <v>0</v>
      </c>
      <c r="Z5820">
        <v>2</v>
      </c>
      <c r="AA5820">
        <v>190.02</v>
      </c>
      <c r="AB5820">
        <v>200.87</v>
      </c>
      <c r="AC5820">
        <v>167.2</v>
      </c>
      <c r="AD5820">
        <v>10</v>
      </c>
      <c r="AE5820">
        <v>23.67</v>
      </c>
      <c r="AF5820">
        <v>0</v>
      </c>
      <c r="AG5820">
        <v>0</v>
      </c>
      <c r="AH5820">
        <v>0</v>
      </c>
      <c r="AI5820">
        <v>36.159999999999997</v>
      </c>
      <c r="AJ5820">
        <v>200.87</v>
      </c>
      <c r="AK5820">
        <v>0</v>
      </c>
      <c r="AL5820" t="s">
        <v>53</v>
      </c>
      <c r="AM5820" t="s">
        <v>53</v>
      </c>
      <c r="AN5820" t="s">
        <v>53</v>
      </c>
      <c r="AO5820" t="s">
        <v>53</v>
      </c>
      <c r="AP5820" t="s">
        <v>53</v>
      </c>
    </row>
    <row r="5821" spans="2:42" x14ac:dyDescent="0.2">
      <c r="B5821" t="s">
        <v>44</v>
      </c>
      <c r="C5821" t="str">
        <f>HYPERLINK("https://us2.cloudbeds.com/connect/8493803454333002#/reservations/9080486846460111?display=2QR2BP1S28&amp;reservation_id=9080486846460111", "2QR2BP1S28")</f>
        <v>2QR2BP1S28</v>
      </c>
      <c r="D5821" t="s">
        <v>45</v>
      </c>
      <c r="E5821" t="s">
        <v>98</v>
      </c>
      <c r="F5821" t="s">
        <v>86</v>
      </c>
      <c r="G5821" t="s">
        <v>48</v>
      </c>
      <c r="H5821" t="s">
        <v>49</v>
      </c>
      <c r="I5821" t="s">
        <v>50</v>
      </c>
      <c r="J5821" t="s">
        <v>7966</v>
      </c>
      <c r="K5821" t="s">
        <v>8060</v>
      </c>
      <c r="L5821" t="s">
        <v>53</v>
      </c>
      <c r="N5821" t="s">
        <v>10392</v>
      </c>
      <c r="P5821" t="s">
        <v>55</v>
      </c>
      <c r="R5821" t="s">
        <v>53</v>
      </c>
      <c r="T5821" t="s">
        <v>10393</v>
      </c>
      <c r="U5821" t="s">
        <v>58</v>
      </c>
      <c r="V5821">
        <v>1</v>
      </c>
      <c r="W5821">
        <v>1</v>
      </c>
      <c r="X5821">
        <v>2</v>
      </c>
      <c r="Y5821">
        <v>0</v>
      </c>
      <c r="Z5821">
        <v>2</v>
      </c>
      <c r="AA5821">
        <v>190.02</v>
      </c>
      <c r="AB5821">
        <v>190.02</v>
      </c>
      <c r="AC5821">
        <v>167.2</v>
      </c>
      <c r="AD5821">
        <v>0</v>
      </c>
      <c r="AE5821">
        <v>22.82</v>
      </c>
      <c r="AF5821">
        <v>0</v>
      </c>
      <c r="AG5821">
        <v>0</v>
      </c>
      <c r="AH5821">
        <v>0</v>
      </c>
      <c r="AI5821">
        <v>34.200000000000003</v>
      </c>
      <c r="AJ5821">
        <v>190.02</v>
      </c>
      <c r="AK5821">
        <v>0</v>
      </c>
      <c r="AL5821" t="s">
        <v>53</v>
      </c>
      <c r="AM5821" t="s">
        <v>53</v>
      </c>
      <c r="AN5821" t="s">
        <v>53</v>
      </c>
      <c r="AO5821" t="s">
        <v>53</v>
      </c>
      <c r="AP5821" t="s">
        <v>53</v>
      </c>
    </row>
    <row r="5822" spans="2:42" x14ac:dyDescent="0.2">
      <c r="B5822" t="s">
        <v>44</v>
      </c>
      <c r="C5822" t="str">
        <f>HYPERLINK("https://us2.cloudbeds.com/connect/8493803454333002#/reservations/9080486846460108?display=2QR2AWKY0A&amp;reservation_id=9080486846460108", "2QR2AWKY0A")</f>
        <v>2QR2AWKY0A</v>
      </c>
      <c r="D5822" t="s">
        <v>45</v>
      </c>
      <c r="E5822" t="s">
        <v>213</v>
      </c>
      <c r="F5822" t="s">
        <v>86</v>
      </c>
      <c r="G5822" t="s">
        <v>48</v>
      </c>
      <c r="H5822" t="s">
        <v>49</v>
      </c>
      <c r="I5822" t="s">
        <v>50</v>
      </c>
      <c r="J5822" t="s">
        <v>7966</v>
      </c>
      <c r="K5822" t="s">
        <v>8060</v>
      </c>
      <c r="L5822" t="s">
        <v>53</v>
      </c>
      <c r="N5822" t="s">
        <v>10394</v>
      </c>
      <c r="P5822" t="s">
        <v>55</v>
      </c>
      <c r="R5822" t="s">
        <v>53</v>
      </c>
      <c r="T5822" t="s">
        <v>10395</v>
      </c>
      <c r="U5822" t="s">
        <v>58</v>
      </c>
      <c r="V5822">
        <v>1</v>
      </c>
      <c r="W5822">
        <v>1</v>
      </c>
      <c r="X5822">
        <v>2</v>
      </c>
      <c r="Y5822">
        <v>0</v>
      </c>
      <c r="Z5822">
        <v>2</v>
      </c>
      <c r="AA5822">
        <v>190.02</v>
      </c>
      <c r="AB5822">
        <v>190.02</v>
      </c>
      <c r="AC5822">
        <v>167.2</v>
      </c>
      <c r="AD5822">
        <v>0</v>
      </c>
      <c r="AE5822">
        <v>22.82</v>
      </c>
      <c r="AF5822">
        <v>0</v>
      </c>
      <c r="AG5822">
        <v>0</v>
      </c>
      <c r="AH5822">
        <v>0</v>
      </c>
      <c r="AI5822">
        <v>34.200000000000003</v>
      </c>
      <c r="AJ5822">
        <v>190.02</v>
      </c>
      <c r="AK5822">
        <v>0</v>
      </c>
      <c r="AL5822" t="s">
        <v>53</v>
      </c>
      <c r="AM5822" t="s">
        <v>53</v>
      </c>
      <c r="AN5822" t="s">
        <v>53</v>
      </c>
      <c r="AO5822" t="s">
        <v>53</v>
      </c>
      <c r="AP5822" t="s">
        <v>53</v>
      </c>
    </row>
    <row r="5823" spans="2:42" x14ac:dyDescent="0.2">
      <c r="B5823" t="s">
        <v>44</v>
      </c>
      <c r="C5823" t="str">
        <f>HYPERLINK("https://us2.cloudbeds.com/connect/8493803454333002#/reservations/9080486846460163?display=2QR3PRZV1D&amp;reservation_id=9080486846460163", "2QR3PRZV1D")</f>
        <v>2QR3PRZV1D</v>
      </c>
      <c r="D5823" t="s">
        <v>45</v>
      </c>
      <c r="E5823" t="s">
        <v>185</v>
      </c>
      <c r="F5823" t="s">
        <v>47</v>
      </c>
      <c r="G5823" t="s">
        <v>48</v>
      </c>
      <c r="H5823" t="s">
        <v>49</v>
      </c>
      <c r="I5823" t="s">
        <v>50</v>
      </c>
      <c r="J5823" t="s">
        <v>8394</v>
      </c>
      <c r="K5823" t="s">
        <v>7623</v>
      </c>
      <c r="L5823" t="s">
        <v>53</v>
      </c>
      <c r="N5823" t="s">
        <v>10396</v>
      </c>
      <c r="P5823" t="s">
        <v>55</v>
      </c>
      <c r="R5823" t="s">
        <v>53</v>
      </c>
      <c r="T5823" t="s">
        <v>10397</v>
      </c>
      <c r="U5823" t="s">
        <v>58</v>
      </c>
      <c r="V5823">
        <v>1</v>
      </c>
      <c r="W5823">
        <v>1</v>
      </c>
      <c r="X5823">
        <v>1</v>
      </c>
      <c r="Y5823">
        <v>0</v>
      </c>
      <c r="Z5823">
        <v>1</v>
      </c>
      <c r="AA5823">
        <v>195.37</v>
      </c>
      <c r="AB5823">
        <v>195.37</v>
      </c>
      <c r="AC5823">
        <v>171.9</v>
      </c>
      <c r="AD5823">
        <v>0</v>
      </c>
      <c r="AE5823">
        <v>23.47</v>
      </c>
      <c r="AF5823">
        <v>0</v>
      </c>
      <c r="AG5823">
        <v>0</v>
      </c>
      <c r="AH5823">
        <v>0</v>
      </c>
      <c r="AI5823">
        <v>35.17</v>
      </c>
      <c r="AJ5823">
        <v>195.37</v>
      </c>
      <c r="AK5823">
        <v>0</v>
      </c>
      <c r="AL5823" t="s">
        <v>53</v>
      </c>
      <c r="AM5823" t="s">
        <v>53</v>
      </c>
      <c r="AN5823" t="s">
        <v>53</v>
      </c>
      <c r="AO5823" t="s">
        <v>53</v>
      </c>
      <c r="AP5823" t="s">
        <v>53</v>
      </c>
    </row>
    <row r="5824" spans="2:42" x14ac:dyDescent="0.2">
      <c r="B5824" t="s">
        <v>44</v>
      </c>
      <c r="C5824" t="str">
        <f>HYPERLINK("https://us2.cloudbeds.com/connect/8493803454333002#/reservations/9080486846460401?display=2QRBU18K58&amp;reservation_id=9080486846460401", "2QRBU18K58")</f>
        <v>2QRBU18K58</v>
      </c>
      <c r="D5824" t="s">
        <v>45</v>
      </c>
      <c r="E5824" t="s">
        <v>265</v>
      </c>
      <c r="F5824" t="s">
        <v>61</v>
      </c>
      <c r="G5824" t="s">
        <v>48</v>
      </c>
      <c r="H5824" t="s">
        <v>49</v>
      </c>
      <c r="I5824" t="s">
        <v>50</v>
      </c>
      <c r="J5824" t="s">
        <v>8053</v>
      </c>
      <c r="K5824" t="s">
        <v>8391</v>
      </c>
      <c r="L5824" t="s">
        <v>53</v>
      </c>
      <c r="N5824" t="s">
        <v>10398</v>
      </c>
      <c r="P5824" t="s">
        <v>55</v>
      </c>
      <c r="R5824" t="s">
        <v>53</v>
      </c>
      <c r="T5824" t="s">
        <v>10399</v>
      </c>
      <c r="U5824" t="s">
        <v>58</v>
      </c>
      <c r="V5824">
        <v>2</v>
      </c>
      <c r="W5824">
        <v>1</v>
      </c>
      <c r="X5824">
        <v>2</v>
      </c>
      <c r="Y5824">
        <v>0</v>
      </c>
      <c r="Z5824">
        <v>2</v>
      </c>
      <c r="AA5824">
        <v>361.07</v>
      </c>
      <c r="AB5824">
        <v>361.07</v>
      </c>
      <c r="AC5824">
        <v>317.7</v>
      </c>
      <c r="AD5824">
        <v>0</v>
      </c>
      <c r="AE5824">
        <v>43.37</v>
      </c>
      <c r="AF5824">
        <v>0</v>
      </c>
      <c r="AG5824">
        <v>0</v>
      </c>
      <c r="AH5824">
        <v>0</v>
      </c>
      <c r="AI5824">
        <v>64.989999999999995</v>
      </c>
      <c r="AJ5824">
        <v>361.07</v>
      </c>
      <c r="AK5824">
        <v>0</v>
      </c>
      <c r="AL5824" t="s">
        <v>53</v>
      </c>
      <c r="AM5824" t="s">
        <v>53</v>
      </c>
      <c r="AN5824" t="s">
        <v>53</v>
      </c>
      <c r="AO5824" t="s">
        <v>53</v>
      </c>
      <c r="AP5824" t="s">
        <v>53</v>
      </c>
    </row>
    <row r="5825" spans="2:42" x14ac:dyDescent="0.2">
      <c r="B5825" t="s">
        <v>44</v>
      </c>
      <c r="C5825" t="str">
        <f>HYPERLINK("https://us2.cloudbeds.com/connect/8493803454333002#/reservations/9080486846460733?display=2QRNCUY05Y&amp;reservation_id=9080486846460733", "2QRNCUY05Y")</f>
        <v>2QRNCUY05Y</v>
      </c>
      <c r="D5825" t="s">
        <v>45</v>
      </c>
      <c r="E5825" t="s">
        <v>92</v>
      </c>
      <c r="F5825" t="s">
        <v>86</v>
      </c>
      <c r="G5825" t="s">
        <v>48</v>
      </c>
      <c r="H5825" t="s">
        <v>49</v>
      </c>
      <c r="I5825" t="s">
        <v>50</v>
      </c>
      <c r="J5825" t="s">
        <v>7803</v>
      </c>
      <c r="K5825" t="s">
        <v>8391</v>
      </c>
      <c r="L5825" t="s">
        <v>53</v>
      </c>
      <c r="N5825" t="s">
        <v>10400</v>
      </c>
      <c r="P5825" t="s">
        <v>55</v>
      </c>
      <c r="R5825" t="s">
        <v>53</v>
      </c>
      <c r="T5825" t="s">
        <v>10401</v>
      </c>
      <c r="U5825" t="s">
        <v>58</v>
      </c>
      <c r="V5825">
        <v>1</v>
      </c>
      <c r="W5825">
        <v>1</v>
      </c>
      <c r="X5825">
        <v>2</v>
      </c>
      <c r="Y5825">
        <v>0</v>
      </c>
      <c r="Z5825">
        <v>2</v>
      </c>
      <c r="AA5825">
        <v>182.57</v>
      </c>
      <c r="AB5825">
        <v>182.57</v>
      </c>
      <c r="AC5825">
        <v>160.65</v>
      </c>
      <c r="AD5825">
        <v>0</v>
      </c>
      <c r="AE5825">
        <v>21.92</v>
      </c>
      <c r="AF5825">
        <v>0</v>
      </c>
      <c r="AG5825">
        <v>0</v>
      </c>
      <c r="AH5825">
        <v>0</v>
      </c>
      <c r="AI5825">
        <v>32.86</v>
      </c>
      <c r="AJ5825">
        <v>182.57</v>
      </c>
      <c r="AK5825">
        <v>0</v>
      </c>
      <c r="AL5825" t="s">
        <v>53</v>
      </c>
      <c r="AM5825" t="s">
        <v>53</v>
      </c>
      <c r="AN5825" t="s">
        <v>53</v>
      </c>
      <c r="AO5825" t="s">
        <v>53</v>
      </c>
      <c r="AP5825" t="s">
        <v>53</v>
      </c>
    </row>
    <row r="5826" spans="2:42" x14ac:dyDescent="0.2">
      <c r="B5826" t="s">
        <v>44</v>
      </c>
      <c r="C5826" t="str">
        <f>HYPERLINK("https://us2.cloudbeds.com/connect/8493803454333002#/reservations/9080486846460747?display=2QRNZJWAV0&amp;reservation_id=9080486846460747", "2QRNZJWAV0")</f>
        <v>2QRNZJWAV0</v>
      </c>
      <c r="D5826" t="s">
        <v>45</v>
      </c>
      <c r="E5826" t="s">
        <v>121</v>
      </c>
      <c r="F5826" t="s">
        <v>86</v>
      </c>
      <c r="G5826" t="s">
        <v>48</v>
      </c>
      <c r="H5826" t="s">
        <v>49</v>
      </c>
      <c r="I5826" t="s">
        <v>50</v>
      </c>
      <c r="J5826" t="s">
        <v>8367</v>
      </c>
      <c r="K5826" t="s">
        <v>7751</v>
      </c>
      <c r="L5826" t="s">
        <v>53</v>
      </c>
      <c r="N5826" t="s">
        <v>10402</v>
      </c>
      <c r="P5826" t="s">
        <v>55</v>
      </c>
      <c r="R5826" t="s">
        <v>53</v>
      </c>
      <c r="T5826" t="s">
        <v>10403</v>
      </c>
      <c r="U5826" t="s">
        <v>58</v>
      </c>
      <c r="V5826">
        <v>1</v>
      </c>
      <c r="W5826">
        <v>1</v>
      </c>
      <c r="X5826">
        <v>3</v>
      </c>
      <c r="Y5826">
        <v>1</v>
      </c>
      <c r="Z5826">
        <v>4</v>
      </c>
      <c r="AA5826">
        <v>235.26</v>
      </c>
      <c r="AB5826">
        <v>235.26</v>
      </c>
      <c r="AC5826">
        <v>207</v>
      </c>
      <c r="AD5826">
        <v>0</v>
      </c>
      <c r="AE5826">
        <v>28.26</v>
      </c>
      <c r="AF5826">
        <v>0</v>
      </c>
      <c r="AG5826">
        <v>0</v>
      </c>
      <c r="AH5826">
        <v>0</v>
      </c>
      <c r="AI5826">
        <v>42.35</v>
      </c>
      <c r="AJ5826">
        <v>235.26</v>
      </c>
      <c r="AK5826">
        <v>115</v>
      </c>
      <c r="AL5826" t="s">
        <v>53</v>
      </c>
      <c r="AM5826" t="s">
        <v>53</v>
      </c>
      <c r="AN5826" t="s">
        <v>53</v>
      </c>
      <c r="AO5826" t="s">
        <v>53</v>
      </c>
      <c r="AP5826" t="s">
        <v>53</v>
      </c>
    </row>
    <row r="5827" spans="2:42" x14ac:dyDescent="0.2">
      <c r="B5827" t="s">
        <v>44</v>
      </c>
      <c r="C5827" t="str">
        <f>HYPERLINK("https://us2.cloudbeds.com/connect/8493803454333002#/reservations/9080486846460796?display=2QRPE9RXDC&amp;reservation_id=9080486846460796", "2QRPE9RXDC")</f>
        <v>2QRPE9RXDC</v>
      </c>
      <c r="D5827" t="s">
        <v>45</v>
      </c>
      <c r="E5827" t="s">
        <v>381</v>
      </c>
      <c r="F5827" t="s">
        <v>47</v>
      </c>
      <c r="G5827" t="s">
        <v>48</v>
      </c>
      <c r="H5827" t="s">
        <v>49</v>
      </c>
      <c r="I5827" t="s">
        <v>50</v>
      </c>
      <c r="J5827" t="s">
        <v>8053</v>
      </c>
      <c r="K5827" t="s">
        <v>8391</v>
      </c>
      <c r="L5827" t="s">
        <v>53</v>
      </c>
      <c r="N5827" t="s">
        <v>10404</v>
      </c>
      <c r="P5827" t="s">
        <v>55</v>
      </c>
      <c r="R5827" t="s">
        <v>53</v>
      </c>
      <c r="T5827" t="s">
        <v>10405</v>
      </c>
      <c r="U5827" t="s">
        <v>58</v>
      </c>
      <c r="V5827">
        <v>2</v>
      </c>
      <c r="W5827">
        <v>1</v>
      </c>
      <c r="X5827">
        <v>2</v>
      </c>
      <c r="Y5827">
        <v>0</v>
      </c>
      <c r="Z5827">
        <v>2</v>
      </c>
      <c r="AA5827">
        <v>301.85000000000002</v>
      </c>
      <c r="AB5827">
        <v>301.85000000000002</v>
      </c>
      <c r="AC5827">
        <v>265.60000000000002</v>
      </c>
      <c r="AD5827">
        <v>0</v>
      </c>
      <c r="AE5827">
        <v>36.25</v>
      </c>
      <c r="AF5827">
        <v>0</v>
      </c>
      <c r="AG5827">
        <v>0</v>
      </c>
      <c r="AH5827">
        <v>0</v>
      </c>
      <c r="AI5827">
        <v>54.33</v>
      </c>
      <c r="AJ5827">
        <v>301.85000000000002</v>
      </c>
      <c r="AK5827">
        <v>0</v>
      </c>
      <c r="AL5827" t="s">
        <v>53</v>
      </c>
      <c r="AM5827" t="s">
        <v>53</v>
      </c>
      <c r="AN5827" t="s">
        <v>53</v>
      </c>
      <c r="AO5827" t="s">
        <v>53</v>
      </c>
      <c r="AP5827" t="s">
        <v>53</v>
      </c>
    </row>
    <row r="5828" spans="2:42" x14ac:dyDescent="0.2">
      <c r="B5828" t="s">
        <v>44</v>
      </c>
      <c r="C5828" t="str">
        <f>HYPERLINK("https://us2.cloudbeds.com/connect/8493803454333002#/reservations/9080486846460959?display=2QRW5P1T7E&amp;reservation_id=9080486846460959", "2QRW5P1T7E")</f>
        <v>2QRW5P1T7E</v>
      </c>
      <c r="D5828" t="s">
        <v>45</v>
      </c>
      <c r="E5828" t="s">
        <v>138</v>
      </c>
      <c r="F5828" t="s">
        <v>70</v>
      </c>
      <c r="G5828" t="s">
        <v>48</v>
      </c>
      <c r="H5828" t="s">
        <v>49</v>
      </c>
      <c r="I5828" t="s">
        <v>50</v>
      </c>
      <c r="J5828" t="s">
        <v>8053</v>
      </c>
      <c r="K5828" t="s">
        <v>7803</v>
      </c>
      <c r="L5828" t="s">
        <v>53</v>
      </c>
      <c r="N5828" t="s">
        <v>10406</v>
      </c>
      <c r="P5828" t="s">
        <v>55</v>
      </c>
      <c r="R5828" t="s">
        <v>53</v>
      </c>
      <c r="T5828" t="s">
        <v>10407</v>
      </c>
      <c r="U5828" t="s">
        <v>58</v>
      </c>
      <c r="V5828">
        <v>1</v>
      </c>
      <c r="W5828">
        <v>1</v>
      </c>
      <c r="X5828">
        <v>2</v>
      </c>
      <c r="Y5828">
        <v>0</v>
      </c>
      <c r="Z5828">
        <v>2</v>
      </c>
      <c r="AA5828">
        <v>140.01</v>
      </c>
      <c r="AB5828">
        <v>140.01</v>
      </c>
      <c r="AC5828">
        <v>123.2</v>
      </c>
      <c r="AD5828">
        <v>0</v>
      </c>
      <c r="AE5828">
        <v>16.809999999999999</v>
      </c>
      <c r="AF5828">
        <v>0</v>
      </c>
      <c r="AG5828">
        <v>0</v>
      </c>
      <c r="AH5828">
        <v>0</v>
      </c>
      <c r="AI5828">
        <v>25.2</v>
      </c>
      <c r="AJ5828">
        <v>140.01</v>
      </c>
      <c r="AK5828">
        <v>0</v>
      </c>
      <c r="AL5828" t="s">
        <v>53</v>
      </c>
      <c r="AM5828" t="s">
        <v>53</v>
      </c>
      <c r="AN5828" t="s">
        <v>53</v>
      </c>
      <c r="AO5828" t="s">
        <v>53</v>
      </c>
      <c r="AP5828" t="s">
        <v>53</v>
      </c>
    </row>
    <row r="5829" spans="2:42" x14ac:dyDescent="0.2">
      <c r="B5829" t="s">
        <v>44</v>
      </c>
      <c r="C5829" t="str">
        <f>HYPERLINK("https://us2.cloudbeds.com/connect/8493803454333002#/reservations/130593980227744?display=2QS8XTAD4Y&amp;reservation_id=130593980227744", "2QS8XTAD4Y")</f>
        <v>2QS8XTAD4Y</v>
      </c>
      <c r="D5829" t="s">
        <v>45</v>
      </c>
      <c r="E5829" t="s">
        <v>110</v>
      </c>
      <c r="F5829" t="s">
        <v>47</v>
      </c>
      <c r="G5829" t="s">
        <v>48</v>
      </c>
      <c r="H5829" t="s">
        <v>3957</v>
      </c>
      <c r="I5829" t="s">
        <v>3975</v>
      </c>
      <c r="J5829" t="s">
        <v>9725</v>
      </c>
      <c r="K5829" t="s">
        <v>9610</v>
      </c>
      <c r="L5829" t="s">
        <v>53</v>
      </c>
      <c r="P5829" t="s">
        <v>55</v>
      </c>
      <c r="R5829" t="s">
        <v>53</v>
      </c>
      <c r="T5829" t="s">
        <v>10408</v>
      </c>
      <c r="U5829" t="s">
        <v>58</v>
      </c>
      <c r="V5829">
        <v>1</v>
      </c>
      <c r="W5829">
        <v>1</v>
      </c>
      <c r="X5829">
        <v>2</v>
      </c>
      <c r="Y5829">
        <v>0</v>
      </c>
      <c r="Z5829">
        <v>2</v>
      </c>
      <c r="AA5829">
        <v>223.89</v>
      </c>
      <c r="AB5829">
        <v>223.89</v>
      </c>
      <c r="AC5829">
        <v>197</v>
      </c>
      <c r="AD5829">
        <v>0</v>
      </c>
      <c r="AE5829">
        <v>26.89</v>
      </c>
      <c r="AF5829">
        <v>0</v>
      </c>
      <c r="AG5829">
        <v>0</v>
      </c>
      <c r="AH5829">
        <v>0</v>
      </c>
      <c r="AI5829">
        <v>0</v>
      </c>
      <c r="AJ5829">
        <v>223.89</v>
      </c>
      <c r="AK5829">
        <v>0</v>
      </c>
      <c r="AL5829" t="s">
        <v>53</v>
      </c>
      <c r="AM5829" t="s">
        <v>53</v>
      </c>
      <c r="AN5829" t="s">
        <v>53</v>
      </c>
      <c r="AO5829" t="s">
        <v>53</v>
      </c>
      <c r="AP5829" t="s">
        <v>53</v>
      </c>
    </row>
    <row r="5830" spans="2:42" x14ac:dyDescent="0.2">
      <c r="B5830" t="s">
        <v>44</v>
      </c>
      <c r="C5830" t="str">
        <f>HYPERLINK("https://us2.cloudbeds.com/connect/8493803454333002#/reservations/9080486846461180?display=2QS9HKEXXS&amp;reservation_id=9080486846461180", "2QS9HKEXXS")</f>
        <v>2QS9HKEXXS</v>
      </c>
      <c r="D5830" t="s">
        <v>45</v>
      </c>
      <c r="E5830" t="s">
        <v>69</v>
      </c>
      <c r="F5830" t="s">
        <v>70</v>
      </c>
      <c r="G5830" t="s">
        <v>48</v>
      </c>
      <c r="H5830" t="s">
        <v>49</v>
      </c>
      <c r="I5830" t="s">
        <v>62</v>
      </c>
      <c r="J5830" t="s">
        <v>8799</v>
      </c>
      <c r="K5830" t="s">
        <v>8911</v>
      </c>
      <c r="L5830" t="s">
        <v>53</v>
      </c>
      <c r="N5830" t="s">
        <v>10409</v>
      </c>
      <c r="P5830" t="s">
        <v>55</v>
      </c>
      <c r="R5830" t="s">
        <v>56</v>
      </c>
      <c r="T5830" t="s">
        <v>10410</v>
      </c>
      <c r="U5830" t="s">
        <v>55</v>
      </c>
      <c r="V5830">
        <v>2</v>
      </c>
      <c r="W5830">
        <v>1</v>
      </c>
      <c r="X5830">
        <v>2</v>
      </c>
      <c r="Y5830">
        <v>0</v>
      </c>
      <c r="Z5830">
        <v>2</v>
      </c>
      <c r="AA5830">
        <v>287.85000000000002</v>
      </c>
      <c r="AB5830">
        <v>287.85000000000002</v>
      </c>
      <c r="AC5830">
        <v>287.85000000000002</v>
      </c>
      <c r="AD5830">
        <v>0</v>
      </c>
      <c r="AE5830">
        <v>0</v>
      </c>
      <c r="AF5830">
        <v>0</v>
      </c>
      <c r="AG5830">
        <v>0</v>
      </c>
      <c r="AH5830">
        <v>0</v>
      </c>
      <c r="AI5830">
        <v>51.81</v>
      </c>
      <c r="AJ5830">
        <v>287.85000000000002</v>
      </c>
      <c r="AK5830">
        <v>0</v>
      </c>
      <c r="AL5830" t="s">
        <v>53</v>
      </c>
      <c r="AM5830" t="s">
        <v>53</v>
      </c>
      <c r="AN5830" t="s">
        <v>53</v>
      </c>
      <c r="AO5830" t="s">
        <v>53</v>
      </c>
      <c r="AP5830" t="s">
        <v>53</v>
      </c>
    </row>
    <row r="5831" spans="2:42" x14ac:dyDescent="0.2">
      <c r="B5831" t="s">
        <v>44</v>
      </c>
      <c r="C5831" t="str">
        <f>HYPERLINK("https://us2.cloudbeds.com/connect/8493803454333002#/reservations/9080486846461242?display=2QSBPBGG1H&amp;reservation_id=9080486846461242", "2QSBPBGG1H")</f>
        <v>2QSBPBGG1H</v>
      </c>
      <c r="D5831" t="s">
        <v>45</v>
      </c>
      <c r="E5831" t="s">
        <v>113</v>
      </c>
      <c r="F5831" t="s">
        <v>61</v>
      </c>
      <c r="G5831" t="s">
        <v>48</v>
      </c>
      <c r="H5831" t="s">
        <v>49</v>
      </c>
      <c r="I5831" t="s">
        <v>50</v>
      </c>
      <c r="J5831" t="s">
        <v>6829</v>
      </c>
      <c r="K5831" t="s">
        <v>8686</v>
      </c>
      <c r="L5831" t="s">
        <v>53</v>
      </c>
      <c r="N5831" t="s">
        <v>10411</v>
      </c>
      <c r="P5831" t="s">
        <v>55</v>
      </c>
      <c r="R5831" t="s">
        <v>53</v>
      </c>
      <c r="T5831" t="s">
        <v>10412</v>
      </c>
      <c r="U5831" t="s">
        <v>58</v>
      </c>
      <c r="V5831">
        <v>1</v>
      </c>
      <c r="W5831">
        <v>1</v>
      </c>
      <c r="X5831">
        <v>2</v>
      </c>
      <c r="Y5831">
        <v>0</v>
      </c>
      <c r="Z5831">
        <v>2</v>
      </c>
      <c r="AA5831">
        <v>171.99</v>
      </c>
      <c r="AB5831">
        <v>171.99</v>
      </c>
      <c r="AC5831">
        <v>151.33000000000001</v>
      </c>
      <c r="AD5831">
        <v>0</v>
      </c>
      <c r="AE5831">
        <v>20.66</v>
      </c>
      <c r="AF5831">
        <v>0</v>
      </c>
      <c r="AG5831">
        <v>0</v>
      </c>
      <c r="AH5831">
        <v>0</v>
      </c>
      <c r="AI5831">
        <v>30.96</v>
      </c>
      <c r="AJ5831">
        <v>171.99</v>
      </c>
      <c r="AK5831">
        <v>0</v>
      </c>
      <c r="AL5831" t="s">
        <v>53</v>
      </c>
      <c r="AM5831" t="s">
        <v>53</v>
      </c>
      <c r="AN5831" t="s">
        <v>53</v>
      </c>
      <c r="AO5831" t="s">
        <v>53</v>
      </c>
      <c r="AP5831" t="s">
        <v>53</v>
      </c>
    </row>
    <row r="5832" spans="2:42" x14ac:dyDescent="0.2">
      <c r="B5832" t="s">
        <v>44</v>
      </c>
      <c r="C5832" t="str">
        <f>HYPERLINK("https://us2.cloudbeds.com/connect/8493803454333002#/reservations/9080486846461347?display=2QSGJARW3G&amp;reservation_id=9080486846461347", "2QSGJARW3G")</f>
        <v>2QSGJARW3G</v>
      </c>
      <c r="D5832" t="s">
        <v>45</v>
      </c>
      <c r="E5832" t="s">
        <v>305</v>
      </c>
      <c r="F5832" t="s">
        <v>61</v>
      </c>
      <c r="G5832" t="s">
        <v>48</v>
      </c>
      <c r="H5832" t="s">
        <v>49</v>
      </c>
      <c r="I5832" t="s">
        <v>50</v>
      </c>
      <c r="J5832" t="s">
        <v>8799</v>
      </c>
      <c r="K5832" t="s">
        <v>8911</v>
      </c>
      <c r="L5832" t="s">
        <v>53</v>
      </c>
      <c r="N5832" t="s">
        <v>10413</v>
      </c>
      <c r="P5832" t="s">
        <v>55</v>
      </c>
      <c r="R5832" t="s">
        <v>53</v>
      </c>
      <c r="T5832" t="s">
        <v>10414</v>
      </c>
      <c r="U5832" t="s">
        <v>58</v>
      </c>
      <c r="V5832">
        <v>2</v>
      </c>
      <c r="W5832">
        <v>1</v>
      </c>
      <c r="X5832">
        <v>2</v>
      </c>
      <c r="Y5832">
        <v>0</v>
      </c>
      <c r="Z5832">
        <v>2</v>
      </c>
      <c r="AA5832">
        <v>327.45999999999998</v>
      </c>
      <c r="AB5832">
        <v>327.45999999999998</v>
      </c>
      <c r="AC5832">
        <v>288.13</v>
      </c>
      <c r="AD5832">
        <v>0</v>
      </c>
      <c r="AE5832">
        <v>39.33</v>
      </c>
      <c r="AF5832">
        <v>0</v>
      </c>
      <c r="AG5832">
        <v>0</v>
      </c>
      <c r="AH5832">
        <v>0</v>
      </c>
      <c r="AI5832">
        <v>58.94</v>
      </c>
      <c r="AJ5832">
        <v>327.45999999999998</v>
      </c>
      <c r="AK5832">
        <v>0</v>
      </c>
      <c r="AL5832" t="s">
        <v>53</v>
      </c>
      <c r="AM5832" t="s">
        <v>53</v>
      </c>
      <c r="AN5832" t="s">
        <v>53</v>
      </c>
      <c r="AO5832" t="s">
        <v>53</v>
      </c>
      <c r="AP5832" t="s">
        <v>53</v>
      </c>
    </row>
    <row r="5833" spans="2:42" x14ac:dyDescent="0.2">
      <c r="B5833" t="s">
        <v>44</v>
      </c>
      <c r="C5833" t="str">
        <f>HYPERLINK("https://us2.cloudbeds.com/connect/8493803454333002#/reservations/130626231742639?display=2QT0HWYB9R&amp;reservation_id=130626231742639", "2QT0HWYB9R")</f>
        <v>2QT0HWYB9R</v>
      </c>
      <c r="D5833" t="s">
        <v>45</v>
      </c>
      <c r="E5833" t="s">
        <v>110</v>
      </c>
      <c r="F5833" t="s">
        <v>47</v>
      </c>
      <c r="G5833" t="s">
        <v>3974</v>
      </c>
      <c r="H5833" t="s">
        <v>3957</v>
      </c>
      <c r="I5833" t="s">
        <v>3975</v>
      </c>
      <c r="J5833" t="s">
        <v>10192</v>
      </c>
      <c r="K5833" t="s">
        <v>10415</v>
      </c>
      <c r="L5833" t="s">
        <v>53</v>
      </c>
      <c r="P5833" t="s">
        <v>55</v>
      </c>
      <c r="R5833" t="s">
        <v>53</v>
      </c>
      <c r="T5833" t="s">
        <v>10416</v>
      </c>
      <c r="U5833" t="s">
        <v>58</v>
      </c>
      <c r="V5833">
        <v>1</v>
      </c>
      <c r="W5833">
        <v>1</v>
      </c>
      <c r="X5833">
        <v>2</v>
      </c>
      <c r="Y5833">
        <v>0</v>
      </c>
      <c r="Z5833">
        <v>2</v>
      </c>
      <c r="AA5833">
        <v>125.25</v>
      </c>
      <c r="AB5833">
        <v>125.25</v>
      </c>
      <c r="AC5833">
        <v>110.2</v>
      </c>
      <c r="AD5833">
        <v>0</v>
      </c>
      <c r="AE5833">
        <v>15.05</v>
      </c>
      <c r="AF5833">
        <v>0</v>
      </c>
      <c r="AG5833">
        <v>0</v>
      </c>
      <c r="AH5833">
        <v>0</v>
      </c>
      <c r="AI5833">
        <v>0</v>
      </c>
      <c r="AJ5833">
        <v>125.25</v>
      </c>
      <c r="AK5833">
        <v>0</v>
      </c>
      <c r="AL5833" t="s">
        <v>53</v>
      </c>
      <c r="AM5833" t="s">
        <v>53</v>
      </c>
      <c r="AN5833" t="s">
        <v>53</v>
      </c>
      <c r="AO5833" t="s">
        <v>53</v>
      </c>
      <c r="AP5833" t="s">
        <v>53</v>
      </c>
    </row>
    <row r="5834" spans="2:42" x14ac:dyDescent="0.2">
      <c r="B5834" t="s">
        <v>44</v>
      </c>
      <c r="C5834" t="str">
        <f>HYPERLINK("https://us2.cloudbeds.com/connect/8493803454333002#/reservations/9080486846461824?display=2QT4QC0358&amp;reservation_id=9080486846461824", "2QT4QC0358")</f>
        <v>2QT4QC0358</v>
      </c>
      <c r="D5834" t="s">
        <v>45</v>
      </c>
      <c r="E5834" t="s">
        <v>110</v>
      </c>
      <c r="F5834" t="s">
        <v>47</v>
      </c>
      <c r="G5834" t="s">
        <v>48</v>
      </c>
      <c r="H5834" t="s">
        <v>49</v>
      </c>
      <c r="I5834" t="s">
        <v>62</v>
      </c>
      <c r="J5834" t="s">
        <v>7803</v>
      </c>
      <c r="K5834" t="s">
        <v>8391</v>
      </c>
      <c r="L5834" t="s">
        <v>53</v>
      </c>
      <c r="N5834" t="s">
        <v>10417</v>
      </c>
      <c r="P5834" t="s">
        <v>55</v>
      </c>
      <c r="R5834" t="s">
        <v>56</v>
      </c>
      <c r="T5834" t="s">
        <v>10418</v>
      </c>
      <c r="U5834" t="s">
        <v>55</v>
      </c>
      <c r="V5834">
        <v>1</v>
      </c>
      <c r="W5834">
        <v>1</v>
      </c>
      <c r="X5834">
        <v>1</v>
      </c>
      <c r="Y5834">
        <v>0</v>
      </c>
      <c r="Z5834">
        <v>1</v>
      </c>
      <c r="AA5834">
        <v>164</v>
      </c>
      <c r="AB5834">
        <v>164</v>
      </c>
      <c r="AC5834">
        <v>164</v>
      </c>
      <c r="AD5834">
        <v>0</v>
      </c>
      <c r="AE5834">
        <v>0</v>
      </c>
      <c r="AF5834">
        <v>0</v>
      </c>
      <c r="AG5834">
        <v>0</v>
      </c>
      <c r="AH5834">
        <v>0</v>
      </c>
      <c r="AI5834">
        <v>29.52</v>
      </c>
      <c r="AJ5834">
        <v>164</v>
      </c>
      <c r="AK5834">
        <v>0</v>
      </c>
      <c r="AL5834" t="s">
        <v>53</v>
      </c>
      <c r="AM5834" t="s">
        <v>53</v>
      </c>
      <c r="AN5834" t="s">
        <v>53</v>
      </c>
      <c r="AO5834" t="s">
        <v>53</v>
      </c>
      <c r="AP5834" t="s">
        <v>53</v>
      </c>
    </row>
    <row r="5835" spans="2:42" x14ac:dyDescent="0.2">
      <c r="B5835" t="s">
        <v>44</v>
      </c>
      <c r="C5835" t="str">
        <f>HYPERLINK("https://us2.cloudbeds.com/connect/8493803454333002#/reservations/130634500755617?display=2QT6V99QWM&amp;reservation_id=130634500755617", "2QT6V99QWM")</f>
        <v>2QT6V99QWM</v>
      </c>
      <c r="D5835" t="s">
        <v>45</v>
      </c>
      <c r="E5835" t="s">
        <v>128</v>
      </c>
      <c r="F5835" t="s">
        <v>86</v>
      </c>
      <c r="G5835" t="s">
        <v>3974</v>
      </c>
      <c r="H5835" t="s">
        <v>3957</v>
      </c>
      <c r="I5835" t="s">
        <v>3975</v>
      </c>
      <c r="J5835" t="s">
        <v>8678</v>
      </c>
      <c r="K5835" t="s">
        <v>9687</v>
      </c>
      <c r="L5835" t="s">
        <v>53</v>
      </c>
      <c r="P5835" t="s">
        <v>55</v>
      </c>
      <c r="R5835" t="s">
        <v>53</v>
      </c>
      <c r="T5835" t="s">
        <v>10419</v>
      </c>
      <c r="U5835" t="s">
        <v>58</v>
      </c>
      <c r="V5835">
        <v>1</v>
      </c>
      <c r="W5835">
        <v>1</v>
      </c>
      <c r="X5835">
        <v>2</v>
      </c>
      <c r="Y5835">
        <v>0</v>
      </c>
      <c r="Z5835">
        <v>2</v>
      </c>
      <c r="AA5835">
        <v>290.43</v>
      </c>
      <c r="AB5835">
        <v>290.43</v>
      </c>
      <c r="AC5835">
        <v>255.55</v>
      </c>
      <c r="AD5835">
        <v>0</v>
      </c>
      <c r="AE5835">
        <v>34.880000000000003</v>
      </c>
      <c r="AF5835">
        <v>0</v>
      </c>
      <c r="AG5835">
        <v>0</v>
      </c>
      <c r="AH5835">
        <v>0</v>
      </c>
      <c r="AI5835">
        <v>0</v>
      </c>
      <c r="AJ5835">
        <v>290.43</v>
      </c>
      <c r="AK5835">
        <v>0</v>
      </c>
      <c r="AL5835" t="s">
        <v>53</v>
      </c>
      <c r="AM5835" t="s">
        <v>53</v>
      </c>
      <c r="AN5835" t="s">
        <v>53</v>
      </c>
      <c r="AO5835" t="s">
        <v>53</v>
      </c>
      <c r="AP5835" t="s">
        <v>53</v>
      </c>
    </row>
    <row r="5836" spans="2:42" x14ac:dyDescent="0.2">
      <c r="B5836" t="s">
        <v>44</v>
      </c>
      <c r="C5836" t="str">
        <f>HYPERLINK("https://us2.cloudbeds.com/connect/8493803454333002#/reservations/130636975849654?display=2QT8SHBVK9&amp;reservation_id=130636975849654", "2QT8SHBVK9")</f>
        <v>2QT8SHBVK9</v>
      </c>
      <c r="D5836" t="s">
        <v>45</v>
      </c>
      <c r="E5836" t="s">
        <v>213</v>
      </c>
      <c r="F5836" t="s">
        <v>86</v>
      </c>
      <c r="G5836" t="s">
        <v>48</v>
      </c>
      <c r="H5836" t="s">
        <v>3957</v>
      </c>
      <c r="I5836" t="s">
        <v>3958</v>
      </c>
      <c r="J5836" t="s">
        <v>8053</v>
      </c>
      <c r="K5836" t="s">
        <v>7803</v>
      </c>
      <c r="L5836" t="s">
        <v>53</v>
      </c>
      <c r="P5836" t="s">
        <v>55</v>
      </c>
      <c r="R5836" t="s">
        <v>56</v>
      </c>
      <c r="T5836" t="s">
        <v>10420</v>
      </c>
      <c r="U5836" t="s">
        <v>58</v>
      </c>
      <c r="V5836">
        <v>1</v>
      </c>
      <c r="W5836">
        <v>1</v>
      </c>
      <c r="X5836">
        <v>1</v>
      </c>
      <c r="Y5836">
        <v>0</v>
      </c>
      <c r="Z5836">
        <v>1</v>
      </c>
      <c r="AA5836">
        <v>218.21</v>
      </c>
      <c r="AB5836">
        <v>218.21</v>
      </c>
      <c r="AC5836">
        <v>192</v>
      </c>
      <c r="AD5836">
        <v>0</v>
      </c>
      <c r="AE5836">
        <v>26.21</v>
      </c>
      <c r="AF5836">
        <v>0</v>
      </c>
      <c r="AG5836">
        <v>0</v>
      </c>
      <c r="AH5836">
        <v>0</v>
      </c>
      <c r="AI5836">
        <v>0</v>
      </c>
      <c r="AJ5836">
        <v>218.21</v>
      </c>
      <c r="AK5836">
        <v>0</v>
      </c>
      <c r="AL5836" t="s">
        <v>53</v>
      </c>
      <c r="AM5836" t="s">
        <v>53</v>
      </c>
      <c r="AN5836" t="s">
        <v>53</v>
      </c>
      <c r="AO5836" t="s">
        <v>53</v>
      </c>
      <c r="AP5836" t="s">
        <v>53</v>
      </c>
    </row>
    <row r="5837" spans="2:42" x14ac:dyDescent="0.2">
      <c r="B5837" t="s">
        <v>44</v>
      </c>
      <c r="C5837" t="str">
        <f>HYPERLINK("https://us2.cloudbeds.com/connect/8493803454333002#/reservations/9080486846461944?display=2QT9VXSCFX&amp;reservation_id=9080486846461944", "2QT9VXSCFX")</f>
        <v>2QT9VXSCFX</v>
      </c>
      <c r="D5837" t="s">
        <v>45</v>
      </c>
      <c r="E5837" t="s">
        <v>179</v>
      </c>
      <c r="F5837" t="s">
        <v>47</v>
      </c>
      <c r="G5837" t="s">
        <v>48</v>
      </c>
      <c r="H5837" t="s">
        <v>49</v>
      </c>
      <c r="I5837" t="s">
        <v>50</v>
      </c>
      <c r="J5837" t="s">
        <v>8391</v>
      </c>
      <c r="K5837" t="s">
        <v>7974</v>
      </c>
      <c r="L5837" t="s">
        <v>53</v>
      </c>
      <c r="N5837" t="s">
        <v>10421</v>
      </c>
      <c r="P5837" t="s">
        <v>55</v>
      </c>
      <c r="R5837" t="s">
        <v>53</v>
      </c>
      <c r="T5837" t="s">
        <v>10422</v>
      </c>
      <c r="U5837" t="s">
        <v>58</v>
      </c>
      <c r="V5837">
        <v>1</v>
      </c>
      <c r="W5837">
        <v>1</v>
      </c>
      <c r="X5837">
        <v>2</v>
      </c>
      <c r="Y5837">
        <v>0</v>
      </c>
      <c r="Z5837">
        <v>2</v>
      </c>
      <c r="AA5837">
        <v>159.4</v>
      </c>
      <c r="AB5837">
        <v>159.4</v>
      </c>
      <c r="AC5837">
        <v>140.25</v>
      </c>
      <c r="AD5837">
        <v>0</v>
      </c>
      <c r="AE5837">
        <v>19.149999999999999</v>
      </c>
      <c r="AF5837">
        <v>0</v>
      </c>
      <c r="AG5837">
        <v>0</v>
      </c>
      <c r="AH5837">
        <v>0</v>
      </c>
      <c r="AI5837">
        <v>28.69</v>
      </c>
      <c r="AJ5837">
        <v>159.4</v>
      </c>
      <c r="AK5837">
        <v>0</v>
      </c>
      <c r="AL5837" t="s">
        <v>53</v>
      </c>
      <c r="AM5837" t="s">
        <v>53</v>
      </c>
      <c r="AN5837" t="s">
        <v>53</v>
      </c>
      <c r="AO5837" t="s">
        <v>53</v>
      </c>
      <c r="AP5837" t="s">
        <v>53</v>
      </c>
    </row>
    <row r="5838" spans="2:42" x14ac:dyDescent="0.2">
      <c r="B5838" t="s">
        <v>44</v>
      </c>
      <c r="C5838" t="str">
        <f>HYPERLINK("https://us2.cloudbeds.com/connect/8493803454333002#/reservations/9080486846462015?display=2QTDA6CJXW&amp;reservation_id=9080486846462015", "2QTDA6CJXW")</f>
        <v>2QTDA6CJXW</v>
      </c>
      <c r="D5838" t="s">
        <v>45</v>
      </c>
      <c r="E5838" t="s">
        <v>138</v>
      </c>
      <c r="F5838" t="s">
        <v>70</v>
      </c>
      <c r="G5838" t="s">
        <v>48</v>
      </c>
      <c r="H5838" t="s">
        <v>49</v>
      </c>
      <c r="I5838" t="s">
        <v>50</v>
      </c>
      <c r="J5838" t="s">
        <v>8391</v>
      </c>
      <c r="K5838" t="s">
        <v>7974</v>
      </c>
      <c r="L5838" t="s">
        <v>53</v>
      </c>
      <c r="N5838" t="s">
        <v>10423</v>
      </c>
      <c r="P5838" t="s">
        <v>55</v>
      </c>
      <c r="R5838" t="s">
        <v>53</v>
      </c>
      <c r="T5838" t="s">
        <v>10424</v>
      </c>
      <c r="U5838" t="s">
        <v>58</v>
      </c>
      <c r="V5838">
        <v>1</v>
      </c>
      <c r="W5838">
        <v>1</v>
      </c>
      <c r="X5838">
        <v>2</v>
      </c>
      <c r="Y5838">
        <v>0</v>
      </c>
      <c r="Z5838">
        <v>2</v>
      </c>
      <c r="AA5838">
        <v>140.93</v>
      </c>
      <c r="AB5838">
        <v>140.93</v>
      </c>
      <c r="AC5838">
        <v>124</v>
      </c>
      <c r="AD5838">
        <v>0</v>
      </c>
      <c r="AE5838">
        <v>16.93</v>
      </c>
      <c r="AF5838">
        <v>0</v>
      </c>
      <c r="AG5838">
        <v>0</v>
      </c>
      <c r="AH5838">
        <v>0</v>
      </c>
      <c r="AI5838">
        <v>25.37</v>
      </c>
      <c r="AJ5838">
        <v>140.93</v>
      </c>
      <c r="AK5838">
        <v>0</v>
      </c>
      <c r="AL5838" t="s">
        <v>53</v>
      </c>
      <c r="AM5838" t="s">
        <v>53</v>
      </c>
      <c r="AN5838" t="s">
        <v>53</v>
      </c>
      <c r="AO5838" t="s">
        <v>53</v>
      </c>
      <c r="AP5838" t="s">
        <v>53</v>
      </c>
    </row>
    <row r="5839" spans="2:42" x14ac:dyDescent="0.2">
      <c r="B5839" t="s">
        <v>44</v>
      </c>
      <c r="C5839" t="str">
        <f>HYPERLINK("https://us2.cloudbeds.com/connect/8493803454333002#/reservations/9080486846462080?display=2QTGU5NBF5&amp;reservation_id=9080486846462080", "2QTGU5NBF5")</f>
        <v>2QTGU5NBF5</v>
      </c>
      <c r="D5839" t="s">
        <v>45</v>
      </c>
      <c r="E5839" t="s">
        <v>105</v>
      </c>
      <c r="F5839" t="s">
        <v>47</v>
      </c>
      <c r="G5839" t="s">
        <v>48</v>
      </c>
      <c r="H5839" t="s">
        <v>49</v>
      </c>
      <c r="I5839" t="s">
        <v>62</v>
      </c>
      <c r="J5839" t="s">
        <v>7803</v>
      </c>
      <c r="K5839" t="s">
        <v>8391</v>
      </c>
      <c r="L5839" t="s">
        <v>53</v>
      </c>
      <c r="N5839" t="s">
        <v>10425</v>
      </c>
      <c r="P5839" t="s">
        <v>55</v>
      </c>
      <c r="R5839" t="s">
        <v>56</v>
      </c>
      <c r="T5839" t="s">
        <v>10426</v>
      </c>
      <c r="U5839" t="s">
        <v>55</v>
      </c>
      <c r="V5839">
        <v>1</v>
      </c>
      <c r="W5839">
        <v>1</v>
      </c>
      <c r="X5839">
        <v>2</v>
      </c>
      <c r="Y5839">
        <v>0</v>
      </c>
      <c r="Z5839">
        <v>2</v>
      </c>
      <c r="AA5839">
        <v>164</v>
      </c>
      <c r="AB5839">
        <v>164</v>
      </c>
      <c r="AC5839">
        <v>164</v>
      </c>
      <c r="AD5839">
        <v>0</v>
      </c>
      <c r="AE5839">
        <v>0</v>
      </c>
      <c r="AF5839">
        <v>0</v>
      </c>
      <c r="AG5839">
        <v>0</v>
      </c>
      <c r="AH5839">
        <v>0</v>
      </c>
      <c r="AI5839">
        <v>29.52</v>
      </c>
      <c r="AJ5839">
        <v>164</v>
      </c>
      <c r="AK5839">
        <v>0</v>
      </c>
      <c r="AL5839" t="s">
        <v>53</v>
      </c>
      <c r="AM5839" t="s">
        <v>53</v>
      </c>
      <c r="AN5839" t="s">
        <v>53</v>
      </c>
      <c r="AO5839" t="s">
        <v>53</v>
      </c>
      <c r="AP5839" t="s">
        <v>53</v>
      </c>
    </row>
    <row r="5840" spans="2:42" x14ac:dyDescent="0.2">
      <c r="B5840" t="s">
        <v>44</v>
      </c>
      <c r="C5840" t="str">
        <f>HYPERLINK("https://us2.cloudbeds.com/connect/8493803454333002#/reservations/9080486846464269?display=2R01F0N9GW&amp;reservation_id=9080486846464269", "2R01F0N9GW")</f>
        <v>2R01F0N9GW</v>
      </c>
      <c r="D5840" t="s">
        <v>45</v>
      </c>
      <c r="E5840" t="s">
        <v>138</v>
      </c>
      <c r="F5840" t="s">
        <v>70</v>
      </c>
      <c r="G5840" t="s">
        <v>48</v>
      </c>
      <c r="H5840" t="s">
        <v>49</v>
      </c>
      <c r="I5840" t="s">
        <v>62</v>
      </c>
      <c r="J5840" t="s">
        <v>9692</v>
      </c>
      <c r="K5840" t="s">
        <v>7325</v>
      </c>
      <c r="L5840" t="s">
        <v>53</v>
      </c>
      <c r="N5840" t="s">
        <v>10427</v>
      </c>
      <c r="P5840" t="s">
        <v>55</v>
      </c>
      <c r="R5840" t="s">
        <v>56</v>
      </c>
      <c r="T5840" t="s">
        <v>10428</v>
      </c>
      <c r="U5840" t="s">
        <v>55</v>
      </c>
      <c r="V5840">
        <v>1</v>
      </c>
      <c r="W5840">
        <v>1</v>
      </c>
      <c r="X5840">
        <v>2</v>
      </c>
      <c r="Y5840">
        <v>0</v>
      </c>
      <c r="Z5840">
        <v>2</v>
      </c>
      <c r="AA5840">
        <v>135.85</v>
      </c>
      <c r="AB5840">
        <v>135.85</v>
      </c>
      <c r="AC5840">
        <v>135.85</v>
      </c>
      <c r="AD5840">
        <v>0</v>
      </c>
      <c r="AE5840">
        <v>0</v>
      </c>
      <c r="AF5840">
        <v>0</v>
      </c>
      <c r="AG5840">
        <v>0</v>
      </c>
      <c r="AH5840">
        <v>0</v>
      </c>
      <c r="AI5840">
        <v>24.45</v>
      </c>
      <c r="AJ5840">
        <v>135.85</v>
      </c>
      <c r="AK5840">
        <v>0</v>
      </c>
      <c r="AL5840" t="s">
        <v>53</v>
      </c>
      <c r="AM5840" t="s">
        <v>53</v>
      </c>
      <c r="AN5840" t="s">
        <v>53</v>
      </c>
      <c r="AO5840" t="s">
        <v>53</v>
      </c>
      <c r="AP5840" t="s">
        <v>53</v>
      </c>
    </row>
    <row r="5841" spans="2:42" x14ac:dyDescent="0.2">
      <c r="B5841" t="s">
        <v>44</v>
      </c>
      <c r="C5841" t="str">
        <f>HYPERLINK("https://us2.cloudbeds.com/connect/8493803454333002#/reservations/9080486846464386?display=2R053A40N6&amp;reservation_id=9080486846464386", "2R053A40N6")</f>
        <v>2R053A40N6</v>
      </c>
      <c r="D5841" t="s">
        <v>45</v>
      </c>
      <c r="E5841" t="s">
        <v>69</v>
      </c>
      <c r="F5841" t="s">
        <v>70</v>
      </c>
      <c r="G5841" t="s">
        <v>48</v>
      </c>
      <c r="H5841" t="s">
        <v>49</v>
      </c>
      <c r="I5841" t="s">
        <v>50</v>
      </c>
      <c r="J5841" t="s">
        <v>8391</v>
      </c>
      <c r="K5841" t="s">
        <v>7974</v>
      </c>
      <c r="L5841" t="s">
        <v>53</v>
      </c>
      <c r="N5841" t="s">
        <v>10429</v>
      </c>
      <c r="P5841" t="s">
        <v>55</v>
      </c>
      <c r="R5841" t="s">
        <v>53</v>
      </c>
      <c r="T5841" t="s">
        <v>10430</v>
      </c>
      <c r="U5841" t="s">
        <v>58</v>
      </c>
      <c r="V5841">
        <v>1</v>
      </c>
      <c r="W5841">
        <v>1</v>
      </c>
      <c r="X5841">
        <v>1</v>
      </c>
      <c r="Y5841">
        <v>0</v>
      </c>
      <c r="Z5841">
        <v>1</v>
      </c>
      <c r="AA5841">
        <v>150.37</v>
      </c>
      <c r="AB5841">
        <v>150.37</v>
      </c>
      <c r="AC5841">
        <v>132.30000000000001</v>
      </c>
      <c r="AD5841">
        <v>0</v>
      </c>
      <c r="AE5841">
        <v>18.07</v>
      </c>
      <c r="AF5841">
        <v>0</v>
      </c>
      <c r="AG5841">
        <v>0</v>
      </c>
      <c r="AH5841">
        <v>0</v>
      </c>
      <c r="AI5841">
        <v>27.07</v>
      </c>
      <c r="AJ5841">
        <v>150.37</v>
      </c>
      <c r="AK5841">
        <v>0</v>
      </c>
      <c r="AL5841" t="s">
        <v>53</v>
      </c>
      <c r="AM5841" t="s">
        <v>53</v>
      </c>
      <c r="AN5841" t="s">
        <v>10431</v>
      </c>
      <c r="AO5841" t="s">
        <v>53</v>
      </c>
      <c r="AP5841" t="s">
        <v>53</v>
      </c>
    </row>
    <row r="5842" spans="2:42" x14ac:dyDescent="0.2">
      <c r="B5842" t="s">
        <v>44</v>
      </c>
      <c r="C5842" t="str">
        <f>HYPERLINK("https://us2.cloudbeds.com/connect/8493803454333002#/reservations/130816305647754?display=2R0FNQWV2B&amp;reservation_id=130816305647754", "2R0FNQWV2B")</f>
        <v>2R0FNQWV2B</v>
      </c>
      <c r="D5842" t="s">
        <v>45</v>
      </c>
      <c r="E5842" t="s">
        <v>213</v>
      </c>
      <c r="F5842" t="s">
        <v>86</v>
      </c>
      <c r="G5842" t="s">
        <v>3974</v>
      </c>
      <c r="H5842" t="s">
        <v>3957</v>
      </c>
      <c r="I5842" t="s">
        <v>3975</v>
      </c>
      <c r="J5842" t="s">
        <v>7624</v>
      </c>
      <c r="K5842" t="s">
        <v>7966</v>
      </c>
      <c r="L5842" t="s">
        <v>53</v>
      </c>
      <c r="P5842" t="s">
        <v>55</v>
      </c>
      <c r="R5842" t="s">
        <v>53</v>
      </c>
      <c r="T5842" t="s">
        <v>10432</v>
      </c>
      <c r="U5842" t="s">
        <v>58</v>
      </c>
      <c r="V5842">
        <v>1</v>
      </c>
      <c r="W5842">
        <v>1</v>
      </c>
      <c r="X5842">
        <v>2</v>
      </c>
      <c r="Y5842">
        <v>0</v>
      </c>
      <c r="Z5842">
        <v>2</v>
      </c>
      <c r="AA5842">
        <v>205.14</v>
      </c>
      <c r="AB5842">
        <v>205.14</v>
      </c>
      <c r="AC5842">
        <v>180.5</v>
      </c>
      <c r="AD5842">
        <v>0</v>
      </c>
      <c r="AE5842">
        <v>24.64</v>
      </c>
      <c r="AF5842">
        <v>0</v>
      </c>
      <c r="AG5842">
        <v>0</v>
      </c>
      <c r="AH5842">
        <v>0</v>
      </c>
      <c r="AI5842">
        <v>0</v>
      </c>
      <c r="AJ5842">
        <v>205.14</v>
      </c>
      <c r="AK5842">
        <v>0</v>
      </c>
      <c r="AL5842" t="s">
        <v>53</v>
      </c>
      <c r="AM5842" t="s">
        <v>53</v>
      </c>
      <c r="AN5842" t="s">
        <v>53</v>
      </c>
      <c r="AO5842" t="s">
        <v>53</v>
      </c>
      <c r="AP5842" t="s">
        <v>53</v>
      </c>
    </row>
    <row r="5843" spans="2:42" x14ac:dyDescent="0.2">
      <c r="B5843" t="s">
        <v>44</v>
      </c>
      <c r="C5843" t="str">
        <f>HYPERLINK("https://us2.cloudbeds.com/connect/8493803454333002#/reservations/9080486846465211?display=2R100FS4RB&amp;reservation_id=9080486846465211", "2R100FS4RB")</f>
        <v>2R100FS4RB</v>
      </c>
      <c r="D5843" t="s">
        <v>45</v>
      </c>
      <c r="E5843" t="s">
        <v>265</v>
      </c>
      <c r="F5843" t="s">
        <v>61</v>
      </c>
      <c r="G5843" t="s">
        <v>48</v>
      </c>
      <c r="H5843" t="s">
        <v>49</v>
      </c>
      <c r="I5843" t="s">
        <v>50</v>
      </c>
      <c r="J5843" t="s">
        <v>8391</v>
      </c>
      <c r="K5843" t="s">
        <v>7974</v>
      </c>
      <c r="L5843" t="s">
        <v>53</v>
      </c>
      <c r="N5843" t="s">
        <v>10433</v>
      </c>
      <c r="P5843" t="s">
        <v>55</v>
      </c>
      <c r="R5843" t="s">
        <v>53</v>
      </c>
      <c r="T5843" t="s">
        <v>10434</v>
      </c>
      <c r="U5843" t="s">
        <v>58</v>
      </c>
      <c r="V5843">
        <v>1</v>
      </c>
      <c r="W5843">
        <v>1</v>
      </c>
      <c r="X5843">
        <v>2</v>
      </c>
      <c r="Y5843">
        <v>0</v>
      </c>
      <c r="Z5843">
        <v>2</v>
      </c>
      <c r="AA5843">
        <v>169.79</v>
      </c>
      <c r="AB5843">
        <v>169.79</v>
      </c>
      <c r="AC5843">
        <v>149.4</v>
      </c>
      <c r="AD5843">
        <v>0</v>
      </c>
      <c r="AE5843">
        <v>20.39</v>
      </c>
      <c r="AF5843">
        <v>0</v>
      </c>
      <c r="AG5843">
        <v>0</v>
      </c>
      <c r="AH5843">
        <v>0</v>
      </c>
      <c r="AI5843">
        <v>30.56</v>
      </c>
      <c r="AJ5843">
        <v>169.79</v>
      </c>
      <c r="AK5843">
        <v>0</v>
      </c>
      <c r="AL5843" t="s">
        <v>53</v>
      </c>
      <c r="AM5843" t="s">
        <v>53</v>
      </c>
      <c r="AN5843" t="s">
        <v>53</v>
      </c>
      <c r="AO5843" t="s">
        <v>53</v>
      </c>
      <c r="AP5843" t="s">
        <v>53</v>
      </c>
    </row>
    <row r="5844" spans="2:42" x14ac:dyDescent="0.2">
      <c r="B5844" t="s">
        <v>44</v>
      </c>
      <c r="C5844" t="str">
        <f>HYPERLINK("https://us2.cloudbeds.com/connect/8493803454333002#/reservations/130844728606901?display=2R14Z2WMCM&amp;reservation_id=130844728606901", "2R14Z2WMCM")</f>
        <v>2R14Z2WMCM</v>
      </c>
      <c r="D5844" t="s">
        <v>45</v>
      </c>
      <c r="E5844" t="s">
        <v>190</v>
      </c>
      <c r="F5844" t="s">
        <v>61</v>
      </c>
      <c r="G5844" t="s">
        <v>5966</v>
      </c>
      <c r="H5844" t="s">
        <v>3957</v>
      </c>
      <c r="I5844" t="s">
        <v>3989</v>
      </c>
      <c r="J5844" t="s">
        <v>7803</v>
      </c>
      <c r="K5844" t="s">
        <v>8391</v>
      </c>
      <c r="L5844" t="s">
        <v>53</v>
      </c>
      <c r="P5844" t="s">
        <v>55</v>
      </c>
      <c r="R5844" t="s">
        <v>56</v>
      </c>
      <c r="T5844" t="s">
        <v>10435</v>
      </c>
      <c r="U5844" t="s">
        <v>58</v>
      </c>
      <c r="V5844">
        <v>1</v>
      </c>
      <c r="W5844">
        <v>1</v>
      </c>
      <c r="X5844">
        <v>1</v>
      </c>
      <c r="Y5844">
        <v>0</v>
      </c>
      <c r="Z5844">
        <v>1</v>
      </c>
      <c r="AA5844">
        <v>167.29</v>
      </c>
      <c r="AB5844">
        <v>167.29</v>
      </c>
      <c r="AC5844">
        <v>147.19999999999999</v>
      </c>
      <c r="AD5844">
        <v>0</v>
      </c>
      <c r="AE5844">
        <v>20.09</v>
      </c>
      <c r="AF5844">
        <v>0</v>
      </c>
      <c r="AG5844">
        <v>0</v>
      </c>
      <c r="AH5844">
        <v>0</v>
      </c>
      <c r="AI5844">
        <v>0</v>
      </c>
      <c r="AJ5844">
        <v>167.29</v>
      </c>
      <c r="AK5844">
        <v>0</v>
      </c>
      <c r="AL5844" t="s">
        <v>53</v>
      </c>
      <c r="AM5844" t="s">
        <v>53</v>
      </c>
      <c r="AN5844" t="s">
        <v>10436</v>
      </c>
      <c r="AO5844" t="s">
        <v>53</v>
      </c>
      <c r="AP5844" t="s">
        <v>53</v>
      </c>
    </row>
    <row r="5845" spans="2:42" x14ac:dyDescent="0.2">
      <c r="B5845" t="s">
        <v>44</v>
      </c>
      <c r="C5845" t="str">
        <f>HYPERLINK("https://us2.cloudbeds.com/connect/8493803454333002#/reservations/9080486846465416?display=2R15YGAGAS&amp;reservation_id=9080486846465416", "2R15YGAGAS")</f>
        <v>2R15YGAGAS</v>
      </c>
      <c r="D5845" t="s">
        <v>45</v>
      </c>
      <c r="E5845" t="s">
        <v>128</v>
      </c>
      <c r="F5845" t="s">
        <v>86</v>
      </c>
      <c r="G5845" t="s">
        <v>48</v>
      </c>
      <c r="H5845" t="s">
        <v>49</v>
      </c>
      <c r="I5845" t="s">
        <v>50</v>
      </c>
      <c r="J5845" t="s">
        <v>8391</v>
      </c>
      <c r="K5845" t="s">
        <v>7975</v>
      </c>
      <c r="L5845" t="s">
        <v>53</v>
      </c>
      <c r="N5845" t="s">
        <v>10437</v>
      </c>
      <c r="P5845" t="s">
        <v>55</v>
      </c>
      <c r="R5845" t="s">
        <v>53</v>
      </c>
      <c r="T5845" t="s">
        <v>10438</v>
      </c>
      <c r="U5845" t="s">
        <v>58</v>
      </c>
      <c r="V5845">
        <v>2</v>
      </c>
      <c r="W5845">
        <v>1</v>
      </c>
      <c r="X5845">
        <v>4</v>
      </c>
      <c r="Y5845">
        <v>0</v>
      </c>
      <c r="Z5845">
        <v>4</v>
      </c>
      <c r="AA5845">
        <v>459.14</v>
      </c>
      <c r="AB5845">
        <v>459.14</v>
      </c>
      <c r="AC5845">
        <v>404</v>
      </c>
      <c r="AD5845">
        <v>0</v>
      </c>
      <c r="AE5845">
        <v>55.14</v>
      </c>
      <c r="AF5845">
        <v>0</v>
      </c>
      <c r="AG5845">
        <v>0</v>
      </c>
      <c r="AH5845">
        <v>0</v>
      </c>
      <c r="AI5845">
        <v>82.65</v>
      </c>
      <c r="AJ5845">
        <v>459.14</v>
      </c>
      <c r="AK5845">
        <v>0</v>
      </c>
      <c r="AL5845" t="s">
        <v>53</v>
      </c>
      <c r="AM5845" t="s">
        <v>53</v>
      </c>
      <c r="AN5845" t="s">
        <v>53</v>
      </c>
      <c r="AO5845" t="s">
        <v>53</v>
      </c>
      <c r="AP5845" t="s">
        <v>53</v>
      </c>
    </row>
    <row r="5846" spans="2:42" x14ac:dyDescent="0.2">
      <c r="B5846" t="s">
        <v>44</v>
      </c>
      <c r="C5846" t="str">
        <f>HYPERLINK("https://us2.cloudbeds.com/connect/8493803454333002#/reservations/9080486846467603?display=2R39KSM1YQ&amp;reservation_id=9080486846467603", "2R39KSM1YQ")</f>
        <v>2R39KSM1YQ</v>
      </c>
      <c r="D5846" t="s">
        <v>45</v>
      </c>
      <c r="E5846" t="s">
        <v>179</v>
      </c>
      <c r="F5846" t="s">
        <v>47</v>
      </c>
      <c r="G5846" t="s">
        <v>48</v>
      </c>
      <c r="H5846" t="s">
        <v>49</v>
      </c>
      <c r="I5846" t="s">
        <v>50</v>
      </c>
      <c r="J5846" t="s">
        <v>7803</v>
      </c>
      <c r="K5846" t="s">
        <v>8391</v>
      </c>
      <c r="L5846" t="s">
        <v>53</v>
      </c>
      <c r="N5846" t="s">
        <v>10439</v>
      </c>
      <c r="P5846" t="s">
        <v>55</v>
      </c>
      <c r="R5846" t="s">
        <v>53</v>
      </c>
      <c r="T5846" t="s">
        <v>10440</v>
      </c>
      <c r="U5846" t="s">
        <v>58</v>
      </c>
      <c r="V5846">
        <v>1</v>
      </c>
      <c r="W5846">
        <v>1</v>
      </c>
      <c r="X5846">
        <v>1</v>
      </c>
      <c r="Y5846">
        <v>0</v>
      </c>
      <c r="Z5846">
        <v>1</v>
      </c>
      <c r="AA5846">
        <v>176.95</v>
      </c>
      <c r="AB5846">
        <v>176.95</v>
      </c>
      <c r="AC5846">
        <v>155.69999999999999</v>
      </c>
      <c r="AD5846">
        <v>0</v>
      </c>
      <c r="AE5846">
        <v>21.25</v>
      </c>
      <c r="AF5846">
        <v>0</v>
      </c>
      <c r="AG5846">
        <v>0</v>
      </c>
      <c r="AH5846">
        <v>0</v>
      </c>
      <c r="AI5846">
        <v>31.85</v>
      </c>
      <c r="AJ5846">
        <v>176.95</v>
      </c>
      <c r="AK5846">
        <v>176.95</v>
      </c>
      <c r="AL5846" t="s">
        <v>53</v>
      </c>
      <c r="AM5846" t="s">
        <v>53</v>
      </c>
      <c r="AN5846" t="s">
        <v>53</v>
      </c>
      <c r="AO5846" t="s">
        <v>53</v>
      </c>
      <c r="AP5846" t="s">
        <v>53</v>
      </c>
    </row>
    <row r="5847" spans="2:42" x14ac:dyDescent="0.2">
      <c r="B5847" t="s">
        <v>44</v>
      </c>
      <c r="C5847" t="str">
        <f>HYPERLINK("https://us2.cloudbeds.com/connect/8493803454333002#/reservations/9080486846467626?display=2R3AG8QNQE&amp;reservation_id=9080486846467626", "2R3AG8QNQE")</f>
        <v>2R3AG8QNQE</v>
      </c>
      <c r="D5847" t="s">
        <v>45</v>
      </c>
      <c r="E5847" t="s">
        <v>487</v>
      </c>
      <c r="F5847" t="s">
        <v>61</v>
      </c>
      <c r="G5847" t="s">
        <v>48</v>
      </c>
      <c r="H5847" t="s">
        <v>49</v>
      </c>
      <c r="I5847" t="s">
        <v>62</v>
      </c>
      <c r="J5847" t="s">
        <v>7803</v>
      </c>
      <c r="K5847" t="s">
        <v>8391</v>
      </c>
      <c r="L5847" t="s">
        <v>53</v>
      </c>
      <c r="N5847" t="s">
        <v>10441</v>
      </c>
      <c r="P5847" t="s">
        <v>55</v>
      </c>
      <c r="R5847" t="s">
        <v>56</v>
      </c>
      <c r="T5847" t="s">
        <v>10442</v>
      </c>
      <c r="U5847" t="s">
        <v>55</v>
      </c>
      <c r="V5847">
        <v>1</v>
      </c>
      <c r="W5847">
        <v>1</v>
      </c>
      <c r="X5847">
        <v>1</v>
      </c>
      <c r="Y5847">
        <v>0</v>
      </c>
      <c r="Z5847">
        <v>1</v>
      </c>
      <c r="AA5847">
        <v>184</v>
      </c>
      <c r="AB5847">
        <v>184</v>
      </c>
      <c r="AC5847">
        <v>184</v>
      </c>
      <c r="AD5847">
        <v>0</v>
      </c>
      <c r="AE5847">
        <v>0</v>
      </c>
      <c r="AF5847">
        <v>0</v>
      </c>
      <c r="AG5847">
        <v>0</v>
      </c>
      <c r="AH5847">
        <v>0</v>
      </c>
      <c r="AI5847">
        <v>33.119999999999997</v>
      </c>
      <c r="AJ5847">
        <v>184</v>
      </c>
      <c r="AK5847">
        <v>0</v>
      </c>
      <c r="AL5847" t="s">
        <v>53</v>
      </c>
      <c r="AM5847" t="s">
        <v>53</v>
      </c>
      <c r="AN5847" t="s">
        <v>53</v>
      </c>
      <c r="AO5847" t="s">
        <v>53</v>
      </c>
      <c r="AP5847" t="s">
        <v>53</v>
      </c>
    </row>
    <row r="5848" spans="2:42" x14ac:dyDescent="0.2">
      <c r="B5848" t="s">
        <v>44</v>
      </c>
      <c r="C5848" t="str">
        <f>HYPERLINK("https://us2.cloudbeds.com/connect/8493803454333002#/reservations/9080486846467994?display=2R3S1ZYKFJ&amp;reservation_id=9080486846467994", "2R3S1ZYKFJ")</f>
        <v>2R3S1ZYKFJ</v>
      </c>
      <c r="D5848" t="s">
        <v>45</v>
      </c>
      <c r="E5848" t="s">
        <v>138</v>
      </c>
      <c r="F5848" t="s">
        <v>70</v>
      </c>
      <c r="G5848" t="s">
        <v>48</v>
      </c>
      <c r="H5848" t="s">
        <v>49</v>
      </c>
      <c r="I5848" t="s">
        <v>62</v>
      </c>
      <c r="J5848" t="s">
        <v>6991</v>
      </c>
      <c r="K5848" t="s">
        <v>6828</v>
      </c>
      <c r="L5848" t="s">
        <v>53</v>
      </c>
      <c r="N5848" t="s">
        <v>10443</v>
      </c>
      <c r="P5848" t="s">
        <v>55</v>
      </c>
      <c r="R5848" t="s">
        <v>56</v>
      </c>
      <c r="T5848" t="s">
        <v>10444</v>
      </c>
      <c r="U5848" t="s">
        <v>55</v>
      </c>
      <c r="V5848">
        <v>1</v>
      </c>
      <c r="W5848">
        <v>1</v>
      </c>
      <c r="X5848">
        <v>2</v>
      </c>
      <c r="Y5848">
        <v>0</v>
      </c>
      <c r="Z5848">
        <v>2</v>
      </c>
      <c r="AA5848">
        <v>157.69999999999999</v>
      </c>
      <c r="AB5848">
        <v>157.69999999999999</v>
      </c>
      <c r="AC5848">
        <v>157.69999999999999</v>
      </c>
      <c r="AD5848">
        <v>0</v>
      </c>
      <c r="AE5848">
        <v>0</v>
      </c>
      <c r="AF5848">
        <v>0</v>
      </c>
      <c r="AG5848">
        <v>0</v>
      </c>
      <c r="AH5848">
        <v>0</v>
      </c>
      <c r="AI5848">
        <v>28.39</v>
      </c>
      <c r="AJ5848">
        <v>157.69999999999999</v>
      </c>
      <c r="AK5848">
        <v>0</v>
      </c>
      <c r="AL5848" t="s">
        <v>53</v>
      </c>
      <c r="AM5848" t="s">
        <v>53</v>
      </c>
      <c r="AN5848" t="s">
        <v>53</v>
      </c>
      <c r="AO5848" t="s">
        <v>53</v>
      </c>
      <c r="AP5848" t="s">
        <v>53</v>
      </c>
    </row>
    <row r="5849" spans="2:42" x14ac:dyDescent="0.2">
      <c r="B5849" t="s">
        <v>44</v>
      </c>
      <c r="C5849" t="str">
        <f>HYPERLINK("https://us2.cloudbeds.com/connect/8493803454333002#/reservations/9080486846468327?display=2R49MH3ZPY&amp;reservation_id=9080486846468327", "2R49MH3ZPY")</f>
        <v>2R49MH3ZPY</v>
      </c>
      <c r="D5849" t="s">
        <v>45</v>
      </c>
      <c r="E5849" t="s">
        <v>406</v>
      </c>
      <c r="F5849" t="s">
        <v>61</v>
      </c>
      <c r="G5849" t="s">
        <v>48</v>
      </c>
      <c r="H5849" t="s">
        <v>49</v>
      </c>
      <c r="I5849" t="s">
        <v>50</v>
      </c>
      <c r="J5849" t="s">
        <v>7803</v>
      </c>
      <c r="K5849" t="s">
        <v>8391</v>
      </c>
      <c r="L5849" t="s">
        <v>53</v>
      </c>
      <c r="N5849" t="s">
        <v>10445</v>
      </c>
      <c r="P5849" t="s">
        <v>55</v>
      </c>
      <c r="R5849" t="s">
        <v>53</v>
      </c>
      <c r="T5849" t="s">
        <v>10446</v>
      </c>
      <c r="U5849" t="s">
        <v>58</v>
      </c>
      <c r="V5849">
        <v>1</v>
      </c>
      <c r="W5849">
        <v>1</v>
      </c>
      <c r="X5849">
        <v>2</v>
      </c>
      <c r="Y5849">
        <v>0</v>
      </c>
      <c r="Z5849">
        <v>2</v>
      </c>
      <c r="AA5849">
        <v>167.29</v>
      </c>
      <c r="AB5849">
        <v>167.29</v>
      </c>
      <c r="AC5849">
        <v>147.19999999999999</v>
      </c>
      <c r="AD5849">
        <v>0</v>
      </c>
      <c r="AE5849">
        <v>20.09</v>
      </c>
      <c r="AF5849">
        <v>0</v>
      </c>
      <c r="AG5849">
        <v>0</v>
      </c>
      <c r="AH5849">
        <v>0</v>
      </c>
      <c r="AI5849">
        <v>30.11</v>
      </c>
      <c r="AJ5849">
        <v>167.29</v>
      </c>
      <c r="AK5849">
        <v>0</v>
      </c>
      <c r="AL5849" t="s">
        <v>53</v>
      </c>
      <c r="AM5849" t="s">
        <v>53</v>
      </c>
      <c r="AN5849" t="s">
        <v>10447</v>
      </c>
      <c r="AO5849" t="s">
        <v>53</v>
      </c>
      <c r="AP5849" t="s">
        <v>53</v>
      </c>
    </row>
    <row r="5850" spans="2:42" x14ac:dyDescent="0.2">
      <c r="B5850" t="s">
        <v>44</v>
      </c>
      <c r="C5850" t="str">
        <f>HYPERLINK("https://us2.cloudbeds.com/connect/8493803454333002#/reservations/9080486846468450?display=2R4FG2C080&amp;reservation_id=9080486846468450", "2R4FG2C080")</f>
        <v>2R4FG2C080</v>
      </c>
      <c r="D5850" t="s">
        <v>45</v>
      </c>
      <c r="E5850" t="s">
        <v>179</v>
      </c>
      <c r="F5850" t="s">
        <v>47</v>
      </c>
      <c r="G5850" t="s">
        <v>48</v>
      </c>
      <c r="H5850" t="s">
        <v>49</v>
      </c>
      <c r="I5850" t="s">
        <v>50</v>
      </c>
      <c r="J5850" t="s">
        <v>8394</v>
      </c>
      <c r="K5850" t="s">
        <v>7624</v>
      </c>
      <c r="L5850" t="s">
        <v>53</v>
      </c>
      <c r="N5850" t="s">
        <v>10448</v>
      </c>
      <c r="P5850" t="s">
        <v>55</v>
      </c>
      <c r="R5850" t="s">
        <v>53</v>
      </c>
      <c r="T5850" t="s">
        <v>10449</v>
      </c>
      <c r="U5850" t="s">
        <v>58</v>
      </c>
      <c r="V5850">
        <v>2</v>
      </c>
      <c r="W5850">
        <v>1</v>
      </c>
      <c r="X5850">
        <v>2</v>
      </c>
      <c r="Y5850">
        <v>0</v>
      </c>
      <c r="Z5850">
        <v>2</v>
      </c>
      <c r="AA5850">
        <v>354.66</v>
      </c>
      <c r="AB5850">
        <v>354.66</v>
      </c>
      <c r="AC5850">
        <v>312.07</v>
      </c>
      <c r="AD5850">
        <v>0</v>
      </c>
      <c r="AE5850">
        <v>42.59</v>
      </c>
      <c r="AF5850">
        <v>0</v>
      </c>
      <c r="AG5850">
        <v>0</v>
      </c>
      <c r="AH5850">
        <v>0</v>
      </c>
      <c r="AI5850">
        <v>63.84</v>
      </c>
      <c r="AJ5850">
        <v>354.66</v>
      </c>
      <c r="AK5850">
        <v>0</v>
      </c>
      <c r="AL5850" t="s">
        <v>53</v>
      </c>
      <c r="AM5850" t="s">
        <v>53</v>
      </c>
      <c r="AN5850" t="s">
        <v>53</v>
      </c>
      <c r="AO5850" t="s">
        <v>53</v>
      </c>
      <c r="AP5850" t="s">
        <v>53</v>
      </c>
    </row>
    <row r="5851" spans="2:42" x14ac:dyDescent="0.2">
      <c r="B5851" t="s">
        <v>44</v>
      </c>
      <c r="C5851" t="str">
        <f>HYPERLINK("https://us2.cloudbeds.com/connect/8493803454333002#/reservations/9080486846468765?display=2R4SCAUP24&amp;reservation_id=9080486846468765", "2R4SCAUP24")</f>
        <v>2R4SCAUP24</v>
      </c>
      <c r="D5851" t="s">
        <v>45</v>
      </c>
      <c r="E5851" t="s">
        <v>138</v>
      </c>
      <c r="F5851" t="s">
        <v>70</v>
      </c>
      <c r="G5851" t="s">
        <v>48</v>
      </c>
      <c r="H5851" t="s">
        <v>49</v>
      </c>
      <c r="I5851" t="s">
        <v>50</v>
      </c>
      <c r="J5851" t="s">
        <v>9318</v>
      </c>
      <c r="K5851" t="s">
        <v>8394</v>
      </c>
      <c r="L5851" t="s">
        <v>53</v>
      </c>
      <c r="N5851" t="s">
        <v>10450</v>
      </c>
      <c r="P5851" t="s">
        <v>55</v>
      </c>
      <c r="R5851" t="s">
        <v>53</v>
      </c>
      <c r="T5851" t="s">
        <v>10451</v>
      </c>
      <c r="U5851" t="s">
        <v>58</v>
      </c>
      <c r="V5851">
        <v>1</v>
      </c>
      <c r="W5851">
        <v>1</v>
      </c>
      <c r="X5851">
        <v>2</v>
      </c>
      <c r="Y5851">
        <v>0</v>
      </c>
      <c r="Z5851">
        <v>2</v>
      </c>
      <c r="AA5851">
        <v>179.76</v>
      </c>
      <c r="AB5851">
        <v>179.76</v>
      </c>
      <c r="AC5851">
        <v>158.16999999999999</v>
      </c>
      <c r="AD5851">
        <v>0</v>
      </c>
      <c r="AE5851">
        <v>21.59</v>
      </c>
      <c r="AF5851">
        <v>0</v>
      </c>
      <c r="AG5851">
        <v>0</v>
      </c>
      <c r="AH5851">
        <v>0</v>
      </c>
      <c r="AI5851">
        <v>32.36</v>
      </c>
      <c r="AJ5851">
        <v>179.76</v>
      </c>
      <c r="AK5851">
        <v>0</v>
      </c>
      <c r="AL5851" t="s">
        <v>53</v>
      </c>
      <c r="AM5851" t="s">
        <v>53</v>
      </c>
      <c r="AN5851" t="s">
        <v>53</v>
      </c>
      <c r="AO5851" t="s">
        <v>53</v>
      </c>
      <c r="AP5851" t="s">
        <v>53</v>
      </c>
    </row>
    <row r="5852" spans="2:42" x14ac:dyDescent="0.2">
      <c r="B5852" t="s">
        <v>44</v>
      </c>
      <c r="C5852" t="str">
        <f>HYPERLINK("https://us2.cloudbeds.com/connect/8493803454333002#/reservations/9080486846468778?display=2R4ST27SF7&amp;reservation_id=9080486846468778", "2R4ST27SF7")</f>
        <v>2R4ST27SF7</v>
      </c>
      <c r="D5852" t="s">
        <v>45</v>
      </c>
      <c r="E5852" t="s">
        <v>105</v>
      </c>
      <c r="F5852" t="s">
        <v>47</v>
      </c>
      <c r="G5852" t="s">
        <v>48</v>
      </c>
      <c r="H5852" t="s">
        <v>49</v>
      </c>
      <c r="I5852" t="s">
        <v>50</v>
      </c>
      <c r="J5852" t="s">
        <v>7623</v>
      </c>
      <c r="K5852" t="s">
        <v>7624</v>
      </c>
      <c r="L5852" t="s">
        <v>53</v>
      </c>
      <c r="N5852" t="s">
        <v>10452</v>
      </c>
      <c r="P5852" t="s">
        <v>55</v>
      </c>
      <c r="R5852" t="s">
        <v>53</v>
      </c>
      <c r="T5852" t="s">
        <v>10453</v>
      </c>
      <c r="U5852" t="s">
        <v>58</v>
      </c>
      <c r="V5852">
        <v>1</v>
      </c>
      <c r="W5852">
        <v>1</v>
      </c>
      <c r="X5852">
        <v>2</v>
      </c>
      <c r="Y5852">
        <v>0</v>
      </c>
      <c r="Z5852">
        <v>2</v>
      </c>
      <c r="AA5852">
        <v>165.7</v>
      </c>
      <c r="AB5852">
        <v>165.7</v>
      </c>
      <c r="AC5852">
        <v>145.80000000000001</v>
      </c>
      <c r="AD5852">
        <v>0</v>
      </c>
      <c r="AE5852">
        <v>19.899999999999999</v>
      </c>
      <c r="AF5852">
        <v>0</v>
      </c>
      <c r="AG5852">
        <v>0</v>
      </c>
      <c r="AH5852">
        <v>0</v>
      </c>
      <c r="AI5852">
        <v>29.83</v>
      </c>
      <c r="AJ5852">
        <v>165.7</v>
      </c>
      <c r="AK5852">
        <v>0</v>
      </c>
      <c r="AL5852" t="s">
        <v>53</v>
      </c>
      <c r="AM5852" t="s">
        <v>53</v>
      </c>
      <c r="AN5852" t="s">
        <v>53</v>
      </c>
      <c r="AO5852" t="s">
        <v>53</v>
      </c>
      <c r="AP5852" t="s">
        <v>53</v>
      </c>
    </row>
    <row r="5853" spans="2:42" x14ac:dyDescent="0.2">
      <c r="B5853" t="s">
        <v>44</v>
      </c>
      <c r="C5853" t="str">
        <f>HYPERLINK("https://us2.cloudbeds.com/connect/8493803454333002#/reservations/9080486846469497?display=2R6415YE28&amp;reservation_id=9080486846469497", "2R6415YE28")</f>
        <v>2R6415YE28</v>
      </c>
      <c r="D5853" t="s">
        <v>45</v>
      </c>
      <c r="E5853" t="s">
        <v>110</v>
      </c>
      <c r="F5853" t="s">
        <v>47</v>
      </c>
      <c r="G5853" t="s">
        <v>48</v>
      </c>
      <c r="H5853" t="s">
        <v>49</v>
      </c>
      <c r="I5853" t="s">
        <v>50</v>
      </c>
      <c r="J5853" t="s">
        <v>8367</v>
      </c>
      <c r="K5853" t="s">
        <v>7751</v>
      </c>
      <c r="L5853" t="s">
        <v>53</v>
      </c>
      <c r="N5853" t="s">
        <v>10454</v>
      </c>
      <c r="P5853" t="s">
        <v>55</v>
      </c>
      <c r="R5853" t="s">
        <v>53</v>
      </c>
      <c r="T5853" t="s">
        <v>10455</v>
      </c>
      <c r="U5853" t="s">
        <v>58</v>
      </c>
      <c r="V5853">
        <v>1</v>
      </c>
      <c r="W5853">
        <v>1</v>
      </c>
      <c r="X5853">
        <v>2</v>
      </c>
      <c r="Y5853">
        <v>0</v>
      </c>
      <c r="Z5853">
        <v>2</v>
      </c>
      <c r="AA5853">
        <v>207.7</v>
      </c>
      <c r="AB5853">
        <v>207.7</v>
      </c>
      <c r="AC5853">
        <v>182.75</v>
      </c>
      <c r="AD5853">
        <v>0</v>
      </c>
      <c r="AE5853">
        <v>24.95</v>
      </c>
      <c r="AF5853">
        <v>0</v>
      </c>
      <c r="AG5853">
        <v>0</v>
      </c>
      <c r="AH5853">
        <v>0</v>
      </c>
      <c r="AI5853">
        <v>37.39</v>
      </c>
      <c r="AJ5853">
        <v>207.7</v>
      </c>
      <c r="AK5853">
        <v>0</v>
      </c>
      <c r="AL5853" t="s">
        <v>53</v>
      </c>
      <c r="AM5853" t="s">
        <v>53</v>
      </c>
      <c r="AN5853" t="s">
        <v>53</v>
      </c>
      <c r="AO5853" t="s">
        <v>53</v>
      </c>
      <c r="AP5853" t="s">
        <v>53</v>
      </c>
    </row>
    <row r="5854" spans="2:42" x14ac:dyDescent="0.2">
      <c r="B5854" t="s">
        <v>44</v>
      </c>
      <c r="C5854" t="str">
        <f>HYPERLINK("https://us2.cloudbeds.com/connect/8493803454333002#/reservations/9080486846471384?display=2R8NJSS651&amp;reservation_id=9080486846471384", "2R8NJSS651")</f>
        <v>2R8NJSS651</v>
      </c>
      <c r="D5854" t="s">
        <v>45</v>
      </c>
      <c r="E5854" t="s">
        <v>487</v>
      </c>
      <c r="F5854" t="s">
        <v>61</v>
      </c>
      <c r="G5854" t="s">
        <v>48</v>
      </c>
      <c r="H5854" t="s">
        <v>49</v>
      </c>
      <c r="I5854" t="s">
        <v>50</v>
      </c>
      <c r="J5854" t="s">
        <v>7750</v>
      </c>
      <c r="K5854" t="s">
        <v>8367</v>
      </c>
      <c r="L5854" t="s">
        <v>53</v>
      </c>
      <c r="N5854" t="s">
        <v>10456</v>
      </c>
      <c r="P5854" t="s">
        <v>55</v>
      </c>
      <c r="R5854" t="s">
        <v>53</v>
      </c>
      <c r="T5854" t="s">
        <v>10457</v>
      </c>
      <c r="U5854" t="s">
        <v>58</v>
      </c>
      <c r="V5854">
        <v>1</v>
      </c>
      <c r="W5854">
        <v>1</v>
      </c>
      <c r="X5854">
        <v>2</v>
      </c>
      <c r="Y5854">
        <v>0</v>
      </c>
      <c r="Z5854">
        <v>2</v>
      </c>
      <c r="AA5854">
        <v>202.75</v>
      </c>
      <c r="AB5854">
        <v>202.75</v>
      </c>
      <c r="AC5854">
        <v>178.4</v>
      </c>
      <c r="AD5854">
        <v>0</v>
      </c>
      <c r="AE5854">
        <v>24.35</v>
      </c>
      <c r="AF5854">
        <v>0</v>
      </c>
      <c r="AG5854">
        <v>0</v>
      </c>
      <c r="AH5854">
        <v>0</v>
      </c>
      <c r="AI5854">
        <v>36.5</v>
      </c>
      <c r="AJ5854">
        <v>202.75</v>
      </c>
      <c r="AK5854">
        <v>0</v>
      </c>
      <c r="AL5854" t="s">
        <v>53</v>
      </c>
      <c r="AM5854" t="s">
        <v>53</v>
      </c>
      <c r="AN5854" t="s">
        <v>53</v>
      </c>
      <c r="AO5854" t="s">
        <v>53</v>
      </c>
      <c r="AP5854" t="s">
        <v>53</v>
      </c>
    </row>
    <row r="5855" spans="2:42" x14ac:dyDescent="0.2">
      <c r="B5855" t="s">
        <v>44</v>
      </c>
      <c r="C5855" t="str">
        <f>HYPERLINK("https://us2.cloudbeds.com/connect/8493803454333002#/reservations/9080486846472892?display=2RA7S5QA7X&amp;reservation_id=9080486846472892", "2RA7S5QA7X")</f>
        <v>2RA7S5QA7X</v>
      </c>
      <c r="D5855" t="s">
        <v>45</v>
      </c>
      <c r="E5855" t="s">
        <v>78</v>
      </c>
      <c r="F5855" t="s">
        <v>61</v>
      </c>
      <c r="G5855" t="s">
        <v>48</v>
      </c>
      <c r="H5855" t="s">
        <v>49</v>
      </c>
      <c r="I5855" t="s">
        <v>50</v>
      </c>
      <c r="J5855" t="s">
        <v>9692</v>
      </c>
      <c r="K5855" t="s">
        <v>9829</v>
      </c>
      <c r="L5855" t="s">
        <v>53</v>
      </c>
      <c r="N5855" t="s">
        <v>10458</v>
      </c>
      <c r="P5855" t="s">
        <v>55</v>
      </c>
      <c r="R5855" t="s">
        <v>53</v>
      </c>
      <c r="T5855" t="s">
        <v>10459</v>
      </c>
      <c r="U5855" t="s">
        <v>58</v>
      </c>
      <c r="V5855">
        <v>2</v>
      </c>
      <c r="W5855">
        <v>1</v>
      </c>
      <c r="X5855">
        <v>2</v>
      </c>
      <c r="Y5855">
        <v>0</v>
      </c>
      <c r="Z5855">
        <v>2</v>
      </c>
      <c r="AA5855">
        <v>308.02999999999997</v>
      </c>
      <c r="AB5855">
        <v>308.02999999999997</v>
      </c>
      <c r="AC5855">
        <v>271.02999999999997</v>
      </c>
      <c r="AD5855">
        <v>0</v>
      </c>
      <c r="AE5855">
        <v>37</v>
      </c>
      <c r="AF5855">
        <v>0</v>
      </c>
      <c r="AG5855">
        <v>0</v>
      </c>
      <c r="AH5855">
        <v>0</v>
      </c>
      <c r="AI5855">
        <v>55.45</v>
      </c>
      <c r="AJ5855">
        <v>308.02999999999997</v>
      </c>
      <c r="AK5855">
        <v>0</v>
      </c>
      <c r="AL5855" t="s">
        <v>53</v>
      </c>
      <c r="AM5855" t="s">
        <v>53</v>
      </c>
      <c r="AN5855" t="s">
        <v>53</v>
      </c>
      <c r="AO5855" t="s">
        <v>53</v>
      </c>
      <c r="AP5855" t="s">
        <v>53</v>
      </c>
    </row>
    <row r="5856" spans="2:42" x14ac:dyDescent="0.2">
      <c r="B5856" t="s">
        <v>44</v>
      </c>
      <c r="C5856" t="str">
        <f>HYPERLINK("https://us2.cloudbeds.com/connect/8493803454333002#/reservations/9080486846473331?display=2RAYKUX6MB&amp;reservation_id=9080486846473331", "2RAYKUX6MB")</f>
        <v>2RAYKUX6MB</v>
      </c>
      <c r="D5856" t="s">
        <v>45</v>
      </c>
      <c r="E5856" t="s">
        <v>190</v>
      </c>
      <c r="F5856" t="s">
        <v>61</v>
      </c>
      <c r="G5856" t="s">
        <v>48</v>
      </c>
      <c r="H5856" t="s">
        <v>49</v>
      </c>
      <c r="I5856" t="s">
        <v>50</v>
      </c>
      <c r="J5856" t="s">
        <v>5508</v>
      </c>
      <c r="K5856" t="s">
        <v>6991</v>
      </c>
      <c r="L5856" t="s">
        <v>53</v>
      </c>
      <c r="N5856" t="s">
        <v>10460</v>
      </c>
      <c r="P5856" t="s">
        <v>55</v>
      </c>
      <c r="R5856" t="s">
        <v>53</v>
      </c>
      <c r="T5856" t="s">
        <v>10461</v>
      </c>
      <c r="U5856" t="s">
        <v>58</v>
      </c>
      <c r="V5856">
        <v>4</v>
      </c>
      <c r="W5856">
        <v>1</v>
      </c>
      <c r="X5856">
        <v>2</v>
      </c>
      <c r="Y5856">
        <v>0</v>
      </c>
      <c r="Z5856">
        <v>2</v>
      </c>
      <c r="AA5856">
        <v>622.20000000000005</v>
      </c>
      <c r="AB5856">
        <v>622.20000000000005</v>
      </c>
      <c r="AC5856">
        <v>547.47</v>
      </c>
      <c r="AD5856">
        <v>0</v>
      </c>
      <c r="AE5856">
        <v>74.73</v>
      </c>
      <c r="AF5856">
        <v>0</v>
      </c>
      <c r="AG5856">
        <v>0</v>
      </c>
      <c r="AH5856">
        <v>0</v>
      </c>
      <c r="AI5856">
        <v>112</v>
      </c>
      <c r="AJ5856">
        <v>622.20000000000005</v>
      </c>
      <c r="AK5856">
        <v>0</v>
      </c>
      <c r="AL5856" t="s">
        <v>53</v>
      </c>
      <c r="AM5856" t="s">
        <v>53</v>
      </c>
      <c r="AN5856" t="s">
        <v>53</v>
      </c>
      <c r="AO5856" t="s">
        <v>53</v>
      </c>
      <c r="AP5856" t="s">
        <v>53</v>
      </c>
    </row>
    <row r="5857" spans="2:42" x14ac:dyDescent="0.2">
      <c r="B5857" t="s">
        <v>44</v>
      </c>
      <c r="C5857" t="str">
        <f>HYPERLINK("https://us2.cloudbeds.com/connect/8493803454333002#/reservations/9080486846474558?display=2RBTVU873V&amp;reservation_id=9080486846474558", "2RBTVU873V")</f>
        <v>2RBTVU873V</v>
      </c>
      <c r="D5857" t="s">
        <v>45</v>
      </c>
      <c r="E5857" t="s">
        <v>185</v>
      </c>
      <c r="F5857" t="s">
        <v>47</v>
      </c>
      <c r="G5857" t="s">
        <v>48</v>
      </c>
      <c r="H5857" t="s">
        <v>49</v>
      </c>
      <c r="I5857" t="s">
        <v>50</v>
      </c>
      <c r="J5857" t="s">
        <v>8391</v>
      </c>
      <c r="K5857" t="s">
        <v>7974</v>
      </c>
      <c r="L5857" t="s">
        <v>53</v>
      </c>
      <c r="N5857" t="s">
        <v>10462</v>
      </c>
      <c r="P5857" t="s">
        <v>55</v>
      </c>
      <c r="R5857" t="s">
        <v>53</v>
      </c>
      <c r="T5857" t="s">
        <v>10463</v>
      </c>
      <c r="U5857" t="s">
        <v>58</v>
      </c>
      <c r="V5857">
        <v>1</v>
      </c>
      <c r="W5857">
        <v>1</v>
      </c>
      <c r="X5857">
        <v>2</v>
      </c>
      <c r="Y5857">
        <v>0</v>
      </c>
      <c r="Z5857">
        <v>2</v>
      </c>
      <c r="AA5857">
        <v>160.6</v>
      </c>
      <c r="AB5857">
        <v>160.6</v>
      </c>
      <c r="AC5857">
        <v>141.30000000000001</v>
      </c>
      <c r="AD5857">
        <v>0</v>
      </c>
      <c r="AE5857">
        <v>19.3</v>
      </c>
      <c r="AF5857">
        <v>0</v>
      </c>
      <c r="AG5857">
        <v>0</v>
      </c>
      <c r="AH5857">
        <v>0</v>
      </c>
      <c r="AI5857">
        <v>28.91</v>
      </c>
      <c r="AJ5857">
        <v>160.6</v>
      </c>
      <c r="AK5857">
        <v>0</v>
      </c>
      <c r="AL5857" t="s">
        <v>53</v>
      </c>
      <c r="AM5857" t="s">
        <v>53</v>
      </c>
      <c r="AN5857" t="s">
        <v>53</v>
      </c>
      <c r="AO5857" t="s">
        <v>53</v>
      </c>
      <c r="AP5857" t="s">
        <v>53</v>
      </c>
    </row>
    <row r="5858" spans="2:42" x14ac:dyDescent="0.2">
      <c r="B5858" t="s">
        <v>44</v>
      </c>
      <c r="C5858" t="str">
        <f>HYPERLINK("https://us2.cloudbeds.com/connect/8493803454333002#/reservations/9080486846474650?display=2RC1E8RMR3&amp;reservation_id=9080486846474650", "2RC1E8RMR3")</f>
        <v>2RC1E8RMR3</v>
      </c>
      <c r="D5858" t="s">
        <v>45</v>
      </c>
      <c r="E5858" t="s">
        <v>155</v>
      </c>
      <c r="F5858" t="s">
        <v>86</v>
      </c>
      <c r="G5858" t="s">
        <v>48</v>
      </c>
      <c r="H5858" t="s">
        <v>49</v>
      </c>
      <c r="I5858" t="s">
        <v>8964</v>
      </c>
      <c r="J5858" t="s">
        <v>8391</v>
      </c>
      <c r="K5858" t="s">
        <v>7974</v>
      </c>
      <c r="L5858" t="s">
        <v>53</v>
      </c>
      <c r="N5858" t="s">
        <v>10464</v>
      </c>
      <c r="P5858" t="s">
        <v>55</v>
      </c>
      <c r="R5858" t="s">
        <v>53</v>
      </c>
      <c r="T5858" t="s">
        <v>10465</v>
      </c>
      <c r="U5858" t="s">
        <v>58</v>
      </c>
      <c r="V5858">
        <v>1</v>
      </c>
      <c r="W5858">
        <v>1</v>
      </c>
      <c r="X5858">
        <v>4</v>
      </c>
      <c r="Y5858">
        <v>0</v>
      </c>
      <c r="Z5858">
        <v>4</v>
      </c>
      <c r="AA5858">
        <v>0</v>
      </c>
      <c r="AB5858">
        <v>0</v>
      </c>
      <c r="AC5858">
        <v>181</v>
      </c>
      <c r="AD5858">
        <v>0</v>
      </c>
      <c r="AE5858">
        <v>0</v>
      </c>
      <c r="AF5858">
        <v>0</v>
      </c>
      <c r="AG5858">
        <v>0</v>
      </c>
      <c r="AH5858">
        <v>0</v>
      </c>
      <c r="AI5858">
        <v>27.15</v>
      </c>
      <c r="AJ5858">
        <v>181</v>
      </c>
      <c r="AK5858">
        <v>181</v>
      </c>
      <c r="AL5858" t="s">
        <v>53</v>
      </c>
      <c r="AM5858" t="s">
        <v>53</v>
      </c>
      <c r="AN5858" t="s">
        <v>53</v>
      </c>
      <c r="AO5858" t="s">
        <v>53</v>
      </c>
      <c r="AP5858" t="s">
        <v>53</v>
      </c>
    </row>
    <row r="5859" spans="2:42" x14ac:dyDescent="0.2">
      <c r="B5859" t="s">
        <v>44</v>
      </c>
      <c r="C5859" t="str">
        <f>HYPERLINK("https://us2.cloudbeds.com/connect/8493803454333002#/reservations/9080486846474698?display=2RC3EQ7GFZ&amp;reservation_id=9080486846474698", "2RC3EQ7GFZ")</f>
        <v>2RC3EQ7GFZ</v>
      </c>
      <c r="D5859" t="s">
        <v>45</v>
      </c>
      <c r="E5859" t="s">
        <v>487</v>
      </c>
      <c r="F5859" t="s">
        <v>61</v>
      </c>
      <c r="G5859" t="s">
        <v>48</v>
      </c>
      <c r="H5859" t="s">
        <v>49</v>
      </c>
      <c r="I5859" t="s">
        <v>8964</v>
      </c>
      <c r="J5859" t="s">
        <v>7975</v>
      </c>
      <c r="K5859" t="s">
        <v>7750</v>
      </c>
      <c r="L5859" t="s">
        <v>53</v>
      </c>
      <c r="N5859" t="s">
        <v>10466</v>
      </c>
      <c r="P5859" t="s">
        <v>58</v>
      </c>
      <c r="R5859" t="s">
        <v>53</v>
      </c>
      <c r="T5859" t="s">
        <v>10467</v>
      </c>
      <c r="U5859" t="s">
        <v>58</v>
      </c>
      <c r="V5859">
        <v>1</v>
      </c>
      <c r="W5859">
        <v>1</v>
      </c>
      <c r="X5859">
        <v>2</v>
      </c>
      <c r="Y5859">
        <v>0</v>
      </c>
      <c r="Z5859">
        <v>2</v>
      </c>
      <c r="AA5859">
        <v>0</v>
      </c>
      <c r="AB5859">
        <v>0</v>
      </c>
      <c r="AC5859">
        <v>216</v>
      </c>
      <c r="AD5859">
        <v>0</v>
      </c>
      <c r="AE5859">
        <v>0</v>
      </c>
      <c r="AF5859">
        <v>0</v>
      </c>
      <c r="AG5859">
        <v>0</v>
      </c>
      <c r="AH5859">
        <v>0</v>
      </c>
      <c r="AI5859">
        <v>32.4</v>
      </c>
      <c r="AJ5859">
        <v>216</v>
      </c>
      <c r="AK5859">
        <v>216</v>
      </c>
      <c r="AL5859" t="s">
        <v>53</v>
      </c>
      <c r="AM5859" t="s">
        <v>53</v>
      </c>
      <c r="AN5859" t="s">
        <v>53</v>
      </c>
      <c r="AO5859" t="s">
        <v>53</v>
      </c>
      <c r="AP5859" t="s">
        <v>53</v>
      </c>
    </row>
    <row r="5860" spans="2:42" x14ac:dyDescent="0.2">
      <c r="B5860" t="s">
        <v>44</v>
      </c>
      <c r="C5860" t="str">
        <f>HYPERLINK("https://us2.cloudbeds.com/connect/8493803454333002#/reservations/9080486846474718?display=2RC4HT0HUT&amp;reservation_id=9080486846474718", "2RC4HT0HUT")</f>
        <v>2RC4HT0HUT</v>
      </c>
      <c r="D5860" t="s">
        <v>45</v>
      </c>
      <c r="E5860" t="s">
        <v>121</v>
      </c>
      <c r="F5860" t="s">
        <v>86</v>
      </c>
      <c r="G5860" t="s">
        <v>48</v>
      </c>
      <c r="H5860" t="s">
        <v>49</v>
      </c>
      <c r="I5860" t="s">
        <v>8964</v>
      </c>
      <c r="J5860" t="s">
        <v>8391</v>
      </c>
      <c r="K5860" t="s">
        <v>7974</v>
      </c>
      <c r="L5860" t="s">
        <v>53</v>
      </c>
      <c r="N5860" t="s">
        <v>10468</v>
      </c>
      <c r="P5860" t="s">
        <v>55</v>
      </c>
      <c r="R5860" t="s">
        <v>53</v>
      </c>
      <c r="T5860" t="s">
        <v>10469</v>
      </c>
      <c r="U5860" t="s">
        <v>58</v>
      </c>
      <c r="V5860">
        <v>1</v>
      </c>
      <c r="W5860">
        <v>1</v>
      </c>
      <c r="X5860">
        <v>2</v>
      </c>
      <c r="Y5860">
        <v>0</v>
      </c>
      <c r="Z5860">
        <v>2</v>
      </c>
      <c r="AA5860">
        <v>0</v>
      </c>
      <c r="AB5860">
        <v>0</v>
      </c>
      <c r="AC5860">
        <v>181</v>
      </c>
      <c r="AD5860">
        <v>0</v>
      </c>
      <c r="AE5860">
        <v>0</v>
      </c>
      <c r="AF5860">
        <v>0</v>
      </c>
      <c r="AG5860">
        <v>0</v>
      </c>
      <c r="AH5860">
        <v>0</v>
      </c>
      <c r="AI5860">
        <v>27.15</v>
      </c>
      <c r="AJ5860">
        <v>181</v>
      </c>
      <c r="AK5860">
        <v>181</v>
      </c>
      <c r="AL5860" t="s">
        <v>53</v>
      </c>
      <c r="AM5860" t="s">
        <v>53</v>
      </c>
      <c r="AN5860" t="s">
        <v>53</v>
      </c>
      <c r="AO5860" t="s">
        <v>53</v>
      </c>
      <c r="AP5860" t="s">
        <v>53</v>
      </c>
    </row>
    <row r="5861" spans="2:42" x14ac:dyDescent="0.2">
      <c r="B5861" t="s">
        <v>44</v>
      </c>
      <c r="C5861" t="str">
        <f>HYPERLINK("https://us2.cloudbeds.com/connect/8493803454333002#/reservations/131319905128671?display=2RC9YVDSA5&amp;reservation_id=131319905128671", "2RC9YVDSA5")</f>
        <v>2RC9YVDSA5</v>
      </c>
      <c r="D5861" t="s">
        <v>45</v>
      </c>
      <c r="E5861" t="s">
        <v>46</v>
      </c>
      <c r="F5861" t="s">
        <v>47</v>
      </c>
      <c r="G5861" t="s">
        <v>4520</v>
      </c>
      <c r="H5861" t="s">
        <v>3957</v>
      </c>
      <c r="I5861" t="s">
        <v>3958</v>
      </c>
      <c r="J5861" t="s">
        <v>8391</v>
      </c>
      <c r="K5861" t="s">
        <v>7974</v>
      </c>
      <c r="L5861" t="s">
        <v>53</v>
      </c>
      <c r="P5861" t="s">
        <v>55</v>
      </c>
      <c r="R5861" t="s">
        <v>56</v>
      </c>
      <c r="T5861" t="s">
        <v>10470</v>
      </c>
      <c r="U5861" t="s">
        <v>58</v>
      </c>
      <c r="V5861">
        <v>1</v>
      </c>
      <c r="W5861">
        <v>1</v>
      </c>
      <c r="X5861">
        <v>1</v>
      </c>
      <c r="Y5861">
        <v>0</v>
      </c>
      <c r="Z5861">
        <v>1</v>
      </c>
      <c r="AA5861">
        <v>160.6</v>
      </c>
      <c r="AB5861">
        <v>160.6</v>
      </c>
      <c r="AC5861">
        <v>141.30000000000001</v>
      </c>
      <c r="AD5861">
        <v>0</v>
      </c>
      <c r="AE5861">
        <v>19.3</v>
      </c>
      <c r="AF5861">
        <v>0</v>
      </c>
      <c r="AG5861">
        <v>0</v>
      </c>
      <c r="AH5861">
        <v>0</v>
      </c>
      <c r="AI5861">
        <v>0</v>
      </c>
      <c r="AJ5861">
        <v>160.6</v>
      </c>
      <c r="AK5861">
        <v>0</v>
      </c>
      <c r="AL5861" t="s">
        <v>53</v>
      </c>
      <c r="AM5861" t="s">
        <v>53</v>
      </c>
      <c r="AN5861" t="s">
        <v>53</v>
      </c>
      <c r="AO5861" t="s">
        <v>53</v>
      </c>
      <c r="AP5861" t="s">
        <v>53</v>
      </c>
    </row>
    <row r="5862" spans="2:42" x14ac:dyDescent="0.2">
      <c r="B5862" t="s">
        <v>44</v>
      </c>
      <c r="C5862" t="str">
        <f>HYPERLINK("https://us2.cloudbeds.com/connect/8493803454333002#/reservations/9080486846474952?display=2RCEHA8T2R&amp;reservation_id=9080486846474952", "2RCEHA8T2R")</f>
        <v>2RCEHA8T2R</v>
      </c>
      <c r="D5862" t="s">
        <v>45</v>
      </c>
      <c r="E5862" t="s">
        <v>373</v>
      </c>
      <c r="F5862" t="s">
        <v>47</v>
      </c>
      <c r="G5862" t="s">
        <v>48</v>
      </c>
      <c r="H5862" t="s">
        <v>49</v>
      </c>
      <c r="I5862" t="s">
        <v>62</v>
      </c>
      <c r="J5862" t="s">
        <v>7975</v>
      </c>
      <c r="K5862" t="s">
        <v>7751</v>
      </c>
      <c r="L5862" t="s">
        <v>53</v>
      </c>
      <c r="N5862" t="s">
        <v>10471</v>
      </c>
      <c r="P5862" t="s">
        <v>55</v>
      </c>
      <c r="R5862" t="s">
        <v>56</v>
      </c>
      <c r="T5862" t="s">
        <v>10472</v>
      </c>
      <c r="U5862" t="s">
        <v>55</v>
      </c>
      <c r="V5862">
        <v>3</v>
      </c>
      <c r="W5862">
        <v>1</v>
      </c>
      <c r="X5862">
        <v>2</v>
      </c>
      <c r="Y5862">
        <v>0</v>
      </c>
      <c r="Z5862">
        <v>2</v>
      </c>
      <c r="AA5862">
        <v>624</v>
      </c>
      <c r="AB5862">
        <v>624</v>
      </c>
      <c r="AC5862">
        <v>624</v>
      </c>
      <c r="AD5862">
        <v>0</v>
      </c>
      <c r="AE5862">
        <v>0</v>
      </c>
      <c r="AF5862">
        <v>0</v>
      </c>
      <c r="AG5862">
        <v>0</v>
      </c>
      <c r="AH5862">
        <v>0</v>
      </c>
      <c r="AI5862">
        <v>112.32</v>
      </c>
      <c r="AJ5862">
        <v>624</v>
      </c>
      <c r="AK5862">
        <v>0</v>
      </c>
      <c r="AL5862" t="s">
        <v>53</v>
      </c>
      <c r="AM5862" t="s">
        <v>53</v>
      </c>
      <c r="AN5862" t="s">
        <v>53</v>
      </c>
      <c r="AO5862" t="s">
        <v>53</v>
      </c>
      <c r="AP5862" t="s">
        <v>53</v>
      </c>
    </row>
    <row r="5863" spans="2:42" x14ac:dyDescent="0.2">
      <c r="B5863" t="s">
        <v>44</v>
      </c>
      <c r="C5863" t="str">
        <f>HYPERLINK("https://us2.cloudbeds.com/connect/8493803454333002#/reservations/9080486846475174?display=2RCZTNAYS2&amp;reservation_id=9080486846475174", "2RCZTNAYS2")</f>
        <v>2RCZTNAYS2</v>
      </c>
      <c r="D5863" t="s">
        <v>45</v>
      </c>
      <c r="E5863" t="s">
        <v>381</v>
      </c>
      <c r="F5863" t="s">
        <v>47</v>
      </c>
      <c r="G5863" t="s">
        <v>48</v>
      </c>
      <c r="H5863" t="s">
        <v>49</v>
      </c>
      <c r="I5863" t="s">
        <v>50</v>
      </c>
      <c r="J5863" t="s">
        <v>8391</v>
      </c>
      <c r="K5863" t="s">
        <v>7974</v>
      </c>
      <c r="L5863" t="s">
        <v>53</v>
      </c>
      <c r="N5863" t="s">
        <v>10473</v>
      </c>
      <c r="P5863" t="s">
        <v>55</v>
      </c>
      <c r="R5863" t="s">
        <v>53</v>
      </c>
      <c r="T5863" t="s">
        <v>10474</v>
      </c>
      <c r="U5863" t="s">
        <v>58</v>
      </c>
      <c r="V5863">
        <v>1</v>
      </c>
      <c r="W5863">
        <v>1</v>
      </c>
      <c r="X5863">
        <v>1</v>
      </c>
      <c r="Y5863">
        <v>0</v>
      </c>
      <c r="Z5863">
        <v>1</v>
      </c>
      <c r="AA5863">
        <v>160.6</v>
      </c>
      <c r="AB5863">
        <v>160.6</v>
      </c>
      <c r="AC5863">
        <v>141.30000000000001</v>
      </c>
      <c r="AD5863">
        <v>0</v>
      </c>
      <c r="AE5863">
        <v>19.3</v>
      </c>
      <c r="AF5863">
        <v>0</v>
      </c>
      <c r="AG5863">
        <v>0</v>
      </c>
      <c r="AH5863">
        <v>0</v>
      </c>
      <c r="AI5863">
        <v>28.91</v>
      </c>
      <c r="AJ5863">
        <v>160.6</v>
      </c>
      <c r="AK5863">
        <v>0</v>
      </c>
      <c r="AL5863" t="s">
        <v>53</v>
      </c>
      <c r="AM5863" t="s">
        <v>53</v>
      </c>
      <c r="AN5863" t="s">
        <v>53</v>
      </c>
      <c r="AO5863" t="s">
        <v>53</v>
      </c>
      <c r="AP5863" t="s">
        <v>53</v>
      </c>
    </row>
    <row r="5864" spans="2:42" x14ac:dyDescent="0.2">
      <c r="B5864" t="s">
        <v>44</v>
      </c>
      <c r="C5864" t="str">
        <f>HYPERLINK("https://us2.cloudbeds.com/connect/8493803454333002#/reservations/131342515531956?display=2RCR5N3YP2&amp;reservation_id=131342515531956", "2RCR5N3YP2")</f>
        <v>2RCR5N3YP2</v>
      </c>
      <c r="D5864" t="s">
        <v>45</v>
      </c>
      <c r="E5864" t="s">
        <v>98</v>
      </c>
      <c r="F5864" t="s">
        <v>86</v>
      </c>
      <c r="G5864" t="s">
        <v>48</v>
      </c>
      <c r="H5864" t="s">
        <v>3957</v>
      </c>
      <c r="I5864" t="s">
        <v>3975</v>
      </c>
      <c r="J5864" t="s">
        <v>7751</v>
      </c>
      <c r="K5864" t="s">
        <v>8071</v>
      </c>
      <c r="L5864" t="s">
        <v>53</v>
      </c>
      <c r="P5864" t="s">
        <v>55</v>
      </c>
      <c r="R5864" t="s">
        <v>53</v>
      </c>
      <c r="T5864" t="s">
        <v>10475</v>
      </c>
      <c r="U5864" t="s">
        <v>58</v>
      </c>
      <c r="V5864">
        <v>1</v>
      </c>
      <c r="W5864">
        <v>1</v>
      </c>
      <c r="X5864">
        <v>2</v>
      </c>
      <c r="Y5864">
        <v>0</v>
      </c>
      <c r="Z5864">
        <v>2</v>
      </c>
      <c r="AA5864">
        <v>222.75</v>
      </c>
      <c r="AB5864">
        <v>222.75</v>
      </c>
      <c r="AC5864">
        <v>196</v>
      </c>
      <c r="AD5864">
        <v>0</v>
      </c>
      <c r="AE5864">
        <v>26.75</v>
      </c>
      <c r="AF5864">
        <v>0</v>
      </c>
      <c r="AG5864">
        <v>0</v>
      </c>
      <c r="AH5864">
        <v>0</v>
      </c>
      <c r="AI5864">
        <v>0</v>
      </c>
      <c r="AJ5864">
        <v>222.75</v>
      </c>
      <c r="AK5864">
        <v>0</v>
      </c>
      <c r="AL5864" t="s">
        <v>53</v>
      </c>
      <c r="AM5864" t="s">
        <v>53</v>
      </c>
      <c r="AN5864" t="s">
        <v>53</v>
      </c>
      <c r="AO5864" t="s">
        <v>53</v>
      </c>
      <c r="AP5864" t="s">
        <v>53</v>
      </c>
    </row>
    <row r="5865" spans="2:42" x14ac:dyDescent="0.2">
      <c r="B5865" t="s">
        <v>44</v>
      </c>
      <c r="C5865" t="str">
        <f>HYPERLINK("https://us2.cloudbeds.com/connect/8493803454333002#/reservations/9080486846475474?display=2RD48FP5AK&amp;reservation_id=9080486846475474", "2RD48FP5AK")</f>
        <v>2RD48FP5AK</v>
      </c>
      <c r="D5865" t="s">
        <v>45</v>
      </c>
      <c r="E5865" t="s">
        <v>46</v>
      </c>
      <c r="F5865" t="s">
        <v>47</v>
      </c>
      <c r="G5865" t="s">
        <v>48</v>
      </c>
      <c r="H5865" t="s">
        <v>49</v>
      </c>
      <c r="I5865" t="s">
        <v>50</v>
      </c>
      <c r="J5865" t="s">
        <v>4009</v>
      </c>
      <c r="K5865" t="s">
        <v>8319</v>
      </c>
      <c r="L5865" t="s">
        <v>53</v>
      </c>
      <c r="N5865" t="s">
        <v>10476</v>
      </c>
      <c r="P5865" t="s">
        <v>55</v>
      </c>
      <c r="R5865" t="s">
        <v>53</v>
      </c>
      <c r="T5865" t="s">
        <v>10477</v>
      </c>
      <c r="U5865" t="s">
        <v>58</v>
      </c>
      <c r="V5865">
        <v>1</v>
      </c>
      <c r="W5865">
        <v>1</v>
      </c>
      <c r="X5865">
        <v>2</v>
      </c>
      <c r="Y5865">
        <v>0</v>
      </c>
      <c r="Z5865">
        <v>2</v>
      </c>
      <c r="AA5865">
        <v>165.2</v>
      </c>
      <c r="AB5865">
        <v>165.2</v>
      </c>
      <c r="AC5865">
        <v>145.35</v>
      </c>
      <c r="AD5865">
        <v>0</v>
      </c>
      <c r="AE5865">
        <v>19.850000000000001</v>
      </c>
      <c r="AF5865">
        <v>0</v>
      </c>
      <c r="AG5865">
        <v>0</v>
      </c>
      <c r="AH5865">
        <v>0</v>
      </c>
      <c r="AI5865">
        <v>29.74</v>
      </c>
      <c r="AJ5865">
        <v>165.2</v>
      </c>
      <c r="AK5865">
        <v>0</v>
      </c>
      <c r="AL5865" t="s">
        <v>53</v>
      </c>
      <c r="AM5865" t="s">
        <v>53</v>
      </c>
      <c r="AN5865" t="s">
        <v>10478</v>
      </c>
      <c r="AO5865" t="s">
        <v>53</v>
      </c>
      <c r="AP5865" t="s">
        <v>53</v>
      </c>
    </row>
    <row r="5866" spans="2:42" x14ac:dyDescent="0.2">
      <c r="B5866" t="s">
        <v>44</v>
      </c>
      <c r="C5866" t="str">
        <f>HYPERLINK("https://us2.cloudbeds.com/connect/8493803454333002#/reservations/9080486846475476?display=2RD45JZSVE&amp;reservation_id=9080486846475476", "2RD45JZSVE")</f>
        <v>2RD45JZSVE</v>
      </c>
      <c r="D5866" t="s">
        <v>45</v>
      </c>
      <c r="E5866" t="s">
        <v>185</v>
      </c>
      <c r="F5866" t="s">
        <v>47</v>
      </c>
      <c r="G5866" t="s">
        <v>48</v>
      </c>
      <c r="H5866" t="s">
        <v>49</v>
      </c>
      <c r="I5866" t="s">
        <v>50</v>
      </c>
      <c r="J5866" t="s">
        <v>9692</v>
      </c>
      <c r="K5866" t="s">
        <v>7325</v>
      </c>
      <c r="L5866" t="s">
        <v>53</v>
      </c>
      <c r="N5866" t="s">
        <v>10479</v>
      </c>
      <c r="P5866" t="s">
        <v>55</v>
      </c>
      <c r="R5866" t="s">
        <v>53</v>
      </c>
      <c r="T5866" t="s">
        <v>10480</v>
      </c>
      <c r="U5866" t="s">
        <v>58</v>
      </c>
      <c r="V5866">
        <v>1</v>
      </c>
      <c r="W5866">
        <v>1</v>
      </c>
      <c r="X5866">
        <v>1</v>
      </c>
      <c r="Y5866">
        <v>0</v>
      </c>
      <c r="Z5866">
        <v>1</v>
      </c>
      <c r="AA5866">
        <v>127.84</v>
      </c>
      <c r="AB5866">
        <v>127.84</v>
      </c>
      <c r="AC5866">
        <v>112.48</v>
      </c>
      <c r="AD5866">
        <v>0</v>
      </c>
      <c r="AE5866">
        <v>15.36</v>
      </c>
      <c r="AF5866">
        <v>0</v>
      </c>
      <c r="AG5866">
        <v>0</v>
      </c>
      <c r="AH5866">
        <v>0</v>
      </c>
      <c r="AI5866">
        <v>23.01</v>
      </c>
      <c r="AJ5866">
        <v>127.84</v>
      </c>
      <c r="AK5866">
        <v>0</v>
      </c>
      <c r="AL5866" t="s">
        <v>53</v>
      </c>
      <c r="AM5866" t="s">
        <v>53</v>
      </c>
      <c r="AN5866" t="s">
        <v>53</v>
      </c>
      <c r="AO5866" t="s">
        <v>53</v>
      </c>
      <c r="AP5866" t="s">
        <v>53</v>
      </c>
    </row>
    <row r="5867" spans="2:42" x14ac:dyDescent="0.2">
      <c r="B5867" t="s">
        <v>44</v>
      </c>
      <c r="C5867" t="str">
        <f>HYPERLINK("https://us2.cloudbeds.com/connect/8493803454333002#/reservations/9080486846475672?display=2RDD3BMVX9&amp;reservation_id=9080486846475672", "2RDD3BMVX9")</f>
        <v>2RDD3BMVX9</v>
      </c>
      <c r="D5867" t="s">
        <v>45</v>
      </c>
      <c r="E5867" t="s">
        <v>128</v>
      </c>
      <c r="F5867" t="s">
        <v>86</v>
      </c>
      <c r="G5867" t="s">
        <v>48</v>
      </c>
      <c r="H5867" t="s">
        <v>49</v>
      </c>
      <c r="I5867" t="s">
        <v>62</v>
      </c>
      <c r="J5867" t="s">
        <v>5507</v>
      </c>
      <c r="K5867" t="s">
        <v>6454</v>
      </c>
      <c r="L5867" t="s">
        <v>53</v>
      </c>
      <c r="N5867" t="s">
        <v>10481</v>
      </c>
      <c r="P5867" t="s">
        <v>55</v>
      </c>
      <c r="R5867" t="s">
        <v>56</v>
      </c>
      <c r="T5867" t="s">
        <v>10482</v>
      </c>
      <c r="U5867" t="s">
        <v>55</v>
      </c>
      <c r="V5867">
        <v>1</v>
      </c>
      <c r="W5867">
        <v>1</v>
      </c>
      <c r="X5867">
        <v>3</v>
      </c>
      <c r="Y5867">
        <v>0</v>
      </c>
      <c r="Z5867">
        <v>3</v>
      </c>
      <c r="AA5867">
        <v>217.55</v>
      </c>
      <c r="AB5867">
        <v>217.55</v>
      </c>
      <c r="AC5867">
        <v>217.55</v>
      </c>
      <c r="AD5867">
        <v>0</v>
      </c>
      <c r="AE5867">
        <v>0</v>
      </c>
      <c r="AF5867">
        <v>0</v>
      </c>
      <c r="AG5867">
        <v>0</v>
      </c>
      <c r="AH5867">
        <v>0</v>
      </c>
      <c r="AI5867">
        <v>39.159999999999997</v>
      </c>
      <c r="AJ5867">
        <v>217.55</v>
      </c>
      <c r="AK5867">
        <v>0</v>
      </c>
      <c r="AL5867" t="s">
        <v>53</v>
      </c>
      <c r="AM5867" t="s">
        <v>53</v>
      </c>
      <c r="AN5867" t="s">
        <v>53</v>
      </c>
      <c r="AO5867" t="s">
        <v>53</v>
      </c>
      <c r="AP5867" t="s">
        <v>53</v>
      </c>
    </row>
    <row r="5868" spans="2:42" x14ac:dyDescent="0.2">
      <c r="B5868" t="s">
        <v>44</v>
      </c>
      <c r="C5868" t="str">
        <f>HYPERLINK("https://us2.cloudbeds.com/connect/8493803454333002#/reservations/9080486846477210?display=2RFSASNC75&amp;reservation_id=9080486846477210", "2RFSASNC75")</f>
        <v>2RFSASNC75</v>
      </c>
      <c r="D5868" t="s">
        <v>45</v>
      </c>
      <c r="E5868" t="s">
        <v>113</v>
      </c>
      <c r="F5868" t="s">
        <v>61</v>
      </c>
      <c r="G5868" t="s">
        <v>48</v>
      </c>
      <c r="H5868" t="s">
        <v>49</v>
      </c>
      <c r="I5868" t="s">
        <v>8964</v>
      </c>
      <c r="J5868" t="s">
        <v>4008</v>
      </c>
      <c r="K5868" t="s">
        <v>4009</v>
      </c>
      <c r="L5868" t="s">
        <v>53</v>
      </c>
      <c r="N5868" t="s">
        <v>10483</v>
      </c>
      <c r="P5868" t="s">
        <v>55</v>
      </c>
      <c r="R5868" t="s">
        <v>53</v>
      </c>
      <c r="T5868" t="s">
        <v>10484</v>
      </c>
      <c r="U5868" t="s">
        <v>58</v>
      </c>
      <c r="V5868">
        <v>1</v>
      </c>
      <c r="W5868">
        <v>1</v>
      </c>
      <c r="X5868">
        <v>1</v>
      </c>
      <c r="Y5868">
        <v>0</v>
      </c>
      <c r="Z5868">
        <v>1</v>
      </c>
      <c r="AA5868">
        <v>0</v>
      </c>
      <c r="AB5868">
        <v>0</v>
      </c>
      <c r="AC5868">
        <v>162</v>
      </c>
      <c r="AD5868">
        <v>0</v>
      </c>
      <c r="AE5868">
        <v>0</v>
      </c>
      <c r="AF5868">
        <v>0</v>
      </c>
      <c r="AG5868">
        <v>0</v>
      </c>
      <c r="AH5868">
        <v>0</v>
      </c>
      <c r="AI5868">
        <v>24.3</v>
      </c>
      <c r="AJ5868">
        <v>162</v>
      </c>
      <c r="AK5868">
        <v>162</v>
      </c>
      <c r="AL5868" t="s">
        <v>53</v>
      </c>
      <c r="AM5868" t="s">
        <v>53</v>
      </c>
      <c r="AN5868" t="s">
        <v>53</v>
      </c>
      <c r="AO5868" t="s">
        <v>53</v>
      </c>
      <c r="AP5868" t="s">
        <v>53</v>
      </c>
    </row>
    <row r="5869" spans="2:42" x14ac:dyDescent="0.2">
      <c r="B5869" t="s">
        <v>44</v>
      </c>
      <c r="C5869" t="str">
        <f>HYPERLINK("https://us2.cloudbeds.com/connect/8493803454333002#/reservations/9080486846477796?display=2RGKXFY979&amp;reservation_id=9080486846477796", "2RGKXFY979")</f>
        <v>2RGKXFY979</v>
      </c>
      <c r="D5869" t="s">
        <v>45</v>
      </c>
      <c r="E5869" t="s">
        <v>110</v>
      </c>
      <c r="F5869" t="s">
        <v>47</v>
      </c>
      <c r="G5869" t="s">
        <v>48</v>
      </c>
      <c r="H5869" t="s">
        <v>49</v>
      </c>
      <c r="I5869" t="s">
        <v>50</v>
      </c>
      <c r="J5869" t="s">
        <v>7974</v>
      </c>
      <c r="K5869" t="s">
        <v>7975</v>
      </c>
      <c r="L5869" t="s">
        <v>53</v>
      </c>
      <c r="N5869" t="s">
        <v>10485</v>
      </c>
      <c r="P5869" t="s">
        <v>55</v>
      </c>
      <c r="R5869" t="s">
        <v>53</v>
      </c>
      <c r="T5869" t="s">
        <v>10486</v>
      </c>
      <c r="U5869" t="s">
        <v>58</v>
      </c>
      <c r="V5869">
        <v>1</v>
      </c>
      <c r="W5869">
        <v>1</v>
      </c>
      <c r="X5869">
        <v>2</v>
      </c>
      <c r="Y5869">
        <v>0</v>
      </c>
      <c r="Z5869">
        <v>2</v>
      </c>
      <c r="AA5869">
        <v>197.41</v>
      </c>
      <c r="AB5869">
        <v>197.41</v>
      </c>
      <c r="AC5869">
        <v>173.7</v>
      </c>
      <c r="AD5869">
        <v>0</v>
      </c>
      <c r="AE5869">
        <v>23.71</v>
      </c>
      <c r="AF5869">
        <v>0</v>
      </c>
      <c r="AG5869">
        <v>0</v>
      </c>
      <c r="AH5869">
        <v>0</v>
      </c>
      <c r="AI5869">
        <v>35.53</v>
      </c>
      <c r="AJ5869">
        <v>197.41</v>
      </c>
      <c r="AK5869">
        <v>0</v>
      </c>
      <c r="AL5869" t="s">
        <v>53</v>
      </c>
      <c r="AM5869" t="s">
        <v>53</v>
      </c>
      <c r="AN5869" t="s">
        <v>53</v>
      </c>
      <c r="AO5869" t="s">
        <v>53</v>
      </c>
      <c r="AP5869" t="s">
        <v>53</v>
      </c>
    </row>
    <row r="5870" spans="2:42" x14ac:dyDescent="0.2">
      <c r="B5870" t="s">
        <v>44</v>
      </c>
      <c r="C5870" t="str">
        <f>HYPERLINK("https://us2.cloudbeds.com/connect/8493803454333002#/reservations/131594805620944?display=2RXZH9Q9GR&amp;reservation_id=131594805620944", "2RXZH9Q9GR")</f>
        <v>2RXZH9Q9GR</v>
      </c>
      <c r="D5870" t="s">
        <v>45</v>
      </c>
      <c r="E5870" t="s">
        <v>113</v>
      </c>
      <c r="F5870" t="s">
        <v>61</v>
      </c>
      <c r="G5870" t="s">
        <v>48</v>
      </c>
      <c r="H5870" t="s">
        <v>3957</v>
      </c>
      <c r="I5870" t="s">
        <v>3975</v>
      </c>
      <c r="J5870" t="s">
        <v>10487</v>
      </c>
      <c r="K5870" t="s">
        <v>10037</v>
      </c>
      <c r="L5870" t="s">
        <v>53</v>
      </c>
      <c r="P5870" t="s">
        <v>55</v>
      </c>
      <c r="R5870" t="s">
        <v>53</v>
      </c>
      <c r="T5870" t="s">
        <v>10488</v>
      </c>
      <c r="U5870" t="s">
        <v>58</v>
      </c>
      <c r="V5870">
        <v>1</v>
      </c>
      <c r="W5870">
        <v>1</v>
      </c>
      <c r="X5870">
        <v>2</v>
      </c>
      <c r="Y5870">
        <v>0</v>
      </c>
      <c r="Z5870">
        <v>2</v>
      </c>
      <c r="AA5870">
        <v>81.83</v>
      </c>
      <c r="AB5870">
        <v>81.83</v>
      </c>
      <c r="AC5870">
        <v>72</v>
      </c>
      <c r="AD5870">
        <v>0</v>
      </c>
      <c r="AE5870">
        <v>9.83</v>
      </c>
      <c r="AF5870">
        <v>0</v>
      </c>
      <c r="AG5870">
        <v>0</v>
      </c>
      <c r="AH5870">
        <v>0</v>
      </c>
      <c r="AI5870">
        <v>0</v>
      </c>
      <c r="AJ5870">
        <v>81.83</v>
      </c>
      <c r="AK5870">
        <v>0</v>
      </c>
      <c r="AL5870" t="s">
        <v>53</v>
      </c>
      <c r="AM5870" t="s">
        <v>53</v>
      </c>
      <c r="AN5870" t="s">
        <v>53</v>
      </c>
      <c r="AO5870" t="s">
        <v>53</v>
      </c>
      <c r="AP5870" t="s">
        <v>53</v>
      </c>
    </row>
    <row r="5871" spans="2:42" x14ac:dyDescent="0.2">
      <c r="B5871" t="s">
        <v>44</v>
      </c>
      <c r="C5871" t="str">
        <f>HYPERLINK("https://us2.cloudbeds.com/connect/8493803454333002#/reservations/9080486846480382?display=2RXWS3JX5Q&amp;reservation_id=9080486846480382", "2RXWS3JX5Q")</f>
        <v>2RXWS3JX5Q</v>
      </c>
      <c r="D5871" t="s">
        <v>45</v>
      </c>
      <c r="E5871" t="s">
        <v>165</v>
      </c>
      <c r="F5871" t="s">
        <v>61</v>
      </c>
      <c r="G5871" t="s">
        <v>48</v>
      </c>
      <c r="H5871" t="s">
        <v>49</v>
      </c>
      <c r="I5871" t="s">
        <v>50</v>
      </c>
      <c r="J5871" t="s">
        <v>7974</v>
      </c>
      <c r="K5871" t="s">
        <v>7975</v>
      </c>
      <c r="L5871" t="s">
        <v>53</v>
      </c>
      <c r="N5871" t="s">
        <v>10489</v>
      </c>
      <c r="P5871" t="s">
        <v>55</v>
      </c>
      <c r="R5871" t="s">
        <v>53</v>
      </c>
      <c r="T5871" t="s">
        <v>10490</v>
      </c>
      <c r="U5871" t="s">
        <v>58</v>
      </c>
      <c r="V5871">
        <v>1</v>
      </c>
      <c r="W5871">
        <v>1</v>
      </c>
      <c r="X5871">
        <v>2</v>
      </c>
      <c r="Y5871">
        <v>0</v>
      </c>
      <c r="Z5871">
        <v>2</v>
      </c>
      <c r="AA5871">
        <v>209.69</v>
      </c>
      <c r="AB5871">
        <v>209.69</v>
      </c>
      <c r="AC5871">
        <v>184.5</v>
      </c>
      <c r="AD5871">
        <v>0</v>
      </c>
      <c r="AE5871">
        <v>25.19</v>
      </c>
      <c r="AF5871">
        <v>0</v>
      </c>
      <c r="AG5871">
        <v>0</v>
      </c>
      <c r="AH5871">
        <v>0</v>
      </c>
      <c r="AI5871">
        <v>37.74</v>
      </c>
      <c r="AJ5871">
        <v>209.69</v>
      </c>
      <c r="AK5871">
        <v>0</v>
      </c>
      <c r="AL5871" t="s">
        <v>53</v>
      </c>
      <c r="AM5871" t="s">
        <v>53</v>
      </c>
      <c r="AN5871" t="s">
        <v>53</v>
      </c>
      <c r="AO5871" t="s">
        <v>53</v>
      </c>
      <c r="AP5871" t="s">
        <v>53</v>
      </c>
    </row>
    <row r="5872" spans="2:42" x14ac:dyDescent="0.2">
      <c r="B5872" t="s">
        <v>44</v>
      </c>
      <c r="C5872" t="str">
        <f>HYPERLINK("https://us2.cloudbeds.com/connect/8493803454333002#/reservations/131612142125296?display=2RJ4V9D2XX&amp;reservation_id=131612142125296", "2RJ4V9D2XX")</f>
        <v>2RJ4V9D2XX</v>
      </c>
      <c r="D5872" t="s">
        <v>45</v>
      </c>
      <c r="E5872" t="s">
        <v>487</v>
      </c>
      <c r="F5872" t="s">
        <v>61</v>
      </c>
      <c r="G5872" t="s">
        <v>48</v>
      </c>
      <c r="H5872" t="s">
        <v>3957</v>
      </c>
      <c r="I5872" t="s">
        <v>3975</v>
      </c>
      <c r="J5872" t="s">
        <v>7974</v>
      </c>
      <c r="K5872" t="s">
        <v>7975</v>
      </c>
      <c r="L5872" t="s">
        <v>53</v>
      </c>
      <c r="P5872" t="s">
        <v>55</v>
      </c>
      <c r="R5872" t="s">
        <v>53</v>
      </c>
      <c r="T5872" t="s">
        <v>10491</v>
      </c>
      <c r="U5872" t="s">
        <v>58</v>
      </c>
      <c r="V5872">
        <v>1</v>
      </c>
      <c r="W5872">
        <v>1</v>
      </c>
      <c r="X5872">
        <v>2</v>
      </c>
      <c r="Y5872">
        <v>0</v>
      </c>
      <c r="Z5872">
        <v>2</v>
      </c>
      <c r="AA5872">
        <v>232.99</v>
      </c>
      <c r="AB5872">
        <v>240.04</v>
      </c>
      <c r="AC5872">
        <v>205</v>
      </c>
      <c r="AD5872">
        <v>6.5</v>
      </c>
      <c r="AE5872">
        <v>28.54</v>
      </c>
      <c r="AF5872">
        <v>0</v>
      </c>
      <c r="AG5872">
        <v>0</v>
      </c>
      <c r="AH5872">
        <v>0</v>
      </c>
      <c r="AI5872">
        <v>0</v>
      </c>
      <c r="AJ5872">
        <v>240.04</v>
      </c>
      <c r="AK5872">
        <v>0</v>
      </c>
      <c r="AL5872" t="s">
        <v>53</v>
      </c>
      <c r="AM5872" t="s">
        <v>53</v>
      </c>
      <c r="AN5872" t="s">
        <v>53</v>
      </c>
      <c r="AO5872" t="s">
        <v>53</v>
      </c>
      <c r="AP5872" t="s">
        <v>53</v>
      </c>
    </row>
    <row r="5873" spans="2:42" x14ac:dyDescent="0.2">
      <c r="B5873" t="s">
        <v>44</v>
      </c>
      <c r="C5873" t="str">
        <f>HYPERLINK("https://us2.cloudbeds.com/connect/8493803454333002#/reservations/9080486846480679?display=2RJ93JEWZB&amp;reservation_id=9080486846480679", "2RJ93JEWZB")</f>
        <v>2RJ93JEWZB</v>
      </c>
      <c r="D5873" t="s">
        <v>45</v>
      </c>
      <c r="E5873" t="s">
        <v>265</v>
      </c>
      <c r="F5873" t="s">
        <v>61</v>
      </c>
      <c r="G5873" t="s">
        <v>48</v>
      </c>
      <c r="H5873" t="s">
        <v>49</v>
      </c>
      <c r="I5873" t="s">
        <v>50</v>
      </c>
      <c r="J5873" t="s">
        <v>7974</v>
      </c>
      <c r="K5873" t="s">
        <v>7975</v>
      </c>
      <c r="L5873" t="s">
        <v>53</v>
      </c>
      <c r="N5873" t="s">
        <v>10492</v>
      </c>
      <c r="P5873" t="s">
        <v>55</v>
      </c>
      <c r="R5873" t="s">
        <v>53</v>
      </c>
      <c r="T5873" t="s">
        <v>10493</v>
      </c>
      <c r="U5873" t="s">
        <v>58</v>
      </c>
      <c r="V5873">
        <v>1</v>
      </c>
      <c r="W5873">
        <v>1</v>
      </c>
      <c r="X5873">
        <v>2</v>
      </c>
      <c r="Y5873">
        <v>0</v>
      </c>
      <c r="Z5873">
        <v>2</v>
      </c>
      <c r="AA5873">
        <v>209.69</v>
      </c>
      <c r="AB5873">
        <v>209.69</v>
      </c>
      <c r="AC5873">
        <v>184.5</v>
      </c>
      <c r="AD5873">
        <v>0</v>
      </c>
      <c r="AE5873">
        <v>25.19</v>
      </c>
      <c r="AF5873">
        <v>0</v>
      </c>
      <c r="AG5873">
        <v>0</v>
      </c>
      <c r="AH5873">
        <v>0</v>
      </c>
      <c r="AI5873">
        <v>37.74</v>
      </c>
      <c r="AJ5873">
        <v>209.69</v>
      </c>
      <c r="AK5873">
        <v>0</v>
      </c>
      <c r="AL5873" t="s">
        <v>53</v>
      </c>
      <c r="AM5873" t="s">
        <v>53</v>
      </c>
      <c r="AN5873" t="s">
        <v>53</v>
      </c>
      <c r="AO5873" t="s">
        <v>53</v>
      </c>
      <c r="AP5873" t="s">
        <v>53</v>
      </c>
    </row>
    <row r="5874" spans="2:42" x14ac:dyDescent="0.2">
      <c r="B5874" t="s">
        <v>44</v>
      </c>
      <c r="C5874" t="str">
        <f>HYPERLINK("https://us2.cloudbeds.com/connect/8493803454333002#/reservations/9080486846481616?display=2RKATGM3Z3&amp;reservation_id=9080486846481616", "2RKATGM3Z3")</f>
        <v>2RKATGM3Z3</v>
      </c>
      <c r="D5874" t="s">
        <v>45</v>
      </c>
      <c r="E5874" t="s">
        <v>105</v>
      </c>
      <c r="F5874" t="s">
        <v>47</v>
      </c>
      <c r="G5874" t="s">
        <v>48</v>
      </c>
      <c r="H5874" t="s">
        <v>49</v>
      </c>
      <c r="I5874" t="s">
        <v>62</v>
      </c>
      <c r="J5874" t="s">
        <v>4008</v>
      </c>
      <c r="K5874" t="s">
        <v>4009</v>
      </c>
      <c r="L5874" t="s">
        <v>53</v>
      </c>
      <c r="N5874" t="s">
        <v>10494</v>
      </c>
      <c r="P5874" t="s">
        <v>55</v>
      </c>
      <c r="R5874" t="s">
        <v>56</v>
      </c>
      <c r="T5874" t="s">
        <v>10495</v>
      </c>
      <c r="U5874" t="s">
        <v>55</v>
      </c>
      <c r="V5874">
        <v>1</v>
      </c>
      <c r="W5874">
        <v>1</v>
      </c>
      <c r="X5874">
        <v>2</v>
      </c>
      <c r="Y5874">
        <v>0</v>
      </c>
      <c r="Z5874">
        <v>2</v>
      </c>
      <c r="AA5874">
        <v>149</v>
      </c>
      <c r="AB5874">
        <v>149</v>
      </c>
      <c r="AC5874">
        <v>149</v>
      </c>
      <c r="AD5874">
        <v>0</v>
      </c>
      <c r="AE5874">
        <v>0</v>
      </c>
      <c r="AF5874">
        <v>0</v>
      </c>
      <c r="AG5874">
        <v>0</v>
      </c>
      <c r="AH5874">
        <v>0</v>
      </c>
      <c r="AI5874">
        <v>26.82</v>
      </c>
      <c r="AJ5874">
        <v>149</v>
      </c>
      <c r="AK5874">
        <v>0</v>
      </c>
      <c r="AL5874" t="s">
        <v>53</v>
      </c>
      <c r="AM5874" t="s">
        <v>53</v>
      </c>
      <c r="AN5874" t="s">
        <v>53</v>
      </c>
      <c r="AO5874" t="s">
        <v>53</v>
      </c>
      <c r="AP5874" t="s">
        <v>53</v>
      </c>
    </row>
    <row r="5875" spans="2:42" x14ac:dyDescent="0.2">
      <c r="B5875" t="s">
        <v>44</v>
      </c>
      <c r="C5875" t="str">
        <f>HYPERLINK("https://us2.cloudbeds.com/connect/8493803454333002#/reservations/9080486846481687?display=2RKEDN8ZXW&amp;reservation_id=9080486846481687", "2RKEDN8ZXW")</f>
        <v>2RKEDN8ZXW</v>
      </c>
      <c r="D5875" t="s">
        <v>45</v>
      </c>
      <c r="E5875" t="s">
        <v>265</v>
      </c>
      <c r="F5875" t="s">
        <v>61</v>
      </c>
      <c r="G5875" t="s">
        <v>48</v>
      </c>
      <c r="H5875" t="s">
        <v>49</v>
      </c>
      <c r="I5875" t="s">
        <v>50</v>
      </c>
      <c r="J5875" t="s">
        <v>9318</v>
      </c>
      <c r="K5875" t="s">
        <v>7623</v>
      </c>
      <c r="L5875" t="s">
        <v>53</v>
      </c>
      <c r="N5875" t="s">
        <v>10496</v>
      </c>
      <c r="P5875" t="s">
        <v>55</v>
      </c>
      <c r="R5875" t="s">
        <v>53</v>
      </c>
      <c r="T5875" t="s">
        <v>10497</v>
      </c>
      <c r="U5875" t="s">
        <v>58</v>
      </c>
      <c r="V5875">
        <v>2</v>
      </c>
      <c r="W5875">
        <v>1</v>
      </c>
      <c r="X5875">
        <v>2</v>
      </c>
      <c r="Y5875">
        <v>0</v>
      </c>
      <c r="Z5875">
        <v>2</v>
      </c>
      <c r="AA5875">
        <v>376.25</v>
      </c>
      <c r="AB5875">
        <v>376.25</v>
      </c>
      <c r="AC5875">
        <v>331.07</v>
      </c>
      <c r="AD5875">
        <v>0</v>
      </c>
      <c r="AE5875">
        <v>45.18</v>
      </c>
      <c r="AF5875">
        <v>0</v>
      </c>
      <c r="AG5875">
        <v>0</v>
      </c>
      <c r="AH5875">
        <v>0</v>
      </c>
      <c r="AI5875">
        <v>67.73</v>
      </c>
      <c r="AJ5875">
        <v>376.25</v>
      </c>
      <c r="AK5875">
        <v>0</v>
      </c>
      <c r="AL5875" t="s">
        <v>53</v>
      </c>
      <c r="AM5875" t="s">
        <v>53</v>
      </c>
      <c r="AN5875" t="s">
        <v>53</v>
      </c>
      <c r="AO5875" t="s">
        <v>53</v>
      </c>
      <c r="AP5875" t="s">
        <v>53</v>
      </c>
    </row>
    <row r="5876" spans="2:42" x14ac:dyDescent="0.2">
      <c r="B5876" t="s">
        <v>44</v>
      </c>
      <c r="C5876" t="str">
        <f>HYPERLINK("https://us2.cloudbeds.com/connect/8493803454333002#/reservations/9080486846481978?display=2RKRDCSD9X&amp;reservation_id=9080486846481978", "2RKRDCSD9X")</f>
        <v>2RKRDCSD9X</v>
      </c>
      <c r="D5876" t="s">
        <v>45</v>
      </c>
      <c r="E5876" t="s">
        <v>223</v>
      </c>
      <c r="F5876" t="s">
        <v>47</v>
      </c>
      <c r="G5876" t="s">
        <v>48</v>
      </c>
      <c r="H5876" t="s">
        <v>49</v>
      </c>
      <c r="I5876" t="s">
        <v>50</v>
      </c>
      <c r="J5876" t="s">
        <v>4008</v>
      </c>
      <c r="K5876" t="s">
        <v>4009</v>
      </c>
      <c r="L5876" t="s">
        <v>53</v>
      </c>
      <c r="N5876" t="s">
        <v>10498</v>
      </c>
      <c r="P5876" t="s">
        <v>55</v>
      </c>
      <c r="R5876" t="s">
        <v>53</v>
      </c>
      <c r="T5876" t="s">
        <v>10499</v>
      </c>
      <c r="U5876" t="s">
        <v>58</v>
      </c>
      <c r="V5876">
        <v>1</v>
      </c>
      <c r="W5876">
        <v>1</v>
      </c>
      <c r="X5876">
        <v>2</v>
      </c>
      <c r="Y5876">
        <v>0</v>
      </c>
      <c r="Z5876">
        <v>2</v>
      </c>
      <c r="AA5876">
        <v>143.93</v>
      </c>
      <c r="AB5876">
        <v>143.93</v>
      </c>
      <c r="AC5876">
        <v>126.65</v>
      </c>
      <c r="AD5876">
        <v>0</v>
      </c>
      <c r="AE5876">
        <v>17.28</v>
      </c>
      <c r="AF5876">
        <v>0</v>
      </c>
      <c r="AG5876">
        <v>0</v>
      </c>
      <c r="AH5876">
        <v>0</v>
      </c>
      <c r="AI5876">
        <v>25.91</v>
      </c>
      <c r="AJ5876">
        <v>143.93</v>
      </c>
      <c r="AK5876">
        <v>0</v>
      </c>
      <c r="AL5876" t="s">
        <v>53</v>
      </c>
      <c r="AM5876" t="s">
        <v>53</v>
      </c>
      <c r="AN5876" t="s">
        <v>53</v>
      </c>
      <c r="AO5876" t="s">
        <v>53</v>
      </c>
      <c r="AP5876" t="s">
        <v>53</v>
      </c>
    </row>
    <row r="5877" spans="2:42" x14ac:dyDescent="0.2">
      <c r="B5877" t="s">
        <v>44</v>
      </c>
      <c r="C5877" t="str">
        <f>HYPERLINK("https://us2.cloudbeds.com/connect/8493803454333002#/reservations/9080486846482014?display=2RKT66CNYF&amp;reservation_id=9080486846482014", "2RKT66CNYF")</f>
        <v>2RKT66CNYF</v>
      </c>
      <c r="D5877" t="s">
        <v>45</v>
      </c>
      <c r="E5877" t="s">
        <v>110</v>
      </c>
      <c r="F5877" t="s">
        <v>47</v>
      </c>
      <c r="G5877" t="s">
        <v>48</v>
      </c>
      <c r="H5877" t="s">
        <v>49</v>
      </c>
      <c r="I5877" t="s">
        <v>62</v>
      </c>
      <c r="J5877" t="s">
        <v>9135</v>
      </c>
      <c r="K5877" t="s">
        <v>8313</v>
      </c>
      <c r="L5877" t="s">
        <v>53</v>
      </c>
      <c r="N5877" t="s">
        <v>10500</v>
      </c>
      <c r="P5877" t="s">
        <v>55</v>
      </c>
      <c r="R5877" t="s">
        <v>56</v>
      </c>
      <c r="T5877" t="s">
        <v>10501</v>
      </c>
      <c r="U5877" t="s">
        <v>55</v>
      </c>
      <c r="V5877">
        <v>1</v>
      </c>
      <c r="W5877">
        <v>1</v>
      </c>
      <c r="X5877">
        <v>2</v>
      </c>
      <c r="Y5877">
        <v>0</v>
      </c>
      <c r="Z5877">
        <v>2</v>
      </c>
      <c r="AA5877">
        <v>162.44999999999999</v>
      </c>
      <c r="AB5877">
        <v>165.16</v>
      </c>
      <c r="AC5877">
        <v>162.44999999999999</v>
      </c>
      <c r="AD5877">
        <v>2.5</v>
      </c>
      <c r="AE5877">
        <v>0.21</v>
      </c>
      <c r="AF5877">
        <v>0</v>
      </c>
      <c r="AG5877">
        <v>0</v>
      </c>
      <c r="AH5877">
        <v>0</v>
      </c>
      <c r="AI5877">
        <v>29.73</v>
      </c>
      <c r="AJ5877">
        <v>165.16</v>
      </c>
      <c r="AK5877">
        <v>0</v>
      </c>
      <c r="AL5877" t="s">
        <v>53</v>
      </c>
      <c r="AM5877" t="s">
        <v>53</v>
      </c>
      <c r="AN5877" t="s">
        <v>53</v>
      </c>
      <c r="AO5877" t="s">
        <v>53</v>
      </c>
      <c r="AP5877" t="s">
        <v>53</v>
      </c>
    </row>
    <row r="5878" spans="2:42" x14ac:dyDescent="0.2">
      <c r="B5878" t="s">
        <v>44</v>
      </c>
      <c r="C5878" t="str">
        <f>HYPERLINK("https://us2.cloudbeds.com/connect/8493803454333002#/reservations/9080486846482024?display=2RKTYGFW5Z&amp;reservation_id=9080486846482024", "2RKTYGFW5Z")</f>
        <v>2RKTYGFW5Z</v>
      </c>
      <c r="D5878" t="s">
        <v>45</v>
      </c>
      <c r="E5878" t="s">
        <v>105</v>
      </c>
      <c r="F5878" t="s">
        <v>47</v>
      </c>
      <c r="G5878" t="s">
        <v>48</v>
      </c>
      <c r="H5878" t="s">
        <v>49</v>
      </c>
      <c r="I5878" t="s">
        <v>50</v>
      </c>
      <c r="J5878" t="s">
        <v>6454</v>
      </c>
      <c r="K5878" t="s">
        <v>7325</v>
      </c>
      <c r="L5878" t="s">
        <v>53</v>
      </c>
      <c r="N5878" t="s">
        <v>10502</v>
      </c>
      <c r="P5878" t="s">
        <v>55</v>
      </c>
      <c r="R5878" t="s">
        <v>53</v>
      </c>
      <c r="T5878" t="s">
        <v>10503</v>
      </c>
      <c r="U5878" t="s">
        <v>58</v>
      </c>
      <c r="V5878">
        <v>3</v>
      </c>
      <c r="W5878">
        <v>1</v>
      </c>
      <c r="X5878">
        <v>1</v>
      </c>
      <c r="Y5878">
        <v>0</v>
      </c>
      <c r="Z5878">
        <v>1</v>
      </c>
      <c r="AA5878">
        <v>494.61</v>
      </c>
      <c r="AB5878">
        <v>494.61</v>
      </c>
      <c r="AC5878">
        <v>435.2</v>
      </c>
      <c r="AD5878">
        <v>0</v>
      </c>
      <c r="AE5878">
        <v>59.41</v>
      </c>
      <c r="AF5878">
        <v>0</v>
      </c>
      <c r="AG5878">
        <v>0</v>
      </c>
      <c r="AH5878">
        <v>0</v>
      </c>
      <c r="AI5878">
        <v>89.03</v>
      </c>
      <c r="AJ5878">
        <v>494.61</v>
      </c>
      <c r="AK5878">
        <v>0</v>
      </c>
      <c r="AL5878" t="s">
        <v>53</v>
      </c>
      <c r="AM5878" t="s">
        <v>53</v>
      </c>
      <c r="AN5878" t="s">
        <v>53</v>
      </c>
      <c r="AO5878" t="s">
        <v>53</v>
      </c>
      <c r="AP5878" t="s">
        <v>53</v>
      </c>
    </row>
    <row r="5879" spans="2:42" x14ac:dyDescent="0.2">
      <c r="B5879" t="s">
        <v>44</v>
      </c>
      <c r="C5879" t="str">
        <f>HYPERLINK("https://us2.cloudbeds.com/connect/8493803454333002#/reservations/9080486846482054?display=2RKUN1PAW2&amp;reservation_id=9080486846482054", "2RKUN1PAW2")</f>
        <v>2RKUN1PAW2</v>
      </c>
      <c r="D5879" t="s">
        <v>45</v>
      </c>
      <c r="E5879" t="s">
        <v>179</v>
      </c>
      <c r="F5879" t="s">
        <v>47</v>
      </c>
      <c r="G5879" t="s">
        <v>48</v>
      </c>
      <c r="H5879" t="s">
        <v>49</v>
      </c>
      <c r="I5879" t="s">
        <v>50</v>
      </c>
      <c r="J5879" t="s">
        <v>5508</v>
      </c>
      <c r="K5879" t="s">
        <v>7325</v>
      </c>
      <c r="L5879" t="s">
        <v>53</v>
      </c>
      <c r="N5879" t="s">
        <v>10504</v>
      </c>
      <c r="P5879" t="s">
        <v>55</v>
      </c>
      <c r="R5879" t="s">
        <v>53</v>
      </c>
      <c r="T5879" t="s">
        <v>10505</v>
      </c>
      <c r="U5879" t="s">
        <v>58</v>
      </c>
      <c r="V5879">
        <v>2</v>
      </c>
      <c r="W5879">
        <v>1</v>
      </c>
      <c r="X5879">
        <v>1</v>
      </c>
      <c r="Y5879">
        <v>0</v>
      </c>
      <c r="Z5879">
        <v>1</v>
      </c>
      <c r="AA5879">
        <v>285.49</v>
      </c>
      <c r="AB5879">
        <v>570.98</v>
      </c>
      <c r="AC5879">
        <v>251.2</v>
      </c>
      <c r="AD5879">
        <v>0</v>
      </c>
      <c r="AE5879">
        <v>34.29</v>
      </c>
      <c r="AF5879">
        <v>0</v>
      </c>
      <c r="AG5879">
        <v>0</v>
      </c>
      <c r="AH5879">
        <v>0</v>
      </c>
      <c r="AI5879">
        <v>51.39</v>
      </c>
      <c r="AJ5879">
        <v>285.49</v>
      </c>
      <c r="AK5879">
        <v>0</v>
      </c>
      <c r="AL5879" t="s">
        <v>53</v>
      </c>
      <c r="AM5879" t="s">
        <v>53</v>
      </c>
      <c r="AN5879" t="s">
        <v>53</v>
      </c>
      <c r="AO5879" t="s">
        <v>53</v>
      </c>
      <c r="AP5879" t="s">
        <v>53</v>
      </c>
    </row>
    <row r="5880" spans="2:42" x14ac:dyDescent="0.2">
      <c r="B5880" t="s">
        <v>44</v>
      </c>
      <c r="C5880" t="str">
        <f>HYPERLINK("https://us2.cloudbeds.com/connect/8493803454333002#/reservations/9080486846482055?display=2RKUN2P909&amp;reservation_id=9080486846482055", "2RKUN2P909")</f>
        <v>2RKUN2P909</v>
      </c>
      <c r="D5880" t="s">
        <v>45</v>
      </c>
      <c r="E5880" t="s">
        <v>223</v>
      </c>
      <c r="F5880" t="s">
        <v>47</v>
      </c>
      <c r="G5880" t="s">
        <v>48</v>
      </c>
      <c r="H5880" t="s">
        <v>49</v>
      </c>
      <c r="I5880" t="s">
        <v>50</v>
      </c>
      <c r="J5880" t="s">
        <v>5508</v>
      </c>
      <c r="K5880" t="s">
        <v>7325</v>
      </c>
      <c r="L5880" t="s">
        <v>53</v>
      </c>
      <c r="N5880" t="s">
        <v>10506</v>
      </c>
      <c r="P5880" t="s">
        <v>55</v>
      </c>
      <c r="R5880" t="s">
        <v>53</v>
      </c>
      <c r="T5880" t="s">
        <v>10507</v>
      </c>
      <c r="U5880" t="s">
        <v>58</v>
      </c>
      <c r="V5880">
        <v>2</v>
      </c>
      <c r="W5880">
        <v>1</v>
      </c>
      <c r="X5880">
        <v>1</v>
      </c>
      <c r="Y5880">
        <v>0</v>
      </c>
      <c r="Z5880">
        <v>1</v>
      </c>
      <c r="AA5880">
        <v>285.49</v>
      </c>
      <c r="AB5880">
        <v>570.98</v>
      </c>
      <c r="AC5880">
        <v>251.2</v>
      </c>
      <c r="AD5880">
        <v>0</v>
      </c>
      <c r="AE5880">
        <v>34.29</v>
      </c>
      <c r="AF5880">
        <v>0</v>
      </c>
      <c r="AG5880">
        <v>0</v>
      </c>
      <c r="AH5880">
        <v>0</v>
      </c>
      <c r="AI5880">
        <v>51.39</v>
      </c>
      <c r="AJ5880">
        <v>285.49</v>
      </c>
      <c r="AK5880">
        <v>0</v>
      </c>
      <c r="AL5880" t="s">
        <v>53</v>
      </c>
      <c r="AM5880" t="s">
        <v>53</v>
      </c>
      <c r="AN5880" t="s">
        <v>53</v>
      </c>
      <c r="AO5880" t="s">
        <v>53</v>
      </c>
      <c r="AP5880" t="s">
        <v>53</v>
      </c>
    </row>
    <row r="5881" spans="2:42" x14ac:dyDescent="0.2">
      <c r="B5881" t="s">
        <v>44</v>
      </c>
      <c r="C5881" t="str">
        <f>HYPERLINK("https://us2.cloudbeds.com/connect/8493803454333002#/reservations/131693043392687?display=2RY1JGG39S&amp;reservation_id=131693043392687", "2RY1JGG39S")</f>
        <v>2RY1JGG39S</v>
      </c>
      <c r="D5881" t="s">
        <v>45</v>
      </c>
      <c r="E5881" t="s">
        <v>138</v>
      </c>
      <c r="F5881" t="s">
        <v>70</v>
      </c>
      <c r="G5881" t="s">
        <v>48</v>
      </c>
      <c r="H5881" t="s">
        <v>3957</v>
      </c>
      <c r="I5881" t="s">
        <v>3975</v>
      </c>
      <c r="J5881" t="s">
        <v>8829</v>
      </c>
      <c r="K5881" t="s">
        <v>8911</v>
      </c>
      <c r="L5881" t="s">
        <v>53</v>
      </c>
      <c r="P5881" t="s">
        <v>55</v>
      </c>
      <c r="R5881" t="s">
        <v>53</v>
      </c>
      <c r="T5881" t="s">
        <v>10508</v>
      </c>
      <c r="U5881" t="s">
        <v>58</v>
      </c>
      <c r="V5881">
        <v>1</v>
      </c>
      <c r="W5881">
        <v>1</v>
      </c>
      <c r="X5881">
        <v>2</v>
      </c>
      <c r="Y5881">
        <v>0</v>
      </c>
      <c r="Z5881">
        <v>2</v>
      </c>
      <c r="AA5881">
        <v>168.2</v>
      </c>
      <c r="AB5881">
        <v>168.2</v>
      </c>
      <c r="AC5881">
        <v>148</v>
      </c>
      <c r="AD5881">
        <v>0</v>
      </c>
      <c r="AE5881">
        <v>20.2</v>
      </c>
      <c r="AF5881">
        <v>0</v>
      </c>
      <c r="AG5881">
        <v>0</v>
      </c>
      <c r="AH5881">
        <v>0</v>
      </c>
      <c r="AI5881">
        <v>0</v>
      </c>
      <c r="AJ5881">
        <v>168.2</v>
      </c>
      <c r="AK5881">
        <v>0</v>
      </c>
      <c r="AL5881" t="s">
        <v>53</v>
      </c>
      <c r="AM5881" t="s">
        <v>53</v>
      </c>
      <c r="AN5881" t="s">
        <v>10509</v>
      </c>
      <c r="AO5881" t="s">
        <v>53</v>
      </c>
      <c r="AP5881" t="s">
        <v>53</v>
      </c>
    </row>
    <row r="5882" spans="2:42" x14ac:dyDescent="0.2">
      <c r="B5882" t="s">
        <v>44</v>
      </c>
      <c r="C5882" t="str">
        <f>HYPERLINK("https://us2.cloudbeds.com/connect/8493803454333002#/reservations/9080486846482205?display=2RY37Z53T6&amp;reservation_id=9080486846482205", "2RY37Z53T6")</f>
        <v>2RY37Z53T6</v>
      </c>
      <c r="D5882" t="s">
        <v>45</v>
      </c>
      <c r="E5882" t="s">
        <v>138</v>
      </c>
      <c r="F5882" t="s">
        <v>70</v>
      </c>
      <c r="G5882" t="s">
        <v>48</v>
      </c>
      <c r="H5882" t="s">
        <v>49</v>
      </c>
      <c r="I5882" t="s">
        <v>50</v>
      </c>
      <c r="J5882" t="s">
        <v>8678</v>
      </c>
      <c r="K5882" t="s">
        <v>9687</v>
      </c>
      <c r="L5882" t="s">
        <v>53</v>
      </c>
      <c r="N5882" t="s">
        <v>10510</v>
      </c>
      <c r="P5882" t="s">
        <v>55</v>
      </c>
      <c r="R5882" t="s">
        <v>53</v>
      </c>
      <c r="T5882" t="s">
        <v>10511</v>
      </c>
      <c r="U5882" t="s">
        <v>58</v>
      </c>
      <c r="V5882">
        <v>1</v>
      </c>
      <c r="W5882">
        <v>1</v>
      </c>
      <c r="X5882">
        <v>2</v>
      </c>
      <c r="Y5882">
        <v>0</v>
      </c>
      <c r="Z5882">
        <v>2</v>
      </c>
      <c r="AA5882">
        <v>193.31</v>
      </c>
      <c r="AB5882">
        <v>193.31</v>
      </c>
      <c r="AC5882">
        <v>170.1</v>
      </c>
      <c r="AD5882">
        <v>0</v>
      </c>
      <c r="AE5882">
        <v>23.21</v>
      </c>
      <c r="AF5882">
        <v>0</v>
      </c>
      <c r="AG5882">
        <v>0</v>
      </c>
      <c r="AH5882">
        <v>0</v>
      </c>
      <c r="AI5882">
        <v>34.799999999999997</v>
      </c>
      <c r="AJ5882">
        <v>193.31</v>
      </c>
      <c r="AK5882">
        <v>0</v>
      </c>
      <c r="AL5882" t="s">
        <v>53</v>
      </c>
      <c r="AM5882" t="s">
        <v>53</v>
      </c>
      <c r="AN5882" t="s">
        <v>53</v>
      </c>
      <c r="AO5882" t="s">
        <v>53</v>
      </c>
      <c r="AP5882" t="s">
        <v>53</v>
      </c>
    </row>
    <row r="5883" spans="2:42" x14ac:dyDescent="0.2">
      <c r="B5883" t="s">
        <v>44</v>
      </c>
      <c r="C5883" t="str">
        <f>HYPERLINK("https://us2.cloudbeds.com/connect/8493803454333002#/reservations/9080486846482258?display=2RY66SE3WR&amp;reservation_id=9080486846482258", "2RY66SE3WR")</f>
        <v>2RY66SE3WR</v>
      </c>
      <c r="D5883" t="s">
        <v>45</v>
      </c>
      <c r="E5883" t="s">
        <v>487</v>
      </c>
      <c r="F5883" t="s">
        <v>61</v>
      </c>
      <c r="G5883" t="s">
        <v>48</v>
      </c>
      <c r="H5883" t="s">
        <v>49</v>
      </c>
      <c r="I5883" t="s">
        <v>8964</v>
      </c>
      <c r="J5883" t="s">
        <v>9829</v>
      </c>
      <c r="K5883" t="s">
        <v>6992</v>
      </c>
      <c r="L5883" t="s">
        <v>53</v>
      </c>
      <c r="N5883" t="s">
        <v>10512</v>
      </c>
      <c r="P5883" t="s">
        <v>55</v>
      </c>
      <c r="R5883" t="s">
        <v>53</v>
      </c>
      <c r="T5883" t="s">
        <v>10513</v>
      </c>
      <c r="U5883" t="s">
        <v>58</v>
      </c>
      <c r="V5883">
        <v>3</v>
      </c>
      <c r="W5883">
        <v>1</v>
      </c>
      <c r="X5883">
        <v>2</v>
      </c>
      <c r="Y5883">
        <v>0</v>
      </c>
      <c r="Z5883">
        <v>2</v>
      </c>
      <c r="AA5883">
        <v>0</v>
      </c>
      <c r="AB5883">
        <v>0</v>
      </c>
      <c r="AC5883">
        <v>601</v>
      </c>
      <c r="AD5883">
        <v>0</v>
      </c>
      <c r="AE5883">
        <v>0</v>
      </c>
      <c r="AF5883">
        <v>0</v>
      </c>
      <c r="AG5883">
        <v>0</v>
      </c>
      <c r="AH5883">
        <v>0</v>
      </c>
      <c r="AI5883">
        <v>90.15</v>
      </c>
      <c r="AJ5883">
        <v>601</v>
      </c>
      <c r="AK5883">
        <v>601</v>
      </c>
      <c r="AL5883" t="s">
        <v>53</v>
      </c>
      <c r="AM5883" t="s">
        <v>53</v>
      </c>
      <c r="AN5883" t="s">
        <v>53</v>
      </c>
      <c r="AO5883" t="s">
        <v>53</v>
      </c>
      <c r="AP5883" t="s">
        <v>53</v>
      </c>
    </row>
    <row r="5884" spans="2:42" x14ac:dyDescent="0.2">
      <c r="B5884" t="s">
        <v>44</v>
      </c>
      <c r="C5884" t="str">
        <f>HYPERLINK("https://us2.cloudbeds.com/connect/8493803454333002#/reservations/9080486846482499?display=2RYG5ABSB6&amp;reservation_id=9080486846482499", "2RYG5ABSB6")</f>
        <v>2RYG5ABSB6</v>
      </c>
      <c r="D5884" t="s">
        <v>45</v>
      </c>
      <c r="E5884" t="s">
        <v>223</v>
      </c>
      <c r="F5884" t="s">
        <v>47</v>
      </c>
      <c r="G5884" t="s">
        <v>48</v>
      </c>
      <c r="H5884" t="s">
        <v>49</v>
      </c>
      <c r="I5884" t="s">
        <v>62</v>
      </c>
      <c r="J5884" t="s">
        <v>4009</v>
      </c>
      <c r="K5884" t="s">
        <v>8319</v>
      </c>
      <c r="L5884" t="s">
        <v>53</v>
      </c>
      <c r="N5884" t="s">
        <v>10514</v>
      </c>
      <c r="P5884" t="s">
        <v>55</v>
      </c>
      <c r="R5884" t="s">
        <v>56</v>
      </c>
      <c r="T5884" t="s">
        <v>10515</v>
      </c>
      <c r="U5884" t="s">
        <v>55</v>
      </c>
      <c r="V5884">
        <v>1</v>
      </c>
      <c r="W5884">
        <v>1</v>
      </c>
      <c r="X5884">
        <v>1</v>
      </c>
      <c r="Y5884">
        <v>0</v>
      </c>
      <c r="Z5884">
        <v>1</v>
      </c>
      <c r="AA5884">
        <v>159.6</v>
      </c>
      <c r="AB5884">
        <v>159.6</v>
      </c>
      <c r="AC5884">
        <v>159.6</v>
      </c>
      <c r="AD5884">
        <v>0</v>
      </c>
      <c r="AE5884">
        <v>0</v>
      </c>
      <c r="AF5884">
        <v>0</v>
      </c>
      <c r="AG5884">
        <v>0</v>
      </c>
      <c r="AH5884">
        <v>0</v>
      </c>
      <c r="AI5884">
        <v>28.73</v>
      </c>
      <c r="AJ5884">
        <v>159.6</v>
      </c>
      <c r="AK5884">
        <v>0</v>
      </c>
      <c r="AL5884" t="s">
        <v>53</v>
      </c>
      <c r="AM5884" t="s">
        <v>53</v>
      </c>
      <c r="AN5884" t="s">
        <v>53</v>
      </c>
      <c r="AO5884" t="s">
        <v>53</v>
      </c>
      <c r="AP5884" t="s">
        <v>53</v>
      </c>
    </row>
    <row r="5885" spans="2:42" x14ac:dyDescent="0.2">
      <c r="B5885" t="s">
        <v>44</v>
      </c>
      <c r="C5885" t="str">
        <f>HYPERLINK("https://us2.cloudbeds.com/connect/8493803454333002#/reservations/9080486846482706?display=2RYPG8RMVP&amp;reservation_id=9080486846482706", "2RYPG8RMVP")</f>
        <v>2RYPG8RMVP</v>
      </c>
      <c r="D5885" t="s">
        <v>45</v>
      </c>
      <c r="E5885" t="s">
        <v>155</v>
      </c>
      <c r="F5885" t="s">
        <v>86</v>
      </c>
      <c r="G5885" t="s">
        <v>48</v>
      </c>
      <c r="H5885" t="s">
        <v>49</v>
      </c>
      <c r="I5885" t="s">
        <v>50</v>
      </c>
      <c r="J5885" t="s">
        <v>4008</v>
      </c>
      <c r="K5885" t="s">
        <v>4009</v>
      </c>
      <c r="L5885" t="s">
        <v>53</v>
      </c>
      <c r="N5885" t="s">
        <v>10516</v>
      </c>
      <c r="P5885" t="s">
        <v>55</v>
      </c>
      <c r="R5885" t="s">
        <v>53</v>
      </c>
      <c r="T5885" t="s">
        <v>10517</v>
      </c>
      <c r="U5885" t="s">
        <v>58</v>
      </c>
      <c r="V5885">
        <v>1</v>
      </c>
      <c r="W5885">
        <v>1</v>
      </c>
      <c r="X5885">
        <v>1</v>
      </c>
      <c r="Y5885">
        <v>1</v>
      </c>
      <c r="Z5885">
        <v>2</v>
      </c>
      <c r="AA5885">
        <v>162.30000000000001</v>
      </c>
      <c r="AB5885">
        <v>162.30000000000001</v>
      </c>
      <c r="AC5885">
        <v>142.80000000000001</v>
      </c>
      <c r="AD5885">
        <v>0</v>
      </c>
      <c r="AE5885">
        <v>19.5</v>
      </c>
      <c r="AF5885">
        <v>0</v>
      </c>
      <c r="AG5885">
        <v>0</v>
      </c>
      <c r="AH5885">
        <v>0</v>
      </c>
      <c r="AI5885">
        <v>29.21</v>
      </c>
      <c r="AJ5885">
        <v>162.30000000000001</v>
      </c>
      <c r="AK5885">
        <v>0</v>
      </c>
      <c r="AL5885" t="s">
        <v>53</v>
      </c>
      <c r="AM5885" t="s">
        <v>53</v>
      </c>
      <c r="AN5885" t="s">
        <v>53</v>
      </c>
      <c r="AO5885" t="s">
        <v>53</v>
      </c>
      <c r="AP5885" t="s">
        <v>53</v>
      </c>
    </row>
    <row r="5886" spans="2:42" x14ac:dyDescent="0.2">
      <c r="B5886" t="s">
        <v>44</v>
      </c>
      <c r="C5886" t="str">
        <f>HYPERLINK("https://us2.cloudbeds.com/connect/8493803454333002#/reservations/9080486846483544?display=2RN63SBCP7&amp;reservation_id=9080486846483544", "2RN63SBCP7")</f>
        <v>2RN63SBCP7</v>
      </c>
      <c r="D5886" t="s">
        <v>45</v>
      </c>
      <c r="E5886" t="s">
        <v>223</v>
      </c>
      <c r="F5886" t="s">
        <v>47</v>
      </c>
      <c r="G5886" t="s">
        <v>48</v>
      </c>
      <c r="H5886" t="s">
        <v>49</v>
      </c>
      <c r="I5886" t="s">
        <v>50</v>
      </c>
      <c r="J5886" t="s">
        <v>7623</v>
      </c>
      <c r="K5886" t="s">
        <v>7624</v>
      </c>
      <c r="L5886" t="s">
        <v>53</v>
      </c>
      <c r="N5886" t="s">
        <v>10518</v>
      </c>
      <c r="P5886" t="s">
        <v>55</v>
      </c>
      <c r="R5886" t="s">
        <v>53</v>
      </c>
      <c r="T5886" t="s">
        <v>10519</v>
      </c>
      <c r="U5886" t="s">
        <v>58</v>
      </c>
      <c r="V5886">
        <v>1</v>
      </c>
      <c r="W5886">
        <v>1</v>
      </c>
      <c r="X5886">
        <v>1</v>
      </c>
      <c r="Y5886">
        <v>0</v>
      </c>
      <c r="Z5886">
        <v>1</v>
      </c>
      <c r="AA5886">
        <v>165.2</v>
      </c>
      <c r="AB5886">
        <v>165.2</v>
      </c>
      <c r="AC5886">
        <v>145.35</v>
      </c>
      <c r="AD5886">
        <v>0</v>
      </c>
      <c r="AE5886">
        <v>19.850000000000001</v>
      </c>
      <c r="AF5886">
        <v>0</v>
      </c>
      <c r="AG5886">
        <v>0</v>
      </c>
      <c r="AH5886">
        <v>0</v>
      </c>
      <c r="AI5886">
        <v>29.74</v>
      </c>
      <c r="AJ5886">
        <v>165.2</v>
      </c>
      <c r="AK5886">
        <v>0</v>
      </c>
      <c r="AL5886" t="s">
        <v>53</v>
      </c>
      <c r="AM5886" t="s">
        <v>53</v>
      </c>
      <c r="AN5886" t="s">
        <v>53</v>
      </c>
      <c r="AO5886" t="s">
        <v>53</v>
      </c>
      <c r="AP5886" t="s">
        <v>53</v>
      </c>
    </row>
    <row r="5887" spans="2:42" x14ac:dyDescent="0.2">
      <c r="B5887" t="s">
        <v>44</v>
      </c>
      <c r="C5887" t="str">
        <f>HYPERLINK("https://us2.cloudbeds.com/connect/8493803454333002#/reservations/9080486846484595?display=2RZPG8BSF6&amp;reservation_id=9080486846484595", "2RZPG8BSF6")</f>
        <v>2RZPG8BSF6</v>
      </c>
      <c r="D5887" t="s">
        <v>45</v>
      </c>
      <c r="E5887" t="s">
        <v>128</v>
      </c>
      <c r="F5887" t="s">
        <v>86</v>
      </c>
      <c r="G5887" t="s">
        <v>48</v>
      </c>
      <c r="H5887" t="s">
        <v>49</v>
      </c>
      <c r="I5887" t="s">
        <v>50</v>
      </c>
      <c r="J5887" t="s">
        <v>9692</v>
      </c>
      <c r="K5887" t="s">
        <v>7325</v>
      </c>
      <c r="L5887" t="s">
        <v>53</v>
      </c>
      <c r="N5887" t="s">
        <v>10520</v>
      </c>
      <c r="P5887" t="s">
        <v>55</v>
      </c>
      <c r="R5887" t="s">
        <v>53</v>
      </c>
      <c r="T5887" t="s">
        <v>10521</v>
      </c>
      <c r="U5887" t="s">
        <v>58</v>
      </c>
      <c r="V5887">
        <v>1</v>
      </c>
      <c r="W5887">
        <v>1</v>
      </c>
      <c r="X5887">
        <v>2</v>
      </c>
      <c r="Y5887">
        <v>0</v>
      </c>
      <c r="Z5887">
        <v>2</v>
      </c>
      <c r="AA5887">
        <v>166.39</v>
      </c>
      <c r="AB5887">
        <v>166.39</v>
      </c>
      <c r="AC5887">
        <v>146.4</v>
      </c>
      <c r="AD5887">
        <v>0</v>
      </c>
      <c r="AE5887">
        <v>19.989999999999998</v>
      </c>
      <c r="AF5887">
        <v>0</v>
      </c>
      <c r="AG5887">
        <v>0</v>
      </c>
      <c r="AH5887">
        <v>0</v>
      </c>
      <c r="AI5887">
        <v>29.95</v>
      </c>
      <c r="AJ5887">
        <v>166.39</v>
      </c>
      <c r="AK5887">
        <v>0</v>
      </c>
      <c r="AL5887" t="s">
        <v>53</v>
      </c>
      <c r="AM5887" t="s">
        <v>53</v>
      </c>
      <c r="AN5887" t="s">
        <v>53</v>
      </c>
      <c r="AO5887" t="s">
        <v>53</v>
      </c>
      <c r="AP5887" t="s">
        <v>53</v>
      </c>
    </row>
    <row r="5888" spans="2:42" x14ac:dyDescent="0.2">
      <c r="B5888" t="s">
        <v>44</v>
      </c>
      <c r="C5888" t="str">
        <f>HYPERLINK("https://us2.cloudbeds.com/connect/8493803454333002#/reservations/131891953422464?display=2RPNK3MPPJ&amp;reservation_id=131891953422464", "2RPNK3MPPJ")</f>
        <v>2RPNK3MPPJ</v>
      </c>
      <c r="D5888" t="s">
        <v>45</v>
      </c>
      <c r="E5888" t="s">
        <v>92</v>
      </c>
      <c r="F5888" t="s">
        <v>86</v>
      </c>
      <c r="G5888" t="s">
        <v>48</v>
      </c>
      <c r="H5888" t="s">
        <v>3957</v>
      </c>
      <c r="I5888" t="s">
        <v>3958</v>
      </c>
      <c r="J5888" t="s">
        <v>8071</v>
      </c>
      <c r="K5888" t="s">
        <v>4008</v>
      </c>
      <c r="L5888" t="s">
        <v>53</v>
      </c>
      <c r="P5888" t="s">
        <v>55</v>
      </c>
      <c r="R5888" t="s">
        <v>56</v>
      </c>
      <c r="T5888" t="s">
        <v>10522</v>
      </c>
      <c r="U5888" t="s">
        <v>58</v>
      </c>
      <c r="V5888">
        <v>1</v>
      </c>
      <c r="W5888">
        <v>1</v>
      </c>
      <c r="X5888">
        <v>1</v>
      </c>
      <c r="Y5888">
        <v>0</v>
      </c>
      <c r="Z5888">
        <v>1</v>
      </c>
      <c r="AA5888">
        <v>181.84</v>
      </c>
      <c r="AB5888">
        <v>187.26</v>
      </c>
      <c r="AC5888">
        <v>160</v>
      </c>
      <c r="AD5888">
        <v>5</v>
      </c>
      <c r="AE5888">
        <v>22.26</v>
      </c>
      <c r="AF5888">
        <v>0</v>
      </c>
      <c r="AG5888">
        <v>0</v>
      </c>
      <c r="AH5888">
        <v>0</v>
      </c>
      <c r="AI5888">
        <v>0</v>
      </c>
      <c r="AJ5888">
        <v>187.26</v>
      </c>
      <c r="AK5888">
        <v>0</v>
      </c>
      <c r="AL5888" t="s">
        <v>53</v>
      </c>
      <c r="AM5888" t="s">
        <v>53</v>
      </c>
      <c r="AN5888" t="s">
        <v>53</v>
      </c>
      <c r="AO5888" t="s">
        <v>53</v>
      </c>
      <c r="AP5888" t="s">
        <v>53</v>
      </c>
    </row>
    <row r="5889" spans="2:42" x14ac:dyDescent="0.2">
      <c r="B5889" t="s">
        <v>44</v>
      </c>
      <c r="C5889" t="str">
        <f>HYPERLINK("https://us2.cloudbeds.com/connect/8493803454333002#/reservations/9080486846485924?display=2RQ2T1CR5W&amp;reservation_id=9080486846485924", "2RQ2T1CR5W")</f>
        <v>2RQ2T1CR5W</v>
      </c>
      <c r="D5889" t="s">
        <v>45</v>
      </c>
      <c r="E5889" t="s">
        <v>110</v>
      </c>
      <c r="F5889" t="s">
        <v>47</v>
      </c>
      <c r="G5889" t="s">
        <v>48</v>
      </c>
      <c r="H5889" t="s">
        <v>49</v>
      </c>
      <c r="I5889" t="s">
        <v>62</v>
      </c>
      <c r="J5889" t="s">
        <v>8900</v>
      </c>
      <c r="K5889" t="s">
        <v>6454</v>
      </c>
      <c r="L5889" t="s">
        <v>53</v>
      </c>
      <c r="N5889" t="s">
        <v>10523</v>
      </c>
      <c r="P5889" t="s">
        <v>58</v>
      </c>
      <c r="R5889" t="s">
        <v>56</v>
      </c>
      <c r="T5889" t="s">
        <v>10524</v>
      </c>
      <c r="U5889" t="s">
        <v>55</v>
      </c>
      <c r="V5889">
        <v>3</v>
      </c>
      <c r="W5889">
        <v>1</v>
      </c>
      <c r="X5889">
        <v>2</v>
      </c>
      <c r="Y5889">
        <v>0</v>
      </c>
      <c r="Z5889">
        <v>2</v>
      </c>
      <c r="AA5889">
        <v>849.3</v>
      </c>
      <c r="AB5889">
        <v>849.3</v>
      </c>
      <c r="AC5889">
        <v>849.3</v>
      </c>
      <c r="AD5889">
        <v>0</v>
      </c>
      <c r="AE5889">
        <v>0</v>
      </c>
      <c r="AF5889">
        <v>0</v>
      </c>
      <c r="AG5889">
        <v>0</v>
      </c>
      <c r="AH5889">
        <v>0</v>
      </c>
      <c r="AI5889">
        <v>152.87</v>
      </c>
      <c r="AJ5889">
        <v>849.3</v>
      </c>
      <c r="AK5889">
        <v>0</v>
      </c>
      <c r="AL5889" t="s">
        <v>53</v>
      </c>
      <c r="AM5889" t="s">
        <v>53</v>
      </c>
      <c r="AN5889" t="s">
        <v>53</v>
      </c>
      <c r="AO5889" t="s">
        <v>53</v>
      </c>
      <c r="AP5889" t="s">
        <v>53</v>
      </c>
    </row>
    <row r="5890" spans="2:42" x14ac:dyDescent="0.2">
      <c r="B5890" t="s">
        <v>44</v>
      </c>
      <c r="C5890" t="str">
        <f>HYPERLINK("https://us2.cloudbeds.com/connect/8493803454333002#/reservations/131922804420852?display=2RQEGE2D7Q&amp;reservation_id=131922804420852", "2RQEGE2D7Q")</f>
        <v>2RQEGE2D7Q</v>
      </c>
      <c r="D5890" t="s">
        <v>45</v>
      </c>
      <c r="E5890" t="s">
        <v>213</v>
      </c>
      <c r="F5890" t="s">
        <v>86</v>
      </c>
      <c r="G5890" t="s">
        <v>4520</v>
      </c>
      <c r="H5890" t="s">
        <v>3957</v>
      </c>
      <c r="I5890" t="s">
        <v>3958</v>
      </c>
      <c r="J5890" t="s">
        <v>8139</v>
      </c>
      <c r="K5890" t="s">
        <v>7294</v>
      </c>
      <c r="L5890" t="s">
        <v>53</v>
      </c>
      <c r="P5890" t="s">
        <v>55</v>
      </c>
      <c r="R5890" t="s">
        <v>56</v>
      </c>
      <c r="T5890" t="s">
        <v>10525</v>
      </c>
      <c r="U5890" t="s">
        <v>58</v>
      </c>
      <c r="V5890">
        <v>2</v>
      </c>
      <c r="W5890">
        <v>1</v>
      </c>
      <c r="X5890">
        <v>1</v>
      </c>
      <c r="Y5890">
        <v>0</v>
      </c>
      <c r="Z5890">
        <v>1</v>
      </c>
      <c r="AA5890">
        <v>400.96</v>
      </c>
      <c r="AB5890">
        <v>400.96</v>
      </c>
      <c r="AC5890">
        <v>352.8</v>
      </c>
      <c r="AD5890">
        <v>0</v>
      </c>
      <c r="AE5890">
        <v>48.16</v>
      </c>
      <c r="AF5890">
        <v>0</v>
      </c>
      <c r="AG5890">
        <v>0</v>
      </c>
      <c r="AH5890">
        <v>0</v>
      </c>
      <c r="AI5890">
        <v>0</v>
      </c>
      <c r="AJ5890">
        <v>400.96</v>
      </c>
      <c r="AK5890">
        <v>0</v>
      </c>
      <c r="AL5890" t="s">
        <v>53</v>
      </c>
      <c r="AM5890" t="s">
        <v>53</v>
      </c>
      <c r="AN5890" t="s">
        <v>53</v>
      </c>
      <c r="AO5890" t="s">
        <v>53</v>
      </c>
      <c r="AP5890" t="s">
        <v>53</v>
      </c>
    </row>
    <row r="5891" spans="2:42" x14ac:dyDescent="0.2">
      <c r="B5891" t="s">
        <v>44</v>
      </c>
      <c r="C5891" t="str">
        <f>HYPERLINK("https://us2.cloudbeds.com/connect/8493803454333002#/reservations/9080486846486652?display=2RQP4MKMM8&amp;reservation_id=9080486846486652", "2RQP4MKMM8")</f>
        <v>2RQP4MKMM8</v>
      </c>
      <c r="D5891" t="s">
        <v>45</v>
      </c>
      <c r="E5891" t="s">
        <v>113</v>
      </c>
      <c r="F5891" t="s">
        <v>61</v>
      </c>
      <c r="G5891" t="s">
        <v>48</v>
      </c>
      <c r="H5891" t="s">
        <v>49</v>
      </c>
      <c r="I5891" t="s">
        <v>50</v>
      </c>
      <c r="J5891" t="s">
        <v>7088</v>
      </c>
      <c r="K5891" t="s">
        <v>7089</v>
      </c>
      <c r="L5891" t="s">
        <v>53</v>
      </c>
      <c r="N5891" t="s">
        <v>10526</v>
      </c>
      <c r="P5891" t="s">
        <v>55</v>
      </c>
      <c r="R5891" t="s">
        <v>53</v>
      </c>
      <c r="T5891" t="s">
        <v>10527</v>
      </c>
      <c r="U5891" t="s">
        <v>58</v>
      </c>
      <c r="V5891">
        <v>2</v>
      </c>
      <c r="W5891">
        <v>1</v>
      </c>
      <c r="X5891">
        <v>2</v>
      </c>
      <c r="Y5891">
        <v>0</v>
      </c>
      <c r="Z5891">
        <v>2</v>
      </c>
      <c r="AA5891">
        <v>328.22</v>
      </c>
      <c r="AB5891">
        <v>328.22</v>
      </c>
      <c r="AC5891">
        <v>288.8</v>
      </c>
      <c r="AD5891">
        <v>0</v>
      </c>
      <c r="AE5891">
        <v>39.42</v>
      </c>
      <c r="AF5891">
        <v>0</v>
      </c>
      <c r="AG5891">
        <v>0</v>
      </c>
      <c r="AH5891">
        <v>0</v>
      </c>
      <c r="AI5891">
        <v>59.08</v>
      </c>
      <c r="AJ5891">
        <v>328.22</v>
      </c>
      <c r="AK5891">
        <v>0</v>
      </c>
      <c r="AL5891" t="s">
        <v>53</v>
      </c>
      <c r="AM5891" t="s">
        <v>53</v>
      </c>
      <c r="AN5891" t="s">
        <v>53</v>
      </c>
      <c r="AO5891" t="s">
        <v>53</v>
      </c>
      <c r="AP5891" t="s">
        <v>53</v>
      </c>
    </row>
    <row r="5892" spans="2:42" x14ac:dyDescent="0.2">
      <c r="B5892" t="s">
        <v>44</v>
      </c>
      <c r="C5892" t="str">
        <f>HYPERLINK("https://us2.cloudbeds.com/connect/8493803454333002#/reservations/131948354818238?display=2RR199RSQ1&amp;reservation_id=131948354818238", "2RR199RSQ1")</f>
        <v>2RR199RSQ1</v>
      </c>
      <c r="D5892" t="s">
        <v>45</v>
      </c>
      <c r="E5892" t="s">
        <v>190</v>
      </c>
      <c r="F5892" t="s">
        <v>61</v>
      </c>
      <c r="G5892" t="s">
        <v>7801</v>
      </c>
      <c r="H5892" t="s">
        <v>3957</v>
      </c>
      <c r="I5892" t="s">
        <v>3958</v>
      </c>
      <c r="J5892" t="s">
        <v>7975</v>
      </c>
      <c r="K5892" t="s">
        <v>7750</v>
      </c>
      <c r="L5892" t="s">
        <v>53</v>
      </c>
      <c r="P5892" t="s">
        <v>55</v>
      </c>
      <c r="R5892" t="s">
        <v>56</v>
      </c>
      <c r="T5892" t="s">
        <v>10528</v>
      </c>
      <c r="U5892" t="s">
        <v>58</v>
      </c>
      <c r="V5892">
        <v>1</v>
      </c>
      <c r="W5892">
        <v>1</v>
      </c>
      <c r="X5892">
        <v>1</v>
      </c>
      <c r="Y5892">
        <v>0</v>
      </c>
      <c r="Z5892">
        <v>1</v>
      </c>
      <c r="AA5892">
        <v>204.57</v>
      </c>
      <c r="AB5892">
        <v>204.57</v>
      </c>
      <c r="AC5892">
        <v>180</v>
      </c>
      <c r="AD5892">
        <v>0</v>
      </c>
      <c r="AE5892">
        <v>24.57</v>
      </c>
      <c r="AF5892">
        <v>0</v>
      </c>
      <c r="AG5892">
        <v>0</v>
      </c>
      <c r="AH5892">
        <v>0</v>
      </c>
      <c r="AI5892">
        <v>0</v>
      </c>
      <c r="AJ5892">
        <v>204.57</v>
      </c>
      <c r="AK5892">
        <v>0</v>
      </c>
      <c r="AL5892" t="s">
        <v>53</v>
      </c>
      <c r="AM5892" t="s">
        <v>53</v>
      </c>
      <c r="AN5892" t="s">
        <v>53</v>
      </c>
      <c r="AO5892" t="s">
        <v>53</v>
      </c>
      <c r="AP5892" t="s">
        <v>53</v>
      </c>
    </row>
    <row r="5893" spans="2:42" x14ac:dyDescent="0.2">
      <c r="B5893" t="s">
        <v>44</v>
      </c>
      <c r="C5893" t="str">
        <f>HYPERLINK("https://us2.cloudbeds.com/connect/8493803454333002#/reservations/9080486846488171?display=2RSDBM6047&amp;reservation_id=9080486846488171", "2RSDBM6047")</f>
        <v>2RSDBM6047</v>
      </c>
      <c r="D5893" t="s">
        <v>45</v>
      </c>
      <c r="E5893" t="s">
        <v>265</v>
      </c>
      <c r="F5893" t="s">
        <v>61</v>
      </c>
      <c r="G5893" t="s">
        <v>48</v>
      </c>
      <c r="H5893" t="s">
        <v>49</v>
      </c>
      <c r="I5893" t="s">
        <v>8964</v>
      </c>
      <c r="J5893" t="s">
        <v>8319</v>
      </c>
      <c r="K5893" t="s">
        <v>9318</v>
      </c>
      <c r="L5893" t="s">
        <v>53</v>
      </c>
      <c r="N5893" t="s">
        <v>10529</v>
      </c>
      <c r="P5893" t="s">
        <v>55</v>
      </c>
      <c r="R5893" t="s">
        <v>53</v>
      </c>
      <c r="T5893" t="s">
        <v>10530</v>
      </c>
      <c r="U5893" t="s">
        <v>58</v>
      </c>
      <c r="V5893">
        <v>1</v>
      </c>
      <c r="W5893">
        <v>1</v>
      </c>
      <c r="X5893">
        <v>2</v>
      </c>
      <c r="Y5893">
        <v>0</v>
      </c>
      <c r="Z5893">
        <v>2</v>
      </c>
      <c r="AA5893">
        <v>166</v>
      </c>
      <c r="AB5893">
        <v>0</v>
      </c>
      <c r="AC5893">
        <v>166</v>
      </c>
      <c r="AD5893">
        <v>0</v>
      </c>
      <c r="AE5893">
        <v>0</v>
      </c>
      <c r="AF5893">
        <v>0</v>
      </c>
      <c r="AG5893">
        <v>0</v>
      </c>
      <c r="AH5893">
        <v>0</v>
      </c>
      <c r="AI5893">
        <v>24.9</v>
      </c>
      <c r="AJ5893">
        <v>166</v>
      </c>
      <c r="AK5893">
        <v>166</v>
      </c>
      <c r="AL5893" t="s">
        <v>53</v>
      </c>
      <c r="AM5893" t="s">
        <v>53</v>
      </c>
      <c r="AN5893" t="s">
        <v>53</v>
      </c>
      <c r="AO5893" t="s">
        <v>53</v>
      </c>
      <c r="AP5893" t="s">
        <v>53</v>
      </c>
    </row>
    <row r="5894" spans="2:42" x14ac:dyDescent="0.2">
      <c r="B5894" t="s">
        <v>44</v>
      </c>
      <c r="C5894" t="str">
        <f>HYPERLINK("https://us2.cloudbeds.com/connect/8493803454333002#/reservations/132017863430332?display=2RSM3DBFDY&amp;reservation_id=132017863430332", "2RSM3DBFDY")</f>
        <v>2RSM3DBFDY</v>
      </c>
      <c r="D5894" t="s">
        <v>45</v>
      </c>
      <c r="E5894" t="s">
        <v>223</v>
      </c>
      <c r="F5894" t="s">
        <v>47</v>
      </c>
      <c r="G5894" t="s">
        <v>48</v>
      </c>
      <c r="H5894" t="s">
        <v>3957</v>
      </c>
      <c r="I5894" t="s">
        <v>3975</v>
      </c>
      <c r="J5894" t="s">
        <v>9318</v>
      </c>
      <c r="K5894" t="s">
        <v>7623</v>
      </c>
      <c r="L5894" t="s">
        <v>53</v>
      </c>
      <c r="P5894" t="s">
        <v>55</v>
      </c>
      <c r="R5894" t="s">
        <v>53</v>
      </c>
      <c r="T5894" t="s">
        <v>10531</v>
      </c>
      <c r="U5894" t="s">
        <v>58</v>
      </c>
      <c r="V5894">
        <v>2</v>
      </c>
      <c r="W5894">
        <v>1</v>
      </c>
      <c r="X5894">
        <v>2</v>
      </c>
      <c r="Y5894">
        <v>0</v>
      </c>
      <c r="Z5894">
        <v>2</v>
      </c>
      <c r="AA5894">
        <v>459.16</v>
      </c>
      <c r="AB5894">
        <v>459.16</v>
      </c>
      <c r="AC5894">
        <v>404</v>
      </c>
      <c r="AD5894">
        <v>0</v>
      </c>
      <c r="AE5894">
        <v>55.16</v>
      </c>
      <c r="AF5894">
        <v>0</v>
      </c>
      <c r="AG5894">
        <v>0</v>
      </c>
      <c r="AH5894">
        <v>0</v>
      </c>
      <c r="AI5894">
        <v>0</v>
      </c>
      <c r="AJ5894">
        <v>459.16</v>
      </c>
      <c r="AK5894">
        <v>0</v>
      </c>
      <c r="AL5894" t="s">
        <v>53</v>
      </c>
      <c r="AM5894" t="s">
        <v>53</v>
      </c>
      <c r="AN5894" t="s">
        <v>53</v>
      </c>
      <c r="AO5894" t="s">
        <v>53</v>
      </c>
      <c r="AP5894" t="s">
        <v>53</v>
      </c>
    </row>
    <row r="5895" spans="2:42" x14ac:dyDescent="0.2">
      <c r="B5895" t="s">
        <v>44</v>
      </c>
      <c r="C5895" t="str">
        <f>HYPERLINK("https://us2.cloudbeds.com/connect/8493803454333002#/reservations/132037207875740?display=2RT42N35R1&amp;reservation_id=132037207875740", "2RT42N35R1")</f>
        <v>2RT42N35R1</v>
      </c>
      <c r="D5895" t="s">
        <v>45</v>
      </c>
      <c r="E5895" t="s">
        <v>487</v>
      </c>
      <c r="F5895" t="s">
        <v>61</v>
      </c>
      <c r="G5895" t="s">
        <v>48</v>
      </c>
      <c r="H5895" t="s">
        <v>3957</v>
      </c>
      <c r="I5895" t="s">
        <v>3975</v>
      </c>
      <c r="J5895" t="s">
        <v>8367</v>
      </c>
      <c r="K5895" t="s">
        <v>7751</v>
      </c>
      <c r="L5895" t="s">
        <v>53</v>
      </c>
      <c r="P5895" t="s">
        <v>58</v>
      </c>
      <c r="R5895" t="s">
        <v>53</v>
      </c>
      <c r="T5895" t="s">
        <v>10532</v>
      </c>
      <c r="U5895" t="s">
        <v>58</v>
      </c>
      <c r="V5895">
        <v>1</v>
      </c>
      <c r="W5895">
        <v>1</v>
      </c>
      <c r="X5895">
        <v>2</v>
      </c>
      <c r="Y5895">
        <v>0</v>
      </c>
      <c r="Z5895">
        <v>2</v>
      </c>
      <c r="AA5895">
        <v>265.95</v>
      </c>
      <c r="AB5895">
        <v>265.95</v>
      </c>
      <c r="AC5895">
        <v>234</v>
      </c>
      <c r="AD5895">
        <v>0</v>
      </c>
      <c r="AE5895">
        <v>31.95</v>
      </c>
      <c r="AF5895">
        <v>0</v>
      </c>
      <c r="AG5895">
        <v>0</v>
      </c>
      <c r="AH5895">
        <v>0</v>
      </c>
      <c r="AI5895">
        <v>0</v>
      </c>
      <c r="AJ5895">
        <v>265.95</v>
      </c>
      <c r="AK5895">
        <v>0</v>
      </c>
      <c r="AL5895" t="s">
        <v>53</v>
      </c>
      <c r="AM5895" t="s">
        <v>53</v>
      </c>
      <c r="AN5895" t="s">
        <v>53</v>
      </c>
      <c r="AO5895" t="s">
        <v>53</v>
      </c>
      <c r="AP5895" t="s">
        <v>53</v>
      </c>
    </row>
    <row r="5896" spans="2:42" x14ac:dyDescent="0.2">
      <c r="B5896" t="s">
        <v>44</v>
      </c>
      <c r="C5896" t="str">
        <f>HYPERLINK("https://us2.cloudbeds.com/connect/8493803454333002#/reservations/132042790822066?display=2RT8DBPT9Z&amp;reservation_id=132042790822066", "2RT8DBPT9Z")</f>
        <v>2RT8DBPT9Z</v>
      </c>
      <c r="D5896" t="s">
        <v>45</v>
      </c>
      <c r="E5896" t="s">
        <v>78</v>
      </c>
      <c r="F5896" t="s">
        <v>61</v>
      </c>
      <c r="G5896" t="s">
        <v>48</v>
      </c>
      <c r="H5896" t="s">
        <v>3957</v>
      </c>
      <c r="I5896" t="s">
        <v>3975</v>
      </c>
      <c r="J5896" t="s">
        <v>4008</v>
      </c>
      <c r="K5896" t="s">
        <v>4009</v>
      </c>
      <c r="L5896" t="s">
        <v>53</v>
      </c>
      <c r="P5896" t="s">
        <v>55</v>
      </c>
      <c r="R5896" t="s">
        <v>53</v>
      </c>
      <c r="T5896" t="s">
        <v>10533</v>
      </c>
      <c r="U5896" t="s">
        <v>58</v>
      </c>
      <c r="V5896">
        <v>1</v>
      </c>
      <c r="W5896">
        <v>1</v>
      </c>
      <c r="X5896">
        <v>2</v>
      </c>
      <c r="Y5896">
        <v>0</v>
      </c>
      <c r="Z5896">
        <v>2</v>
      </c>
      <c r="AA5896">
        <v>182.98</v>
      </c>
      <c r="AB5896">
        <v>182.98</v>
      </c>
      <c r="AC5896">
        <v>161</v>
      </c>
      <c r="AD5896">
        <v>0</v>
      </c>
      <c r="AE5896">
        <v>21.98</v>
      </c>
      <c r="AF5896">
        <v>0</v>
      </c>
      <c r="AG5896">
        <v>0</v>
      </c>
      <c r="AH5896">
        <v>0</v>
      </c>
      <c r="AI5896">
        <v>0</v>
      </c>
      <c r="AJ5896">
        <v>182.98</v>
      </c>
      <c r="AK5896">
        <v>0</v>
      </c>
      <c r="AL5896" t="s">
        <v>53</v>
      </c>
      <c r="AM5896" t="s">
        <v>53</v>
      </c>
      <c r="AN5896" t="s">
        <v>53</v>
      </c>
      <c r="AO5896" t="s">
        <v>53</v>
      </c>
      <c r="AP5896" t="s">
        <v>53</v>
      </c>
    </row>
    <row r="5897" spans="2:42" x14ac:dyDescent="0.2">
      <c r="B5897" t="s">
        <v>44</v>
      </c>
      <c r="C5897" t="str">
        <f>HYPERLINK("https://us2.cloudbeds.com/connect/8493803454333002#/reservations/9080486846489133?display=2RTZ8G2AZX&amp;reservation_id=9080486846489133", "2RTZ8G2AZX")</f>
        <v>2RTZ8G2AZX</v>
      </c>
      <c r="D5897" t="s">
        <v>45</v>
      </c>
      <c r="E5897" t="s">
        <v>265</v>
      </c>
      <c r="F5897" t="s">
        <v>61</v>
      </c>
      <c r="G5897" t="s">
        <v>48</v>
      </c>
      <c r="H5897" t="s">
        <v>49</v>
      </c>
      <c r="I5897" t="s">
        <v>8964</v>
      </c>
      <c r="J5897" t="s">
        <v>5402</v>
      </c>
      <c r="K5897" t="s">
        <v>5905</v>
      </c>
      <c r="L5897" t="s">
        <v>53</v>
      </c>
      <c r="N5897" t="s">
        <v>10534</v>
      </c>
      <c r="P5897" t="s">
        <v>55</v>
      </c>
      <c r="R5897" t="s">
        <v>53</v>
      </c>
      <c r="T5897" t="s">
        <v>10535</v>
      </c>
      <c r="U5897" t="s">
        <v>58</v>
      </c>
      <c r="V5897">
        <v>4</v>
      </c>
      <c r="W5897">
        <v>1</v>
      </c>
      <c r="X5897">
        <v>2</v>
      </c>
      <c r="Y5897">
        <v>0</v>
      </c>
      <c r="Z5897">
        <v>2</v>
      </c>
      <c r="AA5897">
        <v>0</v>
      </c>
      <c r="AB5897">
        <v>0</v>
      </c>
      <c r="AC5897">
        <v>791</v>
      </c>
      <c r="AD5897">
        <v>0</v>
      </c>
      <c r="AE5897">
        <v>0</v>
      </c>
      <c r="AF5897">
        <v>0</v>
      </c>
      <c r="AG5897">
        <v>0</v>
      </c>
      <c r="AH5897">
        <v>0</v>
      </c>
      <c r="AI5897">
        <v>118.65</v>
      </c>
      <c r="AJ5897">
        <v>791</v>
      </c>
      <c r="AK5897">
        <v>791</v>
      </c>
      <c r="AL5897" t="s">
        <v>53</v>
      </c>
      <c r="AM5897" t="s">
        <v>53</v>
      </c>
      <c r="AN5897" t="s">
        <v>53</v>
      </c>
      <c r="AO5897" t="s">
        <v>53</v>
      </c>
      <c r="AP5897" t="s">
        <v>53</v>
      </c>
    </row>
    <row r="5898" spans="2:42" x14ac:dyDescent="0.2">
      <c r="B5898" t="s">
        <v>44</v>
      </c>
      <c r="C5898" t="str">
        <f>HYPERLINK("https://us2.cloudbeds.com/connect/8493803454333002#/reservations/9080486846489164?display=2RTPAQ5VFN&amp;reservation_id=9080486846489164", "2RTPAQ5VFN")</f>
        <v>2RTPAQ5VFN</v>
      </c>
      <c r="D5898" t="s">
        <v>45</v>
      </c>
      <c r="E5898" t="s">
        <v>128</v>
      </c>
      <c r="F5898" t="s">
        <v>86</v>
      </c>
      <c r="G5898" t="s">
        <v>48</v>
      </c>
      <c r="H5898" t="s">
        <v>49</v>
      </c>
      <c r="I5898" t="s">
        <v>50</v>
      </c>
      <c r="J5898" t="s">
        <v>7975</v>
      </c>
      <c r="K5898" t="s">
        <v>7750</v>
      </c>
      <c r="L5898" t="s">
        <v>53</v>
      </c>
      <c r="N5898" t="s">
        <v>10536</v>
      </c>
      <c r="P5898" t="s">
        <v>55</v>
      </c>
      <c r="R5898" t="s">
        <v>53</v>
      </c>
      <c r="T5898" t="s">
        <v>10537</v>
      </c>
      <c r="U5898" t="s">
        <v>58</v>
      </c>
      <c r="V5898">
        <v>1</v>
      </c>
      <c r="W5898">
        <v>1</v>
      </c>
      <c r="X5898">
        <v>2</v>
      </c>
      <c r="Y5898">
        <v>0</v>
      </c>
      <c r="Z5898">
        <v>2</v>
      </c>
      <c r="AA5898">
        <v>173.66</v>
      </c>
      <c r="AB5898">
        <v>173.66</v>
      </c>
      <c r="AC5898">
        <v>152.80000000000001</v>
      </c>
      <c r="AD5898">
        <v>0</v>
      </c>
      <c r="AE5898">
        <v>20.86</v>
      </c>
      <c r="AF5898">
        <v>0</v>
      </c>
      <c r="AG5898">
        <v>0</v>
      </c>
      <c r="AH5898">
        <v>0</v>
      </c>
      <c r="AI5898">
        <v>31.26</v>
      </c>
      <c r="AJ5898">
        <v>173.66</v>
      </c>
      <c r="AK5898">
        <v>0</v>
      </c>
      <c r="AL5898" t="s">
        <v>53</v>
      </c>
      <c r="AM5898" t="s">
        <v>53</v>
      </c>
      <c r="AN5898" t="s">
        <v>53</v>
      </c>
      <c r="AO5898" t="s">
        <v>53</v>
      </c>
      <c r="AP5898" t="s">
        <v>53</v>
      </c>
    </row>
    <row r="5899" spans="2:42" x14ac:dyDescent="0.2">
      <c r="B5899" t="s">
        <v>44</v>
      </c>
      <c r="C5899" t="str">
        <f>HYPERLINK("https://us2.cloudbeds.com/connect/8493803454333002#/reservations/9080486846489194?display=2RTR2BRQG2&amp;reservation_id=9080486846489194", "2RTR2BRQG2")</f>
        <v>2RTR2BRQG2</v>
      </c>
      <c r="D5899" t="s">
        <v>45</v>
      </c>
      <c r="E5899" t="s">
        <v>98</v>
      </c>
      <c r="F5899" t="s">
        <v>86</v>
      </c>
      <c r="G5899" t="s">
        <v>48</v>
      </c>
      <c r="H5899" t="s">
        <v>49</v>
      </c>
      <c r="I5899" t="s">
        <v>62</v>
      </c>
      <c r="J5899" t="s">
        <v>8319</v>
      </c>
      <c r="K5899" t="s">
        <v>9318</v>
      </c>
      <c r="L5899" t="s">
        <v>53</v>
      </c>
      <c r="N5899" t="s">
        <v>10538</v>
      </c>
      <c r="P5899" t="s">
        <v>55</v>
      </c>
      <c r="R5899" t="s">
        <v>56</v>
      </c>
      <c r="T5899" t="s">
        <v>10539</v>
      </c>
      <c r="U5899" t="s">
        <v>55</v>
      </c>
      <c r="V5899">
        <v>1</v>
      </c>
      <c r="W5899">
        <v>1</v>
      </c>
      <c r="X5899">
        <v>2</v>
      </c>
      <c r="Y5899">
        <v>0</v>
      </c>
      <c r="Z5899">
        <v>2</v>
      </c>
      <c r="AA5899">
        <v>191</v>
      </c>
      <c r="AB5899">
        <v>191</v>
      </c>
      <c r="AC5899">
        <v>191</v>
      </c>
      <c r="AD5899">
        <v>0</v>
      </c>
      <c r="AE5899">
        <v>0</v>
      </c>
      <c r="AF5899">
        <v>0</v>
      </c>
      <c r="AG5899">
        <v>0</v>
      </c>
      <c r="AH5899">
        <v>0</v>
      </c>
      <c r="AI5899">
        <v>34.380000000000003</v>
      </c>
      <c r="AJ5899">
        <v>191</v>
      </c>
      <c r="AK5899">
        <v>0</v>
      </c>
      <c r="AL5899" t="s">
        <v>53</v>
      </c>
      <c r="AM5899" t="s">
        <v>53</v>
      </c>
      <c r="AN5899" t="s">
        <v>53</v>
      </c>
      <c r="AO5899" t="s">
        <v>53</v>
      </c>
      <c r="AP5899" t="s">
        <v>53</v>
      </c>
    </row>
    <row r="5900" spans="2:42" x14ac:dyDescent="0.2">
      <c r="B5900" t="s">
        <v>44</v>
      </c>
      <c r="C5900" t="str">
        <f>HYPERLINK("https://us2.cloudbeds.com/connect/8493803454333002#/reservations/9080486846489462?display=2RU6UC3GXT&amp;reservation_id=9080486846489462", "2RU6UC3GXT")</f>
        <v>2RU6UC3GXT</v>
      </c>
      <c r="D5900" t="s">
        <v>45</v>
      </c>
      <c r="E5900" t="s">
        <v>265</v>
      </c>
      <c r="F5900" t="s">
        <v>61</v>
      </c>
      <c r="G5900" t="s">
        <v>48</v>
      </c>
      <c r="H5900" t="s">
        <v>49</v>
      </c>
      <c r="I5900" t="s">
        <v>50</v>
      </c>
      <c r="J5900" t="s">
        <v>8367</v>
      </c>
      <c r="K5900" t="s">
        <v>7751</v>
      </c>
      <c r="L5900" t="s">
        <v>53</v>
      </c>
      <c r="N5900" t="s">
        <v>10540</v>
      </c>
      <c r="P5900" t="s">
        <v>55</v>
      </c>
      <c r="R5900" t="s">
        <v>53</v>
      </c>
      <c r="T5900" t="s">
        <v>10541</v>
      </c>
      <c r="U5900" t="s">
        <v>58</v>
      </c>
      <c r="V5900">
        <v>1</v>
      </c>
      <c r="W5900">
        <v>1</v>
      </c>
      <c r="X5900">
        <v>2</v>
      </c>
      <c r="Y5900">
        <v>0</v>
      </c>
      <c r="Z5900">
        <v>2</v>
      </c>
      <c r="AA5900">
        <v>214.8</v>
      </c>
      <c r="AB5900">
        <v>214.8</v>
      </c>
      <c r="AC5900">
        <v>189</v>
      </c>
      <c r="AD5900">
        <v>0</v>
      </c>
      <c r="AE5900">
        <v>25.8</v>
      </c>
      <c r="AF5900">
        <v>0</v>
      </c>
      <c r="AG5900">
        <v>0</v>
      </c>
      <c r="AH5900">
        <v>0</v>
      </c>
      <c r="AI5900">
        <v>38.659999999999997</v>
      </c>
      <c r="AJ5900">
        <v>214.8</v>
      </c>
      <c r="AK5900">
        <v>0</v>
      </c>
      <c r="AL5900" t="s">
        <v>53</v>
      </c>
      <c r="AM5900" t="s">
        <v>53</v>
      </c>
      <c r="AN5900" t="s">
        <v>53</v>
      </c>
      <c r="AO5900" t="s">
        <v>53</v>
      </c>
      <c r="AP5900" t="s">
        <v>53</v>
      </c>
    </row>
    <row r="5901" spans="2:42" x14ac:dyDescent="0.2">
      <c r="B5901" t="s">
        <v>44</v>
      </c>
      <c r="C5901" t="str">
        <f>HYPERLINK("https://us2.cloudbeds.com/connect/8493803454333002#/reservations/9080486846489673?display=2RUJ4NZQ5F&amp;reservation_id=9080486846489673", "2RUJ4NZQ5F")</f>
        <v>2RUJ4NZQ5F</v>
      </c>
      <c r="D5901" t="s">
        <v>45</v>
      </c>
      <c r="E5901" t="s">
        <v>406</v>
      </c>
      <c r="F5901" t="s">
        <v>61</v>
      </c>
      <c r="G5901" t="s">
        <v>48</v>
      </c>
      <c r="H5901" t="s">
        <v>49</v>
      </c>
      <c r="I5901" t="s">
        <v>50</v>
      </c>
      <c r="J5901" t="s">
        <v>7750</v>
      </c>
      <c r="K5901" t="s">
        <v>7751</v>
      </c>
      <c r="L5901" t="s">
        <v>53</v>
      </c>
      <c r="N5901" t="s">
        <v>10542</v>
      </c>
      <c r="P5901" t="s">
        <v>55</v>
      </c>
      <c r="R5901" t="s">
        <v>53</v>
      </c>
      <c r="T5901" t="s">
        <v>10543</v>
      </c>
      <c r="U5901" t="s">
        <v>58</v>
      </c>
      <c r="V5901">
        <v>2</v>
      </c>
      <c r="W5901">
        <v>1</v>
      </c>
      <c r="X5901">
        <v>2</v>
      </c>
      <c r="Y5901">
        <v>0</v>
      </c>
      <c r="Z5901">
        <v>2</v>
      </c>
      <c r="AA5901">
        <v>480.75</v>
      </c>
      <c r="AB5901">
        <v>480.75</v>
      </c>
      <c r="AC5901">
        <v>423</v>
      </c>
      <c r="AD5901">
        <v>0</v>
      </c>
      <c r="AE5901">
        <v>57.75</v>
      </c>
      <c r="AF5901">
        <v>0</v>
      </c>
      <c r="AG5901">
        <v>0</v>
      </c>
      <c r="AH5901">
        <v>0</v>
      </c>
      <c r="AI5901">
        <v>86.54</v>
      </c>
      <c r="AJ5901">
        <v>480.75</v>
      </c>
      <c r="AK5901">
        <v>0</v>
      </c>
      <c r="AL5901" t="s">
        <v>53</v>
      </c>
      <c r="AM5901" t="s">
        <v>53</v>
      </c>
      <c r="AN5901" t="s">
        <v>53</v>
      </c>
      <c r="AO5901" t="s">
        <v>53</v>
      </c>
      <c r="AP5901" t="s">
        <v>53</v>
      </c>
    </row>
    <row r="5902" spans="2:42" x14ac:dyDescent="0.2">
      <c r="B5902" t="s">
        <v>44</v>
      </c>
      <c r="C5902" t="str">
        <f>HYPERLINK("https://us2.cloudbeds.com/connect/8493803454333002#/reservations/9080486846489842?display=2RUU85JZCA&amp;reservation_id=9080486846489842", "2RUU85JZCA")</f>
        <v>2RUU85JZCA</v>
      </c>
      <c r="D5902" t="s">
        <v>45</v>
      </c>
      <c r="E5902" t="s">
        <v>128</v>
      </c>
      <c r="F5902" t="s">
        <v>86</v>
      </c>
      <c r="G5902" t="s">
        <v>48</v>
      </c>
      <c r="H5902" t="s">
        <v>49</v>
      </c>
      <c r="I5902" t="s">
        <v>50</v>
      </c>
      <c r="J5902" t="s">
        <v>7089</v>
      </c>
      <c r="K5902" t="s">
        <v>8437</v>
      </c>
      <c r="L5902" t="s">
        <v>53</v>
      </c>
      <c r="N5902" t="s">
        <v>10544</v>
      </c>
      <c r="P5902" t="s">
        <v>55</v>
      </c>
      <c r="R5902" t="s">
        <v>53</v>
      </c>
      <c r="T5902" t="s">
        <v>10545</v>
      </c>
      <c r="U5902" t="s">
        <v>58</v>
      </c>
      <c r="V5902">
        <v>1</v>
      </c>
      <c r="W5902">
        <v>1</v>
      </c>
      <c r="X5902">
        <v>2</v>
      </c>
      <c r="Y5902">
        <v>0</v>
      </c>
      <c r="Z5902">
        <v>2</v>
      </c>
      <c r="AA5902">
        <v>255.56</v>
      </c>
      <c r="AB5902">
        <v>255.56</v>
      </c>
      <c r="AC5902">
        <v>224.86</v>
      </c>
      <c r="AD5902">
        <v>0</v>
      </c>
      <c r="AE5902">
        <v>30.7</v>
      </c>
      <c r="AF5902">
        <v>0</v>
      </c>
      <c r="AG5902">
        <v>0</v>
      </c>
      <c r="AH5902">
        <v>0</v>
      </c>
      <c r="AI5902">
        <v>46</v>
      </c>
      <c r="AJ5902">
        <v>255.56</v>
      </c>
      <c r="AK5902">
        <v>0</v>
      </c>
      <c r="AL5902" t="s">
        <v>53</v>
      </c>
      <c r="AM5902" t="s">
        <v>53</v>
      </c>
      <c r="AN5902" t="s">
        <v>53</v>
      </c>
      <c r="AO5902" t="s">
        <v>53</v>
      </c>
      <c r="AP5902" t="s">
        <v>53</v>
      </c>
    </row>
    <row r="5903" spans="2:42" x14ac:dyDescent="0.2">
      <c r="B5903" t="s">
        <v>44</v>
      </c>
      <c r="C5903" t="str">
        <f>HYPERLINK("https://us2.cloudbeds.com/connect/8493803454333002#/reservations/9080486846489843?display=2RUU8QUYQ6&amp;reservation_id=9080486846489843", "2RUU8QUYQ6")</f>
        <v>2RUU8QUYQ6</v>
      </c>
      <c r="D5903" t="s">
        <v>45</v>
      </c>
      <c r="E5903" t="s">
        <v>155</v>
      </c>
      <c r="F5903" t="s">
        <v>86</v>
      </c>
      <c r="G5903" t="s">
        <v>48</v>
      </c>
      <c r="H5903" t="s">
        <v>49</v>
      </c>
      <c r="I5903" t="s">
        <v>50</v>
      </c>
      <c r="J5903" t="s">
        <v>7089</v>
      </c>
      <c r="K5903" t="s">
        <v>8437</v>
      </c>
      <c r="L5903" t="s">
        <v>53</v>
      </c>
      <c r="N5903" t="s">
        <v>10546</v>
      </c>
      <c r="P5903" t="s">
        <v>55</v>
      </c>
      <c r="R5903" t="s">
        <v>53</v>
      </c>
      <c r="T5903" t="s">
        <v>10547</v>
      </c>
      <c r="U5903" t="s">
        <v>58</v>
      </c>
      <c r="V5903">
        <v>1</v>
      </c>
      <c r="W5903">
        <v>1</v>
      </c>
      <c r="X5903">
        <v>1</v>
      </c>
      <c r="Y5903">
        <v>0</v>
      </c>
      <c r="Z5903">
        <v>1</v>
      </c>
      <c r="AA5903">
        <v>255.56</v>
      </c>
      <c r="AB5903">
        <v>255.56</v>
      </c>
      <c r="AC5903">
        <v>224.86</v>
      </c>
      <c r="AD5903">
        <v>0</v>
      </c>
      <c r="AE5903">
        <v>30.7</v>
      </c>
      <c r="AF5903">
        <v>0</v>
      </c>
      <c r="AG5903">
        <v>0</v>
      </c>
      <c r="AH5903">
        <v>0</v>
      </c>
      <c r="AI5903">
        <v>46</v>
      </c>
      <c r="AJ5903">
        <v>255.56</v>
      </c>
      <c r="AK5903">
        <v>0</v>
      </c>
      <c r="AL5903" t="s">
        <v>53</v>
      </c>
      <c r="AM5903" t="s">
        <v>53</v>
      </c>
      <c r="AN5903" t="s">
        <v>53</v>
      </c>
      <c r="AO5903" t="s">
        <v>53</v>
      </c>
      <c r="AP5903" t="s">
        <v>53</v>
      </c>
    </row>
    <row r="5904" spans="2:42" x14ac:dyDescent="0.2">
      <c r="B5904" t="s">
        <v>44</v>
      </c>
      <c r="C5904" t="str">
        <f>HYPERLINK("https://us2.cloudbeds.com/connect/8493803454333002#/reservations/9080486846491225?display=2S042FCDYP&amp;reservation_id=9080486846491225", "2S042FCDYP")</f>
        <v>2S042FCDYP</v>
      </c>
      <c r="D5904" t="s">
        <v>45</v>
      </c>
      <c r="E5904" t="s">
        <v>190</v>
      </c>
      <c r="F5904" t="s">
        <v>61</v>
      </c>
      <c r="G5904" t="s">
        <v>48</v>
      </c>
      <c r="H5904" t="s">
        <v>49</v>
      </c>
      <c r="I5904" t="s">
        <v>50</v>
      </c>
      <c r="J5904" t="s">
        <v>9725</v>
      </c>
      <c r="K5904" t="s">
        <v>9610</v>
      </c>
      <c r="L5904" t="s">
        <v>53</v>
      </c>
      <c r="N5904" t="s">
        <v>10548</v>
      </c>
      <c r="P5904" t="s">
        <v>55</v>
      </c>
      <c r="R5904" t="s">
        <v>53</v>
      </c>
      <c r="T5904" t="s">
        <v>10549</v>
      </c>
      <c r="U5904" t="s">
        <v>58</v>
      </c>
      <c r="V5904">
        <v>1</v>
      </c>
      <c r="W5904">
        <v>1</v>
      </c>
      <c r="X5904">
        <v>2</v>
      </c>
      <c r="Y5904">
        <v>0</v>
      </c>
      <c r="Z5904">
        <v>2</v>
      </c>
      <c r="AA5904">
        <v>188.2</v>
      </c>
      <c r="AB5904">
        <v>188.2</v>
      </c>
      <c r="AC5904">
        <v>165.6</v>
      </c>
      <c r="AD5904">
        <v>0</v>
      </c>
      <c r="AE5904">
        <v>22.6</v>
      </c>
      <c r="AF5904">
        <v>0</v>
      </c>
      <c r="AG5904">
        <v>0</v>
      </c>
      <c r="AH5904">
        <v>0</v>
      </c>
      <c r="AI5904">
        <v>33.880000000000003</v>
      </c>
      <c r="AJ5904">
        <v>188.2</v>
      </c>
      <c r="AK5904">
        <v>0</v>
      </c>
      <c r="AL5904" t="s">
        <v>53</v>
      </c>
      <c r="AM5904" t="s">
        <v>53</v>
      </c>
      <c r="AN5904" t="s">
        <v>53</v>
      </c>
      <c r="AO5904" t="s">
        <v>53</v>
      </c>
      <c r="AP5904" t="s">
        <v>53</v>
      </c>
    </row>
    <row r="5905" spans="2:42" x14ac:dyDescent="0.2">
      <c r="B5905" t="s">
        <v>44</v>
      </c>
      <c r="C5905" t="str">
        <f>HYPERLINK("https://us2.cloudbeds.com/connect/8493803454333002#/reservations/132231392231637?display=2S0MEXG475&amp;reservation_id=132231392231637", "2S0MEXG475")</f>
        <v>2S0MEXG475</v>
      </c>
      <c r="D5905" t="s">
        <v>45</v>
      </c>
      <c r="E5905" t="s">
        <v>487</v>
      </c>
      <c r="F5905" t="s">
        <v>61</v>
      </c>
      <c r="G5905" t="s">
        <v>48</v>
      </c>
      <c r="H5905" t="s">
        <v>3957</v>
      </c>
      <c r="I5905" t="s">
        <v>3975</v>
      </c>
      <c r="J5905" t="s">
        <v>8071</v>
      </c>
      <c r="K5905" t="s">
        <v>4009</v>
      </c>
      <c r="L5905" t="s">
        <v>53</v>
      </c>
      <c r="P5905" t="s">
        <v>55</v>
      </c>
      <c r="R5905" t="s">
        <v>56</v>
      </c>
      <c r="T5905" t="s">
        <v>10550</v>
      </c>
      <c r="U5905" t="s">
        <v>58</v>
      </c>
      <c r="V5905">
        <v>2</v>
      </c>
      <c r="W5905">
        <v>1</v>
      </c>
      <c r="X5905">
        <v>2</v>
      </c>
      <c r="Y5905">
        <v>0</v>
      </c>
      <c r="Z5905">
        <v>2</v>
      </c>
      <c r="AA5905">
        <v>380.73</v>
      </c>
      <c r="AB5905">
        <v>380.73</v>
      </c>
      <c r="AC5905">
        <v>335</v>
      </c>
      <c r="AD5905">
        <v>0</v>
      </c>
      <c r="AE5905">
        <v>45.73</v>
      </c>
      <c r="AF5905">
        <v>0</v>
      </c>
      <c r="AG5905">
        <v>0</v>
      </c>
      <c r="AH5905">
        <v>0</v>
      </c>
      <c r="AI5905">
        <v>0</v>
      </c>
      <c r="AJ5905">
        <v>380.73</v>
      </c>
      <c r="AK5905">
        <v>45.73</v>
      </c>
      <c r="AL5905" t="s">
        <v>53</v>
      </c>
      <c r="AM5905" t="s">
        <v>53</v>
      </c>
      <c r="AN5905" t="s">
        <v>53</v>
      </c>
      <c r="AO5905" t="s">
        <v>53</v>
      </c>
      <c r="AP5905" t="s">
        <v>53</v>
      </c>
    </row>
    <row r="5906" spans="2:42" x14ac:dyDescent="0.2">
      <c r="B5906" t="s">
        <v>44</v>
      </c>
      <c r="C5906" t="str">
        <f>HYPERLINK("https://us2.cloudbeds.com/connect/8493803454333002#/reservations/9080486846492262?display=2S18EHPDC3&amp;reservation_id=9080486846492262", "2S18EHPDC3")</f>
        <v>2S18EHPDC3</v>
      </c>
      <c r="D5906" t="s">
        <v>45</v>
      </c>
      <c r="E5906" t="s">
        <v>85</v>
      </c>
      <c r="F5906" t="s">
        <v>86</v>
      </c>
      <c r="G5906" t="s">
        <v>48</v>
      </c>
      <c r="H5906" t="s">
        <v>49</v>
      </c>
      <c r="I5906" t="s">
        <v>50</v>
      </c>
      <c r="J5906" t="s">
        <v>7750</v>
      </c>
      <c r="K5906" t="s">
        <v>8367</v>
      </c>
      <c r="L5906" t="s">
        <v>53</v>
      </c>
      <c r="N5906" t="s">
        <v>10551</v>
      </c>
      <c r="P5906" t="s">
        <v>55</v>
      </c>
      <c r="R5906" t="s">
        <v>53</v>
      </c>
      <c r="T5906" t="s">
        <v>10552</v>
      </c>
      <c r="U5906" t="s">
        <v>58</v>
      </c>
      <c r="V5906">
        <v>1</v>
      </c>
      <c r="W5906">
        <v>1</v>
      </c>
      <c r="X5906">
        <v>2</v>
      </c>
      <c r="Y5906">
        <v>2</v>
      </c>
      <c r="Z5906">
        <v>4</v>
      </c>
      <c r="AA5906">
        <v>230.14</v>
      </c>
      <c r="AB5906">
        <v>230.14</v>
      </c>
      <c r="AC5906">
        <v>202.5</v>
      </c>
      <c r="AD5906">
        <v>0</v>
      </c>
      <c r="AE5906">
        <v>27.64</v>
      </c>
      <c r="AF5906">
        <v>0</v>
      </c>
      <c r="AG5906">
        <v>0</v>
      </c>
      <c r="AH5906">
        <v>0</v>
      </c>
      <c r="AI5906">
        <v>41.43</v>
      </c>
      <c r="AJ5906">
        <v>230.14</v>
      </c>
      <c r="AK5906">
        <v>0</v>
      </c>
      <c r="AL5906" t="s">
        <v>53</v>
      </c>
      <c r="AM5906" t="s">
        <v>53</v>
      </c>
      <c r="AN5906" t="s">
        <v>53</v>
      </c>
      <c r="AO5906" t="s">
        <v>53</v>
      </c>
      <c r="AP5906" t="s">
        <v>53</v>
      </c>
    </row>
    <row r="5907" spans="2:42" x14ac:dyDescent="0.2">
      <c r="B5907" t="s">
        <v>44</v>
      </c>
      <c r="C5907" t="str">
        <f>HYPERLINK("https://us2.cloudbeds.com/connect/8493803454333002#/reservations/132257628356765?display=2S19ZVFWFV&amp;reservation_id=132257628356765", "2S19ZVFWFV")</f>
        <v>2S19ZVFWFV</v>
      </c>
      <c r="D5907" t="s">
        <v>45</v>
      </c>
      <c r="E5907" t="s">
        <v>305</v>
      </c>
      <c r="F5907" t="s">
        <v>61</v>
      </c>
      <c r="G5907" t="s">
        <v>48</v>
      </c>
      <c r="H5907" t="s">
        <v>3957</v>
      </c>
      <c r="I5907" t="s">
        <v>3989</v>
      </c>
      <c r="J5907" t="s">
        <v>9318</v>
      </c>
      <c r="K5907" t="s">
        <v>7623</v>
      </c>
      <c r="L5907" t="s">
        <v>53</v>
      </c>
      <c r="P5907" t="s">
        <v>55</v>
      </c>
      <c r="R5907" t="s">
        <v>56</v>
      </c>
      <c r="T5907" t="s">
        <v>10553</v>
      </c>
      <c r="U5907" t="s">
        <v>58</v>
      </c>
      <c r="V5907">
        <v>2</v>
      </c>
      <c r="W5907">
        <v>1</v>
      </c>
      <c r="X5907">
        <v>1</v>
      </c>
      <c r="Y5907">
        <v>0</v>
      </c>
      <c r="Z5907">
        <v>1</v>
      </c>
      <c r="AA5907">
        <v>483.02</v>
      </c>
      <c r="AB5907">
        <v>497.66</v>
      </c>
      <c r="AC5907">
        <v>425</v>
      </c>
      <c r="AD5907">
        <v>13.5</v>
      </c>
      <c r="AE5907">
        <v>59.16</v>
      </c>
      <c r="AF5907">
        <v>0</v>
      </c>
      <c r="AG5907">
        <v>0</v>
      </c>
      <c r="AH5907">
        <v>0</v>
      </c>
      <c r="AI5907">
        <v>0</v>
      </c>
      <c r="AJ5907">
        <v>497.66</v>
      </c>
      <c r="AK5907">
        <v>0</v>
      </c>
      <c r="AL5907" t="s">
        <v>53</v>
      </c>
      <c r="AM5907" t="s">
        <v>53</v>
      </c>
      <c r="AN5907" t="s">
        <v>53</v>
      </c>
      <c r="AO5907" t="s">
        <v>53</v>
      </c>
      <c r="AP5907" t="s">
        <v>53</v>
      </c>
    </row>
    <row r="5908" spans="2:42" x14ac:dyDescent="0.2">
      <c r="B5908" t="s">
        <v>44</v>
      </c>
      <c r="C5908" t="str">
        <f>HYPERLINK("https://us2.cloudbeds.com/connect/8493803454333002#/reservations/132258929344736?display=2S1AP6GTES&amp;reservation_id=132258929344736", "2S1AP6GTES")</f>
        <v>2S1AP6GTES</v>
      </c>
      <c r="D5908" t="s">
        <v>45</v>
      </c>
      <c r="E5908" t="s">
        <v>10554</v>
      </c>
      <c r="F5908" t="s">
        <v>86</v>
      </c>
      <c r="G5908" t="s">
        <v>48</v>
      </c>
      <c r="H5908" t="s">
        <v>3957</v>
      </c>
      <c r="I5908" t="s">
        <v>3975</v>
      </c>
      <c r="J5908" t="s">
        <v>8865</v>
      </c>
      <c r="K5908" t="s">
        <v>10070</v>
      </c>
      <c r="L5908" t="s">
        <v>53</v>
      </c>
      <c r="P5908" t="s">
        <v>55</v>
      </c>
      <c r="R5908" t="s">
        <v>53</v>
      </c>
      <c r="T5908" t="s">
        <v>10555</v>
      </c>
      <c r="U5908" t="s">
        <v>58</v>
      </c>
      <c r="V5908">
        <v>3</v>
      </c>
      <c r="W5908">
        <v>3</v>
      </c>
      <c r="X5908">
        <v>6</v>
      </c>
      <c r="Y5908">
        <v>4</v>
      </c>
      <c r="Z5908">
        <v>10</v>
      </c>
      <c r="AA5908">
        <v>310.29000000000002</v>
      </c>
      <c r="AB5908">
        <v>310.29000000000002</v>
      </c>
      <c r="AC5908">
        <v>273</v>
      </c>
      <c r="AD5908">
        <v>0</v>
      </c>
      <c r="AE5908">
        <v>37.29</v>
      </c>
      <c r="AF5908">
        <v>0</v>
      </c>
      <c r="AG5908">
        <v>0</v>
      </c>
      <c r="AH5908">
        <v>0</v>
      </c>
      <c r="AI5908">
        <v>0</v>
      </c>
      <c r="AJ5908">
        <v>310.29000000000002</v>
      </c>
      <c r="AK5908">
        <v>0</v>
      </c>
      <c r="AL5908" t="s">
        <v>53</v>
      </c>
      <c r="AM5908" t="s">
        <v>53</v>
      </c>
      <c r="AN5908" t="s">
        <v>53</v>
      </c>
      <c r="AO5908" t="s">
        <v>53</v>
      </c>
      <c r="AP5908" t="s">
        <v>53</v>
      </c>
    </row>
    <row r="5909" spans="2:42" x14ac:dyDescent="0.2">
      <c r="B5909" t="s">
        <v>44</v>
      </c>
      <c r="C5909" t="str">
        <f>HYPERLINK("https://us2.cloudbeds.com/connect/8493803454333002#/reservations/9080486846492482?display=2S1FX6RMTJ&amp;reservation_id=9080486846492482", "2S1FX6RMTJ")</f>
        <v>2S1FX6RMTJ</v>
      </c>
      <c r="D5909" t="s">
        <v>45</v>
      </c>
      <c r="E5909" t="s">
        <v>155</v>
      </c>
      <c r="F5909" t="s">
        <v>86</v>
      </c>
      <c r="G5909" t="s">
        <v>48</v>
      </c>
      <c r="H5909" t="s">
        <v>49</v>
      </c>
      <c r="I5909" t="s">
        <v>50</v>
      </c>
      <c r="J5909" t="s">
        <v>7750</v>
      </c>
      <c r="K5909" t="s">
        <v>7751</v>
      </c>
      <c r="L5909" t="s">
        <v>53</v>
      </c>
      <c r="N5909" t="s">
        <v>10556</v>
      </c>
      <c r="P5909" t="s">
        <v>55</v>
      </c>
      <c r="R5909" t="s">
        <v>53</v>
      </c>
      <c r="T5909" t="s">
        <v>10557</v>
      </c>
      <c r="U5909" t="s">
        <v>58</v>
      </c>
      <c r="V5909">
        <v>2</v>
      </c>
      <c r="W5909">
        <v>1</v>
      </c>
      <c r="X5909">
        <v>2</v>
      </c>
      <c r="Y5909">
        <v>0</v>
      </c>
      <c r="Z5909">
        <v>2</v>
      </c>
      <c r="AA5909">
        <v>406.41</v>
      </c>
      <c r="AB5909">
        <v>406.41</v>
      </c>
      <c r="AC5909">
        <v>357.6</v>
      </c>
      <c r="AD5909">
        <v>0</v>
      </c>
      <c r="AE5909">
        <v>48.81</v>
      </c>
      <c r="AF5909">
        <v>0</v>
      </c>
      <c r="AG5909">
        <v>0</v>
      </c>
      <c r="AH5909">
        <v>0</v>
      </c>
      <c r="AI5909">
        <v>73.150000000000006</v>
      </c>
      <c r="AJ5909">
        <v>406.41</v>
      </c>
      <c r="AK5909">
        <v>0</v>
      </c>
      <c r="AL5909" t="s">
        <v>53</v>
      </c>
      <c r="AM5909" t="s">
        <v>53</v>
      </c>
      <c r="AN5909" t="s">
        <v>53</v>
      </c>
      <c r="AO5909" t="s">
        <v>53</v>
      </c>
      <c r="AP5909" t="s">
        <v>53</v>
      </c>
    </row>
    <row r="5910" spans="2:42" x14ac:dyDescent="0.2">
      <c r="B5910" t="s">
        <v>44</v>
      </c>
      <c r="C5910" t="str">
        <f>HYPERLINK("https://us2.cloudbeds.com/connect/8493803454333002#/reservations/9080486846492523?display=2S1GWS82R7&amp;reservation_id=9080486846492523", "2S1GWS82R7")</f>
        <v>2S1GWS82R7</v>
      </c>
      <c r="D5910" t="s">
        <v>45</v>
      </c>
      <c r="E5910" t="s">
        <v>113</v>
      </c>
      <c r="F5910" t="s">
        <v>61</v>
      </c>
      <c r="G5910" t="s">
        <v>48</v>
      </c>
      <c r="H5910" t="s">
        <v>49</v>
      </c>
      <c r="I5910" t="s">
        <v>50</v>
      </c>
      <c r="J5910" t="s">
        <v>8138</v>
      </c>
      <c r="K5910" t="s">
        <v>5904</v>
      </c>
      <c r="L5910" t="s">
        <v>53</v>
      </c>
      <c r="N5910" t="s">
        <v>10558</v>
      </c>
      <c r="P5910" t="s">
        <v>55</v>
      </c>
      <c r="R5910" t="s">
        <v>53</v>
      </c>
      <c r="T5910" t="s">
        <v>10559</v>
      </c>
      <c r="U5910" t="s">
        <v>58</v>
      </c>
      <c r="V5910">
        <v>1</v>
      </c>
      <c r="W5910">
        <v>1</v>
      </c>
      <c r="X5910">
        <v>2</v>
      </c>
      <c r="Y5910">
        <v>0</v>
      </c>
      <c r="Z5910">
        <v>2</v>
      </c>
      <c r="AA5910">
        <v>176.21</v>
      </c>
      <c r="AB5910">
        <v>176.21</v>
      </c>
      <c r="AC5910">
        <v>155.04</v>
      </c>
      <c r="AD5910">
        <v>0</v>
      </c>
      <c r="AE5910">
        <v>21.17</v>
      </c>
      <c r="AF5910">
        <v>0</v>
      </c>
      <c r="AG5910">
        <v>0</v>
      </c>
      <c r="AH5910">
        <v>0</v>
      </c>
      <c r="AI5910">
        <v>31.72</v>
      </c>
      <c r="AJ5910">
        <v>176.21</v>
      </c>
      <c r="AK5910">
        <v>0</v>
      </c>
      <c r="AL5910" t="s">
        <v>53</v>
      </c>
      <c r="AM5910" t="s">
        <v>53</v>
      </c>
      <c r="AN5910" t="s">
        <v>53</v>
      </c>
      <c r="AO5910" t="s">
        <v>53</v>
      </c>
      <c r="AP5910" t="s">
        <v>53</v>
      </c>
    </row>
    <row r="5911" spans="2:42" x14ac:dyDescent="0.2">
      <c r="B5911" t="s">
        <v>44</v>
      </c>
      <c r="C5911" t="str">
        <f>HYPERLINK("https://us2.cloudbeds.com/connect/8493803454333002#/reservations/132269847326948?display=2S1J75RRPM&amp;reservation_id=132269847326948", "2S1J75RRPM")</f>
        <v>2S1J75RRPM</v>
      </c>
      <c r="D5911" t="s">
        <v>45</v>
      </c>
      <c r="E5911" t="s">
        <v>406</v>
      </c>
      <c r="F5911" t="s">
        <v>61</v>
      </c>
      <c r="G5911" t="s">
        <v>48</v>
      </c>
      <c r="H5911" t="s">
        <v>3957</v>
      </c>
      <c r="I5911" t="s">
        <v>3975</v>
      </c>
      <c r="J5911" t="s">
        <v>8071</v>
      </c>
      <c r="K5911" t="s">
        <v>4009</v>
      </c>
      <c r="L5911" t="s">
        <v>53</v>
      </c>
      <c r="P5911" t="s">
        <v>55</v>
      </c>
      <c r="R5911" t="s">
        <v>56</v>
      </c>
      <c r="T5911" t="s">
        <v>10560</v>
      </c>
      <c r="U5911" t="s">
        <v>58</v>
      </c>
      <c r="V5911">
        <v>2</v>
      </c>
      <c r="W5911">
        <v>1</v>
      </c>
      <c r="X5911">
        <v>2</v>
      </c>
      <c r="Y5911">
        <v>0</v>
      </c>
      <c r="Z5911">
        <v>2</v>
      </c>
      <c r="AA5911">
        <v>380.73</v>
      </c>
      <c r="AB5911">
        <v>380.73</v>
      </c>
      <c r="AC5911">
        <v>335</v>
      </c>
      <c r="AD5911">
        <v>0</v>
      </c>
      <c r="AE5911">
        <v>45.73</v>
      </c>
      <c r="AF5911">
        <v>0</v>
      </c>
      <c r="AG5911">
        <v>0</v>
      </c>
      <c r="AH5911">
        <v>0</v>
      </c>
      <c r="AI5911">
        <v>0</v>
      </c>
      <c r="AJ5911">
        <v>380.73</v>
      </c>
      <c r="AK5911">
        <v>45.73</v>
      </c>
      <c r="AL5911" t="s">
        <v>53</v>
      </c>
      <c r="AM5911" t="s">
        <v>53</v>
      </c>
      <c r="AN5911" t="s">
        <v>10561</v>
      </c>
      <c r="AO5911" t="s">
        <v>53</v>
      </c>
      <c r="AP5911" t="s">
        <v>53</v>
      </c>
    </row>
    <row r="5912" spans="2:42" x14ac:dyDescent="0.2">
      <c r="B5912" t="s">
        <v>44</v>
      </c>
      <c r="C5912" t="str">
        <f>HYPERLINK("https://us2.cloudbeds.com/connect/8493803454333002#/reservations/132269139075226?display=2S1XM2KMT9&amp;reservation_id=132269139075226", "2S1XM2KMT9")</f>
        <v>2S1XM2KMT9</v>
      </c>
      <c r="D5912" t="s">
        <v>45</v>
      </c>
      <c r="E5912" t="s">
        <v>265</v>
      </c>
      <c r="F5912" t="s">
        <v>61</v>
      </c>
      <c r="G5912" t="s">
        <v>48</v>
      </c>
      <c r="H5912" t="s">
        <v>3957</v>
      </c>
      <c r="I5912" t="s">
        <v>3975</v>
      </c>
      <c r="J5912" t="s">
        <v>8071</v>
      </c>
      <c r="K5912" t="s">
        <v>4009</v>
      </c>
      <c r="L5912" t="s">
        <v>53</v>
      </c>
      <c r="P5912" t="s">
        <v>55</v>
      </c>
      <c r="R5912" t="s">
        <v>56</v>
      </c>
      <c r="T5912" t="s">
        <v>10562</v>
      </c>
      <c r="U5912" t="s">
        <v>58</v>
      </c>
      <c r="V5912">
        <v>2</v>
      </c>
      <c r="W5912">
        <v>1</v>
      </c>
      <c r="X5912">
        <v>2</v>
      </c>
      <c r="Y5912">
        <v>0</v>
      </c>
      <c r="Z5912">
        <v>2</v>
      </c>
      <c r="AA5912">
        <v>380.73</v>
      </c>
      <c r="AB5912">
        <v>380.73</v>
      </c>
      <c r="AC5912">
        <v>335</v>
      </c>
      <c r="AD5912">
        <v>0</v>
      </c>
      <c r="AE5912">
        <v>45.73</v>
      </c>
      <c r="AF5912">
        <v>0</v>
      </c>
      <c r="AG5912">
        <v>0</v>
      </c>
      <c r="AH5912">
        <v>0</v>
      </c>
      <c r="AI5912">
        <v>0</v>
      </c>
      <c r="AJ5912">
        <v>380.73</v>
      </c>
      <c r="AK5912">
        <v>45.73</v>
      </c>
      <c r="AL5912" t="s">
        <v>53</v>
      </c>
      <c r="AM5912" t="s">
        <v>53</v>
      </c>
      <c r="AN5912" t="s">
        <v>10563</v>
      </c>
      <c r="AO5912" t="s">
        <v>53</v>
      </c>
      <c r="AP5912" t="s">
        <v>53</v>
      </c>
    </row>
    <row r="5913" spans="2:42" x14ac:dyDescent="0.2">
      <c r="B5913" t="s">
        <v>44</v>
      </c>
      <c r="C5913" t="str">
        <f>HYPERLINK("https://us2.cloudbeds.com/connect/8493803454333002#/reservations/132271289200793?display=2S1KB0M3HG&amp;reservation_id=132271289200793", "2S1KB0M3HG")</f>
        <v>2S1KB0M3HG</v>
      </c>
      <c r="D5913" t="s">
        <v>45</v>
      </c>
      <c r="E5913" t="s">
        <v>179</v>
      </c>
      <c r="F5913" t="s">
        <v>47</v>
      </c>
      <c r="G5913" t="s">
        <v>48</v>
      </c>
      <c r="H5913" t="s">
        <v>3957</v>
      </c>
      <c r="I5913" t="s">
        <v>3975</v>
      </c>
      <c r="J5913" t="s">
        <v>8071</v>
      </c>
      <c r="K5913" t="s">
        <v>4009</v>
      </c>
      <c r="L5913" t="s">
        <v>53</v>
      </c>
      <c r="P5913" t="s">
        <v>55</v>
      </c>
      <c r="R5913" t="s">
        <v>56</v>
      </c>
      <c r="T5913" t="s">
        <v>10564</v>
      </c>
      <c r="U5913" t="s">
        <v>58</v>
      </c>
      <c r="V5913">
        <v>2</v>
      </c>
      <c r="W5913">
        <v>1</v>
      </c>
      <c r="X5913">
        <v>2</v>
      </c>
      <c r="Y5913">
        <v>0</v>
      </c>
      <c r="Z5913">
        <v>2</v>
      </c>
      <c r="AA5913">
        <v>358</v>
      </c>
      <c r="AB5913">
        <v>358</v>
      </c>
      <c r="AC5913">
        <v>315</v>
      </c>
      <c r="AD5913">
        <v>0</v>
      </c>
      <c r="AE5913">
        <v>43</v>
      </c>
      <c r="AF5913">
        <v>0</v>
      </c>
      <c r="AG5913">
        <v>0</v>
      </c>
      <c r="AH5913">
        <v>0</v>
      </c>
      <c r="AI5913">
        <v>0</v>
      </c>
      <c r="AJ5913">
        <v>358</v>
      </c>
      <c r="AK5913">
        <v>43</v>
      </c>
      <c r="AL5913" t="s">
        <v>53</v>
      </c>
      <c r="AM5913" t="s">
        <v>53</v>
      </c>
      <c r="AN5913" t="s">
        <v>10561</v>
      </c>
      <c r="AO5913" t="s">
        <v>53</v>
      </c>
      <c r="AP5913" t="s">
        <v>53</v>
      </c>
    </row>
    <row r="5914" spans="2:42" x14ac:dyDescent="0.2">
      <c r="B5914" t="s">
        <v>44</v>
      </c>
      <c r="C5914" t="str">
        <f>HYPERLINK("https://us2.cloudbeds.com/connect/8493803454333002#/reservations/9080486846493125?display=2S24CTD92G&amp;reservation_id=9080486846493125", "2S24CTD92G")</f>
        <v>2S24CTD92G</v>
      </c>
      <c r="D5914" t="s">
        <v>45</v>
      </c>
      <c r="E5914" t="s">
        <v>113</v>
      </c>
      <c r="F5914" t="s">
        <v>61</v>
      </c>
      <c r="G5914" t="s">
        <v>48</v>
      </c>
      <c r="H5914" t="s">
        <v>49</v>
      </c>
      <c r="I5914" t="s">
        <v>50</v>
      </c>
      <c r="J5914" t="s">
        <v>7750</v>
      </c>
      <c r="K5914" t="s">
        <v>8367</v>
      </c>
      <c r="L5914" t="s">
        <v>53</v>
      </c>
      <c r="N5914" t="s">
        <v>10565</v>
      </c>
      <c r="P5914" t="s">
        <v>55</v>
      </c>
      <c r="R5914" t="s">
        <v>53</v>
      </c>
      <c r="T5914" t="s">
        <v>10566</v>
      </c>
      <c r="U5914" t="s">
        <v>58</v>
      </c>
      <c r="V5914">
        <v>1</v>
      </c>
      <c r="W5914">
        <v>1</v>
      </c>
      <c r="X5914">
        <v>2</v>
      </c>
      <c r="Y5914">
        <v>0</v>
      </c>
      <c r="Z5914">
        <v>2</v>
      </c>
      <c r="AA5914">
        <v>217.86</v>
      </c>
      <c r="AB5914">
        <v>217.86</v>
      </c>
      <c r="AC5914">
        <v>191.7</v>
      </c>
      <c r="AD5914">
        <v>0</v>
      </c>
      <c r="AE5914">
        <v>26.16</v>
      </c>
      <c r="AF5914">
        <v>0</v>
      </c>
      <c r="AG5914">
        <v>0</v>
      </c>
      <c r="AH5914">
        <v>0</v>
      </c>
      <c r="AI5914">
        <v>39.21</v>
      </c>
      <c r="AJ5914">
        <v>217.86</v>
      </c>
      <c r="AK5914">
        <v>0</v>
      </c>
      <c r="AL5914" t="s">
        <v>53</v>
      </c>
      <c r="AM5914" t="s">
        <v>53</v>
      </c>
      <c r="AN5914" t="s">
        <v>53</v>
      </c>
      <c r="AO5914" t="s">
        <v>53</v>
      </c>
      <c r="AP5914" t="s">
        <v>53</v>
      </c>
    </row>
    <row r="5915" spans="2:42" x14ac:dyDescent="0.2">
      <c r="B5915" t="s">
        <v>44</v>
      </c>
      <c r="C5915" t="str">
        <f>HYPERLINK("https://us2.cloudbeds.com/connect/8493803454333002#/reservations/132309636423838?display=2S2H0T23RF&amp;reservation_id=132309636423838", "2S2H0T23RF")</f>
        <v>2S2H0T23RF</v>
      </c>
      <c r="D5915" t="s">
        <v>45</v>
      </c>
      <c r="E5915" t="s">
        <v>190</v>
      </c>
      <c r="F5915" t="s">
        <v>61</v>
      </c>
      <c r="G5915" t="s">
        <v>48</v>
      </c>
      <c r="H5915" t="s">
        <v>3957</v>
      </c>
      <c r="I5915" t="s">
        <v>3975</v>
      </c>
      <c r="J5915" t="s">
        <v>7750</v>
      </c>
      <c r="K5915" t="s">
        <v>8367</v>
      </c>
      <c r="L5915" t="s">
        <v>53</v>
      </c>
      <c r="P5915" t="s">
        <v>55</v>
      </c>
      <c r="R5915" t="s">
        <v>53</v>
      </c>
      <c r="T5915" t="s">
        <v>10567</v>
      </c>
      <c r="U5915" t="s">
        <v>58</v>
      </c>
      <c r="V5915">
        <v>1</v>
      </c>
      <c r="W5915">
        <v>1</v>
      </c>
      <c r="X5915">
        <v>2</v>
      </c>
      <c r="Y5915">
        <v>0</v>
      </c>
      <c r="Z5915">
        <v>2</v>
      </c>
      <c r="AA5915">
        <v>242.08</v>
      </c>
      <c r="AB5915">
        <v>242.08</v>
      </c>
      <c r="AC5915">
        <v>213</v>
      </c>
      <c r="AD5915">
        <v>0</v>
      </c>
      <c r="AE5915">
        <v>29.08</v>
      </c>
      <c r="AF5915">
        <v>0</v>
      </c>
      <c r="AG5915">
        <v>0</v>
      </c>
      <c r="AH5915">
        <v>0</v>
      </c>
      <c r="AI5915">
        <v>0</v>
      </c>
      <c r="AJ5915">
        <v>242.08</v>
      </c>
      <c r="AK5915">
        <v>0</v>
      </c>
      <c r="AL5915" t="s">
        <v>53</v>
      </c>
      <c r="AM5915" t="s">
        <v>53</v>
      </c>
      <c r="AN5915" t="s">
        <v>53</v>
      </c>
      <c r="AO5915" t="s">
        <v>53</v>
      </c>
      <c r="AP5915" t="s">
        <v>53</v>
      </c>
    </row>
    <row r="5916" spans="2:42" x14ac:dyDescent="0.2">
      <c r="B5916" t="s">
        <v>44</v>
      </c>
      <c r="C5916" t="str">
        <f>HYPERLINK("https://us2.cloudbeds.com/connect/8493803454333002#/reservations/132319304818899?display=2S2ZGUNF6W&amp;reservation_id=132319304818899", "2S2ZGUNF6W")</f>
        <v>2S2ZGUNF6W</v>
      </c>
      <c r="D5916" t="s">
        <v>45</v>
      </c>
      <c r="E5916" t="s">
        <v>46</v>
      </c>
      <c r="F5916" t="s">
        <v>47</v>
      </c>
      <c r="G5916" t="s">
        <v>48</v>
      </c>
      <c r="H5916" t="s">
        <v>3957</v>
      </c>
      <c r="I5916" t="s">
        <v>3989</v>
      </c>
      <c r="J5916" t="s">
        <v>9318</v>
      </c>
      <c r="K5916" t="s">
        <v>7623</v>
      </c>
      <c r="L5916" t="s">
        <v>53</v>
      </c>
      <c r="P5916" t="s">
        <v>55</v>
      </c>
      <c r="R5916" t="s">
        <v>56</v>
      </c>
      <c r="T5916" t="s">
        <v>10568</v>
      </c>
      <c r="U5916" t="s">
        <v>58</v>
      </c>
      <c r="V5916">
        <v>2</v>
      </c>
      <c r="W5916">
        <v>1</v>
      </c>
      <c r="X5916">
        <v>1</v>
      </c>
      <c r="Y5916">
        <v>0</v>
      </c>
      <c r="Z5916">
        <v>1</v>
      </c>
      <c r="AA5916">
        <v>454.6</v>
      </c>
      <c r="AB5916">
        <v>454.6</v>
      </c>
      <c r="AC5916">
        <v>400</v>
      </c>
      <c r="AD5916">
        <v>0</v>
      </c>
      <c r="AE5916">
        <v>54.6</v>
      </c>
      <c r="AF5916">
        <v>0</v>
      </c>
      <c r="AG5916">
        <v>0</v>
      </c>
      <c r="AH5916">
        <v>0</v>
      </c>
      <c r="AI5916">
        <v>0</v>
      </c>
      <c r="AJ5916">
        <v>454.6</v>
      </c>
      <c r="AK5916">
        <v>0</v>
      </c>
      <c r="AL5916" t="s">
        <v>53</v>
      </c>
      <c r="AM5916" t="s">
        <v>53</v>
      </c>
      <c r="AN5916" t="s">
        <v>53</v>
      </c>
      <c r="AO5916" t="s">
        <v>53</v>
      </c>
      <c r="AP5916" t="s">
        <v>53</v>
      </c>
    </row>
    <row r="5917" spans="2:42" x14ac:dyDescent="0.2">
      <c r="B5917" t="s">
        <v>44</v>
      </c>
      <c r="C5917" t="str">
        <f>HYPERLINK("https://us2.cloudbeds.com/connect/8493803454333002#/reservations/9080486846493845?display=2S2V8H12YM&amp;reservation_id=9080486846493845", "2S2V8H12YM")</f>
        <v>2S2V8H12YM</v>
      </c>
      <c r="D5917" t="s">
        <v>45</v>
      </c>
      <c r="E5917" t="s">
        <v>190</v>
      </c>
      <c r="F5917" t="s">
        <v>61</v>
      </c>
      <c r="G5917" t="s">
        <v>48</v>
      </c>
      <c r="H5917" t="s">
        <v>49</v>
      </c>
      <c r="I5917" t="s">
        <v>50</v>
      </c>
      <c r="J5917" t="s">
        <v>8911</v>
      </c>
      <c r="K5917" t="s">
        <v>8313</v>
      </c>
      <c r="L5917" t="s">
        <v>53</v>
      </c>
      <c r="N5917" t="s">
        <v>10569</v>
      </c>
      <c r="P5917" t="s">
        <v>55</v>
      </c>
      <c r="R5917" t="s">
        <v>53</v>
      </c>
      <c r="T5917" t="s">
        <v>10570</v>
      </c>
      <c r="U5917" t="s">
        <v>58</v>
      </c>
      <c r="V5917">
        <v>2</v>
      </c>
      <c r="W5917">
        <v>1</v>
      </c>
      <c r="X5917">
        <v>2</v>
      </c>
      <c r="Y5917">
        <v>0</v>
      </c>
      <c r="Z5917">
        <v>2</v>
      </c>
      <c r="AA5917">
        <v>394.08</v>
      </c>
      <c r="AB5917">
        <v>394.08</v>
      </c>
      <c r="AC5917">
        <v>346.75</v>
      </c>
      <c r="AD5917">
        <v>0</v>
      </c>
      <c r="AE5917">
        <v>47.33</v>
      </c>
      <c r="AF5917">
        <v>0</v>
      </c>
      <c r="AG5917">
        <v>0</v>
      </c>
      <c r="AH5917">
        <v>0</v>
      </c>
      <c r="AI5917">
        <v>70.930000000000007</v>
      </c>
      <c r="AJ5917">
        <v>394.08</v>
      </c>
      <c r="AK5917">
        <v>0</v>
      </c>
      <c r="AL5917" t="s">
        <v>53</v>
      </c>
      <c r="AM5917" t="s">
        <v>53</v>
      </c>
      <c r="AN5917" t="s">
        <v>53</v>
      </c>
      <c r="AO5917" t="s">
        <v>53</v>
      </c>
      <c r="AP5917" t="s">
        <v>53</v>
      </c>
    </row>
    <row r="5918" spans="2:42" x14ac:dyDescent="0.2">
      <c r="B5918" t="s">
        <v>44</v>
      </c>
      <c r="C5918" t="str">
        <f>HYPERLINK("https://us2.cloudbeds.com/connect/8493803454333002#/reservations/9080486846495025?display=2S4M8HVUB3&amp;reservation_id=9080486846495025", "2S4M8HVUB3")</f>
        <v>2S4M8HVUB3</v>
      </c>
      <c r="D5918" t="s">
        <v>45</v>
      </c>
      <c r="E5918" t="s">
        <v>138</v>
      </c>
      <c r="F5918" t="s">
        <v>70</v>
      </c>
      <c r="G5918" t="s">
        <v>48</v>
      </c>
      <c r="H5918" t="s">
        <v>49</v>
      </c>
      <c r="I5918" t="s">
        <v>50</v>
      </c>
      <c r="J5918" t="s">
        <v>8139</v>
      </c>
      <c r="K5918" t="s">
        <v>7293</v>
      </c>
      <c r="L5918" t="s">
        <v>53</v>
      </c>
      <c r="N5918" t="s">
        <v>10571</v>
      </c>
      <c r="P5918" t="s">
        <v>55</v>
      </c>
      <c r="R5918" t="s">
        <v>53</v>
      </c>
      <c r="T5918" t="s">
        <v>10572</v>
      </c>
      <c r="U5918" t="s">
        <v>58</v>
      </c>
      <c r="V5918">
        <v>1</v>
      </c>
      <c r="W5918">
        <v>1</v>
      </c>
      <c r="X5918">
        <v>2</v>
      </c>
      <c r="Y5918">
        <v>0</v>
      </c>
      <c r="Z5918">
        <v>2</v>
      </c>
      <c r="AA5918">
        <v>159.4</v>
      </c>
      <c r="AB5918">
        <v>159.4</v>
      </c>
      <c r="AC5918">
        <v>140.25</v>
      </c>
      <c r="AD5918">
        <v>0</v>
      </c>
      <c r="AE5918">
        <v>19.149999999999999</v>
      </c>
      <c r="AF5918">
        <v>0</v>
      </c>
      <c r="AG5918">
        <v>0</v>
      </c>
      <c r="AH5918">
        <v>0</v>
      </c>
      <c r="AI5918">
        <v>28.69</v>
      </c>
      <c r="AJ5918">
        <v>159.4</v>
      </c>
      <c r="AK5918">
        <v>0</v>
      </c>
      <c r="AL5918" t="s">
        <v>53</v>
      </c>
      <c r="AM5918" t="s">
        <v>53</v>
      </c>
      <c r="AN5918" t="s">
        <v>53</v>
      </c>
      <c r="AO5918" t="s">
        <v>53</v>
      </c>
      <c r="AP5918" t="s">
        <v>53</v>
      </c>
    </row>
    <row r="5919" spans="2:42" x14ac:dyDescent="0.2">
      <c r="B5919" t="s">
        <v>44</v>
      </c>
      <c r="C5919" t="str">
        <f>HYPERLINK("https://us2.cloudbeds.com/connect/8493803454333002#/reservations/9080486846495094?display=2S4QEN6E9A&amp;reservation_id=9080486846495094", "2S4QEN6E9A")</f>
        <v>2S4QEN6E9A</v>
      </c>
      <c r="D5919" t="s">
        <v>45</v>
      </c>
      <c r="E5919" t="s">
        <v>92</v>
      </c>
      <c r="F5919" t="s">
        <v>86</v>
      </c>
      <c r="G5919" t="s">
        <v>48</v>
      </c>
      <c r="H5919" t="s">
        <v>49</v>
      </c>
      <c r="I5919" t="s">
        <v>50</v>
      </c>
      <c r="J5919" t="s">
        <v>10137</v>
      </c>
      <c r="K5919" t="s">
        <v>10070</v>
      </c>
      <c r="L5919" t="s">
        <v>53</v>
      </c>
      <c r="N5919" t="s">
        <v>10573</v>
      </c>
      <c r="P5919" t="s">
        <v>55</v>
      </c>
      <c r="R5919" t="s">
        <v>53</v>
      </c>
      <c r="T5919" t="s">
        <v>10574</v>
      </c>
      <c r="U5919" t="s">
        <v>58</v>
      </c>
      <c r="V5919">
        <v>2</v>
      </c>
      <c r="W5919">
        <v>1</v>
      </c>
      <c r="X5919">
        <v>2</v>
      </c>
      <c r="Y5919">
        <v>0</v>
      </c>
      <c r="Z5919">
        <v>2</v>
      </c>
      <c r="AA5919">
        <v>172.75</v>
      </c>
      <c r="AB5919">
        <v>172.75</v>
      </c>
      <c r="AC5919">
        <v>152</v>
      </c>
      <c r="AD5919">
        <v>0</v>
      </c>
      <c r="AE5919">
        <v>20.75</v>
      </c>
      <c r="AF5919">
        <v>0</v>
      </c>
      <c r="AG5919">
        <v>0</v>
      </c>
      <c r="AH5919">
        <v>0</v>
      </c>
      <c r="AI5919">
        <v>31.1</v>
      </c>
      <c r="AJ5919">
        <v>172.75</v>
      </c>
      <c r="AK5919">
        <v>0</v>
      </c>
      <c r="AL5919" t="s">
        <v>53</v>
      </c>
      <c r="AM5919" t="s">
        <v>53</v>
      </c>
      <c r="AN5919" t="s">
        <v>53</v>
      </c>
      <c r="AO5919" t="s">
        <v>53</v>
      </c>
      <c r="AP5919" t="s">
        <v>53</v>
      </c>
    </row>
    <row r="5920" spans="2:42" x14ac:dyDescent="0.2">
      <c r="B5920" t="s">
        <v>44</v>
      </c>
      <c r="C5920" t="str">
        <f>HYPERLINK("https://us2.cloudbeds.com/connect/8493803454333002#/reservations/9080486846495359?display=2S57X41VMQ&amp;reservation_id=9080486846495359", "2S57X41VMQ")</f>
        <v>2S57X41VMQ</v>
      </c>
      <c r="D5920" t="s">
        <v>45</v>
      </c>
      <c r="E5920" t="s">
        <v>165</v>
      </c>
      <c r="F5920" t="s">
        <v>61</v>
      </c>
      <c r="G5920" t="s">
        <v>48</v>
      </c>
      <c r="H5920" t="s">
        <v>49</v>
      </c>
      <c r="I5920" t="s">
        <v>50</v>
      </c>
      <c r="J5920" t="s">
        <v>9829</v>
      </c>
      <c r="K5920" t="s">
        <v>6991</v>
      </c>
      <c r="L5920" t="s">
        <v>53</v>
      </c>
      <c r="N5920" t="s">
        <v>10575</v>
      </c>
      <c r="P5920" t="s">
        <v>55</v>
      </c>
      <c r="R5920" t="s">
        <v>53</v>
      </c>
      <c r="T5920" t="s">
        <v>10576</v>
      </c>
      <c r="U5920" t="s">
        <v>58</v>
      </c>
      <c r="V5920">
        <v>1</v>
      </c>
      <c r="W5920">
        <v>1</v>
      </c>
      <c r="X5920">
        <v>2</v>
      </c>
      <c r="Y5920">
        <v>0</v>
      </c>
      <c r="Z5920">
        <v>2</v>
      </c>
      <c r="AA5920">
        <v>212.75</v>
      </c>
      <c r="AB5920">
        <v>212.75</v>
      </c>
      <c r="AC5920">
        <v>187.2</v>
      </c>
      <c r="AD5920">
        <v>0</v>
      </c>
      <c r="AE5920">
        <v>25.55</v>
      </c>
      <c r="AF5920">
        <v>0</v>
      </c>
      <c r="AG5920">
        <v>0</v>
      </c>
      <c r="AH5920">
        <v>0</v>
      </c>
      <c r="AI5920">
        <v>38.299999999999997</v>
      </c>
      <c r="AJ5920">
        <v>212.75</v>
      </c>
      <c r="AK5920">
        <v>0</v>
      </c>
      <c r="AL5920" t="s">
        <v>53</v>
      </c>
      <c r="AM5920" t="s">
        <v>53</v>
      </c>
      <c r="AN5920" t="s">
        <v>53</v>
      </c>
      <c r="AO5920" t="s">
        <v>53</v>
      </c>
      <c r="AP5920" t="s">
        <v>53</v>
      </c>
    </row>
    <row r="5921" spans="2:42" x14ac:dyDescent="0.2">
      <c r="B5921" t="s">
        <v>44</v>
      </c>
      <c r="C5921" t="str">
        <f>HYPERLINK("https://us2.cloudbeds.com/connect/8493803454333002#/reservations/9080486846495795?display=2S62JBU93S&amp;reservation_id=9080486846495795", "2S62JBU93S")</f>
        <v>2S62JBU93S</v>
      </c>
      <c r="D5921" t="s">
        <v>45</v>
      </c>
      <c r="E5921" t="s">
        <v>223</v>
      </c>
      <c r="F5921" t="s">
        <v>47</v>
      </c>
      <c r="G5921" t="s">
        <v>48</v>
      </c>
      <c r="H5921" t="s">
        <v>49</v>
      </c>
      <c r="I5921" t="s">
        <v>50</v>
      </c>
      <c r="J5921" t="s">
        <v>8071</v>
      </c>
      <c r="K5921" t="s">
        <v>4008</v>
      </c>
      <c r="L5921" t="s">
        <v>53</v>
      </c>
      <c r="N5921" t="s">
        <v>10577</v>
      </c>
      <c r="P5921" t="s">
        <v>55</v>
      </c>
      <c r="R5921" t="s">
        <v>53</v>
      </c>
      <c r="T5921" t="s">
        <v>10578</v>
      </c>
      <c r="U5921" t="s">
        <v>58</v>
      </c>
      <c r="V5921">
        <v>1</v>
      </c>
      <c r="W5921">
        <v>1</v>
      </c>
      <c r="X5921">
        <v>2</v>
      </c>
      <c r="Y5921">
        <v>0</v>
      </c>
      <c r="Z5921">
        <v>2</v>
      </c>
      <c r="AA5921">
        <v>162.63</v>
      </c>
      <c r="AB5921">
        <v>162.63</v>
      </c>
      <c r="AC5921">
        <v>143.1</v>
      </c>
      <c r="AD5921">
        <v>0</v>
      </c>
      <c r="AE5921">
        <v>19.53</v>
      </c>
      <c r="AF5921">
        <v>0</v>
      </c>
      <c r="AG5921">
        <v>0</v>
      </c>
      <c r="AH5921">
        <v>0</v>
      </c>
      <c r="AI5921">
        <v>29.27</v>
      </c>
      <c r="AJ5921">
        <v>162.63</v>
      </c>
      <c r="AK5921">
        <v>0</v>
      </c>
      <c r="AL5921" t="s">
        <v>53</v>
      </c>
      <c r="AM5921" t="s">
        <v>53</v>
      </c>
      <c r="AN5921" t="s">
        <v>53</v>
      </c>
      <c r="AO5921" t="s">
        <v>53</v>
      </c>
      <c r="AP5921" t="s">
        <v>53</v>
      </c>
    </row>
    <row r="5922" spans="2:42" x14ac:dyDescent="0.2">
      <c r="B5922" t="s">
        <v>44</v>
      </c>
      <c r="C5922" t="str">
        <f>HYPERLINK("https://us2.cloudbeds.com/connect/8493803454333002#/reservations/9080486846497944?display=2S9AZXP24G&amp;reservation_id=9080486846497944", "2S9AZXP24G")</f>
        <v>2S9AZXP24G</v>
      </c>
      <c r="D5922" t="s">
        <v>45</v>
      </c>
      <c r="E5922" t="s">
        <v>138</v>
      </c>
      <c r="F5922" t="s">
        <v>70</v>
      </c>
      <c r="G5922" t="s">
        <v>48</v>
      </c>
      <c r="H5922" t="s">
        <v>49</v>
      </c>
      <c r="I5922" t="s">
        <v>8964</v>
      </c>
      <c r="J5922" t="s">
        <v>10579</v>
      </c>
      <c r="K5922" t="s">
        <v>9762</v>
      </c>
      <c r="L5922" t="s">
        <v>53</v>
      </c>
      <c r="N5922" t="s">
        <v>10580</v>
      </c>
      <c r="P5922" t="s">
        <v>55</v>
      </c>
      <c r="R5922" t="s">
        <v>53</v>
      </c>
      <c r="T5922" t="s">
        <v>10581</v>
      </c>
      <c r="U5922" t="s">
        <v>58</v>
      </c>
      <c r="V5922">
        <v>3</v>
      </c>
      <c r="W5922">
        <v>1</v>
      </c>
      <c r="X5922">
        <v>2</v>
      </c>
      <c r="Y5922">
        <v>0</v>
      </c>
      <c r="Z5922">
        <v>2</v>
      </c>
      <c r="AA5922">
        <v>0</v>
      </c>
      <c r="AB5922">
        <v>0</v>
      </c>
      <c r="AC5922">
        <v>189</v>
      </c>
      <c r="AD5922">
        <v>0</v>
      </c>
      <c r="AE5922">
        <v>0</v>
      </c>
      <c r="AF5922">
        <v>0</v>
      </c>
      <c r="AG5922">
        <v>0</v>
      </c>
      <c r="AH5922">
        <v>0</v>
      </c>
      <c r="AI5922">
        <v>28.35</v>
      </c>
      <c r="AJ5922">
        <v>189</v>
      </c>
      <c r="AK5922">
        <v>189</v>
      </c>
      <c r="AL5922" t="s">
        <v>53</v>
      </c>
      <c r="AM5922" t="s">
        <v>53</v>
      </c>
      <c r="AN5922" t="s">
        <v>53</v>
      </c>
      <c r="AO5922" t="s">
        <v>53</v>
      </c>
      <c r="AP5922" t="s">
        <v>53</v>
      </c>
    </row>
    <row r="5923" spans="2:42" x14ac:dyDescent="0.2">
      <c r="B5923" t="s">
        <v>44</v>
      </c>
      <c r="C5923" t="str">
        <f>HYPERLINK("https://us2.cloudbeds.com/connect/8493803454333002#/reservations/9080486846498240?display=2S9KD0QRX2&amp;reservation_id=9080486846498240", "2S9KD0QRX2")</f>
        <v>2S9KD0QRX2</v>
      </c>
      <c r="D5923" t="s">
        <v>45</v>
      </c>
      <c r="E5923" t="s">
        <v>381</v>
      </c>
      <c r="F5923" t="s">
        <v>47</v>
      </c>
      <c r="G5923" t="s">
        <v>48</v>
      </c>
      <c r="H5923" t="s">
        <v>49</v>
      </c>
      <c r="I5923" t="s">
        <v>50</v>
      </c>
      <c r="J5923" t="s">
        <v>8071</v>
      </c>
      <c r="K5923" t="s">
        <v>9318</v>
      </c>
      <c r="L5923" t="s">
        <v>53</v>
      </c>
      <c r="N5923" t="s">
        <v>10582</v>
      </c>
      <c r="P5923" t="s">
        <v>55</v>
      </c>
      <c r="R5923" t="s">
        <v>53</v>
      </c>
      <c r="T5923" t="s">
        <v>10583</v>
      </c>
      <c r="U5923" t="s">
        <v>58</v>
      </c>
      <c r="V5923">
        <v>4</v>
      </c>
      <c r="W5923">
        <v>1</v>
      </c>
      <c r="X5923">
        <v>1</v>
      </c>
      <c r="Y5923">
        <v>0</v>
      </c>
      <c r="Z5923">
        <v>1</v>
      </c>
      <c r="AA5923">
        <v>543.70000000000005</v>
      </c>
      <c r="AB5923">
        <v>551.83000000000004</v>
      </c>
      <c r="AC5923">
        <v>478.4</v>
      </c>
      <c r="AD5923">
        <v>7.5</v>
      </c>
      <c r="AE5923">
        <v>65.930000000000007</v>
      </c>
      <c r="AF5923">
        <v>0</v>
      </c>
      <c r="AG5923">
        <v>0</v>
      </c>
      <c r="AH5923">
        <v>0</v>
      </c>
      <c r="AI5923">
        <v>99.33</v>
      </c>
      <c r="AJ5923">
        <v>551.83000000000004</v>
      </c>
      <c r="AK5923">
        <v>0</v>
      </c>
      <c r="AL5923" t="s">
        <v>53</v>
      </c>
      <c r="AM5923" t="s">
        <v>53</v>
      </c>
      <c r="AN5923" t="s">
        <v>53</v>
      </c>
      <c r="AO5923" t="s">
        <v>53</v>
      </c>
      <c r="AP5923" t="s">
        <v>53</v>
      </c>
    </row>
    <row r="5924" spans="2:42" x14ac:dyDescent="0.2">
      <c r="B5924" t="s">
        <v>44</v>
      </c>
      <c r="C5924" t="str">
        <f>HYPERLINK("https://us2.cloudbeds.com/connect/8493803454333002#/reservations/9080486846498615?display=2S9WDZ6ZBC&amp;reservation_id=9080486846498615", "2S9WDZ6ZBC")</f>
        <v>2S9WDZ6ZBC</v>
      </c>
      <c r="D5924" t="s">
        <v>45</v>
      </c>
      <c r="E5924" t="s">
        <v>185</v>
      </c>
      <c r="F5924" t="s">
        <v>47</v>
      </c>
      <c r="G5924" t="s">
        <v>48</v>
      </c>
      <c r="H5924" t="s">
        <v>49</v>
      </c>
      <c r="I5924" t="s">
        <v>50</v>
      </c>
      <c r="J5924" t="s">
        <v>8060</v>
      </c>
      <c r="K5924" t="s">
        <v>7967</v>
      </c>
      <c r="L5924" t="s">
        <v>53</v>
      </c>
      <c r="N5924" t="s">
        <v>10584</v>
      </c>
      <c r="P5924" t="s">
        <v>55</v>
      </c>
      <c r="R5924" t="s">
        <v>56</v>
      </c>
      <c r="T5924" t="s">
        <v>10585</v>
      </c>
      <c r="U5924" t="s">
        <v>58</v>
      </c>
      <c r="V5924">
        <v>1</v>
      </c>
      <c r="W5924">
        <v>1</v>
      </c>
      <c r="X5924">
        <v>1</v>
      </c>
      <c r="Y5924">
        <v>0</v>
      </c>
      <c r="Z5924">
        <v>1</v>
      </c>
      <c r="AA5924">
        <v>208.91</v>
      </c>
      <c r="AB5924">
        <v>208.91</v>
      </c>
      <c r="AC5924">
        <v>183.82</v>
      </c>
      <c r="AD5924">
        <v>0</v>
      </c>
      <c r="AE5924">
        <v>25.09</v>
      </c>
      <c r="AF5924">
        <v>0</v>
      </c>
      <c r="AG5924">
        <v>0</v>
      </c>
      <c r="AH5924">
        <v>0</v>
      </c>
      <c r="AI5924">
        <v>37.6</v>
      </c>
      <c r="AJ5924">
        <v>208.91</v>
      </c>
      <c r="AK5924">
        <v>208.91</v>
      </c>
      <c r="AL5924" t="s">
        <v>53</v>
      </c>
      <c r="AM5924" t="s">
        <v>53</v>
      </c>
      <c r="AN5924" t="s">
        <v>53</v>
      </c>
      <c r="AO5924" t="s">
        <v>53</v>
      </c>
      <c r="AP5924" t="s">
        <v>53</v>
      </c>
    </row>
    <row r="5925" spans="2:42" x14ac:dyDescent="0.2">
      <c r="B5925" t="s">
        <v>44</v>
      </c>
      <c r="C5925" t="str">
        <f>HYPERLINK("https://us2.cloudbeds.com/connect/8493803454333002#/reservations/9080486846499766?display=2SB8W44TR0&amp;reservation_id=9080486846499766", "2SB8W44TR0")</f>
        <v>2SB8W44TR0</v>
      </c>
      <c r="D5925" t="s">
        <v>45</v>
      </c>
      <c r="E5925" t="s">
        <v>105</v>
      </c>
      <c r="F5925" t="s">
        <v>47</v>
      </c>
      <c r="G5925" t="s">
        <v>48</v>
      </c>
      <c r="H5925" t="s">
        <v>49</v>
      </c>
      <c r="I5925" t="s">
        <v>62</v>
      </c>
      <c r="J5925" t="s">
        <v>10586</v>
      </c>
      <c r="K5925" t="s">
        <v>10587</v>
      </c>
      <c r="L5925" t="s">
        <v>53</v>
      </c>
      <c r="N5925" t="s">
        <v>10588</v>
      </c>
      <c r="P5925" t="s">
        <v>55</v>
      </c>
      <c r="R5925" t="s">
        <v>56</v>
      </c>
      <c r="T5925" t="s">
        <v>10589</v>
      </c>
      <c r="U5925" t="s">
        <v>55</v>
      </c>
      <c r="V5925">
        <v>3</v>
      </c>
      <c r="W5925">
        <v>1</v>
      </c>
      <c r="X5925">
        <v>2</v>
      </c>
      <c r="Y5925">
        <v>0</v>
      </c>
      <c r="Z5925">
        <v>2</v>
      </c>
      <c r="AA5925">
        <v>188</v>
      </c>
      <c r="AB5925">
        <v>188</v>
      </c>
      <c r="AC5925">
        <v>188</v>
      </c>
      <c r="AD5925">
        <v>0</v>
      </c>
      <c r="AE5925">
        <v>0</v>
      </c>
      <c r="AF5925">
        <v>0</v>
      </c>
      <c r="AG5925">
        <v>0</v>
      </c>
      <c r="AH5925">
        <v>0</v>
      </c>
      <c r="AI5925">
        <v>33.840000000000003</v>
      </c>
      <c r="AJ5925">
        <v>188</v>
      </c>
      <c r="AK5925">
        <v>0</v>
      </c>
      <c r="AL5925" t="s">
        <v>53</v>
      </c>
      <c r="AM5925" t="s">
        <v>53</v>
      </c>
      <c r="AN5925" t="s">
        <v>53</v>
      </c>
      <c r="AO5925" t="s">
        <v>53</v>
      </c>
      <c r="AP5925" t="s">
        <v>53</v>
      </c>
    </row>
    <row r="5926" spans="2:42" x14ac:dyDescent="0.2">
      <c r="B5926" t="s">
        <v>44</v>
      </c>
      <c r="C5926" t="str">
        <f>HYPERLINK("https://us2.cloudbeds.com/connect/8493803454333002#/reservations/9080486846499972?display=2SBX3YVWM8&amp;reservation_id=9080486846499972", "2SBX3YVWM8")</f>
        <v>2SBX3YVWM8</v>
      </c>
      <c r="D5926" t="s">
        <v>45</v>
      </c>
      <c r="E5926" t="s">
        <v>373</v>
      </c>
      <c r="F5926" t="s">
        <v>47</v>
      </c>
      <c r="G5926" t="s">
        <v>48</v>
      </c>
      <c r="H5926" t="s">
        <v>49</v>
      </c>
      <c r="I5926" t="s">
        <v>8964</v>
      </c>
      <c r="J5926" t="s">
        <v>10590</v>
      </c>
      <c r="K5926" t="s">
        <v>10591</v>
      </c>
      <c r="L5926" t="s">
        <v>53</v>
      </c>
      <c r="N5926" t="s">
        <v>10592</v>
      </c>
      <c r="P5926" t="s">
        <v>55</v>
      </c>
      <c r="R5926" t="s">
        <v>53</v>
      </c>
      <c r="T5926" t="s">
        <v>10593</v>
      </c>
      <c r="U5926" t="s">
        <v>58</v>
      </c>
      <c r="V5926">
        <v>2</v>
      </c>
      <c r="W5926">
        <v>1</v>
      </c>
      <c r="X5926">
        <v>2</v>
      </c>
      <c r="Y5926">
        <v>0</v>
      </c>
      <c r="Z5926">
        <v>2</v>
      </c>
      <c r="AA5926">
        <v>129</v>
      </c>
      <c r="AB5926">
        <v>0</v>
      </c>
      <c r="AC5926">
        <v>129</v>
      </c>
      <c r="AD5926">
        <v>0</v>
      </c>
      <c r="AE5926">
        <v>0</v>
      </c>
      <c r="AF5926">
        <v>0</v>
      </c>
      <c r="AG5926">
        <v>0</v>
      </c>
      <c r="AH5926">
        <v>0</v>
      </c>
      <c r="AI5926">
        <v>19.350000000000001</v>
      </c>
      <c r="AJ5926">
        <v>129</v>
      </c>
      <c r="AK5926">
        <v>129</v>
      </c>
      <c r="AL5926" t="s">
        <v>53</v>
      </c>
      <c r="AM5926" t="s">
        <v>53</v>
      </c>
      <c r="AN5926" t="s">
        <v>53</v>
      </c>
      <c r="AO5926" t="s">
        <v>53</v>
      </c>
      <c r="AP5926" t="s">
        <v>53</v>
      </c>
    </row>
    <row r="5927" spans="2:42" x14ac:dyDescent="0.2">
      <c r="B5927" t="s">
        <v>44</v>
      </c>
      <c r="C5927" t="str">
        <f>HYPERLINK("https://us2.cloudbeds.com/connect/8493803454333002#/reservations/9080486846500063?display=2SBMCRV5FT&amp;reservation_id=9080486846500063", "2SBMCRV5FT")</f>
        <v>2SBMCRV5FT</v>
      </c>
      <c r="D5927" t="s">
        <v>45</v>
      </c>
      <c r="E5927" t="s">
        <v>373</v>
      </c>
      <c r="F5927" t="s">
        <v>47</v>
      </c>
      <c r="G5927" t="s">
        <v>48</v>
      </c>
      <c r="H5927" t="s">
        <v>49</v>
      </c>
      <c r="I5927" t="s">
        <v>50</v>
      </c>
      <c r="J5927" t="s">
        <v>8394</v>
      </c>
      <c r="K5927" t="s">
        <v>7623</v>
      </c>
      <c r="L5927" t="s">
        <v>53</v>
      </c>
      <c r="N5927" t="s">
        <v>10594</v>
      </c>
      <c r="P5927" t="s">
        <v>55</v>
      </c>
      <c r="R5927" t="s">
        <v>53</v>
      </c>
      <c r="T5927" t="s">
        <v>10595</v>
      </c>
      <c r="U5927" t="s">
        <v>58</v>
      </c>
      <c r="V5927">
        <v>1</v>
      </c>
      <c r="W5927">
        <v>1</v>
      </c>
      <c r="X5927">
        <v>2</v>
      </c>
      <c r="Y5927">
        <v>0</v>
      </c>
      <c r="Z5927">
        <v>2</v>
      </c>
      <c r="AA5927">
        <v>193.35</v>
      </c>
      <c r="AB5927">
        <v>193.35</v>
      </c>
      <c r="AC5927">
        <v>170.14</v>
      </c>
      <c r="AD5927">
        <v>0</v>
      </c>
      <c r="AE5927">
        <v>23.21</v>
      </c>
      <c r="AF5927">
        <v>0</v>
      </c>
      <c r="AG5927">
        <v>0</v>
      </c>
      <c r="AH5927">
        <v>0</v>
      </c>
      <c r="AI5927">
        <v>34.799999999999997</v>
      </c>
      <c r="AJ5927">
        <v>193.35</v>
      </c>
      <c r="AK5927">
        <v>0</v>
      </c>
      <c r="AL5927" t="s">
        <v>53</v>
      </c>
      <c r="AM5927" t="s">
        <v>53</v>
      </c>
      <c r="AN5927" t="s">
        <v>53</v>
      </c>
      <c r="AO5927" t="s">
        <v>53</v>
      </c>
      <c r="AP5927" t="s">
        <v>53</v>
      </c>
    </row>
    <row r="5928" spans="2:42" x14ac:dyDescent="0.2">
      <c r="B5928" t="s">
        <v>44</v>
      </c>
      <c r="C5928" t="str">
        <f>HYPERLINK("https://us2.cloudbeds.com/connect/8493803454333002#/reservations/132714148544646?display=2SC083D5M8&amp;reservation_id=132714148544646", "2SC083D5M8")</f>
        <v>2SC083D5M8</v>
      </c>
      <c r="D5928" t="s">
        <v>45</v>
      </c>
      <c r="E5928" t="s">
        <v>10596</v>
      </c>
      <c r="F5928" t="s">
        <v>5257</v>
      </c>
      <c r="G5928" t="s">
        <v>48</v>
      </c>
      <c r="H5928" t="s">
        <v>3957</v>
      </c>
      <c r="I5928" t="s">
        <v>3975</v>
      </c>
      <c r="J5928" t="s">
        <v>6832</v>
      </c>
      <c r="K5928" t="s">
        <v>8616</v>
      </c>
      <c r="L5928" t="s">
        <v>53</v>
      </c>
      <c r="P5928" t="s">
        <v>55</v>
      </c>
      <c r="R5928" t="s">
        <v>53</v>
      </c>
      <c r="T5928" t="s">
        <v>10597</v>
      </c>
      <c r="U5928" t="s">
        <v>58</v>
      </c>
      <c r="V5928">
        <v>8</v>
      </c>
      <c r="W5928">
        <v>2</v>
      </c>
      <c r="X5928">
        <v>4</v>
      </c>
      <c r="Y5928">
        <v>0</v>
      </c>
      <c r="Z5928">
        <v>4</v>
      </c>
      <c r="AA5928">
        <v>1916.18</v>
      </c>
      <c r="AB5928">
        <v>1872.09</v>
      </c>
      <c r="AC5928">
        <v>1603.53</v>
      </c>
      <c r="AD5928">
        <v>6.5</v>
      </c>
      <c r="AE5928">
        <v>230.73</v>
      </c>
      <c r="AF5928">
        <v>0</v>
      </c>
      <c r="AG5928">
        <v>0</v>
      </c>
      <c r="AH5928">
        <v>0</v>
      </c>
      <c r="AI5928">
        <v>0</v>
      </c>
      <c r="AJ5928">
        <v>1840.76</v>
      </c>
      <c r="AK5928">
        <v>0</v>
      </c>
      <c r="AL5928" t="s">
        <v>53</v>
      </c>
      <c r="AM5928" t="s">
        <v>53</v>
      </c>
      <c r="AN5928" t="s">
        <v>53</v>
      </c>
      <c r="AO5928" t="s">
        <v>53</v>
      </c>
      <c r="AP5928" t="s">
        <v>53</v>
      </c>
    </row>
    <row r="5929" spans="2:42" x14ac:dyDescent="0.2">
      <c r="B5929" t="s">
        <v>44</v>
      </c>
      <c r="C5929" t="str">
        <f>HYPERLINK("https://us2.cloudbeds.com/connect/8493803454333002#/reservations/132718834127044?display=2SC3SRDDGY&amp;reservation_id=132718834127044", "2SC3SRDDGY")</f>
        <v>2SC3SRDDGY</v>
      </c>
      <c r="D5929" t="s">
        <v>45</v>
      </c>
      <c r="E5929" t="s">
        <v>138</v>
      </c>
      <c r="F5929" t="s">
        <v>70</v>
      </c>
      <c r="G5929" t="s">
        <v>48</v>
      </c>
      <c r="H5929" t="s">
        <v>3957</v>
      </c>
      <c r="I5929" t="s">
        <v>3975</v>
      </c>
      <c r="J5929" t="s">
        <v>9763</v>
      </c>
      <c r="K5929" t="s">
        <v>10598</v>
      </c>
      <c r="L5929" t="s">
        <v>53</v>
      </c>
      <c r="P5929" t="s">
        <v>55</v>
      </c>
      <c r="R5929" t="s">
        <v>53</v>
      </c>
      <c r="T5929" t="s">
        <v>10599</v>
      </c>
      <c r="U5929" t="s">
        <v>58</v>
      </c>
      <c r="V5929">
        <v>2</v>
      </c>
      <c r="W5929">
        <v>1</v>
      </c>
      <c r="X5929">
        <v>2</v>
      </c>
      <c r="Y5929">
        <v>0</v>
      </c>
      <c r="Z5929">
        <v>2</v>
      </c>
      <c r="AA5929">
        <v>256.81</v>
      </c>
      <c r="AB5929">
        <v>256.81</v>
      </c>
      <c r="AC5929">
        <v>224</v>
      </c>
      <c r="AD5929">
        <v>0</v>
      </c>
      <c r="AE5929">
        <v>32.81</v>
      </c>
      <c r="AF5929">
        <v>0</v>
      </c>
      <c r="AG5929">
        <v>0</v>
      </c>
      <c r="AH5929">
        <v>0</v>
      </c>
      <c r="AI5929">
        <v>0</v>
      </c>
      <c r="AJ5929">
        <v>256.81</v>
      </c>
      <c r="AK5929">
        <v>0</v>
      </c>
      <c r="AL5929" t="s">
        <v>53</v>
      </c>
      <c r="AM5929" t="s">
        <v>53</v>
      </c>
      <c r="AN5929" t="s">
        <v>53</v>
      </c>
      <c r="AO5929" t="s">
        <v>53</v>
      </c>
      <c r="AP5929" t="s">
        <v>53</v>
      </c>
    </row>
    <row r="5930" spans="2:42" x14ac:dyDescent="0.2">
      <c r="B5930" t="s">
        <v>44</v>
      </c>
      <c r="C5930" t="str">
        <f>HYPERLINK("https://us2.cloudbeds.com/connect/8493803454333002#/reservations/9080486846500448?display=2SC89DP004&amp;reservation_id=9080486846500448", "2SC89DP004")</f>
        <v>2SC89DP004</v>
      </c>
      <c r="D5930" t="s">
        <v>45</v>
      </c>
      <c r="E5930" t="s">
        <v>110</v>
      </c>
      <c r="F5930" t="s">
        <v>47</v>
      </c>
      <c r="G5930" t="s">
        <v>48</v>
      </c>
      <c r="H5930" t="s">
        <v>49</v>
      </c>
      <c r="I5930" t="s">
        <v>62</v>
      </c>
      <c r="J5930" t="s">
        <v>5904</v>
      </c>
      <c r="K5930" t="s">
        <v>5403</v>
      </c>
      <c r="L5930" t="s">
        <v>53</v>
      </c>
      <c r="N5930" t="s">
        <v>10600</v>
      </c>
      <c r="P5930" t="s">
        <v>55</v>
      </c>
      <c r="R5930" t="s">
        <v>56</v>
      </c>
      <c r="T5930" t="s">
        <v>10601</v>
      </c>
      <c r="U5930" t="s">
        <v>55</v>
      </c>
      <c r="V5930">
        <v>1</v>
      </c>
      <c r="W5930">
        <v>1</v>
      </c>
      <c r="X5930">
        <v>1</v>
      </c>
      <c r="Y5930">
        <v>0</v>
      </c>
      <c r="Z5930">
        <v>1</v>
      </c>
      <c r="AA5930">
        <v>186.2</v>
      </c>
      <c r="AB5930">
        <v>186.2</v>
      </c>
      <c r="AC5930">
        <v>186.2</v>
      </c>
      <c r="AD5930">
        <v>0</v>
      </c>
      <c r="AE5930">
        <v>0</v>
      </c>
      <c r="AF5930">
        <v>0</v>
      </c>
      <c r="AG5930">
        <v>0</v>
      </c>
      <c r="AH5930">
        <v>0</v>
      </c>
      <c r="AI5930">
        <v>33.520000000000003</v>
      </c>
      <c r="AJ5930">
        <v>186.2</v>
      </c>
      <c r="AK5930">
        <v>0</v>
      </c>
      <c r="AL5930" t="s">
        <v>53</v>
      </c>
      <c r="AM5930" t="s">
        <v>53</v>
      </c>
      <c r="AN5930" t="s">
        <v>53</v>
      </c>
      <c r="AO5930" t="s">
        <v>53</v>
      </c>
      <c r="AP5930" t="s">
        <v>53</v>
      </c>
    </row>
    <row r="5931" spans="2:42" x14ac:dyDescent="0.2">
      <c r="B5931" t="s">
        <v>44</v>
      </c>
      <c r="C5931" t="str">
        <f>HYPERLINK("https://us2.cloudbeds.com/connect/8493803454333002#/reservations/9080486846500818?display=2SCU1TC50K&amp;reservation_id=9080486846500818", "2SCU1TC50K")</f>
        <v>2SCU1TC50K</v>
      </c>
      <c r="D5931" t="s">
        <v>45</v>
      </c>
      <c r="E5931" t="s">
        <v>138</v>
      </c>
      <c r="F5931" t="s">
        <v>70</v>
      </c>
      <c r="G5931" t="s">
        <v>48</v>
      </c>
      <c r="H5931" t="s">
        <v>49</v>
      </c>
      <c r="I5931" t="s">
        <v>62</v>
      </c>
      <c r="J5931" t="s">
        <v>8319</v>
      </c>
      <c r="K5931" t="s">
        <v>9318</v>
      </c>
      <c r="L5931" t="s">
        <v>53</v>
      </c>
      <c r="N5931" t="s">
        <v>10602</v>
      </c>
      <c r="P5931" t="s">
        <v>55</v>
      </c>
      <c r="R5931" t="s">
        <v>56</v>
      </c>
      <c r="T5931" t="s">
        <v>10603</v>
      </c>
      <c r="U5931" t="s">
        <v>55</v>
      </c>
      <c r="V5931">
        <v>1</v>
      </c>
      <c r="W5931">
        <v>1</v>
      </c>
      <c r="X5931">
        <v>1</v>
      </c>
      <c r="Y5931">
        <v>0</v>
      </c>
      <c r="Z5931">
        <v>1</v>
      </c>
      <c r="AA5931">
        <v>118</v>
      </c>
      <c r="AB5931">
        <v>118</v>
      </c>
      <c r="AC5931">
        <v>118</v>
      </c>
      <c r="AD5931">
        <v>0</v>
      </c>
      <c r="AE5931">
        <v>0</v>
      </c>
      <c r="AF5931">
        <v>0</v>
      </c>
      <c r="AG5931">
        <v>0</v>
      </c>
      <c r="AH5931">
        <v>0</v>
      </c>
      <c r="AI5931">
        <v>21.24</v>
      </c>
      <c r="AJ5931">
        <v>118</v>
      </c>
      <c r="AK5931">
        <v>0</v>
      </c>
      <c r="AL5931" t="s">
        <v>53</v>
      </c>
      <c r="AM5931" t="s">
        <v>53</v>
      </c>
      <c r="AN5931" t="s">
        <v>53</v>
      </c>
      <c r="AO5931" t="s">
        <v>53</v>
      </c>
      <c r="AP5931" t="s">
        <v>53</v>
      </c>
    </row>
    <row r="5932" spans="2:42" x14ac:dyDescent="0.2">
      <c r="B5932" t="s">
        <v>44</v>
      </c>
      <c r="C5932" t="str">
        <f>HYPERLINK("https://us2.cloudbeds.com/connect/8493803454333002#/reservations/132791350825150?display=2SDR0QDE7R&amp;reservation_id=132791350825150", "2SDR0QDE7R")</f>
        <v>2SDR0QDE7R</v>
      </c>
      <c r="D5932" t="s">
        <v>45</v>
      </c>
      <c r="E5932" t="s">
        <v>85</v>
      </c>
      <c r="F5932" t="s">
        <v>86</v>
      </c>
      <c r="G5932" t="s">
        <v>3974</v>
      </c>
      <c r="H5932" t="s">
        <v>3957</v>
      </c>
      <c r="I5932" t="s">
        <v>3975</v>
      </c>
      <c r="J5932" t="s">
        <v>7967</v>
      </c>
      <c r="K5932" t="s">
        <v>8670</v>
      </c>
      <c r="L5932" t="s">
        <v>53</v>
      </c>
      <c r="P5932" t="s">
        <v>55</v>
      </c>
      <c r="R5932" t="s">
        <v>53</v>
      </c>
      <c r="T5932" t="s">
        <v>10604</v>
      </c>
      <c r="U5932" t="s">
        <v>58</v>
      </c>
      <c r="V5932">
        <v>1</v>
      </c>
      <c r="W5932">
        <v>1</v>
      </c>
      <c r="X5932">
        <v>3</v>
      </c>
      <c r="Y5932">
        <v>0</v>
      </c>
      <c r="Z5932">
        <v>3</v>
      </c>
      <c r="AA5932">
        <v>300.14999999999998</v>
      </c>
      <c r="AB5932">
        <v>305.57</v>
      </c>
      <c r="AC5932">
        <v>264.10000000000002</v>
      </c>
      <c r="AD5932">
        <v>5</v>
      </c>
      <c r="AE5932">
        <v>36.47</v>
      </c>
      <c r="AF5932">
        <v>0</v>
      </c>
      <c r="AG5932">
        <v>0</v>
      </c>
      <c r="AH5932">
        <v>0</v>
      </c>
      <c r="AI5932">
        <v>0</v>
      </c>
      <c r="AJ5932">
        <v>305.57</v>
      </c>
      <c r="AK5932">
        <v>0</v>
      </c>
      <c r="AL5932" t="s">
        <v>53</v>
      </c>
      <c r="AM5932" t="s">
        <v>53</v>
      </c>
      <c r="AN5932" t="s">
        <v>53</v>
      </c>
      <c r="AO5932" t="s">
        <v>53</v>
      </c>
      <c r="AP5932" t="s">
        <v>53</v>
      </c>
    </row>
    <row r="5933" spans="2:42" x14ac:dyDescent="0.2">
      <c r="B5933" t="s">
        <v>44</v>
      </c>
      <c r="C5933" t="str">
        <f>HYPERLINK("https://us2.cloudbeds.com/connect/8493803454333002#/reservations/9080486846503885?display=2SHYKCS59F&amp;reservation_id=9080486846503885", "2SHYKCS59F")</f>
        <v>2SHYKCS59F</v>
      </c>
      <c r="D5933" t="s">
        <v>45</v>
      </c>
      <c r="E5933" t="s">
        <v>7965</v>
      </c>
      <c r="F5933" t="s">
        <v>70</v>
      </c>
      <c r="G5933" t="s">
        <v>48</v>
      </c>
      <c r="H5933" t="s">
        <v>49</v>
      </c>
      <c r="I5933" t="s">
        <v>62</v>
      </c>
      <c r="J5933" t="s">
        <v>5402</v>
      </c>
      <c r="K5933" t="s">
        <v>8138</v>
      </c>
      <c r="L5933" t="s">
        <v>53</v>
      </c>
      <c r="N5933" t="s">
        <v>10605</v>
      </c>
      <c r="P5933" t="s">
        <v>55</v>
      </c>
      <c r="R5933" t="s">
        <v>56</v>
      </c>
      <c r="T5933" t="s">
        <v>10606</v>
      </c>
      <c r="U5933" t="s">
        <v>55</v>
      </c>
      <c r="V5933">
        <v>2</v>
      </c>
      <c r="W5933">
        <v>2</v>
      </c>
      <c r="X5933">
        <v>2</v>
      </c>
      <c r="Y5933">
        <v>0</v>
      </c>
      <c r="Z5933">
        <v>2</v>
      </c>
      <c r="AA5933">
        <v>321.10000000000002</v>
      </c>
      <c r="AB5933">
        <v>321.10000000000002</v>
      </c>
      <c r="AC5933">
        <v>321.10000000000002</v>
      </c>
      <c r="AD5933">
        <v>0</v>
      </c>
      <c r="AE5933">
        <v>0</v>
      </c>
      <c r="AF5933">
        <v>0</v>
      </c>
      <c r="AG5933">
        <v>0</v>
      </c>
      <c r="AH5933">
        <v>0</v>
      </c>
      <c r="AI5933">
        <v>57.8</v>
      </c>
      <c r="AJ5933">
        <v>321.10000000000002</v>
      </c>
      <c r="AK5933">
        <v>0</v>
      </c>
      <c r="AL5933" t="s">
        <v>53</v>
      </c>
      <c r="AM5933" t="s">
        <v>53</v>
      </c>
      <c r="AN5933" t="s">
        <v>53</v>
      </c>
      <c r="AO5933" t="s">
        <v>53</v>
      </c>
      <c r="AP5933" t="s">
        <v>53</v>
      </c>
    </row>
    <row r="5934" spans="2:42" x14ac:dyDescent="0.2">
      <c r="B5934" t="s">
        <v>44</v>
      </c>
      <c r="C5934" t="str">
        <f>HYPERLINK("https://us2.cloudbeds.com/connect/8493803454333002#/reservations/9080486846504295?display=2SX1U96V16&amp;reservation_id=9080486846504295", "2SX1U96V16")</f>
        <v>2SX1U96V16</v>
      </c>
      <c r="D5934" t="s">
        <v>45</v>
      </c>
      <c r="E5934" t="s">
        <v>185</v>
      </c>
      <c r="F5934" t="s">
        <v>47</v>
      </c>
      <c r="G5934" t="s">
        <v>48</v>
      </c>
      <c r="H5934" t="s">
        <v>49</v>
      </c>
      <c r="I5934" t="s">
        <v>8964</v>
      </c>
      <c r="J5934" t="s">
        <v>8071</v>
      </c>
      <c r="K5934" t="s">
        <v>4008</v>
      </c>
      <c r="L5934" t="s">
        <v>53</v>
      </c>
      <c r="N5934" t="s">
        <v>10607</v>
      </c>
      <c r="P5934" t="s">
        <v>55</v>
      </c>
      <c r="R5934" t="s">
        <v>53</v>
      </c>
      <c r="T5934" t="s">
        <v>10608</v>
      </c>
      <c r="U5934" t="s">
        <v>58</v>
      </c>
      <c r="V5934">
        <v>1</v>
      </c>
      <c r="W5934">
        <v>1</v>
      </c>
      <c r="X5934">
        <v>2</v>
      </c>
      <c r="Y5934">
        <v>0</v>
      </c>
      <c r="Z5934">
        <v>2</v>
      </c>
      <c r="AA5934">
        <v>0</v>
      </c>
      <c r="AB5934">
        <v>0</v>
      </c>
      <c r="AC5934">
        <v>169</v>
      </c>
      <c r="AD5934">
        <v>0</v>
      </c>
      <c r="AE5934">
        <v>0</v>
      </c>
      <c r="AF5934">
        <v>0</v>
      </c>
      <c r="AG5934">
        <v>0</v>
      </c>
      <c r="AH5934">
        <v>0</v>
      </c>
      <c r="AI5934">
        <v>25.35</v>
      </c>
      <c r="AJ5934">
        <v>169</v>
      </c>
      <c r="AK5934">
        <v>169</v>
      </c>
      <c r="AL5934" t="s">
        <v>53</v>
      </c>
      <c r="AM5934" t="s">
        <v>53</v>
      </c>
      <c r="AN5934" t="s">
        <v>53</v>
      </c>
      <c r="AO5934" t="s">
        <v>53</v>
      </c>
      <c r="AP5934" t="s">
        <v>53</v>
      </c>
    </row>
    <row r="5935" spans="2:42" x14ac:dyDescent="0.2">
      <c r="B5935" t="s">
        <v>44</v>
      </c>
      <c r="C5935" t="str">
        <f>HYPERLINK("https://us2.cloudbeds.com/connect/8493803454333002#/reservations/9080486846504923?display=2SXM58159M&amp;reservation_id=9080486846504923", "2SXM58159M")</f>
        <v>2SXM58159M</v>
      </c>
      <c r="D5935" t="s">
        <v>45</v>
      </c>
      <c r="E5935" t="s">
        <v>223</v>
      </c>
      <c r="F5935" t="s">
        <v>47</v>
      </c>
      <c r="G5935" t="s">
        <v>48</v>
      </c>
      <c r="H5935" t="s">
        <v>49</v>
      </c>
      <c r="I5935" t="s">
        <v>50</v>
      </c>
      <c r="J5935" t="s">
        <v>7751</v>
      </c>
      <c r="K5935" t="s">
        <v>8071</v>
      </c>
      <c r="L5935" t="s">
        <v>53</v>
      </c>
      <c r="N5935" t="s">
        <v>10609</v>
      </c>
      <c r="P5935" t="s">
        <v>55</v>
      </c>
      <c r="R5935" t="s">
        <v>53</v>
      </c>
      <c r="T5935" t="s">
        <v>10610</v>
      </c>
      <c r="U5935" t="s">
        <v>58</v>
      </c>
      <c r="V5935">
        <v>1</v>
      </c>
      <c r="W5935">
        <v>1</v>
      </c>
      <c r="X5935">
        <v>1</v>
      </c>
      <c r="Y5935">
        <v>0</v>
      </c>
      <c r="Z5935">
        <v>1</v>
      </c>
      <c r="AA5935">
        <v>153.65</v>
      </c>
      <c r="AB5935">
        <v>153.65</v>
      </c>
      <c r="AC5935">
        <v>135.19999999999999</v>
      </c>
      <c r="AD5935">
        <v>0</v>
      </c>
      <c r="AE5935">
        <v>18.45</v>
      </c>
      <c r="AF5935">
        <v>0</v>
      </c>
      <c r="AG5935">
        <v>0</v>
      </c>
      <c r="AH5935">
        <v>0</v>
      </c>
      <c r="AI5935">
        <v>27.66</v>
      </c>
      <c r="AJ5935">
        <v>153.65</v>
      </c>
      <c r="AK5935">
        <v>0</v>
      </c>
      <c r="AL5935" t="s">
        <v>53</v>
      </c>
      <c r="AM5935" t="s">
        <v>53</v>
      </c>
      <c r="AN5935" t="s">
        <v>53</v>
      </c>
      <c r="AO5935" t="s">
        <v>53</v>
      </c>
      <c r="AP5935" t="s">
        <v>53</v>
      </c>
    </row>
    <row r="5936" spans="2:42" x14ac:dyDescent="0.2">
      <c r="B5936" t="s">
        <v>44</v>
      </c>
      <c r="C5936" t="str">
        <f>HYPERLINK("https://us2.cloudbeds.com/connect/8493803454333002#/reservations/9080486846505084?display=2SXRQWQF0W&amp;reservation_id=9080486846505084", "2SXRQWQF0W")</f>
        <v>2SXRQWQF0W</v>
      </c>
      <c r="D5936" t="s">
        <v>45</v>
      </c>
      <c r="E5936" t="s">
        <v>128</v>
      </c>
      <c r="F5936" t="s">
        <v>86</v>
      </c>
      <c r="G5936" t="s">
        <v>48</v>
      </c>
      <c r="H5936" t="s">
        <v>49</v>
      </c>
      <c r="I5936" t="s">
        <v>50</v>
      </c>
      <c r="J5936" t="s">
        <v>9610</v>
      </c>
      <c r="K5936" t="s">
        <v>7088</v>
      </c>
      <c r="L5936" t="s">
        <v>53</v>
      </c>
      <c r="N5936" t="s">
        <v>10611</v>
      </c>
      <c r="P5936" t="s">
        <v>55</v>
      </c>
      <c r="R5936" t="s">
        <v>53</v>
      </c>
      <c r="T5936" t="s">
        <v>10612</v>
      </c>
      <c r="U5936" t="s">
        <v>58</v>
      </c>
      <c r="V5936">
        <v>1</v>
      </c>
      <c r="W5936">
        <v>1</v>
      </c>
      <c r="X5936">
        <v>3</v>
      </c>
      <c r="Y5936">
        <v>0</v>
      </c>
      <c r="Z5936">
        <v>3</v>
      </c>
      <c r="AA5936">
        <v>187.41</v>
      </c>
      <c r="AB5936">
        <v>187.41</v>
      </c>
      <c r="AC5936">
        <v>164.9</v>
      </c>
      <c r="AD5936">
        <v>0</v>
      </c>
      <c r="AE5936">
        <v>22.51</v>
      </c>
      <c r="AF5936">
        <v>0</v>
      </c>
      <c r="AG5936">
        <v>0</v>
      </c>
      <c r="AH5936">
        <v>0</v>
      </c>
      <c r="AI5936">
        <v>33.729999999999997</v>
      </c>
      <c r="AJ5936">
        <v>187.41</v>
      </c>
      <c r="AK5936">
        <v>0</v>
      </c>
      <c r="AL5936" t="s">
        <v>53</v>
      </c>
      <c r="AM5936" t="s">
        <v>53</v>
      </c>
      <c r="AN5936" t="s">
        <v>53</v>
      </c>
      <c r="AO5936" t="s">
        <v>53</v>
      </c>
      <c r="AP5936" t="s">
        <v>53</v>
      </c>
    </row>
    <row r="5937" spans="2:42" x14ac:dyDescent="0.2">
      <c r="B5937" t="s">
        <v>44</v>
      </c>
      <c r="C5937" t="str">
        <f>HYPERLINK("https://us2.cloudbeds.com/connect/8493803454333002#/reservations/9080486846505220?display=2SXWB236TX&amp;reservation_id=9080486846505220", "2SXWB236TX")</f>
        <v>2SXWB236TX</v>
      </c>
      <c r="D5937" t="s">
        <v>45</v>
      </c>
      <c r="E5937" t="s">
        <v>46</v>
      </c>
      <c r="F5937" t="s">
        <v>47</v>
      </c>
      <c r="G5937" t="s">
        <v>48</v>
      </c>
      <c r="H5937" t="s">
        <v>49</v>
      </c>
      <c r="I5937" t="s">
        <v>50</v>
      </c>
      <c r="J5937" t="s">
        <v>8319</v>
      </c>
      <c r="K5937" t="s">
        <v>9318</v>
      </c>
      <c r="L5937" t="s">
        <v>53</v>
      </c>
      <c r="N5937" t="s">
        <v>10613</v>
      </c>
      <c r="P5937" t="s">
        <v>55</v>
      </c>
      <c r="R5937" t="s">
        <v>53</v>
      </c>
      <c r="T5937" t="s">
        <v>10614</v>
      </c>
      <c r="U5937" t="s">
        <v>58</v>
      </c>
      <c r="V5937">
        <v>1</v>
      </c>
      <c r="W5937">
        <v>1</v>
      </c>
      <c r="X5937">
        <v>2</v>
      </c>
      <c r="Y5937">
        <v>0</v>
      </c>
      <c r="Z5937">
        <v>2</v>
      </c>
      <c r="AA5937">
        <v>137.06</v>
      </c>
      <c r="AB5937">
        <v>137.06</v>
      </c>
      <c r="AC5937">
        <v>120.6</v>
      </c>
      <c r="AD5937">
        <v>0</v>
      </c>
      <c r="AE5937">
        <v>16.46</v>
      </c>
      <c r="AF5937">
        <v>0</v>
      </c>
      <c r="AG5937">
        <v>0</v>
      </c>
      <c r="AH5937">
        <v>0</v>
      </c>
      <c r="AI5937">
        <v>24.67</v>
      </c>
      <c r="AJ5937">
        <v>137.06</v>
      </c>
      <c r="AK5937">
        <v>0</v>
      </c>
      <c r="AL5937" t="s">
        <v>53</v>
      </c>
      <c r="AM5937" t="s">
        <v>53</v>
      </c>
      <c r="AN5937" t="s">
        <v>53</v>
      </c>
      <c r="AO5937" t="s">
        <v>53</v>
      </c>
      <c r="AP5937" t="s">
        <v>53</v>
      </c>
    </row>
    <row r="5938" spans="2:42" x14ac:dyDescent="0.2">
      <c r="B5938" t="s">
        <v>44</v>
      </c>
      <c r="C5938" t="str">
        <f>HYPERLINK("https://us2.cloudbeds.com/connect/8493803454333002#/reservations/133013841559680?display=2SJ19VFWE8&amp;reservation_id=133013841559680", "2SJ19VFWE8")</f>
        <v>2SJ19VFWE8</v>
      </c>
      <c r="D5938" t="s">
        <v>45</v>
      </c>
      <c r="E5938" t="s">
        <v>10615</v>
      </c>
      <c r="F5938" t="s">
        <v>5257</v>
      </c>
      <c r="G5938" t="s">
        <v>48</v>
      </c>
      <c r="H5938" t="s">
        <v>3957</v>
      </c>
      <c r="I5938" t="s">
        <v>3989</v>
      </c>
      <c r="J5938" t="s">
        <v>4009</v>
      </c>
      <c r="K5938" t="s">
        <v>8319</v>
      </c>
      <c r="L5938" t="s">
        <v>53</v>
      </c>
      <c r="P5938" t="s">
        <v>55</v>
      </c>
      <c r="R5938" t="s">
        <v>56</v>
      </c>
      <c r="T5938" t="s">
        <v>10616</v>
      </c>
      <c r="U5938" t="s">
        <v>58</v>
      </c>
      <c r="V5938">
        <v>2</v>
      </c>
      <c r="W5938">
        <v>2</v>
      </c>
      <c r="X5938">
        <v>2</v>
      </c>
      <c r="Y5938">
        <v>0</v>
      </c>
      <c r="Z5938">
        <v>2</v>
      </c>
      <c r="AA5938">
        <v>347.77</v>
      </c>
      <c r="AB5938">
        <v>347.77</v>
      </c>
      <c r="AC5938">
        <v>306</v>
      </c>
      <c r="AD5938">
        <v>0</v>
      </c>
      <c r="AE5938">
        <v>41.77</v>
      </c>
      <c r="AF5938">
        <v>0</v>
      </c>
      <c r="AG5938">
        <v>0</v>
      </c>
      <c r="AH5938">
        <v>0</v>
      </c>
      <c r="AI5938">
        <v>0</v>
      </c>
      <c r="AJ5938">
        <v>347.77</v>
      </c>
      <c r="AK5938">
        <v>0</v>
      </c>
      <c r="AL5938" t="s">
        <v>53</v>
      </c>
      <c r="AM5938" t="s">
        <v>53</v>
      </c>
      <c r="AN5938" t="s">
        <v>53</v>
      </c>
      <c r="AO5938" t="s">
        <v>53</v>
      </c>
      <c r="AP5938" t="s">
        <v>53</v>
      </c>
    </row>
    <row r="5939" spans="2:42" x14ac:dyDescent="0.2">
      <c r="B5939" t="s">
        <v>44</v>
      </c>
      <c r="C5939" t="str">
        <f>HYPERLINK("https://us2.cloudbeds.com/connect/8493803454333002#/reservations/9080486846506019?display=2SJR3B2311&amp;reservation_id=9080486846506019", "2SJR3B2311")</f>
        <v>2SJR3B2311</v>
      </c>
      <c r="D5939" t="s">
        <v>45</v>
      </c>
      <c r="E5939" t="s">
        <v>128</v>
      </c>
      <c r="F5939" t="s">
        <v>86</v>
      </c>
      <c r="G5939" t="s">
        <v>48</v>
      </c>
      <c r="H5939" t="s">
        <v>49</v>
      </c>
      <c r="I5939" t="s">
        <v>62</v>
      </c>
      <c r="J5939" t="s">
        <v>9620</v>
      </c>
      <c r="K5939" t="s">
        <v>7089</v>
      </c>
      <c r="L5939" t="s">
        <v>53</v>
      </c>
      <c r="N5939" t="s">
        <v>10617</v>
      </c>
      <c r="P5939" t="s">
        <v>55</v>
      </c>
      <c r="R5939" t="s">
        <v>56</v>
      </c>
      <c r="T5939" t="s">
        <v>10618</v>
      </c>
      <c r="U5939" t="s">
        <v>55</v>
      </c>
      <c r="V5939">
        <v>1</v>
      </c>
      <c r="W5939">
        <v>1</v>
      </c>
      <c r="X5939">
        <v>2</v>
      </c>
      <c r="Y5939">
        <v>0</v>
      </c>
      <c r="Z5939">
        <v>2</v>
      </c>
      <c r="AA5939">
        <v>202.35</v>
      </c>
      <c r="AB5939">
        <v>202.35</v>
      </c>
      <c r="AC5939">
        <v>202.35</v>
      </c>
      <c r="AD5939">
        <v>0</v>
      </c>
      <c r="AE5939">
        <v>0</v>
      </c>
      <c r="AF5939">
        <v>0</v>
      </c>
      <c r="AG5939">
        <v>0</v>
      </c>
      <c r="AH5939">
        <v>0</v>
      </c>
      <c r="AI5939">
        <v>36.42</v>
      </c>
      <c r="AJ5939">
        <v>202.35</v>
      </c>
      <c r="AK5939">
        <v>0</v>
      </c>
      <c r="AL5939" t="s">
        <v>53</v>
      </c>
      <c r="AM5939" t="s">
        <v>53</v>
      </c>
      <c r="AN5939" t="s">
        <v>53</v>
      </c>
      <c r="AO5939" t="s">
        <v>53</v>
      </c>
      <c r="AP5939" t="s">
        <v>53</v>
      </c>
    </row>
    <row r="5940" spans="2:42" x14ac:dyDescent="0.2">
      <c r="B5940" t="s">
        <v>44</v>
      </c>
      <c r="C5940" t="str">
        <f>HYPERLINK("https://us2.cloudbeds.com/connect/8493803454333002#/reservations/133060067295371?display=2SK4348AVS&amp;reservation_id=133060067295371", "2SK4348AVS")</f>
        <v>2SK4348AVS</v>
      </c>
      <c r="D5940" t="s">
        <v>45</v>
      </c>
      <c r="E5940" t="s">
        <v>92</v>
      </c>
      <c r="F5940" t="s">
        <v>86</v>
      </c>
      <c r="G5940" t="s">
        <v>48</v>
      </c>
      <c r="H5940" t="s">
        <v>3957</v>
      </c>
      <c r="I5940" t="s">
        <v>3958</v>
      </c>
      <c r="J5940" t="s">
        <v>7751</v>
      </c>
      <c r="K5940" t="s">
        <v>8071</v>
      </c>
      <c r="L5940" t="s">
        <v>53</v>
      </c>
      <c r="P5940" t="s">
        <v>55</v>
      </c>
      <c r="R5940" t="s">
        <v>56</v>
      </c>
      <c r="T5940" t="s">
        <v>10619</v>
      </c>
      <c r="U5940" t="s">
        <v>58</v>
      </c>
      <c r="V5940">
        <v>1</v>
      </c>
      <c r="W5940">
        <v>1</v>
      </c>
      <c r="X5940">
        <v>1</v>
      </c>
      <c r="Y5940">
        <v>0</v>
      </c>
      <c r="Z5940">
        <v>1</v>
      </c>
      <c r="AA5940">
        <v>215.94</v>
      </c>
      <c r="AB5940">
        <v>215.94</v>
      </c>
      <c r="AC5940">
        <v>190</v>
      </c>
      <c r="AD5940">
        <v>0</v>
      </c>
      <c r="AE5940">
        <v>25.94</v>
      </c>
      <c r="AF5940">
        <v>0</v>
      </c>
      <c r="AG5940">
        <v>0</v>
      </c>
      <c r="AH5940">
        <v>0</v>
      </c>
      <c r="AI5940">
        <v>0</v>
      </c>
      <c r="AJ5940">
        <v>215.94</v>
      </c>
      <c r="AK5940">
        <v>0</v>
      </c>
      <c r="AL5940" t="s">
        <v>53</v>
      </c>
      <c r="AM5940" t="s">
        <v>53</v>
      </c>
      <c r="AN5940" t="s">
        <v>53</v>
      </c>
      <c r="AO5940" t="s">
        <v>53</v>
      </c>
      <c r="AP5940" t="s">
        <v>53</v>
      </c>
    </row>
    <row r="5941" spans="2:42" x14ac:dyDescent="0.2">
      <c r="B5941" t="s">
        <v>44</v>
      </c>
      <c r="C5941" t="str">
        <f>HYPERLINK("https://us2.cloudbeds.com/connect/8493803454333002#/reservations/9080486846506302?display=2SK64X924X&amp;reservation_id=9080486846506302", "2SK64X924X")</f>
        <v>2SK64X924X</v>
      </c>
      <c r="D5941" t="s">
        <v>45</v>
      </c>
      <c r="E5941" t="s">
        <v>110</v>
      </c>
      <c r="F5941" t="s">
        <v>47</v>
      </c>
      <c r="G5941" t="s">
        <v>48</v>
      </c>
      <c r="H5941" t="s">
        <v>49</v>
      </c>
      <c r="I5941" t="s">
        <v>50</v>
      </c>
      <c r="J5941" t="s">
        <v>7751</v>
      </c>
      <c r="K5941" t="s">
        <v>8071</v>
      </c>
      <c r="L5941" t="s">
        <v>53</v>
      </c>
      <c r="N5941" t="s">
        <v>10620</v>
      </c>
      <c r="P5941" t="s">
        <v>55</v>
      </c>
      <c r="R5941" t="s">
        <v>53</v>
      </c>
      <c r="T5941" t="s">
        <v>10621</v>
      </c>
      <c r="U5941" t="s">
        <v>58</v>
      </c>
      <c r="V5941">
        <v>1</v>
      </c>
      <c r="W5941">
        <v>1</v>
      </c>
      <c r="X5941">
        <v>1</v>
      </c>
      <c r="Y5941">
        <v>0</v>
      </c>
      <c r="Z5941">
        <v>1</v>
      </c>
      <c r="AA5941">
        <v>172.86</v>
      </c>
      <c r="AB5941">
        <v>172.86</v>
      </c>
      <c r="AC5941">
        <v>152.1</v>
      </c>
      <c r="AD5941">
        <v>0</v>
      </c>
      <c r="AE5941">
        <v>20.76</v>
      </c>
      <c r="AF5941">
        <v>0</v>
      </c>
      <c r="AG5941">
        <v>0</v>
      </c>
      <c r="AH5941">
        <v>0</v>
      </c>
      <c r="AI5941">
        <v>31.11</v>
      </c>
      <c r="AJ5941">
        <v>172.86</v>
      </c>
      <c r="AK5941">
        <v>0</v>
      </c>
      <c r="AL5941" t="s">
        <v>53</v>
      </c>
      <c r="AM5941" t="s">
        <v>53</v>
      </c>
      <c r="AN5941" t="s">
        <v>53</v>
      </c>
      <c r="AO5941" t="s">
        <v>53</v>
      </c>
      <c r="AP5941" t="s">
        <v>53</v>
      </c>
    </row>
    <row r="5942" spans="2:42" x14ac:dyDescent="0.2">
      <c r="B5942" t="s">
        <v>44</v>
      </c>
      <c r="C5942" t="str">
        <f>HYPERLINK("https://us2.cloudbeds.com/connect/8493803454333002#/reservations/9080486846506473?display=2SKEB3AZUR&amp;reservation_id=9080486846506473", "2SKEB3AZUR")</f>
        <v>2SKEB3AZUR</v>
      </c>
      <c r="D5942" t="s">
        <v>45</v>
      </c>
      <c r="E5942" t="s">
        <v>179</v>
      </c>
      <c r="F5942" t="s">
        <v>47</v>
      </c>
      <c r="G5942" t="s">
        <v>48</v>
      </c>
      <c r="H5942" t="s">
        <v>49</v>
      </c>
      <c r="I5942" t="s">
        <v>50</v>
      </c>
      <c r="J5942" t="s">
        <v>9318</v>
      </c>
      <c r="K5942" t="s">
        <v>8394</v>
      </c>
      <c r="L5942" t="s">
        <v>53</v>
      </c>
      <c r="N5942" t="s">
        <v>10622</v>
      </c>
      <c r="P5942" t="s">
        <v>55</v>
      </c>
      <c r="R5942" t="s">
        <v>53</v>
      </c>
      <c r="T5942" t="s">
        <v>10623</v>
      </c>
      <c r="U5942" t="s">
        <v>58</v>
      </c>
      <c r="V5942">
        <v>1</v>
      </c>
      <c r="W5942">
        <v>1</v>
      </c>
      <c r="X5942">
        <v>2</v>
      </c>
      <c r="Y5942">
        <v>0</v>
      </c>
      <c r="Z5942">
        <v>2</v>
      </c>
      <c r="AA5942">
        <v>190.02</v>
      </c>
      <c r="AB5942">
        <v>190.02</v>
      </c>
      <c r="AC5942">
        <v>167.2</v>
      </c>
      <c r="AD5942">
        <v>0</v>
      </c>
      <c r="AE5942">
        <v>22.82</v>
      </c>
      <c r="AF5942">
        <v>0</v>
      </c>
      <c r="AG5942">
        <v>0</v>
      </c>
      <c r="AH5942">
        <v>0</v>
      </c>
      <c r="AI5942">
        <v>34.200000000000003</v>
      </c>
      <c r="AJ5942">
        <v>190.02</v>
      </c>
      <c r="AK5942">
        <v>0</v>
      </c>
      <c r="AL5942" t="s">
        <v>53</v>
      </c>
      <c r="AM5942" t="s">
        <v>53</v>
      </c>
      <c r="AN5942" t="s">
        <v>53</v>
      </c>
      <c r="AO5942" t="s">
        <v>53</v>
      </c>
      <c r="AP5942" t="s">
        <v>53</v>
      </c>
    </row>
    <row r="5943" spans="2:42" x14ac:dyDescent="0.2">
      <c r="B5943" t="s">
        <v>44</v>
      </c>
      <c r="C5943" t="str">
        <f>HYPERLINK("https://us2.cloudbeds.com/connect/8493803454333002#/reservations/9080486846506794?display=2SKV3J3NN9&amp;reservation_id=9080486846506794", "2SKV3J3NN9")</f>
        <v>2SKV3J3NN9</v>
      </c>
      <c r="D5943" t="s">
        <v>45</v>
      </c>
      <c r="E5943" t="s">
        <v>138</v>
      </c>
      <c r="F5943" t="s">
        <v>70</v>
      </c>
      <c r="G5943" t="s">
        <v>48</v>
      </c>
      <c r="H5943" t="s">
        <v>49</v>
      </c>
      <c r="I5943" t="s">
        <v>50</v>
      </c>
      <c r="J5943" t="s">
        <v>6379</v>
      </c>
      <c r="K5943" t="s">
        <v>8616</v>
      </c>
      <c r="L5943" t="s">
        <v>53</v>
      </c>
      <c r="N5943" t="s">
        <v>10624</v>
      </c>
      <c r="P5943" t="s">
        <v>55</v>
      </c>
      <c r="R5943" t="s">
        <v>53</v>
      </c>
      <c r="T5943" t="s">
        <v>10625</v>
      </c>
      <c r="U5943" t="s">
        <v>58</v>
      </c>
      <c r="V5943">
        <v>2</v>
      </c>
      <c r="W5943">
        <v>1</v>
      </c>
      <c r="X5943">
        <v>2</v>
      </c>
      <c r="Y5943">
        <v>0</v>
      </c>
      <c r="Z5943">
        <v>2</v>
      </c>
      <c r="AA5943">
        <v>331.41</v>
      </c>
      <c r="AB5943">
        <v>331.41</v>
      </c>
      <c r="AC5943">
        <v>291.60000000000002</v>
      </c>
      <c r="AD5943">
        <v>0</v>
      </c>
      <c r="AE5943">
        <v>39.81</v>
      </c>
      <c r="AF5943">
        <v>0</v>
      </c>
      <c r="AG5943">
        <v>0</v>
      </c>
      <c r="AH5943">
        <v>0</v>
      </c>
      <c r="AI5943">
        <v>59.65</v>
      </c>
      <c r="AJ5943">
        <v>331.41</v>
      </c>
      <c r="AK5943">
        <v>0</v>
      </c>
      <c r="AL5943" t="s">
        <v>53</v>
      </c>
      <c r="AM5943" t="s">
        <v>53</v>
      </c>
      <c r="AN5943" t="s">
        <v>53</v>
      </c>
      <c r="AO5943" t="s">
        <v>53</v>
      </c>
      <c r="AP5943" t="s">
        <v>53</v>
      </c>
    </row>
    <row r="5944" spans="2:42" x14ac:dyDescent="0.2">
      <c r="B5944" t="s">
        <v>44</v>
      </c>
      <c r="C5944" t="str">
        <f>HYPERLINK("https://us2.cloudbeds.com/connect/8493803454333002#/reservations/9080486846506831?display=2SKWE3MK8P&amp;reservation_id=9080486846506831", "2SKWE3MK8P")</f>
        <v>2SKWE3MK8P</v>
      </c>
      <c r="D5944" t="s">
        <v>45</v>
      </c>
      <c r="E5944" t="s">
        <v>128</v>
      </c>
      <c r="F5944" t="s">
        <v>86</v>
      </c>
      <c r="G5944" t="s">
        <v>48</v>
      </c>
      <c r="H5944" t="s">
        <v>49</v>
      </c>
      <c r="I5944" t="s">
        <v>50</v>
      </c>
      <c r="J5944" t="s">
        <v>5508</v>
      </c>
      <c r="K5944" t="s">
        <v>9692</v>
      </c>
      <c r="L5944" t="s">
        <v>53</v>
      </c>
      <c r="N5944" t="s">
        <v>10626</v>
      </c>
      <c r="P5944" t="s">
        <v>55</v>
      </c>
      <c r="R5944" t="s">
        <v>53</v>
      </c>
      <c r="T5944" t="s">
        <v>10627</v>
      </c>
      <c r="U5944" t="s">
        <v>58</v>
      </c>
      <c r="V5944">
        <v>1</v>
      </c>
      <c r="W5944">
        <v>1</v>
      </c>
      <c r="X5944">
        <v>2</v>
      </c>
      <c r="Y5944">
        <v>0</v>
      </c>
      <c r="Z5944">
        <v>2</v>
      </c>
      <c r="AA5944">
        <v>187.18</v>
      </c>
      <c r="AB5944">
        <v>187.18</v>
      </c>
      <c r="AC5944">
        <v>164.7</v>
      </c>
      <c r="AD5944">
        <v>0</v>
      </c>
      <c r="AE5944">
        <v>22.48</v>
      </c>
      <c r="AF5944">
        <v>0</v>
      </c>
      <c r="AG5944">
        <v>0</v>
      </c>
      <c r="AH5944">
        <v>0</v>
      </c>
      <c r="AI5944">
        <v>33.69</v>
      </c>
      <c r="AJ5944">
        <v>187.18</v>
      </c>
      <c r="AK5944">
        <v>0</v>
      </c>
      <c r="AL5944" t="s">
        <v>53</v>
      </c>
      <c r="AM5944" t="s">
        <v>53</v>
      </c>
      <c r="AN5944" t="s">
        <v>53</v>
      </c>
      <c r="AO5944" t="s">
        <v>53</v>
      </c>
      <c r="AP5944" t="s">
        <v>53</v>
      </c>
    </row>
    <row r="5945" spans="2:42" x14ac:dyDescent="0.2">
      <c r="B5945" t="s">
        <v>44</v>
      </c>
      <c r="C5945" t="str">
        <f>HYPERLINK("https://us2.cloudbeds.com/connect/8493803454333002#/reservations/9080486846507278?display=2SYY55Y903&amp;reservation_id=9080486846507278", "2SYY55Y903")</f>
        <v>2SYY55Y903</v>
      </c>
      <c r="D5945" t="s">
        <v>45</v>
      </c>
      <c r="E5945" t="s">
        <v>92</v>
      </c>
      <c r="F5945" t="s">
        <v>86</v>
      </c>
      <c r="G5945" t="s">
        <v>48</v>
      </c>
      <c r="H5945" t="s">
        <v>49</v>
      </c>
      <c r="I5945" t="s">
        <v>50</v>
      </c>
      <c r="J5945" t="s">
        <v>8319</v>
      </c>
      <c r="K5945" t="s">
        <v>9318</v>
      </c>
      <c r="L5945" t="s">
        <v>53</v>
      </c>
      <c r="N5945" t="s">
        <v>10628</v>
      </c>
      <c r="P5945" t="s">
        <v>55</v>
      </c>
      <c r="R5945" t="s">
        <v>53</v>
      </c>
      <c r="T5945" t="s">
        <v>10629</v>
      </c>
      <c r="U5945" t="s">
        <v>58</v>
      </c>
      <c r="V5945">
        <v>1</v>
      </c>
      <c r="W5945">
        <v>1</v>
      </c>
      <c r="X5945">
        <v>2</v>
      </c>
      <c r="Y5945">
        <v>0</v>
      </c>
      <c r="Z5945">
        <v>2</v>
      </c>
      <c r="AA5945">
        <v>145.87</v>
      </c>
      <c r="AB5945">
        <v>145.87</v>
      </c>
      <c r="AC5945">
        <v>128.35</v>
      </c>
      <c r="AD5945">
        <v>0</v>
      </c>
      <c r="AE5945">
        <v>17.52</v>
      </c>
      <c r="AF5945">
        <v>0</v>
      </c>
      <c r="AG5945">
        <v>0</v>
      </c>
      <c r="AH5945">
        <v>0</v>
      </c>
      <c r="AI5945">
        <v>26.26</v>
      </c>
      <c r="AJ5945">
        <v>145.87</v>
      </c>
      <c r="AK5945">
        <v>0</v>
      </c>
      <c r="AL5945" t="s">
        <v>53</v>
      </c>
      <c r="AM5945" t="s">
        <v>53</v>
      </c>
      <c r="AN5945" t="s">
        <v>53</v>
      </c>
      <c r="AO5945" t="s">
        <v>53</v>
      </c>
      <c r="AP5945" t="s">
        <v>53</v>
      </c>
    </row>
    <row r="5946" spans="2:42" x14ac:dyDescent="0.2">
      <c r="B5946" t="s">
        <v>44</v>
      </c>
      <c r="C5946" t="str">
        <f>HYPERLINK("https://us2.cloudbeds.com/connect/8493803454333002#/reservations/9080486846507622?display=2SM0AN3KMK&amp;reservation_id=9080486846507622", "2SM0AN3KMK")</f>
        <v>2SM0AN3KMK</v>
      </c>
      <c r="D5946" t="s">
        <v>45</v>
      </c>
      <c r="E5946" t="s">
        <v>138</v>
      </c>
      <c r="F5946" t="s">
        <v>70</v>
      </c>
      <c r="G5946" t="s">
        <v>48</v>
      </c>
      <c r="H5946" t="s">
        <v>49</v>
      </c>
      <c r="I5946" t="s">
        <v>62</v>
      </c>
      <c r="J5946" t="s">
        <v>6344</v>
      </c>
      <c r="K5946" t="s">
        <v>8678</v>
      </c>
      <c r="L5946" t="s">
        <v>53</v>
      </c>
      <c r="N5946" t="s">
        <v>10630</v>
      </c>
      <c r="P5946" t="s">
        <v>55</v>
      </c>
      <c r="R5946" t="s">
        <v>56</v>
      </c>
      <c r="T5946" t="s">
        <v>10631</v>
      </c>
      <c r="U5946" t="s">
        <v>55</v>
      </c>
      <c r="V5946">
        <v>2</v>
      </c>
      <c r="W5946">
        <v>1</v>
      </c>
      <c r="X5946">
        <v>1</v>
      </c>
      <c r="Y5946">
        <v>0</v>
      </c>
      <c r="Z5946">
        <v>1</v>
      </c>
      <c r="AA5946">
        <v>320.14999999999998</v>
      </c>
      <c r="AB5946">
        <v>320.14999999999998</v>
      </c>
      <c r="AC5946">
        <v>320.14999999999998</v>
      </c>
      <c r="AD5946">
        <v>0</v>
      </c>
      <c r="AE5946">
        <v>0</v>
      </c>
      <c r="AF5946">
        <v>0</v>
      </c>
      <c r="AG5946">
        <v>0</v>
      </c>
      <c r="AH5946">
        <v>0</v>
      </c>
      <c r="AI5946">
        <v>57.63</v>
      </c>
      <c r="AJ5946">
        <v>320.14999999999998</v>
      </c>
      <c r="AK5946">
        <v>0</v>
      </c>
      <c r="AL5946" t="s">
        <v>53</v>
      </c>
      <c r="AM5946" t="s">
        <v>53</v>
      </c>
      <c r="AN5946" t="s">
        <v>53</v>
      </c>
      <c r="AO5946" t="s">
        <v>53</v>
      </c>
      <c r="AP5946" t="s">
        <v>53</v>
      </c>
    </row>
    <row r="5947" spans="2:42" x14ac:dyDescent="0.2">
      <c r="B5947" t="s">
        <v>44</v>
      </c>
      <c r="C5947" t="str">
        <f>HYPERLINK("https://us2.cloudbeds.com/connect/8493803454333002#/reservations/9080486846510143?display=2SPPXQ5C13&amp;reservation_id=9080486846510143", "2SPPXQ5C13")</f>
        <v>2SPPXQ5C13</v>
      </c>
      <c r="D5947" t="s">
        <v>45</v>
      </c>
      <c r="E5947" t="s">
        <v>98</v>
      </c>
      <c r="F5947" t="s">
        <v>86</v>
      </c>
      <c r="G5947" t="s">
        <v>48</v>
      </c>
      <c r="H5947" t="s">
        <v>49</v>
      </c>
      <c r="I5947" t="s">
        <v>50</v>
      </c>
      <c r="J5947" t="s">
        <v>4008</v>
      </c>
      <c r="K5947" t="s">
        <v>4009</v>
      </c>
      <c r="L5947" t="s">
        <v>53</v>
      </c>
      <c r="N5947" t="s">
        <v>10632</v>
      </c>
      <c r="P5947" t="s">
        <v>55</v>
      </c>
      <c r="R5947" t="s">
        <v>53</v>
      </c>
      <c r="T5947" t="s">
        <v>10633</v>
      </c>
      <c r="U5947" t="s">
        <v>58</v>
      </c>
      <c r="V5947">
        <v>1</v>
      </c>
      <c r="W5947">
        <v>1</v>
      </c>
      <c r="X5947">
        <v>1</v>
      </c>
      <c r="Y5947">
        <v>0</v>
      </c>
      <c r="Z5947">
        <v>1</v>
      </c>
      <c r="AA5947">
        <v>224.01</v>
      </c>
      <c r="AB5947">
        <v>224.01</v>
      </c>
      <c r="AC5947">
        <v>197.1</v>
      </c>
      <c r="AD5947">
        <v>0</v>
      </c>
      <c r="AE5947">
        <v>26.91</v>
      </c>
      <c r="AF5947">
        <v>0</v>
      </c>
      <c r="AG5947">
        <v>0</v>
      </c>
      <c r="AH5947">
        <v>0</v>
      </c>
      <c r="AI5947">
        <v>40.32</v>
      </c>
      <c r="AJ5947">
        <v>224.01</v>
      </c>
      <c r="AK5947">
        <v>0</v>
      </c>
      <c r="AL5947" t="s">
        <v>53</v>
      </c>
      <c r="AM5947" t="s">
        <v>53</v>
      </c>
      <c r="AN5947" t="s">
        <v>53</v>
      </c>
      <c r="AO5947" t="s">
        <v>53</v>
      </c>
      <c r="AP5947" t="s">
        <v>53</v>
      </c>
    </row>
    <row r="5948" spans="2:42" x14ac:dyDescent="0.2">
      <c r="B5948" t="s">
        <v>44</v>
      </c>
      <c r="C5948" t="str">
        <f>HYPERLINK("https://us2.cloudbeds.com/connect/8493803454333002#/reservations/9080486846510438?display=2SQ25M6Y39&amp;reservation_id=9080486846510438", "2SQ25M6Y39")</f>
        <v>2SQ25M6Y39</v>
      </c>
      <c r="D5948" t="s">
        <v>45</v>
      </c>
      <c r="E5948" t="s">
        <v>110</v>
      </c>
      <c r="F5948" t="s">
        <v>47</v>
      </c>
      <c r="G5948" t="s">
        <v>48</v>
      </c>
      <c r="H5948" t="s">
        <v>49</v>
      </c>
      <c r="I5948" t="s">
        <v>50</v>
      </c>
      <c r="J5948" t="s">
        <v>9688</v>
      </c>
      <c r="K5948" t="s">
        <v>6832</v>
      </c>
      <c r="L5948" t="s">
        <v>53</v>
      </c>
      <c r="N5948" t="s">
        <v>10634</v>
      </c>
      <c r="P5948" t="s">
        <v>55</v>
      </c>
      <c r="R5948" t="s">
        <v>53</v>
      </c>
      <c r="T5948" t="s">
        <v>10635</v>
      </c>
      <c r="U5948" t="s">
        <v>58</v>
      </c>
      <c r="V5948">
        <v>1</v>
      </c>
      <c r="W5948">
        <v>1</v>
      </c>
      <c r="X5948">
        <v>1</v>
      </c>
      <c r="Y5948">
        <v>0</v>
      </c>
      <c r="Z5948">
        <v>1</v>
      </c>
      <c r="AA5948">
        <v>165.7</v>
      </c>
      <c r="AB5948">
        <v>165.7</v>
      </c>
      <c r="AC5948">
        <v>145.80000000000001</v>
      </c>
      <c r="AD5948">
        <v>0</v>
      </c>
      <c r="AE5948">
        <v>19.899999999999999</v>
      </c>
      <c r="AF5948">
        <v>0</v>
      </c>
      <c r="AG5948">
        <v>0</v>
      </c>
      <c r="AH5948">
        <v>0</v>
      </c>
      <c r="AI5948">
        <v>29.83</v>
      </c>
      <c r="AJ5948">
        <v>165.7</v>
      </c>
      <c r="AK5948">
        <v>0</v>
      </c>
      <c r="AL5948" t="s">
        <v>53</v>
      </c>
      <c r="AM5948" t="s">
        <v>53</v>
      </c>
      <c r="AN5948" t="s">
        <v>53</v>
      </c>
      <c r="AO5948" t="s">
        <v>53</v>
      </c>
      <c r="AP5948" t="s">
        <v>53</v>
      </c>
    </row>
    <row r="5949" spans="2:42" x14ac:dyDescent="0.2">
      <c r="B5949" t="s">
        <v>44</v>
      </c>
      <c r="C5949" t="str">
        <f>HYPERLINK("https://us2.cloudbeds.com/connect/8493803454333002#/reservations/9080486846510439?display=2SQ2AEM6KR&amp;reservation_id=9080486846510439", "2SQ2AEM6KR")</f>
        <v>2SQ2AEM6KR</v>
      </c>
      <c r="D5949" t="s">
        <v>45</v>
      </c>
      <c r="E5949" t="s">
        <v>105</v>
      </c>
      <c r="F5949" t="s">
        <v>47</v>
      </c>
      <c r="G5949" t="s">
        <v>48</v>
      </c>
      <c r="H5949" t="s">
        <v>49</v>
      </c>
      <c r="I5949" t="s">
        <v>50</v>
      </c>
      <c r="J5949" t="s">
        <v>9688</v>
      </c>
      <c r="K5949" t="s">
        <v>6832</v>
      </c>
      <c r="L5949" t="s">
        <v>53</v>
      </c>
      <c r="N5949" t="s">
        <v>10636</v>
      </c>
      <c r="P5949" t="s">
        <v>55</v>
      </c>
      <c r="R5949" t="s">
        <v>53</v>
      </c>
      <c r="T5949" t="s">
        <v>10637</v>
      </c>
      <c r="U5949" t="s">
        <v>58</v>
      </c>
      <c r="V5949">
        <v>1</v>
      </c>
      <c r="W5949">
        <v>1</v>
      </c>
      <c r="X5949">
        <v>1</v>
      </c>
      <c r="Y5949">
        <v>0</v>
      </c>
      <c r="Z5949">
        <v>1</v>
      </c>
      <c r="AA5949">
        <v>165.7</v>
      </c>
      <c r="AB5949">
        <v>165.7</v>
      </c>
      <c r="AC5949">
        <v>145.80000000000001</v>
      </c>
      <c r="AD5949">
        <v>0</v>
      </c>
      <c r="AE5949">
        <v>19.899999999999999</v>
      </c>
      <c r="AF5949">
        <v>0</v>
      </c>
      <c r="AG5949">
        <v>0</v>
      </c>
      <c r="AH5949">
        <v>0</v>
      </c>
      <c r="AI5949">
        <v>29.83</v>
      </c>
      <c r="AJ5949">
        <v>165.7</v>
      </c>
      <c r="AK5949">
        <v>0</v>
      </c>
      <c r="AL5949" t="s">
        <v>53</v>
      </c>
      <c r="AM5949" t="s">
        <v>53</v>
      </c>
      <c r="AN5949" t="s">
        <v>53</v>
      </c>
      <c r="AO5949" t="s">
        <v>53</v>
      </c>
      <c r="AP5949" t="s">
        <v>53</v>
      </c>
    </row>
    <row r="5950" spans="2:42" x14ac:dyDescent="0.2">
      <c r="B5950" t="s">
        <v>44</v>
      </c>
      <c r="C5950" t="str">
        <f>HYPERLINK("https://us2.cloudbeds.com/connect/8493803454333002#/reservations/9080486846510443?display=2SQ2AEMACS&amp;reservation_id=9080486846510443", "2SQ2AEMACS")</f>
        <v>2SQ2AEMACS</v>
      </c>
      <c r="D5950" t="s">
        <v>45</v>
      </c>
      <c r="E5950" t="s">
        <v>179</v>
      </c>
      <c r="F5950" t="s">
        <v>47</v>
      </c>
      <c r="G5950" t="s">
        <v>48</v>
      </c>
      <c r="H5950" t="s">
        <v>49</v>
      </c>
      <c r="I5950" t="s">
        <v>50</v>
      </c>
      <c r="J5950" t="s">
        <v>8615</v>
      </c>
      <c r="K5950" t="s">
        <v>6379</v>
      </c>
      <c r="L5950" t="s">
        <v>53</v>
      </c>
      <c r="N5950" t="s">
        <v>10638</v>
      </c>
      <c r="P5950" t="s">
        <v>55</v>
      </c>
      <c r="R5950" t="s">
        <v>53</v>
      </c>
      <c r="T5950" t="s">
        <v>10639</v>
      </c>
      <c r="U5950" t="s">
        <v>58</v>
      </c>
      <c r="V5950">
        <v>1</v>
      </c>
      <c r="W5950">
        <v>1</v>
      </c>
      <c r="X5950">
        <v>1</v>
      </c>
      <c r="Y5950">
        <v>0</v>
      </c>
      <c r="Z5950">
        <v>1</v>
      </c>
      <c r="AA5950">
        <v>195.37</v>
      </c>
      <c r="AB5950">
        <v>195.37</v>
      </c>
      <c r="AC5950">
        <v>171.9</v>
      </c>
      <c r="AD5950">
        <v>0</v>
      </c>
      <c r="AE5950">
        <v>23.47</v>
      </c>
      <c r="AF5950">
        <v>0</v>
      </c>
      <c r="AG5950">
        <v>0</v>
      </c>
      <c r="AH5950">
        <v>0</v>
      </c>
      <c r="AI5950">
        <v>35.17</v>
      </c>
      <c r="AJ5950">
        <v>195.37</v>
      </c>
      <c r="AK5950">
        <v>0</v>
      </c>
      <c r="AL5950" t="s">
        <v>53</v>
      </c>
      <c r="AM5950" t="s">
        <v>53</v>
      </c>
      <c r="AN5950" t="s">
        <v>53</v>
      </c>
      <c r="AO5950" t="s">
        <v>53</v>
      </c>
      <c r="AP5950" t="s">
        <v>53</v>
      </c>
    </row>
    <row r="5951" spans="2:42" x14ac:dyDescent="0.2">
      <c r="B5951" t="s">
        <v>44</v>
      </c>
      <c r="C5951" t="str">
        <f>HYPERLINK("https://us2.cloudbeds.com/connect/8493803454333002#/reservations/9080486846510447?display=2SQ2XEE9VP&amp;reservation_id=9080486846510447", "2SQ2XEE9VP")</f>
        <v>2SQ2XEE9VP</v>
      </c>
      <c r="D5951" t="s">
        <v>45</v>
      </c>
      <c r="E5951" t="s">
        <v>223</v>
      </c>
      <c r="F5951" t="s">
        <v>47</v>
      </c>
      <c r="G5951" t="s">
        <v>48</v>
      </c>
      <c r="H5951" t="s">
        <v>49</v>
      </c>
      <c r="I5951" t="s">
        <v>50</v>
      </c>
      <c r="J5951" t="s">
        <v>8615</v>
      </c>
      <c r="K5951" t="s">
        <v>6379</v>
      </c>
      <c r="L5951" t="s">
        <v>53</v>
      </c>
      <c r="N5951" t="s">
        <v>10640</v>
      </c>
      <c r="P5951" t="s">
        <v>55</v>
      </c>
      <c r="R5951" t="s">
        <v>53</v>
      </c>
      <c r="T5951" t="s">
        <v>10641</v>
      </c>
      <c r="U5951" t="s">
        <v>58</v>
      </c>
      <c r="V5951">
        <v>1</v>
      </c>
      <c r="W5951">
        <v>1</v>
      </c>
      <c r="X5951">
        <v>1</v>
      </c>
      <c r="Y5951">
        <v>0</v>
      </c>
      <c r="Z5951">
        <v>1</v>
      </c>
      <c r="AA5951">
        <v>195.37</v>
      </c>
      <c r="AB5951">
        <v>195.37</v>
      </c>
      <c r="AC5951">
        <v>171.9</v>
      </c>
      <c r="AD5951">
        <v>0</v>
      </c>
      <c r="AE5951">
        <v>23.47</v>
      </c>
      <c r="AF5951">
        <v>0</v>
      </c>
      <c r="AG5951">
        <v>0</v>
      </c>
      <c r="AH5951">
        <v>0</v>
      </c>
      <c r="AI5951">
        <v>35.17</v>
      </c>
      <c r="AJ5951">
        <v>195.37</v>
      </c>
      <c r="AK5951">
        <v>0</v>
      </c>
      <c r="AL5951" t="s">
        <v>53</v>
      </c>
      <c r="AM5951" t="s">
        <v>53</v>
      </c>
      <c r="AN5951" t="s">
        <v>53</v>
      </c>
      <c r="AO5951" t="s">
        <v>53</v>
      </c>
      <c r="AP5951" t="s">
        <v>53</v>
      </c>
    </row>
    <row r="5952" spans="2:42" x14ac:dyDescent="0.2">
      <c r="B5952" t="s">
        <v>44</v>
      </c>
      <c r="C5952" t="str">
        <f>HYPERLINK("https://us2.cloudbeds.com/connect/8493803454333002#/reservations/133324315922609?display=2SQAN9MU7J&amp;reservation_id=133324315922609", "2SQAN9MU7J")</f>
        <v>2SQAN9MU7J</v>
      </c>
      <c r="D5952" t="s">
        <v>45</v>
      </c>
      <c r="E5952" t="s">
        <v>46</v>
      </c>
      <c r="F5952" t="s">
        <v>47</v>
      </c>
      <c r="G5952" t="s">
        <v>7801</v>
      </c>
      <c r="H5952" t="s">
        <v>3957</v>
      </c>
      <c r="I5952" t="s">
        <v>3989</v>
      </c>
      <c r="J5952" t="s">
        <v>8071</v>
      </c>
      <c r="K5952" t="s">
        <v>4008</v>
      </c>
      <c r="L5952" t="s">
        <v>53</v>
      </c>
      <c r="P5952" t="s">
        <v>55</v>
      </c>
      <c r="R5952" t="s">
        <v>56</v>
      </c>
      <c r="T5952" t="s">
        <v>10642</v>
      </c>
      <c r="U5952" t="s">
        <v>58</v>
      </c>
      <c r="V5952">
        <v>1</v>
      </c>
      <c r="W5952">
        <v>1</v>
      </c>
      <c r="X5952">
        <v>1</v>
      </c>
      <c r="Y5952">
        <v>0</v>
      </c>
      <c r="Z5952">
        <v>1</v>
      </c>
      <c r="AA5952">
        <v>183.09</v>
      </c>
      <c r="AB5952">
        <v>183.09</v>
      </c>
      <c r="AC5952">
        <v>161.1</v>
      </c>
      <c r="AD5952">
        <v>0</v>
      </c>
      <c r="AE5952">
        <v>21.99</v>
      </c>
      <c r="AF5952">
        <v>0</v>
      </c>
      <c r="AG5952">
        <v>0</v>
      </c>
      <c r="AH5952">
        <v>0</v>
      </c>
      <c r="AI5952">
        <v>0</v>
      </c>
      <c r="AJ5952">
        <v>183.09</v>
      </c>
      <c r="AK5952">
        <v>0</v>
      </c>
      <c r="AL5952" t="s">
        <v>53</v>
      </c>
      <c r="AM5952" t="s">
        <v>53</v>
      </c>
      <c r="AN5952" t="s">
        <v>53</v>
      </c>
      <c r="AO5952" t="s">
        <v>53</v>
      </c>
      <c r="AP5952" t="s">
        <v>53</v>
      </c>
    </row>
    <row r="5953" spans="2:42" x14ac:dyDescent="0.2">
      <c r="B5953" t="s">
        <v>44</v>
      </c>
      <c r="C5953" t="str">
        <f>HYPERLINK("https://us2.cloudbeds.com/connect/8493803454333002#/reservations/133359382728877?display=2SR4SAVG8X&amp;reservation_id=133359382728877", "2SR4SAVG8X")</f>
        <v>2SR4SAVG8X</v>
      </c>
      <c r="D5953" t="s">
        <v>45</v>
      </c>
      <c r="E5953" t="s">
        <v>113</v>
      </c>
      <c r="F5953" t="s">
        <v>61</v>
      </c>
      <c r="G5953" t="s">
        <v>3974</v>
      </c>
      <c r="H5953" t="s">
        <v>3957</v>
      </c>
      <c r="I5953" t="s">
        <v>3975</v>
      </c>
      <c r="J5953" t="s">
        <v>8686</v>
      </c>
      <c r="K5953" t="s">
        <v>8138</v>
      </c>
      <c r="L5953" t="s">
        <v>53</v>
      </c>
      <c r="P5953" t="s">
        <v>55</v>
      </c>
      <c r="R5953" t="s">
        <v>53</v>
      </c>
      <c r="T5953" t="s">
        <v>10643</v>
      </c>
      <c r="U5953" t="s">
        <v>58</v>
      </c>
      <c r="V5953">
        <v>2</v>
      </c>
      <c r="W5953">
        <v>1</v>
      </c>
      <c r="X5953">
        <v>2</v>
      </c>
      <c r="Y5953">
        <v>0</v>
      </c>
      <c r="Z5953">
        <v>2</v>
      </c>
      <c r="AA5953">
        <v>404.88</v>
      </c>
      <c r="AB5953">
        <v>404.88</v>
      </c>
      <c r="AC5953">
        <v>356.25</v>
      </c>
      <c r="AD5953">
        <v>0</v>
      </c>
      <c r="AE5953">
        <v>48.63</v>
      </c>
      <c r="AF5953">
        <v>0</v>
      </c>
      <c r="AG5953">
        <v>0</v>
      </c>
      <c r="AH5953">
        <v>0</v>
      </c>
      <c r="AI5953">
        <v>0</v>
      </c>
      <c r="AJ5953">
        <v>404.88</v>
      </c>
      <c r="AK5953">
        <v>0</v>
      </c>
      <c r="AL5953" t="s">
        <v>53</v>
      </c>
      <c r="AM5953" t="s">
        <v>53</v>
      </c>
      <c r="AN5953" t="s">
        <v>53</v>
      </c>
      <c r="AO5953" t="s">
        <v>53</v>
      </c>
      <c r="AP5953" t="s">
        <v>53</v>
      </c>
    </row>
    <row r="5954" spans="2:42" x14ac:dyDescent="0.2">
      <c r="B5954" t="s">
        <v>44</v>
      </c>
      <c r="C5954" t="str">
        <f>HYPERLINK("https://us2.cloudbeds.com/connect/8493803454333002#/reservations/133370720759968?display=2SRDY1FUD9&amp;reservation_id=133370720759968", "2SRDY1FUD9")</f>
        <v>2SRDY1FUD9</v>
      </c>
      <c r="D5954" t="s">
        <v>45</v>
      </c>
      <c r="E5954" t="s">
        <v>305</v>
      </c>
      <c r="F5954" t="s">
        <v>61</v>
      </c>
      <c r="G5954" t="s">
        <v>48</v>
      </c>
      <c r="H5954" t="s">
        <v>3957</v>
      </c>
      <c r="I5954" t="s">
        <v>3958</v>
      </c>
      <c r="J5954" t="s">
        <v>8319</v>
      </c>
      <c r="K5954" t="s">
        <v>9318</v>
      </c>
      <c r="L5954" t="s">
        <v>53</v>
      </c>
      <c r="P5954" t="s">
        <v>55</v>
      </c>
      <c r="R5954" t="s">
        <v>56</v>
      </c>
      <c r="T5954" t="s">
        <v>10644</v>
      </c>
      <c r="U5954" t="s">
        <v>58</v>
      </c>
      <c r="V5954">
        <v>1</v>
      </c>
      <c r="W5954">
        <v>1</v>
      </c>
      <c r="X5954">
        <v>1</v>
      </c>
      <c r="Y5954">
        <v>0</v>
      </c>
      <c r="Z5954">
        <v>1</v>
      </c>
      <c r="AA5954">
        <v>157.52000000000001</v>
      </c>
      <c r="AB5954">
        <v>157.52000000000001</v>
      </c>
      <c r="AC5954">
        <v>138.6</v>
      </c>
      <c r="AD5954">
        <v>0</v>
      </c>
      <c r="AE5954">
        <v>18.920000000000002</v>
      </c>
      <c r="AF5954">
        <v>0</v>
      </c>
      <c r="AG5954">
        <v>0</v>
      </c>
      <c r="AH5954">
        <v>0</v>
      </c>
      <c r="AI5954">
        <v>0</v>
      </c>
      <c r="AJ5954">
        <v>157.52000000000001</v>
      </c>
      <c r="AK5954">
        <v>0</v>
      </c>
      <c r="AL5954" t="s">
        <v>53</v>
      </c>
      <c r="AM5954" t="s">
        <v>53</v>
      </c>
      <c r="AN5954" t="s">
        <v>53</v>
      </c>
      <c r="AO5954" t="s">
        <v>53</v>
      </c>
      <c r="AP5954" t="s">
        <v>53</v>
      </c>
    </row>
    <row r="5955" spans="2:42" x14ac:dyDescent="0.2">
      <c r="B5955" t="s">
        <v>44</v>
      </c>
      <c r="C5955" t="str">
        <f>HYPERLINK("https://us2.cloudbeds.com/connect/8493803454333002#/reservations/133404085903557?display=2SS6FJS7EH&amp;reservation_id=133404085903557", "2SS6FJS7EH")</f>
        <v>2SS6FJS7EH</v>
      </c>
      <c r="D5955" t="s">
        <v>45</v>
      </c>
      <c r="E5955" t="s">
        <v>92</v>
      </c>
      <c r="F5955" t="s">
        <v>86</v>
      </c>
      <c r="G5955" t="s">
        <v>48</v>
      </c>
      <c r="H5955" t="s">
        <v>3957</v>
      </c>
      <c r="I5955" t="s">
        <v>3958</v>
      </c>
      <c r="J5955" t="s">
        <v>4008</v>
      </c>
      <c r="K5955" t="s">
        <v>8319</v>
      </c>
      <c r="L5955" t="s">
        <v>53</v>
      </c>
      <c r="P5955" t="s">
        <v>55</v>
      </c>
      <c r="R5955" t="s">
        <v>56</v>
      </c>
      <c r="T5955" t="s">
        <v>10645</v>
      </c>
      <c r="U5955" t="s">
        <v>58</v>
      </c>
      <c r="V5955">
        <v>2</v>
      </c>
      <c r="W5955">
        <v>1</v>
      </c>
      <c r="X5955">
        <v>1</v>
      </c>
      <c r="Y5955">
        <v>0</v>
      </c>
      <c r="Z5955">
        <v>1</v>
      </c>
      <c r="AA5955">
        <v>403.69</v>
      </c>
      <c r="AB5955">
        <v>403.69</v>
      </c>
      <c r="AC5955">
        <v>355.2</v>
      </c>
      <c r="AD5955">
        <v>0</v>
      </c>
      <c r="AE5955">
        <v>48.49</v>
      </c>
      <c r="AF5955">
        <v>0</v>
      </c>
      <c r="AG5955">
        <v>0</v>
      </c>
      <c r="AH5955">
        <v>0</v>
      </c>
      <c r="AI5955">
        <v>0</v>
      </c>
      <c r="AJ5955">
        <v>403.69</v>
      </c>
      <c r="AK5955">
        <v>0</v>
      </c>
      <c r="AL5955" t="s">
        <v>53</v>
      </c>
      <c r="AM5955" t="s">
        <v>53</v>
      </c>
      <c r="AN5955" t="s">
        <v>10646</v>
      </c>
      <c r="AO5955" t="s">
        <v>53</v>
      </c>
      <c r="AP5955" t="s">
        <v>53</v>
      </c>
    </row>
    <row r="5956" spans="2:42" x14ac:dyDescent="0.2">
      <c r="B5956" t="s">
        <v>44</v>
      </c>
      <c r="C5956" t="str">
        <f>HYPERLINK("https://us2.cloudbeds.com/connect/8493803454333002#/reservations/9080486846512855?display=2SSAFRUB68&amp;reservation_id=9080486846512855", "2SSAFRUB68")</f>
        <v>2SSAFRUB68</v>
      </c>
      <c r="D5956" t="s">
        <v>45</v>
      </c>
      <c r="E5956" t="s">
        <v>128</v>
      </c>
      <c r="F5956" t="s">
        <v>86</v>
      </c>
      <c r="G5956" t="s">
        <v>48</v>
      </c>
      <c r="H5956" t="s">
        <v>49</v>
      </c>
      <c r="I5956" t="s">
        <v>50</v>
      </c>
      <c r="J5956" t="s">
        <v>8686</v>
      </c>
      <c r="K5956" t="s">
        <v>5402</v>
      </c>
      <c r="L5956" t="s">
        <v>53</v>
      </c>
      <c r="N5956" t="s">
        <v>10647</v>
      </c>
      <c r="P5956" t="s">
        <v>55</v>
      </c>
      <c r="R5956" t="s">
        <v>53</v>
      </c>
      <c r="T5956" t="s">
        <v>10648</v>
      </c>
      <c r="U5956" t="s">
        <v>58</v>
      </c>
      <c r="V5956">
        <v>1</v>
      </c>
      <c r="W5956">
        <v>1</v>
      </c>
      <c r="X5956">
        <v>3</v>
      </c>
      <c r="Y5956">
        <v>0</v>
      </c>
      <c r="Z5956">
        <v>3</v>
      </c>
      <c r="AA5956">
        <v>156.33000000000001</v>
      </c>
      <c r="AB5956">
        <v>160.66999999999999</v>
      </c>
      <c r="AC5956">
        <v>137.56</v>
      </c>
      <c r="AD5956">
        <v>4</v>
      </c>
      <c r="AE5956">
        <v>19.11</v>
      </c>
      <c r="AF5956">
        <v>0</v>
      </c>
      <c r="AG5956">
        <v>0</v>
      </c>
      <c r="AH5956">
        <v>0</v>
      </c>
      <c r="AI5956">
        <v>28.92</v>
      </c>
      <c r="AJ5956">
        <v>160.66999999999999</v>
      </c>
      <c r="AK5956">
        <v>0</v>
      </c>
      <c r="AL5956" t="s">
        <v>53</v>
      </c>
      <c r="AM5956" t="s">
        <v>53</v>
      </c>
      <c r="AN5956" t="s">
        <v>53</v>
      </c>
      <c r="AO5956" t="s">
        <v>53</v>
      </c>
      <c r="AP5956" t="s">
        <v>53</v>
      </c>
    </row>
    <row r="5957" spans="2:42" x14ac:dyDescent="0.2">
      <c r="B5957" t="s">
        <v>44</v>
      </c>
      <c r="C5957" t="str">
        <f>HYPERLINK("https://us2.cloudbeds.com/connect/8493803454333002#/reservations/9080486846512857?display=2SSAJ077EZ&amp;reservation_id=9080486846512857", "2SSAJ077EZ")</f>
        <v>2SSAJ077EZ</v>
      </c>
      <c r="D5957" t="s">
        <v>45</v>
      </c>
      <c r="E5957" t="s">
        <v>213</v>
      </c>
      <c r="F5957" t="s">
        <v>86</v>
      </c>
      <c r="G5957" t="s">
        <v>48</v>
      </c>
      <c r="H5957" t="s">
        <v>49</v>
      </c>
      <c r="I5957" t="s">
        <v>50</v>
      </c>
      <c r="J5957" t="s">
        <v>8686</v>
      </c>
      <c r="K5957" t="s">
        <v>5402</v>
      </c>
      <c r="L5957" t="s">
        <v>53</v>
      </c>
      <c r="N5957" t="s">
        <v>10649</v>
      </c>
      <c r="P5957" t="s">
        <v>55</v>
      </c>
      <c r="R5957" t="s">
        <v>53</v>
      </c>
      <c r="T5957" t="s">
        <v>10650</v>
      </c>
      <c r="U5957" t="s">
        <v>58</v>
      </c>
      <c r="V5957">
        <v>1</v>
      </c>
      <c r="W5957">
        <v>1</v>
      </c>
      <c r="X5957">
        <v>2</v>
      </c>
      <c r="Y5957">
        <v>0</v>
      </c>
      <c r="Z5957">
        <v>2</v>
      </c>
      <c r="AA5957">
        <v>156.33000000000001</v>
      </c>
      <c r="AB5957">
        <v>156.33000000000001</v>
      </c>
      <c r="AC5957">
        <v>137.56</v>
      </c>
      <c r="AD5957">
        <v>0</v>
      </c>
      <c r="AE5957">
        <v>18.77</v>
      </c>
      <c r="AF5957">
        <v>0</v>
      </c>
      <c r="AG5957">
        <v>0</v>
      </c>
      <c r="AH5957">
        <v>0</v>
      </c>
      <c r="AI5957">
        <v>28.14</v>
      </c>
      <c r="AJ5957">
        <v>156.33000000000001</v>
      </c>
      <c r="AK5957">
        <v>0</v>
      </c>
      <c r="AL5957" t="s">
        <v>53</v>
      </c>
      <c r="AM5957" t="s">
        <v>53</v>
      </c>
      <c r="AN5957" t="s">
        <v>53</v>
      </c>
      <c r="AO5957" t="s">
        <v>53</v>
      </c>
      <c r="AP5957" t="s">
        <v>53</v>
      </c>
    </row>
    <row r="5958" spans="2:42" x14ac:dyDescent="0.2">
      <c r="B5958" t="s">
        <v>44</v>
      </c>
      <c r="C5958" t="str">
        <f>HYPERLINK("https://us2.cloudbeds.com/connect/8493803454333002#/reservations/9080486846512858?display=2SSAJ077EP&amp;reservation_id=9080486846512858", "2SSAJ077EP")</f>
        <v>2SSAJ077EP</v>
      </c>
      <c r="D5958" t="s">
        <v>45</v>
      </c>
      <c r="E5958" t="s">
        <v>155</v>
      </c>
      <c r="F5958" t="s">
        <v>86</v>
      </c>
      <c r="G5958" t="s">
        <v>48</v>
      </c>
      <c r="H5958" t="s">
        <v>49</v>
      </c>
      <c r="I5958" t="s">
        <v>50</v>
      </c>
      <c r="J5958" t="s">
        <v>8686</v>
      </c>
      <c r="K5958" t="s">
        <v>5402</v>
      </c>
      <c r="L5958" t="s">
        <v>53</v>
      </c>
      <c r="N5958" t="s">
        <v>10651</v>
      </c>
      <c r="P5958" t="s">
        <v>55</v>
      </c>
      <c r="R5958" t="s">
        <v>53</v>
      </c>
      <c r="T5958" t="s">
        <v>10652</v>
      </c>
      <c r="U5958" t="s">
        <v>58</v>
      </c>
      <c r="V5958">
        <v>1</v>
      </c>
      <c r="W5958">
        <v>1</v>
      </c>
      <c r="X5958">
        <v>3</v>
      </c>
      <c r="Y5958">
        <v>0</v>
      </c>
      <c r="Z5958">
        <v>3</v>
      </c>
      <c r="AA5958">
        <v>156.33000000000001</v>
      </c>
      <c r="AB5958">
        <v>156.33000000000001</v>
      </c>
      <c r="AC5958">
        <v>137.56</v>
      </c>
      <c r="AD5958">
        <v>0</v>
      </c>
      <c r="AE5958">
        <v>18.77</v>
      </c>
      <c r="AF5958">
        <v>0</v>
      </c>
      <c r="AG5958">
        <v>0</v>
      </c>
      <c r="AH5958">
        <v>0</v>
      </c>
      <c r="AI5958">
        <v>28.14</v>
      </c>
      <c r="AJ5958">
        <v>156.33000000000001</v>
      </c>
      <c r="AK5958">
        <v>0</v>
      </c>
      <c r="AL5958" t="s">
        <v>53</v>
      </c>
      <c r="AM5958" t="s">
        <v>53</v>
      </c>
      <c r="AN5958" t="s">
        <v>53</v>
      </c>
      <c r="AO5958" t="s">
        <v>53</v>
      </c>
      <c r="AP5958" t="s">
        <v>53</v>
      </c>
    </row>
    <row r="5959" spans="2:42" x14ac:dyDescent="0.2">
      <c r="B5959" t="s">
        <v>44</v>
      </c>
      <c r="C5959" t="str">
        <f>HYPERLINK("https://us2.cloudbeds.com/connect/8493803454333002#/reservations/9080486846512859?display=2SSAK59JND&amp;reservation_id=9080486846512859", "2SSAK59JND")</f>
        <v>2SSAK59JND</v>
      </c>
      <c r="D5959" t="s">
        <v>45</v>
      </c>
      <c r="E5959" t="s">
        <v>98</v>
      </c>
      <c r="F5959" t="s">
        <v>86</v>
      </c>
      <c r="G5959" t="s">
        <v>48</v>
      </c>
      <c r="H5959" t="s">
        <v>49</v>
      </c>
      <c r="I5959" t="s">
        <v>50</v>
      </c>
      <c r="J5959" t="s">
        <v>8686</v>
      </c>
      <c r="K5959" t="s">
        <v>5402</v>
      </c>
      <c r="L5959" t="s">
        <v>53</v>
      </c>
      <c r="N5959" t="s">
        <v>10653</v>
      </c>
      <c r="P5959" t="s">
        <v>55</v>
      </c>
      <c r="R5959" t="s">
        <v>53</v>
      </c>
      <c r="T5959" t="s">
        <v>10654</v>
      </c>
      <c r="U5959" t="s">
        <v>58</v>
      </c>
      <c r="V5959">
        <v>1</v>
      </c>
      <c r="W5959">
        <v>1</v>
      </c>
      <c r="X5959">
        <v>2</v>
      </c>
      <c r="Y5959">
        <v>0</v>
      </c>
      <c r="Z5959">
        <v>2</v>
      </c>
      <c r="AA5959">
        <v>156.33000000000001</v>
      </c>
      <c r="AB5959">
        <v>156.33000000000001</v>
      </c>
      <c r="AC5959">
        <v>137.56</v>
      </c>
      <c r="AD5959">
        <v>0</v>
      </c>
      <c r="AE5959">
        <v>18.77</v>
      </c>
      <c r="AF5959">
        <v>0</v>
      </c>
      <c r="AG5959">
        <v>0</v>
      </c>
      <c r="AH5959">
        <v>0</v>
      </c>
      <c r="AI5959">
        <v>28.14</v>
      </c>
      <c r="AJ5959">
        <v>156.33000000000001</v>
      </c>
      <c r="AK5959">
        <v>0</v>
      </c>
      <c r="AL5959" t="s">
        <v>53</v>
      </c>
      <c r="AM5959" t="s">
        <v>53</v>
      </c>
      <c r="AN5959" t="s">
        <v>53</v>
      </c>
      <c r="AO5959" t="s">
        <v>53</v>
      </c>
      <c r="AP5959" t="s">
        <v>53</v>
      </c>
    </row>
    <row r="5960" spans="2:42" x14ac:dyDescent="0.2">
      <c r="B5960" t="s">
        <v>44</v>
      </c>
      <c r="C5960" t="str">
        <f>HYPERLINK("https://us2.cloudbeds.com/connect/8493803454333002#/reservations/9080486846512912?display=2SSCGWD51T&amp;reservation_id=9080486846512912", "2SSCGWD51T")</f>
        <v>2SSCGWD51T</v>
      </c>
      <c r="D5960" t="s">
        <v>45</v>
      </c>
      <c r="E5960" t="s">
        <v>190</v>
      </c>
      <c r="F5960" t="s">
        <v>61</v>
      </c>
      <c r="G5960" t="s">
        <v>48</v>
      </c>
      <c r="H5960" t="s">
        <v>49</v>
      </c>
      <c r="I5960" t="s">
        <v>50</v>
      </c>
      <c r="J5960" t="s">
        <v>4009</v>
      </c>
      <c r="K5960" t="s">
        <v>8319</v>
      </c>
      <c r="L5960" t="s">
        <v>53</v>
      </c>
      <c r="N5960" t="s">
        <v>10655</v>
      </c>
      <c r="P5960" t="s">
        <v>55</v>
      </c>
      <c r="R5960" t="s">
        <v>53</v>
      </c>
      <c r="T5960" t="s">
        <v>10656</v>
      </c>
      <c r="U5960" t="s">
        <v>58</v>
      </c>
      <c r="V5960">
        <v>1</v>
      </c>
      <c r="W5960">
        <v>1</v>
      </c>
      <c r="X5960">
        <v>1</v>
      </c>
      <c r="Y5960">
        <v>0</v>
      </c>
      <c r="Z5960">
        <v>1</v>
      </c>
      <c r="AA5960">
        <v>162.63</v>
      </c>
      <c r="AB5960">
        <v>162.63</v>
      </c>
      <c r="AC5960">
        <v>143.1</v>
      </c>
      <c r="AD5960">
        <v>0</v>
      </c>
      <c r="AE5960">
        <v>19.53</v>
      </c>
      <c r="AF5960">
        <v>0</v>
      </c>
      <c r="AG5960">
        <v>0</v>
      </c>
      <c r="AH5960">
        <v>0</v>
      </c>
      <c r="AI5960">
        <v>29.27</v>
      </c>
      <c r="AJ5960">
        <v>162.63</v>
      </c>
      <c r="AK5960">
        <v>0</v>
      </c>
      <c r="AL5960" t="s">
        <v>53</v>
      </c>
      <c r="AM5960" t="s">
        <v>53</v>
      </c>
      <c r="AN5960" t="s">
        <v>53</v>
      </c>
      <c r="AO5960" t="s">
        <v>53</v>
      </c>
      <c r="AP5960" t="s">
        <v>53</v>
      </c>
    </row>
    <row r="5961" spans="2:42" x14ac:dyDescent="0.2">
      <c r="B5961" t="s">
        <v>44</v>
      </c>
      <c r="C5961" t="str">
        <f>HYPERLINK("https://us2.cloudbeds.com/connect/8493803454333002#/reservations/133415570251936?display=2SSFC1P4TF&amp;reservation_id=133415570251936", "2SSFC1P4TF")</f>
        <v>2SSFC1P4TF</v>
      </c>
      <c r="D5961" t="s">
        <v>45</v>
      </c>
      <c r="E5961" t="s">
        <v>110</v>
      </c>
      <c r="F5961" t="s">
        <v>47</v>
      </c>
      <c r="G5961" t="s">
        <v>48</v>
      </c>
      <c r="H5961" t="s">
        <v>3957</v>
      </c>
      <c r="I5961" t="s">
        <v>3975</v>
      </c>
      <c r="J5961" t="s">
        <v>9928</v>
      </c>
      <c r="K5961" t="s">
        <v>7492</v>
      </c>
      <c r="L5961" t="s">
        <v>53</v>
      </c>
      <c r="P5961" t="s">
        <v>55</v>
      </c>
      <c r="R5961" t="s">
        <v>53</v>
      </c>
      <c r="T5961" t="s">
        <v>10657</v>
      </c>
      <c r="U5961" t="s">
        <v>58</v>
      </c>
      <c r="V5961">
        <v>1</v>
      </c>
      <c r="W5961">
        <v>1</v>
      </c>
      <c r="X5961">
        <v>2</v>
      </c>
      <c r="Y5961">
        <v>0</v>
      </c>
      <c r="Z5961">
        <v>2</v>
      </c>
      <c r="AA5961">
        <v>200.02</v>
      </c>
      <c r="AB5961">
        <v>200.02</v>
      </c>
      <c r="AC5961">
        <v>176</v>
      </c>
      <c r="AD5961">
        <v>0</v>
      </c>
      <c r="AE5961">
        <v>24.02</v>
      </c>
      <c r="AF5961">
        <v>0</v>
      </c>
      <c r="AG5961">
        <v>0</v>
      </c>
      <c r="AH5961">
        <v>0</v>
      </c>
      <c r="AI5961">
        <v>0</v>
      </c>
      <c r="AJ5961">
        <v>200.02</v>
      </c>
      <c r="AK5961">
        <v>0</v>
      </c>
      <c r="AL5961" t="s">
        <v>53</v>
      </c>
      <c r="AM5961" t="s">
        <v>53</v>
      </c>
      <c r="AN5961" t="s">
        <v>53</v>
      </c>
      <c r="AO5961" t="s">
        <v>53</v>
      </c>
      <c r="AP5961" t="s">
        <v>53</v>
      </c>
    </row>
    <row r="5962" spans="2:42" x14ac:dyDescent="0.2">
      <c r="B5962" t="s">
        <v>44</v>
      </c>
      <c r="C5962" t="str">
        <f>HYPERLINK("https://us2.cloudbeds.com/connect/8493803454333002#/reservations/9080486846513085?display=2SSJC8GK5P&amp;reservation_id=9080486846513085", "2SSJC8GK5P")</f>
        <v>2SSJC8GK5P</v>
      </c>
      <c r="D5962" t="s">
        <v>45</v>
      </c>
      <c r="E5962" t="s">
        <v>373</v>
      </c>
      <c r="F5962" t="s">
        <v>47</v>
      </c>
      <c r="G5962" t="s">
        <v>48</v>
      </c>
      <c r="H5962" t="s">
        <v>49</v>
      </c>
      <c r="I5962" t="s">
        <v>50</v>
      </c>
      <c r="J5962" t="s">
        <v>8071</v>
      </c>
      <c r="K5962" t="s">
        <v>4008</v>
      </c>
      <c r="L5962" t="s">
        <v>53</v>
      </c>
      <c r="N5962" t="s">
        <v>10658</v>
      </c>
      <c r="P5962" t="s">
        <v>55</v>
      </c>
      <c r="R5962" t="s">
        <v>53</v>
      </c>
      <c r="T5962" t="s">
        <v>10659</v>
      </c>
      <c r="U5962" t="s">
        <v>58</v>
      </c>
      <c r="V5962">
        <v>1</v>
      </c>
      <c r="W5962">
        <v>1</v>
      </c>
      <c r="X5962">
        <v>2</v>
      </c>
      <c r="Y5962">
        <v>0</v>
      </c>
      <c r="Z5962">
        <v>2</v>
      </c>
      <c r="AA5962">
        <v>162.74</v>
      </c>
      <c r="AB5962">
        <v>162.74</v>
      </c>
      <c r="AC5962">
        <v>143.19999999999999</v>
      </c>
      <c r="AD5962">
        <v>0</v>
      </c>
      <c r="AE5962">
        <v>19.54</v>
      </c>
      <c r="AF5962">
        <v>0</v>
      </c>
      <c r="AG5962">
        <v>0</v>
      </c>
      <c r="AH5962">
        <v>0</v>
      </c>
      <c r="AI5962">
        <v>29.29</v>
      </c>
      <c r="AJ5962">
        <v>162.74</v>
      </c>
      <c r="AK5962">
        <v>0</v>
      </c>
      <c r="AL5962" t="s">
        <v>53</v>
      </c>
      <c r="AM5962" t="s">
        <v>53</v>
      </c>
      <c r="AN5962" t="s">
        <v>53</v>
      </c>
      <c r="AO5962" t="s">
        <v>53</v>
      </c>
      <c r="AP5962" t="s">
        <v>53</v>
      </c>
    </row>
    <row r="5963" spans="2:42" x14ac:dyDescent="0.2">
      <c r="B5963" t="s">
        <v>44</v>
      </c>
      <c r="C5963" t="str">
        <f>HYPERLINK("https://us2.cloudbeds.com/connect/8493803454333002#/reservations/9080486846514024?display=2STR3A9EK4&amp;reservation_id=9080486846514024", "2STR3A9EK4")</f>
        <v>2STR3A9EK4</v>
      </c>
      <c r="D5963" t="s">
        <v>45</v>
      </c>
      <c r="E5963" t="s">
        <v>155</v>
      </c>
      <c r="F5963" t="s">
        <v>86</v>
      </c>
      <c r="G5963" t="s">
        <v>48</v>
      </c>
      <c r="H5963" t="s">
        <v>49</v>
      </c>
      <c r="I5963" t="s">
        <v>50</v>
      </c>
      <c r="J5963" t="s">
        <v>8071</v>
      </c>
      <c r="K5963" t="s">
        <v>4008</v>
      </c>
      <c r="L5963" t="s">
        <v>53</v>
      </c>
      <c r="N5963" t="s">
        <v>10660</v>
      </c>
      <c r="P5963" t="s">
        <v>55</v>
      </c>
      <c r="R5963" t="s">
        <v>53</v>
      </c>
      <c r="T5963" t="s">
        <v>10661</v>
      </c>
      <c r="U5963" t="s">
        <v>58</v>
      </c>
      <c r="V5963">
        <v>1</v>
      </c>
      <c r="W5963">
        <v>1</v>
      </c>
      <c r="X5963">
        <v>2</v>
      </c>
      <c r="Y5963">
        <v>0</v>
      </c>
      <c r="Z5963">
        <v>2</v>
      </c>
      <c r="AA5963">
        <v>182.75</v>
      </c>
      <c r="AB5963">
        <v>182.75</v>
      </c>
      <c r="AC5963">
        <v>160.80000000000001</v>
      </c>
      <c r="AD5963">
        <v>0</v>
      </c>
      <c r="AE5963">
        <v>21.95</v>
      </c>
      <c r="AF5963">
        <v>0</v>
      </c>
      <c r="AG5963">
        <v>0</v>
      </c>
      <c r="AH5963">
        <v>0</v>
      </c>
      <c r="AI5963">
        <v>32.9</v>
      </c>
      <c r="AJ5963">
        <v>182.75</v>
      </c>
      <c r="AK5963">
        <v>0</v>
      </c>
      <c r="AL5963" t="s">
        <v>53</v>
      </c>
      <c r="AM5963" t="s">
        <v>53</v>
      </c>
      <c r="AN5963" t="s">
        <v>53</v>
      </c>
      <c r="AO5963" t="s">
        <v>53</v>
      </c>
      <c r="AP5963" t="s">
        <v>53</v>
      </c>
    </row>
    <row r="5964" spans="2:42" x14ac:dyDescent="0.2">
      <c r="B5964" t="s">
        <v>44</v>
      </c>
      <c r="C5964" t="str">
        <f>HYPERLINK("https://us2.cloudbeds.com/connect/8493803454333002#/reservations/9080486846517860?display=2T1VEBAB38&amp;reservation_id=9080486846517860", "2T1VEBAB38")</f>
        <v>2T1VEBAB38</v>
      </c>
      <c r="D5964" t="s">
        <v>45</v>
      </c>
      <c r="E5964" t="s">
        <v>105</v>
      </c>
      <c r="F5964" t="s">
        <v>47</v>
      </c>
      <c r="G5964" t="s">
        <v>48</v>
      </c>
      <c r="H5964" t="s">
        <v>49</v>
      </c>
      <c r="I5964" t="s">
        <v>50</v>
      </c>
      <c r="J5964" t="s">
        <v>8829</v>
      </c>
      <c r="K5964" t="s">
        <v>8911</v>
      </c>
      <c r="L5964" t="s">
        <v>53</v>
      </c>
      <c r="N5964" t="s">
        <v>10662</v>
      </c>
      <c r="P5964" t="s">
        <v>55</v>
      </c>
      <c r="R5964" t="s">
        <v>53</v>
      </c>
      <c r="T5964" t="s">
        <v>10663</v>
      </c>
      <c r="U5964" t="s">
        <v>58</v>
      </c>
      <c r="V5964">
        <v>1</v>
      </c>
      <c r="W5964">
        <v>1</v>
      </c>
      <c r="X5964">
        <v>1</v>
      </c>
      <c r="Y5964">
        <v>0</v>
      </c>
      <c r="Z5964">
        <v>1</v>
      </c>
      <c r="AA5964">
        <v>135.25</v>
      </c>
      <c r="AB5964">
        <v>135.25</v>
      </c>
      <c r="AC5964">
        <v>119</v>
      </c>
      <c r="AD5964">
        <v>0</v>
      </c>
      <c r="AE5964">
        <v>16.25</v>
      </c>
      <c r="AF5964">
        <v>0</v>
      </c>
      <c r="AG5964">
        <v>0</v>
      </c>
      <c r="AH5964">
        <v>0</v>
      </c>
      <c r="AI5964">
        <v>24.35</v>
      </c>
      <c r="AJ5964">
        <v>135.25</v>
      </c>
      <c r="AK5964">
        <v>0</v>
      </c>
      <c r="AL5964" t="s">
        <v>53</v>
      </c>
      <c r="AM5964" t="s">
        <v>53</v>
      </c>
      <c r="AN5964" t="s">
        <v>53</v>
      </c>
      <c r="AO5964" t="s">
        <v>53</v>
      </c>
      <c r="AP5964" t="s">
        <v>53</v>
      </c>
    </row>
    <row r="5965" spans="2:42" x14ac:dyDescent="0.2">
      <c r="B5965" t="s">
        <v>44</v>
      </c>
      <c r="C5965" t="str">
        <f>HYPERLINK("https://us2.cloudbeds.com/connect/8493803454333002#/reservations/9080486846517864?display=2T1VJWGCUJ&amp;reservation_id=9080486846517864", "2T1VJWGCUJ")</f>
        <v>2T1VJWGCUJ</v>
      </c>
      <c r="D5965" t="s">
        <v>45</v>
      </c>
      <c r="E5965" t="s">
        <v>185</v>
      </c>
      <c r="F5965" t="s">
        <v>47</v>
      </c>
      <c r="G5965" t="s">
        <v>48</v>
      </c>
      <c r="H5965" t="s">
        <v>49</v>
      </c>
      <c r="I5965" t="s">
        <v>62</v>
      </c>
      <c r="J5965" t="s">
        <v>8314</v>
      </c>
      <c r="K5965" t="s">
        <v>6454</v>
      </c>
      <c r="L5965" t="s">
        <v>53</v>
      </c>
      <c r="N5965" t="s">
        <v>10664</v>
      </c>
      <c r="P5965" t="s">
        <v>55</v>
      </c>
      <c r="R5965" t="s">
        <v>56</v>
      </c>
      <c r="T5965" t="s">
        <v>10665</v>
      </c>
      <c r="U5965" t="s">
        <v>55</v>
      </c>
      <c r="V5965">
        <v>2</v>
      </c>
      <c r="W5965">
        <v>1</v>
      </c>
      <c r="X5965">
        <v>2</v>
      </c>
      <c r="Y5965">
        <v>0</v>
      </c>
      <c r="Z5965">
        <v>2</v>
      </c>
      <c r="AA5965">
        <v>362.9</v>
      </c>
      <c r="AB5965">
        <v>368.32</v>
      </c>
      <c r="AC5965">
        <v>362.9</v>
      </c>
      <c r="AD5965">
        <v>5</v>
      </c>
      <c r="AE5965">
        <v>0.42</v>
      </c>
      <c r="AF5965">
        <v>0</v>
      </c>
      <c r="AG5965">
        <v>0</v>
      </c>
      <c r="AH5965">
        <v>0</v>
      </c>
      <c r="AI5965">
        <v>66.3</v>
      </c>
      <c r="AJ5965">
        <v>368.32</v>
      </c>
      <c r="AK5965">
        <v>0</v>
      </c>
      <c r="AL5965" t="s">
        <v>53</v>
      </c>
      <c r="AM5965" t="s">
        <v>53</v>
      </c>
      <c r="AN5965" t="s">
        <v>53</v>
      </c>
      <c r="AO5965" t="s">
        <v>53</v>
      </c>
      <c r="AP5965" t="s">
        <v>53</v>
      </c>
    </row>
    <row r="5966" spans="2:42" x14ac:dyDescent="0.2">
      <c r="B5966" t="s">
        <v>44</v>
      </c>
      <c r="C5966" t="str">
        <f>HYPERLINK("https://us2.cloudbeds.com/connect/8493803454333002#/reservations/9080486846518018?display=2T24NM1CRC&amp;reservation_id=9080486846518018", "2T24NM1CRC")</f>
        <v>2T24NM1CRC</v>
      </c>
      <c r="D5966" t="s">
        <v>45</v>
      </c>
      <c r="E5966" t="s">
        <v>128</v>
      </c>
      <c r="F5966" t="s">
        <v>86</v>
      </c>
      <c r="G5966" t="s">
        <v>48</v>
      </c>
      <c r="H5966" t="s">
        <v>49</v>
      </c>
      <c r="I5966" t="s">
        <v>62</v>
      </c>
      <c r="J5966" t="s">
        <v>6991</v>
      </c>
      <c r="K5966" t="s">
        <v>6828</v>
      </c>
      <c r="L5966" t="s">
        <v>53</v>
      </c>
      <c r="N5966" t="s">
        <v>10666</v>
      </c>
      <c r="P5966" t="s">
        <v>55</v>
      </c>
      <c r="R5966" t="s">
        <v>56</v>
      </c>
      <c r="T5966" t="s">
        <v>10667</v>
      </c>
      <c r="U5966" t="s">
        <v>55</v>
      </c>
      <c r="V5966">
        <v>1</v>
      </c>
      <c r="W5966">
        <v>1</v>
      </c>
      <c r="X5966">
        <v>2</v>
      </c>
      <c r="Y5966">
        <v>0</v>
      </c>
      <c r="Z5966">
        <v>2</v>
      </c>
      <c r="AA5966">
        <v>193</v>
      </c>
      <c r="AB5966">
        <v>193</v>
      </c>
      <c r="AC5966">
        <v>193</v>
      </c>
      <c r="AD5966">
        <v>0</v>
      </c>
      <c r="AE5966">
        <v>0</v>
      </c>
      <c r="AF5966">
        <v>0</v>
      </c>
      <c r="AG5966">
        <v>0</v>
      </c>
      <c r="AH5966">
        <v>0</v>
      </c>
      <c r="AI5966">
        <v>34.74</v>
      </c>
      <c r="AJ5966">
        <v>193</v>
      </c>
      <c r="AK5966">
        <v>0</v>
      </c>
      <c r="AL5966" t="s">
        <v>53</v>
      </c>
      <c r="AM5966" t="s">
        <v>53</v>
      </c>
      <c r="AN5966" t="s">
        <v>53</v>
      </c>
      <c r="AO5966" t="s">
        <v>53</v>
      </c>
      <c r="AP5966" t="s">
        <v>53</v>
      </c>
    </row>
    <row r="5967" spans="2:42" x14ac:dyDescent="0.2">
      <c r="B5967" t="s">
        <v>44</v>
      </c>
      <c r="C5967" t="str">
        <f>HYPERLINK("https://us2.cloudbeds.com/connect/8493803454333002#/reservations/9080486846518030?display=2T252MXX14&amp;reservation_id=9080486846518030", "2T252MXX14")</f>
        <v>2T252MXX14</v>
      </c>
      <c r="D5967" t="s">
        <v>45</v>
      </c>
      <c r="E5967" t="s">
        <v>110</v>
      </c>
      <c r="F5967" t="s">
        <v>47</v>
      </c>
      <c r="G5967" t="s">
        <v>48</v>
      </c>
      <c r="H5967" t="s">
        <v>49</v>
      </c>
      <c r="I5967" t="s">
        <v>50</v>
      </c>
      <c r="J5967" t="s">
        <v>8799</v>
      </c>
      <c r="K5967" t="s">
        <v>8829</v>
      </c>
      <c r="L5967" t="s">
        <v>53</v>
      </c>
      <c r="N5967" t="s">
        <v>10668</v>
      </c>
      <c r="P5967" t="s">
        <v>55</v>
      </c>
      <c r="R5967" t="s">
        <v>53</v>
      </c>
      <c r="T5967" t="s">
        <v>10669</v>
      </c>
      <c r="U5967" t="s">
        <v>58</v>
      </c>
      <c r="V5967">
        <v>1</v>
      </c>
      <c r="W5967">
        <v>1</v>
      </c>
      <c r="X5967">
        <v>2</v>
      </c>
      <c r="Y5967">
        <v>0</v>
      </c>
      <c r="Z5967">
        <v>2</v>
      </c>
      <c r="AA5967">
        <v>134.74</v>
      </c>
      <c r="AB5967">
        <v>134.74</v>
      </c>
      <c r="AC5967">
        <v>118.56</v>
      </c>
      <c r="AD5967">
        <v>0</v>
      </c>
      <c r="AE5967">
        <v>16.18</v>
      </c>
      <c r="AF5967">
        <v>0</v>
      </c>
      <c r="AG5967">
        <v>0</v>
      </c>
      <c r="AH5967">
        <v>0</v>
      </c>
      <c r="AI5967">
        <v>24.25</v>
      </c>
      <c r="AJ5967">
        <v>134.74</v>
      </c>
      <c r="AK5967">
        <v>0</v>
      </c>
      <c r="AL5967" t="s">
        <v>53</v>
      </c>
      <c r="AM5967" t="s">
        <v>53</v>
      </c>
      <c r="AN5967" t="s">
        <v>53</v>
      </c>
      <c r="AO5967" t="s">
        <v>53</v>
      </c>
      <c r="AP5967" t="s">
        <v>53</v>
      </c>
    </row>
    <row r="5968" spans="2:42" x14ac:dyDescent="0.2">
      <c r="B5968" t="s">
        <v>44</v>
      </c>
      <c r="C5968" t="str">
        <f>HYPERLINK("https://us2.cloudbeds.com/connect/8493803454333002#/reservations/9080486846518151?display=2T2848QSEZ&amp;reservation_id=9080486846518151", "2T2848QSEZ")</f>
        <v>2T2848QSEZ</v>
      </c>
      <c r="D5968" t="s">
        <v>45</v>
      </c>
      <c r="E5968" t="s">
        <v>110</v>
      </c>
      <c r="F5968" t="s">
        <v>47</v>
      </c>
      <c r="G5968" t="s">
        <v>48</v>
      </c>
      <c r="H5968" t="s">
        <v>49</v>
      </c>
      <c r="I5968" t="s">
        <v>50</v>
      </c>
      <c r="J5968" t="s">
        <v>8829</v>
      </c>
      <c r="K5968" t="s">
        <v>8911</v>
      </c>
      <c r="L5968" t="s">
        <v>53</v>
      </c>
      <c r="N5968" t="s">
        <v>10670</v>
      </c>
      <c r="P5968" t="s">
        <v>55</v>
      </c>
      <c r="R5968" t="s">
        <v>53</v>
      </c>
      <c r="T5968" t="s">
        <v>10671</v>
      </c>
      <c r="U5968" t="s">
        <v>58</v>
      </c>
      <c r="V5968">
        <v>1</v>
      </c>
      <c r="W5968">
        <v>1</v>
      </c>
      <c r="X5968">
        <v>2</v>
      </c>
      <c r="Y5968">
        <v>0</v>
      </c>
      <c r="Z5968">
        <v>2</v>
      </c>
      <c r="AA5968">
        <v>120.93</v>
      </c>
      <c r="AB5968">
        <v>120.93</v>
      </c>
      <c r="AC5968">
        <v>106.4</v>
      </c>
      <c r="AD5968">
        <v>0</v>
      </c>
      <c r="AE5968">
        <v>14.53</v>
      </c>
      <c r="AF5968">
        <v>0</v>
      </c>
      <c r="AG5968">
        <v>0</v>
      </c>
      <c r="AH5968">
        <v>0</v>
      </c>
      <c r="AI5968">
        <v>21.77</v>
      </c>
      <c r="AJ5968">
        <v>120.93</v>
      </c>
      <c r="AK5968">
        <v>0</v>
      </c>
      <c r="AL5968" t="s">
        <v>53</v>
      </c>
      <c r="AM5968" t="s">
        <v>53</v>
      </c>
      <c r="AN5968" t="s">
        <v>53</v>
      </c>
      <c r="AO5968" t="s">
        <v>53</v>
      </c>
      <c r="AP5968" t="s">
        <v>53</v>
      </c>
    </row>
    <row r="5969" spans="2:42" x14ac:dyDescent="0.2">
      <c r="B5969" t="s">
        <v>44</v>
      </c>
      <c r="C5969" t="str">
        <f>HYPERLINK("https://us2.cloudbeds.com/connect/8493803454333002#/reservations/9080486846518154?display=2T286Q5N80&amp;reservation_id=9080486846518154", "2T286Q5N80")</f>
        <v>2T286Q5N80</v>
      </c>
      <c r="D5969" t="s">
        <v>45</v>
      </c>
      <c r="E5969" t="s">
        <v>179</v>
      </c>
      <c r="F5969" t="s">
        <v>47</v>
      </c>
      <c r="G5969" t="s">
        <v>48</v>
      </c>
      <c r="H5969" t="s">
        <v>49</v>
      </c>
      <c r="I5969" t="s">
        <v>8964</v>
      </c>
      <c r="J5969" t="s">
        <v>8900</v>
      </c>
      <c r="K5969" t="s">
        <v>6454</v>
      </c>
      <c r="L5969" t="s">
        <v>53</v>
      </c>
      <c r="N5969" t="s">
        <v>10672</v>
      </c>
      <c r="P5969" t="s">
        <v>55</v>
      </c>
      <c r="R5969" t="s">
        <v>53</v>
      </c>
      <c r="T5969" t="s">
        <v>10673</v>
      </c>
      <c r="U5969" t="s">
        <v>58</v>
      </c>
      <c r="V5969">
        <v>3</v>
      </c>
      <c r="W5969">
        <v>1</v>
      </c>
      <c r="X5969">
        <v>2</v>
      </c>
      <c r="Y5969">
        <v>0</v>
      </c>
      <c r="Z5969">
        <v>2</v>
      </c>
      <c r="AA5969">
        <v>0</v>
      </c>
      <c r="AB5969">
        <v>0</v>
      </c>
      <c r="AC5969">
        <v>691</v>
      </c>
      <c r="AD5969">
        <v>0</v>
      </c>
      <c r="AE5969">
        <v>0</v>
      </c>
      <c r="AF5969">
        <v>0</v>
      </c>
      <c r="AG5969">
        <v>0</v>
      </c>
      <c r="AH5969">
        <v>0</v>
      </c>
      <c r="AI5969">
        <v>103.65</v>
      </c>
      <c r="AJ5969">
        <v>691</v>
      </c>
      <c r="AK5969">
        <v>691</v>
      </c>
      <c r="AL5969" t="s">
        <v>53</v>
      </c>
      <c r="AM5969" t="s">
        <v>53</v>
      </c>
      <c r="AN5969" t="s">
        <v>53</v>
      </c>
      <c r="AO5969" t="s">
        <v>53</v>
      </c>
      <c r="AP5969" t="s">
        <v>53</v>
      </c>
    </row>
    <row r="5970" spans="2:42" x14ac:dyDescent="0.2">
      <c r="B5970" t="s">
        <v>44</v>
      </c>
      <c r="C5970" t="str">
        <f>HYPERLINK("https://us2.cloudbeds.com/connect/8493803454333002#/reservations/133734680666323?display=2T2VF23REY&amp;reservation_id=133734680666323", "2T2VF23REY")</f>
        <v>2T2VF23REY</v>
      </c>
      <c r="D5970" t="s">
        <v>45</v>
      </c>
      <c r="E5970" t="s">
        <v>98</v>
      </c>
      <c r="F5970" t="s">
        <v>86</v>
      </c>
      <c r="G5970" t="s">
        <v>48</v>
      </c>
      <c r="H5970" t="s">
        <v>3957</v>
      </c>
      <c r="I5970" t="s">
        <v>3975</v>
      </c>
      <c r="J5970" t="s">
        <v>8314</v>
      </c>
      <c r="K5970" t="s">
        <v>6454</v>
      </c>
      <c r="L5970" t="s">
        <v>53</v>
      </c>
      <c r="P5970" t="s">
        <v>55</v>
      </c>
      <c r="R5970" t="s">
        <v>53</v>
      </c>
      <c r="T5970" t="s">
        <v>10674</v>
      </c>
      <c r="U5970" t="s">
        <v>58</v>
      </c>
      <c r="V5970">
        <v>2</v>
      </c>
      <c r="W5970">
        <v>1</v>
      </c>
      <c r="X5970">
        <v>2</v>
      </c>
      <c r="Y5970">
        <v>0</v>
      </c>
      <c r="Z5970">
        <v>2</v>
      </c>
      <c r="AA5970">
        <v>517.12</v>
      </c>
      <c r="AB5970">
        <v>517.12</v>
      </c>
      <c r="AC5970">
        <v>455</v>
      </c>
      <c r="AD5970">
        <v>0</v>
      </c>
      <c r="AE5970">
        <v>62.12</v>
      </c>
      <c r="AF5970">
        <v>0</v>
      </c>
      <c r="AG5970">
        <v>0</v>
      </c>
      <c r="AH5970">
        <v>0</v>
      </c>
      <c r="AI5970">
        <v>0</v>
      </c>
      <c r="AJ5970">
        <v>517.12</v>
      </c>
      <c r="AK5970">
        <v>0</v>
      </c>
      <c r="AL5970" t="s">
        <v>53</v>
      </c>
      <c r="AM5970" t="s">
        <v>53</v>
      </c>
      <c r="AN5970" t="s">
        <v>53</v>
      </c>
      <c r="AO5970" t="s">
        <v>53</v>
      </c>
      <c r="AP5970" t="s">
        <v>53</v>
      </c>
    </row>
    <row r="5971" spans="2:42" x14ac:dyDescent="0.2">
      <c r="B5971" t="s">
        <v>44</v>
      </c>
      <c r="C5971" t="str">
        <f>HYPERLINK("https://us2.cloudbeds.com/connect/8493803454333002#/reservations/9080486846519498?display=2T3GMZN7XA&amp;reservation_id=9080486846519498", "2T3GMZN7XA")</f>
        <v>2T3GMZN7XA</v>
      </c>
      <c r="D5971" t="s">
        <v>45</v>
      </c>
      <c r="E5971" t="s">
        <v>185</v>
      </c>
      <c r="F5971" t="s">
        <v>47</v>
      </c>
      <c r="G5971" t="s">
        <v>48</v>
      </c>
      <c r="H5971" t="s">
        <v>49</v>
      </c>
      <c r="I5971" t="s">
        <v>50</v>
      </c>
      <c r="J5971" t="s">
        <v>8319</v>
      </c>
      <c r="K5971" t="s">
        <v>8394</v>
      </c>
      <c r="L5971" t="s">
        <v>53</v>
      </c>
      <c r="N5971" t="s">
        <v>10675</v>
      </c>
      <c r="P5971" t="s">
        <v>55</v>
      </c>
      <c r="R5971" t="s">
        <v>53</v>
      </c>
      <c r="T5971" t="s">
        <v>10676</v>
      </c>
      <c r="U5971" t="s">
        <v>58</v>
      </c>
      <c r="V5971">
        <v>2</v>
      </c>
      <c r="W5971">
        <v>1</v>
      </c>
      <c r="X5971">
        <v>2</v>
      </c>
      <c r="Y5971">
        <v>0</v>
      </c>
      <c r="Z5971">
        <v>2</v>
      </c>
      <c r="AA5971">
        <v>364.6</v>
      </c>
      <c r="AB5971">
        <v>364.6</v>
      </c>
      <c r="AC5971">
        <v>320.8</v>
      </c>
      <c r="AD5971">
        <v>0</v>
      </c>
      <c r="AE5971">
        <v>43.8</v>
      </c>
      <c r="AF5971">
        <v>0</v>
      </c>
      <c r="AG5971">
        <v>0</v>
      </c>
      <c r="AH5971">
        <v>0</v>
      </c>
      <c r="AI5971">
        <v>65.63</v>
      </c>
      <c r="AJ5971">
        <v>364.6</v>
      </c>
      <c r="AK5971">
        <v>0</v>
      </c>
      <c r="AL5971" t="s">
        <v>53</v>
      </c>
      <c r="AM5971" t="s">
        <v>53</v>
      </c>
      <c r="AN5971" t="s">
        <v>53</v>
      </c>
      <c r="AO5971" t="s">
        <v>53</v>
      </c>
      <c r="AP5971" t="s">
        <v>53</v>
      </c>
    </row>
    <row r="5972" spans="2:42" x14ac:dyDescent="0.2">
      <c r="B5972" t="s">
        <v>44</v>
      </c>
      <c r="C5972" t="str">
        <f>HYPERLINK("https://us2.cloudbeds.com/connect/8493803454333002#/reservations/133759725715590?display=2T3HS0P84H&amp;reservation_id=133759725715590", "2T3HS0P84H")</f>
        <v>2T3HS0P84H</v>
      </c>
      <c r="D5972" t="s">
        <v>45</v>
      </c>
      <c r="E5972" t="s">
        <v>265</v>
      </c>
      <c r="F5972" t="s">
        <v>61</v>
      </c>
      <c r="G5972" t="s">
        <v>48</v>
      </c>
      <c r="H5972" t="s">
        <v>3957</v>
      </c>
      <c r="I5972" t="s">
        <v>3958</v>
      </c>
      <c r="J5972" t="s">
        <v>8799</v>
      </c>
      <c r="K5972" t="s">
        <v>8829</v>
      </c>
      <c r="L5972" t="s">
        <v>53</v>
      </c>
      <c r="P5972" t="s">
        <v>55</v>
      </c>
      <c r="R5972" t="s">
        <v>56</v>
      </c>
      <c r="T5972" t="s">
        <v>10677</v>
      </c>
      <c r="U5972" t="s">
        <v>58</v>
      </c>
      <c r="V5972">
        <v>1</v>
      </c>
      <c r="W5972">
        <v>1</v>
      </c>
      <c r="X5972">
        <v>1</v>
      </c>
      <c r="Y5972">
        <v>0</v>
      </c>
      <c r="Z5972">
        <v>1</v>
      </c>
      <c r="AA5972">
        <v>177.29</v>
      </c>
      <c r="AB5972">
        <v>177.29</v>
      </c>
      <c r="AC5972">
        <v>156</v>
      </c>
      <c r="AD5972">
        <v>0</v>
      </c>
      <c r="AE5972">
        <v>21.29</v>
      </c>
      <c r="AF5972">
        <v>0</v>
      </c>
      <c r="AG5972">
        <v>0</v>
      </c>
      <c r="AH5972">
        <v>0</v>
      </c>
      <c r="AI5972">
        <v>0</v>
      </c>
      <c r="AJ5972">
        <v>177.29</v>
      </c>
      <c r="AK5972">
        <v>0</v>
      </c>
      <c r="AL5972" t="s">
        <v>53</v>
      </c>
      <c r="AM5972" t="s">
        <v>53</v>
      </c>
      <c r="AN5972" t="s">
        <v>53</v>
      </c>
      <c r="AO5972" t="s">
        <v>53</v>
      </c>
      <c r="AP5972" t="s">
        <v>53</v>
      </c>
    </row>
    <row r="5973" spans="2:42" x14ac:dyDescent="0.2">
      <c r="B5973" t="s">
        <v>44</v>
      </c>
      <c r="C5973" t="str">
        <f>HYPERLINK("https://us2.cloudbeds.com/connect/8493803454333002#/reservations/9080486846519877?display=2T3UHYBRSP&amp;reservation_id=9080486846519877", "2T3UHYBRSP")</f>
        <v>2T3UHYBRSP</v>
      </c>
      <c r="D5973" t="s">
        <v>45</v>
      </c>
      <c r="E5973" t="s">
        <v>265</v>
      </c>
      <c r="F5973" t="s">
        <v>61</v>
      </c>
      <c r="G5973" t="s">
        <v>48</v>
      </c>
      <c r="H5973" t="s">
        <v>49</v>
      </c>
      <c r="I5973" t="s">
        <v>50</v>
      </c>
      <c r="J5973" t="s">
        <v>6828</v>
      </c>
      <c r="K5973" t="s">
        <v>8686</v>
      </c>
      <c r="L5973" t="s">
        <v>53</v>
      </c>
      <c r="N5973" t="s">
        <v>10678</v>
      </c>
      <c r="P5973" t="s">
        <v>55</v>
      </c>
      <c r="R5973" t="s">
        <v>53</v>
      </c>
      <c r="T5973" t="s">
        <v>10679</v>
      </c>
      <c r="U5973" t="s">
        <v>58</v>
      </c>
      <c r="V5973">
        <v>3</v>
      </c>
      <c r="W5973">
        <v>1</v>
      </c>
      <c r="X5973">
        <v>1</v>
      </c>
      <c r="Y5973">
        <v>0</v>
      </c>
      <c r="Z5973">
        <v>1</v>
      </c>
      <c r="AA5973">
        <v>442.79</v>
      </c>
      <c r="AB5973">
        <v>442.79</v>
      </c>
      <c r="AC5973">
        <v>389.6</v>
      </c>
      <c r="AD5973">
        <v>0</v>
      </c>
      <c r="AE5973">
        <v>53.19</v>
      </c>
      <c r="AF5973">
        <v>0</v>
      </c>
      <c r="AG5973">
        <v>0</v>
      </c>
      <c r="AH5973">
        <v>0</v>
      </c>
      <c r="AI5973">
        <v>79.7</v>
      </c>
      <c r="AJ5973">
        <v>442.79</v>
      </c>
      <c r="AK5973">
        <v>0</v>
      </c>
      <c r="AL5973" t="s">
        <v>53</v>
      </c>
      <c r="AM5973" t="s">
        <v>53</v>
      </c>
      <c r="AN5973" t="s">
        <v>53</v>
      </c>
      <c r="AO5973" t="s">
        <v>53</v>
      </c>
      <c r="AP5973" t="s">
        <v>53</v>
      </c>
    </row>
    <row r="5974" spans="2:42" x14ac:dyDescent="0.2">
      <c r="B5974" t="s">
        <v>44</v>
      </c>
      <c r="C5974" t="str">
        <f>HYPERLINK("https://us2.cloudbeds.com/connect/8493803454333002#/reservations/9080486846520212?display=2T4DHWC7Y3&amp;reservation_id=9080486846520212", "2T4DHWC7Y3")</f>
        <v>2T4DHWC7Y3</v>
      </c>
      <c r="D5974" t="s">
        <v>45</v>
      </c>
      <c r="E5974" t="s">
        <v>110</v>
      </c>
      <c r="F5974" t="s">
        <v>47</v>
      </c>
      <c r="G5974" t="s">
        <v>48</v>
      </c>
      <c r="H5974" t="s">
        <v>49</v>
      </c>
      <c r="I5974" t="s">
        <v>62</v>
      </c>
      <c r="J5974" t="s">
        <v>10680</v>
      </c>
      <c r="K5974" t="s">
        <v>10681</v>
      </c>
      <c r="L5974" t="s">
        <v>53</v>
      </c>
      <c r="N5974" t="s">
        <v>10682</v>
      </c>
      <c r="P5974" t="s">
        <v>55</v>
      </c>
      <c r="R5974" t="s">
        <v>56</v>
      </c>
      <c r="T5974" t="s">
        <v>10683</v>
      </c>
      <c r="U5974" t="s">
        <v>55</v>
      </c>
      <c r="V5974">
        <v>1</v>
      </c>
      <c r="W5974">
        <v>1</v>
      </c>
      <c r="X5974">
        <v>2</v>
      </c>
      <c r="Y5974">
        <v>0</v>
      </c>
      <c r="Z5974">
        <v>2</v>
      </c>
      <c r="AA5974">
        <v>76.95</v>
      </c>
      <c r="AB5974">
        <v>90.5</v>
      </c>
      <c r="AC5974">
        <v>76.95</v>
      </c>
      <c r="AD5974">
        <v>12.5</v>
      </c>
      <c r="AE5974">
        <v>1.05</v>
      </c>
      <c r="AF5974">
        <v>0</v>
      </c>
      <c r="AG5974">
        <v>0</v>
      </c>
      <c r="AH5974">
        <v>0</v>
      </c>
      <c r="AI5974">
        <v>16.29</v>
      </c>
      <c r="AJ5974">
        <v>90.5</v>
      </c>
      <c r="AK5974">
        <v>0</v>
      </c>
      <c r="AL5974" t="s">
        <v>53</v>
      </c>
      <c r="AM5974" t="s">
        <v>53</v>
      </c>
      <c r="AN5974" t="s">
        <v>53</v>
      </c>
      <c r="AO5974" t="s">
        <v>53</v>
      </c>
      <c r="AP5974" t="s">
        <v>53</v>
      </c>
    </row>
    <row r="5975" spans="2:42" x14ac:dyDescent="0.2">
      <c r="B5975" t="s">
        <v>44</v>
      </c>
      <c r="C5975" t="str">
        <f>HYPERLINK("https://us2.cloudbeds.com/connect/8493803454333002#/reservations/9080486846520307?display=2T4HZ47TD5&amp;reservation_id=9080486846520307", "2T4HZ47TD5")</f>
        <v>2T4HZ47TD5</v>
      </c>
      <c r="D5975" t="s">
        <v>45</v>
      </c>
      <c r="E5975" t="s">
        <v>165</v>
      </c>
      <c r="F5975" t="s">
        <v>61</v>
      </c>
      <c r="G5975" t="s">
        <v>48</v>
      </c>
      <c r="H5975" t="s">
        <v>49</v>
      </c>
      <c r="I5975" t="s">
        <v>62</v>
      </c>
      <c r="J5975" t="s">
        <v>10680</v>
      </c>
      <c r="K5975" t="s">
        <v>10681</v>
      </c>
      <c r="L5975" t="s">
        <v>53</v>
      </c>
      <c r="N5975" t="s">
        <v>10684</v>
      </c>
      <c r="P5975" t="s">
        <v>55</v>
      </c>
      <c r="R5975" t="s">
        <v>56</v>
      </c>
      <c r="T5975" t="s">
        <v>10685</v>
      </c>
      <c r="U5975" t="s">
        <v>55</v>
      </c>
      <c r="V5975">
        <v>1</v>
      </c>
      <c r="W5975">
        <v>1</v>
      </c>
      <c r="X5975">
        <v>2</v>
      </c>
      <c r="Y5975">
        <v>0</v>
      </c>
      <c r="Z5975">
        <v>2</v>
      </c>
      <c r="AA5975">
        <v>86</v>
      </c>
      <c r="AB5975">
        <v>86</v>
      </c>
      <c r="AC5975">
        <v>86</v>
      </c>
      <c r="AD5975">
        <v>0</v>
      </c>
      <c r="AE5975">
        <v>0</v>
      </c>
      <c r="AF5975">
        <v>0</v>
      </c>
      <c r="AG5975">
        <v>0</v>
      </c>
      <c r="AH5975">
        <v>0</v>
      </c>
      <c r="AI5975">
        <v>15.48</v>
      </c>
      <c r="AJ5975">
        <v>86</v>
      </c>
      <c r="AK5975">
        <v>0</v>
      </c>
      <c r="AL5975" t="s">
        <v>53</v>
      </c>
      <c r="AM5975" t="s">
        <v>53</v>
      </c>
      <c r="AN5975" t="s">
        <v>10686</v>
      </c>
      <c r="AO5975" t="s">
        <v>53</v>
      </c>
      <c r="AP5975" t="s">
        <v>53</v>
      </c>
    </row>
    <row r="5976" spans="2:42" x14ac:dyDescent="0.2">
      <c r="B5976" t="s">
        <v>44</v>
      </c>
      <c r="C5976" t="str">
        <f>HYPERLINK("https://us2.cloudbeds.com/connect/8493803454333002#/reservations/9080486846520795?display=2T56GHYEJG&amp;reservation_id=9080486846520795", "2T56GHYEJG")</f>
        <v>2T56GHYEJG</v>
      </c>
      <c r="D5976" t="s">
        <v>45</v>
      </c>
      <c r="E5976" t="s">
        <v>487</v>
      </c>
      <c r="F5976" t="s">
        <v>61</v>
      </c>
      <c r="G5976" t="s">
        <v>48</v>
      </c>
      <c r="H5976" t="s">
        <v>49</v>
      </c>
      <c r="I5976" t="s">
        <v>50</v>
      </c>
      <c r="J5976" t="s">
        <v>4009</v>
      </c>
      <c r="K5976" t="s">
        <v>9318</v>
      </c>
      <c r="L5976" t="s">
        <v>53</v>
      </c>
      <c r="N5976" t="s">
        <v>10687</v>
      </c>
      <c r="P5976" t="s">
        <v>55</v>
      </c>
      <c r="R5976" t="s">
        <v>53</v>
      </c>
      <c r="T5976" t="s">
        <v>10688</v>
      </c>
      <c r="U5976" t="s">
        <v>58</v>
      </c>
      <c r="V5976">
        <v>2</v>
      </c>
      <c r="W5976">
        <v>1</v>
      </c>
      <c r="X5976">
        <v>2</v>
      </c>
      <c r="Y5976">
        <v>0</v>
      </c>
      <c r="Z5976">
        <v>2</v>
      </c>
      <c r="AA5976">
        <v>318.10000000000002</v>
      </c>
      <c r="AB5976">
        <v>318.10000000000002</v>
      </c>
      <c r="AC5976">
        <v>279.89999999999998</v>
      </c>
      <c r="AD5976">
        <v>0</v>
      </c>
      <c r="AE5976">
        <v>38.200000000000003</v>
      </c>
      <c r="AF5976">
        <v>0</v>
      </c>
      <c r="AG5976">
        <v>0</v>
      </c>
      <c r="AH5976">
        <v>0</v>
      </c>
      <c r="AI5976">
        <v>57.26</v>
      </c>
      <c r="AJ5976">
        <v>318.10000000000002</v>
      </c>
      <c r="AK5976">
        <v>0</v>
      </c>
      <c r="AL5976" t="s">
        <v>53</v>
      </c>
      <c r="AM5976" t="s">
        <v>53</v>
      </c>
      <c r="AN5976" t="s">
        <v>53</v>
      </c>
      <c r="AO5976" t="s">
        <v>53</v>
      </c>
      <c r="AP5976" t="s">
        <v>53</v>
      </c>
    </row>
    <row r="5977" spans="2:42" x14ac:dyDescent="0.2">
      <c r="B5977" t="s">
        <v>44</v>
      </c>
      <c r="C5977" t="str">
        <f>HYPERLINK("https://us2.cloudbeds.com/connect/8493803454333002#/reservations/9080486846521045?display=2T5XD5K3WU&amp;reservation_id=9080486846521045", "2T5XD5K3WU")</f>
        <v>2T5XD5K3WU</v>
      </c>
      <c r="D5977" t="s">
        <v>45</v>
      </c>
      <c r="E5977" t="s">
        <v>179</v>
      </c>
      <c r="F5977" t="s">
        <v>47</v>
      </c>
      <c r="G5977" t="s">
        <v>48</v>
      </c>
      <c r="H5977" t="s">
        <v>49</v>
      </c>
      <c r="I5977" t="s">
        <v>62</v>
      </c>
      <c r="J5977" t="s">
        <v>8686</v>
      </c>
      <c r="K5977" t="s">
        <v>5402</v>
      </c>
      <c r="L5977" t="s">
        <v>53</v>
      </c>
      <c r="N5977" t="s">
        <v>10689</v>
      </c>
      <c r="P5977" t="s">
        <v>55</v>
      </c>
      <c r="R5977" t="s">
        <v>56</v>
      </c>
      <c r="T5977" t="s">
        <v>10690</v>
      </c>
      <c r="U5977" t="s">
        <v>55</v>
      </c>
      <c r="V5977">
        <v>1</v>
      </c>
      <c r="W5977">
        <v>1</v>
      </c>
      <c r="X5977">
        <v>2</v>
      </c>
      <c r="Y5977">
        <v>0</v>
      </c>
      <c r="Z5977">
        <v>2</v>
      </c>
      <c r="AA5977">
        <v>153.9</v>
      </c>
      <c r="AB5977">
        <v>153.9</v>
      </c>
      <c r="AC5977">
        <v>153.9</v>
      </c>
      <c r="AD5977">
        <v>2</v>
      </c>
      <c r="AE5977">
        <v>0.17</v>
      </c>
      <c r="AF5977">
        <v>0</v>
      </c>
      <c r="AG5977">
        <v>0</v>
      </c>
      <c r="AH5977">
        <v>0</v>
      </c>
      <c r="AI5977">
        <v>28.09</v>
      </c>
      <c r="AJ5977">
        <v>156.07</v>
      </c>
      <c r="AK5977">
        <v>2.17</v>
      </c>
      <c r="AL5977" t="s">
        <v>53</v>
      </c>
      <c r="AM5977" t="s">
        <v>53</v>
      </c>
      <c r="AN5977" t="s">
        <v>53</v>
      </c>
      <c r="AO5977" t="s">
        <v>53</v>
      </c>
      <c r="AP5977" t="s">
        <v>53</v>
      </c>
    </row>
    <row r="5978" spans="2:42" x14ac:dyDescent="0.2">
      <c r="B5978" t="s">
        <v>44</v>
      </c>
      <c r="C5978" t="str">
        <f>HYPERLINK("https://us2.cloudbeds.com/connect/8493803454333002#/reservations/9080486846521088?display=2T5K56TNY1&amp;reservation_id=9080486846521088", "2T5K56TNY1")</f>
        <v>2T5K56TNY1</v>
      </c>
      <c r="D5978" t="s">
        <v>45</v>
      </c>
      <c r="E5978" t="s">
        <v>10691</v>
      </c>
      <c r="F5978" t="s">
        <v>5444</v>
      </c>
      <c r="G5978" t="s">
        <v>48</v>
      </c>
      <c r="H5978" t="s">
        <v>49</v>
      </c>
      <c r="I5978" t="s">
        <v>62</v>
      </c>
      <c r="J5978" t="s">
        <v>9829</v>
      </c>
      <c r="K5978" t="s">
        <v>6991</v>
      </c>
      <c r="L5978" t="s">
        <v>53</v>
      </c>
      <c r="N5978" t="s">
        <v>10692</v>
      </c>
      <c r="P5978" t="s">
        <v>58</v>
      </c>
      <c r="R5978" t="s">
        <v>56</v>
      </c>
      <c r="T5978" t="s">
        <v>10693</v>
      </c>
      <c r="U5978" t="s">
        <v>55</v>
      </c>
      <c r="V5978">
        <v>6</v>
      </c>
      <c r="W5978">
        <v>6</v>
      </c>
      <c r="X5978">
        <v>6</v>
      </c>
      <c r="Y5978">
        <v>0</v>
      </c>
      <c r="Z5978">
        <v>6</v>
      </c>
      <c r="AA5978">
        <v>1226.45</v>
      </c>
      <c r="AB5978">
        <v>1226.45</v>
      </c>
      <c r="AC5978">
        <v>1226.45</v>
      </c>
      <c r="AD5978">
        <v>0</v>
      </c>
      <c r="AE5978">
        <v>0</v>
      </c>
      <c r="AF5978">
        <v>0</v>
      </c>
      <c r="AG5978">
        <v>0</v>
      </c>
      <c r="AH5978">
        <v>0</v>
      </c>
      <c r="AI5978">
        <v>220.76</v>
      </c>
      <c r="AJ5978">
        <v>1226.45</v>
      </c>
      <c r="AK5978">
        <v>0</v>
      </c>
      <c r="AL5978" t="s">
        <v>53</v>
      </c>
      <c r="AM5978" t="s">
        <v>53</v>
      </c>
      <c r="AN5978" t="s">
        <v>53</v>
      </c>
      <c r="AO5978" t="s">
        <v>53</v>
      </c>
      <c r="AP5978" t="s">
        <v>53</v>
      </c>
    </row>
    <row r="5979" spans="2:42" x14ac:dyDescent="0.2">
      <c r="B5979" t="s">
        <v>44</v>
      </c>
      <c r="C5979" t="str">
        <f>HYPERLINK("https://us2.cloudbeds.com/connect/8493803454333002#/reservations/9080486846521173?display=2T5PRURR83&amp;reservation_id=9080486846521173", "2T5PRURR83")</f>
        <v>2T5PRURR83</v>
      </c>
      <c r="D5979" t="s">
        <v>45</v>
      </c>
      <c r="E5979" t="s">
        <v>7642</v>
      </c>
      <c r="F5979" t="s">
        <v>61</v>
      </c>
      <c r="G5979" t="s">
        <v>48</v>
      </c>
      <c r="H5979" t="s">
        <v>49</v>
      </c>
      <c r="I5979" t="s">
        <v>62</v>
      </c>
      <c r="J5979" t="s">
        <v>6828</v>
      </c>
      <c r="K5979" t="s">
        <v>6992</v>
      </c>
      <c r="L5979" t="s">
        <v>53</v>
      </c>
      <c r="N5979" t="s">
        <v>10694</v>
      </c>
      <c r="P5979" t="s">
        <v>58</v>
      </c>
      <c r="R5979" t="s">
        <v>56</v>
      </c>
      <c r="T5979" t="s">
        <v>10695</v>
      </c>
      <c r="U5979" t="s">
        <v>55</v>
      </c>
      <c r="V5979">
        <v>2</v>
      </c>
      <c r="W5979">
        <v>2</v>
      </c>
      <c r="X5979">
        <v>2</v>
      </c>
      <c r="Y5979">
        <v>0</v>
      </c>
      <c r="Z5979">
        <v>2</v>
      </c>
      <c r="AA5979">
        <v>372.4</v>
      </c>
      <c r="AB5979">
        <v>372.4</v>
      </c>
      <c r="AC5979">
        <v>372.4</v>
      </c>
      <c r="AD5979">
        <v>0</v>
      </c>
      <c r="AE5979">
        <v>0</v>
      </c>
      <c r="AF5979">
        <v>0</v>
      </c>
      <c r="AG5979">
        <v>0</v>
      </c>
      <c r="AH5979">
        <v>0</v>
      </c>
      <c r="AI5979">
        <v>67.03</v>
      </c>
      <c r="AJ5979">
        <v>372.4</v>
      </c>
      <c r="AK5979">
        <v>0</v>
      </c>
      <c r="AL5979" t="s">
        <v>53</v>
      </c>
      <c r="AM5979" t="s">
        <v>53</v>
      </c>
      <c r="AN5979" t="s">
        <v>53</v>
      </c>
      <c r="AO5979" t="s">
        <v>53</v>
      </c>
      <c r="AP5979" t="s">
        <v>53</v>
      </c>
    </row>
    <row r="5980" spans="2:42" x14ac:dyDescent="0.2">
      <c r="B5980" t="s">
        <v>44</v>
      </c>
      <c r="C5980" t="str">
        <f>HYPERLINK("https://us2.cloudbeds.com/connect/8493803454333002#/reservations/9080486846521187?display=2T5QQJP8W9&amp;reservation_id=9080486846521187", "2T5QQJP8W9")</f>
        <v>2T5QQJP8W9</v>
      </c>
      <c r="D5980" t="s">
        <v>45</v>
      </c>
      <c r="E5980" t="s">
        <v>121</v>
      </c>
      <c r="F5980" t="s">
        <v>86</v>
      </c>
      <c r="G5980" t="s">
        <v>48</v>
      </c>
      <c r="H5980" t="s">
        <v>49</v>
      </c>
      <c r="I5980" t="s">
        <v>62</v>
      </c>
      <c r="J5980" t="s">
        <v>9692</v>
      </c>
      <c r="K5980" t="s">
        <v>6992</v>
      </c>
      <c r="L5980" t="s">
        <v>53</v>
      </c>
      <c r="N5980" t="s">
        <v>10696</v>
      </c>
      <c r="P5980" t="s">
        <v>55</v>
      </c>
      <c r="R5980" t="s">
        <v>56</v>
      </c>
      <c r="T5980" t="s">
        <v>10697</v>
      </c>
      <c r="U5980" t="s">
        <v>55</v>
      </c>
      <c r="V5980">
        <v>5</v>
      </c>
      <c r="W5980">
        <v>1</v>
      </c>
      <c r="X5980">
        <v>2</v>
      </c>
      <c r="Y5980">
        <v>0</v>
      </c>
      <c r="Z5980">
        <v>2</v>
      </c>
      <c r="AA5980">
        <v>947.15</v>
      </c>
      <c r="AB5980">
        <v>947.15</v>
      </c>
      <c r="AC5980">
        <v>947.15</v>
      </c>
      <c r="AD5980">
        <v>0</v>
      </c>
      <c r="AE5980">
        <v>0</v>
      </c>
      <c r="AF5980">
        <v>0</v>
      </c>
      <c r="AG5980">
        <v>0</v>
      </c>
      <c r="AH5980">
        <v>0</v>
      </c>
      <c r="AI5980">
        <v>170.49</v>
      </c>
      <c r="AJ5980">
        <v>947.15</v>
      </c>
      <c r="AK5980">
        <v>0</v>
      </c>
      <c r="AL5980" t="s">
        <v>53</v>
      </c>
      <c r="AM5980" t="s">
        <v>53</v>
      </c>
      <c r="AN5980" t="s">
        <v>53</v>
      </c>
      <c r="AO5980" t="s">
        <v>53</v>
      </c>
      <c r="AP5980" t="s">
        <v>53</v>
      </c>
    </row>
    <row r="5981" spans="2:42" x14ac:dyDescent="0.2">
      <c r="B5981" t="s">
        <v>44</v>
      </c>
      <c r="C5981" t="str">
        <f>HYPERLINK("https://us2.cloudbeds.com/connect/8493803454333002#/reservations/9080486846521210?display=2T5SEQFNXD&amp;reservation_id=9080486846521210", "2T5SEQFNXD")</f>
        <v>2T5SEQFNXD</v>
      </c>
      <c r="D5981" t="s">
        <v>45</v>
      </c>
      <c r="E5981" t="s">
        <v>381</v>
      </c>
      <c r="F5981" t="s">
        <v>47</v>
      </c>
      <c r="G5981" t="s">
        <v>48</v>
      </c>
      <c r="H5981" t="s">
        <v>49</v>
      </c>
      <c r="I5981" t="s">
        <v>8964</v>
      </c>
      <c r="J5981" t="s">
        <v>5744</v>
      </c>
      <c r="K5981" t="s">
        <v>9725</v>
      </c>
      <c r="L5981" t="s">
        <v>53</v>
      </c>
      <c r="N5981" t="s">
        <v>10698</v>
      </c>
      <c r="P5981" t="s">
        <v>55</v>
      </c>
      <c r="R5981" t="s">
        <v>53</v>
      </c>
      <c r="T5981" t="s">
        <v>10699</v>
      </c>
      <c r="U5981" t="s">
        <v>58</v>
      </c>
      <c r="V5981">
        <v>1</v>
      </c>
      <c r="W5981">
        <v>1</v>
      </c>
      <c r="X5981">
        <v>1</v>
      </c>
      <c r="Y5981">
        <v>0</v>
      </c>
      <c r="Z5981">
        <v>1</v>
      </c>
      <c r="AA5981">
        <v>205.5</v>
      </c>
      <c r="AB5981">
        <v>0</v>
      </c>
      <c r="AC5981">
        <v>205.5</v>
      </c>
      <c r="AD5981">
        <v>0</v>
      </c>
      <c r="AE5981">
        <v>0</v>
      </c>
      <c r="AF5981">
        <v>0</v>
      </c>
      <c r="AG5981">
        <v>0</v>
      </c>
      <c r="AH5981">
        <v>0</v>
      </c>
      <c r="AI5981">
        <v>30.83</v>
      </c>
      <c r="AJ5981">
        <v>205.5</v>
      </c>
      <c r="AK5981">
        <v>205.5</v>
      </c>
      <c r="AL5981" t="s">
        <v>53</v>
      </c>
      <c r="AM5981" t="s">
        <v>53</v>
      </c>
      <c r="AN5981" t="s">
        <v>53</v>
      </c>
      <c r="AO5981" t="s">
        <v>53</v>
      </c>
      <c r="AP5981" t="s">
        <v>53</v>
      </c>
    </row>
    <row r="5982" spans="2:42" x14ac:dyDescent="0.2">
      <c r="B5982" t="s">
        <v>44</v>
      </c>
      <c r="C5982" t="str">
        <f>HYPERLINK("https://us2.cloudbeds.com/connect/8493803454333002#/reservations/9080486846521566?display=2T6GPHCHMJ&amp;reservation_id=9080486846521566", "2T6GPHCHMJ")</f>
        <v>2T6GPHCHMJ</v>
      </c>
      <c r="D5982" t="s">
        <v>45</v>
      </c>
      <c r="E5982" t="s">
        <v>406</v>
      </c>
      <c r="F5982" t="s">
        <v>61</v>
      </c>
      <c r="G5982" t="s">
        <v>48</v>
      </c>
      <c r="H5982" t="s">
        <v>49</v>
      </c>
      <c r="I5982" t="s">
        <v>50</v>
      </c>
      <c r="J5982" t="s">
        <v>4009</v>
      </c>
      <c r="K5982" t="s">
        <v>8319</v>
      </c>
      <c r="L5982" t="s">
        <v>53</v>
      </c>
      <c r="N5982" t="s">
        <v>10700</v>
      </c>
      <c r="P5982" t="s">
        <v>55</v>
      </c>
      <c r="R5982" t="s">
        <v>53</v>
      </c>
      <c r="T5982" t="s">
        <v>10701</v>
      </c>
      <c r="U5982" t="s">
        <v>58</v>
      </c>
      <c r="V5982">
        <v>1</v>
      </c>
      <c r="W5982">
        <v>1</v>
      </c>
      <c r="X5982">
        <v>2</v>
      </c>
      <c r="Y5982">
        <v>0</v>
      </c>
      <c r="Z5982">
        <v>2</v>
      </c>
      <c r="AA5982">
        <v>157.46</v>
      </c>
      <c r="AB5982">
        <v>157.46</v>
      </c>
      <c r="AC5982">
        <v>138.55000000000001</v>
      </c>
      <c r="AD5982">
        <v>0</v>
      </c>
      <c r="AE5982">
        <v>18.91</v>
      </c>
      <c r="AF5982">
        <v>0</v>
      </c>
      <c r="AG5982">
        <v>0</v>
      </c>
      <c r="AH5982">
        <v>0</v>
      </c>
      <c r="AI5982">
        <v>28.34</v>
      </c>
      <c r="AJ5982">
        <v>157.46</v>
      </c>
      <c r="AK5982">
        <v>0</v>
      </c>
      <c r="AL5982" t="s">
        <v>53</v>
      </c>
      <c r="AM5982" t="s">
        <v>53</v>
      </c>
      <c r="AN5982" t="s">
        <v>53</v>
      </c>
      <c r="AO5982" t="s">
        <v>53</v>
      </c>
      <c r="AP5982" t="s">
        <v>53</v>
      </c>
    </row>
    <row r="5983" spans="2:42" x14ac:dyDescent="0.2">
      <c r="B5983" t="s">
        <v>44</v>
      </c>
      <c r="C5983" t="str">
        <f>HYPERLINK("https://us2.cloudbeds.com/connect/8493803454333002#/reservations/9080486846521774?display=2T6U2CXERZ&amp;reservation_id=9080486846521774", "2T6U2CXERZ")</f>
        <v>2T6U2CXERZ</v>
      </c>
      <c r="D5983" t="s">
        <v>45</v>
      </c>
      <c r="E5983" t="s">
        <v>110</v>
      </c>
      <c r="F5983" t="s">
        <v>47</v>
      </c>
      <c r="G5983" t="s">
        <v>48</v>
      </c>
      <c r="H5983" t="s">
        <v>49</v>
      </c>
      <c r="I5983" t="s">
        <v>50</v>
      </c>
      <c r="J5983" t="s">
        <v>6828</v>
      </c>
      <c r="K5983" t="s">
        <v>8686</v>
      </c>
      <c r="L5983" t="s">
        <v>53</v>
      </c>
      <c r="N5983" t="s">
        <v>10702</v>
      </c>
      <c r="P5983" t="s">
        <v>55</v>
      </c>
      <c r="R5983" t="s">
        <v>53</v>
      </c>
      <c r="T5983" t="s">
        <v>10703</v>
      </c>
      <c r="U5983" t="s">
        <v>58</v>
      </c>
      <c r="V5983">
        <v>3</v>
      </c>
      <c r="W5983">
        <v>1</v>
      </c>
      <c r="X5983">
        <v>1</v>
      </c>
      <c r="Y5983">
        <v>0</v>
      </c>
      <c r="Z5983">
        <v>1</v>
      </c>
      <c r="AA5983">
        <v>509.36</v>
      </c>
      <c r="AB5983">
        <v>509.36</v>
      </c>
      <c r="AC5983">
        <v>448.2</v>
      </c>
      <c r="AD5983">
        <v>0</v>
      </c>
      <c r="AE5983">
        <v>61.16</v>
      </c>
      <c r="AF5983">
        <v>0</v>
      </c>
      <c r="AG5983">
        <v>0</v>
      </c>
      <c r="AH5983">
        <v>0</v>
      </c>
      <c r="AI5983">
        <v>91.68</v>
      </c>
      <c r="AJ5983">
        <v>509.36</v>
      </c>
      <c r="AK5983">
        <v>0</v>
      </c>
      <c r="AL5983" t="s">
        <v>53</v>
      </c>
      <c r="AM5983" t="s">
        <v>53</v>
      </c>
      <c r="AN5983" t="s">
        <v>53</v>
      </c>
      <c r="AO5983" t="s">
        <v>53</v>
      </c>
      <c r="AP5983" t="s">
        <v>53</v>
      </c>
    </row>
    <row r="5984" spans="2:42" x14ac:dyDescent="0.2">
      <c r="B5984" t="s">
        <v>44</v>
      </c>
      <c r="C5984" t="str">
        <f>HYPERLINK("https://us2.cloudbeds.com/connect/8493803454333002#/reservations/133931477704902?display=2T7XRMJHG8&amp;reservation_id=133931477704902", "2T7XRMJHG8")</f>
        <v>2T7XRMJHG8</v>
      </c>
      <c r="D5984" t="s">
        <v>45</v>
      </c>
      <c r="E5984" t="s">
        <v>105</v>
      </c>
      <c r="F5984" t="s">
        <v>47</v>
      </c>
      <c r="G5984" t="s">
        <v>3974</v>
      </c>
      <c r="H5984" t="s">
        <v>3957</v>
      </c>
      <c r="I5984" t="s">
        <v>3975</v>
      </c>
      <c r="J5984" t="s">
        <v>8818</v>
      </c>
      <c r="K5984" t="s">
        <v>7439</v>
      </c>
      <c r="L5984" t="s">
        <v>53</v>
      </c>
      <c r="P5984" t="s">
        <v>55</v>
      </c>
      <c r="R5984" t="s">
        <v>53</v>
      </c>
      <c r="T5984" t="s">
        <v>10704</v>
      </c>
      <c r="U5984" t="s">
        <v>58</v>
      </c>
      <c r="V5984">
        <v>1</v>
      </c>
      <c r="W5984">
        <v>1</v>
      </c>
      <c r="X5984">
        <v>2</v>
      </c>
      <c r="Y5984">
        <v>0</v>
      </c>
      <c r="Z5984">
        <v>2</v>
      </c>
      <c r="AA5984">
        <v>190.02</v>
      </c>
      <c r="AB5984">
        <v>190.02</v>
      </c>
      <c r="AC5984">
        <v>167.2</v>
      </c>
      <c r="AD5984">
        <v>0</v>
      </c>
      <c r="AE5984">
        <v>22.82</v>
      </c>
      <c r="AF5984">
        <v>0</v>
      </c>
      <c r="AG5984">
        <v>0</v>
      </c>
      <c r="AH5984">
        <v>0</v>
      </c>
      <c r="AI5984">
        <v>0</v>
      </c>
      <c r="AJ5984">
        <v>190.02</v>
      </c>
      <c r="AK5984">
        <v>0</v>
      </c>
      <c r="AL5984" t="s">
        <v>53</v>
      </c>
      <c r="AM5984" t="s">
        <v>53</v>
      </c>
      <c r="AN5984" t="s">
        <v>53</v>
      </c>
      <c r="AO5984" t="s">
        <v>53</v>
      </c>
      <c r="AP5984" t="s">
        <v>53</v>
      </c>
    </row>
    <row r="5985" spans="2:42" x14ac:dyDescent="0.2">
      <c r="B5985" t="s">
        <v>44</v>
      </c>
      <c r="C5985" t="str">
        <f>HYPERLINK("https://us2.cloudbeds.com/connect/8493803454333002#/reservations/9080486846523416?display=2T93U6RA2D&amp;reservation_id=9080486846523416", "2T93U6RA2D")</f>
        <v>2T93U6RA2D</v>
      </c>
      <c r="D5985" t="s">
        <v>45</v>
      </c>
      <c r="E5985" t="s">
        <v>85</v>
      </c>
      <c r="F5985" t="s">
        <v>86</v>
      </c>
      <c r="G5985" t="s">
        <v>48</v>
      </c>
      <c r="H5985" t="s">
        <v>49</v>
      </c>
      <c r="I5985" t="s">
        <v>62</v>
      </c>
      <c r="J5985" t="s">
        <v>10680</v>
      </c>
      <c r="K5985" t="s">
        <v>10681</v>
      </c>
      <c r="L5985" t="s">
        <v>53</v>
      </c>
      <c r="N5985" t="s">
        <v>10705</v>
      </c>
      <c r="P5985" t="s">
        <v>55</v>
      </c>
      <c r="R5985" t="s">
        <v>56</v>
      </c>
      <c r="T5985" t="s">
        <v>10706</v>
      </c>
      <c r="U5985" t="s">
        <v>55</v>
      </c>
      <c r="V5985">
        <v>1</v>
      </c>
      <c r="W5985">
        <v>1</v>
      </c>
      <c r="X5985">
        <v>4</v>
      </c>
      <c r="Y5985">
        <v>0</v>
      </c>
      <c r="Z5985">
        <v>4</v>
      </c>
      <c r="AA5985">
        <v>95</v>
      </c>
      <c r="AB5985">
        <v>95</v>
      </c>
      <c r="AC5985">
        <v>95</v>
      </c>
      <c r="AD5985">
        <v>0</v>
      </c>
      <c r="AE5985">
        <v>0</v>
      </c>
      <c r="AF5985">
        <v>0</v>
      </c>
      <c r="AG5985">
        <v>0</v>
      </c>
      <c r="AH5985">
        <v>0</v>
      </c>
      <c r="AI5985">
        <v>17.100000000000001</v>
      </c>
      <c r="AJ5985">
        <v>95</v>
      </c>
      <c r="AK5985">
        <v>0</v>
      </c>
      <c r="AL5985" t="s">
        <v>53</v>
      </c>
      <c r="AM5985" t="s">
        <v>53</v>
      </c>
      <c r="AN5985" t="s">
        <v>53</v>
      </c>
      <c r="AO5985" t="s">
        <v>53</v>
      </c>
      <c r="AP5985" t="s">
        <v>53</v>
      </c>
    </row>
    <row r="5986" spans="2:42" x14ac:dyDescent="0.2">
      <c r="B5986" t="s">
        <v>44</v>
      </c>
      <c r="C5986" t="str">
        <f>HYPERLINK("https://us2.cloudbeds.com/connect/8493803454333002#/reservations/9080486846523518?display=2T96NGYCPR&amp;reservation_id=9080486846523518", "2T96NGYCPR")</f>
        <v>2T96NGYCPR</v>
      </c>
      <c r="D5986" t="s">
        <v>45</v>
      </c>
      <c r="E5986" t="s">
        <v>373</v>
      </c>
      <c r="F5986" t="s">
        <v>47</v>
      </c>
      <c r="G5986" t="s">
        <v>48</v>
      </c>
      <c r="H5986" t="s">
        <v>49</v>
      </c>
      <c r="I5986" t="s">
        <v>50</v>
      </c>
      <c r="J5986" t="s">
        <v>4009</v>
      </c>
      <c r="K5986" t="s">
        <v>8319</v>
      </c>
      <c r="L5986" t="s">
        <v>53</v>
      </c>
      <c r="N5986" t="s">
        <v>10707</v>
      </c>
      <c r="P5986" t="s">
        <v>55</v>
      </c>
      <c r="R5986" t="s">
        <v>53</v>
      </c>
      <c r="T5986" t="s">
        <v>10708</v>
      </c>
      <c r="U5986" t="s">
        <v>58</v>
      </c>
      <c r="V5986">
        <v>1</v>
      </c>
      <c r="W5986">
        <v>1</v>
      </c>
      <c r="X5986">
        <v>1</v>
      </c>
      <c r="Y5986">
        <v>0</v>
      </c>
      <c r="Z5986">
        <v>1</v>
      </c>
      <c r="AA5986">
        <v>139.11000000000001</v>
      </c>
      <c r="AB5986">
        <v>139.11000000000001</v>
      </c>
      <c r="AC5986">
        <v>122.4</v>
      </c>
      <c r="AD5986">
        <v>0</v>
      </c>
      <c r="AE5986">
        <v>16.71</v>
      </c>
      <c r="AF5986">
        <v>0</v>
      </c>
      <c r="AG5986">
        <v>0</v>
      </c>
      <c r="AH5986">
        <v>0</v>
      </c>
      <c r="AI5986">
        <v>25.04</v>
      </c>
      <c r="AJ5986">
        <v>139.11000000000001</v>
      </c>
      <c r="AK5986">
        <v>0</v>
      </c>
      <c r="AL5986" t="s">
        <v>53</v>
      </c>
      <c r="AM5986" t="s">
        <v>53</v>
      </c>
      <c r="AN5986" t="s">
        <v>53</v>
      </c>
      <c r="AO5986" t="s">
        <v>53</v>
      </c>
      <c r="AP5986" t="s">
        <v>53</v>
      </c>
    </row>
    <row r="5987" spans="2:42" x14ac:dyDescent="0.2">
      <c r="B5987" t="s">
        <v>44</v>
      </c>
      <c r="C5987" t="str">
        <f>HYPERLINK("https://us2.cloudbeds.com/connect/8493803454333002#/reservations/9080486846523536?display=2T9747Q2RQ&amp;reservation_id=9080486846523536", "2T9747Q2RQ")</f>
        <v>2T9747Q2RQ</v>
      </c>
      <c r="D5987" t="s">
        <v>45</v>
      </c>
      <c r="E5987" t="s">
        <v>105</v>
      </c>
      <c r="F5987" t="s">
        <v>47</v>
      </c>
      <c r="G5987" t="s">
        <v>48</v>
      </c>
      <c r="H5987" t="s">
        <v>49</v>
      </c>
      <c r="I5987" t="s">
        <v>50</v>
      </c>
      <c r="J5987" t="s">
        <v>4009</v>
      </c>
      <c r="K5987" t="s">
        <v>8319</v>
      </c>
      <c r="L5987" t="s">
        <v>53</v>
      </c>
      <c r="N5987" t="s">
        <v>10709</v>
      </c>
      <c r="P5987" t="s">
        <v>55</v>
      </c>
      <c r="R5987" t="s">
        <v>53</v>
      </c>
      <c r="T5987" t="s">
        <v>10710</v>
      </c>
      <c r="U5987" t="s">
        <v>58</v>
      </c>
      <c r="V5987">
        <v>1</v>
      </c>
      <c r="W5987">
        <v>1</v>
      </c>
      <c r="X5987">
        <v>1</v>
      </c>
      <c r="Y5987">
        <v>0</v>
      </c>
      <c r="Z5987">
        <v>1</v>
      </c>
      <c r="AA5987">
        <v>139.11000000000001</v>
      </c>
      <c r="AB5987">
        <v>139.11000000000001</v>
      </c>
      <c r="AC5987">
        <v>122.4</v>
      </c>
      <c r="AD5987">
        <v>0</v>
      </c>
      <c r="AE5987">
        <v>16.71</v>
      </c>
      <c r="AF5987">
        <v>0</v>
      </c>
      <c r="AG5987">
        <v>0</v>
      </c>
      <c r="AH5987">
        <v>0</v>
      </c>
      <c r="AI5987">
        <v>25.04</v>
      </c>
      <c r="AJ5987">
        <v>139.11000000000001</v>
      </c>
      <c r="AK5987">
        <v>0</v>
      </c>
      <c r="AL5987" t="s">
        <v>53</v>
      </c>
      <c r="AM5987" t="s">
        <v>53</v>
      </c>
      <c r="AN5987" t="s">
        <v>53</v>
      </c>
      <c r="AO5987" t="s">
        <v>53</v>
      </c>
      <c r="AP5987" t="s">
        <v>53</v>
      </c>
    </row>
    <row r="5988" spans="2:42" x14ac:dyDescent="0.2">
      <c r="B5988" t="s">
        <v>44</v>
      </c>
      <c r="C5988" t="str">
        <f>HYPERLINK("https://us2.cloudbeds.com/connect/8493803454333002#/reservations/9080486846523808?display=2T9FH0Z2G0&amp;reservation_id=9080486846523808", "2T9FH0Z2G0")</f>
        <v>2T9FH0Z2G0</v>
      </c>
      <c r="D5988" t="s">
        <v>45</v>
      </c>
      <c r="E5988" t="s">
        <v>185</v>
      </c>
      <c r="F5988" t="s">
        <v>47</v>
      </c>
      <c r="G5988" t="s">
        <v>48</v>
      </c>
      <c r="H5988" t="s">
        <v>49</v>
      </c>
      <c r="I5988" t="s">
        <v>50</v>
      </c>
      <c r="J5988" t="s">
        <v>9688</v>
      </c>
      <c r="K5988" t="s">
        <v>6832</v>
      </c>
      <c r="L5988" t="s">
        <v>53</v>
      </c>
      <c r="N5988" t="s">
        <v>10711</v>
      </c>
      <c r="P5988" t="s">
        <v>55</v>
      </c>
      <c r="R5988" t="s">
        <v>53</v>
      </c>
      <c r="T5988" t="s">
        <v>10712</v>
      </c>
      <c r="U5988" t="s">
        <v>58</v>
      </c>
      <c r="V5988">
        <v>1</v>
      </c>
      <c r="W5988">
        <v>1</v>
      </c>
      <c r="X5988">
        <v>2</v>
      </c>
      <c r="Y5988">
        <v>0</v>
      </c>
      <c r="Z5988">
        <v>2</v>
      </c>
      <c r="AA5988">
        <v>149.41999999999999</v>
      </c>
      <c r="AB5988">
        <v>149.41999999999999</v>
      </c>
      <c r="AC5988">
        <v>131.47999999999999</v>
      </c>
      <c r="AD5988">
        <v>0</v>
      </c>
      <c r="AE5988">
        <v>17.940000000000001</v>
      </c>
      <c r="AF5988">
        <v>0</v>
      </c>
      <c r="AG5988">
        <v>0</v>
      </c>
      <c r="AH5988">
        <v>0</v>
      </c>
      <c r="AI5988">
        <v>26.9</v>
      </c>
      <c r="AJ5988">
        <v>149.41999999999999</v>
      </c>
      <c r="AK5988">
        <v>0</v>
      </c>
      <c r="AL5988" t="s">
        <v>53</v>
      </c>
      <c r="AM5988" t="s">
        <v>53</v>
      </c>
      <c r="AN5988" t="s">
        <v>53</v>
      </c>
      <c r="AO5988" t="s">
        <v>53</v>
      </c>
      <c r="AP5988" t="s">
        <v>53</v>
      </c>
    </row>
    <row r="5989" spans="2:42" x14ac:dyDescent="0.2">
      <c r="B5989" t="s">
        <v>44</v>
      </c>
      <c r="C5989" t="str">
        <f>HYPERLINK("https://us2.cloudbeds.com/connect/8493803454333002#/reservations/9080486846524043?display=2T9N2PUCU2&amp;reservation_id=9080486846524043", "2T9N2PUCU2")</f>
        <v>2T9N2PUCU2</v>
      </c>
      <c r="D5989" t="s">
        <v>45</v>
      </c>
      <c r="E5989" t="s">
        <v>92</v>
      </c>
      <c r="F5989" t="s">
        <v>86</v>
      </c>
      <c r="G5989" t="s">
        <v>48</v>
      </c>
      <c r="H5989" t="s">
        <v>49</v>
      </c>
      <c r="I5989" t="s">
        <v>62</v>
      </c>
      <c r="J5989" t="s">
        <v>8314</v>
      </c>
      <c r="K5989" t="s">
        <v>5507</v>
      </c>
      <c r="L5989" t="s">
        <v>53</v>
      </c>
      <c r="N5989" t="s">
        <v>10713</v>
      </c>
      <c r="P5989" t="s">
        <v>55</v>
      </c>
      <c r="R5989" t="s">
        <v>56</v>
      </c>
      <c r="T5989" t="s">
        <v>10714</v>
      </c>
      <c r="U5989" t="s">
        <v>55</v>
      </c>
      <c r="V5989">
        <v>1</v>
      </c>
      <c r="W5989">
        <v>1</v>
      </c>
      <c r="X5989">
        <v>4</v>
      </c>
      <c r="Y5989">
        <v>0</v>
      </c>
      <c r="Z5989">
        <v>4</v>
      </c>
      <c r="AA5989">
        <v>323.95</v>
      </c>
      <c r="AB5989">
        <v>323.95</v>
      </c>
      <c r="AC5989">
        <v>323.95</v>
      </c>
      <c r="AD5989">
        <v>0</v>
      </c>
      <c r="AE5989">
        <v>0</v>
      </c>
      <c r="AF5989">
        <v>0</v>
      </c>
      <c r="AG5989">
        <v>0</v>
      </c>
      <c r="AH5989">
        <v>0</v>
      </c>
      <c r="AI5989">
        <v>58.31</v>
      </c>
      <c r="AJ5989">
        <v>323.95</v>
      </c>
      <c r="AK5989">
        <v>0</v>
      </c>
      <c r="AL5989" t="s">
        <v>53</v>
      </c>
      <c r="AM5989" t="s">
        <v>53</v>
      </c>
      <c r="AN5989" t="s">
        <v>53</v>
      </c>
      <c r="AO5989" t="s">
        <v>53</v>
      </c>
      <c r="AP5989" t="s">
        <v>53</v>
      </c>
    </row>
    <row r="5990" spans="2:42" x14ac:dyDescent="0.2">
      <c r="B5990" t="s">
        <v>44</v>
      </c>
      <c r="C5990" t="str">
        <f>HYPERLINK("https://us2.cloudbeds.com/connect/8493803454333002#/reservations/9080486846524153?display=2T9Q8GCW0W&amp;reservation_id=9080486846524153", "2T9Q8GCW0W")</f>
        <v>2T9Q8GCW0W</v>
      </c>
      <c r="D5990" t="s">
        <v>45</v>
      </c>
      <c r="E5990" t="s">
        <v>46</v>
      </c>
      <c r="F5990" t="s">
        <v>47</v>
      </c>
      <c r="G5990" t="s">
        <v>48</v>
      </c>
      <c r="H5990" t="s">
        <v>49</v>
      </c>
      <c r="I5990" t="s">
        <v>50</v>
      </c>
      <c r="J5990" t="s">
        <v>8615</v>
      </c>
      <c r="K5990" t="s">
        <v>6379</v>
      </c>
      <c r="L5990" t="s">
        <v>53</v>
      </c>
      <c r="N5990" t="s">
        <v>10715</v>
      </c>
      <c r="P5990" t="s">
        <v>55</v>
      </c>
      <c r="R5990" t="s">
        <v>53</v>
      </c>
      <c r="T5990" t="s">
        <v>10716</v>
      </c>
      <c r="U5990" t="s">
        <v>58</v>
      </c>
      <c r="V5990">
        <v>1</v>
      </c>
      <c r="W5990">
        <v>1</v>
      </c>
      <c r="X5990">
        <v>2</v>
      </c>
      <c r="Y5990">
        <v>0</v>
      </c>
      <c r="Z5990">
        <v>2</v>
      </c>
      <c r="AA5990">
        <v>187.54</v>
      </c>
      <c r="AB5990">
        <v>187.54</v>
      </c>
      <c r="AC5990">
        <v>165.01</v>
      </c>
      <c r="AD5990">
        <v>0</v>
      </c>
      <c r="AE5990">
        <v>22.53</v>
      </c>
      <c r="AF5990">
        <v>0</v>
      </c>
      <c r="AG5990">
        <v>0</v>
      </c>
      <c r="AH5990">
        <v>0</v>
      </c>
      <c r="AI5990">
        <v>33.76</v>
      </c>
      <c r="AJ5990">
        <v>187.54</v>
      </c>
      <c r="AK5990">
        <v>0</v>
      </c>
      <c r="AL5990" t="s">
        <v>53</v>
      </c>
      <c r="AM5990" t="s">
        <v>53</v>
      </c>
      <c r="AN5990" t="s">
        <v>53</v>
      </c>
      <c r="AO5990" t="s">
        <v>53</v>
      </c>
      <c r="AP5990" t="s">
        <v>53</v>
      </c>
    </row>
    <row r="5991" spans="2:42" x14ac:dyDescent="0.2">
      <c r="B5991" t="s">
        <v>44</v>
      </c>
      <c r="C5991" t="str">
        <f>HYPERLINK("https://us2.cloudbeds.com/connect/8493803454333002#/reservations/9080486846524187?display=2T9RJM60U1&amp;reservation_id=9080486846524187", "2T9RJM60U1")</f>
        <v>2T9RJM60U1</v>
      </c>
      <c r="D5991" t="s">
        <v>45</v>
      </c>
      <c r="E5991" t="s">
        <v>105</v>
      </c>
      <c r="F5991" t="s">
        <v>47</v>
      </c>
      <c r="G5991" t="s">
        <v>48</v>
      </c>
      <c r="H5991" t="s">
        <v>49</v>
      </c>
      <c r="I5991" t="s">
        <v>50</v>
      </c>
      <c r="J5991" t="s">
        <v>8616</v>
      </c>
      <c r="K5991" t="s">
        <v>10717</v>
      </c>
      <c r="L5991" t="s">
        <v>53</v>
      </c>
      <c r="N5991" t="s">
        <v>10718</v>
      </c>
      <c r="P5991" t="s">
        <v>55</v>
      </c>
      <c r="R5991" t="s">
        <v>53</v>
      </c>
      <c r="T5991" t="s">
        <v>10719</v>
      </c>
      <c r="U5991" t="s">
        <v>58</v>
      </c>
      <c r="V5991">
        <v>1</v>
      </c>
      <c r="W5991">
        <v>1</v>
      </c>
      <c r="X5991">
        <v>2</v>
      </c>
      <c r="Y5991">
        <v>0</v>
      </c>
      <c r="Z5991">
        <v>2</v>
      </c>
      <c r="AA5991">
        <v>208.91</v>
      </c>
      <c r="AB5991">
        <v>208.91</v>
      </c>
      <c r="AC5991">
        <v>183.82</v>
      </c>
      <c r="AD5991">
        <v>0</v>
      </c>
      <c r="AE5991">
        <v>25.09</v>
      </c>
      <c r="AF5991">
        <v>0</v>
      </c>
      <c r="AG5991">
        <v>0</v>
      </c>
      <c r="AH5991">
        <v>0</v>
      </c>
      <c r="AI5991">
        <v>37.6</v>
      </c>
      <c r="AJ5991">
        <v>208.91</v>
      </c>
      <c r="AK5991">
        <v>0</v>
      </c>
      <c r="AL5991" t="s">
        <v>53</v>
      </c>
      <c r="AM5991" t="s">
        <v>53</v>
      </c>
      <c r="AN5991" t="s">
        <v>53</v>
      </c>
      <c r="AO5991" t="s">
        <v>53</v>
      </c>
      <c r="AP5991" t="s">
        <v>53</v>
      </c>
    </row>
    <row r="5992" spans="2:42" x14ac:dyDescent="0.2">
      <c r="B5992" t="s">
        <v>44</v>
      </c>
      <c r="C5992" t="str">
        <f>HYPERLINK("https://us2.cloudbeds.com/connect/8493803454333002#/reservations/9080486846524271?display=2T9UN4GW1G&amp;reservation_id=9080486846524271", "2T9UN4GW1G")</f>
        <v>2T9UN4GW1G</v>
      </c>
      <c r="D5992" t="s">
        <v>45</v>
      </c>
      <c r="E5992" t="s">
        <v>179</v>
      </c>
      <c r="F5992" t="s">
        <v>47</v>
      </c>
      <c r="G5992" t="s">
        <v>48</v>
      </c>
      <c r="H5992" t="s">
        <v>49</v>
      </c>
      <c r="I5992" t="s">
        <v>8964</v>
      </c>
      <c r="J5992" t="s">
        <v>4009</v>
      </c>
      <c r="K5992" t="s">
        <v>9318</v>
      </c>
      <c r="L5992" t="s">
        <v>53</v>
      </c>
      <c r="N5992" t="s">
        <v>10720</v>
      </c>
      <c r="P5992" t="s">
        <v>58</v>
      </c>
      <c r="R5992" t="s">
        <v>56</v>
      </c>
      <c r="T5992" t="s">
        <v>10721</v>
      </c>
      <c r="U5992" t="s">
        <v>58</v>
      </c>
      <c r="V5992">
        <v>2</v>
      </c>
      <c r="W5992">
        <v>1</v>
      </c>
      <c r="X5992">
        <v>1</v>
      </c>
      <c r="Y5992">
        <v>0</v>
      </c>
      <c r="Z5992">
        <v>1</v>
      </c>
      <c r="AA5992">
        <v>0</v>
      </c>
      <c r="AB5992">
        <v>0</v>
      </c>
      <c r="AC5992">
        <v>313</v>
      </c>
      <c r="AD5992">
        <v>0</v>
      </c>
      <c r="AE5992">
        <v>0</v>
      </c>
      <c r="AF5992">
        <v>0</v>
      </c>
      <c r="AG5992">
        <v>0</v>
      </c>
      <c r="AH5992">
        <v>0</v>
      </c>
      <c r="AI5992">
        <v>46.95</v>
      </c>
      <c r="AJ5992">
        <v>313</v>
      </c>
      <c r="AK5992">
        <v>313</v>
      </c>
      <c r="AL5992" t="s">
        <v>53</v>
      </c>
      <c r="AM5992" t="s">
        <v>53</v>
      </c>
      <c r="AN5992" t="s">
        <v>53</v>
      </c>
      <c r="AO5992" t="s">
        <v>53</v>
      </c>
      <c r="AP5992" t="s">
        <v>53</v>
      </c>
    </row>
    <row r="5993" spans="2:42" x14ac:dyDescent="0.2">
      <c r="B5993" t="s">
        <v>44</v>
      </c>
      <c r="C5993" t="str">
        <f>HYPERLINK("https://us2.cloudbeds.com/connect/8493803454333002#/reservations/9080486846524313?display=2T9W03FY70&amp;reservation_id=9080486846524313", "2T9W03FY70")</f>
        <v>2T9W03FY70</v>
      </c>
      <c r="D5993" t="s">
        <v>45</v>
      </c>
      <c r="E5993" t="s">
        <v>10722</v>
      </c>
      <c r="F5993" t="s">
        <v>86</v>
      </c>
      <c r="G5993" t="s">
        <v>48</v>
      </c>
      <c r="H5993" t="s">
        <v>49</v>
      </c>
      <c r="I5993" t="s">
        <v>62</v>
      </c>
      <c r="J5993" t="s">
        <v>10723</v>
      </c>
      <c r="K5993" t="s">
        <v>10724</v>
      </c>
      <c r="L5993" t="s">
        <v>53</v>
      </c>
      <c r="N5993" t="s">
        <v>10725</v>
      </c>
      <c r="P5993" t="s">
        <v>55</v>
      </c>
      <c r="R5993" t="s">
        <v>56</v>
      </c>
      <c r="T5993" t="s">
        <v>10726</v>
      </c>
      <c r="U5993" t="s">
        <v>55</v>
      </c>
      <c r="V5993">
        <v>3</v>
      </c>
      <c r="W5993">
        <v>3</v>
      </c>
      <c r="X5993">
        <v>7</v>
      </c>
      <c r="Y5993">
        <v>4</v>
      </c>
      <c r="Z5993">
        <v>11</v>
      </c>
      <c r="AA5993">
        <v>270.75</v>
      </c>
      <c r="AB5993">
        <v>270.75</v>
      </c>
      <c r="AC5993">
        <v>270.75</v>
      </c>
      <c r="AD5993">
        <v>0</v>
      </c>
      <c r="AE5993">
        <v>0</v>
      </c>
      <c r="AF5993">
        <v>0</v>
      </c>
      <c r="AG5993">
        <v>0</v>
      </c>
      <c r="AH5993">
        <v>0</v>
      </c>
      <c r="AI5993">
        <v>48.74</v>
      </c>
      <c r="AJ5993">
        <v>270.75</v>
      </c>
      <c r="AK5993">
        <v>0</v>
      </c>
      <c r="AL5993" t="s">
        <v>53</v>
      </c>
      <c r="AM5993" t="s">
        <v>53</v>
      </c>
      <c r="AN5993" t="s">
        <v>53</v>
      </c>
      <c r="AO5993" t="s">
        <v>53</v>
      </c>
      <c r="AP5993" t="s">
        <v>53</v>
      </c>
    </row>
    <row r="5994" spans="2:42" x14ac:dyDescent="0.2">
      <c r="B5994" t="s">
        <v>44</v>
      </c>
      <c r="C5994" t="str">
        <f>HYPERLINK("https://us2.cloudbeds.com/connect/8493803454333002#/reservations/9080486846524485?display=2TA3RYH6KM&amp;reservation_id=9080486846524485", "2TA3RYH6KM")</f>
        <v>2TA3RYH6KM</v>
      </c>
      <c r="D5994" t="s">
        <v>602</v>
      </c>
      <c r="E5994" t="s">
        <v>53</v>
      </c>
      <c r="F5994" t="s">
        <v>47</v>
      </c>
      <c r="G5994" t="s">
        <v>48</v>
      </c>
      <c r="H5994" t="s">
        <v>49</v>
      </c>
      <c r="I5994" t="s">
        <v>50</v>
      </c>
      <c r="J5994" t="s">
        <v>6992</v>
      </c>
      <c r="K5994" t="s">
        <v>5402</v>
      </c>
      <c r="L5994" t="s">
        <v>53</v>
      </c>
      <c r="N5994" t="s">
        <v>10727</v>
      </c>
      <c r="P5994" t="s">
        <v>55</v>
      </c>
      <c r="R5994" t="s">
        <v>53</v>
      </c>
      <c r="T5994" t="s">
        <v>10728</v>
      </c>
      <c r="U5994" t="s">
        <v>58</v>
      </c>
      <c r="V5994">
        <v>3</v>
      </c>
      <c r="W5994">
        <v>1</v>
      </c>
      <c r="X5994">
        <v>2</v>
      </c>
      <c r="Y5994">
        <v>0</v>
      </c>
      <c r="Z5994">
        <v>2</v>
      </c>
      <c r="AA5994">
        <v>464.35</v>
      </c>
      <c r="AB5994">
        <v>0</v>
      </c>
      <c r="AC5994">
        <v>408.59</v>
      </c>
      <c r="AD5994">
        <v>0</v>
      </c>
      <c r="AE5994">
        <v>55.76</v>
      </c>
      <c r="AF5994">
        <v>0</v>
      </c>
      <c r="AG5994">
        <v>0</v>
      </c>
      <c r="AH5994">
        <v>0</v>
      </c>
      <c r="AI5994">
        <v>83.58</v>
      </c>
      <c r="AJ5994">
        <v>464.35</v>
      </c>
      <c r="AK5994">
        <v>464.35</v>
      </c>
      <c r="AL5994">
        <v>408.59</v>
      </c>
      <c r="AM5994">
        <v>464.35</v>
      </c>
      <c r="AN5994" t="s">
        <v>53</v>
      </c>
      <c r="AO5994" t="s">
        <v>53</v>
      </c>
      <c r="AP5994" t="s">
        <v>53</v>
      </c>
    </row>
    <row r="5995" spans="2:42" x14ac:dyDescent="0.2">
      <c r="B5995" t="s">
        <v>44</v>
      </c>
      <c r="C5995" t="str">
        <f>HYPERLINK("https://us2.cloudbeds.com/connect/8493803454333002#/reservations/9080486846524831?display=2TAEVRME6G&amp;reservation_id=9080486846524831", "2TAEVRME6G")</f>
        <v>2TAEVRME6G</v>
      </c>
      <c r="D5995" t="s">
        <v>45</v>
      </c>
      <c r="E5995" t="s">
        <v>190</v>
      </c>
      <c r="F5995" t="s">
        <v>61</v>
      </c>
      <c r="G5995" t="s">
        <v>48</v>
      </c>
      <c r="H5995" t="s">
        <v>49</v>
      </c>
      <c r="I5995" t="s">
        <v>50</v>
      </c>
      <c r="J5995" t="s">
        <v>8319</v>
      </c>
      <c r="K5995" t="s">
        <v>9318</v>
      </c>
      <c r="L5995" t="s">
        <v>53</v>
      </c>
      <c r="N5995" t="s">
        <v>10729</v>
      </c>
      <c r="P5995" t="s">
        <v>55</v>
      </c>
      <c r="R5995" t="s">
        <v>53</v>
      </c>
      <c r="T5995" t="s">
        <v>10730</v>
      </c>
      <c r="U5995" t="s">
        <v>58</v>
      </c>
      <c r="V5995">
        <v>1</v>
      </c>
      <c r="W5995">
        <v>1</v>
      </c>
      <c r="X5995">
        <v>2</v>
      </c>
      <c r="Y5995">
        <v>0</v>
      </c>
      <c r="Z5995">
        <v>2</v>
      </c>
      <c r="AA5995">
        <v>149.1</v>
      </c>
      <c r="AB5995">
        <v>149.1</v>
      </c>
      <c r="AC5995">
        <v>131.19999999999999</v>
      </c>
      <c r="AD5995">
        <v>0</v>
      </c>
      <c r="AE5995">
        <v>17.899999999999999</v>
      </c>
      <c r="AF5995">
        <v>0</v>
      </c>
      <c r="AG5995">
        <v>0</v>
      </c>
      <c r="AH5995">
        <v>0</v>
      </c>
      <c r="AI5995">
        <v>26.84</v>
      </c>
      <c r="AJ5995">
        <v>149.1</v>
      </c>
      <c r="AK5995">
        <v>0</v>
      </c>
      <c r="AL5995" t="s">
        <v>53</v>
      </c>
      <c r="AM5995" t="s">
        <v>53</v>
      </c>
      <c r="AN5995" t="s">
        <v>53</v>
      </c>
      <c r="AO5995" t="s">
        <v>53</v>
      </c>
      <c r="AP5995" t="s">
        <v>53</v>
      </c>
    </row>
    <row r="5996" spans="2:42" x14ac:dyDescent="0.2">
      <c r="B5996" t="s">
        <v>44</v>
      </c>
      <c r="C5996" t="str">
        <f>HYPERLINK("https://us2.cloudbeds.com/connect/8493803454333002#/reservations/134065391730940?display=2TANHGENC9&amp;reservation_id=134065391730940", "2TANHGENC9")</f>
        <v>2TANHGENC9</v>
      </c>
      <c r="D5996" t="s">
        <v>45</v>
      </c>
      <c r="E5996" t="s">
        <v>98</v>
      </c>
      <c r="F5996" t="s">
        <v>86</v>
      </c>
      <c r="G5996" t="s">
        <v>48</v>
      </c>
      <c r="H5996" t="s">
        <v>3957</v>
      </c>
      <c r="I5996" t="s">
        <v>3989</v>
      </c>
      <c r="J5996" t="s">
        <v>5744</v>
      </c>
      <c r="K5996" t="s">
        <v>9610</v>
      </c>
      <c r="L5996" t="s">
        <v>53</v>
      </c>
      <c r="P5996" t="s">
        <v>55</v>
      </c>
      <c r="R5996" t="s">
        <v>56</v>
      </c>
      <c r="T5996" t="s">
        <v>10731</v>
      </c>
      <c r="U5996" t="s">
        <v>58</v>
      </c>
      <c r="V5996">
        <v>2</v>
      </c>
      <c r="W5996">
        <v>1</v>
      </c>
      <c r="X5996">
        <v>1</v>
      </c>
      <c r="Y5996">
        <v>0</v>
      </c>
      <c r="Z5996">
        <v>1</v>
      </c>
      <c r="AA5996">
        <v>452.34</v>
      </c>
      <c r="AB5996">
        <v>452.34</v>
      </c>
      <c r="AC5996">
        <v>398</v>
      </c>
      <c r="AD5996">
        <v>0</v>
      </c>
      <c r="AE5996">
        <v>54.34</v>
      </c>
      <c r="AF5996">
        <v>0</v>
      </c>
      <c r="AG5996">
        <v>0</v>
      </c>
      <c r="AH5996">
        <v>0</v>
      </c>
      <c r="AI5996">
        <v>0</v>
      </c>
      <c r="AJ5996">
        <v>452.34</v>
      </c>
      <c r="AK5996">
        <v>0</v>
      </c>
      <c r="AL5996" t="s">
        <v>53</v>
      </c>
      <c r="AM5996" t="s">
        <v>53</v>
      </c>
      <c r="AN5996" t="s">
        <v>10732</v>
      </c>
      <c r="AO5996" t="s">
        <v>53</v>
      </c>
      <c r="AP5996" t="s">
        <v>53</v>
      </c>
    </row>
    <row r="5997" spans="2:42" x14ac:dyDescent="0.2">
      <c r="B5997" t="s">
        <v>44</v>
      </c>
      <c r="C5997" t="str">
        <f>HYPERLINK("https://us2.cloudbeds.com/connect/8493803454333002#/reservations/9080486846525350?display=2TAVJTJQ62&amp;reservation_id=9080486846525350", "2TAVJTJQ62")</f>
        <v>2TAVJTJQ62</v>
      </c>
      <c r="D5997" t="s">
        <v>45</v>
      </c>
      <c r="E5997" t="s">
        <v>373</v>
      </c>
      <c r="F5997" t="s">
        <v>47</v>
      </c>
      <c r="G5997" t="s">
        <v>48</v>
      </c>
      <c r="H5997" t="s">
        <v>49</v>
      </c>
      <c r="I5997" t="s">
        <v>62</v>
      </c>
      <c r="J5997" t="s">
        <v>8319</v>
      </c>
      <c r="K5997" t="s">
        <v>8394</v>
      </c>
      <c r="L5997" t="s">
        <v>53</v>
      </c>
      <c r="N5997" t="s">
        <v>10733</v>
      </c>
      <c r="P5997" t="s">
        <v>55</v>
      </c>
      <c r="R5997" t="s">
        <v>56</v>
      </c>
      <c r="T5997" t="s">
        <v>10734</v>
      </c>
      <c r="U5997" t="s">
        <v>55</v>
      </c>
      <c r="V5997">
        <v>2</v>
      </c>
      <c r="W5997">
        <v>1</v>
      </c>
      <c r="X5997">
        <v>2</v>
      </c>
      <c r="Y5997">
        <v>0</v>
      </c>
      <c r="Z5997">
        <v>2</v>
      </c>
      <c r="AA5997">
        <v>379</v>
      </c>
      <c r="AB5997">
        <v>379</v>
      </c>
      <c r="AC5997">
        <v>379</v>
      </c>
      <c r="AD5997">
        <v>0</v>
      </c>
      <c r="AE5997">
        <v>0</v>
      </c>
      <c r="AF5997">
        <v>0</v>
      </c>
      <c r="AG5997">
        <v>0</v>
      </c>
      <c r="AH5997">
        <v>0</v>
      </c>
      <c r="AI5997">
        <v>68.22</v>
      </c>
      <c r="AJ5997">
        <v>379</v>
      </c>
      <c r="AK5997">
        <v>0</v>
      </c>
      <c r="AL5997" t="s">
        <v>53</v>
      </c>
      <c r="AM5997" t="s">
        <v>53</v>
      </c>
      <c r="AN5997" t="s">
        <v>53</v>
      </c>
      <c r="AO5997" t="s">
        <v>53</v>
      </c>
      <c r="AP5997" t="s">
        <v>53</v>
      </c>
    </row>
    <row r="5998" spans="2:42" x14ac:dyDescent="0.2">
      <c r="B5998" t="s">
        <v>44</v>
      </c>
      <c r="C5998" t="str">
        <f>HYPERLINK("https://us2.cloudbeds.com/connect/8493803454333002#/reservations/134100005044412?display=2TBHAVA5UA&amp;reservation_id=134100005044412", "2TBHAVA5UA")</f>
        <v>2TBHAVA5UA</v>
      </c>
      <c r="D5998" t="s">
        <v>45</v>
      </c>
      <c r="E5998" t="s">
        <v>305</v>
      </c>
      <c r="F5998" t="s">
        <v>61</v>
      </c>
      <c r="G5998" t="s">
        <v>48</v>
      </c>
      <c r="H5998" t="s">
        <v>3957</v>
      </c>
      <c r="I5998" t="s">
        <v>3958</v>
      </c>
      <c r="J5998" t="s">
        <v>4009</v>
      </c>
      <c r="K5998" t="s">
        <v>8319</v>
      </c>
      <c r="L5998" t="s">
        <v>53</v>
      </c>
      <c r="P5998" t="s">
        <v>55</v>
      </c>
      <c r="R5998" t="s">
        <v>56</v>
      </c>
      <c r="T5998" t="s">
        <v>10735</v>
      </c>
      <c r="U5998" t="s">
        <v>58</v>
      </c>
      <c r="V5998">
        <v>1</v>
      </c>
      <c r="W5998">
        <v>1</v>
      </c>
      <c r="X5998">
        <v>1</v>
      </c>
      <c r="Y5998">
        <v>0</v>
      </c>
      <c r="Z5998">
        <v>1</v>
      </c>
      <c r="AA5998">
        <v>185.26</v>
      </c>
      <c r="AB5998">
        <v>185.26</v>
      </c>
      <c r="AC5998">
        <v>163</v>
      </c>
      <c r="AD5998">
        <v>0</v>
      </c>
      <c r="AE5998">
        <v>22.26</v>
      </c>
      <c r="AF5998">
        <v>0</v>
      </c>
      <c r="AG5998">
        <v>0</v>
      </c>
      <c r="AH5998">
        <v>0</v>
      </c>
      <c r="AI5998">
        <v>0</v>
      </c>
      <c r="AJ5998">
        <v>185.26</v>
      </c>
      <c r="AK5998">
        <v>0</v>
      </c>
      <c r="AL5998" t="s">
        <v>53</v>
      </c>
      <c r="AM5998" t="s">
        <v>53</v>
      </c>
      <c r="AN5998" t="s">
        <v>53</v>
      </c>
      <c r="AO5998" t="s">
        <v>53</v>
      </c>
      <c r="AP5998" t="s">
        <v>53</v>
      </c>
    </row>
    <row r="5999" spans="2:42" x14ac:dyDescent="0.2">
      <c r="B5999" t="s">
        <v>44</v>
      </c>
      <c r="C5999" t="str">
        <f>HYPERLINK("https://us2.cloudbeds.com/connect/8493803454333002#/reservations/134099524542610?display=2TBGVM4GPY&amp;reservation_id=134099524542610", "2TBGVM4GPY")</f>
        <v>2TBGVM4GPY</v>
      </c>
      <c r="D5999" t="s">
        <v>45</v>
      </c>
      <c r="E5999" t="s">
        <v>265</v>
      </c>
      <c r="F5999" t="s">
        <v>61</v>
      </c>
      <c r="G5999" t="s">
        <v>48</v>
      </c>
      <c r="H5999" t="s">
        <v>3957</v>
      </c>
      <c r="I5999" t="s">
        <v>3958</v>
      </c>
      <c r="J5999" t="s">
        <v>4009</v>
      </c>
      <c r="K5999" t="s">
        <v>8319</v>
      </c>
      <c r="L5999" t="s">
        <v>53</v>
      </c>
      <c r="P5999" t="s">
        <v>55</v>
      </c>
      <c r="R5999" t="s">
        <v>56</v>
      </c>
      <c r="T5999" t="s">
        <v>10736</v>
      </c>
      <c r="U5999" t="s">
        <v>58</v>
      </c>
      <c r="V5999">
        <v>1</v>
      </c>
      <c r="W5999">
        <v>1</v>
      </c>
      <c r="X5999">
        <v>1</v>
      </c>
      <c r="Y5999">
        <v>0</v>
      </c>
      <c r="Z5999">
        <v>1</v>
      </c>
      <c r="AA5999">
        <v>185.26</v>
      </c>
      <c r="AB5999">
        <v>185.26</v>
      </c>
      <c r="AC5999">
        <v>163</v>
      </c>
      <c r="AD5999">
        <v>0</v>
      </c>
      <c r="AE5999">
        <v>22.26</v>
      </c>
      <c r="AF5999">
        <v>0</v>
      </c>
      <c r="AG5999">
        <v>0</v>
      </c>
      <c r="AH5999">
        <v>0</v>
      </c>
      <c r="AI5999">
        <v>0</v>
      </c>
      <c r="AJ5999">
        <v>185.26</v>
      </c>
      <c r="AK5999">
        <v>0</v>
      </c>
      <c r="AL5999" t="s">
        <v>53</v>
      </c>
      <c r="AM5999" t="s">
        <v>53</v>
      </c>
      <c r="AN5999" t="s">
        <v>53</v>
      </c>
      <c r="AO5999" t="s">
        <v>53</v>
      </c>
      <c r="AP5999" t="s">
        <v>53</v>
      </c>
    </row>
    <row r="6000" spans="2:42" x14ac:dyDescent="0.2">
      <c r="B6000" t="s">
        <v>44</v>
      </c>
      <c r="C6000" t="str">
        <f>HYPERLINK("https://us2.cloudbeds.com/connect/8493803454333002#/reservations/9080486846526356?display=2TBW3UBN61&amp;reservation_id=9080486846526356", "2TBW3UBN61")</f>
        <v>2TBW3UBN61</v>
      </c>
      <c r="D6000" t="s">
        <v>45</v>
      </c>
      <c r="E6000" t="s">
        <v>4586</v>
      </c>
      <c r="F6000" t="s">
        <v>47</v>
      </c>
      <c r="G6000" t="s">
        <v>48</v>
      </c>
      <c r="H6000" t="s">
        <v>49</v>
      </c>
      <c r="I6000" t="s">
        <v>62</v>
      </c>
      <c r="J6000" t="s">
        <v>7293</v>
      </c>
      <c r="K6000" t="s">
        <v>5743</v>
      </c>
      <c r="L6000" t="s">
        <v>53</v>
      </c>
      <c r="N6000" t="s">
        <v>10737</v>
      </c>
      <c r="P6000" t="s">
        <v>55</v>
      </c>
      <c r="R6000" t="s">
        <v>56</v>
      </c>
      <c r="T6000" t="s">
        <v>10738</v>
      </c>
      <c r="U6000" t="s">
        <v>55</v>
      </c>
      <c r="V6000">
        <v>4</v>
      </c>
      <c r="W6000">
        <v>2</v>
      </c>
      <c r="X6000">
        <v>2</v>
      </c>
      <c r="Y6000">
        <v>0</v>
      </c>
      <c r="Z6000">
        <v>2</v>
      </c>
      <c r="AA6000">
        <v>724</v>
      </c>
      <c r="AB6000">
        <v>724</v>
      </c>
      <c r="AC6000">
        <v>724</v>
      </c>
      <c r="AD6000">
        <v>0</v>
      </c>
      <c r="AE6000">
        <v>0</v>
      </c>
      <c r="AF6000">
        <v>0</v>
      </c>
      <c r="AG6000">
        <v>0</v>
      </c>
      <c r="AH6000">
        <v>0</v>
      </c>
      <c r="AI6000">
        <v>130.32</v>
      </c>
      <c r="AJ6000">
        <v>724</v>
      </c>
      <c r="AK6000">
        <v>0</v>
      </c>
      <c r="AL6000" t="s">
        <v>53</v>
      </c>
      <c r="AM6000" t="s">
        <v>53</v>
      </c>
      <c r="AN6000" t="s">
        <v>53</v>
      </c>
      <c r="AO6000" t="s">
        <v>53</v>
      </c>
      <c r="AP6000" t="s">
        <v>53</v>
      </c>
    </row>
    <row r="6001" spans="2:42" x14ac:dyDescent="0.2">
      <c r="B6001" t="s">
        <v>44</v>
      </c>
      <c r="C6001" t="str">
        <f>HYPERLINK("https://us2.cloudbeds.com/connect/8493803454333002#/reservations/9080486846526723?display=2TCGP4B9KV&amp;reservation_id=9080486846526723", "2TCGP4B9KV")</f>
        <v>2TCGP4B9KV</v>
      </c>
      <c r="D6001" t="s">
        <v>45</v>
      </c>
      <c r="E6001" t="s">
        <v>128</v>
      </c>
      <c r="F6001" t="s">
        <v>86</v>
      </c>
      <c r="G6001" t="s">
        <v>48</v>
      </c>
      <c r="H6001" t="s">
        <v>49</v>
      </c>
      <c r="I6001" t="s">
        <v>50</v>
      </c>
      <c r="J6001" t="s">
        <v>4009</v>
      </c>
      <c r="K6001" t="s">
        <v>8319</v>
      </c>
      <c r="L6001" t="s">
        <v>53</v>
      </c>
      <c r="N6001" t="s">
        <v>10739</v>
      </c>
      <c r="P6001" t="s">
        <v>55</v>
      </c>
      <c r="R6001" t="s">
        <v>53</v>
      </c>
      <c r="T6001" t="s">
        <v>10740</v>
      </c>
      <c r="U6001" t="s">
        <v>58</v>
      </c>
      <c r="V6001">
        <v>1</v>
      </c>
      <c r="W6001">
        <v>1</v>
      </c>
      <c r="X6001">
        <v>1</v>
      </c>
      <c r="Y6001">
        <v>0</v>
      </c>
      <c r="Z6001">
        <v>1</v>
      </c>
      <c r="AA6001">
        <v>163.66</v>
      </c>
      <c r="AB6001">
        <v>163.66</v>
      </c>
      <c r="AC6001">
        <v>144</v>
      </c>
      <c r="AD6001">
        <v>0</v>
      </c>
      <c r="AE6001">
        <v>19.66</v>
      </c>
      <c r="AF6001">
        <v>0</v>
      </c>
      <c r="AG6001">
        <v>0</v>
      </c>
      <c r="AH6001">
        <v>0</v>
      </c>
      <c r="AI6001">
        <v>29.46</v>
      </c>
      <c r="AJ6001">
        <v>163.66</v>
      </c>
      <c r="AK6001">
        <v>0</v>
      </c>
      <c r="AL6001" t="s">
        <v>53</v>
      </c>
      <c r="AM6001" t="s">
        <v>53</v>
      </c>
      <c r="AN6001" t="s">
        <v>53</v>
      </c>
      <c r="AO6001" t="s">
        <v>53</v>
      </c>
      <c r="AP6001" t="s">
        <v>53</v>
      </c>
    </row>
    <row r="6002" spans="2:42" x14ac:dyDescent="0.2">
      <c r="B6002" t="s">
        <v>44</v>
      </c>
      <c r="C6002" t="str">
        <f>HYPERLINK("https://us2.cloudbeds.com/connect/8493803454333002#/reservations/9080486846526846?display=2TCMJCCXZS&amp;reservation_id=9080486846526846", "2TCMJCCXZS")</f>
        <v>2TCMJCCXZS</v>
      </c>
      <c r="D6002" t="s">
        <v>45</v>
      </c>
      <c r="E6002" t="s">
        <v>105</v>
      </c>
      <c r="F6002" t="s">
        <v>47</v>
      </c>
      <c r="G6002" t="s">
        <v>48</v>
      </c>
      <c r="H6002" t="s">
        <v>49</v>
      </c>
      <c r="I6002" t="s">
        <v>8964</v>
      </c>
      <c r="J6002" t="s">
        <v>8313</v>
      </c>
      <c r="K6002" t="s">
        <v>5507</v>
      </c>
      <c r="L6002" t="s">
        <v>53</v>
      </c>
      <c r="N6002" t="s">
        <v>10741</v>
      </c>
      <c r="P6002" t="s">
        <v>55</v>
      </c>
      <c r="R6002" t="s">
        <v>53</v>
      </c>
      <c r="T6002" t="s">
        <v>10742</v>
      </c>
      <c r="U6002" t="s">
        <v>58</v>
      </c>
      <c r="V6002">
        <v>3</v>
      </c>
      <c r="W6002">
        <v>1</v>
      </c>
      <c r="X6002">
        <v>2</v>
      </c>
      <c r="Y6002">
        <v>0</v>
      </c>
      <c r="Z6002">
        <v>2</v>
      </c>
      <c r="AA6002">
        <v>0</v>
      </c>
      <c r="AB6002">
        <v>0</v>
      </c>
      <c r="AC6002">
        <v>907</v>
      </c>
      <c r="AD6002">
        <v>0</v>
      </c>
      <c r="AE6002">
        <v>0</v>
      </c>
      <c r="AF6002">
        <v>0</v>
      </c>
      <c r="AG6002">
        <v>0</v>
      </c>
      <c r="AH6002">
        <v>0</v>
      </c>
      <c r="AI6002">
        <v>136.05000000000001</v>
      </c>
      <c r="AJ6002">
        <v>907</v>
      </c>
      <c r="AK6002">
        <v>907</v>
      </c>
      <c r="AL6002" t="s">
        <v>53</v>
      </c>
      <c r="AM6002" t="s">
        <v>53</v>
      </c>
      <c r="AN6002" t="s">
        <v>53</v>
      </c>
      <c r="AO6002" t="s">
        <v>53</v>
      </c>
      <c r="AP6002" t="s">
        <v>53</v>
      </c>
    </row>
    <row r="6003" spans="2:42" x14ac:dyDescent="0.2">
      <c r="B6003" t="s">
        <v>44</v>
      </c>
      <c r="C6003" t="str">
        <f>HYPERLINK("https://us2.cloudbeds.com/connect/8493803454333002#/reservations/9080486846526872?display=2TCNJWSFMQ&amp;reservation_id=9080486846526872", "2TCNJWSFMQ")</f>
        <v>2TCNJWSFMQ</v>
      </c>
      <c r="D6003" t="s">
        <v>45</v>
      </c>
      <c r="E6003" t="s">
        <v>155</v>
      </c>
      <c r="F6003" t="s">
        <v>86</v>
      </c>
      <c r="G6003" t="s">
        <v>48</v>
      </c>
      <c r="H6003" t="s">
        <v>49</v>
      </c>
      <c r="I6003" t="s">
        <v>50</v>
      </c>
      <c r="J6003" t="s">
        <v>4009</v>
      </c>
      <c r="K6003" t="s">
        <v>8319</v>
      </c>
      <c r="L6003" t="s">
        <v>53</v>
      </c>
      <c r="N6003" t="s">
        <v>10743</v>
      </c>
      <c r="P6003" t="s">
        <v>55</v>
      </c>
      <c r="R6003" t="s">
        <v>53</v>
      </c>
      <c r="T6003" t="s">
        <v>10744</v>
      </c>
      <c r="U6003" t="s">
        <v>58</v>
      </c>
      <c r="V6003">
        <v>1</v>
      </c>
      <c r="W6003">
        <v>1</v>
      </c>
      <c r="X6003">
        <v>2</v>
      </c>
      <c r="Y6003">
        <v>0</v>
      </c>
      <c r="Z6003">
        <v>2</v>
      </c>
      <c r="AA6003">
        <v>163.66</v>
      </c>
      <c r="AB6003">
        <v>163.66</v>
      </c>
      <c r="AC6003">
        <v>144</v>
      </c>
      <c r="AD6003">
        <v>0</v>
      </c>
      <c r="AE6003">
        <v>19.66</v>
      </c>
      <c r="AF6003">
        <v>0</v>
      </c>
      <c r="AG6003">
        <v>0</v>
      </c>
      <c r="AH6003">
        <v>0</v>
      </c>
      <c r="AI6003">
        <v>29.46</v>
      </c>
      <c r="AJ6003">
        <v>163.66</v>
      </c>
      <c r="AK6003">
        <v>0</v>
      </c>
      <c r="AL6003" t="s">
        <v>53</v>
      </c>
      <c r="AM6003" t="s">
        <v>53</v>
      </c>
      <c r="AN6003" t="s">
        <v>53</v>
      </c>
      <c r="AO6003" t="s">
        <v>53</v>
      </c>
      <c r="AP6003" t="s">
        <v>53</v>
      </c>
    </row>
    <row r="6004" spans="2:42" x14ac:dyDescent="0.2">
      <c r="B6004" t="s">
        <v>44</v>
      </c>
      <c r="C6004" t="str">
        <f>HYPERLINK("https://us2.cloudbeds.com/connect/8493803454333002#/reservations/9080486846526994?display=2TCSY33M15&amp;reservation_id=9080486846526994", "2TCSY33M15")</f>
        <v>2TCSY33M15</v>
      </c>
      <c r="D6004" t="s">
        <v>45</v>
      </c>
      <c r="E6004" t="s">
        <v>98</v>
      </c>
      <c r="F6004" t="s">
        <v>86</v>
      </c>
      <c r="G6004" t="s">
        <v>48</v>
      </c>
      <c r="H6004" t="s">
        <v>49</v>
      </c>
      <c r="I6004" t="s">
        <v>62</v>
      </c>
      <c r="J6004" t="s">
        <v>4009</v>
      </c>
      <c r="K6004" t="s">
        <v>8319</v>
      </c>
      <c r="L6004" t="s">
        <v>53</v>
      </c>
      <c r="N6004" t="s">
        <v>10745</v>
      </c>
      <c r="P6004" t="s">
        <v>55</v>
      </c>
      <c r="R6004" t="s">
        <v>56</v>
      </c>
      <c r="T6004" t="s">
        <v>10746</v>
      </c>
      <c r="U6004" t="s">
        <v>55</v>
      </c>
      <c r="V6004">
        <v>1</v>
      </c>
      <c r="W6004">
        <v>1</v>
      </c>
      <c r="X6004">
        <v>2</v>
      </c>
      <c r="Y6004">
        <v>0</v>
      </c>
      <c r="Z6004">
        <v>2</v>
      </c>
      <c r="AA6004">
        <v>180</v>
      </c>
      <c r="AB6004">
        <v>180</v>
      </c>
      <c r="AC6004">
        <v>180</v>
      </c>
      <c r="AD6004">
        <v>0</v>
      </c>
      <c r="AE6004">
        <v>0</v>
      </c>
      <c r="AF6004">
        <v>0</v>
      </c>
      <c r="AG6004">
        <v>0</v>
      </c>
      <c r="AH6004">
        <v>0</v>
      </c>
      <c r="AI6004">
        <v>32.4</v>
      </c>
      <c r="AJ6004">
        <v>180</v>
      </c>
      <c r="AK6004">
        <v>0</v>
      </c>
      <c r="AL6004" t="s">
        <v>53</v>
      </c>
      <c r="AM6004" t="s">
        <v>53</v>
      </c>
      <c r="AN6004" t="s">
        <v>53</v>
      </c>
      <c r="AO6004" t="s">
        <v>53</v>
      </c>
      <c r="AP6004" t="s">
        <v>53</v>
      </c>
    </row>
    <row r="6005" spans="2:42" x14ac:dyDescent="0.2">
      <c r="B6005" t="s">
        <v>44</v>
      </c>
      <c r="C6005" t="str">
        <f>HYPERLINK("https://us2.cloudbeds.com/connect/8493803454333002#/reservations/9080486846527036?display=2TCUT790MR&amp;reservation_id=9080486846527036", "2TCUT790MR")</f>
        <v>2TCUT790MR</v>
      </c>
      <c r="D6005" t="s">
        <v>45</v>
      </c>
      <c r="E6005" t="s">
        <v>105</v>
      </c>
      <c r="F6005" t="s">
        <v>47</v>
      </c>
      <c r="G6005" t="s">
        <v>48</v>
      </c>
      <c r="H6005" t="s">
        <v>49</v>
      </c>
      <c r="I6005" t="s">
        <v>50</v>
      </c>
      <c r="J6005" t="s">
        <v>8319</v>
      </c>
      <c r="K6005" t="s">
        <v>8394</v>
      </c>
      <c r="L6005" t="s">
        <v>53</v>
      </c>
      <c r="N6005" t="s">
        <v>10747</v>
      </c>
      <c r="P6005" t="s">
        <v>55</v>
      </c>
      <c r="R6005" t="s">
        <v>53</v>
      </c>
      <c r="T6005" t="s">
        <v>10748</v>
      </c>
      <c r="U6005" t="s">
        <v>58</v>
      </c>
      <c r="V6005">
        <v>2</v>
      </c>
      <c r="W6005">
        <v>1</v>
      </c>
      <c r="X6005">
        <v>2</v>
      </c>
      <c r="Y6005">
        <v>0</v>
      </c>
      <c r="Z6005">
        <v>2</v>
      </c>
      <c r="AA6005">
        <v>366.13</v>
      </c>
      <c r="AB6005">
        <v>366.13</v>
      </c>
      <c r="AC6005">
        <v>322.14999999999998</v>
      </c>
      <c r="AD6005">
        <v>0</v>
      </c>
      <c r="AE6005">
        <v>43.98</v>
      </c>
      <c r="AF6005">
        <v>0</v>
      </c>
      <c r="AG6005">
        <v>0</v>
      </c>
      <c r="AH6005">
        <v>0</v>
      </c>
      <c r="AI6005">
        <v>65.900000000000006</v>
      </c>
      <c r="AJ6005">
        <v>366.13</v>
      </c>
      <c r="AK6005">
        <v>0</v>
      </c>
      <c r="AL6005" t="s">
        <v>53</v>
      </c>
      <c r="AM6005" t="s">
        <v>53</v>
      </c>
      <c r="AN6005" t="s">
        <v>53</v>
      </c>
      <c r="AO6005" t="s">
        <v>53</v>
      </c>
      <c r="AP6005" t="s">
        <v>53</v>
      </c>
    </row>
    <row r="6006" spans="2:42" x14ac:dyDescent="0.2">
      <c r="B6006" t="s">
        <v>44</v>
      </c>
      <c r="C6006" t="str">
        <f>HYPERLINK("https://us2.cloudbeds.com/connect/8493803454333002#/reservations/134161267978397?display=2TCVPBRKYA&amp;reservation_id=134161267978397", "2TCVPBRKYA")</f>
        <v>2TCVPBRKYA</v>
      </c>
      <c r="D6006" t="s">
        <v>45</v>
      </c>
      <c r="E6006" t="s">
        <v>305</v>
      </c>
      <c r="F6006" t="s">
        <v>61</v>
      </c>
      <c r="G6006" t="s">
        <v>48</v>
      </c>
      <c r="H6006" t="s">
        <v>3957</v>
      </c>
      <c r="I6006" t="s">
        <v>3989</v>
      </c>
      <c r="J6006" t="s">
        <v>8314</v>
      </c>
      <c r="K6006" t="s">
        <v>5507</v>
      </c>
      <c r="L6006" t="s">
        <v>53</v>
      </c>
      <c r="P6006" t="s">
        <v>55</v>
      </c>
      <c r="R6006" t="s">
        <v>56</v>
      </c>
      <c r="T6006" t="s">
        <v>10749</v>
      </c>
      <c r="U6006" t="s">
        <v>58</v>
      </c>
      <c r="V6006">
        <v>1</v>
      </c>
      <c r="W6006">
        <v>1</v>
      </c>
      <c r="X6006">
        <v>2</v>
      </c>
      <c r="Y6006">
        <v>0</v>
      </c>
      <c r="Z6006">
        <v>2</v>
      </c>
      <c r="AA6006">
        <v>378.46</v>
      </c>
      <c r="AB6006">
        <v>378.46</v>
      </c>
      <c r="AC6006">
        <v>333</v>
      </c>
      <c r="AD6006">
        <v>0</v>
      </c>
      <c r="AE6006">
        <v>45.46</v>
      </c>
      <c r="AF6006">
        <v>0</v>
      </c>
      <c r="AG6006">
        <v>0</v>
      </c>
      <c r="AH6006">
        <v>0</v>
      </c>
      <c r="AI6006">
        <v>0</v>
      </c>
      <c r="AJ6006">
        <v>378.46</v>
      </c>
      <c r="AK6006">
        <v>0</v>
      </c>
      <c r="AL6006" t="s">
        <v>53</v>
      </c>
      <c r="AM6006" t="s">
        <v>53</v>
      </c>
      <c r="AN6006" t="s">
        <v>53</v>
      </c>
      <c r="AO6006" t="s">
        <v>53</v>
      </c>
      <c r="AP6006" t="s">
        <v>53</v>
      </c>
    </row>
    <row r="6007" spans="2:42" x14ac:dyDescent="0.2">
      <c r="B6007" t="s">
        <v>44</v>
      </c>
      <c r="C6007" t="str">
        <f>HYPERLINK("https://us2.cloudbeds.com/connect/8493803454333002#/reservations/9080486846527227?display=2TD5M6CT9G&amp;reservation_id=9080486846527227", "2TD5M6CT9G")</f>
        <v>2TD5M6CT9G</v>
      </c>
      <c r="D6007" t="s">
        <v>45</v>
      </c>
      <c r="E6007" t="s">
        <v>381</v>
      </c>
      <c r="F6007" t="s">
        <v>47</v>
      </c>
      <c r="G6007" t="s">
        <v>48</v>
      </c>
      <c r="H6007" t="s">
        <v>49</v>
      </c>
      <c r="I6007" t="s">
        <v>8964</v>
      </c>
      <c r="J6007" t="s">
        <v>9318</v>
      </c>
      <c r="K6007" t="s">
        <v>7623</v>
      </c>
      <c r="L6007" t="s">
        <v>53</v>
      </c>
      <c r="N6007" t="s">
        <v>10750</v>
      </c>
      <c r="P6007" t="s">
        <v>55</v>
      </c>
      <c r="R6007" t="s">
        <v>53</v>
      </c>
      <c r="T6007" t="s">
        <v>10751</v>
      </c>
      <c r="U6007" t="s">
        <v>58</v>
      </c>
      <c r="V6007">
        <v>2</v>
      </c>
      <c r="W6007">
        <v>1</v>
      </c>
      <c r="X6007">
        <v>2</v>
      </c>
      <c r="Y6007">
        <v>0</v>
      </c>
      <c r="Z6007">
        <v>2</v>
      </c>
      <c r="AA6007">
        <v>0</v>
      </c>
      <c r="AB6007">
        <v>0</v>
      </c>
      <c r="AC6007">
        <v>483</v>
      </c>
      <c r="AD6007">
        <v>0</v>
      </c>
      <c r="AE6007">
        <v>0</v>
      </c>
      <c r="AF6007">
        <v>0</v>
      </c>
      <c r="AG6007">
        <v>0</v>
      </c>
      <c r="AH6007">
        <v>0</v>
      </c>
      <c r="AI6007">
        <v>72.45</v>
      </c>
      <c r="AJ6007">
        <v>483</v>
      </c>
      <c r="AK6007">
        <v>483</v>
      </c>
      <c r="AL6007" t="s">
        <v>53</v>
      </c>
      <c r="AM6007" t="s">
        <v>53</v>
      </c>
      <c r="AN6007" t="s">
        <v>53</v>
      </c>
      <c r="AO6007" t="s">
        <v>53</v>
      </c>
      <c r="AP6007" t="s">
        <v>53</v>
      </c>
    </row>
    <row r="6008" spans="2:42" x14ac:dyDescent="0.2">
      <c r="B6008" t="s">
        <v>44</v>
      </c>
      <c r="C6008" t="str">
        <f>HYPERLINK("https://us2.cloudbeds.com/connect/8493803454333002#/reservations/9080486846527509?display=2TDHJDM1EG&amp;reservation_id=9080486846527509", "2TDHJDM1EG")</f>
        <v>2TDHJDM1EG</v>
      </c>
      <c r="D6008" t="s">
        <v>45</v>
      </c>
      <c r="E6008" t="s">
        <v>190</v>
      </c>
      <c r="F6008" t="s">
        <v>61</v>
      </c>
      <c r="G6008" t="s">
        <v>48</v>
      </c>
      <c r="H6008" t="s">
        <v>49</v>
      </c>
      <c r="I6008" t="s">
        <v>50</v>
      </c>
      <c r="J6008" t="s">
        <v>9318</v>
      </c>
      <c r="K6008" t="s">
        <v>8394</v>
      </c>
      <c r="L6008" t="s">
        <v>53</v>
      </c>
      <c r="N6008" t="s">
        <v>10752</v>
      </c>
      <c r="P6008" t="s">
        <v>55</v>
      </c>
      <c r="R6008" t="s">
        <v>53</v>
      </c>
      <c r="T6008" t="s">
        <v>10753</v>
      </c>
      <c r="U6008" t="s">
        <v>58</v>
      </c>
      <c r="V6008">
        <v>1</v>
      </c>
      <c r="W6008">
        <v>1</v>
      </c>
      <c r="X6008">
        <v>2</v>
      </c>
      <c r="Y6008">
        <v>0</v>
      </c>
      <c r="Z6008">
        <v>2</v>
      </c>
      <c r="AA6008">
        <v>264.69</v>
      </c>
      <c r="AB6008">
        <v>264.69</v>
      </c>
      <c r="AC6008">
        <v>232.9</v>
      </c>
      <c r="AD6008">
        <v>0</v>
      </c>
      <c r="AE6008">
        <v>31.79</v>
      </c>
      <c r="AF6008">
        <v>0</v>
      </c>
      <c r="AG6008">
        <v>0</v>
      </c>
      <c r="AH6008">
        <v>0</v>
      </c>
      <c r="AI6008">
        <v>47.64</v>
      </c>
      <c r="AJ6008">
        <v>264.69</v>
      </c>
      <c r="AK6008">
        <v>0</v>
      </c>
      <c r="AL6008" t="s">
        <v>53</v>
      </c>
      <c r="AM6008" t="s">
        <v>53</v>
      </c>
      <c r="AN6008" t="s">
        <v>53</v>
      </c>
      <c r="AO6008" t="s">
        <v>53</v>
      </c>
      <c r="AP6008" t="s">
        <v>53</v>
      </c>
    </row>
    <row r="6009" spans="2:42" x14ac:dyDescent="0.2">
      <c r="B6009" t="s">
        <v>44</v>
      </c>
      <c r="C6009" t="str">
        <f>HYPERLINK("https://us2.cloudbeds.com/connect/8493803454333002#/reservations/9080486846527743?display=2TDRRZS9QQ&amp;reservation_id=9080486846527743", "2TDRRZS9QQ")</f>
        <v>2TDRRZS9QQ</v>
      </c>
      <c r="D6009" t="s">
        <v>45</v>
      </c>
      <c r="E6009" t="s">
        <v>223</v>
      </c>
      <c r="F6009" t="s">
        <v>47</v>
      </c>
      <c r="G6009" t="s">
        <v>48</v>
      </c>
      <c r="H6009" t="s">
        <v>49</v>
      </c>
      <c r="I6009" t="s">
        <v>50</v>
      </c>
      <c r="J6009" t="s">
        <v>8319</v>
      </c>
      <c r="K6009" t="s">
        <v>9318</v>
      </c>
      <c r="L6009" t="s">
        <v>53</v>
      </c>
      <c r="N6009" t="s">
        <v>10754</v>
      </c>
      <c r="P6009" t="s">
        <v>55</v>
      </c>
      <c r="R6009" t="s">
        <v>53</v>
      </c>
      <c r="T6009" t="s">
        <v>10755</v>
      </c>
      <c r="U6009" t="s">
        <v>58</v>
      </c>
      <c r="V6009">
        <v>1</v>
      </c>
      <c r="W6009">
        <v>1</v>
      </c>
      <c r="X6009">
        <v>1</v>
      </c>
      <c r="Y6009">
        <v>0</v>
      </c>
      <c r="Z6009">
        <v>1</v>
      </c>
      <c r="AA6009">
        <v>148.77000000000001</v>
      </c>
      <c r="AB6009">
        <v>148.77000000000001</v>
      </c>
      <c r="AC6009">
        <v>130.9</v>
      </c>
      <c r="AD6009">
        <v>0</v>
      </c>
      <c r="AE6009">
        <v>17.87</v>
      </c>
      <c r="AF6009">
        <v>0</v>
      </c>
      <c r="AG6009">
        <v>0</v>
      </c>
      <c r="AH6009">
        <v>0</v>
      </c>
      <c r="AI6009">
        <v>26.78</v>
      </c>
      <c r="AJ6009">
        <v>148.77000000000001</v>
      </c>
      <c r="AK6009">
        <v>0</v>
      </c>
      <c r="AL6009" t="s">
        <v>53</v>
      </c>
      <c r="AM6009" t="s">
        <v>53</v>
      </c>
      <c r="AN6009" t="s">
        <v>53</v>
      </c>
      <c r="AO6009" t="s">
        <v>53</v>
      </c>
      <c r="AP6009" t="s">
        <v>53</v>
      </c>
    </row>
    <row r="6010" spans="2:42" x14ac:dyDescent="0.2">
      <c r="B6010" t="s">
        <v>44</v>
      </c>
      <c r="C6010" t="str">
        <f>HYPERLINK("https://us2.cloudbeds.com/connect/8493803454333002#/reservations/9080486846527873?display=2TE19KC0WB&amp;reservation_id=9080486846527873", "2TE19KC0WB")</f>
        <v>2TE19KC0WB</v>
      </c>
      <c r="D6010" t="s">
        <v>45</v>
      </c>
      <c r="E6010" t="s">
        <v>78</v>
      </c>
      <c r="F6010" t="s">
        <v>61</v>
      </c>
      <c r="G6010" t="s">
        <v>48</v>
      </c>
      <c r="H6010" t="s">
        <v>49</v>
      </c>
      <c r="I6010" t="s">
        <v>50</v>
      </c>
      <c r="J6010" t="s">
        <v>8319</v>
      </c>
      <c r="K6010" t="s">
        <v>9318</v>
      </c>
      <c r="L6010" t="s">
        <v>53</v>
      </c>
      <c r="N6010" t="s">
        <v>10756</v>
      </c>
      <c r="P6010" t="s">
        <v>55</v>
      </c>
      <c r="R6010" t="s">
        <v>53</v>
      </c>
      <c r="T6010" t="s">
        <v>10757</v>
      </c>
      <c r="U6010" t="s">
        <v>58</v>
      </c>
      <c r="V6010">
        <v>1</v>
      </c>
      <c r="W6010">
        <v>1</v>
      </c>
      <c r="X6010">
        <v>2</v>
      </c>
      <c r="Y6010">
        <v>0</v>
      </c>
      <c r="Z6010">
        <v>2</v>
      </c>
      <c r="AA6010">
        <v>149.1</v>
      </c>
      <c r="AB6010">
        <v>149.1</v>
      </c>
      <c r="AC6010">
        <v>131.19999999999999</v>
      </c>
      <c r="AD6010">
        <v>0</v>
      </c>
      <c r="AE6010">
        <v>17.899999999999999</v>
      </c>
      <c r="AF6010">
        <v>0</v>
      </c>
      <c r="AG6010">
        <v>0</v>
      </c>
      <c r="AH6010">
        <v>0</v>
      </c>
      <c r="AI6010">
        <v>26.84</v>
      </c>
      <c r="AJ6010">
        <v>149.1</v>
      </c>
      <c r="AK6010">
        <v>0</v>
      </c>
      <c r="AL6010" t="s">
        <v>53</v>
      </c>
      <c r="AM6010" t="s">
        <v>53</v>
      </c>
      <c r="AN6010" t="s">
        <v>53</v>
      </c>
      <c r="AO6010" t="s">
        <v>53</v>
      </c>
      <c r="AP6010" t="s">
        <v>53</v>
      </c>
    </row>
    <row r="6011" spans="2:42" x14ac:dyDescent="0.2">
      <c r="B6011" t="s">
        <v>44</v>
      </c>
      <c r="C6011" t="str">
        <f>HYPERLINK("https://us2.cloudbeds.com/connect/8493803454333002#/reservations/9080486846527942?display=2TE5CMKR07&amp;reservation_id=9080486846527942", "2TE5CMKR07")</f>
        <v>2TE5CMKR07</v>
      </c>
      <c r="D6011" t="s">
        <v>45</v>
      </c>
      <c r="E6011" t="s">
        <v>155</v>
      </c>
      <c r="F6011" t="s">
        <v>86</v>
      </c>
      <c r="G6011" t="s">
        <v>48</v>
      </c>
      <c r="H6011" t="s">
        <v>49</v>
      </c>
      <c r="I6011" t="s">
        <v>50</v>
      </c>
      <c r="J6011" t="s">
        <v>7623</v>
      </c>
      <c r="K6011" t="s">
        <v>7966</v>
      </c>
      <c r="L6011" t="s">
        <v>53</v>
      </c>
      <c r="N6011" t="s">
        <v>10758</v>
      </c>
      <c r="P6011" t="s">
        <v>55</v>
      </c>
      <c r="R6011" t="s">
        <v>53</v>
      </c>
      <c r="T6011" t="s">
        <v>10759</v>
      </c>
      <c r="U6011" t="s">
        <v>58</v>
      </c>
      <c r="V6011">
        <v>2</v>
      </c>
      <c r="W6011">
        <v>1</v>
      </c>
      <c r="X6011">
        <v>2</v>
      </c>
      <c r="Y6011">
        <v>0</v>
      </c>
      <c r="Z6011">
        <v>2</v>
      </c>
      <c r="AA6011">
        <v>455</v>
      </c>
      <c r="AB6011">
        <v>455</v>
      </c>
      <c r="AC6011">
        <v>400.35</v>
      </c>
      <c r="AD6011">
        <v>0</v>
      </c>
      <c r="AE6011">
        <v>54.65</v>
      </c>
      <c r="AF6011">
        <v>0</v>
      </c>
      <c r="AG6011">
        <v>0</v>
      </c>
      <c r="AH6011">
        <v>0</v>
      </c>
      <c r="AI6011">
        <v>81.900000000000006</v>
      </c>
      <c r="AJ6011">
        <v>455</v>
      </c>
      <c r="AK6011">
        <v>0</v>
      </c>
      <c r="AL6011" t="s">
        <v>53</v>
      </c>
      <c r="AM6011" t="s">
        <v>53</v>
      </c>
      <c r="AN6011" t="s">
        <v>53</v>
      </c>
      <c r="AO6011" t="s">
        <v>53</v>
      </c>
      <c r="AP6011" t="s">
        <v>53</v>
      </c>
    </row>
    <row r="6012" spans="2:42" x14ac:dyDescent="0.2">
      <c r="B6012" t="s">
        <v>44</v>
      </c>
      <c r="C6012" t="str">
        <f>HYPERLINK("https://us2.cloudbeds.com/connect/8493803454333002#/reservations/9080486846530485?display=2THTX1CRBA&amp;reservation_id=9080486846530485", "2THTX1CRBA")</f>
        <v>2THTX1CRBA</v>
      </c>
      <c r="D6012" t="s">
        <v>45</v>
      </c>
      <c r="E6012" t="s">
        <v>98</v>
      </c>
      <c r="F6012" t="s">
        <v>86</v>
      </c>
      <c r="G6012" t="s">
        <v>48</v>
      </c>
      <c r="H6012" t="s">
        <v>49</v>
      </c>
      <c r="I6012" t="s">
        <v>50</v>
      </c>
      <c r="J6012" t="s">
        <v>7088</v>
      </c>
      <c r="K6012" t="s">
        <v>7493</v>
      </c>
      <c r="L6012" t="s">
        <v>53</v>
      </c>
      <c r="N6012" t="s">
        <v>10760</v>
      </c>
      <c r="P6012" t="s">
        <v>55</v>
      </c>
      <c r="R6012" t="s">
        <v>53</v>
      </c>
      <c r="T6012" t="s">
        <v>10761</v>
      </c>
      <c r="U6012" t="s">
        <v>58</v>
      </c>
      <c r="V6012">
        <v>6</v>
      </c>
      <c r="W6012">
        <v>1</v>
      </c>
      <c r="X6012">
        <v>2</v>
      </c>
      <c r="Y6012">
        <v>0</v>
      </c>
      <c r="Z6012">
        <v>2</v>
      </c>
      <c r="AA6012">
        <v>1207.51</v>
      </c>
      <c r="AB6012">
        <v>1207.51</v>
      </c>
      <c r="AC6012">
        <v>1062.48</v>
      </c>
      <c r="AD6012">
        <v>0</v>
      </c>
      <c r="AE6012">
        <v>145.03</v>
      </c>
      <c r="AF6012">
        <v>0</v>
      </c>
      <c r="AG6012">
        <v>0</v>
      </c>
      <c r="AH6012">
        <v>0</v>
      </c>
      <c r="AI6012">
        <v>217.35</v>
      </c>
      <c r="AJ6012">
        <v>1207.51</v>
      </c>
      <c r="AK6012">
        <v>0</v>
      </c>
      <c r="AL6012" t="s">
        <v>53</v>
      </c>
      <c r="AM6012" t="s">
        <v>53</v>
      </c>
      <c r="AN6012" t="s">
        <v>53</v>
      </c>
      <c r="AO6012" t="s">
        <v>53</v>
      </c>
      <c r="AP6012" t="s">
        <v>53</v>
      </c>
    </row>
    <row r="6013" spans="2:42" x14ac:dyDescent="0.2">
      <c r="B6013" t="s">
        <v>44</v>
      </c>
      <c r="C6013" t="str">
        <f>HYPERLINK("https://us2.cloudbeds.com/connect/8493803454333002#/reservations/134378687062179?display=2TX23UC4AK&amp;reservation_id=134378687062179", "2TX23UC4AK")</f>
        <v>2TX23UC4AK</v>
      </c>
      <c r="D6013" t="s">
        <v>45</v>
      </c>
      <c r="E6013" t="s">
        <v>78</v>
      </c>
      <c r="F6013" t="s">
        <v>61</v>
      </c>
      <c r="G6013" t="s">
        <v>3974</v>
      </c>
      <c r="H6013" t="s">
        <v>3957</v>
      </c>
      <c r="I6013" t="s">
        <v>3975</v>
      </c>
      <c r="J6013" t="s">
        <v>7294</v>
      </c>
      <c r="K6013" t="s">
        <v>5743</v>
      </c>
      <c r="L6013" t="s">
        <v>53</v>
      </c>
      <c r="P6013" t="s">
        <v>55</v>
      </c>
      <c r="R6013" t="s">
        <v>53</v>
      </c>
      <c r="T6013" t="s">
        <v>10762</v>
      </c>
      <c r="U6013" t="s">
        <v>58</v>
      </c>
      <c r="V6013">
        <v>1</v>
      </c>
      <c r="W6013">
        <v>1</v>
      </c>
      <c r="X6013">
        <v>2</v>
      </c>
      <c r="Y6013">
        <v>0</v>
      </c>
      <c r="Z6013">
        <v>2</v>
      </c>
      <c r="AA6013">
        <v>221.34</v>
      </c>
      <c r="AB6013">
        <v>221.34</v>
      </c>
      <c r="AC6013">
        <v>194.75</v>
      </c>
      <c r="AD6013">
        <v>0</v>
      </c>
      <c r="AE6013">
        <v>26.59</v>
      </c>
      <c r="AF6013">
        <v>0</v>
      </c>
      <c r="AG6013">
        <v>0</v>
      </c>
      <c r="AH6013">
        <v>0</v>
      </c>
      <c r="AI6013">
        <v>0</v>
      </c>
      <c r="AJ6013">
        <v>221.34</v>
      </c>
      <c r="AK6013">
        <v>0</v>
      </c>
      <c r="AL6013" t="s">
        <v>53</v>
      </c>
      <c r="AM6013" t="s">
        <v>53</v>
      </c>
      <c r="AN6013" t="s">
        <v>53</v>
      </c>
      <c r="AO6013" t="s">
        <v>53</v>
      </c>
      <c r="AP6013" t="s">
        <v>53</v>
      </c>
    </row>
    <row r="6014" spans="2:42" x14ac:dyDescent="0.2">
      <c r="B6014" t="s">
        <v>44</v>
      </c>
      <c r="C6014" t="str">
        <f>HYPERLINK("https://us2.cloudbeds.com/connect/8493803454333002#/reservations/9080486846530782?display=2TX65C31JR&amp;reservation_id=9080486846530782", "2TX65C31JR")</f>
        <v>2TX65C31JR</v>
      </c>
      <c r="D6014" t="s">
        <v>45</v>
      </c>
      <c r="E6014" t="s">
        <v>46</v>
      </c>
      <c r="F6014" t="s">
        <v>47</v>
      </c>
      <c r="G6014" t="s">
        <v>48</v>
      </c>
      <c r="H6014" t="s">
        <v>49</v>
      </c>
      <c r="I6014" t="s">
        <v>62</v>
      </c>
      <c r="J6014" t="s">
        <v>5508</v>
      </c>
      <c r="K6014" t="s">
        <v>9829</v>
      </c>
      <c r="L6014" t="s">
        <v>53</v>
      </c>
      <c r="N6014" t="s">
        <v>10763</v>
      </c>
      <c r="P6014" t="s">
        <v>55</v>
      </c>
      <c r="R6014" t="s">
        <v>56</v>
      </c>
      <c r="T6014" t="s">
        <v>10764</v>
      </c>
      <c r="U6014" t="s">
        <v>55</v>
      </c>
      <c r="V6014">
        <v>3</v>
      </c>
      <c r="W6014">
        <v>1</v>
      </c>
      <c r="X6014">
        <v>2</v>
      </c>
      <c r="Y6014">
        <v>0</v>
      </c>
      <c r="Z6014">
        <v>2</v>
      </c>
      <c r="AA6014">
        <v>486.4</v>
      </c>
      <c r="AB6014">
        <v>486.4</v>
      </c>
      <c r="AC6014">
        <v>486.4</v>
      </c>
      <c r="AD6014">
        <v>0</v>
      </c>
      <c r="AE6014">
        <v>0</v>
      </c>
      <c r="AF6014">
        <v>0</v>
      </c>
      <c r="AG6014">
        <v>0</v>
      </c>
      <c r="AH6014">
        <v>0</v>
      </c>
      <c r="AI6014">
        <v>87.55</v>
      </c>
      <c r="AJ6014">
        <v>486.4</v>
      </c>
      <c r="AK6014">
        <v>0</v>
      </c>
      <c r="AL6014" t="s">
        <v>53</v>
      </c>
      <c r="AM6014" t="s">
        <v>53</v>
      </c>
      <c r="AN6014" t="s">
        <v>53</v>
      </c>
      <c r="AO6014" t="s">
        <v>53</v>
      </c>
      <c r="AP6014" t="s">
        <v>53</v>
      </c>
    </row>
    <row r="6015" spans="2:42" x14ac:dyDescent="0.2">
      <c r="B6015" t="s">
        <v>44</v>
      </c>
      <c r="C6015" t="str">
        <f>HYPERLINK("https://us2.cloudbeds.com/connect/8493803454333002#/reservations/9080486846531339?display=2TXY8NRCSE&amp;reservation_id=9080486846531339", "2TXY8NRCSE")</f>
        <v>2TXY8NRCSE</v>
      </c>
      <c r="D6015" t="s">
        <v>45</v>
      </c>
      <c r="E6015" t="s">
        <v>185</v>
      </c>
      <c r="F6015" t="s">
        <v>47</v>
      </c>
      <c r="G6015" t="s">
        <v>48</v>
      </c>
      <c r="H6015" t="s">
        <v>49</v>
      </c>
      <c r="I6015" t="s">
        <v>50</v>
      </c>
      <c r="J6015" t="s">
        <v>8670</v>
      </c>
      <c r="K6015" t="s">
        <v>8799</v>
      </c>
      <c r="L6015" t="s">
        <v>53</v>
      </c>
      <c r="N6015" t="s">
        <v>10765</v>
      </c>
      <c r="P6015" t="s">
        <v>55</v>
      </c>
      <c r="R6015" t="s">
        <v>53</v>
      </c>
      <c r="T6015" t="s">
        <v>10766</v>
      </c>
      <c r="U6015" t="s">
        <v>58</v>
      </c>
      <c r="V6015">
        <v>2</v>
      </c>
      <c r="W6015">
        <v>1</v>
      </c>
      <c r="X6015">
        <v>2</v>
      </c>
      <c r="Y6015">
        <v>0</v>
      </c>
      <c r="Z6015">
        <v>2</v>
      </c>
      <c r="AA6015">
        <v>381.87</v>
      </c>
      <c r="AB6015">
        <v>381.87</v>
      </c>
      <c r="AC6015">
        <v>336</v>
      </c>
      <c r="AD6015">
        <v>0</v>
      </c>
      <c r="AE6015">
        <v>45.87</v>
      </c>
      <c r="AF6015">
        <v>0</v>
      </c>
      <c r="AG6015">
        <v>0</v>
      </c>
      <c r="AH6015">
        <v>0</v>
      </c>
      <c r="AI6015">
        <v>68.739999999999995</v>
      </c>
      <c r="AJ6015">
        <v>381.87</v>
      </c>
      <c r="AK6015">
        <v>0</v>
      </c>
      <c r="AL6015" t="s">
        <v>53</v>
      </c>
      <c r="AM6015" t="s">
        <v>53</v>
      </c>
      <c r="AN6015" t="s">
        <v>53</v>
      </c>
      <c r="AO6015" t="s">
        <v>53</v>
      </c>
      <c r="AP6015" t="s">
        <v>53</v>
      </c>
    </row>
    <row r="6016" spans="2:42" x14ac:dyDescent="0.2">
      <c r="B6016" t="s">
        <v>44</v>
      </c>
      <c r="C6016" t="str">
        <f>HYPERLINK("https://us2.cloudbeds.com/connect/8493803454333002#/reservations/9080486846532198?display=2TJJ6BC2VM&amp;reservation_id=9080486846532198", "2TJJ6BC2VM")</f>
        <v>2TJJ6BC2VM</v>
      </c>
      <c r="D6016" t="s">
        <v>45</v>
      </c>
      <c r="E6016" t="s">
        <v>223</v>
      </c>
      <c r="F6016" t="s">
        <v>47</v>
      </c>
      <c r="G6016" t="s">
        <v>48</v>
      </c>
      <c r="H6016" t="s">
        <v>49</v>
      </c>
      <c r="I6016" t="s">
        <v>50</v>
      </c>
      <c r="J6016" t="s">
        <v>8670</v>
      </c>
      <c r="K6016" t="s">
        <v>7989</v>
      </c>
      <c r="L6016" t="s">
        <v>53</v>
      </c>
      <c r="N6016" t="s">
        <v>10767</v>
      </c>
      <c r="P6016" t="s">
        <v>55</v>
      </c>
      <c r="R6016" t="s">
        <v>53</v>
      </c>
      <c r="T6016" t="s">
        <v>10768</v>
      </c>
      <c r="U6016" t="s">
        <v>58</v>
      </c>
      <c r="V6016">
        <v>1</v>
      </c>
      <c r="W6016">
        <v>1</v>
      </c>
      <c r="X6016">
        <v>1</v>
      </c>
      <c r="Y6016">
        <v>0</v>
      </c>
      <c r="Z6016">
        <v>1</v>
      </c>
      <c r="AA6016">
        <v>202.12</v>
      </c>
      <c r="AB6016">
        <v>202.12</v>
      </c>
      <c r="AC6016">
        <v>177.84</v>
      </c>
      <c r="AD6016">
        <v>0</v>
      </c>
      <c r="AE6016">
        <v>24.28</v>
      </c>
      <c r="AF6016">
        <v>0</v>
      </c>
      <c r="AG6016">
        <v>0</v>
      </c>
      <c r="AH6016">
        <v>0</v>
      </c>
      <c r="AI6016">
        <v>36.380000000000003</v>
      </c>
      <c r="AJ6016">
        <v>202.12</v>
      </c>
      <c r="AK6016">
        <v>0</v>
      </c>
      <c r="AL6016" t="s">
        <v>53</v>
      </c>
      <c r="AM6016" t="s">
        <v>53</v>
      </c>
      <c r="AN6016" t="s">
        <v>53</v>
      </c>
      <c r="AO6016" t="s">
        <v>53</v>
      </c>
      <c r="AP6016" t="s">
        <v>53</v>
      </c>
    </row>
    <row r="6017" spans="2:42" x14ac:dyDescent="0.2">
      <c r="B6017" t="s">
        <v>44</v>
      </c>
      <c r="C6017" t="str">
        <f>HYPERLINK("https://us2.cloudbeds.com/connect/8493803454333002#/reservations/134448561950926?display=2TJN7CNU4Z&amp;reservation_id=134448561950926", "2TJN7CNU4Z")</f>
        <v>2TJN7CNU4Z</v>
      </c>
      <c r="D6017" t="s">
        <v>45</v>
      </c>
      <c r="E6017" t="s">
        <v>373</v>
      </c>
      <c r="F6017" t="s">
        <v>47</v>
      </c>
      <c r="G6017" t="s">
        <v>4520</v>
      </c>
      <c r="H6017" t="s">
        <v>3957</v>
      </c>
      <c r="I6017" t="s">
        <v>3958</v>
      </c>
      <c r="J6017" t="s">
        <v>5508</v>
      </c>
      <c r="K6017" t="s">
        <v>7325</v>
      </c>
      <c r="L6017" t="s">
        <v>53</v>
      </c>
      <c r="P6017" t="s">
        <v>55</v>
      </c>
      <c r="R6017" t="s">
        <v>56</v>
      </c>
      <c r="T6017" t="s">
        <v>10769</v>
      </c>
      <c r="U6017" t="s">
        <v>58</v>
      </c>
      <c r="V6017">
        <v>2</v>
      </c>
      <c r="W6017">
        <v>1</v>
      </c>
      <c r="X6017">
        <v>1</v>
      </c>
      <c r="Y6017">
        <v>0</v>
      </c>
      <c r="Z6017">
        <v>1</v>
      </c>
      <c r="AA6017">
        <v>350.84</v>
      </c>
      <c r="AB6017">
        <v>350.84</v>
      </c>
      <c r="AC6017">
        <v>308.7</v>
      </c>
      <c r="AD6017">
        <v>0</v>
      </c>
      <c r="AE6017">
        <v>42.14</v>
      </c>
      <c r="AF6017">
        <v>0</v>
      </c>
      <c r="AG6017">
        <v>0</v>
      </c>
      <c r="AH6017">
        <v>0</v>
      </c>
      <c r="AI6017">
        <v>0</v>
      </c>
      <c r="AJ6017">
        <v>350.84</v>
      </c>
      <c r="AK6017">
        <v>0</v>
      </c>
      <c r="AL6017" t="s">
        <v>53</v>
      </c>
      <c r="AM6017" t="s">
        <v>53</v>
      </c>
      <c r="AN6017" t="s">
        <v>53</v>
      </c>
      <c r="AO6017" t="s">
        <v>53</v>
      </c>
      <c r="AP6017" t="s">
        <v>53</v>
      </c>
    </row>
    <row r="6018" spans="2:42" x14ac:dyDescent="0.2">
      <c r="B6018" t="s">
        <v>44</v>
      </c>
      <c r="C6018" t="str">
        <f>HYPERLINK("https://us2.cloudbeds.com/connect/8493803454333002#/reservations/9080486846532735?display=2TK51S4KY6&amp;reservation_id=9080486846532735", "2TK51S4KY6")</f>
        <v>2TK51S4KY6</v>
      </c>
      <c r="D6018" t="s">
        <v>45</v>
      </c>
      <c r="E6018" t="s">
        <v>165</v>
      </c>
      <c r="F6018" t="s">
        <v>61</v>
      </c>
      <c r="G6018" t="s">
        <v>48</v>
      </c>
      <c r="H6018" t="s">
        <v>49</v>
      </c>
      <c r="I6018" t="s">
        <v>50</v>
      </c>
      <c r="J6018" t="s">
        <v>7623</v>
      </c>
      <c r="K6018" t="s">
        <v>7624</v>
      </c>
      <c r="L6018" t="s">
        <v>53</v>
      </c>
      <c r="N6018" t="s">
        <v>10770</v>
      </c>
      <c r="P6018" t="s">
        <v>55</v>
      </c>
      <c r="R6018" t="s">
        <v>53</v>
      </c>
      <c r="T6018" t="s">
        <v>10771</v>
      </c>
      <c r="U6018" t="s">
        <v>58</v>
      </c>
      <c r="V6018">
        <v>1</v>
      </c>
      <c r="W6018">
        <v>1</v>
      </c>
      <c r="X6018">
        <v>2</v>
      </c>
      <c r="Y6018">
        <v>0</v>
      </c>
      <c r="Z6018">
        <v>2</v>
      </c>
      <c r="AA6018">
        <v>219.91</v>
      </c>
      <c r="AB6018">
        <v>441.87</v>
      </c>
      <c r="AC6018">
        <v>193.5</v>
      </c>
      <c r="AD6018">
        <v>0</v>
      </c>
      <c r="AE6018">
        <v>26.41</v>
      </c>
      <c r="AF6018">
        <v>0</v>
      </c>
      <c r="AG6018">
        <v>0</v>
      </c>
      <c r="AH6018">
        <v>0</v>
      </c>
      <c r="AI6018">
        <v>39.58</v>
      </c>
      <c r="AJ6018">
        <v>219.91</v>
      </c>
      <c r="AK6018">
        <v>0</v>
      </c>
      <c r="AL6018" t="s">
        <v>53</v>
      </c>
      <c r="AM6018" t="s">
        <v>53</v>
      </c>
      <c r="AN6018" t="s">
        <v>53</v>
      </c>
      <c r="AO6018" t="s">
        <v>53</v>
      </c>
      <c r="AP6018" t="s">
        <v>53</v>
      </c>
    </row>
    <row r="6019" spans="2:42" x14ac:dyDescent="0.2">
      <c r="B6019" t="s">
        <v>44</v>
      </c>
      <c r="C6019" t="str">
        <f>HYPERLINK("https://us2.cloudbeds.com/connect/8493803454333002#/reservations/134472527708392?display=2TK8PP9EKF&amp;reservation_id=134472527708392", "2TK8PP9EKF")</f>
        <v>2TK8PP9EKF</v>
      </c>
      <c r="D6019" t="s">
        <v>45</v>
      </c>
      <c r="E6019" t="s">
        <v>113</v>
      </c>
      <c r="F6019" t="s">
        <v>61</v>
      </c>
      <c r="G6019" t="s">
        <v>48</v>
      </c>
      <c r="H6019" t="s">
        <v>3957</v>
      </c>
      <c r="I6019" t="s">
        <v>3975</v>
      </c>
      <c r="J6019" t="s">
        <v>8319</v>
      </c>
      <c r="K6019" t="s">
        <v>9318</v>
      </c>
      <c r="L6019" t="s">
        <v>53</v>
      </c>
      <c r="P6019" t="s">
        <v>55</v>
      </c>
      <c r="R6019" t="s">
        <v>53</v>
      </c>
      <c r="T6019" t="s">
        <v>10772</v>
      </c>
      <c r="U6019" t="s">
        <v>58</v>
      </c>
      <c r="V6019">
        <v>1</v>
      </c>
      <c r="W6019">
        <v>1</v>
      </c>
      <c r="X6019">
        <v>2</v>
      </c>
      <c r="Y6019">
        <v>0</v>
      </c>
      <c r="Z6019">
        <v>2</v>
      </c>
      <c r="AA6019">
        <v>185.26</v>
      </c>
      <c r="AB6019">
        <v>185.26</v>
      </c>
      <c r="AC6019">
        <v>163</v>
      </c>
      <c r="AD6019">
        <v>0</v>
      </c>
      <c r="AE6019">
        <v>22.26</v>
      </c>
      <c r="AF6019">
        <v>0</v>
      </c>
      <c r="AG6019">
        <v>0</v>
      </c>
      <c r="AH6019">
        <v>0</v>
      </c>
      <c r="AI6019">
        <v>0</v>
      </c>
      <c r="AJ6019">
        <v>185.26</v>
      </c>
      <c r="AK6019">
        <v>0</v>
      </c>
      <c r="AL6019" t="s">
        <v>53</v>
      </c>
      <c r="AM6019" t="s">
        <v>53</v>
      </c>
      <c r="AN6019" t="s">
        <v>53</v>
      </c>
      <c r="AO6019" t="s">
        <v>53</v>
      </c>
      <c r="AP6019" t="s">
        <v>53</v>
      </c>
    </row>
    <row r="6020" spans="2:42" x14ac:dyDescent="0.2">
      <c r="B6020" t="s">
        <v>44</v>
      </c>
      <c r="C6020" t="str">
        <f>HYPERLINK("https://us2.cloudbeds.com/connect/8493803454333002#/reservations/9080486846533186?display=2TKP3DNHPY&amp;reservation_id=9080486846533186", "2TKP3DNHPY")</f>
        <v>2TKP3DNHPY</v>
      </c>
      <c r="D6020" t="s">
        <v>45</v>
      </c>
      <c r="E6020" t="s">
        <v>128</v>
      </c>
      <c r="F6020" t="s">
        <v>86</v>
      </c>
      <c r="G6020" t="s">
        <v>48</v>
      </c>
      <c r="H6020" t="s">
        <v>49</v>
      </c>
      <c r="I6020" t="s">
        <v>50</v>
      </c>
      <c r="J6020" t="s">
        <v>5904</v>
      </c>
      <c r="K6020" t="s">
        <v>5905</v>
      </c>
      <c r="L6020" t="s">
        <v>53</v>
      </c>
      <c r="N6020" t="s">
        <v>10773</v>
      </c>
      <c r="P6020" t="s">
        <v>55</v>
      </c>
      <c r="R6020" t="s">
        <v>53</v>
      </c>
      <c r="T6020" t="s">
        <v>10774</v>
      </c>
      <c r="U6020" t="s">
        <v>58</v>
      </c>
      <c r="V6020">
        <v>2</v>
      </c>
      <c r="W6020">
        <v>1</v>
      </c>
      <c r="X6020">
        <v>2</v>
      </c>
      <c r="Y6020">
        <v>0</v>
      </c>
      <c r="Z6020">
        <v>2</v>
      </c>
      <c r="AA6020">
        <v>398.41</v>
      </c>
      <c r="AB6020">
        <v>406</v>
      </c>
      <c r="AC6020">
        <v>350.55</v>
      </c>
      <c r="AD6020">
        <v>7</v>
      </c>
      <c r="AE6020">
        <v>48.45</v>
      </c>
      <c r="AF6020">
        <v>0</v>
      </c>
      <c r="AG6020">
        <v>0</v>
      </c>
      <c r="AH6020">
        <v>0</v>
      </c>
      <c r="AI6020">
        <v>73.08</v>
      </c>
      <c r="AJ6020">
        <v>406</v>
      </c>
      <c r="AK6020">
        <v>0</v>
      </c>
      <c r="AL6020" t="s">
        <v>53</v>
      </c>
      <c r="AM6020" t="s">
        <v>53</v>
      </c>
      <c r="AN6020" t="s">
        <v>53</v>
      </c>
      <c r="AO6020" t="s">
        <v>53</v>
      </c>
      <c r="AP6020" t="s">
        <v>53</v>
      </c>
    </row>
    <row r="6021" spans="2:42" x14ac:dyDescent="0.2">
      <c r="B6021" t="s">
        <v>44</v>
      </c>
      <c r="C6021" t="str">
        <f>HYPERLINK("https://us2.cloudbeds.com/connect/8493803454333002#/reservations/134694731907282?display=2TPFRJZRCT&amp;reservation_id=134694731907282", "2TPFRJZRCT")</f>
        <v>2TPFRJZRCT</v>
      </c>
      <c r="D6021" t="s">
        <v>45</v>
      </c>
      <c r="E6021" t="s">
        <v>213</v>
      </c>
      <c r="F6021" t="s">
        <v>86</v>
      </c>
      <c r="G6021" t="s">
        <v>48</v>
      </c>
      <c r="H6021" t="s">
        <v>3957</v>
      </c>
      <c r="I6021" t="s">
        <v>3975</v>
      </c>
      <c r="J6021" t="s">
        <v>10775</v>
      </c>
      <c r="K6021" t="s">
        <v>10776</v>
      </c>
      <c r="L6021" t="s">
        <v>53</v>
      </c>
      <c r="P6021" t="s">
        <v>55</v>
      </c>
      <c r="R6021" t="s">
        <v>53</v>
      </c>
      <c r="T6021" t="s">
        <v>10777</v>
      </c>
      <c r="U6021" t="s">
        <v>58</v>
      </c>
      <c r="V6021">
        <v>2</v>
      </c>
      <c r="W6021">
        <v>1</v>
      </c>
      <c r="X6021">
        <v>2</v>
      </c>
      <c r="Y6021">
        <v>0</v>
      </c>
      <c r="Z6021">
        <v>2</v>
      </c>
      <c r="AA6021">
        <v>186.4</v>
      </c>
      <c r="AB6021">
        <v>186.4</v>
      </c>
      <c r="AC6021">
        <v>141.6</v>
      </c>
      <c r="AD6021">
        <v>0</v>
      </c>
      <c r="AE6021">
        <v>22.4</v>
      </c>
      <c r="AF6021">
        <v>0</v>
      </c>
      <c r="AG6021">
        <v>0</v>
      </c>
      <c r="AH6021">
        <v>0</v>
      </c>
      <c r="AI6021">
        <v>0</v>
      </c>
      <c r="AJ6021">
        <v>164</v>
      </c>
      <c r="AK6021">
        <v>0</v>
      </c>
      <c r="AL6021" t="s">
        <v>53</v>
      </c>
      <c r="AM6021" t="s">
        <v>53</v>
      </c>
      <c r="AN6021" t="s">
        <v>10778</v>
      </c>
      <c r="AO6021" t="s">
        <v>53</v>
      </c>
      <c r="AP6021" t="s">
        <v>53</v>
      </c>
    </row>
    <row r="6022" spans="2:42" x14ac:dyDescent="0.2">
      <c r="B6022" t="s">
        <v>44</v>
      </c>
      <c r="C6022" t="str">
        <f>HYPERLINK("https://us2.cloudbeds.com/connect/8493803454333002#/reservations/134696757895331?display=2TPHDC3UR4&amp;reservation_id=134696757895331", "2TPHDC3UR4")</f>
        <v>2TPHDC3UR4</v>
      </c>
      <c r="D6022" t="s">
        <v>45</v>
      </c>
      <c r="E6022" t="s">
        <v>213</v>
      </c>
      <c r="F6022" t="s">
        <v>86</v>
      </c>
      <c r="G6022" t="s">
        <v>48</v>
      </c>
      <c r="H6022" t="s">
        <v>3957</v>
      </c>
      <c r="I6022" t="s">
        <v>3975</v>
      </c>
      <c r="J6022" t="s">
        <v>10776</v>
      </c>
      <c r="K6022" t="s">
        <v>10779</v>
      </c>
      <c r="L6022" t="s">
        <v>53</v>
      </c>
      <c r="P6022" t="s">
        <v>55</v>
      </c>
      <c r="R6022" t="s">
        <v>53</v>
      </c>
      <c r="T6022" t="s">
        <v>10780</v>
      </c>
      <c r="U6022" t="s">
        <v>58</v>
      </c>
      <c r="V6022">
        <v>1</v>
      </c>
      <c r="W6022">
        <v>1</v>
      </c>
      <c r="X6022">
        <v>2</v>
      </c>
      <c r="Y6022">
        <v>0</v>
      </c>
      <c r="Z6022">
        <v>2</v>
      </c>
      <c r="AA6022">
        <v>92.06</v>
      </c>
      <c r="AB6022">
        <v>92.06</v>
      </c>
      <c r="AC6022">
        <v>81</v>
      </c>
      <c r="AD6022">
        <v>0</v>
      </c>
      <c r="AE6022">
        <v>11.06</v>
      </c>
      <c r="AF6022">
        <v>0</v>
      </c>
      <c r="AG6022">
        <v>0</v>
      </c>
      <c r="AH6022">
        <v>0</v>
      </c>
      <c r="AI6022">
        <v>0</v>
      </c>
      <c r="AJ6022">
        <v>92.06</v>
      </c>
      <c r="AK6022">
        <v>0</v>
      </c>
      <c r="AL6022" t="s">
        <v>53</v>
      </c>
      <c r="AM6022" t="s">
        <v>53</v>
      </c>
      <c r="AN6022" t="s">
        <v>53</v>
      </c>
      <c r="AO6022" t="s">
        <v>53</v>
      </c>
      <c r="AP6022" t="s">
        <v>53</v>
      </c>
    </row>
    <row r="6023" spans="2:42" x14ac:dyDescent="0.2">
      <c r="B6023" t="s">
        <v>44</v>
      </c>
      <c r="C6023" t="str">
        <f>HYPERLINK("https://us2.cloudbeds.com/connect/8493803454333002#/reservations/9080486846536708?display=2TQ3CVABJB&amp;reservation_id=9080486846536708", "2TQ3CVABJB")</f>
        <v>2TQ3CVABJB</v>
      </c>
      <c r="D6023" t="s">
        <v>45</v>
      </c>
      <c r="E6023" t="s">
        <v>78</v>
      </c>
      <c r="F6023" t="s">
        <v>61</v>
      </c>
      <c r="G6023" t="s">
        <v>48</v>
      </c>
      <c r="H6023" t="s">
        <v>49</v>
      </c>
      <c r="I6023" t="s">
        <v>50</v>
      </c>
      <c r="J6023" t="s">
        <v>7293</v>
      </c>
      <c r="K6023" t="s">
        <v>7294</v>
      </c>
      <c r="L6023" t="s">
        <v>53</v>
      </c>
      <c r="N6023" t="s">
        <v>10781</v>
      </c>
      <c r="P6023" t="s">
        <v>55</v>
      </c>
      <c r="R6023" t="s">
        <v>53</v>
      </c>
      <c r="T6023" t="s">
        <v>10782</v>
      </c>
      <c r="U6023" t="s">
        <v>58</v>
      </c>
      <c r="V6023">
        <v>1</v>
      </c>
      <c r="W6023">
        <v>1</v>
      </c>
      <c r="X6023">
        <v>2</v>
      </c>
      <c r="Y6023">
        <v>0</v>
      </c>
      <c r="Z6023">
        <v>2</v>
      </c>
      <c r="AA6023">
        <v>192.71</v>
      </c>
      <c r="AB6023">
        <v>192.71</v>
      </c>
      <c r="AC6023">
        <v>169.57</v>
      </c>
      <c r="AD6023">
        <v>0</v>
      </c>
      <c r="AE6023">
        <v>23.14</v>
      </c>
      <c r="AF6023">
        <v>0</v>
      </c>
      <c r="AG6023">
        <v>0</v>
      </c>
      <c r="AH6023">
        <v>0</v>
      </c>
      <c r="AI6023">
        <v>34.69</v>
      </c>
      <c r="AJ6023">
        <v>192.71</v>
      </c>
      <c r="AK6023">
        <v>0</v>
      </c>
      <c r="AL6023" t="s">
        <v>53</v>
      </c>
      <c r="AM6023" t="s">
        <v>53</v>
      </c>
      <c r="AN6023" t="s">
        <v>53</v>
      </c>
      <c r="AO6023" t="s">
        <v>53</v>
      </c>
      <c r="AP6023" t="s">
        <v>53</v>
      </c>
    </row>
    <row r="6024" spans="2:42" x14ac:dyDescent="0.2">
      <c r="B6024" t="s">
        <v>44</v>
      </c>
      <c r="C6024" t="str">
        <f>HYPERLINK("https://us2.cloudbeds.com/connect/8493803454333002#/reservations/134816768528607?display=2TSBAU8NHW&amp;reservation_id=134816768528607", "2TSBAU8NHW")</f>
        <v>2TSBAU8NHW</v>
      </c>
      <c r="D6024" t="s">
        <v>45</v>
      </c>
      <c r="E6024" t="s">
        <v>2468</v>
      </c>
      <c r="F6024" t="s">
        <v>86</v>
      </c>
      <c r="G6024" t="s">
        <v>48</v>
      </c>
      <c r="H6024" t="s">
        <v>3957</v>
      </c>
      <c r="I6024" t="s">
        <v>3958</v>
      </c>
      <c r="J6024" t="s">
        <v>7967</v>
      </c>
      <c r="K6024" t="s">
        <v>8670</v>
      </c>
      <c r="L6024" t="s">
        <v>53</v>
      </c>
      <c r="P6024" t="s">
        <v>55</v>
      </c>
      <c r="R6024" t="s">
        <v>56</v>
      </c>
      <c r="T6024" t="s">
        <v>10783</v>
      </c>
      <c r="U6024" t="s">
        <v>58</v>
      </c>
      <c r="V6024">
        <v>2</v>
      </c>
      <c r="W6024">
        <v>2</v>
      </c>
      <c r="X6024">
        <v>2</v>
      </c>
      <c r="Y6024">
        <v>0</v>
      </c>
      <c r="Z6024">
        <v>2</v>
      </c>
      <c r="AA6024">
        <v>595.54</v>
      </c>
      <c r="AB6024">
        <v>595.54</v>
      </c>
      <c r="AC6024">
        <v>524</v>
      </c>
      <c r="AD6024">
        <v>0</v>
      </c>
      <c r="AE6024">
        <v>71.540000000000006</v>
      </c>
      <c r="AF6024">
        <v>0</v>
      </c>
      <c r="AG6024">
        <v>0</v>
      </c>
      <c r="AH6024">
        <v>0</v>
      </c>
      <c r="AI6024">
        <v>0</v>
      </c>
      <c r="AJ6024">
        <v>595.54</v>
      </c>
      <c r="AK6024">
        <v>0</v>
      </c>
      <c r="AL6024" t="s">
        <v>53</v>
      </c>
      <c r="AM6024" t="s">
        <v>53</v>
      </c>
      <c r="AN6024" t="s">
        <v>53</v>
      </c>
      <c r="AO6024" t="s">
        <v>53</v>
      </c>
      <c r="AP6024" t="s">
        <v>53</v>
      </c>
    </row>
    <row r="6025" spans="2:42" x14ac:dyDescent="0.2">
      <c r="B6025" t="s">
        <v>44</v>
      </c>
      <c r="C6025" t="str">
        <f>HYPERLINK("https://us2.cloudbeds.com/connect/8493803454333002#/reservations/9080486846539832?display=2TU0D2NQHS&amp;reservation_id=9080486846539832", "2TU0D2NQHS")</f>
        <v>2TU0D2NQHS</v>
      </c>
      <c r="D6025" t="s">
        <v>45</v>
      </c>
      <c r="E6025" t="s">
        <v>113</v>
      </c>
      <c r="F6025" t="s">
        <v>61</v>
      </c>
      <c r="G6025" t="s">
        <v>48</v>
      </c>
      <c r="H6025" t="s">
        <v>49</v>
      </c>
      <c r="I6025" t="s">
        <v>8964</v>
      </c>
      <c r="J6025" t="s">
        <v>8314</v>
      </c>
      <c r="K6025" t="s">
        <v>5507</v>
      </c>
      <c r="L6025" t="s">
        <v>53</v>
      </c>
      <c r="N6025" t="s">
        <v>10784</v>
      </c>
      <c r="P6025" t="s">
        <v>55</v>
      </c>
      <c r="R6025" t="s">
        <v>53</v>
      </c>
      <c r="T6025" t="s">
        <v>10785</v>
      </c>
      <c r="U6025" t="s">
        <v>58</v>
      </c>
      <c r="V6025">
        <v>1</v>
      </c>
      <c r="W6025">
        <v>1</v>
      </c>
      <c r="X6025">
        <v>2</v>
      </c>
      <c r="Y6025">
        <v>0</v>
      </c>
      <c r="Z6025">
        <v>2</v>
      </c>
      <c r="AA6025">
        <v>0</v>
      </c>
      <c r="AB6025">
        <v>0</v>
      </c>
      <c r="AC6025">
        <v>279</v>
      </c>
      <c r="AD6025">
        <v>0</v>
      </c>
      <c r="AE6025">
        <v>0</v>
      </c>
      <c r="AF6025">
        <v>0</v>
      </c>
      <c r="AG6025">
        <v>0</v>
      </c>
      <c r="AH6025">
        <v>0</v>
      </c>
      <c r="AI6025">
        <v>41.85</v>
      </c>
      <c r="AJ6025">
        <v>279</v>
      </c>
      <c r="AK6025">
        <v>279</v>
      </c>
      <c r="AL6025" t="s">
        <v>53</v>
      </c>
      <c r="AM6025" t="s">
        <v>53</v>
      </c>
      <c r="AN6025" t="s">
        <v>53</v>
      </c>
      <c r="AO6025" t="s">
        <v>53</v>
      </c>
      <c r="AP6025" t="s">
        <v>53</v>
      </c>
    </row>
    <row r="6026" spans="2:42" x14ac:dyDescent="0.2">
      <c r="B6026" t="s">
        <v>44</v>
      </c>
      <c r="C6026" t="str">
        <f>HYPERLINK("https://us2.cloudbeds.com/connect/8493803454333002#/reservations/9080486846540139?display=2TUHGRTEVR&amp;reservation_id=9080486846540139", "2TUHGRTEVR")</f>
        <v>2TUHGRTEVR</v>
      </c>
      <c r="D6026" t="s">
        <v>45</v>
      </c>
      <c r="E6026" t="s">
        <v>6486</v>
      </c>
      <c r="F6026" t="s">
        <v>47</v>
      </c>
      <c r="G6026" t="s">
        <v>48</v>
      </c>
      <c r="H6026" t="s">
        <v>49</v>
      </c>
      <c r="I6026" t="s">
        <v>62</v>
      </c>
      <c r="J6026" t="s">
        <v>5403</v>
      </c>
      <c r="K6026" t="s">
        <v>5905</v>
      </c>
      <c r="L6026" t="s">
        <v>53</v>
      </c>
      <c r="N6026" t="s">
        <v>10786</v>
      </c>
      <c r="P6026" t="s">
        <v>55</v>
      </c>
      <c r="R6026" t="s">
        <v>56</v>
      </c>
      <c r="T6026" t="s">
        <v>10787</v>
      </c>
      <c r="U6026" t="s">
        <v>55</v>
      </c>
      <c r="V6026">
        <v>2</v>
      </c>
      <c r="W6026">
        <v>2</v>
      </c>
      <c r="X6026">
        <v>3</v>
      </c>
      <c r="Y6026">
        <v>0</v>
      </c>
      <c r="Z6026">
        <v>3</v>
      </c>
      <c r="AA6026">
        <v>326.8</v>
      </c>
      <c r="AB6026">
        <v>326.8</v>
      </c>
      <c r="AC6026">
        <v>326.8</v>
      </c>
      <c r="AD6026">
        <v>0</v>
      </c>
      <c r="AE6026">
        <v>0</v>
      </c>
      <c r="AF6026">
        <v>0</v>
      </c>
      <c r="AG6026">
        <v>0</v>
      </c>
      <c r="AH6026">
        <v>0</v>
      </c>
      <c r="AI6026">
        <v>58.82</v>
      </c>
      <c r="AJ6026">
        <v>326.8</v>
      </c>
      <c r="AK6026">
        <v>0</v>
      </c>
      <c r="AL6026" t="s">
        <v>53</v>
      </c>
      <c r="AM6026" t="s">
        <v>53</v>
      </c>
      <c r="AN6026" t="s">
        <v>53</v>
      </c>
      <c r="AO6026" t="s">
        <v>53</v>
      </c>
      <c r="AP6026" t="s">
        <v>53</v>
      </c>
    </row>
    <row r="6027" spans="2:42" x14ac:dyDescent="0.2">
      <c r="B6027" t="s">
        <v>44</v>
      </c>
      <c r="C6027" t="str">
        <f>HYPERLINK("https://us2.cloudbeds.com/connect/8493803454333002#/reservations/134904472850666?display=2TUD7VSP31&amp;reservation_id=134904472850666", "2TUD7VSP31")</f>
        <v>2TUD7VSP31</v>
      </c>
      <c r="D6027" t="s">
        <v>45</v>
      </c>
      <c r="E6027" t="s">
        <v>113</v>
      </c>
      <c r="F6027" t="s">
        <v>61</v>
      </c>
      <c r="G6027" t="s">
        <v>3974</v>
      </c>
      <c r="H6027" t="s">
        <v>3957</v>
      </c>
      <c r="I6027" t="s">
        <v>3975</v>
      </c>
      <c r="J6027" t="s">
        <v>9610</v>
      </c>
      <c r="K6027" t="s">
        <v>7088</v>
      </c>
      <c r="L6027" t="s">
        <v>53</v>
      </c>
      <c r="P6027" t="s">
        <v>55</v>
      </c>
      <c r="R6027" t="s">
        <v>53</v>
      </c>
      <c r="T6027" t="s">
        <v>10788</v>
      </c>
      <c r="U6027" t="s">
        <v>58</v>
      </c>
      <c r="V6027">
        <v>1</v>
      </c>
      <c r="W6027">
        <v>1</v>
      </c>
      <c r="X6027">
        <v>2</v>
      </c>
      <c r="Y6027">
        <v>0</v>
      </c>
      <c r="Z6027">
        <v>2</v>
      </c>
      <c r="AA6027">
        <v>198.67</v>
      </c>
      <c r="AB6027">
        <v>198.67</v>
      </c>
      <c r="AC6027">
        <v>174.8</v>
      </c>
      <c r="AD6027">
        <v>0</v>
      </c>
      <c r="AE6027">
        <v>23.87</v>
      </c>
      <c r="AF6027">
        <v>0</v>
      </c>
      <c r="AG6027">
        <v>0</v>
      </c>
      <c r="AH6027">
        <v>0</v>
      </c>
      <c r="AI6027">
        <v>0</v>
      </c>
      <c r="AJ6027">
        <v>198.67</v>
      </c>
      <c r="AK6027">
        <v>0</v>
      </c>
      <c r="AL6027" t="s">
        <v>53</v>
      </c>
      <c r="AM6027" t="s">
        <v>53</v>
      </c>
      <c r="AN6027" t="s">
        <v>53</v>
      </c>
      <c r="AO6027" t="s">
        <v>53</v>
      </c>
      <c r="AP6027" t="s">
        <v>53</v>
      </c>
    </row>
    <row r="6028" spans="2:42" x14ac:dyDescent="0.2">
      <c r="B6028" t="s">
        <v>44</v>
      </c>
      <c r="C6028" t="str">
        <f>HYPERLINK("https://us2.cloudbeds.com/connect/8493803454333002#/reservations/9080486846543052?display=2U21GZVC5C&amp;reservation_id=9080486846543052", "2U21GZVC5C")</f>
        <v>2U21GZVC5C</v>
      </c>
      <c r="D6028" t="s">
        <v>45</v>
      </c>
      <c r="E6028" t="s">
        <v>213</v>
      </c>
      <c r="F6028" t="s">
        <v>86</v>
      </c>
      <c r="G6028" t="s">
        <v>48</v>
      </c>
      <c r="H6028" t="s">
        <v>49</v>
      </c>
      <c r="I6028" t="s">
        <v>62</v>
      </c>
      <c r="J6028" t="s">
        <v>8314</v>
      </c>
      <c r="K6028" t="s">
        <v>6454</v>
      </c>
      <c r="L6028" t="s">
        <v>53</v>
      </c>
      <c r="N6028" t="s">
        <v>10789</v>
      </c>
      <c r="P6028" t="s">
        <v>55</v>
      </c>
      <c r="R6028" t="s">
        <v>56</v>
      </c>
      <c r="T6028" t="s">
        <v>10790</v>
      </c>
      <c r="U6028" t="s">
        <v>55</v>
      </c>
      <c r="V6028">
        <v>2</v>
      </c>
      <c r="W6028">
        <v>1</v>
      </c>
      <c r="X6028">
        <v>2</v>
      </c>
      <c r="Y6028">
        <v>0</v>
      </c>
      <c r="Z6028">
        <v>2</v>
      </c>
      <c r="AA6028">
        <v>483</v>
      </c>
      <c r="AB6028">
        <v>483</v>
      </c>
      <c r="AC6028">
        <v>483</v>
      </c>
      <c r="AD6028">
        <v>0</v>
      </c>
      <c r="AE6028">
        <v>0</v>
      </c>
      <c r="AF6028">
        <v>0</v>
      </c>
      <c r="AG6028">
        <v>0</v>
      </c>
      <c r="AH6028">
        <v>0</v>
      </c>
      <c r="AI6028">
        <v>86.94</v>
      </c>
      <c r="AJ6028">
        <v>483</v>
      </c>
      <c r="AK6028">
        <v>0</v>
      </c>
      <c r="AL6028" t="s">
        <v>53</v>
      </c>
      <c r="AM6028" t="s">
        <v>53</v>
      </c>
      <c r="AN6028" t="s">
        <v>53</v>
      </c>
      <c r="AO6028" t="s">
        <v>53</v>
      </c>
      <c r="AP6028" t="s">
        <v>53</v>
      </c>
    </row>
    <row r="6029" spans="2:42" x14ac:dyDescent="0.2">
      <c r="B6029" t="s">
        <v>44</v>
      </c>
      <c r="C6029" t="str">
        <f>HYPERLINK("https://us2.cloudbeds.com/connect/8493803454333002#/reservations/135137817305325?display=2U2SUF364K&amp;reservation_id=135137817305325", "2U2SUF364K")</f>
        <v>2U2SUF364K</v>
      </c>
      <c r="D6029" t="s">
        <v>45</v>
      </c>
      <c r="E6029" t="s">
        <v>138</v>
      </c>
      <c r="F6029" t="s">
        <v>70</v>
      </c>
      <c r="G6029" t="s">
        <v>8291</v>
      </c>
      <c r="H6029" t="s">
        <v>3957</v>
      </c>
      <c r="I6029" t="s">
        <v>3989</v>
      </c>
      <c r="J6029" t="s">
        <v>8394</v>
      </c>
      <c r="K6029" t="s">
        <v>7624</v>
      </c>
      <c r="L6029" t="s">
        <v>53</v>
      </c>
      <c r="P6029" t="s">
        <v>55</v>
      </c>
      <c r="R6029" t="s">
        <v>56</v>
      </c>
      <c r="T6029" t="s">
        <v>10791</v>
      </c>
      <c r="U6029" t="s">
        <v>58</v>
      </c>
      <c r="V6029">
        <v>2</v>
      </c>
      <c r="W6029">
        <v>2</v>
      </c>
      <c r="X6029">
        <v>2</v>
      </c>
      <c r="Y6029">
        <v>0</v>
      </c>
      <c r="Z6029">
        <v>2</v>
      </c>
      <c r="AA6029">
        <v>399.6</v>
      </c>
      <c r="AB6029">
        <v>399.6</v>
      </c>
      <c r="AC6029">
        <v>351.6</v>
      </c>
      <c r="AD6029">
        <v>0</v>
      </c>
      <c r="AE6029">
        <v>48</v>
      </c>
      <c r="AF6029">
        <v>0</v>
      </c>
      <c r="AG6029">
        <v>0</v>
      </c>
      <c r="AH6029">
        <v>0</v>
      </c>
      <c r="AI6029">
        <v>0</v>
      </c>
      <c r="AJ6029">
        <v>399.6</v>
      </c>
      <c r="AK6029">
        <v>0</v>
      </c>
      <c r="AL6029" t="s">
        <v>53</v>
      </c>
      <c r="AM6029" t="s">
        <v>53</v>
      </c>
      <c r="AN6029" t="s">
        <v>53</v>
      </c>
      <c r="AO6029" t="s">
        <v>53</v>
      </c>
      <c r="AP6029" t="s">
        <v>53</v>
      </c>
    </row>
    <row r="6030" spans="2:42" x14ac:dyDescent="0.2">
      <c r="B6030" t="s">
        <v>44</v>
      </c>
      <c r="C6030" t="str">
        <f>HYPERLINK("https://us2.cloudbeds.com/connect/8493803454333002#/reservations/135141393989784?display=2U2VMS1N75&amp;reservation_id=135141393989784", "2U2VMS1N75")</f>
        <v>2U2VMS1N75</v>
      </c>
      <c r="D6030" t="s">
        <v>45</v>
      </c>
      <c r="E6030" t="s">
        <v>487</v>
      </c>
      <c r="F6030" t="s">
        <v>61</v>
      </c>
      <c r="G6030" t="s">
        <v>48</v>
      </c>
      <c r="H6030" t="s">
        <v>3957</v>
      </c>
      <c r="I6030" t="s">
        <v>3975</v>
      </c>
      <c r="J6030" t="s">
        <v>8911</v>
      </c>
      <c r="K6030" t="s">
        <v>9135</v>
      </c>
      <c r="L6030" t="s">
        <v>53</v>
      </c>
      <c r="P6030" t="s">
        <v>55</v>
      </c>
      <c r="R6030" t="s">
        <v>53</v>
      </c>
      <c r="T6030" t="s">
        <v>10792</v>
      </c>
      <c r="U6030" t="s">
        <v>58</v>
      </c>
      <c r="V6030">
        <v>1</v>
      </c>
      <c r="W6030">
        <v>1</v>
      </c>
      <c r="X6030">
        <v>2</v>
      </c>
      <c r="Y6030">
        <v>0</v>
      </c>
      <c r="Z6030">
        <v>2</v>
      </c>
      <c r="AA6030">
        <v>219.35</v>
      </c>
      <c r="AB6030">
        <v>219.35</v>
      </c>
      <c r="AC6030">
        <v>193</v>
      </c>
      <c r="AD6030">
        <v>0</v>
      </c>
      <c r="AE6030">
        <v>26.35</v>
      </c>
      <c r="AF6030">
        <v>0</v>
      </c>
      <c r="AG6030">
        <v>0</v>
      </c>
      <c r="AH6030">
        <v>0</v>
      </c>
      <c r="AI6030">
        <v>0</v>
      </c>
      <c r="AJ6030">
        <v>219.35</v>
      </c>
      <c r="AK6030">
        <v>0</v>
      </c>
      <c r="AL6030" t="s">
        <v>53</v>
      </c>
      <c r="AM6030" t="s">
        <v>53</v>
      </c>
      <c r="AN6030" t="s">
        <v>10793</v>
      </c>
      <c r="AO6030" t="s">
        <v>53</v>
      </c>
      <c r="AP6030" t="s">
        <v>53</v>
      </c>
    </row>
    <row r="6031" spans="2:42" x14ac:dyDescent="0.2">
      <c r="B6031" t="s">
        <v>44</v>
      </c>
      <c r="C6031" t="str">
        <f>HYPERLINK("https://us2.cloudbeds.com/connect/8493803454333002#/reservations/9080486846544080?display=2U37K6BBDS&amp;reservation_id=9080486846544080", "2U37K6BBDS")</f>
        <v>2U37K6BBDS</v>
      </c>
      <c r="D6031" t="s">
        <v>45</v>
      </c>
      <c r="E6031" t="s">
        <v>105</v>
      </c>
      <c r="F6031" t="s">
        <v>47</v>
      </c>
      <c r="G6031" t="s">
        <v>48</v>
      </c>
      <c r="H6031" t="s">
        <v>49</v>
      </c>
      <c r="I6031" t="s">
        <v>50</v>
      </c>
      <c r="J6031" t="s">
        <v>7088</v>
      </c>
      <c r="K6031" t="s">
        <v>9620</v>
      </c>
      <c r="L6031" t="s">
        <v>53</v>
      </c>
      <c r="N6031" t="s">
        <v>10794</v>
      </c>
      <c r="P6031" t="s">
        <v>55</v>
      </c>
      <c r="R6031" t="s">
        <v>53</v>
      </c>
      <c r="T6031" t="s">
        <v>10795</v>
      </c>
      <c r="U6031" t="s">
        <v>58</v>
      </c>
      <c r="V6031">
        <v>1</v>
      </c>
      <c r="W6031">
        <v>1</v>
      </c>
      <c r="X6031">
        <v>2</v>
      </c>
      <c r="Y6031">
        <v>0</v>
      </c>
      <c r="Z6031">
        <v>2</v>
      </c>
      <c r="AA6031">
        <v>181.05</v>
      </c>
      <c r="AB6031">
        <v>181.05</v>
      </c>
      <c r="AC6031">
        <v>159.30000000000001</v>
      </c>
      <c r="AD6031">
        <v>0</v>
      </c>
      <c r="AE6031">
        <v>21.75</v>
      </c>
      <c r="AF6031">
        <v>0</v>
      </c>
      <c r="AG6031">
        <v>0</v>
      </c>
      <c r="AH6031">
        <v>0</v>
      </c>
      <c r="AI6031">
        <v>32.590000000000003</v>
      </c>
      <c r="AJ6031">
        <v>181.05</v>
      </c>
      <c r="AK6031">
        <v>0</v>
      </c>
      <c r="AL6031" t="s">
        <v>53</v>
      </c>
      <c r="AM6031" t="s">
        <v>53</v>
      </c>
      <c r="AN6031" t="s">
        <v>53</v>
      </c>
      <c r="AO6031" t="s">
        <v>53</v>
      </c>
      <c r="AP6031" t="s">
        <v>53</v>
      </c>
    </row>
    <row r="6032" spans="2:42" x14ac:dyDescent="0.2">
      <c r="B6032" t="s">
        <v>44</v>
      </c>
      <c r="C6032" t="str">
        <f>HYPERLINK("https://us2.cloudbeds.com/connect/8493803454333002#/reservations/9080486846544092?display=2U382SQWHT&amp;reservation_id=9080486846544092", "2U382SQWHT")</f>
        <v>2U382SQWHT</v>
      </c>
      <c r="D6032" t="s">
        <v>45</v>
      </c>
      <c r="E6032" t="s">
        <v>305</v>
      </c>
      <c r="F6032" t="s">
        <v>61</v>
      </c>
      <c r="G6032" t="s">
        <v>48</v>
      </c>
      <c r="H6032" t="s">
        <v>49</v>
      </c>
      <c r="I6032" t="s">
        <v>50</v>
      </c>
      <c r="J6032" t="s">
        <v>7624</v>
      </c>
      <c r="K6032" t="s">
        <v>7967</v>
      </c>
      <c r="L6032" t="s">
        <v>53</v>
      </c>
      <c r="N6032" t="s">
        <v>10796</v>
      </c>
      <c r="P6032" t="s">
        <v>55</v>
      </c>
      <c r="R6032" t="s">
        <v>53</v>
      </c>
      <c r="T6032" t="s">
        <v>10797</v>
      </c>
      <c r="U6032" t="s">
        <v>58</v>
      </c>
      <c r="V6032">
        <v>3</v>
      </c>
      <c r="W6032">
        <v>1</v>
      </c>
      <c r="X6032">
        <v>2</v>
      </c>
      <c r="Y6032">
        <v>0</v>
      </c>
      <c r="Z6032">
        <v>2</v>
      </c>
      <c r="AA6032">
        <v>704.76</v>
      </c>
      <c r="AB6032">
        <v>704.76</v>
      </c>
      <c r="AC6032">
        <v>620.1</v>
      </c>
      <c r="AD6032">
        <v>0</v>
      </c>
      <c r="AE6032">
        <v>84.66</v>
      </c>
      <c r="AF6032">
        <v>0</v>
      </c>
      <c r="AG6032">
        <v>0</v>
      </c>
      <c r="AH6032">
        <v>0</v>
      </c>
      <c r="AI6032">
        <v>126.86</v>
      </c>
      <c r="AJ6032">
        <v>704.76</v>
      </c>
      <c r="AK6032">
        <v>0</v>
      </c>
      <c r="AL6032" t="s">
        <v>53</v>
      </c>
      <c r="AM6032" t="s">
        <v>53</v>
      </c>
      <c r="AN6032" t="s">
        <v>53</v>
      </c>
      <c r="AO6032" t="s">
        <v>53</v>
      </c>
      <c r="AP6032" t="s">
        <v>53</v>
      </c>
    </row>
    <row r="6033" spans="2:42" x14ac:dyDescent="0.2">
      <c r="B6033" t="s">
        <v>44</v>
      </c>
      <c r="C6033" t="str">
        <f>HYPERLINK("https://us2.cloudbeds.com/connect/8493803454333002#/reservations/9080486846544612?display=2U3WEEAX9T&amp;reservation_id=9080486846544612", "2U3WEEAX9T")</f>
        <v>2U3WEEAX9T</v>
      </c>
      <c r="D6033" t="s">
        <v>45</v>
      </c>
      <c r="E6033" t="s">
        <v>113</v>
      </c>
      <c r="F6033" t="s">
        <v>61</v>
      </c>
      <c r="G6033" t="s">
        <v>48</v>
      </c>
      <c r="H6033" t="s">
        <v>49</v>
      </c>
      <c r="I6033" t="s">
        <v>50</v>
      </c>
      <c r="J6033" t="s">
        <v>7967</v>
      </c>
      <c r="K6033" t="s">
        <v>8670</v>
      </c>
      <c r="L6033" t="s">
        <v>53</v>
      </c>
      <c r="N6033" t="s">
        <v>10798</v>
      </c>
      <c r="P6033" t="s">
        <v>55</v>
      </c>
      <c r="R6033" t="s">
        <v>53</v>
      </c>
      <c r="T6033" t="s">
        <v>10799</v>
      </c>
      <c r="U6033" t="s">
        <v>58</v>
      </c>
      <c r="V6033">
        <v>1</v>
      </c>
      <c r="W6033">
        <v>1</v>
      </c>
      <c r="X6033">
        <v>1</v>
      </c>
      <c r="Y6033">
        <v>0</v>
      </c>
      <c r="Z6033">
        <v>1</v>
      </c>
      <c r="AA6033">
        <v>271.06</v>
      </c>
      <c r="AB6033">
        <v>271.06</v>
      </c>
      <c r="AC6033">
        <v>238.5</v>
      </c>
      <c r="AD6033">
        <v>0</v>
      </c>
      <c r="AE6033">
        <v>32.56</v>
      </c>
      <c r="AF6033">
        <v>0</v>
      </c>
      <c r="AG6033">
        <v>0</v>
      </c>
      <c r="AH6033">
        <v>0</v>
      </c>
      <c r="AI6033">
        <v>48.79</v>
      </c>
      <c r="AJ6033">
        <v>271.06</v>
      </c>
      <c r="AK6033">
        <v>0</v>
      </c>
      <c r="AL6033" t="s">
        <v>53</v>
      </c>
      <c r="AM6033" t="s">
        <v>53</v>
      </c>
      <c r="AN6033" t="s">
        <v>53</v>
      </c>
      <c r="AO6033" t="s">
        <v>53</v>
      </c>
      <c r="AP6033" t="s">
        <v>53</v>
      </c>
    </row>
    <row r="6034" spans="2:42" x14ac:dyDescent="0.2">
      <c r="B6034" t="s">
        <v>44</v>
      </c>
      <c r="C6034" t="str">
        <f>HYPERLINK("https://us2.cloudbeds.com/connect/8493803454333002#/reservations/9080486846544810?display=2U48Y6HE69&amp;reservation_id=9080486846544810", "2U48Y6HE69")</f>
        <v>2U48Y6HE69</v>
      </c>
      <c r="D6034" t="s">
        <v>45</v>
      </c>
      <c r="E6034" t="s">
        <v>138</v>
      </c>
      <c r="F6034" t="s">
        <v>70</v>
      </c>
      <c r="G6034" t="s">
        <v>48</v>
      </c>
      <c r="H6034" t="s">
        <v>49</v>
      </c>
      <c r="I6034" t="s">
        <v>62</v>
      </c>
      <c r="J6034" t="s">
        <v>7966</v>
      </c>
      <c r="K6034" t="s">
        <v>8060</v>
      </c>
      <c r="L6034" t="s">
        <v>53</v>
      </c>
      <c r="N6034" t="s">
        <v>10800</v>
      </c>
      <c r="P6034" t="s">
        <v>55</v>
      </c>
      <c r="R6034" t="s">
        <v>56</v>
      </c>
      <c r="T6034" t="s">
        <v>10801</v>
      </c>
      <c r="U6034" t="s">
        <v>55</v>
      </c>
      <c r="V6034">
        <v>1</v>
      </c>
      <c r="W6034">
        <v>1</v>
      </c>
      <c r="X6034">
        <v>2</v>
      </c>
      <c r="Y6034">
        <v>0</v>
      </c>
      <c r="Z6034">
        <v>2</v>
      </c>
      <c r="AA6034">
        <v>164</v>
      </c>
      <c r="AB6034">
        <v>164</v>
      </c>
      <c r="AC6034">
        <v>164</v>
      </c>
      <c r="AD6034">
        <v>0</v>
      </c>
      <c r="AE6034">
        <v>0</v>
      </c>
      <c r="AF6034">
        <v>0</v>
      </c>
      <c r="AG6034">
        <v>0</v>
      </c>
      <c r="AH6034">
        <v>0</v>
      </c>
      <c r="AI6034">
        <v>29.52</v>
      </c>
      <c r="AJ6034">
        <v>164</v>
      </c>
      <c r="AK6034">
        <v>0</v>
      </c>
      <c r="AL6034" t="s">
        <v>53</v>
      </c>
      <c r="AM6034" t="s">
        <v>53</v>
      </c>
      <c r="AN6034" t="s">
        <v>53</v>
      </c>
      <c r="AO6034" t="s">
        <v>53</v>
      </c>
      <c r="AP6034" t="s">
        <v>53</v>
      </c>
    </row>
    <row r="6035" spans="2:42" x14ac:dyDescent="0.2">
      <c r="B6035" t="s">
        <v>44</v>
      </c>
      <c r="C6035" t="str">
        <f>HYPERLINK("https://us2.cloudbeds.com/connect/8493803454333002#/reservations/135230322598105?display=2U51X60AXU&amp;reservation_id=135230322598105", "2U51X60AXU")</f>
        <v>2U51X60AXU</v>
      </c>
      <c r="D6035" t="s">
        <v>45</v>
      </c>
      <c r="E6035" t="s">
        <v>305</v>
      </c>
      <c r="F6035" t="s">
        <v>61</v>
      </c>
      <c r="G6035" t="s">
        <v>4520</v>
      </c>
      <c r="H6035" t="s">
        <v>3957</v>
      </c>
      <c r="I6035" t="s">
        <v>3958</v>
      </c>
      <c r="J6035" t="s">
        <v>7989</v>
      </c>
      <c r="K6035" t="s">
        <v>8799</v>
      </c>
      <c r="L6035" t="s">
        <v>53</v>
      </c>
      <c r="P6035" t="s">
        <v>55</v>
      </c>
      <c r="R6035" t="s">
        <v>56</v>
      </c>
      <c r="T6035" t="s">
        <v>10802</v>
      </c>
      <c r="U6035" t="s">
        <v>58</v>
      </c>
      <c r="V6035">
        <v>1</v>
      </c>
      <c r="W6035">
        <v>1</v>
      </c>
      <c r="X6035">
        <v>1</v>
      </c>
      <c r="Y6035">
        <v>0</v>
      </c>
      <c r="Z6035">
        <v>1</v>
      </c>
      <c r="AA6035">
        <v>339.6</v>
      </c>
      <c r="AB6035">
        <v>339.6</v>
      </c>
      <c r="AC6035">
        <v>298.8</v>
      </c>
      <c r="AD6035">
        <v>0</v>
      </c>
      <c r="AE6035">
        <v>40.799999999999997</v>
      </c>
      <c r="AF6035">
        <v>0</v>
      </c>
      <c r="AG6035">
        <v>0</v>
      </c>
      <c r="AH6035">
        <v>0</v>
      </c>
      <c r="AI6035">
        <v>0</v>
      </c>
      <c r="AJ6035">
        <v>339.6</v>
      </c>
      <c r="AK6035">
        <v>0</v>
      </c>
      <c r="AL6035" t="s">
        <v>53</v>
      </c>
      <c r="AM6035" t="s">
        <v>53</v>
      </c>
      <c r="AN6035" t="s">
        <v>53</v>
      </c>
      <c r="AO6035" t="s">
        <v>53</v>
      </c>
      <c r="AP6035" t="s">
        <v>53</v>
      </c>
    </row>
    <row r="6036" spans="2:42" x14ac:dyDescent="0.2">
      <c r="B6036" t="s">
        <v>44</v>
      </c>
      <c r="C6036" t="str">
        <f>HYPERLINK("https://us2.cloudbeds.com/connect/8493803454333002#/reservations/135244722167971?display=2U5CN43J2U&amp;reservation_id=135244722167971", "2U5CN43J2U")</f>
        <v>2U5CN43J2U</v>
      </c>
      <c r="D6036" t="s">
        <v>45</v>
      </c>
      <c r="E6036" t="s">
        <v>155</v>
      </c>
      <c r="F6036" t="s">
        <v>86</v>
      </c>
      <c r="G6036" t="s">
        <v>48</v>
      </c>
      <c r="H6036" t="s">
        <v>3957</v>
      </c>
      <c r="I6036" t="s">
        <v>3975</v>
      </c>
      <c r="J6036" t="s">
        <v>8314</v>
      </c>
      <c r="K6036" t="s">
        <v>6454</v>
      </c>
      <c r="L6036" t="s">
        <v>53</v>
      </c>
      <c r="P6036" t="s">
        <v>55</v>
      </c>
      <c r="R6036" t="s">
        <v>53</v>
      </c>
      <c r="T6036" t="s">
        <v>10803</v>
      </c>
      <c r="U6036" t="s">
        <v>58</v>
      </c>
      <c r="V6036">
        <v>2</v>
      </c>
      <c r="W6036">
        <v>1</v>
      </c>
      <c r="X6036">
        <v>2</v>
      </c>
      <c r="Y6036">
        <v>0</v>
      </c>
      <c r="Z6036">
        <v>2</v>
      </c>
      <c r="AA6036">
        <v>531.9</v>
      </c>
      <c r="AB6036">
        <v>531.9</v>
      </c>
      <c r="AC6036">
        <v>468</v>
      </c>
      <c r="AD6036">
        <v>0</v>
      </c>
      <c r="AE6036">
        <v>63.9</v>
      </c>
      <c r="AF6036">
        <v>0</v>
      </c>
      <c r="AG6036">
        <v>0</v>
      </c>
      <c r="AH6036">
        <v>0</v>
      </c>
      <c r="AI6036">
        <v>0</v>
      </c>
      <c r="AJ6036">
        <v>531.9</v>
      </c>
      <c r="AK6036">
        <v>0</v>
      </c>
      <c r="AL6036" t="s">
        <v>53</v>
      </c>
      <c r="AM6036" t="s">
        <v>53</v>
      </c>
      <c r="AN6036" t="s">
        <v>53</v>
      </c>
      <c r="AO6036" t="s">
        <v>53</v>
      </c>
      <c r="AP6036" t="s">
        <v>53</v>
      </c>
    </row>
    <row r="6037" spans="2:42" x14ac:dyDescent="0.2">
      <c r="B6037" t="s">
        <v>44</v>
      </c>
      <c r="C6037" t="str">
        <f>HYPERLINK("https://us2.cloudbeds.com/connect/8493803454333002#/reservations/9080486846545822?display=2U62GGU0WD&amp;reservation_id=9080486846545822", "2U62GGU0WD")</f>
        <v>2U62GGU0WD</v>
      </c>
      <c r="D6037" t="s">
        <v>45</v>
      </c>
      <c r="E6037" t="s">
        <v>165</v>
      </c>
      <c r="F6037" t="s">
        <v>61</v>
      </c>
      <c r="G6037" t="s">
        <v>48</v>
      </c>
      <c r="H6037" t="s">
        <v>49</v>
      </c>
      <c r="I6037" t="s">
        <v>50</v>
      </c>
      <c r="J6037" t="s">
        <v>8313</v>
      </c>
      <c r="K6037" t="s">
        <v>8900</v>
      </c>
      <c r="L6037" t="s">
        <v>53</v>
      </c>
      <c r="N6037" t="s">
        <v>10804</v>
      </c>
      <c r="P6037" t="s">
        <v>55</v>
      </c>
      <c r="R6037" t="s">
        <v>53</v>
      </c>
      <c r="T6037" t="s">
        <v>10805</v>
      </c>
      <c r="U6037" t="s">
        <v>58</v>
      </c>
      <c r="V6037">
        <v>1</v>
      </c>
      <c r="W6037">
        <v>1</v>
      </c>
      <c r="X6037">
        <v>2</v>
      </c>
      <c r="Y6037">
        <v>0</v>
      </c>
      <c r="Z6037">
        <v>2</v>
      </c>
      <c r="AA6037">
        <v>210.71</v>
      </c>
      <c r="AB6037">
        <v>210.71</v>
      </c>
      <c r="AC6037">
        <v>185.4</v>
      </c>
      <c r="AD6037">
        <v>0</v>
      </c>
      <c r="AE6037">
        <v>25.31</v>
      </c>
      <c r="AF6037">
        <v>0</v>
      </c>
      <c r="AG6037">
        <v>0</v>
      </c>
      <c r="AH6037">
        <v>0</v>
      </c>
      <c r="AI6037">
        <v>37.93</v>
      </c>
      <c r="AJ6037">
        <v>210.71</v>
      </c>
      <c r="AK6037">
        <v>0</v>
      </c>
      <c r="AL6037" t="s">
        <v>53</v>
      </c>
      <c r="AM6037" t="s">
        <v>53</v>
      </c>
      <c r="AN6037" t="s">
        <v>53</v>
      </c>
      <c r="AO6037" t="s">
        <v>53</v>
      </c>
      <c r="AP6037" t="s">
        <v>53</v>
      </c>
    </row>
    <row r="6038" spans="2:42" x14ac:dyDescent="0.2">
      <c r="B6038" t="s">
        <v>44</v>
      </c>
      <c r="C6038" t="str">
        <f>HYPERLINK("https://us2.cloudbeds.com/connect/8493803454333002#/reservations/9080486846547627?display=2U97W0526U&amp;reservation_id=9080486846547627", "2U97W0526U")</f>
        <v>2U97W0526U</v>
      </c>
      <c r="D6038" t="s">
        <v>45</v>
      </c>
      <c r="E6038" t="s">
        <v>128</v>
      </c>
      <c r="F6038" t="s">
        <v>86</v>
      </c>
      <c r="G6038" t="s">
        <v>48</v>
      </c>
      <c r="H6038" t="s">
        <v>49</v>
      </c>
      <c r="I6038" t="s">
        <v>50</v>
      </c>
      <c r="J6038" t="s">
        <v>6828</v>
      </c>
      <c r="K6038" t="s">
        <v>6992</v>
      </c>
      <c r="L6038" t="s">
        <v>53</v>
      </c>
      <c r="N6038" t="s">
        <v>10806</v>
      </c>
      <c r="P6038" t="s">
        <v>55</v>
      </c>
      <c r="R6038" t="s">
        <v>53</v>
      </c>
      <c r="T6038" t="s">
        <v>10807</v>
      </c>
      <c r="U6038" t="s">
        <v>58</v>
      </c>
      <c r="V6038">
        <v>1</v>
      </c>
      <c r="W6038">
        <v>1</v>
      </c>
      <c r="X6038">
        <v>2</v>
      </c>
      <c r="Y6038">
        <v>0</v>
      </c>
      <c r="Z6038">
        <v>2</v>
      </c>
      <c r="AA6038">
        <v>153.74</v>
      </c>
      <c r="AB6038">
        <v>153.74</v>
      </c>
      <c r="AC6038">
        <v>135.28</v>
      </c>
      <c r="AD6038">
        <v>0</v>
      </c>
      <c r="AE6038">
        <v>18.46</v>
      </c>
      <c r="AF6038">
        <v>0</v>
      </c>
      <c r="AG6038">
        <v>0</v>
      </c>
      <c r="AH6038">
        <v>0</v>
      </c>
      <c r="AI6038">
        <v>27.67</v>
      </c>
      <c r="AJ6038">
        <v>153.74</v>
      </c>
      <c r="AK6038">
        <v>0</v>
      </c>
      <c r="AL6038" t="s">
        <v>53</v>
      </c>
      <c r="AM6038" t="s">
        <v>53</v>
      </c>
      <c r="AN6038" t="s">
        <v>53</v>
      </c>
      <c r="AO6038" t="s">
        <v>53</v>
      </c>
      <c r="AP6038" t="s">
        <v>53</v>
      </c>
    </row>
    <row r="6039" spans="2:42" x14ac:dyDescent="0.2">
      <c r="B6039" t="s">
        <v>44</v>
      </c>
      <c r="C6039" t="str">
        <f>HYPERLINK("https://us2.cloudbeds.com/connect/8493803454333002#/reservations/9080486846547699?display=2U9AC6P8Y3&amp;reservation_id=9080486846547699", "2U9AC6P8Y3")</f>
        <v>2U9AC6P8Y3</v>
      </c>
      <c r="D6039" t="s">
        <v>45</v>
      </c>
      <c r="E6039" t="s">
        <v>98</v>
      </c>
      <c r="F6039" t="s">
        <v>86</v>
      </c>
      <c r="G6039" t="s">
        <v>48</v>
      </c>
      <c r="H6039" t="s">
        <v>49</v>
      </c>
      <c r="I6039" t="s">
        <v>50</v>
      </c>
      <c r="J6039" t="s">
        <v>5402</v>
      </c>
      <c r="K6039" t="s">
        <v>8138</v>
      </c>
      <c r="L6039" t="s">
        <v>53</v>
      </c>
      <c r="N6039" t="s">
        <v>10808</v>
      </c>
      <c r="P6039" t="s">
        <v>55</v>
      </c>
      <c r="R6039" t="s">
        <v>53</v>
      </c>
      <c r="T6039" t="s">
        <v>10809</v>
      </c>
      <c r="U6039" t="s">
        <v>58</v>
      </c>
      <c r="V6039">
        <v>1</v>
      </c>
      <c r="W6039">
        <v>1</v>
      </c>
      <c r="X6039">
        <v>2</v>
      </c>
      <c r="Y6039">
        <v>0</v>
      </c>
      <c r="Z6039">
        <v>2</v>
      </c>
      <c r="AA6039">
        <v>194.35</v>
      </c>
      <c r="AB6039">
        <v>194.35</v>
      </c>
      <c r="AC6039">
        <v>171</v>
      </c>
      <c r="AD6039">
        <v>0</v>
      </c>
      <c r="AE6039">
        <v>23.35</v>
      </c>
      <c r="AF6039">
        <v>0</v>
      </c>
      <c r="AG6039">
        <v>0</v>
      </c>
      <c r="AH6039">
        <v>0</v>
      </c>
      <c r="AI6039">
        <v>34.979999999999997</v>
      </c>
      <c r="AJ6039">
        <v>194.35</v>
      </c>
      <c r="AK6039">
        <v>0</v>
      </c>
      <c r="AL6039" t="s">
        <v>53</v>
      </c>
      <c r="AM6039" t="s">
        <v>53</v>
      </c>
      <c r="AN6039" t="s">
        <v>53</v>
      </c>
      <c r="AO6039" t="s">
        <v>53</v>
      </c>
      <c r="AP6039" t="s">
        <v>53</v>
      </c>
    </row>
    <row r="6040" spans="2:42" x14ac:dyDescent="0.2">
      <c r="B6040" t="s">
        <v>44</v>
      </c>
      <c r="C6040" t="str">
        <f>HYPERLINK("https://us2.cloudbeds.com/connect/8493803454333002#/reservations/135448891175058?display=2UA5Q3R5HK&amp;reservation_id=135448891175058", "2UA5Q3R5HK")</f>
        <v>2UA5Q3R5HK</v>
      </c>
      <c r="D6040" t="s">
        <v>45</v>
      </c>
      <c r="E6040" t="s">
        <v>185</v>
      </c>
      <c r="F6040" t="s">
        <v>47</v>
      </c>
      <c r="G6040" t="s">
        <v>48</v>
      </c>
      <c r="H6040" t="s">
        <v>3957</v>
      </c>
      <c r="I6040" t="s">
        <v>3989</v>
      </c>
      <c r="J6040" t="s">
        <v>7623</v>
      </c>
      <c r="K6040" t="s">
        <v>7624</v>
      </c>
      <c r="L6040" t="s">
        <v>53</v>
      </c>
      <c r="P6040" t="s">
        <v>55</v>
      </c>
      <c r="R6040" t="s">
        <v>56</v>
      </c>
      <c r="T6040" t="s">
        <v>10810</v>
      </c>
      <c r="U6040" t="s">
        <v>58</v>
      </c>
      <c r="V6040">
        <v>1</v>
      </c>
      <c r="W6040">
        <v>1</v>
      </c>
      <c r="X6040">
        <v>1</v>
      </c>
      <c r="Y6040">
        <v>0</v>
      </c>
      <c r="Z6040">
        <v>1</v>
      </c>
      <c r="AA6040">
        <v>167.07</v>
      </c>
      <c r="AB6040">
        <v>167.07</v>
      </c>
      <c r="AC6040">
        <v>147</v>
      </c>
      <c r="AD6040">
        <v>0</v>
      </c>
      <c r="AE6040">
        <v>20.07</v>
      </c>
      <c r="AF6040">
        <v>0</v>
      </c>
      <c r="AG6040">
        <v>0</v>
      </c>
      <c r="AH6040">
        <v>0</v>
      </c>
      <c r="AI6040">
        <v>0</v>
      </c>
      <c r="AJ6040">
        <v>167.07</v>
      </c>
      <c r="AK6040">
        <v>0</v>
      </c>
      <c r="AL6040" t="s">
        <v>53</v>
      </c>
      <c r="AM6040" t="s">
        <v>53</v>
      </c>
      <c r="AN6040" t="s">
        <v>53</v>
      </c>
      <c r="AO6040" t="s">
        <v>53</v>
      </c>
      <c r="AP6040" t="s">
        <v>53</v>
      </c>
    </row>
    <row r="6041" spans="2:42" x14ac:dyDescent="0.2">
      <c r="B6041" t="s">
        <v>44</v>
      </c>
      <c r="C6041" t="str">
        <f>HYPERLINK("https://us2.cloudbeds.com/connect/8493803454333002#/reservations/135454091342028?display=2UA9QWZFQT&amp;reservation_id=135454091342028", "2UA9QWZFQT")</f>
        <v>2UA9QWZFQT</v>
      </c>
      <c r="D6041" t="s">
        <v>45</v>
      </c>
      <c r="E6041" t="s">
        <v>113</v>
      </c>
      <c r="F6041" t="s">
        <v>61</v>
      </c>
      <c r="G6041" t="s">
        <v>48</v>
      </c>
      <c r="H6041" t="s">
        <v>3957</v>
      </c>
      <c r="I6041" t="s">
        <v>3958</v>
      </c>
      <c r="J6041" t="s">
        <v>7623</v>
      </c>
      <c r="K6041" t="s">
        <v>7624</v>
      </c>
      <c r="L6041" t="s">
        <v>53</v>
      </c>
      <c r="P6041" t="s">
        <v>55</v>
      </c>
      <c r="R6041" t="s">
        <v>56</v>
      </c>
      <c r="T6041" t="s">
        <v>10811</v>
      </c>
      <c r="U6041" t="s">
        <v>58</v>
      </c>
      <c r="V6041">
        <v>1</v>
      </c>
      <c r="W6041">
        <v>1</v>
      </c>
      <c r="X6041">
        <v>1</v>
      </c>
      <c r="Y6041">
        <v>0</v>
      </c>
      <c r="Z6041">
        <v>1</v>
      </c>
      <c r="AA6041">
        <v>259.12</v>
      </c>
      <c r="AB6041">
        <v>259.12</v>
      </c>
      <c r="AC6041">
        <v>228</v>
      </c>
      <c r="AD6041">
        <v>0</v>
      </c>
      <c r="AE6041">
        <v>31.12</v>
      </c>
      <c r="AF6041">
        <v>0</v>
      </c>
      <c r="AG6041">
        <v>0</v>
      </c>
      <c r="AH6041">
        <v>0</v>
      </c>
      <c r="AI6041">
        <v>0</v>
      </c>
      <c r="AJ6041">
        <v>259.12</v>
      </c>
      <c r="AK6041">
        <v>0</v>
      </c>
      <c r="AL6041" t="s">
        <v>53</v>
      </c>
      <c r="AM6041" t="s">
        <v>53</v>
      </c>
      <c r="AN6041" t="s">
        <v>53</v>
      </c>
      <c r="AO6041" t="s">
        <v>53</v>
      </c>
      <c r="AP6041" t="s">
        <v>53</v>
      </c>
    </row>
    <row r="6042" spans="2:42" x14ac:dyDescent="0.2">
      <c r="B6042" t="s">
        <v>44</v>
      </c>
      <c r="C6042" t="str">
        <f>HYPERLINK("https://us2.cloudbeds.com/connect/8493803454333002#/reservations/9080486846549343?display=2UAWWCJ7WW&amp;reservation_id=9080486846549343", "2UAWWCJ7WW")</f>
        <v>2UAWWCJ7WW</v>
      </c>
      <c r="D6042" t="s">
        <v>45</v>
      </c>
      <c r="E6042" t="s">
        <v>373</v>
      </c>
      <c r="F6042" t="s">
        <v>47</v>
      </c>
      <c r="G6042" t="s">
        <v>48</v>
      </c>
      <c r="H6042" t="s">
        <v>49</v>
      </c>
      <c r="I6042" t="s">
        <v>62</v>
      </c>
      <c r="J6042" t="s">
        <v>7623</v>
      </c>
      <c r="K6042" t="s">
        <v>7966</v>
      </c>
      <c r="L6042" t="s">
        <v>53</v>
      </c>
      <c r="N6042" t="s">
        <v>10812</v>
      </c>
      <c r="P6042" t="s">
        <v>55</v>
      </c>
      <c r="R6042" t="s">
        <v>56</v>
      </c>
      <c r="T6042" t="s">
        <v>10813</v>
      </c>
      <c r="U6042" t="s">
        <v>55</v>
      </c>
      <c r="V6042">
        <v>2</v>
      </c>
      <c r="W6042">
        <v>1</v>
      </c>
      <c r="X6042">
        <v>2</v>
      </c>
      <c r="Y6042">
        <v>0</v>
      </c>
      <c r="Z6042">
        <v>2</v>
      </c>
      <c r="AA6042">
        <v>295</v>
      </c>
      <c r="AB6042">
        <v>295</v>
      </c>
      <c r="AC6042">
        <v>295</v>
      </c>
      <c r="AD6042">
        <v>0</v>
      </c>
      <c r="AE6042">
        <v>0</v>
      </c>
      <c r="AF6042">
        <v>0</v>
      </c>
      <c r="AG6042">
        <v>0</v>
      </c>
      <c r="AH6042">
        <v>0</v>
      </c>
      <c r="AI6042">
        <v>53.1</v>
      </c>
      <c r="AJ6042">
        <v>295</v>
      </c>
      <c r="AK6042">
        <v>0</v>
      </c>
      <c r="AL6042" t="s">
        <v>53</v>
      </c>
      <c r="AM6042" t="s">
        <v>53</v>
      </c>
      <c r="AN6042" t="s">
        <v>53</v>
      </c>
      <c r="AO6042" t="s">
        <v>53</v>
      </c>
      <c r="AP6042" t="s">
        <v>53</v>
      </c>
    </row>
    <row r="6043" spans="2:42" x14ac:dyDescent="0.2">
      <c r="B6043" t="s">
        <v>44</v>
      </c>
      <c r="C6043" t="str">
        <f>HYPERLINK("https://us2.cloudbeds.com/connect/8493803454333002#/reservations/135488741240994?display=2UB3YCEWS8&amp;reservation_id=135488741240994", "2UB3YCEWS8")</f>
        <v>2UB3YCEWS8</v>
      </c>
      <c r="D6043" t="s">
        <v>45</v>
      </c>
      <c r="E6043" t="s">
        <v>128</v>
      </c>
      <c r="F6043" t="s">
        <v>86</v>
      </c>
      <c r="G6043" t="s">
        <v>48</v>
      </c>
      <c r="H6043" t="s">
        <v>3957</v>
      </c>
      <c r="I6043" t="s">
        <v>3989</v>
      </c>
      <c r="J6043" t="s">
        <v>7294</v>
      </c>
      <c r="K6043" t="s">
        <v>5743</v>
      </c>
      <c r="L6043" t="s">
        <v>53</v>
      </c>
      <c r="P6043" t="s">
        <v>55</v>
      </c>
      <c r="R6043" t="s">
        <v>56</v>
      </c>
      <c r="T6043" t="s">
        <v>10814</v>
      </c>
      <c r="U6043" t="s">
        <v>58</v>
      </c>
      <c r="V6043">
        <v>1</v>
      </c>
      <c r="W6043">
        <v>1</v>
      </c>
      <c r="X6043">
        <v>1</v>
      </c>
      <c r="Y6043">
        <v>0</v>
      </c>
      <c r="Z6043">
        <v>1</v>
      </c>
      <c r="AA6043">
        <v>242.08</v>
      </c>
      <c r="AB6043">
        <v>242.08</v>
      </c>
      <c r="AC6043">
        <v>213</v>
      </c>
      <c r="AD6043">
        <v>0</v>
      </c>
      <c r="AE6043">
        <v>29.08</v>
      </c>
      <c r="AF6043">
        <v>0</v>
      </c>
      <c r="AG6043">
        <v>0</v>
      </c>
      <c r="AH6043">
        <v>0</v>
      </c>
      <c r="AI6043">
        <v>0</v>
      </c>
      <c r="AJ6043">
        <v>242.08</v>
      </c>
      <c r="AK6043">
        <v>0</v>
      </c>
      <c r="AL6043" t="s">
        <v>53</v>
      </c>
      <c r="AM6043" t="s">
        <v>53</v>
      </c>
      <c r="AN6043" t="s">
        <v>53</v>
      </c>
      <c r="AO6043" t="s">
        <v>53</v>
      </c>
      <c r="AP6043" t="s">
        <v>53</v>
      </c>
    </row>
    <row r="6044" spans="2:42" x14ac:dyDescent="0.2">
      <c r="B6044" t="s">
        <v>44</v>
      </c>
      <c r="C6044" t="str">
        <f>HYPERLINK("https://us2.cloudbeds.com/connect/8493803454333002#/reservations/9080486846549800?display=2UBE7TXVK6&amp;reservation_id=9080486846549800", "2UBE7TXVK6")</f>
        <v>2UBE7TXVK6</v>
      </c>
      <c r="D6044" t="s">
        <v>45</v>
      </c>
      <c r="E6044" t="s">
        <v>190</v>
      </c>
      <c r="F6044" t="s">
        <v>61</v>
      </c>
      <c r="G6044" t="s">
        <v>48</v>
      </c>
      <c r="H6044" t="s">
        <v>49</v>
      </c>
      <c r="I6044" t="s">
        <v>8964</v>
      </c>
      <c r="J6044" t="s">
        <v>8314</v>
      </c>
      <c r="K6044" t="s">
        <v>5507</v>
      </c>
      <c r="L6044" t="s">
        <v>53</v>
      </c>
      <c r="N6044" t="s">
        <v>10815</v>
      </c>
      <c r="P6044" t="s">
        <v>55</v>
      </c>
      <c r="R6044" t="s">
        <v>53</v>
      </c>
      <c r="T6044" t="s">
        <v>10816</v>
      </c>
      <c r="U6044" t="s">
        <v>58</v>
      </c>
      <c r="V6044">
        <v>1</v>
      </c>
      <c r="W6044">
        <v>1</v>
      </c>
      <c r="X6044">
        <v>2</v>
      </c>
      <c r="Y6044">
        <v>0</v>
      </c>
      <c r="Z6044">
        <v>2</v>
      </c>
      <c r="AA6044">
        <v>0</v>
      </c>
      <c r="AB6044">
        <v>0</v>
      </c>
      <c r="AC6044">
        <v>235</v>
      </c>
      <c r="AD6044">
        <v>0</v>
      </c>
      <c r="AE6044">
        <v>0</v>
      </c>
      <c r="AF6044">
        <v>0</v>
      </c>
      <c r="AG6044">
        <v>0</v>
      </c>
      <c r="AH6044">
        <v>0</v>
      </c>
      <c r="AI6044">
        <v>35.25</v>
      </c>
      <c r="AJ6044">
        <v>235</v>
      </c>
      <c r="AK6044">
        <v>235</v>
      </c>
      <c r="AL6044" t="s">
        <v>53</v>
      </c>
      <c r="AM6044" t="s">
        <v>53</v>
      </c>
      <c r="AN6044" t="s">
        <v>53</v>
      </c>
      <c r="AO6044" t="s">
        <v>53</v>
      </c>
      <c r="AP6044" t="s">
        <v>53</v>
      </c>
    </row>
    <row r="6045" spans="2:42" x14ac:dyDescent="0.2">
      <c r="B6045" t="s">
        <v>44</v>
      </c>
      <c r="C6045" t="str">
        <f>HYPERLINK("https://us2.cloudbeds.com/connect/8493803454333002#/reservations/9080486846549822?display=2UBF7Y89MN&amp;reservation_id=9080486846549822", "2UBF7Y89MN")</f>
        <v>2UBF7Y89MN</v>
      </c>
      <c r="D6045" t="s">
        <v>45</v>
      </c>
      <c r="E6045" t="s">
        <v>406</v>
      </c>
      <c r="F6045" t="s">
        <v>61</v>
      </c>
      <c r="G6045" t="s">
        <v>48</v>
      </c>
      <c r="H6045" t="s">
        <v>49</v>
      </c>
      <c r="I6045" t="s">
        <v>62</v>
      </c>
      <c r="J6045" t="s">
        <v>7623</v>
      </c>
      <c r="K6045" t="s">
        <v>7966</v>
      </c>
      <c r="L6045" t="s">
        <v>53</v>
      </c>
      <c r="N6045" t="s">
        <v>10817</v>
      </c>
      <c r="P6045" t="s">
        <v>55</v>
      </c>
      <c r="R6045" t="s">
        <v>56</v>
      </c>
      <c r="T6045" t="s">
        <v>10818</v>
      </c>
      <c r="U6045" t="s">
        <v>55</v>
      </c>
      <c r="V6045">
        <v>2</v>
      </c>
      <c r="W6045">
        <v>1</v>
      </c>
      <c r="X6045">
        <v>2</v>
      </c>
      <c r="Y6045">
        <v>0</v>
      </c>
      <c r="Z6045">
        <v>2</v>
      </c>
      <c r="AA6045">
        <v>458</v>
      </c>
      <c r="AB6045">
        <v>458</v>
      </c>
      <c r="AC6045">
        <v>458</v>
      </c>
      <c r="AD6045">
        <v>0</v>
      </c>
      <c r="AE6045">
        <v>0</v>
      </c>
      <c r="AF6045">
        <v>0</v>
      </c>
      <c r="AG6045">
        <v>0</v>
      </c>
      <c r="AH6045">
        <v>0</v>
      </c>
      <c r="AI6045">
        <v>82.44</v>
      </c>
      <c r="AJ6045">
        <v>458</v>
      </c>
      <c r="AK6045">
        <v>0</v>
      </c>
      <c r="AL6045" t="s">
        <v>53</v>
      </c>
      <c r="AM6045" t="s">
        <v>53</v>
      </c>
      <c r="AN6045" t="s">
        <v>53</v>
      </c>
      <c r="AO6045" t="s">
        <v>53</v>
      </c>
      <c r="AP6045" t="s">
        <v>53</v>
      </c>
    </row>
    <row r="6046" spans="2:42" x14ac:dyDescent="0.2">
      <c r="B6046" t="s">
        <v>44</v>
      </c>
      <c r="C6046" t="str">
        <f>HYPERLINK("https://us2.cloudbeds.com/connect/8493803454333002#/reservations/9080486846550401?display=2UC4DQRZAT&amp;reservation_id=9080486846550401", "2UC4DQRZAT")</f>
        <v>2UC4DQRZAT</v>
      </c>
      <c r="D6046" t="s">
        <v>45</v>
      </c>
      <c r="E6046" t="s">
        <v>121</v>
      </c>
      <c r="F6046" t="s">
        <v>86</v>
      </c>
      <c r="G6046" t="s">
        <v>48</v>
      </c>
      <c r="H6046" t="s">
        <v>49</v>
      </c>
      <c r="I6046" t="s">
        <v>50</v>
      </c>
      <c r="J6046" t="s">
        <v>8314</v>
      </c>
      <c r="K6046" t="s">
        <v>5507</v>
      </c>
      <c r="L6046" t="s">
        <v>53</v>
      </c>
      <c r="N6046" t="s">
        <v>10819</v>
      </c>
      <c r="P6046" t="s">
        <v>55</v>
      </c>
      <c r="R6046" t="s">
        <v>53</v>
      </c>
      <c r="T6046" t="s">
        <v>10820</v>
      </c>
      <c r="U6046" t="s">
        <v>58</v>
      </c>
      <c r="V6046">
        <v>1</v>
      </c>
      <c r="W6046">
        <v>1</v>
      </c>
      <c r="X6046">
        <v>2</v>
      </c>
      <c r="Y6046">
        <v>0</v>
      </c>
      <c r="Z6046">
        <v>2</v>
      </c>
      <c r="AA6046">
        <v>297.77</v>
      </c>
      <c r="AB6046">
        <v>297.77</v>
      </c>
      <c r="AC6046">
        <v>262</v>
      </c>
      <c r="AD6046">
        <v>0</v>
      </c>
      <c r="AE6046">
        <v>35.770000000000003</v>
      </c>
      <c r="AF6046">
        <v>0</v>
      </c>
      <c r="AG6046">
        <v>0</v>
      </c>
      <c r="AH6046">
        <v>0</v>
      </c>
      <c r="AI6046">
        <v>53.6</v>
      </c>
      <c r="AJ6046">
        <v>297.77</v>
      </c>
      <c r="AK6046">
        <v>0</v>
      </c>
      <c r="AL6046" t="s">
        <v>53</v>
      </c>
      <c r="AM6046" t="s">
        <v>53</v>
      </c>
      <c r="AN6046" t="s">
        <v>53</v>
      </c>
      <c r="AO6046" t="s">
        <v>53</v>
      </c>
      <c r="AP6046" t="s">
        <v>53</v>
      </c>
    </row>
    <row r="6047" spans="2:42" x14ac:dyDescent="0.2">
      <c r="B6047" t="s">
        <v>44</v>
      </c>
      <c r="C6047" t="str">
        <f>HYPERLINK("https://us2.cloudbeds.com/connect/8493803454333002#/reservations/9080486846550505?display=2UCA0PM09Y&amp;reservation_id=9080486846550505", "2UCA0PM09Y")</f>
        <v>2UCA0PM09Y</v>
      </c>
      <c r="D6047" t="s">
        <v>45</v>
      </c>
      <c r="E6047" t="s">
        <v>179</v>
      </c>
      <c r="F6047" t="s">
        <v>47</v>
      </c>
      <c r="G6047" t="s">
        <v>48</v>
      </c>
      <c r="H6047" t="s">
        <v>49</v>
      </c>
      <c r="I6047" t="s">
        <v>62</v>
      </c>
      <c r="J6047" t="s">
        <v>6454</v>
      </c>
      <c r="K6047" t="s">
        <v>5508</v>
      </c>
      <c r="L6047" t="s">
        <v>53</v>
      </c>
      <c r="N6047" t="s">
        <v>10821</v>
      </c>
      <c r="P6047" t="s">
        <v>55</v>
      </c>
      <c r="R6047" t="s">
        <v>56</v>
      </c>
      <c r="T6047" t="s">
        <v>10822</v>
      </c>
      <c r="U6047" t="s">
        <v>55</v>
      </c>
      <c r="V6047">
        <v>1</v>
      </c>
      <c r="W6047">
        <v>1</v>
      </c>
      <c r="X6047">
        <v>2</v>
      </c>
      <c r="Y6047">
        <v>0</v>
      </c>
      <c r="Z6047">
        <v>2</v>
      </c>
      <c r="AA6047">
        <v>140</v>
      </c>
      <c r="AB6047">
        <v>140</v>
      </c>
      <c r="AC6047">
        <v>140</v>
      </c>
      <c r="AD6047">
        <v>0</v>
      </c>
      <c r="AE6047">
        <v>0</v>
      </c>
      <c r="AF6047">
        <v>0</v>
      </c>
      <c r="AG6047">
        <v>0</v>
      </c>
      <c r="AH6047">
        <v>0</v>
      </c>
      <c r="AI6047">
        <v>25.2</v>
      </c>
      <c r="AJ6047">
        <v>140</v>
      </c>
      <c r="AK6047">
        <v>0</v>
      </c>
      <c r="AL6047" t="s">
        <v>53</v>
      </c>
      <c r="AM6047" t="s">
        <v>53</v>
      </c>
      <c r="AN6047" t="s">
        <v>53</v>
      </c>
      <c r="AO6047" t="s">
        <v>53</v>
      </c>
      <c r="AP6047" t="s">
        <v>53</v>
      </c>
    </row>
    <row r="6048" spans="2:42" x14ac:dyDescent="0.2">
      <c r="B6048" t="s">
        <v>44</v>
      </c>
      <c r="C6048" t="str">
        <f>HYPERLINK("https://us2.cloudbeds.com/connect/8493803454333002#/reservations/9080486846550780?display=2UCMAH5S9K&amp;reservation_id=9080486846550780", "2UCMAH5S9K")</f>
        <v>2UCMAH5S9K</v>
      </c>
      <c r="D6048" t="s">
        <v>45</v>
      </c>
      <c r="E6048" t="s">
        <v>190</v>
      </c>
      <c r="F6048" t="s">
        <v>61</v>
      </c>
      <c r="G6048" t="s">
        <v>8291</v>
      </c>
      <c r="H6048" t="s">
        <v>49</v>
      </c>
      <c r="I6048" t="s">
        <v>50</v>
      </c>
      <c r="J6048" t="s">
        <v>6991</v>
      </c>
      <c r="K6048" t="s">
        <v>6992</v>
      </c>
      <c r="L6048" t="s">
        <v>53</v>
      </c>
      <c r="N6048" t="s">
        <v>10823</v>
      </c>
      <c r="P6048" t="s">
        <v>55</v>
      </c>
      <c r="R6048" t="s">
        <v>53</v>
      </c>
      <c r="T6048" t="s">
        <v>10824</v>
      </c>
      <c r="U6048" t="s">
        <v>58</v>
      </c>
      <c r="V6048">
        <v>2</v>
      </c>
      <c r="W6048">
        <v>2</v>
      </c>
      <c r="X6048">
        <v>3</v>
      </c>
      <c r="Y6048">
        <v>0</v>
      </c>
      <c r="Z6048">
        <v>3</v>
      </c>
      <c r="AA6048">
        <v>382.55</v>
      </c>
      <c r="AB6048">
        <v>387.43</v>
      </c>
      <c r="AC6048">
        <v>336.6</v>
      </c>
      <c r="AD6048">
        <v>4.5</v>
      </c>
      <c r="AE6048">
        <v>46.33</v>
      </c>
      <c r="AF6048">
        <v>0</v>
      </c>
      <c r="AG6048">
        <v>0</v>
      </c>
      <c r="AH6048">
        <v>0</v>
      </c>
      <c r="AI6048">
        <v>69.739999999999995</v>
      </c>
      <c r="AJ6048">
        <v>387.43</v>
      </c>
      <c r="AK6048">
        <v>0</v>
      </c>
      <c r="AL6048" t="s">
        <v>53</v>
      </c>
      <c r="AM6048" t="s">
        <v>53</v>
      </c>
      <c r="AN6048" t="s">
        <v>53</v>
      </c>
      <c r="AO6048" t="s">
        <v>53</v>
      </c>
      <c r="AP6048" t="s">
        <v>53</v>
      </c>
    </row>
    <row r="6049" spans="2:42" x14ac:dyDescent="0.2">
      <c r="B6049" t="s">
        <v>44</v>
      </c>
      <c r="C6049" t="str">
        <f>HYPERLINK("https://us2.cloudbeds.com/connect/8493803454333002#/reservations/135577368006888?display=2UD68WTD8Q&amp;reservation_id=135577368006888", "2UD68WTD8Q")</f>
        <v>2UD68WTD8Q</v>
      </c>
      <c r="D6049" t="s">
        <v>45</v>
      </c>
      <c r="E6049" t="s">
        <v>265</v>
      </c>
      <c r="F6049" t="s">
        <v>61</v>
      </c>
      <c r="G6049" t="s">
        <v>4520</v>
      </c>
      <c r="H6049" t="s">
        <v>3957</v>
      </c>
      <c r="I6049" t="s">
        <v>3958</v>
      </c>
      <c r="J6049" t="s">
        <v>7623</v>
      </c>
      <c r="K6049" t="s">
        <v>7624</v>
      </c>
      <c r="L6049" t="s">
        <v>53</v>
      </c>
      <c r="P6049" t="s">
        <v>55</v>
      </c>
      <c r="R6049" t="s">
        <v>56</v>
      </c>
      <c r="T6049" t="s">
        <v>10825</v>
      </c>
      <c r="U6049" t="s">
        <v>58</v>
      </c>
      <c r="V6049">
        <v>1</v>
      </c>
      <c r="W6049">
        <v>1</v>
      </c>
      <c r="X6049">
        <v>1</v>
      </c>
      <c r="Y6049">
        <v>0</v>
      </c>
      <c r="Z6049">
        <v>1</v>
      </c>
      <c r="AA6049">
        <v>233.2</v>
      </c>
      <c r="AB6049">
        <v>1244.79</v>
      </c>
      <c r="AC6049">
        <v>205.2</v>
      </c>
      <c r="AD6049">
        <v>0</v>
      </c>
      <c r="AE6049">
        <v>28</v>
      </c>
      <c r="AF6049">
        <v>0</v>
      </c>
      <c r="AG6049">
        <v>0</v>
      </c>
      <c r="AH6049">
        <v>0</v>
      </c>
      <c r="AI6049">
        <v>0</v>
      </c>
      <c r="AJ6049">
        <v>233.2</v>
      </c>
      <c r="AK6049">
        <v>0</v>
      </c>
      <c r="AL6049" t="s">
        <v>53</v>
      </c>
      <c r="AM6049" t="s">
        <v>53</v>
      </c>
      <c r="AN6049" t="s">
        <v>10826</v>
      </c>
      <c r="AO6049" t="s">
        <v>53</v>
      </c>
      <c r="AP6049" t="s">
        <v>53</v>
      </c>
    </row>
    <row r="6050" spans="2:42" x14ac:dyDescent="0.2">
      <c r="B6050" t="s">
        <v>44</v>
      </c>
      <c r="C6050" t="str">
        <f>HYPERLINK("https://us2.cloudbeds.com/connect/8493803454333002#/reservations/9080486846551803?display=2UE7BD3002&amp;reservation_id=9080486846551803", "2UE7BD3002")</f>
        <v>2UE7BD3002</v>
      </c>
      <c r="D6050" t="s">
        <v>45</v>
      </c>
      <c r="E6050" t="s">
        <v>487</v>
      </c>
      <c r="F6050" t="s">
        <v>61</v>
      </c>
      <c r="G6050" t="s">
        <v>48</v>
      </c>
      <c r="H6050" t="s">
        <v>49</v>
      </c>
      <c r="I6050" t="s">
        <v>50</v>
      </c>
      <c r="J6050" t="s">
        <v>8314</v>
      </c>
      <c r="K6050" t="s">
        <v>5507</v>
      </c>
      <c r="L6050" t="s">
        <v>53</v>
      </c>
      <c r="N6050" t="s">
        <v>10827</v>
      </c>
      <c r="P6050" t="s">
        <v>55</v>
      </c>
      <c r="R6050" t="s">
        <v>53</v>
      </c>
      <c r="T6050" t="s">
        <v>10828</v>
      </c>
      <c r="U6050" t="s">
        <v>58</v>
      </c>
      <c r="V6050">
        <v>1</v>
      </c>
      <c r="W6050">
        <v>1</v>
      </c>
      <c r="X6050">
        <v>2</v>
      </c>
      <c r="Y6050">
        <v>0</v>
      </c>
      <c r="Z6050">
        <v>2</v>
      </c>
      <c r="AA6050">
        <v>250.48</v>
      </c>
      <c r="AB6050">
        <v>250.48</v>
      </c>
      <c r="AC6050">
        <v>220.4</v>
      </c>
      <c r="AD6050">
        <v>0</v>
      </c>
      <c r="AE6050">
        <v>30.08</v>
      </c>
      <c r="AF6050">
        <v>0</v>
      </c>
      <c r="AG6050">
        <v>0</v>
      </c>
      <c r="AH6050">
        <v>0</v>
      </c>
      <c r="AI6050">
        <v>45.09</v>
      </c>
      <c r="AJ6050">
        <v>250.48</v>
      </c>
      <c r="AK6050">
        <v>0</v>
      </c>
      <c r="AL6050" t="s">
        <v>53</v>
      </c>
      <c r="AM6050" t="s">
        <v>53</v>
      </c>
      <c r="AN6050" t="s">
        <v>53</v>
      </c>
      <c r="AO6050" t="s">
        <v>53</v>
      </c>
      <c r="AP6050" t="s">
        <v>53</v>
      </c>
    </row>
    <row r="6051" spans="2:42" x14ac:dyDescent="0.2">
      <c r="B6051" t="s">
        <v>44</v>
      </c>
      <c r="C6051" t="str">
        <f>HYPERLINK("https://us2.cloudbeds.com/connect/8493803454333002#/reservations/9080486846551804?display=2UE7RD3GGU&amp;reservation_id=9080486846551804", "2UE7RD3GGU")</f>
        <v>2UE7RD3GGU</v>
      </c>
      <c r="D6051" t="s">
        <v>45</v>
      </c>
      <c r="E6051" t="s">
        <v>406</v>
      </c>
      <c r="F6051" t="s">
        <v>61</v>
      </c>
      <c r="G6051" t="s">
        <v>48</v>
      </c>
      <c r="H6051" t="s">
        <v>49</v>
      </c>
      <c r="I6051" t="s">
        <v>50</v>
      </c>
      <c r="J6051" t="s">
        <v>8314</v>
      </c>
      <c r="K6051" t="s">
        <v>5507</v>
      </c>
      <c r="L6051" t="s">
        <v>53</v>
      </c>
      <c r="N6051" t="s">
        <v>10829</v>
      </c>
      <c r="P6051" t="s">
        <v>55</v>
      </c>
      <c r="R6051" t="s">
        <v>53</v>
      </c>
      <c r="T6051" t="s">
        <v>10830</v>
      </c>
      <c r="U6051" t="s">
        <v>58</v>
      </c>
      <c r="V6051">
        <v>1</v>
      </c>
      <c r="W6051">
        <v>1</v>
      </c>
      <c r="X6051">
        <v>2</v>
      </c>
      <c r="Y6051">
        <v>0</v>
      </c>
      <c r="Z6051">
        <v>2</v>
      </c>
      <c r="AA6051">
        <v>250.48</v>
      </c>
      <c r="AB6051">
        <v>250.48</v>
      </c>
      <c r="AC6051">
        <v>220.4</v>
      </c>
      <c r="AD6051">
        <v>0</v>
      </c>
      <c r="AE6051">
        <v>30.08</v>
      </c>
      <c r="AF6051">
        <v>0</v>
      </c>
      <c r="AG6051">
        <v>0</v>
      </c>
      <c r="AH6051">
        <v>0</v>
      </c>
      <c r="AI6051">
        <v>45.09</v>
      </c>
      <c r="AJ6051">
        <v>250.48</v>
      </c>
      <c r="AK6051">
        <v>0</v>
      </c>
      <c r="AL6051" t="s">
        <v>53</v>
      </c>
      <c r="AM6051" t="s">
        <v>53</v>
      </c>
      <c r="AN6051" t="s">
        <v>53</v>
      </c>
      <c r="AO6051" t="s">
        <v>53</v>
      </c>
      <c r="AP6051" t="s">
        <v>53</v>
      </c>
    </row>
    <row r="6052" spans="2:42" x14ac:dyDescent="0.2">
      <c r="B6052" t="s">
        <v>44</v>
      </c>
      <c r="C6052" t="str">
        <f>HYPERLINK("https://us2.cloudbeds.com/connect/8493803454333002#/reservations/9080486846552056?display=2UEMA0N3RG&amp;reservation_id=9080486846552056", "2UEMA0N3RG")</f>
        <v>2UEMA0N3RG</v>
      </c>
      <c r="D6052" t="s">
        <v>45</v>
      </c>
      <c r="E6052" t="s">
        <v>46</v>
      </c>
      <c r="F6052" t="s">
        <v>47</v>
      </c>
      <c r="G6052" t="s">
        <v>48</v>
      </c>
      <c r="H6052" t="s">
        <v>49</v>
      </c>
      <c r="I6052" t="s">
        <v>62</v>
      </c>
      <c r="J6052" t="s">
        <v>7624</v>
      </c>
      <c r="K6052" t="s">
        <v>8060</v>
      </c>
      <c r="L6052" t="s">
        <v>53</v>
      </c>
      <c r="N6052" t="s">
        <v>10831</v>
      </c>
      <c r="P6052" t="s">
        <v>55</v>
      </c>
      <c r="R6052" t="s">
        <v>56</v>
      </c>
      <c r="T6052" t="s">
        <v>10832</v>
      </c>
      <c r="U6052" t="s">
        <v>55</v>
      </c>
      <c r="V6052">
        <v>2</v>
      </c>
      <c r="W6052">
        <v>1</v>
      </c>
      <c r="X6052">
        <v>2</v>
      </c>
      <c r="Y6052">
        <v>0</v>
      </c>
      <c r="Z6052">
        <v>2</v>
      </c>
      <c r="AA6052">
        <v>362</v>
      </c>
      <c r="AB6052">
        <v>362</v>
      </c>
      <c r="AC6052">
        <v>362</v>
      </c>
      <c r="AD6052">
        <v>0</v>
      </c>
      <c r="AE6052">
        <v>0</v>
      </c>
      <c r="AF6052">
        <v>0</v>
      </c>
      <c r="AG6052">
        <v>0</v>
      </c>
      <c r="AH6052">
        <v>0</v>
      </c>
      <c r="AI6052">
        <v>65.16</v>
      </c>
      <c r="AJ6052">
        <v>362</v>
      </c>
      <c r="AK6052">
        <v>0</v>
      </c>
      <c r="AL6052" t="s">
        <v>53</v>
      </c>
      <c r="AM6052" t="s">
        <v>53</v>
      </c>
      <c r="AN6052" t="s">
        <v>53</v>
      </c>
      <c r="AO6052" t="s">
        <v>53</v>
      </c>
      <c r="AP6052" t="s">
        <v>53</v>
      </c>
    </row>
    <row r="6053" spans="2:42" x14ac:dyDescent="0.2">
      <c r="B6053" t="s">
        <v>44</v>
      </c>
      <c r="C6053" t="str">
        <f>HYPERLINK("https://us2.cloudbeds.com/connect/8493803454333002#/reservations/135783844036771?display=2UX14UV9V6&amp;reservation_id=135783844036771", "2UX14UV9V6")</f>
        <v>2UX14UV9V6</v>
      </c>
      <c r="D6053" t="s">
        <v>45</v>
      </c>
      <c r="E6053" t="s">
        <v>165</v>
      </c>
      <c r="F6053" t="s">
        <v>61</v>
      </c>
      <c r="G6053" t="s">
        <v>48</v>
      </c>
      <c r="H6053" t="s">
        <v>3957</v>
      </c>
      <c r="I6053" t="s">
        <v>3975</v>
      </c>
      <c r="J6053" t="s">
        <v>8060</v>
      </c>
      <c r="K6053" t="s">
        <v>8670</v>
      </c>
      <c r="L6053" t="s">
        <v>53</v>
      </c>
      <c r="P6053" t="s">
        <v>55</v>
      </c>
      <c r="R6053" t="s">
        <v>53</v>
      </c>
      <c r="T6053" t="s">
        <v>10833</v>
      </c>
      <c r="U6053" t="s">
        <v>58</v>
      </c>
      <c r="V6053">
        <v>2</v>
      </c>
      <c r="W6053">
        <v>1</v>
      </c>
      <c r="X6053">
        <v>2</v>
      </c>
      <c r="Y6053">
        <v>0</v>
      </c>
      <c r="Z6053">
        <v>2</v>
      </c>
      <c r="AA6053">
        <v>468.25</v>
      </c>
      <c r="AB6053">
        <v>468.25</v>
      </c>
      <c r="AC6053">
        <v>412</v>
      </c>
      <c r="AD6053">
        <v>0</v>
      </c>
      <c r="AE6053">
        <v>56.25</v>
      </c>
      <c r="AF6053">
        <v>0</v>
      </c>
      <c r="AG6053">
        <v>0</v>
      </c>
      <c r="AH6053">
        <v>0</v>
      </c>
      <c r="AI6053">
        <v>0</v>
      </c>
      <c r="AJ6053">
        <v>468.25</v>
      </c>
      <c r="AK6053">
        <v>0</v>
      </c>
      <c r="AL6053" t="s">
        <v>53</v>
      </c>
      <c r="AM6053" t="s">
        <v>53</v>
      </c>
      <c r="AN6053" t="s">
        <v>53</v>
      </c>
      <c r="AO6053" t="s">
        <v>53</v>
      </c>
      <c r="AP6053" t="s">
        <v>53</v>
      </c>
    </row>
    <row r="6054" spans="2:42" x14ac:dyDescent="0.2">
      <c r="B6054" t="s">
        <v>44</v>
      </c>
      <c r="C6054" t="str">
        <f>HYPERLINK("https://us2.cloudbeds.com/connect/8493803454333002#/reservations/9080486846555182?display=2UXNSXJX4M&amp;reservation_id=9080486846555182", "2UXNSXJX4M")</f>
        <v>2UXNSXJX4M</v>
      </c>
      <c r="D6054" t="s">
        <v>45</v>
      </c>
      <c r="E6054" t="s">
        <v>113</v>
      </c>
      <c r="F6054" t="s">
        <v>61</v>
      </c>
      <c r="G6054" t="s">
        <v>48</v>
      </c>
      <c r="H6054" t="s">
        <v>49</v>
      </c>
      <c r="I6054" t="s">
        <v>50</v>
      </c>
      <c r="J6054" t="s">
        <v>8313</v>
      </c>
      <c r="K6054" t="s">
        <v>8900</v>
      </c>
      <c r="L6054" t="s">
        <v>53</v>
      </c>
      <c r="N6054" t="s">
        <v>10834</v>
      </c>
      <c r="P6054" t="s">
        <v>55</v>
      </c>
      <c r="R6054" t="s">
        <v>53</v>
      </c>
      <c r="T6054" t="s">
        <v>10835</v>
      </c>
      <c r="U6054" t="s">
        <v>58</v>
      </c>
      <c r="V6054">
        <v>1</v>
      </c>
      <c r="W6054">
        <v>1</v>
      </c>
      <c r="X6054">
        <v>2</v>
      </c>
      <c r="Y6054">
        <v>0</v>
      </c>
      <c r="Z6054">
        <v>2</v>
      </c>
      <c r="AA6054">
        <v>189.04</v>
      </c>
      <c r="AB6054">
        <v>189.04</v>
      </c>
      <c r="AC6054">
        <v>166.34</v>
      </c>
      <c r="AD6054">
        <v>0</v>
      </c>
      <c r="AE6054">
        <v>22.7</v>
      </c>
      <c r="AF6054">
        <v>0</v>
      </c>
      <c r="AG6054">
        <v>0</v>
      </c>
      <c r="AH6054">
        <v>0</v>
      </c>
      <c r="AI6054">
        <v>34.03</v>
      </c>
      <c r="AJ6054">
        <v>189.04</v>
      </c>
      <c r="AK6054">
        <v>0</v>
      </c>
      <c r="AL6054" t="s">
        <v>53</v>
      </c>
      <c r="AM6054" t="s">
        <v>53</v>
      </c>
      <c r="AN6054" t="s">
        <v>53</v>
      </c>
      <c r="AO6054" t="s">
        <v>53</v>
      </c>
      <c r="AP6054" t="s">
        <v>53</v>
      </c>
    </row>
    <row r="6055" spans="2:42" x14ac:dyDescent="0.2">
      <c r="B6055" t="s">
        <v>44</v>
      </c>
      <c r="C6055" t="str">
        <f>HYPERLINK("https://us2.cloudbeds.com/connect/8493803454333002#/reservations/9080486846555300?display=2UXRSG7EW1&amp;reservation_id=9080486846555300", "2UXRSG7EW1")</f>
        <v>2UXRSG7EW1</v>
      </c>
      <c r="D6055" t="s">
        <v>45</v>
      </c>
      <c r="E6055" t="s">
        <v>46</v>
      </c>
      <c r="F6055" t="s">
        <v>47</v>
      </c>
      <c r="G6055" t="s">
        <v>48</v>
      </c>
      <c r="H6055" t="s">
        <v>49</v>
      </c>
      <c r="I6055" t="s">
        <v>50</v>
      </c>
      <c r="J6055" t="s">
        <v>6344</v>
      </c>
      <c r="K6055" t="s">
        <v>8678</v>
      </c>
      <c r="L6055" t="s">
        <v>53</v>
      </c>
      <c r="N6055" t="s">
        <v>10836</v>
      </c>
      <c r="P6055" t="s">
        <v>55</v>
      </c>
      <c r="R6055" t="s">
        <v>53</v>
      </c>
      <c r="T6055" t="s">
        <v>10837</v>
      </c>
      <c r="U6055" t="s">
        <v>58</v>
      </c>
      <c r="V6055">
        <v>2</v>
      </c>
      <c r="W6055">
        <v>1</v>
      </c>
      <c r="X6055">
        <v>2</v>
      </c>
      <c r="Y6055">
        <v>0</v>
      </c>
      <c r="Z6055">
        <v>2</v>
      </c>
      <c r="AA6055">
        <v>358.22</v>
      </c>
      <c r="AB6055">
        <v>358.22</v>
      </c>
      <c r="AC6055">
        <v>315.2</v>
      </c>
      <c r="AD6055">
        <v>0</v>
      </c>
      <c r="AE6055">
        <v>43.02</v>
      </c>
      <c r="AF6055">
        <v>0</v>
      </c>
      <c r="AG6055">
        <v>0</v>
      </c>
      <c r="AH6055">
        <v>0</v>
      </c>
      <c r="AI6055">
        <v>64.48</v>
      </c>
      <c r="AJ6055">
        <v>358.22</v>
      </c>
      <c r="AK6055">
        <v>0</v>
      </c>
      <c r="AL6055" t="s">
        <v>53</v>
      </c>
      <c r="AM6055" t="s">
        <v>53</v>
      </c>
      <c r="AN6055" t="s">
        <v>10838</v>
      </c>
      <c r="AO6055" t="s">
        <v>53</v>
      </c>
      <c r="AP6055" t="s">
        <v>53</v>
      </c>
    </row>
    <row r="6056" spans="2:42" x14ac:dyDescent="0.2">
      <c r="B6056" t="s">
        <v>44</v>
      </c>
      <c r="C6056" t="str">
        <f>HYPERLINK("https://us2.cloudbeds.com/connect/8493803454333002#/reservations/9080486846555956?display=2UJEP7SNB6&amp;reservation_id=9080486846555956", "2UJEP7SNB6")</f>
        <v>2UJEP7SNB6</v>
      </c>
      <c r="D6056" t="s">
        <v>45</v>
      </c>
      <c r="E6056" t="s">
        <v>98</v>
      </c>
      <c r="F6056" t="s">
        <v>86</v>
      </c>
      <c r="G6056" t="s">
        <v>48</v>
      </c>
      <c r="H6056" t="s">
        <v>49</v>
      </c>
      <c r="I6056" t="s">
        <v>8964</v>
      </c>
      <c r="J6056" t="s">
        <v>7624</v>
      </c>
      <c r="K6056" t="s">
        <v>7966</v>
      </c>
      <c r="L6056" t="s">
        <v>53</v>
      </c>
      <c r="N6056" t="s">
        <v>10839</v>
      </c>
      <c r="P6056" t="s">
        <v>55</v>
      </c>
      <c r="R6056" t="s">
        <v>53</v>
      </c>
      <c r="T6056" t="s">
        <v>10840</v>
      </c>
      <c r="U6056" t="s">
        <v>58</v>
      </c>
      <c r="V6056">
        <v>1</v>
      </c>
      <c r="W6056">
        <v>1</v>
      </c>
      <c r="X6056">
        <v>2</v>
      </c>
      <c r="Y6056">
        <v>0</v>
      </c>
      <c r="Z6056">
        <v>2</v>
      </c>
      <c r="AA6056">
        <v>0</v>
      </c>
      <c r="AB6056">
        <v>0</v>
      </c>
      <c r="AC6056">
        <v>162</v>
      </c>
      <c r="AD6056">
        <v>0</v>
      </c>
      <c r="AE6056">
        <v>0</v>
      </c>
      <c r="AF6056">
        <v>0</v>
      </c>
      <c r="AG6056">
        <v>0</v>
      </c>
      <c r="AH6056">
        <v>0</v>
      </c>
      <c r="AI6056">
        <v>24.3</v>
      </c>
      <c r="AJ6056">
        <v>162</v>
      </c>
      <c r="AK6056">
        <v>162</v>
      </c>
      <c r="AL6056" t="s">
        <v>53</v>
      </c>
      <c r="AM6056" t="s">
        <v>53</v>
      </c>
      <c r="AN6056" t="s">
        <v>53</v>
      </c>
      <c r="AO6056" t="s">
        <v>53</v>
      </c>
      <c r="AP6056" t="s">
        <v>53</v>
      </c>
    </row>
    <row r="6057" spans="2:42" x14ac:dyDescent="0.2">
      <c r="B6057" t="s">
        <v>44</v>
      </c>
      <c r="C6057" t="str">
        <f>HYPERLINK("https://us2.cloudbeds.com/connect/8493803454333002#/reservations/9080486846555971?display=2UJF2B1ZZQ&amp;reservation_id=9080486846555971", "2UJF2B1ZZQ")</f>
        <v>2UJF2B1ZZQ</v>
      </c>
      <c r="D6057" t="s">
        <v>45</v>
      </c>
      <c r="E6057" t="s">
        <v>223</v>
      </c>
      <c r="F6057" t="s">
        <v>47</v>
      </c>
      <c r="G6057" t="s">
        <v>48</v>
      </c>
      <c r="H6057" t="s">
        <v>49</v>
      </c>
      <c r="I6057" t="s">
        <v>50</v>
      </c>
      <c r="J6057" t="s">
        <v>7989</v>
      </c>
      <c r="K6057" t="s">
        <v>8799</v>
      </c>
      <c r="L6057" t="s">
        <v>53</v>
      </c>
      <c r="N6057" t="s">
        <v>10841</v>
      </c>
      <c r="P6057" t="s">
        <v>55</v>
      </c>
      <c r="R6057" t="s">
        <v>53</v>
      </c>
      <c r="T6057" t="s">
        <v>10842</v>
      </c>
      <c r="U6057" t="s">
        <v>58</v>
      </c>
      <c r="V6057">
        <v>1</v>
      </c>
      <c r="W6057">
        <v>1</v>
      </c>
      <c r="X6057">
        <v>2</v>
      </c>
      <c r="Y6057">
        <v>0</v>
      </c>
      <c r="Z6057">
        <v>2</v>
      </c>
      <c r="AA6057">
        <v>334.47</v>
      </c>
      <c r="AB6057">
        <v>334.47</v>
      </c>
      <c r="AC6057">
        <v>294.3</v>
      </c>
      <c r="AD6057">
        <v>0</v>
      </c>
      <c r="AE6057">
        <v>40.17</v>
      </c>
      <c r="AF6057">
        <v>0</v>
      </c>
      <c r="AG6057">
        <v>0</v>
      </c>
      <c r="AH6057">
        <v>0</v>
      </c>
      <c r="AI6057">
        <v>60.2</v>
      </c>
      <c r="AJ6057">
        <v>334.47</v>
      </c>
      <c r="AK6057">
        <v>0</v>
      </c>
      <c r="AL6057" t="s">
        <v>53</v>
      </c>
      <c r="AM6057" t="s">
        <v>53</v>
      </c>
      <c r="AN6057" t="s">
        <v>53</v>
      </c>
      <c r="AO6057" t="s">
        <v>53</v>
      </c>
      <c r="AP6057" t="s">
        <v>53</v>
      </c>
    </row>
    <row r="6058" spans="2:42" x14ac:dyDescent="0.2">
      <c r="B6058" t="s">
        <v>44</v>
      </c>
      <c r="C6058" t="str">
        <f>HYPERLINK("https://us2.cloudbeds.com/connect/8493803454333002#/reservations/9080486846556069?display=2UJX9JWJDK&amp;reservation_id=9080486846556069", "2UJX9JWJDK")</f>
        <v>2UJX9JWJDK</v>
      </c>
      <c r="D6058" t="s">
        <v>45</v>
      </c>
      <c r="E6058" t="s">
        <v>110</v>
      </c>
      <c r="F6058" t="s">
        <v>47</v>
      </c>
      <c r="G6058" t="s">
        <v>48</v>
      </c>
      <c r="H6058" t="s">
        <v>49</v>
      </c>
      <c r="I6058" t="s">
        <v>62</v>
      </c>
      <c r="J6058" t="s">
        <v>7624</v>
      </c>
      <c r="K6058" t="s">
        <v>7966</v>
      </c>
      <c r="L6058" t="s">
        <v>53</v>
      </c>
      <c r="N6058" t="s">
        <v>10843</v>
      </c>
      <c r="P6058" t="s">
        <v>55</v>
      </c>
      <c r="R6058" t="s">
        <v>56</v>
      </c>
      <c r="T6058" t="s">
        <v>10844</v>
      </c>
      <c r="U6058" t="s">
        <v>55</v>
      </c>
      <c r="V6058">
        <v>1</v>
      </c>
      <c r="W6058">
        <v>1</v>
      </c>
      <c r="X6058">
        <v>2</v>
      </c>
      <c r="Y6058">
        <v>0</v>
      </c>
      <c r="Z6058">
        <v>2</v>
      </c>
      <c r="AA6058">
        <v>129</v>
      </c>
      <c r="AB6058">
        <v>129</v>
      </c>
      <c r="AC6058">
        <v>129</v>
      </c>
      <c r="AD6058">
        <v>0</v>
      </c>
      <c r="AE6058">
        <v>0</v>
      </c>
      <c r="AF6058">
        <v>0</v>
      </c>
      <c r="AG6058">
        <v>0</v>
      </c>
      <c r="AH6058">
        <v>0</v>
      </c>
      <c r="AI6058">
        <v>23.22</v>
      </c>
      <c r="AJ6058">
        <v>129</v>
      </c>
      <c r="AK6058">
        <v>0</v>
      </c>
      <c r="AL6058" t="s">
        <v>53</v>
      </c>
      <c r="AM6058" t="s">
        <v>53</v>
      </c>
      <c r="AN6058" t="s">
        <v>53</v>
      </c>
      <c r="AO6058" t="s">
        <v>53</v>
      </c>
      <c r="AP6058" t="s">
        <v>53</v>
      </c>
    </row>
    <row r="6059" spans="2:42" x14ac:dyDescent="0.2">
      <c r="B6059" t="s">
        <v>44</v>
      </c>
      <c r="C6059" t="str">
        <f>HYPERLINK("https://us2.cloudbeds.com/connect/8493803454333002#/reservations/9080486846556078?display=2UJXG1M6CW&amp;reservation_id=9080486846556078", "2UJXG1M6CW")</f>
        <v>2UJXG1M6CW</v>
      </c>
      <c r="D6059" t="s">
        <v>45</v>
      </c>
      <c r="E6059" t="s">
        <v>105</v>
      </c>
      <c r="F6059" t="s">
        <v>47</v>
      </c>
      <c r="G6059" t="s">
        <v>48</v>
      </c>
      <c r="H6059" t="s">
        <v>49</v>
      </c>
      <c r="I6059" t="s">
        <v>50</v>
      </c>
      <c r="J6059" t="s">
        <v>7624</v>
      </c>
      <c r="K6059" t="s">
        <v>7966</v>
      </c>
      <c r="L6059" t="s">
        <v>53</v>
      </c>
      <c r="N6059" t="s">
        <v>10845</v>
      </c>
      <c r="P6059" t="s">
        <v>55</v>
      </c>
      <c r="R6059" t="s">
        <v>53</v>
      </c>
      <c r="T6059" t="s">
        <v>10846</v>
      </c>
      <c r="U6059" t="s">
        <v>58</v>
      </c>
      <c r="V6059">
        <v>1</v>
      </c>
      <c r="W6059">
        <v>1</v>
      </c>
      <c r="X6059">
        <v>2</v>
      </c>
      <c r="Y6059">
        <v>0</v>
      </c>
      <c r="Z6059">
        <v>2</v>
      </c>
      <c r="AA6059">
        <v>117.28</v>
      </c>
      <c r="AB6059">
        <v>117.28</v>
      </c>
      <c r="AC6059">
        <v>103.2</v>
      </c>
      <c r="AD6059">
        <v>0</v>
      </c>
      <c r="AE6059">
        <v>14.08</v>
      </c>
      <c r="AF6059">
        <v>0</v>
      </c>
      <c r="AG6059">
        <v>0</v>
      </c>
      <c r="AH6059">
        <v>0</v>
      </c>
      <c r="AI6059">
        <v>21.11</v>
      </c>
      <c r="AJ6059">
        <v>117.28</v>
      </c>
      <c r="AK6059">
        <v>0</v>
      </c>
      <c r="AL6059" t="s">
        <v>53</v>
      </c>
      <c r="AM6059" t="s">
        <v>53</v>
      </c>
      <c r="AN6059" t="s">
        <v>53</v>
      </c>
      <c r="AO6059" t="s">
        <v>53</v>
      </c>
      <c r="AP6059" t="s">
        <v>53</v>
      </c>
    </row>
    <row r="6060" spans="2:42" x14ac:dyDescent="0.2">
      <c r="B6060" t="s">
        <v>44</v>
      </c>
      <c r="C6060" t="str">
        <f>HYPERLINK("https://us2.cloudbeds.com/connect/8493803454333002#/reservations/9080486846556079?display=2UJXP2FHRC&amp;reservation_id=9080486846556079", "2UJXP2FHRC")</f>
        <v>2UJXP2FHRC</v>
      </c>
      <c r="D6060" t="s">
        <v>45</v>
      </c>
      <c r="E6060" t="s">
        <v>381</v>
      </c>
      <c r="F6060" t="s">
        <v>47</v>
      </c>
      <c r="G6060" t="s">
        <v>48</v>
      </c>
      <c r="H6060" t="s">
        <v>49</v>
      </c>
      <c r="I6060" t="s">
        <v>62</v>
      </c>
      <c r="J6060" t="s">
        <v>7624</v>
      </c>
      <c r="K6060" t="s">
        <v>8060</v>
      </c>
      <c r="L6060" t="s">
        <v>53</v>
      </c>
      <c r="N6060" t="s">
        <v>10847</v>
      </c>
      <c r="P6060" t="s">
        <v>55</v>
      </c>
      <c r="R6060" t="s">
        <v>56</v>
      </c>
      <c r="T6060" t="s">
        <v>10848</v>
      </c>
      <c r="U6060" t="s">
        <v>55</v>
      </c>
      <c r="V6060">
        <v>2</v>
      </c>
      <c r="W6060">
        <v>1</v>
      </c>
      <c r="X6060">
        <v>2</v>
      </c>
      <c r="Y6060">
        <v>0</v>
      </c>
      <c r="Z6060">
        <v>2</v>
      </c>
      <c r="AA6060">
        <v>297</v>
      </c>
      <c r="AB6060">
        <v>297</v>
      </c>
      <c r="AC6060">
        <v>297</v>
      </c>
      <c r="AD6060">
        <v>0</v>
      </c>
      <c r="AE6060">
        <v>0</v>
      </c>
      <c r="AF6060">
        <v>0</v>
      </c>
      <c r="AG6060">
        <v>0</v>
      </c>
      <c r="AH6060">
        <v>0</v>
      </c>
      <c r="AI6060">
        <v>53.46</v>
      </c>
      <c r="AJ6060">
        <v>297</v>
      </c>
      <c r="AK6060">
        <v>0</v>
      </c>
      <c r="AL6060" t="s">
        <v>53</v>
      </c>
      <c r="AM6060" t="s">
        <v>53</v>
      </c>
      <c r="AN6060" t="s">
        <v>53</v>
      </c>
      <c r="AO6060" t="s">
        <v>53</v>
      </c>
      <c r="AP6060" t="s">
        <v>53</v>
      </c>
    </row>
    <row r="6061" spans="2:42" x14ac:dyDescent="0.2">
      <c r="B6061" t="s">
        <v>44</v>
      </c>
      <c r="C6061" t="str">
        <f>HYPERLINK("https://us2.cloudbeds.com/connect/8493803454333002#/reservations/9080486846556108?display=2UJJP3Z5EH&amp;reservation_id=9080486846556108", "2UJJP3Z5EH")</f>
        <v>2UJJP3Z5EH</v>
      </c>
      <c r="D6061" t="s">
        <v>45</v>
      </c>
      <c r="E6061" t="s">
        <v>185</v>
      </c>
      <c r="F6061" t="s">
        <v>47</v>
      </c>
      <c r="G6061" t="s">
        <v>48</v>
      </c>
      <c r="H6061" t="s">
        <v>49</v>
      </c>
      <c r="I6061" t="s">
        <v>50</v>
      </c>
      <c r="J6061" t="s">
        <v>7624</v>
      </c>
      <c r="K6061" t="s">
        <v>7966</v>
      </c>
      <c r="L6061" t="s">
        <v>53</v>
      </c>
      <c r="N6061" t="s">
        <v>10849</v>
      </c>
      <c r="P6061" t="s">
        <v>55</v>
      </c>
      <c r="R6061" t="s">
        <v>53</v>
      </c>
      <c r="T6061" t="s">
        <v>10850</v>
      </c>
      <c r="U6061" t="s">
        <v>58</v>
      </c>
      <c r="V6061">
        <v>1</v>
      </c>
      <c r="W6061">
        <v>1</v>
      </c>
      <c r="X6061">
        <v>1</v>
      </c>
      <c r="Y6061">
        <v>0</v>
      </c>
      <c r="Z6061">
        <v>1</v>
      </c>
      <c r="AA6061">
        <v>124.62</v>
      </c>
      <c r="AB6061">
        <v>124.62</v>
      </c>
      <c r="AC6061">
        <v>109.65</v>
      </c>
      <c r="AD6061">
        <v>0</v>
      </c>
      <c r="AE6061">
        <v>14.97</v>
      </c>
      <c r="AF6061">
        <v>0</v>
      </c>
      <c r="AG6061">
        <v>0</v>
      </c>
      <c r="AH6061">
        <v>0</v>
      </c>
      <c r="AI6061">
        <v>22.43</v>
      </c>
      <c r="AJ6061">
        <v>124.62</v>
      </c>
      <c r="AK6061">
        <v>0</v>
      </c>
      <c r="AL6061" t="s">
        <v>53</v>
      </c>
      <c r="AM6061" t="s">
        <v>53</v>
      </c>
      <c r="AN6061" t="s">
        <v>53</v>
      </c>
      <c r="AO6061" t="s">
        <v>53</v>
      </c>
      <c r="AP6061" t="s">
        <v>53</v>
      </c>
    </row>
    <row r="6062" spans="2:42" x14ac:dyDescent="0.2">
      <c r="B6062" t="s">
        <v>44</v>
      </c>
      <c r="C6062" t="str">
        <f>HYPERLINK("https://us2.cloudbeds.com/connect/8493803454333002#/reservations/9080486846556115?display=2UJJTFPUXV&amp;reservation_id=9080486846556115", "2UJJTFPUXV")</f>
        <v>2UJJTFPUXV</v>
      </c>
      <c r="D6062" t="s">
        <v>45</v>
      </c>
      <c r="E6062" t="s">
        <v>185</v>
      </c>
      <c r="F6062" t="s">
        <v>47</v>
      </c>
      <c r="G6062" t="s">
        <v>48</v>
      </c>
      <c r="H6062" t="s">
        <v>49</v>
      </c>
      <c r="I6062" t="s">
        <v>62</v>
      </c>
      <c r="J6062" t="s">
        <v>6991</v>
      </c>
      <c r="K6062" t="s">
        <v>6992</v>
      </c>
      <c r="L6062" t="s">
        <v>53</v>
      </c>
      <c r="N6062" t="s">
        <v>10851</v>
      </c>
      <c r="P6062" t="s">
        <v>55</v>
      </c>
      <c r="R6062" t="s">
        <v>56</v>
      </c>
      <c r="T6062" t="s">
        <v>10852</v>
      </c>
      <c r="U6062" t="s">
        <v>55</v>
      </c>
      <c r="V6062">
        <v>2</v>
      </c>
      <c r="W6062">
        <v>1</v>
      </c>
      <c r="X6062">
        <v>2</v>
      </c>
      <c r="Y6062">
        <v>0</v>
      </c>
      <c r="Z6062">
        <v>2</v>
      </c>
      <c r="AA6062">
        <v>326.8</v>
      </c>
      <c r="AB6062">
        <v>326.8</v>
      </c>
      <c r="AC6062">
        <v>326.8</v>
      </c>
      <c r="AD6062">
        <v>0</v>
      </c>
      <c r="AE6062">
        <v>0</v>
      </c>
      <c r="AF6062">
        <v>0</v>
      </c>
      <c r="AG6062">
        <v>0</v>
      </c>
      <c r="AH6062">
        <v>0</v>
      </c>
      <c r="AI6062">
        <v>58.82</v>
      </c>
      <c r="AJ6062">
        <v>326.8</v>
      </c>
      <c r="AK6062">
        <v>0</v>
      </c>
      <c r="AL6062" t="s">
        <v>53</v>
      </c>
      <c r="AM6062" t="s">
        <v>53</v>
      </c>
      <c r="AN6062" t="s">
        <v>53</v>
      </c>
      <c r="AO6062" t="s">
        <v>53</v>
      </c>
      <c r="AP6062" t="s">
        <v>53</v>
      </c>
    </row>
    <row r="6063" spans="2:42" x14ac:dyDescent="0.2">
      <c r="B6063" t="s">
        <v>44</v>
      </c>
      <c r="C6063" t="str">
        <f>HYPERLINK("https://us2.cloudbeds.com/connect/8493803454333002#/reservations/9080486846556135?display=2UJKDX0WQG&amp;reservation_id=9080486846556135", "2UJKDX0WQG")</f>
        <v>2UJKDX0WQG</v>
      </c>
      <c r="D6063" t="s">
        <v>45</v>
      </c>
      <c r="E6063" t="s">
        <v>92</v>
      </c>
      <c r="F6063" t="s">
        <v>86</v>
      </c>
      <c r="G6063" t="s">
        <v>48</v>
      </c>
      <c r="H6063" t="s">
        <v>49</v>
      </c>
      <c r="I6063" t="s">
        <v>50</v>
      </c>
      <c r="J6063" t="s">
        <v>7624</v>
      </c>
      <c r="K6063" t="s">
        <v>7966</v>
      </c>
      <c r="L6063" t="s">
        <v>53</v>
      </c>
      <c r="N6063" t="s">
        <v>10853</v>
      </c>
      <c r="P6063" t="s">
        <v>55</v>
      </c>
      <c r="R6063" t="s">
        <v>53</v>
      </c>
      <c r="T6063" t="s">
        <v>10854</v>
      </c>
      <c r="U6063" t="s">
        <v>58</v>
      </c>
      <c r="V6063">
        <v>1</v>
      </c>
      <c r="W6063">
        <v>1</v>
      </c>
      <c r="X6063">
        <v>2</v>
      </c>
      <c r="Y6063">
        <v>2</v>
      </c>
      <c r="Z6063">
        <v>4</v>
      </c>
      <c r="AA6063">
        <v>161.61000000000001</v>
      </c>
      <c r="AB6063">
        <v>161.61000000000001</v>
      </c>
      <c r="AC6063">
        <v>142.19999999999999</v>
      </c>
      <c r="AD6063">
        <v>0</v>
      </c>
      <c r="AE6063">
        <v>19.41</v>
      </c>
      <c r="AF6063">
        <v>0</v>
      </c>
      <c r="AG6063">
        <v>0</v>
      </c>
      <c r="AH6063">
        <v>0</v>
      </c>
      <c r="AI6063">
        <v>29.09</v>
      </c>
      <c r="AJ6063">
        <v>161.61000000000001</v>
      </c>
      <c r="AK6063">
        <v>0</v>
      </c>
      <c r="AL6063" t="s">
        <v>53</v>
      </c>
      <c r="AM6063" t="s">
        <v>53</v>
      </c>
      <c r="AN6063" t="s">
        <v>53</v>
      </c>
      <c r="AO6063" t="s">
        <v>53</v>
      </c>
      <c r="AP6063" t="s">
        <v>53</v>
      </c>
    </row>
    <row r="6064" spans="2:42" x14ac:dyDescent="0.2">
      <c r="B6064" t="s">
        <v>44</v>
      </c>
      <c r="C6064" t="str">
        <f>HYPERLINK("https://us2.cloudbeds.com/connect/8493803454333002#/reservations/9080486846556932?display=2UKC4W0FPN&amp;reservation_id=9080486846556932", "2UKC4W0FPN")</f>
        <v>2UKC4W0FPN</v>
      </c>
      <c r="D6064" t="s">
        <v>45</v>
      </c>
      <c r="E6064" t="s">
        <v>213</v>
      </c>
      <c r="F6064" t="s">
        <v>86</v>
      </c>
      <c r="G6064" t="s">
        <v>48</v>
      </c>
      <c r="H6064" t="s">
        <v>49</v>
      </c>
      <c r="I6064" t="s">
        <v>62</v>
      </c>
      <c r="J6064" t="s">
        <v>7967</v>
      </c>
      <c r="K6064" t="s">
        <v>7989</v>
      </c>
      <c r="L6064" t="s">
        <v>53</v>
      </c>
      <c r="N6064" t="s">
        <v>10855</v>
      </c>
      <c r="P6064" t="s">
        <v>55</v>
      </c>
      <c r="R6064" t="s">
        <v>56</v>
      </c>
      <c r="T6064" t="s">
        <v>10856</v>
      </c>
      <c r="U6064" t="s">
        <v>55</v>
      </c>
      <c r="V6064">
        <v>2</v>
      </c>
      <c r="W6064">
        <v>1</v>
      </c>
      <c r="X6064">
        <v>2</v>
      </c>
      <c r="Y6064">
        <v>1</v>
      </c>
      <c r="Z6064">
        <v>3</v>
      </c>
      <c r="AA6064">
        <v>460</v>
      </c>
      <c r="AB6064">
        <v>460</v>
      </c>
      <c r="AC6064">
        <v>460</v>
      </c>
      <c r="AD6064">
        <v>0</v>
      </c>
      <c r="AE6064">
        <v>0</v>
      </c>
      <c r="AF6064">
        <v>0</v>
      </c>
      <c r="AG6064">
        <v>0</v>
      </c>
      <c r="AH6064">
        <v>0</v>
      </c>
      <c r="AI6064">
        <v>82.8</v>
      </c>
      <c r="AJ6064">
        <v>460</v>
      </c>
      <c r="AK6064">
        <v>0</v>
      </c>
      <c r="AL6064" t="s">
        <v>53</v>
      </c>
      <c r="AM6064" t="s">
        <v>53</v>
      </c>
      <c r="AN6064" t="s">
        <v>10857</v>
      </c>
      <c r="AO6064" t="s">
        <v>53</v>
      </c>
      <c r="AP6064" t="s">
        <v>53</v>
      </c>
    </row>
    <row r="6065" spans="2:42" x14ac:dyDescent="0.2">
      <c r="B6065" t="s">
        <v>44</v>
      </c>
      <c r="C6065" t="str">
        <f>HYPERLINK("https://us2.cloudbeds.com/connect/8493803454333002#/reservations/135894656880814?display=2UKKVF9176&amp;reservation_id=135894656880814", "2UKKVF9176")</f>
        <v>2UKKVF9176</v>
      </c>
      <c r="D6065" t="s">
        <v>45</v>
      </c>
      <c r="E6065" t="s">
        <v>78</v>
      </c>
      <c r="F6065" t="s">
        <v>61</v>
      </c>
      <c r="G6065" t="s">
        <v>48</v>
      </c>
      <c r="H6065" t="s">
        <v>3957</v>
      </c>
      <c r="I6065" t="s">
        <v>3975</v>
      </c>
      <c r="J6065" t="s">
        <v>8686</v>
      </c>
      <c r="K6065" t="s">
        <v>5402</v>
      </c>
      <c r="L6065" t="s">
        <v>53</v>
      </c>
      <c r="P6065" t="s">
        <v>55</v>
      </c>
      <c r="R6065" t="s">
        <v>53</v>
      </c>
      <c r="T6065" t="s">
        <v>10858</v>
      </c>
      <c r="U6065" t="s">
        <v>58</v>
      </c>
      <c r="V6065">
        <v>1</v>
      </c>
      <c r="W6065">
        <v>1</v>
      </c>
      <c r="X6065">
        <v>2</v>
      </c>
      <c r="Y6065">
        <v>0</v>
      </c>
      <c r="Z6065">
        <v>2</v>
      </c>
      <c r="AA6065">
        <v>240.94</v>
      </c>
      <c r="AB6065">
        <v>240.94</v>
      </c>
      <c r="AC6065">
        <v>212</v>
      </c>
      <c r="AD6065">
        <v>0</v>
      </c>
      <c r="AE6065">
        <v>28.94</v>
      </c>
      <c r="AF6065">
        <v>0</v>
      </c>
      <c r="AG6065">
        <v>0</v>
      </c>
      <c r="AH6065">
        <v>0</v>
      </c>
      <c r="AI6065">
        <v>0</v>
      </c>
      <c r="AJ6065">
        <v>240.94</v>
      </c>
      <c r="AK6065">
        <v>0</v>
      </c>
      <c r="AL6065" t="s">
        <v>53</v>
      </c>
      <c r="AM6065" t="s">
        <v>53</v>
      </c>
      <c r="AN6065" t="s">
        <v>53</v>
      </c>
      <c r="AO6065" t="s">
        <v>53</v>
      </c>
      <c r="AP6065" t="s">
        <v>53</v>
      </c>
    </row>
    <row r="6066" spans="2:42" x14ac:dyDescent="0.2">
      <c r="B6066" t="s">
        <v>44</v>
      </c>
      <c r="C6066" t="str">
        <f>HYPERLINK("https://us2.cloudbeds.com/connect/8493803454333002#/reservations/135929217335524?display=2UYENXXKVX&amp;reservation_id=135929217335524", "2UYENXXKVX")</f>
        <v>2UYENXXKVX</v>
      </c>
      <c r="D6066" t="s">
        <v>45</v>
      </c>
      <c r="E6066" t="s">
        <v>155</v>
      </c>
      <c r="F6066" t="s">
        <v>86</v>
      </c>
      <c r="G6066" t="s">
        <v>48</v>
      </c>
      <c r="H6066" t="s">
        <v>3957</v>
      </c>
      <c r="I6066" t="s">
        <v>3975</v>
      </c>
      <c r="J6066" t="s">
        <v>8060</v>
      </c>
      <c r="K6066" t="s">
        <v>7967</v>
      </c>
      <c r="L6066" t="s">
        <v>53</v>
      </c>
      <c r="P6066" t="s">
        <v>55</v>
      </c>
      <c r="R6066" t="s">
        <v>53</v>
      </c>
      <c r="T6066" t="s">
        <v>10859</v>
      </c>
      <c r="U6066" t="s">
        <v>58</v>
      </c>
      <c r="V6066">
        <v>1</v>
      </c>
      <c r="W6066">
        <v>1</v>
      </c>
      <c r="X6066">
        <v>2</v>
      </c>
      <c r="Y6066">
        <v>0</v>
      </c>
      <c r="Z6066">
        <v>2</v>
      </c>
      <c r="AA6066">
        <v>207.99</v>
      </c>
      <c r="AB6066">
        <v>207.99</v>
      </c>
      <c r="AC6066">
        <v>183</v>
      </c>
      <c r="AD6066">
        <v>0</v>
      </c>
      <c r="AE6066">
        <v>24.99</v>
      </c>
      <c r="AF6066">
        <v>0</v>
      </c>
      <c r="AG6066">
        <v>0</v>
      </c>
      <c r="AH6066">
        <v>0</v>
      </c>
      <c r="AI6066">
        <v>0</v>
      </c>
      <c r="AJ6066">
        <v>207.99</v>
      </c>
      <c r="AK6066">
        <v>0</v>
      </c>
      <c r="AL6066" t="s">
        <v>53</v>
      </c>
      <c r="AM6066" t="s">
        <v>53</v>
      </c>
      <c r="AN6066" t="s">
        <v>53</v>
      </c>
      <c r="AO6066" t="s">
        <v>53</v>
      </c>
      <c r="AP6066" t="s">
        <v>53</v>
      </c>
    </row>
    <row r="6067" spans="2:42" x14ac:dyDescent="0.2">
      <c r="B6067" t="s">
        <v>44</v>
      </c>
      <c r="C6067" t="str">
        <f>HYPERLINK("https://us2.cloudbeds.com/connect/8493803454333002#/reservations/135938347102453?display=2UYYPS0SAF&amp;reservation_id=135938347102453", "2UYYPS0SAF")</f>
        <v>2UYYPS0SAF</v>
      </c>
      <c r="D6067" t="s">
        <v>45</v>
      </c>
      <c r="E6067" t="s">
        <v>185</v>
      </c>
      <c r="F6067" t="s">
        <v>47</v>
      </c>
      <c r="G6067" t="s">
        <v>48</v>
      </c>
      <c r="H6067" t="s">
        <v>3957</v>
      </c>
      <c r="I6067" t="s">
        <v>3975</v>
      </c>
      <c r="J6067" t="s">
        <v>10860</v>
      </c>
      <c r="K6067" t="s">
        <v>10861</v>
      </c>
      <c r="L6067" t="s">
        <v>53</v>
      </c>
      <c r="P6067" t="s">
        <v>55</v>
      </c>
      <c r="R6067" t="s">
        <v>53</v>
      </c>
      <c r="T6067" t="s">
        <v>10862</v>
      </c>
      <c r="U6067" t="s">
        <v>58</v>
      </c>
      <c r="V6067">
        <v>3</v>
      </c>
      <c r="W6067">
        <v>1</v>
      </c>
      <c r="X6067">
        <v>2</v>
      </c>
      <c r="Y6067">
        <v>0</v>
      </c>
      <c r="Z6067">
        <v>2</v>
      </c>
      <c r="AA6067">
        <v>259.11</v>
      </c>
      <c r="AB6067">
        <v>518.22</v>
      </c>
      <c r="AC6067">
        <v>228</v>
      </c>
      <c r="AD6067">
        <v>0</v>
      </c>
      <c r="AE6067">
        <v>31.11</v>
      </c>
      <c r="AF6067">
        <v>0</v>
      </c>
      <c r="AG6067">
        <v>0</v>
      </c>
      <c r="AH6067">
        <v>0</v>
      </c>
      <c r="AI6067">
        <v>0</v>
      </c>
      <c r="AJ6067">
        <v>259.11</v>
      </c>
      <c r="AK6067">
        <v>0</v>
      </c>
      <c r="AL6067" t="s">
        <v>53</v>
      </c>
      <c r="AM6067" t="s">
        <v>53</v>
      </c>
      <c r="AN6067" t="s">
        <v>53</v>
      </c>
      <c r="AO6067" t="s">
        <v>53</v>
      </c>
      <c r="AP6067" t="s">
        <v>53</v>
      </c>
    </row>
    <row r="6068" spans="2:42" x14ac:dyDescent="0.2">
      <c r="B6068" t="s">
        <v>44</v>
      </c>
      <c r="C6068" t="str">
        <f>HYPERLINK("https://us2.cloudbeds.com/connect/8493803454333002#/reservations/9080486846558028?display=2UYSPYCK57&amp;reservation_id=9080486846558028", "2UYSPYCK57")</f>
        <v>2UYSPYCK57</v>
      </c>
      <c r="D6068" t="s">
        <v>45</v>
      </c>
      <c r="E6068" t="s">
        <v>121</v>
      </c>
      <c r="F6068" t="s">
        <v>86</v>
      </c>
      <c r="G6068" t="s">
        <v>48</v>
      </c>
      <c r="H6068" t="s">
        <v>49</v>
      </c>
      <c r="I6068" t="s">
        <v>50</v>
      </c>
      <c r="J6068" t="s">
        <v>8670</v>
      </c>
      <c r="K6068" t="s">
        <v>7989</v>
      </c>
      <c r="L6068" t="s">
        <v>53</v>
      </c>
      <c r="N6068" t="s">
        <v>10863</v>
      </c>
      <c r="P6068" t="s">
        <v>55</v>
      </c>
      <c r="R6068" t="s">
        <v>53</v>
      </c>
      <c r="T6068" t="s">
        <v>10864</v>
      </c>
      <c r="U6068" t="s">
        <v>58</v>
      </c>
      <c r="V6068">
        <v>1</v>
      </c>
      <c r="W6068">
        <v>1</v>
      </c>
      <c r="X6068">
        <v>1</v>
      </c>
      <c r="Y6068">
        <v>0</v>
      </c>
      <c r="Z6068">
        <v>1</v>
      </c>
      <c r="AA6068">
        <v>229.12</v>
      </c>
      <c r="AB6068">
        <v>229.12</v>
      </c>
      <c r="AC6068">
        <v>201.6</v>
      </c>
      <c r="AD6068">
        <v>0</v>
      </c>
      <c r="AE6068">
        <v>27.52</v>
      </c>
      <c r="AF6068">
        <v>0</v>
      </c>
      <c r="AG6068">
        <v>0</v>
      </c>
      <c r="AH6068">
        <v>0</v>
      </c>
      <c r="AI6068">
        <v>41.24</v>
      </c>
      <c r="AJ6068">
        <v>229.12</v>
      </c>
      <c r="AK6068">
        <v>0</v>
      </c>
      <c r="AL6068" t="s">
        <v>53</v>
      </c>
      <c r="AM6068" t="s">
        <v>53</v>
      </c>
      <c r="AN6068" t="s">
        <v>53</v>
      </c>
      <c r="AO6068" t="s">
        <v>53</v>
      </c>
      <c r="AP6068" t="s">
        <v>53</v>
      </c>
    </row>
    <row r="6069" spans="2:42" x14ac:dyDescent="0.2">
      <c r="B6069" t="s">
        <v>44</v>
      </c>
      <c r="C6069" t="str">
        <f>HYPERLINK("https://us2.cloudbeds.com/connect/8493803454333002#/reservations/9080486846558242?display=2UM52VSN19&amp;reservation_id=9080486846558242", "2UM52VSN19")</f>
        <v>2UM52VSN19</v>
      </c>
      <c r="D6069" t="s">
        <v>45</v>
      </c>
      <c r="E6069" t="s">
        <v>223</v>
      </c>
      <c r="F6069" t="s">
        <v>47</v>
      </c>
      <c r="G6069" t="s">
        <v>48</v>
      </c>
      <c r="H6069" t="s">
        <v>49</v>
      </c>
      <c r="I6069" t="s">
        <v>50</v>
      </c>
      <c r="J6069" t="s">
        <v>8900</v>
      </c>
      <c r="K6069" t="s">
        <v>5507</v>
      </c>
      <c r="L6069" t="s">
        <v>53</v>
      </c>
      <c r="N6069" t="s">
        <v>10865</v>
      </c>
      <c r="P6069" t="s">
        <v>55</v>
      </c>
      <c r="R6069" t="s">
        <v>53</v>
      </c>
      <c r="T6069" t="s">
        <v>10866</v>
      </c>
      <c r="U6069" t="s">
        <v>58</v>
      </c>
      <c r="V6069">
        <v>2</v>
      </c>
      <c r="W6069">
        <v>1</v>
      </c>
      <c r="X6069">
        <v>1</v>
      </c>
      <c r="Y6069">
        <v>0</v>
      </c>
      <c r="Z6069">
        <v>1</v>
      </c>
      <c r="AA6069">
        <v>766.57</v>
      </c>
      <c r="AB6069">
        <v>766.57</v>
      </c>
      <c r="AC6069">
        <v>674.5</v>
      </c>
      <c r="AD6069">
        <v>0</v>
      </c>
      <c r="AE6069">
        <v>92.07</v>
      </c>
      <c r="AF6069">
        <v>0</v>
      </c>
      <c r="AG6069">
        <v>0</v>
      </c>
      <c r="AH6069">
        <v>0</v>
      </c>
      <c r="AI6069">
        <v>137.97999999999999</v>
      </c>
      <c r="AJ6069">
        <v>766.57</v>
      </c>
      <c r="AK6069">
        <v>0</v>
      </c>
      <c r="AL6069" t="s">
        <v>53</v>
      </c>
      <c r="AM6069" t="s">
        <v>53</v>
      </c>
      <c r="AN6069" t="s">
        <v>53</v>
      </c>
      <c r="AO6069" t="s">
        <v>53</v>
      </c>
      <c r="AP6069" t="s">
        <v>53</v>
      </c>
    </row>
    <row r="6070" spans="2:42" x14ac:dyDescent="0.2">
      <c r="B6070" t="s">
        <v>44</v>
      </c>
      <c r="C6070" t="str">
        <f>HYPERLINK("https://us2.cloudbeds.com/connect/8493803454333002#/reservations/9080486846558463?display=2UMFT8KMX5&amp;reservation_id=9080486846558463", "2UMFT8KMX5")</f>
        <v>2UMFT8KMX5</v>
      </c>
      <c r="D6070" t="s">
        <v>45</v>
      </c>
      <c r="E6070" t="s">
        <v>487</v>
      </c>
      <c r="F6070" t="s">
        <v>61</v>
      </c>
      <c r="G6070" t="s">
        <v>48</v>
      </c>
      <c r="H6070" t="s">
        <v>49</v>
      </c>
      <c r="I6070" t="s">
        <v>50</v>
      </c>
      <c r="J6070" t="s">
        <v>5508</v>
      </c>
      <c r="K6070" t="s">
        <v>9692</v>
      </c>
      <c r="L6070" t="s">
        <v>53</v>
      </c>
      <c r="N6070" t="s">
        <v>10867</v>
      </c>
      <c r="P6070" t="s">
        <v>55</v>
      </c>
      <c r="R6070" t="s">
        <v>53</v>
      </c>
      <c r="T6070" t="s">
        <v>10868</v>
      </c>
      <c r="U6070" t="s">
        <v>58</v>
      </c>
      <c r="V6070">
        <v>1</v>
      </c>
      <c r="W6070">
        <v>1</v>
      </c>
      <c r="X6070">
        <v>2</v>
      </c>
      <c r="Y6070">
        <v>0</v>
      </c>
      <c r="Z6070">
        <v>2</v>
      </c>
      <c r="AA6070">
        <v>185.6</v>
      </c>
      <c r="AB6070">
        <v>185.6</v>
      </c>
      <c r="AC6070">
        <v>163.30000000000001</v>
      </c>
      <c r="AD6070">
        <v>0</v>
      </c>
      <c r="AE6070">
        <v>22.3</v>
      </c>
      <c r="AF6070">
        <v>0</v>
      </c>
      <c r="AG6070">
        <v>0</v>
      </c>
      <c r="AH6070">
        <v>0</v>
      </c>
      <c r="AI6070">
        <v>33.409999999999997</v>
      </c>
      <c r="AJ6070">
        <v>185.6</v>
      </c>
      <c r="AK6070">
        <v>0</v>
      </c>
      <c r="AL6070" t="s">
        <v>53</v>
      </c>
      <c r="AM6070" t="s">
        <v>53</v>
      </c>
      <c r="AN6070" t="s">
        <v>53</v>
      </c>
      <c r="AO6070" t="s">
        <v>53</v>
      </c>
      <c r="AP6070" t="s">
        <v>53</v>
      </c>
    </row>
    <row r="6071" spans="2:42" x14ac:dyDescent="0.2">
      <c r="B6071" t="s">
        <v>44</v>
      </c>
      <c r="C6071" t="str">
        <f>HYPERLINK("https://us2.cloudbeds.com/connect/8493803454333002#/reservations/9080486846558694?display=2UMTPCBEDS&amp;reservation_id=9080486846558694", "2UMTPCBEDS")</f>
        <v>2UMTPCBEDS</v>
      </c>
      <c r="D6071" t="s">
        <v>45</v>
      </c>
      <c r="E6071" t="s">
        <v>185</v>
      </c>
      <c r="F6071" t="s">
        <v>47</v>
      </c>
      <c r="G6071" t="s">
        <v>48</v>
      </c>
      <c r="H6071" t="s">
        <v>49</v>
      </c>
      <c r="I6071" t="s">
        <v>50</v>
      </c>
      <c r="J6071" t="s">
        <v>7088</v>
      </c>
      <c r="K6071" t="s">
        <v>9620</v>
      </c>
      <c r="L6071" t="s">
        <v>53</v>
      </c>
      <c r="N6071" t="s">
        <v>10869</v>
      </c>
      <c r="P6071" t="s">
        <v>55</v>
      </c>
      <c r="R6071" t="s">
        <v>53</v>
      </c>
      <c r="T6071" t="s">
        <v>10870</v>
      </c>
      <c r="U6071" t="s">
        <v>58</v>
      </c>
      <c r="V6071">
        <v>1</v>
      </c>
      <c r="W6071">
        <v>1</v>
      </c>
      <c r="X6071">
        <v>2</v>
      </c>
      <c r="Y6071">
        <v>0</v>
      </c>
      <c r="Z6071">
        <v>2</v>
      </c>
      <c r="AA6071">
        <v>154.61000000000001</v>
      </c>
      <c r="AB6071">
        <v>154.61000000000001</v>
      </c>
      <c r="AC6071">
        <v>136.04</v>
      </c>
      <c r="AD6071">
        <v>0</v>
      </c>
      <c r="AE6071">
        <v>18.57</v>
      </c>
      <c r="AF6071">
        <v>0</v>
      </c>
      <c r="AG6071">
        <v>0</v>
      </c>
      <c r="AH6071">
        <v>0</v>
      </c>
      <c r="AI6071">
        <v>27.83</v>
      </c>
      <c r="AJ6071">
        <v>154.61000000000001</v>
      </c>
      <c r="AK6071">
        <v>0</v>
      </c>
      <c r="AL6071" t="s">
        <v>53</v>
      </c>
      <c r="AM6071" t="s">
        <v>53</v>
      </c>
      <c r="AN6071" t="s">
        <v>53</v>
      </c>
      <c r="AO6071" t="s">
        <v>53</v>
      </c>
      <c r="AP6071" t="s">
        <v>53</v>
      </c>
    </row>
    <row r="6072" spans="2:42" x14ac:dyDescent="0.2">
      <c r="B6072" t="s">
        <v>44</v>
      </c>
      <c r="C6072" t="str">
        <f>HYPERLINK("https://us2.cloudbeds.com/connect/8493803454333002#/reservations/9080486846560081?display=2UP7ABQ97J&amp;reservation_id=9080486846560081", "2UP7ABQ97J")</f>
        <v>2UP7ABQ97J</v>
      </c>
      <c r="D6072" t="s">
        <v>45</v>
      </c>
      <c r="E6072" t="s">
        <v>105</v>
      </c>
      <c r="F6072" t="s">
        <v>47</v>
      </c>
      <c r="G6072" t="s">
        <v>48</v>
      </c>
      <c r="H6072" t="s">
        <v>49</v>
      </c>
      <c r="I6072" t="s">
        <v>50</v>
      </c>
      <c r="J6072" t="s">
        <v>5904</v>
      </c>
      <c r="K6072" t="s">
        <v>5403</v>
      </c>
      <c r="L6072" t="s">
        <v>53</v>
      </c>
      <c r="N6072" t="s">
        <v>10871</v>
      </c>
      <c r="P6072" t="s">
        <v>55</v>
      </c>
      <c r="R6072" t="s">
        <v>53</v>
      </c>
      <c r="T6072" t="s">
        <v>10872</v>
      </c>
      <c r="U6072" t="s">
        <v>58</v>
      </c>
      <c r="V6072">
        <v>1</v>
      </c>
      <c r="W6072">
        <v>1</v>
      </c>
      <c r="X6072">
        <v>2</v>
      </c>
      <c r="Y6072">
        <v>0</v>
      </c>
      <c r="Z6072">
        <v>2</v>
      </c>
      <c r="AA6072">
        <v>183.54</v>
      </c>
      <c r="AB6072">
        <v>183.54</v>
      </c>
      <c r="AC6072">
        <v>161.5</v>
      </c>
      <c r="AD6072">
        <v>0</v>
      </c>
      <c r="AE6072">
        <v>22.04</v>
      </c>
      <c r="AF6072">
        <v>0</v>
      </c>
      <c r="AG6072">
        <v>0</v>
      </c>
      <c r="AH6072">
        <v>0</v>
      </c>
      <c r="AI6072">
        <v>33.04</v>
      </c>
      <c r="AJ6072">
        <v>183.54</v>
      </c>
      <c r="AK6072">
        <v>0</v>
      </c>
      <c r="AL6072" t="s">
        <v>53</v>
      </c>
      <c r="AM6072" t="s">
        <v>53</v>
      </c>
      <c r="AN6072" t="s">
        <v>53</v>
      </c>
      <c r="AO6072" t="s">
        <v>53</v>
      </c>
      <c r="AP6072" t="s">
        <v>53</v>
      </c>
    </row>
    <row r="6073" spans="2:42" x14ac:dyDescent="0.2">
      <c r="B6073" t="s">
        <v>44</v>
      </c>
      <c r="C6073" t="str">
        <f>HYPERLINK("https://us2.cloudbeds.com/connect/8493803454333002#/reservations/9080486846561118?display=2UQA2R5AYN&amp;reservation_id=9080486846561118", "2UQA2R5AYN")</f>
        <v>2UQA2R5AYN</v>
      </c>
      <c r="D6073" t="s">
        <v>45</v>
      </c>
      <c r="E6073" t="s">
        <v>85</v>
      </c>
      <c r="F6073" t="s">
        <v>86</v>
      </c>
      <c r="G6073" t="s">
        <v>48</v>
      </c>
      <c r="H6073" t="s">
        <v>49</v>
      </c>
      <c r="I6073" t="s">
        <v>50</v>
      </c>
      <c r="J6073" t="s">
        <v>7966</v>
      </c>
      <c r="K6073" t="s">
        <v>8060</v>
      </c>
      <c r="L6073" t="s">
        <v>53</v>
      </c>
      <c r="N6073" t="s">
        <v>10873</v>
      </c>
      <c r="P6073" t="s">
        <v>55</v>
      </c>
      <c r="R6073" t="s">
        <v>56</v>
      </c>
      <c r="T6073" t="s">
        <v>10874</v>
      </c>
      <c r="U6073" t="s">
        <v>58</v>
      </c>
      <c r="V6073">
        <v>1</v>
      </c>
      <c r="W6073">
        <v>1</v>
      </c>
      <c r="X6073">
        <v>2</v>
      </c>
      <c r="Y6073">
        <v>0</v>
      </c>
      <c r="Z6073">
        <v>2</v>
      </c>
      <c r="AA6073">
        <v>184.12</v>
      </c>
      <c r="AB6073">
        <v>184.12</v>
      </c>
      <c r="AC6073">
        <v>162</v>
      </c>
      <c r="AD6073">
        <v>0</v>
      </c>
      <c r="AE6073">
        <v>22.12</v>
      </c>
      <c r="AF6073">
        <v>0</v>
      </c>
      <c r="AG6073">
        <v>0</v>
      </c>
      <c r="AH6073">
        <v>0</v>
      </c>
      <c r="AI6073">
        <v>33.14</v>
      </c>
      <c r="AJ6073">
        <v>184.12</v>
      </c>
      <c r="AK6073">
        <v>0</v>
      </c>
      <c r="AL6073" t="s">
        <v>53</v>
      </c>
      <c r="AM6073" t="s">
        <v>53</v>
      </c>
      <c r="AN6073" t="s">
        <v>53</v>
      </c>
      <c r="AO6073" t="s">
        <v>53</v>
      </c>
      <c r="AP6073" t="s">
        <v>53</v>
      </c>
    </row>
    <row r="6074" spans="2:42" x14ac:dyDescent="0.2">
      <c r="B6074" t="s">
        <v>44</v>
      </c>
      <c r="C6074" t="str">
        <f>HYPERLINK("https://us2.cloudbeds.com/connect/8493803454333002#/reservations/9080486846561226?display=2UQE3C1JF0&amp;reservation_id=9080486846561226", "2UQE3C1JF0")</f>
        <v>2UQE3C1JF0</v>
      </c>
      <c r="D6074" t="s">
        <v>45</v>
      </c>
      <c r="E6074" t="s">
        <v>185</v>
      </c>
      <c r="F6074" t="s">
        <v>47</v>
      </c>
      <c r="G6074" t="s">
        <v>48</v>
      </c>
      <c r="H6074" t="s">
        <v>49</v>
      </c>
      <c r="I6074" t="s">
        <v>62</v>
      </c>
      <c r="J6074" t="s">
        <v>9829</v>
      </c>
      <c r="K6074" t="s">
        <v>6991</v>
      </c>
      <c r="L6074" t="s">
        <v>53</v>
      </c>
      <c r="N6074" t="s">
        <v>10875</v>
      </c>
      <c r="P6074" t="s">
        <v>55</v>
      </c>
      <c r="R6074" t="s">
        <v>56</v>
      </c>
      <c r="T6074" t="s">
        <v>10876</v>
      </c>
      <c r="U6074" t="s">
        <v>55</v>
      </c>
      <c r="V6074">
        <v>1</v>
      </c>
      <c r="W6074">
        <v>1</v>
      </c>
      <c r="X6074">
        <v>2</v>
      </c>
      <c r="Y6074">
        <v>0</v>
      </c>
      <c r="Z6074">
        <v>2</v>
      </c>
      <c r="AA6074">
        <v>210.9</v>
      </c>
      <c r="AB6074">
        <v>210.9</v>
      </c>
      <c r="AC6074">
        <v>210.9</v>
      </c>
      <c r="AD6074">
        <v>0</v>
      </c>
      <c r="AE6074">
        <v>0</v>
      </c>
      <c r="AF6074">
        <v>0</v>
      </c>
      <c r="AG6074">
        <v>0</v>
      </c>
      <c r="AH6074">
        <v>0</v>
      </c>
      <c r="AI6074">
        <v>37.96</v>
      </c>
      <c r="AJ6074">
        <v>210.9</v>
      </c>
      <c r="AK6074">
        <v>0</v>
      </c>
      <c r="AL6074" t="s">
        <v>53</v>
      </c>
      <c r="AM6074" t="s">
        <v>53</v>
      </c>
      <c r="AN6074" t="s">
        <v>53</v>
      </c>
      <c r="AO6074" t="s">
        <v>53</v>
      </c>
      <c r="AP6074" t="s">
        <v>53</v>
      </c>
    </row>
    <row r="6075" spans="2:42" x14ac:dyDescent="0.2">
      <c r="B6075" t="s">
        <v>44</v>
      </c>
      <c r="C6075" t="str">
        <f>HYPERLINK("https://us2.cloudbeds.com/connect/8493803454333002#/reservations/9080486846561273?display=2UQFBCRMCR&amp;reservation_id=9080486846561273", "2UQFBCRMCR")</f>
        <v>2UQFBCRMCR</v>
      </c>
      <c r="D6075" t="s">
        <v>45</v>
      </c>
      <c r="E6075" t="s">
        <v>179</v>
      </c>
      <c r="F6075" t="s">
        <v>47</v>
      </c>
      <c r="G6075" t="s">
        <v>48</v>
      </c>
      <c r="H6075" t="s">
        <v>49</v>
      </c>
      <c r="I6075" t="s">
        <v>50</v>
      </c>
      <c r="J6075" t="s">
        <v>8616</v>
      </c>
      <c r="K6075" t="s">
        <v>10717</v>
      </c>
      <c r="L6075" t="s">
        <v>53</v>
      </c>
      <c r="N6075" t="s">
        <v>10877</v>
      </c>
      <c r="P6075" t="s">
        <v>55</v>
      </c>
      <c r="R6075" t="s">
        <v>53</v>
      </c>
      <c r="T6075" t="s">
        <v>10878</v>
      </c>
      <c r="U6075" t="s">
        <v>58</v>
      </c>
      <c r="V6075">
        <v>1</v>
      </c>
      <c r="W6075">
        <v>1</v>
      </c>
      <c r="X6075">
        <v>2</v>
      </c>
      <c r="Y6075">
        <v>0</v>
      </c>
      <c r="Z6075">
        <v>2</v>
      </c>
      <c r="AA6075">
        <v>228.35</v>
      </c>
      <c r="AB6075">
        <v>228.35</v>
      </c>
      <c r="AC6075">
        <v>200.92</v>
      </c>
      <c r="AD6075">
        <v>0</v>
      </c>
      <c r="AE6075">
        <v>27.43</v>
      </c>
      <c r="AF6075">
        <v>0</v>
      </c>
      <c r="AG6075">
        <v>0</v>
      </c>
      <c r="AH6075">
        <v>0</v>
      </c>
      <c r="AI6075">
        <v>41.1</v>
      </c>
      <c r="AJ6075">
        <v>228.35</v>
      </c>
      <c r="AK6075">
        <v>0</v>
      </c>
      <c r="AL6075" t="s">
        <v>53</v>
      </c>
      <c r="AM6075" t="s">
        <v>53</v>
      </c>
      <c r="AN6075" t="s">
        <v>53</v>
      </c>
      <c r="AO6075" t="s">
        <v>53</v>
      </c>
      <c r="AP6075" t="s">
        <v>53</v>
      </c>
    </row>
    <row r="6076" spans="2:42" x14ac:dyDescent="0.2">
      <c r="B6076" t="s">
        <v>44</v>
      </c>
      <c r="C6076" t="str">
        <f>HYPERLINK("https://us2.cloudbeds.com/connect/8493803454333002#/reservations/9080486846561702?display=2UQRK0U271&amp;reservation_id=9080486846561702", "2UQRK0U271")</f>
        <v>2UQRK0U271</v>
      </c>
      <c r="D6076" t="s">
        <v>45</v>
      </c>
      <c r="E6076" t="s">
        <v>223</v>
      </c>
      <c r="F6076" t="s">
        <v>47</v>
      </c>
      <c r="G6076" t="s">
        <v>48</v>
      </c>
      <c r="H6076" t="s">
        <v>49</v>
      </c>
      <c r="I6076" t="s">
        <v>50</v>
      </c>
      <c r="J6076" t="s">
        <v>8313</v>
      </c>
      <c r="K6076" t="s">
        <v>8900</v>
      </c>
      <c r="L6076" t="s">
        <v>53</v>
      </c>
      <c r="N6076" t="s">
        <v>10879</v>
      </c>
      <c r="P6076" t="s">
        <v>55</v>
      </c>
      <c r="R6076" t="s">
        <v>53</v>
      </c>
      <c r="T6076" t="s">
        <v>10880</v>
      </c>
      <c r="U6076" t="s">
        <v>58</v>
      </c>
      <c r="V6076">
        <v>1</v>
      </c>
      <c r="W6076">
        <v>1</v>
      </c>
      <c r="X6076">
        <v>2</v>
      </c>
      <c r="Y6076">
        <v>0</v>
      </c>
      <c r="Z6076">
        <v>2</v>
      </c>
      <c r="AA6076">
        <v>201.51</v>
      </c>
      <c r="AB6076">
        <v>201.51</v>
      </c>
      <c r="AC6076">
        <v>177.3</v>
      </c>
      <c r="AD6076">
        <v>0</v>
      </c>
      <c r="AE6076">
        <v>24.21</v>
      </c>
      <c r="AF6076">
        <v>0</v>
      </c>
      <c r="AG6076">
        <v>0</v>
      </c>
      <c r="AH6076">
        <v>0</v>
      </c>
      <c r="AI6076">
        <v>36.270000000000003</v>
      </c>
      <c r="AJ6076">
        <v>201.51</v>
      </c>
      <c r="AK6076">
        <v>0</v>
      </c>
      <c r="AL6076" t="s">
        <v>53</v>
      </c>
      <c r="AM6076" t="s">
        <v>53</v>
      </c>
      <c r="AN6076" t="s">
        <v>53</v>
      </c>
      <c r="AO6076" t="s">
        <v>53</v>
      </c>
      <c r="AP6076" t="s">
        <v>53</v>
      </c>
    </row>
    <row r="6077" spans="2:42" x14ac:dyDescent="0.2">
      <c r="B6077" t="s">
        <v>44</v>
      </c>
      <c r="C6077" t="str">
        <f>HYPERLINK("https://us2.cloudbeds.com/connect/8493803454333002#/reservations/136176021340320?display=2UR7QW7T5Q&amp;reservation_id=136176021340320", "2UR7QW7T5Q")</f>
        <v>2UR7QW7T5Q</v>
      </c>
      <c r="D6077" t="s">
        <v>45</v>
      </c>
      <c r="E6077" t="s">
        <v>165</v>
      </c>
      <c r="F6077" t="s">
        <v>61</v>
      </c>
      <c r="G6077" t="s">
        <v>48</v>
      </c>
      <c r="H6077" t="s">
        <v>3957</v>
      </c>
      <c r="I6077" t="s">
        <v>3975</v>
      </c>
      <c r="J6077" t="s">
        <v>10038</v>
      </c>
      <c r="K6077" t="s">
        <v>10881</v>
      </c>
      <c r="L6077" t="s">
        <v>53</v>
      </c>
      <c r="P6077" t="s">
        <v>55</v>
      </c>
      <c r="R6077" t="s">
        <v>53</v>
      </c>
      <c r="T6077" t="s">
        <v>10882</v>
      </c>
      <c r="U6077" t="s">
        <v>58</v>
      </c>
      <c r="V6077">
        <v>1</v>
      </c>
      <c r="W6077">
        <v>1</v>
      </c>
      <c r="X6077">
        <v>2</v>
      </c>
      <c r="Y6077">
        <v>0</v>
      </c>
      <c r="Z6077">
        <v>2</v>
      </c>
      <c r="AA6077">
        <v>84.11</v>
      </c>
      <c r="AB6077">
        <v>84.11</v>
      </c>
      <c r="AC6077">
        <v>74</v>
      </c>
      <c r="AD6077">
        <v>0</v>
      </c>
      <c r="AE6077">
        <v>10.11</v>
      </c>
      <c r="AF6077">
        <v>0</v>
      </c>
      <c r="AG6077">
        <v>0</v>
      </c>
      <c r="AH6077">
        <v>0</v>
      </c>
      <c r="AI6077">
        <v>0</v>
      </c>
      <c r="AJ6077">
        <v>84.11</v>
      </c>
      <c r="AK6077">
        <v>0</v>
      </c>
      <c r="AL6077" t="s">
        <v>53</v>
      </c>
      <c r="AM6077" t="s">
        <v>53</v>
      </c>
      <c r="AN6077" t="s">
        <v>53</v>
      </c>
      <c r="AO6077" t="s">
        <v>53</v>
      </c>
      <c r="AP6077" t="s">
        <v>53</v>
      </c>
    </row>
    <row r="6078" spans="2:42" x14ac:dyDescent="0.2">
      <c r="B6078" t="s">
        <v>44</v>
      </c>
      <c r="C6078" t="str">
        <f>HYPERLINK("https://us2.cloudbeds.com/connect/8493803454333002#/reservations/9080486846562229?display=2URB3TK5NH&amp;reservation_id=9080486846562229", "2URB3TK5NH")</f>
        <v>2URB3TK5NH</v>
      </c>
      <c r="D6078" t="s">
        <v>45</v>
      </c>
      <c r="E6078" t="s">
        <v>213</v>
      </c>
      <c r="F6078" t="s">
        <v>86</v>
      </c>
      <c r="G6078" t="s">
        <v>48</v>
      </c>
      <c r="H6078" t="s">
        <v>49</v>
      </c>
      <c r="I6078" t="s">
        <v>50</v>
      </c>
      <c r="J6078" t="s">
        <v>6828</v>
      </c>
      <c r="K6078" t="s">
        <v>6992</v>
      </c>
      <c r="L6078" t="s">
        <v>53</v>
      </c>
      <c r="N6078" t="s">
        <v>10883</v>
      </c>
      <c r="P6078" t="s">
        <v>55</v>
      </c>
      <c r="R6078" t="s">
        <v>53</v>
      </c>
      <c r="T6078" t="s">
        <v>10884</v>
      </c>
      <c r="U6078" t="s">
        <v>58</v>
      </c>
      <c r="V6078">
        <v>1</v>
      </c>
      <c r="W6078">
        <v>1</v>
      </c>
      <c r="X6078">
        <v>2</v>
      </c>
      <c r="Y6078">
        <v>0</v>
      </c>
      <c r="Z6078">
        <v>2</v>
      </c>
      <c r="AA6078">
        <v>184.63</v>
      </c>
      <c r="AB6078">
        <v>184.63</v>
      </c>
      <c r="AC6078">
        <v>162.44999999999999</v>
      </c>
      <c r="AD6078">
        <v>0</v>
      </c>
      <c r="AE6078">
        <v>22.18</v>
      </c>
      <c r="AF6078">
        <v>0</v>
      </c>
      <c r="AG6078">
        <v>0</v>
      </c>
      <c r="AH6078">
        <v>0</v>
      </c>
      <c r="AI6078">
        <v>33.229999999999997</v>
      </c>
      <c r="AJ6078">
        <v>184.63</v>
      </c>
      <c r="AK6078">
        <v>0</v>
      </c>
      <c r="AL6078" t="s">
        <v>53</v>
      </c>
      <c r="AM6078" t="s">
        <v>53</v>
      </c>
      <c r="AN6078" t="s">
        <v>53</v>
      </c>
      <c r="AO6078" t="s">
        <v>53</v>
      </c>
      <c r="AP6078" t="s">
        <v>53</v>
      </c>
    </row>
    <row r="6079" spans="2:42" x14ac:dyDescent="0.2">
      <c r="B6079" t="s">
        <v>44</v>
      </c>
      <c r="C6079" t="str">
        <f>HYPERLINK("https://us2.cloudbeds.com/connect/8493803454333002#/reservations/9080486846562370?display=2URFEQB3X5&amp;reservation_id=9080486846562370", "2URFEQB3X5")</f>
        <v>2URFEQB3X5</v>
      </c>
      <c r="D6079" t="s">
        <v>45</v>
      </c>
      <c r="E6079" t="s">
        <v>213</v>
      </c>
      <c r="F6079" t="s">
        <v>86</v>
      </c>
      <c r="G6079" t="s">
        <v>48</v>
      </c>
      <c r="H6079" t="s">
        <v>49</v>
      </c>
      <c r="I6079" t="s">
        <v>50</v>
      </c>
      <c r="J6079" t="s">
        <v>5402</v>
      </c>
      <c r="K6079" t="s">
        <v>8138</v>
      </c>
      <c r="L6079" t="s">
        <v>53</v>
      </c>
      <c r="N6079" t="s">
        <v>10885</v>
      </c>
      <c r="P6079" t="s">
        <v>55</v>
      </c>
      <c r="R6079" t="s">
        <v>53</v>
      </c>
      <c r="T6079" t="s">
        <v>10886</v>
      </c>
      <c r="U6079" t="s">
        <v>58</v>
      </c>
      <c r="V6079">
        <v>1</v>
      </c>
      <c r="W6079">
        <v>1</v>
      </c>
      <c r="X6079">
        <v>2</v>
      </c>
      <c r="Y6079">
        <v>0</v>
      </c>
      <c r="Z6079">
        <v>2</v>
      </c>
      <c r="AA6079">
        <v>256.52999999999997</v>
      </c>
      <c r="AB6079">
        <v>256.52999999999997</v>
      </c>
      <c r="AC6079">
        <v>225.72</v>
      </c>
      <c r="AD6079">
        <v>0</v>
      </c>
      <c r="AE6079">
        <v>30.81</v>
      </c>
      <c r="AF6079">
        <v>0</v>
      </c>
      <c r="AG6079">
        <v>0</v>
      </c>
      <c r="AH6079">
        <v>0</v>
      </c>
      <c r="AI6079">
        <v>46.18</v>
      </c>
      <c r="AJ6079">
        <v>256.52999999999997</v>
      </c>
      <c r="AK6079">
        <v>0</v>
      </c>
      <c r="AL6079" t="s">
        <v>53</v>
      </c>
      <c r="AM6079" t="s">
        <v>53</v>
      </c>
      <c r="AN6079" t="s">
        <v>53</v>
      </c>
      <c r="AO6079" t="s">
        <v>53</v>
      </c>
      <c r="AP6079" t="s">
        <v>53</v>
      </c>
    </row>
    <row r="6080" spans="2:42" x14ac:dyDescent="0.2">
      <c r="B6080" t="s">
        <v>44</v>
      </c>
      <c r="C6080" t="str">
        <f>HYPERLINK("https://us2.cloudbeds.com/connect/8493803454333002#/reservations/9080486846562401?display=2URG4ZWCK5&amp;reservation_id=9080486846562401", "2URG4ZWCK5")</f>
        <v>2URG4ZWCK5</v>
      </c>
      <c r="D6080" t="s">
        <v>45</v>
      </c>
      <c r="E6080" t="s">
        <v>105</v>
      </c>
      <c r="F6080" t="s">
        <v>47</v>
      </c>
      <c r="G6080" t="s">
        <v>48</v>
      </c>
      <c r="H6080" t="s">
        <v>49</v>
      </c>
      <c r="I6080" t="s">
        <v>62</v>
      </c>
      <c r="J6080" t="s">
        <v>6992</v>
      </c>
      <c r="K6080" t="s">
        <v>6829</v>
      </c>
      <c r="L6080" t="s">
        <v>53</v>
      </c>
      <c r="N6080" t="s">
        <v>10887</v>
      </c>
      <c r="P6080" t="s">
        <v>55</v>
      </c>
      <c r="R6080" t="s">
        <v>56</v>
      </c>
      <c r="T6080" t="s">
        <v>10888</v>
      </c>
      <c r="U6080" t="s">
        <v>55</v>
      </c>
      <c r="V6080">
        <v>1</v>
      </c>
      <c r="W6080">
        <v>1</v>
      </c>
      <c r="X6080">
        <v>2</v>
      </c>
      <c r="Y6080">
        <v>0</v>
      </c>
      <c r="Z6080">
        <v>2</v>
      </c>
      <c r="AA6080">
        <v>157.69999999999999</v>
      </c>
      <c r="AB6080">
        <v>157.69999999999999</v>
      </c>
      <c r="AC6080">
        <v>157.69999999999999</v>
      </c>
      <c r="AD6080">
        <v>0</v>
      </c>
      <c r="AE6080">
        <v>0</v>
      </c>
      <c r="AF6080">
        <v>0</v>
      </c>
      <c r="AG6080">
        <v>0</v>
      </c>
      <c r="AH6080">
        <v>0</v>
      </c>
      <c r="AI6080">
        <v>28.39</v>
      </c>
      <c r="AJ6080">
        <v>157.69999999999999</v>
      </c>
      <c r="AK6080">
        <v>0</v>
      </c>
      <c r="AL6080" t="s">
        <v>53</v>
      </c>
      <c r="AM6080" t="s">
        <v>53</v>
      </c>
      <c r="AN6080" t="s">
        <v>53</v>
      </c>
      <c r="AO6080" t="s">
        <v>53</v>
      </c>
      <c r="AP6080" t="s">
        <v>53</v>
      </c>
    </row>
    <row r="6081" spans="2:42" x14ac:dyDescent="0.2">
      <c r="B6081" t="s">
        <v>44</v>
      </c>
      <c r="C6081" t="str">
        <f>HYPERLINK("https://us2.cloudbeds.com/connect/8493803454333002#/reservations/9080486846562719?display=2URR42JNSC&amp;reservation_id=9080486846562719", "2URR42JNSC")</f>
        <v>2URR42JNSC</v>
      </c>
      <c r="D6081" t="s">
        <v>45</v>
      </c>
      <c r="E6081" t="s">
        <v>213</v>
      </c>
      <c r="F6081" t="s">
        <v>86</v>
      </c>
      <c r="G6081" t="s">
        <v>48</v>
      </c>
      <c r="H6081" t="s">
        <v>49</v>
      </c>
      <c r="I6081" t="s">
        <v>50</v>
      </c>
      <c r="J6081" t="s">
        <v>8060</v>
      </c>
      <c r="K6081" t="s">
        <v>7967</v>
      </c>
      <c r="L6081" t="s">
        <v>53</v>
      </c>
      <c r="N6081" t="s">
        <v>10889</v>
      </c>
      <c r="P6081" t="s">
        <v>55</v>
      </c>
      <c r="R6081" t="s">
        <v>53</v>
      </c>
      <c r="T6081" t="s">
        <v>10890</v>
      </c>
      <c r="U6081" t="s">
        <v>58</v>
      </c>
      <c r="V6081">
        <v>1</v>
      </c>
      <c r="W6081">
        <v>1</v>
      </c>
      <c r="X6081">
        <v>2</v>
      </c>
      <c r="Y6081">
        <v>0</v>
      </c>
      <c r="Z6081">
        <v>2</v>
      </c>
      <c r="AA6081">
        <v>237.31</v>
      </c>
      <c r="AB6081">
        <v>245.98</v>
      </c>
      <c r="AC6081">
        <v>208.8</v>
      </c>
      <c r="AD6081">
        <v>8</v>
      </c>
      <c r="AE6081">
        <v>29.18</v>
      </c>
      <c r="AF6081">
        <v>0</v>
      </c>
      <c r="AG6081">
        <v>0</v>
      </c>
      <c r="AH6081">
        <v>0</v>
      </c>
      <c r="AI6081">
        <v>44.28</v>
      </c>
      <c r="AJ6081">
        <v>245.98</v>
      </c>
      <c r="AK6081">
        <v>0</v>
      </c>
      <c r="AL6081" t="s">
        <v>53</v>
      </c>
      <c r="AM6081" t="s">
        <v>53</v>
      </c>
      <c r="AN6081" t="s">
        <v>6076</v>
      </c>
      <c r="AO6081" t="s">
        <v>53</v>
      </c>
      <c r="AP6081" t="s">
        <v>53</v>
      </c>
    </row>
    <row r="6082" spans="2:42" x14ac:dyDescent="0.2">
      <c r="B6082" t="s">
        <v>44</v>
      </c>
      <c r="C6082" t="str">
        <f>HYPERLINK("https://us2.cloudbeds.com/connect/8493803454333002#/reservations/9080486846563146?display=2US7QU9Q9M&amp;reservation_id=9080486846563146", "2US7QU9Q9M")</f>
        <v>2US7QU9Q9M</v>
      </c>
      <c r="D6082" t="s">
        <v>45</v>
      </c>
      <c r="E6082" t="s">
        <v>105</v>
      </c>
      <c r="F6082" t="s">
        <v>47</v>
      </c>
      <c r="G6082" t="s">
        <v>48</v>
      </c>
      <c r="H6082" t="s">
        <v>49</v>
      </c>
      <c r="I6082" t="s">
        <v>50</v>
      </c>
      <c r="J6082" t="s">
        <v>7989</v>
      </c>
      <c r="K6082" t="s">
        <v>8799</v>
      </c>
      <c r="L6082" t="s">
        <v>53</v>
      </c>
      <c r="N6082" t="s">
        <v>10891</v>
      </c>
      <c r="P6082" t="s">
        <v>55</v>
      </c>
      <c r="R6082" t="s">
        <v>53</v>
      </c>
      <c r="T6082" t="s">
        <v>10892</v>
      </c>
      <c r="U6082" t="s">
        <v>58</v>
      </c>
      <c r="V6082">
        <v>1</v>
      </c>
      <c r="W6082">
        <v>1</v>
      </c>
      <c r="X6082">
        <v>2</v>
      </c>
      <c r="Y6082">
        <v>0</v>
      </c>
      <c r="Z6082">
        <v>2</v>
      </c>
      <c r="AA6082">
        <v>263.89</v>
      </c>
      <c r="AB6082">
        <v>263.89</v>
      </c>
      <c r="AC6082">
        <v>232.2</v>
      </c>
      <c r="AD6082">
        <v>0</v>
      </c>
      <c r="AE6082">
        <v>31.69</v>
      </c>
      <c r="AF6082">
        <v>0</v>
      </c>
      <c r="AG6082">
        <v>0</v>
      </c>
      <c r="AH6082">
        <v>0</v>
      </c>
      <c r="AI6082">
        <v>47.5</v>
      </c>
      <c r="AJ6082">
        <v>263.89</v>
      </c>
      <c r="AK6082">
        <v>0</v>
      </c>
      <c r="AL6082" t="s">
        <v>53</v>
      </c>
      <c r="AM6082" t="s">
        <v>53</v>
      </c>
      <c r="AN6082" t="s">
        <v>53</v>
      </c>
      <c r="AO6082" t="s">
        <v>53</v>
      </c>
      <c r="AP6082" t="s">
        <v>53</v>
      </c>
    </row>
    <row r="6083" spans="2:42" x14ac:dyDescent="0.2">
      <c r="B6083" t="s">
        <v>44</v>
      </c>
      <c r="C6083" t="str">
        <f>HYPERLINK("https://us2.cloudbeds.com/connect/8493803454333002#/reservations/9080486846563771?display=2USVFF85NQ&amp;reservation_id=9080486846563771", "2USVFF85NQ")</f>
        <v>2USVFF85NQ</v>
      </c>
      <c r="D6083" t="s">
        <v>45</v>
      </c>
      <c r="E6083" t="s">
        <v>155</v>
      </c>
      <c r="F6083" t="s">
        <v>86</v>
      </c>
      <c r="G6083" t="s">
        <v>48</v>
      </c>
      <c r="H6083" t="s">
        <v>49</v>
      </c>
      <c r="I6083" t="s">
        <v>62</v>
      </c>
      <c r="J6083" t="s">
        <v>7543</v>
      </c>
      <c r="K6083" t="s">
        <v>10893</v>
      </c>
      <c r="L6083" t="s">
        <v>53</v>
      </c>
      <c r="N6083" t="s">
        <v>10894</v>
      </c>
      <c r="P6083" t="s">
        <v>55</v>
      </c>
      <c r="R6083" t="s">
        <v>56</v>
      </c>
      <c r="T6083" t="s">
        <v>10895</v>
      </c>
      <c r="U6083" t="s">
        <v>55</v>
      </c>
      <c r="V6083">
        <v>2</v>
      </c>
      <c r="W6083">
        <v>1</v>
      </c>
      <c r="X6083">
        <v>2</v>
      </c>
      <c r="Y6083">
        <v>0</v>
      </c>
      <c r="Z6083">
        <v>2</v>
      </c>
      <c r="AA6083">
        <v>447.45</v>
      </c>
      <c r="AB6083">
        <v>447.45</v>
      </c>
      <c r="AC6083">
        <v>447.45</v>
      </c>
      <c r="AD6083">
        <v>0</v>
      </c>
      <c r="AE6083">
        <v>0</v>
      </c>
      <c r="AF6083">
        <v>0</v>
      </c>
      <c r="AG6083">
        <v>0</v>
      </c>
      <c r="AH6083">
        <v>0</v>
      </c>
      <c r="AI6083">
        <v>80.540000000000006</v>
      </c>
      <c r="AJ6083">
        <v>447.45</v>
      </c>
      <c r="AK6083">
        <v>0</v>
      </c>
      <c r="AL6083" t="s">
        <v>53</v>
      </c>
      <c r="AM6083" t="s">
        <v>53</v>
      </c>
      <c r="AN6083" t="s">
        <v>10896</v>
      </c>
      <c r="AO6083" t="s">
        <v>53</v>
      </c>
      <c r="AP6083" t="s">
        <v>53</v>
      </c>
    </row>
    <row r="6084" spans="2:42" x14ac:dyDescent="0.2">
      <c r="B6084" t="s">
        <v>44</v>
      </c>
      <c r="C6084" t="str">
        <f>HYPERLINK("https://us2.cloudbeds.com/connect/8493803454333002#/reservations/136278829969604?display=2UTYDW6HWD&amp;reservation_id=136278829969604", "2UTYDW6HWD")</f>
        <v>2UTYDW6HWD</v>
      </c>
      <c r="D6084" t="s">
        <v>45</v>
      </c>
      <c r="E6084" t="s">
        <v>5060</v>
      </c>
      <c r="F6084" t="s">
        <v>86</v>
      </c>
      <c r="G6084" t="s">
        <v>48</v>
      </c>
      <c r="H6084" t="s">
        <v>3957</v>
      </c>
      <c r="I6084" t="s">
        <v>3975</v>
      </c>
      <c r="J6084" t="s">
        <v>8616</v>
      </c>
      <c r="K6084" t="s">
        <v>10717</v>
      </c>
      <c r="L6084" t="s">
        <v>53</v>
      </c>
      <c r="P6084" t="s">
        <v>55</v>
      </c>
      <c r="R6084" t="s">
        <v>53</v>
      </c>
      <c r="T6084" t="s">
        <v>10897</v>
      </c>
      <c r="U6084" t="s">
        <v>58</v>
      </c>
      <c r="V6084">
        <v>2</v>
      </c>
      <c r="W6084">
        <v>2</v>
      </c>
      <c r="X6084">
        <v>4</v>
      </c>
      <c r="Y6084">
        <v>0</v>
      </c>
      <c r="Z6084">
        <v>4</v>
      </c>
      <c r="AA6084">
        <v>540.98</v>
      </c>
      <c r="AB6084">
        <v>540.98</v>
      </c>
      <c r="AC6084">
        <v>476</v>
      </c>
      <c r="AD6084">
        <v>0</v>
      </c>
      <c r="AE6084">
        <v>64.98</v>
      </c>
      <c r="AF6084">
        <v>0</v>
      </c>
      <c r="AG6084">
        <v>0</v>
      </c>
      <c r="AH6084">
        <v>0</v>
      </c>
      <c r="AI6084">
        <v>0</v>
      </c>
      <c r="AJ6084">
        <v>540.98</v>
      </c>
      <c r="AK6084">
        <v>0</v>
      </c>
      <c r="AL6084" t="s">
        <v>53</v>
      </c>
      <c r="AM6084" t="s">
        <v>53</v>
      </c>
      <c r="AN6084" t="s">
        <v>53</v>
      </c>
      <c r="AO6084" t="s">
        <v>53</v>
      </c>
      <c r="AP6084" t="s">
        <v>53</v>
      </c>
    </row>
    <row r="6085" spans="2:42" x14ac:dyDescent="0.2">
      <c r="B6085" t="s">
        <v>44</v>
      </c>
      <c r="C6085" t="str">
        <f>HYPERLINK("https://us2.cloudbeds.com/connect/8493803454333002#/reservations/9080486846565953?display=2UWG2M4ZWD&amp;reservation_id=9080486846565953", "2UWG2M4ZWD")</f>
        <v>2UWG2M4ZWD</v>
      </c>
      <c r="D6085" t="s">
        <v>45</v>
      </c>
      <c r="E6085" t="s">
        <v>46</v>
      </c>
      <c r="F6085" t="s">
        <v>47</v>
      </c>
      <c r="G6085" t="s">
        <v>48</v>
      </c>
      <c r="H6085" t="s">
        <v>49</v>
      </c>
      <c r="I6085" t="s">
        <v>62</v>
      </c>
      <c r="J6085" t="s">
        <v>8900</v>
      </c>
      <c r="K6085" t="s">
        <v>6454</v>
      </c>
      <c r="L6085" t="s">
        <v>53</v>
      </c>
      <c r="N6085" t="s">
        <v>10898</v>
      </c>
      <c r="P6085" t="s">
        <v>55</v>
      </c>
      <c r="R6085" t="s">
        <v>56</v>
      </c>
      <c r="T6085" t="s">
        <v>10899</v>
      </c>
      <c r="U6085" t="s">
        <v>55</v>
      </c>
      <c r="V6085">
        <v>3</v>
      </c>
      <c r="W6085">
        <v>1</v>
      </c>
      <c r="X6085">
        <v>2</v>
      </c>
      <c r="Y6085">
        <v>0</v>
      </c>
      <c r="Z6085">
        <v>2</v>
      </c>
      <c r="AA6085">
        <v>992</v>
      </c>
      <c r="AB6085">
        <v>992</v>
      </c>
      <c r="AC6085">
        <v>992</v>
      </c>
      <c r="AD6085">
        <v>0</v>
      </c>
      <c r="AE6085">
        <v>0</v>
      </c>
      <c r="AF6085">
        <v>0</v>
      </c>
      <c r="AG6085">
        <v>0</v>
      </c>
      <c r="AH6085">
        <v>0</v>
      </c>
      <c r="AI6085">
        <v>178.56</v>
      </c>
      <c r="AJ6085">
        <v>992</v>
      </c>
      <c r="AK6085">
        <v>0</v>
      </c>
      <c r="AL6085" t="s">
        <v>53</v>
      </c>
      <c r="AM6085" t="s">
        <v>53</v>
      </c>
      <c r="AN6085" t="s">
        <v>53</v>
      </c>
      <c r="AO6085" t="s">
        <v>53</v>
      </c>
      <c r="AP6085" t="s">
        <v>53</v>
      </c>
    </row>
    <row r="6086" spans="2:42" x14ac:dyDescent="0.2">
      <c r="B6086" t="s">
        <v>44</v>
      </c>
      <c r="C6086" t="str">
        <f>HYPERLINK("https://us2.cloudbeds.com/connect/8493803454333002#/reservations/9080486846566284?display=2UWWGVVSR7&amp;reservation_id=9080486846566284", "2UWWGVVSR7")</f>
        <v>2UWWGVVSR7</v>
      </c>
      <c r="D6086" t="s">
        <v>45</v>
      </c>
      <c r="E6086" t="s">
        <v>113</v>
      </c>
      <c r="F6086" t="s">
        <v>61</v>
      </c>
      <c r="G6086" t="s">
        <v>48</v>
      </c>
      <c r="H6086" t="s">
        <v>49</v>
      </c>
      <c r="I6086" t="s">
        <v>50</v>
      </c>
      <c r="J6086" t="s">
        <v>8615</v>
      </c>
      <c r="K6086" t="s">
        <v>6379</v>
      </c>
      <c r="L6086" t="s">
        <v>53</v>
      </c>
      <c r="N6086" t="s">
        <v>10900</v>
      </c>
      <c r="P6086" t="s">
        <v>55</v>
      </c>
      <c r="R6086" t="s">
        <v>53</v>
      </c>
      <c r="T6086" t="s">
        <v>10901</v>
      </c>
      <c r="U6086" t="s">
        <v>58</v>
      </c>
      <c r="V6086">
        <v>1</v>
      </c>
      <c r="W6086">
        <v>1</v>
      </c>
      <c r="X6086">
        <v>2</v>
      </c>
      <c r="Y6086">
        <v>0</v>
      </c>
      <c r="Z6086">
        <v>2</v>
      </c>
      <c r="AA6086">
        <v>205.02</v>
      </c>
      <c r="AB6086">
        <v>205.02</v>
      </c>
      <c r="AC6086">
        <v>180.4</v>
      </c>
      <c r="AD6086">
        <v>0</v>
      </c>
      <c r="AE6086">
        <v>24.62</v>
      </c>
      <c r="AF6086">
        <v>0</v>
      </c>
      <c r="AG6086">
        <v>0</v>
      </c>
      <c r="AH6086">
        <v>0</v>
      </c>
      <c r="AI6086">
        <v>36.9</v>
      </c>
      <c r="AJ6086">
        <v>205.02</v>
      </c>
      <c r="AK6086">
        <v>0</v>
      </c>
      <c r="AL6086" t="s">
        <v>53</v>
      </c>
      <c r="AM6086" t="s">
        <v>53</v>
      </c>
      <c r="AN6086" t="s">
        <v>53</v>
      </c>
      <c r="AO6086" t="s">
        <v>53</v>
      </c>
      <c r="AP6086" t="s">
        <v>53</v>
      </c>
    </row>
    <row r="6087" spans="2:42" x14ac:dyDescent="0.2">
      <c r="B6087" t="s">
        <v>44</v>
      </c>
      <c r="C6087" t="str">
        <f>HYPERLINK("https://us2.cloudbeds.com/connect/8493803454333002#/reservations/9080486846567099?display=2V12E2K3MG&amp;reservation_id=9080486846567099", "2V12E2K3MG")</f>
        <v>2V12E2K3MG</v>
      </c>
      <c r="D6087" t="s">
        <v>45</v>
      </c>
      <c r="E6087" t="s">
        <v>155</v>
      </c>
      <c r="F6087" t="s">
        <v>86</v>
      </c>
      <c r="G6087" t="s">
        <v>48</v>
      </c>
      <c r="H6087" t="s">
        <v>49</v>
      </c>
      <c r="I6087" t="s">
        <v>50</v>
      </c>
      <c r="J6087" t="s">
        <v>9135</v>
      </c>
      <c r="K6087" t="s">
        <v>8900</v>
      </c>
      <c r="L6087" t="s">
        <v>53</v>
      </c>
      <c r="N6087" t="s">
        <v>10902</v>
      </c>
      <c r="P6087" t="s">
        <v>55</v>
      </c>
      <c r="R6087" t="s">
        <v>53</v>
      </c>
      <c r="T6087" t="s">
        <v>10903</v>
      </c>
      <c r="U6087" t="s">
        <v>58</v>
      </c>
      <c r="V6087">
        <v>2</v>
      </c>
      <c r="W6087">
        <v>1</v>
      </c>
      <c r="X6087">
        <v>2</v>
      </c>
      <c r="Y6087">
        <v>0</v>
      </c>
      <c r="Z6087">
        <v>2</v>
      </c>
      <c r="AA6087">
        <v>295.39999999999998</v>
      </c>
      <c r="AB6087">
        <v>295.39999999999998</v>
      </c>
      <c r="AC6087">
        <v>259.92</v>
      </c>
      <c r="AD6087">
        <v>0</v>
      </c>
      <c r="AE6087">
        <v>35.479999999999997</v>
      </c>
      <c r="AF6087">
        <v>0</v>
      </c>
      <c r="AG6087">
        <v>0</v>
      </c>
      <c r="AH6087">
        <v>0</v>
      </c>
      <c r="AI6087">
        <v>53.17</v>
      </c>
      <c r="AJ6087">
        <v>295.39999999999998</v>
      </c>
      <c r="AK6087">
        <v>0</v>
      </c>
      <c r="AL6087" t="s">
        <v>53</v>
      </c>
      <c r="AM6087" t="s">
        <v>53</v>
      </c>
      <c r="AN6087" t="s">
        <v>53</v>
      </c>
      <c r="AO6087" t="s">
        <v>53</v>
      </c>
      <c r="AP6087" t="s">
        <v>53</v>
      </c>
    </row>
    <row r="6088" spans="2:42" x14ac:dyDescent="0.2">
      <c r="B6088" t="s">
        <v>44</v>
      </c>
      <c r="C6088" t="str">
        <f>HYPERLINK("https://us2.cloudbeds.com/connect/8493803454333002#/reservations/136526725206218?display=2V2FC90UKG&amp;reservation_id=136526725206218", "2V2FC90UKG")</f>
        <v>2V2FC90UKG</v>
      </c>
      <c r="D6088" t="s">
        <v>45</v>
      </c>
      <c r="E6088" t="s">
        <v>213</v>
      </c>
      <c r="F6088" t="s">
        <v>86</v>
      </c>
      <c r="G6088" t="s">
        <v>48</v>
      </c>
      <c r="H6088" t="s">
        <v>3957</v>
      </c>
      <c r="I6088" t="s">
        <v>3975</v>
      </c>
      <c r="J6088" t="s">
        <v>8138</v>
      </c>
      <c r="K6088" t="s">
        <v>5904</v>
      </c>
      <c r="L6088" t="s">
        <v>53</v>
      </c>
      <c r="P6088" t="s">
        <v>55</v>
      </c>
      <c r="R6088" t="s">
        <v>56</v>
      </c>
      <c r="T6088" t="s">
        <v>10904</v>
      </c>
      <c r="U6088" t="s">
        <v>58</v>
      </c>
      <c r="V6088">
        <v>1</v>
      </c>
      <c r="W6088">
        <v>1</v>
      </c>
      <c r="X6088">
        <v>2</v>
      </c>
      <c r="Y6088">
        <v>0</v>
      </c>
      <c r="Z6088">
        <v>2</v>
      </c>
      <c r="AA6088">
        <v>272.76</v>
      </c>
      <c r="AB6088">
        <v>272.76</v>
      </c>
      <c r="AC6088">
        <v>240</v>
      </c>
      <c r="AD6088">
        <v>0</v>
      </c>
      <c r="AE6088">
        <v>32.76</v>
      </c>
      <c r="AF6088">
        <v>0</v>
      </c>
      <c r="AG6088">
        <v>0</v>
      </c>
      <c r="AH6088">
        <v>0</v>
      </c>
      <c r="AI6088">
        <v>0</v>
      </c>
      <c r="AJ6088">
        <v>272.76</v>
      </c>
      <c r="AK6088">
        <v>0</v>
      </c>
      <c r="AL6088" t="s">
        <v>53</v>
      </c>
      <c r="AM6088" t="s">
        <v>53</v>
      </c>
      <c r="AN6088" t="s">
        <v>53</v>
      </c>
      <c r="AO6088" t="s">
        <v>53</v>
      </c>
      <c r="AP6088" t="s">
        <v>53</v>
      </c>
    </row>
    <row r="6089" spans="2:42" x14ac:dyDescent="0.2">
      <c r="B6089" t="s">
        <v>44</v>
      </c>
      <c r="C6089" t="str">
        <f>HYPERLINK("https://us2.cloudbeds.com/connect/8493803454333002#/reservations/136533427171494?display=2V2KXH9WNB&amp;reservation_id=136533427171494", "2V2KXH9WNB")</f>
        <v>2V2KXH9WNB</v>
      </c>
      <c r="D6089" t="s">
        <v>45</v>
      </c>
      <c r="E6089" t="s">
        <v>213</v>
      </c>
      <c r="F6089" t="s">
        <v>86</v>
      </c>
      <c r="G6089" t="s">
        <v>4520</v>
      </c>
      <c r="H6089" t="s">
        <v>3957</v>
      </c>
      <c r="I6089" t="s">
        <v>3989</v>
      </c>
      <c r="J6089" t="s">
        <v>8615</v>
      </c>
      <c r="K6089" t="s">
        <v>10121</v>
      </c>
      <c r="L6089" t="s">
        <v>53</v>
      </c>
      <c r="P6089" t="s">
        <v>55</v>
      </c>
      <c r="R6089" t="s">
        <v>56</v>
      </c>
      <c r="T6089" t="s">
        <v>10905</v>
      </c>
      <c r="U6089" t="s">
        <v>58</v>
      </c>
      <c r="V6089">
        <v>2</v>
      </c>
      <c r="W6089">
        <v>1</v>
      </c>
      <c r="X6089">
        <v>1</v>
      </c>
      <c r="Y6089">
        <v>0</v>
      </c>
      <c r="Z6089">
        <v>1</v>
      </c>
      <c r="AA6089">
        <v>450.05</v>
      </c>
      <c r="AB6089">
        <v>450.05</v>
      </c>
      <c r="AC6089">
        <v>396</v>
      </c>
      <c r="AD6089">
        <v>0</v>
      </c>
      <c r="AE6089">
        <v>54.05</v>
      </c>
      <c r="AF6089">
        <v>0</v>
      </c>
      <c r="AG6089">
        <v>0</v>
      </c>
      <c r="AH6089">
        <v>0</v>
      </c>
      <c r="AI6089">
        <v>0</v>
      </c>
      <c r="AJ6089">
        <v>450.05</v>
      </c>
      <c r="AK6089">
        <v>0</v>
      </c>
      <c r="AL6089" t="s">
        <v>53</v>
      </c>
      <c r="AM6089" t="s">
        <v>53</v>
      </c>
      <c r="AN6089" t="s">
        <v>10906</v>
      </c>
      <c r="AO6089" t="s">
        <v>53</v>
      </c>
      <c r="AP6089" t="s">
        <v>53</v>
      </c>
    </row>
    <row r="6090" spans="2:42" x14ac:dyDescent="0.2">
      <c r="B6090" t="s">
        <v>44</v>
      </c>
      <c r="C6090" t="str">
        <f>HYPERLINK("https://us2.cloudbeds.com/connect/8493803454333002#/reservations/9080486846569257?display=2V324HDNCB&amp;reservation_id=9080486846569257", "2V324HDNCB")</f>
        <v>2V324HDNCB</v>
      </c>
      <c r="D6090" t="s">
        <v>45</v>
      </c>
      <c r="E6090" t="s">
        <v>185</v>
      </c>
      <c r="F6090" t="s">
        <v>47</v>
      </c>
      <c r="G6090" t="s">
        <v>48</v>
      </c>
      <c r="H6090" t="s">
        <v>49</v>
      </c>
      <c r="I6090" t="s">
        <v>50</v>
      </c>
      <c r="J6090" t="s">
        <v>8829</v>
      </c>
      <c r="K6090" t="s">
        <v>8911</v>
      </c>
      <c r="L6090" t="s">
        <v>53</v>
      </c>
      <c r="N6090" t="s">
        <v>10907</v>
      </c>
      <c r="P6090" t="s">
        <v>55</v>
      </c>
      <c r="R6090" t="s">
        <v>53</v>
      </c>
      <c r="T6090" t="s">
        <v>10908</v>
      </c>
      <c r="U6090" t="s">
        <v>58</v>
      </c>
      <c r="V6090">
        <v>1</v>
      </c>
      <c r="W6090">
        <v>1</v>
      </c>
      <c r="X6090">
        <v>2</v>
      </c>
      <c r="Y6090">
        <v>0</v>
      </c>
      <c r="Z6090">
        <v>2</v>
      </c>
      <c r="AA6090">
        <v>142</v>
      </c>
      <c r="AB6090">
        <v>142</v>
      </c>
      <c r="AC6090">
        <v>124.95</v>
      </c>
      <c r="AD6090">
        <v>0</v>
      </c>
      <c r="AE6090">
        <v>17.05</v>
      </c>
      <c r="AF6090">
        <v>0</v>
      </c>
      <c r="AG6090">
        <v>0</v>
      </c>
      <c r="AH6090">
        <v>0</v>
      </c>
      <c r="AI6090">
        <v>25.56</v>
      </c>
      <c r="AJ6090">
        <v>142</v>
      </c>
      <c r="AK6090">
        <v>0</v>
      </c>
      <c r="AL6090" t="s">
        <v>53</v>
      </c>
      <c r="AM6090" t="s">
        <v>53</v>
      </c>
      <c r="AN6090" t="s">
        <v>53</v>
      </c>
      <c r="AO6090" t="s">
        <v>53</v>
      </c>
      <c r="AP6090" t="s">
        <v>53</v>
      </c>
    </row>
    <row r="6091" spans="2:42" x14ac:dyDescent="0.2">
      <c r="B6091" t="s">
        <v>44</v>
      </c>
      <c r="C6091" t="str">
        <f>HYPERLINK("https://us2.cloudbeds.com/connect/8493803454333002#/reservations/9080486846569446?display=2V38ANUYW4&amp;reservation_id=9080486846569446", "2V38ANUYW4")</f>
        <v>2V38ANUYW4</v>
      </c>
      <c r="D6091" t="s">
        <v>45</v>
      </c>
      <c r="E6091" t="s">
        <v>406</v>
      </c>
      <c r="F6091" t="s">
        <v>61</v>
      </c>
      <c r="G6091" t="s">
        <v>48</v>
      </c>
      <c r="H6091" t="s">
        <v>49</v>
      </c>
      <c r="I6091" t="s">
        <v>62</v>
      </c>
      <c r="J6091" t="s">
        <v>7967</v>
      </c>
      <c r="K6091" t="s">
        <v>8670</v>
      </c>
      <c r="L6091" t="s">
        <v>53</v>
      </c>
      <c r="N6091" t="s">
        <v>10909</v>
      </c>
      <c r="P6091" t="s">
        <v>55</v>
      </c>
      <c r="R6091" t="s">
        <v>56</v>
      </c>
      <c r="T6091" t="s">
        <v>10910</v>
      </c>
      <c r="U6091" t="s">
        <v>55</v>
      </c>
      <c r="V6091">
        <v>1</v>
      </c>
      <c r="W6091">
        <v>1</v>
      </c>
      <c r="X6091">
        <v>2</v>
      </c>
      <c r="Y6091">
        <v>0</v>
      </c>
      <c r="Z6091">
        <v>2</v>
      </c>
      <c r="AA6091">
        <v>251</v>
      </c>
      <c r="AB6091">
        <v>251</v>
      </c>
      <c r="AC6091">
        <v>251</v>
      </c>
      <c r="AD6091">
        <v>0</v>
      </c>
      <c r="AE6091">
        <v>0</v>
      </c>
      <c r="AF6091">
        <v>0</v>
      </c>
      <c r="AG6091">
        <v>0</v>
      </c>
      <c r="AH6091">
        <v>0</v>
      </c>
      <c r="AI6091">
        <v>45.18</v>
      </c>
      <c r="AJ6091">
        <v>251</v>
      </c>
      <c r="AK6091">
        <v>0</v>
      </c>
      <c r="AL6091" t="s">
        <v>53</v>
      </c>
      <c r="AM6091" t="s">
        <v>53</v>
      </c>
      <c r="AN6091" t="s">
        <v>53</v>
      </c>
      <c r="AO6091" t="s">
        <v>53</v>
      </c>
      <c r="AP6091" t="s">
        <v>53</v>
      </c>
    </row>
    <row r="6092" spans="2:42" x14ac:dyDescent="0.2">
      <c r="B6092" t="s">
        <v>44</v>
      </c>
      <c r="C6092" t="str">
        <f>HYPERLINK("https://us2.cloudbeds.com/connect/8493803454333002#/reservations/9080486846569777?display=2V3KPTYTTJ&amp;reservation_id=9080486846569777", "2V3KPTYTTJ")</f>
        <v>2V3KPTYTTJ</v>
      </c>
      <c r="D6092" t="s">
        <v>45</v>
      </c>
      <c r="E6092" t="s">
        <v>265</v>
      </c>
      <c r="F6092" t="s">
        <v>61</v>
      </c>
      <c r="G6092" t="s">
        <v>48</v>
      </c>
      <c r="H6092" t="s">
        <v>49</v>
      </c>
      <c r="I6092" t="s">
        <v>62</v>
      </c>
      <c r="J6092" t="s">
        <v>8060</v>
      </c>
      <c r="K6092" t="s">
        <v>8670</v>
      </c>
      <c r="L6092" t="s">
        <v>53</v>
      </c>
      <c r="N6092" t="s">
        <v>10911</v>
      </c>
      <c r="P6092" t="s">
        <v>55</v>
      </c>
      <c r="R6092" t="s">
        <v>56</v>
      </c>
      <c r="T6092" t="s">
        <v>10912</v>
      </c>
      <c r="U6092" t="s">
        <v>55</v>
      </c>
      <c r="V6092">
        <v>2</v>
      </c>
      <c r="W6092">
        <v>1</v>
      </c>
      <c r="X6092">
        <v>2</v>
      </c>
      <c r="Y6092">
        <v>0</v>
      </c>
      <c r="Z6092">
        <v>2</v>
      </c>
      <c r="AA6092">
        <v>322</v>
      </c>
      <c r="AB6092">
        <v>322</v>
      </c>
      <c r="AC6092">
        <v>322</v>
      </c>
      <c r="AD6092">
        <v>0</v>
      </c>
      <c r="AE6092">
        <v>0</v>
      </c>
      <c r="AF6092">
        <v>0</v>
      </c>
      <c r="AG6092">
        <v>0</v>
      </c>
      <c r="AH6092">
        <v>0</v>
      </c>
      <c r="AI6092">
        <v>57.96</v>
      </c>
      <c r="AJ6092">
        <v>322</v>
      </c>
      <c r="AK6092">
        <v>0</v>
      </c>
      <c r="AL6092" t="s">
        <v>53</v>
      </c>
      <c r="AM6092" t="s">
        <v>53</v>
      </c>
      <c r="AN6092" t="s">
        <v>53</v>
      </c>
      <c r="AO6092" t="s">
        <v>53</v>
      </c>
      <c r="AP6092" t="s">
        <v>53</v>
      </c>
    </row>
    <row r="6093" spans="2:42" x14ac:dyDescent="0.2">
      <c r="B6093" t="s">
        <v>44</v>
      </c>
      <c r="C6093" t="str">
        <f>HYPERLINK("https://us2.cloudbeds.com/connect/8493803454333002#/reservations/9080486846569828?display=2V3MNWACMV&amp;reservation_id=9080486846569828", "2V3MNWACMV")</f>
        <v>2V3MNWACMV</v>
      </c>
      <c r="D6093" t="s">
        <v>45</v>
      </c>
      <c r="E6093" t="s">
        <v>155</v>
      </c>
      <c r="F6093" t="s">
        <v>86</v>
      </c>
      <c r="G6093" t="s">
        <v>48</v>
      </c>
      <c r="H6093" t="s">
        <v>49</v>
      </c>
      <c r="I6093" t="s">
        <v>50</v>
      </c>
      <c r="J6093" t="s">
        <v>8670</v>
      </c>
      <c r="K6093" t="s">
        <v>8799</v>
      </c>
      <c r="L6093" t="s">
        <v>53</v>
      </c>
      <c r="N6093" t="s">
        <v>10913</v>
      </c>
      <c r="P6093" t="s">
        <v>55</v>
      </c>
      <c r="R6093" t="s">
        <v>53</v>
      </c>
      <c r="T6093" t="s">
        <v>10914</v>
      </c>
      <c r="U6093" t="s">
        <v>58</v>
      </c>
      <c r="V6093">
        <v>2</v>
      </c>
      <c r="W6093">
        <v>1</v>
      </c>
      <c r="X6093">
        <v>2</v>
      </c>
      <c r="Y6093">
        <v>0</v>
      </c>
      <c r="Z6093">
        <v>2</v>
      </c>
      <c r="AA6093">
        <v>483.8</v>
      </c>
      <c r="AB6093">
        <v>483.8</v>
      </c>
      <c r="AC6093">
        <v>425.7</v>
      </c>
      <c r="AD6093">
        <v>0</v>
      </c>
      <c r="AE6093">
        <v>58.1</v>
      </c>
      <c r="AF6093">
        <v>0</v>
      </c>
      <c r="AG6093">
        <v>0</v>
      </c>
      <c r="AH6093">
        <v>0</v>
      </c>
      <c r="AI6093">
        <v>87.08</v>
      </c>
      <c r="AJ6093">
        <v>483.8</v>
      </c>
      <c r="AK6093">
        <v>0</v>
      </c>
      <c r="AL6093" t="s">
        <v>53</v>
      </c>
      <c r="AM6093" t="s">
        <v>53</v>
      </c>
      <c r="AN6093" t="s">
        <v>53</v>
      </c>
      <c r="AO6093" t="s">
        <v>53</v>
      </c>
      <c r="AP6093" t="s">
        <v>53</v>
      </c>
    </row>
    <row r="6094" spans="2:42" x14ac:dyDescent="0.2">
      <c r="B6094" t="s">
        <v>44</v>
      </c>
      <c r="C6094" t="str">
        <f>HYPERLINK("https://us2.cloudbeds.com/connect/8493803454333002#/reservations/9080486846569905?display=2V3PYKJ5H4&amp;reservation_id=9080486846569905", "2V3PYKJ5H4")</f>
        <v>2V3PYKJ5H4</v>
      </c>
      <c r="D6094" t="s">
        <v>45</v>
      </c>
      <c r="E6094" t="s">
        <v>265</v>
      </c>
      <c r="F6094" t="s">
        <v>61</v>
      </c>
      <c r="G6094" t="s">
        <v>48</v>
      </c>
      <c r="H6094" t="s">
        <v>49</v>
      </c>
      <c r="I6094" t="s">
        <v>50</v>
      </c>
      <c r="J6094" t="s">
        <v>8670</v>
      </c>
      <c r="K6094" t="s">
        <v>7989</v>
      </c>
      <c r="L6094" t="s">
        <v>53</v>
      </c>
      <c r="N6094" t="s">
        <v>10915</v>
      </c>
      <c r="P6094" t="s">
        <v>55</v>
      </c>
      <c r="R6094" t="s">
        <v>53</v>
      </c>
      <c r="T6094" t="s">
        <v>10916</v>
      </c>
      <c r="U6094" t="s">
        <v>58</v>
      </c>
      <c r="V6094">
        <v>1</v>
      </c>
      <c r="W6094">
        <v>1</v>
      </c>
      <c r="X6094">
        <v>2</v>
      </c>
      <c r="Y6094">
        <v>0</v>
      </c>
      <c r="Z6094">
        <v>2</v>
      </c>
      <c r="AA6094">
        <v>332.43</v>
      </c>
      <c r="AB6094">
        <v>332.43</v>
      </c>
      <c r="AC6094">
        <v>292.5</v>
      </c>
      <c r="AD6094">
        <v>0</v>
      </c>
      <c r="AE6094">
        <v>39.93</v>
      </c>
      <c r="AF6094">
        <v>0</v>
      </c>
      <c r="AG6094">
        <v>0</v>
      </c>
      <c r="AH6094">
        <v>0</v>
      </c>
      <c r="AI6094">
        <v>59.84</v>
      </c>
      <c r="AJ6094">
        <v>332.43</v>
      </c>
      <c r="AK6094">
        <v>0</v>
      </c>
      <c r="AL6094" t="s">
        <v>53</v>
      </c>
      <c r="AM6094" t="s">
        <v>53</v>
      </c>
      <c r="AN6094" t="s">
        <v>53</v>
      </c>
      <c r="AO6094" t="s">
        <v>53</v>
      </c>
      <c r="AP6094" t="s">
        <v>53</v>
      </c>
    </row>
    <row r="6095" spans="2:42" x14ac:dyDescent="0.2">
      <c r="B6095" t="s">
        <v>44</v>
      </c>
      <c r="C6095" t="str">
        <f>HYPERLINK("https://us2.cloudbeds.com/connect/8493803454333002#/reservations/9080486846569913?display=2V3Q3JYCMH&amp;reservation_id=9080486846569913", "2V3Q3JYCMH")</f>
        <v>2V3Q3JYCMH</v>
      </c>
      <c r="D6095" t="s">
        <v>45</v>
      </c>
      <c r="E6095" t="s">
        <v>265</v>
      </c>
      <c r="F6095" t="s">
        <v>61</v>
      </c>
      <c r="G6095" t="s">
        <v>48</v>
      </c>
      <c r="H6095" t="s">
        <v>49</v>
      </c>
      <c r="I6095" t="s">
        <v>50</v>
      </c>
      <c r="J6095" t="s">
        <v>7989</v>
      </c>
      <c r="K6095" t="s">
        <v>8799</v>
      </c>
      <c r="L6095" t="s">
        <v>53</v>
      </c>
      <c r="N6095" t="s">
        <v>10917</v>
      </c>
      <c r="P6095" t="s">
        <v>55</v>
      </c>
      <c r="R6095" t="s">
        <v>53</v>
      </c>
      <c r="T6095" t="s">
        <v>10918</v>
      </c>
      <c r="U6095" t="s">
        <v>58</v>
      </c>
      <c r="V6095">
        <v>1</v>
      </c>
      <c r="W6095">
        <v>1</v>
      </c>
      <c r="X6095">
        <v>2</v>
      </c>
      <c r="Y6095">
        <v>0</v>
      </c>
      <c r="Z6095">
        <v>2</v>
      </c>
      <c r="AA6095">
        <v>324.25</v>
      </c>
      <c r="AB6095">
        <v>324.25</v>
      </c>
      <c r="AC6095">
        <v>285.3</v>
      </c>
      <c r="AD6095">
        <v>0</v>
      </c>
      <c r="AE6095">
        <v>38.950000000000003</v>
      </c>
      <c r="AF6095">
        <v>0</v>
      </c>
      <c r="AG6095">
        <v>0</v>
      </c>
      <c r="AH6095">
        <v>0</v>
      </c>
      <c r="AI6095">
        <v>58.37</v>
      </c>
      <c r="AJ6095">
        <v>324.25</v>
      </c>
      <c r="AK6095">
        <v>0</v>
      </c>
      <c r="AL6095" t="s">
        <v>53</v>
      </c>
      <c r="AM6095" t="s">
        <v>53</v>
      </c>
      <c r="AN6095" t="s">
        <v>53</v>
      </c>
      <c r="AO6095" t="s">
        <v>53</v>
      </c>
      <c r="AP6095" t="s">
        <v>53</v>
      </c>
    </row>
    <row r="6096" spans="2:42" x14ac:dyDescent="0.2">
      <c r="B6096" t="s">
        <v>44</v>
      </c>
      <c r="C6096" t="str">
        <f>HYPERLINK("https://us2.cloudbeds.com/connect/8493803454333002#/reservations/9080486846569921?display=2V3QH2UXAT&amp;reservation_id=9080486846569921", "2V3QH2UXAT")</f>
        <v>2V3QH2UXAT</v>
      </c>
      <c r="D6096" t="s">
        <v>45</v>
      </c>
      <c r="E6096" t="s">
        <v>179</v>
      </c>
      <c r="F6096" t="s">
        <v>47</v>
      </c>
      <c r="G6096" t="s">
        <v>48</v>
      </c>
      <c r="H6096" t="s">
        <v>49</v>
      </c>
      <c r="I6096" t="s">
        <v>50</v>
      </c>
      <c r="J6096" t="s">
        <v>7989</v>
      </c>
      <c r="K6096" t="s">
        <v>8799</v>
      </c>
      <c r="L6096" t="s">
        <v>53</v>
      </c>
      <c r="N6096" t="s">
        <v>10919</v>
      </c>
      <c r="P6096" t="s">
        <v>55</v>
      </c>
      <c r="R6096" t="s">
        <v>53</v>
      </c>
      <c r="T6096" t="s">
        <v>10920</v>
      </c>
      <c r="U6096" t="s">
        <v>58</v>
      </c>
      <c r="V6096">
        <v>1</v>
      </c>
      <c r="W6096">
        <v>1</v>
      </c>
      <c r="X6096">
        <v>2</v>
      </c>
      <c r="Y6096">
        <v>0</v>
      </c>
      <c r="Z6096">
        <v>2</v>
      </c>
      <c r="AA6096">
        <v>269</v>
      </c>
      <c r="AB6096">
        <v>269</v>
      </c>
      <c r="AC6096">
        <v>236.7</v>
      </c>
      <c r="AD6096">
        <v>0</v>
      </c>
      <c r="AE6096">
        <v>32.299999999999997</v>
      </c>
      <c r="AF6096">
        <v>0</v>
      </c>
      <c r="AG6096">
        <v>0</v>
      </c>
      <c r="AH6096">
        <v>0</v>
      </c>
      <c r="AI6096">
        <v>48.42</v>
      </c>
      <c r="AJ6096">
        <v>269</v>
      </c>
      <c r="AK6096">
        <v>0</v>
      </c>
      <c r="AL6096" t="s">
        <v>53</v>
      </c>
      <c r="AM6096" t="s">
        <v>53</v>
      </c>
      <c r="AN6096" t="s">
        <v>53</v>
      </c>
      <c r="AO6096" t="s">
        <v>53</v>
      </c>
      <c r="AP6096" t="s">
        <v>53</v>
      </c>
    </row>
    <row r="6097" spans="2:42" x14ac:dyDescent="0.2">
      <c r="B6097" t="s">
        <v>44</v>
      </c>
      <c r="C6097" t="str">
        <f>HYPERLINK("https://us2.cloudbeds.com/connect/8493803454333002#/reservations/9080486846569924?display=2V3QNJGZ5Q&amp;reservation_id=9080486846569924", "2V3QNJGZ5Q")</f>
        <v>2V3QNJGZ5Q</v>
      </c>
      <c r="D6097" t="s">
        <v>45</v>
      </c>
      <c r="E6097" t="s">
        <v>179</v>
      </c>
      <c r="F6097" t="s">
        <v>47</v>
      </c>
      <c r="G6097" t="s">
        <v>48</v>
      </c>
      <c r="H6097" t="s">
        <v>49</v>
      </c>
      <c r="I6097" t="s">
        <v>50</v>
      </c>
      <c r="J6097" t="s">
        <v>8670</v>
      </c>
      <c r="K6097" t="s">
        <v>7989</v>
      </c>
      <c r="L6097" t="s">
        <v>53</v>
      </c>
      <c r="N6097" t="s">
        <v>10921</v>
      </c>
      <c r="P6097" t="s">
        <v>55</v>
      </c>
      <c r="R6097" t="s">
        <v>53</v>
      </c>
      <c r="T6097" t="s">
        <v>10922</v>
      </c>
      <c r="U6097" t="s">
        <v>58</v>
      </c>
      <c r="V6097">
        <v>1</v>
      </c>
      <c r="W6097">
        <v>1</v>
      </c>
      <c r="X6097">
        <v>2</v>
      </c>
      <c r="Y6097">
        <v>0</v>
      </c>
      <c r="Z6097">
        <v>2</v>
      </c>
      <c r="AA6097">
        <v>297.66000000000003</v>
      </c>
      <c r="AB6097">
        <v>297.66000000000003</v>
      </c>
      <c r="AC6097">
        <v>261.89999999999998</v>
      </c>
      <c r="AD6097">
        <v>0</v>
      </c>
      <c r="AE6097">
        <v>35.76</v>
      </c>
      <c r="AF6097">
        <v>0</v>
      </c>
      <c r="AG6097">
        <v>0</v>
      </c>
      <c r="AH6097">
        <v>0</v>
      </c>
      <c r="AI6097">
        <v>53.58</v>
      </c>
      <c r="AJ6097">
        <v>297.66000000000003</v>
      </c>
      <c r="AK6097">
        <v>0</v>
      </c>
      <c r="AL6097" t="s">
        <v>53</v>
      </c>
      <c r="AM6097" t="s">
        <v>53</v>
      </c>
      <c r="AN6097" t="s">
        <v>53</v>
      </c>
      <c r="AO6097" t="s">
        <v>53</v>
      </c>
      <c r="AP6097" t="s">
        <v>53</v>
      </c>
    </row>
    <row r="6098" spans="2:42" x14ac:dyDescent="0.2">
      <c r="B6098" t="s">
        <v>44</v>
      </c>
      <c r="C6098" t="str">
        <f>HYPERLINK("https://us2.cloudbeds.com/connect/8493803454333002#/reservations/9080486846569975?display=2V3SQCXZ46&amp;reservation_id=9080486846569975", "2V3SQCXZ46")</f>
        <v>2V3SQCXZ46</v>
      </c>
      <c r="D6098" t="s">
        <v>45</v>
      </c>
      <c r="E6098" t="s">
        <v>305</v>
      </c>
      <c r="F6098" t="s">
        <v>61</v>
      </c>
      <c r="G6098" t="s">
        <v>48</v>
      </c>
      <c r="H6098" t="s">
        <v>49</v>
      </c>
      <c r="I6098" t="s">
        <v>50</v>
      </c>
      <c r="J6098" t="s">
        <v>7967</v>
      </c>
      <c r="K6098" t="s">
        <v>8670</v>
      </c>
      <c r="L6098" t="s">
        <v>53</v>
      </c>
      <c r="N6098" t="s">
        <v>10923</v>
      </c>
      <c r="P6098" t="s">
        <v>55</v>
      </c>
      <c r="R6098" t="s">
        <v>53</v>
      </c>
      <c r="T6098" t="s">
        <v>10924</v>
      </c>
      <c r="U6098" t="s">
        <v>58</v>
      </c>
      <c r="V6098">
        <v>1</v>
      </c>
      <c r="W6098">
        <v>1</v>
      </c>
      <c r="X6098">
        <v>1</v>
      </c>
      <c r="Y6098">
        <v>0</v>
      </c>
      <c r="Z6098">
        <v>1</v>
      </c>
      <c r="AA6098">
        <v>168.78</v>
      </c>
      <c r="AB6098">
        <v>168.78</v>
      </c>
      <c r="AC6098">
        <v>148.5</v>
      </c>
      <c r="AD6098">
        <v>0</v>
      </c>
      <c r="AE6098">
        <v>20.28</v>
      </c>
      <c r="AF6098">
        <v>0</v>
      </c>
      <c r="AG6098">
        <v>0</v>
      </c>
      <c r="AH6098">
        <v>0</v>
      </c>
      <c r="AI6098">
        <v>30.38</v>
      </c>
      <c r="AJ6098">
        <v>168.78</v>
      </c>
      <c r="AK6098">
        <v>0</v>
      </c>
      <c r="AL6098" t="s">
        <v>53</v>
      </c>
      <c r="AM6098" t="s">
        <v>53</v>
      </c>
      <c r="AN6098" t="s">
        <v>53</v>
      </c>
      <c r="AO6098" t="s">
        <v>53</v>
      </c>
      <c r="AP6098" t="s">
        <v>53</v>
      </c>
    </row>
    <row r="6099" spans="2:42" x14ac:dyDescent="0.2">
      <c r="B6099" t="s">
        <v>44</v>
      </c>
      <c r="C6099" t="str">
        <f>HYPERLINK("https://us2.cloudbeds.com/connect/8493803454333002#/reservations/9080486846570101?display=2V40CJ1K8G&amp;reservation_id=9080486846570101", "2V40CJ1K8G")</f>
        <v>2V40CJ1K8G</v>
      </c>
      <c r="D6099" t="s">
        <v>45</v>
      </c>
      <c r="E6099" t="s">
        <v>155</v>
      </c>
      <c r="F6099" t="s">
        <v>86</v>
      </c>
      <c r="G6099" t="s">
        <v>48</v>
      </c>
      <c r="H6099" t="s">
        <v>49</v>
      </c>
      <c r="I6099" t="s">
        <v>50</v>
      </c>
      <c r="J6099" t="s">
        <v>7967</v>
      </c>
      <c r="K6099" t="s">
        <v>8670</v>
      </c>
      <c r="L6099" t="s">
        <v>53</v>
      </c>
      <c r="N6099" t="s">
        <v>10925</v>
      </c>
      <c r="P6099" t="s">
        <v>55</v>
      </c>
      <c r="R6099" t="s">
        <v>53</v>
      </c>
      <c r="T6099" t="s">
        <v>10926</v>
      </c>
      <c r="U6099" t="s">
        <v>58</v>
      </c>
      <c r="V6099">
        <v>1</v>
      </c>
      <c r="W6099">
        <v>1</v>
      </c>
      <c r="X6099">
        <v>2</v>
      </c>
      <c r="Y6099">
        <v>0</v>
      </c>
      <c r="Z6099">
        <v>2</v>
      </c>
      <c r="AA6099">
        <v>172.86</v>
      </c>
      <c r="AB6099">
        <v>172.86</v>
      </c>
      <c r="AC6099">
        <v>152.1</v>
      </c>
      <c r="AD6099">
        <v>0</v>
      </c>
      <c r="AE6099">
        <v>20.76</v>
      </c>
      <c r="AF6099">
        <v>0</v>
      </c>
      <c r="AG6099">
        <v>0</v>
      </c>
      <c r="AH6099">
        <v>0</v>
      </c>
      <c r="AI6099">
        <v>31.11</v>
      </c>
      <c r="AJ6099">
        <v>172.86</v>
      </c>
      <c r="AK6099">
        <v>0</v>
      </c>
      <c r="AL6099" t="s">
        <v>53</v>
      </c>
      <c r="AM6099" t="s">
        <v>53</v>
      </c>
      <c r="AN6099" t="s">
        <v>53</v>
      </c>
      <c r="AO6099" t="s">
        <v>53</v>
      </c>
      <c r="AP6099" t="s">
        <v>53</v>
      </c>
    </row>
    <row r="6100" spans="2:42" x14ac:dyDescent="0.2">
      <c r="B6100" t="s">
        <v>44</v>
      </c>
      <c r="C6100" t="str">
        <f>HYPERLINK("https://us2.cloudbeds.com/connect/8493803454333002#/reservations/9080486846570204?display=2V44FDPJXV&amp;reservation_id=9080486846570204", "2V44FDPJXV")</f>
        <v>2V44FDPJXV</v>
      </c>
      <c r="D6100" t="s">
        <v>45</v>
      </c>
      <c r="E6100" t="s">
        <v>128</v>
      </c>
      <c r="F6100" t="s">
        <v>86</v>
      </c>
      <c r="G6100" t="s">
        <v>48</v>
      </c>
      <c r="H6100" t="s">
        <v>49</v>
      </c>
      <c r="I6100" t="s">
        <v>8964</v>
      </c>
      <c r="J6100" t="s">
        <v>7967</v>
      </c>
      <c r="K6100" t="s">
        <v>8799</v>
      </c>
      <c r="L6100" t="s">
        <v>53</v>
      </c>
      <c r="N6100" t="s">
        <v>10927</v>
      </c>
      <c r="P6100" t="s">
        <v>55</v>
      </c>
      <c r="R6100" t="s">
        <v>53</v>
      </c>
      <c r="T6100" t="s">
        <v>10928</v>
      </c>
      <c r="U6100" t="s">
        <v>58</v>
      </c>
      <c r="V6100">
        <v>3</v>
      </c>
      <c r="W6100">
        <v>1</v>
      </c>
      <c r="X6100">
        <v>1</v>
      </c>
      <c r="Y6100">
        <v>0</v>
      </c>
      <c r="Z6100">
        <v>1</v>
      </c>
      <c r="AA6100">
        <v>0</v>
      </c>
      <c r="AB6100">
        <v>0</v>
      </c>
      <c r="AC6100">
        <v>660</v>
      </c>
      <c r="AD6100">
        <v>0</v>
      </c>
      <c r="AE6100">
        <v>0</v>
      </c>
      <c r="AF6100">
        <v>0</v>
      </c>
      <c r="AG6100">
        <v>0</v>
      </c>
      <c r="AH6100">
        <v>0</v>
      </c>
      <c r="AI6100">
        <v>99</v>
      </c>
      <c r="AJ6100">
        <v>660</v>
      </c>
      <c r="AK6100">
        <v>660</v>
      </c>
      <c r="AL6100" t="s">
        <v>53</v>
      </c>
      <c r="AM6100" t="s">
        <v>53</v>
      </c>
      <c r="AN6100" t="s">
        <v>53</v>
      </c>
      <c r="AO6100" t="s">
        <v>53</v>
      </c>
      <c r="AP6100" t="s">
        <v>53</v>
      </c>
    </row>
    <row r="6101" spans="2:42" x14ac:dyDescent="0.2">
      <c r="B6101" t="s">
        <v>44</v>
      </c>
      <c r="C6101" t="str">
        <f>HYPERLINK("https://us2.cloudbeds.com/connect/8493803454333002#/reservations/9080486846570276?display=2V47W0Y2GD&amp;reservation_id=9080486846570276", "2V47W0Y2GD")</f>
        <v>2V47W0Y2GD</v>
      </c>
      <c r="D6101" t="s">
        <v>45</v>
      </c>
      <c r="E6101" t="s">
        <v>69</v>
      </c>
      <c r="F6101" t="s">
        <v>70</v>
      </c>
      <c r="G6101" t="s">
        <v>48</v>
      </c>
      <c r="H6101" t="s">
        <v>49</v>
      </c>
      <c r="I6101" t="s">
        <v>50</v>
      </c>
      <c r="J6101" t="s">
        <v>7293</v>
      </c>
      <c r="K6101" t="s">
        <v>5743</v>
      </c>
      <c r="L6101" t="s">
        <v>53</v>
      </c>
      <c r="N6101" t="s">
        <v>10929</v>
      </c>
      <c r="P6101" t="s">
        <v>55</v>
      </c>
      <c r="R6101" t="s">
        <v>53</v>
      </c>
      <c r="T6101" t="s">
        <v>10930</v>
      </c>
      <c r="U6101" t="s">
        <v>58</v>
      </c>
      <c r="V6101">
        <v>2</v>
      </c>
      <c r="W6101">
        <v>1</v>
      </c>
      <c r="X6101">
        <v>2</v>
      </c>
      <c r="Y6101">
        <v>0</v>
      </c>
      <c r="Z6101">
        <v>2</v>
      </c>
      <c r="AA6101">
        <v>348.78</v>
      </c>
      <c r="AB6101">
        <v>348.78</v>
      </c>
      <c r="AC6101">
        <v>306.89999999999998</v>
      </c>
      <c r="AD6101">
        <v>0</v>
      </c>
      <c r="AE6101">
        <v>41.88</v>
      </c>
      <c r="AF6101">
        <v>0</v>
      </c>
      <c r="AG6101">
        <v>0</v>
      </c>
      <c r="AH6101">
        <v>0</v>
      </c>
      <c r="AI6101">
        <v>62.78</v>
      </c>
      <c r="AJ6101">
        <v>348.78</v>
      </c>
      <c r="AK6101">
        <v>0</v>
      </c>
      <c r="AL6101" t="s">
        <v>53</v>
      </c>
      <c r="AM6101" t="s">
        <v>53</v>
      </c>
      <c r="AN6101" t="s">
        <v>53</v>
      </c>
      <c r="AO6101" t="s">
        <v>53</v>
      </c>
      <c r="AP6101" t="s">
        <v>53</v>
      </c>
    </row>
    <row r="6102" spans="2:42" x14ac:dyDescent="0.2">
      <c r="B6102" t="s">
        <v>44</v>
      </c>
      <c r="C6102" t="str">
        <f>HYPERLINK("https://us2.cloudbeds.com/connect/8493803454333002#/reservations/9080486846570326?display=2V4A5MTXJ9&amp;reservation_id=9080486846570326", "2V4A5MTXJ9")</f>
        <v>2V4A5MTXJ9</v>
      </c>
      <c r="D6102" t="s">
        <v>45</v>
      </c>
      <c r="E6102" t="s">
        <v>121</v>
      </c>
      <c r="F6102" t="s">
        <v>86</v>
      </c>
      <c r="G6102" t="s">
        <v>48</v>
      </c>
      <c r="H6102" t="s">
        <v>49</v>
      </c>
      <c r="I6102" t="s">
        <v>50</v>
      </c>
      <c r="J6102" t="s">
        <v>8060</v>
      </c>
      <c r="K6102" t="s">
        <v>7967</v>
      </c>
      <c r="L6102" t="s">
        <v>53</v>
      </c>
      <c r="N6102" t="s">
        <v>10931</v>
      </c>
      <c r="P6102" t="s">
        <v>55</v>
      </c>
      <c r="R6102" t="s">
        <v>53</v>
      </c>
      <c r="T6102" t="s">
        <v>10932</v>
      </c>
      <c r="U6102" t="s">
        <v>58</v>
      </c>
      <c r="V6102">
        <v>1</v>
      </c>
      <c r="W6102">
        <v>1</v>
      </c>
      <c r="X6102">
        <v>2</v>
      </c>
      <c r="Y6102">
        <v>0</v>
      </c>
      <c r="Z6102">
        <v>2</v>
      </c>
      <c r="AA6102">
        <v>155.53</v>
      </c>
      <c r="AB6102">
        <v>155.53</v>
      </c>
      <c r="AC6102">
        <v>136.85</v>
      </c>
      <c r="AD6102">
        <v>0</v>
      </c>
      <c r="AE6102">
        <v>18.68</v>
      </c>
      <c r="AF6102">
        <v>0</v>
      </c>
      <c r="AG6102">
        <v>0</v>
      </c>
      <c r="AH6102">
        <v>0</v>
      </c>
      <c r="AI6102">
        <v>28</v>
      </c>
      <c r="AJ6102">
        <v>155.53</v>
      </c>
      <c r="AK6102">
        <v>0</v>
      </c>
      <c r="AL6102" t="s">
        <v>53</v>
      </c>
      <c r="AM6102" t="s">
        <v>53</v>
      </c>
      <c r="AN6102" t="s">
        <v>53</v>
      </c>
      <c r="AO6102" t="s">
        <v>53</v>
      </c>
      <c r="AP6102" t="s">
        <v>53</v>
      </c>
    </row>
    <row r="6103" spans="2:42" x14ac:dyDescent="0.2">
      <c r="B6103" t="s">
        <v>44</v>
      </c>
      <c r="C6103" t="str">
        <f>HYPERLINK("https://us2.cloudbeds.com/connect/8493803454333002#/reservations/9080486846570346?display=2V4B106X18&amp;reservation_id=9080486846570346", "2V4B106X18")</f>
        <v>2V4B106X18</v>
      </c>
      <c r="D6103" t="s">
        <v>45</v>
      </c>
      <c r="E6103" t="s">
        <v>92</v>
      </c>
      <c r="F6103" t="s">
        <v>86</v>
      </c>
      <c r="G6103" t="s">
        <v>48</v>
      </c>
      <c r="H6103" t="s">
        <v>49</v>
      </c>
      <c r="I6103" t="s">
        <v>50</v>
      </c>
      <c r="J6103" t="s">
        <v>8060</v>
      </c>
      <c r="K6103" t="s">
        <v>7967</v>
      </c>
      <c r="L6103" t="s">
        <v>53</v>
      </c>
      <c r="N6103" t="s">
        <v>10933</v>
      </c>
      <c r="P6103" t="s">
        <v>55</v>
      </c>
      <c r="R6103" t="s">
        <v>53</v>
      </c>
      <c r="T6103" t="s">
        <v>10934</v>
      </c>
      <c r="U6103" t="s">
        <v>58</v>
      </c>
      <c r="V6103">
        <v>1</v>
      </c>
      <c r="W6103">
        <v>1</v>
      </c>
      <c r="X6103">
        <v>1</v>
      </c>
      <c r="Y6103">
        <v>0</v>
      </c>
      <c r="Z6103">
        <v>1</v>
      </c>
      <c r="AA6103">
        <v>146.38999999999999</v>
      </c>
      <c r="AB6103">
        <v>146.38999999999999</v>
      </c>
      <c r="AC6103">
        <v>128.80000000000001</v>
      </c>
      <c r="AD6103">
        <v>0</v>
      </c>
      <c r="AE6103">
        <v>17.59</v>
      </c>
      <c r="AF6103">
        <v>0</v>
      </c>
      <c r="AG6103">
        <v>0</v>
      </c>
      <c r="AH6103">
        <v>0</v>
      </c>
      <c r="AI6103">
        <v>26.35</v>
      </c>
      <c r="AJ6103">
        <v>146.38999999999999</v>
      </c>
      <c r="AK6103">
        <v>0</v>
      </c>
      <c r="AL6103" t="s">
        <v>53</v>
      </c>
      <c r="AM6103" t="s">
        <v>53</v>
      </c>
      <c r="AN6103" t="s">
        <v>53</v>
      </c>
      <c r="AO6103" t="s">
        <v>53</v>
      </c>
      <c r="AP6103" t="s">
        <v>53</v>
      </c>
    </row>
    <row r="6104" spans="2:42" x14ac:dyDescent="0.2">
      <c r="B6104" t="s">
        <v>44</v>
      </c>
      <c r="C6104" t="str">
        <f>HYPERLINK("https://us2.cloudbeds.com/connect/8493803454333002#/reservations/9080486846570625?display=2V4ZX0AQVF&amp;reservation_id=9080486846570625", "2V4ZX0AQVF")</f>
        <v>2V4ZX0AQVF</v>
      </c>
      <c r="D6104" t="s">
        <v>45</v>
      </c>
      <c r="E6104" t="s">
        <v>69</v>
      </c>
      <c r="F6104" t="s">
        <v>70</v>
      </c>
      <c r="G6104" t="s">
        <v>48</v>
      </c>
      <c r="H6104" t="s">
        <v>49</v>
      </c>
      <c r="I6104" t="s">
        <v>62</v>
      </c>
      <c r="J6104" t="s">
        <v>8900</v>
      </c>
      <c r="K6104" t="s">
        <v>8314</v>
      </c>
      <c r="L6104" t="s">
        <v>53</v>
      </c>
      <c r="N6104" t="s">
        <v>10935</v>
      </c>
      <c r="P6104" t="s">
        <v>55</v>
      </c>
      <c r="R6104" t="s">
        <v>56</v>
      </c>
      <c r="T6104" t="s">
        <v>10936</v>
      </c>
      <c r="U6104" t="s">
        <v>55</v>
      </c>
      <c r="V6104">
        <v>1</v>
      </c>
      <c r="W6104">
        <v>1</v>
      </c>
      <c r="X6104">
        <v>2</v>
      </c>
      <c r="Y6104">
        <v>0</v>
      </c>
      <c r="Z6104">
        <v>2</v>
      </c>
      <c r="AA6104">
        <v>178.6</v>
      </c>
      <c r="AB6104">
        <v>178.6</v>
      </c>
      <c r="AC6104">
        <v>178.6</v>
      </c>
      <c r="AD6104">
        <v>0</v>
      </c>
      <c r="AE6104">
        <v>0</v>
      </c>
      <c r="AF6104">
        <v>0</v>
      </c>
      <c r="AG6104">
        <v>0</v>
      </c>
      <c r="AH6104">
        <v>0</v>
      </c>
      <c r="AI6104">
        <v>32.15</v>
      </c>
      <c r="AJ6104">
        <v>178.6</v>
      </c>
      <c r="AK6104">
        <v>0</v>
      </c>
      <c r="AL6104" t="s">
        <v>53</v>
      </c>
      <c r="AM6104" t="s">
        <v>53</v>
      </c>
      <c r="AN6104" t="s">
        <v>53</v>
      </c>
      <c r="AO6104" t="s">
        <v>53</v>
      </c>
      <c r="AP6104" t="s">
        <v>53</v>
      </c>
    </row>
    <row r="6105" spans="2:42" x14ac:dyDescent="0.2">
      <c r="B6105" t="s">
        <v>44</v>
      </c>
      <c r="C6105" t="str">
        <f>HYPERLINK("https://us2.cloudbeds.com/connect/8493803454333002#/reservations/9080486846570670?display=2V4Q5C0B20&amp;reservation_id=9080486846570670", "2V4Q5C0B20")</f>
        <v>2V4Q5C0B20</v>
      </c>
      <c r="D6105" t="s">
        <v>45</v>
      </c>
      <c r="E6105" t="s">
        <v>179</v>
      </c>
      <c r="F6105" t="s">
        <v>47</v>
      </c>
      <c r="G6105" t="s">
        <v>48</v>
      </c>
      <c r="H6105" t="s">
        <v>49</v>
      </c>
      <c r="I6105" t="s">
        <v>50</v>
      </c>
      <c r="J6105" t="s">
        <v>9610</v>
      </c>
      <c r="K6105" t="s">
        <v>9620</v>
      </c>
      <c r="L6105" t="s">
        <v>53</v>
      </c>
      <c r="N6105" t="s">
        <v>10937</v>
      </c>
      <c r="P6105" t="s">
        <v>55</v>
      </c>
      <c r="R6105" t="s">
        <v>53</v>
      </c>
      <c r="T6105" t="s">
        <v>10938</v>
      </c>
      <c r="U6105" t="s">
        <v>58</v>
      </c>
      <c r="V6105">
        <v>2</v>
      </c>
      <c r="W6105">
        <v>1</v>
      </c>
      <c r="X6105">
        <v>2</v>
      </c>
      <c r="Y6105">
        <v>0</v>
      </c>
      <c r="Z6105">
        <v>2</v>
      </c>
      <c r="AA6105">
        <v>288.58999999999997</v>
      </c>
      <c r="AB6105">
        <v>288.58999999999997</v>
      </c>
      <c r="AC6105">
        <v>253.93</v>
      </c>
      <c r="AD6105">
        <v>0</v>
      </c>
      <c r="AE6105">
        <v>34.659999999999997</v>
      </c>
      <c r="AF6105">
        <v>0</v>
      </c>
      <c r="AG6105">
        <v>0</v>
      </c>
      <c r="AH6105">
        <v>0</v>
      </c>
      <c r="AI6105">
        <v>51.95</v>
      </c>
      <c r="AJ6105">
        <v>288.58999999999997</v>
      </c>
      <c r="AK6105">
        <v>0</v>
      </c>
      <c r="AL6105" t="s">
        <v>53</v>
      </c>
      <c r="AM6105" t="s">
        <v>53</v>
      </c>
      <c r="AN6105" t="s">
        <v>53</v>
      </c>
      <c r="AO6105" t="s">
        <v>53</v>
      </c>
      <c r="AP6105" t="s">
        <v>53</v>
      </c>
    </row>
    <row r="6106" spans="2:42" x14ac:dyDescent="0.2">
      <c r="B6106" t="s">
        <v>44</v>
      </c>
      <c r="C6106" t="str">
        <f>HYPERLINK("https://us2.cloudbeds.com/connect/8493803454333002#/reservations/136625679917212?display=2V4PWQ8KRC&amp;reservation_id=136625679917212", "2V4PWQ8KRC")</f>
        <v>2V4PWQ8KRC</v>
      </c>
      <c r="D6106" t="s">
        <v>45</v>
      </c>
      <c r="E6106" t="s">
        <v>46</v>
      </c>
      <c r="F6106" t="s">
        <v>47</v>
      </c>
      <c r="G6106" t="s">
        <v>48</v>
      </c>
      <c r="H6106" t="s">
        <v>3957</v>
      </c>
      <c r="I6106" t="s">
        <v>3975</v>
      </c>
      <c r="J6106" t="s">
        <v>8670</v>
      </c>
      <c r="K6106" t="s">
        <v>8799</v>
      </c>
      <c r="L6106" t="s">
        <v>53</v>
      </c>
      <c r="P6106" t="s">
        <v>55</v>
      </c>
      <c r="R6106" t="s">
        <v>56</v>
      </c>
      <c r="T6106" t="s">
        <v>10939</v>
      </c>
      <c r="U6106" t="s">
        <v>58</v>
      </c>
      <c r="V6106">
        <v>2</v>
      </c>
      <c r="W6106">
        <v>1</v>
      </c>
      <c r="X6106">
        <v>1</v>
      </c>
      <c r="Y6106">
        <v>0</v>
      </c>
      <c r="Z6106">
        <v>1</v>
      </c>
      <c r="AA6106">
        <v>629.64</v>
      </c>
      <c r="AB6106">
        <v>629.64</v>
      </c>
      <c r="AC6106">
        <v>554</v>
      </c>
      <c r="AD6106">
        <v>0</v>
      </c>
      <c r="AE6106">
        <v>75.64</v>
      </c>
      <c r="AF6106">
        <v>0</v>
      </c>
      <c r="AG6106">
        <v>0</v>
      </c>
      <c r="AH6106">
        <v>0</v>
      </c>
      <c r="AI6106">
        <v>0</v>
      </c>
      <c r="AJ6106">
        <v>629.64</v>
      </c>
      <c r="AK6106">
        <v>0</v>
      </c>
      <c r="AL6106" t="s">
        <v>53</v>
      </c>
      <c r="AM6106" t="s">
        <v>53</v>
      </c>
      <c r="AN6106" t="s">
        <v>53</v>
      </c>
      <c r="AO6106" t="s">
        <v>53</v>
      </c>
      <c r="AP6106" t="s">
        <v>53</v>
      </c>
    </row>
    <row r="6107" spans="2:42" x14ac:dyDescent="0.2">
      <c r="B6107" t="s">
        <v>44</v>
      </c>
      <c r="C6107" t="str">
        <f>HYPERLINK("https://us2.cloudbeds.com/connect/8493803454333002#/reservations/9080486846570996?display=2V58MKVW8T&amp;reservation_id=9080486846570996", "2V58MKVW8T")</f>
        <v>2V58MKVW8T</v>
      </c>
      <c r="D6107" t="s">
        <v>45</v>
      </c>
      <c r="E6107" t="s">
        <v>10940</v>
      </c>
      <c r="F6107" t="s">
        <v>70</v>
      </c>
      <c r="G6107" t="s">
        <v>48</v>
      </c>
      <c r="H6107" t="s">
        <v>49</v>
      </c>
      <c r="I6107" t="s">
        <v>62</v>
      </c>
      <c r="J6107" t="s">
        <v>8313</v>
      </c>
      <c r="K6107" t="s">
        <v>8900</v>
      </c>
      <c r="L6107" t="s">
        <v>53</v>
      </c>
      <c r="N6107" t="s">
        <v>10941</v>
      </c>
      <c r="P6107" t="s">
        <v>55</v>
      </c>
      <c r="R6107" t="s">
        <v>56</v>
      </c>
      <c r="T6107" t="s">
        <v>10942</v>
      </c>
      <c r="U6107" t="s">
        <v>55</v>
      </c>
      <c r="V6107">
        <v>2</v>
      </c>
      <c r="W6107">
        <v>2</v>
      </c>
      <c r="X6107">
        <v>2</v>
      </c>
      <c r="Y6107">
        <v>0</v>
      </c>
      <c r="Z6107">
        <v>2</v>
      </c>
      <c r="AA6107">
        <v>266</v>
      </c>
      <c r="AB6107">
        <v>266</v>
      </c>
      <c r="AC6107">
        <v>266</v>
      </c>
      <c r="AD6107">
        <v>0</v>
      </c>
      <c r="AE6107">
        <v>0</v>
      </c>
      <c r="AF6107">
        <v>0</v>
      </c>
      <c r="AG6107">
        <v>0</v>
      </c>
      <c r="AH6107">
        <v>0</v>
      </c>
      <c r="AI6107">
        <v>47.88</v>
      </c>
      <c r="AJ6107">
        <v>266</v>
      </c>
      <c r="AK6107">
        <v>0</v>
      </c>
      <c r="AL6107" t="s">
        <v>53</v>
      </c>
      <c r="AM6107" t="s">
        <v>53</v>
      </c>
      <c r="AN6107" t="s">
        <v>53</v>
      </c>
      <c r="AO6107" t="s">
        <v>53</v>
      </c>
      <c r="AP6107" t="s">
        <v>53</v>
      </c>
    </row>
    <row r="6108" spans="2:42" x14ac:dyDescent="0.2">
      <c r="B6108" t="s">
        <v>44</v>
      </c>
      <c r="C6108" t="str">
        <f>HYPERLINK("https://us2.cloudbeds.com/connect/8493803454333002#/reservations/9080486846571148?display=2V5EZMTR43&amp;reservation_id=9080486846571148", "2V5EZMTR43")</f>
        <v>2V5EZMTR43</v>
      </c>
      <c r="D6108" t="s">
        <v>45</v>
      </c>
      <c r="E6108" t="s">
        <v>85</v>
      </c>
      <c r="F6108" t="s">
        <v>86</v>
      </c>
      <c r="G6108" t="s">
        <v>48</v>
      </c>
      <c r="H6108" t="s">
        <v>49</v>
      </c>
      <c r="I6108" t="s">
        <v>8964</v>
      </c>
      <c r="J6108" t="s">
        <v>8670</v>
      </c>
      <c r="K6108" t="s">
        <v>7989</v>
      </c>
      <c r="L6108" t="s">
        <v>53</v>
      </c>
      <c r="N6108" t="s">
        <v>10943</v>
      </c>
      <c r="P6108" t="s">
        <v>55</v>
      </c>
      <c r="R6108" t="s">
        <v>53</v>
      </c>
      <c r="T6108" t="s">
        <v>10944</v>
      </c>
      <c r="U6108" t="s">
        <v>58</v>
      </c>
      <c r="V6108">
        <v>1</v>
      </c>
      <c r="W6108">
        <v>1</v>
      </c>
      <c r="X6108">
        <v>2</v>
      </c>
      <c r="Y6108">
        <v>0</v>
      </c>
      <c r="Z6108">
        <v>2</v>
      </c>
      <c r="AA6108">
        <v>0</v>
      </c>
      <c r="AB6108">
        <v>0</v>
      </c>
      <c r="AC6108">
        <v>221</v>
      </c>
      <c r="AD6108">
        <v>0</v>
      </c>
      <c r="AE6108">
        <v>0</v>
      </c>
      <c r="AF6108">
        <v>0</v>
      </c>
      <c r="AG6108">
        <v>0</v>
      </c>
      <c r="AH6108">
        <v>0</v>
      </c>
      <c r="AI6108">
        <v>33.15</v>
      </c>
      <c r="AJ6108">
        <v>221</v>
      </c>
      <c r="AK6108">
        <v>221</v>
      </c>
      <c r="AL6108" t="s">
        <v>53</v>
      </c>
      <c r="AM6108" t="s">
        <v>53</v>
      </c>
      <c r="AN6108" t="s">
        <v>53</v>
      </c>
      <c r="AO6108" t="s">
        <v>53</v>
      </c>
      <c r="AP6108" t="s">
        <v>53</v>
      </c>
    </row>
    <row r="6109" spans="2:42" x14ac:dyDescent="0.2">
      <c r="B6109" t="s">
        <v>44</v>
      </c>
      <c r="C6109" t="str">
        <f>HYPERLINK("https://us2.cloudbeds.com/connect/8493803454333002#/reservations/9080486846571391?display=2V5ZK7EMDG&amp;reservation_id=9080486846571391", "2V5ZK7EMDG")</f>
        <v>2V5ZK7EMDG</v>
      </c>
      <c r="D6109" t="s">
        <v>45</v>
      </c>
      <c r="E6109" t="s">
        <v>92</v>
      </c>
      <c r="F6109" t="s">
        <v>86</v>
      </c>
      <c r="G6109" t="s">
        <v>48</v>
      </c>
      <c r="H6109" t="s">
        <v>49</v>
      </c>
      <c r="I6109" t="s">
        <v>50</v>
      </c>
      <c r="J6109" t="s">
        <v>8670</v>
      </c>
      <c r="K6109" t="s">
        <v>7989</v>
      </c>
      <c r="L6109" t="s">
        <v>53</v>
      </c>
      <c r="N6109" t="s">
        <v>10945</v>
      </c>
      <c r="P6109" t="s">
        <v>55</v>
      </c>
      <c r="R6109" t="s">
        <v>53</v>
      </c>
      <c r="T6109" t="s">
        <v>10946</v>
      </c>
      <c r="U6109" t="s">
        <v>58</v>
      </c>
      <c r="V6109">
        <v>1</v>
      </c>
      <c r="W6109">
        <v>1</v>
      </c>
      <c r="X6109">
        <v>1</v>
      </c>
      <c r="Y6109">
        <v>0</v>
      </c>
      <c r="Z6109">
        <v>1</v>
      </c>
      <c r="AA6109">
        <v>219.91</v>
      </c>
      <c r="AB6109">
        <v>219.91</v>
      </c>
      <c r="AC6109">
        <v>193.5</v>
      </c>
      <c r="AD6109">
        <v>0</v>
      </c>
      <c r="AE6109">
        <v>26.41</v>
      </c>
      <c r="AF6109">
        <v>0</v>
      </c>
      <c r="AG6109">
        <v>0</v>
      </c>
      <c r="AH6109">
        <v>0</v>
      </c>
      <c r="AI6109">
        <v>39.58</v>
      </c>
      <c r="AJ6109">
        <v>219.91</v>
      </c>
      <c r="AK6109">
        <v>0</v>
      </c>
      <c r="AL6109" t="s">
        <v>53</v>
      </c>
      <c r="AM6109" t="s">
        <v>53</v>
      </c>
      <c r="AN6109" t="s">
        <v>53</v>
      </c>
      <c r="AO6109" t="s">
        <v>53</v>
      </c>
      <c r="AP6109" t="s">
        <v>53</v>
      </c>
    </row>
    <row r="6110" spans="2:42" x14ac:dyDescent="0.2">
      <c r="B6110" t="s">
        <v>44</v>
      </c>
      <c r="C6110" t="str">
        <f>HYPERLINK("https://us2.cloudbeds.com/connect/8493803454333002#/reservations/9080486846571485?display=2V5SH1DVGD&amp;reservation_id=9080486846571485", "2V5SH1DVGD")</f>
        <v>2V5SH1DVGD</v>
      </c>
      <c r="D6110" t="s">
        <v>45</v>
      </c>
      <c r="E6110" t="s">
        <v>179</v>
      </c>
      <c r="F6110" t="s">
        <v>47</v>
      </c>
      <c r="G6110" t="s">
        <v>48</v>
      </c>
      <c r="H6110" t="s">
        <v>49</v>
      </c>
      <c r="I6110" t="s">
        <v>62</v>
      </c>
      <c r="J6110" t="s">
        <v>9135</v>
      </c>
      <c r="K6110" t="s">
        <v>8900</v>
      </c>
      <c r="L6110" t="s">
        <v>53</v>
      </c>
      <c r="N6110" t="s">
        <v>10947</v>
      </c>
      <c r="P6110" t="s">
        <v>55</v>
      </c>
      <c r="R6110" t="s">
        <v>56</v>
      </c>
      <c r="T6110" t="s">
        <v>10948</v>
      </c>
      <c r="U6110" t="s">
        <v>55</v>
      </c>
      <c r="V6110">
        <v>2</v>
      </c>
      <c r="W6110">
        <v>1</v>
      </c>
      <c r="X6110">
        <v>2</v>
      </c>
      <c r="Y6110">
        <v>0</v>
      </c>
      <c r="Z6110">
        <v>2</v>
      </c>
      <c r="AA6110">
        <v>290.7</v>
      </c>
      <c r="AB6110">
        <v>290.7</v>
      </c>
      <c r="AC6110">
        <v>290.7</v>
      </c>
      <c r="AD6110">
        <v>0</v>
      </c>
      <c r="AE6110">
        <v>0</v>
      </c>
      <c r="AF6110">
        <v>0</v>
      </c>
      <c r="AG6110">
        <v>0</v>
      </c>
      <c r="AH6110">
        <v>0</v>
      </c>
      <c r="AI6110">
        <v>52.33</v>
      </c>
      <c r="AJ6110">
        <v>290.7</v>
      </c>
      <c r="AK6110">
        <v>0</v>
      </c>
      <c r="AL6110" t="s">
        <v>53</v>
      </c>
      <c r="AM6110" t="s">
        <v>53</v>
      </c>
      <c r="AN6110" t="s">
        <v>53</v>
      </c>
      <c r="AO6110" t="s">
        <v>53</v>
      </c>
      <c r="AP6110" t="s">
        <v>53</v>
      </c>
    </row>
    <row r="6111" spans="2:42" x14ac:dyDescent="0.2">
      <c r="B6111" t="s">
        <v>44</v>
      </c>
      <c r="C6111" t="str">
        <f>HYPERLINK("https://us2.cloudbeds.com/connect/8493803454333002#/reservations/9080486846571933?display=2V6GXKVUAT&amp;reservation_id=9080486846571933", "2V6GXKVUAT")</f>
        <v>2V6GXKVUAT</v>
      </c>
      <c r="D6111" t="s">
        <v>45</v>
      </c>
      <c r="E6111" t="s">
        <v>69</v>
      </c>
      <c r="F6111" t="s">
        <v>70</v>
      </c>
      <c r="G6111" t="s">
        <v>48</v>
      </c>
      <c r="H6111" t="s">
        <v>49</v>
      </c>
      <c r="I6111" t="s">
        <v>8964</v>
      </c>
      <c r="J6111" t="s">
        <v>5508</v>
      </c>
      <c r="K6111" t="s">
        <v>9692</v>
      </c>
      <c r="L6111" t="s">
        <v>53</v>
      </c>
      <c r="N6111" t="s">
        <v>10949</v>
      </c>
      <c r="P6111" t="s">
        <v>55</v>
      </c>
      <c r="R6111" t="s">
        <v>53</v>
      </c>
      <c r="T6111" t="s">
        <v>10950</v>
      </c>
      <c r="U6111" t="s">
        <v>58</v>
      </c>
      <c r="V6111">
        <v>1</v>
      </c>
      <c r="W6111">
        <v>1</v>
      </c>
      <c r="X6111">
        <v>1</v>
      </c>
      <c r="Y6111">
        <v>0</v>
      </c>
      <c r="Z6111">
        <v>1</v>
      </c>
      <c r="AA6111">
        <v>0</v>
      </c>
      <c r="AB6111">
        <v>0</v>
      </c>
      <c r="AC6111">
        <v>108</v>
      </c>
      <c r="AD6111">
        <v>0</v>
      </c>
      <c r="AE6111">
        <v>0</v>
      </c>
      <c r="AF6111">
        <v>0</v>
      </c>
      <c r="AG6111">
        <v>0</v>
      </c>
      <c r="AH6111">
        <v>0</v>
      </c>
      <c r="AI6111">
        <v>16.2</v>
      </c>
      <c r="AJ6111">
        <v>108</v>
      </c>
      <c r="AK6111">
        <v>108</v>
      </c>
      <c r="AL6111" t="s">
        <v>53</v>
      </c>
      <c r="AM6111" t="s">
        <v>53</v>
      </c>
      <c r="AN6111" t="s">
        <v>53</v>
      </c>
      <c r="AO6111" t="s">
        <v>53</v>
      </c>
      <c r="AP6111" t="s">
        <v>53</v>
      </c>
    </row>
    <row r="6112" spans="2:42" x14ac:dyDescent="0.2">
      <c r="B6112" t="s">
        <v>44</v>
      </c>
      <c r="C6112" t="str">
        <f>HYPERLINK("https://us2.cloudbeds.com/connect/8493803454333002#/reservations/136846010200199?display=2V9VJZJX0D&amp;reservation_id=136846010200199", "2V9VJZJX0D")</f>
        <v>2V9VJZJX0D</v>
      </c>
      <c r="D6112" t="s">
        <v>45</v>
      </c>
      <c r="E6112" t="s">
        <v>190</v>
      </c>
      <c r="F6112" t="s">
        <v>61</v>
      </c>
      <c r="G6112" t="s">
        <v>48</v>
      </c>
      <c r="H6112" t="s">
        <v>3957</v>
      </c>
      <c r="I6112" t="s">
        <v>3975</v>
      </c>
      <c r="J6112" t="s">
        <v>8313</v>
      </c>
      <c r="K6112" t="s">
        <v>8314</v>
      </c>
      <c r="L6112" t="s">
        <v>53</v>
      </c>
      <c r="P6112" t="s">
        <v>55</v>
      </c>
      <c r="R6112" t="s">
        <v>56</v>
      </c>
      <c r="T6112" t="s">
        <v>10951</v>
      </c>
      <c r="U6112" t="s">
        <v>58</v>
      </c>
      <c r="V6112">
        <v>2</v>
      </c>
      <c r="W6112">
        <v>1</v>
      </c>
      <c r="X6112">
        <v>2</v>
      </c>
      <c r="Y6112">
        <v>0</v>
      </c>
      <c r="Z6112">
        <v>2</v>
      </c>
      <c r="AA6112">
        <v>485.29</v>
      </c>
      <c r="AB6112">
        <v>485.29</v>
      </c>
      <c r="AC6112">
        <v>427</v>
      </c>
      <c r="AD6112">
        <v>0</v>
      </c>
      <c r="AE6112">
        <v>58.29</v>
      </c>
      <c r="AF6112">
        <v>0</v>
      </c>
      <c r="AG6112">
        <v>0</v>
      </c>
      <c r="AH6112">
        <v>0</v>
      </c>
      <c r="AI6112">
        <v>0</v>
      </c>
      <c r="AJ6112">
        <v>485.29</v>
      </c>
      <c r="AK6112">
        <v>0</v>
      </c>
      <c r="AL6112" t="s">
        <v>53</v>
      </c>
      <c r="AM6112" t="s">
        <v>53</v>
      </c>
      <c r="AN6112" t="s">
        <v>53</v>
      </c>
      <c r="AO6112" t="s">
        <v>53</v>
      </c>
      <c r="AP6112" t="s">
        <v>53</v>
      </c>
    </row>
    <row r="6113" spans="2:42" x14ac:dyDescent="0.2">
      <c r="B6113" t="s">
        <v>44</v>
      </c>
      <c r="C6113" t="str">
        <f>HYPERLINK("https://us2.cloudbeds.com/connect/8493803454333002#/reservations/136869485891714?display=2VAGPJU8RP&amp;reservation_id=136869485891714", "2VAGPJU8RP")</f>
        <v>2VAGPJU8RP</v>
      </c>
      <c r="D6113" t="s">
        <v>45</v>
      </c>
      <c r="E6113" t="s">
        <v>92</v>
      </c>
      <c r="F6113" t="s">
        <v>86</v>
      </c>
      <c r="G6113" t="s">
        <v>48</v>
      </c>
      <c r="H6113" t="s">
        <v>3957</v>
      </c>
      <c r="I6113" t="s">
        <v>3958</v>
      </c>
      <c r="J6113" t="s">
        <v>5904</v>
      </c>
      <c r="K6113" t="s">
        <v>5905</v>
      </c>
      <c r="L6113" t="s">
        <v>53</v>
      </c>
      <c r="P6113" t="s">
        <v>55</v>
      </c>
      <c r="R6113" t="s">
        <v>56</v>
      </c>
      <c r="T6113" t="s">
        <v>10952</v>
      </c>
      <c r="U6113" t="s">
        <v>58</v>
      </c>
      <c r="V6113">
        <v>2</v>
      </c>
      <c r="W6113">
        <v>1</v>
      </c>
      <c r="X6113">
        <v>1</v>
      </c>
      <c r="Y6113">
        <v>0</v>
      </c>
      <c r="Z6113">
        <v>1</v>
      </c>
      <c r="AA6113">
        <v>0</v>
      </c>
      <c r="AB6113">
        <v>0</v>
      </c>
      <c r="AC6113">
        <v>0</v>
      </c>
      <c r="AD6113">
        <v>0</v>
      </c>
      <c r="AE6113">
        <v>0</v>
      </c>
      <c r="AF6113">
        <v>0</v>
      </c>
      <c r="AG6113">
        <v>0</v>
      </c>
      <c r="AH6113">
        <v>0</v>
      </c>
      <c r="AI6113">
        <v>0</v>
      </c>
      <c r="AJ6113">
        <v>0</v>
      </c>
      <c r="AK6113">
        <v>0</v>
      </c>
      <c r="AL6113" t="s">
        <v>53</v>
      </c>
      <c r="AM6113" t="s">
        <v>53</v>
      </c>
      <c r="AN6113" t="s">
        <v>10953</v>
      </c>
      <c r="AO6113" t="s">
        <v>53</v>
      </c>
      <c r="AP6113" t="s">
        <v>53</v>
      </c>
    </row>
    <row r="6114" spans="2:42" x14ac:dyDescent="0.2">
      <c r="B6114" t="s">
        <v>44</v>
      </c>
      <c r="C6114" t="str">
        <f>HYPERLINK("https://us2.cloudbeds.com/connect/8493803454333002#/reservations/9080486846575111?display=2VAR7MD718&amp;reservation_id=9080486846575111", "2VAR7MD718")</f>
        <v>2VAR7MD718</v>
      </c>
      <c r="D6114" t="s">
        <v>45</v>
      </c>
      <c r="E6114" t="s">
        <v>69</v>
      </c>
      <c r="F6114" t="s">
        <v>70</v>
      </c>
      <c r="G6114" t="s">
        <v>48</v>
      </c>
      <c r="H6114" t="s">
        <v>49</v>
      </c>
      <c r="I6114" t="s">
        <v>62</v>
      </c>
      <c r="J6114" t="s">
        <v>5905</v>
      </c>
      <c r="K6114" t="s">
        <v>8139</v>
      </c>
      <c r="L6114" t="s">
        <v>53</v>
      </c>
      <c r="N6114" t="s">
        <v>10954</v>
      </c>
      <c r="P6114" t="s">
        <v>55</v>
      </c>
      <c r="R6114" t="s">
        <v>56</v>
      </c>
      <c r="T6114" t="s">
        <v>10955</v>
      </c>
      <c r="U6114" t="s">
        <v>55</v>
      </c>
      <c r="V6114">
        <v>1</v>
      </c>
      <c r="W6114">
        <v>1</v>
      </c>
      <c r="X6114">
        <v>2</v>
      </c>
      <c r="Y6114">
        <v>0</v>
      </c>
      <c r="Z6114">
        <v>2</v>
      </c>
      <c r="AA6114">
        <v>135</v>
      </c>
      <c r="AB6114">
        <v>135</v>
      </c>
      <c r="AC6114">
        <v>135</v>
      </c>
      <c r="AD6114">
        <v>0</v>
      </c>
      <c r="AE6114">
        <v>0</v>
      </c>
      <c r="AF6114">
        <v>0</v>
      </c>
      <c r="AG6114">
        <v>0</v>
      </c>
      <c r="AH6114">
        <v>0</v>
      </c>
      <c r="AI6114">
        <v>24.3</v>
      </c>
      <c r="AJ6114">
        <v>135</v>
      </c>
      <c r="AK6114">
        <v>0</v>
      </c>
      <c r="AL6114" t="s">
        <v>53</v>
      </c>
      <c r="AM6114" t="s">
        <v>53</v>
      </c>
      <c r="AN6114" t="s">
        <v>53</v>
      </c>
      <c r="AO6114" t="s">
        <v>53</v>
      </c>
      <c r="AP6114" t="s">
        <v>53</v>
      </c>
    </row>
    <row r="6115" spans="2:42" x14ac:dyDescent="0.2">
      <c r="B6115" t="s">
        <v>44</v>
      </c>
      <c r="C6115" t="str">
        <f>HYPERLINK("https://us2.cloudbeds.com/connect/8493803454333002#/reservations/9080486846575290?display=2VB053YBH7&amp;reservation_id=9080486846575290", "2VB053YBH7")</f>
        <v>2VB053YBH7</v>
      </c>
      <c r="D6115" t="s">
        <v>45</v>
      </c>
      <c r="E6115" t="s">
        <v>165</v>
      </c>
      <c r="F6115" t="s">
        <v>61</v>
      </c>
      <c r="G6115" t="s">
        <v>48</v>
      </c>
      <c r="H6115" t="s">
        <v>49</v>
      </c>
      <c r="I6115" t="s">
        <v>50</v>
      </c>
      <c r="J6115" t="s">
        <v>6344</v>
      </c>
      <c r="K6115" t="s">
        <v>8678</v>
      </c>
      <c r="L6115" t="s">
        <v>53</v>
      </c>
      <c r="N6115" t="s">
        <v>10956</v>
      </c>
      <c r="P6115" t="s">
        <v>55</v>
      </c>
      <c r="R6115" t="s">
        <v>53</v>
      </c>
      <c r="T6115" t="s">
        <v>10957</v>
      </c>
      <c r="U6115" t="s">
        <v>58</v>
      </c>
      <c r="V6115">
        <v>2</v>
      </c>
      <c r="W6115">
        <v>1</v>
      </c>
      <c r="X6115">
        <v>2</v>
      </c>
      <c r="Y6115">
        <v>0</v>
      </c>
      <c r="Z6115">
        <v>2</v>
      </c>
      <c r="AA6115">
        <v>352.4</v>
      </c>
      <c r="AB6115">
        <v>352.4</v>
      </c>
      <c r="AC6115">
        <v>310.08</v>
      </c>
      <c r="AD6115">
        <v>0</v>
      </c>
      <c r="AE6115">
        <v>42.32</v>
      </c>
      <c r="AF6115">
        <v>0</v>
      </c>
      <c r="AG6115">
        <v>0</v>
      </c>
      <c r="AH6115">
        <v>0</v>
      </c>
      <c r="AI6115">
        <v>63.43</v>
      </c>
      <c r="AJ6115">
        <v>352.4</v>
      </c>
      <c r="AK6115">
        <v>0</v>
      </c>
      <c r="AL6115" t="s">
        <v>53</v>
      </c>
      <c r="AM6115" t="s">
        <v>53</v>
      </c>
      <c r="AN6115" t="s">
        <v>53</v>
      </c>
      <c r="AO6115" t="s">
        <v>53</v>
      </c>
      <c r="AP6115" t="s">
        <v>53</v>
      </c>
    </row>
    <row r="6116" spans="2:42" x14ac:dyDescent="0.2">
      <c r="B6116" t="s">
        <v>44</v>
      </c>
      <c r="C6116" t="str">
        <f>HYPERLINK("https://us2.cloudbeds.com/connect/8493803454333002#/reservations/136918469820632?display=2VBYN8F9R4&amp;reservation_id=136918469820632", "2VBYN8F9R4")</f>
        <v>2VBYN8F9R4</v>
      </c>
      <c r="D6116" t="s">
        <v>45</v>
      </c>
      <c r="E6116" t="s">
        <v>92</v>
      </c>
      <c r="F6116" t="s">
        <v>86</v>
      </c>
      <c r="G6116" t="s">
        <v>48</v>
      </c>
      <c r="H6116" t="s">
        <v>3957</v>
      </c>
      <c r="I6116" t="s">
        <v>3975</v>
      </c>
      <c r="J6116" t="s">
        <v>9692</v>
      </c>
      <c r="K6116" t="s">
        <v>7325</v>
      </c>
      <c r="L6116" t="s">
        <v>53</v>
      </c>
      <c r="P6116" t="s">
        <v>55</v>
      </c>
      <c r="R6116" t="s">
        <v>56</v>
      </c>
      <c r="T6116" t="s">
        <v>10958</v>
      </c>
      <c r="U6116" t="s">
        <v>58</v>
      </c>
      <c r="V6116">
        <v>1</v>
      </c>
      <c r="W6116">
        <v>1</v>
      </c>
      <c r="X6116">
        <v>2</v>
      </c>
      <c r="Y6116">
        <v>0</v>
      </c>
      <c r="Z6116">
        <v>2</v>
      </c>
      <c r="AA6116">
        <v>172.75</v>
      </c>
      <c r="AB6116">
        <v>172.75</v>
      </c>
      <c r="AC6116">
        <v>152</v>
      </c>
      <c r="AD6116">
        <v>0</v>
      </c>
      <c r="AE6116">
        <v>20.75</v>
      </c>
      <c r="AF6116">
        <v>0</v>
      </c>
      <c r="AG6116">
        <v>0</v>
      </c>
      <c r="AH6116">
        <v>0</v>
      </c>
      <c r="AI6116">
        <v>0</v>
      </c>
      <c r="AJ6116">
        <v>172.75</v>
      </c>
      <c r="AK6116">
        <v>0</v>
      </c>
      <c r="AL6116" t="s">
        <v>53</v>
      </c>
      <c r="AM6116" t="s">
        <v>53</v>
      </c>
      <c r="AN6116" t="s">
        <v>53</v>
      </c>
      <c r="AO6116" t="s">
        <v>53</v>
      </c>
      <c r="AP6116" t="s">
        <v>53</v>
      </c>
    </row>
    <row r="6117" spans="2:42" x14ac:dyDescent="0.2">
      <c r="B6117" t="s">
        <v>44</v>
      </c>
      <c r="C6117" t="str">
        <f>HYPERLINK("https://us2.cloudbeds.com/connect/8493803454333002#/reservations/9080486846576987?display=2VCZY1VNRB&amp;reservation_id=9080486846576987", "2VCZY1VNRB")</f>
        <v>2VCZY1VNRB</v>
      </c>
      <c r="D6117" t="s">
        <v>45</v>
      </c>
      <c r="E6117" t="s">
        <v>213</v>
      </c>
      <c r="F6117" t="s">
        <v>86</v>
      </c>
      <c r="G6117" t="s">
        <v>48</v>
      </c>
      <c r="H6117" t="s">
        <v>49</v>
      </c>
      <c r="I6117" t="s">
        <v>50</v>
      </c>
      <c r="J6117" t="s">
        <v>9692</v>
      </c>
      <c r="K6117" t="s">
        <v>7325</v>
      </c>
      <c r="L6117" t="s">
        <v>53</v>
      </c>
      <c r="N6117" t="s">
        <v>10959</v>
      </c>
      <c r="P6117" t="s">
        <v>55</v>
      </c>
      <c r="R6117" t="s">
        <v>53</v>
      </c>
      <c r="T6117" t="s">
        <v>10960</v>
      </c>
      <c r="U6117" t="s">
        <v>58</v>
      </c>
      <c r="V6117">
        <v>1</v>
      </c>
      <c r="W6117">
        <v>1</v>
      </c>
      <c r="X6117">
        <v>3</v>
      </c>
      <c r="Y6117">
        <v>0</v>
      </c>
      <c r="Z6117">
        <v>3</v>
      </c>
      <c r="AA6117">
        <v>147.69999999999999</v>
      </c>
      <c r="AB6117">
        <v>147.69999999999999</v>
      </c>
      <c r="AC6117">
        <v>129.96</v>
      </c>
      <c r="AD6117">
        <v>0</v>
      </c>
      <c r="AE6117">
        <v>17.739999999999998</v>
      </c>
      <c r="AF6117">
        <v>0</v>
      </c>
      <c r="AG6117">
        <v>0</v>
      </c>
      <c r="AH6117">
        <v>0</v>
      </c>
      <c r="AI6117">
        <v>26.59</v>
      </c>
      <c r="AJ6117">
        <v>147.69999999999999</v>
      </c>
      <c r="AK6117">
        <v>0</v>
      </c>
      <c r="AL6117" t="s">
        <v>53</v>
      </c>
      <c r="AM6117" t="s">
        <v>53</v>
      </c>
      <c r="AN6117" t="s">
        <v>53</v>
      </c>
      <c r="AO6117" t="s">
        <v>53</v>
      </c>
      <c r="AP6117" t="s">
        <v>53</v>
      </c>
    </row>
    <row r="6118" spans="2:42" x14ac:dyDescent="0.2">
      <c r="B6118" t="s">
        <v>44</v>
      </c>
      <c r="C6118" t="str">
        <f>HYPERLINK("https://us2.cloudbeds.com/connect/8493803454333002#/reservations/9080486846577301?display=2VD5QE4VQ2&amp;reservation_id=9080486846577301", "2VD5QE4VQ2")</f>
        <v>2VD5QE4VQ2</v>
      </c>
      <c r="D6118" t="s">
        <v>45</v>
      </c>
      <c r="E6118" t="s">
        <v>190</v>
      </c>
      <c r="F6118" t="s">
        <v>61</v>
      </c>
      <c r="G6118" t="s">
        <v>48</v>
      </c>
      <c r="H6118" t="s">
        <v>49</v>
      </c>
      <c r="I6118" t="s">
        <v>50</v>
      </c>
      <c r="J6118" t="s">
        <v>8686</v>
      </c>
      <c r="K6118" t="s">
        <v>5402</v>
      </c>
      <c r="L6118" t="s">
        <v>53</v>
      </c>
      <c r="N6118" t="s">
        <v>10961</v>
      </c>
      <c r="P6118" t="s">
        <v>55</v>
      </c>
      <c r="R6118" t="s">
        <v>53</v>
      </c>
      <c r="T6118" t="s">
        <v>10962</v>
      </c>
      <c r="U6118" t="s">
        <v>58</v>
      </c>
      <c r="V6118">
        <v>1</v>
      </c>
      <c r="W6118">
        <v>1</v>
      </c>
      <c r="X6118">
        <v>2</v>
      </c>
      <c r="Y6118">
        <v>0</v>
      </c>
      <c r="Z6118">
        <v>2</v>
      </c>
      <c r="AA6118">
        <v>207.7</v>
      </c>
      <c r="AB6118">
        <v>207.7</v>
      </c>
      <c r="AC6118">
        <v>182.75</v>
      </c>
      <c r="AD6118">
        <v>0</v>
      </c>
      <c r="AE6118">
        <v>24.95</v>
      </c>
      <c r="AF6118">
        <v>0</v>
      </c>
      <c r="AG6118">
        <v>0</v>
      </c>
      <c r="AH6118">
        <v>0</v>
      </c>
      <c r="AI6118">
        <v>37.39</v>
      </c>
      <c r="AJ6118">
        <v>207.7</v>
      </c>
      <c r="AK6118">
        <v>0</v>
      </c>
      <c r="AL6118" t="s">
        <v>53</v>
      </c>
      <c r="AM6118" t="s">
        <v>53</v>
      </c>
      <c r="AN6118" t="s">
        <v>53</v>
      </c>
      <c r="AO6118" t="s">
        <v>53</v>
      </c>
      <c r="AP6118" t="s">
        <v>53</v>
      </c>
    </row>
    <row r="6119" spans="2:42" x14ac:dyDescent="0.2">
      <c r="B6119" t="s">
        <v>44</v>
      </c>
      <c r="C6119" t="str">
        <f>HYPERLINK("https://us2.cloudbeds.com/connect/8493803454333002#/reservations/9080486846577341?display=2VD7RRCJKN&amp;reservation_id=9080486846577341", "2VD7RRCJKN")</f>
        <v>2VD7RRCJKN</v>
      </c>
      <c r="D6119" t="s">
        <v>45</v>
      </c>
      <c r="E6119" t="s">
        <v>373</v>
      </c>
      <c r="F6119" t="s">
        <v>47</v>
      </c>
      <c r="G6119" t="s">
        <v>48</v>
      </c>
      <c r="H6119" t="s">
        <v>49</v>
      </c>
      <c r="I6119" t="s">
        <v>50</v>
      </c>
      <c r="J6119" t="s">
        <v>8138</v>
      </c>
      <c r="K6119" t="s">
        <v>5904</v>
      </c>
      <c r="L6119" t="s">
        <v>53</v>
      </c>
      <c r="N6119" t="s">
        <v>10963</v>
      </c>
      <c r="P6119" t="s">
        <v>55</v>
      </c>
      <c r="R6119" t="s">
        <v>53</v>
      </c>
      <c r="T6119" t="s">
        <v>10964</v>
      </c>
      <c r="U6119" t="s">
        <v>58</v>
      </c>
      <c r="V6119">
        <v>1</v>
      </c>
      <c r="W6119">
        <v>1</v>
      </c>
      <c r="X6119">
        <v>1</v>
      </c>
      <c r="Y6119">
        <v>0</v>
      </c>
      <c r="Z6119">
        <v>1</v>
      </c>
      <c r="AA6119">
        <v>207.63</v>
      </c>
      <c r="AB6119">
        <v>207.63</v>
      </c>
      <c r="AC6119">
        <v>182.7</v>
      </c>
      <c r="AD6119">
        <v>0</v>
      </c>
      <c r="AE6119">
        <v>24.93</v>
      </c>
      <c r="AF6119">
        <v>0</v>
      </c>
      <c r="AG6119">
        <v>0</v>
      </c>
      <c r="AH6119">
        <v>0</v>
      </c>
      <c r="AI6119">
        <v>37.369999999999997</v>
      </c>
      <c r="AJ6119">
        <v>207.63</v>
      </c>
      <c r="AK6119">
        <v>0</v>
      </c>
      <c r="AL6119" t="s">
        <v>53</v>
      </c>
      <c r="AM6119" t="s">
        <v>53</v>
      </c>
      <c r="AN6119" t="s">
        <v>53</v>
      </c>
      <c r="AO6119" t="s">
        <v>53</v>
      </c>
      <c r="AP6119" t="s">
        <v>53</v>
      </c>
    </row>
    <row r="6120" spans="2:42" x14ac:dyDescent="0.2">
      <c r="B6120" t="s">
        <v>44</v>
      </c>
      <c r="C6120" t="str">
        <f>HYPERLINK("https://us2.cloudbeds.com/connect/8493803454333002#/reservations/9080486846578343?display=2VEYSU9XXP&amp;reservation_id=9080486846578343", "2VEYSU9XXP")</f>
        <v>2VEYSU9XXP</v>
      </c>
      <c r="D6120" t="s">
        <v>45</v>
      </c>
      <c r="E6120" t="s">
        <v>110</v>
      </c>
      <c r="F6120" t="s">
        <v>47</v>
      </c>
      <c r="G6120" t="s">
        <v>48</v>
      </c>
      <c r="H6120" t="s">
        <v>49</v>
      </c>
      <c r="I6120" t="s">
        <v>62</v>
      </c>
      <c r="J6120" t="s">
        <v>8313</v>
      </c>
      <c r="K6120" t="s">
        <v>8900</v>
      </c>
      <c r="L6120" t="s">
        <v>53</v>
      </c>
      <c r="N6120" t="s">
        <v>10965</v>
      </c>
      <c r="P6120" t="s">
        <v>55</v>
      </c>
      <c r="R6120" t="s">
        <v>56</v>
      </c>
      <c r="T6120" t="s">
        <v>10966</v>
      </c>
      <c r="U6120" t="s">
        <v>55</v>
      </c>
      <c r="V6120">
        <v>1</v>
      </c>
      <c r="W6120">
        <v>1</v>
      </c>
      <c r="X6120">
        <v>2</v>
      </c>
      <c r="Y6120">
        <v>0</v>
      </c>
      <c r="Z6120">
        <v>2</v>
      </c>
      <c r="AA6120">
        <v>154.85</v>
      </c>
      <c r="AB6120">
        <v>154.85</v>
      </c>
      <c r="AC6120">
        <v>154.85</v>
      </c>
      <c r="AD6120">
        <v>0</v>
      </c>
      <c r="AE6120">
        <v>0</v>
      </c>
      <c r="AF6120">
        <v>0</v>
      </c>
      <c r="AG6120">
        <v>0</v>
      </c>
      <c r="AH6120">
        <v>0</v>
      </c>
      <c r="AI6120">
        <v>27.87</v>
      </c>
      <c r="AJ6120">
        <v>154.85</v>
      </c>
      <c r="AK6120">
        <v>0</v>
      </c>
      <c r="AL6120" t="s">
        <v>53</v>
      </c>
      <c r="AM6120" t="s">
        <v>53</v>
      </c>
      <c r="AN6120" t="s">
        <v>53</v>
      </c>
      <c r="AO6120" t="s">
        <v>53</v>
      </c>
      <c r="AP6120" t="s">
        <v>53</v>
      </c>
    </row>
    <row r="6121" spans="2:42" x14ac:dyDescent="0.2">
      <c r="B6121" t="s">
        <v>44</v>
      </c>
      <c r="C6121" t="str">
        <f>HYPERLINK("https://us2.cloudbeds.com/connect/8493803454333002#/reservations/9080486846579909?display=2VH7SG5HZK&amp;reservation_id=9080486846579909", "2VH7SG5HZK")</f>
        <v>2VH7SG5HZK</v>
      </c>
      <c r="D6121" t="s">
        <v>45</v>
      </c>
      <c r="E6121" t="s">
        <v>185</v>
      </c>
      <c r="F6121" t="s">
        <v>47</v>
      </c>
      <c r="G6121" t="s">
        <v>48</v>
      </c>
      <c r="H6121" t="s">
        <v>49</v>
      </c>
      <c r="I6121" t="s">
        <v>50</v>
      </c>
      <c r="J6121" t="s">
        <v>6992</v>
      </c>
      <c r="K6121" t="s">
        <v>8686</v>
      </c>
      <c r="L6121" t="s">
        <v>53</v>
      </c>
      <c r="N6121" t="s">
        <v>10967</v>
      </c>
      <c r="P6121" t="s">
        <v>55</v>
      </c>
      <c r="R6121" t="s">
        <v>53</v>
      </c>
      <c r="T6121" t="s">
        <v>10968</v>
      </c>
      <c r="U6121" t="s">
        <v>58</v>
      </c>
      <c r="V6121">
        <v>2</v>
      </c>
      <c r="W6121">
        <v>1</v>
      </c>
      <c r="X6121">
        <v>2</v>
      </c>
      <c r="Y6121">
        <v>0</v>
      </c>
      <c r="Z6121">
        <v>2</v>
      </c>
      <c r="AA6121">
        <v>308.02999999999997</v>
      </c>
      <c r="AB6121">
        <v>308.02999999999997</v>
      </c>
      <c r="AC6121">
        <v>271.02999999999997</v>
      </c>
      <c r="AD6121">
        <v>0</v>
      </c>
      <c r="AE6121">
        <v>37</v>
      </c>
      <c r="AF6121">
        <v>0</v>
      </c>
      <c r="AG6121">
        <v>0</v>
      </c>
      <c r="AH6121">
        <v>0</v>
      </c>
      <c r="AI6121">
        <v>55.45</v>
      </c>
      <c r="AJ6121">
        <v>308.02999999999997</v>
      </c>
      <c r="AK6121">
        <v>0</v>
      </c>
      <c r="AL6121" t="s">
        <v>53</v>
      </c>
      <c r="AM6121" t="s">
        <v>53</v>
      </c>
      <c r="AN6121" t="s">
        <v>53</v>
      </c>
      <c r="AO6121" t="s">
        <v>53</v>
      </c>
      <c r="AP6121" t="s">
        <v>53</v>
      </c>
    </row>
    <row r="6122" spans="2:42" x14ac:dyDescent="0.2">
      <c r="B6122" t="s">
        <v>44</v>
      </c>
      <c r="C6122" t="str">
        <f>HYPERLINK("https://us2.cloudbeds.com/connect/8493803454333002#/reservations/9080486846579974?display=2VHAH3TDHD&amp;reservation_id=9080486846579974", "2VHAH3TDHD")</f>
        <v>2VHAH3TDHD</v>
      </c>
      <c r="D6122" t="s">
        <v>45</v>
      </c>
      <c r="E6122" t="s">
        <v>138</v>
      </c>
      <c r="F6122" t="s">
        <v>70</v>
      </c>
      <c r="G6122" t="s">
        <v>48</v>
      </c>
      <c r="H6122" t="s">
        <v>49</v>
      </c>
      <c r="I6122" t="s">
        <v>50</v>
      </c>
      <c r="J6122" t="s">
        <v>8799</v>
      </c>
      <c r="K6122" t="s">
        <v>8829</v>
      </c>
      <c r="L6122" t="s">
        <v>53</v>
      </c>
      <c r="N6122" t="s">
        <v>10969</v>
      </c>
      <c r="P6122" t="s">
        <v>55</v>
      </c>
      <c r="R6122" t="s">
        <v>53</v>
      </c>
      <c r="T6122" t="s">
        <v>10970</v>
      </c>
      <c r="U6122" t="s">
        <v>58</v>
      </c>
      <c r="V6122">
        <v>1</v>
      </c>
      <c r="W6122">
        <v>1</v>
      </c>
      <c r="X6122">
        <v>1</v>
      </c>
      <c r="Y6122">
        <v>0</v>
      </c>
      <c r="Z6122">
        <v>1</v>
      </c>
      <c r="AA6122">
        <v>123.66</v>
      </c>
      <c r="AB6122">
        <v>123.66</v>
      </c>
      <c r="AC6122">
        <v>108.8</v>
      </c>
      <c r="AD6122">
        <v>0</v>
      </c>
      <c r="AE6122">
        <v>14.86</v>
      </c>
      <c r="AF6122">
        <v>0</v>
      </c>
      <c r="AG6122">
        <v>0</v>
      </c>
      <c r="AH6122">
        <v>0</v>
      </c>
      <c r="AI6122">
        <v>22.26</v>
      </c>
      <c r="AJ6122">
        <v>123.66</v>
      </c>
      <c r="AK6122">
        <v>0</v>
      </c>
      <c r="AL6122" t="s">
        <v>53</v>
      </c>
      <c r="AM6122" t="s">
        <v>53</v>
      </c>
      <c r="AN6122" t="s">
        <v>53</v>
      </c>
      <c r="AO6122" t="s">
        <v>53</v>
      </c>
      <c r="AP6122" t="s">
        <v>53</v>
      </c>
    </row>
    <row r="6123" spans="2:42" x14ac:dyDescent="0.2">
      <c r="B6123" t="s">
        <v>44</v>
      </c>
      <c r="C6123" t="str">
        <f>HYPERLINK("https://us2.cloudbeds.com/connect/8493803454333002#/reservations/137172835647710?display=2VHKYTFD54&amp;reservation_id=137172835647710", "2VHKYTFD54")</f>
        <v>2VHKYTFD54</v>
      </c>
      <c r="D6123" t="s">
        <v>45</v>
      </c>
      <c r="E6123" t="s">
        <v>487</v>
      </c>
      <c r="F6123" t="s">
        <v>61</v>
      </c>
      <c r="G6123" t="s">
        <v>48</v>
      </c>
      <c r="H6123" t="s">
        <v>3957</v>
      </c>
      <c r="I6123" t="s">
        <v>3958</v>
      </c>
      <c r="J6123" t="s">
        <v>8900</v>
      </c>
      <c r="K6123" t="s">
        <v>8314</v>
      </c>
      <c r="L6123" t="s">
        <v>53</v>
      </c>
      <c r="P6123" t="s">
        <v>55</v>
      </c>
      <c r="R6123" t="s">
        <v>56</v>
      </c>
      <c r="T6123" t="s">
        <v>10971</v>
      </c>
      <c r="U6123" t="s">
        <v>58</v>
      </c>
      <c r="V6123">
        <v>1</v>
      </c>
      <c r="W6123">
        <v>1</v>
      </c>
      <c r="X6123">
        <v>1</v>
      </c>
      <c r="Y6123">
        <v>0</v>
      </c>
      <c r="Z6123">
        <v>1</v>
      </c>
      <c r="AA6123">
        <v>268.20999999999998</v>
      </c>
      <c r="AB6123">
        <v>275.26</v>
      </c>
      <c r="AC6123">
        <v>236</v>
      </c>
      <c r="AD6123">
        <v>6.5</v>
      </c>
      <c r="AE6123">
        <v>32.76</v>
      </c>
      <c r="AF6123">
        <v>0</v>
      </c>
      <c r="AG6123">
        <v>0</v>
      </c>
      <c r="AH6123">
        <v>0</v>
      </c>
      <c r="AI6123">
        <v>0</v>
      </c>
      <c r="AJ6123">
        <v>275.26</v>
      </c>
      <c r="AK6123">
        <v>0</v>
      </c>
      <c r="AL6123" t="s">
        <v>53</v>
      </c>
      <c r="AM6123" t="s">
        <v>53</v>
      </c>
      <c r="AN6123" t="s">
        <v>53</v>
      </c>
      <c r="AO6123" t="s">
        <v>53</v>
      </c>
      <c r="AP6123" t="s">
        <v>53</v>
      </c>
    </row>
    <row r="6124" spans="2:42" x14ac:dyDescent="0.2">
      <c r="B6124" t="s">
        <v>44</v>
      </c>
      <c r="C6124" t="str">
        <f>HYPERLINK("https://us2.cloudbeds.com/connect/8493803454333002#/reservations/9080486846580416?display=2VHSTGR1HZ&amp;reservation_id=9080486846580416", "2VHSTGR1HZ")</f>
        <v>2VHSTGR1HZ</v>
      </c>
      <c r="D6124" t="s">
        <v>45</v>
      </c>
      <c r="E6124" t="s">
        <v>406</v>
      </c>
      <c r="F6124" t="s">
        <v>61</v>
      </c>
      <c r="G6124" t="s">
        <v>48</v>
      </c>
      <c r="H6124" t="s">
        <v>49</v>
      </c>
      <c r="I6124" t="s">
        <v>62</v>
      </c>
      <c r="J6124" t="s">
        <v>8313</v>
      </c>
      <c r="K6124" t="s">
        <v>8314</v>
      </c>
      <c r="L6124" t="s">
        <v>53</v>
      </c>
      <c r="N6124" t="s">
        <v>10972</v>
      </c>
      <c r="P6124" t="s">
        <v>55</v>
      </c>
      <c r="R6124" t="s">
        <v>56</v>
      </c>
      <c r="T6124" t="s">
        <v>10973</v>
      </c>
      <c r="U6124" t="s">
        <v>55</v>
      </c>
      <c r="V6124">
        <v>2</v>
      </c>
      <c r="W6124">
        <v>1</v>
      </c>
      <c r="X6124">
        <v>1</v>
      </c>
      <c r="Y6124">
        <v>0</v>
      </c>
      <c r="Z6124">
        <v>1</v>
      </c>
      <c r="AA6124">
        <v>415</v>
      </c>
      <c r="AB6124">
        <v>419.34</v>
      </c>
      <c r="AC6124">
        <v>415</v>
      </c>
      <c r="AD6124">
        <v>4</v>
      </c>
      <c r="AE6124">
        <v>0.34</v>
      </c>
      <c r="AF6124">
        <v>0</v>
      </c>
      <c r="AG6124">
        <v>0</v>
      </c>
      <c r="AH6124">
        <v>0</v>
      </c>
      <c r="AI6124">
        <v>75.48</v>
      </c>
      <c r="AJ6124">
        <v>419.34</v>
      </c>
      <c r="AK6124">
        <v>0</v>
      </c>
      <c r="AL6124" t="s">
        <v>53</v>
      </c>
      <c r="AM6124" t="s">
        <v>53</v>
      </c>
      <c r="AN6124" t="s">
        <v>53</v>
      </c>
      <c r="AO6124" t="s">
        <v>53</v>
      </c>
      <c r="AP6124" t="s">
        <v>53</v>
      </c>
    </row>
    <row r="6125" spans="2:42" x14ac:dyDescent="0.2">
      <c r="B6125" t="s">
        <v>44</v>
      </c>
      <c r="C6125" t="str">
        <f>HYPERLINK("https://us2.cloudbeds.com/connect/8493803454333002#/reservations/9080486846580746?display=2VX5URCA26&amp;reservation_id=9080486846580746", "2VX5URCA26")</f>
        <v>2VX5URCA26</v>
      </c>
      <c r="D6125" t="s">
        <v>45</v>
      </c>
      <c r="E6125" t="s">
        <v>165</v>
      </c>
      <c r="F6125" t="s">
        <v>61</v>
      </c>
      <c r="G6125" t="s">
        <v>48</v>
      </c>
      <c r="H6125" t="s">
        <v>49</v>
      </c>
      <c r="I6125" t="s">
        <v>62</v>
      </c>
      <c r="J6125" t="s">
        <v>8829</v>
      </c>
      <c r="K6125" t="s">
        <v>8911</v>
      </c>
      <c r="L6125" t="s">
        <v>53</v>
      </c>
      <c r="N6125" t="s">
        <v>10974</v>
      </c>
      <c r="P6125" t="s">
        <v>55</v>
      </c>
      <c r="R6125" t="s">
        <v>56</v>
      </c>
      <c r="T6125" t="s">
        <v>10975</v>
      </c>
      <c r="U6125" t="s">
        <v>55</v>
      </c>
      <c r="V6125">
        <v>1</v>
      </c>
      <c r="W6125">
        <v>1</v>
      </c>
      <c r="X6125">
        <v>2</v>
      </c>
      <c r="Y6125">
        <v>0</v>
      </c>
      <c r="Z6125">
        <v>2</v>
      </c>
      <c r="AA6125">
        <v>152</v>
      </c>
      <c r="AB6125">
        <v>152</v>
      </c>
      <c r="AC6125">
        <v>152</v>
      </c>
      <c r="AD6125">
        <v>0</v>
      </c>
      <c r="AE6125">
        <v>0</v>
      </c>
      <c r="AF6125">
        <v>0</v>
      </c>
      <c r="AG6125">
        <v>0</v>
      </c>
      <c r="AH6125">
        <v>0</v>
      </c>
      <c r="AI6125">
        <v>27.36</v>
      </c>
      <c r="AJ6125">
        <v>152</v>
      </c>
      <c r="AK6125">
        <v>0</v>
      </c>
      <c r="AL6125" t="s">
        <v>53</v>
      </c>
      <c r="AM6125" t="s">
        <v>53</v>
      </c>
      <c r="AN6125" t="s">
        <v>10976</v>
      </c>
      <c r="AO6125" t="s">
        <v>53</v>
      </c>
      <c r="AP6125" t="s">
        <v>53</v>
      </c>
    </row>
    <row r="6126" spans="2:42" x14ac:dyDescent="0.2">
      <c r="B6126" t="s">
        <v>44</v>
      </c>
      <c r="C6126" t="str">
        <f>HYPERLINK("https://us2.cloudbeds.com/connect/8493803454333002#/reservations/9080486846581086?display=2VXGWJ84DJ&amp;reservation_id=9080486846581086", "2VXGWJ84DJ")</f>
        <v>2VXGWJ84DJ</v>
      </c>
      <c r="D6126" t="s">
        <v>45</v>
      </c>
      <c r="E6126" t="s">
        <v>305</v>
      </c>
      <c r="F6126" t="s">
        <v>61</v>
      </c>
      <c r="G6126" t="s">
        <v>48</v>
      </c>
      <c r="H6126" t="s">
        <v>49</v>
      </c>
      <c r="I6126" t="s">
        <v>50</v>
      </c>
      <c r="J6126" t="s">
        <v>8313</v>
      </c>
      <c r="K6126" t="s">
        <v>8314</v>
      </c>
      <c r="L6126" t="s">
        <v>53</v>
      </c>
      <c r="N6126" t="s">
        <v>10977</v>
      </c>
      <c r="P6126" t="s">
        <v>55</v>
      </c>
      <c r="R6126" t="s">
        <v>53</v>
      </c>
      <c r="T6126" t="s">
        <v>10978</v>
      </c>
      <c r="U6126" t="s">
        <v>58</v>
      </c>
      <c r="V6126">
        <v>2</v>
      </c>
      <c r="W6126">
        <v>1</v>
      </c>
      <c r="X6126">
        <v>2</v>
      </c>
      <c r="Y6126">
        <v>0</v>
      </c>
      <c r="Z6126">
        <v>2</v>
      </c>
      <c r="AA6126">
        <v>451.3</v>
      </c>
      <c r="AB6126">
        <v>451.3</v>
      </c>
      <c r="AC6126">
        <v>397.1</v>
      </c>
      <c r="AD6126">
        <v>0</v>
      </c>
      <c r="AE6126">
        <v>54.2</v>
      </c>
      <c r="AF6126">
        <v>0</v>
      </c>
      <c r="AG6126">
        <v>0</v>
      </c>
      <c r="AH6126">
        <v>0</v>
      </c>
      <c r="AI6126">
        <v>81.23</v>
      </c>
      <c r="AJ6126">
        <v>451.3</v>
      </c>
      <c r="AK6126">
        <v>0</v>
      </c>
      <c r="AL6126" t="s">
        <v>53</v>
      </c>
      <c r="AM6126" t="s">
        <v>53</v>
      </c>
      <c r="AN6126" t="s">
        <v>53</v>
      </c>
      <c r="AO6126" t="s">
        <v>53</v>
      </c>
      <c r="AP6126" t="s">
        <v>53</v>
      </c>
    </row>
    <row r="6127" spans="2:42" x14ac:dyDescent="0.2">
      <c r="B6127" t="s">
        <v>44</v>
      </c>
      <c r="C6127" t="str">
        <f>HYPERLINK("https://us2.cloudbeds.com/connect/8493803454333002#/reservations/9080486846581991?display=2VJA49V4RB&amp;reservation_id=9080486846581991", "2VJA49V4RB")</f>
        <v>2VJA49V4RB</v>
      </c>
      <c r="D6127" t="s">
        <v>45</v>
      </c>
      <c r="E6127" t="s">
        <v>487</v>
      </c>
      <c r="F6127" t="s">
        <v>61</v>
      </c>
      <c r="G6127" t="s">
        <v>48</v>
      </c>
      <c r="H6127" t="s">
        <v>49</v>
      </c>
      <c r="I6127" t="s">
        <v>62</v>
      </c>
      <c r="J6127" t="s">
        <v>8313</v>
      </c>
      <c r="K6127" t="s">
        <v>8900</v>
      </c>
      <c r="L6127" t="s">
        <v>53</v>
      </c>
      <c r="N6127" t="s">
        <v>10979</v>
      </c>
      <c r="P6127" t="s">
        <v>55</v>
      </c>
      <c r="R6127" t="s">
        <v>56</v>
      </c>
      <c r="T6127" t="s">
        <v>10980</v>
      </c>
      <c r="U6127" t="s">
        <v>55</v>
      </c>
      <c r="V6127">
        <v>1</v>
      </c>
      <c r="W6127">
        <v>1</v>
      </c>
      <c r="X6127">
        <v>2</v>
      </c>
      <c r="Y6127">
        <v>0</v>
      </c>
      <c r="Z6127">
        <v>2</v>
      </c>
      <c r="AA6127">
        <v>179</v>
      </c>
      <c r="AB6127">
        <v>179</v>
      </c>
      <c r="AC6127">
        <v>179</v>
      </c>
      <c r="AD6127">
        <v>0</v>
      </c>
      <c r="AE6127">
        <v>0</v>
      </c>
      <c r="AF6127">
        <v>0</v>
      </c>
      <c r="AG6127">
        <v>0</v>
      </c>
      <c r="AH6127">
        <v>0</v>
      </c>
      <c r="AI6127">
        <v>32.22</v>
      </c>
      <c r="AJ6127">
        <v>179</v>
      </c>
      <c r="AK6127">
        <v>0</v>
      </c>
      <c r="AL6127" t="s">
        <v>53</v>
      </c>
      <c r="AM6127" t="s">
        <v>53</v>
      </c>
      <c r="AN6127" t="s">
        <v>53</v>
      </c>
      <c r="AO6127" t="s">
        <v>53</v>
      </c>
      <c r="AP6127" t="s">
        <v>53</v>
      </c>
    </row>
    <row r="6128" spans="2:42" x14ac:dyDescent="0.2">
      <c r="B6128" t="s">
        <v>44</v>
      </c>
      <c r="C6128" t="str">
        <f>HYPERLINK("https://us2.cloudbeds.com/connect/8493803454333002#/reservations/9080486846582477?display=2VJRVFEUHQ&amp;reservation_id=9080486846582477", "2VJRVFEUHQ")</f>
        <v>2VJRVFEUHQ</v>
      </c>
      <c r="D6128" t="s">
        <v>45</v>
      </c>
      <c r="E6128" t="s">
        <v>69</v>
      </c>
      <c r="F6128" t="s">
        <v>70</v>
      </c>
      <c r="G6128" t="s">
        <v>48</v>
      </c>
      <c r="H6128" t="s">
        <v>49</v>
      </c>
      <c r="I6128" t="s">
        <v>50</v>
      </c>
      <c r="J6128" t="s">
        <v>8911</v>
      </c>
      <c r="K6128" t="s">
        <v>9135</v>
      </c>
      <c r="L6128" t="s">
        <v>53</v>
      </c>
      <c r="N6128" t="s">
        <v>10981</v>
      </c>
      <c r="P6128" t="s">
        <v>55</v>
      </c>
      <c r="R6128" t="s">
        <v>53</v>
      </c>
      <c r="T6128" t="s">
        <v>10982</v>
      </c>
      <c r="U6128" t="s">
        <v>58</v>
      </c>
      <c r="V6128">
        <v>1</v>
      </c>
      <c r="W6128">
        <v>1</v>
      </c>
      <c r="X6128">
        <v>2</v>
      </c>
      <c r="Y6128">
        <v>0</v>
      </c>
      <c r="Z6128">
        <v>2</v>
      </c>
      <c r="AA6128">
        <v>122.74</v>
      </c>
      <c r="AB6128">
        <v>122.74</v>
      </c>
      <c r="AC6128">
        <v>108</v>
      </c>
      <c r="AD6128">
        <v>0</v>
      </c>
      <c r="AE6128">
        <v>14.74</v>
      </c>
      <c r="AF6128">
        <v>0</v>
      </c>
      <c r="AG6128">
        <v>0</v>
      </c>
      <c r="AH6128">
        <v>0</v>
      </c>
      <c r="AI6128">
        <v>22.09</v>
      </c>
      <c r="AJ6128">
        <v>122.74</v>
      </c>
      <c r="AK6128">
        <v>0</v>
      </c>
      <c r="AL6128" t="s">
        <v>53</v>
      </c>
      <c r="AM6128" t="s">
        <v>53</v>
      </c>
      <c r="AN6128" t="s">
        <v>53</v>
      </c>
      <c r="AO6128" t="s">
        <v>53</v>
      </c>
      <c r="AP6128" t="s">
        <v>53</v>
      </c>
    </row>
    <row r="6129" spans="2:42" x14ac:dyDescent="0.2">
      <c r="B6129" t="s">
        <v>44</v>
      </c>
      <c r="C6129" t="str">
        <f>HYPERLINK("https://us2.cloudbeds.com/connect/8493803454333002#/reservations/9080486846582550?display=2VJUR2BUGG&amp;reservation_id=9080486846582550", "2VJUR2BUGG")</f>
        <v>2VJUR2BUGG</v>
      </c>
      <c r="D6129" t="s">
        <v>45</v>
      </c>
      <c r="E6129" t="s">
        <v>78</v>
      </c>
      <c r="F6129" t="s">
        <v>61</v>
      </c>
      <c r="G6129" t="s">
        <v>48</v>
      </c>
      <c r="H6129" t="s">
        <v>49</v>
      </c>
      <c r="I6129" t="s">
        <v>50</v>
      </c>
      <c r="J6129" t="s">
        <v>9688</v>
      </c>
      <c r="K6129" t="s">
        <v>8616</v>
      </c>
      <c r="L6129" t="s">
        <v>53</v>
      </c>
      <c r="N6129" t="s">
        <v>10983</v>
      </c>
      <c r="P6129" t="s">
        <v>55</v>
      </c>
      <c r="R6129" t="s">
        <v>53</v>
      </c>
      <c r="T6129" t="s">
        <v>10984</v>
      </c>
      <c r="U6129" t="s">
        <v>58</v>
      </c>
      <c r="V6129">
        <v>5</v>
      </c>
      <c r="W6129">
        <v>1</v>
      </c>
      <c r="X6129">
        <v>1</v>
      </c>
      <c r="Y6129">
        <v>0</v>
      </c>
      <c r="Z6129">
        <v>1</v>
      </c>
      <c r="AA6129">
        <v>1045.3599999999999</v>
      </c>
      <c r="AB6129">
        <v>1045.3599999999999</v>
      </c>
      <c r="AC6129">
        <v>919.8</v>
      </c>
      <c r="AD6129">
        <v>0</v>
      </c>
      <c r="AE6129">
        <v>125.56</v>
      </c>
      <c r="AF6129">
        <v>0</v>
      </c>
      <c r="AG6129">
        <v>0</v>
      </c>
      <c r="AH6129">
        <v>0</v>
      </c>
      <c r="AI6129">
        <v>188.16</v>
      </c>
      <c r="AJ6129">
        <v>1045.3599999999999</v>
      </c>
      <c r="AK6129">
        <v>200.48</v>
      </c>
      <c r="AL6129" t="s">
        <v>53</v>
      </c>
      <c r="AM6129" t="s">
        <v>53</v>
      </c>
      <c r="AN6129" t="s">
        <v>10985</v>
      </c>
      <c r="AO6129" t="s">
        <v>53</v>
      </c>
      <c r="AP6129" t="s">
        <v>53</v>
      </c>
    </row>
    <row r="6130" spans="2:42" x14ac:dyDescent="0.2">
      <c r="B6130" t="s">
        <v>44</v>
      </c>
      <c r="C6130" t="str">
        <f>HYPERLINK("https://us2.cloudbeds.com/connect/8493803454333002#/reservations/9080486846583416?display=2VY0BNDVDG&amp;reservation_id=9080486846583416", "2VY0BNDVDG")</f>
        <v>2VY0BNDVDG</v>
      </c>
      <c r="D6130" t="s">
        <v>45</v>
      </c>
      <c r="E6130" t="s">
        <v>105</v>
      </c>
      <c r="F6130" t="s">
        <v>47</v>
      </c>
      <c r="G6130" t="s">
        <v>48</v>
      </c>
      <c r="H6130" t="s">
        <v>49</v>
      </c>
      <c r="I6130" t="s">
        <v>50</v>
      </c>
      <c r="J6130" t="s">
        <v>8138</v>
      </c>
      <c r="K6130" t="s">
        <v>5904</v>
      </c>
      <c r="L6130" t="s">
        <v>53</v>
      </c>
      <c r="N6130" t="s">
        <v>10986</v>
      </c>
      <c r="P6130" t="s">
        <v>55</v>
      </c>
      <c r="R6130" t="s">
        <v>53</v>
      </c>
      <c r="T6130" t="s">
        <v>10987</v>
      </c>
      <c r="U6130" t="s">
        <v>58</v>
      </c>
      <c r="V6130">
        <v>1</v>
      </c>
      <c r="W6130">
        <v>1</v>
      </c>
      <c r="X6130">
        <v>2</v>
      </c>
      <c r="Y6130">
        <v>0</v>
      </c>
      <c r="Z6130">
        <v>2</v>
      </c>
      <c r="AA6130">
        <v>199.45</v>
      </c>
      <c r="AB6130">
        <v>199.45</v>
      </c>
      <c r="AC6130">
        <v>175.5</v>
      </c>
      <c r="AD6130">
        <v>0</v>
      </c>
      <c r="AE6130">
        <v>23.95</v>
      </c>
      <c r="AF6130">
        <v>0</v>
      </c>
      <c r="AG6130">
        <v>0</v>
      </c>
      <c r="AH6130">
        <v>0</v>
      </c>
      <c r="AI6130">
        <v>35.9</v>
      </c>
      <c r="AJ6130">
        <v>199.45</v>
      </c>
      <c r="AK6130">
        <v>0</v>
      </c>
      <c r="AL6130" t="s">
        <v>53</v>
      </c>
      <c r="AM6130" t="s">
        <v>53</v>
      </c>
      <c r="AN6130" t="s">
        <v>53</v>
      </c>
      <c r="AO6130" t="s">
        <v>53</v>
      </c>
      <c r="AP6130" t="s">
        <v>53</v>
      </c>
    </row>
    <row r="6131" spans="2:42" x14ac:dyDescent="0.2">
      <c r="B6131" t="s">
        <v>44</v>
      </c>
      <c r="C6131" t="str">
        <f>HYPERLINK("https://us2.cloudbeds.com/connect/8493803454333002#/reservations/137333127975113?display=2VYCPZ6MWP&amp;reservation_id=137333127975113", "2VYCPZ6MWP")</f>
        <v>2VYCPZ6MWP</v>
      </c>
      <c r="D6131" t="s">
        <v>45</v>
      </c>
      <c r="E6131" t="s">
        <v>165</v>
      </c>
      <c r="F6131" t="s">
        <v>61</v>
      </c>
      <c r="G6131" t="s">
        <v>48</v>
      </c>
      <c r="H6131" t="s">
        <v>3957</v>
      </c>
      <c r="I6131" t="s">
        <v>3975</v>
      </c>
      <c r="J6131" t="s">
        <v>8670</v>
      </c>
      <c r="K6131" t="s">
        <v>7989</v>
      </c>
      <c r="L6131" t="s">
        <v>53</v>
      </c>
      <c r="P6131" t="s">
        <v>55</v>
      </c>
      <c r="R6131" t="s">
        <v>56</v>
      </c>
      <c r="T6131" t="s">
        <v>10988</v>
      </c>
      <c r="U6131" t="s">
        <v>58</v>
      </c>
      <c r="V6131">
        <v>1</v>
      </c>
      <c r="W6131">
        <v>1</v>
      </c>
      <c r="X6131">
        <v>2</v>
      </c>
      <c r="Y6131">
        <v>0</v>
      </c>
      <c r="Z6131">
        <v>2</v>
      </c>
      <c r="AA6131">
        <v>426.2</v>
      </c>
      <c r="AB6131">
        <v>426.2</v>
      </c>
      <c r="AC6131">
        <v>375</v>
      </c>
      <c r="AD6131">
        <v>0</v>
      </c>
      <c r="AE6131">
        <v>51.2</v>
      </c>
      <c r="AF6131">
        <v>0</v>
      </c>
      <c r="AG6131">
        <v>0</v>
      </c>
      <c r="AH6131">
        <v>0</v>
      </c>
      <c r="AI6131">
        <v>0</v>
      </c>
      <c r="AJ6131">
        <v>426.2</v>
      </c>
      <c r="AK6131">
        <v>0</v>
      </c>
      <c r="AL6131" t="s">
        <v>53</v>
      </c>
      <c r="AM6131" t="s">
        <v>53</v>
      </c>
      <c r="AN6131" t="s">
        <v>53</v>
      </c>
      <c r="AO6131" t="s">
        <v>53</v>
      </c>
      <c r="AP6131" t="s">
        <v>53</v>
      </c>
    </row>
    <row r="6132" spans="2:42" x14ac:dyDescent="0.2">
      <c r="B6132" t="s">
        <v>44</v>
      </c>
      <c r="C6132" t="str">
        <f>HYPERLINK("https://us2.cloudbeds.com/connect/8493803454333002#/reservations/137355481297078?display=2VYU2U3REY&amp;reservation_id=137355481297078", "2VYU2U3REY")</f>
        <v>2VYU2U3REY</v>
      </c>
      <c r="D6132" t="s">
        <v>45</v>
      </c>
      <c r="E6132" t="s">
        <v>78</v>
      </c>
      <c r="F6132" t="s">
        <v>61</v>
      </c>
      <c r="G6132" t="s">
        <v>48</v>
      </c>
      <c r="H6132" t="s">
        <v>3957</v>
      </c>
      <c r="I6132" t="s">
        <v>3975</v>
      </c>
      <c r="J6132" t="s">
        <v>8670</v>
      </c>
      <c r="K6132" t="s">
        <v>7989</v>
      </c>
      <c r="L6132" t="s">
        <v>53</v>
      </c>
      <c r="P6132" t="s">
        <v>55</v>
      </c>
      <c r="R6132" t="s">
        <v>56</v>
      </c>
      <c r="T6132" t="s">
        <v>10989</v>
      </c>
      <c r="U6132" t="s">
        <v>58</v>
      </c>
      <c r="V6132">
        <v>1</v>
      </c>
      <c r="W6132">
        <v>1</v>
      </c>
      <c r="X6132">
        <v>2</v>
      </c>
      <c r="Y6132">
        <v>0</v>
      </c>
      <c r="Z6132">
        <v>2</v>
      </c>
      <c r="AA6132">
        <v>426.2</v>
      </c>
      <c r="AB6132">
        <v>426.2</v>
      </c>
      <c r="AC6132">
        <v>375</v>
      </c>
      <c r="AD6132">
        <v>0</v>
      </c>
      <c r="AE6132">
        <v>51.2</v>
      </c>
      <c r="AF6132">
        <v>0</v>
      </c>
      <c r="AG6132">
        <v>0</v>
      </c>
      <c r="AH6132">
        <v>0</v>
      </c>
      <c r="AI6132">
        <v>0</v>
      </c>
      <c r="AJ6132">
        <v>426.2</v>
      </c>
      <c r="AK6132">
        <v>0</v>
      </c>
      <c r="AL6132" t="s">
        <v>53</v>
      </c>
      <c r="AM6132" t="s">
        <v>53</v>
      </c>
      <c r="AN6132" t="s">
        <v>53</v>
      </c>
      <c r="AO6132" t="s">
        <v>53</v>
      </c>
      <c r="AP6132" t="s">
        <v>53</v>
      </c>
    </row>
    <row r="6133" spans="2:42" x14ac:dyDescent="0.2">
      <c r="B6133" t="s">
        <v>44</v>
      </c>
      <c r="C6133" t="str">
        <f>HYPERLINK("https://us2.cloudbeds.com/connect/8493803454333002#/reservations/137364956549333?display=2VM4E0TMSS&amp;reservation_id=137364956549333", "2VM4E0TMSS")</f>
        <v>2VM4E0TMSS</v>
      </c>
      <c r="D6133" t="s">
        <v>45</v>
      </c>
      <c r="E6133" t="s">
        <v>305</v>
      </c>
      <c r="F6133" t="s">
        <v>61</v>
      </c>
      <c r="G6133" t="s">
        <v>48</v>
      </c>
      <c r="H6133" t="s">
        <v>3957</v>
      </c>
      <c r="I6133" t="s">
        <v>3958</v>
      </c>
      <c r="J6133" t="s">
        <v>8670</v>
      </c>
      <c r="K6133" t="s">
        <v>7989</v>
      </c>
      <c r="L6133" t="s">
        <v>53</v>
      </c>
      <c r="P6133" t="s">
        <v>55</v>
      </c>
      <c r="R6133" t="s">
        <v>56</v>
      </c>
      <c r="T6133" t="s">
        <v>10990</v>
      </c>
      <c r="U6133" t="s">
        <v>58</v>
      </c>
      <c r="V6133">
        <v>1</v>
      </c>
      <c r="W6133">
        <v>1</v>
      </c>
      <c r="X6133">
        <v>1</v>
      </c>
      <c r="Y6133">
        <v>0</v>
      </c>
      <c r="Z6133">
        <v>1</v>
      </c>
      <c r="AA6133">
        <v>426.2</v>
      </c>
      <c r="AB6133">
        <v>426.2</v>
      </c>
      <c r="AC6133">
        <v>375</v>
      </c>
      <c r="AD6133">
        <v>0</v>
      </c>
      <c r="AE6133">
        <v>51.2</v>
      </c>
      <c r="AF6133">
        <v>0</v>
      </c>
      <c r="AG6133">
        <v>0</v>
      </c>
      <c r="AH6133">
        <v>0</v>
      </c>
      <c r="AI6133">
        <v>0</v>
      </c>
      <c r="AJ6133">
        <v>426.2</v>
      </c>
      <c r="AK6133">
        <v>0</v>
      </c>
      <c r="AL6133" t="s">
        <v>53</v>
      </c>
      <c r="AM6133" t="s">
        <v>53</v>
      </c>
      <c r="AN6133" t="s">
        <v>53</v>
      </c>
      <c r="AO6133" t="s">
        <v>53</v>
      </c>
      <c r="AP6133" t="s">
        <v>53</v>
      </c>
    </row>
    <row r="6134" spans="2:42" x14ac:dyDescent="0.2">
      <c r="B6134" t="s">
        <v>44</v>
      </c>
      <c r="C6134" t="str">
        <f>HYPERLINK("https://us2.cloudbeds.com/connect/8493803454333002#/reservations/137365475696826?display=2VM4R9YZB2&amp;reservation_id=137365475696826", "2VM4R9YZB2")</f>
        <v>2VM4R9YZB2</v>
      </c>
      <c r="D6134" t="s">
        <v>45</v>
      </c>
      <c r="E6134" t="s">
        <v>121</v>
      </c>
      <c r="F6134" t="s">
        <v>86</v>
      </c>
      <c r="G6134" t="s">
        <v>48</v>
      </c>
      <c r="H6134" t="s">
        <v>3957</v>
      </c>
      <c r="I6134" t="s">
        <v>3975</v>
      </c>
      <c r="J6134" t="s">
        <v>8313</v>
      </c>
      <c r="K6134" t="s">
        <v>8900</v>
      </c>
      <c r="L6134" t="s">
        <v>53</v>
      </c>
      <c r="P6134" t="s">
        <v>55</v>
      </c>
      <c r="R6134" t="s">
        <v>56</v>
      </c>
      <c r="T6134" t="s">
        <v>10991</v>
      </c>
      <c r="U6134" t="s">
        <v>58</v>
      </c>
      <c r="V6134">
        <v>1</v>
      </c>
      <c r="W6134">
        <v>1</v>
      </c>
      <c r="X6134">
        <v>2</v>
      </c>
      <c r="Y6134">
        <v>0</v>
      </c>
      <c r="Z6134">
        <v>2</v>
      </c>
      <c r="AA6134">
        <v>259.12</v>
      </c>
      <c r="AB6134">
        <v>259.12</v>
      </c>
      <c r="AC6134">
        <v>228</v>
      </c>
      <c r="AD6134">
        <v>0</v>
      </c>
      <c r="AE6134">
        <v>31.12</v>
      </c>
      <c r="AF6134">
        <v>0</v>
      </c>
      <c r="AG6134">
        <v>0</v>
      </c>
      <c r="AH6134">
        <v>0</v>
      </c>
      <c r="AI6134">
        <v>0</v>
      </c>
      <c r="AJ6134">
        <v>259.12</v>
      </c>
      <c r="AK6134">
        <v>0</v>
      </c>
      <c r="AL6134" t="s">
        <v>53</v>
      </c>
      <c r="AM6134" t="s">
        <v>53</v>
      </c>
      <c r="AN6134" t="s">
        <v>10992</v>
      </c>
      <c r="AO6134" t="s">
        <v>53</v>
      </c>
      <c r="AP6134" t="s">
        <v>53</v>
      </c>
    </row>
    <row r="6135" spans="2:42" x14ac:dyDescent="0.2">
      <c r="B6135" t="s">
        <v>44</v>
      </c>
      <c r="C6135" t="str">
        <f>HYPERLINK("https://us2.cloudbeds.com/connect/8493803454333002#/reservations/9080486846584629?display=2VN38A5BFM&amp;reservation_id=9080486846584629", "2VN38A5BFM")</f>
        <v>2VN38A5BFM</v>
      </c>
      <c r="D6135" t="s">
        <v>45</v>
      </c>
      <c r="E6135" t="s">
        <v>78</v>
      </c>
      <c r="F6135" t="s">
        <v>61</v>
      </c>
      <c r="G6135" t="s">
        <v>48</v>
      </c>
      <c r="H6135" t="s">
        <v>49</v>
      </c>
      <c r="I6135" t="s">
        <v>62</v>
      </c>
      <c r="J6135" t="s">
        <v>8900</v>
      </c>
      <c r="K6135" t="s">
        <v>5507</v>
      </c>
      <c r="L6135" t="s">
        <v>53</v>
      </c>
      <c r="N6135" t="s">
        <v>10993</v>
      </c>
      <c r="P6135" t="s">
        <v>55</v>
      </c>
      <c r="R6135" t="s">
        <v>56</v>
      </c>
      <c r="T6135" t="s">
        <v>10994</v>
      </c>
      <c r="U6135" t="s">
        <v>55</v>
      </c>
      <c r="V6135">
        <v>2</v>
      </c>
      <c r="W6135">
        <v>1</v>
      </c>
      <c r="X6135">
        <v>2</v>
      </c>
      <c r="Y6135">
        <v>0</v>
      </c>
      <c r="Z6135">
        <v>2</v>
      </c>
      <c r="AA6135">
        <v>507.3</v>
      </c>
      <c r="AB6135">
        <v>507.3</v>
      </c>
      <c r="AC6135">
        <v>507.3</v>
      </c>
      <c r="AD6135">
        <v>0</v>
      </c>
      <c r="AE6135">
        <v>0</v>
      </c>
      <c r="AF6135">
        <v>0</v>
      </c>
      <c r="AG6135">
        <v>0</v>
      </c>
      <c r="AH6135">
        <v>0</v>
      </c>
      <c r="AI6135">
        <v>91.31</v>
      </c>
      <c r="AJ6135">
        <v>507.3</v>
      </c>
      <c r="AK6135">
        <v>0</v>
      </c>
      <c r="AL6135" t="s">
        <v>53</v>
      </c>
      <c r="AM6135" t="s">
        <v>53</v>
      </c>
      <c r="AN6135" t="s">
        <v>53</v>
      </c>
      <c r="AO6135" t="s">
        <v>53</v>
      </c>
      <c r="AP6135" t="s">
        <v>53</v>
      </c>
    </row>
    <row r="6136" spans="2:42" x14ac:dyDescent="0.2">
      <c r="B6136" t="s">
        <v>44</v>
      </c>
      <c r="C6136" t="str">
        <f>HYPERLINK("https://us2.cloudbeds.com/connect/8493803454333002#/reservations/9080486846584687?display=2VN6EN5D8R&amp;reservation_id=9080486846584687", "2VN6EN5D8R")</f>
        <v>2VN6EN5D8R</v>
      </c>
      <c r="D6136" t="s">
        <v>45</v>
      </c>
      <c r="E6136" t="s">
        <v>265</v>
      </c>
      <c r="F6136" t="s">
        <v>61</v>
      </c>
      <c r="G6136" t="s">
        <v>48</v>
      </c>
      <c r="H6136" t="s">
        <v>49</v>
      </c>
      <c r="I6136" t="s">
        <v>50</v>
      </c>
      <c r="J6136" t="s">
        <v>8313</v>
      </c>
      <c r="K6136" t="s">
        <v>8314</v>
      </c>
      <c r="L6136" t="s">
        <v>53</v>
      </c>
      <c r="N6136" t="s">
        <v>10995</v>
      </c>
      <c r="P6136" t="s">
        <v>55</v>
      </c>
      <c r="R6136" t="s">
        <v>53</v>
      </c>
      <c r="T6136" t="s">
        <v>10996</v>
      </c>
      <c r="U6136" t="s">
        <v>58</v>
      </c>
      <c r="V6136">
        <v>2</v>
      </c>
      <c r="W6136">
        <v>1</v>
      </c>
      <c r="X6136">
        <v>2</v>
      </c>
      <c r="Y6136">
        <v>0</v>
      </c>
      <c r="Z6136">
        <v>2</v>
      </c>
      <c r="AA6136">
        <v>538.53</v>
      </c>
      <c r="AB6136">
        <v>538.53</v>
      </c>
      <c r="AC6136">
        <v>473.85</v>
      </c>
      <c r="AD6136">
        <v>0</v>
      </c>
      <c r="AE6136">
        <v>64.680000000000007</v>
      </c>
      <c r="AF6136">
        <v>0</v>
      </c>
      <c r="AG6136">
        <v>0</v>
      </c>
      <c r="AH6136">
        <v>0</v>
      </c>
      <c r="AI6136">
        <v>96.94</v>
      </c>
      <c r="AJ6136">
        <v>538.53</v>
      </c>
      <c r="AK6136">
        <v>0</v>
      </c>
      <c r="AL6136" t="s">
        <v>53</v>
      </c>
      <c r="AM6136" t="s">
        <v>53</v>
      </c>
      <c r="AN6136" t="s">
        <v>53</v>
      </c>
      <c r="AO6136" t="s">
        <v>53</v>
      </c>
      <c r="AP6136" t="s">
        <v>53</v>
      </c>
    </row>
    <row r="6137" spans="2:42" x14ac:dyDescent="0.2">
      <c r="B6137" t="s">
        <v>44</v>
      </c>
      <c r="C6137" t="str">
        <f>HYPERLINK("https://us2.cloudbeds.com/connect/8493803454333002#/reservations/137528834445548?display=2VPWAG2Z1S&amp;reservation_id=137528834445548", "2VPWAG2Z1S")</f>
        <v>2VPWAG2Z1S</v>
      </c>
      <c r="D6137" t="s">
        <v>45</v>
      </c>
      <c r="E6137" t="s">
        <v>78</v>
      </c>
      <c r="F6137" t="s">
        <v>61</v>
      </c>
      <c r="G6137" t="s">
        <v>48</v>
      </c>
      <c r="H6137" t="s">
        <v>3957</v>
      </c>
      <c r="I6137" t="s">
        <v>3975</v>
      </c>
      <c r="J6137" t="s">
        <v>8829</v>
      </c>
      <c r="K6137" t="s">
        <v>8911</v>
      </c>
      <c r="L6137" t="s">
        <v>53</v>
      </c>
      <c r="P6137" t="s">
        <v>55</v>
      </c>
      <c r="R6137" t="s">
        <v>56</v>
      </c>
      <c r="T6137" t="s">
        <v>10997</v>
      </c>
      <c r="U6137" t="s">
        <v>58</v>
      </c>
      <c r="V6137">
        <v>1</v>
      </c>
      <c r="W6137">
        <v>1</v>
      </c>
      <c r="X6137">
        <v>2</v>
      </c>
      <c r="Y6137">
        <v>0</v>
      </c>
      <c r="Z6137">
        <v>2</v>
      </c>
      <c r="AA6137">
        <v>176.17</v>
      </c>
      <c r="AB6137">
        <v>176.17</v>
      </c>
      <c r="AC6137">
        <v>155</v>
      </c>
      <c r="AD6137">
        <v>0</v>
      </c>
      <c r="AE6137">
        <v>21.17</v>
      </c>
      <c r="AF6137">
        <v>0</v>
      </c>
      <c r="AG6137">
        <v>0</v>
      </c>
      <c r="AH6137">
        <v>0</v>
      </c>
      <c r="AI6137">
        <v>0</v>
      </c>
      <c r="AJ6137">
        <v>176.17</v>
      </c>
      <c r="AK6137">
        <v>0</v>
      </c>
      <c r="AL6137" t="s">
        <v>53</v>
      </c>
      <c r="AM6137" t="s">
        <v>53</v>
      </c>
      <c r="AN6137" t="s">
        <v>53</v>
      </c>
      <c r="AO6137" t="s">
        <v>53</v>
      </c>
      <c r="AP6137" t="s">
        <v>53</v>
      </c>
    </row>
    <row r="6138" spans="2:42" x14ac:dyDescent="0.2">
      <c r="B6138" t="s">
        <v>44</v>
      </c>
      <c r="C6138" t="str">
        <f>HYPERLINK("https://us2.cloudbeds.com/connect/8493803454333002#/reservations/9080486846586766?display=2VQYAG4JV4&amp;reservation_id=9080486846586766", "2VQYAG4JV4")</f>
        <v>2VQYAG4JV4</v>
      </c>
      <c r="D6138" t="s">
        <v>45</v>
      </c>
      <c r="E6138" t="s">
        <v>223</v>
      </c>
      <c r="F6138" t="s">
        <v>47</v>
      </c>
      <c r="G6138" t="s">
        <v>48</v>
      </c>
      <c r="H6138" t="s">
        <v>49</v>
      </c>
      <c r="I6138" t="s">
        <v>50</v>
      </c>
      <c r="J6138" t="s">
        <v>9610</v>
      </c>
      <c r="K6138" t="s">
        <v>9620</v>
      </c>
      <c r="L6138" t="s">
        <v>53</v>
      </c>
      <c r="N6138" t="s">
        <v>10998</v>
      </c>
      <c r="P6138" t="s">
        <v>55</v>
      </c>
      <c r="R6138" t="s">
        <v>53</v>
      </c>
      <c r="T6138" t="s">
        <v>10999</v>
      </c>
      <c r="U6138" t="s">
        <v>58</v>
      </c>
      <c r="V6138">
        <v>2</v>
      </c>
      <c r="W6138">
        <v>1</v>
      </c>
      <c r="X6138">
        <v>2</v>
      </c>
      <c r="Y6138">
        <v>0</v>
      </c>
      <c r="Z6138">
        <v>2</v>
      </c>
      <c r="AA6138">
        <v>289.57</v>
      </c>
      <c r="AB6138">
        <v>289.57</v>
      </c>
      <c r="AC6138">
        <v>254.79</v>
      </c>
      <c r="AD6138">
        <v>0</v>
      </c>
      <c r="AE6138">
        <v>34.78</v>
      </c>
      <c r="AF6138">
        <v>0</v>
      </c>
      <c r="AG6138">
        <v>0</v>
      </c>
      <c r="AH6138">
        <v>0</v>
      </c>
      <c r="AI6138">
        <v>52.12</v>
      </c>
      <c r="AJ6138">
        <v>289.57</v>
      </c>
      <c r="AK6138">
        <v>0</v>
      </c>
      <c r="AL6138" t="s">
        <v>53</v>
      </c>
      <c r="AM6138" t="s">
        <v>53</v>
      </c>
      <c r="AN6138" t="s">
        <v>53</v>
      </c>
      <c r="AO6138" t="s">
        <v>53</v>
      </c>
      <c r="AP6138" t="s">
        <v>53</v>
      </c>
    </row>
    <row r="6139" spans="2:42" x14ac:dyDescent="0.2">
      <c r="B6139" t="s">
        <v>44</v>
      </c>
      <c r="C6139" t="str">
        <f>HYPERLINK("https://us2.cloudbeds.com/connect/8493803454333002#/reservations/9080486846587382?display=2VRAS2UZ21&amp;reservation_id=9080486846587382", "2VRAS2UZ21")</f>
        <v>2VRAS2UZ21</v>
      </c>
      <c r="D6139" t="s">
        <v>45</v>
      </c>
      <c r="E6139" t="s">
        <v>85</v>
      </c>
      <c r="F6139" t="s">
        <v>86</v>
      </c>
      <c r="G6139" t="s">
        <v>48</v>
      </c>
      <c r="H6139" t="s">
        <v>49</v>
      </c>
      <c r="I6139" t="s">
        <v>50</v>
      </c>
      <c r="J6139" t="s">
        <v>7293</v>
      </c>
      <c r="K6139" t="s">
        <v>7294</v>
      </c>
      <c r="L6139" t="s">
        <v>53</v>
      </c>
      <c r="N6139" t="s">
        <v>11000</v>
      </c>
      <c r="P6139" t="s">
        <v>55</v>
      </c>
      <c r="R6139" t="s">
        <v>53</v>
      </c>
      <c r="T6139" t="s">
        <v>11001</v>
      </c>
      <c r="U6139" t="s">
        <v>58</v>
      </c>
      <c r="V6139">
        <v>1</v>
      </c>
      <c r="W6139">
        <v>1</v>
      </c>
      <c r="X6139">
        <v>2</v>
      </c>
      <c r="Y6139">
        <v>0</v>
      </c>
      <c r="Z6139">
        <v>2</v>
      </c>
      <c r="AA6139">
        <v>227.37</v>
      </c>
      <c r="AB6139">
        <v>227.37</v>
      </c>
      <c r="AC6139">
        <v>200.07</v>
      </c>
      <c r="AD6139">
        <v>0</v>
      </c>
      <c r="AE6139">
        <v>27.3</v>
      </c>
      <c r="AF6139">
        <v>0</v>
      </c>
      <c r="AG6139">
        <v>0</v>
      </c>
      <c r="AH6139">
        <v>0</v>
      </c>
      <c r="AI6139">
        <v>40.93</v>
      </c>
      <c r="AJ6139">
        <v>227.37</v>
      </c>
      <c r="AK6139">
        <v>0</v>
      </c>
      <c r="AL6139" t="s">
        <v>53</v>
      </c>
      <c r="AM6139" t="s">
        <v>53</v>
      </c>
      <c r="AN6139" t="s">
        <v>53</v>
      </c>
      <c r="AO6139" t="s">
        <v>53</v>
      </c>
      <c r="AP6139" t="s">
        <v>53</v>
      </c>
    </row>
    <row r="6140" spans="2:42" x14ac:dyDescent="0.2">
      <c r="B6140" t="s">
        <v>44</v>
      </c>
      <c r="C6140" t="str">
        <f>HYPERLINK("https://us2.cloudbeds.com/connect/8493803454333002#/reservations/9080486846588154?display=2VS7UAJZVS&amp;reservation_id=9080486846588154", "2VS7UAJZVS")</f>
        <v>2VS7UAJZVS</v>
      </c>
      <c r="D6140" t="s">
        <v>45</v>
      </c>
      <c r="E6140" t="s">
        <v>69</v>
      </c>
      <c r="F6140" t="s">
        <v>70</v>
      </c>
      <c r="G6140" t="s">
        <v>48</v>
      </c>
      <c r="H6140" t="s">
        <v>49</v>
      </c>
      <c r="I6140" t="s">
        <v>50</v>
      </c>
      <c r="J6140" t="s">
        <v>6344</v>
      </c>
      <c r="K6140" t="s">
        <v>6345</v>
      </c>
      <c r="L6140" t="s">
        <v>53</v>
      </c>
      <c r="N6140" t="s">
        <v>11002</v>
      </c>
      <c r="P6140" t="s">
        <v>55</v>
      </c>
      <c r="R6140" t="s">
        <v>53</v>
      </c>
      <c r="T6140" t="s">
        <v>11003</v>
      </c>
      <c r="U6140" t="s">
        <v>58</v>
      </c>
      <c r="V6140">
        <v>1</v>
      </c>
      <c r="W6140">
        <v>1</v>
      </c>
      <c r="X6140">
        <v>1</v>
      </c>
      <c r="Y6140">
        <v>0</v>
      </c>
      <c r="Z6140">
        <v>1</v>
      </c>
      <c r="AA6140">
        <v>170.99</v>
      </c>
      <c r="AB6140">
        <v>170.99</v>
      </c>
      <c r="AC6140">
        <v>150.44999999999999</v>
      </c>
      <c r="AD6140">
        <v>0</v>
      </c>
      <c r="AE6140">
        <v>20.54</v>
      </c>
      <c r="AF6140">
        <v>0</v>
      </c>
      <c r="AG6140">
        <v>0</v>
      </c>
      <c r="AH6140">
        <v>0</v>
      </c>
      <c r="AI6140">
        <v>30.78</v>
      </c>
      <c r="AJ6140">
        <v>170.99</v>
      </c>
      <c r="AK6140">
        <v>0</v>
      </c>
      <c r="AL6140" t="s">
        <v>53</v>
      </c>
      <c r="AM6140" t="s">
        <v>53</v>
      </c>
      <c r="AN6140" t="s">
        <v>53</v>
      </c>
      <c r="AO6140" t="s">
        <v>53</v>
      </c>
      <c r="AP6140" t="s">
        <v>53</v>
      </c>
    </row>
    <row r="6141" spans="2:42" x14ac:dyDescent="0.2">
      <c r="B6141" t="s">
        <v>44</v>
      </c>
      <c r="C6141" t="str">
        <f>HYPERLINK("https://us2.cloudbeds.com/connect/8493803454333002#/reservations/9080486846588575?display=2VSQ9NMHAZ&amp;reservation_id=9080486846588575", "2VSQ9NMHAZ")</f>
        <v>2VSQ9NMHAZ</v>
      </c>
      <c r="D6141" t="s">
        <v>45</v>
      </c>
      <c r="E6141" t="s">
        <v>185</v>
      </c>
      <c r="F6141" t="s">
        <v>47</v>
      </c>
      <c r="G6141" t="s">
        <v>48</v>
      </c>
      <c r="H6141" t="s">
        <v>49</v>
      </c>
      <c r="I6141" t="s">
        <v>50</v>
      </c>
      <c r="J6141" t="s">
        <v>8138</v>
      </c>
      <c r="K6141" t="s">
        <v>5403</v>
      </c>
      <c r="L6141" t="s">
        <v>53</v>
      </c>
      <c r="N6141" t="s">
        <v>11004</v>
      </c>
      <c r="P6141" t="s">
        <v>55</v>
      </c>
      <c r="R6141" t="s">
        <v>53</v>
      </c>
      <c r="T6141" t="s">
        <v>11005</v>
      </c>
      <c r="U6141" t="s">
        <v>58</v>
      </c>
      <c r="V6141">
        <v>2</v>
      </c>
      <c r="W6141">
        <v>1</v>
      </c>
      <c r="X6141">
        <v>1</v>
      </c>
      <c r="Y6141">
        <v>0</v>
      </c>
      <c r="Z6141">
        <v>1</v>
      </c>
      <c r="AA6141">
        <v>398.4</v>
      </c>
      <c r="AB6141">
        <v>398.4</v>
      </c>
      <c r="AC6141">
        <v>350.55</v>
      </c>
      <c r="AD6141">
        <v>0</v>
      </c>
      <c r="AE6141">
        <v>47.85</v>
      </c>
      <c r="AF6141">
        <v>0</v>
      </c>
      <c r="AG6141">
        <v>0</v>
      </c>
      <c r="AH6141">
        <v>0</v>
      </c>
      <c r="AI6141">
        <v>71.709999999999994</v>
      </c>
      <c r="AJ6141">
        <v>398.4</v>
      </c>
      <c r="AK6141">
        <v>0</v>
      </c>
      <c r="AL6141" t="s">
        <v>53</v>
      </c>
      <c r="AM6141" t="s">
        <v>53</v>
      </c>
      <c r="AN6141" t="s">
        <v>53</v>
      </c>
      <c r="AO6141" t="s">
        <v>53</v>
      </c>
      <c r="AP6141" t="s">
        <v>53</v>
      </c>
    </row>
    <row r="6142" spans="2:42" x14ac:dyDescent="0.2">
      <c r="B6142" t="s">
        <v>44</v>
      </c>
      <c r="C6142" t="str">
        <f>HYPERLINK("https://us2.cloudbeds.com/connect/8493803454333002#/reservations/9080486846588956?display=2VTD06P8CK&amp;reservation_id=9080486846588956", "2VTD06P8CK")</f>
        <v>2VTD06P8CK</v>
      </c>
      <c r="D6142" t="s">
        <v>45</v>
      </c>
      <c r="E6142" t="s">
        <v>46</v>
      </c>
      <c r="F6142" t="s">
        <v>47</v>
      </c>
      <c r="G6142" t="s">
        <v>48</v>
      </c>
      <c r="H6142" t="s">
        <v>49</v>
      </c>
      <c r="I6142" t="s">
        <v>50</v>
      </c>
      <c r="J6142" t="s">
        <v>7088</v>
      </c>
      <c r="K6142" t="s">
        <v>9620</v>
      </c>
      <c r="L6142" t="s">
        <v>53</v>
      </c>
      <c r="N6142" t="s">
        <v>11006</v>
      </c>
      <c r="P6142" t="s">
        <v>55</v>
      </c>
      <c r="R6142" t="s">
        <v>53</v>
      </c>
      <c r="T6142" t="s">
        <v>11007</v>
      </c>
      <c r="U6142" t="s">
        <v>58</v>
      </c>
      <c r="V6142">
        <v>1</v>
      </c>
      <c r="W6142">
        <v>1</v>
      </c>
      <c r="X6142">
        <v>1</v>
      </c>
      <c r="Y6142">
        <v>0</v>
      </c>
      <c r="Z6142">
        <v>1</v>
      </c>
      <c r="AA6142">
        <v>147.69999999999999</v>
      </c>
      <c r="AB6142">
        <v>147.69999999999999</v>
      </c>
      <c r="AC6142">
        <v>129.96</v>
      </c>
      <c r="AD6142">
        <v>0</v>
      </c>
      <c r="AE6142">
        <v>17.739999999999998</v>
      </c>
      <c r="AF6142">
        <v>0</v>
      </c>
      <c r="AG6142">
        <v>0</v>
      </c>
      <c r="AH6142">
        <v>0</v>
      </c>
      <c r="AI6142">
        <v>26.59</v>
      </c>
      <c r="AJ6142">
        <v>147.69999999999999</v>
      </c>
      <c r="AK6142">
        <v>0</v>
      </c>
      <c r="AL6142" t="s">
        <v>53</v>
      </c>
      <c r="AM6142" t="s">
        <v>53</v>
      </c>
      <c r="AN6142" t="s">
        <v>53</v>
      </c>
      <c r="AO6142" t="s">
        <v>53</v>
      </c>
      <c r="AP6142" t="s">
        <v>53</v>
      </c>
    </row>
    <row r="6143" spans="2:42" x14ac:dyDescent="0.2">
      <c r="B6143" t="s">
        <v>44</v>
      </c>
      <c r="C6143" t="str">
        <f>HYPERLINK("https://us2.cloudbeds.com/connect/8493803454333002#/reservations/9080486846588957?display=2VTD6KH2NS&amp;reservation_id=9080486846588957", "2VTD6KH2NS")</f>
        <v>2VTD6KH2NS</v>
      </c>
      <c r="D6143" t="s">
        <v>45</v>
      </c>
      <c r="E6143" t="s">
        <v>373</v>
      </c>
      <c r="F6143" t="s">
        <v>47</v>
      </c>
      <c r="G6143" t="s">
        <v>48</v>
      </c>
      <c r="H6143" t="s">
        <v>49</v>
      </c>
      <c r="I6143" t="s">
        <v>50</v>
      </c>
      <c r="J6143" t="s">
        <v>7088</v>
      </c>
      <c r="K6143" t="s">
        <v>9620</v>
      </c>
      <c r="L6143" t="s">
        <v>53</v>
      </c>
      <c r="N6143" t="s">
        <v>11008</v>
      </c>
      <c r="P6143" t="s">
        <v>55</v>
      </c>
      <c r="R6143" t="s">
        <v>53</v>
      </c>
      <c r="T6143" t="s">
        <v>11009</v>
      </c>
      <c r="U6143" t="s">
        <v>58</v>
      </c>
      <c r="V6143">
        <v>1</v>
      </c>
      <c r="W6143">
        <v>1</v>
      </c>
      <c r="X6143">
        <v>1</v>
      </c>
      <c r="Y6143">
        <v>0</v>
      </c>
      <c r="Z6143">
        <v>1</v>
      </c>
      <c r="AA6143">
        <v>147.69999999999999</v>
      </c>
      <c r="AB6143">
        <v>147.69999999999999</v>
      </c>
      <c r="AC6143">
        <v>129.96</v>
      </c>
      <c r="AD6143">
        <v>0</v>
      </c>
      <c r="AE6143">
        <v>17.739999999999998</v>
      </c>
      <c r="AF6143">
        <v>0</v>
      </c>
      <c r="AG6143">
        <v>0</v>
      </c>
      <c r="AH6143">
        <v>0</v>
      </c>
      <c r="AI6143">
        <v>26.59</v>
      </c>
      <c r="AJ6143">
        <v>147.69999999999999</v>
      </c>
      <c r="AK6143">
        <v>0</v>
      </c>
      <c r="AL6143" t="s">
        <v>53</v>
      </c>
      <c r="AM6143" t="s">
        <v>53</v>
      </c>
      <c r="AN6143" t="s">
        <v>53</v>
      </c>
      <c r="AO6143" t="s">
        <v>53</v>
      </c>
      <c r="AP6143" t="s">
        <v>53</v>
      </c>
    </row>
    <row r="6144" spans="2:42" x14ac:dyDescent="0.2">
      <c r="B6144" t="s">
        <v>44</v>
      </c>
      <c r="C6144" t="str">
        <f>HYPERLINK("https://us2.cloudbeds.com/connect/8493803454333002#/reservations/9080486846589177?display=2VTPDVH5RY&amp;reservation_id=9080486846589177", "2VTPDVH5RY")</f>
        <v>2VTPDVH5RY</v>
      </c>
      <c r="D6144" t="s">
        <v>45</v>
      </c>
      <c r="E6144" t="s">
        <v>121</v>
      </c>
      <c r="F6144" t="s">
        <v>86</v>
      </c>
      <c r="G6144" t="s">
        <v>48</v>
      </c>
      <c r="H6144" t="s">
        <v>49</v>
      </c>
      <c r="I6144" t="s">
        <v>50</v>
      </c>
      <c r="J6144" t="s">
        <v>5905</v>
      </c>
      <c r="K6144" t="s">
        <v>7293</v>
      </c>
      <c r="L6144" t="s">
        <v>53</v>
      </c>
      <c r="N6144" t="s">
        <v>11010</v>
      </c>
      <c r="P6144" t="s">
        <v>55</v>
      </c>
      <c r="R6144" t="s">
        <v>53</v>
      </c>
      <c r="T6144" t="s">
        <v>11011</v>
      </c>
      <c r="U6144" t="s">
        <v>58</v>
      </c>
      <c r="V6144">
        <v>2</v>
      </c>
      <c r="W6144">
        <v>1</v>
      </c>
      <c r="X6144">
        <v>2</v>
      </c>
      <c r="Y6144">
        <v>0</v>
      </c>
      <c r="Z6144">
        <v>2</v>
      </c>
      <c r="AA6144">
        <v>406.18</v>
      </c>
      <c r="AB6144">
        <v>406.18</v>
      </c>
      <c r="AC6144">
        <v>357.39</v>
      </c>
      <c r="AD6144">
        <v>0</v>
      </c>
      <c r="AE6144">
        <v>48.79</v>
      </c>
      <c r="AF6144">
        <v>0</v>
      </c>
      <c r="AG6144">
        <v>0</v>
      </c>
      <c r="AH6144">
        <v>0</v>
      </c>
      <c r="AI6144">
        <v>73.11</v>
      </c>
      <c r="AJ6144">
        <v>406.18</v>
      </c>
      <c r="AK6144">
        <v>0</v>
      </c>
      <c r="AL6144" t="s">
        <v>53</v>
      </c>
      <c r="AM6144" t="s">
        <v>53</v>
      </c>
      <c r="AN6144" t="s">
        <v>53</v>
      </c>
      <c r="AO6144" t="s">
        <v>53</v>
      </c>
      <c r="AP6144" t="s">
        <v>53</v>
      </c>
    </row>
    <row r="6145" spans="2:42" x14ac:dyDescent="0.2">
      <c r="B6145" t="s">
        <v>44</v>
      </c>
      <c r="C6145" t="str">
        <f>HYPERLINK("https://us2.cloudbeds.com/connect/8493803454333002#/reservations/137692880527563?display=2VTRB82PR8&amp;reservation_id=137692880527563", "2VTRB82PR8")</f>
        <v>2VTRB82PR8</v>
      </c>
      <c r="D6145" t="s">
        <v>45</v>
      </c>
      <c r="E6145" t="s">
        <v>113</v>
      </c>
      <c r="F6145" t="s">
        <v>61</v>
      </c>
      <c r="G6145" t="s">
        <v>48</v>
      </c>
      <c r="H6145" t="s">
        <v>3957</v>
      </c>
      <c r="I6145" t="s">
        <v>3975</v>
      </c>
      <c r="J6145" t="s">
        <v>6345</v>
      </c>
      <c r="K6145" t="s">
        <v>8678</v>
      </c>
      <c r="L6145" t="s">
        <v>53</v>
      </c>
      <c r="P6145" t="s">
        <v>55</v>
      </c>
      <c r="R6145" t="s">
        <v>56</v>
      </c>
      <c r="T6145" t="s">
        <v>11012</v>
      </c>
      <c r="U6145" t="s">
        <v>58</v>
      </c>
      <c r="V6145">
        <v>1</v>
      </c>
      <c r="W6145">
        <v>1</v>
      </c>
      <c r="X6145">
        <v>2</v>
      </c>
      <c r="Y6145">
        <v>0</v>
      </c>
      <c r="Z6145">
        <v>2</v>
      </c>
      <c r="AA6145">
        <v>270.49</v>
      </c>
      <c r="AB6145">
        <v>270.49</v>
      </c>
      <c r="AC6145">
        <v>238</v>
      </c>
      <c r="AD6145">
        <v>0</v>
      </c>
      <c r="AE6145">
        <v>32.49</v>
      </c>
      <c r="AF6145">
        <v>0</v>
      </c>
      <c r="AG6145">
        <v>0</v>
      </c>
      <c r="AH6145">
        <v>0</v>
      </c>
      <c r="AI6145">
        <v>0</v>
      </c>
      <c r="AJ6145">
        <v>270.49</v>
      </c>
      <c r="AK6145">
        <v>0</v>
      </c>
      <c r="AL6145" t="s">
        <v>53</v>
      </c>
      <c r="AM6145" t="s">
        <v>53</v>
      </c>
      <c r="AN6145" t="s">
        <v>53</v>
      </c>
      <c r="AO6145" t="s">
        <v>53</v>
      </c>
      <c r="AP6145" t="s">
        <v>53</v>
      </c>
    </row>
    <row r="6146" spans="2:42" x14ac:dyDescent="0.2">
      <c r="B6146" t="s">
        <v>44</v>
      </c>
      <c r="C6146" t="str">
        <f>HYPERLINK("https://us2.cloudbeds.com/connect/8493803454333002#/reservations/9080486846589505?display=2VUD3CWDT5&amp;reservation_id=9080486846589505", "2VUD3CWDT5")</f>
        <v>2VUD3CWDT5</v>
      </c>
      <c r="D6146" t="s">
        <v>45</v>
      </c>
      <c r="E6146" t="s">
        <v>128</v>
      </c>
      <c r="F6146" t="s">
        <v>86</v>
      </c>
      <c r="G6146" t="s">
        <v>48</v>
      </c>
      <c r="H6146" t="s">
        <v>49</v>
      </c>
      <c r="I6146" t="s">
        <v>62</v>
      </c>
      <c r="J6146" t="s">
        <v>8900</v>
      </c>
      <c r="K6146" t="s">
        <v>5507</v>
      </c>
      <c r="L6146" t="s">
        <v>53</v>
      </c>
      <c r="N6146" t="s">
        <v>11013</v>
      </c>
      <c r="P6146" t="s">
        <v>55</v>
      </c>
      <c r="R6146" t="s">
        <v>56</v>
      </c>
      <c r="T6146" t="s">
        <v>11014</v>
      </c>
      <c r="U6146" t="s">
        <v>55</v>
      </c>
      <c r="V6146">
        <v>2</v>
      </c>
      <c r="W6146">
        <v>1</v>
      </c>
      <c r="X6146">
        <v>4</v>
      </c>
      <c r="Y6146">
        <v>0</v>
      </c>
      <c r="Z6146">
        <v>4</v>
      </c>
      <c r="AA6146">
        <v>750</v>
      </c>
      <c r="AB6146">
        <v>755.43</v>
      </c>
      <c r="AC6146">
        <v>750</v>
      </c>
      <c r="AD6146">
        <v>5</v>
      </c>
      <c r="AE6146">
        <v>0.43</v>
      </c>
      <c r="AF6146">
        <v>0</v>
      </c>
      <c r="AG6146">
        <v>0</v>
      </c>
      <c r="AH6146">
        <v>0</v>
      </c>
      <c r="AI6146">
        <v>135.97999999999999</v>
      </c>
      <c r="AJ6146">
        <v>755.43</v>
      </c>
      <c r="AK6146">
        <v>0</v>
      </c>
      <c r="AL6146" t="s">
        <v>53</v>
      </c>
      <c r="AM6146" t="s">
        <v>53</v>
      </c>
      <c r="AN6146" t="s">
        <v>53</v>
      </c>
      <c r="AO6146" t="s">
        <v>53</v>
      </c>
      <c r="AP6146" t="s">
        <v>53</v>
      </c>
    </row>
    <row r="6147" spans="2:42" x14ac:dyDescent="0.2">
      <c r="B6147" t="s">
        <v>44</v>
      </c>
      <c r="C6147" t="str">
        <f>HYPERLINK("https://us2.cloudbeds.com/connect/8493803454333002#/reservations/9080486846589533?display=2VUETT4KNT&amp;reservation_id=9080486846589533", "2VUETT4KNT")</f>
        <v>2VUETT4KNT</v>
      </c>
      <c r="D6147" t="s">
        <v>45</v>
      </c>
      <c r="E6147" t="s">
        <v>155</v>
      </c>
      <c r="F6147" t="s">
        <v>86</v>
      </c>
      <c r="G6147" t="s">
        <v>48</v>
      </c>
      <c r="H6147" t="s">
        <v>49</v>
      </c>
      <c r="I6147" t="s">
        <v>50</v>
      </c>
      <c r="J6147" t="s">
        <v>8799</v>
      </c>
      <c r="K6147" t="s">
        <v>8829</v>
      </c>
      <c r="L6147" t="s">
        <v>53</v>
      </c>
      <c r="N6147" t="s">
        <v>11015</v>
      </c>
      <c r="P6147" t="s">
        <v>55</v>
      </c>
      <c r="R6147" t="s">
        <v>53</v>
      </c>
      <c r="T6147" t="s">
        <v>11016</v>
      </c>
      <c r="U6147" t="s">
        <v>58</v>
      </c>
      <c r="V6147">
        <v>1</v>
      </c>
      <c r="W6147">
        <v>1</v>
      </c>
      <c r="X6147">
        <v>2</v>
      </c>
      <c r="Y6147">
        <v>0</v>
      </c>
      <c r="Z6147">
        <v>2</v>
      </c>
      <c r="AA6147">
        <v>212.75</v>
      </c>
      <c r="AB6147">
        <v>212.75</v>
      </c>
      <c r="AC6147">
        <v>187.2</v>
      </c>
      <c r="AD6147">
        <v>0</v>
      </c>
      <c r="AE6147">
        <v>25.55</v>
      </c>
      <c r="AF6147">
        <v>0</v>
      </c>
      <c r="AG6147">
        <v>0</v>
      </c>
      <c r="AH6147">
        <v>0</v>
      </c>
      <c r="AI6147">
        <v>38.299999999999997</v>
      </c>
      <c r="AJ6147">
        <v>212.75</v>
      </c>
      <c r="AK6147">
        <v>0</v>
      </c>
      <c r="AL6147" t="s">
        <v>53</v>
      </c>
      <c r="AM6147" t="s">
        <v>53</v>
      </c>
      <c r="AN6147" t="s">
        <v>53</v>
      </c>
      <c r="AO6147" t="s">
        <v>53</v>
      </c>
      <c r="AP6147" t="s">
        <v>53</v>
      </c>
    </row>
    <row r="6148" spans="2:42" x14ac:dyDescent="0.2">
      <c r="B6148" t="s">
        <v>44</v>
      </c>
      <c r="C6148" t="str">
        <f>HYPERLINK("https://us2.cloudbeds.com/connect/8493803454333002#/reservations/9080486846589701?display=2VUPMKZX4Z&amp;reservation_id=9080486846589701", "2VUPMKZX4Z")</f>
        <v>2VUPMKZX4Z</v>
      </c>
      <c r="D6148" t="s">
        <v>45</v>
      </c>
      <c r="E6148" t="s">
        <v>381</v>
      </c>
      <c r="F6148" t="s">
        <v>47</v>
      </c>
      <c r="G6148" t="s">
        <v>48</v>
      </c>
      <c r="H6148" t="s">
        <v>49</v>
      </c>
      <c r="I6148" t="s">
        <v>50</v>
      </c>
      <c r="J6148" t="s">
        <v>7989</v>
      </c>
      <c r="K6148" t="s">
        <v>8799</v>
      </c>
      <c r="L6148" t="s">
        <v>53</v>
      </c>
      <c r="N6148" t="s">
        <v>11017</v>
      </c>
      <c r="P6148" t="s">
        <v>55</v>
      </c>
      <c r="R6148" t="s">
        <v>53</v>
      </c>
      <c r="T6148" t="s">
        <v>11018</v>
      </c>
      <c r="U6148" t="s">
        <v>58</v>
      </c>
      <c r="V6148">
        <v>1</v>
      </c>
      <c r="W6148">
        <v>1</v>
      </c>
      <c r="X6148">
        <v>2</v>
      </c>
      <c r="Y6148">
        <v>0</v>
      </c>
      <c r="Z6148">
        <v>2</v>
      </c>
      <c r="AA6148">
        <v>341.63</v>
      </c>
      <c r="AB6148">
        <v>341.63</v>
      </c>
      <c r="AC6148">
        <v>300.60000000000002</v>
      </c>
      <c r="AD6148">
        <v>0</v>
      </c>
      <c r="AE6148">
        <v>41.03</v>
      </c>
      <c r="AF6148">
        <v>0</v>
      </c>
      <c r="AG6148">
        <v>0</v>
      </c>
      <c r="AH6148">
        <v>0</v>
      </c>
      <c r="AI6148">
        <v>61.49</v>
      </c>
      <c r="AJ6148">
        <v>341.63</v>
      </c>
      <c r="AK6148">
        <v>0</v>
      </c>
      <c r="AL6148" t="s">
        <v>53</v>
      </c>
      <c r="AM6148" t="s">
        <v>53</v>
      </c>
      <c r="AN6148" t="s">
        <v>53</v>
      </c>
      <c r="AO6148" t="s">
        <v>53</v>
      </c>
      <c r="AP6148" t="s">
        <v>53</v>
      </c>
    </row>
    <row r="6149" spans="2:42" x14ac:dyDescent="0.2">
      <c r="B6149" t="s">
        <v>44</v>
      </c>
      <c r="C6149" t="str">
        <f>HYPERLINK("https://us2.cloudbeds.com/connect/8493803454333002#/reservations/137740019011712?display=2VUQUS9BXA&amp;reservation_id=137740019011712", "2VUQUS9BXA")</f>
        <v>2VUQUS9BXA</v>
      </c>
      <c r="D6149" t="s">
        <v>45</v>
      </c>
      <c r="E6149" t="s">
        <v>185</v>
      </c>
      <c r="F6149" t="s">
        <v>47</v>
      </c>
      <c r="G6149" t="s">
        <v>3974</v>
      </c>
      <c r="H6149" t="s">
        <v>3957</v>
      </c>
      <c r="I6149" t="s">
        <v>3975</v>
      </c>
      <c r="J6149" t="s">
        <v>7294</v>
      </c>
      <c r="K6149" t="s">
        <v>5743</v>
      </c>
      <c r="L6149" t="s">
        <v>53</v>
      </c>
      <c r="P6149" t="s">
        <v>55</v>
      </c>
      <c r="R6149" t="s">
        <v>56</v>
      </c>
      <c r="T6149" t="s">
        <v>11019</v>
      </c>
      <c r="U6149" t="s">
        <v>58</v>
      </c>
      <c r="V6149">
        <v>1</v>
      </c>
      <c r="W6149">
        <v>1</v>
      </c>
      <c r="X6149">
        <v>2</v>
      </c>
      <c r="Y6149">
        <v>0</v>
      </c>
      <c r="Z6149">
        <v>2</v>
      </c>
      <c r="AA6149">
        <v>214.86</v>
      </c>
      <c r="AB6149">
        <v>214.86</v>
      </c>
      <c r="AC6149">
        <v>189.05</v>
      </c>
      <c r="AD6149">
        <v>0</v>
      </c>
      <c r="AE6149">
        <v>25.81</v>
      </c>
      <c r="AF6149">
        <v>0</v>
      </c>
      <c r="AG6149">
        <v>0</v>
      </c>
      <c r="AH6149">
        <v>0</v>
      </c>
      <c r="AI6149">
        <v>0</v>
      </c>
      <c r="AJ6149">
        <v>214.86</v>
      </c>
      <c r="AK6149">
        <v>0</v>
      </c>
      <c r="AL6149" t="s">
        <v>53</v>
      </c>
      <c r="AM6149" t="s">
        <v>53</v>
      </c>
      <c r="AN6149" t="s">
        <v>53</v>
      </c>
      <c r="AO6149" t="s">
        <v>53</v>
      </c>
      <c r="AP6149" t="s">
        <v>53</v>
      </c>
    </row>
    <row r="6150" spans="2:42" x14ac:dyDescent="0.2">
      <c r="B6150" t="s">
        <v>44</v>
      </c>
      <c r="C6150" t="str">
        <f>HYPERLINK("https://us2.cloudbeds.com/connect/8493803454333002#/reservations/9080486846590159?display=2VVY160054&amp;reservation_id=9080486846590159", "2VVY160054")</f>
        <v>2VVY160054</v>
      </c>
      <c r="D6150" t="s">
        <v>45</v>
      </c>
      <c r="E6150" t="s">
        <v>190</v>
      </c>
      <c r="F6150" t="s">
        <v>61</v>
      </c>
      <c r="G6150" t="s">
        <v>48</v>
      </c>
      <c r="H6150" t="s">
        <v>49</v>
      </c>
      <c r="I6150" t="s">
        <v>50</v>
      </c>
      <c r="J6150" t="s">
        <v>8829</v>
      </c>
      <c r="K6150" t="s">
        <v>8911</v>
      </c>
      <c r="L6150" t="s">
        <v>53</v>
      </c>
      <c r="N6150" t="s">
        <v>11020</v>
      </c>
      <c r="P6150" t="s">
        <v>55</v>
      </c>
      <c r="R6150" t="s">
        <v>53</v>
      </c>
      <c r="T6150" t="s">
        <v>11021</v>
      </c>
      <c r="U6150" t="s">
        <v>58</v>
      </c>
      <c r="V6150">
        <v>1</v>
      </c>
      <c r="W6150">
        <v>1</v>
      </c>
      <c r="X6150">
        <v>2</v>
      </c>
      <c r="Y6150">
        <v>0</v>
      </c>
      <c r="Z6150">
        <v>2</v>
      </c>
      <c r="AA6150">
        <v>157.52000000000001</v>
      </c>
      <c r="AB6150">
        <v>157.52000000000001</v>
      </c>
      <c r="AC6150">
        <v>138.6</v>
      </c>
      <c r="AD6150">
        <v>0</v>
      </c>
      <c r="AE6150">
        <v>18.920000000000002</v>
      </c>
      <c r="AF6150">
        <v>0</v>
      </c>
      <c r="AG6150">
        <v>0</v>
      </c>
      <c r="AH6150">
        <v>0</v>
      </c>
      <c r="AI6150">
        <v>28.35</v>
      </c>
      <c r="AJ6150">
        <v>157.52000000000001</v>
      </c>
      <c r="AK6150">
        <v>0</v>
      </c>
      <c r="AL6150" t="s">
        <v>53</v>
      </c>
      <c r="AM6150" t="s">
        <v>53</v>
      </c>
      <c r="AN6150" t="s">
        <v>53</v>
      </c>
      <c r="AO6150" t="s">
        <v>53</v>
      </c>
      <c r="AP6150" t="s">
        <v>53</v>
      </c>
    </row>
    <row r="6151" spans="2:42" x14ac:dyDescent="0.2">
      <c r="B6151" t="s">
        <v>44</v>
      </c>
      <c r="C6151" t="str">
        <f>HYPERLINK("https://us2.cloudbeds.com/connect/8493803454333002#/reservations/9080486846590661?display=2VWMKNX6GY&amp;reservation_id=9080486846590661", "2VWMKNX6GY")</f>
        <v>2VWMKNX6GY</v>
      </c>
      <c r="D6151" t="s">
        <v>45</v>
      </c>
      <c r="E6151" t="s">
        <v>69</v>
      </c>
      <c r="F6151" t="s">
        <v>70</v>
      </c>
      <c r="G6151" t="s">
        <v>48</v>
      </c>
      <c r="H6151" t="s">
        <v>49</v>
      </c>
      <c r="I6151" t="s">
        <v>62</v>
      </c>
      <c r="J6151" t="s">
        <v>8139</v>
      </c>
      <c r="K6151" t="s">
        <v>7293</v>
      </c>
      <c r="L6151" t="s">
        <v>53</v>
      </c>
      <c r="N6151" t="s">
        <v>11022</v>
      </c>
      <c r="P6151" t="s">
        <v>55</v>
      </c>
      <c r="R6151" t="s">
        <v>764</v>
      </c>
      <c r="T6151" t="s">
        <v>11023</v>
      </c>
      <c r="U6151" t="s">
        <v>55</v>
      </c>
      <c r="V6151">
        <v>1</v>
      </c>
      <c r="W6151">
        <v>1</v>
      </c>
      <c r="X6151">
        <v>1</v>
      </c>
      <c r="Y6151">
        <v>0</v>
      </c>
      <c r="Z6151">
        <v>1</v>
      </c>
      <c r="AA6151">
        <v>153</v>
      </c>
      <c r="AB6151">
        <v>153</v>
      </c>
      <c r="AC6151">
        <v>153</v>
      </c>
      <c r="AD6151">
        <v>0</v>
      </c>
      <c r="AE6151">
        <v>0</v>
      </c>
      <c r="AF6151">
        <v>0</v>
      </c>
      <c r="AG6151">
        <v>0</v>
      </c>
      <c r="AH6151">
        <v>0</v>
      </c>
      <c r="AI6151">
        <v>27.54</v>
      </c>
      <c r="AJ6151">
        <v>153</v>
      </c>
      <c r="AK6151">
        <v>0</v>
      </c>
      <c r="AL6151" t="s">
        <v>53</v>
      </c>
      <c r="AM6151" t="s">
        <v>53</v>
      </c>
      <c r="AN6151" t="s">
        <v>53</v>
      </c>
      <c r="AO6151" t="s">
        <v>53</v>
      </c>
      <c r="AP6151" t="s">
        <v>53</v>
      </c>
    </row>
    <row r="6152" spans="2:42" x14ac:dyDescent="0.2">
      <c r="B6152" t="s">
        <v>44</v>
      </c>
      <c r="C6152" t="str">
        <f>HYPERLINK("https://us2.cloudbeds.com/connect/8493803454333002#/reservations/9080486846590950?display=2W05A0A6YZ&amp;reservation_id=9080486846590950", "2W05A0A6YZ")</f>
        <v>2W05A0A6YZ</v>
      </c>
      <c r="D6152" t="s">
        <v>45</v>
      </c>
      <c r="E6152" t="s">
        <v>110</v>
      </c>
      <c r="F6152" t="s">
        <v>47</v>
      </c>
      <c r="G6152" t="s">
        <v>48</v>
      </c>
      <c r="H6152" t="s">
        <v>49</v>
      </c>
      <c r="I6152" t="s">
        <v>50</v>
      </c>
      <c r="J6152" t="s">
        <v>7492</v>
      </c>
      <c r="K6152" t="s">
        <v>7493</v>
      </c>
      <c r="L6152" t="s">
        <v>53</v>
      </c>
      <c r="N6152" t="s">
        <v>11024</v>
      </c>
      <c r="P6152" t="s">
        <v>55</v>
      </c>
      <c r="R6152" t="s">
        <v>53</v>
      </c>
      <c r="T6152" t="s">
        <v>11025</v>
      </c>
      <c r="U6152" t="s">
        <v>58</v>
      </c>
      <c r="V6152">
        <v>1</v>
      </c>
      <c r="W6152">
        <v>1</v>
      </c>
      <c r="X6152">
        <v>1</v>
      </c>
      <c r="Y6152">
        <v>0</v>
      </c>
      <c r="Z6152">
        <v>1</v>
      </c>
      <c r="AA6152">
        <v>163.66</v>
      </c>
      <c r="AB6152">
        <v>163.66</v>
      </c>
      <c r="AC6152">
        <v>144</v>
      </c>
      <c r="AD6152">
        <v>0</v>
      </c>
      <c r="AE6152">
        <v>19.66</v>
      </c>
      <c r="AF6152">
        <v>0</v>
      </c>
      <c r="AG6152">
        <v>0</v>
      </c>
      <c r="AH6152">
        <v>0</v>
      </c>
      <c r="AI6152">
        <v>29.46</v>
      </c>
      <c r="AJ6152">
        <v>163.66</v>
      </c>
      <c r="AK6152">
        <v>0</v>
      </c>
      <c r="AL6152" t="s">
        <v>53</v>
      </c>
      <c r="AM6152" t="s">
        <v>53</v>
      </c>
      <c r="AN6152" t="s">
        <v>53</v>
      </c>
      <c r="AO6152" t="s">
        <v>53</v>
      </c>
      <c r="AP6152" t="s">
        <v>53</v>
      </c>
    </row>
    <row r="6153" spans="2:42" x14ac:dyDescent="0.2">
      <c r="B6153" t="s">
        <v>44</v>
      </c>
      <c r="C6153" t="str">
        <f>HYPERLINK("https://us2.cloudbeds.com/connect/8493803454333002#/reservations/9080486846592448?display=2W21ZCU3X5&amp;reservation_id=9080486846592448", "2W21ZCU3X5")</f>
        <v>2W21ZCU3X5</v>
      </c>
      <c r="D6153" t="s">
        <v>45</v>
      </c>
      <c r="E6153" t="s">
        <v>185</v>
      </c>
      <c r="F6153" t="s">
        <v>47</v>
      </c>
      <c r="G6153" t="s">
        <v>48</v>
      </c>
      <c r="H6153" t="s">
        <v>49</v>
      </c>
      <c r="I6153" t="s">
        <v>50</v>
      </c>
      <c r="J6153" t="s">
        <v>8799</v>
      </c>
      <c r="K6153" t="s">
        <v>8829</v>
      </c>
      <c r="L6153" t="s">
        <v>53</v>
      </c>
      <c r="N6153" t="s">
        <v>11026</v>
      </c>
      <c r="P6153" t="s">
        <v>55</v>
      </c>
      <c r="R6153" t="s">
        <v>53</v>
      </c>
      <c r="T6153" t="s">
        <v>11027</v>
      </c>
      <c r="U6153" t="s">
        <v>58</v>
      </c>
      <c r="V6153">
        <v>1</v>
      </c>
      <c r="W6153">
        <v>1</v>
      </c>
      <c r="X6153">
        <v>2</v>
      </c>
      <c r="Y6153">
        <v>0</v>
      </c>
      <c r="Z6153">
        <v>2</v>
      </c>
      <c r="AA6153">
        <v>151.37</v>
      </c>
      <c r="AB6153">
        <v>151.37</v>
      </c>
      <c r="AC6153">
        <v>133.19999999999999</v>
      </c>
      <c r="AD6153">
        <v>0</v>
      </c>
      <c r="AE6153">
        <v>18.170000000000002</v>
      </c>
      <c r="AF6153">
        <v>0</v>
      </c>
      <c r="AG6153">
        <v>0</v>
      </c>
      <c r="AH6153">
        <v>0</v>
      </c>
      <c r="AI6153">
        <v>27.25</v>
      </c>
      <c r="AJ6153">
        <v>151.37</v>
      </c>
      <c r="AK6153">
        <v>0</v>
      </c>
      <c r="AL6153" t="s">
        <v>53</v>
      </c>
      <c r="AM6153" t="s">
        <v>53</v>
      </c>
      <c r="AN6153" t="s">
        <v>53</v>
      </c>
      <c r="AO6153" t="s">
        <v>53</v>
      </c>
      <c r="AP6153" t="s">
        <v>53</v>
      </c>
    </row>
    <row r="6154" spans="2:42" x14ac:dyDescent="0.2">
      <c r="B6154" t="s">
        <v>44</v>
      </c>
      <c r="C6154" t="str">
        <f>HYPERLINK("https://us2.cloudbeds.com/connect/8493803454333002#/reservations/9080486846592685?display=2W29BMMZB7&amp;reservation_id=9080486846592685", "2W29BMMZB7")</f>
        <v>2W29BMMZB7</v>
      </c>
      <c r="D6154" t="s">
        <v>45</v>
      </c>
      <c r="E6154" t="s">
        <v>265</v>
      </c>
      <c r="F6154" t="s">
        <v>61</v>
      </c>
      <c r="G6154" t="s">
        <v>48</v>
      </c>
      <c r="H6154" t="s">
        <v>49</v>
      </c>
      <c r="I6154" t="s">
        <v>50</v>
      </c>
      <c r="J6154" t="s">
        <v>9858</v>
      </c>
      <c r="K6154" t="s">
        <v>8270</v>
      </c>
      <c r="L6154" t="s">
        <v>53</v>
      </c>
      <c r="N6154" t="s">
        <v>11028</v>
      </c>
      <c r="P6154" t="s">
        <v>55</v>
      </c>
      <c r="R6154" t="s">
        <v>53</v>
      </c>
      <c r="T6154" t="s">
        <v>11029</v>
      </c>
      <c r="U6154" t="s">
        <v>58</v>
      </c>
      <c r="V6154">
        <v>1</v>
      </c>
      <c r="W6154">
        <v>1</v>
      </c>
      <c r="X6154">
        <v>1</v>
      </c>
      <c r="Y6154">
        <v>0</v>
      </c>
      <c r="Z6154">
        <v>1</v>
      </c>
      <c r="AA6154">
        <v>126.16</v>
      </c>
      <c r="AB6154">
        <v>126.16</v>
      </c>
      <c r="AC6154">
        <v>111</v>
      </c>
      <c r="AD6154">
        <v>0</v>
      </c>
      <c r="AE6154">
        <v>15.16</v>
      </c>
      <c r="AF6154">
        <v>0</v>
      </c>
      <c r="AG6154">
        <v>0</v>
      </c>
      <c r="AH6154">
        <v>0</v>
      </c>
      <c r="AI6154">
        <v>22.71</v>
      </c>
      <c r="AJ6154">
        <v>126.16</v>
      </c>
      <c r="AK6154">
        <v>0</v>
      </c>
      <c r="AL6154" t="s">
        <v>53</v>
      </c>
      <c r="AM6154" t="s">
        <v>53</v>
      </c>
      <c r="AN6154" t="s">
        <v>53</v>
      </c>
      <c r="AO6154" t="s">
        <v>53</v>
      </c>
      <c r="AP6154" t="s">
        <v>53</v>
      </c>
    </row>
    <row r="6155" spans="2:42" x14ac:dyDescent="0.2">
      <c r="B6155" t="s">
        <v>44</v>
      </c>
      <c r="C6155" t="str">
        <f>HYPERLINK("https://us2.cloudbeds.com/connect/8493803454333002#/reservations/9080486846593199?display=2W2P00U4BC&amp;reservation_id=9080486846593199", "2W2P00U4BC")</f>
        <v>2W2P00U4BC</v>
      </c>
      <c r="D6155" t="s">
        <v>45</v>
      </c>
      <c r="E6155" t="s">
        <v>179</v>
      </c>
      <c r="F6155" t="s">
        <v>47</v>
      </c>
      <c r="G6155" t="s">
        <v>48</v>
      </c>
      <c r="H6155" t="s">
        <v>49</v>
      </c>
      <c r="I6155" t="s">
        <v>50</v>
      </c>
      <c r="J6155" t="s">
        <v>7293</v>
      </c>
      <c r="K6155" t="s">
        <v>5743</v>
      </c>
      <c r="L6155" t="s">
        <v>53</v>
      </c>
      <c r="N6155" t="s">
        <v>11030</v>
      </c>
      <c r="P6155" t="s">
        <v>55</v>
      </c>
      <c r="R6155" t="s">
        <v>53</v>
      </c>
      <c r="T6155" t="s">
        <v>11031</v>
      </c>
      <c r="U6155" t="s">
        <v>58</v>
      </c>
      <c r="V6155">
        <v>2</v>
      </c>
      <c r="W6155">
        <v>1</v>
      </c>
      <c r="X6155">
        <v>2</v>
      </c>
      <c r="Y6155">
        <v>0</v>
      </c>
      <c r="Z6155">
        <v>2</v>
      </c>
      <c r="AA6155">
        <v>338.59</v>
      </c>
      <c r="AB6155">
        <v>338.59</v>
      </c>
      <c r="AC6155">
        <v>297.92</v>
      </c>
      <c r="AD6155">
        <v>0</v>
      </c>
      <c r="AE6155">
        <v>40.67</v>
      </c>
      <c r="AF6155">
        <v>0</v>
      </c>
      <c r="AG6155">
        <v>0</v>
      </c>
      <c r="AH6155">
        <v>0</v>
      </c>
      <c r="AI6155">
        <v>60.95</v>
      </c>
      <c r="AJ6155">
        <v>338.59</v>
      </c>
      <c r="AK6155">
        <v>0</v>
      </c>
      <c r="AL6155" t="s">
        <v>53</v>
      </c>
      <c r="AM6155" t="s">
        <v>53</v>
      </c>
      <c r="AN6155" t="s">
        <v>53</v>
      </c>
      <c r="AO6155" t="s">
        <v>53</v>
      </c>
      <c r="AP6155" t="s">
        <v>53</v>
      </c>
    </row>
    <row r="6156" spans="2:42" x14ac:dyDescent="0.2">
      <c r="B6156" t="s">
        <v>44</v>
      </c>
      <c r="C6156" t="str">
        <f>HYPERLINK("https://us2.cloudbeds.com/connect/8493803454333002#/reservations/137954399641804?display=2W2VRYUY7U&amp;reservation_id=137954399641804", "2W2VRYUY7U")</f>
        <v>2W2VRYUY7U</v>
      </c>
      <c r="D6156" t="s">
        <v>45</v>
      </c>
      <c r="E6156" t="s">
        <v>373</v>
      </c>
      <c r="F6156" t="s">
        <v>47</v>
      </c>
      <c r="G6156" t="s">
        <v>5966</v>
      </c>
      <c r="H6156" t="s">
        <v>3957</v>
      </c>
      <c r="I6156" t="s">
        <v>3989</v>
      </c>
      <c r="J6156" t="s">
        <v>8314</v>
      </c>
      <c r="K6156" t="s">
        <v>5508</v>
      </c>
      <c r="L6156" t="s">
        <v>53</v>
      </c>
      <c r="P6156" t="s">
        <v>55</v>
      </c>
      <c r="R6156" t="s">
        <v>56</v>
      </c>
      <c r="T6156" t="s">
        <v>11032</v>
      </c>
      <c r="U6156" t="s">
        <v>58</v>
      </c>
      <c r="V6156">
        <v>3</v>
      </c>
      <c r="W6156">
        <v>1</v>
      </c>
      <c r="X6156">
        <v>1</v>
      </c>
      <c r="Y6156">
        <v>0</v>
      </c>
      <c r="Z6156">
        <v>1</v>
      </c>
      <c r="AA6156">
        <v>708.26</v>
      </c>
      <c r="AB6156">
        <v>708.26</v>
      </c>
      <c r="AC6156">
        <v>623.20000000000005</v>
      </c>
      <c r="AD6156">
        <v>0</v>
      </c>
      <c r="AE6156">
        <v>85.06</v>
      </c>
      <c r="AF6156">
        <v>0</v>
      </c>
      <c r="AG6156">
        <v>0</v>
      </c>
      <c r="AH6156">
        <v>0</v>
      </c>
      <c r="AI6156">
        <v>0</v>
      </c>
      <c r="AJ6156">
        <v>708.26</v>
      </c>
      <c r="AK6156">
        <v>0</v>
      </c>
      <c r="AL6156" t="s">
        <v>53</v>
      </c>
      <c r="AM6156" t="s">
        <v>53</v>
      </c>
      <c r="AN6156" t="s">
        <v>53</v>
      </c>
      <c r="AO6156" t="s">
        <v>53</v>
      </c>
      <c r="AP6156" t="s">
        <v>53</v>
      </c>
    </row>
    <row r="6157" spans="2:42" x14ac:dyDescent="0.2">
      <c r="B6157" t="s">
        <v>44</v>
      </c>
      <c r="C6157" t="str">
        <f>HYPERLINK("https://us2.cloudbeds.com/connect/8493803454333002#/reservations/137955552391382?display=2W2WZ3VJQA&amp;reservation_id=137955552391382", "2W2WZ3VJQA")</f>
        <v>2W2WZ3VJQA</v>
      </c>
      <c r="D6157" t="s">
        <v>45</v>
      </c>
      <c r="E6157" t="s">
        <v>381</v>
      </c>
      <c r="F6157" t="s">
        <v>47</v>
      </c>
      <c r="G6157" t="s">
        <v>5966</v>
      </c>
      <c r="H6157" t="s">
        <v>3957</v>
      </c>
      <c r="I6157" t="s">
        <v>3989</v>
      </c>
      <c r="J6157" t="s">
        <v>8314</v>
      </c>
      <c r="K6157" t="s">
        <v>5508</v>
      </c>
      <c r="L6157" t="s">
        <v>53</v>
      </c>
      <c r="P6157" t="s">
        <v>55</v>
      </c>
      <c r="R6157" t="s">
        <v>56</v>
      </c>
      <c r="T6157" t="s">
        <v>11033</v>
      </c>
      <c r="U6157" t="s">
        <v>58</v>
      </c>
      <c r="V6157">
        <v>3</v>
      </c>
      <c r="W6157">
        <v>1</v>
      </c>
      <c r="X6157">
        <v>1</v>
      </c>
      <c r="Y6157">
        <v>0</v>
      </c>
      <c r="Z6157">
        <v>1</v>
      </c>
      <c r="AA6157">
        <v>708.26</v>
      </c>
      <c r="AB6157">
        <v>708.26</v>
      </c>
      <c r="AC6157">
        <v>623.20000000000005</v>
      </c>
      <c r="AD6157">
        <v>0</v>
      </c>
      <c r="AE6157">
        <v>85.06</v>
      </c>
      <c r="AF6157">
        <v>0</v>
      </c>
      <c r="AG6157">
        <v>0</v>
      </c>
      <c r="AH6157">
        <v>0</v>
      </c>
      <c r="AI6157">
        <v>0</v>
      </c>
      <c r="AJ6157">
        <v>708.26</v>
      </c>
      <c r="AK6157">
        <v>0</v>
      </c>
      <c r="AL6157" t="s">
        <v>53</v>
      </c>
      <c r="AM6157" t="s">
        <v>53</v>
      </c>
      <c r="AN6157" t="s">
        <v>53</v>
      </c>
      <c r="AO6157" t="s">
        <v>53</v>
      </c>
      <c r="AP6157" t="s">
        <v>53</v>
      </c>
    </row>
    <row r="6158" spans="2:42" x14ac:dyDescent="0.2">
      <c r="B6158" t="s">
        <v>44</v>
      </c>
      <c r="C6158" t="str">
        <f>HYPERLINK("https://us2.cloudbeds.com/connect/8493803454333002#/reservations/9080486846593914?display=2W3GHAR361&amp;reservation_id=9080486846593914", "2W3GHAR361")</f>
        <v>2W3GHAR361</v>
      </c>
      <c r="D6158" t="s">
        <v>45</v>
      </c>
      <c r="E6158" t="s">
        <v>179</v>
      </c>
      <c r="F6158" t="s">
        <v>47</v>
      </c>
      <c r="G6158" t="s">
        <v>48</v>
      </c>
      <c r="H6158" t="s">
        <v>49</v>
      </c>
      <c r="I6158" t="s">
        <v>50</v>
      </c>
      <c r="J6158" t="s">
        <v>8829</v>
      </c>
      <c r="K6158" t="s">
        <v>8911</v>
      </c>
      <c r="L6158" t="s">
        <v>53</v>
      </c>
      <c r="N6158" t="s">
        <v>11034</v>
      </c>
      <c r="P6158" t="s">
        <v>55</v>
      </c>
      <c r="R6158" t="s">
        <v>53</v>
      </c>
      <c r="T6158" t="s">
        <v>11035</v>
      </c>
      <c r="U6158" t="s">
        <v>58</v>
      </c>
      <c r="V6158">
        <v>1</v>
      </c>
      <c r="W6158">
        <v>1</v>
      </c>
      <c r="X6158">
        <v>2</v>
      </c>
      <c r="Y6158">
        <v>0</v>
      </c>
      <c r="Z6158">
        <v>2</v>
      </c>
      <c r="AA6158">
        <v>145.25</v>
      </c>
      <c r="AB6158">
        <v>145.25</v>
      </c>
      <c r="AC6158">
        <v>127.8</v>
      </c>
      <c r="AD6158">
        <v>0</v>
      </c>
      <c r="AE6158">
        <v>17.45</v>
      </c>
      <c r="AF6158">
        <v>0</v>
      </c>
      <c r="AG6158">
        <v>0</v>
      </c>
      <c r="AH6158">
        <v>0</v>
      </c>
      <c r="AI6158">
        <v>26.15</v>
      </c>
      <c r="AJ6158">
        <v>145.25</v>
      </c>
      <c r="AK6158">
        <v>0</v>
      </c>
      <c r="AL6158" t="s">
        <v>53</v>
      </c>
      <c r="AM6158" t="s">
        <v>53</v>
      </c>
      <c r="AN6158" t="s">
        <v>53</v>
      </c>
      <c r="AO6158" t="s">
        <v>53</v>
      </c>
      <c r="AP6158" t="s">
        <v>53</v>
      </c>
    </row>
    <row r="6159" spans="2:42" x14ac:dyDescent="0.2">
      <c r="B6159" t="s">
        <v>44</v>
      </c>
      <c r="C6159" t="str">
        <f>HYPERLINK("https://us2.cloudbeds.com/connect/8493803454333002#/reservations/137977028546759?display=2W3GBT799G&amp;reservation_id=137977028546759", "2W3GBT799G")</f>
        <v>2W3GBT799G</v>
      </c>
      <c r="D6159" t="s">
        <v>45</v>
      </c>
      <c r="E6159" t="s">
        <v>46</v>
      </c>
      <c r="F6159" t="s">
        <v>47</v>
      </c>
      <c r="G6159" t="s">
        <v>48</v>
      </c>
      <c r="H6159" t="s">
        <v>3957</v>
      </c>
      <c r="I6159" t="s">
        <v>3989</v>
      </c>
      <c r="J6159" t="s">
        <v>8799</v>
      </c>
      <c r="K6159" t="s">
        <v>8829</v>
      </c>
      <c r="L6159" t="s">
        <v>53</v>
      </c>
      <c r="P6159" t="s">
        <v>55</v>
      </c>
      <c r="R6159" t="s">
        <v>56</v>
      </c>
      <c r="T6159" t="s">
        <v>11036</v>
      </c>
      <c r="U6159" t="s">
        <v>58</v>
      </c>
      <c r="V6159">
        <v>1</v>
      </c>
      <c r="W6159">
        <v>1</v>
      </c>
      <c r="X6159">
        <v>1</v>
      </c>
      <c r="Y6159">
        <v>0</v>
      </c>
      <c r="Z6159">
        <v>1</v>
      </c>
      <c r="AA6159">
        <v>168.2</v>
      </c>
      <c r="AB6159">
        <v>168.2</v>
      </c>
      <c r="AC6159">
        <v>148</v>
      </c>
      <c r="AD6159">
        <v>0</v>
      </c>
      <c r="AE6159">
        <v>20.2</v>
      </c>
      <c r="AF6159">
        <v>0</v>
      </c>
      <c r="AG6159">
        <v>0</v>
      </c>
      <c r="AH6159">
        <v>0</v>
      </c>
      <c r="AI6159">
        <v>0</v>
      </c>
      <c r="AJ6159">
        <v>168.2</v>
      </c>
      <c r="AK6159">
        <v>0</v>
      </c>
      <c r="AL6159" t="s">
        <v>53</v>
      </c>
      <c r="AM6159" t="s">
        <v>53</v>
      </c>
      <c r="AN6159" t="s">
        <v>53</v>
      </c>
      <c r="AO6159" t="s">
        <v>53</v>
      </c>
      <c r="AP6159" t="s">
        <v>53</v>
      </c>
    </row>
    <row r="6160" spans="2:42" x14ac:dyDescent="0.2">
      <c r="B6160" t="s">
        <v>44</v>
      </c>
      <c r="C6160" t="str">
        <f>HYPERLINK("https://us2.cloudbeds.com/connect/8493803454333002#/reservations/9080486846594494?display=2W445GBT9P&amp;reservation_id=9080486846594494", "2W445GBT9P")</f>
        <v>2W445GBT9P</v>
      </c>
      <c r="D6160" t="s">
        <v>45</v>
      </c>
      <c r="E6160" t="s">
        <v>406</v>
      </c>
      <c r="F6160" t="s">
        <v>61</v>
      </c>
      <c r="G6160" t="s">
        <v>48</v>
      </c>
      <c r="H6160" t="s">
        <v>49</v>
      </c>
      <c r="I6160" t="s">
        <v>50</v>
      </c>
      <c r="J6160" t="s">
        <v>8615</v>
      </c>
      <c r="K6160" t="s">
        <v>10121</v>
      </c>
      <c r="L6160" t="s">
        <v>53</v>
      </c>
      <c r="N6160" t="s">
        <v>11037</v>
      </c>
      <c r="P6160" t="s">
        <v>55</v>
      </c>
      <c r="R6160" t="s">
        <v>53</v>
      </c>
      <c r="T6160" t="s">
        <v>11038</v>
      </c>
      <c r="U6160" t="s">
        <v>58</v>
      </c>
      <c r="V6160">
        <v>2</v>
      </c>
      <c r="W6160">
        <v>1</v>
      </c>
      <c r="X6160">
        <v>2</v>
      </c>
      <c r="Y6160">
        <v>0</v>
      </c>
      <c r="Z6160">
        <v>2</v>
      </c>
      <c r="AA6160">
        <v>398.97</v>
      </c>
      <c r="AB6160">
        <v>409.83</v>
      </c>
      <c r="AC6160">
        <v>351.05</v>
      </c>
      <c r="AD6160">
        <v>10</v>
      </c>
      <c r="AE6160">
        <v>48.78</v>
      </c>
      <c r="AF6160">
        <v>0</v>
      </c>
      <c r="AG6160">
        <v>0</v>
      </c>
      <c r="AH6160">
        <v>0</v>
      </c>
      <c r="AI6160">
        <v>73.77</v>
      </c>
      <c r="AJ6160">
        <v>409.83</v>
      </c>
      <c r="AK6160">
        <v>0</v>
      </c>
      <c r="AL6160" t="s">
        <v>53</v>
      </c>
      <c r="AM6160" t="s">
        <v>53</v>
      </c>
      <c r="AN6160" t="s">
        <v>53</v>
      </c>
      <c r="AO6160" t="s">
        <v>53</v>
      </c>
      <c r="AP6160" t="s">
        <v>53</v>
      </c>
    </row>
    <row r="6161" spans="2:42" x14ac:dyDescent="0.2">
      <c r="B6161" t="s">
        <v>44</v>
      </c>
      <c r="C6161" t="str">
        <f>HYPERLINK("https://us2.cloudbeds.com/connect/8493803454333002#/reservations/9080486846595214?display=2W550UTXRD&amp;reservation_id=9080486846595214", "2W550UTXRD")</f>
        <v>2W550UTXRD</v>
      </c>
      <c r="D6161" t="s">
        <v>45</v>
      </c>
      <c r="E6161" t="s">
        <v>487</v>
      </c>
      <c r="F6161" t="s">
        <v>61</v>
      </c>
      <c r="G6161" t="s">
        <v>48</v>
      </c>
      <c r="H6161" t="s">
        <v>49</v>
      </c>
      <c r="I6161" t="s">
        <v>50</v>
      </c>
      <c r="J6161" t="s">
        <v>8829</v>
      </c>
      <c r="K6161" t="s">
        <v>8911</v>
      </c>
      <c r="L6161" t="s">
        <v>53</v>
      </c>
      <c r="N6161" t="s">
        <v>11039</v>
      </c>
      <c r="P6161" t="s">
        <v>55</v>
      </c>
      <c r="R6161" t="s">
        <v>53</v>
      </c>
      <c r="T6161" t="s">
        <v>11040</v>
      </c>
      <c r="U6161" t="s">
        <v>58</v>
      </c>
      <c r="V6161">
        <v>1</v>
      </c>
      <c r="W6161">
        <v>1</v>
      </c>
      <c r="X6161">
        <v>2</v>
      </c>
      <c r="Y6161">
        <v>0</v>
      </c>
      <c r="Z6161">
        <v>2</v>
      </c>
      <c r="AA6161">
        <v>157.52000000000001</v>
      </c>
      <c r="AB6161">
        <v>157.52000000000001</v>
      </c>
      <c r="AC6161">
        <v>138.6</v>
      </c>
      <c r="AD6161">
        <v>0</v>
      </c>
      <c r="AE6161">
        <v>18.920000000000002</v>
      </c>
      <c r="AF6161">
        <v>0</v>
      </c>
      <c r="AG6161">
        <v>0</v>
      </c>
      <c r="AH6161">
        <v>0</v>
      </c>
      <c r="AI6161">
        <v>28.35</v>
      </c>
      <c r="AJ6161">
        <v>157.52000000000001</v>
      </c>
      <c r="AK6161">
        <v>0</v>
      </c>
      <c r="AL6161" t="s">
        <v>53</v>
      </c>
      <c r="AM6161" t="s">
        <v>53</v>
      </c>
      <c r="AN6161" t="s">
        <v>53</v>
      </c>
      <c r="AO6161" t="s">
        <v>53</v>
      </c>
      <c r="AP6161" t="s">
        <v>53</v>
      </c>
    </row>
    <row r="6162" spans="2:42" x14ac:dyDescent="0.2">
      <c r="B6162" t="s">
        <v>44</v>
      </c>
      <c r="C6162" t="str">
        <f>HYPERLINK("https://us2.cloudbeds.com/connect/8493803454333002#/reservations/9080486846595332?display=2W5CF6SPRG&amp;reservation_id=9080486846595332", "2W5CF6SPRG")</f>
        <v>2W5CF6SPRG</v>
      </c>
      <c r="D6162" t="s">
        <v>45</v>
      </c>
      <c r="E6162" t="s">
        <v>179</v>
      </c>
      <c r="F6162" t="s">
        <v>47</v>
      </c>
      <c r="G6162" t="s">
        <v>48</v>
      </c>
      <c r="H6162" t="s">
        <v>49</v>
      </c>
      <c r="I6162" t="s">
        <v>50</v>
      </c>
      <c r="J6162" t="s">
        <v>6828</v>
      </c>
      <c r="K6162" t="s">
        <v>6992</v>
      </c>
      <c r="L6162" t="s">
        <v>53</v>
      </c>
      <c r="N6162" t="s">
        <v>11041</v>
      </c>
      <c r="P6162" t="s">
        <v>55</v>
      </c>
      <c r="R6162" t="s">
        <v>53</v>
      </c>
      <c r="T6162" t="s">
        <v>11042</v>
      </c>
      <c r="U6162" t="s">
        <v>58</v>
      </c>
      <c r="V6162">
        <v>1</v>
      </c>
      <c r="W6162">
        <v>1</v>
      </c>
      <c r="X6162">
        <v>2</v>
      </c>
      <c r="Y6162">
        <v>0</v>
      </c>
      <c r="Z6162">
        <v>2</v>
      </c>
      <c r="AA6162">
        <v>163.25</v>
      </c>
      <c r="AB6162">
        <v>163.25</v>
      </c>
      <c r="AC6162">
        <v>143.63999999999999</v>
      </c>
      <c r="AD6162">
        <v>0</v>
      </c>
      <c r="AE6162">
        <v>19.61</v>
      </c>
      <c r="AF6162">
        <v>0</v>
      </c>
      <c r="AG6162">
        <v>0</v>
      </c>
      <c r="AH6162">
        <v>0</v>
      </c>
      <c r="AI6162">
        <v>29.39</v>
      </c>
      <c r="AJ6162">
        <v>163.25</v>
      </c>
      <c r="AK6162">
        <v>0</v>
      </c>
      <c r="AL6162" t="s">
        <v>53</v>
      </c>
      <c r="AM6162" t="s">
        <v>53</v>
      </c>
      <c r="AN6162" t="s">
        <v>53</v>
      </c>
      <c r="AO6162" t="s">
        <v>53</v>
      </c>
      <c r="AP6162" t="s">
        <v>53</v>
      </c>
    </row>
    <row r="6163" spans="2:42" x14ac:dyDescent="0.2">
      <c r="B6163" t="s">
        <v>44</v>
      </c>
      <c r="C6163" t="str">
        <f>HYPERLINK("https://us2.cloudbeds.com/connect/8493803454333002#/reservations/138082609750246?display=2W5W3Z2TU6&amp;reservation_id=138082609750246", "2W5W3Z2TU6")</f>
        <v>2W5W3Z2TU6</v>
      </c>
      <c r="D6163" t="s">
        <v>45</v>
      </c>
      <c r="E6163" t="s">
        <v>223</v>
      </c>
      <c r="F6163" t="s">
        <v>47</v>
      </c>
      <c r="G6163" t="s">
        <v>48</v>
      </c>
      <c r="H6163" t="s">
        <v>3957</v>
      </c>
      <c r="I6163" t="s">
        <v>3958</v>
      </c>
      <c r="J6163" t="s">
        <v>8799</v>
      </c>
      <c r="K6163" t="s">
        <v>8829</v>
      </c>
      <c r="L6163" t="s">
        <v>53</v>
      </c>
      <c r="P6163" t="s">
        <v>55</v>
      </c>
      <c r="R6163" t="s">
        <v>56</v>
      </c>
      <c r="T6163" t="s">
        <v>11043</v>
      </c>
      <c r="U6163" t="s">
        <v>58</v>
      </c>
      <c r="V6163">
        <v>1</v>
      </c>
      <c r="W6163">
        <v>1</v>
      </c>
      <c r="X6163">
        <v>1</v>
      </c>
      <c r="Y6163">
        <v>0</v>
      </c>
      <c r="Z6163">
        <v>1</v>
      </c>
      <c r="AA6163">
        <v>168.2</v>
      </c>
      <c r="AB6163">
        <v>168.2</v>
      </c>
      <c r="AC6163">
        <v>148</v>
      </c>
      <c r="AD6163">
        <v>0</v>
      </c>
      <c r="AE6163">
        <v>20.2</v>
      </c>
      <c r="AF6163">
        <v>0</v>
      </c>
      <c r="AG6163">
        <v>0</v>
      </c>
      <c r="AH6163">
        <v>0</v>
      </c>
      <c r="AI6163">
        <v>0</v>
      </c>
      <c r="AJ6163">
        <v>168.2</v>
      </c>
      <c r="AK6163">
        <v>0</v>
      </c>
      <c r="AL6163" t="s">
        <v>53</v>
      </c>
      <c r="AM6163" t="s">
        <v>53</v>
      </c>
      <c r="AN6163" t="s">
        <v>53</v>
      </c>
      <c r="AO6163" t="s">
        <v>53</v>
      </c>
      <c r="AP6163" t="s">
        <v>53</v>
      </c>
    </row>
    <row r="6164" spans="2:42" x14ac:dyDescent="0.2">
      <c r="B6164" t="s">
        <v>44</v>
      </c>
      <c r="C6164" t="str">
        <f>HYPERLINK("https://us2.cloudbeds.com/connect/8493803454333002#/reservations/9080486846596078?display=2W6XWN26CG&amp;reservation_id=9080486846596078", "2W6XWN26CG")</f>
        <v>2W6XWN26CG</v>
      </c>
      <c r="D6164" t="s">
        <v>45</v>
      </c>
      <c r="E6164" t="s">
        <v>406</v>
      </c>
      <c r="F6164" t="s">
        <v>61</v>
      </c>
      <c r="G6164" t="s">
        <v>48</v>
      </c>
      <c r="H6164" t="s">
        <v>49</v>
      </c>
      <c r="I6164" t="s">
        <v>50</v>
      </c>
      <c r="J6164" t="s">
        <v>8829</v>
      </c>
      <c r="K6164" t="s">
        <v>8911</v>
      </c>
      <c r="L6164" t="s">
        <v>53</v>
      </c>
      <c r="N6164" t="s">
        <v>11044</v>
      </c>
      <c r="P6164" t="s">
        <v>55</v>
      </c>
      <c r="R6164" t="s">
        <v>53</v>
      </c>
      <c r="T6164" t="s">
        <v>11045</v>
      </c>
      <c r="U6164" t="s">
        <v>58</v>
      </c>
      <c r="V6164">
        <v>1</v>
      </c>
      <c r="W6164">
        <v>1</v>
      </c>
      <c r="X6164">
        <v>2</v>
      </c>
      <c r="Y6164">
        <v>0</v>
      </c>
      <c r="Z6164">
        <v>2</v>
      </c>
      <c r="AA6164">
        <v>157.52000000000001</v>
      </c>
      <c r="AB6164">
        <v>157.52000000000001</v>
      </c>
      <c r="AC6164">
        <v>138.6</v>
      </c>
      <c r="AD6164">
        <v>0</v>
      </c>
      <c r="AE6164">
        <v>18.920000000000002</v>
      </c>
      <c r="AF6164">
        <v>0</v>
      </c>
      <c r="AG6164">
        <v>0</v>
      </c>
      <c r="AH6164">
        <v>0</v>
      </c>
      <c r="AI6164">
        <v>28.35</v>
      </c>
      <c r="AJ6164">
        <v>157.52000000000001</v>
      </c>
      <c r="AK6164">
        <v>0</v>
      </c>
      <c r="AL6164" t="s">
        <v>53</v>
      </c>
      <c r="AM6164" t="s">
        <v>53</v>
      </c>
      <c r="AN6164" t="s">
        <v>53</v>
      </c>
      <c r="AO6164" t="s">
        <v>53</v>
      </c>
      <c r="AP6164" t="s">
        <v>53</v>
      </c>
    </row>
    <row r="6165" spans="2:42" x14ac:dyDescent="0.2">
      <c r="B6165" t="s">
        <v>44</v>
      </c>
      <c r="C6165" t="str">
        <f>HYPERLINK("https://us2.cloudbeds.com/connect/8493803454333002#/reservations/138233026355392?display=2W9GJ7BXXR&amp;reservation_id=138233026355392", "2W9GJ7BXXR")</f>
        <v>2W9GJ7BXXR</v>
      </c>
      <c r="D6165" t="s">
        <v>45</v>
      </c>
      <c r="E6165" t="s">
        <v>487</v>
      </c>
      <c r="F6165" t="s">
        <v>61</v>
      </c>
      <c r="G6165" t="s">
        <v>48</v>
      </c>
      <c r="H6165" t="s">
        <v>3957</v>
      </c>
      <c r="I6165" t="s">
        <v>3975</v>
      </c>
      <c r="J6165" t="s">
        <v>6829</v>
      </c>
      <c r="K6165" t="s">
        <v>5402</v>
      </c>
      <c r="L6165" t="s">
        <v>53</v>
      </c>
      <c r="P6165" t="s">
        <v>55</v>
      </c>
      <c r="R6165" t="s">
        <v>56</v>
      </c>
      <c r="T6165" t="s">
        <v>11046</v>
      </c>
      <c r="U6165" t="s">
        <v>58</v>
      </c>
      <c r="V6165">
        <v>2</v>
      </c>
      <c r="W6165">
        <v>1</v>
      </c>
      <c r="X6165">
        <v>2</v>
      </c>
      <c r="Y6165">
        <v>0</v>
      </c>
      <c r="Z6165">
        <v>2</v>
      </c>
      <c r="AA6165">
        <v>427.33</v>
      </c>
      <c r="AB6165">
        <v>427.33</v>
      </c>
      <c r="AC6165">
        <v>376</v>
      </c>
      <c r="AD6165">
        <v>0</v>
      </c>
      <c r="AE6165">
        <v>51.33</v>
      </c>
      <c r="AF6165">
        <v>0</v>
      </c>
      <c r="AG6165">
        <v>0</v>
      </c>
      <c r="AH6165">
        <v>0</v>
      </c>
      <c r="AI6165">
        <v>0</v>
      </c>
      <c r="AJ6165">
        <v>427.33</v>
      </c>
      <c r="AK6165">
        <v>0</v>
      </c>
      <c r="AL6165" t="s">
        <v>53</v>
      </c>
      <c r="AM6165" t="s">
        <v>53</v>
      </c>
      <c r="AN6165" t="s">
        <v>53</v>
      </c>
      <c r="AO6165" t="s">
        <v>53</v>
      </c>
      <c r="AP6165" t="s">
        <v>53</v>
      </c>
    </row>
    <row r="6166" spans="2:42" x14ac:dyDescent="0.2">
      <c r="B6166" t="s">
        <v>44</v>
      </c>
      <c r="C6166" t="str">
        <f>HYPERLINK("https://us2.cloudbeds.com/connect/8493803454333002#/reservations/9080486846598463?display=2WA7F6GZU7&amp;reservation_id=9080486846598463", "2WA7F6GZU7")</f>
        <v>2WA7F6GZU7</v>
      </c>
      <c r="D6166" t="s">
        <v>45</v>
      </c>
      <c r="E6166" t="s">
        <v>46</v>
      </c>
      <c r="F6166" t="s">
        <v>47</v>
      </c>
      <c r="G6166" t="s">
        <v>48</v>
      </c>
      <c r="H6166" t="s">
        <v>49</v>
      </c>
      <c r="I6166" t="s">
        <v>62</v>
      </c>
      <c r="J6166" t="s">
        <v>7293</v>
      </c>
      <c r="K6166" t="s">
        <v>7294</v>
      </c>
      <c r="L6166" t="s">
        <v>53</v>
      </c>
      <c r="N6166" t="s">
        <v>11047</v>
      </c>
      <c r="P6166" t="s">
        <v>55</v>
      </c>
      <c r="R6166" t="s">
        <v>56</v>
      </c>
      <c r="T6166" t="s">
        <v>11048</v>
      </c>
      <c r="U6166" t="s">
        <v>55</v>
      </c>
      <c r="V6166">
        <v>1</v>
      </c>
      <c r="W6166">
        <v>1</v>
      </c>
      <c r="X6166">
        <v>2</v>
      </c>
      <c r="Y6166">
        <v>0</v>
      </c>
      <c r="Z6166">
        <v>2</v>
      </c>
      <c r="AA6166">
        <v>178.6</v>
      </c>
      <c r="AB6166">
        <v>178.6</v>
      </c>
      <c r="AC6166">
        <v>178.6</v>
      </c>
      <c r="AD6166">
        <v>0</v>
      </c>
      <c r="AE6166">
        <v>0</v>
      </c>
      <c r="AF6166">
        <v>0</v>
      </c>
      <c r="AG6166">
        <v>0</v>
      </c>
      <c r="AH6166">
        <v>0</v>
      </c>
      <c r="AI6166">
        <v>32.15</v>
      </c>
      <c r="AJ6166">
        <v>178.6</v>
      </c>
      <c r="AK6166">
        <v>0</v>
      </c>
      <c r="AL6166" t="s">
        <v>53</v>
      </c>
      <c r="AM6166" t="s">
        <v>53</v>
      </c>
      <c r="AN6166" t="s">
        <v>53</v>
      </c>
      <c r="AO6166" t="s">
        <v>53</v>
      </c>
      <c r="AP6166" t="s">
        <v>53</v>
      </c>
    </row>
    <row r="6167" spans="2:42" x14ac:dyDescent="0.2">
      <c r="B6167" t="s">
        <v>44</v>
      </c>
      <c r="C6167" t="str">
        <f>HYPERLINK("https://us2.cloudbeds.com/connect/8493803454333002#/reservations/9080486846598588?display=2WABAFD2EN&amp;reservation_id=9080486846598588", "2WABAFD2EN")</f>
        <v>2WABAFD2EN</v>
      </c>
      <c r="D6167" t="s">
        <v>45</v>
      </c>
      <c r="E6167" t="s">
        <v>265</v>
      </c>
      <c r="F6167" t="s">
        <v>61</v>
      </c>
      <c r="G6167" t="s">
        <v>48</v>
      </c>
      <c r="H6167" t="s">
        <v>49</v>
      </c>
      <c r="I6167" t="s">
        <v>50</v>
      </c>
      <c r="J6167" t="s">
        <v>8829</v>
      </c>
      <c r="K6167" t="s">
        <v>8911</v>
      </c>
      <c r="L6167" t="s">
        <v>53</v>
      </c>
      <c r="N6167" t="s">
        <v>11049</v>
      </c>
      <c r="P6167" t="s">
        <v>55</v>
      </c>
      <c r="R6167" t="s">
        <v>53</v>
      </c>
      <c r="T6167" t="s">
        <v>11050</v>
      </c>
      <c r="U6167" t="s">
        <v>58</v>
      </c>
      <c r="V6167">
        <v>1</v>
      </c>
      <c r="W6167">
        <v>1</v>
      </c>
      <c r="X6167">
        <v>1</v>
      </c>
      <c r="Y6167">
        <v>0</v>
      </c>
      <c r="Z6167">
        <v>1</v>
      </c>
      <c r="AA6167">
        <v>148.77000000000001</v>
      </c>
      <c r="AB6167">
        <v>148.77000000000001</v>
      </c>
      <c r="AC6167">
        <v>130.9</v>
      </c>
      <c r="AD6167">
        <v>0</v>
      </c>
      <c r="AE6167">
        <v>17.87</v>
      </c>
      <c r="AF6167">
        <v>0</v>
      </c>
      <c r="AG6167">
        <v>0</v>
      </c>
      <c r="AH6167">
        <v>0</v>
      </c>
      <c r="AI6167">
        <v>26.78</v>
      </c>
      <c r="AJ6167">
        <v>148.77000000000001</v>
      </c>
      <c r="AK6167">
        <v>0</v>
      </c>
      <c r="AL6167" t="s">
        <v>53</v>
      </c>
      <c r="AM6167" t="s">
        <v>53</v>
      </c>
      <c r="AN6167" t="s">
        <v>53</v>
      </c>
      <c r="AO6167" t="s">
        <v>53</v>
      </c>
      <c r="AP6167" t="s">
        <v>53</v>
      </c>
    </row>
    <row r="6168" spans="2:42" x14ac:dyDescent="0.2">
      <c r="B6168" t="s">
        <v>44</v>
      </c>
      <c r="C6168" t="str">
        <f>HYPERLINK("https://us2.cloudbeds.com/connect/8493803454333002#/reservations/9080486846598652?display=2WAD87VVQT&amp;reservation_id=9080486846598652", "2WAD87VVQT")</f>
        <v>2WAD87VVQT</v>
      </c>
      <c r="D6168" t="s">
        <v>45</v>
      </c>
      <c r="E6168" t="s">
        <v>110</v>
      </c>
      <c r="F6168" t="s">
        <v>47</v>
      </c>
      <c r="G6168" t="s">
        <v>48</v>
      </c>
      <c r="H6168" t="s">
        <v>49</v>
      </c>
      <c r="I6168" t="s">
        <v>50</v>
      </c>
      <c r="J6168" t="s">
        <v>7493</v>
      </c>
      <c r="K6168" t="s">
        <v>6345</v>
      </c>
      <c r="L6168" t="s">
        <v>53</v>
      </c>
      <c r="N6168" t="s">
        <v>11051</v>
      </c>
      <c r="P6168" t="s">
        <v>55</v>
      </c>
      <c r="R6168" t="s">
        <v>53</v>
      </c>
      <c r="T6168" t="s">
        <v>11052</v>
      </c>
      <c r="U6168" t="s">
        <v>58</v>
      </c>
      <c r="V6168">
        <v>2</v>
      </c>
      <c r="W6168">
        <v>1</v>
      </c>
      <c r="X6168">
        <v>2</v>
      </c>
      <c r="Y6168">
        <v>0</v>
      </c>
      <c r="Z6168">
        <v>2</v>
      </c>
      <c r="AA6168">
        <v>316.39999999999998</v>
      </c>
      <c r="AB6168">
        <v>316.39999999999998</v>
      </c>
      <c r="AC6168">
        <v>278.39999999999998</v>
      </c>
      <c r="AD6168">
        <v>0</v>
      </c>
      <c r="AE6168">
        <v>38</v>
      </c>
      <c r="AF6168">
        <v>0</v>
      </c>
      <c r="AG6168">
        <v>0</v>
      </c>
      <c r="AH6168">
        <v>0</v>
      </c>
      <c r="AI6168">
        <v>56.95</v>
      </c>
      <c r="AJ6168">
        <v>316.39999999999998</v>
      </c>
      <c r="AK6168">
        <v>0</v>
      </c>
      <c r="AL6168" t="s">
        <v>53</v>
      </c>
      <c r="AM6168" t="s">
        <v>53</v>
      </c>
      <c r="AN6168" t="s">
        <v>53</v>
      </c>
      <c r="AO6168" t="s">
        <v>53</v>
      </c>
      <c r="AP6168" t="s">
        <v>53</v>
      </c>
    </row>
    <row r="6169" spans="2:42" x14ac:dyDescent="0.2">
      <c r="B6169" t="s">
        <v>44</v>
      </c>
      <c r="C6169" t="str">
        <f>HYPERLINK("https://us2.cloudbeds.com/connect/8493803454333002#/reservations/9080486846598836?display=2WAX9H1X6M&amp;reservation_id=9080486846598836", "2WAX9H1X6M")</f>
        <v>2WAX9H1X6M</v>
      </c>
      <c r="D6169" t="s">
        <v>45</v>
      </c>
      <c r="E6169" t="s">
        <v>223</v>
      </c>
      <c r="F6169" t="s">
        <v>47</v>
      </c>
      <c r="G6169" t="s">
        <v>48</v>
      </c>
      <c r="H6169" t="s">
        <v>49</v>
      </c>
      <c r="I6169" t="s">
        <v>50</v>
      </c>
      <c r="J6169" t="s">
        <v>8138</v>
      </c>
      <c r="K6169" t="s">
        <v>5403</v>
      </c>
      <c r="L6169" t="s">
        <v>53</v>
      </c>
      <c r="N6169" t="s">
        <v>11053</v>
      </c>
      <c r="P6169" t="s">
        <v>55</v>
      </c>
      <c r="R6169" t="s">
        <v>53</v>
      </c>
      <c r="T6169" t="s">
        <v>11054</v>
      </c>
      <c r="U6169" t="s">
        <v>58</v>
      </c>
      <c r="V6169">
        <v>2</v>
      </c>
      <c r="W6169">
        <v>1</v>
      </c>
      <c r="X6169">
        <v>2</v>
      </c>
      <c r="Y6169">
        <v>0</v>
      </c>
      <c r="Z6169">
        <v>2</v>
      </c>
      <c r="AA6169">
        <v>395.84</v>
      </c>
      <c r="AB6169">
        <v>395.84</v>
      </c>
      <c r="AC6169">
        <v>348.3</v>
      </c>
      <c r="AD6169">
        <v>0</v>
      </c>
      <c r="AE6169">
        <v>47.54</v>
      </c>
      <c r="AF6169">
        <v>0</v>
      </c>
      <c r="AG6169">
        <v>0</v>
      </c>
      <c r="AH6169">
        <v>0</v>
      </c>
      <c r="AI6169">
        <v>71.25</v>
      </c>
      <c r="AJ6169">
        <v>395.84</v>
      </c>
      <c r="AK6169">
        <v>0</v>
      </c>
      <c r="AL6169" t="s">
        <v>53</v>
      </c>
      <c r="AM6169" t="s">
        <v>53</v>
      </c>
      <c r="AN6169" t="s">
        <v>53</v>
      </c>
      <c r="AO6169" t="s">
        <v>53</v>
      </c>
      <c r="AP6169" t="s">
        <v>53</v>
      </c>
    </row>
    <row r="6170" spans="2:42" x14ac:dyDescent="0.2">
      <c r="B6170" t="s">
        <v>44</v>
      </c>
      <c r="C6170" t="str">
        <f>HYPERLINK("https://us2.cloudbeds.com/connect/8493803454333002#/reservations/138286788268244?display=2WAP6VR4WA&amp;reservation_id=138286788268244", "2WAP6VR4WA")</f>
        <v>2WAP6VR4WA</v>
      </c>
      <c r="D6170" t="s">
        <v>45</v>
      </c>
      <c r="E6170" t="s">
        <v>11055</v>
      </c>
      <c r="F6170" t="s">
        <v>61</v>
      </c>
      <c r="G6170" t="s">
        <v>48</v>
      </c>
      <c r="H6170" t="s">
        <v>3957</v>
      </c>
      <c r="I6170" t="s">
        <v>3958</v>
      </c>
      <c r="J6170" t="s">
        <v>6991</v>
      </c>
      <c r="K6170" t="s">
        <v>6828</v>
      </c>
      <c r="L6170" t="s">
        <v>53</v>
      </c>
      <c r="P6170" t="s">
        <v>55</v>
      </c>
      <c r="R6170" t="s">
        <v>56</v>
      </c>
      <c r="T6170" t="s">
        <v>11056</v>
      </c>
      <c r="U6170" t="s">
        <v>58</v>
      </c>
      <c r="V6170">
        <v>2</v>
      </c>
      <c r="W6170">
        <v>2</v>
      </c>
      <c r="X6170">
        <v>2</v>
      </c>
      <c r="Y6170">
        <v>0</v>
      </c>
      <c r="Z6170">
        <v>2</v>
      </c>
      <c r="AA6170">
        <v>386.42</v>
      </c>
      <c r="AB6170">
        <v>386.42</v>
      </c>
      <c r="AC6170">
        <v>340</v>
      </c>
      <c r="AD6170">
        <v>0</v>
      </c>
      <c r="AE6170">
        <v>46.42</v>
      </c>
      <c r="AF6170">
        <v>0</v>
      </c>
      <c r="AG6170">
        <v>0</v>
      </c>
      <c r="AH6170">
        <v>0</v>
      </c>
      <c r="AI6170">
        <v>0</v>
      </c>
      <c r="AJ6170">
        <v>386.42</v>
      </c>
      <c r="AK6170">
        <v>0</v>
      </c>
      <c r="AL6170" t="s">
        <v>53</v>
      </c>
      <c r="AM6170" t="s">
        <v>53</v>
      </c>
      <c r="AN6170" t="s">
        <v>53</v>
      </c>
      <c r="AO6170" t="s">
        <v>53</v>
      </c>
      <c r="AP6170" t="s">
        <v>53</v>
      </c>
    </row>
    <row r="6171" spans="2:42" x14ac:dyDescent="0.2">
      <c r="B6171" t="s">
        <v>44</v>
      </c>
      <c r="C6171" t="str">
        <f>HYPERLINK("https://us2.cloudbeds.com/connect/8493803454333002#/reservations/138288253300954?display=2WAQBD5RTU&amp;reservation_id=138288253300954", "2WAQBD5RTU")</f>
        <v>2WAQBD5RTU</v>
      </c>
      <c r="D6171" t="s">
        <v>45</v>
      </c>
      <c r="E6171" t="s">
        <v>373</v>
      </c>
      <c r="F6171" t="s">
        <v>47</v>
      </c>
      <c r="G6171" t="s">
        <v>48</v>
      </c>
      <c r="H6171" t="s">
        <v>3957</v>
      </c>
      <c r="I6171" t="s">
        <v>3958</v>
      </c>
      <c r="J6171" t="s">
        <v>6991</v>
      </c>
      <c r="K6171" t="s">
        <v>6992</v>
      </c>
      <c r="L6171" t="s">
        <v>53</v>
      </c>
      <c r="P6171" t="s">
        <v>55</v>
      </c>
      <c r="R6171" t="s">
        <v>56</v>
      </c>
      <c r="T6171" t="s">
        <v>11057</v>
      </c>
      <c r="U6171" t="s">
        <v>58</v>
      </c>
      <c r="V6171">
        <v>2</v>
      </c>
      <c r="W6171">
        <v>1</v>
      </c>
      <c r="X6171">
        <v>1</v>
      </c>
      <c r="Y6171">
        <v>0</v>
      </c>
      <c r="Z6171">
        <v>1</v>
      </c>
      <c r="AA6171">
        <v>338.68</v>
      </c>
      <c r="AB6171">
        <v>338.68</v>
      </c>
      <c r="AC6171">
        <v>298</v>
      </c>
      <c r="AD6171">
        <v>0</v>
      </c>
      <c r="AE6171">
        <v>40.68</v>
      </c>
      <c r="AF6171">
        <v>0</v>
      </c>
      <c r="AG6171">
        <v>0</v>
      </c>
      <c r="AH6171">
        <v>0</v>
      </c>
      <c r="AI6171">
        <v>0</v>
      </c>
      <c r="AJ6171">
        <v>338.68</v>
      </c>
      <c r="AK6171">
        <v>0</v>
      </c>
      <c r="AL6171" t="s">
        <v>53</v>
      </c>
      <c r="AM6171" t="s">
        <v>53</v>
      </c>
      <c r="AN6171" t="s">
        <v>53</v>
      </c>
      <c r="AO6171" t="s">
        <v>53</v>
      </c>
      <c r="AP6171" t="s">
        <v>53</v>
      </c>
    </row>
    <row r="6172" spans="2:42" x14ac:dyDescent="0.2">
      <c r="B6172" t="s">
        <v>44</v>
      </c>
      <c r="C6172" t="str">
        <f>HYPERLINK("https://us2.cloudbeds.com/connect/8493803454333002#/reservations/138288702365921?display=2WAQMSRZE7&amp;reservation_id=138288702365921", "2WAQMSRZE7")</f>
        <v>2WAQMSRZE7</v>
      </c>
      <c r="D6172" t="s">
        <v>45</v>
      </c>
      <c r="E6172" t="s">
        <v>110</v>
      </c>
      <c r="F6172" t="s">
        <v>47</v>
      </c>
      <c r="G6172" t="s">
        <v>48</v>
      </c>
      <c r="H6172" t="s">
        <v>3957</v>
      </c>
      <c r="I6172" t="s">
        <v>3958</v>
      </c>
      <c r="J6172" t="s">
        <v>9829</v>
      </c>
      <c r="K6172" t="s">
        <v>6991</v>
      </c>
      <c r="L6172" t="s">
        <v>53</v>
      </c>
      <c r="P6172" t="s">
        <v>55</v>
      </c>
      <c r="R6172" t="s">
        <v>56</v>
      </c>
      <c r="T6172" t="s">
        <v>11058</v>
      </c>
      <c r="U6172" t="s">
        <v>58</v>
      </c>
      <c r="V6172">
        <v>1</v>
      </c>
      <c r="W6172">
        <v>1</v>
      </c>
      <c r="X6172">
        <v>1</v>
      </c>
      <c r="Y6172">
        <v>0</v>
      </c>
      <c r="Z6172">
        <v>1</v>
      </c>
      <c r="AA6172">
        <v>169.34</v>
      </c>
      <c r="AB6172">
        <v>169.34</v>
      </c>
      <c r="AC6172">
        <v>149</v>
      </c>
      <c r="AD6172">
        <v>0</v>
      </c>
      <c r="AE6172">
        <v>20.34</v>
      </c>
      <c r="AF6172">
        <v>0</v>
      </c>
      <c r="AG6172">
        <v>0</v>
      </c>
      <c r="AH6172">
        <v>0</v>
      </c>
      <c r="AI6172">
        <v>0</v>
      </c>
      <c r="AJ6172">
        <v>169.34</v>
      </c>
      <c r="AK6172">
        <v>0</v>
      </c>
      <c r="AL6172" t="s">
        <v>53</v>
      </c>
      <c r="AM6172" t="s">
        <v>53</v>
      </c>
      <c r="AN6172" t="s">
        <v>53</v>
      </c>
      <c r="AO6172" t="s">
        <v>53</v>
      </c>
      <c r="AP6172" t="s">
        <v>53</v>
      </c>
    </row>
    <row r="6173" spans="2:42" x14ac:dyDescent="0.2">
      <c r="B6173" t="s">
        <v>44</v>
      </c>
      <c r="C6173" t="str">
        <f>HYPERLINK("https://us2.cloudbeds.com/connect/8493803454333002#/reservations/138289875554458?display=2WARJS3EX0&amp;reservation_id=138289875554458", "2WARJS3EX0")</f>
        <v>2WARJS3EX0</v>
      </c>
      <c r="D6173" t="s">
        <v>45</v>
      </c>
      <c r="E6173" t="s">
        <v>98</v>
      </c>
      <c r="F6173" t="s">
        <v>86</v>
      </c>
      <c r="G6173" t="s">
        <v>48</v>
      </c>
      <c r="H6173" t="s">
        <v>3957</v>
      </c>
      <c r="I6173" t="s">
        <v>3958</v>
      </c>
      <c r="J6173" t="s">
        <v>9829</v>
      </c>
      <c r="K6173" t="s">
        <v>6991</v>
      </c>
      <c r="L6173" t="s">
        <v>53</v>
      </c>
      <c r="P6173" t="s">
        <v>55</v>
      </c>
      <c r="R6173" t="s">
        <v>56</v>
      </c>
      <c r="T6173" t="s">
        <v>11059</v>
      </c>
      <c r="U6173" t="s">
        <v>58</v>
      </c>
      <c r="V6173">
        <v>1</v>
      </c>
      <c r="W6173">
        <v>1</v>
      </c>
      <c r="X6173">
        <v>1</v>
      </c>
      <c r="Y6173">
        <v>0</v>
      </c>
      <c r="Z6173">
        <v>1</v>
      </c>
      <c r="AA6173">
        <v>255.72</v>
      </c>
      <c r="AB6173">
        <v>255.72</v>
      </c>
      <c r="AC6173">
        <v>225</v>
      </c>
      <c r="AD6173">
        <v>0</v>
      </c>
      <c r="AE6173">
        <v>30.72</v>
      </c>
      <c r="AF6173">
        <v>0</v>
      </c>
      <c r="AG6173">
        <v>0</v>
      </c>
      <c r="AH6173">
        <v>0</v>
      </c>
      <c r="AI6173">
        <v>0</v>
      </c>
      <c r="AJ6173">
        <v>255.72</v>
      </c>
      <c r="AK6173">
        <v>0</v>
      </c>
      <c r="AL6173" t="s">
        <v>53</v>
      </c>
      <c r="AM6173" t="s">
        <v>53</v>
      </c>
      <c r="AN6173" t="s">
        <v>53</v>
      </c>
      <c r="AO6173" t="s">
        <v>53</v>
      </c>
      <c r="AP6173" t="s">
        <v>53</v>
      </c>
    </row>
    <row r="6174" spans="2:42" x14ac:dyDescent="0.2">
      <c r="B6174" t="s">
        <v>44</v>
      </c>
      <c r="C6174" t="str">
        <f>HYPERLINK("https://us2.cloudbeds.com/connect/8493803454333002#/reservations/138291525673103?display=2WAST0HE0A&amp;reservation_id=138291525673103", "2WAST0HE0A")</f>
        <v>2WAST0HE0A</v>
      </c>
      <c r="D6174" t="s">
        <v>45</v>
      </c>
      <c r="E6174" t="s">
        <v>223</v>
      </c>
      <c r="F6174" t="s">
        <v>47</v>
      </c>
      <c r="G6174" t="s">
        <v>48</v>
      </c>
      <c r="H6174" t="s">
        <v>3957</v>
      </c>
      <c r="I6174" t="s">
        <v>3958</v>
      </c>
      <c r="J6174" t="s">
        <v>9829</v>
      </c>
      <c r="K6174" t="s">
        <v>6992</v>
      </c>
      <c r="L6174" t="s">
        <v>53</v>
      </c>
      <c r="P6174" t="s">
        <v>55</v>
      </c>
      <c r="R6174" t="s">
        <v>56</v>
      </c>
      <c r="T6174" t="s">
        <v>11060</v>
      </c>
      <c r="U6174" t="s">
        <v>58</v>
      </c>
      <c r="V6174">
        <v>3</v>
      </c>
      <c r="W6174">
        <v>1</v>
      </c>
      <c r="X6174">
        <v>1</v>
      </c>
      <c r="Y6174">
        <v>0</v>
      </c>
      <c r="Z6174">
        <v>1</v>
      </c>
      <c r="AA6174">
        <v>508.02</v>
      </c>
      <c r="AB6174">
        <v>508.02</v>
      </c>
      <c r="AC6174">
        <v>447</v>
      </c>
      <c r="AD6174">
        <v>0</v>
      </c>
      <c r="AE6174">
        <v>61.02</v>
      </c>
      <c r="AF6174">
        <v>0</v>
      </c>
      <c r="AG6174">
        <v>0</v>
      </c>
      <c r="AH6174">
        <v>0</v>
      </c>
      <c r="AI6174">
        <v>0</v>
      </c>
      <c r="AJ6174">
        <v>508.02</v>
      </c>
      <c r="AK6174">
        <v>0</v>
      </c>
      <c r="AL6174" t="s">
        <v>53</v>
      </c>
      <c r="AM6174" t="s">
        <v>53</v>
      </c>
      <c r="AN6174" t="s">
        <v>53</v>
      </c>
      <c r="AO6174" t="s">
        <v>53</v>
      </c>
      <c r="AP6174" t="s">
        <v>53</v>
      </c>
    </row>
    <row r="6175" spans="2:42" x14ac:dyDescent="0.2">
      <c r="B6175" t="s">
        <v>44</v>
      </c>
      <c r="C6175" t="str">
        <f>HYPERLINK("https://us2.cloudbeds.com/connect/8493803454333002#/reservations/138291982717180?display=2WAT7MUBHR&amp;reservation_id=138291982717180", "2WAT7MUBHR")</f>
        <v>2WAT7MUBHR</v>
      </c>
      <c r="D6175" t="s">
        <v>45</v>
      </c>
      <c r="E6175" t="s">
        <v>46</v>
      </c>
      <c r="F6175" t="s">
        <v>47</v>
      </c>
      <c r="G6175" t="s">
        <v>48</v>
      </c>
      <c r="H6175" t="s">
        <v>3957</v>
      </c>
      <c r="I6175" t="s">
        <v>3958</v>
      </c>
      <c r="J6175" t="s">
        <v>6991</v>
      </c>
      <c r="K6175" t="s">
        <v>6828</v>
      </c>
      <c r="L6175" t="s">
        <v>53</v>
      </c>
      <c r="P6175" t="s">
        <v>55</v>
      </c>
      <c r="R6175" t="s">
        <v>56</v>
      </c>
      <c r="T6175" t="s">
        <v>11061</v>
      </c>
      <c r="U6175" t="s">
        <v>58</v>
      </c>
      <c r="V6175">
        <v>1</v>
      </c>
      <c r="W6175">
        <v>1</v>
      </c>
      <c r="X6175">
        <v>1</v>
      </c>
      <c r="Y6175">
        <v>0</v>
      </c>
      <c r="Z6175">
        <v>1</v>
      </c>
      <c r="AA6175">
        <v>169.34</v>
      </c>
      <c r="AB6175">
        <v>169.34</v>
      </c>
      <c r="AC6175">
        <v>149</v>
      </c>
      <c r="AD6175">
        <v>0</v>
      </c>
      <c r="AE6175">
        <v>20.34</v>
      </c>
      <c r="AF6175">
        <v>0</v>
      </c>
      <c r="AG6175">
        <v>0</v>
      </c>
      <c r="AH6175">
        <v>0</v>
      </c>
      <c r="AI6175">
        <v>0</v>
      </c>
      <c r="AJ6175">
        <v>169.34</v>
      </c>
      <c r="AK6175">
        <v>0</v>
      </c>
      <c r="AL6175" t="s">
        <v>53</v>
      </c>
      <c r="AM6175" t="s">
        <v>53</v>
      </c>
      <c r="AN6175" t="s">
        <v>53</v>
      </c>
      <c r="AO6175" t="s">
        <v>53</v>
      </c>
      <c r="AP6175" t="s">
        <v>53</v>
      </c>
    </row>
    <row r="6176" spans="2:42" x14ac:dyDescent="0.2">
      <c r="B6176" t="s">
        <v>44</v>
      </c>
      <c r="C6176" t="str">
        <f>HYPERLINK("https://us2.cloudbeds.com/connect/8493803454333002#/reservations/138330961285324?display=2WBQDMMFDF&amp;reservation_id=138330961285324", "2WBQDMMFDF")</f>
        <v>2WBQDMMFDF</v>
      </c>
      <c r="D6176" t="s">
        <v>45</v>
      </c>
      <c r="E6176" t="s">
        <v>155</v>
      </c>
      <c r="F6176" t="s">
        <v>86</v>
      </c>
      <c r="G6176" t="s">
        <v>5966</v>
      </c>
      <c r="H6176" t="s">
        <v>3957</v>
      </c>
      <c r="I6176" t="s">
        <v>3989</v>
      </c>
      <c r="J6176" t="s">
        <v>8829</v>
      </c>
      <c r="K6176" t="s">
        <v>8911</v>
      </c>
      <c r="L6176" t="s">
        <v>53</v>
      </c>
      <c r="P6176" t="s">
        <v>55</v>
      </c>
      <c r="R6176" t="s">
        <v>56</v>
      </c>
      <c r="T6176" t="s">
        <v>11062</v>
      </c>
      <c r="U6176" t="s">
        <v>58</v>
      </c>
      <c r="V6176">
        <v>1</v>
      </c>
      <c r="W6176">
        <v>1</v>
      </c>
      <c r="X6176">
        <v>1</v>
      </c>
      <c r="Y6176">
        <v>0</v>
      </c>
      <c r="Z6176">
        <v>1</v>
      </c>
      <c r="AA6176">
        <v>148.19999999999999</v>
      </c>
      <c r="AB6176">
        <v>148.19999999999999</v>
      </c>
      <c r="AC6176">
        <v>130.4</v>
      </c>
      <c r="AD6176">
        <v>0</v>
      </c>
      <c r="AE6176">
        <v>17.8</v>
      </c>
      <c r="AF6176">
        <v>0</v>
      </c>
      <c r="AG6176">
        <v>0</v>
      </c>
      <c r="AH6176">
        <v>0</v>
      </c>
      <c r="AI6176">
        <v>0</v>
      </c>
      <c r="AJ6176">
        <v>148.19999999999999</v>
      </c>
      <c r="AK6176">
        <v>0</v>
      </c>
      <c r="AL6176" t="s">
        <v>53</v>
      </c>
      <c r="AM6176" t="s">
        <v>53</v>
      </c>
      <c r="AN6176" t="s">
        <v>53</v>
      </c>
      <c r="AO6176" t="s">
        <v>53</v>
      </c>
      <c r="AP6176" t="s">
        <v>53</v>
      </c>
    </row>
    <row r="6177" spans="2:42" x14ac:dyDescent="0.2">
      <c r="B6177" t="s">
        <v>44</v>
      </c>
      <c r="C6177" t="str">
        <f>HYPERLINK("https://us2.cloudbeds.com/connect/8493803454333002#/reservations/9080486846600298?display=2WBVQE304M&amp;reservation_id=9080486846600298", "2WBVQE304M")</f>
        <v>2WBVQE304M</v>
      </c>
      <c r="D6177" t="s">
        <v>45</v>
      </c>
      <c r="E6177" t="s">
        <v>121</v>
      </c>
      <c r="F6177" t="s">
        <v>86</v>
      </c>
      <c r="G6177" t="s">
        <v>48</v>
      </c>
      <c r="H6177" t="s">
        <v>49</v>
      </c>
      <c r="I6177" t="s">
        <v>50</v>
      </c>
      <c r="J6177" t="s">
        <v>8829</v>
      </c>
      <c r="K6177" t="s">
        <v>8911</v>
      </c>
      <c r="L6177" t="s">
        <v>53</v>
      </c>
      <c r="N6177" t="s">
        <v>11063</v>
      </c>
      <c r="P6177" t="s">
        <v>55</v>
      </c>
      <c r="R6177" t="s">
        <v>53</v>
      </c>
      <c r="T6177" t="s">
        <v>11064</v>
      </c>
      <c r="U6177" t="s">
        <v>58</v>
      </c>
      <c r="V6177">
        <v>1</v>
      </c>
      <c r="W6177">
        <v>1</v>
      </c>
      <c r="X6177">
        <v>2</v>
      </c>
      <c r="Y6177">
        <v>0</v>
      </c>
      <c r="Z6177">
        <v>2</v>
      </c>
      <c r="AA6177">
        <v>182.07</v>
      </c>
      <c r="AB6177">
        <v>182.07</v>
      </c>
      <c r="AC6177">
        <v>160.19999999999999</v>
      </c>
      <c r="AD6177">
        <v>0</v>
      </c>
      <c r="AE6177">
        <v>21.87</v>
      </c>
      <c r="AF6177">
        <v>0</v>
      </c>
      <c r="AG6177">
        <v>0</v>
      </c>
      <c r="AH6177">
        <v>0</v>
      </c>
      <c r="AI6177">
        <v>32.770000000000003</v>
      </c>
      <c r="AJ6177">
        <v>182.07</v>
      </c>
      <c r="AK6177">
        <v>0</v>
      </c>
      <c r="AL6177" t="s">
        <v>53</v>
      </c>
      <c r="AM6177" t="s">
        <v>53</v>
      </c>
      <c r="AN6177" t="s">
        <v>53</v>
      </c>
      <c r="AO6177" t="s">
        <v>53</v>
      </c>
      <c r="AP6177" t="s">
        <v>53</v>
      </c>
    </row>
    <row r="6178" spans="2:42" x14ac:dyDescent="0.2">
      <c r="B6178" t="s">
        <v>44</v>
      </c>
      <c r="C6178" t="str">
        <f>HYPERLINK("https://us2.cloudbeds.com/connect/8493803454333002#/reservations/9080486846600308?display=2WBW57TFZD&amp;reservation_id=9080486846600308", "2WBW57TFZD")</f>
        <v>2WBW57TFZD</v>
      </c>
      <c r="D6178" t="s">
        <v>45</v>
      </c>
      <c r="E6178" t="s">
        <v>105</v>
      </c>
      <c r="F6178" t="s">
        <v>47</v>
      </c>
      <c r="G6178" t="s">
        <v>48</v>
      </c>
      <c r="H6178" t="s">
        <v>49</v>
      </c>
      <c r="I6178" t="s">
        <v>50</v>
      </c>
      <c r="J6178" t="s">
        <v>8911</v>
      </c>
      <c r="K6178" t="s">
        <v>8313</v>
      </c>
      <c r="L6178" t="s">
        <v>53</v>
      </c>
      <c r="N6178" t="s">
        <v>11065</v>
      </c>
      <c r="P6178" t="s">
        <v>55</v>
      </c>
      <c r="R6178" t="s">
        <v>53</v>
      </c>
      <c r="T6178" t="s">
        <v>11066</v>
      </c>
      <c r="U6178" t="s">
        <v>58</v>
      </c>
      <c r="V6178">
        <v>2</v>
      </c>
      <c r="W6178">
        <v>1</v>
      </c>
      <c r="X6178">
        <v>1</v>
      </c>
      <c r="Y6178">
        <v>0</v>
      </c>
      <c r="Z6178">
        <v>1</v>
      </c>
      <c r="AA6178">
        <v>275.49</v>
      </c>
      <c r="AB6178">
        <v>275.49</v>
      </c>
      <c r="AC6178">
        <v>242.4</v>
      </c>
      <c r="AD6178">
        <v>0</v>
      </c>
      <c r="AE6178">
        <v>33.090000000000003</v>
      </c>
      <c r="AF6178">
        <v>0</v>
      </c>
      <c r="AG6178">
        <v>0</v>
      </c>
      <c r="AH6178">
        <v>0</v>
      </c>
      <c r="AI6178">
        <v>49.59</v>
      </c>
      <c r="AJ6178">
        <v>275.49</v>
      </c>
      <c r="AK6178">
        <v>0</v>
      </c>
      <c r="AL6178" t="s">
        <v>53</v>
      </c>
      <c r="AM6178" t="s">
        <v>53</v>
      </c>
      <c r="AN6178" t="s">
        <v>53</v>
      </c>
      <c r="AO6178" t="s">
        <v>53</v>
      </c>
      <c r="AP6178" t="s">
        <v>53</v>
      </c>
    </row>
    <row r="6179" spans="2:42" x14ac:dyDescent="0.2">
      <c r="B6179" t="s">
        <v>44</v>
      </c>
      <c r="C6179" t="str">
        <f>HYPERLINK("https://us2.cloudbeds.com/connect/8493803454333002#/reservations/9080486846600945?display=2WCKD68EYB&amp;reservation_id=9080486846600945", "2WCKD68EYB")</f>
        <v>2WCKD68EYB</v>
      </c>
      <c r="D6179" t="s">
        <v>45</v>
      </c>
      <c r="E6179" t="s">
        <v>128</v>
      </c>
      <c r="F6179" t="s">
        <v>86</v>
      </c>
      <c r="G6179" t="s">
        <v>48</v>
      </c>
      <c r="H6179" t="s">
        <v>49</v>
      </c>
      <c r="I6179" t="s">
        <v>50</v>
      </c>
      <c r="J6179" t="s">
        <v>11067</v>
      </c>
      <c r="K6179" t="s">
        <v>11068</v>
      </c>
      <c r="L6179" t="s">
        <v>53</v>
      </c>
      <c r="N6179" t="s">
        <v>11069</v>
      </c>
      <c r="P6179" t="s">
        <v>55</v>
      </c>
      <c r="R6179" t="s">
        <v>53</v>
      </c>
      <c r="T6179" t="s">
        <v>11070</v>
      </c>
      <c r="U6179" t="s">
        <v>58</v>
      </c>
      <c r="V6179">
        <v>1</v>
      </c>
      <c r="W6179">
        <v>1</v>
      </c>
      <c r="X6179">
        <v>2</v>
      </c>
      <c r="Y6179">
        <v>0</v>
      </c>
      <c r="Z6179">
        <v>2</v>
      </c>
      <c r="AA6179">
        <v>121.72</v>
      </c>
      <c r="AB6179">
        <v>121.72</v>
      </c>
      <c r="AC6179">
        <v>107.1</v>
      </c>
      <c r="AD6179">
        <v>0</v>
      </c>
      <c r="AE6179">
        <v>14.62</v>
      </c>
      <c r="AF6179">
        <v>0</v>
      </c>
      <c r="AG6179">
        <v>0</v>
      </c>
      <c r="AH6179">
        <v>0</v>
      </c>
      <c r="AI6179">
        <v>21.91</v>
      </c>
      <c r="AJ6179">
        <v>121.72</v>
      </c>
      <c r="AK6179">
        <v>0</v>
      </c>
      <c r="AL6179" t="s">
        <v>53</v>
      </c>
      <c r="AM6179" t="s">
        <v>53</v>
      </c>
      <c r="AN6179" t="s">
        <v>53</v>
      </c>
      <c r="AO6179" t="s">
        <v>53</v>
      </c>
      <c r="AP6179" t="s">
        <v>53</v>
      </c>
    </row>
    <row r="6180" spans="2:42" x14ac:dyDescent="0.2">
      <c r="B6180" t="s">
        <v>44</v>
      </c>
      <c r="C6180" t="str">
        <f>HYPERLINK("https://us2.cloudbeds.com/connect/8493803454333002#/reservations/9080486846600971?display=2WCYDFJEBN&amp;reservation_id=9080486846600971", "2WCYDFJEBN")</f>
        <v>2WCYDFJEBN</v>
      </c>
      <c r="D6180" t="s">
        <v>45</v>
      </c>
      <c r="E6180" t="s">
        <v>223</v>
      </c>
      <c r="F6180" t="s">
        <v>47</v>
      </c>
      <c r="G6180" t="s">
        <v>48</v>
      </c>
      <c r="H6180" t="s">
        <v>49</v>
      </c>
      <c r="I6180" t="s">
        <v>50</v>
      </c>
      <c r="J6180" t="s">
        <v>8829</v>
      </c>
      <c r="K6180" t="s">
        <v>8911</v>
      </c>
      <c r="L6180" t="s">
        <v>53</v>
      </c>
      <c r="N6180" t="s">
        <v>11071</v>
      </c>
      <c r="P6180" t="s">
        <v>55</v>
      </c>
      <c r="R6180" t="s">
        <v>53</v>
      </c>
      <c r="T6180" t="s">
        <v>11072</v>
      </c>
      <c r="U6180" t="s">
        <v>58</v>
      </c>
      <c r="V6180">
        <v>1</v>
      </c>
      <c r="W6180">
        <v>1</v>
      </c>
      <c r="X6180">
        <v>2</v>
      </c>
      <c r="Y6180">
        <v>0</v>
      </c>
      <c r="Z6180">
        <v>2</v>
      </c>
      <c r="AA6180">
        <v>146.83000000000001</v>
      </c>
      <c r="AB6180">
        <v>146.83000000000001</v>
      </c>
      <c r="AC6180">
        <v>129.19999999999999</v>
      </c>
      <c r="AD6180">
        <v>0</v>
      </c>
      <c r="AE6180">
        <v>17.63</v>
      </c>
      <c r="AF6180">
        <v>0</v>
      </c>
      <c r="AG6180">
        <v>0</v>
      </c>
      <c r="AH6180">
        <v>0</v>
      </c>
      <c r="AI6180">
        <v>26.43</v>
      </c>
      <c r="AJ6180">
        <v>146.83000000000001</v>
      </c>
      <c r="AK6180">
        <v>0</v>
      </c>
      <c r="AL6180" t="s">
        <v>53</v>
      </c>
      <c r="AM6180" t="s">
        <v>53</v>
      </c>
      <c r="AN6180" t="s">
        <v>53</v>
      </c>
      <c r="AO6180" t="s">
        <v>53</v>
      </c>
      <c r="AP6180" t="s">
        <v>53</v>
      </c>
    </row>
    <row r="6181" spans="2:42" x14ac:dyDescent="0.2">
      <c r="B6181" t="s">
        <v>44</v>
      </c>
      <c r="C6181" t="str">
        <f>HYPERLINK("https://us2.cloudbeds.com/connect/8493803454333002#/reservations/138377310773441?display=2WCTA0Q9RD&amp;reservation_id=138377310773441", "2WCTA0Q9RD")</f>
        <v>2WCTA0Q9RD</v>
      </c>
      <c r="D6181" t="s">
        <v>45</v>
      </c>
      <c r="E6181" t="s">
        <v>46</v>
      </c>
      <c r="F6181" t="s">
        <v>47</v>
      </c>
      <c r="G6181" t="s">
        <v>48</v>
      </c>
      <c r="H6181" t="s">
        <v>3957</v>
      </c>
      <c r="I6181" t="s">
        <v>3958</v>
      </c>
      <c r="J6181" t="s">
        <v>8829</v>
      </c>
      <c r="K6181" t="s">
        <v>8911</v>
      </c>
      <c r="L6181" t="s">
        <v>53</v>
      </c>
      <c r="P6181" t="s">
        <v>55</v>
      </c>
      <c r="R6181" t="s">
        <v>56</v>
      </c>
      <c r="T6181" t="s">
        <v>11073</v>
      </c>
      <c r="U6181" t="s">
        <v>58</v>
      </c>
      <c r="V6181">
        <v>1</v>
      </c>
      <c r="W6181">
        <v>1</v>
      </c>
      <c r="X6181">
        <v>2</v>
      </c>
      <c r="Y6181">
        <v>0</v>
      </c>
      <c r="Z6181">
        <v>2</v>
      </c>
      <c r="AA6181">
        <v>172.75</v>
      </c>
      <c r="AB6181">
        <v>172.75</v>
      </c>
      <c r="AC6181">
        <v>152</v>
      </c>
      <c r="AD6181">
        <v>0</v>
      </c>
      <c r="AE6181">
        <v>20.75</v>
      </c>
      <c r="AF6181">
        <v>0</v>
      </c>
      <c r="AG6181">
        <v>0</v>
      </c>
      <c r="AH6181">
        <v>0</v>
      </c>
      <c r="AI6181">
        <v>0</v>
      </c>
      <c r="AJ6181">
        <v>172.75</v>
      </c>
      <c r="AK6181">
        <v>0</v>
      </c>
      <c r="AL6181" t="s">
        <v>53</v>
      </c>
      <c r="AM6181" t="s">
        <v>53</v>
      </c>
      <c r="AN6181" t="s">
        <v>53</v>
      </c>
      <c r="AO6181" t="s">
        <v>53</v>
      </c>
      <c r="AP6181" t="s">
        <v>53</v>
      </c>
    </row>
    <row r="6182" spans="2:42" x14ac:dyDescent="0.2">
      <c r="B6182" t="s">
        <v>44</v>
      </c>
      <c r="C6182" t="str">
        <f>HYPERLINK("https://us2.cloudbeds.com/connect/8493803454333002#/reservations/9080486846601288?display=2WD0QSKDDJ&amp;reservation_id=9080486846601288", "2WD0QSKDDJ")</f>
        <v>2WD0QSKDDJ</v>
      </c>
      <c r="D6182" t="s">
        <v>45</v>
      </c>
      <c r="E6182" t="s">
        <v>98</v>
      </c>
      <c r="F6182" t="s">
        <v>86</v>
      </c>
      <c r="G6182" t="s">
        <v>48</v>
      </c>
      <c r="H6182" t="s">
        <v>49</v>
      </c>
      <c r="I6182" t="s">
        <v>62</v>
      </c>
      <c r="J6182" t="s">
        <v>8829</v>
      </c>
      <c r="K6182" t="s">
        <v>8911</v>
      </c>
      <c r="L6182" t="s">
        <v>53</v>
      </c>
      <c r="N6182" t="s">
        <v>11074</v>
      </c>
      <c r="P6182" t="s">
        <v>55</v>
      </c>
      <c r="R6182" t="s">
        <v>205</v>
      </c>
      <c r="T6182" t="s">
        <v>11075</v>
      </c>
      <c r="U6182" t="s">
        <v>55</v>
      </c>
      <c r="V6182">
        <v>1</v>
      </c>
      <c r="W6182">
        <v>1</v>
      </c>
      <c r="X6182">
        <v>2</v>
      </c>
      <c r="Y6182">
        <v>2</v>
      </c>
      <c r="Z6182">
        <v>4</v>
      </c>
      <c r="AA6182">
        <v>182</v>
      </c>
      <c r="AB6182">
        <v>182</v>
      </c>
      <c r="AC6182">
        <v>182</v>
      </c>
      <c r="AD6182">
        <v>0</v>
      </c>
      <c r="AE6182">
        <v>0</v>
      </c>
      <c r="AF6182">
        <v>0</v>
      </c>
      <c r="AG6182">
        <v>0</v>
      </c>
      <c r="AH6182">
        <v>0</v>
      </c>
      <c r="AI6182">
        <v>32.76</v>
      </c>
      <c r="AJ6182">
        <v>182</v>
      </c>
      <c r="AK6182">
        <v>0</v>
      </c>
      <c r="AL6182" t="s">
        <v>53</v>
      </c>
      <c r="AM6182" t="s">
        <v>53</v>
      </c>
      <c r="AN6182" t="s">
        <v>53</v>
      </c>
      <c r="AO6182" t="s">
        <v>53</v>
      </c>
      <c r="AP6182" t="s">
        <v>53</v>
      </c>
    </row>
    <row r="6183" spans="2:42" x14ac:dyDescent="0.2">
      <c r="B6183" t="s">
        <v>44</v>
      </c>
      <c r="C6183" t="str">
        <f>HYPERLINK("https://us2.cloudbeds.com/connect/8493803454333002#/reservations/9080486846601297?display=2WD0ZVVD7X&amp;reservation_id=9080486846601297", "2WD0ZVVD7X")</f>
        <v>2WD0ZVVD7X</v>
      </c>
      <c r="D6183" t="s">
        <v>45</v>
      </c>
      <c r="E6183" t="s">
        <v>185</v>
      </c>
      <c r="F6183" t="s">
        <v>47</v>
      </c>
      <c r="G6183" t="s">
        <v>48</v>
      </c>
      <c r="H6183" t="s">
        <v>49</v>
      </c>
      <c r="I6183" t="s">
        <v>62</v>
      </c>
      <c r="J6183" t="s">
        <v>8313</v>
      </c>
      <c r="K6183" t="s">
        <v>8314</v>
      </c>
      <c r="L6183" t="s">
        <v>53</v>
      </c>
      <c r="N6183" t="s">
        <v>11076</v>
      </c>
      <c r="P6183" t="s">
        <v>55</v>
      </c>
      <c r="R6183" t="s">
        <v>56</v>
      </c>
      <c r="T6183" t="s">
        <v>11077</v>
      </c>
      <c r="U6183" t="s">
        <v>55</v>
      </c>
      <c r="V6183">
        <v>2</v>
      </c>
      <c r="W6183">
        <v>1</v>
      </c>
      <c r="X6183">
        <v>2</v>
      </c>
      <c r="Y6183">
        <v>0</v>
      </c>
      <c r="Z6183">
        <v>2</v>
      </c>
      <c r="AA6183">
        <v>601</v>
      </c>
      <c r="AB6183">
        <v>601</v>
      </c>
      <c r="AC6183">
        <v>601</v>
      </c>
      <c r="AD6183">
        <v>0</v>
      </c>
      <c r="AE6183">
        <v>0</v>
      </c>
      <c r="AF6183">
        <v>0</v>
      </c>
      <c r="AG6183">
        <v>0</v>
      </c>
      <c r="AH6183">
        <v>0</v>
      </c>
      <c r="AI6183">
        <v>108.18</v>
      </c>
      <c r="AJ6183">
        <v>601</v>
      </c>
      <c r="AK6183">
        <v>0</v>
      </c>
      <c r="AL6183" t="s">
        <v>53</v>
      </c>
      <c r="AM6183" t="s">
        <v>53</v>
      </c>
      <c r="AN6183" t="s">
        <v>53</v>
      </c>
      <c r="AO6183" t="s">
        <v>53</v>
      </c>
      <c r="AP6183" t="s">
        <v>53</v>
      </c>
    </row>
    <row r="6184" spans="2:42" x14ac:dyDescent="0.2">
      <c r="B6184" t="s">
        <v>44</v>
      </c>
      <c r="C6184" t="str">
        <f>HYPERLINK("https://us2.cloudbeds.com/connect/8493803454333002#/reservations/9080486846601496?display=2WDA51QHB9&amp;reservation_id=9080486846601496", "2WDA51QHB9")</f>
        <v>2WDA51QHB9</v>
      </c>
      <c r="D6184" t="s">
        <v>45</v>
      </c>
      <c r="E6184" t="s">
        <v>3998</v>
      </c>
      <c r="F6184" t="s">
        <v>61</v>
      </c>
      <c r="G6184" t="s">
        <v>48</v>
      </c>
      <c r="H6184" t="s">
        <v>49</v>
      </c>
      <c r="I6184" t="s">
        <v>62</v>
      </c>
      <c r="J6184" t="s">
        <v>6344</v>
      </c>
      <c r="K6184" t="s">
        <v>9687</v>
      </c>
      <c r="L6184" t="s">
        <v>53</v>
      </c>
      <c r="N6184" t="s">
        <v>11078</v>
      </c>
      <c r="P6184" t="s">
        <v>55</v>
      </c>
      <c r="R6184" t="s">
        <v>56</v>
      </c>
      <c r="T6184" t="s">
        <v>11079</v>
      </c>
      <c r="U6184" t="s">
        <v>55</v>
      </c>
      <c r="V6184">
        <v>3</v>
      </c>
      <c r="W6184">
        <v>2</v>
      </c>
      <c r="X6184">
        <v>2</v>
      </c>
      <c r="Y6184">
        <v>0</v>
      </c>
      <c r="Z6184">
        <v>2</v>
      </c>
      <c r="AA6184">
        <v>608</v>
      </c>
      <c r="AB6184">
        <v>608</v>
      </c>
      <c r="AC6184">
        <v>608</v>
      </c>
      <c r="AD6184">
        <v>0</v>
      </c>
      <c r="AE6184">
        <v>0</v>
      </c>
      <c r="AF6184">
        <v>0</v>
      </c>
      <c r="AG6184">
        <v>0</v>
      </c>
      <c r="AH6184">
        <v>0</v>
      </c>
      <c r="AI6184">
        <v>109.44</v>
      </c>
      <c r="AJ6184">
        <v>608</v>
      </c>
      <c r="AK6184">
        <v>0</v>
      </c>
      <c r="AL6184" t="s">
        <v>53</v>
      </c>
      <c r="AM6184" t="s">
        <v>53</v>
      </c>
      <c r="AN6184" t="s">
        <v>53</v>
      </c>
      <c r="AO6184" t="s">
        <v>53</v>
      </c>
      <c r="AP6184" t="s">
        <v>53</v>
      </c>
    </row>
    <row r="6185" spans="2:42" x14ac:dyDescent="0.2">
      <c r="B6185" t="s">
        <v>44</v>
      </c>
      <c r="C6185" t="str">
        <f>HYPERLINK("https://us2.cloudbeds.com/connect/8493803454333002#/reservations/9080486846601735?display=2WDJP2CMEQ&amp;reservation_id=9080486846601735", "2WDJP2CMEQ")</f>
        <v>2WDJP2CMEQ</v>
      </c>
      <c r="D6185" t="s">
        <v>45</v>
      </c>
      <c r="E6185" t="s">
        <v>185</v>
      </c>
      <c r="F6185" t="s">
        <v>47</v>
      </c>
      <c r="G6185" t="s">
        <v>48</v>
      </c>
      <c r="H6185" t="s">
        <v>49</v>
      </c>
      <c r="I6185" t="s">
        <v>50</v>
      </c>
      <c r="J6185" t="s">
        <v>8911</v>
      </c>
      <c r="K6185" t="s">
        <v>9135</v>
      </c>
      <c r="L6185" t="s">
        <v>53</v>
      </c>
      <c r="N6185" t="s">
        <v>11080</v>
      </c>
      <c r="P6185" t="s">
        <v>55</v>
      </c>
      <c r="R6185" t="s">
        <v>53</v>
      </c>
      <c r="T6185" t="s">
        <v>11081</v>
      </c>
      <c r="U6185" t="s">
        <v>58</v>
      </c>
      <c r="V6185">
        <v>1</v>
      </c>
      <c r="W6185">
        <v>1</v>
      </c>
      <c r="X6185">
        <v>2</v>
      </c>
      <c r="Y6185">
        <v>0</v>
      </c>
      <c r="Z6185">
        <v>2</v>
      </c>
      <c r="AA6185">
        <v>126.37</v>
      </c>
      <c r="AB6185">
        <v>126.37</v>
      </c>
      <c r="AC6185">
        <v>111.2</v>
      </c>
      <c r="AD6185">
        <v>0</v>
      </c>
      <c r="AE6185">
        <v>15.17</v>
      </c>
      <c r="AF6185">
        <v>0</v>
      </c>
      <c r="AG6185">
        <v>0</v>
      </c>
      <c r="AH6185">
        <v>0</v>
      </c>
      <c r="AI6185">
        <v>22.75</v>
      </c>
      <c r="AJ6185">
        <v>126.37</v>
      </c>
      <c r="AK6185">
        <v>0</v>
      </c>
      <c r="AL6185" t="s">
        <v>53</v>
      </c>
      <c r="AM6185" t="s">
        <v>53</v>
      </c>
      <c r="AN6185" t="s">
        <v>53</v>
      </c>
      <c r="AO6185" t="s">
        <v>53</v>
      </c>
      <c r="AP6185" t="s">
        <v>53</v>
      </c>
    </row>
    <row r="6186" spans="2:42" x14ac:dyDescent="0.2">
      <c r="B6186" t="s">
        <v>44</v>
      </c>
      <c r="C6186" t="str">
        <f>HYPERLINK("https://us2.cloudbeds.com/connect/8493803454333002#/reservations/9080486846601793?display=2WDYJEH51D&amp;reservation_id=9080486846601793", "2WDYJEH51D")</f>
        <v>2WDYJEH51D</v>
      </c>
      <c r="D6186" t="s">
        <v>45</v>
      </c>
      <c r="E6186" t="s">
        <v>4007</v>
      </c>
      <c r="F6186" t="s">
        <v>47</v>
      </c>
      <c r="G6186" t="s">
        <v>48</v>
      </c>
      <c r="H6186" t="s">
        <v>49</v>
      </c>
      <c r="I6186" t="s">
        <v>62</v>
      </c>
      <c r="J6186" t="s">
        <v>5743</v>
      </c>
      <c r="K6186" t="s">
        <v>5744</v>
      </c>
      <c r="L6186" t="s">
        <v>53</v>
      </c>
      <c r="N6186" t="s">
        <v>11082</v>
      </c>
      <c r="P6186" t="s">
        <v>55</v>
      </c>
      <c r="R6186" t="s">
        <v>56</v>
      </c>
      <c r="T6186" t="s">
        <v>11083</v>
      </c>
      <c r="U6186" t="s">
        <v>55</v>
      </c>
      <c r="V6186">
        <v>4</v>
      </c>
      <c r="W6186">
        <v>2</v>
      </c>
      <c r="X6186">
        <v>2</v>
      </c>
      <c r="Y6186">
        <v>0</v>
      </c>
      <c r="Z6186">
        <v>2</v>
      </c>
      <c r="AA6186">
        <v>925.3</v>
      </c>
      <c r="AB6186">
        <v>925.3</v>
      </c>
      <c r="AC6186">
        <v>925.3</v>
      </c>
      <c r="AD6186">
        <v>0</v>
      </c>
      <c r="AE6186">
        <v>0</v>
      </c>
      <c r="AF6186">
        <v>0</v>
      </c>
      <c r="AG6186">
        <v>0</v>
      </c>
      <c r="AH6186">
        <v>0</v>
      </c>
      <c r="AI6186">
        <v>166.55</v>
      </c>
      <c r="AJ6186">
        <v>925.3</v>
      </c>
      <c r="AK6186">
        <v>0</v>
      </c>
      <c r="AL6186" t="s">
        <v>53</v>
      </c>
      <c r="AM6186" t="s">
        <v>53</v>
      </c>
      <c r="AN6186" t="s">
        <v>53</v>
      </c>
      <c r="AO6186" t="s">
        <v>53</v>
      </c>
      <c r="AP6186" t="s">
        <v>53</v>
      </c>
    </row>
    <row r="6187" spans="2:42" x14ac:dyDescent="0.2">
      <c r="B6187" t="s">
        <v>44</v>
      </c>
      <c r="C6187" t="str">
        <f>HYPERLINK("https://us2.cloudbeds.com/connect/8493803454333002#/reservations/9080486846601796?display=2WDM1U0XGV&amp;reservation_id=9080486846601796", "2WDM1U0XGV")</f>
        <v>2WDM1U0XGV</v>
      </c>
      <c r="D6187" t="s">
        <v>45</v>
      </c>
      <c r="E6187" t="s">
        <v>155</v>
      </c>
      <c r="F6187" t="s">
        <v>86</v>
      </c>
      <c r="G6187" t="s">
        <v>48</v>
      </c>
      <c r="H6187" t="s">
        <v>49</v>
      </c>
      <c r="I6187" t="s">
        <v>62</v>
      </c>
      <c r="J6187" t="s">
        <v>10717</v>
      </c>
      <c r="K6187" t="s">
        <v>6380</v>
      </c>
      <c r="L6187" t="s">
        <v>53</v>
      </c>
      <c r="N6187" t="s">
        <v>11084</v>
      </c>
      <c r="P6187" t="s">
        <v>55</v>
      </c>
      <c r="R6187" t="s">
        <v>56</v>
      </c>
      <c r="T6187" t="s">
        <v>11085</v>
      </c>
      <c r="U6187" t="s">
        <v>55</v>
      </c>
      <c r="V6187">
        <v>1</v>
      </c>
      <c r="W6187">
        <v>1</v>
      </c>
      <c r="X6187">
        <v>2</v>
      </c>
      <c r="Y6187">
        <v>2</v>
      </c>
      <c r="Z6187">
        <v>4</v>
      </c>
      <c r="AA6187">
        <v>222</v>
      </c>
      <c r="AB6187">
        <v>222</v>
      </c>
      <c r="AC6187">
        <v>222</v>
      </c>
      <c r="AD6187">
        <v>0</v>
      </c>
      <c r="AE6187">
        <v>0</v>
      </c>
      <c r="AF6187">
        <v>0</v>
      </c>
      <c r="AG6187">
        <v>0</v>
      </c>
      <c r="AH6187">
        <v>0</v>
      </c>
      <c r="AI6187">
        <v>39.96</v>
      </c>
      <c r="AJ6187">
        <v>222</v>
      </c>
      <c r="AK6187">
        <v>0</v>
      </c>
      <c r="AL6187" t="s">
        <v>53</v>
      </c>
      <c r="AM6187" t="s">
        <v>53</v>
      </c>
      <c r="AN6187" t="s">
        <v>53</v>
      </c>
      <c r="AO6187" t="s">
        <v>53</v>
      </c>
      <c r="AP6187" t="s">
        <v>53</v>
      </c>
    </row>
    <row r="6188" spans="2:42" x14ac:dyDescent="0.2">
      <c r="B6188" t="s">
        <v>44</v>
      </c>
      <c r="C6188" t="str">
        <f>HYPERLINK("https://us2.cloudbeds.com/connect/8493803454333002#/reservations/9080486846602883?display=2WFB4GKKB4&amp;reservation_id=9080486846602883", "2WFB4GKKB4")</f>
        <v>2WFB4GKKB4</v>
      </c>
      <c r="D6188" t="s">
        <v>45</v>
      </c>
      <c r="E6188" t="s">
        <v>155</v>
      </c>
      <c r="F6188" t="s">
        <v>86</v>
      </c>
      <c r="G6188" t="s">
        <v>48</v>
      </c>
      <c r="H6188" t="s">
        <v>49</v>
      </c>
      <c r="I6188" t="s">
        <v>50</v>
      </c>
      <c r="J6188" t="s">
        <v>6828</v>
      </c>
      <c r="K6188" t="s">
        <v>6992</v>
      </c>
      <c r="L6188" t="s">
        <v>53</v>
      </c>
      <c r="N6188" t="s">
        <v>11086</v>
      </c>
      <c r="P6188" t="s">
        <v>55</v>
      </c>
      <c r="R6188" t="s">
        <v>53</v>
      </c>
      <c r="T6188" t="s">
        <v>11087</v>
      </c>
      <c r="U6188" t="s">
        <v>58</v>
      </c>
      <c r="V6188">
        <v>1</v>
      </c>
      <c r="W6188">
        <v>1</v>
      </c>
      <c r="X6188">
        <v>2</v>
      </c>
      <c r="Y6188">
        <v>0</v>
      </c>
      <c r="Z6188">
        <v>2</v>
      </c>
      <c r="AA6188">
        <v>169.08</v>
      </c>
      <c r="AB6188">
        <v>169.08</v>
      </c>
      <c r="AC6188">
        <v>148.77000000000001</v>
      </c>
      <c r="AD6188">
        <v>0</v>
      </c>
      <c r="AE6188">
        <v>20.309999999999999</v>
      </c>
      <c r="AF6188">
        <v>0</v>
      </c>
      <c r="AG6188">
        <v>0</v>
      </c>
      <c r="AH6188">
        <v>0</v>
      </c>
      <c r="AI6188">
        <v>30.43</v>
      </c>
      <c r="AJ6188">
        <v>169.08</v>
      </c>
      <c r="AK6188">
        <v>0</v>
      </c>
      <c r="AL6188" t="s">
        <v>53</v>
      </c>
      <c r="AM6188" t="s">
        <v>53</v>
      </c>
      <c r="AN6188" t="s">
        <v>53</v>
      </c>
      <c r="AO6188" t="s">
        <v>53</v>
      </c>
      <c r="AP6188" t="s">
        <v>53</v>
      </c>
    </row>
    <row r="6189" spans="2:42" x14ac:dyDescent="0.2">
      <c r="B6189" t="s">
        <v>44</v>
      </c>
      <c r="C6189" t="str">
        <f>HYPERLINK("https://us2.cloudbeds.com/connect/8493803454333002#/reservations/9080486846604314?display=2WHH2NV72E&amp;reservation_id=9080486846604314", "2WHH2NV72E")</f>
        <v>2WHH2NV72E</v>
      </c>
      <c r="D6189" t="s">
        <v>45</v>
      </c>
      <c r="E6189" t="s">
        <v>185</v>
      </c>
      <c r="F6189" t="s">
        <v>47</v>
      </c>
      <c r="G6189" t="s">
        <v>48</v>
      </c>
      <c r="H6189" t="s">
        <v>49</v>
      </c>
      <c r="I6189" t="s">
        <v>62</v>
      </c>
      <c r="J6189" t="s">
        <v>9135</v>
      </c>
      <c r="K6189" t="s">
        <v>8313</v>
      </c>
      <c r="L6189" t="s">
        <v>53</v>
      </c>
      <c r="N6189" t="s">
        <v>11088</v>
      </c>
      <c r="P6189" t="s">
        <v>55</v>
      </c>
      <c r="R6189" t="s">
        <v>56</v>
      </c>
      <c r="T6189" t="s">
        <v>11089</v>
      </c>
      <c r="U6189" t="s">
        <v>55</v>
      </c>
      <c r="V6189">
        <v>1</v>
      </c>
      <c r="W6189">
        <v>1</v>
      </c>
      <c r="X6189">
        <v>2</v>
      </c>
      <c r="Y6189">
        <v>0</v>
      </c>
      <c r="Z6189">
        <v>2</v>
      </c>
      <c r="AA6189">
        <v>156</v>
      </c>
      <c r="AB6189">
        <v>156</v>
      </c>
      <c r="AC6189">
        <v>156</v>
      </c>
      <c r="AD6189">
        <v>0</v>
      </c>
      <c r="AE6189">
        <v>0</v>
      </c>
      <c r="AF6189">
        <v>0</v>
      </c>
      <c r="AG6189">
        <v>0</v>
      </c>
      <c r="AH6189">
        <v>0</v>
      </c>
      <c r="AI6189">
        <v>28.08</v>
      </c>
      <c r="AJ6189">
        <v>156</v>
      </c>
      <c r="AK6189">
        <v>0</v>
      </c>
      <c r="AL6189" t="s">
        <v>53</v>
      </c>
      <c r="AM6189" t="s">
        <v>53</v>
      </c>
      <c r="AN6189" t="s">
        <v>53</v>
      </c>
      <c r="AO6189" t="s">
        <v>53</v>
      </c>
      <c r="AP6189" t="s">
        <v>53</v>
      </c>
    </row>
    <row r="6190" spans="2:42" x14ac:dyDescent="0.2">
      <c r="B6190" t="s">
        <v>44</v>
      </c>
      <c r="C6190" t="str">
        <f>HYPERLINK("https://us2.cloudbeds.com/connect/8493803454333002#/reservations/9080486846604534?display=2WHQ6J27WG&amp;reservation_id=9080486846604534", "2WHQ6J27WG")</f>
        <v>2WHQ6J27WG</v>
      </c>
      <c r="D6190" t="s">
        <v>45</v>
      </c>
      <c r="E6190" t="s">
        <v>179</v>
      </c>
      <c r="F6190" t="s">
        <v>47</v>
      </c>
      <c r="G6190" t="s">
        <v>48</v>
      </c>
      <c r="H6190" t="s">
        <v>49</v>
      </c>
      <c r="I6190" t="s">
        <v>8964</v>
      </c>
      <c r="J6190" t="s">
        <v>8911</v>
      </c>
      <c r="K6190" t="s">
        <v>9135</v>
      </c>
      <c r="L6190" t="s">
        <v>53</v>
      </c>
      <c r="N6190" t="s">
        <v>11090</v>
      </c>
      <c r="P6190" t="s">
        <v>55</v>
      </c>
      <c r="R6190" t="s">
        <v>53</v>
      </c>
      <c r="T6190" t="s">
        <v>11091</v>
      </c>
      <c r="U6190" t="s">
        <v>58</v>
      </c>
      <c r="V6190">
        <v>1</v>
      </c>
      <c r="W6190">
        <v>1</v>
      </c>
      <c r="X6190">
        <v>1</v>
      </c>
      <c r="Y6190">
        <v>0</v>
      </c>
      <c r="Z6190">
        <v>1</v>
      </c>
      <c r="AA6190">
        <v>0</v>
      </c>
      <c r="AB6190">
        <v>0</v>
      </c>
      <c r="AC6190">
        <v>149</v>
      </c>
      <c r="AD6190">
        <v>0</v>
      </c>
      <c r="AE6190">
        <v>0</v>
      </c>
      <c r="AF6190">
        <v>0</v>
      </c>
      <c r="AG6190">
        <v>0</v>
      </c>
      <c r="AH6190">
        <v>0</v>
      </c>
      <c r="AI6190">
        <v>22.35</v>
      </c>
      <c r="AJ6190">
        <v>149</v>
      </c>
      <c r="AK6190">
        <v>149</v>
      </c>
      <c r="AL6190" t="s">
        <v>53</v>
      </c>
      <c r="AM6190" t="s">
        <v>53</v>
      </c>
      <c r="AN6190" t="s">
        <v>53</v>
      </c>
      <c r="AO6190" t="s">
        <v>53</v>
      </c>
      <c r="AP6190" t="s">
        <v>53</v>
      </c>
    </row>
    <row r="6191" spans="2:42" x14ac:dyDescent="0.2">
      <c r="B6191" t="s">
        <v>44</v>
      </c>
      <c r="C6191" t="str">
        <f>HYPERLINK("https://us2.cloudbeds.com/connect/8493803454333002#/reservations/9080486846605030?display=2WXAB2EY4P&amp;reservation_id=9080486846605030", "2WXAB2EY4P")</f>
        <v>2WXAB2EY4P</v>
      </c>
      <c r="D6191" t="s">
        <v>45</v>
      </c>
      <c r="E6191" t="s">
        <v>110</v>
      </c>
      <c r="F6191" t="s">
        <v>47</v>
      </c>
      <c r="G6191" t="s">
        <v>48</v>
      </c>
      <c r="H6191" t="s">
        <v>49</v>
      </c>
      <c r="I6191" t="s">
        <v>62</v>
      </c>
      <c r="J6191" t="s">
        <v>8911</v>
      </c>
      <c r="K6191" t="s">
        <v>9135</v>
      </c>
      <c r="L6191" t="s">
        <v>53</v>
      </c>
      <c r="N6191" t="s">
        <v>11092</v>
      </c>
      <c r="P6191" t="s">
        <v>55</v>
      </c>
      <c r="R6191" t="s">
        <v>1445</v>
      </c>
      <c r="T6191" t="s">
        <v>11093</v>
      </c>
      <c r="U6191" t="s">
        <v>55</v>
      </c>
      <c r="V6191">
        <v>1</v>
      </c>
      <c r="W6191">
        <v>1</v>
      </c>
      <c r="X6191">
        <v>1</v>
      </c>
      <c r="Y6191">
        <v>0</v>
      </c>
      <c r="Z6191">
        <v>1</v>
      </c>
      <c r="AA6191">
        <v>146</v>
      </c>
      <c r="AB6191">
        <v>146</v>
      </c>
      <c r="AC6191">
        <v>146</v>
      </c>
      <c r="AD6191">
        <v>0</v>
      </c>
      <c r="AE6191">
        <v>0</v>
      </c>
      <c r="AF6191">
        <v>0</v>
      </c>
      <c r="AG6191">
        <v>0</v>
      </c>
      <c r="AH6191">
        <v>0</v>
      </c>
      <c r="AI6191">
        <v>26.28</v>
      </c>
      <c r="AJ6191">
        <v>146</v>
      </c>
      <c r="AK6191">
        <v>0</v>
      </c>
      <c r="AL6191" t="s">
        <v>53</v>
      </c>
      <c r="AM6191" t="s">
        <v>53</v>
      </c>
      <c r="AN6191" t="s">
        <v>53</v>
      </c>
      <c r="AO6191" t="s">
        <v>53</v>
      </c>
      <c r="AP6191" t="s">
        <v>53</v>
      </c>
    </row>
    <row r="6192" spans="2:42" x14ac:dyDescent="0.2">
      <c r="B6192" t="s">
        <v>44</v>
      </c>
      <c r="C6192" t="str">
        <f>HYPERLINK("https://us2.cloudbeds.com/connect/8493803454333002#/reservations/138620338827504?display=2WXJFVG505&amp;reservation_id=138620338827504", "2WXJFVG505")</f>
        <v>2WXJFVG505</v>
      </c>
      <c r="D6192" t="s">
        <v>45</v>
      </c>
      <c r="E6192" t="s">
        <v>98</v>
      </c>
      <c r="F6192" t="s">
        <v>86</v>
      </c>
      <c r="G6192" t="s">
        <v>3974</v>
      </c>
      <c r="H6192" t="s">
        <v>3957</v>
      </c>
      <c r="I6192" t="s">
        <v>3975</v>
      </c>
      <c r="J6192" t="s">
        <v>7293</v>
      </c>
      <c r="K6192" t="s">
        <v>5744</v>
      </c>
      <c r="L6192" t="s">
        <v>53</v>
      </c>
      <c r="P6192" t="s">
        <v>55</v>
      </c>
      <c r="R6192" t="s">
        <v>56</v>
      </c>
      <c r="T6192" t="s">
        <v>11094</v>
      </c>
      <c r="U6192" t="s">
        <v>58</v>
      </c>
      <c r="V6192">
        <v>4</v>
      </c>
      <c r="W6192">
        <v>1</v>
      </c>
      <c r="X6192">
        <v>2</v>
      </c>
      <c r="Y6192">
        <v>0</v>
      </c>
      <c r="Z6192">
        <v>2</v>
      </c>
      <c r="AA6192">
        <v>1059.17</v>
      </c>
      <c r="AB6192">
        <v>1059.17</v>
      </c>
      <c r="AC6192">
        <v>931.95</v>
      </c>
      <c r="AD6192">
        <v>0</v>
      </c>
      <c r="AE6192">
        <v>127.22</v>
      </c>
      <c r="AF6192">
        <v>0</v>
      </c>
      <c r="AG6192">
        <v>0</v>
      </c>
      <c r="AH6192">
        <v>0</v>
      </c>
      <c r="AI6192">
        <v>0</v>
      </c>
      <c r="AJ6192">
        <v>1059.17</v>
      </c>
      <c r="AK6192">
        <v>0</v>
      </c>
      <c r="AL6192" t="s">
        <v>53</v>
      </c>
      <c r="AM6192" t="s">
        <v>53</v>
      </c>
      <c r="AN6192" t="s">
        <v>53</v>
      </c>
      <c r="AO6192" t="s">
        <v>53</v>
      </c>
      <c r="AP6192" t="s">
        <v>53</v>
      </c>
    </row>
    <row r="6193" spans="2:42" x14ac:dyDescent="0.2">
      <c r="B6193" t="s">
        <v>44</v>
      </c>
      <c r="C6193" t="str">
        <f>HYPERLINK("https://us2.cloudbeds.com/connect/8493803454333002#/reservations/9080486846605515?display=2WXZAA70X7&amp;reservation_id=9080486846605515", "2WXZAA70X7")</f>
        <v>2WXZAA70X7</v>
      </c>
      <c r="D6193" t="s">
        <v>45</v>
      </c>
      <c r="E6193" t="s">
        <v>155</v>
      </c>
      <c r="F6193" t="s">
        <v>86</v>
      </c>
      <c r="G6193" t="s">
        <v>48</v>
      </c>
      <c r="H6193" t="s">
        <v>49</v>
      </c>
      <c r="I6193" t="s">
        <v>50</v>
      </c>
      <c r="J6193" t="s">
        <v>5508</v>
      </c>
      <c r="K6193" t="s">
        <v>7325</v>
      </c>
      <c r="L6193" t="s">
        <v>53</v>
      </c>
      <c r="N6193" t="s">
        <v>11095</v>
      </c>
      <c r="P6193" t="s">
        <v>55</v>
      </c>
      <c r="R6193" t="s">
        <v>53</v>
      </c>
      <c r="T6193" t="s">
        <v>11096</v>
      </c>
      <c r="U6193" t="s">
        <v>58</v>
      </c>
      <c r="V6193">
        <v>2</v>
      </c>
      <c r="W6193">
        <v>1</v>
      </c>
      <c r="X6193">
        <v>1</v>
      </c>
      <c r="Y6193">
        <v>0</v>
      </c>
      <c r="Z6193">
        <v>1</v>
      </c>
      <c r="AA6193">
        <v>374.09</v>
      </c>
      <c r="AB6193">
        <v>374.09</v>
      </c>
      <c r="AC6193">
        <v>329.17</v>
      </c>
      <c r="AD6193">
        <v>0</v>
      </c>
      <c r="AE6193">
        <v>44.92</v>
      </c>
      <c r="AF6193">
        <v>0</v>
      </c>
      <c r="AG6193">
        <v>0</v>
      </c>
      <c r="AH6193">
        <v>0</v>
      </c>
      <c r="AI6193">
        <v>67.34</v>
      </c>
      <c r="AJ6193">
        <v>374.09</v>
      </c>
      <c r="AK6193">
        <v>0</v>
      </c>
      <c r="AL6193" t="s">
        <v>53</v>
      </c>
      <c r="AM6193" t="s">
        <v>53</v>
      </c>
      <c r="AN6193" t="s">
        <v>53</v>
      </c>
      <c r="AO6193" t="s">
        <v>53</v>
      </c>
      <c r="AP6193" t="s">
        <v>53</v>
      </c>
    </row>
    <row r="6194" spans="2:42" x14ac:dyDescent="0.2">
      <c r="B6194" t="s">
        <v>44</v>
      </c>
      <c r="C6194" t="str">
        <f>HYPERLINK("https://us2.cloudbeds.com/connect/8493803454333002#/reservations/138636805714053?display=2WXW7NQHV8&amp;reservation_id=138636805714053", "2WXW7NQHV8")</f>
        <v>2WXW7NQHV8</v>
      </c>
      <c r="D6194" t="s">
        <v>45</v>
      </c>
      <c r="E6194" t="s">
        <v>110</v>
      </c>
      <c r="F6194" t="s">
        <v>47</v>
      </c>
      <c r="G6194" t="s">
        <v>48</v>
      </c>
      <c r="H6194" t="s">
        <v>3957</v>
      </c>
      <c r="I6194" t="s">
        <v>3958</v>
      </c>
      <c r="J6194" t="s">
        <v>7325</v>
      </c>
      <c r="K6194" t="s">
        <v>9829</v>
      </c>
      <c r="L6194" t="s">
        <v>53</v>
      </c>
      <c r="P6194" t="s">
        <v>55</v>
      </c>
      <c r="R6194" t="s">
        <v>56</v>
      </c>
      <c r="T6194" t="s">
        <v>11097</v>
      </c>
      <c r="U6194" t="s">
        <v>58</v>
      </c>
      <c r="V6194">
        <v>1</v>
      </c>
      <c r="W6194">
        <v>1</v>
      </c>
      <c r="X6194">
        <v>1</v>
      </c>
      <c r="Y6194">
        <v>0</v>
      </c>
      <c r="Z6194">
        <v>1</v>
      </c>
      <c r="AA6194">
        <v>200.02</v>
      </c>
      <c r="AB6194">
        <v>200.02</v>
      </c>
      <c r="AC6194">
        <v>176</v>
      </c>
      <c r="AD6194">
        <v>0</v>
      </c>
      <c r="AE6194">
        <v>24.02</v>
      </c>
      <c r="AF6194">
        <v>0</v>
      </c>
      <c r="AG6194">
        <v>0</v>
      </c>
      <c r="AH6194">
        <v>0</v>
      </c>
      <c r="AI6194">
        <v>0</v>
      </c>
      <c r="AJ6194">
        <v>200.02</v>
      </c>
      <c r="AK6194">
        <v>0</v>
      </c>
      <c r="AL6194" t="s">
        <v>53</v>
      </c>
      <c r="AM6194" t="s">
        <v>53</v>
      </c>
      <c r="AN6194" t="s">
        <v>11098</v>
      </c>
      <c r="AO6194" t="s">
        <v>53</v>
      </c>
      <c r="AP6194" t="s">
        <v>53</v>
      </c>
    </row>
    <row r="6195" spans="2:42" x14ac:dyDescent="0.2">
      <c r="B6195" t="s">
        <v>44</v>
      </c>
      <c r="C6195" t="str">
        <f>HYPERLINK("https://us2.cloudbeds.com/connect/8493803454333002#/reservations/9080486846606429?display=2WJY98HQM5&amp;reservation_id=9080486846606429", "2WJY98HQM5")</f>
        <v>2WJY98HQM5</v>
      </c>
      <c r="D6195" t="s">
        <v>45</v>
      </c>
      <c r="E6195" t="s">
        <v>223</v>
      </c>
      <c r="F6195" t="s">
        <v>47</v>
      </c>
      <c r="G6195" t="s">
        <v>48</v>
      </c>
      <c r="H6195" t="s">
        <v>49</v>
      </c>
      <c r="I6195" t="s">
        <v>50</v>
      </c>
      <c r="J6195" t="s">
        <v>8911</v>
      </c>
      <c r="K6195" t="s">
        <v>9135</v>
      </c>
      <c r="L6195" t="s">
        <v>53</v>
      </c>
      <c r="N6195" t="s">
        <v>11099</v>
      </c>
      <c r="P6195" t="s">
        <v>55</v>
      </c>
      <c r="R6195" t="s">
        <v>53</v>
      </c>
      <c r="T6195" t="s">
        <v>11100</v>
      </c>
      <c r="U6195" t="s">
        <v>58</v>
      </c>
      <c r="V6195">
        <v>1</v>
      </c>
      <c r="W6195">
        <v>1</v>
      </c>
      <c r="X6195">
        <v>1</v>
      </c>
      <c r="Y6195">
        <v>0</v>
      </c>
      <c r="Z6195">
        <v>1</v>
      </c>
      <c r="AA6195">
        <v>132.75</v>
      </c>
      <c r="AB6195">
        <v>132.75</v>
      </c>
      <c r="AC6195">
        <v>116.8</v>
      </c>
      <c r="AD6195">
        <v>0</v>
      </c>
      <c r="AE6195">
        <v>15.95</v>
      </c>
      <c r="AF6195">
        <v>0</v>
      </c>
      <c r="AG6195">
        <v>0</v>
      </c>
      <c r="AH6195">
        <v>0</v>
      </c>
      <c r="AI6195">
        <v>23.9</v>
      </c>
      <c r="AJ6195">
        <v>132.75</v>
      </c>
      <c r="AK6195">
        <v>0</v>
      </c>
      <c r="AL6195" t="s">
        <v>53</v>
      </c>
      <c r="AM6195" t="s">
        <v>53</v>
      </c>
      <c r="AN6195" t="s">
        <v>53</v>
      </c>
      <c r="AO6195" t="s">
        <v>53</v>
      </c>
      <c r="AP6195" t="s">
        <v>53</v>
      </c>
    </row>
    <row r="6196" spans="2:42" x14ac:dyDescent="0.2">
      <c r="B6196" t="s">
        <v>44</v>
      </c>
      <c r="C6196" t="str">
        <f>HYPERLINK("https://us2.cloudbeds.com/connect/8493803454333002#/reservations/9080486846606555?display=2WJPK3935C&amp;reservation_id=9080486846606555", "2WJPK3935C")</f>
        <v>2WJPK3935C</v>
      </c>
      <c r="D6196" t="s">
        <v>45</v>
      </c>
      <c r="E6196" t="s">
        <v>92</v>
      </c>
      <c r="F6196" t="s">
        <v>86</v>
      </c>
      <c r="G6196" t="s">
        <v>48</v>
      </c>
      <c r="H6196" t="s">
        <v>49</v>
      </c>
      <c r="I6196" t="s">
        <v>62</v>
      </c>
      <c r="J6196" t="s">
        <v>9725</v>
      </c>
      <c r="K6196" t="s">
        <v>9620</v>
      </c>
      <c r="L6196" t="s">
        <v>53</v>
      </c>
      <c r="N6196" t="s">
        <v>11101</v>
      </c>
      <c r="P6196" t="s">
        <v>55</v>
      </c>
      <c r="R6196" t="s">
        <v>56</v>
      </c>
      <c r="T6196" t="s">
        <v>11102</v>
      </c>
      <c r="U6196" t="s">
        <v>55</v>
      </c>
      <c r="V6196">
        <v>3</v>
      </c>
      <c r="W6196">
        <v>1</v>
      </c>
      <c r="X6196">
        <v>2</v>
      </c>
      <c r="Y6196">
        <v>0</v>
      </c>
      <c r="Z6196">
        <v>2</v>
      </c>
      <c r="AA6196">
        <v>411</v>
      </c>
      <c r="AB6196">
        <v>411</v>
      </c>
      <c r="AC6196">
        <v>411</v>
      </c>
      <c r="AD6196">
        <v>0</v>
      </c>
      <c r="AE6196">
        <v>0</v>
      </c>
      <c r="AF6196">
        <v>0</v>
      </c>
      <c r="AG6196">
        <v>0</v>
      </c>
      <c r="AH6196">
        <v>0</v>
      </c>
      <c r="AI6196">
        <v>73.98</v>
      </c>
      <c r="AJ6196">
        <v>411</v>
      </c>
      <c r="AK6196">
        <v>0</v>
      </c>
      <c r="AL6196" t="s">
        <v>53</v>
      </c>
      <c r="AM6196" t="s">
        <v>53</v>
      </c>
      <c r="AN6196" t="s">
        <v>53</v>
      </c>
      <c r="AO6196" t="s">
        <v>53</v>
      </c>
      <c r="AP6196" t="s">
        <v>53</v>
      </c>
    </row>
    <row r="6197" spans="2:42" x14ac:dyDescent="0.2">
      <c r="B6197" t="s">
        <v>44</v>
      </c>
      <c r="C6197" t="str">
        <f>HYPERLINK("https://us2.cloudbeds.com/connect/8493803454333002#/reservations/9080486846607087?display=2WK89PY3V1&amp;reservation_id=9080486846607087", "2WK89PY3V1")</f>
        <v>2WK89PY3V1</v>
      </c>
      <c r="D6197" t="s">
        <v>45</v>
      </c>
      <c r="E6197" t="s">
        <v>179</v>
      </c>
      <c r="F6197" t="s">
        <v>47</v>
      </c>
      <c r="G6197" t="s">
        <v>48</v>
      </c>
      <c r="H6197" t="s">
        <v>49</v>
      </c>
      <c r="I6197" t="s">
        <v>50</v>
      </c>
      <c r="J6197" t="s">
        <v>8138</v>
      </c>
      <c r="K6197" t="s">
        <v>5904</v>
      </c>
      <c r="L6197" t="s">
        <v>53</v>
      </c>
      <c r="N6197" t="s">
        <v>11103</v>
      </c>
      <c r="P6197" t="s">
        <v>55</v>
      </c>
      <c r="R6197" t="s">
        <v>53</v>
      </c>
      <c r="T6197" t="s">
        <v>11104</v>
      </c>
      <c r="U6197" t="s">
        <v>58</v>
      </c>
      <c r="V6197">
        <v>1</v>
      </c>
      <c r="W6197">
        <v>1</v>
      </c>
      <c r="X6197">
        <v>2</v>
      </c>
      <c r="Y6197">
        <v>0</v>
      </c>
      <c r="Z6197">
        <v>2</v>
      </c>
      <c r="AA6197">
        <v>192.41</v>
      </c>
      <c r="AB6197">
        <v>192.41</v>
      </c>
      <c r="AC6197">
        <v>119.29</v>
      </c>
      <c r="AD6197">
        <v>0</v>
      </c>
      <c r="AE6197">
        <v>23.12</v>
      </c>
      <c r="AF6197">
        <v>0</v>
      </c>
      <c r="AG6197">
        <v>0</v>
      </c>
      <c r="AH6197">
        <v>0</v>
      </c>
      <c r="AI6197">
        <v>25.63</v>
      </c>
      <c r="AJ6197">
        <v>142.41</v>
      </c>
      <c r="AK6197">
        <v>0</v>
      </c>
      <c r="AL6197" t="s">
        <v>53</v>
      </c>
      <c r="AM6197" t="s">
        <v>53</v>
      </c>
      <c r="AN6197" t="s">
        <v>53</v>
      </c>
      <c r="AO6197" t="s">
        <v>53</v>
      </c>
      <c r="AP6197" t="s">
        <v>53</v>
      </c>
    </row>
    <row r="6198" spans="2:42" x14ac:dyDescent="0.2">
      <c r="B6198" t="s">
        <v>44</v>
      </c>
      <c r="C6198" t="str">
        <f>HYPERLINK("https://us2.cloudbeds.com/connect/8493803454333002#/reservations/9080486846607330?display=2WKH7MX37T&amp;reservation_id=9080486846607330", "2WKH7MX37T")</f>
        <v>2WKH7MX37T</v>
      </c>
      <c r="D6198" t="s">
        <v>45</v>
      </c>
      <c r="E6198" t="s">
        <v>128</v>
      </c>
      <c r="F6198" t="s">
        <v>86</v>
      </c>
      <c r="G6198" t="s">
        <v>48</v>
      </c>
      <c r="H6198" t="s">
        <v>49</v>
      </c>
      <c r="I6198" t="s">
        <v>50</v>
      </c>
      <c r="J6198" t="s">
        <v>6992</v>
      </c>
      <c r="K6198" t="s">
        <v>6829</v>
      </c>
      <c r="L6198" t="s">
        <v>53</v>
      </c>
      <c r="N6198" t="s">
        <v>11105</v>
      </c>
      <c r="P6198" t="s">
        <v>55</v>
      </c>
      <c r="R6198" t="s">
        <v>53</v>
      </c>
      <c r="T6198" t="s">
        <v>11106</v>
      </c>
      <c r="U6198" t="s">
        <v>58</v>
      </c>
      <c r="V6198">
        <v>1</v>
      </c>
      <c r="W6198">
        <v>1</v>
      </c>
      <c r="X6198">
        <v>2</v>
      </c>
      <c r="Y6198">
        <v>0</v>
      </c>
      <c r="Z6198">
        <v>2</v>
      </c>
      <c r="AA6198">
        <v>169.08</v>
      </c>
      <c r="AB6198">
        <v>169.08</v>
      </c>
      <c r="AC6198">
        <v>148.77000000000001</v>
      </c>
      <c r="AD6198">
        <v>0</v>
      </c>
      <c r="AE6198">
        <v>20.309999999999999</v>
      </c>
      <c r="AF6198">
        <v>0</v>
      </c>
      <c r="AG6198">
        <v>0</v>
      </c>
      <c r="AH6198">
        <v>0</v>
      </c>
      <c r="AI6198">
        <v>30.43</v>
      </c>
      <c r="AJ6198">
        <v>169.08</v>
      </c>
      <c r="AK6198">
        <v>0</v>
      </c>
      <c r="AL6198" t="s">
        <v>53</v>
      </c>
      <c r="AM6198" t="s">
        <v>53</v>
      </c>
      <c r="AN6198" t="s">
        <v>53</v>
      </c>
      <c r="AO6198" t="s">
        <v>53</v>
      </c>
      <c r="AP6198" t="s">
        <v>53</v>
      </c>
    </row>
    <row r="6199" spans="2:42" x14ac:dyDescent="0.2">
      <c r="B6199" t="s">
        <v>44</v>
      </c>
      <c r="C6199" t="str">
        <f>HYPERLINK("https://us2.cloudbeds.com/connect/8493803454333002#/reservations/9080486846607412?display=2WKKMB94DR&amp;reservation_id=9080486846607412", "2WKKMB94DR")</f>
        <v>2WKKMB94DR</v>
      </c>
      <c r="D6199" t="s">
        <v>45</v>
      </c>
      <c r="E6199" t="s">
        <v>46</v>
      </c>
      <c r="F6199" t="s">
        <v>47</v>
      </c>
      <c r="G6199" t="s">
        <v>48</v>
      </c>
      <c r="H6199" t="s">
        <v>49</v>
      </c>
      <c r="I6199" t="s">
        <v>8964</v>
      </c>
      <c r="J6199" t="s">
        <v>8911</v>
      </c>
      <c r="K6199" t="s">
        <v>9135</v>
      </c>
      <c r="L6199" t="s">
        <v>53</v>
      </c>
      <c r="N6199" t="s">
        <v>11107</v>
      </c>
      <c r="P6199" t="s">
        <v>55</v>
      </c>
      <c r="R6199" t="s">
        <v>53</v>
      </c>
      <c r="T6199" t="s">
        <v>11108</v>
      </c>
      <c r="U6199" t="s">
        <v>58</v>
      </c>
      <c r="V6199">
        <v>1</v>
      </c>
      <c r="W6199">
        <v>1</v>
      </c>
      <c r="X6199">
        <v>2</v>
      </c>
      <c r="Y6199">
        <v>0</v>
      </c>
      <c r="Z6199">
        <v>2</v>
      </c>
      <c r="AA6199">
        <v>0</v>
      </c>
      <c r="AB6199">
        <v>0</v>
      </c>
      <c r="AC6199">
        <v>164</v>
      </c>
      <c r="AD6199">
        <v>0</v>
      </c>
      <c r="AE6199">
        <v>0</v>
      </c>
      <c r="AF6199">
        <v>0</v>
      </c>
      <c r="AG6199">
        <v>0</v>
      </c>
      <c r="AH6199">
        <v>0</v>
      </c>
      <c r="AI6199">
        <v>24.6</v>
      </c>
      <c r="AJ6199">
        <v>164</v>
      </c>
      <c r="AK6199">
        <v>164</v>
      </c>
      <c r="AL6199" t="s">
        <v>53</v>
      </c>
      <c r="AM6199" t="s">
        <v>53</v>
      </c>
      <c r="AN6199" t="s">
        <v>53</v>
      </c>
      <c r="AO6199" t="s">
        <v>53</v>
      </c>
      <c r="AP6199" t="s">
        <v>53</v>
      </c>
    </row>
    <row r="6200" spans="2:42" x14ac:dyDescent="0.2">
      <c r="B6200" t="s">
        <v>44</v>
      </c>
      <c r="C6200" t="str">
        <f>HYPERLINK("https://us2.cloudbeds.com/connect/8493803454333002#/reservations/138704683847933?display=2WKXQ5EMD4&amp;reservation_id=138704683847933", "2WKXQ5EMD4")</f>
        <v>2WKXQ5EMD4</v>
      </c>
      <c r="D6200" t="s">
        <v>45</v>
      </c>
      <c r="E6200" t="s">
        <v>155</v>
      </c>
      <c r="F6200" t="s">
        <v>86</v>
      </c>
      <c r="G6200" t="s">
        <v>48</v>
      </c>
      <c r="H6200" t="s">
        <v>3957</v>
      </c>
      <c r="I6200" t="s">
        <v>3975</v>
      </c>
      <c r="J6200" t="s">
        <v>8900</v>
      </c>
      <c r="K6200" t="s">
        <v>8314</v>
      </c>
      <c r="L6200" t="s">
        <v>53</v>
      </c>
      <c r="P6200" t="s">
        <v>55</v>
      </c>
      <c r="R6200" t="s">
        <v>56</v>
      </c>
      <c r="T6200" t="s">
        <v>11109</v>
      </c>
      <c r="U6200" t="s">
        <v>58</v>
      </c>
      <c r="V6200">
        <v>1</v>
      </c>
      <c r="W6200">
        <v>1</v>
      </c>
      <c r="X6200">
        <v>4</v>
      </c>
      <c r="Y6200">
        <v>0</v>
      </c>
      <c r="Z6200">
        <v>4</v>
      </c>
      <c r="AA6200">
        <v>320.5</v>
      </c>
      <c r="AB6200">
        <v>320.5</v>
      </c>
      <c r="AC6200">
        <v>282</v>
      </c>
      <c r="AD6200">
        <v>0</v>
      </c>
      <c r="AE6200">
        <v>38.5</v>
      </c>
      <c r="AF6200">
        <v>0</v>
      </c>
      <c r="AG6200">
        <v>0</v>
      </c>
      <c r="AH6200">
        <v>0</v>
      </c>
      <c r="AI6200">
        <v>0</v>
      </c>
      <c r="AJ6200">
        <v>320.5</v>
      </c>
      <c r="AK6200">
        <v>0</v>
      </c>
      <c r="AL6200" t="s">
        <v>53</v>
      </c>
      <c r="AM6200" t="s">
        <v>53</v>
      </c>
      <c r="AN6200" t="s">
        <v>53</v>
      </c>
      <c r="AO6200" t="s">
        <v>53</v>
      </c>
      <c r="AP6200" t="s">
        <v>53</v>
      </c>
    </row>
    <row r="6201" spans="2:42" x14ac:dyDescent="0.2">
      <c r="B6201" t="s">
        <v>44</v>
      </c>
      <c r="C6201" t="str">
        <f>HYPERLINK("https://us2.cloudbeds.com/connect/8493803454333002#/reservations/9080486846607508?display=2WKZB002NM&amp;reservation_id=9080486846607508", "2WKZB002NM")</f>
        <v>2WKZB002NM</v>
      </c>
      <c r="D6201" t="s">
        <v>45</v>
      </c>
      <c r="E6201" t="s">
        <v>138</v>
      </c>
      <c r="F6201" t="s">
        <v>70</v>
      </c>
      <c r="G6201" t="s">
        <v>48</v>
      </c>
      <c r="H6201" t="s">
        <v>49</v>
      </c>
      <c r="I6201" t="s">
        <v>50</v>
      </c>
      <c r="J6201" t="s">
        <v>7492</v>
      </c>
      <c r="K6201" t="s">
        <v>7493</v>
      </c>
      <c r="L6201" t="s">
        <v>53</v>
      </c>
      <c r="N6201" t="s">
        <v>11110</v>
      </c>
      <c r="P6201" t="s">
        <v>55</v>
      </c>
      <c r="R6201" t="s">
        <v>53</v>
      </c>
      <c r="T6201" t="s">
        <v>11111</v>
      </c>
      <c r="U6201" t="s">
        <v>58</v>
      </c>
      <c r="V6201">
        <v>1</v>
      </c>
      <c r="W6201">
        <v>1</v>
      </c>
      <c r="X6201">
        <v>1</v>
      </c>
      <c r="Y6201">
        <v>0</v>
      </c>
      <c r="Z6201">
        <v>1</v>
      </c>
      <c r="AA6201">
        <v>156.44</v>
      </c>
      <c r="AB6201">
        <v>156.44</v>
      </c>
      <c r="AC6201">
        <v>137.65</v>
      </c>
      <c r="AD6201">
        <v>0</v>
      </c>
      <c r="AE6201">
        <v>18.79</v>
      </c>
      <c r="AF6201">
        <v>0</v>
      </c>
      <c r="AG6201">
        <v>0</v>
      </c>
      <c r="AH6201">
        <v>0</v>
      </c>
      <c r="AI6201">
        <v>28.16</v>
      </c>
      <c r="AJ6201">
        <v>156.44</v>
      </c>
      <c r="AK6201">
        <v>0</v>
      </c>
      <c r="AL6201" t="s">
        <v>53</v>
      </c>
      <c r="AM6201" t="s">
        <v>53</v>
      </c>
      <c r="AN6201" t="s">
        <v>53</v>
      </c>
      <c r="AO6201" t="s">
        <v>53</v>
      </c>
      <c r="AP6201" t="s">
        <v>53</v>
      </c>
    </row>
    <row r="6202" spans="2:42" x14ac:dyDescent="0.2">
      <c r="B6202" t="s">
        <v>44</v>
      </c>
      <c r="C6202" t="str">
        <f>HYPERLINK("https://us2.cloudbeds.com/connect/8493803454333002#/reservations/9080486846607512?display=2WKZD4GQV7&amp;reservation_id=9080486846607512", "2WKZD4GQV7")</f>
        <v>2WKZD4GQV7</v>
      </c>
      <c r="D6202" t="s">
        <v>45</v>
      </c>
      <c r="E6202" t="s">
        <v>105</v>
      </c>
      <c r="F6202" t="s">
        <v>47</v>
      </c>
      <c r="G6202" t="s">
        <v>48</v>
      </c>
      <c r="H6202" t="s">
        <v>49</v>
      </c>
      <c r="I6202" t="s">
        <v>50</v>
      </c>
      <c r="J6202" t="s">
        <v>7492</v>
      </c>
      <c r="K6202" t="s">
        <v>7493</v>
      </c>
      <c r="L6202" t="s">
        <v>53</v>
      </c>
      <c r="N6202" t="s">
        <v>11112</v>
      </c>
      <c r="P6202" t="s">
        <v>55</v>
      </c>
      <c r="R6202" t="s">
        <v>53</v>
      </c>
      <c r="T6202" t="s">
        <v>11113</v>
      </c>
      <c r="U6202" t="s">
        <v>58</v>
      </c>
      <c r="V6202">
        <v>1</v>
      </c>
      <c r="W6202">
        <v>1</v>
      </c>
      <c r="X6202">
        <v>1</v>
      </c>
      <c r="Y6202">
        <v>0</v>
      </c>
      <c r="Z6202">
        <v>1</v>
      </c>
      <c r="AA6202">
        <v>156.44</v>
      </c>
      <c r="AB6202">
        <v>156.44</v>
      </c>
      <c r="AC6202">
        <v>137.65</v>
      </c>
      <c r="AD6202">
        <v>0</v>
      </c>
      <c r="AE6202">
        <v>18.79</v>
      </c>
      <c r="AF6202">
        <v>0</v>
      </c>
      <c r="AG6202">
        <v>0</v>
      </c>
      <c r="AH6202">
        <v>0</v>
      </c>
      <c r="AI6202">
        <v>28.16</v>
      </c>
      <c r="AJ6202">
        <v>156.44</v>
      </c>
      <c r="AK6202">
        <v>0</v>
      </c>
      <c r="AL6202" t="s">
        <v>53</v>
      </c>
      <c r="AM6202" t="s">
        <v>53</v>
      </c>
      <c r="AN6202" t="s">
        <v>53</v>
      </c>
      <c r="AO6202" t="s">
        <v>53</v>
      </c>
      <c r="AP6202" t="s">
        <v>53</v>
      </c>
    </row>
    <row r="6203" spans="2:42" x14ac:dyDescent="0.2">
      <c r="B6203" t="s">
        <v>44</v>
      </c>
      <c r="C6203" t="str">
        <f>HYPERLINK("https://us2.cloudbeds.com/connect/8493803454333002#/reservations/9080486846607525?display=2WKZSJM1YE&amp;reservation_id=9080486846607525", "2WKZSJM1YE")</f>
        <v>2WKZSJM1YE</v>
      </c>
      <c r="D6203" t="s">
        <v>45</v>
      </c>
      <c r="E6203" t="s">
        <v>185</v>
      </c>
      <c r="F6203" t="s">
        <v>47</v>
      </c>
      <c r="G6203" t="s">
        <v>48</v>
      </c>
      <c r="H6203" t="s">
        <v>49</v>
      </c>
      <c r="I6203" t="s">
        <v>50</v>
      </c>
      <c r="J6203" t="s">
        <v>6344</v>
      </c>
      <c r="K6203" t="s">
        <v>6345</v>
      </c>
      <c r="L6203" t="s">
        <v>53</v>
      </c>
      <c r="N6203" t="s">
        <v>11114</v>
      </c>
      <c r="P6203" t="s">
        <v>55</v>
      </c>
      <c r="R6203" t="s">
        <v>53</v>
      </c>
      <c r="T6203" t="s">
        <v>11115</v>
      </c>
      <c r="U6203" t="s">
        <v>58</v>
      </c>
      <c r="V6203">
        <v>1</v>
      </c>
      <c r="W6203">
        <v>1</v>
      </c>
      <c r="X6203">
        <v>1</v>
      </c>
      <c r="Y6203">
        <v>0</v>
      </c>
      <c r="Z6203">
        <v>1</v>
      </c>
      <c r="AA6203">
        <v>171.02</v>
      </c>
      <c r="AB6203">
        <v>171.02</v>
      </c>
      <c r="AC6203">
        <v>150.47999999999999</v>
      </c>
      <c r="AD6203">
        <v>0</v>
      </c>
      <c r="AE6203">
        <v>20.54</v>
      </c>
      <c r="AF6203">
        <v>0</v>
      </c>
      <c r="AG6203">
        <v>0</v>
      </c>
      <c r="AH6203">
        <v>0</v>
      </c>
      <c r="AI6203">
        <v>30.78</v>
      </c>
      <c r="AJ6203">
        <v>171.02</v>
      </c>
      <c r="AK6203">
        <v>0</v>
      </c>
      <c r="AL6203" t="s">
        <v>53</v>
      </c>
      <c r="AM6203" t="s">
        <v>53</v>
      </c>
      <c r="AN6203" t="s">
        <v>53</v>
      </c>
      <c r="AO6203" t="s">
        <v>53</v>
      </c>
      <c r="AP6203" t="s">
        <v>53</v>
      </c>
    </row>
    <row r="6204" spans="2:42" x14ac:dyDescent="0.2">
      <c r="B6204" t="s">
        <v>44</v>
      </c>
      <c r="C6204" t="str">
        <f>HYPERLINK("https://us2.cloudbeds.com/connect/8493803454333002#/reservations/9080486846607528?display=2WKP0KR8QR&amp;reservation_id=9080486846607528", "2WKP0KR8QR")</f>
        <v>2WKP0KR8QR</v>
      </c>
      <c r="D6204" t="s">
        <v>45</v>
      </c>
      <c r="E6204" t="s">
        <v>179</v>
      </c>
      <c r="F6204" t="s">
        <v>47</v>
      </c>
      <c r="G6204" t="s">
        <v>48</v>
      </c>
      <c r="H6204" t="s">
        <v>49</v>
      </c>
      <c r="I6204" t="s">
        <v>50</v>
      </c>
      <c r="J6204" t="s">
        <v>6344</v>
      </c>
      <c r="K6204" t="s">
        <v>6345</v>
      </c>
      <c r="L6204" t="s">
        <v>53</v>
      </c>
      <c r="N6204" t="s">
        <v>11116</v>
      </c>
      <c r="P6204" t="s">
        <v>55</v>
      </c>
      <c r="R6204" t="s">
        <v>53</v>
      </c>
      <c r="T6204" t="s">
        <v>11117</v>
      </c>
      <c r="U6204" t="s">
        <v>58</v>
      </c>
      <c r="V6204">
        <v>1</v>
      </c>
      <c r="W6204">
        <v>1</v>
      </c>
      <c r="X6204">
        <v>1</v>
      </c>
      <c r="Y6204">
        <v>0</v>
      </c>
      <c r="Z6204">
        <v>1</v>
      </c>
      <c r="AA6204">
        <v>171.02</v>
      </c>
      <c r="AB6204">
        <v>171.02</v>
      </c>
      <c r="AC6204">
        <v>150.47999999999999</v>
      </c>
      <c r="AD6204">
        <v>0</v>
      </c>
      <c r="AE6204">
        <v>20.54</v>
      </c>
      <c r="AF6204">
        <v>0</v>
      </c>
      <c r="AG6204">
        <v>0</v>
      </c>
      <c r="AH6204">
        <v>0</v>
      </c>
      <c r="AI6204">
        <v>30.78</v>
      </c>
      <c r="AJ6204">
        <v>171.02</v>
      </c>
      <c r="AK6204">
        <v>0</v>
      </c>
      <c r="AL6204" t="s">
        <v>53</v>
      </c>
      <c r="AM6204" t="s">
        <v>53</v>
      </c>
      <c r="AN6204" t="s">
        <v>53</v>
      </c>
      <c r="AO6204" t="s">
        <v>53</v>
      </c>
      <c r="AP6204" t="s">
        <v>53</v>
      </c>
    </row>
    <row r="6205" spans="2:42" x14ac:dyDescent="0.2">
      <c r="B6205" t="s">
        <v>44</v>
      </c>
      <c r="C6205" t="str">
        <f>HYPERLINK("https://us2.cloudbeds.com/connect/8493803454333002#/reservations/138726936125657?display=2WY30P53JA&amp;reservation_id=138726936125657", "2WY30P53JA")</f>
        <v>2WY30P53JA</v>
      </c>
      <c r="D6205" t="s">
        <v>45</v>
      </c>
      <c r="E6205" t="s">
        <v>406</v>
      </c>
      <c r="F6205" t="s">
        <v>61</v>
      </c>
      <c r="G6205" t="s">
        <v>48</v>
      </c>
      <c r="H6205" t="s">
        <v>3957</v>
      </c>
      <c r="I6205" t="s">
        <v>3958</v>
      </c>
      <c r="J6205" t="s">
        <v>8911</v>
      </c>
      <c r="K6205" t="s">
        <v>9135</v>
      </c>
      <c r="L6205" t="s">
        <v>53</v>
      </c>
      <c r="P6205" t="s">
        <v>55</v>
      </c>
      <c r="R6205" t="s">
        <v>56</v>
      </c>
      <c r="T6205" t="s">
        <v>11118</v>
      </c>
      <c r="U6205" t="s">
        <v>58</v>
      </c>
      <c r="V6205">
        <v>1</v>
      </c>
      <c r="W6205">
        <v>1</v>
      </c>
      <c r="X6205">
        <v>1</v>
      </c>
      <c r="Y6205">
        <v>0</v>
      </c>
      <c r="Z6205">
        <v>1</v>
      </c>
      <c r="AA6205">
        <v>255.72</v>
      </c>
      <c r="AB6205">
        <v>255.72</v>
      </c>
      <c r="AC6205">
        <v>225</v>
      </c>
      <c r="AD6205">
        <v>0</v>
      </c>
      <c r="AE6205">
        <v>30.72</v>
      </c>
      <c r="AF6205">
        <v>0</v>
      </c>
      <c r="AG6205">
        <v>0</v>
      </c>
      <c r="AH6205">
        <v>0</v>
      </c>
      <c r="AI6205">
        <v>0</v>
      </c>
      <c r="AJ6205">
        <v>255.72</v>
      </c>
      <c r="AK6205">
        <v>0</v>
      </c>
      <c r="AL6205" t="s">
        <v>53</v>
      </c>
      <c r="AM6205" t="s">
        <v>53</v>
      </c>
      <c r="AN6205" t="s">
        <v>53</v>
      </c>
      <c r="AO6205" t="s">
        <v>53</v>
      </c>
      <c r="AP6205" t="s">
        <v>53</v>
      </c>
    </row>
    <row r="6206" spans="2:42" x14ac:dyDescent="0.2">
      <c r="B6206" t="s">
        <v>44</v>
      </c>
      <c r="C6206" t="str">
        <f>HYPERLINK("https://us2.cloudbeds.com/connect/8493803454333002#/reservations/9080486846608114?display=2WYHUMQB4X&amp;reservation_id=9080486846608114", "2WYHUMQB4X")</f>
        <v>2WYHUMQB4X</v>
      </c>
      <c r="D6206" t="s">
        <v>45</v>
      </c>
      <c r="E6206" t="s">
        <v>373</v>
      </c>
      <c r="F6206" t="s">
        <v>47</v>
      </c>
      <c r="G6206" t="s">
        <v>48</v>
      </c>
      <c r="H6206" t="s">
        <v>49</v>
      </c>
      <c r="I6206" t="s">
        <v>50</v>
      </c>
      <c r="J6206" t="s">
        <v>8911</v>
      </c>
      <c r="K6206" t="s">
        <v>9135</v>
      </c>
      <c r="L6206" t="s">
        <v>53</v>
      </c>
      <c r="N6206" t="s">
        <v>11119</v>
      </c>
      <c r="P6206" t="s">
        <v>55</v>
      </c>
      <c r="R6206" t="s">
        <v>53</v>
      </c>
      <c r="T6206" t="s">
        <v>11120</v>
      </c>
      <c r="U6206" t="s">
        <v>58</v>
      </c>
      <c r="V6206">
        <v>1</v>
      </c>
      <c r="W6206">
        <v>1</v>
      </c>
      <c r="X6206">
        <v>1</v>
      </c>
      <c r="Y6206">
        <v>0</v>
      </c>
      <c r="Z6206">
        <v>1</v>
      </c>
      <c r="AA6206">
        <v>146.38999999999999</v>
      </c>
      <c r="AB6206">
        <v>146.38999999999999</v>
      </c>
      <c r="AC6206">
        <v>128.80000000000001</v>
      </c>
      <c r="AD6206">
        <v>0</v>
      </c>
      <c r="AE6206">
        <v>17.59</v>
      </c>
      <c r="AF6206">
        <v>0</v>
      </c>
      <c r="AG6206">
        <v>0</v>
      </c>
      <c r="AH6206">
        <v>0</v>
      </c>
      <c r="AI6206">
        <v>26.35</v>
      </c>
      <c r="AJ6206">
        <v>146.38999999999999</v>
      </c>
      <c r="AK6206">
        <v>0</v>
      </c>
      <c r="AL6206" t="s">
        <v>53</v>
      </c>
      <c r="AM6206" t="s">
        <v>53</v>
      </c>
      <c r="AN6206" t="s">
        <v>53</v>
      </c>
      <c r="AO6206" t="s">
        <v>53</v>
      </c>
      <c r="AP6206" t="s">
        <v>53</v>
      </c>
    </row>
    <row r="6207" spans="2:42" x14ac:dyDescent="0.2">
      <c r="B6207" t="s">
        <v>44</v>
      </c>
      <c r="C6207" t="str">
        <f>HYPERLINK("https://us2.cloudbeds.com/connect/8493803454333002#/reservations/9080486846608372?display=2WYU6V9EN5&amp;reservation_id=9080486846608372", "2WYU6V9EN5")</f>
        <v>2WYU6V9EN5</v>
      </c>
      <c r="D6207" t="s">
        <v>45</v>
      </c>
      <c r="E6207" t="s">
        <v>121</v>
      </c>
      <c r="F6207" t="s">
        <v>86</v>
      </c>
      <c r="G6207" t="s">
        <v>48</v>
      </c>
      <c r="H6207" t="s">
        <v>49</v>
      </c>
      <c r="I6207" t="s">
        <v>50</v>
      </c>
      <c r="J6207" t="s">
        <v>8900</v>
      </c>
      <c r="K6207" t="s">
        <v>8314</v>
      </c>
      <c r="L6207" t="s">
        <v>53</v>
      </c>
      <c r="N6207" t="s">
        <v>11121</v>
      </c>
      <c r="P6207" t="s">
        <v>55</v>
      </c>
      <c r="R6207" t="s">
        <v>53</v>
      </c>
      <c r="T6207" t="s">
        <v>11122</v>
      </c>
      <c r="U6207" t="s">
        <v>58</v>
      </c>
      <c r="V6207">
        <v>1</v>
      </c>
      <c r="W6207">
        <v>1</v>
      </c>
      <c r="X6207">
        <v>2</v>
      </c>
      <c r="Y6207">
        <v>0</v>
      </c>
      <c r="Z6207">
        <v>2</v>
      </c>
      <c r="AA6207">
        <v>320.5</v>
      </c>
      <c r="AB6207">
        <v>320.5</v>
      </c>
      <c r="AC6207">
        <v>282</v>
      </c>
      <c r="AD6207">
        <v>0</v>
      </c>
      <c r="AE6207">
        <v>38.5</v>
      </c>
      <c r="AF6207">
        <v>0</v>
      </c>
      <c r="AG6207">
        <v>0</v>
      </c>
      <c r="AH6207">
        <v>0</v>
      </c>
      <c r="AI6207">
        <v>57.69</v>
      </c>
      <c r="AJ6207">
        <v>320.5</v>
      </c>
      <c r="AK6207">
        <v>0</v>
      </c>
      <c r="AL6207" t="s">
        <v>53</v>
      </c>
      <c r="AM6207" t="s">
        <v>53</v>
      </c>
      <c r="AN6207" t="s">
        <v>53</v>
      </c>
      <c r="AO6207" t="s">
        <v>53</v>
      </c>
      <c r="AP6207" t="s">
        <v>53</v>
      </c>
    </row>
    <row r="6208" spans="2:42" x14ac:dyDescent="0.2">
      <c r="B6208" t="s">
        <v>44</v>
      </c>
      <c r="C6208" t="str">
        <f>HYPERLINK("https://us2.cloudbeds.com/connect/8493803454333002#/reservations/9080486846608555?display=2WM53XP2G6&amp;reservation_id=9080486846608555", "2WM53XP2G6")</f>
        <v>2WM53XP2G6</v>
      </c>
      <c r="D6208" t="s">
        <v>45</v>
      </c>
      <c r="E6208" t="s">
        <v>110</v>
      </c>
      <c r="F6208" t="s">
        <v>47</v>
      </c>
      <c r="G6208" t="s">
        <v>48</v>
      </c>
      <c r="H6208" t="s">
        <v>49</v>
      </c>
      <c r="I6208" t="s">
        <v>50</v>
      </c>
      <c r="J6208" t="s">
        <v>8678</v>
      </c>
      <c r="K6208" t="s">
        <v>9688</v>
      </c>
      <c r="L6208" t="s">
        <v>53</v>
      </c>
      <c r="N6208" t="s">
        <v>11123</v>
      </c>
      <c r="P6208" t="s">
        <v>55</v>
      </c>
      <c r="R6208" t="s">
        <v>56</v>
      </c>
      <c r="T6208" t="s">
        <v>11124</v>
      </c>
      <c r="U6208" t="s">
        <v>58</v>
      </c>
      <c r="V6208">
        <v>2</v>
      </c>
      <c r="W6208">
        <v>1</v>
      </c>
      <c r="X6208">
        <v>2</v>
      </c>
      <c r="Y6208">
        <v>0</v>
      </c>
      <c r="Z6208">
        <v>2</v>
      </c>
      <c r="AA6208">
        <v>446.98</v>
      </c>
      <c r="AB6208">
        <v>449.69</v>
      </c>
      <c r="AC6208">
        <v>393.29</v>
      </c>
      <c r="AD6208">
        <v>2.5</v>
      </c>
      <c r="AE6208">
        <v>53.9</v>
      </c>
      <c r="AF6208">
        <v>0</v>
      </c>
      <c r="AG6208">
        <v>0</v>
      </c>
      <c r="AH6208">
        <v>0</v>
      </c>
      <c r="AI6208">
        <v>80.94</v>
      </c>
      <c r="AJ6208">
        <v>449.69</v>
      </c>
      <c r="AK6208">
        <v>0</v>
      </c>
      <c r="AL6208" t="s">
        <v>53</v>
      </c>
      <c r="AM6208" t="s">
        <v>53</v>
      </c>
      <c r="AN6208" t="s">
        <v>53</v>
      </c>
      <c r="AO6208" t="s">
        <v>53</v>
      </c>
      <c r="AP6208" t="s">
        <v>53</v>
      </c>
    </row>
    <row r="6209" spans="2:42" x14ac:dyDescent="0.2">
      <c r="B6209" t="s">
        <v>44</v>
      </c>
      <c r="C6209" t="str">
        <f>HYPERLINK("https://us2.cloudbeds.com/connect/8493803454333002#/reservations/9080486846608613?display=2WM82VNZ8H&amp;reservation_id=9080486846608613", "2WM82VNZ8H")</f>
        <v>2WM82VNZ8H</v>
      </c>
      <c r="D6209" t="s">
        <v>45</v>
      </c>
      <c r="E6209" t="s">
        <v>373</v>
      </c>
      <c r="F6209" t="s">
        <v>47</v>
      </c>
      <c r="G6209" t="s">
        <v>48</v>
      </c>
      <c r="H6209" t="s">
        <v>49</v>
      </c>
      <c r="I6209" t="s">
        <v>8964</v>
      </c>
      <c r="J6209" t="s">
        <v>8900</v>
      </c>
      <c r="K6209" t="s">
        <v>8314</v>
      </c>
      <c r="L6209" t="s">
        <v>53</v>
      </c>
      <c r="N6209" t="s">
        <v>11125</v>
      </c>
      <c r="P6209" t="s">
        <v>55</v>
      </c>
      <c r="R6209" t="s">
        <v>53</v>
      </c>
      <c r="T6209" t="s">
        <v>11126</v>
      </c>
      <c r="U6209" t="s">
        <v>58</v>
      </c>
      <c r="V6209">
        <v>1</v>
      </c>
      <c r="W6209">
        <v>1</v>
      </c>
      <c r="X6209">
        <v>2</v>
      </c>
      <c r="Y6209">
        <v>0</v>
      </c>
      <c r="Z6209">
        <v>2</v>
      </c>
      <c r="AA6209">
        <v>0</v>
      </c>
      <c r="AB6209">
        <v>0</v>
      </c>
      <c r="AC6209">
        <v>293</v>
      </c>
      <c r="AD6209">
        <v>0</v>
      </c>
      <c r="AE6209">
        <v>0</v>
      </c>
      <c r="AF6209">
        <v>0</v>
      </c>
      <c r="AG6209">
        <v>0</v>
      </c>
      <c r="AH6209">
        <v>0</v>
      </c>
      <c r="AI6209">
        <v>43.95</v>
      </c>
      <c r="AJ6209">
        <v>293</v>
      </c>
      <c r="AK6209">
        <v>293</v>
      </c>
      <c r="AL6209" t="s">
        <v>53</v>
      </c>
      <c r="AM6209" t="s">
        <v>53</v>
      </c>
      <c r="AN6209" t="s">
        <v>53</v>
      </c>
      <c r="AO6209" t="s">
        <v>53</v>
      </c>
      <c r="AP6209" t="s">
        <v>53</v>
      </c>
    </row>
    <row r="6210" spans="2:42" x14ac:dyDescent="0.2">
      <c r="B6210" t="s">
        <v>44</v>
      </c>
      <c r="C6210" t="str">
        <f>HYPERLINK("https://us2.cloudbeds.com/connect/8493803454333002#/reservations/138782579134655?display=2WMD3XQSA4&amp;reservation_id=138782579134655", "2WMD3XQSA4")</f>
        <v>2WMD3XQSA4</v>
      </c>
      <c r="D6210" t="s">
        <v>45</v>
      </c>
      <c r="E6210" t="s">
        <v>223</v>
      </c>
      <c r="F6210" t="s">
        <v>47</v>
      </c>
      <c r="G6210" t="s">
        <v>3974</v>
      </c>
      <c r="H6210" t="s">
        <v>3957</v>
      </c>
      <c r="I6210" t="s">
        <v>3975</v>
      </c>
      <c r="J6210" t="s">
        <v>7493</v>
      </c>
      <c r="K6210" t="s">
        <v>6345</v>
      </c>
      <c r="L6210" t="s">
        <v>53</v>
      </c>
      <c r="P6210" t="s">
        <v>55</v>
      </c>
      <c r="R6210" t="s">
        <v>56</v>
      </c>
      <c r="T6210" t="s">
        <v>11127</v>
      </c>
      <c r="U6210" t="s">
        <v>58</v>
      </c>
      <c r="V6210">
        <v>2</v>
      </c>
      <c r="W6210">
        <v>1</v>
      </c>
      <c r="X6210">
        <v>2</v>
      </c>
      <c r="Y6210">
        <v>0</v>
      </c>
      <c r="Z6210">
        <v>2</v>
      </c>
      <c r="AA6210">
        <v>381.13</v>
      </c>
      <c r="AB6210">
        <v>381.13</v>
      </c>
      <c r="AC6210">
        <v>335.35</v>
      </c>
      <c r="AD6210">
        <v>0</v>
      </c>
      <c r="AE6210">
        <v>45.78</v>
      </c>
      <c r="AF6210">
        <v>0</v>
      </c>
      <c r="AG6210">
        <v>0</v>
      </c>
      <c r="AH6210">
        <v>0</v>
      </c>
      <c r="AI6210">
        <v>0</v>
      </c>
      <c r="AJ6210">
        <v>381.13</v>
      </c>
      <c r="AK6210">
        <v>0</v>
      </c>
      <c r="AL6210" t="s">
        <v>53</v>
      </c>
      <c r="AM6210" t="s">
        <v>53</v>
      </c>
      <c r="AN6210" t="s">
        <v>53</v>
      </c>
      <c r="AO6210" t="s">
        <v>53</v>
      </c>
      <c r="AP6210" t="s">
        <v>53</v>
      </c>
    </row>
    <row r="6211" spans="2:42" x14ac:dyDescent="0.2">
      <c r="B6211" t="s">
        <v>44</v>
      </c>
      <c r="C6211" t="str">
        <f>HYPERLINK("https://us2.cloudbeds.com/connect/8493803454333002#/reservations/9080486846611364?display=2WQGDVDA0F&amp;reservation_id=9080486846611364", "2WQGDVDA0F")</f>
        <v>2WQGDVDA0F</v>
      </c>
      <c r="D6211" t="s">
        <v>45</v>
      </c>
      <c r="E6211" t="s">
        <v>223</v>
      </c>
      <c r="F6211" t="s">
        <v>47</v>
      </c>
      <c r="G6211" t="s">
        <v>48</v>
      </c>
      <c r="H6211" t="s">
        <v>49</v>
      </c>
      <c r="I6211" t="s">
        <v>62</v>
      </c>
      <c r="J6211" t="s">
        <v>9135</v>
      </c>
      <c r="K6211" t="s">
        <v>8313</v>
      </c>
      <c r="L6211" t="s">
        <v>53</v>
      </c>
      <c r="N6211" t="s">
        <v>11128</v>
      </c>
      <c r="P6211" t="s">
        <v>55</v>
      </c>
      <c r="R6211" t="s">
        <v>56</v>
      </c>
      <c r="T6211" t="s">
        <v>11129</v>
      </c>
      <c r="U6211" t="s">
        <v>55</v>
      </c>
      <c r="V6211">
        <v>1</v>
      </c>
      <c r="W6211">
        <v>1</v>
      </c>
      <c r="X6211">
        <v>2</v>
      </c>
      <c r="Y6211">
        <v>0</v>
      </c>
      <c r="Z6211">
        <v>2</v>
      </c>
      <c r="AA6211">
        <v>145</v>
      </c>
      <c r="AB6211">
        <v>145</v>
      </c>
      <c r="AC6211">
        <v>145</v>
      </c>
      <c r="AD6211">
        <v>0</v>
      </c>
      <c r="AE6211">
        <v>0</v>
      </c>
      <c r="AF6211">
        <v>0</v>
      </c>
      <c r="AG6211">
        <v>0</v>
      </c>
      <c r="AH6211">
        <v>0</v>
      </c>
      <c r="AI6211">
        <v>26.1</v>
      </c>
      <c r="AJ6211">
        <v>145</v>
      </c>
      <c r="AK6211">
        <v>0</v>
      </c>
      <c r="AL6211" t="s">
        <v>53</v>
      </c>
      <c r="AM6211" t="s">
        <v>53</v>
      </c>
      <c r="AN6211" t="s">
        <v>53</v>
      </c>
      <c r="AO6211" t="s">
        <v>53</v>
      </c>
      <c r="AP6211" t="s">
        <v>53</v>
      </c>
    </row>
    <row r="6212" spans="2:42" x14ac:dyDescent="0.2">
      <c r="B6212" t="s">
        <v>44</v>
      </c>
      <c r="C6212" t="str">
        <f>HYPERLINK("https://us2.cloudbeds.com/connect/8493803454333002#/reservations/9080486846611672?display=2WQRD5UH5Y&amp;reservation_id=9080486846611672", "2WQRD5UH5Y")</f>
        <v>2WQRD5UH5Y</v>
      </c>
      <c r="D6212" t="s">
        <v>45</v>
      </c>
      <c r="E6212" t="s">
        <v>113</v>
      </c>
      <c r="F6212" t="s">
        <v>61</v>
      </c>
      <c r="G6212" t="s">
        <v>48</v>
      </c>
      <c r="H6212" t="s">
        <v>49</v>
      </c>
      <c r="I6212" t="s">
        <v>50</v>
      </c>
      <c r="J6212" t="s">
        <v>9135</v>
      </c>
      <c r="K6212" t="s">
        <v>8313</v>
      </c>
      <c r="L6212" t="s">
        <v>53</v>
      </c>
      <c r="N6212" t="s">
        <v>11130</v>
      </c>
      <c r="P6212" t="s">
        <v>55</v>
      </c>
      <c r="R6212" t="s">
        <v>53</v>
      </c>
      <c r="T6212" t="s">
        <v>11131</v>
      </c>
      <c r="U6212" t="s">
        <v>58</v>
      </c>
      <c r="V6212">
        <v>1</v>
      </c>
      <c r="W6212">
        <v>1</v>
      </c>
      <c r="X6212">
        <v>1</v>
      </c>
      <c r="Y6212">
        <v>0</v>
      </c>
      <c r="Z6212">
        <v>1</v>
      </c>
      <c r="AA6212">
        <v>155.47999999999999</v>
      </c>
      <c r="AB6212">
        <v>155.47999999999999</v>
      </c>
      <c r="AC6212">
        <v>136.80000000000001</v>
      </c>
      <c r="AD6212">
        <v>0</v>
      </c>
      <c r="AE6212">
        <v>18.68</v>
      </c>
      <c r="AF6212">
        <v>0</v>
      </c>
      <c r="AG6212">
        <v>0</v>
      </c>
      <c r="AH6212">
        <v>0</v>
      </c>
      <c r="AI6212">
        <v>27.99</v>
      </c>
      <c r="AJ6212">
        <v>155.47999999999999</v>
      </c>
      <c r="AK6212">
        <v>0</v>
      </c>
      <c r="AL6212" t="s">
        <v>53</v>
      </c>
      <c r="AM6212" t="s">
        <v>53</v>
      </c>
      <c r="AN6212" t="s">
        <v>53</v>
      </c>
      <c r="AO6212" t="s">
        <v>53</v>
      </c>
      <c r="AP6212" t="s">
        <v>53</v>
      </c>
    </row>
    <row r="6213" spans="2:42" x14ac:dyDescent="0.2">
      <c r="B6213" t="s">
        <v>44</v>
      </c>
      <c r="C6213" t="str">
        <f>HYPERLINK("https://us2.cloudbeds.com/connect/8493803454333002#/reservations/9080486846612582?display=2WRRQ7N62F&amp;reservation_id=9080486846612582", "2WRRQ7N62F")</f>
        <v>2WRRQ7N62F</v>
      </c>
      <c r="D6213" t="s">
        <v>45</v>
      </c>
      <c r="E6213" t="s">
        <v>381</v>
      </c>
      <c r="F6213" t="s">
        <v>47</v>
      </c>
      <c r="G6213" t="s">
        <v>48</v>
      </c>
      <c r="H6213" t="s">
        <v>49</v>
      </c>
      <c r="I6213" t="s">
        <v>8964</v>
      </c>
      <c r="J6213" t="s">
        <v>8900</v>
      </c>
      <c r="K6213" t="s">
        <v>8314</v>
      </c>
      <c r="L6213" t="s">
        <v>53</v>
      </c>
      <c r="N6213" t="s">
        <v>11132</v>
      </c>
      <c r="P6213" t="s">
        <v>55</v>
      </c>
      <c r="R6213" t="s">
        <v>53</v>
      </c>
      <c r="T6213" t="s">
        <v>11133</v>
      </c>
      <c r="U6213" t="s">
        <v>58</v>
      </c>
      <c r="V6213">
        <v>1</v>
      </c>
      <c r="W6213">
        <v>1</v>
      </c>
      <c r="X6213">
        <v>2</v>
      </c>
      <c r="Y6213">
        <v>0</v>
      </c>
      <c r="Z6213">
        <v>2</v>
      </c>
      <c r="AA6213">
        <v>0</v>
      </c>
      <c r="AB6213">
        <v>0</v>
      </c>
      <c r="AC6213">
        <v>290</v>
      </c>
      <c r="AD6213">
        <v>0</v>
      </c>
      <c r="AE6213">
        <v>0</v>
      </c>
      <c r="AF6213">
        <v>0</v>
      </c>
      <c r="AG6213">
        <v>0</v>
      </c>
      <c r="AH6213">
        <v>0</v>
      </c>
      <c r="AI6213">
        <v>43.5</v>
      </c>
      <c r="AJ6213">
        <v>290</v>
      </c>
      <c r="AK6213">
        <v>290</v>
      </c>
      <c r="AL6213" t="s">
        <v>53</v>
      </c>
      <c r="AM6213" t="s">
        <v>53</v>
      </c>
      <c r="AN6213" t="s">
        <v>53</v>
      </c>
      <c r="AO6213" t="s">
        <v>53</v>
      </c>
      <c r="AP6213" t="s">
        <v>53</v>
      </c>
    </row>
    <row r="6214" spans="2:42" x14ac:dyDescent="0.2">
      <c r="B6214" t="s">
        <v>44</v>
      </c>
      <c r="C6214" t="str">
        <f>HYPERLINK("https://us2.cloudbeds.com/connect/8493803454333002#/reservations/9080486846613221?display=2WSXYG3YWQ&amp;reservation_id=9080486846613221", "2WSXYG3YWQ")</f>
        <v>2WSXYG3YWQ</v>
      </c>
      <c r="D6214" t="s">
        <v>45</v>
      </c>
      <c r="E6214" t="s">
        <v>213</v>
      </c>
      <c r="F6214" t="s">
        <v>86</v>
      </c>
      <c r="G6214" t="s">
        <v>48</v>
      </c>
      <c r="H6214" t="s">
        <v>49</v>
      </c>
      <c r="I6214" t="s">
        <v>8964</v>
      </c>
      <c r="J6214" t="s">
        <v>9135</v>
      </c>
      <c r="K6214" t="s">
        <v>8313</v>
      </c>
      <c r="L6214" t="s">
        <v>53</v>
      </c>
      <c r="N6214" t="s">
        <v>11134</v>
      </c>
      <c r="P6214" t="s">
        <v>55</v>
      </c>
      <c r="R6214" t="s">
        <v>53</v>
      </c>
      <c r="T6214" t="s">
        <v>11135</v>
      </c>
      <c r="U6214" t="s">
        <v>58</v>
      </c>
      <c r="V6214">
        <v>1</v>
      </c>
      <c r="W6214">
        <v>1</v>
      </c>
      <c r="X6214">
        <v>4</v>
      </c>
      <c r="Y6214">
        <v>0</v>
      </c>
      <c r="Z6214">
        <v>4</v>
      </c>
      <c r="AA6214">
        <v>0</v>
      </c>
      <c r="AB6214">
        <v>0</v>
      </c>
      <c r="AC6214">
        <v>157</v>
      </c>
      <c r="AD6214">
        <v>0</v>
      </c>
      <c r="AE6214">
        <v>0</v>
      </c>
      <c r="AF6214">
        <v>0</v>
      </c>
      <c r="AG6214">
        <v>0</v>
      </c>
      <c r="AH6214">
        <v>0</v>
      </c>
      <c r="AI6214">
        <v>23.55</v>
      </c>
      <c r="AJ6214">
        <v>157</v>
      </c>
      <c r="AK6214">
        <v>157</v>
      </c>
      <c r="AL6214" t="s">
        <v>53</v>
      </c>
      <c r="AM6214" t="s">
        <v>53</v>
      </c>
      <c r="AN6214" t="s">
        <v>11136</v>
      </c>
      <c r="AO6214" t="s">
        <v>53</v>
      </c>
      <c r="AP6214" t="s">
        <v>53</v>
      </c>
    </row>
    <row r="6215" spans="2:42" x14ac:dyDescent="0.2">
      <c r="B6215" t="s">
        <v>44</v>
      </c>
      <c r="C6215" t="str">
        <f>HYPERLINK("https://us2.cloudbeds.com/connect/8493803454333002#/reservations/139050190360732?display=2WSMAYMNFC&amp;reservation_id=139050190360732", "2WSMAYMNFC")</f>
        <v>2WSMAYMNFC</v>
      </c>
      <c r="D6215" t="s">
        <v>45</v>
      </c>
      <c r="E6215" t="s">
        <v>11137</v>
      </c>
      <c r="F6215" t="s">
        <v>5257</v>
      </c>
      <c r="G6215" t="s">
        <v>48</v>
      </c>
      <c r="H6215" t="s">
        <v>3957</v>
      </c>
      <c r="I6215" t="s">
        <v>3975</v>
      </c>
      <c r="J6215" t="s">
        <v>8314</v>
      </c>
      <c r="K6215" t="s">
        <v>6454</v>
      </c>
      <c r="L6215" t="s">
        <v>53</v>
      </c>
      <c r="P6215" t="s">
        <v>55</v>
      </c>
      <c r="R6215" t="s">
        <v>56</v>
      </c>
      <c r="T6215" t="s">
        <v>11138</v>
      </c>
      <c r="U6215" t="s">
        <v>58</v>
      </c>
      <c r="V6215">
        <v>4</v>
      </c>
      <c r="W6215">
        <v>2</v>
      </c>
      <c r="X6215">
        <v>4</v>
      </c>
      <c r="Y6215">
        <v>0</v>
      </c>
      <c r="Z6215">
        <v>4</v>
      </c>
      <c r="AA6215">
        <v>1272.9100000000001</v>
      </c>
      <c r="AB6215">
        <v>1272.9100000000001</v>
      </c>
      <c r="AC6215">
        <v>1120</v>
      </c>
      <c r="AD6215">
        <v>0</v>
      </c>
      <c r="AE6215">
        <v>152.91</v>
      </c>
      <c r="AF6215">
        <v>0</v>
      </c>
      <c r="AG6215">
        <v>0</v>
      </c>
      <c r="AH6215">
        <v>0</v>
      </c>
      <c r="AI6215">
        <v>0</v>
      </c>
      <c r="AJ6215">
        <v>1272.9100000000001</v>
      </c>
      <c r="AK6215">
        <v>0</v>
      </c>
      <c r="AL6215" t="s">
        <v>53</v>
      </c>
      <c r="AM6215" t="s">
        <v>53</v>
      </c>
      <c r="AN6215" t="s">
        <v>53</v>
      </c>
      <c r="AO6215" t="s">
        <v>53</v>
      </c>
      <c r="AP6215" t="s">
        <v>53</v>
      </c>
    </row>
    <row r="6216" spans="2:42" x14ac:dyDescent="0.2">
      <c r="B6216" t="s">
        <v>44</v>
      </c>
      <c r="C6216" t="str">
        <f>HYPERLINK("https://us2.cloudbeds.com/connect/8493803454333002#/reservations/9080486846613470?display=2WSRSUNBAT&amp;reservation_id=9080486846613470", "2WSRSUNBAT")</f>
        <v>2WSRSUNBAT</v>
      </c>
      <c r="D6216" t="s">
        <v>45</v>
      </c>
      <c r="E6216" t="s">
        <v>406</v>
      </c>
      <c r="F6216" t="s">
        <v>61</v>
      </c>
      <c r="G6216" t="s">
        <v>48</v>
      </c>
      <c r="H6216" t="s">
        <v>49</v>
      </c>
      <c r="I6216" t="s">
        <v>50</v>
      </c>
      <c r="J6216" t="s">
        <v>5508</v>
      </c>
      <c r="K6216" t="s">
        <v>7325</v>
      </c>
      <c r="L6216" t="s">
        <v>53</v>
      </c>
      <c r="N6216" t="s">
        <v>11139</v>
      </c>
      <c r="P6216" t="s">
        <v>55</v>
      </c>
      <c r="R6216" t="s">
        <v>53</v>
      </c>
      <c r="T6216" t="s">
        <v>11140</v>
      </c>
      <c r="U6216" t="s">
        <v>58</v>
      </c>
      <c r="V6216">
        <v>2</v>
      </c>
      <c r="W6216">
        <v>1</v>
      </c>
      <c r="X6216">
        <v>1</v>
      </c>
      <c r="Y6216">
        <v>0</v>
      </c>
      <c r="Z6216">
        <v>1</v>
      </c>
      <c r="AA6216">
        <v>386.41</v>
      </c>
      <c r="AB6216">
        <v>536.41</v>
      </c>
      <c r="AC6216">
        <v>340</v>
      </c>
      <c r="AD6216">
        <v>0</v>
      </c>
      <c r="AE6216">
        <v>46.41</v>
      </c>
      <c r="AF6216">
        <v>0</v>
      </c>
      <c r="AG6216">
        <v>0</v>
      </c>
      <c r="AH6216">
        <v>0</v>
      </c>
      <c r="AI6216">
        <v>69.55</v>
      </c>
      <c r="AJ6216">
        <v>386.41</v>
      </c>
      <c r="AK6216">
        <v>0</v>
      </c>
      <c r="AL6216" t="s">
        <v>53</v>
      </c>
      <c r="AM6216" t="s">
        <v>53</v>
      </c>
      <c r="AN6216" t="s">
        <v>53</v>
      </c>
      <c r="AO6216" t="s">
        <v>53</v>
      </c>
      <c r="AP6216" t="s">
        <v>53</v>
      </c>
    </row>
    <row r="6217" spans="2:42" x14ac:dyDescent="0.2">
      <c r="B6217" t="s">
        <v>44</v>
      </c>
      <c r="C6217" t="str">
        <f>HYPERLINK("https://us2.cloudbeds.com/connect/8493803454333002#/reservations/139058126069897?display=2WSSFE9H1M&amp;reservation_id=139058126069897", "2WSSFE9H1M")</f>
        <v>2WSSFE9H1M</v>
      </c>
      <c r="D6217" t="s">
        <v>45</v>
      </c>
      <c r="E6217" t="s">
        <v>373</v>
      </c>
      <c r="F6217" t="s">
        <v>47</v>
      </c>
      <c r="G6217" t="s">
        <v>48</v>
      </c>
      <c r="H6217" t="s">
        <v>3957</v>
      </c>
      <c r="I6217" t="s">
        <v>3989</v>
      </c>
      <c r="J6217" t="s">
        <v>6829</v>
      </c>
      <c r="K6217" t="s">
        <v>8138</v>
      </c>
      <c r="L6217" t="s">
        <v>53</v>
      </c>
      <c r="P6217" t="s">
        <v>55</v>
      </c>
      <c r="R6217" t="s">
        <v>56</v>
      </c>
      <c r="T6217" t="s">
        <v>11141</v>
      </c>
      <c r="U6217" t="s">
        <v>58</v>
      </c>
      <c r="V6217">
        <v>3</v>
      </c>
      <c r="W6217">
        <v>1</v>
      </c>
      <c r="X6217">
        <v>1</v>
      </c>
      <c r="Y6217">
        <v>0</v>
      </c>
      <c r="Z6217">
        <v>1</v>
      </c>
      <c r="AA6217">
        <v>673.97</v>
      </c>
      <c r="AB6217">
        <v>593</v>
      </c>
      <c r="AC6217">
        <v>512.03</v>
      </c>
      <c r="AD6217">
        <v>0</v>
      </c>
      <c r="AE6217">
        <v>80.97</v>
      </c>
      <c r="AF6217">
        <v>0</v>
      </c>
      <c r="AG6217">
        <v>0</v>
      </c>
      <c r="AH6217">
        <v>0</v>
      </c>
      <c r="AI6217">
        <v>0</v>
      </c>
      <c r="AJ6217">
        <v>593</v>
      </c>
      <c r="AK6217">
        <v>0</v>
      </c>
      <c r="AL6217" t="s">
        <v>53</v>
      </c>
      <c r="AM6217" t="s">
        <v>53</v>
      </c>
      <c r="AN6217" t="s">
        <v>11142</v>
      </c>
      <c r="AO6217" t="s">
        <v>53</v>
      </c>
      <c r="AP6217" t="s">
        <v>53</v>
      </c>
    </row>
    <row r="6218" spans="2:42" x14ac:dyDescent="0.2">
      <c r="B6218" t="s">
        <v>44</v>
      </c>
      <c r="C6218" t="str">
        <f>HYPERLINK("https://us2.cloudbeds.com/connect/8493803454333002#/reservations/9080486846613612?display=2WT0H907TC&amp;reservation_id=9080486846613612", "2WT0H907TC")</f>
        <v>2WT0H907TC</v>
      </c>
      <c r="D6218" t="s">
        <v>602</v>
      </c>
      <c r="E6218" t="s">
        <v>53</v>
      </c>
      <c r="F6218" t="s">
        <v>86</v>
      </c>
      <c r="G6218" t="s">
        <v>48</v>
      </c>
      <c r="H6218" t="s">
        <v>49</v>
      </c>
      <c r="I6218" t="s">
        <v>62</v>
      </c>
      <c r="J6218" t="s">
        <v>9135</v>
      </c>
      <c r="K6218" t="s">
        <v>8314</v>
      </c>
      <c r="L6218" t="s">
        <v>53</v>
      </c>
      <c r="N6218" t="s">
        <v>11143</v>
      </c>
      <c r="P6218" t="s">
        <v>55</v>
      </c>
      <c r="R6218" t="s">
        <v>56</v>
      </c>
      <c r="T6218" t="s">
        <v>11144</v>
      </c>
      <c r="U6218" t="s">
        <v>55</v>
      </c>
      <c r="V6218">
        <v>3</v>
      </c>
      <c r="W6218">
        <v>1</v>
      </c>
      <c r="X6218">
        <v>1</v>
      </c>
      <c r="Y6218">
        <v>0</v>
      </c>
      <c r="Z6218">
        <v>1</v>
      </c>
      <c r="AA6218">
        <v>680</v>
      </c>
      <c r="AB6218">
        <v>680</v>
      </c>
      <c r="AC6218">
        <v>0</v>
      </c>
      <c r="AD6218">
        <v>0</v>
      </c>
      <c r="AE6218">
        <v>0</v>
      </c>
      <c r="AF6218">
        <v>0</v>
      </c>
      <c r="AG6218">
        <v>0</v>
      </c>
      <c r="AH6218">
        <v>0</v>
      </c>
      <c r="AI6218">
        <v>122.4</v>
      </c>
      <c r="AJ6218">
        <v>0</v>
      </c>
      <c r="AK6218">
        <v>-680</v>
      </c>
      <c r="AL6218">
        <v>680</v>
      </c>
      <c r="AM6218">
        <v>680</v>
      </c>
      <c r="AN6218" t="s">
        <v>11145</v>
      </c>
      <c r="AO6218" t="s">
        <v>53</v>
      </c>
      <c r="AP6218" t="s">
        <v>53</v>
      </c>
    </row>
    <row r="6219" spans="2:42" x14ac:dyDescent="0.2">
      <c r="B6219" t="s">
        <v>44</v>
      </c>
      <c r="C6219" t="str">
        <f>HYPERLINK("https://us2.cloudbeds.com/connect/8493803454333002#/reservations/9080486846613673?display=2WT2YCNTTH&amp;reservation_id=9080486846613673", "2WT2YCNTTH")</f>
        <v>2WT2YCNTTH</v>
      </c>
      <c r="D6219" t="s">
        <v>45</v>
      </c>
      <c r="E6219" t="s">
        <v>265</v>
      </c>
      <c r="F6219" t="s">
        <v>61</v>
      </c>
      <c r="G6219" t="s">
        <v>48</v>
      </c>
      <c r="H6219" t="s">
        <v>49</v>
      </c>
      <c r="I6219" t="s">
        <v>50</v>
      </c>
      <c r="J6219" t="s">
        <v>8686</v>
      </c>
      <c r="K6219" t="s">
        <v>5402</v>
      </c>
      <c r="L6219" t="s">
        <v>53</v>
      </c>
      <c r="N6219" t="s">
        <v>11146</v>
      </c>
      <c r="P6219" t="s">
        <v>55</v>
      </c>
      <c r="R6219" t="s">
        <v>53</v>
      </c>
      <c r="T6219" t="s">
        <v>11147</v>
      </c>
      <c r="U6219" t="s">
        <v>58</v>
      </c>
      <c r="V6219">
        <v>1</v>
      </c>
      <c r="W6219">
        <v>1</v>
      </c>
      <c r="X6219">
        <v>2</v>
      </c>
      <c r="Y6219">
        <v>0</v>
      </c>
      <c r="Z6219">
        <v>2</v>
      </c>
      <c r="AA6219">
        <v>208.66</v>
      </c>
      <c r="AB6219">
        <v>208.66</v>
      </c>
      <c r="AC6219">
        <v>183.6</v>
      </c>
      <c r="AD6219">
        <v>0</v>
      </c>
      <c r="AE6219">
        <v>25.06</v>
      </c>
      <c r="AF6219">
        <v>0</v>
      </c>
      <c r="AG6219">
        <v>0</v>
      </c>
      <c r="AH6219">
        <v>0</v>
      </c>
      <c r="AI6219">
        <v>37.56</v>
      </c>
      <c r="AJ6219">
        <v>208.66</v>
      </c>
      <c r="AK6219">
        <v>0</v>
      </c>
      <c r="AL6219" t="s">
        <v>53</v>
      </c>
      <c r="AM6219" t="s">
        <v>53</v>
      </c>
      <c r="AN6219" t="s">
        <v>53</v>
      </c>
      <c r="AO6219" t="s">
        <v>53</v>
      </c>
      <c r="AP6219" t="s">
        <v>53</v>
      </c>
    </row>
    <row r="6220" spans="2:42" x14ac:dyDescent="0.2">
      <c r="B6220" t="s">
        <v>44</v>
      </c>
      <c r="C6220" t="str">
        <f>HYPERLINK("https://us2.cloudbeds.com/connect/8493803454333002#/reservations/9080486846614100?display=2WTGVFHKX0&amp;reservation_id=9080486846614100", "2WTGVFHKX0")</f>
        <v>2WTGVFHKX0</v>
      </c>
      <c r="D6220" t="s">
        <v>45</v>
      </c>
      <c r="E6220" t="s">
        <v>179</v>
      </c>
      <c r="F6220" t="s">
        <v>47</v>
      </c>
      <c r="G6220" t="s">
        <v>48</v>
      </c>
      <c r="H6220" t="s">
        <v>49</v>
      </c>
      <c r="I6220" t="s">
        <v>50</v>
      </c>
      <c r="J6220" t="s">
        <v>6992</v>
      </c>
      <c r="K6220" t="s">
        <v>6829</v>
      </c>
      <c r="L6220" t="s">
        <v>53</v>
      </c>
      <c r="N6220" t="s">
        <v>11148</v>
      </c>
      <c r="P6220" t="s">
        <v>55</v>
      </c>
      <c r="R6220" t="s">
        <v>53</v>
      </c>
      <c r="T6220" t="s">
        <v>11149</v>
      </c>
      <c r="U6220" t="s">
        <v>58</v>
      </c>
      <c r="V6220">
        <v>1</v>
      </c>
      <c r="W6220">
        <v>1</v>
      </c>
      <c r="X6220">
        <v>2</v>
      </c>
      <c r="Y6220">
        <v>0</v>
      </c>
      <c r="Z6220">
        <v>2</v>
      </c>
      <c r="AA6220">
        <v>147.69999999999999</v>
      </c>
      <c r="AB6220">
        <v>147.69999999999999</v>
      </c>
      <c r="AC6220">
        <v>129.96</v>
      </c>
      <c r="AD6220">
        <v>0</v>
      </c>
      <c r="AE6220">
        <v>17.739999999999998</v>
      </c>
      <c r="AF6220">
        <v>0</v>
      </c>
      <c r="AG6220">
        <v>0</v>
      </c>
      <c r="AH6220">
        <v>0</v>
      </c>
      <c r="AI6220">
        <v>26.59</v>
      </c>
      <c r="AJ6220">
        <v>147.69999999999999</v>
      </c>
      <c r="AK6220">
        <v>0</v>
      </c>
      <c r="AL6220" t="s">
        <v>53</v>
      </c>
      <c r="AM6220" t="s">
        <v>53</v>
      </c>
      <c r="AN6220" t="s">
        <v>53</v>
      </c>
      <c r="AO6220" t="s">
        <v>53</v>
      </c>
      <c r="AP6220" t="s">
        <v>53</v>
      </c>
    </row>
    <row r="6221" spans="2:42" x14ac:dyDescent="0.2">
      <c r="B6221" t="s">
        <v>44</v>
      </c>
      <c r="C6221" t="str">
        <f>HYPERLINK("https://us2.cloudbeds.com/connect/8493803454333002#/reservations/9080486846614239?display=2WTYVF2J30&amp;reservation_id=9080486846614239", "2WTYVF2J30")</f>
        <v>2WTYVF2J30</v>
      </c>
      <c r="D6221" t="s">
        <v>45</v>
      </c>
      <c r="E6221" t="s">
        <v>165</v>
      </c>
      <c r="F6221" t="s">
        <v>61</v>
      </c>
      <c r="G6221" t="s">
        <v>48</v>
      </c>
      <c r="H6221" t="s">
        <v>49</v>
      </c>
      <c r="I6221" t="s">
        <v>50</v>
      </c>
      <c r="J6221" t="s">
        <v>9687</v>
      </c>
      <c r="K6221" t="s">
        <v>6832</v>
      </c>
      <c r="L6221" t="s">
        <v>53</v>
      </c>
      <c r="N6221" t="s">
        <v>11150</v>
      </c>
      <c r="P6221" t="s">
        <v>55</v>
      </c>
      <c r="R6221" t="s">
        <v>53</v>
      </c>
      <c r="T6221" t="s">
        <v>11151</v>
      </c>
      <c r="U6221" t="s">
        <v>58</v>
      </c>
      <c r="V6221">
        <v>2</v>
      </c>
      <c r="W6221">
        <v>1</v>
      </c>
      <c r="X6221">
        <v>1</v>
      </c>
      <c r="Y6221">
        <v>0</v>
      </c>
      <c r="Z6221">
        <v>1</v>
      </c>
      <c r="AA6221">
        <v>414.91</v>
      </c>
      <c r="AB6221">
        <v>414.91</v>
      </c>
      <c r="AC6221">
        <v>365.08</v>
      </c>
      <c r="AD6221">
        <v>0</v>
      </c>
      <c r="AE6221">
        <v>49.83</v>
      </c>
      <c r="AF6221">
        <v>0</v>
      </c>
      <c r="AG6221">
        <v>0</v>
      </c>
      <c r="AH6221">
        <v>0</v>
      </c>
      <c r="AI6221">
        <v>74.680000000000007</v>
      </c>
      <c r="AJ6221">
        <v>414.91</v>
      </c>
      <c r="AK6221">
        <v>0</v>
      </c>
      <c r="AL6221" t="s">
        <v>53</v>
      </c>
      <c r="AM6221" t="s">
        <v>53</v>
      </c>
      <c r="AN6221" t="s">
        <v>53</v>
      </c>
      <c r="AO6221" t="s">
        <v>53</v>
      </c>
      <c r="AP6221" t="s">
        <v>53</v>
      </c>
    </row>
    <row r="6222" spans="2:42" x14ac:dyDescent="0.2">
      <c r="B6222" t="s">
        <v>44</v>
      </c>
      <c r="C6222" t="str">
        <f>HYPERLINK("https://us2.cloudbeds.com/connect/8493803454333002#/reservations/9080486846614241?display=2WTYW3SE9U&amp;reservation_id=9080486846614241", "2WTYW3SE9U")</f>
        <v>2WTYW3SE9U</v>
      </c>
      <c r="D6222" t="s">
        <v>45</v>
      </c>
      <c r="E6222" t="s">
        <v>113</v>
      </c>
      <c r="F6222" t="s">
        <v>61</v>
      </c>
      <c r="G6222" t="s">
        <v>48</v>
      </c>
      <c r="H6222" t="s">
        <v>49</v>
      </c>
      <c r="I6222" t="s">
        <v>50</v>
      </c>
      <c r="J6222" t="s">
        <v>9687</v>
      </c>
      <c r="K6222" t="s">
        <v>6832</v>
      </c>
      <c r="L6222" t="s">
        <v>53</v>
      </c>
      <c r="N6222" t="s">
        <v>11152</v>
      </c>
      <c r="P6222" t="s">
        <v>55</v>
      </c>
      <c r="R6222" t="s">
        <v>53</v>
      </c>
      <c r="T6222" t="s">
        <v>11153</v>
      </c>
      <c r="U6222" t="s">
        <v>58</v>
      </c>
      <c r="V6222">
        <v>2</v>
      </c>
      <c r="W6222">
        <v>1</v>
      </c>
      <c r="X6222">
        <v>2</v>
      </c>
      <c r="Y6222">
        <v>0</v>
      </c>
      <c r="Z6222">
        <v>2</v>
      </c>
      <c r="AA6222">
        <v>414.91</v>
      </c>
      <c r="AB6222">
        <v>414.91</v>
      </c>
      <c r="AC6222">
        <v>365.08</v>
      </c>
      <c r="AD6222">
        <v>0</v>
      </c>
      <c r="AE6222">
        <v>49.83</v>
      </c>
      <c r="AF6222">
        <v>0</v>
      </c>
      <c r="AG6222">
        <v>0</v>
      </c>
      <c r="AH6222">
        <v>0</v>
      </c>
      <c r="AI6222">
        <v>74.680000000000007</v>
      </c>
      <c r="AJ6222">
        <v>414.91</v>
      </c>
      <c r="AK6222">
        <v>0</v>
      </c>
      <c r="AL6222" t="s">
        <v>53</v>
      </c>
      <c r="AM6222" t="s">
        <v>53</v>
      </c>
      <c r="AN6222" t="s">
        <v>53</v>
      </c>
      <c r="AO6222" t="s">
        <v>53</v>
      </c>
      <c r="AP6222" t="s">
        <v>53</v>
      </c>
    </row>
    <row r="6223" spans="2:42" x14ac:dyDescent="0.2">
      <c r="B6223" t="s">
        <v>44</v>
      </c>
      <c r="C6223" t="str">
        <f>HYPERLINK("https://us2.cloudbeds.com/connect/8493803454333002#/reservations/9080486846614269?display=2WTMWXXT7N&amp;reservation_id=9080486846614269", "2WTMWXXT7N")</f>
        <v>2WTMWXXT7N</v>
      </c>
      <c r="D6223" t="s">
        <v>45</v>
      </c>
      <c r="E6223" t="s">
        <v>213</v>
      </c>
      <c r="F6223" t="s">
        <v>86</v>
      </c>
      <c r="G6223" t="s">
        <v>48</v>
      </c>
      <c r="H6223" t="s">
        <v>49</v>
      </c>
      <c r="I6223" t="s">
        <v>62</v>
      </c>
      <c r="J6223" t="s">
        <v>9725</v>
      </c>
      <c r="K6223" t="s">
        <v>9610</v>
      </c>
      <c r="L6223" t="s">
        <v>53</v>
      </c>
      <c r="N6223" t="s">
        <v>11154</v>
      </c>
      <c r="P6223" t="s">
        <v>55</v>
      </c>
      <c r="R6223" t="s">
        <v>56</v>
      </c>
      <c r="T6223" t="s">
        <v>11155</v>
      </c>
      <c r="U6223" t="s">
        <v>55</v>
      </c>
      <c r="V6223">
        <v>1</v>
      </c>
      <c r="W6223">
        <v>1</v>
      </c>
      <c r="X6223">
        <v>2</v>
      </c>
      <c r="Y6223">
        <v>0</v>
      </c>
      <c r="Z6223">
        <v>2</v>
      </c>
      <c r="AA6223">
        <v>151.05000000000001</v>
      </c>
      <c r="AB6223">
        <v>151.05000000000001</v>
      </c>
      <c r="AC6223">
        <v>151.05000000000001</v>
      </c>
      <c r="AD6223">
        <v>0</v>
      </c>
      <c r="AE6223">
        <v>0</v>
      </c>
      <c r="AF6223">
        <v>0</v>
      </c>
      <c r="AG6223">
        <v>0</v>
      </c>
      <c r="AH6223">
        <v>0</v>
      </c>
      <c r="AI6223">
        <v>27.19</v>
      </c>
      <c r="AJ6223">
        <v>151.05000000000001</v>
      </c>
      <c r="AK6223">
        <v>0</v>
      </c>
      <c r="AL6223" t="s">
        <v>53</v>
      </c>
      <c r="AM6223" t="s">
        <v>53</v>
      </c>
      <c r="AN6223" t="s">
        <v>53</v>
      </c>
      <c r="AO6223" t="s">
        <v>53</v>
      </c>
      <c r="AP6223" t="s">
        <v>53</v>
      </c>
    </row>
    <row r="6224" spans="2:42" x14ac:dyDescent="0.2">
      <c r="B6224" t="s">
        <v>44</v>
      </c>
      <c r="C6224" t="str">
        <f>HYPERLINK("https://us2.cloudbeds.com/connect/8493803454333002#/reservations/9080486846614655?display=2WU3HH5RCG&amp;reservation_id=9080486846614655", "2WU3HH5RCG")</f>
        <v>2WU3HH5RCG</v>
      </c>
      <c r="D6224" t="s">
        <v>45</v>
      </c>
      <c r="E6224" t="s">
        <v>487</v>
      </c>
      <c r="F6224" t="s">
        <v>61</v>
      </c>
      <c r="G6224" t="s">
        <v>48</v>
      </c>
      <c r="H6224" t="s">
        <v>49</v>
      </c>
      <c r="I6224" t="s">
        <v>50</v>
      </c>
      <c r="J6224" t="s">
        <v>9135</v>
      </c>
      <c r="K6224" t="s">
        <v>8313</v>
      </c>
      <c r="L6224" t="s">
        <v>53</v>
      </c>
      <c r="N6224" t="s">
        <v>11156</v>
      </c>
      <c r="P6224" t="s">
        <v>55</v>
      </c>
      <c r="R6224" t="s">
        <v>53</v>
      </c>
      <c r="T6224" t="s">
        <v>11157</v>
      </c>
      <c r="U6224" t="s">
        <v>58</v>
      </c>
      <c r="V6224">
        <v>1</v>
      </c>
      <c r="W6224">
        <v>1</v>
      </c>
      <c r="X6224">
        <v>1</v>
      </c>
      <c r="Y6224">
        <v>0</v>
      </c>
      <c r="Z6224">
        <v>1</v>
      </c>
      <c r="AA6224">
        <v>161.61000000000001</v>
      </c>
      <c r="AB6224">
        <v>161.61000000000001</v>
      </c>
      <c r="AC6224">
        <v>142.19999999999999</v>
      </c>
      <c r="AD6224">
        <v>0</v>
      </c>
      <c r="AE6224">
        <v>19.41</v>
      </c>
      <c r="AF6224">
        <v>0</v>
      </c>
      <c r="AG6224">
        <v>0</v>
      </c>
      <c r="AH6224">
        <v>0</v>
      </c>
      <c r="AI6224">
        <v>29.09</v>
      </c>
      <c r="AJ6224">
        <v>161.61000000000001</v>
      </c>
      <c r="AK6224">
        <v>0</v>
      </c>
      <c r="AL6224" t="s">
        <v>53</v>
      </c>
      <c r="AM6224" t="s">
        <v>53</v>
      </c>
      <c r="AN6224" t="s">
        <v>53</v>
      </c>
      <c r="AO6224" t="s">
        <v>53</v>
      </c>
      <c r="AP6224" t="s">
        <v>53</v>
      </c>
    </row>
    <row r="6225" spans="2:42" x14ac:dyDescent="0.2">
      <c r="B6225" t="s">
        <v>44</v>
      </c>
      <c r="C6225" t="str">
        <f>HYPERLINK("https://us2.cloudbeds.com/connect/8493803454333002#/reservations/9080486846614683?display=2WU4M3TA0A&amp;reservation_id=9080486846614683", "2WU4M3TA0A")</f>
        <v>2WU4M3TA0A</v>
      </c>
      <c r="D6225" t="s">
        <v>45</v>
      </c>
      <c r="E6225" t="s">
        <v>46</v>
      </c>
      <c r="F6225" t="s">
        <v>47</v>
      </c>
      <c r="G6225" t="s">
        <v>48</v>
      </c>
      <c r="H6225" t="s">
        <v>49</v>
      </c>
      <c r="I6225" t="s">
        <v>50</v>
      </c>
      <c r="J6225" t="s">
        <v>9135</v>
      </c>
      <c r="K6225" t="s">
        <v>8313</v>
      </c>
      <c r="L6225" t="s">
        <v>53</v>
      </c>
      <c r="N6225" t="s">
        <v>11158</v>
      </c>
      <c r="P6225" t="s">
        <v>55</v>
      </c>
      <c r="R6225" t="s">
        <v>53</v>
      </c>
      <c r="T6225" t="s">
        <v>11159</v>
      </c>
      <c r="U6225" t="s">
        <v>58</v>
      </c>
      <c r="V6225">
        <v>1</v>
      </c>
      <c r="W6225">
        <v>1</v>
      </c>
      <c r="X6225">
        <v>1</v>
      </c>
      <c r="Y6225">
        <v>0</v>
      </c>
      <c r="Z6225">
        <v>1</v>
      </c>
      <c r="AA6225">
        <v>143.93</v>
      </c>
      <c r="AB6225">
        <v>143.93</v>
      </c>
      <c r="AC6225">
        <v>126.65</v>
      </c>
      <c r="AD6225">
        <v>0</v>
      </c>
      <c r="AE6225">
        <v>17.28</v>
      </c>
      <c r="AF6225">
        <v>0</v>
      </c>
      <c r="AG6225">
        <v>0</v>
      </c>
      <c r="AH6225">
        <v>0</v>
      </c>
      <c r="AI6225">
        <v>25.91</v>
      </c>
      <c r="AJ6225">
        <v>143.93</v>
      </c>
      <c r="AK6225">
        <v>0</v>
      </c>
      <c r="AL6225" t="s">
        <v>53</v>
      </c>
      <c r="AM6225" t="s">
        <v>53</v>
      </c>
      <c r="AN6225" t="s">
        <v>53</v>
      </c>
      <c r="AO6225" t="s">
        <v>53</v>
      </c>
      <c r="AP6225" t="s">
        <v>53</v>
      </c>
    </row>
    <row r="6226" spans="2:42" x14ac:dyDescent="0.2">
      <c r="B6226" t="s">
        <v>44</v>
      </c>
      <c r="C6226" t="str">
        <f>HYPERLINK("https://us2.cloudbeds.com/connect/8493803454333002#/reservations/9080486846614806?display=2WU99W2UM1&amp;reservation_id=9080486846614806", "2WU99W2UM1")</f>
        <v>2WU99W2UM1</v>
      </c>
      <c r="D6226" t="s">
        <v>45</v>
      </c>
      <c r="E6226" t="s">
        <v>381</v>
      </c>
      <c r="F6226" t="s">
        <v>47</v>
      </c>
      <c r="G6226" t="s">
        <v>48</v>
      </c>
      <c r="H6226" t="s">
        <v>49</v>
      </c>
      <c r="I6226" t="s">
        <v>50</v>
      </c>
      <c r="J6226" t="s">
        <v>9610</v>
      </c>
      <c r="K6226" t="s">
        <v>7492</v>
      </c>
      <c r="L6226" t="s">
        <v>53</v>
      </c>
      <c r="N6226" t="s">
        <v>11160</v>
      </c>
      <c r="P6226" t="s">
        <v>55</v>
      </c>
      <c r="R6226" t="s">
        <v>53</v>
      </c>
      <c r="T6226" t="s">
        <v>11161</v>
      </c>
      <c r="U6226" t="s">
        <v>58</v>
      </c>
      <c r="V6226">
        <v>6</v>
      </c>
      <c r="W6226">
        <v>1</v>
      </c>
      <c r="X6226">
        <v>2</v>
      </c>
      <c r="Y6226">
        <v>0</v>
      </c>
      <c r="Z6226">
        <v>2</v>
      </c>
      <c r="AA6226">
        <v>1204.8900000000001</v>
      </c>
      <c r="AB6226">
        <v>1204.8900000000001</v>
      </c>
      <c r="AC6226">
        <v>1060.19</v>
      </c>
      <c r="AD6226">
        <v>0</v>
      </c>
      <c r="AE6226">
        <v>144.69999999999999</v>
      </c>
      <c r="AF6226">
        <v>0</v>
      </c>
      <c r="AG6226">
        <v>0</v>
      </c>
      <c r="AH6226">
        <v>0</v>
      </c>
      <c r="AI6226">
        <v>216.88</v>
      </c>
      <c r="AJ6226">
        <v>1204.8900000000001</v>
      </c>
      <c r="AK6226">
        <v>0</v>
      </c>
      <c r="AL6226" t="s">
        <v>53</v>
      </c>
      <c r="AM6226" t="s">
        <v>53</v>
      </c>
      <c r="AN6226" t="s">
        <v>53</v>
      </c>
      <c r="AO6226" t="s">
        <v>53</v>
      </c>
      <c r="AP6226" t="s">
        <v>53</v>
      </c>
    </row>
    <row r="6227" spans="2:42" x14ac:dyDescent="0.2">
      <c r="B6227" t="s">
        <v>44</v>
      </c>
      <c r="C6227" t="str">
        <f>HYPERLINK("https://us2.cloudbeds.com/connect/8493803454333002#/reservations/139119374979270?display=2WU9TFWNBE&amp;reservation_id=139119374979270", "2WU9TFWNBE")</f>
        <v>2WU9TFWNBE</v>
      </c>
      <c r="D6227" t="s">
        <v>45</v>
      </c>
      <c r="E6227" t="s">
        <v>46</v>
      </c>
      <c r="F6227" t="s">
        <v>47</v>
      </c>
      <c r="G6227" t="s">
        <v>48</v>
      </c>
      <c r="H6227" t="s">
        <v>3957</v>
      </c>
      <c r="I6227" t="s">
        <v>3989</v>
      </c>
      <c r="J6227" t="s">
        <v>8313</v>
      </c>
      <c r="K6227" t="s">
        <v>8900</v>
      </c>
      <c r="L6227" t="s">
        <v>53</v>
      </c>
      <c r="P6227" t="s">
        <v>55</v>
      </c>
      <c r="R6227" t="s">
        <v>56</v>
      </c>
      <c r="T6227" t="s">
        <v>11162</v>
      </c>
      <c r="U6227" t="s">
        <v>58</v>
      </c>
      <c r="V6227">
        <v>1</v>
      </c>
      <c r="W6227">
        <v>1</v>
      </c>
      <c r="X6227">
        <v>1</v>
      </c>
      <c r="Y6227">
        <v>0</v>
      </c>
      <c r="Z6227">
        <v>1</v>
      </c>
      <c r="AA6227">
        <v>180.71</v>
      </c>
      <c r="AB6227">
        <v>183.42</v>
      </c>
      <c r="AC6227">
        <v>159</v>
      </c>
      <c r="AD6227">
        <v>2.5</v>
      </c>
      <c r="AE6227">
        <v>21.92</v>
      </c>
      <c r="AF6227">
        <v>0</v>
      </c>
      <c r="AG6227">
        <v>0</v>
      </c>
      <c r="AH6227">
        <v>0</v>
      </c>
      <c r="AI6227">
        <v>0</v>
      </c>
      <c r="AJ6227">
        <v>183.42</v>
      </c>
      <c r="AK6227">
        <v>0</v>
      </c>
      <c r="AL6227" t="s">
        <v>53</v>
      </c>
      <c r="AM6227" t="s">
        <v>53</v>
      </c>
      <c r="AN6227" t="s">
        <v>53</v>
      </c>
      <c r="AO6227" t="s">
        <v>53</v>
      </c>
      <c r="AP6227" t="s">
        <v>53</v>
      </c>
    </row>
    <row r="6228" spans="2:42" x14ac:dyDescent="0.2">
      <c r="B6228" t="s">
        <v>44</v>
      </c>
      <c r="C6228" t="str">
        <f>HYPERLINK("https://us2.cloudbeds.com/connect/8493803454333002#/reservations/9080486846615166?display=2WUK8FT09V&amp;reservation_id=9080486846615166", "2WUK8FT09V")</f>
        <v>2WUK8FT09V</v>
      </c>
      <c r="D6228" t="s">
        <v>45</v>
      </c>
      <c r="E6228" t="s">
        <v>98</v>
      </c>
      <c r="F6228" t="s">
        <v>86</v>
      </c>
      <c r="G6228" t="s">
        <v>48</v>
      </c>
      <c r="H6228" t="s">
        <v>49</v>
      </c>
      <c r="I6228" t="s">
        <v>50</v>
      </c>
      <c r="J6228" t="s">
        <v>5905</v>
      </c>
      <c r="K6228" t="s">
        <v>7293</v>
      </c>
      <c r="L6228" t="s">
        <v>53</v>
      </c>
      <c r="N6228" t="s">
        <v>11163</v>
      </c>
      <c r="P6228" t="s">
        <v>55</v>
      </c>
      <c r="R6228" t="s">
        <v>53</v>
      </c>
      <c r="T6228" t="s">
        <v>11164</v>
      </c>
      <c r="U6228" t="s">
        <v>58</v>
      </c>
      <c r="V6228">
        <v>2</v>
      </c>
      <c r="W6228">
        <v>1</v>
      </c>
      <c r="X6228">
        <v>2</v>
      </c>
      <c r="Y6228">
        <v>0</v>
      </c>
      <c r="Z6228">
        <v>2</v>
      </c>
      <c r="AA6228">
        <v>480.02</v>
      </c>
      <c r="AB6228">
        <v>480.02</v>
      </c>
      <c r="AC6228">
        <v>422.36</v>
      </c>
      <c r="AD6228">
        <v>0</v>
      </c>
      <c r="AE6228">
        <v>57.66</v>
      </c>
      <c r="AF6228">
        <v>0</v>
      </c>
      <c r="AG6228">
        <v>0</v>
      </c>
      <c r="AH6228">
        <v>0</v>
      </c>
      <c r="AI6228">
        <v>86.4</v>
      </c>
      <c r="AJ6228">
        <v>480.02</v>
      </c>
      <c r="AK6228">
        <v>0</v>
      </c>
      <c r="AL6228" t="s">
        <v>53</v>
      </c>
      <c r="AM6228" t="s">
        <v>53</v>
      </c>
      <c r="AN6228" t="s">
        <v>53</v>
      </c>
      <c r="AO6228" t="s">
        <v>53</v>
      </c>
      <c r="AP6228" t="s">
        <v>53</v>
      </c>
    </row>
    <row r="6229" spans="2:42" x14ac:dyDescent="0.2">
      <c r="B6229" t="s">
        <v>44</v>
      </c>
      <c r="C6229" t="str">
        <f>HYPERLINK("https://us2.cloudbeds.com/connect/8493803454333002#/reservations/9080486846615769?display=2WV8KEW0BK&amp;reservation_id=9080486846615769", "2WV8KEW0BK")</f>
        <v>2WV8KEW0BK</v>
      </c>
      <c r="D6229" t="s">
        <v>45</v>
      </c>
      <c r="E6229" t="s">
        <v>110</v>
      </c>
      <c r="F6229" t="s">
        <v>47</v>
      </c>
      <c r="G6229" t="s">
        <v>48</v>
      </c>
      <c r="H6229" t="s">
        <v>49</v>
      </c>
      <c r="I6229" t="s">
        <v>62</v>
      </c>
      <c r="J6229" t="s">
        <v>6380</v>
      </c>
      <c r="K6229" t="s">
        <v>9291</v>
      </c>
      <c r="L6229" t="s">
        <v>53</v>
      </c>
      <c r="N6229" t="s">
        <v>11165</v>
      </c>
      <c r="P6229" t="s">
        <v>55</v>
      </c>
      <c r="R6229" t="s">
        <v>56</v>
      </c>
      <c r="T6229" t="s">
        <v>11166</v>
      </c>
      <c r="U6229" t="s">
        <v>55</v>
      </c>
      <c r="V6229">
        <v>2</v>
      </c>
      <c r="W6229">
        <v>1</v>
      </c>
      <c r="X6229">
        <v>2</v>
      </c>
      <c r="Y6229">
        <v>0</v>
      </c>
      <c r="Z6229">
        <v>2</v>
      </c>
      <c r="AA6229">
        <v>313</v>
      </c>
      <c r="AB6229">
        <v>313</v>
      </c>
      <c r="AC6229">
        <v>313</v>
      </c>
      <c r="AD6229">
        <v>0</v>
      </c>
      <c r="AE6229">
        <v>0</v>
      </c>
      <c r="AF6229">
        <v>0</v>
      </c>
      <c r="AG6229">
        <v>0</v>
      </c>
      <c r="AH6229">
        <v>0</v>
      </c>
      <c r="AI6229">
        <v>56.34</v>
      </c>
      <c r="AJ6229">
        <v>313</v>
      </c>
      <c r="AK6229">
        <v>0</v>
      </c>
      <c r="AL6229" t="s">
        <v>53</v>
      </c>
      <c r="AM6229" t="s">
        <v>53</v>
      </c>
      <c r="AN6229" t="s">
        <v>53</v>
      </c>
      <c r="AO6229" t="s">
        <v>53</v>
      </c>
      <c r="AP6229" t="s">
        <v>53</v>
      </c>
    </row>
    <row r="6230" spans="2:42" x14ac:dyDescent="0.2">
      <c r="B6230" t="s">
        <v>44</v>
      </c>
      <c r="C6230" t="str">
        <f>HYPERLINK("https://us2.cloudbeds.com/connect/8493803454333002#/reservations/9080486846615783?display=2WV90D9VX4&amp;reservation_id=9080486846615783", "2WV90D9VX4")</f>
        <v>2WV90D9VX4</v>
      </c>
      <c r="D6230" t="s">
        <v>45</v>
      </c>
      <c r="E6230" t="s">
        <v>155</v>
      </c>
      <c r="F6230" t="s">
        <v>86</v>
      </c>
      <c r="G6230" t="s">
        <v>48</v>
      </c>
      <c r="H6230" t="s">
        <v>49</v>
      </c>
      <c r="I6230" t="s">
        <v>50</v>
      </c>
      <c r="J6230" t="s">
        <v>9610</v>
      </c>
      <c r="K6230" t="s">
        <v>7088</v>
      </c>
      <c r="L6230" t="s">
        <v>53</v>
      </c>
      <c r="N6230" t="s">
        <v>11167</v>
      </c>
      <c r="P6230" t="s">
        <v>55</v>
      </c>
      <c r="R6230" t="s">
        <v>53</v>
      </c>
      <c r="T6230" t="s">
        <v>11168</v>
      </c>
      <c r="U6230" t="s">
        <v>58</v>
      </c>
      <c r="V6230">
        <v>1</v>
      </c>
      <c r="W6230">
        <v>1</v>
      </c>
      <c r="X6230">
        <v>2</v>
      </c>
      <c r="Y6230">
        <v>2</v>
      </c>
      <c r="Z6230">
        <v>4</v>
      </c>
      <c r="AA6230">
        <v>161.33000000000001</v>
      </c>
      <c r="AB6230">
        <v>161.33000000000001</v>
      </c>
      <c r="AC6230">
        <v>141.94999999999999</v>
      </c>
      <c r="AD6230">
        <v>0</v>
      </c>
      <c r="AE6230">
        <v>19.38</v>
      </c>
      <c r="AF6230">
        <v>0</v>
      </c>
      <c r="AG6230">
        <v>0</v>
      </c>
      <c r="AH6230">
        <v>0</v>
      </c>
      <c r="AI6230">
        <v>29.04</v>
      </c>
      <c r="AJ6230">
        <v>161.33000000000001</v>
      </c>
      <c r="AK6230">
        <v>0</v>
      </c>
      <c r="AL6230" t="s">
        <v>53</v>
      </c>
      <c r="AM6230" t="s">
        <v>53</v>
      </c>
      <c r="AN6230" t="s">
        <v>53</v>
      </c>
      <c r="AO6230" t="s">
        <v>53</v>
      </c>
      <c r="AP6230" t="s">
        <v>53</v>
      </c>
    </row>
    <row r="6231" spans="2:42" x14ac:dyDescent="0.2">
      <c r="B6231" t="s">
        <v>44</v>
      </c>
      <c r="C6231" t="str">
        <f>HYPERLINK("https://us2.cloudbeds.com/connect/8493803454333002#/reservations/9080486846619304?display=302U8UXQRM&amp;reservation_id=9080486846619304", "302U8UXQRM")</f>
        <v>302U8UXQRM</v>
      </c>
      <c r="D6231" t="s">
        <v>45</v>
      </c>
      <c r="E6231" t="s">
        <v>138</v>
      </c>
      <c r="F6231" t="s">
        <v>70</v>
      </c>
      <c r="G6231" t="s">
        <v>48</v>
      </c>
      <c r="H6231" t="s">
        <v>49</v>
      </c>
      <c r="I6231" t="s">
        <v>8964</v>
      </c>
      <c r="J6231" t="s">
        <v>9659</v>
      </c>
      <c r="K6231" t="s">
        <v>10590</v>
      </c>
      <c r="L6231" t="s">
        <v>53</v>
      </c>
      <c r="N6231" t="s">
        <v>11169</v>
      </c>
      <c r="P6231" t="s">
        <v>55</v>
      </c>
      <c r="R6231" t="s">
        <v>53</v>
      </c>
      <c r="T6231" t="s">
        <v>11170</v>
      </c>
      <c r="U6231" t="s">
        <v>58</v>
      </c>
      <c r="V6231">
        <v>3</v>
      </c>
      <c r="W6231">
        <v>1</v>
      </c>
      <c r="X6231">
        <v>2</v>
      </c>
      <c r="Y6231">
        <v>0</v>
      </c>
      <c r="Z6231">
        <v>2</v>
      </c>
      <c r="AA6231">
        <v>0</v>
      </c>
      <c r="AB6231">
        <v>0</v>
      </c>
      <c r="AC6231">
        <v>242</v>
      </c>
      <c r="AD6231">
        <v>0</v>
      </c>
      <c r="AE6231">
        <v>0</v>
      </c>
      <c r="AF6231">
        <v>0</v>
      </c>
      <c r="AG6231">
        <v>0</v>
      </c>
      <c r="AH6231">
        <v>0</v>
      </c>
      <c r="AI6231">
        <v>36.299999999999997</v>
      </c>
      <c r="AJ6231">
        <v>242</v>
      </c>
      <c r="AK6231">
        <v>242</v>
      </c>
      <c r="AL6231" t="s">
        <v>53</v>
      </c>
      <c r="AM6231" t="s">
        <v>53</v>
      </c>
      <c r="AN6231" t="s">
        <v>53</v>
      </c>
      <c r="AO6231" t="s">
        <v>53</v>
      </c>
      <c r="AP6231" t="s">
        <v>53</v>
      </c>
    </row>
    <row r="6232" spans="2:42" x14ac:dyDescent="0.2">
      <c r="B6232" t="s">
        <v>44</v>
      </c>
      <c r="C6232" t="str">
        <f>HYPERLINK("https://us2.cloudbeds.com/connect/8493803454333002#/reservations/9080486846619320?display=302UYF581C&amp;reservation_id=9080486846619320", "302UYF581C")</f>
        <v>302UYF581C</v>
      </c>
      <c r="D6232" t="s">
        <v>45</v>
      </c>
      <c r="E6232" t="s">
        <v>46</v>
      </c>
      <c r="F6232" t="s">
        <v>47</v>
      </c>
      <c r="G6232" t="s">
        <v>48</v>
      </c>
      <c r="H6232" t="s">
        <v>49</v>
      </c>
      <c r="I6232" t="s">
        <v>50</v>
      </c>
      <c r="J6232" t="s">
        <v>6992</v>
      </c>
      <c r="K6232" t="s">
        <v>6829</v>
      </c>
      <c r="L6232" t="s">
        <v>53</v>
      </c>
      <c r="N6232" t="s">
        <v>11171</v>
      </c>
      <c r="P6232" t="s">
        <v>55</v>
      </c>
      <c r="R6232" t="s">
        <v>53</v>
      </c>
      <c r="T6232" t="s">
        <v>11172</v>
      </c>
      <c r="U6232" t="s">
        <v>58</v>
      </c>
      <c r="V6232">
        <v>1</v>
      </c>
      <c r="W6232">
        <v>1</v>
      </c>
      <c r="X6232">
        <v>1</v>
      </c>
      <c r="Y6232">
        <v>0</v>
      </c>
      <c r="Z6232">
        <v>1</v>
      </c>
      <c r="AA6232">
        <v>156.01</v>
      </c>
      <c r="AB6232">
        <v>156.01</v>
      </c>
      <c r="AC6232">
        <v>137.27000000000001</v>
      </c>
      <c r="AD6232">
        <v>0</v>
      </c>
      <c r="AE6232">
        <v>18.739999999999998</v>
      </c>
      <c r="AF6232">
        <v>0</v>
      </c>
      <c r="AG6232">
        <v>0</v>
      </c>
      <c r="AH6232">
        <v>0</v>
      </c>
      <c r="AI6232">
        <v>28.08</v>
      </c>
      <c r="AJ6232">
        <v>156.01</v>
      </c>
      <c r="AK6232">
        <v>0</v>
      </c>
      <c r="AL6232" t="s">
        <v>53</v>
      </c>
      <c r="AM6232" t="s">
        <v>53</v>
      </c>
      <c r="AN6232" t="s">
        <v>53</v>
      </c>
      <c r="AO6232" t="s">
        <v>53</v>
      </c>
      <c r="AP6232" t="s">
        <v>53</v>
      </c>
    </row>
    <row r="6233" spans="2:42" x14ac:dyDescent="0.2">
      <c r="B6233" t="s">
        <v>44</v>
      </c>
      <c r="C6233" t="str">
        <f>HYPERLINK("https://us2.cloudbeds.com/connect/8493803454333002#/reservations/9080486846619385?display=302WZNCRCK&amp;reservation_id=9080486846619385", "302WZNCRCK")</f>
        <v>302WZNCRCK</v>
      </c>
      <c r="D6233" t="s">
        <v>45</v>
      </c>
      <c r="E6233" t="s">
        <v>213</v>
      </c>
      <c r="F6233" t="s">
        <v>86</v>
      </c>
      <c r="G6233" t="s">
        <v>48</v>
      </c>
      <c r="H6233" t="s">
        <v>49</v>
      </c>
      <c r="I6233" t="s">
        <v>62</v>
      </c>
      <c r="J6233" t="s">
        <v>8900</v>
      </c>
      <c r="K6233" t="s">
        <v>8314</v>
      </c>
      <c r="L6233" t="s">
        <v>53</v>
      </c>
      <c r="N6233" t="s">
        <v>11173</v>
      </c>
      <c r="P6233" t="s">
        <v>55</v>
      </c>
      <c r="R6233" t="s">
        <v>56</v>
      </c>
      <c r="T6233" t="s">
        <v>11174</v>
      </c>
      <c r="U6233" t="s">
        <v>55</v>
      </c>
      <c r="V6233">
        <v>1</v>
      </c>
      <c r="W6233">
        <v>1</v>
      </c>
      <c r="X6233">
        <v>3</v>
      </c>
      <c r="Y6233">
        <v>0</v>
      </c>
      <c r="Z6233">
        <v>3</v>
      </c>
      <c r="AA6233">
        <v>311</v>
      </c>
      <c r="AB6233">
        <v>311</v>
      </c>
      <c r="AC6233">
        <v>311</v>
      </c>
      <c r="AD6233">
        <v>0</v>
      </c>
      <c r="AE6233">
        <v>0</v>
      </c>
      <c r="AF6233">
        <v>0</v>
      </c>
      <c r="AG6233">
        <v>0</v>
      </c>
      <c r="AH6233">
        <v>0</v>
      </c>
      <c r="AI6233">
        <v>55.98</v>
      </c>
      <c r="AJ6233">
        <v>311</v>
      </c>
      <c r="AK6233">
        <v>0</v>
      </c>
      <c r="AL6233" t="s">
        <v>53</v>
      </c>
      <c r="AM6233" t="s">
        <v>53</v>
      </c>
      <c r="AN6233" t="s">
        <v>53</v>
      </c>
      <c r="AO6233" t="s">
        <v>53</v>
      </c>
      <c r="AP6233" t="s">
        <v>53</v>
      </c>
    </row>
    <row r="6234" spans="2:42" x14ac:dyDescent="0.2">
      <c r="B6234" t="s">
        <v>44</v>
      </c>
      <c r="C6234" t="str">
        <f>HYPERLINK("https://us2.cloudbeds.com/connect/8493803454333002#/reservations/9080486846619887?display=303H80GYAD&amp;reservation_id=9080486846619887", "303H80GYAD")</f>
        <v>303H80GYAD</v>
      </c>
      <c r="D6234" t="s">
        <v>45</v>
      </c>
      <c r="E6234" t="s">
        <v>373</v>
      </c>
      <c r="F6234" t="s">
        <v>47</v>
      </c>
      <c r="G6234" t="s">
        <v>48</v>
      </c>
      <c r="H6234" t="s">
        <v>49</v>
      </c>
      <c r="I6234" t="s">
        <v>62</v>
      </c>
      <c r="J6234" t="s">
        <v>8313</v>
      </c>
      <c r="K6234" t="s">
        <v>8900</v>
      </c>
      <c r="L6234" t="s">
        <v>53</v>
      </c>
      <c r="N6234" t="s">
        <v>11175</v>
      </c>
      <c r="P6234" t="s">
        <v>55</v>
      </c>
      <c r="R6234" t="s">
        <v>56</v>
      </c>
      <c r="T6234" t="s">
        <v>11176</v>
      </c>
      <c r="U6234" t="s">
        <v>55</v>
      </c>
      <c r="V6234">
        <v>1</v>
      </c>
      <c r="W6234">
        <v>1</v>
      </c>
      <c r="X6234">
        <v>2</v>
      </c>
      <c r="Y6234">
        <v>0</v>
      </c>
      <c r="Z6234">
        <v>2</v>
      </c>
      <c r="AA6234">
        <v>159</v>
      </c>
      <c r="AB6234">
        <v>159</v>
      </c>
      <c r="AC6234">
        <v>159</v>
      </c>
      <c r="AD6234">
        <v>0</v>
      </c>
      <c r="AE6234">
        <v>0</v>
      </c>
      <c r="AF6234">
        <v>0</v>
      </c>
      <c r="AG6234">
        <v>0</v>
      </c>
      <c r="AH6234">
        <v>0</v>
      </c>
      <c r="AI6234">
        <v>28.62</v>
      </c>
      <c r="AJ6234">
        <v>159</v>
      </c>
      <c r="AK6234">
        <v>0</v>
      </c>
      <c r="AL6234" t="s">
        <v>53</v>
      </c>
      <c r="AM6234" t="s">
        <v>53</v>
      </c>
      <c r="AN6234" t="s">
        <v>53</v>
      </c>
      <c r="AO6234" t="s">
        <v>53</v>
      </c>
      <c r="AP6234" t="s">
        <v>53</v>
      </c>
    </row>
    <row r="6235" spans="2:42" x14ac:dyDescent="0.2">
      <c r="B6235" t="s">
        <v>44</v>
      </c>
      <c r="C6235" t="str">
        <f>HYPERLINK("https://us2.cloudbeds.com/connect/8493803454333002#/reservations/9080486846620963?display=304NTCE93S&amp;reservation_id=9080486846620963", "304NTCE93S")</f>
        <v>304NTCE93S</v>
      </c>
      <c r="D6235" t="s">
        <v>45</v>
      </c>
      <c r="E6235" t="s">
        <v>381</v>
      </c>
      <c r="F6235" t="s">
        <v>47</v>
      </c>
      <c r="G6235" t="s">
        <v>48</v>
      </c>
      <c r="H6235" t="s">
        <v>49</v>
      </c>
      <c r="I6235" t="s">
        <v>50</v>
      </c>
      <c r="J6235" t="s">
        <v>8313</v>
      </c>
      <c r="K6235" t="s">
        <v>8900</v>
      </c>
      <c r="L6235" t="s">
        <v>53</v>
      </c>
      <c r="N6235" t="s">
        <v>11177</v>
      </c>
      <c r="P6235" t="s">
        <v>55</v>
      </c>
      <c r="R6235" t="s">
        <v>53</v>
      </c>
      <c r="T6235" t="s">
        <v>11178</v>
      </c>
      <c r="U6235" t="s">
        <v>58</v>
      </c>
      <c r="V6235">
        <v>1</v>
      </c>
      <c r="W6235">
        <v>1</v>
      </c>
      <c r="X6235">
        <v>1</v>
      </c>
      <c r="Y6235">
        <v>0</v>
      </c>
      <c r="Z6235">
        <v>1</v>
      </c>
      <c r="AA6235">
        <v>145.47</v>
      </c>
      <c r="AB6235">
        <v>145.47</v>
      </c>
      <c r="AC6235">
        <v>128</v>
      </c>
      <c r="AD6235">
        <v>0</v>
      </c>
      <c r="AE6235">
        <v>17.47</v>
      </c>
      <c r="AF6235">
        <v>0</v>
      </c>
      <c r="AG6235">
        <v>0</v>
      </c>
      <c r="AH6235">
        <v>0</v>
      </c>
      <c r="AI6235">
        <v>26.18</v>
      </c>
      <c r="AJ6235">
        <v>145.47</v>
      </c>
      <c r="AK6235">
        <v>0</v>
      </c>
      <c r="AL6235" t="s">
        <v>53</v>
      </c>
      <c r="AM6235" t="s">
        <v>53</v>
      </c>
      <c r="AN6235" t="s">
        <v>53</v>
      </c>
      <c r="AO6235" t="s">
        <v>53</v>
      </c>
      <c r="AP6235" t="s">
        <v>53</v>
      </c>
    </row>
    <row r="6236" spans="2:42" x14ac:dyDescent="0.2">
      <c r="B6236" t="s">
        <v>44</v>
      </c>
      <c r="C6236" t="str">
        <f>HYPERLINK("https://us2.cloudbeds.com/connect/8493803454333002#/reservations/9080486846621050?display=304SX48JSW&amp;reservation_id=9080486846621050", "304SX48JSW")</f>
        <v>304SX48JSW</v>
      </c>
      <c r="D6236" t="s">
        <v>45</v>
      </c>
      <c r="E6236" t="s">
        <v>165</v>
      </c>
      <c r="F6236" t="s">
        <v>61</v>
      </c>
      <c r="G6236" t="s">
        <v>48</v>
      </c>
      <c r="H6236" t="s">
        <v>49</v>
      </c>
      <c r="I6236" t="s">
        <v>62</v>
      </c>
      <c r="J6236" t="s">
        <v>8900</v>
      </c>
      <c r="K6236" t="s">
        <v>6454</v>
      </c>
      <c r="L6236" t="s">
        <v>53</v>
      </c>
      <c r="N6236" t="s">
        <v>11179</v>
      </c>
      <c r="P6236" t="s">
        <v>55</v>
      </c>
      <c r="R6236" t="s">
        <v>56</v>
      </c>
      <c r="T6236" t="s">
        <v>11180</v>
      </c>
      <c r="U6236" t="s">
        <v>55</v>
      </c>
      <c r="V6236">
        <v>3</v>
      </c>
      <c r="W6236">
        <v>1</v>
      </c>
      <c r="X6236">
        <v>2</v>
      </c>
      <c r="Y6236">
        <v>0</v>
      </c>
      <c r="Z6236">
        <v>2</v>
      </c>
      <c r="AA6236">
        <v>784</v>
      </c>
      <c r="AB6236">
        <v>784</v>
      </c>
      <c r="AC6236">
        <v>784</v>
      </c>
      <c r="AD6236">
        <v>0</v>
      </c>
      <c r="AE6236">
        <v>0</v>
      </c>
      <c r="AF6236">
        <v>0</v>
      </c>
      <c r="AG6236">
        <v>0</v>
      </c>
      <c r="AH6236">
        <v>0</v>
      </c>
      <c r="AI6236">
        <v>141.12</v>
      </c>
      <c r="AJ6236">
        <v>784</v>
      </c>
      <c r="AK6236">
        <v>0</v>
      </c>
      <c r="AL6236" t="s">
        <v>53</v>
      </c>
      <c r="AM6236" t="s">
        <v>53</v>
      </c>
      <c r="AN6236" t="s">
        <v>53</v>
      </c>
      <c r="AO6236" t="s">
        <v>53</v>
      </c>
      <c r="AP6236" t="s">
        <v>53</v>
      </c>
    </row>
    <row r="6237" spans="2:42" x14ac:dyDescent="0.2">
      <c r="B6237" t="s">
        <v>44</v>
      </c>
      <c r="C6237" t="str">
        <f>HYPERLINK("https://us2.cloudbeds.com/connect/8493803454333002#/reservations/9080486846626458?display=30CA3GRN8X&amp;reservation_id=9080486846626458", "30CA3GRN8X")</f>
        <v>30CA3GRN8X</v>
      </c>
      <c r="D6237" t="s">
        <v>45</v>
      </c>
      <c r="E6237" t="s">
        <v>78</v>
      </c>
      <c r="F6237" t="s">
        <v>61</v>
      </c>
      <c r="G6237" t="s">
        <v>48</v>
      </c>
      <c r="H6237" t="s">
        <v>49</v>
      </c>
      <c r="I6237" t="s">
        <v>50</v>
      </c>
      <c r="J6237" t="s">
        <v>6992</v>
      </c>
      <c r="K6237" t="s">
        <v>8686</v>
      </c>
      <c r="L6237" t="s">
        <v>53</v>
      </c>
      <c r="N6237" t="s">
        <v>11181</v>
      </c>
      <c r="P6237" t="s">
        <v>55</v>
      </c>
      <c r="R6237" t="s">
        <v>53</v>
      </c>
      <c r="T6237" t="s">
        <v>11182</v>
      </c>
      <c r="U6237" t="s">
        <v>58</v>
      </c>
      <c r="V6237">
        <v>2</v>
      </c>
      <c r="W6237">
        <v>1</v>
      </c>
      <c r="X6237">
        <v>2</v>
      </c>
      <c r="Y6237">
        <v>0</v>
      </c>
      <c r="Z6237">
        <v>2</v>
      </c>
      <c r="AA6237">
        <v>350.95</v>
      </c>
      <c r="AB6237">
        <v>350.95</v>
      </c>
      <c r="AC6237">
        <v>308.8</v>
      </c>
      <c r="AD6237">
        <v>0</v>
      </c>
      <c r="AE6237">
        <v>42.15</v>
      </c>
      <c r="AF6237">
        <v>0</v>
      </c>
      <c r="AG6237">
        <v>0</v>
      </c>
      <c r="AH6237">
        <v>0</v>
      </c>
      <c r="AI6237">
        <v>63.17</v>
      </c>
      <c r="AJ6237">
        <v>350.95</v>
      </c>
      <c r="AK6237">
        <v>0</v>
      </c>
      <c r="AL6237" t="s">
        <v>53</v>
      </c>
      <c r="AM6237" t="s">
        <v>53</v>
      </c>
      <c r="AN6237" t="s">
        <v>53</v>
      </c>
      <c r="AO6237" t="s">
        <v>53</v>
      </c>
      <c r="AP6237" t="s">
        <v>53</v>
      </c>
    </row>
    <row r="6238" spans="2:42" x14ac:dyDescent="0.2">
      <c r="B6238" t="s">
        <v>44</v>
      </c>
      <c r="C6238" t="str">
        <f>HYPERLINK("https://us2.cloudbeds.com/connect/8493803454333002#/reservations/139765393047697?display=30CF3ZHP49&amp;reservation_id=139765393047697", "30CF3ZHP49")</f>
        <v>30CF3ZHP49</v>
      </c>
      <c r="D6238" t="s">
        <v>45</v>
      </c>
      <c r="E6238" t="s">
        <v>406</v>
      </c>
      <c r="F6238" t="s">
        <v>61</v>
      </c>
      <c r="G6238" t="s">
        <v>3974</v>
      </c>
      <c r="H6238" t="s">
        <v>3957</v>
      </c>
      <c r="I6238" t="s">
        <v>3975</v>
      </c>
      <c r="J6238" t="s">
        <v>9687</v>
      </c>
      <c r="K6238" t="s">
        <v>8615</v>
      </c>
      <c r="L6238" t="s">
        <v>53</v>
      </c>
      <c r="P6238" t="s">
        <v>55</v>
      </c>
      <c r="R6238" t="s">
        <v>56</v>
      </c>
      <c r="T6238" t="s">
        <v>11183</v>
      </c>
      <c r="U6238" t="s">
        <v>58</v>
      </c>
      <c r="V6238">
        <v>3</v>
      </c>
      <c r="W6238">
        <v>1</v>
      </c>
      <c r="X6238">
        <v>2</v>
      </c>
      <c r="Y6238">
        <v>0</v>
      </c>
      <c r="Z6238">
        <v>2</v>
      </c>
      <c r="AA6238">
        <v>714.75</v>
      </c>
      <c r="AB6238">
        <v>714.75</v>
      </c>
      <c r="AC6238">
        <v>628.9</v>
      </c>
      <c r="AD6238">
        <v>0</v>
      </c>
      <c r="AE6238">
        <v>85.85</v>
      </c>
      <c r="AF6238">
        <v>0</v>
      </c>
      <c r="AG6238">
        <v>0</v>
      </c>
      <c r="AH6238">
        <v>0</v>
      </c>
      <c r="AI6238">
        <v>0</v>
      </c>
      <c r="AJ6238">
        <v>714.75</v>
      </c>
      <c r="AK6238">
        <v>0</v>
      </c>
      <c r="AL6238" t="s">
        <v>53</v>
      </c>
      <c r="AM6238" t="s">
        <v>53</v>
      </c>
      <c r="AN6238" t="s">
        <v>53</v>
      </c>
      <c r="AO6238" t="s">
        <v>53</v>
      </c>
      <c r="AP6238" t="s">
        <v>53</v>
      </c>
    </row>
    <row r="6239" spans="2:42" x14ac:dyDescent="0.2">
      <c r="B6239" t="s">
        <v>44</v>
      </c>
      <c r="C6239" t="str">
        <f>HYPERLINK("https://us2.cloudbeds.com/connect/8493803454333002#/reservations/9080486846627063?display=30D5TFH45A&amp;reservation_id=9080486846627063", "30D5TFH45A")</f>
        <v>30D5TFH45A</v>
      </c>
      <c r="D6239" t="s">
        <v>45</v>
      </c>
      <c r="E6239" t="s">
        <v>113</v>
      </c>
      <c r="F6239" t="s">
        <v>61</v>
      </c>
      <c r="G6239" t="s">
        <v>48</v>
      </c>
      <c r="H6239" t="s">
        <v>49</v>
      </c>
      <c r="I6239" t="s">
        <v>8964</v>
      </c>
      <c r="J6239" t="s">
        <v>8900</v>
      </c>
      <c r="K6239" t="s">
        <v>8314</v>
      </c>
      <c r="L6239" t="s">
        <v>53</v>
      </c>
      <c r="N6239" t="s">
        <v>11184</v>
      </c>
      <c r="P6239" t="s">
        <v>55</v>
      </c>
      <c r="R6239" t="s">
        <v>53</v>
      </c>
      <c r="T6239" t="s">
        <v>11185</v>
      </c>
      <c r="U6239" t="s">
        <v>58</v>
      </c>
      <c r="V6239">
        <v>1</v>
      </c>
      <c r="W6239">
        <v>1</v>
      </c>
      <c r="X6239">
        <v>2</v>
      </c>
      <c r="Y6239">
        <v>0</v>
      </c>
      <c r="Z6239">
        <v>2</v>
      </c>
      <c r="AA6239">
        <v>0</v>
      </c>
      <c r="AB6239">
        <v>0</v>
      </c>
      <c r="AC6239">
        <v>283</v>
      </c>
      <c r="AD6239">
        <v>0</v>
      </c>
      <c r="AE6239">
        <v>0</v>
      </c>
      <c r="AF6239">
        <v>0</v>
      </c>
      <c r="AG6239">
        <v>0</v>
      </c>
      <c r="AH6239">
        <v>0</v>
      </c>
      <c r="AI6239">
        <v>42.45</v>
      </c>
      <c r="AJ6239">
        <v>283</v>
      </c>
      <c r="AK6239">
        <v>283</v>
      </c>
      <c r="AL6239" t="s">
        <v>53</v>
      </c>
      <c r="AM6239" t="s">
        <v>53</v>
      </c>
      <c r="AN6239" t="s">
        <v>53</v>
      </c>
      <c r="AO6239" t="s">
        <v>53</v>
      </c>
      <c r="AP6239" t="s">
        <v>53</v>
      </c>
    </row>
    <row r="6240" spans="2:42" x14ac:dyDescent="0.2">
      <c r="B6240" t="s">
        <v>44</v>
      </c>
      <c r="C6240" t="str">
        <f>HYPERLINK("https://us2.cloudbeds.com/connect/8493803454333002#/reservations/9080486846627686?display=30E5J1MPHE&amp;reservation_id=9080486846627686", "30E5J1MPHE")</f>
        <v>30E5J1MPHE</v>
      </c>
      <c r="D6240" t="s">
        <v>45</v>
      </c>
      <c r="E6240" t="s">
        <v>381</v>
      </c>
      <c r="F6240" t="s">
        <v>47</v>
      </c>
      <c r="G6240" t="s">
        <v>48</v>
      </c>
      <c r="H6240" t="s">
        <v>49</v>
      </c>
      <c r="I6240" t="s">
        <v>50</v>
      </c>
      <c r="J6240" t="s">
        <v>9692</v>
      </c>
      <c r="K6240" t="s">
        <v>7325</v>
      </c>
      <c r="L6240" t="s">
        <v>53</v>
      </c>
      <c r="N6240" t="s">
        <v>11186</v>
      </c>
      <c r="P6240" t="s">
        <v>55</v>
      </c>
      <c r="R6240" t="s">
        <v>56</v>
      </c>
      <c r="T6240" t="s">
        <v>11187</v>
      </c>
      <c r="U6240" t="s">
        <v>58</v>
      </c>
      <c r="V6240">
        <v>1</v>
      </c>
      <c r="W6240">
        <v>1</v>
      </c>
      <c r="X6240">
        <v>2</v>
      </c>
      <c r="Y6240">
        <v>0</v>
      </c>
      <c r="Z6240">
        <v>2</v>
      </c>
      <c r="AA6240">
        <v>183.09</v>
      </c>
      <c r="AB6240">
        <v>183.09</v>
      </c>
      <c r="AC6240">
        <v>161.1</v>
      </c>
      <c r="AD6240">
        <v>0</v>
      </c>
      <c r="AE6240">
        <v>21.99</v>
      </c>
      <c r="AF6240">
        <v>0</v>
      </c>
      <c r="AG6240">
        <v>0</v>
      </c>
      <c r="AH6240">
        <v>0</v>
      </c>
      <c r="AI6240">
        <v>32.96</v>
      </c>
      <c r="AJ6240">
        <v>183.09</v>
      </c>
      <c r="AK6240">
        <v>0</v>
      </c>
      <c r="AL6240" t="s">
        <v>53</v>
      </c>
      <c r="AM6240" t="s">
        <v>53</v>
      </c>
      <c r="AN6240" t="s">
        <v>53</v>
      </c>
      <c r="AO6240" t="s">
        <v>53</v>
      </c>
      <c r="AP6240" t="s">
        <v>53</v>
      </c>
    </row>
    <row r="6241" spans="2:42" x14ac:dyDescent="0.2">
      <c r="B6241" t="s">
        <v>44</v>
      </c>
      <c r="C6241" t="str">
        <f>HYPERLINK("https://us2.cloudbeds.com/connect/8493803454333002#/reservations/140049089200342?display=30J3PRYDEZ&amp;reservation_id=140049089200342", "30J3PRYDEZ")</f>
        <v>30J3PRYDEZ</v>
      </c>
      <c r="D6241" t="s">
        <v>45</v>
      </c>
      <c r="E6241" t="s">
        <v>11188</v>
      </c>
      <c r="F6241" t="s">
        <v>7264</v>
      </c>
      <c r="G6241" t="s">
        <v>48</v>
      </c>
      <c r="H6241" t="s">
        <v>3957</v>
      </c>
      <c r="I6241" t="s">
        <v>3989</v>
      </c>
      <c r="J6241" t="s">
        <v>5905</v>
      </c>
      <c r="K6241" t="s">
        <v>7293</v>
      </c>
      <c r="L6241" t="s">
        <v>53</v>
      </c>
      <c r="P6241" t="s">
        <v>55</v>
      </c>
      <c r="R6241" t="s">
        <v>56</v>
      </c>
      <c r="T6241" t="s">
        <v>11189</v>
      </c>
      <c r="U6241" t="s">
        <v>58</v>
      </c>
      <c r="V6241">
        <v>4</v>
      </c>
      <c r="W6241">
        <v>2</v>
      </c>
      <c r="X6241">
        <v>2</v>
      </c>
      <c r="Y6241">
        <v>0</v>
      </c>
      <c r="Z6241">
        <v>2</v>
      </c>
      <c r="AA6241">
        <v>901.27</v>
      </c>
      <c r="AB6241">
        <v>901.27</v>
      </c>
      <c r="AC6241">
        <v>793</v>
      </c>
      <c r="AD6241">
        <v>0</v>
      </c>
      <c r="AE6241">
        <v>108.27</v>
      </c>
      <c r="AF6241">
        <v>0</v>
      </c>
      <c r="AG6241">
        <v>0</v>
      </c>
      <c r="AH6241">
        <v>0</v>
      </c>
      <c r="AI6241">
        <v>0</v>
      </c>
      <c r="AJ6241">
        <v>901.27</v>
      </c>
      <c r="AK6241">
        <v>0</v>
      </c>
      <c r="AL6241" t="s">
        <v>53</v>
      </c>
      <c r="AM6241" t="s">
        <v>53</v>
      </c>
      <c r="AN6241" t="s">
        <v>53</v>
      </c>
      <c r="AO6241" t="s">
        <v>53</v>
      </c>
      <c r="AP6241" t="s">
        <v>53</v>
      </c>
    </row>
    <row r="6242" spans="2:42" x14ac:dyDescent="0.2">
      <c r="B6242" t="s">
        <v>44</v>
      </c>
      <c r="C6242" t="str">
        <f>HYPERLINK("https://us2.cloudbeds.com/connect/8493803454333002#/reservations/9080486846631676?display=30JWYGMA1H&amp;reservation_id=9080486846631676", "30JWYGMA1H")</f>
        <v>30JWYGMA1H</v>
      </c>
      <c r="D6242" t="s">
        <v>45</v>
      </c>
      <c r="E6242" t="s">
        <v>165</v>
      </c>
      <c r="F6242" t="s">
        <v>61</v>
      </c>
      <c r="G6242" t="s">
        <v>48</v>
      </c>
      <c r="H6242" t="s">
        <v>49</v>
      </c>
      <c r="I6242" t="s">
        <v>50</v>
      </c>
      <c r="J6242" t="s">
        <v>8819</v>
      </c>
      <c r="K6242" t="s">
        <v>9858</v>
      </c>
      <c r="L6242" t="s">
        <v>53</v>
      </c>
      <c r="N6242" t="s">
        <v>11190</v>
      </c>
      <c r="P6242" t="s">
        <v>55</v>
      </c>
      <c r="R6242" t="s">
        <v>53</v>
      </c>
      <c r="T6242" t="s">
        <v>11191</v>
      </c>
      <c r="U6242" t="s">
        <v>58</v>
      </c>
      <c r="V6242">
        <v>1</v>
      </c>
      <c r="W6242">
        <v>1</v>
      </c>
      <c r="X6242">
        <v>2</v>
      </c>
      <c r="Y6242">
        <v>0</v>
      </c>
      <c r="Z6242">
        <v>2</v>
      </c>
      <c r="AA6242">
        <v>129.1</v>
      </c>
      <c r="AB6242">
        <v>129.1</v>
      </c>
      <c r="AC6242">
        <v>113.6</v>
      </c>
      <c r="AD6242">
        <v>0</v>
      </c>
      <c r="AE6242">
        <v>15.5</v>
      </c>
      <c r="AF6242">
        <v>0</v>
      </c>
      <c r="AG6242">
        <v>0</v>
      </c>
      <c r="AH6242">
        <v>0</v>
      </c>
      <c r="AI6242">
        <v>23.24</v>
      </c>
      <c r="AJ6242">
        <v>129.1</v>
      </c>
      <c r="AK6242">
        <v>0</v>
      </c>
      <c r="AL6242" t="s">
        <v>53</v>
      </c>
      <c r="AM6242" t="s">
        <v>53</v>
      </c>
      <c r="AN6242" t="s">
        <v>53</v>
      </c>
      <c r="AO6242" t="s">
        <v>53</v>
      </c>
      <c r="AP6242" t="s">
        <v>53</v>
      </c>
    </row>
    <row r="6243" spans="2:42" x14ac:dyDescent="0.2">
      <c r="B6243" t="s">
        <v>44</v>
      </c>
      <c r="C6243" t="str">
        <f>HYPERLINK("https://us2.cloudbeds.com/connect/8493803454333002#/reservations/9080486846632699?display=30Y90W1GR7&amp;reservation_id=9080486846632699", "30Y90W1GR7")</f>
        <v>30Y90W1GR7</v>
      </c>
      <c r="D6243" t="s">
        <v>45</v>
      </c>
      <c r="E6243" t="s">
        <v>165</v>
      </c>
      <c r="F6243" t="s">
        <v>61</v>
      </c>
      <c r="G6243" t="s">
        <v>48</v>
      </c>
      <c r="H6243" t="s">
        <v>49</v>
      </c>
      <c r="I6243" t="s">
        <v>50</v>
      </c>
      <c r="J6243" t="s">
        <v>6379</v>
      </c>
      <c r="K6243" t="s">
        <v>8616</v>
      </c>
      <c r="L6243" t="s">
        <v>53</v>
      </c>
      <c r="N6243" t="s">
        <v>11192</v>
      </c>
      <c r="P6243" t="s">
        <v>55</v>
      </c>
      <c r="R6243" t="s">
        <v>53</v>
      </c>
      <c r="T6243" t="s">
        <v>11193</v>
      </c>
      <c r="U6243" t="s">
        <v>58</v>
      </c>
      <c r="V6243">
        <v>2</v>
      </c>
      <c r="W6243">
        <v>1</v>
      </c>
      <c r="X6243">
        <v>2</v>
      </c>
      <c r="Y6243">
        <v>0</v>
      </c>
      <c r="Z6243">
        <v>2</v>
      </c>
      <c r="AA6243">
        <v>378.98</v>
      </c>
      <c r="AB6243">
        <v>378.98</v>
      </c>
      <c r="AC6243">
        <v>333.45</v>
      </c>
      <c r="AD6243">
        <v>0</v>
      </c>
      <c r="AE6243">
        <v>45.53</v>
      </c>
      <c r="AF6243">
        <v>0</v>
      </c>
      <c r="AG6243">
        <v>0</v>
      </c>
      <c r="AH6243">
        <v>0</v>
      </c>
      <c r="AI6243">
        <v>68.22</v>
      </c>
      <c r="AJ6243">
        <v>378.98</v>
      </c>
      <c r="AK6243">
        <v>0</v>
      </c>
      <c r="AL6243" t="s">
        <v>53</v>
      </c>
      <c r="AM6243" t="s">
        <v>53</v>
      </c>
      <c r="AN6243" t="s">
        <v>53</v>
      </c>
      <c r="AO6243" t="s">
        <v>53</v>
      </c>
      <c r="AP6243" t="s">
        <v>53</v>
      </c>
    </row>
    <row r="6244" spans="2:42" x14ac:dyDescent="0.2">
      <c r="B6244" t="s">
        <v>44</v>
      </c>
      <c r="C6244" t="str">
        <f>HYPERLINK("https://us2.cloudbeds.com/connect/8493803454333002#/reservations/9080486846633120?display=30YW80F7FW&amp;reservation_id=9080486846633120", "30YW80F7FW")</f>
        <v>30YW80F7FW</v>
      </c>
      <c r="D6244" t="s">
        <v>45</v>
      </c>
      <c r="E6244" t="s">
        <v>105</v>
      </c>
      <c r="F6244" t="s">
        <v>47</v>
      </c>
      <c r="G6244" t="s">
        <v>48</v>
      </c>
      <c r="H6244" t="s">
        <v>49</v>
      </c>
      <c r="I6244" t="s">
        <v>50</v>
      </c>
      <c r="J6244" t="s">
        <v>5507</v>
      </c>
      <c r="K6244" t="s">
        <v>6454</v>
      </c>
      <c r="L6244" t="s">
        <v>53</v>
      </c>
      <c r="N6244" t="s">
        <v>11194</v>
      </c>
      <c r="P6244" t="s">
        <v>55</v>
      </c>
      <c r="R6244" t="s">
        <v>53</v>
      </c>
      <c r="T6244" t="s">
        <v>11195</v>
      </c>
      <c r="U6244" t="s">
        <v>58</v>
      </c>
      <c r="V6244">
        <v>1</v>
      </c>
      <c r="W6244">
        <v>1</v>
      </c>
      <c r="X6244">
        <v>1</v>
      </c>
      <c r="Y6244">
        <v>0</v>
      </c>
      <c r="Z6244">
        <v>1</v>
      </c>
      <c r="AA6244">
        <v>219.35</v>
      </c>
      <c r="AB6244">
        <v>219.35</v>
      </c>
      <c r="AC6244">
        <v>193</v>
      </c>
      <c r="AD6244">
        <v>0</v>
      </c>
      <c r="AE6244">
        <v>26.35</v>
      </c>
      <c r="AF6244">
        <v>0</v>
      </c>
      <c r="AG6244">
        <v>0</v>
      </c>
      <c r="AH6244">
        <v>0</v>
      </c>
      <c r="AI6244">
        <v>39.479999999999997</v>
      </c>
      <c r="AJ6244">
        <v>219.35</v>
      </c>
      <c r="AK6244">
        <v>0</v>
      </c>
      <c r="AL6244" t="s">
        <v>53</v>
      </c>
      <c r="AM6244" t="s">
        <v>53</v>
      </c>
      <c r="AN6244" t="s">
        <v>53</v>
      </c>
      <c r="AO6244" t="s">
        <v>53</v>
      </c>
      <c r="AP6244" t="s">
        <v>53</v>
      </c>
    </row>
    <row r="6245" spans="2:42" x14ac:dyDescent="0.2">
      <c r="B6245" t="s">
        <v>44</v>
      </c>
      <c r="C6245" t="str">
        <f>HYPERLINK("https://us2.cloudbeds.com/connect/8493803454333002#/reservations/140172000841947?display=30YWVH00YT&amp;reservation_id=140172000841947", "30YWVH00YT")</f>
        <v>30YWVH00YT</v>
      </c>
      <c r="D6245" t="s">
        <v>45</v>
      </c>
      <c r="E6245" t="s">
        <v>98</v>
      </c>
      <c r="F6245" t="s">
        <v>86</v>
      </c>
      <c r="G6245" t="s">
        <v>4520</v>
      </c>
      <c r="H6245" t="s">
        <v>3957</v>
      </c>
      <c r="I6245" t="s">
        <v>3958</v>
      </c>
      <c r="J6245" t="s">
        <v>6454</v>
      </c>
      <c r="K6245" t="s">
        <v>7325</v>
      </c>
      <c r="L6245" t="s">
        <v>53</v>
      </c>
      <c r="P6245" t="s">
        <v>55</v>
      </c>
      <c r="R6245" t="s">
        <v>56</v>
      </c>
      <c r="T6245" t="s">
        <v>11196</v>
      </c>
      <c r="U6245" t="s">
        <v>58</v>
      </c>
      <c r="V6245">
        <v>3</v>
      </c>
      <c r="W6245">
        <v>1</v>
      </c>
      <c r="X6245">
        <v>1</v>
      </c>
      <c r="Y6245">
        <v>0</v>
      </c>
      <c r="Z6245">
        <v>1</v>
      </c>
      <c r="AA6245">
        <v>520.64</v>
      </c>
      <c r="AB6245">
        <v>527.15</v>
      </c>
      <c r="AC6245">
        <v>458.1</v>
      </c>
      <c r="AD6245">
        <v>6</v>
      </c>
      <c r="AE6245">
        <v>63.05</v>
      </c>
      <c r="AF6245">
        <v>0</v>
      </c>
      <c r="AG6245">
        <v>0</v>
      </c>
      <c r="AH6245">
        <v>0</v>
      </c>
      <c r="AI6245">
        <v>0</v>
      </c>
      <c r="AJ6245">
        <v>527.15</v>
      </c>
      <c r="AK6245">
        <v>0</v>
      </c>
      <c r="AL6245" t="s">
        <v>53</v>
      </c>
      <c r="AM6245" t="s">
        <v>53</v>
      </c>
      <c r="AN6245" t="s">
        <v>53</v>
      </c>
      <c r="AO6245" t="s">
        <v>53</v>
      </c>
      <c r="AP6245" t="s">
        <v>53</v>
      </c>
    </row>
    <row r="6246" spans="2:42" x14ac:dyDescent="0.2">
      <c r="B6246" t="s">
        <v>44</v>
      </c>
      <c r="C6246" t="str">
        <f>HYPERLINK("https://us2.cloudbeds.com/connect/8493803454333002#/reservations/140193821159629?display=30MGS2FHAR&amp;reservation_id=140193821159629", "30MGS2FHAR")</f>
        <v>30MGS2FHAR</v>
      </c>
      <c r="D6246" t="s">
        <v>45</v>
      </c>
      <c r="E6246" t="s">
        <v>487</v>
      </c>
      <c r="F6246" t="s">
        <v>61</v>
      </c>
      <c r="G6246" t="s">
        <v>3974</v>
      </c>
      <c r="H6246" t="s">
        <v>3957</v>
      </c>
      <c r="I6246" t="s">
        <v>3975</v>
      </c>
      <c r="J6246" t="s">
        <v>6992</v>
      </c>
      <c r="K6246" t="s">
        <v>6829</v>
      </c>
      <c r="L6246" t="s">
        <v>53</v>
      </c>
      <c r="P6246" t="s">
        <v>58</v>
      </c>
      <c r="R6246" t="s">
        <v>56</v>
      </c>
      <c r="T6246" t="s">
        <v>11197</v>
      </c>
      <c r="U6246" t="s">
        <v>58</v>
      </c>
      <c r="V6246">
        <v>1</v>
      </c>
      <c r="W6246">
        <v>1</v>
      </c>
      <c r="X6246">
        <v>1</v>
      </c>
      <c r="Y6246">
        <v>0</v>
      </c>
      <c r="Z6246">
        <v>1</v>
      </c>
      <c r="AA6246">
        <v>207.3</v>
      </c>
      <c r="AB6246">
        <v>207.3</v>
      </c>
      <c r="AC6246">
        <v>182.4</v>
      </c>
      <c r="AD6246">
        <v>0</v>
      </c>
      <c r="AE6246">
        <v>24.9</v>
      </c>
      <c r="AF6246">
        <v>0</v>
      </c>
      <c r="AG6246">
        <v>0</v>
      </c>
      <c r="AH6246">
        <v>0</v>
      </c>
      <c r="AI6246">
        <v>0</v>
      </c>
      <c r="AJ6246">
        <v>207.3</v>
      </c>
      <c r="AK6246">
        <v>0</v>
      </c>
      <c r="AL6246" t="s">
        <v>53</v>
      </c>
      <c r="AM6246" t="s">
        <v>53</v>
      </c>
      <c r="AN6246" t="s">
        <v>53</v>
      </c>
      <c r="AO6246" t="s">
        <v>53</v>
      </c>
      <c r="AP6246" t="s">
        <v>53</v>
      </c>
    </row>
    <row r="6247" spans="2:42" x14ac:dyDescent="0.2">
      <c r="B6247" t="s">
        <v>44</v>
      </c>
      <c r="C6247" t="str">
        <f>HYPERLINK("https://us2.cloudbeds.com/connect/8493803454333002#/reservations/140204334391477?display=30MZWNGN23&amp;reservation_id=140204334391477", "30MZWNGN23")</f>
        <v>30MZWNGN23</v>
      </c>
      <c r="D6247" t="s">
        <v>45</v>
      </c>
      <c r="E6247" t="s">
        <v>78</v>
      </c>
      <c r="F6247" t="s">
        <v>61</v>
      </c>
      <c r="G6247" t="s">
        <v>3974</v>
      </c>
      <c r="H6247" t="s">
        <v>3957</v>
      </c>
      <c r="I6247" t="s">
        <v>3975</v>
      </c>
      <c r="J6247" t="s">
        <v>8139</v>
      </c>
      <c r="K6247" t="s">
        <v>7293</v>
      </c>
      <c r="L6247" t="s">
        <v>53</v>
      </c>
      <c r="P6247" t="s">
        <v>55</v>
      </c>
      <c r="R6247" t="s">
        <v>56</v>
      </c>
      <c r="T6247" t="s">
        <v>11198</v>
      </c>
      <c r="U6247" t="s">
        <v>58</v>
      </c>
      <c r="V6247">
        <v>1</v>
      </c>
      <c r="W6247">
        <v>1</v>
      </c>
      <c r="X6247">
        <v>1</v>
      </c>
      <c r="Y6247">
        <v>0</v>
      </c>
      <c r="Z6247">
        <v>1</v>
      </c>
      <c r="AA6247">
        <v>201.9</v>
      </c>
      <c r="AB6247">
        <v>201.9</v>
      </c>
      <c r="AC6247">
        <v>177.65</v>
      </c>
      <c r="AD6247">
        <v>0</v>
      </c>
      <c r="AE6247">
        <v>24.25</v>
      </c>
      <c r="AF6247">
        <v>0</v>
      </c>
      <c r="AG6247">
        <v>0</v>
      </c>
      <c r="AH6247">
        <v>0</v>
      </c>
      <c r="AI6247">
        <v>0</v>
      </c>
      <c r="AJ6247">
        <v>201.9</v>
      </c>
      <c r="AK6247">
        <v>0</v>
      </c>
      <c r="AL6247" t="s">
        <v>53</v>
      </c>
      <c r="AM6247" t="s">
        <v>53</v>
      </c>
      <c r="AN6247" t="s">
        <v>53</v>
      </c>
      <c r="AO6247" t="s">
        <v>53</v>
      </c>
      <c r="AP6247" t="s">
        <v>53</v>
      </c>
    </row>
    <row r="6248" spans="2:42" x14ac:dyDescent="0.2">
      <c r="B6248" t="s">
        <v>44</v>
      </c>
      <c r="C6248" t="str">
        <f>HYPERLINK("https://us2.cloudbeds.com/connect/8493803454333002#/reservations/9080486846633858?display=30NC1MR81H&amp;reservation_id=9080486846633858", "30NC1MR81H")</f>
        <v>30NC1MR81H</v>
      </c>
      <c r="D6248" t="s">
        <v>45</v>
      </c>
      <c r="E6248" t="s">
        <v>121</v>
      </c>
      <c r="F6248" t="s">
        <v>86</v>
      </c>
      <c r="G6248" t="s">
        <v>48</v>
      </c>
      <c r="H6248" t="s">
        <v>49</v>
      </c>
      <c r="I6248" t="s">
        <v>50</v>
      </c>
      <c r="J6248" t="s">
        <v>5507</v>
      </c>
      <c r="K6248" t="s">
        <v>9692</v>
      </c>
      <c r="L6248" t="s">
        <v>53</v>
      </c>
      <c r="N6248" t="s">
        <v>11199</v>
      </c>
      <c r="P6248" t="s">
        <v>55</v>
      </c>
      <c r="R6248" t="s">
        <v>53</v>
      </c>
      <c r="T6248" t="s">
        <v>11200</v>
      </c>
      <c r="U6248" t="s">
        <v>58</v>
      </c>
      <c r="V6248">
        <v>3</v>
      </c>
      <c r="W6248">
        <v>1</v>
      </c>
      <c r="X6248">
        <v>2</v>
      </c>
      <c r="Y6248">
        <v>0</v>
      </c>
      <c r="Z6248">
        <v>2</v>
      </c>
      <c r="AA6248">
        <v>547.79999999999995</v>
      </c>
      <c r="AB6248">
        <v>547.79999999999995</v>
      </c>
      <c r="AC6248">
        <v>482</v>
      </c>
      <c r="AD6248">
        <v>0</v>
      </c>
      <c r="AE6248">
        <v>65.8</v>
      </c>
      <c r="AF6248">
        <v>0</v>
      </c>
      <c r="AG6248">
        <v>0</v>
      </c>
      <c r="AH6248">
        <v>0</v>
      </c>
      <c r="AI6248">
        <v>98.6</v>
      </c>
      <c r="AJ6248">
        <v>547.79999999999995</v>
      </c>
      <c r="AK6248">
        <v>0</v>
      </c>
      <c r="AL6248" t="s">
        <v>53</v>
      </c>
      <c r="AM6248" t="s">
        <v>53</v>
      </c>
      <c r="AN6248" t="s">
        <v>53</v>
      </c>
      <c r="AO6248" t="s">
        <v>53</v>
      </c>
      <c r="AP6248" t="s">
        <v>53</v>
      </c>
    </row>
    <row r="6249" spans="2:42" x14ac:dyDescent="0.2">
      <c r="B6249" t="s">
        <v>44</v>
      </c>
      <c r="C6249" t="str">
        <f>HYPERLINK("https://us2.cloudbeds.com/connect/8493803454333002#/reservations/9080486846636308?display=30R4DXMPJ3&amp;reservation_id=9080486846636308", "30R4DXMPJ3")</f>
        <v>30R4DXMPJ3</v>
      </c>
      <c r="D6249" t="s">
        <v>45</v>
      </c>
      <c r="E6249" t="s">
        <v>128</v>
      </c>
      <c r="F6249" t="s">
        <v>86</v>
      </c>
      <c r="G6249" t="s">
        <v>48</v>
      </c>
      <c r="H6249" t="s">
        <v>49</v>
      </c>
      <c r="I6249" t="s">
        <v>8964</v>
      </c>
      <c r="J6249" t="s">
        <v>6454</v>
      </c>
      <c r="K6249" t="s">
        <v>5508</v>
      </c>
      <c r="L6249" t="s">
        <v>53</v>
      </c>
      <c r="N6249" t="s">
        <v>11201</v>
      </c>
      <c r="P6249" t="s">
        <v>55</v>
      </c>
      <c r="R6249" t="s">
        <v>53</v>
      </c>
      <c r="T6249" t="s">
        <v>11202</v>
      </c>
      <c r="U6249" t="s">
        <v>58</v>
      </c>
      <c r="V6249">
        <v>1</v>
      </c>
      <c r="W6249">
        <v>1</v>
      </c>
      <c r="X6249">
        <v>2</v>
      </c>
      <c r="Y6249">
        <v>0</v>
      </c>
      <c r="Z6249">
        <v>2</v>
      </c>
      <c r="AA6249">
        <v>0</v>
      </c>
      <c r="AB6249">
        <v>0</v>
      </c>
      <c r="AC6249">
        <v>132</v>
      </c>
      <c r="AD6249">
        <v>0</v>
      </c>
      <c r="AE6249">
        <v>0</v>
      </c>
      <c r="AF6249">
        <v>0</v>
      </c>
      <c r="AG6249">
        <v>0</v>
      </c>
      <c r="AH6249">
        <v>0</v>
      </c>
      <c r="AI6249">
        <v>19.8</v>
      </c>
      <c r="AJ6249">
        <v>132</v>
      </c>
      <c r="AK6249">
        <v>132</v>
      </c>
      <c r="AL6249" t="s">
        <v>53</v>
      </c>
      <c r="AM6249" t="s">
        <v>53</v>
      </c>
      <c r="AN6249" t="s">
        <v>53</v>
      </c>
      <c r="AO6249" t="s">
        <v>53</v>
      </c>
      <c r="AP6249" t="s">
        <v>53</v>
      </c>
    </row>
    <row r="6250" spans="2:42" x14ac:dyDescent="0.2">
      <c r="B6250" t="s">
        <v>44</v>
      </c>
      <c r="C6250" t="str">
        <f>HYPERLINK("https://us2.cloudbeds.com/connect/8493803454333002#/reservations/9080486846636521?display=30RA8KA7CA&amp;reservation_id=9080486846636521", "30RA8KA7CA")</f>
        <v>30RA8KA7CA</v>
      </c>
      <c r="D6250" t="s">
        <v>45</v>
      </c>
      <c r="E6250" t="s">
        <v>305</v>
      </c>
      <c r="F6250" t="s">
        <v>61</v>
      </c>
      <c r="G6250" t="s">
        <v>48</v>
      </c>
      <c r="H6250" t="s">
        <v>49</v>
      </c>
      <c r="I6250" t="s">
        <v>62</v>
      </c>
      <c r="J6250" t="s">
        <v>6454</v>
      </c>
      <c r="K6250" t="s">
        <v>9692</v>
      </c>
      <c r="L6250" t="s">
        <v>53</v>
      </c>
      <c r="N6250" t="s">
        <v>11203</v>
      </c>
      <c r="P6250" t="s">
        <v>55</v>
      </c>
      <c r="R6250" t="s">
        <v>56</v>
      </c>
      <c r="T6250" t="s">
        <v>11204</v>
      </c>
      <c r="U6250" t="s">
        <v>55</v>
      </c>
      <c r="V6250">
        <v>2</v>
      </c>
      <c r="W6250">
        <v>1</v>
      </c>
      <c r="X6250">
        <v>2</v>
      </c>
      <c r="Y6250">
        <v>0</v>
      </c>
      <c r="Z6250">
        <v>2</v>
      </c>
      <c r="AA6250">
        <v>279</v>
      </c>
      <c r="AB6250">
        <v>279</v>
      </c>
      <c r="AC6250">
        <v>279</v>
      </c>
      <c r="AD6250">
        <v>0</v>
      </c>
      <c r="AE6250">
        <v>0</v>
      </c>
      <c r="AF6250">
        <v>0</v>
      </c>
      <c r="AG6250">
        <v>0</v>
      </c>
      <c r="AH6250">
        <v>0</v>
      </c>
      <c r="AI6250">
        <v>50.22</v>
      </c>
      <c r="AJ6250">
        <v>279</v>
      </c>
      <c r="AK6250">
        <v>0</v>
      </c>
      <c r="AL6250" t="s">
        <v>53</v>
      </c>
      <c r="AM6250" t="s">
        <v>53</v>
      </c>
      <c r="AN6250" t="s">
        <v>53</v>
      </c>
      <c r="AO6250" t="s">
        <v>53</v>
      </c>
      <c r="AP6250" t="s">
        <v>53</v>
      </c>
    </row>
    <row r="6251" spans="2:42" x14ac:dyDescent="0.2">
      <c r="B6251" t="s">
        <v>44</v>
      </c>
      <c r="C6251" t="str">
        <f>HYPERLINK("https://us2.cloudbeds.com/connect/8493803454333002#/reservations/9080486846636726?display=30RGF9P64Y&amp;reservation_id=9080486846636726", "30RGF9P64Y")</f>
        <v>30RGF9P64Y</v>
      </c>
      <c r="D6251" t="s">
        <v>45</v>
      </c>
      <c r="E6251" t="s">
        <v>11205</v>
      </c>
      <c r="F6251" t="s">
        <v>511</v>
      </c>
      <c r="G6251" t="s">
        <v>48</v>
      </c>
      <c r="H6251" t="s">
        <v>49</v>
      </c>
      <c r="I6251" t="s">
        <v>62</v>
      </c>
      <c r="J6251" t="s">
        <v>11206</v>
      </c>
      <c r="K6251" t="s">
        <v>8865</v>
      </c>
      <c r="L6251" t="s">
        <v>53</v>
      </c>
      <c r="N6251" t="s">
        <v>11207</v>
      </c>
      <c r="P6251" t="s">
        <v>55</v>
      </c>
      <c r="R6251" t="s">
        <v>56</v>
      </c>
      <c r="T6251" t="s">
        <v>11208</v>
      </c>
      <c r="U6251" t="s">
        <v>55</v>
      </c>
      <c r="V6251">
        <v>4</v>
      </c>
      <c r="W6251">
        <v>2</v>
      </c>
      <c r="X6251">
        <v>5</v>
      </c>
      <c r="Y6251">
        <v>1</v>
      </c>
      <c r="Z6251">
        <v>6</v>
      </c>
      <c r="AA6251">
        <v>356</v>
      </c>
      <c r="AB6251">
        <v>356</v>
      </c>
      <c r="AC6251">
        <v>356</v>
      </c>
      <c r="AD6251">
        <v>0</v>
      </c>
      <c r="AE6251">
        <v>0</v>
      </c>
      <c r="AF6251">
        <v>0</v>
      </c>
      <c r="AG6251">
        <v>0</v>
      </c>
      <c r="AH6251">
        <v>0</v>
      </c>
      <c r="AI6251">
        <v>64.08</v>
      </c>
      <c r="AJ6251">
        <v>356</v>
      </c>
      <c r="AK6251">
        <v>0</v>
      </c>
      <c r="AL6251" t="s">
        <v>53</v>
      </c>
      <c r="AM6251" t="s">
        <v>53</v>
      </c>
      <c r="AN6251" t="s">
        <v>53</v>
      </c>
      <c r="AO6251" t="s">
        <v>53</v>
      </c>
      <c r="AP6251" t="s">
        <v>53</v>
      </c>
    </row>
    <row r="6252" spans="2:42" x14ac:dyDescent="0.2">
      <c r="B6252" t="s">
        <v>44</v>
      </c>
      <c r="C6252" t="str">
        <f>HYPERLINK("https://us2.cloudbeds.com/connect/8493803454333002#/reservations/9080486846637927?display=30SNEN5NZG&amp;reservation_id=9080486846637927", "30SNEN5NZG")</f>
        <v>30SNEN5NZG</v>
      </c>
      <c r="D6252" t="s">
        <v>45</v>
      </c>
      <c r="E6252" t="s">
        <v>165</v>
      </c>
      <c r="F6252" t="s">
        <v>61</v>
      </c>
      <c r="G6252" t="s">
        <v>48</v>
      </c>
      <c r="H6252" t="s">
        <v>49</v>
      </c>
      <c r="I6252" t="s">
        <v>50</v>
      </c>
      <c r="J6252" t="s">
        <v>7325</v>
      </c>
      <c r="K6252" t="s">
        <v>9829</v>
      </c>
      <c r="L6252" t="s">
        <v>53</v>
      </c>
      <c r="N6252" t="s">
        <v>11209</v>
      </c>
      <c r="P6252" t="s">
        <v>55</v>
      </c>
      <c r="R6252" t="s">
        <v>53</v>
      </c>
      <c r="T6252" t="s">
        <v>11210</v>
      </c>
      <c r="U6252" t="s">
        <v>58</v>
      </c>
      <c r="V6252">
        <v>1</v>
      </c>
      <c r="W6252">
        <v>1</v>
      </c>
      <c r="X6252">
        <v>2</v>
      </c>
      <c r="Y6252">
        <v>0</v>
      </c>
      <c r="Z6252">
        <v>2</v>
      </c>
      <c r="AA6252">
        <v>143.93</v>
      </c>
      <c r="AB6252">
        <v>143.93</v>
      </c>
      <c r="AC6252">
        <v>126.65</v>
      </c>
      <c r="AD6252">
        <v>0</v>
      </c>
      <c r="AE6252">
        <v>17.28</v>
      </c>
      <c r="AF6252">
        <v>0</v>
      </c>
      <c r="AG6252">
        <v>0</v>
      </c>
      <c r="AH6252">
        <v>0</v>
      </c>
      <c r="AI6252">
        <v>25.91</v>
      </c>
      <c r="AJ6252">
        <v>143.93</v>
      </c>
      <c r="AK6252">
        <v>0</v>
      </c>
      <c r="AL6252" t="s">
        <v>53</v>
      </c>
      <c r="AM6252" t="s">
        <v>53</v>
      </c>
      <c r="AN6252" t="s">
        <v>53</v>
      </c>
      <c r="AO6252" t="s">
        <v>53</v>
      </c>
      <c r="AP6252" t="s">
        <v>53</v>
      </c>
    </row>
    <row r="6253" spans="2:42" x14ac:dyDescent="0.2">
      <c r="B6253" t="s">
        <v>44</v>
      </c>
      <c r="C6253" t="str">
        <f>HYPERLINK("https://us2.cloudbeds.com/connect/8493803454333002#/reservations/9080486846638065?display=30SSHG1D9M&amp;reservation_id=9080486846638065", "30SSHG1D9M")</f>
        <v>30SSHG1D9M</v>
      </c>
      <c r="D6253" t="s">
        <v>45</v>
      </c>
      <c r="E6253" t="s">
        <v>265</v>
      </c>
      <c r="F6253" t="s">
        <v>61</v>
      </c>
      <c r="G6253" t="s">
        <v>48</v>
      </c>
      <c r="H6253" t="s">
        <v>49</v>
      </c>
      <c r="I6253" t="s">
        <v>50</v>
      </c>
      <c r="J6253" t="s">
        <v>6454</v>
      </c>
      <c r="K6253" t="s">
        <v>9692</v>
      </c>
      <c r="L6253" t="s">
        <v>53</v>
      </c>
      <c r="N6253" t="s">
        <v>11211</v>
      </c>
      <c r="P6253" t="s">
        <v>55</v>
      </c>
      <c r="R6253" t="s">
        <v>53</v>
      </c>
      <c r="T6253" t="s">
        <v>11212</v>
      </c>
      <c r="U6253" t="s">
        <v>58</v>
      </c>
      <c r="V6253">
        <v>2</v>
      </c>
      <c r="W6253">
        <v>1</v>
      </c>
      <c r="X6253">
        <v>2</v>
      </c>
      <c r="Y6253">
        <v>0</v>
      </c>
      <c r="Z6253">
        <v>2</v>
      </c>
      <c r="AA6253">
        <v>298.91000000000003</v>
      </c>
      <c r="AB6253">
        <v>298.91000000000003</v>
      </c>
      <c r="AC6253">
        <v>263</v>
      </c>
      <c r="AD6253">
        <v>0</v>
      </c>
      <c r="AE6253">
        <v>35.909999999999997</v>
      </c>
      <c r="AF6253">
        <v>0</v>
      </c>
      <c r="AG6253">
        <v>0</v>
      </c>
      <c r="AH6253">
        <v>0</v>
      </c>
      <c r="AI6253">
        <v>53.8</v>
      </c>
      <c r="AJ6253">
        <v>298.91000000000003</v>
      </c>
      <c r="AK6253">
        <v>0</v>
      </c>
      <c r="AL6253" t="s">
        <v>53</v>
      </c>
      <c r="AM6253" t="s">
        <v>53</v>
      </c>
      <c r="AN6253" t="s">
        <v>53</v>
      </c>
      <c r="AO6253" t="s">
        <v>53</v>
      </c>
      <c r="AP6253" t="s">
        <v>53</v>
      </c>
    </row>
    <row r="6254" spans="2:42" x14ac:dyDescent="0.2">
      <c r="B6254" t="s">
        <v>44</v>
      </c>
      <c r="C6254" t="str">
        <f>HYPERLINK("https://us2.cloudbeds.com/connect/8493803454333002#/reservations/9080486846638413?display=30T8C4BKZX&amp;reservation_id=9080486846638413", "30T8C4BKZX")</f>
        <v>30T8C4BKZX</v>
      </c>
      <c r="D6254" t="s">
        <v>45</v>
      </c>
      <c r="E6254" t="s">
        <v>92</v>
      </c>
      <c r="F6254" t="s">
        <v>86</v>
      </c>
      <c r="G6254" t="s">
        <v>48</v>
      </c>
      <c r="H6254" t="s">
        <v>49</v>
      </c>
      <c r="I6254" t="s">
        <v>62</v>
      </c>
      <c r="J6254" t="s">
        <v>5507</v>
      </c>
      <c r="K6254" t="s">
        <v>6454</v>
      </c>
      <c r="L6254" t="s">
        <v>53</v>
      </c>
      <c r="N6254" t="s">
        <v>11213</v>
      </c>
      <c r="P6254" t="s">
        <v>55</v>
      </c>
      <c r="R6254" t="s">
        <v>56</v>
      </c>
      <c r="T6254" t="s">
        <v>11214</v>
      </c>
      <c r="U6254" t="s">
        <v>55</v>
      </c>
      <c r="V6254">
        <v>1</v>
      </c>
      <c r="W6254">
        <v>1</v>
      </c>
      <c r="X6254">
        <v>2</v>
      </c>
      <c r="Y6254">
        <v>0</v>
      </c>
      <c r="Z6254">
        <v>2</v>
      </c>
      <c r="AA6254">
        <v>200</v>
      </c>
      <c r="AB6254">
        <v>200</v>
      </c>
      <c r="AC6254">
        <v>200</v>
      </c>
      <c r="AD6254">
        <v>0</v>
      </c>
      <c r="AE6254">
        <v>0</v>
      </c>
      <c r="AF6254">
        <v>0</v>
      </c>
      <c r="AG6254">
        <v>0</v>
      </c>
      <c r="AH6254">
        <v>0</v>
      </c>
      <c r="AI6254">
        <v>36</v>
      </c>
      <c r="AJ6254">
        <v>200</v>
      </c>
      <c r="AK6254">
        <v>0</v>
      </c>
      <c r="AL6254" t="s">
        <v>53</v>
      </c>
      <c r="AM6254" t="s">
        <v>53</v>
      </c>
      <c r="AN6254" t="s">
        <v>53</v>
      </c>
      <c r="AO6254" t="s">
        <v>53</v>
      </c>
      <c r="AP6254" t="s">
        <v>53</v>
      </c>
    </row>
    <row r="6255" spans="2:42" x14ac:dyDescent="0.2">
      <c r="B6255" t="s">
        <v>44</v>
      </c>
      <c r="C6255" t="str">
        <f>HYPERLINK("https://us2.cloudbeds.com/connect/8493803454333002#/reservations/140484000547034?display=30TAHRDZ8M&amp;reservation_id=140484000547034", "30TAHRDZ8M")</f>
        <v>30TAHRDZ8M</v>
      </c>
      <c r="D6255" t="s">
        <v>45</v>
      </c>
      <c r="E6255" t="s">
        <v>113</v>
      </c>
      <c r="F6255" t="s">
        <v>61</v>
      </c>
      <c r="G6255" t="s">
        <v>48</v>
      </c>
      <c r="H6255" t="s">
        <v>3957</v>
      </c>
      <c r="I6255" t="s">
        <v>3958</v>
      </c>
      <c r="J6255" t="s">
        <v>5507</v>
      </c>
      <c r="K6255" t="s">
        <v>6454</v>
      </c>
      <c r="L6255" t="s">
        <v>53</v>
      </c>
      <c r="P6255" t="s">
        <v>55</v>
      </c>
      <c r="R6255" t="s">
        <v>56</v>
      </c>
      <c r="T6255" t="s">
        <v>11215</v>
      </c>
      <c r="U6255" t="s">
        <v>58</v>
      </c>
      <c r="V6255">
        <v>1</v>
      </c>
      <c r="W6255">
        <v>1</v>
      </c>
      <c r="X6255">
        <v>1</v>
      </c>
      <c r="Y6255">
        <v>0</v>
      </c>
      <c r="Z6255">
        <v>1</v>
      </c>
      <c r="AA6255">
        <v>212.53</v>
      </c>
      <c r="AB6255">
        <v>212.53</v>
      </c>
      <c r="AC6255">
        <v>187</v>
      </c>
      <c r="AD6255">
        <v>0</v>
      </c>
      <c r="AE6255">
        <v>25.53</v>
      </c>
      <c r="AF6255">
        <v>0</v>
      </c>
      <c r="AG6255">
        <v>0</v>
      </c>
      <c r="AH6255">
        <v>0</v>
      </c>
      <c r="AI6255">
        <v>0</v>
      </c>
      <c r="AJ6255">
        <v>212.53</v>
      </c>
      <c r="AK6255">
        <v>0</v>
      </c>
      <c r="AL6255" t="s">
        <v>53</v>
      </c>
      <c r="AM6255" t="s">
        <v>53</v>
      </c>
      <c r="AN6255" t="s">
        <v>53</v>
      </c>
      <c r="AO6255" t="s">
        <v>53</v>
      </c>
      <c r="AP6255" t="s">
        <v>53</v>
      </c>
    </row>
    <row r="6256" spans="2:42" x14ac:dyDescent="0.2">
      <c r="B6256" t="s">
        <v>44</v>
      </c>
      <c r="C6256" t="str">
        <f>HYPERLINK("https://us2.cloudbeds.com/connect/8493803454333002#/reservations/9080486846638792?display=30TQV3PY2E&amp;reservation_id=9080486846638792", "30TQV3PY2E")</f>
        <v>30TQV3PY2E</v>
      </c>
      <c r="D6256" t="s">
        <v>45</v>
      </c>
      <c r="E6256" t="s">
        <v>138</v>
      </c>
      <c r="F6256" t="s">
        <v>70</v>
      </c>
      <c r="G6256" t="s">
        <v>48</v>
      </c>
      <c r="H6256" t="s">
        <v>49</v>
      </c>
      <c r="I6256" t="s">
        <v>50</v>
      </c>
      <c r="J6256" t="s">
        <v>10070</v>
      </c>
      <c r="K6256" t="s">
        <v>10723</v>
      </c>
      <c r="L6256" t="s">
        <v>53</v>
      </c>
      <c r="N6256" t="s">
        <v>11216</v>
      </c>
      <c r="P6256" t="s">
        <v>55</v>
      </c>
      <c r="R6256" t="s">
        <v>53</v>
      </c>
      <c r="T6256" t="s">
        <v>11217</v>
      </c>
      <c r="U6256" t="s">
        <v>58</v>
      </c>
      <c r="V6256">
        <v>1</v>
      </c>
      <c r="W6256">
        <v>1</v>
      </c>
      <c r="X6256">
        <v>2</v>
      </c>
      <c r="Y6256">
        <v>0</v>
      </c>
      <c r="Z6256">
        <v>2</v>
      </c>
      <c r="AA6256">
        <v>76.760000000000005</v>
      </c>
      <c r="AB6256">
        <v>76.760000000000005</v>
      </c>
      <c r="AC6256">
        <v>67.540000000000006</v>
      </c>
      <c r="AD6256">
        <v>0</v>
      </c>
      <c r="AE6256">
        <v>9.2200000000000006</v>
      </c>
      <c r="AF6256">
        <v>0</v>
      </c>
      <c r="AG6256">
        <v>0</v>
      </c>
      <c r="AH6256">
        <v>0</v>
      </c>
      <c r="AI6256">
        <v>13.82</v>
      </c>
      <c r="AJ6256">
        <v>76.760000000000005</v>
      </c>
      <c r="AK6256">
        <v>0</v>
      </c>
      <c r="AL6256" t="s">
        <v>53</v>
      </c>
      <c r="AM6256" t="s">
        <v>53</v>
      </c>
      <c r="AN6256" t="s">
        <v>53</v>
      </c>
      <c r="AO6256" t="s">
        <v>53</v>
      </c>
      <c r="AP6256" t="s">
        <v>53</v>
      </c>
    </row>
    <row r="6257" spans="2:42" x14ac:dyDescent="0.2">
      <c r="B6257" t="s">
        <v>44</v>
      </c>
      <c r="C6257" t="str">
        <f>HYPERLINK("https://us2.cloudbeds.com/connect/8493803454333002#/reservations/9080486846638794?display=30TQWWX0AS&amp;reservation_id=9080486846638794", "30TQWWX0AS")</f>
        <v>30TQWWX0AS</v>
      </c>
      <c r="D6257" t="s">
        <v>45</v>
      </c>
      <c r="E6257" t="s">
        <v>85</v>
      </c>
      <c r="F6257" t="s">
        <v>86</v>
      </c>
      <c r="G6257" t="s">
        <v>48</v>
      </c>
      <c r="H6257" t="s">
        <v>49</v>
      </c>
      <c r="I6257" t="s">
        <v>50</v>
      </c>
      <c r="J6257" t="s">
        <v>10070</v>
      </c>
      <c r="K6257" t="s">
        <v>10723</v>
      </c>
      <c r="L6257" t="s">
        <v>53</v>
      </c>
      <c r="N6257" t="s">
        <v>11218</v>
      </c>
      <c r="P6257" t="s">
        <v>55</v>
      </c>
      <c r="R6257" t="s">
        <v>53</v>
      </c>
      <c r="T6257" t="s">
        <v>11219</v>
      </c>
      <c r="U6257" t="s">
        <v>58</v>
      </c>
      <c r="V6257">
        <v>1</v>
      </c>
      <c r="W6257">
        <v>1</v>
      </c>
      <c r="X6257">
        <v>2</v>
      </c>
      <c r="Y6257">
        <v>0</v>
      </c>
      <c r="Z6257">
        <v>2</v>
      </c>
      <c r="AA6257">
        <v>90.36</v>
      </c>
      <c r="AB6257">
        <v>90.36</v>
      </c>
      <c r="AC6257">
        <v>79.510000000000005</v>
      </c>
      <c r="AD6257">
        <v>0</v>
      </c>
      <c r="AE6257">
        <v>10.85</v>
      </c>
      <c r="AF6257">
        <v>0</v>
      </c>
      <c r="AG6257">
        <v>0</v>
      </c>
      <c r="AH6257">
        <v>0</v>
      </c>
      <c r="AI6257">
        <v>16.260000000000002</v>
      </c>
      <c r="AJ6257">
        <v>90.36</v>
      </c>
      <c r="AK6257">
        <v>0</v>
      </c>
      <c r="AL6257" t="s">
        <v>53</v>
      </c>
      <c r="AM6257" t="s">
        <v>53</v>
      </c>
      <c r="AN6257" t="s">
        <v>53</v>
      </c>
      <c r="AO6257" t="s">
        <v>53</v>
      </c>
      <c r="AP6257" t="s">
        <v>53</v>
      </c>
    </row>
    <row r="6258" spans="2:42" x14ac:dyDescent="0.2">
      <c r="B6258" t="s">
        <v>44</v>
      </c>
      <c r="C6258" t="str">
        <f>HYPERLINK("https://us2.cloudbeds.com/connect/8493803454333002#/reservations/140513663979679?display=30U0GQDFN0&amp;reservation_id=140513663979679", "30U0GQDFN0")</f>
        <v>30U0GQDFN0</v>
      </c>
      <c r="D6258" t="s">
        <v>45</v>
      </c>
      <c r="E6258" t="s">
        <v>78</v>
      </c>
      <c r="F6258" t="s">
        <v>61</v>
      </c>
      <c r="G6258" t="s">
        <v>48</v>
      </c>
      <c r="H6258" t="s">
        <v>3957</v>
      </c>
      <c r="I6258" t="s">
        <v>3975</v>
      </c>
      <c r="J6258" t="s">
        <v>5507</v>
      </c>
      <c r="K6258" t="s">
        <v>6454</v>
      </c>
      <c r="L6258" t="s">
        <v>53</v>
      </c>
      <c r="P6258" t="s">
        <v>55</v>
      </c>
      <c r="R6258" t="s">
        <v>56</v>
      </c>
      <c r="T6258" t="s">
        <v>11220</v>
      </c>
      <c r="U6258" t="s">
        <v>58</v>
      </c>
      <c r="V6258">
        <v>1</v>
      </c>
      <c r="W6258">
        <v>1</v>
      </c>
      <c r="X6258">
        <v>2</v>
      </c>
      <c r="Y6258">
        <v>0</v>
      </c>
      <c r="Z6258">
        <v>2</v>
      </c>
      <c r="AA6258">
        <v>212.53</v>
      </c>
      <c r="AB6258">
        <v>212.53</v>
      </c>
      <c r="AC6258">
        <v>187</v>
      </c>
      <c r="AD6258">
        <v>0</v>
      </c>
      <c r="AE6258">
        <v>25.53</v>
      </c>
      <c r="AF6258">
        <v>0</v>
      </c>
      <c r="AG6258">
        <v>0</v>
      </c>
      <c r="AH6258">
        <v>0</v>
      </c>
      <c r="AI6258">
        <v>0</v>
      </c>
      <c r="AJ6258">
        <v>212.53</v>
      </c>
      <c r="AK6258">
        <v>0</v>
      </c>
      <c r="AL6258" t="s">
        <v>53</v>
      </c>
      <c r="AM6258" t="s">
        <v>53</v>
      </c>
      <c r="AN6258" t="s">
        <v>53</v>
      </c>
      <c r="AO6258" t="s">
        <v>53</v>
      </c>
      <c r="AP6258" t="s">
        <v>53</v>
      </c>
    </row>
    <row r="6259" spans="2:42" x14ac:dyDescent="0.2">
      <c r="B6259" t="s">
        <v>44</v>
      </c>
      <c r="C6259" t="str">
        <f>HYPERLINK("https://us2.cloudbeds.com/connect/8493803454333002#/reservations/9080486846639256?display=30UY51R6TR&amp;reservation_id=9080486846639256", "30UY51R6TR")</f>
        <v>30UY51R6TR</v>
      </c>
      <c r="D6259" t="s">
        <v>45</v>
      </c>
      <c r="E6259" t="s">
        <v>85</v>
      </c>
      <c r="F6259" t="s">
        <v>86</v>
      </c>
      <c r="G6259" t="s">
        <v>48</v>
      </c>
      <c r="H6259" t="s">
        <v>49</v>
      </c>
      <c r="I6259" t="s">
        <v>62</v>
      </c>
      <c r="J6259" t="s">
        <v>6454</v>
      </c>
      <c r="K6259" t="s">
        <v>5508</v>
      </c>
      <c r="L6259" t="s">
        <v>53</v>
      </c>
      <c r="N6259" t="s">
        <v>11221</v>
      </c>
      <c r="P6259" t="s">
        <v>55</v>
      </c>
      <c r="R6259" t="s">
        <v>56</v>
      </c>
      <c r="T6259" t="s">
        <v>11222</v>
      </c>
      <c r="U6259" t="s">
        <v>55</v>
      </c>
      <c r="V6259">
        <v>1</v>
      </c>
      <c r="W6259">
        <v>1</v>
      </c>
      <c r="X6259">
        <v>2</v>
      </c>
      <c r="Y6259">
        <v>0</v>
      </c>
      <c r="Z6259">
        <v>2</v>
      </c>
      <c r="AA6259">
        <v>129</v>
      </c>
      <c r="AB6259">
        <v>129</v>
      </c>
      <c r="AC6259">
        <v>129</v>
      </c>
      <c r="AD6259">
        <v>0</v>
      </c>
      <c r="AE6259">
        <v>0</v>
      </c>
      <c r="AF6259">
        <v>0</v>
      </c>
      <c r="AG6259">
        <v>0</v>
      </c>
      <c r="AH6259">
        <v>0</v>
      </c>
      <c r="AI6259">
        <v>23.22</v>
      </c>
      <c r="AJ6259">
        <v>129</v>
      </c>
      <c r="AK6259">
        <v>0</v>
      </c>
      <c r="AL6259" t="s">
        <v>53</v>
      </c>
      <c r="AM6259" t="s">
        <v>53</v>
      </c>
      <c r="AN6259" t="s">
        <v>11223</v>
      </c>
      <c r="AO6259" t="s">
        <v>53</v>
      </c>
      <c r="AP6259" t="s">
        <v>53</v>
      </c>
    </row>
    <row r="6260" spans="2:42" x14ac:dyDescent="0.2">
      <c r="B6260" t="s">
        <v>44</v>
      </c>
      <c r="C6260" t="str">
        <f>HYPERLINK("https://us2.cloudbeds.com/connect/8493803454333002#/reservations/9080486846639277?display=30UMYUJN8S&amp;reservation_id=9080486846639277", "30UMYUJN8S")</f>
        <v>30UMYUJN8S</v>
      </c>
      <c r="D6260" t="s">
        <v>45</v>
      </c>
      <c r="E6260" t="s">
        <v>190</v>
      </c>
      <c r="F6260" t="s">
        <v>61</v>
      </c>
      <c r="G6260" t="s">
        <v>48</v>
      </c>
      <c r="H6260" t="s">
        <v>49</v>
      </c>
      <c r="I6260" t="s">
        <v>62</v>
      </c>
      <c r="J6260" t="s">
        <v>5507</v>
      </c>
      <c r="K6260" t="s">
        <v>6454</v>
      </c>
      <c r="L6260" t="s">
        <v>53</v>
      </c>
      <c r="N6260" t="s">
        <v>11224</v>
      </c>
      <c r="P6260" t="s">
        <v>55</v>
      </c>
      <c r="R6260" t="s">
        <v>56</v>
      </c>
      <c r="T6260" t="s">
        <v>11225</v>
      </c>
      <c r="U6260" t="s">
        <v>55</v>
      </c>
      <c r="V6260">
        <v>1</v>
      </c>
      <c r="W6260">
        <v>1</v>
      </c>
      <c r="X6260">
        <v>2</v>
      </c>
      <c r="Y6260">
        <v>0</v>
      </c>
      <c r="Z6260">
        <v>2</v>
      </c>
      <c r="AA6260">
        <v>187</v>
      </c>
      <c r="AB6260">
        <v>187</v>
      </c>
      <c r="AC6260">
        <v>187</v>
      </c>
      <c r="AD6260">
        <v>0</v>
      </c>
      <c r="AE6260">
        <v>0</v>
      </c>
      <c r="AF6260">
        <v>0</v>
      </c>
      <c r="AG6260">
        <v>0</v>
      </c>
      <c r="AH6260">
        <v>0</v>
      </c>
      <c r="AI6260">
        <v>33.659999999999997</v>
      </c>
      <c r="AJ6260">
        <v>187</v>
      </c>
      <c r="AK6260">
        <v>0</v>
      </c>
      <c r="AL6260" t="s">
        <v>53</v>
      </c>
      <c r="AM6260" t="s">
        <v>53</v>
      </c>
      <c r="AN6260" t="s">
        <v>53</v>
      </c>
      <c r="AO6260" t="s">
        <v>53</v>
      </c>
      <c r="AP6260" t="s">
        <v>53</v>
      </c>
    </row>
    <row r="6261" spans="2:42" x14ac:dyDescent="0.2">
      <c r="B6261" t="s">
        <v>44</v>
      </c>
      <c r="C6261" t="str">
        <f>HYPERLINK("https://us2.cloudbeds.com/connect/8493803454333002#/reservations/9080486846639468?display=30UWDFZ2B9&amp;reservation_id=9080486846639468", "30UWDFZ2B9")</f>
        <v>30UWDFZ2B9</v>
      </c>
      <c r="D6261" t="s">
        <v>45</v>
      </c>
      <c r="E6261" t="s">
        <v>110</v>
      </c>
      <c r="F6261" t="s">
        <v>47</v>
      </c>
      <c r="G6261" t="s">
        <v>48</v>
      </c>
      <c r="H6261" t="s">
        <v>49</v>
      </c>
      <c r="I6261" t="s">
        <v>50</v>
      </c>
      <c r="J6261" t="s">
        <v>8616</v>
      </c>
      <c r="K6261" t="s">
        <v>10717</v>
      </c>
      <c r="L6261" t="s">
        <v>53</v>
      </c>
      <c r="N6261" t="s">
        <v>11226</v>
      </c>
      <c r="P6261" t="s">
        <v>55</v>
      </c>
      <c r="R6261" t="s">
        <v>53</v>
      </c>
      <c r="T6261" t="s">
        <v>11227</v>
      </c>
      <c r="U6261" t="s">
        <v>58</v>
      </c>
      <c r="V6261">
        <v>1</v>
      </c>
      <c r="W6261">
        <v>1</v>
      </c>
      <c r="X6261">
        <v>2</v>
      </c>
      <c r="Y6261">
        <v>0</v>
      </c>
      <c r="Z6261">
        <v>2</v>
      </c>
      <c r="AA6261">
        <v>184.51</v>
      </c>
      <c r="AB6261">
        <v>184.51</v>
      </c>
      <c r="AC6261">
        <v>162.35</v>
      </c>
      <c r="AD6261">
        <v>0</v>
      </c>
      <c r="AE6261">
        <v>22.16</v>
      </c>
      <c r="AF6261">
        <v>0</v>
      </c>
      <c r="AG6261">
        <v>0</v>
      </c>
      <c r="AH6261">
        <v>0</v>
      </c>
      <c r="AI6261">
        <v>33.21</v>
      </c>
      <c r="AJ6261">
        <v>184.51</v>
      </c>
      <c r="AK6261">
        <v>0</v>
      </c>
      <c r="AL6261" t="s">
        <v>53</v>
      </c>
      <c r="AM6261" t="s">
        <v>53</v>
      </c>
      <c r="AN6261" t="s">
        <v>53</v>
      </c>
      <c r="AO6261" t="s">
        <v>53</v>
      </c>
      <c r="AP6261" t="s">
        <v>53</v>
      </c>
    </row>
    <row r="6262" spans="2:42" x14ac:dyDescent="0.2">
      <c r="B6262" t="s">
        <v>44</v>
      </c>
      <c r="C6262" t="str">
        <f>HYPERLINK("https://us2.cloudbeds.com/connect/8493803454333002#/reservations/9080486846639508?display=30V19UCZEN&amp;reservation_id=9080486846639508", "30V19UCZEN")</f>
        <v>30V19UCZEN</v>
      </c>
      <c r="D6262" t="s">
        <v>45</v>
      </c>
      <c r="E6262" t="s">
        <v>305</v>
      </c>
      <c r="F6262" t="s">
        <v>61</v>
      </c>
      <c r="G6262" t="s">
        <v>48</v>
      </c>
      <c r="H6262" t="s">
        <v>49</v>
      </c>
      <c r="I6262" t="s">
        <v>50</v>
      </c>
      <c r="J6262" t="s">
        <v>5507</v>
      </c>
      <c r="K6262" t="s">
        <v>6454</v>
      </c>
      <c r="L6262" t="s">
        <v>53</v>
      </c>
      <c r="N6262" t="s">
        <v>11228</v>
      </c>
      <c r="P6262" t="s">
        <v>55</v>
      </c>
      <c r="R6262" t="s">
        <v>53</v>
      </c>
      <c r="T6262" t="s">
        <v>11229</v>
      </c>
      <c r="U6262" t="s">
        <v>58</v>
      </c>
      <c r="V6262">
        <v>1</v>
      </c>
      <c r="W6262">
        <v>1</v>
      </c>
      <c r="X6262">
        <v>2</v>
      </c>
      <c r="Y6262">
        <v>0</v>
      </c>
      <c r="Z6262">
        <v>2</v>
      </c>
      <c r="AA6262">
        <v>212.53</v>
      </c>
      <c r="AB6262">
        <v>212.53</v>
      </c>
      <c r="AC6262">
        <v>187</v>
      </c>
      <c r="AD6262">
        <v>0</v>
      </c>
      <c r="AE6262">
        <v>25.53</v>
      </c>
      <c r="AF6262">
        <v>0</v>
      </c>
      <c r="AG6262">
        <v>0</v>
      </c>
      <c r="AH6262">
        <v>0</v>
      </c>
      <c r="AI6262">
        <v>38.26</v>
      </c>
      <c r="AJ6262">
        <v>212.53</v>
      </c>
      <c r="AK6262">
        <v>0</v>
      </c>
      <c r="AL6262" t="s">
        <v>53</v>
      </c>
      <c r="AM6262" t="s">
        <v>53</v>
      </c>
      <c r="AN6262" t="s">
        <v>53</v>
      </c>
      <c r="AO6262" t="s">
        <v>53</v>
      </c>
      <c r="AP6262" t="s">
        <v>53</v>
      </c>
    </row>
    <row r="6263" spans="2:42" x14ac:dyDescent="0.2">
      <c r="B6263" t="s">
        <v>44</v>
      </c>
      <c r="C6263" t="str">
        <f>HYPERLINK("https://us2.cloudbeds.com/connect/8493803454333002#/reservations/9080486846639856?display=30VKHD9CZ4&amp;reservation_id=9080486846639856", "30VKHD9CZ4")</f>
        <v>30VKHD9CZ4</v>
      </c>
      <c r="D6263" t="s">
        <v>45</v>
      </c>
      <c r="E6263" t="s">
        <v>46</v>
      </c>
      <c r="F6263" t="s">
        <v>47</v>
      </c>
      <c r="G6263" t="s">
        <v>48</v>
      </c>
      <c r="H6263" t="s">
        <v>49</v>
      </c>
      <c r="I6263" t="s">
        <v>50</v>
      </c>
      <c r="J6263" t="s">
        <v>6454</v>
      </c>
      <c r="K6263" t="s">
        <v>5508</v>
      </c>
      <c r="L6263" t="s">
        <v>53</v>
      </c>
      <c r="N6263" t="s">
        <v>11230</v>
      </c>
      <c r="P6263" t="s">
        <v>55</v>
      </c>
      <c r="R6263" t="s">
        <v>53</v>
      </c>
      <c r="T6263" t="s">
        <v>11231</v>
      </c>
      <c r="U6263" t="s">
        <v>58</v>
      </c>
      <c r="V6263">
        <v>1</v>
      </c>
      <c r="W6263">
        <v>1</v>
      </c>
      <c r="X6263">
        <v>1</v>
      </c>
      <c r="Y6263">
        <v>0</v>
      </c>
      <c r="Z6263">
        <v>1</v>
      </c>
      <c r="AA6263">
        <v>130.71</v>
      </c>
      <c r="AB6263">
        <v>130.71</v>
      </c>
      <c r="AC6263">
        <v>115</v>
      </c>
      <c r="AD6263">
        <v>0</v>
      </c>
      <c r="AE6263">
        <v>15.71</v>
      </c>
      <c r="AF6263">
        <v>0</v>
      </c>
      <c r="AG6263">
        <v>0</v>
      </c>
      <c r="AH6263">
        <v>0</v>
      </c>
      <c r="AI6263">
        <v>23.53</v>
      </c>
      <c r="AJ6263">
        <v>130.71</v>
      </c>
      <c r="AK6263">
        <v>0</v>
      </c>
      <c r="AL6263" t="s">
        <v>53</v>
      </c>
      <c r="AM6263" t="s">
        <v>53</v>
      </c>
      <c r="AN6263" t="s">
        <v>53</v>
      </c>
      <c r="AO6263" t="s">
        <v>53</v>
      </c>
      <c r="AP6263" t="s">
        <v>53</v>
      </c>
    </row>
    <row r="6264" spans="2:42" x14ac:dyDescent="0.2">
      <c r="B6264" t="s">
        <v>44</v>
      </c>
      <c r="C6264" t="str">
        <f>HYPERLINK("https://us2.cloudbeds.com/connect/8493803454333002#/reservations/9080486846641244?display=3111AGS447&amp;reservation_id=9080486846641244", "3111AGS447")</f>
        <v>3111AGS447</v>
      </c>
      <c r="D6264" t="s">
        <v>45</v>
      </c>
      <c r="E6264" t="s">
        <v>223</v>
      </c>
      <c r="F6264" t="s">
        <v>47</v>
      </c>
      <c r="G6264" t="s">
        <v>48</v>
      </c>
      <c r="H6264" t="s">
        <v>49</v>
      </c>
      <c r="I6264" t="s">
        <v>62</v>
      </c>
      <c r="J6264" t="s">
        <v>6454</v>
      </c>
      <c r="K6264" t="s">
        <v>5508</v>
      </c>
      <c r="L6264" t="s">
        <v>53</v>
      </c>
      <c r="N6264" t="s">
        <v>11232</v>
      </c>
      <c r="P6264" t="s">
        <v>55</v>
      </c>
      <c r="R6264" t="s">
        <v>1475</v>
      </c>
      <c r="T6264" t="s">
        <v>11233</v>
      </c>
      <c r="U6264" t="s">
        <v>55</v>
      </c>
      <c r="V6264">
        <v>1</v>
      </c>
      <c r="W6264">
        <v>1</v>
      </c>
      <c r="X6264">
        <v>2</v>
      </c>
      <c r="Y6264">
        <v>0</v>
      </c>
      <c r="Z6264">
        <v>2</v>
      </c>
      <c r="AA6264">
        <v>115</v>
      </c>
      <c r="AB6264">
        <v>115</v>
      </c>
      <c r="AC6264">
        <v>115</v>
      </c>
      <c r="AD6264">
        <v>0</v>
      </c>
      <c r="AE6264">
        <v>0</v>
      </c>
      <c r="AF6264">
        <v>0</v>
      </c>
      <c r="AG6264">
        <v>0</v>
      </c>
      <c r="AH6264">
        <v>0</v>
      </c>
      <c r="AI6264">
        <v>20.7</v>
      </c>
      <c r="AJ6264">
        <v>115</v>
      </c>
      <c r="AK6264">
        <v>0</v>
      </c>
      <c r="AL6264" t="s">
        <v>53</v>
      </c>
      <c r="AM6264" t="s">
        <v>53</v>
      </c>
      <c r="AN6264" t="s">
        <v>53</v>
      </c>
      <c r="AO6264" t="s">
        <v>53</v>
      </c>
      <c r="AP6264" t="s">
        <v>53</v>
      </c>
    </row>
    <row r="6265" spans="2:42" x14ac:dyDescent="0.2">
      <c r="B6265" t="s">
        <v>44</v>
      </c>
      <c r="C6265" t="str">
        <f>HYPERLINK("https://us2.cloudbeds.com/connect/8493803454333002#/reservations/9080486846641363?display=31173T4ACF&amp;reservation_id=9080486846641363", "31173T4ACF")</f>
        <v>31173T4ACF</v>
      </c>
      <c r="D6265" t="s">
        <v>45</v>
      </c>
      <c r="E6265" t="s">
        <v>185</v>
      </c>
      <c r="F6265" t="s">
        <v>47</v>
      </c>
      <c r="G6265" t="s">
        <v>48</v>
      </c>
      <c r="H6265" t="s">
        <v>49</v>
      </c>
      <c r="I6265" t="s">
        <v>50</v>
      </c>
      <c r="J6265" t="s">
        <v>6454</v>
      </c>
      <c r="K6265" t="s">
        <v>9692</v>
      </c>
      <c r="L6265" t="s">
        <v>53</v>
      </c>
      <c r="N6265" t="s">
        <v>11234</v>
      </c>
      <c r="P6265" t="s">
        <v>55</v>
      </c>
      <c r="R6265" t="s">
        <v>53</v>
      </c>
      <c r="T6265" t="s">
        <v>11235</v>
      </c>
      <c r="U6265" t="s">
        <v>58</v>
      </c>
      <c r="V6265">
        <v>2</v>
      </c>
      <c r="W6265">
        <v>1</v>
      </c>
      <c r="X6265">
        <v>1</v>
      </c>
      <c r="Y6265">
        <v>0</v>
      </c>
      <c r="Z6265">
        <v>1</v>
      </c>
      <c r="AA6265">
        <v>288.23</v>
      </c>
      <c r="AB6265">
        <v>288.23</v>
      </c>
      <c r="AC6265">
        <v>253.6</v>
      </c>
      <c r="AD6265">
        <v>0</v>
      </c>
      <c r="AE6265">
        <v>34.630000000000003</v>
      </c>
      <c r="AF6265">
        <v>0</v>
      </c>
      <c r="AG6265">
        <v>0</v>
      </c>
      <c r="AH6265">
        <v>0</v>
      </c>
      <c r="AI6265">
        <v>51.88</v>
      </c>
      <c r="AJ6265">
        <v>288.23</v>
      </c>
      <c r="AK6265">
        <v>0</v>
      </c>
      <c r="AL6265" t="s">
        <v>53</v>
      </c>
      <c r="AM6265" t="s">
        <v>53</v>
      </c>
      <c r="AN6265" t="s">
        <v>53</v>
      </c>
      <c r="AO6265" t="s">
        <v>53</v>
      </c>
      <c r="AP6265" t="s">
        <v>53</v>
      </c>
    </row>
    <row r="6266" spans="2:42" x14ac:dyDescent="0.2">
      <c r="B6266" t="s">
        <v>44</v>
      </c>
      <c r="C6266" t="str">
        <f>HYPERLINK("https://us2.cloudbeds.com/connect/8493803454333002#/reservations/9080486846642009?display=311VVGW2SS&amp;reservation_id=9080486846642009", "311VVGW2SS")</f>
        <v>311VVGW2SS</v>
      </c>
      <c r="D6266" t="s">
        <v>45</v>
      </c>
      <c r="E6266" t="s">
        <v>69</v>
      </c>
      <c r="F6266" t="s">
        <v>70</v>
      </c>
      <c r="G6266" t="s">
        <v>48</v>
      </c>
      <c r="H6266" t="s">
        <v>49</v>
      </c>
      <c r="I6266" t="s">
        <v>50</v>
      </c>
      <c r="J6266" t="s">
        <v>7493</v>
      </c>
      <c r="K6266" t="s">
        <v>6344</v>
      </c>
      <c r="L6266" t="s">
        <v>53</v>
      </c>
      <c r="N6266" t="s">
        <v>11236</v>
      </c>
      <c r="P6266" t="s">
        <v>58</v>
      </c>
      <c r="R6266" t="s">
        <v>56</v>
      </c>
      <c r="T6266" t="s">
        <v>11237</v>
      </c>
      <c r="U6266" t="s">
        <v>58</v>
      </c>
      <c r="V6266">
        <v>1</v>
      </c>
      <c r="W6266">
        <v>1</v>
      </c>
      <c r="X6266">
        <v>2</v>
      </c>
      <c r="Y6266">
        <v>0</v>
      </c>
      <c r="Z6266">
        <v>2</v>
      </c>
      <c r="AA6266">
        <v>133.12</v>
      </c>
      <c r="AB6266">
        <v>133.12</v>
      </c>
      <c r="AC6266">
        <v>117.13</v>
      </c>
      <c r="AD6266">
        <v>0</v>
      </c>
      <c r="AE6266">
        <v>15.99</v>
      </c>
      <c r="AF6266">
        <v>0</v>
      </c>
      <c r="AG6266">
        <v>0</v>
      </c>
      <c r="AH6266">
        <v>0</v>
      </c>
      <c r="AI6266">
        <v>23.96</v>
      </c>
      <c r="AJ6266">
        <v>133.12</v>
      </c>
      <c r="AK6266">
        <v>0</v>
      </c>
      <c r="AL6266" t="s">
        <v>53</v>
      </c>
      <c r="AM6266" t="s">
        <v>53</v>
      </c>
      <c r="AN6266" t="s">
        <v>11238</v>
      </c>
      <c r="AO6266" t="s">
        <v>53</v>
      </c>
      <c r="AP6266" t="s">
        <v>53</v>
      </c>
    </row>
    <row r="6267" spans="2:42" x14ac:dyDescent="0.2">
      <c r="B6267" t="s">
        <v>44</v>
      </c>
      <c r="C6267" t="str">
        <f>HYPERLINK("https://us2.cloudbeds.com/connect/8493803454333002#/reservations/9080486846642868?display=312PYH6R7Q&amp;reservation_id=9080486846642868", "312PYH6R7Q")</f>
        <v>312PYH6R7Q</v>
      </c>
      <c r="D6267" t="s">
        <v>45</v>
      </c>
      <c r="E6267" t="s">
        <v>213</v>
      </c>
      <c r="F6267" t="s">
        <v>86</v>
      </c>
      <c r="G6267" t="s">
        <v>48</v>
      </c>
      <c r="H6267" t="s">
        <v>49</v>
      </c>
      <c r="I6267" t="s">
        <v>62</v>
      </c>
      <c r="J6267" t="s">
        <v>6454</v>
      </c>
      <c r="K6267" t="s">
        <v>5508</v>
      </c>
      <c r="L6267" t="s">
        <v>53</v>
      </c>
      <c r="N6267" t="s">
        <v>11239</v>
      </c>
      <c r="P6267" t="s">
        <v>55</v>
      </c>
      <c r="R6267" t="s">
        <v>56</v>
      </c>
      <c r="T6267" t="s">
        <v>11240</v>
      </c>
      <c r="U6267" t="s">
        <v>55</v>
      </c>
      <c r="V6267">
        <v>1</v>
      </c>
      <c r="W6267">
        <v>1</v>
      </c>
      <c r="X6267">
        <v>2</v>
      </c>
      <c r="Y6267">
        <v>0</v>
      </c>
      <c r="Z6267">
        <v>2</v>
      </c>
      <c r="AA6267">
        <v>126</v>
      </c>
      <c r="AB6267">
        <v>126</v>
      </c>
      <c r="AC6267">
        <v>126</v>
      </c>
      <c r="AD6267">
        <v>0</v>
      </c>
      <c r="AE6267">
        <v>0</v>
      </c>
      <c r="AF6267">
        <v>0</v>
      </c>
      <c r="AG6267">
        <v>0</v>
      </c>
      <c r="AH6267">
        <v>0</v>
      </c>
      <c r="AI6267">
        <v>22.68</v>
      </c>
      <c r="AJ6267">
        <v>126</v>
      </c>
      <c r="AK6267">
        <v>0</v>
      </c>
      <c r="AL6267" t="s">
        <v>53</v>
      </c>
      <c r="AM6267" t="s">
        <v>53</v>
      </c>
      <c r="AN6267" t="s">
        <v>53</v>
      </c>
      <c r="AO6267" t="s">
        <v>53</v>
      </c>
      <c r="AP6267" t="s">
        <v>53</v>
      </c>
    </row>
    <row r="6268" spans="2:42" x14ac:dyDescent="0.2">
      <c r="B6268" t="s">
        <v>44</v>
      </c>
      <c r="C6268" t="str">
        <f>HYPERLINK("https://us2.cloudbeds.com/connect/8493803454333002#/reservations/9080486846643943?display=313PQJ35JN&amp;reservation_id=9080486846643943", "313PQJ35JN")</f>
        <v>313PQJ35JN</v>
      </c>
      <c r="D6268" t="s">
        <v>45</v>
      </c>
      <c r="E6268" t="s">
        <v>128</v>
      </c>
      <c r="F6268" t="s">
        <v>86</v>
      </c>
      <c r="G6268" t="s">
        <v>48</v>
      </c>
      <c r="H6268" t="s">
        <v>49</v>
      </c>
      <c r="I6268" t="s">
        <v>50</v>
      </c>
      <c r="J6268" t="s">
        <v>7438</v>
      </c>
      <c r="K6268" t="s">
        <v>9291</v>
      </c>
      <c r="L6268" t="s">
        <v>53</v>
      </c>
      <c r="N6268" t="s">
        <v>11241</v>
      </c>
      <c r="P6268" t="s">
        <v>55</v>
      </c>
      <c r="R6268" t="s">
        <v>53</v>
      </c>
      <c r="T6268" t="s">
        <v>11242</v>
      </c>
      <c r="U6268" t="s">
        <v>58</v>
      </c>
      <c r="V6268">
        <v>1</v>
      </c>
      <c r="W6268">
        <v>1</v>
      </c>
      <c r="X6268">
        <v>4</v>
      </c>
      <c r="Y6268">
        <v>0</v>
      </c>
      <c r="Z6268">
        <v>4</v>
      </c>
      <c r="AA6268">
        <v>164.22</v>
      </c>
      <c r="AB6268">
        <v>164.22</v>
      </c>
      <c r="AC6268">
        <v>144.49</v>
      </c>
      <c r="AD6268">
        <v>0</v>
      </c>
      <c r="AE6268">
        <v>19.73</v>
      </c>
      <c r="AF6268">
        <v>0</v>
      </c>
      <c r="AG6268">
        <v>0</v>
      </c>
      <c r="AH6268">
        <v>0</v>
      </c>
      <c r="AI6268">
        <v>29.56</v>
      </c>
      <c r="AJ6268">
        <v>164.22</v>
      </c>
      <c r="AK6268">
        <v>0</v>
      </c>
      <c r="AL6268" t="s">
        <v>53</v>
      </c>
      <c r="AM6268" t="s">
        <v>53</v>
      </c>
      <c r="AN6268" t="s">
        <v>53</v>
      </c>
      <c r="AO6268" t="s">
        <v>53</v>
      </c>
      <c r="AP6268" t="s">
        <v>53</v>
      </c>
    </row>
    <row r="6269" spans="2:42" x14ac:dyDescent="0.2">
      <c r="B6269" t="s">
        <v>44</v>
      </c>
      <c r="C6269" t="str">
        <f>HYPERLINK("https://us2.cloudbeds.com/connect/8493803454333002#/reservations/9080486846644036?display=313RV6PMT4&amp;reservation_id=9080486846644036", "313RV6PMT4")</f>
        <v>313RV6PMT4</v>
      </c>
      <c r="D6269" t="s">
        <v>45</v>
      </c>
      <c r="E6269" t="s">
        <v>113</v>
      </c>
      <c r="F6269" t="s">
        <v>61</v>
      </c>
      <c r="G6269" t="s">
        <v>48</v>
      </c>
      <c r="H6269" t="s">
        <v>49</v>
      </c>
      <c r="I6269" t="s">
        <v>62</v>
      </c>
      <c r="J6269" t="s">
        <v>6454</v>
      </c>
      <c r="K6269" t="s">
        <v>5508</v>
      </c>
      <c r="L6269" t="s">
        <v>53</v>
      </c>
      <c r="N6269" t="s">
        <v>11243</v>
      </c>
      <c r="P6269" t="s">
        <v>55</v>
      </c>
      <c r="R6269" t="s">
        <v>56</v>
      </c>
      <c r="T6269" t="s">
        <v>11244</v>
      </c>
      <c r="U6269" t="s">
        <v>55</v>
      </c>
      <c r="V6269">
        <v>1</v>
      </c>
      <c r="W6269">
        <v>1</v>
      </c>
      <c r="X6269">
        <v>2</v>
      </c>
      <c r="Y6269">
        <v>0</v>
      </c>
      <c r="Z6269">
        <v>2</v>
      </c>
      <c r="AA6269">
        <v>130</v>
      </c>
      <c r="AB6269">
        <v>130</v>
      </c>
      <c r="AC6269">
        <v>130</v>
      </c>
      <c r="AD6269">
        <v>0</v>
      </c>
      <c r="AE6269">
        <v>0</v>
      </c>
      <c r="AF6269">
        <v>0</v>
      </c>
      <c r="AG6269">
        <v>0</v>
      </c>
      <c r="AH6269">
        <v>0</v>
      </c>
      <c r="AI6269">
        <v>23.4</v>
      </c>
      <c r="AJ6269">
        <v>130</v>
      </c>
      <c r="AK6269">
        <v>0</v>
      </c>
      <c r="AL6269" t="s">
        <v>53</v>
      </c>
      <c r="AM6269" t="s">
        <v>53</v>
      </c>
      <c r="AN6269" t="s">
        <v>53</v>
      </c>
      <c r="AO6269" t="s">
        <v>53</v>
      </c>
      <c r="AP6269" t="s">
        <v>53</v>
      </c>
    </row>
    <row r="6270" spans="2:42" x14ac:dyDescent="0.2">
      <c r="B6270" t="s">
        <v>44</v>
      </c>
      <c r="C6270" t="str">
        <f>HYPERLINK("https://us2.cloudbeds.com/connect/8493803454333002#/reservations/9080486846644367?display=3143HP63VR&amp;reservation_id=9080486846644367", "3143HP63VR")</f>
        <v>3143HP63VR</v>
      </c>
      <c r="D6270" t="s">
        <v>45</v>
      </c>
      <c r="E6270" t="s">
        <v>155</v>
      </c>
      <c r="F6270" t="s">
        <v>86</v>
      </c>
      <c r="G6270" t="s">
        <v>48</v>
      </c>
      <c r="H6270" t="s">
        <v>49</v>
      </c>
      <c r="I6270" t="s">
        <v>62</v>
      </c>
      <c r="J6270" t="s">
        <v>6454</v>
      </c>
      <c r="K6270" t="s">
        <v>5508</v>
      </c>
      <c r="L6270" t="s">
        <v>53</v>
      </c>
      <c r="N6270" t="s">
        <v>11245</v>
      </c>
      <c r="P6270" t="s">
        <v>55</v>
      </c>
      <c r="R6270" t="s">
        <v>56</v>
      </c>
      <c r="T6270" t="s">
        <v>11246</v>
      </c>
      <c r="U6270" t="s">
        <v>55</v>
      </c>
      <c r="V6270">
        <v>1</v>
      </c>
      <c r="W6270">
        <v>1</v>
      </c>
      <c r="X6270">
        <v>3</v>
      </c>
      <c r="Y6270">
        <v>0</v>
      </c>
      <c r="Z6270">
        <v>3</v>
      </c>
      <c r="AA6270">
        <v>126</v>
      </c>
      <c r="AB6270">
        <v>128.16999999999999</v>
      </c>
      <c r="AC6270">
        <v>126</v>
      </c>
      <c r="AD6270">
        <v>2</v>
      </c>
      <c r="AE6270">
        <v>0.17</v>
      </c>
      <c r="AF6270">
        <v>0</v>
      </c>
      <c r="AG6270">
        <v>0</v>
      </c>
      <c r="AH6270">
        <v>0</v>
      </c>
      <c r="AI6270">
        <v>23.07</v>
      </c>
      <c r="AJ6270">
        <v>128.16999999999999</v>
      </c>
      <c r="AK6270">
        <v>0</v>
      </c>
      <c r="AL6270" t="s">
        <v>53</v>
      </c>
      <c r="AM6270" t="s">
        <v>53</v>
      </c>
      <c r="AN6270" t="s">
        <v>53</v>
      </c>
      <c r="AO6270" t="s">
        <v>53</v>
      </c>
      <c r="AP6270" t="s">
        <v>53</v>
      </c>
    </row>
    <row r="6271" spans="2:42" x14ac:dyDescent="0.2">
      <c r="B6271" t="s">
        <v>44</v>
      </c>
      <c r="C6271" t="str">
        <f>HYPERLINK("https://us2.cloudbeds.com/connect/8493803454333002#/reservations/9080486846644372?display=3143Y9RBTY&amp;reservation_id=9080486846644372", "3143Y9RBTY")</f>
        <v>3143Y9RBTY</v>
      </c>
      <c r="D6271" t="s">
        <v>45</v>
      </c>
      <c r="E6271" t="s">
        <v>190</v>
      </c>
      <c r="F6271" t="s">
        <v>61</v>
      </c>
      <c r="G6271" t="s">
        <v>48</v>
      </c>
      <c r="H6271" t="s">
        <v>49</v>
      </c>
      <c r="I6271" t="s">
        <v>62</v>
      </c>
      <c r="J6271" t="s">
        <v>6454</v>
      </c>
      <c r="K6271" t="s">
        <v>5508</v>
      </c>
      <c r="L6271" t="s">
        <v>53</v>
      </c>
      <c r="N6271" t="s">
        <v>11247</v>
      </c>
      <c r="P6271" t="s">
        <v>55</v>
      </c>
      <c r="R6271" t="s">
        <v>56</v>
      </c>
      <c r="T6271" t="s">
        <v>11248</v>
      </c>
      <c r="U6271" t="s">
        <v>55</v>
      </c>
      <c r="V6271">
        <v>1</v>
      </c>
      <c r="W6271">
        <v>1</v>
      </c>
      <c r="X6271">
        <v>1</v>
      </c>
      <c r="Y6271">
        <v>0</v>
      </c>
      <c r="Z6271">
        <v>1</v>
      </c>
      <c r="AA6271">
        <v>130</v>
      </c>
      <c r="AB6271">
        <v>130</v>
      </c>
      <c r="AC6271">
        <v>130</v>
      </c>
      <c r="AD6271">
        <v>0</v>
      </c>
      <c r="AE6271">
        <v>0</v>
      </c>
      <c r="AF6271">
        <v>0</v>
      </c>
      <c r="AG6271">
        <v>0</v>
      </c>
      <c r="AH6271">
        <v>0</v>
      </c>
      <c r="AI6271">
        <v>23.4</v>
      </c>
      <c r="AJ6271">
        <v>130</v>
      </c>
      <c r="AK6271">
        <v>0</v>
      </c>
      <c r="AL6271" t="s">
        <v>53</v>
      </c>
      <c r="AM6271" t="s">
        <v>53</v>
      </c>
      <c r="AN6271" t="s">
        <v>53</v>
      </c>
      <c r="AO6271" t="s">
        <v>53</v>
      </c>
      <c r="AP6271" t="s">
        <v>53</v>
      </c>
    </row>
    <row r="6272" spans="2:42" x14ac:dyDescent="0.2">
      <c r="B6272" t="s">
        <v>44</v>
      </c>
      <c r="C6272" t="str">
        <f>HYPERLINK("https://us2.cloudbeds.com/connect/8493803454333002#/reservations/9080486846644512?display=3147RMRTER&amp;reservation_id=9080486846644512", "3147RMRTER")</f>
        <v>3147RMRTER</v>
      </c>
      <c r="D6272" t="s">
        <v>45</v>
      </c>
      <c r="E6272" t="s">
        <v>110</v>
      </c>
      <c r="F6272" t="s">
        <v>47</v>
      </c>
      <c r="G6272" t="s">
        <v>48</v>
      </c>
      <c r="H6272" t="s">
        <v>49</v>
      </c>
      <c r="I6272" t="s">
        <v>50</v>
      </c>
      <c r="J6272" t="s">
        <v>5508</v>
      </c>
      <c r="K6272" t="s">
        <v>9692</v>
      </c>
      <c r="L6272" t="s">
        <v>53</v>
      </c>
      <c r="N6272" t="s">
        <v>11249</v>
      </c>
      <c r="P6272" t="s">
        <v>55</v>
      </c>
      <c r="R6272" t="s">
        <v>53</v>
      </c>
      <c r="T6272" t="s">
        <v>11250</v>
      </c>
      <c r="U6272" t="s">
        <v>58</v>
      </c>
      <c r="V6272">
        <v>1</v>
      </c>
      <c r="W6272">
        <v>1</v>
      </c>
      <c r="X6272">
        <v>2</v>
      </c>
      <c r="Y6272">
        <v>0</v>
      </c>
      <c r="Z6272">
        <v>2</v>
      </c>
      <c r="AA6272">
        <v>157.52000000000001</v>
      </c>
      <c r="AB6272">
        <v>157.52000000000001</v>
      </c>
      <c r="AC6272">
        <v>138.6</v>
      </c>
      <c r="AD6272">
        <v>0</v>
      </c>
      <c r="AE6272">
        <v>18.920000000000002</v>
      </c>
      <c r="AF6272">
        <v>0</v>
      </c>
      <c r="AG6272">
        <v>0</v>
      </c>
      <c r="AH6272">
        <v>0</v>
      </c>
      <c r="AI6272">
        <v>28.35</v>
      </c>
      <c r="AJ6272">
        <v>157.52000000000001</v>
      </c>
      <c r="AK6272">
        <v>0</v>
      </c>
      <c r="AL6272" t="s">
        <v>53</v>
      </c>
      <c r="AM6272" t="s">
        <v>53</v>
      </c>
      <c r="AN6272" t="s">
        <v>53</v>
      </c>
      <c r="AO6272" t="s">
        <v>53</v>
      </c>
      <c r="AP6272" t="s">
        <v>53</v>
      </c>
    </row>
    <row r="6273" spans="2:42" x14ac:dyDescent="0.2">
      <c r="B6273" t="s">
        <v>44</v>
      </c>
      <c r="C6273" t="str">
        <f>HYPERLINK("https://us2.cloudbeds.com/connect/8493803454333002#/reservations/140826739093638?display=314BUJY0UE&amp;reservation_id=140826739093638", "314BUJY0UE")</f>
        <v>314BUJY0UE</v>
      </c>
      <c r="D6273" t="s">
        <v>45</v>
      </c>
      <c r="E6273" t="s">
        <v>92</v>
      </c>
      <c r="F6273" t="s">
        <v>86</v>
      </c>
      <c r="G6273" t="s">
        <v>48</v>
      </c>
      <c r="H6273" t="s">
        <v>3957</v>
      </c>
      <c r="I6273" t="s">
        <v>3958</v>
      </c>
      <c r="J6273" t="s">
        <v>6454</v>
      </c>
      <c r="K6273" t="s">
        <v>5508</v>
      </c>
      <c r="L6273" t="s">
        <v>53</v>
      </c>
      <c r="P6273" t="s">
        <v>55</v>
      </c>
      <c r="R6273" t="s">
        <v>56</v>
      </c>
      <c r="T6273" t="s">
        <v>11251</v>
      </c>
      <c r="U6273" t="s">
        <v>58</v>
      </c>
      <c r="V6273">
        <v>1</v>
      </c>
      <c r="W6273">
        <v>1</v>
      </c>
      <c r="X6273">
        <v>2</v>
      </c>
      <c r="Y6273">
        <v>0</v>
      </c>
      <c r="Z6273">
        <v>2</v>
      </c>
      <c r="AA6273">
        <v>164.8</v>
      </c>
      <c r="AB6273">
        <v>164.8</v>
      </c>
      <c r="AC6273">
        <v>145</v>
      </c>
      <c r="AD6273">
        <v>0</v>
      </c>
      <c r="AE6273">
        <v>19.8</v>
      </c>
      <c r="AF6273">
        <v>0</v>
      </c>
      <c r="AG6273">
        <v>0</v>
      </c>
      <c r="AH6273">
        <v>0</v>
      </c>
      <c r="AI6273">
        <v>0</v>
      </c>
      <c r="AJ6273">
        <v>164.8</v>
      </c>
      <c r="AK6273">
        <v>0</v>
      </c>
      <c r="AL6273" t="s">
        <v>53</v>
      </c>
      <c r="AM6273" t="s">
        <v>53</v>
      </c>
      <c r="AN6273" t="s">
        <v>53</v>
      </c>
      <c r="AO6273" t="s">
        <v>53</v>
      </c>
      <c r="AP6273" t="s">
        <v>53</v>
      </c>
    </row>
    <row r="6274" spans="2:42" x14ac:dyDescent="0.2">
      <c r="B6274" t="s">
        <v>44</v>
      </c>
      <c r="C6274" t="str">
        <f>HYPERLINK("https://us2.cloudbeds.com/connect/8493803454333002#/reservations/9080486846645433?display=315AUR20QH&amp;reservation_id=9080486846645433", "315AUR20QH")</f>
        <v>315AUR20QH</v>
      </c>
      <c r="D6274" t="s">
        <v>45</v>
      </c>
      <c r="E6274" t="s">
        <v>105</v>
      </c>
      <c r="F6274" t="s">
        <v>47</v>
      </c>
      <c r="G6274" t="s">
        <v>48</v>
      </c>
      <c r="H6274" t="s">
        <v>49</v>
      </c>
      <c r="I6274" t="s">
        <v>50</v>
      </c>
      <c r="J6274" t="s">
        <v>6829</v>
      </c>
      <c r="K6274" t="s">
        <v>8686</v>
      </c>
      <c r="L6274" t="s">
        <v>53</v>
      </c>
      <c r="N6274" t="s">
        <v>11252</v>
      </c>
      <c r="P6274" t="s">
        <v>55</v>
      </c>
      <c r="R6274" t="s">
        <v>53</v>
      </c>
      <c r="T6274" t="s">
        <v>11253</v>
      </c>
      <c r="U6274" t="s">
        <v>58</v>
      </c>
      <c r="V6274">
        <v>1</v>
      </c>
      <c r="W6274">
        <v>1</v>
      </c>
      <c r="X6274">
        <v>2</v>
      </c>
      <c r="Y6274">
        <v>0</v>
      </c>
      <c r="Z6274">
        <v>2</v>
      </c>
      <c r="AA6274">
        <v>126.11</v>
      </c>
      <c r="AB6274">
        <v>126.11</v>
      </c>
      <c r="AC6274">
        <v>110.96</v>
      </c>
      <c r="AD6274">
        <v>0</v>
      </c>
      <c r="AE6274">
        <v>15.15</v>
      </c>
      <c r="AF6274">
        <v>0</v>
      </c>
      <c r="AG6274">
        <v>0</v>
      </c>
      <c r="AH6274">
        <v>0</v>
      </c>
      <c r="AI6274">
        <v>22.7</v>
      </c>
      <c r="AJ6274">
        <v>126.11</v>
      </c>
      <c r="AK6274">
        <v>0</v>
      </c>
      <c r="AL6274" t="s">
        <v>53</v>
      </c>
      <c r="AM6274" t="s">
        <v>53</v>
      </c>
      <c r="AN6274" t="s">
        <v>53</v>
      </c>
      <c r="AO6274" t="s">
        <v>53</v>
      </c>
      <c r="AP6274" t="s">
        <v>53</v>
      </c>
    </row>
    <row r="6275" spans="2:42" x14ac:dyDescent="0.2">
      <c r="B6275" t="s">
        <v>44</v>
      </c>
      <c r="C6275" t="str">
        <f>HYPERLINK("https://us2.cloudbeds.com/connect/8493803454333002#/reservations/9080486846646469?display=31705H0M6J&amp;reservation_id=9080486846646469", "31705H0M6J")</f>
        <v>31705H0M6J</v>
      </c>
      <c r="D6275" t="s">
        <v>45</v>
      </c>
      <c r="E6275" t="s">
        <v>138</v>
      </c>
      <c r="F6275" t="s">
        <v>70</v>
      </c>
      <c r="G6275" t="s">
        <v>48</v>
      </c>
      <c r="H6275" t="s">
        <v>49</v>
      </c>
      <c r="I6275" t="s">
        <v>62</v>
      </c>
      <c r="J6275" t="s">
        <v>7325</v>
      </c>
      <c r="K6275" t="s">
        <v>9829</v>
      </c>
      <c r="L6275" t="s">
        <v>53</v>
      </c>
      <c r="N6275" t="s">
        <v>11254</v>
      </c>
      <c r="P6275" t="s">
        <v>55</v>
      </c>
      <c r="R6275" t="s">
        <v>56</v>
      </c>
      <c r="T6275" t="s">
        <v>11255</v>
      </c>
      <c r="U6275" t="s">
        <v>55</v>
      </c>
      <c r="V6275">
        <v>1</v>
      </c>
      <c r="W6275">
        <v>1</v>
      </c>
      <c r="X6275">
        <v>1</v>
      </c>
      <c r="Y6275">
        <v>0</v>
      </c>
      <c r="Z6275">
        <v>1</v>
      </c>
      <c r="AA6275">
        <v>123</v>
      </c>
      <c r="AB6275">
        <v>123</v>
      </c>
      <c r="AC6275">
        <v>123</v>
      </c>
      <c r="AD6275">
        <v>0</v>
      </c>
      <c r="AE6275">
        <v>0</v>
      </c>
      <c r="AF6275">
        <v>0</v>
      </c>
      <c r="AG6275">
        <v>0</v>
      </c>
      <c r="AH6275">
        <v>0</v>
      </c>
      <c r="AI6275">
        <v>22.14</v>
      </c>
      <c r="AJ6275">
        <v>123</v>
      </c>
      <c r="AK6275">
        <v>0</v>
      </c>
      <c r="AL6275" t="s">
        <v>53</v>
      </c>
      <c r="AM6275" t="s">
        <v>53</v>
      </c>
      <c r="AN6275" t="s">
        <v>53</v>
      </c>
      <c r="AO6275" t="s">
        <v>53</v>
      </c>
      <c r="AP6275" t="s">
        <v>53</v>
      </c>
    </row>
    <row r="6276" spans="2:42" x14ac:dyDescent="0.2">
      <c r="B6276" t="s">
        <v>44</v>
      </c>
      <c r="C6276" t="str">
        <f>HYPERLINK("https://us2.cloudbeds.com/connect/8493803454333002#/reservations/9080486846646640?display=317AJ7TG1H&amp;reservation_id=9080486846646640", "317AJ7TG1H")</f>
        <v>317AJ7TG1H</v>
      </c>
      <c r="D6276" t="s">
        <v>45</v>
      </c>
      <c r="E6276" t="s">
        <v>185</v>
      </c>
      <c r="F6276" t="s">
        <v>47</v>
      </c>
      <c r="G6276" t="s">
        <v>48</v>
      </c>
      <c r="H6276" t="s">
        <v>49</v>
      </c>
      <c r="I6276" t="s">
        <v>8964</v>
      </c>
      <c r="J6276" t="s">
        <v>7325</v>
      </c>
      <c r="K6276" t="s">
        <v>9829</v>
      </c>
      <c r="L6276" t="s">
        <v>53</v>
      </c>
      <c r="N6276" t="s">
        <v>11256</v>
      </c>
      <c r="P6276" t="s">
        <v>55</v>
      </c>
      <c r="R6276" t="s">
        <v>53</v>
      </c>
      <c r="T6276" t="s">
        <v>11257</v>
      </c>
      <c r="U6276" t="s">
        <v>58</v>
      </c>
      <c r="V6276">
        <v>1</v>
      </c>
      <c r="W6276">
        <v>1</v>
      </c>
      <c r="X6276">
        <v>2</v>
      </c>
      <c r="Y6276">
        <v>0</v>
      </c>
      <c r="Z6276">
        <v>2</v>
      </c>
      <c r="AA6276">
        <v>0</v>
      </c>
      <c r="AB6276">
        <v>0</v>
      </c>
      <c r="AC6276">
        <v>153</v>
      </c>
      <c r="AD6276">
        <v>0</v>
      </c>
      <c r="AE6276">
        <v>0</v>
      </c>
      <c r="AF6276">
        <v>0</v>
      </c>
      <c r="AG6276">
        <v>0</v>
      </c>
      <c r="AH6276">
        <v>0</v>
      </c>
      <c r="AI6276">
        <v>22.95</v>
      </c>
      <c r="AJ6276">
        <v>153</v>
      </c>
      <c r="AK6276">
        <v>153</v>
      </c>
      <c r="AL6276" t="s">
        <v>53</v>
      </c>
      <c r="AM6276" t="s">
        <v>53</v>
      </c>
      <c r="AN6276" t="s">
        <v>53</v>
      </c>
      <c r="AO6276" t="s">
        <v>53</v>
      </c>
      <c r="AP6276" t="s">
        <v>53</v>
      </c>
    </row>
    <row r="6277" spans="2:42" x14ac:dyDescent="0.2">
      <c r="B6277" t="s">
        <v>44</v>
      </c>
      <c r="C6277" t="str">
        <f>HYPERLINK("https://us2.cloudbeds.com/connect/8493803454333002#/reservations/9080486846649576?display=31AVZ01G5Y&amp;reservation_id=9080486846649576", "31AVZ01G5Y")</f>
        <v>31AVZ01G5Y</v>
      </c>
      <c r="D6277" t="s">
        <v>45</v>
      </c>
      <c r="E6277" t="s">
        <v>381</v>
      </c>
      <c r="F6277" t="s">
        <v>47</v>
      </c>
      <c r="G6277" t="s">
        <v>48</v>
      </c>
      <c r="H6277" t="s">
        <v>49</v>
      </c>
      <c r="I6277" t="s">
        <v>50</v>
      </c>
      <c r="J6277" t="s">
        <v>5508</v>
      </c>
      <c r="K6277" t="s">
        <v>9692</v>
      </c>
      <c r="L6277" t="s">
        <v>53</v>
      </c>
      <c r="N6277" t="s">
        <v>11258</v>
      </c>
      <c r="P6277" t="s">
        <v>55</v>
      </c>
      <c r="R6277" t="s">
        <v>53</v>
      </c>
      <c r="T6277" t="s">
        <v>11259</v>
      </c>
      <c r="U6277" t="s">
        <v>58</v>
      </c>
      <c r="V6277">
        <v>1</v>
      </c>
      <c r="W6277">
        <v>1</v>
      </c>
      <c r="X6277">
        <v>2</v>
      </c>
      <c r="Y6277">
        <v>0</v>
      </c>
      <c r="Z6277">
        <v>2</v>
      </c>
      <c r="AA6277">
        <v>188.2</v>
      </c>
      <c r="AB6277">
        <v>188.2</v>
      </c>
      <c r="AC6277">
        <v>165.6</v>
      </c>
      <c r="AD6277">
        <v>0</v>
      </c>
      <c r="AE6277">
        <v>22.6</v>
      </c>
      <c r="AF6277">
        <v>0</v>
      </c>
      <c r="AG6277">
        <v>0</v>
      </c>
      <c r="AH6277">
        <v>0</v>
      </c>
      <c r="AI6277">
        <v>33.880000000000003</v>
      </c>
      <c r="AJ6277">
        <v>188.2</v>
      </c>
      <c r="AK6277">
        <v>0</v>
      </c>
      <c r="AL6277" t="s">
        <v>53</v>
      </c>
      <c r="AM6277" t="s">
        <v>53</v>
      </c>
      <c r="AN6277" t="s">
        <v>53</v>
      </c>
      <c r="AO6277" t="s">
        <v>53</v>
      </c>
      <c r="AP6277" t="s">
        <v>53</v>
      </c>
    </row>
    <row r="6278" spans="2:42" x14ac:dyDescent="0.2">
      <c r="B6278" t="s">
        <v>44</v>
      </c>
      <c r="C6278" t="str">
        <f>HYPERLINK("https://us2.cloudbeds.com/connect/8493803454333002#/reservations/9080486846649970?display=31BAP00TTT&amp;reservation_id=9080486846649970", "31BAP00TTT")</f>
        <v>31BAP00TTT</v>
      </c>
      <c r="D6278" t="s">
        <v>45</v>
      </c>
      <c r="E6278" t="s">
        <v>105</v>
      </c>
      <c r="F6278" t="s">
        <v>47</v>
      </c>
      <c r="G6278" t="s">
        <v>48</v>
      </c>
      <c r="H6278" t="s">
        <v>49</v>
      </c>
      <c r="I6278" t="s">
        <v>50</v>
      </c>
      <c r="J6278" t="s">
        <v>9291</v>
      </c>
      <c r="K6278" t="s">
        <v>8818</v>
      </c>
      <c r="L6278" t="s">
        <v>53</v>
      </c>
      <c r="N6278" t="s">
        <v>11260</v>
      </c>
      <c r="P6278" t="s">
        <v>55</v>
      </c>
      <c r="R6278" t="s">
        <v>53</v>
      </c>
      <c r="T6278" t="s">
        <v>11261</v>
      </c>
      <c r="U6278" t="s">
        <v>58</v>
      </c>
      <c r="V6278">
        <v>2</v>
      </c>
      <c r="W6278">
        <v>1</v>
      </c>
      <c r="X6278">
        <v>2</v>
      </c>
      <c r="Y6278">
        <v>0</v>
      </c>
      <c r="Z6278">
        <v>2</v>
      </c>
      <c r="AA6278">
        <v>319.14</v>
      </c>
      <c r="AB6278">
        <v>319.14</v>
      </c>
      <c r="AC6278">
        <v>280.8</v>
      </c>
      <c r="AD6278">
        <v>0</v>
      </c>
      <c r="AE6278">
        <v>38.340000000000003</v>
      </c>
      <c r="AF6278">
        <v>0</v>
      </c>
      <c r="AG6278">
        <v>0</v>
      </c>
      <c r="AH6278">
        <v>0</v>
      </c>
      <c r="AI6278">
        <v>57.45</v>
      </c>
      <c r="AJ6278">
        <v>319.14</v>
      </c>
      <c r="AK6278">
        <v>0</v>
      </c>
      <c r="AL6278" t="s">
        <v>53</v>
      </c>
      <c r="AM6278" t="s">
        <v>53</v>
      </c>
      <c r="AN6278" t="s">
        <v>53</v>
      </c>
      <c r="AO6278" t="s">
        <v>53</v>
      </c>
      <c r="AP6278" t="s">
        <v>53</v>
      </c>
    </row>
    <row r="6279" spans="2:42" x14ac:dyDescent="0.2">
      <c r="B6279" t="s">
        <v>44</v>
      </c>
      <c r="C6279" t="str">
        <f>HYPERLINK("https://us2.cloudbeds.com/connect/8493803454333002#/reservations/9080486846650239?display=31BJBYD46S&amp;reservation_id=9080486846650239", "31BJBYD46S")</f>
        <v>31BJBYD46S</v>
      </c>
      <c r="D6279" t="s">
        <v>45</v>
      </c>
      <c r="E6279" t="s">
        <v>105</v>
      </c>
      <c r="F6279" t="s">
        <v>47</v>
      </c>
      <c r="G6279" t="s">
        <v>48</v>
      </c>
      <c r="H6279" t="s">
        <v>49</v>
      </c>
      <c r="I6279" t="s">
        <v>50</v>
      </c>
      <c r="J6279" t="s">
        <v>8139</v>
      </c>
      <c r="K6279" t="s">
        <v>7293</v>
      </c>
      <c r="L6279" t="s">
        <v>53</v>
      </c>
      <c r="N6279" t="s">
        <v>11262</v>
      </c>
      <c r="P6279" t="s">
        <v>55</v>
      </c>
      <c r="R6279" t="s">
        <v>53</v>
      </c>
      <c r="T6279" t="s">
        <v>11263</v>
      </c>
      <c r="U6279" t="s">
        <v>58</v>
      </c>
      <c r="V6279">
        <v>1</v>
      </c>
      <c r="W6279">
        <v>1</v>
      </c>
      <c r="X6279">
        <v>1</v>
      </c>
      <c r="Y6279">
        <v>0</v>
      </c>
      <c r="Z6279">
        <v>1</v>
      </c>
      <c r="AA6279">
        <v>149.59</v>
      </c>
      <c r="AB6279">
        <v>149.59</v>
      </c>
      <c r="AC6279">
        <v>131.62</v>
      </c>
      <c r="AD6279">
        <v>0</v>
      </c>
      <c r="AE6279">
        <v>17.97</v>
      </c>
      <c r="AF6279">
        <v>0</v>
      </c>
      <c r="AG6279">
        <v>0</v>
      </c>
      <c r="AH6279">
        <v>0</v>
      </c>
      <c r="AI6279">
        <v>26.93</v>
      </c>
      <c r="AJ6279">
        <v>149.59</v>
      </c>
      <c r="AK6279">
        <v>0</v>
      </c>
      <c r="AL6279" t="s">
        <v>53</v>
      </c>
      <c r="AM6279" t="s">
        <v>53</v>
      </c>
      <c r="AN6279" t="s">
        <v>53</v>
      </c>
      <c r="AO6279" t="s">
        <v>53</v>
      </c>
      <c r="AP6279" t="s">
        <v>53</v>
      </c>
    </row>
    <row r="6280" spans="2:42" x14ac:dyDescent="0.2">
      <c r="B6280" t="s">
        <v>44</v>
      </c>
      <c r="C6280" t="str">
        <f>HYPERLINK("https://us2.cloudbeds.com/connect/8493803454333002#/reservations/141161871491206?display=31C7E050CF&amp;reservation_id=141161871491206", "31C7E050CF")</f>
        <v>31C7E050CF</v>
      </c>
      <c r="D6280" t="s">
        <v>45</v>
      </c>
      <c r="E6280" t="s">
        <v>113</v>
      </c>
      <c r="F6280" t="s">
        <v>61</v>
      </c>
      <c r="G6280" t="s">
        <v>3974</v>
      </c>
      <c r="H6280" t="s">
        <v>3957</v>
      </c>
      <c r="I6280" t="s">
        <v>3975</v>
      </c>
      <c r="J6280" t="s">
        <v>8678</v>
      </c>
      <c r="K6280" t="s">
        <v>9687</v>
      </c>
      <c r="L6280" t="s">
        <v>53</v>
      </c>
      <c r="P6280" t="s">
        <v>55</v>
      </c>
      <c r="R6280" t="s">
        <v>56</v>
      </c>
      <c r="T6280" t="s">
        <v>11264</v>
      </c>
      <c r="U6280" t="s">
        <v>58</v>
      </c>
      <c r="V6280">
        <v>1</v>
      </c>
      <c r="W6280">
        <v>1</v>
      </c>
      <c r="X6280">
        <v>2</v>
      </c>
      <c r="Y6280">
        <v>0</v>
      </c>
      <c r="Z6280">
        <v>2</v>
      </c>
      <c r="AA6280">
        <v>305.55</v>
      </c>
      <c r="AB6280">
        <v>305.55</v>
      </c>
      <c r="AC6280">
        <v>268.85000000000002</v>
      </c>
      <c r="AD6280">
        <v>0</v>
      </c>
      <c r="AE6280">
        <v>36.700000000000003</v>
      </c>
      <c r="AF6280">
        <v>0</v>
      </c>
      <c r="AG6280">
        <v>0</v>
      </c>
      <c r="AH6280">
        <v>0</v>
      </c>
      <c r="AI6280">
        <v>0</v>
      </c>
      <c r="AJ6280">
        <v>305.55</v>
      </c>
      <c r="AK6280">
        <v>0</v>
      </c>
      <c r="AL6280" t="s">
        <v>53</v>
      </c>
      <c r="AM6280" t="s">
        <v>53</v>
      </c>
      <c r="AN6280" t="s">
        <v>53</v>
      </c>
      <c r="AO6280" t="s">
        <v>53</v>
      </c>
      <c r="AP6280" t="s">
        <v>53</v>
      </c>
    </row>
    <row r="6281" spans="2:42" x14ac:dyDescent="0.2">
      <c r="B6281" t="s">
        <v>44</v>
      </c>
      <c r="C6281" t="str">
        <f>HYPERLINK("https://us2.cloudbeds.com/connect/8493803454333002#/reservations/9080486846651603?display=31CS1KFQBT&amp;reservation_id=9080486846651603", "31CS1KFQBT")</f>
        <v>31CS1KFQBT</v>
      </c>
      <c r="D6281" t="s">
        <v>45</v>
      </c>
      <c r="E6281" t="s">
        <v>138</v>
      </c>
      <c r="F6281" t="s">
        <v>70</v>
      </c>
      <c r="G6281" t="s">
        <v>48</v>
      </c>
      <c r="H6281" t="s">
        <v>49</v>
      </c>
      <c r="I6281" t="s">
        <v>50</v>
      </c>
      <c r="J6281" t="s">
        <v>9829</v>
      </c>
      <c r="K6281" t="s">
        <v>6991</v>
      </c>
      <c r="L6281" t="s">
        <v>53</v>
      </c>
      <c r="N6281" t="s">
        <v>11265</v>
      </c>
      <c r="P6281" t="s">
        <v>55</v>
      </c>
      <c r="R6281" t="s">
        <v>53</v>
      </c>
      <c r="T6281" t="s">
        <v>11266</v>
      </c>
      <c r="U6281" t="s">
        <v>58</v>
      </c>
      <c r="V6281">
        <v>1</v>
      </c>
      <c r="W6281">
        <v>1</v>
      </c>
      <c r="X6281">
        <v>1</v>
      </c>
      <c r="Y6281">
        <v>0</v>
      </c>
      <c r="Z6281">
        <v>1</v>
      </c>
      <c r="AA6281">
        <v>140.93</v>
      </c>
      <c r="AB6281">
        <v>140.93</v>
      </c>
      <c r="AC6281">
        <v>124</v>
      </c>
      <c r="AD6281">
        <v>0</v>
      </c>
      <c r="AE6281">
        <v>16.93</v>
      </c>
      <c r="AF6281">
        <v>0</v>
      </c>
      <c r="AG6281">
        <v>0</v>
      </c>
      <c r="AH6281">
        <v>0</v>
      </c>
      <c r="AI6281">
        <v>25.37</v>
      </c>
      <c r="AJ6281">
        <v>140.93</v>
      </c>
      <c r="AK6281">
        <v>0</v>
      </c>
      <c r="AL6281" t="s">
        <v>53</v>
      </c>
      <c r="AM6281" t="s">
        <v>53</v>
      </c>
      <c r="AN6281" t="s">
        <v>53</v>
      </c>
      <c r="AO6281" t="s">
        <v>53</v>
      </c>
      <c r="AP6281" t="s">
        <v>53</v>
      </c>
    </row>
    <row r="6282" spans="2:42" x14ac:dyDescent="0.2">
      <c r="B6282" t="s">
        <v>44</v>
      </c>
      <c r="C6282" t="str">
        <f>HYPERLINK("https://us2.cloudbeds.com/connect/8493803454333002#/reservations/9080486846652207?display=31DKQJ3VKW&amp;reservation_id=9080486846652207", "31DKQJ3VKW")</f>
        <v>31DKQJ3VKW</v>
      </c>
      <c r="D6282" t="s">
        <v>45</v>
      </c>
      <c r="E6282" t="s">
        <v>223</v>
      </c>
      <c r="F6282" t="s">
        <v>47</v>
      </c>
      <c r="G6282" t="s">
        <v>48</v>
      </c>
      <c r="H6282" t="s">
        <v>49</v>
      </c>
      <c r="I6282" t="s">
        <v>8964</v>
      </c>
      <c r="J6282" t="s">
        <v>11267</v>
      </c>
      <c r="K6282" t="s">
        <v>11268</v>
      </c>
      <c r="L6282" t="s">
        <v>53</v>
      </c>
      <c r="N6282" t="s">
        <v>11269</v>
      </c>
      <c r="P6282" t="s">
        <v>55</v>
      </c>
      <c r="R6282" t="s">
        <v>53</v>
      </c>
      <c r="T6282" t="s">
        <v>11270</v>
      </c>
      <c r="U6282" t="s">
        <v>58</v>
      </c>
      <c r="V6282">
        <v>3</v>
      </c>
      <c r="W6282">
        <v>1</v>
      </c>
      <c r="X6282">
        <v>2</v>
      </c>
      <c r="Y6282">
        <v>0</v>
      </c>
      <c r="Z6282">
        <v>2</v>
      </c>
      <c r="AA6282">
        <v>297</v>
      </c>
      <c r="AB6282">
        <v>0</v>
      </c>
      <c r="AC6282">
        <v>297</v>
      </c>
      <c r="AD6282">
        <v>0</v>
      </c>
      <c r="AE6282">
        <v>0</v>
      </c>
      <c r="AF6282">
        <v>0</v>
      </c>
      <c r="AG6282">
        <v>0</v>
      </c>
      <c r="AH6282">
        <v>0</v>
      </c>
      <c r="AI6282">
        <v>44.55</v>
      </c>
      <c r="AJ6282">
        <v>297</v>
      </c>
      <c r="AK6282">
        <v>297</v>
      </c>
      <c r="AL6282" t="s">
        <v>53</v>
      </c>
      <c r="AM6282" t="s">
        <v>53</v>
      </c>
      <c r="AN6282" t="s">
        <v>53</v>
      </c>
      <c r="AO6282" t="s">
        <v>53</v>
      </c>
      <c r="AP6282" t="s">
        <v>53</v>
      </c>
    </row>
    <row r="6283" spans="2:42" x14ac:dyDescent="0.2">
      <c r="B6283" t="s">
        <v>44</v>
      </c>
      <c r="C6283" t="str">
        <f>HYPERLINK("https://us2.cloudbeds.com/connect/8493803454333002#/reservations/9080486846652655?display=31EBC1G52Z&amp;reservation_id=9080486846652655", "31EBC1G52Z")</f>
        <v>31EBC1G52Z</v>
      </c>
      <c r="D6283" t="s">
        <v>45</v>
      </c>
      <c r="E6283" t="s">
        <v>105</v>
      </c>
      <c r="F6283" t="s">
        <v>47</v>
      </c>
      <c r="G6283" t="s">
        <v>48</v>
      </c>
      <c r="H6283" t="s">
        <v>49</v>
      </c>
      <c r="I6283" t="s">
        <v>50</v>
      </c>
      <c r="J6283" t="s">
        <v>9928</v>
      </c>
      <c r="K6283" t="s">
        <v>7492</v>
      </c>
      <c r="L6283" t="s">
        <v>53</v>
      </c>
      <c r="N6283" t="s">
        <v>11271</v>
      </c>
      <c r="P6283" t="s">
        <v>55</v>
      </c>
      <c r="R6283" t="s">
        <v>53</v>
      </c>
      <c r="T6283" t="s">
        <v>11272</v>
      </c>
      <c r="U6283" t="s">
        <v>58</v>
      </c>
      <c r="V6283">
        <v>1</v>
      </c>
      <c r="W6283">
        <v>1</v>
      </c>
      <c r="X6283">
        <v>2</v>
      </c>
      <c r="Y6283">
        <v>0</v>
      </c>
      <c r="Z6283">
        <v>2</v>
      </c>
      <c r="AA6283">
        <v>184.63</v>
      </c>
      <c r="AB6283">
        <v>184.63</v>
      </c>
      <c r="AC6283">
        <v>162.44999999999999</v>
      </c>
      <c r="AD6283">
        <v>0</v>
      </c>
      <c r="AE6283">
        <v>22.18</v>
      </c>
      <c r="AF6283">
        <v>0</v>
      </c>
      <c r="AG6283">
        <v>0</v>
      </c>
      <c r="AH6283">
        <v>0</v>
      </c>
      <c r="AI6283">
        <v>33.229999999999997</v>
      </c>
      <c r="AJ6283">
        <v>184.63</v>
      </c>
      <c r="AK6283">
        <v>0</v>
      </c>
      <c r="AL6283" t="s">
        <v>53</v>
      </c>
      <c r="AM6283" t="s">
        <v>53</v>
      </c>
      <c r="AN6283" t="s">
        <v>53</v>
      </c>
      <c r="AO6283" t="s">
        <v>53</v>
      </c>
      <c r="AP6283" t="s">
        <v>53</v>
      </c>
    </row>
    <row r="6284" spans="2:42" x14ac:dyDescent="0.2">
      <c r="B6284" t="s">
        <v>44</v>
      </c>
      <c r="C6284" t="str">
        <f>HYPERLINK("https://us2.cloudbeds.com/connect/8493803454333002#/reservations/9080486846655743?display=31XNQD18EH&amp;reservation_id=9080486846655743", "31XNQD18EH")</f>
        <v>31XNQD18EH</v>
      </c>
      <c r="D6284" t="s">
        <v>45</v>
      </c>
      <c r="E6284" t="s">
        <v>46</v>
      </c>
      <c r="F6284" t="s">
        <v>47</v>
      </c>
      <c r="G6284" t="s">
        <v>48</v>
      </c>
      <c r="H6284" t="s">
        <v>49</v>
      </c>
      <c r="I6284" t="s">
        <v>62</v>
      </c>
      <c r="J6284" t="s">
        <v>6829</v>
      </c>
      <c r="K6284" t="s">
        <v>5402</v>
      </c>
      <c r="L6284" t="s">
        <v>53</v>
      </c>
      <c r="N6284" t="s">
        <v>11273</v>
      </c>
      <c r="P6284" t="s">
        <v>55</v>
      </c>
      <c r="R6284" t="s">
        <v>56</v>
      </c>
      <c r="T6284" t="s">
        <v>11274</v>
      </c>
      <c r="U6284" t="s">
        <v>55</v>
      </c>
      <c r="V6284">
        <v>2</v>
      </c>
      <c r="W6284">
        <v>1</v>
      </c>
      <c r="X6284">
        <v>1</v>
      </c>
      <c r="Y6284">
        <v>0</v>
      </c>
      <c r="Z6284">
        <v>1</v>
      </c>
      <c r="AA6284">
        <v>449</v>
      </c>
      <c r="AB6284">
        <v>449</v>
      </c>
      <c r="AC6284">
        <v>449</v>
      </c>
      <c r="AD6284">
        <v>0</v>
      </c>
      <c r="AE6284">
        <v>0</v>
      </c>
      <c r="AF6284">
        <v>0</v>
      </c>
      <c r="AG6284">
        <v>0</v>
      </c>
      <c r="AH6284">
        <v>0</v>
      </c>
      <c r="AI6284">
        <v>80.819999999999993</v>
      </c>
      <c r="AJ6284">
        <v>449</v>
      </c>
      <c r="AK6284">
        <v>0</v>
      </c>
      <c r="AL6284" t="s">
        <v>53</v>
      </c>
      <c r="AM6284" t="s">
        <v>53</v>
      </c>
      <c r="AN6284" t="s">
        <v>53</v>
      </c>
      <c r="AO6284" t="s">
        <v>53</v>
      </c>
      <c r="AP6284" t="s">
        <v>53</v>
      </c>
    </row>
    <row r="6285" spans="2:42" x14ac:dyDescent="0.2">
      <c r="B6285" t="s">
        <v>44</v>
      </c>
      <c r="C6285" t="str">
        <f>HYPERLINK("https://us2.cloudbeds.com/connect/8493803454333002#/reservations/9080486846656036?display=31XWFY0S8J&amp;reservation_id=9080486846656036", "31XWFY0S8J")</f>
        <v>31XWFY0S8J</v>
      </c>
      <c r="D6285" t="s">
        <v>45</v>
      </c>
      <c r="E6285" t="s">
        <v>110</v>
      </c>
      <c r="F6285" t="s">
        <v>47</v>
      </c>
      <c r="G6285" t="s">
        <v>48</v>
      </c>
      <c r="H6285" t="s">
        <v>49</v>
      </c>
      <c r="I6285" t="s">
        <v>50</v>
      </c>
      <c r="J6285" t="s">
        <v>11275</v>
      </c>
      <c r="K6285" t="s">
        <v>11276</v>
      </c>
      <c r="L6285" t="s">
        <v>53</v>
      </c>
      <c r="N6285" t="s">
        <v>11277</v>
      </c>
      <c r="P6285" t="s">
        <v>55</v>
      </c>
      <c r="R6285" t="s">
        <v>53</v>
      </c>
      <c r="T6285" t="s">
        <v>11278</v>
      </c>
      <c r="U6285" t="s">
        <v>58</v>
      </c>
      <c r="V6285">
        <v>2</v>
      </c>
      <c r="W6285">
        <v>1</v>
      </c>
      <c r="X6285">
        <v>2</v>
      </c>
      <c r="Y6285">
        <v>0</v>
      </c>
      <c r="Z6285">
        <v>2</v>
      </c>
      <c r="AA6285">
        <v>192.37</v>
      </c>
      <c r="AB6285">
        <v>192.37</v>
      </c>
      <c r="AC6285">
        <v>169.28</v>
      </c>
      <c r="AD6285">
        <v>0</v>
      </c>
      <c r="AE6285">
        <v>23.09</v>
      </c>
      <c r="AF6285">
        <v>0</v>
      </c>
      <c r="AG6285">
        <v>0</v>
      </c>
      <c r="AH6285">
        <v>0</v>
      </c>
      <c r="AI6285">
        <v>34.630000000000003</v>
      </c>
      <c r="AJ6285">
        <v>192.37</v>
      </c>
      <c r="AK6285">
        <v>0</v>
      </c>
      <c r="AL6285" t="s">
        <v>53</v>
      </c>
      <c r="AM6285" t="s">
        <v>53</v>
      </c>
      <c r="AN6285" t="s">
        <v>53</v>
      </c>
      <c r="AO6285" t="s">
        <v>53</v>
      </c>
      <c r="AP6285" t="s">
        <v>53</v>
      </c>
    </row>
    <row r="6286" spans="2:42" x14ac:dyDescent="0.2">
      <c r="B6286" t="s">
        <v>44</v>
      </c>
      <c r="C6286" t="str">
        <f>HYPERLINK("https://us2.cloudbeds.com/connect/8493803454333002#/reservations/141457651859592?display=31J5ESWPHN&amp;reservation_id=141457651859592", "31J5ESWPHN")</f>
        <v>31J5ESWPHN</v>
      </c>
      <c r="D6286" t="s">
        <v>45</v>
      </c>
      <c r="E6286" t="s">
        <v>179</v>
      </c>
      <c r="F6286" t="s">
        <v>47</v>
      </c>
      <c r="G6286" t="s">
        <v>48</v>
      </c>
      <c r="H6286" t="s">
        <v>3957</v>
      </c>
      <c r="I6286" t="s">
        <v>3975</v>
      </c>
      <c r="J6286" t="s">
        <v>7325</v>
      </c>
      <c r="K6286" t="s">
        <v>9829</v>
      </c>
      <c r="L6286" t="s">
        <v>53</v>
      </c>
      <c r="P6286" t="s">
        <v>55</v>
      </c>
      <c r="R6286" t="s">
        <v>56</v>
      </c>
      <c r="T6286" t="s">
        <v>11279</v>
      </c>
      <c r="U6286" t="s">
        <v>58</v>
      </c>
      <c r="V6286">
        <v>1</v>
      </c>
      <c r="W6286">
        <v>1</v>
      </c>
      <c r="X6286">
        <v>2</v>
      </c>
      <c r="Y6286">
        <v>0</v>
      </c>
      <c r="Z6286">
        <v>2</v>
      </c>
      <c r="AA6286">
        <v>167.07</v>
      </c>
      <c r="AB6286">
        <v>167.07</v>
      </c>
      <c r="AC6286">
        <v>147</v>
      </c>
      <c r="AD6286">
        <v>0</v>
      </c>
      <c r="AE6286">
        <v>20.07</v>
      </c>
      <c r="AF6286">
        <v>0</v>
      </c>
      <c r="AG6286">
        <v>0</v>
      </c>
      <c r="AH6286">
        <v>0</v>
      </c>
      <c r="AI6286">
        <v>0</v>
      </c>
      <c r="AJ6286">
        <v>167.07</v>
      </c>
      <c r="AK6286">
        <v>0</v>
      </c>
      <c r="AL6286" t="s">
        <v>53</v>
      </c>
      <c r="AM6286" t="s">
        <v>53</v>
      </c>
      <c r="AN6286" t="s">
        <v>53</v>
      </c>
      <c r="AO6286" t="s">
        <v>53</v>
      </c>
      <c r="AP6286" t="s">
        <v>53</v>
      </c>
    </row>
    <row r="6287" spans="2:42" x14ac:dyDescent="0.2">
      <c r="B6287" t="s">
        <v>44</v>
      </c>
      <c r="C6287" t="str">
        <f>HYPERLINK("https://us2.cloudbeds.com/connect/8493803454333002#/reservations/141457676996783?display=31J5FH68BP&amp;reservation_id=141457676996783", "31J5FH68BP")</f>
        <v>31J5FH68BP</v>
      </c>
      <c r="D6287" t="s">
        <v>45</v>
      </c>
      <c r="E6287" t="s">
        <v>223</v>
      </c>
      <c r="F6287" t="s">
        <v>47</v>
      </c>
      <c r="G6287" t="s">
        <v>48</v>
      </c>
      <c r="H6287" t="s">
        <v>3957</v>
      </c>
      <c r="I6287" t="s">
        <v>3975</v>
      </c>
      <c r="J6287" t="s">
        <v>7325</v>
      </c>
      <c r="K6287" t="s">
        <v>9829</v>
      </c>
      <c r="L6287" t="s">
        <v>53</v>
      </c>
      <c r="P6287" t="s">
        <v>55</v>
      </c>
      <c r="R6287" t="s">
        <v>56</v>
      </c>
      <c r="T6287" t="s">
        <v>11280</v>
      </c>
      <c r="U6287" t="s">
        <v>58</v>
      </c>
      <c r="V6287">
        <v>1</v>
      </c>
      <c r="W6287">
        <v>1</v>
      </c>
      <c r="X6287">
        <v>1</v>
      </c>
      <c r="Y6287">
        <v>0</v>
      </c>
      <c r="Z6287">
        <v>1</v>
      </c>
      <c r="AA6287">
        <v>167.07</v>
      </c>
      <c r="AB6287">
        <v>167.07</v>
      </c>
      <c r="AC6287">
        <v>147</v>
      </c>
      <c r="AD6287">
        <v>0</v>
      </c>
      <c r="AE6287">
        <v>20.07</v>
      </c>
      <c r="AF6287">
        <v>0</v>
      </c>
      <c r="AG6287">
        <v>0</v>
      </c>
      <c r="AH6287">
        <v>0</v>
      </c>
      <c r="AI6287">
        <v>0</v>
      </c>
      <c r="AJ6287">
        <v>167.07</v>
      </c>
      <c r="AK6287">
        <v>0</v>
      </c>
      <c r="AL6287" t="s">
        <v>53</v>
      </c>
      <c r="AM6287" t="s">
        <v>53</v>
      </c>
      <c r="AN6287" t="s">
        <v>53</v>
      </c>
      <c r="AO6287" t="s">
        <v>53</v>
      </c>
      <c r="AP6287" t="s">
        <v>53</v>
      </c>
    </row>
    <row r="6288" spans="2:42" x14ac:dyDescent="0.2">
      <c r="B6288" t="s">
        <v>44</v>
      </c>
      <c r="C6288" t="str">
        <f>HYPERLINK("https://us2.cloudbeds.com/connect/8493803454333002#/reservations/9080486846656504?display=31JDKFHT08&amp;reservation_id=9080486846656504", "31JDKFHT08")</f>
        <v>31JDKFHT08</v>
      </c>
      <c r="D6288" t="s">
        <v>45</v>
      </c>
      <c r="E6288" t="s">
        <v>305</v>
      </c>
      <c r="F6288" t="s">
        <v>61</v>
      </c>
      <c r="G6288" t="s">
        <v>48</v>
      </c>
      <c r="H6288" t="s">
        <v>49</v>
      </c>
      <c r="I6288" t="s">
        <v>50</v>
      </c>
      <c r="J6288" t="s">
        <v>9692</v>
      </c>
      <c r="K6288" t="s">
        <v>9829</v>
      </c>
      <c r="L6288" t="s">
        <v>53</v>
      </c>
      <c r="N6288" t="s">
        <v>11281</v>
      </c>
      <c r="P6288" t="s">
        <v>55</v>
      </c>
      <c r="R6288" t="s">
        <v>53</v>
      </c>
      <c r="T6288" t="s">
        <v>11282</v>
      </c>
      <c r="U6288" t="s">
        <v>58</v>
      </c>
      <c r="V6288">
        <v>2</v>
      </c>
      <c r="W6288">
        <v>1</v>
      </c>
      <c r="X6288">
        <v>2</v>
      </c>
      <c r="Y6288">
        <v>0</v>
      </c>
      <c r="Z6288">
        <v>2</v>
      </c>
      <c r="AA6288">
        <v>326.39999999999998</v>
      </c>
      <c r="AB6288">
        <v>326.39999999999998</v>
      </c>
      <c r="AC6288">
        <v>287.2</v>
      </c>
      <c r="AD6288">
        <v>0</v>
      </c>
      <c r="AE6288">
        <v>39.200000000000003</v>
      </c>
      <c r="AF6288">
        <v>0</v>
      </c>
      <c r="AG6288">
        <v>0</v>
      </c>
      <c r="AH6288">
        <v>0</v>
      </c>
      <c r="AI6288">
        <v>58.75</v>
      </c>
      <c r="AJ6288">
        <v>326.39999999999998</v>
      </c>
      <c r="AK6288">
        <v>0</v>
      </c>
      <c r="AL6288" t="s">
        <v>53</v>
      </c>
      <c r="AM6288" t="s">
        <v>53</v>
      </c>
      <c r="AN6288" t="s">
        <v>53</v>
      </c>
      <c r="AO6288" t="s">
        <v>53</v>
      </c>
      <c r="AP6288" t="s">
        <v>53</v>
      </c>
    </row>
    <row r="6289" spans="2:42" x14ac:dyDescent="0.2">
      <c r="B6289" t="s">
        <v>44</v>
      </c>
      <c r="C6289" t="str">
        <f>HYPERLINK("https://us2.cloudbeds.com/connect/8493803454333002#/reservations/9080486846658108?display=31KU9KNKYF&amp;reservation_id=9080486846658108", "31KU9KNKYF")</f>
        <v>31KU9KNKYF</v>
      </c>
      <c r="D6289" t="s">
        <v>45</v>
      </c>
      <c r="E6289" t="s">
        <v>487</v>
      </c>
      <c r="F6289" t="s">
        <v>61</v>
      </c>
      <c r="G6289" t="s">
        <v>48</v>
      </c>
      <c r="H6289" t="s">
        <v>49</v>
      </c>
      <c r="I6289" t="s">
        <v>50</v>
      </c>
      <c r="J6289" t="s">
        <v>5744</v>
      </c>
      <c r="K6289" t="s">
        <v>9610</v>
      </c>
      <c r="L6289" t="s">
        <v>53</v>
      </c>
      <c r="N6289" t="s">
        <v>11283</v>
      </c>
      <c r="P6289" t="s">
        <v>55</v>
      </c>
      <c r="R6289" t="s">
        <v>53</v>
      </c>
      <c r="T6289" t="s">
        <v>11284</v>
      </c>
      <c r="U6289" t="s">
        <v>58</v>
      </c>
      <c r="V6289">
        <v>2</v>
      </c>
      <c r="W6289">
        <v>1</v>
      </c>
      <c r="X6289">
        <v>2</v>
      </c>
      <c r="Y6289">
        <v>0</v>
      </c>
      <c r="Z6289">
        <v>2</v>
      </c>
      <c r="AA6289">
        <v>341.19</v>
      </c>
      <c r="AB6289">
        <v>341.19</v>
      </c>
      <c r="AC6289">
        <v>300.2</v>
      </c>
      <c r="AD6289">
        <v>0</v>
      </c>
      <c r="AE6289">
        <v>40.99</v>
      </c>
      <c r="AF6289">
        <v>0</v>
      </c>
      <c r="AG6289">
        <v>0</v>
      </c>
      <c r="AH6289">
        <v>0</v>
      </c>
      <c r="AI6289">
        <v>61.41</v>
      </c>
      <c r="AJ6289">
        <v>341.19</v>
      </c>
      <c r="AK6289">
        <v>0</v>
      </c>
      <c r="AL6289" t="s">
        <v>53</v>
      </c>
      <c r="AM6289" t="s">
        <v>53</v>
      </c>
      <c r="AN6289" t="s">
        <v>53</v>
      </c>
      <c r="AO6289" t="s">
        <v>53</v>
      </c>
      <c r="AP6289" t="s">
        <v>53</v>
      </c>
    </row>
    <row r="6290" spans="2:42" x14ac:dyDescent="0.2">
      <c r="B6290" t="s">
        <v>44</v>
      </c>
      <c r="C6290" t="str">
        <f>HYPERLINK("https://us2.cloudbeds.com/connect/8493803454333002#/reservations/141563817918594?display=31YYYM0SXQ&amp;reservation_id=141563817918594", "31YYYM0SXQ")</f>
        <v>31YYYM0SXQ</v>
      </c>
      <c r="D6290" t="s">
        <v>45</v>
      </c>
      <c r="E6290" t="s">
        <v>373</v>
      </c>
      <c r="F6290" t="s">
        <v>47</v>
      </c>
      <c r="G6290" t="s">
        <v>48</v>
      </c>
      <c r="H6290" t="s">
        <v>3957</v>
      </c>
      <c r="I6290" t="s">
        <v>3975</v>
      </c>
      <c r="J6290" t="s">
        <v>7325</v>
      </c>
      <c r="K6290" t="s">
        <v>9829</v>
      </c>
      <c r="L6290" t="s">
        <v>53</v>
      </c>
      <c r="P6290" t="s">
        <v>55</v>
      </c>
      <c r="R6290" t="s">
        <v>56</v>
      </c>
      <c r="T6290" t="s">
        <v>11285</v>
      </c>
      <c r="U6290" t="s">
        <v>58</v>
      </c>
      <c r="V6290">
        <v>1</v>
      </c>
      <c r="W6290">
        <v>1</v>
      </c>
      <c r="X6290">
        <v>1</v>
      </c>
      <c r="Y6290">
        <v>0</v>
      </c>
      <c r="Z6290">
        <v>1</v>
      </c>
      <c r="AA6290">
        <v>167.07</v>
      </c>
      <c r="AB6290">
        <v>167.07</v>
      </c>
      <c r="AC6290">
        <v>147</v>
      </c>
      <c r="AD6290">
        <v>0</v>
      </c>
      <c r="AE6290">
        <v>20.07</v>
      </c>
      <c r="AF6290">
        <v>0</v>
      </c>
      <c r="AG6290">
        <v>0</v>
      </c>
      <c r="AH6290">
        <v>0</v>
      </c>
      <c r="AI6290">
        <v>0</v>
      </c>
      <c r="AJ6290">
        <v>167.07</v>
      </c>
      <c r="AK6290">
        <v>0</v>
      </c>
      <c r="AL6290" t="s">
        <v>53</v>
      </c>
      <c r="AM6290" t="s">
        <v>53</v>
      </c>
      <c r="AN6290" t="s">
        <v>53</v>
      </c>
      <c r="AO6290" t="s">
        <v>53</v>
      </c>
      <c r="AP6290" t="s">
        <v>53</v>
      </c>
    </row>
    <row r="6291" spans="2:42" x14ac:dyDescent="0.2">
      <c r="B6291" t="s">
        <v>44</v>
      </c>
      <c r="C6291" t="str">
        <f>HYPERLINK("https://us2.cloudbeds.com/connect/8493803454333002#/reservations/141597590278336?display=31MEQKPEP9&amp;reservation_id=141597590278336", "31MEQKPEP9")</f>
        <v>31MEQKPEP9</v>
      </c>
      <c r="D6291" t="s">
        <v>45</v>
      </c>
      <c r="E6291" t="s">
        <v>373</v>
      </c>
      <c r="F6291" t="s">
        <v>47</v>
      </c>
      <c r="G6291" t="s">
        <v>48</v>
      </c>
      <c r="H6291" t="s">
        <v>3957</v>
      </c>
      <c r="I6291" t="s">
        <v>3975</v>
      </c>
      <c r="J6291" t="s">
        <v>6992</v>
      </c>
      <c r="K6291" t="s">
        <v>6829</v>
      </c>
      <c r="L6291" t="s">
        <v>53</v>
      </c>
      <c r="P6291" t="s">
        <v>55</v>
      </c>
      <c r="R6291" t="s">
        <v>56</v>
      </c>
      <c r="T6291" t="s">
        <v>11286</v>
      </c>
      <c r="U6291" t="s">
        <v>58</v>
      </c>
      <c r="V6291">
        <v>1</v>
      </c>
      <c r="W6291">
        <v>1</v>
      </c>
      <c r="X6291">
        <v>1</v>
      </c>
      <c r="Y6291">
        <v>0</v>
      </c>
      <c r="Z6291">
        <v>1</v>
      </c>
      <c r="AA6291">
        <v>203.44</v>
      </c>
      <c r="AB6291">
        <v>203.44</v>
      </c>
      <c r="AC6291">
        <v>179</v>
      </c>
      <c r="AD6291">
        <v>0</v>
      </c>
      <c r="AE6291">
        <v>24.44</v>
      </c>
      <c r="AF6291">
        <v>0</v>
      </c>
      <c r="AG6291">
        <v>0</v>
      </c>
      <c r="AH6291">
        <v>0</v>
      </c>
      <c r="AI6291">
        <v>0</v>
      </c>
      <c r="AJ6291">
        <v>203.44</v>
      </c>
      <c r="AK6291">
        <v>0</v>
      </c>
      <c r="AL6291" t="s">
        <v>53</v>
      </c>
      <c r="AM6291" t="s">
        <v>53</v>
      </c>
      <c r="AN6291" t="s">
        <v>53</v>
      </c>
      <c r="AO6291" t="s">
        <v>53</v>
      </c>
      <c r="AP6291" t="s">
        <v>53</v>
      </c>
    </row>
    <row r="6292" spans="2:42" x14ac:dyDescent="0.2">
      <c r="B6292" t="s">
        <v>44</v>
      </c>
      <c r="C6292" t="str">
        <f>HYPERLINK("https://us2.cloudbeds.com/connect/8493803454333002#/reservations/9080486846659379?display=31MN4BGCY4&amp;reservation_id=9080486846659379", "31MN4BGCY4")</f>
        <v>31MN4BGCY4</v>
      </c>
      <c r="D6292" t="s">
        <v>45</v>
      </c>
      <c r="E6292" t="s">
        <v>155</v>
      </c>
      <c r="F6292" t="s">
        <v>86</v>
      </c>
      <c r="G6292" t="s">
        <v>48</v>
      </c>
      <c r="H6292" t="s">
        <v>49</v>
      </c>
      <c r="I6292" t="s">
        <v>50</v>
      </c>
      <c r="J6292" t="s">
        <v>7294</v>
      </c>
      <c r="K6292" t="s">
        <v>5743</v>
      </c>
      <c r="L6292" t="s">
        <v>53</v>
      </c>
      <c r="N6292" t="s">
        <v>11287</v>
      </c>
      <c r="P6292" t="s">
        <v>55</v>
      </c>
      <c r="R6292" t="s">
        <v>53</v>
      </c>
      <c r="T6292" t="s">
        <v>11288</v>
      </c>
      <c r="U6292" t="s">
        <v>58</v>
      </c>
      <c r="V6292">
        <v>1</v>
      </c>
      <c r="W6292">
        <v>1</v>
      </c>
      <c r="X6292">
        <v>2</v>
      </c>
      <c r="Y6292">
        <v>0</v>
      </c>
      <c r="Z6292">
        <v>2</v>
      </c>
      <c r="AA6292">
        <v>175.28</v>
      </c>
      <c r="AB6292">
        <v>175.28</v>
      </c>
      <c r="AC6292">
        <v>154.22999999999999</v>
      </c>
      <c r="AD6292">
        <v>0</v>
      </c>
      <c r="AE6292">
        <v>21.05</v>
      </c>
      <c r="AF6292">
        <v>0</v>
      </c>
      <c r="AG6292">
        <v>0</v>
      </c>
      <c r="AH6292">
        <v>0</v>
      </c>
      <c r="AI6292">
        <v>31.55</v>
      </c>
      <c r="AJ6292">
        <v>175.28</v>
      </c>
      <c r="AK6292">
        <v>0</v>
      </c>
      <c r="AL6292" t="s">
        <v>53</v>
      </c>
      <c r="AM6292" t="s">
        <v>53</v>
      </c>
      <c r="AN6292" t="s">
        <v>53</v>
      </c>
      <c r="AO6292" t="s">
        <v>53</v>
      </c>
      <c r="AP6292" t="s">
        <v>53</v>
      </c>
    </row>
    <row r="6293" spans="2:42" x14ac:dyDescent="0.2">
      <c r="B6293" t="s">
        <v>44</v>
      </c>
      <c r="C6293" t="str">
        <f>HYPERLINK("https://us2.cloudbeds.com/connect/8493803454333002#/reservations/9080486846659380?display=31MN51YRA5&amp;reservation_id=9080486846659380", "31MN51YRA5")</f>
        <v>31MN51YRA5</v>
      </c>
      <c r="D6293" t="s">
        <v>45</v>
      </c>
      <c r="E6293" t="s">
        <v>213</v>
      </c>
      <c r="F6293" t="s">
        <v>86</v>
      </c>
      <c r="G6293" t="s">
        <v>48</v>
      </c>
      <c r="H6293" t="s">
        <v>49</v>
      </c>
      <c r="I6293" t="s">
        <v>50</v>
      </c>
      <c r="J6293" t="s">
        <v>7294</v>
      </c>
      <c r="K6293" t="s">
        <v>5743</v>
      </c>
      <c r="L6293" t="s">
        <v>53</v>
      </c>
      <c r="N6293" t="s">
        <v>11289</v>
      </c>
      <c r="P6293" t="s">
        <v>55</v>
      </c>
      <c r="R6293" t="s">
        <v>53</v>
      </c>
      <c r="T6293" t="s">
        <v>11290</v>
      </c>
      <c r="U6293" t="s">
        <v>58</v>
      </c>
      <c r="V6293">
        <v>1</v>
      </c>
      <c r="W6293">
        <v>1</v>
      </c>
      <c r="X6293">
        <v>2</v>
      </c>
      <c r="Y6293">
        <v>0</v>
      </c>
      <c r="Z6293">
        <v>2</v>
      </c>
      <c r="AA6293">
        <v>175.28</v>
      </c>
      <c r="AB6293">
        <v>175.28</v>
      </c>
      <c r="AC6293">
        <v>154.22999999999999</v>
      </c>
      <c r="AD6293">
        <v>0</v>
      </c>
      <c r="AE6293">
        <v>21.05</v>
      </c>
      <c r="AF6293">
        <v>0</v>
      </c>
      <c r="AG6293">
        <v>0</v>
      </c>
      <c r="AH6293">
        <v>0</v>
      </c>
      <c r="AI6293">
        <v>31.55</v>
      </c>
      <c r="AJ6293">
        <v>175.28</v>
      </c>
      <c r="AK6293">
        <v>0</v>
      </c>
      <c r="AL6293" t="s">
        <v>53</v>
      </c>
      <c r="AM6293" t="s">
        <v>53</v>
      </c>
      <c r="AN6293" t="s">
        <v>53</v>
      </c>
      <c r="AO6293" t="s">
        <v>53</v>
      </c>
      <c r="AP6293" t="s">
        <v>53</v>
      </c>
    </row>
    <row r="6294" spans="2:42" x14ac:dyDescent="0.2">
      <c r="B6294" t="s">
        <v>44</v>
      </c>
      <c r="C6294" t="str">
        <f>HYPERLINK("https://us2.cloudbeds.com/connect/8493803454333002#/reservations/9080486846659579?display=31MWUUXKN0&amp;reservation_id=9080486846659579", "31MWUUXKN0")</f>
        <v>31MWUUXKN0</v>
      </c>
      <c r="D6294" t="s">
        <v>45</v>
      </c>
      <c r="E6294" t="s">
        <v>98</v>
      </c>
      <c r="F6294" t="s">
        <v>86</v>
      </c>
      <c r="G6294" t="s">
        <v>48</v>
      </c>
      <c r="H6294" t="s">
        <v>49</v>
      </c>
      <c r="I6294" t="s">
        <v>50</v>
      </c>
      <c r="J6294" t="s">
        <v>10121</v>
      </c>
      <c r="K6294" t="s">
        <v>8616</v>
      </c>
      <c r="L6294" t="s">
        <v>53</v>
      </c>
      <c r="N6294" t="s">
        <v>11291</v>
      </c>
      <c r="P6294" t="s">
        <v>55</v>
      </c>
      <c r="R6294" t="s">
        <v>53</v>
      </c>
      <c r="T6294" t="s">
        <v>11292</v>
      </c>
      <c r="U6294" t="s">
        <v>58</v>
      </c>
      <c r="V6294">
        <v>1</v>
      </c>
      <c r="W6294">
        <v>1</v>
      </c>
      <c r="X6294">
        <v>2</v>
      </c>
      <c r="Y6294">
        <v>0</v>
      </c>
      <c r="Z6294">
        <v>2</v>
      </c>
      <c r="AA6294">
        <v>206.61</v>
      </c>
      <c r="AB6294">
        <v>206.61</v>
      </c>
      <c r="AC6294">
        <v>181.8</v>
      </c>
      <c r="AD6294">
        <v>0</v>
      </c>
      <c r="AE6294">
        <v>24.81</v>
      </c>
      <c r="AF6294">
        <v>0</v>
      </c>
      <c r="AG6294">
        <v>0</v>
      </c>
      <c r="AH6294">
        <v>0</v>
      </c>
      <c r="AI6294">
        <v>37.19</v>
      </c>
      <c r="AJ6294">
        <v>206.61</v>
      </c>
      <c r="AK6294">
        <v>0</v>
      </c>
      <c r="AL6294" t="s">
        <v>53</v>
      </c>
      <c r="AM6294" t="s">
        <v>53</v>
      </c>
      <c r="AN6294" t="s">
        <v>53</v>
      </c>
      <c r="AO6294" t="s">
        <v>53</v>
      </c>
      <c r="AP6294" t="s">
        <v>53</v>
      </c>
    </row>
    <row r="6295" spans="2:42" x14ac:dyDescent="0.2">
      <c r="B6295" t="s">
        <v>44</v>
      </c>
      <c r="C6295" t="str">
        <f>HYPERLINK("https://us2.cloudbeds.com/connect/8493803454333002#/reservations/9080486846659788?display=31NA0R9VT2&amp;reservation_id=9080486846659788", "31NA0R9VT2")</f>
        <v>31NA0R9VT2</v>
      </c>
      <c r="D6295" t="s">
        <v>45</v>
      </c>
      <c r="E6295" t="s">
        <v>105</v>
      </c>
      <c r="F6295" t="s">
        <v>47</v>
      </c>
      <c r="G6295" t="s">
        <v>48</v>
      </c>
      <c r="H6295" t="s">
        <v>49</v>
      </c>
      <c r="I6295" t="s">
        <v>50</v>
      </c>
      <c r="J6295" t="s">
        <v>7439</v>
      </c>
      <c r="K6295" t="s">
        <v>8021</v>
      </c>
      <c r="L6295" t="s">
        <v>53</v>
      </c>
      <c r="N6295" t="s">
        <v>11293</v>
      </c>
      <c r="P6295" t="s">
        <v>55</v>
      </c>
      <c r="R6295" t="s">
        <v>53</v>
      </c>
      <c r="T6295" t="s">
        <v>11294</v>
      </c>
      <c r="U6295" t="s">
        <v>58</v>
      </c>
      <c r="V6295">
        <v>2</v>
      </c>
      <c r="W6295">
        <v>1</v>
      </c>
      <c r="X6295">
        <v>2</v>
      </c>
      <c r="Y6295">
        <v>0</v>
      </c>
      <c r="Z6295">
        <v>2</v>
      </c>
      <c r="AA6295">
        <v>325.64</v>
      </c>
      <c r="AB6295">
        <v>325.64</v>
      </c>
      <c r="AC6295">
        <v>286.52</v>
      </c>
      <c r="AD6295">
        <v>0</v>
      </c>
      <c r="AE6295">
        <v>39.119999999999997</v>
      </c>
      <c r="AF6295">
        <v>0</v>
      </c>
      <c r="AG6295">
        <v>0</v>
      </c>
      <c r="AH6295">
        <v>0</v>
      </c>
      <c r="AI6295">
        <v>58.62</v>
      </c>
      <c r="AJ6295">
        <v>325.64</v>
      </c>
      <c r="AK6295">
        <v>0</v>
      </c>
      <c r="AL6295" t="s">
        <v>53</v>
      </c>
      <c r="AM6295" t="s">
        <v>53</v>
      </c>
      <c r="AN6295" t="s">
        <v>53</v>
      </c>
      <c r="AO6295" t="s">
        <v>53</v>
      </c>
      <c r="AP6295" t="s">
        <v>53</v>
      </c>
    </row>
    <row r="6296" spans="2:42" x14ac:dyDescent="0.2">
      <c r="B6296" t="s">
        <v>44</v>
      </c>
      <c r="C6296" t="str">
        <f>HYPERLINK("https://us2.cloudbeds.com/connect/8493803454333002#/reservations/9080486846659863?display=31NCGCEGCY&amp;reservation_id=9080486846659863", "31NCGCEGCY")</f>
        <v>31NCGCEGCY</v>
      </c>
      <c r="D6296" t="s">
        <v>45</v>
      </c>
      <c r="E6296" t="s">
        <v>138</v>
      </c>
      <c r="F6296" t="s">
        <v>70</v>
      </c>
      <c r="G6296" t="s">
        <v>48</v>
      </c>
      <c r="H6296" t="s">
        <v>49</v>
      </c>
      <c r="I6296" t="s">
        <v>62</v>
      </c>
      <c r="J6296" t="s">
        <v>11295</v>
      </c>
      <c r="K6296" t="s">
        <v>11296</v>
      </c>
      <c r="L6296" t="s">
        <v>53</v>
      </c>
      <c r="N6296" t="s">
        <v>11297</v>
      </c>
      <c r="P6296" t="s">
        <v>55</v>
      </c>
      <c r="R6296" t="s">
        <v>56</v>
      </c>
      <c r="T6296" t="s">
        <v>11298</v>
      </c>
      <c r="U6296" t="s">
        <v>55</v>
      </c>
      <c r="V6296">
        <v>4</v>
      </c>
      <c r="W6296">
        <v>1</v>
      </c>
      <c r="X6296">
        <v>2</v>
      </c>
      <c r="Y6296">
        <v>0</v>
      </c>
      <c r="Z6296">
        <v>2</v>
      </c>
      <c r="AA6296">
        <v>294</v>
      </c>
      <c r="AB6296">
        <v>294</v>
      </c>
      <c r="AC6296">
        <v>294</v>
      </c>
      <c r="AD6296">
        <v>0</v>
      </c>
      <c r="AE6296">
        <v>0</v>
      </c>
      <c r="AF6296">
        <v>0</v>
      </c>
      <c r="AG6296">
        <v>0</v>
      </c>
      <c r="AH6296">
        <v>0</v>
      </c>
      <c r="AI6296">
        <v>52.92</v>
      </c>
      <c r="AJ6296">
        <v>294</v>
      </c>
      <c r="AK6296">
        <v>0</v>
      </c>
      <c r="AL6296" t="s">
        <v>53</v>
      </c>
      <c r="AM6296" t="s">
        <v>53</v>
      </c>
      <c r="AN6296" t="s">
        <v>53</v>
      </c>
      <c r="AO6296" t="s">
        <v>53</v>
      </c>
      <c r="AP6296" t="s">
        <v>53</v>
      </c>
    </row>
    <row r="6297" spans="2:42" x14ac:dyDescent="0.2">
      <c r="B6297" t="s">
        <v>44</v>
      </c>
      <c r="C6297" t="str">
        <f>HYPERLINK("https://us2.cloudbeds.com/connect/8493803454333002#/reservations/141635692921019?display=31NBA7UP2A&amp;reservation_id=141635692921019", "31NBA7UP2A")</f>
        <v>31NBA7UP2A</v>
      </c>
      <c r="D6297" t="s">
        <v>45</v>
      </c>
      <c r="E6297" t="s">
        <v>155</v>
      </c>
      <c r="F6297" t="s">
        <v>86</v>
      </c>
      <c r="G6297" t="s">
        <v>48</v>
      </c>
      <c r="H6297" t="s">
        <v>3957</v>
      </c>
      <c r="I6297" t="s">
        <v>3975</v>
      </c>
      <c r="J6297" t="s">
        <v>7325</v>
      </c>
      <c r="K6297" t="s">
        <v>9829</v>
      </c>
      <c r="L6297" t="s">
        <v>53</v>
      </c>
      <c r="P6297" t="s">
        <v>55</v>
      </c>
      <c r="R6297" t="s">
        <v>56</v>
      </c>
      <c r="T6297" t="s">
        <v>11299</v>
      </c>
      <c r="U6297" t="s">
        <v>58</v>
      </c>
      <c r="V6297">
        <v>1</v>
      </c>
      <c r="W6297">
        <v>1</v>
      </c>
      <c r="X6297">
        <v>1</v>
      </c>
      <c r="Y6297">
        <v>0</v>
      </c>
      <c r="Z6297">
        <v>1</v>
      </c>
      <c r="AA6297">
        <v>175.03</v>
      </c>
      <c r="AB6297">
        <v>175.03</v>
      </c>
      <c r="AC6297">
        <v>154</v>
      </c>
      <c r="AD6297">
        <v>0</v>
      </c>
      <c r="AE6297">
        <v>21.03</v>
      </c>
      <c r="AF6297">
        <v>0</v>
      </c>
      <c r="AG6297">
        <v>0</v>
      </c>
      <c r="AH6297">
        <v>0</v>
      </c>
      <c r="AI6297">
        <v>0</v>
      </c>
      <c r="AJ6297">
        <v>175.03</v>
      </c>
      <c r="AK6297">
        <v>0</v>
      </c>
      <c r="AL6297" t="s">
        <v>53</v>
      </c>
      <c r="AM6297" t="s">
        <v>53</v>
      </c>
      <c r="AN6297" t="s">
        <v>53</v>
      </c>
      <c r="AO6297" t="s">
        <v>53</v>
      </c>
      <c r="AP6297" t="s">
        <v>53</v>
      </c>
    </row>
    <row r="6298" spans="2:42" x14ac:dyDescent="0.2">
      <c r="B6298" t="s">
        <v>44</v>
      </c>
      <c r="C6298" t="str">
        <f>HYPERLINK("https://us2.cloudbeds.com/connect/8493803454333002#/reservations/9080486846662807?display=31RAGEDZ8Q&amp;reservation_id=9080486846662807", "31RAGEDZ8Q")</f>
        <v>31RAGEDZ8Q</v>
      </c>
      <c r="D6298" t="s">
        <v>45</v>
      </c>
      <c r="E6298" t="s">
        <v>105</v>
      </c>
      <c r="F6298" t="s">
        <v>47</v>
      </c>
      <c r="G6298" t="s">
        <v>48</v>
      </c>
      <c r="H6298" t="s">
        <v>49</v>
      </c>
      <c r="I6298" t="s">
        <v>62</v>
      </c>
      <c r="J6298" t="s">
        <v>9725</v>
      </c>
      <c r="K6298" t="s">
        <v>9610</v>
      </c>
      <c r="L6298" t="s">
        <v>53</v>
      </c>
      <c r="N6298" t="s">
        <v>11300</v>
      </c>
      <c r="P6298" t="s">
        <v>55</v>
      </c>
      <c r="R6298" t="s">
        <v>56</v>
      </c>
      <c r="T6298" t="s">
        <v>11301</v>
      </c>
      <c r="U6298" t="s">
        <v>55</v>
      </c>
      <c r="V6298">
        <v>1</v>
      </c>
      <c r="W6298">
        <v>1</v>
      </c>
      <c r="X6298">
        <v>1</v>
      </c>
      <c r="Y6298">
        <v>0</v>
      </c>
      <c r="Z6298">
        <v>1</v>
      </c>
      <c r="AA6298">
        <v>140.6</v>
      </c>
      <c r="AB6298">
        <v>287.85000000000002</v>
      </c>
      <c r="AC6298">
        <v>140.6</v>
      </c>
      <c r="AD6298">
        <v>0</v>
      </c>
      <c r="AE6298">
        <v>0</v>
      </c>
      <c r="AF6298">
        <v>0</v>
      </c>
      <c r="AG6298">
        <v>0</v>
      </c>
      <c r="AH6298">
        <v>0</v>
      </c>
      <c r="AI6298">
        <v>25.31</v>
      </c>
      <c r="AJ6298">
        <v>140.6</v>
      </c>
      <c r="AK6298">
        <v>0</v>
      </c>
      <c r="AL6298" t="s">
        <v>53</v>
      </c>
      <c r="AM6298" t="s">
        <v>53</v>
      </c>
      <c r="AN6298" t="s">
        <v>53</v>
      </c>
      <c r="AO6298" t="s">
        <v>53</v>
      </c>
      <c r="AP6298" t="s">
        <v>53</v>
      </c>
    </row>
    <row r="6299" spans="2:42" x14ac:dyDescent="0.2">
      <c r="B6299" t="s">
        <v>44</v>
      </c>
      <c r="C6299" t="str">
        <f>HYPERLINK("https://us2.cloudbeds.com/connect/8493803454333002#/reservations/9080486846663516?display=31S0Y9E4RD&amp;reservation_id=9080486846663516", "31S0Y9E4RD")</f>
        <v>31S0Y9E4RD</v>
      </c>
      <c r="D6299" t="s">
        <v>45</v>
      </c>
      <c r="E6299" t="s">
        <v>213</v>
      </c>
      <c r="F6299" t="s">
        <v>86</v>
      </c>
      <c r="G6299" t="s">
        <v>48</v>
      </c>
      <c r="H6299" t="s">
        <v>49</v>
      </c>
      <c r="I6299" t="s">
        <v>50</v>
      </c>
      <c r="J6299" t="s">
        <v>9928</v>
      </c>
      <c r="K6299" t="s">
        <v>6344</v>
      </c>
      <c r="L6299" t="s">
        <v>53</v>
      </c>
      <c r="N6299" t="s">
        <v>11302</v>
      </c>
      <c r="P6299" t="s">
        <v>55</v>
      </c>
      <c r="R6299" t="s">
        <v>53</v>
      </c>
      <c r="T6299" t="s">
        <v>11303</v>
      </c>
      <c r="U6299" t="s">
        <v>58</v>
      </c>
      <c r="V6299">
        <v>3</v>
      </c>
      <c r="W6299">
        <v>1</v>
      </c>
      <c r="X6299">
        <v>2</v>
      </c>
      <c r="Y6299">
        <v>0</v>
      </c>
      <c r="Z6299">
        <v>2</v>
      </c>
      <c r="AA6299">
        <v>516.67999999999995</v>
      </c>
      <c r="AB6299">
        <v>516.67999999999995</v>
      </c>
      <c r="AC6299">
        <v>454.63</v>
      </c>
      <c r="AD6299">
        <v>0</v>
      </c>
      <c r="AE6299">
        <v>62.05</v>
      </c>
      <c r="AF6299">
        <v>0</v>
      </c>
      <c r="AG6299">
        <v>0</v>
      </c>
      <c r="AH6299">
        <v>0</v>
      </c>
      <c r="AI6299">
        <v>93</v>
      </c>
      <c r="AJ6299">
        <v>516.67999999999995</v>
      </c>
      <c r="AK6299">
        <v>0</v>
      </c>
      <c r="AL6299" t="s">
        <v>53</v>
      </c>
      <c r="AM6299" t="s">
        <v>53</v>
      </c>
      <c r="AN6299" t="s">
        <v>53</v>
      </c>
      <c r="AO6299" t="s">
        <v>53</v>
      </c>
      <c r="AP6299" t="s">
        <v>53</v>
      </c>
    </row>
    <row r="6300" spans="2:42" x14ac:dyDescent="0.2">
      <c r="B6300" t="s">
        <v>44</v>
      </c>
      <c r="C6300" t="str">
        <f>HYPERLINK("https://us2.cloudbeds.com/connect/8493803454333002#/reservations/141842629316755?display=31S6HV60J3&amp;reservation_id=141842629316755", "31S6HV60J3")</f>
        <v>31S6HV60J3</v>
      </c>
      <c r="D6300" t="s">
        <v>45</v>
      </c>
      <c r="E6300" t="s">
        <v>69</v>
      </c>
      <c r="F6300" t="s">
        <v>70</v>
      </c>
      <c r="G6300" t="s">
        <v>48</v>
      </c>
      <c r="H6300" t="s">
        <v>3957</v>
      </c>
      <c r="I6300" t="s">
        <v>3958</v>
      </c>
      <c r="J6300" t="s">
        <v>7492</v>
      </c>
      <c r="K6300" t="s">
        <v>7493</v>
      </c>
      <c r="L6300" t="s">
        <v>53</v>
      </c>
      <c r="P6300" t="s">
        <v>55</v>
      </c>
      <c r="R6300" t="s">
        <v>56</v>
      </c>
      <c r="T6300" t="s">
        <v>11304</v>
      </c>
      <c r="U6300" t="s">
        <v>58</v>
      </c>
      <c r="V6300">
        <v>1</v>
      </c>
      <c r="W6300">
        <v>1</v>
      </c>
      <c r="X6300">
        <v>1</v>
      </c>
      <c r="Y6300">
        <v>0</v>
      </c>
      <c r="Z6300">
        <v>1</v>
      </c>
      <c r="AA6300">
        <v>136.38</v>
      </c>
      <c r="AB6300">
        <v>136.38</v>
      </c>
      <c r="AC6300">
        <v>120</v>
      </c>
      <c r="AD6300">
        <v>0</v>
      </c>
      <c r="AE6300">
        <v>16.38</v>
      </c>
      <c r="AF6300">
        <v>0</v>
      </c>
      <c r="AG6300">
        <v>0</v>
      </c>
      <c r="AH6300">
        <v>0</v>
      </c>
      <c r="AI6300">
        <v>0</v>
      </c>
      <c r="AJ6300">
        <v>136.38</v>
      </c>
      <c r="AK6300">
        <v>0</v>
      </c>
      <c r="AL6300" t="s">
        <v>53</v>
      </c>
      <c r="AM6300" t="s">
        <v>53</v>
      </c>
      <c r="AN6300" t="s">
        <v>53</v>
      </c>
      <c r="AO6300" t="s">
        <v>53</v>
      </c>
      <c r="AP6300" t="s">
        <v>53</v>
      </c>
    </row>
    <row r="6301" spans="2:42" x14ac:dyDescent="0.2">
      <c r="B6301" t="s">
        <v>44</v>
      </c>
      <c r="C6301" t="str">
        <f>HYPERLINK("https://us2.cloudbeds.com/connect/8493803454333002#/reservations/9080486846664124?display=31SJFK3F6Z&amp;reservation_id=9080486846664124", "31SJFK3F6Z")</f>
        <v>31SJFK3F6Z</v>
      </c>
      <c r="D6301" t="s">
        <v>45</v>
      </c>
      <c r="E6301" t="s">
        <v>381</v>
      </c>
      <c r="F6301" t="s">
        <v>47</v>
      </c>
      <c r="G6301" t="s">
        <v>48</v>
      </c>
      <c r="H6301" t="s">
        <v>49</v>
      </c>
      <c r="I6301" t="s">
        <v>62</v>
      </c>
      <c r="J6301" t="s">
        <v>7325</v>
      </c>
      <c r="K6301" t="s">
        <v>9829</v>
      </c>
      <c r="L6301" t="s">
        <v>53</v>
      </c>
      <c r="N6301" t="s">
        <v>11305</v>
      </c>
      <c r="P6301" t="s">
        <v>55</v>
      </c>
      <c r="R6301" t="s">
        <v>56</v>
      </c>
      <c r="T6301" t="s">
        <v>11306</v>
      </c>
      <c r="U6301" t="s">
        <v>55</v>
      </c>
      <c r="V6301">
        <v>1</v>
      </c>
      <c r="W6301">
        <v>1</v>
      </c>
      <c r="X6301">
        <v>1</v>
      </c>
      <c r="Y6301">
        <v>0</v>
      </c>
      <c r="Z6301">
        <v>1</v>
      </c>
      <c r="AA6301">
        <v>158</v>
      </c>
      <c r="AB6301">
        <v>158</v>
      </c>
      <c r="AC6301">
        <v>158</v>
      </c>
      <c r="AD6301">
        <v>0</v>
      </c>
      <c r="AE6301">
        <v>0</v>
      </c>
      <c r="AF6301">
        <v>0</v>
      </c>
      <c r="AG6301">
        <v>0</v>
      </c>
      <c r="AH6301">
        <v>0</v>
      </c>
      <c r="AI6301">
        <v>28.44</v>
      </c>
      <c r="AJ6301">
        <v>158</v>
      </c>
      <c r="AK6301">
        <v>0</v>
      </c>
      <c r="AL6301" t="s">
        <v>53</v>
      </c>
      <c r="AM6301" t="s">
        <v>53</v>
      </c>
      <c r="AN6301" t="s">
        <v>53</v>
      </c>
      <c r="AO6301" t="s">
        <v>53</v>
      </c>
      <c r="AP6301" t="s">
        <v>53</v>
      </c>
    </row>
    <row r="6302" spans="2:42" x14ac:dyDescent="0.2">
      <c r="B6302" t="s">
        <v>44</v>
      </c>
      <c r="C6302" t="str">
        <f>HYPERLINK("https://us2.cloudbeds.com/connect/8493803454333002#/reservations/141873278238922?display=31SU935F29&amp;reservation_id=141873278238922", "31SU935F29")</f>
        <v>31SU935F29</v>
      </c>
      <c r="D6302" t="s">
        <v>45</v>
      </c>
      <c r="E6302" t="s">
        <v>223</v>
      </c>
      <c r="F6302" t="s">
        <v>47</v>
      </c>
      <c r="G6302" t="s">
        <v>48</v>
      </c>
      <c r="H6302" t="s">
        <v>3957</v>
      </c>
      <c r="I6302" t="s">
        <v>3958</v>
      </c>
      <c r="J6302" t="s">
        <v>7293</v>
      </c>
      <c r="K6302" t="s">
        <v>7294</v>
      </c>
      <c r="L6302" t="s">
        <v>53</v>
      </c>
      <c r="P6302" t="s">
        <v>55</v>
      </c>
      <c r="R6302" t="s">
        <v>56</v>
      </c>
      <c r="T6302" t="s">
        <v>11307</v>
      </c>
      <c r="U6302" t="s">
        <v>58</v>
      </c>
      <c r="V6302">
        <v>1</v>
      </c>
      <c r="W6302">
        <v>1</v>
      </c>
      <c r="X6302">
        <v>1</v>
      </c>
      <c r="Y6302">
        <v>0</v>
      </c>
      <c r="Z6302">
        <v>1</v>
      </c>
      <c r="AA6302">
        <v>209.12</v>
      </c>
      <c r="AB6302">
        <v>418.24</v>
      </c>
      <c r="AC6302">
        <v>184</v>
      </c>
      <c r="AD6302">
        <v>0</v>
      </c>
      <c r="AE6302">
        <v>25.12</v>
      </c>
      <c r="AF6302">
        <v>0</v>
      </c>
      <c r="AG6302">
        <v>0</v>
      </c>
      <c r="AH6302">
        <v>0</v>
      </c>
      <c r="AI6302">
        <v>0</v>
      </c>
      <c r="AJ6302">
        <v>209.12</v>
      </c>
      <c r="AK6302">
        <v>25.12</v>
      </c>
      <c r="AL6302" t="s">
        <v>53</v>
      </c>
      <c r="AM6302" t="s">
        <v>53</v>
      </c>
      <c r="AN6302" t="s">
        <v>11308</v>
      </c>
      <c r="AO6302" t="s">
        <v>53</v>
      </c>
      <c r="AP6302" t="s">
        <v>53</v>
      </c>
    </row>
    <row r="6303" spans="2:42" x14ac:dyDescent="0.2">
      <c r="B6303" t="s">
        <v>44</v>
      </c>
      <c r="C6303" t="str">
        <f>HYPERLINK("https://us2.cloudbeds.com/connect/8493803454333002#/reservations/9080486846664628?display=31T2VATX99&amp;reservation_id=9080486846664628", "31T2VATX99")</f>
        <v>31T2VATX99</v>
      </c>
      <c r="D6303" t="s">
        <v>45</v>
      </c>
      <c r="E6303" t="s">
        <v>185</v>
      </c>
      <c r="F6303" t="s">
        <v>47</v>
      </c>
      <c r="G6303" t="s">
        <v>48</v>
      </c>
      <c r="H6303" t="s">
        <v>49</v>
      </c>
      <c r="I6303" t="s">
        <v>8964</v>
      </c>
      <c r="J6303" t="s">
        <v>11309</v>
      </c>
      <c r="K6303" t="s">
        <v>11310</v>
      </c>
      <c r="L6303" t="s">
        <v>53</v>
      </c>
      <c r="N6303" t="s">
        <v>11311</v>
      </c>
      <c r="P6303" t="s">
        <v>55</v>
      </c>
      <c r="R6303" t="s">
        <v>53</v>
      </c>
      <c r="T6303" t="s">
        <v>11312</v>
      </c>
      <c r="U6303" t="s">
        <v>55</v>
      </c>
      <c r="V6303">
        <v>5</v>
      </c>
      <c r="W6303">
        <v>1</v>
      </c>
      <c r="X6303">
        <v>2</v>
      </c>
      <c r="Y6303">
        <v>0</v>
      </c>
      <c r="Z6303">
        <v>2</v>
      </c>
      <c r="AA6303">
        <v>0</v>
      </c>
      <c r="AB6303">
        <v>0</v>
      </c>
      <c r="AC6303">
        <v>510</v>
      </c>
      <c r="AD6303">
        <v>0</v>
      </c>
      <c r="AE6303">
        <v>0</v>
      </c>
      <c r="AF6303">
        <v>0</v>
      </c>
      <c r="AG6303">
        <v>0</v>
      </c>
      <c r="AH6303">
        <v>0</v>
      </c>
      <c r="AI6303">
        <v>76.5</v>
      </c>
      <c r="AJ6303">
        <v>510</v>
      </c>
      <c r="AK6303">
        <v>510</v>
      </c>
      <c r="AL6303" t="s">
        <v>53</v>
      </c>
      <c r="AM6303" t="s">
        <v>53</v>
      </c>
      <c r="AN6303" t="s">
        <v>53</v>
      </c>
      <c r="AO6303" t="s">
        <v>53</v>
      </c>
      <c r="AP6303" t="s">
        <v>53</v>
      </c>
    </row>
    <row r="6304" spans="2:42" x14ac:dyDescent="0.2">
      <c r="B6304" t="s">
        <v>44</v>
      </c>
      <c r="C6304" t="str">
        <f>HYPERLINK("https://us2.cloudbeds.com/connect/8493803454333002#/reservations/9080486846664863?display=31TBQ1JTNG&amp;reservation_id=9080486846664863", "31TBQ1JTNG")</f>
        <v>31TBQ1JTNG</v>
      </c>
      <c r="D6304" t="s">
        <v>45</v>
      </c>
      <c r="E6304" t="s">
        <v>110</v>
      </c>
      <c r="F6304" t="s">
        <v>47</v>
      </c>
      <c r="G6304" t="s">
        <v>48</v>
      </c>
      <c r="H6304" t="s">
        <v>49</v>
      </c>
      <c r="I6304" t="s">
        <v>8964</v>
      </c>
      <c r="J6304" t="s">
        <v>5402</v>
      </c>
      <c r="K6304" t="s">
        <v>5904</v>
      </c>
      <c r="L6304" t="s">
        <v>53</v>
      </c>
      <c r="N6304" t="s">
        <v>11313</v>
      </c>
      <c r="P6304" t="s">
        <v>55</v>
      </c>
      <c r="R6304" t="s">
        <v>53</v>
      </c>
      <c r="T6304" t="s">
        <v>11314</v>
      </c>
      <c r="U6304" t="s">
        <v>55</v>
      </c>
      <c r="V6304">
        <v>2</v>
      </c>
      <c r="W6304">
        <v>1</v>
      </c>
      <c r="X6304">
        <v>2</v>
      </c>
      <c r="Y6304">
        <v>0</v>
      </c>
      <c r="Z6304">
        <v>2</v>
      </c>
      <c r="AA6304">
        <v>0</v>
      </c>
      <c r="AB6304">
        <v>0</v>
      </c>
      <c r="AC6304">
        <v>364</v>
      </c>
      <c r="AD6304">
        <v>0</v>
      </c>
      <c r="AE6304">
        <v>0</v>
      </c>
      <c r="AF6304">
        <v>0</v>
      </c>
      <c r="AG6304">
        <v>0</v>
      </c>
      <c r="AH6304">
        <v>0</v>
      </c>
      <c r="AI6304">
        <v>54.6</v>
      </c>
      <c r="AJ6304">
        <v>364</v>
      </c>
      <c r="AK6304">
        <v>364</v>
      </c>
      <c r="AL6304" t="s">
        <v>53</v>
      </c>
      <c r="AM6304" t="s">
        <v>53</v>
      </c>
      <c r="AN6304" t="s">
        <v>53</v>
      </c>
      <c r="AO6304" t="s">
        <v>53</v>
      </c>
      <c r="AP6304" t="s">
        <v>53</v>
      </c>
    </row>
    <row r="6305" spans="2:42" x14ac:dyDescent="0.2">
      <c r="B6305" t="s">
        <v>44</v>
      </c>
      <c r="C6305" t="str">
        <f>HYPERLINK("https://us2.cloudbeds.com/connect/8493803454333002#/reservations/141913267871989?display=31TS7UFV6U&amp;reservation_id=141913267871989", "31TS7UFV6U")</f>
        <v>31TS7UFV6U</v>
      </c>
      <c r="D6305" t="s">
        <v>45</v>
      </c>
      <c r="E6305" t="s">
        <v>155</v>
      </c>
      <c r="F6305" t="s">
        <v>86</v>
      </c>
      <c r="G6305" t="s">
        <v>48</v>
      </c>
      <c r="H6305" t="s">
        <v>3957</v>
      </c>
      <c r="I6305" t="s">
        <v>3958</v>
      </c>
      <c r="J6305" t="s">
        <v>9620</v>
      </c>
      <c r="K6305" t="s">
        <v>7089</v>
      </c>
      <c r="L6305" t="s">
        <v>53</v>
      </c>
      <c r="P6305" t="s">
        <v>55</v>
      </c>
      <c r="R6305" t="s">
        <v>56</v>
      </c>
      <c r="T6305" t="s">
        <v>11315</v>
      </c>
      <c r="U6305" t="s">
        <v>58</v>
      </c>
      <c r="V6305">
        <v>1</v>
      </c>
      <c r="W6305">
        <v>1</v>
      </c>
      <c r="X6305">
        <v>1</v>
      </c>
      <c r="Y6305">
        <v>0</v>
      </c>
      <c r="Z6305">
        <v>1</v>
      </c>
      <c r="AA6305">
        <v>227.3</v>
      </c>
      <c r="AB6305">
        <v>227.3</v>
      </c>
      <c r="AC6305">
        <v>200</v>
      </c>
      <c r="AD6305">
        <v>0</v>
      </c>
      <c r="AE6305">
        <v>27.3</v>
      </c>
      <c r="AF6305">
        <v>0</v>
      </c>
      <c r="AG6305">
        <v>0</v>
      </c>
      <c r="AH6305">
        <v>0</v>
      </c>
      <c r="AI6305">
        <v>0</v>
      </c>
      <c r="AJ6305">
        <v>227.3</v>
      </c>
      <c r="AK6305">
        <v>0</v>
      </c>
      <c r="AL6305" t="s">
        <v>53</v>
      </c>
      <c r="AM6305" t="s">
        <v>53</v>
      </c>
      <c r="AN6305" t="s">
        <v>53</v>
      </c>
      <c r="AO6305" t="s">
        <v>53</v>
      </c>
      <c r="AP6305" t="s">
        <v>53</v>
      </c>
    </row>
    <row r="6306" spans="2:42" x14ac:dyDescent="0.2">
      <c r="B6306" t="s">
        <v>44</v>
      </c>
      <c r="C6306" t="str">
        <f>HYPERLINK("https://us2.cloudbeds.com/connect/8493803454333002#/reservations/141922134245513?display=31U23FRSBG&amp;reservation_id=141922134245513", "31U23FRSBG")</f>
        <v>31U23FRSBG</v>
      </c>
      <c r="D6306" t="s">
        <v>45</v>
      </c>
      <c r="E6306" t="s">
        <v>98</v>
      </c>
      <c r="F6306" t="s">
        <v>86</v>
      </c>
      <c r="G6306" t="s">
        <v>48</v>
      </c>
      <c r="H6306" t="s">
        <v>3957</v>
      </c>
      <c r="I6306" t="s">
        <v>3958</v>
      </c>
      <c r="J6306" t="s">
        <v>7325</v>
      </c>
      <c r="K6306" t="s">
        <v>9829</v>
      </c>
      <c r="L6306" t="s">
        <v>53</v>
      </c>
      <c r="P6306" t="s">
        <v>55</v>
      </c>
      <c r="R6306" t="s">
        <v>56</v>
      </c>
      <c r="T6306" t="s">
        <v>11316</v>
      </c>
      <c r="U6306" t="s">
        <v>58</v>
      </c>
      <c r="V6306">
        <v>1</v>
      </c>
      <c r="W6306">
        <v>1</v>
      </c>
      <c r="X6306">
        <v>1</v>
      </c>
      <c r="Y6306">
        <v>0</v>
      </c>
      <c r="Z6306">
        <v>1</v>
      </c>
      <c r="AA6306">
        <v>190.93</v>
      </c>
      <c r="AB6306">
        <v>190.93</v>
      </c>
      <c r="AC6306">
        <v>168</v>
      </c>
      <c r="AD6306">
        <v>0</v>
      </c>
      <c r="AE6306">
        <v>22.93</v>
      </c>
      <c r="AF6306">
        <v>0</v>
      </c>
      <c r="AG6306">
        <v>0</v>
      </c>
      <c r="AH6306">
        <v>0</v>
      </c>
      <c r="AI6306">
        <v>0</v>
      </c>
      <c r="AJ6306">
        <v>190.93</v>
      </c>
      <c r="AK6306">
        <v>0</v>
      </c>
      <c r="AL6306" t="s">
        <v>53</v>
      </c>
      <c r="AM6306" t="s">
        <v>53</v>
      </c>
      <c r="AN6306" t="s">
        <v>53</v>
      </c>
      <c r="AO6306" t="s">
        <v>53</v>
      </c>
      <c r="AP6306" t="s">
        <v>53</v>
      </c>
    </row>
    <row r="6307" spans="2:42" x14ac:dyDescent="0.2">
      <c r="B6307" t="s">
        <v>44</v>
      </c>
      <c r="C6307" t="str">
        <f>HYPERLINK("https://us2.cloudbeds.com/connect/8493803454333002#/reservations/9080486846665469?display=31U49C5K1V&amp;reservation_id=9080486846665469", "31U49C5K1V")</f>
        <v>31U49C5K1V</v>
      </c>
      <c r="D6307" t="s">
        <v>45</v>
      </c>
      <c r="E6307" t="s">
        <v>46</v>
      </c>
      <c r="F6307" t="s">
        <v>47</v>
      </c>
      <c r="G6307" t="s">
        <v>48</v>
      </c>
      <c r="H6307" t="s">
        <v>49</v>
      </c>
      <c r="I6307" t="s">
        <v>62</v>
      </c>
      <c r="J6307" t="s">
        <v>9829</v>
      </c>
      <c r="K6307" t="s">
        <v>6991</v>
      </c>
      <c r="L6307" t="s">
        <v>53</v>
      </c>
      <c r="N6307" t="s">
        <v>11317</v>
      </c>
      <c r="P6307" t="s">
        <v>55</v>
      </c>
      <c r="R6307" t="s">
        <v>56</v>
      </c>
      <c r="T6307" t="s">
        <v>11318</v>
      </c>
      <c r="U6307" t="s">
        <v>55</v>
      </c>
      <c r="V6307">
        <v>1</v>
      </c>
      <c r="W6307">
        <v>1</v>
      </c>
      <c r="X6307">
        <v>2</v>
      </c>
      <c r="Y6307">
        <v>0</v>
      </c>
      <c r="Z6307">
        <v>2</v>
      </c>
      <c r="AA6307">
        <v>216</v>
      </c>
      <c r="AB6307">
        <v>216</v>
      </c>
      <c r="AC6307">
        <v>216</v>
      </c>
      <c r="AD6307">
        <v>0</v>
      </c>
      <c r="AE6307">
        <v>0</v>
      </c>
      <c r="AF6307">
        <v>0</v>
      </c>
      <c r="AG6307">
        <v>0</v>
      </c>
      <c r="AH6307">
        <v>0</v>
      </c>
      <c r="AI6307">
        <v>38.880000000000003</v>
      </c>
      <c r="AJ6307">
        <v>216</v>
      </c>
      <c r="AK6307">
        <v>0</v>
      </c>
      <c r="AL6307" t="s">
        <v>53</v>
      </c>
      <c r="AM6307" t="s">
        <v>53</v>
      </c>
      <c r="AN6307" t="s">
        <v>53</v>
      </c>
      <c r="AO6307" t="s">
        <v>53</v>
      </c>
      <c r="AP6307" t="s">
        <v>53</v>
      </c>
    </row>
    <row r="6308" spans="2:42" x14ac:dyDescent="0.2">
      <c r="B6308" t="s">
        <v>44</v>
      </c>
      <c r="C6308" t="str">
        <f>HYPERLINK("https://us2.cloudbeds.com/connect/8493803454333002#/reservations/141938297757914?display=31UEKGBDQJ&amp;reservation_id=141938297757914", "31UEKGBDQJ")</f>
        <v>31UEKGBDQJ</v>
      </c>
      <c r="D6308" t="s">
        <v>45</v>
      </c>
      <c r="E6308" t="s">
        <v>185</v>
      </c>
      <c r="F6308" t="s">
        <v>47</v>
      </c>
      <c r="G6308" t="s">
        <v>3974</v>
      </c>
      <c r="H6308" t="s">
        <v>3957</v>
      </c>
      <c r="I6308" t="s">
        <v>3975</v>
      </c>
      <c r="J6308" t="s">
        <v>8139</v>
      </c>
      <c r="K6308" t="s">
        <v>7293</v>
      </c>
      <c r="L6308" t="s">
        <v>53</v>
      </c>
      <c r="P6308" t="s">
        <v>58</v>
      </c>
      <c r="R6308" t="s">
        <v>56</v>
      </c>
      <c r="T6308" t="s">
        <v>11319</v>
      </c>
      <c r="U6308" t="s">
        <v>58</v>
      </c>
      <c r="V6308">
        <v>1</v>
      </c>
      <c r="W6308">
        <v>1</v>
      </c>
      <c r="X6308">
        <v>2</v>
      </c>
      <c r="Y6308">
        <v>0</v>
      </c>
      <c r="Z6308">
        <v>2</v>
      </c>
      <c r="AA6308">
        <v>177.07</v>
      </c>
      <c r="AB6308">
        <v>177.07</v>
      </c>
      <c r="AC6308">
        <v>155.80000000000001</v>
      </c>
      <c r="AD6308">
        <v>0</v>
      </c>
      <c r="AE6308">
        <v>21.27</v>
      </c>
      <c r="AF6308">
        <v>0</v>
      </c>
      <c r="AG6308">
        <v>0</v>
      </c>
      <c r="AH6308">
        <v>0</v>
      </c>
      <c r="AI6308">
        <v>0</v>
      </c>
      <c r="AJ6308">
        <v>177.07</v>
      </c>
      <c r="AK6308">
        <v>0</v>
      </c>
      <c r="AL6308" t="s">
        <v>53</v>
      </c>
      <c r="AM6308" t="s">
        <v>53</v>
      </c>
      <c r="AN6308" t="s">
        <v>53</v>
      </c>
      <c r="AO6308" t="s">
        <v>53</v>
      </c>
      <c r="AP6308" t="s">
        <v>53</v>
      </c>
    </row>
    <row r="6309" spans="2:42" x14ac:dyDescent="0.2">
      <c r="B6309" t="s">
        <v>44</v>
      </c>
      <c r="C6309" t="str">
        <f>HYPERLINK("https://us2.cloudbeds.com/connect/8493803454333002#/reservations/141945918431387?display=31UKH79TDP&amp;reservation_id=141945918431387", "31UKH79TDP")</f>
        <v>31UKH79TDP</v>
      </c>
      <c r="D6309" t="s">
        <v>45</v>
      </c>
      <c r="E6309" t="s">
        <v>185</v>
      </c>
      <c r="F6309" t="s">
        <v>47</v>
      </c>
      <c r="G6309" t="s">
        <v>3974</v>
      </c>
      <c r="H6309" t="s">
        <v>3957</v>
      </c>
      <c r="I6309" t="s">
        <v>3975</v>
      </c>
      <c r="J6309" t="s">
        <v>7293</v>
      </c>
      <c r="K6309" t="s">
        <v>7294</v>
      </c>
      <c r="L6309" t="s">
        <v>53</v>
      </c>
      <c r="P6309" t="s">
        <v>55</v>
      </c>
      <c r="R6309" t="s">
        <v>56</v>
      </c>
      <c r="T6309" t="s">
        <v>11320</v>
      </c>
      <c r="U6309" t="s">
        <v>58</v>
      </c>
      <c r="V6309">
        <v>1</v>
      </c>
      <c r="W6309">
        <v>1</v>
      </c>
      <c r="X6309">
        <v>2</v>
      </c>
      <c r="Y6309">
        <v>0</v>
      </c>
      <c r="Z6309">
        <v>2</v>
      </c>
      <c r="AA6309">
        <v>198.67</v>
      </c>
      <c r="AB6309">
        <v>198.67</v>
      </c>
      <c r="AC6309">
        <v>174.8</v>
      </c>
      <c r="AD6309">
        <v>0</v>
      </c>
      <c r="AE6309">
        <v>23.87</v>
      </c>
      <c r="AF6309">
        <v>0</v>
      </c>
      <c r="AG6309">
        <v>0</v>
      </c>
      <c r="AH6309">
        <v>0</v>
      </c>
      <c r="AI6309">
        <v>0</v>
      </c>
      <c r="AJ6309">
        <v>198.67</v>
      </c>
      <c r="AK6309">
        <v>0</v>
      </c>
      <c r="AL6309" t="s">
        <v>53</v>
      </c>
      <c r="AM6309" t="s">
        <v>53</v>
      </c>
      <c r="AN6309" t="s">
        <v>53</v>
      </c>
      <c r="AO6309" t="s">
        <v>53</v>
      </c>
      <c r="AP6309" t="s">
        <v>53</v>
      </c>
    </row>
    <row r="6310" spans="2:42" x14ac:dyDescent="0.2">
      <c r="B6310" t="s">
        <v>44</v>
      </c>
      <c r="C6310" t="str">
        <f>HYPERLINK("https://us2.cloudbeds.com/connect/8493803454333002#/reservations/9080486846666235?display=31V8XVCGSD&amp;reservation_id=9080486846666235", "31V8XVCGSD")</f>
        <v>31V8XVCGSD</v>
      </c>
      <c r="D6310" t="s">
        <v>602</v>
      </c>
      <c r="E6310" t="s">
        <v>53</v>
      </c>
      <c r="F6310" t="s">
        <v>70</v>
      </c>
      <c r="G6310" t="s">
        <v>48</v>
      </c>
      <c r="H6310" t="s">
        <v>49</v>
      </c>
      <c r="I6310" t="s">
        <v>50</v>
      </c>
      <c r="J6310" t="s">
        <v>10192</v>
      </c>
      <c r="K6310" t="s">
        <v>11321</v>
      </c>
      <c r="L6310" t="s">
        <v>53</v>
      </c>
      <c r="N6310" t="s">
        <v>11322</v>
      </c>
      <c r="P6310" t="s">
        <v>55</v>
      </c>
      <c r="R6310" t="s">
        <v>53</v>
      </c>
      <c r="T6310" t="s">
        <v>11323</v>
      </c>
      <c r="U6310" t="s">
        <v>58</v>
      </c>
      <c r="V6310">
        <v>4</v>
      </c>
      <c r="W6310">
        <v>1</v>
      </c>
      <c r="X6310">
        <v>2</v>
      </c>
      <c r="Y6310">
        <v>0</v>
      </c>
      <c r="Z6310">
        <v>2</v>
      </c>
      <c r="AA6310">
        <v>386.73</v>
      </c>
      <c r="AB6310">
        <v>0</v>
      </c>
      <c r="AC6310">
        <v>182.11</v>
      </c>
      <c r="AD6310">
        <v>0</v>
      </c>
      <c r="AE6310">
        <v>24.85</v>
      </c>
      <c r="AF6310">
        <v>0</v>
      </c>
      <c r="AG6310">
        <v>0</v>
      </c>
      <c r="AH6310">
        <v>0</v>
      </c>
      <c r="AI6310">
        <v>69.61</v>
      </c>
      <c r="AJ6310">
        <v>206.96</v>
      </c>
      <c r="AK6310">
        <v>206.96</v>
      </c>
      <c r="AL6310">
        <v>340.28</v>
      </c>
      <c r="AM6310">
        <v>386.73</v>
      </c>
      <c r="AN6310" t="s">
        <v>53</v>
      </c>
      <c r="AO6310" t="s">
        <v>53</v>
      </c>
      <c r="AP6310" t="s">
        <v>53</v>
      </c>
    </row>
    <row r="6311" spans="2:42" x14ac:dyDescent="0.2">
      <c r="B6311" t="s">
        <v>44</v>
      </c>
      <c r="C6311" t="str">
        <f>HYPERLINK("https://us2.cloudbeds.com/connect/8493803454333002#/reservations/9080486846666297?display=31VB3VCUNE&amp;reservation_id=9080486846666297", "31VB3VCUNE")</f>
        <v>31VB3VCUNE</v>
      </c>
      <c r="D6311" t="s">
        <v>45</v>
      </c>
      <c r="E6311" t="s">
        <v>213</v>
      </c>
      <c r="F6311" t="s">
        <v>86</v>
      </c>
      <c r="G6311" t="s">
        <v>48</v>
      </c>
      <c r="H6311" t="s">
        <v>49</v>
      </c>
      <c r="I6311" t="s">
        <v>50</v>
      </c>
      <c r="J6311" t="s">
        <v>5743</v>
      </c>
      <c r="K6311" t="s">
        <v>5744</v>
      </c>
      <c r="L6311" t="s">
        <v>53</v>
      </c>
      <c r="N6311" t="s">
        <v>11324</v>
      </c>
      <c r="P6311" t="s">
        <v>55</v>
      </c>
      <c r="R6311" t="s">
        <v>53</v>
      </c>
      <c r="T6311" t="s">
        <v>11325</v>
      </c>
      <c r="U6311" t="s">
        <v>58</v>
      </c>
      <c r="V6311">
        <v>2</v>
      </c>
      <c r="W6311">
        <v>1</v>
      </c>
      <c r="X6311">
        <v>2</v>
      </c>
      <c r="Y6311">
        <v>1</v>
      </c>
      <c r="Z6311">
        <v>3</v>
      </c>
      <c r="AA6311">
        <v>472.24</v>
      </c>
      <c r="AB6311">
        <v>472.24</v>
      </c>
      <c r="AC6311">
        <v>415.52</v>
      </c>
      <c r="AD6311">
        <v>0</v>
      </c>
      <c r="AE6311">
        <v>56.72</v>
      </c>
      <c r="AF6311">
        <v>0</v>
      </c>
      <c r="AG6311">
        <v>0</v>
      </c>
      <c r="AH6311">
        <v>0</v>
      </c>
      <c r="AI6311">
        <v>85</v>
      </c>
      <c r="AJ6311">
        <v>472.24</v>
      </c>
      <c r="AK6311">
        <v>0</v>
      </c>
      <c r="AL6311" t="s">
        <v>53</v>
      </c>
      <c r="AM6311" t="s">
        <v>53</v>
      </c>
      <c r="AN6311" t="s">
        <v>53</v>
      </c>
      <c r="AO6311" t="s">
        <v>53</v>
      </c>
      <c r="AP6311" t="s">
        <v>53</v>
      </c>
    </row>
    <row r="6312" spans="2:42" x14ac:dyDescent="0.2">
      <c r="B6312" t="s">
        <v>44</v>
      </c>
      <c r="C6312" t="str">
        <f>HYPERLINK("https://us2.cloudbeds.com/connect/8493803454333002#/reservations/9080486846666407?display=31VX2B0F7D&amp;reservation_id=9080486846666407", "31VX2B0F7D")</f>
        <v>31VX2B0F7D</v>
      </c>
      <c r="D6312" t="s">
        <v>45</v>
      </c>
      <c r="E6312" t="s">
        <v>223</v>
      </c>
      <c r="F6312" t="s">
        <v>47</v>
      </c>
      <c r="G6312" t="s">
        <v>48</v>
      </c>
      <c r="H6312" t="s">
        <v>49</v>
      </c>
      <c r="I6312" t="s">
        <v>50</v>
      </c>
      <c r="J6312" t="s">
        <v>5402</v>
      </c>
      <c r="K6312" t="s">
        <v>8138</v>
      </c>
      <c r="L6312" t="s">
        <v>53</v>
      </c>
      <c r="N6312" t="s">
        <v>11326</v>
      </c>
      <c r="P6312" t="s">
        <v>55</v>
      </c>
      <c r="R6312" t="s">
        <v>53</v>
      </c>
      <c r="T6312" t="s">
        <v>11327</v>
      </c>
      <c r="U6312" t="s">
        <v>58</v>
      </c>
      <c r="V6312">
        <v>1</v>
      </c>
      <c r="W6312">
        <v>1</v>
      </c>
      <c r="X6312">
        <v>2</v>
      </c>
      <c r="Y6312">
        <v>0</v>
      </c>
      <c r="Z6312">
        <v>2</v>
      </c>
      <c r="AA6312">
        <v>157.85</v>
      </c>
      <c r="AB6312">
        <v>157.85</v>
      </c>
      <c r="AC6312">
        <v>138.88999999999999</v>
      </c>
      <c r="AD6312">
        <v>0</v>
      </c>
      <c r="AE6312">
        <v>18.96</v>
      </c>
      <c r="AF6312">
        <v>0</v>
      </c>
      <c r="AG6312">
        <v>0</v>
      </c>
      <c r="AH6312">
        <v>0</v>
      </c>
      <c r="AI6312">
        <v>28.41</v>
      </c>
      <c r="AJ6312">
        <v>157.85</v>
      </c>
      <c r="AK6312">
        <v>0</v>
      </c>
      <c r="AL6312" t="s">
        <v>53</v>
      </c>
      <c r="AM6312" t="s">
        <v>53</v>
      </c>
      <c r="AN6312" t="s">
        <v>53</v>
      </c>
      <c r="AO6312" t="s">
        <v>53</v>
      </c>
      <c r="AP6312" t="s">
        <v>53</v>
      </c>
    </row>
    <row r="6313" spans="2:42" x14ac:dyDescent="0.2">
      <c r="B6313" t="s">
        <v>44</v>
      </c>
      <c r="C6313" t="str">
        <f>HYPERLINK("https://us2.cloudbeds.com/connect/8493803454333002#/reservations/142013463855253?display=31W6R5CT10&amp;reservation_id=142013463855253", "31W6R5CT10")</f>
        <v>31W6R5CT10</v>
      </c>
      <c r="D6313" t="s">
        <v>45</v>
      </c>
      <c r="E6313" t="s">
        <v>105</v>
      </c>
      <c r="F6313" t="s">
        <v>47</v>
      </c>
      <c r="G6313" t="s">
        <v>48</v>
      </c>
      <c r="H6313" t="s">
        <v>3957</v>
      </c>
      <c r="I6313" t="s">
        <v>3975</v>
      </c>
      <c r="J6313" t="s">
        <v>6828</v>
      </c>
      <c r="K6313" t="s">
        <v>6992</v>
      </c>
      <c r="L6313" t="s">
        <v>53</v>
      </c>
      <c r="P6313" t="s">
        <v>55</v>
      </c>
      <c r="R6313" t="s">
        <v>56</v>
      </c>
      <c r="T6313" t="s">
        <v>11328</v>
      </c>
      <c r="U6313" t="s">
        <v>58</v>
      </c>
      <c r="V6313">
        <v>1</v>
      </c>
      <c r="W6313">
        <v>1</v>
      </c>
      <c r="X6313">
        <v>2</v>
      </c>
      <c r="Y6313">
        <v>0</v>
      </c>
      <c r="Z6313">
        <v>2</v>
      </c>
      <c r="AA6313">
        <v>189.8</v>
      </c>
      <c r="AB6313">
        <v>189.8</v>
      </c>
      <c r="AC6313">
        <v>167</v>
      </c>
      <c r="AD6313">
        <v>0</v>
      </c>
      <c r="AE6313">
        <v>22.8</v>
      </c>
      <c r="AF6313">
        <v>0</v>
      </c>
      <c r="AG6313">
        <v>0</v>
      </c>
      <c r="AH6313">
        <v>0</v>
      </c>
      <c r="AI6313">
        <v>0</v>
      </c>
      <c r="AJ6313">
        <v>189.8</v>
      </c>
      <c r="AK6313">
        <v>0</v>
      </c>
      <c r="AL6313" t="s">
        <v>53</v>
      </c>
      <c r="AM6313" t="s">
        <v>53</v>
      </c>
      <c r="AN6313" t="s">
        <v>53</v>
      </c>
      <c r="AO6313" t="s">
        <v>53</v>
      </c>
      <c r="AP6313" t="s">
        <v>53</v>
      </c>
    </row>
    <row r="6314" spans="2:42" x14ac:dyDescent="0.2">
      <c r="B6314" t="s">
        <v>44</v>
      </c>
      <c r="C6314" t="str">
        <f>HYPERLINK("https://us2.cloudbeds.com/connect/8493803454333002#/reservations/9080486846668969?display=3226RHR6S4&amp;reservation_id=9080486846668969", "3226RHR6S4")</f>
        <v>3226RHR6S4</v>
      </c>
      <c r="D6314" t="s">
        <v>45</v>
      </c>
      <c r="E6314" t="s">
        <v>487</v>
      </c>
      <c r="F6314" t="s">
        <v>61</v>
      </c>
      <c r="G6314" t="s">
        <v>48</v>
      </c>
      <c r="H6314" t="s">
        <v>49</v>
      </c>
      <c r="I6314" t="s">
        <v>50</v>
      </c>
      <c r="J6314" t="s">
        <v>5904</v>
      </c>
      <c r="K6314" t="s">
        <v>8139</v>
      </c>
      <c r="L6314" t="s">
        <v>53</v>
      </c>
      <c r="N6314" t="s">
        <v>11329</v>
      </c>
      <c r="P6314" t="s">
        <v>55</v>
      </c>
      <c r="R6314" t="s">
        <v>53</v>
      </c>
      <c r="T6314" t="s">
        <v>11330</v>
      </c>
      <c r="U6314" t="s">
        <v>58</v>
      </c>
      <c r="V6314">
        <v>3</v>
      </c>
      <c r="W6314">
        <v>1</v>
      </c>
      <c r="X6314">
        <v>1</v>
      </c>
      <c r="Y6314">
        <v>0</v>
      </c>
      <c r="Z6314">
        <v>1</v>
      </c>
      <c r="AA6314">
        <v>498.23</v>
      </c>
      <c r="AB6314">
        <v>498.23</v>
      </c>
      <c r="AC6314">
        <v>438.4</v>
      </c>
      <c r="AD6314">
        <v>0</v>
      </c>
      <c r="AE6314">
        <v>59.83</v>
      </c>
      <c r="AF6314">
        <v>0</v>
      </c>
      <c r="AG6314">
        <v>0</v>
      </c>
      <c r="AH6314">
        <v>0</v>
      </c>
      <c r="AI6314">
        <v>89.68</v>
      </c>
      <c r="AJ6314">
        <v>498.23</v>
      </c>
      <c r="AK6314">
        <v>0</v>
      </c>
      <c r="AL6314" t="s">
        <v>53</v>
      </c>
      <c r="AM6314" t="s">
        <v>53</v>
      </c>
      <c r="AN6314" t="s">
        <v>53</v>
      </c>
      <c r="AO6314" t="s">
        <v>53</v>
      </c>
      <c r="AP6314" t="s">
        <v>53</v>
      </c>
    </row>
    <row r="6315" spans="2:42" x14ac:dyDescent="0.2">
      <c r="B6315" t="s">
        <v>44</v>
      </c>
      <c r="C6315" t="str">
        <f>HYPERLINK("https://us2.cloudbeds.com/connect/8493803454333002#/reservations/9080486846669191?display=322E1UVGPX&amp;reservation_id=9080486846669191", "322E1UVGPX")</f>
        <v>322E1UVGPX</v>
      </c>
      <c r="D6315" t="s">
        <v>45</v>
      </c>
      <c r="E6315" t="s">
        <v>381</v>
      </c>
      <c r="F6315" t="s">
        <v>47</v>
      </c>
      <c r="G6315" t="s">
        <v>48</v>
      </c>
      <c r="H6315" t="s">
        <v>49</v>
      </c>
      <c r="I6315" t="s">
        <v>8964</v>
      </c>
      <c r="J6315" t="s">
        <v>6992</v>
      </c>
      <c r="K6315" t="s">
        <v>6829</v>
      </c>
      <c r="L6315" t="s">
        <v>53</v>
      </c>
      <c r="N6315" t="s">
        <v>11331</v>
      </c>
      <c r="P6315" t="s">
        <v>55</v>
      </c>
      <c r="R6315" t="s">
        <v>53</v>
      </c>
      <c r="T6315" t="s">
        <v>11332</v>
      </c>
      <c r="U6315" t="s">
        <v>55</v>
      </c>
      <c r="V6315">
        <v>1</v>
      </c>
      <c r="W6315">
        <v>1</v>
      </c>
      <c r="X6315">
        <v>1</v>
      </c>
      <c r="Y6315">
        <v>0</v>
      </c>
      <c r="Z6315">
        <v>1</v>
      </c>
      <c r="AA6315">
        <v>0</v>
      </c>
      <c r="AB6315">
        <v>0</v>
      </c>
      <c r="AC6315">
        <v>180</v>
      </c>
      <c r="AD6315">
        <v>0</v>
      </c>
      <c r="AE6315">
        <v>0</v>
      </c>
      <c r="AF6315">
        <v>0</v>
      </c>
      <c r="AG6315">
        <v>0</v>
      </c>
      <c r="AH6315">
        <v>0</v>
      </c>
      <c r="AI6315">
        <v>27</v>
      </c>
      <c r="AJ6315">
        <v>180</v>
      </c>
      <c r="AK6315">
        <v>180</v>
      </c>
      <c r="AL6315" t="s">
        <v>53</v>
      </c>
      <c r="AM6315" t="s">
        <v>53</v>
      </c>
      <c r="AN6315" t="s">
        <v>53</v>
      </c>
      <c r="AO6315" t="s">
        <v>53</v>
      </c>
      <c r="AP6315" t="s">
        <v>53</v>
      </c>
    </row>
    <row r="6316" spans="2:42" x14ac:dyDescent="0.2">
      <c r="B6316" t="s">
        <v>44</v>
      </c>
      <c r="C6316" t="str">
        <f>HYPERLINK("https://us2.cloudbeds.com/connect/8493803454333002#/reservations/9080486846669327?display=322XC4VJFZ&amp;reservation_id=9080486846669327", "322XC4VJFZ")</f>
        <v>322XC4VJFZ</v>
      </c>
      <c r="D6316" t="s">
        <v>45</v>
      </c>
      <c r="E6316" t="s">
        <v>105</v>
      </c>
      <c r="F6316" t="s">
        <v>47</v>
      </c>
      <c r="G6316" t="s">
        <v>48</v>
      </c>
      <c r="H6316" t="s">
        <v>49</v>
      </c>
      <c r="I6316" t="s">
        <v>50</v>
      </c>
      <c r="J6316" t="s">
        <v>6991</v>
      </c>
      <c r="K6316" t="s">
        <v>6828</v>
      </c>
      <c r="L6316" t="s">
        <v>53</v>
      </c>
      <c r="N6316" t="s">
        <v>11333</v>
      </c>
      <c r="P6316" t="s">
        <v>55</v>
      </c>
      <c r="R6316" t="s">
        <v>53</v>
      </c>
      <c r="T6316" t="s">
        <v>11334</v>
      </c>
      <c r="U6316" t="s">
        <v>58</v>
      </c>
      <c r="V6316">
        <v>1</v>
      </c>
      <c r="W6316">
        <v>1</v>
      </c>
      <c r="X6316">
        <v>2</v>
      </c>
      <c r="Y6316">
        <v>0</v>
      </c>
      <c r="Z6316">
        <v>2</v>
      </c>
      <c r="AA6316">
        <v>171.83</v>
      </c>
      <c r="AB6316">
        <v>171.83</v>
      </c>
      <c r="AC6316">
        <v>151.19999999999999</v>
      </c>
      <c r="AD6316">
        <v>0</v>
      </c>
      <c r="AE6316">
        <v>20.63</v>
      </c>
      <c r="AF6316">
        <v>0</v>
      </c>
      <c r="AG6316">
        <v>0</v>
      </c>
      <c r="AH6316">
        <v>0</v>
      </c>
      <c r="AI6316">
        <v>30.93</v>
      </c>
      <c r="AJ6316">
        <v>171.83</v>
      </c>
      <c r="AK6316">
        <v>0</v>
      </c>
      <c r="AL6316" t="s">
        <v>53</v>
      </c>
      <c r="AM6316" t="s">
        <v>53</v>
      </c>
      <c r="AN6316" t="s">
        <v>53</v>
      </c>
      <c r="AO6316" t="s">
        <v>53</v>
      </c>
      <c r="AP6316" t="s">
        <v>53</v>
      </c>
    </row>
    <row r="6317" spans="2:42" x14ac:dyDescent="0.2">
      <c r="B6317" t="s">
        <v>44</v>
      </c>
      <c r="C6317" t="str">
        <f>HYPERLINK("https://us2.cloudbeds.com/connect/8493803454333002#/reservations/9080486846670259?display=323G9XBQQ8&amp;reservation_id=9080486846670259", "323G9XBQQ8")</f>
        <v>323G9XBQQ8</v>
      </c>
      <c r="D6317" t="s">
        <v>45</v>
      </c>
      <c r="E6317" t="s">
        <v>138</v>
      </c>
      <c r="F6317" t="s">
        <v>70</v>
      </c>
      <c r="G6317" t="s">
        <v>48</v>
      </c>
      <c r="H6317" t="s">
        <v>49</v>
      </c>
      <c r="I6317" t="s">
        <v>50</v>
      </c>
      <c r="J6317" t="s">
        <v>6829</v>
      </c>
      <c r="K6317" t="s">
        <v>8686</v>
      </c>
      <c r="L6317" t="s">
        <v>53</v>
      </c>
      <c r="N6317" t="s">
        <v>11335</v>
      </c>
      <c r="P6317" t="s">
        <v>55</v>
      </c>
      <c r="R6317" t="s">
        <v>53</v>
      </c>
      <c r="T6317" t="s">
        <v>11336</v>
      </c>
      <c r="U6317" t="s">
        <v>58</v>
      </c>
      <c r="V6317">
        <v>1</v>
      </c>
      <c r="W6317">
        <v>1</v>
      </c>
      <c r="X6317">
        <v>2</v>
      </c>
      <c r="Y6317">
        <v>0</v>
      </c>
      <c r="Z6317">
        <v>2</v>
      </c>
      <c r="AA6317">
        <v>129.57</v>
      </c>
      <c r="AB6317">
        <v>129.57</v>
      </c>
      <c r="AC6317">
        <v>114</v>
      </c>
      <c r="AD6317">
        <v>0</v>
      </c>
      <c r="AE6317">
        <v>15.57</v>
      </c>
      <c r="AF6317">
        <v>0</v>
      </c>
      <c r="AG6317">
        <v>0</v>
      </c>
      <c r="AH6317">
        <v>0</v>
      </c>
      <c r="AI6317">
        <v>23.32</v>
      </c>
      <c r="AJ6317">
        <v>129.57</v>
      </c>
      <c r="AK6317">
        <v>0</v>
      </c>
      <c r="AL6317" t="s">
        <v>53</v>
      </c>
      <c r="AM6317" t="s">
        <v>53</v>
      </c>
      <c r="AN6317" t="s">
        <v>53</v>
      </c>
      <c r="AO6317" t="s">
        <v>53</v>
      </c>
      <c r="AP6317" t="s">
        <v>53</v>
      </c>
    </row>
    <row r="6318" spans="2:42" x14ac:dyDescent="0.2">
      <c r="B6318" t="s">
        <v>44</v>
      </c>
      <c r="C6318" t="str">
        <f>HYPERLINK("https://us2.cloudbeds.com/connect/8493803454333002#/reservations/9080486846671014?display=324A40QC7A&amp;reservation_id=9080486846671014", "324A40QC7A")</f>
        <v>324A40QC7A</v>
      </c>
      <c r="D6318" t="s">
        <v>45</v>
      </c>
      <c r="E6318" t="s">
        <v>406</v>
      </c>
      <c r="F6318" t="s">
        <v>61</v>
      </c>
      <c r="G6318" t="s">
        <v>48</v>
      </c>
      <c r="H6318" t="s">
        <v>49</v>
      </c>
      <c r="I6318" t="s">
        <v>50</v>
      </c>
      <c r="J6318" t="s">
        <v>6992</v>
      </c>
      <c r="K6318" t="s">
        <v>8686</v>
      </c>
      <c r="L6318" t="s">
        <v>53</v>
      </c>
      <c r="N6318" t="s">
        <v>11337</v>
      </c>
      <c r="P6318" t="s">
        <v>55</v>
      </c>
      <c r="R6318" t="s">
        <v>53</v>
      </c>
      <c r="T6318" t="s">
        <v>11338</v>
      </c>
      <c r="U6318" t="s">
        <v>58</v>
      </c>
      <c r="V6318">
        <v>2</v>
      </c>
      <c r="W6318">
        <v>1</v>
      </c>
      <c r="X6318">
        <v>2</v>
      </c>
      <c r="Y6318">
        <v>0</v>
      </c>
      <c r="Z6318">
        <v>2</v>
      </c>
      <c r="AA6318">
        <v>369.25</v>
      </c>
      <c r="AB6318">
        <v>369.25</v>
      </c>
      <c r="AC6318">
        <v>324.89999999999998</v>
      </c>
      <c r="AD6318">
        <v>0</v>
      </c>
      <c r="AE6318">
        <v>44.35</v>
      </c>
      <c r="AF6318">
        <v>0</v>
      </c>
      <c r="AG6318">
        <v>0</v>
      </c>
      <c r="AH6318">
        <v>0</v>
      </c>
      <c r="AI6318">
        <v>66.47</v>
      </c>
      <c r="AJ6318">
        <v>369.25</v>
      </c>
      <c r="AK6318">
        <v>0</v>
      </c>
      <c r="AL6318" t="s">
        <v>53</v>
      </c>
      <c r="AM6318" t="s">
        <v>53</v>
      </c>
      <c r="AN6318" t="s">
        <v>53</v>
      </c>
      <c r="AO6318" t="s">
        <v>53</v>
      </c>
      <c r="AP6318" t="s">
        <v>53</v>
      </c>
    </row>
    <row r="6319" spans="2:42" x14ac:dyDescent="0.2">
      <c r="B6319" t="s">
        <v>44</v>
      </c>
      <c r="C6319" t="str">
        <f>HYPERLINK("https://us2.cloudbeds.com/connect/8493803454333002#/reservations/9080486846671090?display=324D0HSCTT&amp;reservation_id=9080486846671090", "324D0HSCTT")</f>
        <v>324D0HSCTT</v>
      </c>
      <c r="D6319" t="s">
        <v>45</v>
      </c>
      <c r="E6319" t="s">
        <v>105</v>
      </c>
      <c r="F6319" t="s">
        <v>47</v>
      </c>
      <c r="G6319" t="s">
        <v>48</v>
      </c>
      <c r="H6319" t="s">
        <v>49</v>
      </c>
      <c r="I6319" t="s">
        <v>50</v>
      </c>
      <c r="J6319" t="s">
        <v>7493</v>
      </c>
      <c r="K6319" t="s">
        <v>6344</v>
      </c>
      <c r="L6319" t="s">
        <v>53</v>
      </c>
      <c r="N6319" t="s">
        <v>11339</v>
      </c>
      <c r="P6319" t="s">
        <v>55</v>
      </c>
      <c r="R6319" t="s">
        <v>53</v>
      </c>
      <c r="T6319" t="s">
        <v>11340</v>
      </c>
      <c r="U6319" t="s">
        <v>58</v>
      </c>
      <c r="V6319">
        <v>1</v>
      </c>
      <c r="W6319">
        <v>1</v>
      </c>
      <c r="X6319">
        <v>1</v>
      </c>
      <c r="Y6319">
        <v>0</v>
      </c>
      <c r="Z6319">
        <v>1</v>
      </c>
      <c r="AA6319">
        <v>179.76</v>
      </c>
      <c r="AB6319">
        <v>179.76</v>
      </c>
      <c r="AC6319">
        <v>158.16999999999999</v>
      </c>
      <c r="AD6319">
        <v>0</v>
      </c>
      <c r="AE6319">
        <v>21.59</v>
      </c>
      <c r="AF6319">
        <v>0</v>
      </c>
      <c r="AG6319">
        <v>0</v>
      </c>
      <c r="AH6319">
        <v>0</v>
      </c>
      <c r="AI6319">
        <v>32.36</v>
      </c>
      <c r="AJ6319">
        <v>179.76</v>
      </c>
      <c r="AK6319">
        <v>0</v>
      </c>
      <c r="AL6319" t="s">
        <v>53</v>
      </c>
      <c r="AM6319" t="s">
        <v>53</v>
      </c>
      <c r="AN6319" t="s">
        <v>53</v>
      </c>
      <c r="AO6319" t="s">
        <v>53</v>
      </c>
      <c r="AP6319" t="s">
        <v>53</v>
      </c>
    </row>
    <row r="6320" spans="2:42" x14ac:dyDescent="0.2">
      <c r="B6320" t="s">
        <v>44</v>
      </c>
      <c r="C6320" t="str">
        <f>HYPERLINK("https://us2.cloudbeds.com/connect/8493803454333002#/reservations/9080486846671093?display=324D2EK48W&amp;reservation_id=9080486846671093", "324D2EK48W")</f>
        <v>324D2EK48W</v>
      </c>
      <c r="D6320" t="s">
        <v>45</v>
      </c>
      <c r="E6320" t="s">
        <v>179</v>
      </c>
      <c r="F6320" t="s">
        <v>47</v>
      </c>
      <c r="G6320" t="s">
        <v>48</v>
      </c>
      <c r="H6320" t="s">
        <v>49</v>
      </c>
      <c r="I6320" t="s">
        <v>50</v>
      </c>
      <c r="J6320" t="s">
        <v>7493</v>
      </c>
      <c r="K6320" t="s">
        <v>6344</v>
      </c>
      <c r="L6320" t="s">
        <v>53</v>
      </c>
      <c r="N6320" t="s">
        <v>11341</v>
      </c>
      <c r="P6320" t="s">
        <v>55</v>
      </c>
      <c r="R6320" t="s">
        <v>53</v>
      </c>
      <c r="T6320" t="s">
        <v>11342</v>
      </c>
      <c r="U6320" t="s">
        <v>58</v>
      </c>
      <c r="V6320">
        <v>1</v>
      </c>
      <c r="W6320">
        <v>1</v>
      </c>
      <c r="X6320">
        <v>1</v>
      </c>
      <c r="Y6320">
        <v>0</v>
      </c>
      <c r="Z6320">
        <v>1</v>
      </c>
      <c r="AA6320">
        <v>179.76</v>
      </c>
      <c r="AB6320">
        <v>179.76</v>
      </c>
      <c r="AC6320">
        <v>158.16999999999999</v>
      </c>
      <c r="AD6320">
        <v>0</v>
      </c>
      <c r="AE6320">
        <v>21.59</v>
      </c>
      <c r="AF6320">
        <v>0</v>
      </c>
      <c r="AG6320">
        <v>0</v>
      </c>
      <c r="AH6320">
        <v>0</v>
      </c>
      <c r="AI6320">
        <v>32.36</v>
      </c>
      <c r="AJ6320">
        <v>179.76</v>
      </c>
      <c r="AK6320">
        <v>0</v>
      </c>
      <c r="AL6320" t="s">
        <v>53</v>
      </c>
      <c r="AM6320" t="s">
        <v>53</v>
      </c>
      <c r="AN6320" t="s">
        <v>53</v>
      </c>
      <c r="AO6320" t="s">
        <v>53</v>
      </c>
      <c r="AP6320" t="s">
        <v>53</v>
      </c>
    </row>
    <row r="6321" spans="2:42" x14ac:dyDescent="0.2">
      <c r="B6321" t="s">
        <v>44</v>
      </c>
      <c r="C6321" t="str">
        <f>HYPERLINK("https://us2.cloudbeds.com/connect/8493803454333002#/reservations/9080486846671092?display=324D2EK0HK&amp;reservation_id=9080486846671092", "324D2EK0HK")</f>
        <v>324D2EK0HK</v>
      </c>
      <c r="D6321" t="s">
        <v>45</v>
      </c>
      <c r="E6321" t="s">
        <v>185</v>
      </c>
      <c r="F6321" t="s">
        <v>47</v>
      </c>
      <c r="G6321" t="s">
        <v>48</v>
      </c>
      <c r="H6321" t="s">
        <v>49</v>
      </c>
      <c r="I6321" t="s">
        <v>50</v>
      </c>
      <c r="J6321" t="s">
        <v>7493</v>
      </c>
      <c r="K6321" t="s">
        <v>6344</v>
      </c>
      <c r="L6321" t="s">
        <v>53</v>
      </c>
      <c r="N6321" t="s">
        <v>11343</v>
      </c>
      <c r="P6321" t="s">
        <v>55</v>
      </c>
      <c r="R6321" t="s">
        <v>53</v>
      </c>
      <c r="T6321" t="s">
        <v>11344</v>
      </c>
      <c r="U6321" t="s">
        <v>58</v>
      </c>
      <c r="V6321">
        <v>1</v>
      </c>
      <c r="W6321">
        <v>1</v>
      </c>
      <c r="X6321">
        <v>1</v>
      </c>
      <c r="Y6321">
        <v>0</v>
      </c>
      <c r="Z6321">
        <v>1</v>
      </c>
      <c r="AA6321">
        <v>179.76</v>
      </c>
      <c r="AB6321">
        <v>179.76</v>
      </c>
      <c r="AC6321">
        <v>158.16999999999999</v>
      </c>
      <c r="AD6321">
        <v>0</v>
      </c>
      <c r="AE6321">
        <v>21.59</v>
      </c>
      <c r="AF6321">
        <v>0</v>
      </c>
      <c r="AG6321">
        <v>0</v>
      </c>
      <c r="AH6321">
        <v>0</v>
      </c>
      <c r="AI6321">
        <v>32.36</v>
      </c>
      <c r="AJ6321">
        <v>179.76</v>
      </c>
      <c r="AK6321">
        <v>0</v>
      </c>
      <c r="AL6321" t="s">
        <v>53</v>
      </c>
      <c r="AM6321" t="s">
        <v>53</v>
      </c>
      <c r="AN6321" t="s">
        <v>53</v>
      </c>
      <c r="AO6321" t="s">
        <v>53</v>
      </c>
      <c r="AP6321" t="s">
        <v>53</v>
      </c>
    </row>
    <row r="6322" spans="2:42" x14ac:dyDescent="0.2">
      <c r="B6322" t="s">
        <v>44</v>
      </c>
      <c r="C6322" t="str">
        <f>HYPERLINK("https://us2.cloudbeds.com/connect/8493803454333002#/reservations/142256116560092?display=324TNGJ2TS&amp;reservation_id=142256116560092", "324TNGJ2TS")</f>
        <v>324TNGJ2TS</v>
      </c>
      <c r="D6322" t="s">
        <v>45</v>
      </c>
      <c r="E6322" t="s">
        <v>213</v>
      </c>
      <c r="F6322" t="s">
        <v>86</v>
      </c>
      <c r="G6322" t="s">
        <v>4520</v>
      </c>
      <c r="H6322" t="s">
        <v>3957</v>
      </c>
      <c r="I6322" t="s">
        <v>3958</v>
      </c>
      <c r="J6322" t="s">
        <v>9829</v>
      </c>
      <c r="K6322" t="s">
        <v>6991</v>
      </c>
      <c r="L6322" t="s">
        <v>53</v>
      </c>
      <c r="P6322" t="s">
        <v>55</v>
      </c>
      <c r="R6322" t="s">
        <v>56</v>
      </c>
      <c r="T6322" t="s">
        <v>11345</v>
      </c>
      <c r="U6322" t="s">
        <v>58</v>
      </c>
      <c r="V6322">
        <v>1</v>
      </c>
      <c r="W6322">
        <v>1</v>
      </c>
      <c r="X6322">
        <v>1</v>
      </c>
      <c r="Y6322">
        <v>0</v>
      </c>
      <c r="Z6322">
        <v>1</v>
      </c>
      <c r="AA6322">
        <v>236.28</v>
      </c>
      <c r="AB6322">
        <v>241.71</v>
      </c>
      <c r="AC6322">
        <v>207.9</v>
      </c>
      <c r="AD6322">
        <v>5</v>
      </c>
      <c r="AE6322">
        <v>28.81</v>
      </c>
      <c r="AF6322">
        <v>0</v>
      </c>
      <c r="AG6322">
        <v>0</v>
      </c>
      <c r="AH6322">
        <v>0</v>
      </c>
      <c r="AI6322">
        <v>0</v>
      </c>
      <c r="AJ6322">
        <v>241.71</v>
      </c>
      <c r="AK6322">
        <v>0</v>
      </c>
      <c r="AL6322" t="s">
        <v>53</v>
      </c>
      <c r="AM6322" t="s">
        <v>53</v>
      </c>
      <c r="AN6322" t="s">
        <v>53</v>
      </c>
      <c r="AO6322" t="s">
        <v>53</v>
      </c>
      <c r="AP6322" t="s">
        <v>53</v>
      </c>
    </row>
    <row r="6323" spans="2:42" x14ac:dyDescent="0.2">
      <c r="B6323" t="s">
        <v>44</v>
      </c>
      <c r="C6323" t="str">
        <f>HYPERLINK("https://us2.cloudbeds.com/connect/8493803454333002#/reservations/9080486846672239?display=325SR1RM4Y&amp;reservation_id=9080486846672239", "325SR1RM4Y")</f>
        <v>325SR1RM4Y</v>
      </c>
      <c r="D6323" t="s">
        <v>45</v>
      </c>
      <c r="E6323" t="s">
        <v>213</v>
      </c>
      <c r="F6323" t="s">
        <v>86</v>
      </c>
      <c r="G6323" t="s">
        <v>48</v>
      </c>
      <c r="H6323" t="s">
        <v>49</v>
      </c>
      <c r="I6323" t="s">
        <v>50</v>
      </c>
      <c r="J6323" t="s">
        <v>6991</v>
      </c>
      <c r="K6323" t="s">
        <v>6828</v>
      </c>
      <c r="L6323" t="s">
        <v>53</v>
      </c>
      <c r="N6323" t="s">
        <v>11346</v>
      </c>
      <c r="P6323" t="s">
        <v>55</v>
      </c>
      <c r="R6323" t="s">
        <v>53</v>
      </c>
      <c r="T6323" t="s">
        <v>11347</v>
      </c>
      <c r="U6323" t="s">
        <v>58</v>
      </c>
      <c r="V6323">
        <v>1</v>
      </c>
      <c r="W6323">
        <v>1</v>
      </c>
      <c r="X6323">
        <v>2</v>
      </c>
      <c r="Y6323">
        <v>0</v>
      </c>
      <c r="Z6323">
        <v>2</v>
      </c>
      <c r="AA6323">
        <v>180.02</v>
      </c>
      <c r="AB6323">
        <v>180.02</v>
      </c>
      <c r="AC6323">
        <v>158.4</v>
      </c>
      <c r="AD6323">
        <v>0</v>
      </c>
      <c r="AE6323">
        <v>21.62</v>
      </c>
      <c r="AF6323">
        <v>0</v>
      </c>
      <c r="AG6323">
        <v>0</v>
      </c>
      <c r="AH6323">
        <v>0</v>
      </c>
      <c r="AI6323">
        <v>32.4</v>
      </c>
      <c r="AJ6323">
        <v>180.02</v>
      </c>
      <c r="AK6323">
        <v>0</v>
      </c>
      <c r="AL6323" t="s">
        <v>53</v>
      </c>
      <c r="AM6323" t="s">
        <v>53</v>
      </c>
      <c r="AN6323" t="s">
        <v>53</v>
      </c>
      <c r="AO6323" t="s">
        <v>53</v>
      </c>
      <c r="AP6323" t="s">
        <v>53</v>
      </c>
    </row>
    <row r="6324" spans="2:42" x14ac:dyDescent="0.2">
      <c r="B6324" t="s">
        <v>44</v>
      </c>
      <c r="C6324" t="str">
        <f>HYPERLINK("https://us2.cloudbeds.com/connect/8493803454333002#/reservations/9080486846672455?display=3268RHDPPG&amp;reservation_id=9080486846672455", "3268RHDPPG")</f>
        <v>3268RHDPPG</v>
      </c>
      <c r="D6324" t="s">
        <v>45</v>
      </c>
      <c r="E6324" t="s">
        <v>179</v>
      </c>
      <c r="F6324" t="s">
        <v>47</v>
      </c>
      <c r="G6324" t="s">
        <v>48</v>
      </c>
      <c r="H6324" t="s">
        <v>49</v>
      </c>
      <c r="I6324" t="s">
        <v>50</v>
      </c>
      <c r="J6324" t="s">
        <v>9725</v>
      </c>
      <c r="K6324" t="s">
        <v>9610</v>
      </c>
      <c r="L6324" t="s">
        <v>53</v>
      </c>
      <c r="N6324" t="s">
        <v>11348</v>
      </c>
      <c r="P6324" t="s">
        <v>55</v>
      </c>
      <c r="R6324" t="s">
        <v>53</v>
      </c>
      <c r="T6324" t="s">
        <v>11349</v>
      </c>
      <c r="U6324" t="s">
        <v>58</v>
      </c>
      <c r="V6324">
        <v>1</v>
      </c>
      <c r="W6324">
        <v>1</v>
      </c>
      <c r="X6324">
        <v>2</v>
      </c>
      <c r="Y6324">
        <v>0</v>
      </c>
      <c r="Z6324">
        <v>2</v>
      </c>
      <c r="AA6324">
        <v>154.44999999999999</v>
      </c>
      <c r="AB6324">
        <v>154.44999999999999</v>
      </c>
      <c r="AC6324">
        <v>135.9</v>
      </c>
      <c r="AD6324">
        <v>0</v>
      </c>
      <c r="AE6324">
        <v>18.55</v>
      </c>
      <c r="AF6324">
        <v>0</v>
      </c>
      <c r="AG6324">
        <v>0</v>
      </c>
      <c r="AH6324">
        <v>0</v>
      </c>
      <c r="AI6324">
        <v>27.8</v>
      </c>
      <c r="AJ6324">
        <v>154.44999999999999</v>
      </c>
      <c r="AK6324">
        <v>0</v>
      </c>
      <c r="AL6324" t="s">
        <v>53</v>
      </c>
      <c r="AM6324" t="s">
        <v>53</v>
      </c>
      <c r="AN6324" t="s">
        <v>53</v>
      </c>
      <c r="AO6324" t="s">
        <v>53</v>
      </c>
      <c r="AP6324" t="s">
        <v>53</v>
      </c>
    </row>
    <row r="6325" spans="2:42" x14ac:dyDescent="0.2">
      <c r="B6325" t="s">
        <v>44</v>
      </c>
      <c r="C6325" t="str">
        <f>HYPERLINK("https://us2.cloudbeds.com/connect/8493803454333002#/reservations/9080486846672478?display=3269RRX71H&amp;reservation_id=9080486846672478", "3269RRX71H")</f>
        <v>3269RRX71H</v>
      </c>
      <c r="D6325" t="s">
        <v>45</v>
      </c>
      <c r="E6325" t="s">
        <v>98</v>
      </c>
      <c r="F6325" t="s">
        <v>86</v>
      </c>
      <c r="G6325" t="s">
        <v>48</v>
      </c>
      <c r="H6325" t="s">
        <v>49</v>
      </c>
      <c r="I6325" t="s">
        <v>50</v>
      </c>
      <c r="J6325" t="s">
        <v>6828</v>
      </c>
      <c r="K6325" t="s">
        <v>6829</v>
      </c>
      <c r="L6325" t="s">
        <v>53</v>
      </c>
      <c r="N6325" t="s">
        <v>11350</v>
      </c>
      <c r="P6325" t="s">
        <v>55</v>
      </c>
      <c r="R6325" t="s">
        <v>53</v>
      </c>
      <c r="T6325" t="s">
        <v>11351</v>
      </c>
      <c r="U6325" t="s">
        <v>58</v>
      </c>
      <c r="V6325">
        <v>2</v>
      </c>
      <c r="W6325">
        <v>1</v>
      </c>
      <c r="X6325">
        <v>1</v>
      </c>
      <c r="Y6325">
        <v>0</v>
      </c>
      <c r="Z6325">
        <v>1</v>
      </c>
      <c r="AA6325">
        <v>367.2</v>
      </c>
      <c r="AB6325">
        <v>367.2</v>
      </c>
      <c r="AC6325">
        <v>323.10000000000002</v>
      </c>
      <c r="AD6325">
        <v>0</v>
      </c>
      <c r="AE6325">
        <v>44.1</v>
      </c>
      <c r="AF6325">
        <v>0</v>
      </c>
      <c r="AG6325">
        <v>0</v>
      </c>
      <c r="AH6325">
        <v>0</v>
      </c>
      <c r="AI6325">
        <v>66.099999999999994</v>
      </c>
      <c r="AJ6325">
        <v>367.2</v>
      </c>
      <c r="AK6325">
        <v>0</v>
      </c>
      <c r="AL6325" t="s">
        <v>53</v>
      </c>
      <c r="AM6325" t="s">
        <v>53</v>
      </c>
      <c r="AN6325" t="s">
        <v>53</v>
      </c>
      <c r="AO6325" t="s">
        <v>53</v>
      </c>
      <c r="AP6325" t="s">
        <v>53</v>
      </c>
    </row>
    <row r="6326" spans="2:42" x14ac:dyDescent="0.2">
      <c r="B6326" t="s">
        <v>44</v>
      </c>
      <c r="C6326" t="str">
        <f>HYPERLINK("https://us2.cloudbeds.com/connect/8493803454333002#/reservations/9080486846672839?display=326SUD4RPW&amp;reservation_id=9080486846672839", "326SUD4RPW")</f>
        <v>326SUD4RPW</v>
      </c>
      <c r="D6326" t="s">
        <v>45</v>
      </c>
      <c r="E6326" t="s">
        <v>179</v>
      </c>
      <c r="F6326" t="s">
        <v>47</v>
      </c>
      <c r="G6326" t="s">
        <v>48</v>
      </c>
      <c r="H6326" t="s">
        <v>49</v>
      </c>
      <c r="I6326" t="s">
        <v>62</v>
      </c>
      <c r="J6326" t="s">
        <v>6991</v>
      </c>
      <c r="K6326" t="s">
        <v>6828</v>
      </c>
      <c r="L6326" t="s">
        <v>53</v>
      </c>
      <c r="N6326" t="s">
        <v>11352</v>
      </c>
      <c r="P6326" t="s">
        <v>55</v>
      </c>
      <c r="R6326" t="s">
        <v>56</v>
      </c>
      <c r="T6326" t="s">
        <v>11353</v>
      </c>
      <c r="U6326" t="s">
        <v>55</v>
      </c>
      <c r="V6326">
        <v>1</v>
      </c>
      <c r="W6326">
        <v>1</v>
      </c>
      <c r="X6326">
        <v>2</v>
      </c>
      <c r="Y6326">
        <v>0</v>
      </c>
      <c r="Z6326">
        <v>2</v>
      </c>
      <c r="AA6326">
        <v>168</v>
      </c>
      <c r="AB6326">
        <v>168</v>
      </c>
      <c r="AC6326">
        <v>168</v>
      </c>
      <c r="AD6326">
        <v>0</v>
      </c>
      <c r="AE6326">
        <v>0</v>
      </c>
      <c r="AF6326">
        <v>0</v>
      </c>
      <c r="AG6326">
        <v>0</v>
      </c>
      <c r="AH6326">
        <v>0</v>
      </c>
      <c r="AI6326">
        <v>30.24</v>
      </c>
      <c r="AJ6326">
        <v>168</v>
      </c>
      <c r="AK6326">
        <v>0</v>
      </c>
      <c r="AL6326" t="s">
        <v>53</v>
      </c>
      <c r="AM6326" t="s">
        <v>53</v>
      </c>
      <c r="AN6326" t="s">
        <v>53</v>
      </c>
      <c r="AO6326" t="s">
        <v>53</v>
      </c>
      <c r="AP6326" t="s">
        <v>53</v>
      </c>
    </row>
    <row r="6327" spans="2:42" x14ac:dyDescent="0.2">
      <c r="B6327" t="s">
        <v>44</v>
      </c>
      <c r="C6327" t="str">
        <f>HYPERLINK("https://us2.cloudbeds.com/connect/8493803454333002#/reservations/9080486846674124?display=3296QU9NHH&amp;reservation_id=9080486846674124", "3296QU9NHH")</f>
        <v>3296QU9NHH</v>
      </c>
      <c r="D6327" t="s">
        <v>45</v>
      </c>
      <c r="E6327" t="s">
        <v>179</v>
      </c>
      <c r="F6327" t="s">
        <v>47</v>
      </c>
      <c r="G6327" t="s">
        <v>48</v>
      </c>
      <c r="H6327" t="s">
        <v>49</v>
      </c>
      <c r="I6327" t="s">
        <v>62</v>
      </c>
      <c r="J6327" t="s">
        <v>8139</v>
      </c>
      <c r="K6327" t="s">
        <v>7293</v>
      </c>
      <c r="L6327" t="s">
        <v>53</v>
      </c>
      <c r="N6327" t="s">
        <v>11354</v>
      </c>
      <c r="P6327" t="s">
        <v>55</v>
      </c>
      <c r="R6327" t="s">
        <v>201</v>
      </c>
      <c r="T6327" t="s">
        <v>11355</v>
      </c>
      <c r="U6327" t="s">
        <v>55</v>
      </c>
      <c r="V6327">
        <v>1</v>
      </c>
      <c r="W6327">
        <v>1</v>
      </c>
      <c r="X6327">
        <v>2</v>
      </c>
      <c r="Y6327">
        <v>0</v>
      </c>
      <c r="Z6327">
        <v>2</v>
      </c>
      <c r="AA6327">
        <v>166</v>
      </c>
      <c r="AB6327">
        <v>166</v>
      </c>
      <c r="AC6327">
        <v>166</v>
      </c>
      <c r="AD6327">
        <v>0</v>
      </c>
      <c r="AE6327">
        <v>0</v>
      </c>
      <c r="AF6327">
        <v>0</v>
      </c>
      <c r="AG6327">
        <v>0</v>
      </c>
      <c r="AH6327">
        <v>0</v>
      </c>
      <c r="AI6327">
        <v>29.88</v>
      </c>
      <c r="AJ6327">
        <v>166</v>
      </c>
      <c r="AK6327">
        <v>0</v>
      </c>
      <c r="AL6327" t="s">
        <v>53</v>
      </c>
      <c r="AM6327" t="s">
        <v>53</v>
      </c>
      <c r="AN6327" t="s">
        <v>53</v>
      </c>
      <c r="AO6327" t="s">
        <v>53</v>
      </c>
      <c r="AP6327" t="s">
        <v>53</v>
      </c>
    </row>
    <row r="6328" spans="2:42" x14ac:dyDescent="0.2">
      <c r="B6328" t="s">
        <v>44</v>
      </c>
      <c r="C6328" t="str">
        <f>HYPERLINK("https://us2.cloudbeds.com/connect/8493803454333002#/reservations/9080486846674772?display=32A6G6THBV&amp;reservation_id=9080486846674772", "32A6G6THBV")</f>
        <v>32A6G6THBV</v>
      </c>
      <c r="D6328" t="s">
        <v>45</v>
      </c>
      <c r="E6328" t="s">
        <v>98</v>
      </c>
      <c r="F6328" t="s">
        <v>86</v>
      </c>
      <c r="G6328" t="s">
        <v>48</v>
      </c>
      <c r="H6328" t="s">
        <v>49</v>
      </c>
      <c r="I6328" t="s">
        <v>62</v>
      </c>
      <c r="J6328" t="s">
        <v>6991</v>
      </c>
      <c r="K6328" t="s">
        <v>6828</v>
      </c>
      <c r="L6328" t="s">
        <v>53</v>
      </c>
      <c r="N6328" t="s">
        <v>11356</v>
      </c>
      <c r="P6328" t="s">
        <v>55</v>
      </c>
      <c r="R6328" t="s">
        <v>56</v>
      </c>
      <c r="T6328" t="s">
        <v>11357</v>
      </c>
      <c r="U6328" t="s">
        <v>55</v>
      </c>
      <c r="V6328">
        <v>1</v>
      </c>
      <c r="W6328">
        <v>1</v>
      </c>
      <c r="X6328">
        <v>2</v>
      </c>
      <c r="Y6328">
        <v>0</v>
      </c>
      <c r="Z6328">
        <v>2</v>
      </c>
      <c r="AA6328">
        <v>188</v>
      </c>
      <c r="AB6328">
        <v>188</v>
      </c>
      <c r="AC6328">
        <v>188</v>
      </c>
      <c r="AD6328">
        <v>0</v>
      </c>
      <c r="AE6328">
        <v>0</v>
      </c>
      <c r="AF6328">
        <v>0</v>
      </c>
      <c r="AG6328">
        <v>0</v>
      </c>
      <c r="AH6328">
        <v>0</v>
      </c>
      <c r="AI6328">
        <v>33.840000000000003</v>
      </c>
      <c r="AJ6328">
        <v>188</v>
      </c>
      <c r="AK6328">
        <v>0</v>
      </c>
      <c r="AL6328" t="s">
        <v>53</v>
      </c>
      <c r="AM6328" t="s">
        <v>53</v>
      </c>
      <c r="AN6328" t="s">
        <v>53</v>
      </c>
      <c r="AO6328" t="s">
        <v>53</v>
      </c>
      <c r="AP6328" t="s">
        <v>53</v>
      </c>
    </row>
    <row r="6329" spans="2:42" x14ac:dyDescent="0.2">
      <c r="B6329" t="s">
        <v>44</v>
      </c>
      <c r="C6329" t="str">
        <f>HYPERLINK("https://us2.cloudbeds.com/connect/8493803454333002#/reservations/9080486846675973?display=32BFXA5VVH&amp;reservation_id=9080486846675973", "32BFXA5VVH")</f>
        <v>32BFXA5VVH</v>
      </c>
      <c r="D6329" t="s">
        <v>45</v>
      </c>
      <c r="E6329" t="s">
        <v>46</v>
      </c>
      <c r="F6329" t="s">
        <v>47</v>
      </c>
      <c r="G6329" t="s">
        <v>48</v>
      </c>
      <c r="H6329" t="s">
        <v>49</v>
      </c>
      <c r="I6329" t="s">
        <v>50</v>
      </c>
      <c r="J6329" t="s">
        <v>6828</v>
      </c>
      <c r="K6329" t="s">
        <v>6992</v>
      </c>
      <c r="L6329" t="s">
        <v>53</v>
      </c>
      <c r="N6329" t="s">
        <v>11358</v>
      </c>
      <c r="P6329" t="s">
        <v>55</v>
      </c>
      <c r="R6329" t="s">
        <v>53</v>
      </c>
      <c r="T6329" t="s">
        <v>11359</v>
      </c>
      <c r="U6329" t="s">
        <v>58</v>
      </c>
      <c r="V6329">
        <v>1</v>
      </c>
      <c r="W6329">
        <v>1</v>
      </c>
      <c r="X6329">
        <v>2</v>
      </c>
      <c r="Y6329">
        <v>0</v>
      </c>
      <c r="Z6329">
        <v>2</v>
      </c>
      <c r="AA6329">
        <v>213.77</v>
      </c>
      <c r="AB6329">
        <v>213.77</v>
      </c>
      <c r="AC6329">
        <v>188.1</v>
      </c>
      <c r="AD6329">
        <v>0</v>
      </c>
      <c r="AE6329">
        <v>25.67</v>
      </c>
      <c r="AF6329">
        <v>0</v>
      </c>
      <c r="AG6329">
        <v>0</v>
      </c>
      <c r="AH6329">
        <v>0</v>
      </c>
      <c r="AI6329">
        <v>38.479999999999997</v>
      </c>
      <c r="AJ6329">
        <v>213.77</v>
      </c>
      <c r="AK6329">
        <v>0</v>
      </c>
      <c r="AL6329" t="s">
        <v>53</v>
      </c>
      <c r="AM6329" t="s">
        <v>53</v>
      </c>
      <c r="AN6329" t="s">
        <v>53</v>
      </c>
      <c r="AO6329" t="s">
        <v>53</v>
      </c>
      <c r="AP6329" t="s">
        <v>53</v>
      </c>
    </row>
    <row r="6330" spans="2:42" x14ac:dyDescent="0.2">
      <c r="B6330" t="s">
        <v>44</v>
      </c>
      <c r="C6330" t="str">
        <f>HYPERLINK("https://us2.cloudbeds.com/connect/8493803454333002#/reservations/9080486846676102?display=32BK7P1ZZZ&amp;reservation_id=9080486846676102", "32BK7P1ZZZ")</f>
        <v>32BK7P1ZZZ</v>
      </c>
      <c r="D6330" t="s">
        <v>45</v>
      </c>
      <c r="E6330" t="s">
        <v>69</v>
      </c>
      <c r="F6330" t="s">
        <v>70</v>
      </c>
      <c r="G6330" t="s">
        <v>48</v>
      </c>
      <c r="H6330" t="s">
        <v>49</v>
      </c>
      <c r="I6330" t="s">
        <v>62</v>
      </c>
      <c r="J6330" t="s">
        <v>6829</v>
      </c>
      <c r="K6330" t="s">
        <v>8686</v>
      </c>
      <c r="L6330" t="s">
        <v>53</v>
      </c>
      <c r="N6330" t="s">
        <v>11360</v>
      </c>
      <c r="P6330" t="s">
        <v>55</v>
      </c>
      <c r="R6330" t="s">
        <v>56</v>
      </c>
      <c r="T6330" t="s">
        <v>11361</v>
      </c>
      <c r="U6330" t="s">
        <v>55</v>
      </c>
      <c r="V6330">
        <v>1</v>
      </c>
      <c r="W6330">
        <v>1</v>
      </c>
      <c r="X6330">
        <v>2</v>
      </c>
      <c r="Y6330">
        <v>0</v>
      </c>
      <c r="Z6330">
        <v>2</v>
      </c>
      <c r="AA6330">
        <v>109</v>
      </c>
      <c r="AB6330">
        <v>109</v>
      </c>
      <c r="AC6330">
        <v>109</v>
      </c>
      <c r="AD6330">
        <v>0</v>
      </c>
      <c r="AE6330">
        <v>0</v>
      </c>
      <c r="AF6330">
        <v>0</v>
      </c>
      <c r="AG6330">
        <v>0</v>
      </c>
      <c r="AH6330">
        <v>0</v>
      </c>
      <c r="AI6330">
        <v>19.62</v>
      </c>
      <c r="AJ6330">
        <v>109</v>
      </c>
      <c r="AK6330">
        <v>0</v>
      </c>
      <c r="AL6330" t="s">
        <v>53</v>
      </c>
      <c r="AM6330" t="s">
        <v>53</v>
      </c>
      <c r="AN6330" t="s">
        <v>53</v>
      </c>
      <c r="AO6330" t="s">
        <v>53</v>
      </c>
      <c r="AP6330" t="s">
        <v>53</v>
      </c>
    </row>
    <row r="6331" spans="2:42" x14ac:dyDescent="0.2">
      <c r="B6331" t="s">
        <v>44</v>
      </c>
      <c r="C6331" t="str">
        <f>HYPERLINK("https://us2.cloudbeds.com/connect/8493803454333002#/reservations/142544838049970?display=32BM9064VP&amp;reservation_id=142544838049970", "32BM9064VP")</f>
        <v>32BM9064VP</v>
      </c>
      <c r="D6331" t="s">
        <v>45</v>
      </c>
      <c r="E6331" t="s">
        <v>155</v>
      </c>
      <c r="F6331" t="s">
        <v>86</v>
      </c>
      <c r="G6331" t="s">
        <v>4520</v>
      </c>
      <c r="H6331" t="s">
        <v>3957</v>
      </c>
      <c r="I6331" t="s">
        <v>3958</v>
      </c>
      <c r="J6331" t="s">
        <v>6991</v>
      </c>
      <c r="K6331" t="s">
        <v>6828</v>
      </c>
      <c r="L6331" t="s">
        <v>53</v>
      </c>
      <c r="P6331" t="s">
        <v>55</v>
      </c>
      <c r="R6331" t="s">
        <v>56</v>
      </c>
      <c r="T6331" t="s">
        <v>11362</v>
      </c>
      <c r="U6331" t="s">
        <v>58</v>
      </c>
      <c r="V6331">
        <v>1</v>
      </c>
      <c r="W6331">
        <v>1</v>
      </c>
      <c r="X6331">
        <v>1</v>
      </c>
      <c r="Y6331">
        <v>0</v>
      </c>
      <c r="Z6331">
        <v>1</v>
      </c>
      <c r="AA6331">
        <v>192.29</v>
      </c>
      <c r="AB6331">
        <v>192.29</v>
      </c>
      <c r="AC6331">
        <v>169.2</v>
      </c>
      <c r="AD6331">
        <v>0</v>
      </c>
      <c r="AE6331">
        <v>23.09</v>
      </c>
      <c r="AF6331">
        <v>0</v>
      </c>
      <c r="AG6331">
        <v>0</v>
      </c>
      <c r="AH6331">
        <v>0</v>
      </c>
      <c r="AI6331">
        <v>0</v>
      </c>
      <c r="AJ6331">
        <v>192.29</v>
      </c>
      <c r="AK6331">
        <v>0</v>
      </c>
      <c r="AL6331" t="s">
        <v>53</v>
      </c>
      <c r="AM6331" t="s">
        <v>53</v>
      </c>
      <c r="AN6331" t="s">
        <v>53</v>
      </c>
      <c r="AO6331" t="s">
        <v>53</v>
      </c>
      <c r="AP6331" t="s">
        <v>53</v>
      </c>
    </row>
    <row r="6332" spans="2:42" x14ac:dyDescent="0.2">
      <c r="B6332" t="s">
        <v>44</v>
      </c>
      <c r="C6332" t="str">
        <f>HYPERLINK("https://us2.cloudbeds.com/connect/8493803454333002#/reservations/9080486846676251?display=32BPGMK2CH&amp;reservation_id=9080486846676251", "32BPGMK2CH")</f>
        <v>32BPGMK2CH</v>
      </c>
      <c r="D6332" t="s">
        <v>45</v>
      </c>
      <c r="E6332" t="s">
        <v>113</v>
      </c>
      <c r="F6332" t="s">
        <v>61</v>
      </c>
      <c r="G6332" t="s">
        <v>48</v>
      </c>
      <c r="H6332" t="s">
        <v>49</v>
      </c>
      <c r="I6332" t="s">
        <v>50</v>
      </c>
      <c r="J6332" t="s">
        <v>10717</v>
      </c>
      <c r="K6332" t="s">
        <v>6380</v>
      </c>
      <c r="L6332" t="s">
        <v>53</v>
      </c>
      <c r="N6332" t="s">
        <v>11363</v>
      </c>
      <c r="P6332" t="s">
        <v>55</v>
      </c>
      <c r="R6332" t="s">
        <v>53</v>
      </c>
      <c r="T6332" t="s">
        <v>11364</v>
      </c>
      <c r="U6332" t="s">
        <v>58</v>
      </c>
      <c r="V6332">
        <v>1</v>
      </c>
      <c r="W6332">
        <v>1</v>
      </c>
      <c r="X6332">
        <v>2</v>
      </c>
      <c r="Y6332">
        <v>0</v>
      </c>
      <c r="Z6332">
        <v>2</v>
      </c>
      <c r="AA6332">
        <v>189.47</v>
      </c>
      <c r="AB6332">
        <v>189.47</v>
      </c>
      <c r="AC6332">
        <v>166.72</v>
      </c>
      <c r="AD6332">
        <v>0</v>
      </c>
      <c r="AE6332">
        <v>22.75</v>
      </c>
      <c r="AF6332">
        <v>0</v>
      </c>
      <c r="AG6332">
        <v>0</v>
      </c>
      <c r="AH6332">
        <v>0</v>
      </c>
      <c r="AI6332">
        <v>34.1</v>
      </c>
      <c r="AJ6332">
        <v>189.47</v>
      </c>
      <c r="AK6332">
        <v>0</v>
      </c>
      <c r="AL6332" t="s">
        <v>53</v>
      </c>
      <c r="AM6332" t="s">
        <v>53</v>
      </c>
      <c r="AN6332" t="s">
        <v>53</v>
      </c>
      <c r="AO6332" t="s">
        <v>53</v>
      </c>
      <c r="AP6332" t="s">
        <v>53</v>
      </c>
    </row>
    <row r="6333" spans="2:42" x14ac:dyDescent="0.2">
      <c r="B6333" t="s">
        <v>44</v>
      </c>
      <c r="C6333" t="str">
        <f>HYPERLINK("https://us2.cloudbeds.com/connect/8493803454333002#/reservations/9080486846677122?display=32CPFGQZ53&amp;reservation_id=9080486846677122", "32CPFGQZ53")</f>
        <v>32CPFGQZ53</v>
      </c>
      <c r="D6333" t="s">
        <v>45</v>
      </c>
      <c r="E6333" t="s">
        <v>110</v>
      </c>
      <c r="F6333" t="s">
        <v>47</v>
      </c>
      <c r="G6333" t="s">
        <v>48</v>
      </c>
      <c r="H6333" t="s">
        <v>49</v>
      </c>
      <c r="I6333" t="s">
        <v>50</v>
      </c>
      <c r="J6333" t="s">
        <v>6991</v>
      </c>
      <c r="K6333" t="s">
        <v>6828</v>
      </c>
      <c r="L6333" t="s">
        <v>53</v>
      </c>
      <c r="N6333" t="s">
        <v>11365</v>
      </c>
      <c r="P6333" t="s">
        <v>55</v>
      </c>
      <c r="R6333" t="s">
        <v>53</v>
      </c>
      <c r="T6333" t="s">
        <v>11366</v>
      </c>
      <c r="U6333" t="s">
        <v>58</v>
      </c>
      <c r="V6333">
        <v>1</v>
      </c>
      <c r="W6333">
        <v>1</v>
      </c>
      <c r="X6333">
        <v>1</v>
      </c>
      <c r="Y6333">
        <v>0</v>
      </c>
      <c r="Z6333">
        <v>1</v>
      </c>
      <c r="AA6333">
        <v>173.89</v>
      </c>
      <c r="AB6333">
        <v>173.89</v>
      </c>
      <c r="AC6333">
        <v>153</v>
      </c>
      <c r="AD6333">
        <v>0</v>
      </c>
      <c r="AE6333">
        <v>20.89</v>
      </c>
      <c r="AF6333">
        <v>0</v>
      </c>
      <c r="AG6333">
        <v>0</v>
      </c>
      <c r="AH6333">
        <v>0</v>
      </c>
      <c r="AI6333">
        <v>31.3</v>
      </c>
      <c r="AJ6333">
        <v>173.89</v>
      </c>
      <c r="AK6333">
        <v>0</v>
      </c>
      <c r="AL6333" t="s">
        <v>53</v>
      </c>
      <c r="AM6333" t="s">
        <v>53</v>
      </c>
      <c r="AN6333" t="s">
        <v>53</v>
      </c>
      <c r="AO6333" t="s">
        <v>53</v>
      </c>
      <c r="AP6333" t="s">
        <v>53</v>
      </c>
    </row>
    <row r="6334" spans="2:42" x14ac:dyDescent="0.2">
      <c r="B6334" t="s">
        <v>44</v>
      </c>
      <c r="C6334" t="str">
        <f>HYPERLINK("https://us2.cloudbeds.com/connect/8493803454333002#/reservations/9080486846677124?display=32CPKUZ6SE&amp;reservation_id=9080486846677124", "32CPKUZ6SE")</f>
        <v>32CPKUZ6SE</v>
      </c>
      <c r="D6334" t="s">
        <v>45</v>
      </c>
      <c r="E6334" t="s">
        <v>381</v>
      </c>
      <c r="F6334" t="s">
        <v>47</v>
      </c>
      <c r="G6334" t="s">
        <v>48</v>
      </c>
      <c r="H6334" t="s">
        <v>49</v>
      </c>
      <c r="I6334" t="s">
        <v>50</v>
      </c>
      <c r="J6334" t="s">
        <v>6991</v>
      </c>
      <c r="K6334" t="s">
        <v>6828</v>
      </c>
      <c r="L6334" t="s">
        <v>53</v>
      </c>
      <c r="N6334" t="s">
        <v>11367</v>
      </c>
      <c r="P6334" t="s">
        <v>55</v>
      </c>
      <c r="R6334" t="s">
        <v>53</v>
      </c>
      <c r="T6334" t="s">
        <v>11368</v>
      </c>
      <c r="U6334" t="s">
        <v>58</v>
      </c>
      <c r="V6334">
        <v>1</v>
      </c>
      <c r="W6334">
        <v>1</v>
      </c>
      <c r="X6334">
        <v>2</v>
      </c>
      <c r="Y6334">
        <v>0</v>
      </c>
      <c r="Z6334">
        <v>2</v>
      </c>
      <c r="AA6334">
        <v>173.89</v>
      </c>
      <c r="AB6334">
        <v>173.89</v>
      </c>
      <c r="AC6334">
        <v>153</v>
      </c>
      <c r="AD6334">
        <v>0</v>
      </c>
      <c r="AE6334">
        <v>20.89</v>
      </c>
      <c r="AF6334">
        <v>0</v>
      </c>
      <c r="AG6334">
        <v>0</v>
      </c>
      <c r="AH6334">
        <v>0</v>
      </c>
      <c r="AI6334">
        <v>31.3</v>
      </c>
      <c r="AJ6334">
        <v>173.89</v>
      </c>
      <c r="AK6334">
        <v>0</v>
      </c>
      <c r="AL6334" t="s">
        <v>53</v>
      </c>
      <c r="AM6334" t="s">
        <v>53</v>
      </c>
      <c r="AN6334" t="s">
        <v>53</v>
      </c>
      <c r="AO6334" t="s">
        <v>53</v>
      </c>
      <c r="AP6334" t="s">
        <v>53</v>
      </c>
    </row>
    <row r="6335" spans="2:42" x14ac:dyDescent="0.2">
      <c r="B6335" t="s">
        <v>44</v>
      </c>
      <c r="C6335" t="str">
        <f>HYPERLINK("https://us2.cloudbeds.com/connect/8493803454333002#/reservations/142609452953821?display=32D6A26396&amp;reservation_id=142609452953821", "32D6A26396")</f>
        <v>32D6A26396</v>
      </c>
      <c r="D6335" t="s">
        <v>45</v>
      </c>
      <c r="E6335" t="s">
        <v>92</v>
      </c>
      <c r="F6335" t="s">
        <v>86</v>
      </c>
      <c r="G6335" t="s">
        <v>4520</v>
      </c>
      <c r="H6335" t="s">
        <v>3957</v>
      </c>
      <c r="I6335" t="s">
        <v>3958</v>
      </c>
      <c r="J6335" t="s">
        <v>5743</v>
      </c>
      <c r="K6335" t="s">
        <v>5744</v>
      </c>
      <c r="L6335" t="s">
        <v>53</v>
      </c>
      <c r="P6335" t="s">
        <v>55</v>
      </c>
      <c r="R6335" t="s">
        <v>56</v>
      </c>
      <c r="T6335" t="s">
        <v>11369</v>
      </c>
      <c r="U6335" t="s">
        <v>58</v>
      </c>
      <c r="V6335">
        <v>2</v>
      </c>
      <c r="W6335">
        <v>1</v>
      </c>
      <c r="X6335">
        <v>1</v>
      </c>
      <c r="Y6335">
        <v>0</v>
      </c>
      <c r="Z6335">
        <v>1</v>
      </c>
      <c r="AA6335">
        <v>505.3</v>
      </c>
      <c r="AB6335">
        <v>505.3</v>
      </c>
      <c r="AC6335">
        <v>444.6</v>
      </c>
      <c r="AD6335">
        <v>0</v>
      </c>
      <c r="AE6335">
        <v>60.7</v>
      </c>
      <c r="AF6335">
        <v>0</v>
      </c>
      <c r="AG6335">
        <v>0</v>
      </c>
      <c r="AH6335">
        <v>0</v>
      </c>
      <c r="AI6335">
        <v>0</v>
      </c>
      <c r="AJ6335">
        <v>505.3</v>
      </c>
      <c r="AK6335">
        <v>0</v>
      </c>
      <c r="AL6335" t="s">
        <v>53</v>
      </c>
      <c r="AM6335" t="s">
        <v>53</v>
      </c>
      <c r="AN6335" t="s">
        <v>53</v>
      </c>
      <c r="AO6335" t="s">
        <v>53</v>
      </c>
      <c r="AP6335" t="s">
        <v>53</v>
      </c>
    </row>
    <row r="6336" spans="2:42" x14ac:dyDescent="0.2">
      <c r="B6336" t="s">
        <v>44</v>
      </c>
      <c r="C6336" t="str">
        <f>HYPERLINK("https://us2.cloudbeds.com/connect/8493803454333002#/reservations/9080486846678116?display=32EBJE723B&amp;reservation_id=9080486846678116", "32EBJE723B")</f>
        <v>32EBJE723B</v>
      </c>
      <c r="D6336" t="s">
        <v>45</v>
      </c>
      <c r="E6336" t="s">
        <v>105</v>
      </c>
      <c r="F6336" t="s">
        <v>47</v>
      </c>
      <c r="G6336" t="s">
        <v>48</v>
      </c>
      <c r="H6336" t="s">
        <v>49</v>
      </c>
      <c r="I6336" t="s">
        <v>50</v>
      </c>
      <c r="J6336" t="s">
        <v>10723</v>
      </c>
      <c r="K6336" t="s">
        <v>11370</v>
      </c>
      <c r="L6336" t="s">
        <v>53</v>
      </c>
      <c r="N6336" t="s">
        <v>11371</v>
      </c>
      <c r="P6336" t="s">
        <v>55</v>
      </c>
      <c r="R6336" t="s">
        <v>53</v>
      </c>
      <c r="T6336" t="s">
        <v>11372</v>
      </c>
      <c r="U6336" t="s">
        <v>58</v>
      </c>
      <c r="V6336">
        <v>2</v>
      </c>
      <c r="W6336">
        <v>1</v>
      </c>
      <c r="X6336">
        <v>2</v>
      </c>
      <c r="Y6336">
        <v>0</v>
      </c>
      <c r="Z6336">
        <v>2</v>
      </c>
      <c r="AA6336">
        <v>148.88999999999999</v>
      </c>
      <c r="AB6336">
        <v>148.88999999999999</v>
      </c>
      <c r="AC6336">
        <v>131</v>
      </c>
      <c r="AD6336">
        <v>0</v>
      </c>
      <c r="AE6336">
        <v>17.89</v>
      </c>
      <c r="AF6336">
        <v>0</v>
      </c>
      <c r="AG6336">
        <v>0</v>
      </c>
      <c r="AH6336">
        <v>0</v>
      </c>
      <c r="AI6336">
        <v>26.8</v>
      </c>
      <c r="AJ6336">
        <v>148.88999999999999</v>
      </c>
      <c r="AK6336">
        <v>0</v>
      </c>
      <c r="AL6336" t="s">
        <v>53</v>
      </c>
      <c r="AM6336" t="s">
        <v>53</v>
      </c>
      <c r="AN6336" t="s">
        <v>53</v>
      </c>
      <c r="AO6336" t="s">
        <v>53</v>
      </c>
      <c r="AP6336" t="s">
        <v>53</v>
      </c>
    </row>
    <row r="6337" spans="2:42" x14ac:dyDescent="0.2">
      <c r="B6337" t="s">
        <v>44</v>
      </c>
      <c r="C6337" t="str">
        <f>HYPERLINK("https://us2.cloudbeds.com/connect/8493803454333002#/reservations/9080486846680549?display=32XX43F5NZ&amp;reservation_id=9080486846680549", "32XX43F5NZ")</f>
        <v>32XX43F5NZ</v>
      </c>
      <c r="D6337" t="s">
        <v>45</v>
      </c>
      <c r="E6337" t="s">
        <v>381</v>
      </c>
      <c r="F6337" t="s">
        <v>47</v>
      </c>
      <c r="G6337" t="s">
        <v>48</v>
      </c>
      <c r="H6337" t="s">
        <v>49</v>
      </c>
      <c r="I6337" t="s">
        <v>50</v>
      </c>
      <c r="J6337" t="s">
        <v>6828</v>
      </c>
      <c r="K6337" t="s">
        <v>6992</v>
      </c>
      <c r="L6337" t="s">
        <v>53</v>
      </c>
      <c r="N6337" t="s">
        <v>11373</v>
      </c>
      <c r="P6337" t="s">
        <v>55</v>
      </c>
      <c r="R6337" t="s">
        <v>53</v>
      </c>
      <c r="T6337" t="s">
        <v>11374</v>
      </c>
      <c r="U6337" t="s">
        <v>58</v>
      </c>
      <c r="V6337">
        <v>1</v>
      </c>
      <c r="W6337">
        <v>1</v>
      </c>
      <c r="X6337">
        <v>1</v>
      </c>
      <c r="Y6337">
        <v>0</v>
      </c>
      <c r="Z6337">
        <v>1</v>
      </c>
      <c r="AA6337">
        <v>198.04</v>
      </c>
      <c r="AB6337">
        <v>198.04</v>
      </c>
      <c r="AC6337">
        <v>174.25</v>
      </c>
      <c r="AD6337">
        <v>0</v>
      </c>
      <c r="AE6337">
        <v>23.79</v>
      </c>
      <c r="AF6337">
        <v>0</v>
      </c>
      <c r="AG6337">
        <v>0</v>
      </c>
      <c r="AH6337">
        <v>0</v>
      </c>
      <c r="AI6337">
        <v>35.65</v>
      </c>
      <c r="AJ6337">
        <v>198.04</v>
      </c>
      <c r="AK6337">
        <v>0</v>
      </c>
      <c r="AL6337" t="s">
        <v>53</v>
      </c>
      <c r="AM6337" t="s">
        <v>53</v>
      </c>
      <c r="AN6337" t="s">
        <v>53</v>
      </c>
      <c r="AO6337" t="s">
        <v>53</v>
      </c>
      <c r="AP6337" t="s">
        <v>53</v>
      </c>
    </row>
    <row r="6338" spans="2:42" x14ac:dyDescent="0.2">
      <c r="B6338" t="s">
        <v>44</v>
      </c>
      <c r="C6338" t="str">
        <f>HYPERLINK("https://us2.cloudbeds.com/connect/8493803454333002#/reservations/142851863249115?display=32XT06VTS8&amp;reservation_id=142851863249115", "32XT06VTS8")</f>
        <v>32XT06VTS8</v>
      </c>
      <c r="D6338" t="s">
        <v>45</v>
      </c>
      <c r="E6338" t="s">
        <v>69</v>
      </c>
      <c r="F6338" t="s">
        <v>70</v>
      </c>
      <c r="G6338" t="s">
        <v>3974</v>
      </c>
      <c r="H6338" t="s">
        <v>3957</v>
      </c>
      <c r="I6338" t="s">
        <v>3975</v>
      </c>
      <c r="J6338" t="s">
        <v>5403</v>
      </c>
      <c r="K6338" t="s">
        <v>5905</v>
      </c>
      <c r="L6338" t="s">
        <v>53</v>
      </c>
      <c r="P6338" t="s">
        <v>55</v>
      </c>
      <c r="R6338" t="s">
        <v>56</v>
      </c>
      <c r="T6338" t="s">
        <v>11375</v>
      </c>
      <c r="U6338" t="s">
        <v>58</v>
      </c>
      <c r="V6338">
        <v>1</v>
      </c>
      <c r="W6338">
        <v>1</v>
      </c>
      <c r="X6338">
        <v>1</v>
      </c>
      <c r="Y6338">
        <v>0</v>
      </c>
      <c r="Z6338">
        <v>1</v>
      </c>
      <c r="AA6338">
        <v>127.4</v>
      </c>
      <c r="AB6338">
        <v>127.4</v>
      </c>
      <c r="AC6338">
        <v>112.1</v>
      </c>
      <c r="AD6338">
        <v>0</v>
      </c>
      <c r="AE6338">
        <v>15.3</v>
      </c>
      <c r="AF6338">
        <v>0</v>
      </c>
      <c r="AG6338">
        <v>0</v>
      </c>
      <c r="AH6338">
        <v>0</v>
      </c>
      <c r="AI6338">
        <v>0</v>
      </c>
      <c r="AJ6338">
        <v>127.4</v>
      </c>
      <c r="AK6338">
        <v>0</v>
      </c>
      <c r="AL6338" t="s">
        <v>53</v>
      </c>
      <c r="AM6338" t="s">
        <v>53</v>
      </c>
      <c r="AN6338" t="s">
        <v>53</v>
      </c>
      <c r="AO6338" t="s">
        <v>53</v>
      </c>
      <c r="AP6338" t="s">
        <v>53</v>
      </c>
    </row>
    <row r="6339" spans="2:42" x14ac:dyDescent="0.2">
      <c r="B6339" t="s">
        <v>44</v>
      </c>
      <c r="C6339" t="str">
        <f>HYPERLINK("https://us2.cloudbeds.com/connect/8493803454333002#/reservations/9080486846681213?display=32J8GGAWXB&amp;reservation_id=9080486846681213", "32J8GGAWXB")</f>
        <v>32J8GGAWXB</v>
      </c>
      <c r="D6339" t="s">
        <v>45</v>
      </c>
      <c r="E6339" t="s">
        <v>373</v>
      </c>
      <c r="F6339" t="s">
        <v>47</v>
      </c>
      <c r="G6339" t="s">
        <v>48</v>
      </c>
      <c r="H6339" t="s">
        <v>49</v>
      </c>
      <c r="I6339" t="s">
        <v>62</v>
      </c>
      <c r="J6339" t="s">
        <v>7293</v>
      </c>
      <c r="K6339" t="s">
        <v>7294</v>
      </c>
      <c r="L6339" t="s">
        <v>53</v>
      </c>
      <c r="N6339" t="s">
        <v>11376</v>
      </c>
      <c r="P6339" t="s">
        <v>55</v>
      </c>
      <c r="R6339" t="s">
        <v>56</v>
      </c>
      <c r="T6339" t="s">
        <v>11377</v>
      </c>
      <c r="U6339" t="s">
        <v>55</v>
      </c>
      <c r="V6339">
        <v>1</v>
      </c>
      <c r="W6339">
        <v>1</v>
      </c>
      <c r="X6339">
        <v>2</v>
      </c>
      <c r="Y6339">
        <v>0</v>
      </c>
      <c r="Z6339">
        <v>2</v>
      </c>
      <c r="AA6339">
        <v>179.55</v>
      </c>
      <c r="AB6339">
        <v>179.55</v>
      </c>
      <c r="AC6339">
        <v>179.55</v>
      </c>
      <c r="AD6339">
        <v>0</v>
      </c>
      <c r="AE6339">
        <v>0</v>
      </c>
      <c r="AF6339">
        <v>0</v>
      </c>
      <c r="AG6339">
        <v>0</v>
      </c>
      <c r="AH6339">
        <v>0</v>
      </c>
      <c r="AI6339">
        <v>32.32</v>
      </c>
      <c r="AJ6339">
        <v>179.55</v>
      </c>
      <c r="AK6339">
        <v>0</v>
      </c>
      <c r="AL6339" t="s">
        <v>53</v>
      </c>
      <c r="AM6339" t="s">
        <v>53</v>
      </c>
      <c r="AN6339" t="s">
        <v>53</v>
      </c>
      <c r="AO6339" t="s">
        <v>53</v>
      </c>
      <c r="AP6339" t="s">
        <v>53</v>
      </c>
    </row>
    <row r="6340" spans="2:42" x14ac:dyDescent="0.2">
      <c r="B6340" t="s">
        <v>44</v>
      </c>
      <c r="C6340" t="str">
        <f>HYPERLINK("https://us2.cloudbeds.com/connect/8493803454333002#/reservations/9080486846681884?display=32JSYRB1JK&amp;reservation_id=9080486846681884", "32JSYRB1JK")</f>
        <v>32JSYRB1JK</v>
      </c>
      <c r="D6340" t="s">
        <v>45</v>
      </c>
      <c r="E6340" t="s">
        <v>110</v>
      </c>
      <c r="F6340" t="s">
        <v>47</v>
      </c>
      <c r="G6340" t="s">
        <v>48</v>
      </c>
      <c r="H6340" t="s">
        <v>49</v>
      </c>
      <c r="I6340" t="s">
        <v>50</v>
      </c>
      <c r="J6340" t="s">
        <v>8866</v>
      </c>
      <c r="K6340" t="s">
        <v>11378</v>
      </c>
      <c r="L6340" t="s">
        <v>53</v>
      </c>
      <c r="N6340" t="s">
        <v>11379</v>
      </c>
      <c r="P6340" t="s">
        <v>55</v>
      </c>
      <c r="R6340" t="s">
        <v>53</v>
      </c>
      <c r="T6340" t="s">
        <v>11380</v>
      </c>
      <c r="U6340" t="s">
        <v>58</v>
      </c>
      <c r="V6340">
        <v>2</v>
      </c>
      <c r="W6340">
        <v>1</v>
      </c>
      <c r="X6340">
        <v>2</v>
      </c>
      <c r="Y6340">
        <v>0</v>
      </c>
      <c r="Z6340">
        <v>2</v>
      </c>
      <c r="AA6340">
        <v>194.34</v>
      </c>
      <c r="AB6340">
        <v>282.76</v>
      </c>
      <c r="AC6340">
        <v>171</v>
      </c>
      <c r="AD6340">
        <v>0</v>
      </c>
      <c r="AE6340">
        <v>23.34</v>
      </c>
      <c r="AF6340">
        <v>0</v>
      </c>
      <c r="AG6340">
        <v>0</v>
      </c>
      <c r="AH6340">
        <v>0</v>
      </c>
      <c r="AI6340">
        <v>34.979999999999997</v>
      </c>
      <c r="AJ6340">
        <v>194.34</v>
      </c>
      <c r="AK6340">
        <v>0</v>
      </c>
      <c r="AL6340" t="s">
        <v>53</v>
      </c>
      <c r="AM6340" t="s">
        <v>53</v>
      </c>
      <c r="AN6340" t="s">
        <v>53</v>
      </c>
      <c r="AO6340" t="s">
        <v>53</v>
      </c>
      <c r="AP6340" t="s">
        <v>53</v>
      </c>
    </row>
    <row r="6341" spans="2:42" x14ac:dyDescent="0.2">
      <c r="B6341" t="s">
        <v>44</v>
      </c>
      <c r="C6341" t="str">
        <f>HYPERLINK("https://us2.cloudbeds.com/connect/8493803454333002#/reservations/9080486846681922?display=32JU0RXWRR&amp;reservation_id=9080486846681922", "32JU0RXWRR")</f>
        <v>32JU0RXWRR</v>
      </c>
      <c r="D6341" t="s">
        <v>45</v>
      </c>
      <c r="E6341" t="s">
        <v>165</v>
      </c>
      <c r="F6341" t="s">
        <v>61</v>
      </c>
      <c r="G6341" t="s">
        <v>48</v>
      </c>
      <c r="H6341" t="s">
        <v>49</v>
      </c>
      <c r="I6341" t="s">
        <v>62</v>
      </c>
      <c r="J6341" t="s">
        <v>11381</v>
      </c>
      <c r="K6341" t="s">
        <v>11382</v>
      </c>
      <c r="L6341" t="s">
        <v>53</v>
      </c>
      <c r="N6341" t="s">
        <v>11383</v>
      </c>
      <c r="P6341" t="s">
        <v>55</v>
      </c>
      <c r="R6341" t="s">
        <v>56</v>
      </c>
      <c r="T6341" t="s">
        <v>11384</v>
      </c>
      <c r="U6341" t="s">
        <v>55</v>
      </c>
      <c r="V6341">
        <v>3</v>
      </c>
      <c r="W6341">
        <v>1</v>
      </c>
      <c r="X6341">
        <v>2</v>
      </c>
      <c r="Y6341">
        <v>0</v>
      </c>
      <c r="Z6341">
        <v>2</v>
      </c>
      <c r="AA6341">
        <v>351.5</v>
      </c>
      <c r="AB6341">
        <v>351.5</v>
      </c>
      <c r="AC6341">
        <v>351.5</v>
      </c>
      <c r="AD6341">
        <v>0</v>
      </c>
      <c r="AE6341">
        <v>0</v>
      </c>
      <c r="AF6341">
        <v>0</v>
      </c>
      <c r="AG6341">
        <v>0</v>
      </c>
      <c r="AH6341">
        <v>0</v>
      </c>
      <c r="AI6341">
        <v>63.27</v>
      </c>
      <c r="AJ6341">
        <v>351.5</v>
      </c>
      <c r="AK6341">
        <v>0</v>
      </c>
      <c r="AL6341" t="s">
        <v>53</v>
      </c>
      <c r="AM6341" t="s">
        <v>53</v>
      </c>
      <c r="AN6341" t="s">
        <v>53</v>
      </c>
      <c r="AO6341" t="s">
        <v>53</v>
      </c>
      <c r="AP6341" t="s">
        <v>53</v>
      </c>
    </row>
    <row r="6342" spans="2:42" x14ac:dyDescent="0.2">
      <c r="B6342" t="s">
        <v>44</v>
      </c>
      <c r="C6342" t="str">
        <f>HYPERLINK("https://us2.cloudbeds.com/connect/8493803454333002#/reservations/9080486846681983?display=32JW128WE0&amp;reservation_id=9080486846681983", "32JW128WE0")</f>
        <v>32JW128WE0</v>
      </c>
      <c r="D6342" t="s">
        <v>45</v>
      </c>
      <c r="E6342" t="s">
        <v>265</v>
      </c>
      <c r="F6342" t="s">
        <v>61</v>
      </c>
      <c r="G6342" t="s">
        <v>48</v>
      </c>
      <c r="H6342" t="s">
        <v>49</v>
      </c>
      <c r="I6342" t="s">
        <v>50</v>
      </c>
      <c r="J6342" t="s">
        <v>9688</v>
      </c>
      <c r="K6342" t="s">
        <v>8615</v>
      </c>
      <c r="L6342" t="s">
        <v>53</v>
      </c>
      <c r="N6342" t="s">
        <v>11385</v>
      </c>
      <c r="P6342" t="s">
        <v>55</v>
      </c>
      <c r="R6342" t="s">
        <v>53</v>
      </c>
      <c r="T6342" t="s">
        <v>11386</v>
      </c>
      <c r="U6342" t="s">
        <v>58</v>
      </c>
      <c r="V6342">
        <v>2</v>
      </c>
      <c r="W6342">
        <v>1</v>
      </c>
      <c r="X6342">
        <v>2</v>
      </c>
      <c r="Y6342">
        <v>0</v>
      </c>
      <c r="Z6342">
        <v>2</v>
      </c>
      <c r="AA6342">
        <v>377.03</v>
      </c>
      <c r="AB6342">
        <v>377.03</v>
      </c>
      <c r="AC6342">
        <v>331.74</v>
      </c>
      <c r="AD6342">
        <v>0</v>
      </c>
      <c r="AE6342">
        <v>45.29</v>
      </c>
      <c r="AF6342">
        <v>0</v>
      </c>
      <c r="AG6342">
        <v>0</v>
      </c>
      <c r="AH6342">
        <v>0</v>
      </c>
      <c r="AI6342">
        <v>67.87</v>
      </c>
      <c r="AJ6342">
        <v>377.03</v>
      </c>
      <c r="AK6342">
        <v>0</v>
      </c>
      <c r="AL6342" t="s">
        <v>53</v>
      </c>
      <c r="AM6342" t="s">
        <v>53</v>
      </c>
      <c r="AN6342" t="s">
        <v>53</v>
      </c>
      <c r="AO6342" t="s">
        <v>53</v>
      </c>
      <c r="AP6342" t="s">
        <v>53</v>
      </c>
    </row>
    <row r="6343" spans="2:42" x14ac:dyDescent="0.2">
      <c r="B6343" t="s">
        <v>44</v>
      </c>
      <c r="C6343" t="str">
        <f>HYPERLINK("https://us2.cloudbeds.com/connect/8493803454333002#/reservations/9080486846682464?display=32KF84TT8Q&amp;reservation_id=9080486846682464", "32KF84TT8Q")</f>
        <v>32KF84TT8Q</v>
      </c>
      <c r="D6343" t="s">
        <v>45</v>
      </c>
      <c r="E6343" t="s">
        <v>128</v>
      </c>
      <c r="F6343" t="s">
        <v>86</v>
      </c>
      <c r="G6343" t="s">
        <v>48</v>
      </c>
      <c r="H6343" t="s">
        <v>49</v>
      </c>
      <c r="I6343" t="s">
        <v>62</v>
      </c>
      <c r="J6343" t="s">
        <v>9291</v>
      </c>
      <c r="K6343" t="s">
        <v>11387</v>
      </c>
      <c r="L6343" t="s">
        <v>53</v>
      </c>
      <c r="N6343" t="s">
        <v>11388</v>
      </c>
      <c r="P6343" t="s">
        <v>55</v>
      </c>
      <c r="R6343" t="s">
        <v>201</v>
      </c>
      <c r="T6343" t="s">
        <v>11389</v>
      </c>
      <c r="U6343" t="s">
        <v>55</v>
      </c>
      <c r="V6343">
        <v>1</v>
      </c>
      <c r="W6343">
        <v>1</v>
      </c>
      <c r="X6343">
        <v>2</v>
      </c>
      <c r="Y6343">
        <v>1</v>
      </c>
      <c r="Z6343">
        <v>3</v>
      </c>
      <c r="AA6343">
        <v>163</v>
      </c>
      <c r="AB6343">
        <v>163</v>
      </c>
      <c r="AC6343">
        <v>163</v>
      </c>
      <c r="AD6343">
        <v>0</v>
      </c>
      <c r="AE6343">
        <v>0</v>
      </c>
      <c r="AF6343">
        <v>0</v>
      </c>
      <c r="AG6343">
        <v>0</v>
      </c>
      <c r="AH6343">
        <v>0</v>
      </c>
      <c r="AI6343">
        <v>29.34</v>
      </c>
      <c r="AJ6343">
        <v>163</v>
      </c>
      <c r="AK6343">
        <v>0</v>
      </c>
      <c r="AL6343" t="s">
        <v>53</v>
      </c>
      <c r="AM6343" t="s">
        <v>53</v>
      </c>
      <c r="AN6343" t="s">
        <v>53</v>
      </c>
      <c r="AO6343" t="s">
        <v>53</v>
      </c>
      <c r="AP6343" t="s">
        <v>53</v>
      </c>
    </row>
    <row r="6344" spans="2:42" x14ac:dyDescent="0.2">
      <c r="B6344" t="s">
        <v>44</v>
      </c>
      <c r="C6344" t="str">
        <f>HYPERLINK("https://us2.cloudbeds.com/connect/8493803454333002#/reservations/9080486846682633?display=32KKPA5XRK&amp;reservation_id=9080486846682633", "32KKPA5XRK")</f>
        <v>32KKPA5XRK</v>
      </c>
      <c r="D6344" t="s">
        <v>45</v>
      </c>
      <c r="E6344" t="s">
        <v>128</v>
      </c>
      <c r="F6344" t="s">
        <v>86</v>
      </c>
      <c r="G6344" t="s">
        <v>48</v>
      </c>
      <c r="H6344" t="s">
        <v>49</v>
      </c>
      <c r="I6344" t="s">
        <v>50</v>
      </c>
      <c r="J6344" t="s">
        <v>6829</v>
      </c>
      <c r="K6344" t="s">
        <v>8686</v>
      </c>
      <c r="L6344" t="s">
        <v>53</v>
      </c>
      <c r="N6344" t="s">
        <v>11390</v>
      </c>
      <c r="P6344" t="s">
        <v>55</v>
      </c>
      <c r="R6344" t="s">
        <v>53</v>
      </c>
      <c r="T6344" t="s">
        <v>11391</v>
      </c>
      <c r="U6344" t="s">
        <v>58</v>
      </c>
      <c r="V6344">
        <v>1</v>
      </c>
      <c r="W6344">
        <v>1</v>
      </c>
      <c r="X6344">
        <v>2</v>
      </c>
      <c r="Y6344">
        <v>0</v>
      </c>
      <c r="Z6344">
        <v>2</v>
      </c>
      <c r="AA6344">
        <v>136.38</v>
      </c>
      <c r="AB6344">
        <v>136.38</v>
      </c>
      <c r="AC6344">
        <v>120</v>
      </c>
      <c r="AD6344">
        <v>0</v>
      </c>
      <c r="AE6344">
        <v>16.38</v>
      </c>
      <c r="AF6344">
        <v>0</v>
      </c>
      <c r="AG6344">
        <v>0</v>
      </c>
      <c r="AH6344">
        <v>0</v>
      </c>
      <c r="AI6344">
        <v>24.55</v>
      </c>
      <c r="AJ6344">
        <v>136.38</v>
      </c>
      <c r="AK6344">
        <v>0</v>
      </c>
      <c r="AL6344" t="s">
        <v>53</v>
      </c>
      <c r="AM6344" t="s">
        <v>53</v>
      </c>
      <c r="AN6344" t="s">
        <v>53</v>
      </c>
      <c r="AO6344" t="s">
        <v>53</v>
      </c>
      <c r="AP6344" t="s">
        <v>53</v>
      </c>
    </row>
    <row r="6345" spans="2:42" x14ac:dyDescent="0.2">
      <c r="B6345" t="s">
        <v>44</v>
      </c>
      <c r="C6345" t="str">
        <f>HYPERLINK("https://us2.cloudbeds.com/connect/8493803454333002#/reservations/9080486846682747?display=32KZ4NRC0H&amp;reservation_id=9080486846682747", "32KZ4NRC0H")</f>
        <v>32KZ4NRC0H</v>
      </c>
      <c r="D6345" t="s">
        <v>45</v>
      </c>
      <c r="E6345" t="s">
        <v>105</v>
      </c>
      <c r="F6345" t="s">
        <v>47</v>
      </c>
      <c r="G6345" t="s">
        <v>48</v>
      </c>
      <c r="H6345" t="s">
        <v>49</v>
      </c>
      <c r="I6345" t="s">
        <v>8964</v>
      </c>
      <c r="J6345" t="s">
        <v>5402</v>
      </c>
      <c r="K6345" t="s">
        <v>8138</v>
      </c>
      <c r="L6345" t="s">
        <v>53</v>
      </c>
      <c r="N6345" t="s">
        <v>11392</v>
      </c>
      <c r="P6345" t="s">
        <v>55</v>
      </c>
      <c r="R6345" t="s">
        <v>53</v>
      </c>
      <c r="T6345" t="s">
        <v>11393</v>
      </c>
      <c r="U6345" t="s">
        <v>55</v>
      </c>
      <c r="V6345">
        <v>1</v>
      </c>
      <c r="W6345">
        <v>1</v>
      </c>
      <c r="X6345">
        <v>2</v>
      </c>
      <c r="Y6345">
        <v>0</v>
      </c>
      <c r="Z6345">
        <v>2</v>
      </c>
      <c r="AA6345">
        <v>0</v>
      </c>
      <c r="AB6345">
        <v>0</v>
      </c>
      <c r="AC6345">
        <v>209</v>
      </c>
      <c r="AD6345">
        <v>0</v>
      </c>
      <c r="AE6345">
        <v>0</v>
      </c>
      <c r="AF6345">
        <v>0</v>
      </c>
      <c r="AG6345">
        <v>0</v>
      </c>
      <c r="AH6345">
        <v>0</v>
      </c>
      <c r="AI6345">
        <v>31.35</v>
      </c>
      <c r="AJ6345">
        <v>209</v>
      </c>
      <c r="AK6345">
        <v>209</v>
      </c>
      <c r="AL6345" t="s">
        <v>53</v>
      </c>
      <c r="AM6345" t="s">
        <v>53</v>
      </c>
      <c r="AN6345" t="s">
        <v>53</v>
      </c>
      <c r="AO6345" t="s">
        <v>53</v>
      </c>
      <c r="AP6345" t="s">
        <v>53</v>
      </c>
    </row>
    <row r="6346" spans="2:42" x14ac:dyDescent="0.2">
      <c r="B6346" t="s">
        <v>44</v>
      </c>
      <c r="C6346" t="str">
        <f>HYPERLINK("https://us2.cloudbeds.com/connect/8493803454333002#/reservations/9080486846682768?display=32KZM7RXT4&amp;reservation_id=9080486846682768", "32KZM7RXT4")</f>
        <v>32KZM7RXT4</v>
      </c>
      <c r="D6346" t="s">
        <v>45</v>
      </c>
      <c r="E6346" t="s">
        <v>185</v>
      </c>
      <c r="F6346" t="s">
        <v>47</v>
      </c>
      <c r="G6346" t="s">
        <v>48</v>
      </c>
      <c r="H6346" t="s">
        <v>49</v>
      </c>
      <c r="I6346" t="s">
        <v>50</v>
      </c>
      <c r="J6346" t="s">
        <v>8616</v>
      </c>
      <c r="K6346" t="s">
        <v>6380</v>
      </c>
      <c r="L6346" t="s">
        <v>53</v>
      </c>
      <c r="N6346" t="s">
        <v>11394</v>
      </c>
      <c r="P6346" t="s">
        <v>55</v>
      </c>
      <c r="R6346" t="s">
        <v>53</v>
      </c>
      <c r="T6346" t="s">
        <v>11395</v>
      </c>
      <c r="U6346" t="s">
        <v>58</v>
      </c>
      <c r="V6346">
        <v>2</v>
      </c>
      <c r="W6346">
        <v>1</v>
      </c>
      <c r="X6346">
        <v>2</v>
      </c>
      <c r="Y6346">
        <v>0</v>
      </c>
      <c r="Z6346">
        <v>2</v>
      </c>
      <c r="AA6346">
        <v>310.94</v>
      </c>
      <c r="AB6346">
        <v>310.94</v>
      </c>
      <c r="AC6346">
        <v>273.60000000000002</v>
      </c>
      <c r="AD6346">
        <v>0</v>
      </c>
      <c r="AE6346">
        <v>37.340000000000003</v>
      </c>
      <c r="AF6346">
        <v>0</v>
      </c>
      <c r="AG6346">
        <v>0</v>
      </c>
      <c r="AH6346">
        <v>0</v>
      </c>
      <c r="AI6346">
        <v>55.97</v>
      </c>
      <c r="AJ6346">
        <v>310.94</v>
      </c>
      <c r="AK6346">
        <v>0</v>
      </c>
      <c r="AL6346" t="s">
        <v>53</v>
      </c>
      <c r="AM6346" t="s">
        <v>53</v>
      </c>
      <c r="AN6346" t="s">
        <v>53</v>
      </c>
      <c r="AO6346" t="s">
        <v>53</v>
      </c>
      <c r="AP6346" t="s">
        <v>53</v>
      </c>
    </row>
    <row r="6347" spans="2:42" x14ac:dyDescent="0.2">
      <c r="B6347" t="s">
        <v>44</v>
      </c>
      <c r="C6347" t="str">
        <f>HYPERLINK("https://us2.cloudbeds.com/connect/8493803454333002#/reservations/9080486846683204?display=32Y6SXPZFB&amp;reservation_id=9080486846683204", "32Y6SXPZFB")</f>
        <v>32Y6SXPZFB</v>
      </c>
      <c r="D6347" t="s">
        <v>45</v>
      </c>
      <c r="E6347" t="s">
        <v>190</v>
      </c>
      <c r="F6347" t="s">
        <v>61</v>
      </c>
      <c r="G6347" t="s">
        <v>48</v>
      </c>
      <c r="H6347" t="s">
        <v>49</v>
      </c>
      <c r="I6347" t="s">
        <v>50</v>
      </c>
      <c r="J6347" t="s">
        <v>5403</v>
      </c>
      <c r="K6347" t="s">
        <v>5905</v>
      </c>
      <c r="L6347" t="s">
        <v>53</v>
      </c>
      <c r="N6347" t="s">
        <v>11396</v>
      </c>
      <c r="P6347" t="s">
        <v>55</v>
      </c>
      <c r="R6347" t="s">
        <v>53</v>
      </c>
      <c r="T6347" t="s">
        <v>11397</v>
      </c>
      <c r="U6347" t="s">
        <v>58</v>
      </c>
      <c r="V6347">
        <v>1</v>
      </c>
      <c r="W6347">
        <v>1</v>
      </c>
      <c r="X6347">
        <v>2</v>
      </c>
      <c r="Y6347">
        <v>0</v>
      </c>
      <c r="Z6347">
        <v>2</v>
      </c>
      <c r="AA6347">
        <v>159.4</v>
      </c>
      <c r="AB6347">
        <v>159.4</v>
      </c>
      <c r="AC6347">
        <v>140.25</v>
      </c>
      <c r="AD6347">
        <v>0</v>
      </c>
      <c r="AE6347">
        <v>19.149999999999999</v>
      </c>
      <c r="AF6347">
        <v>0</v>
      </c>
      <c r="AG6347">
        <v>0</v>
      </c>
      <c r="AH6347">
        <v>0</v>
      </c>
      <c r="AI6347">
        <v>28.69</v>
      </c>
      <c r="AJ6347">
        <v>159.4</v>
      </c>
      <c r="AK6347">
        <v>0</v>
      </c>
      <c r="AL6347" t="s">
        <v>53</v>
      </c>
      <c r="AM6347" t="s">
        <v>53</v>
      </c>
      <c r="AN6347" t="s">
        <v>53</v>
      </c>
      <c r="AO6347" t="s">
        <v>53</v>
      </c>
      <c r="AP6347" t="s">
        <v>53</v>
      </c>
    </row>
    <row r="6348" spans="2:42" x14ac:dyDescent="0.2">
      <c r="B6348" t="s">
        <v>44</v>
      </c>
      <c r="C6348" t="str">
        <f>HYPERLINK("https://us2.cloudbeds.com/connect/8493803454333002#/reservations/9080486846683242?display=32Y8AC9R2V&amp;reservation_id=9080486846683242", "32Y8AC9R2V")</f>
        <v>32Y8AC9R2V</v>
      </c>
      <c r="D6348" t="s">
        <v>45</v>
      </c>
      <c r="E6348" t="s">
        <v>69</v>
      </c>
      <c r="F6348" t="s">
        <v>70</v>
      </c>
      <c r="G6348" t="s">
        <v>48</v>
      </c>
      <c r="H6348" t="s">
        <v>49</v>
      </c>
      <c r="I6348" t="s">
        <v>50</v>
      </c>
      <c r="J6348" t="s">
        <v>8437</v>
      </c>
      <c r="K6348" t="s">
        <v>9928</v>
      </c>
      <c r="L6348" t="s">
        <v>53</v>
      </c>
      <c r="N6348" t="s">
        <v>11398</v>
      </c>
      <c r="P6348" t="s">
        <v>55</v>
      </c>
      <c r="R6348" t="s">
        <v>53</v>
      </c>
      <c r="T6348" t="s">
        <v>11399</v>
      </c>
      <c r="U6348" t="s">
        <v>58</v>
      </c>
      <c r="V6348">
        <v>1</v>
      </c>
      <c r="W6348">
        <v>1</v>
      </c>
      <c r="X6348">
        <v>2</v>
      </c>
      <c r="Y6348">
        <v>0</v>
      </c>
      <c r="Z6348">
        <v>2</v>
      </c>
      <c r="AA6348">
        <v>209.63</v>
      </c>
      <c r="AB6348">
        <v>209.63</v>
      </c>
      <c r="AC6348">
        <v>184.45</v>
      </c>
      <c r="AD6348">
        <v>0</v>
      </c>
      <c r="AE6348">
        <v>25.18</v>
      </c>
      <c r="AF6348">
        <v>0</v>
      </c>
      <c r="AG6348">
        <v>0</v>
      </c>
      <c r="AH6348">
        <v>0</v>
      </c>
      <c r="AI6348">
        <v>37.729999999999997</v>
      </c>
      <c r="AJ6348">
        <v>209.63</v>
      </c>
      <c r="AK6348">
        <v>0</v>
      </c>
      <c r="AL6348" t="s">
        <v>53</v>
      </c>
      <c r="AM6348" t="s">
        <v>53</v>
      </c>
      <c r="AN6348" t="s">
        <v>53</v>
      </c>
      <c r="AO6348" t="s">
        <v>53</v>
      </c>
      <c r="AP6348" t="s">
        <v>53</v>
      </c>
    </row>
    <row r="6349" spans="2:42" x14ac:dyDescent="0.2">
      <c r="B6349" t="s">
        <v>44</v>
      </c>
      <c r="C6349" t="str">
        <f>HYPERLINK("https://us2.cloudbeds.com/connect/8493803454333002#/reservations/9080486846683497?display=32YHEV42AT&amp;reservation_id=9080486846683497", "32YHEV42AT")</f>
        <v>32YHEV42AT</v>
      </c>
      <c r="D6349" t="s">
        <v>45</v>
      </c>
      <c r="E6349" t="s">
        <v>92</v>
      </c>
      <c r="F6349" t="s">
        <v>86</v>
      </c>
      <c r="G6349" t="s">
        <v>48</v>
      </c>
      <c r="H6349" t="s">
        <v>49</v>
      </c>
      <c r="I6349" t="s">
        <v>62</v>
      </c>
      <c r="J6349" t="s">
        <v>6829</v>
      </c>
      <c r="K6349" t="s">
        <v>5402</v>
      </c>
      <c r="L6349" t="s">
        <v>53</v>
      </c>
      <c r="N6349" t="s">
        <v>11400</v>
      </c>
      <c r="P6349" t="s">
        <v>55</v>
      </c>
      <c r="R6349" t="s">
        <v>56</v>
      </c>
      <c r="T6349" t="s">
        <v>11401</v>
      </c>
      <c r="U6349" t="s">
        <v>55</v>
      </c>
      <c r="V6349">
        <v>2</v>
      </c>
      <c r="W6349">
        <v>1</v>
      </c>
      <c r="X6349">
        <v>2</v>
      </c>
      <c r="Y6349">
        <v>0</v>
      </c>
      <c r="Z6349">
        <v>2</v>
      </c>
      <c r="AA6349">
        <v>373</v>
      </c>
      <c r="AB6349">
        <v>373</v>
      </c>
      <c r="AC6349">
        <v>373</v>
      </c>
      <c r="AD6349">
        <v>0</v>
      </c>
      <c r="AE6349">
        <v>0</v>
      </c>
      <c r="AF6349">
        <v>0</v>
      </c>
      <c r="AG6349">
        <v>0</v>
      </c>
      <c r="AH6349">
        <v>0</v>
      </c>
      <c r="AI6349">
        <v>67.14</v>
      </c>
      <c r="AJ6349">
        <v>373</v>
      </c>
      <c r="AK6349">
        <v>0</v>
      </c>
      <c r="AL6349" t="s">
        <v>53</v>
      </c>
      <c r="AM6349" t="s">
        <v>53</v>
      </c>
      <c r="AN6349" t="s">
        <v>53</v>
      </c>
      <c r="AO6349" t="s">
        <v>53</v>
      </c>
      <c r="AP6349" t="s">
        <v>53</v>
      </c>
    </row>
    <row r="6350" spans="2:42" x14ac:dyDescent="0.2">
      <c r="B6350" t="s">
        <v>44</v>
      </c>
      <c r="C6350" t="str">
        <f>HYPERLINK("https://us2.cloudbeds.com/connect/8493803454333002#/reservations/142991472959623?display=32M53XXTMC&amp;reservation_id=142991472959623", "32M53XXTMC")</f>
        <v>32M53XXTMC</v>
      </c>
      <c r="D6350" t="s">
        <v>45</v>
      </c>
      <c r="E6350" t="s">
        <v>190</v>
      </c>
      <c r="F6350" t="s">
        <v>61</v>
      </c>
      <c r="G6350" t="s">
        <v>48</v>
      </c>
      <c r="H6350" t="s">
        <v>3957</v>
      </c>
      <c r="I6350" t="s">
        <v>3975</v>
      </c>
      <c r="J6350" t="s">
        <v>6829</v>
      </c>
      <c r="K6350" t="s">
        <v>8686</v>
      </c>
      <c r="L6350" t="s">
        <v>53</v>
      </c>
      <c r="P6350" t="s">
        <v>55</v>
      </c>
      <c r="R6350" t="s">
        <v>56</v>
      </c>
      <c r="T6350" t="s">
        <v>11402</v>
      </c>
      <c r="U6350" t="s">
        <v>58</v>
      </c>
      <c r="V6350">
        <v>1</v>
      </c>
      <c r="W6350">
        <v>1</v>
      </c>
      <c r="X6350">
        <v>2</v>
      </c>
      <c r="Y6350">
        <v>0</v>
      </c>
      <c r="Z6350">
        <v>2</v>
      </c>
      <c r="AA6350">
        <v>189.8</v>
      </c>
      <c r="AB6350">
        <v>189.8</v>
      </c>
      <c r="AC6350">
        <v>167</v>
      </c>
      <c r="AD6350">
        <v>0</v>
      </c>
      <c r="AE6350">
        <v>22.8</v>
      </c>
      <c r="AF6350">
        <v>0</v>
      </c>
      <c r="AG6350">
        <v>0</v>
      </c>
      <c r="AH6350">
        <v>0</v>
      </c>
      <c r="AI6350">
        <v>0</v>
      </c>
      <c r="AJ6350">
        <v>189.8</v>
      </c>
      <c r="AK6350">
        <v>0</v>
      </c>
      <c r="AL6350" t="s">
        <v>53</v>
      </c>
      <c r="AM6350" t="s">
        <v>53</v>
      </c>
      <c r="AN6350" t="s">
        <v>53</v>
      </c>
      <c r="AO6350" t="s">
        <v>53</v>
      </c>
      <c r="AP6350" t="s">
        <v>53</v>
      </c>
    </row>
    <row r="6351" spans="2:42" x14ac:dyDescent="0.2">
      <c r="B6351" t="s">
        <v>44</v>
      </c>
      <c r="C6351" t="str">
        <f>HYPERLINK("https://us2.cloudbeds.com/connect/8493803454333002#/reservations/9080486846684592?display=32N66B24S3&amp;reservation_id=9080486846684592", "32N66B24S3")</f>
        <v>32N66B24S3</v>
      </c>
      <c r="D6351" t="s">
        <v>45</v>
      </c>
      <c r="E6351" t="s">
        <v>165</v>
      </c>
      <c r="F6351" t="s">
        <v>61</v>
      </c>
      <c r="G6351" t="s">
        <v>48</v>
      </c>
      <c r="H6351" t="s">
        <v>49</v>
      </c>
      <c r="I6351" t="s">
        <v>50</v>
      </c>
      <c r="J6351" t="s">
        <v>7493</v>
      </c>
      <c r="K6351" t="s">
        <v>6344</v>
      </c>
      <c r="L6351" t="s">
        <v>53</v>
      </c>
      <c r="N6351" t="s">
        <v>11403</v>
      </c>
      <c r="P6351" t="s">
        <v>55</v>
      </c>
      <c r="R6351" t="s">
        <v>53</v>
      </c>
      <c r="T6351" t="s">
        <v>11404</v>
      </c>
      <c r="U6351" t="s">
        <v>58</v>
      </c>
      <c r="V6351">
        <v>1</v>
      </c>
      <c r="W6351">
        <v>1</v>
      </c>
      <c r="X6351">
        <v>2</v>
      </c>
      <c r="Y6351">
        <v>0</v>
      </c>
      <c r="Z6351">
        <v>2</v>
      </c>
      <c r="AA6351">
        <v>159.68</v>
      </c>
      <c r="AB6351">
        <v>159.68</v>
      </c>
      <c r="AC6351">
        <v>140.5</v>
      </c>
      <c r="AD6351">
        <v>0</v>
      </c>
      <c r="AE6351">
        <v>19.18</v>
      </c>
      <c r="AF6351">
        <v>0</v>
      </c>
      <c r="AG6351">
        <v>0</v>
      </c>
      <c r="AH6351">
        <v>0</v>
      </c>
      <c r="AI6351">
        <v>28.74</v>
      </c>
      <c r="AJ6351">
        <v>159.68</v>
      </c>
      <c r="AK6351">
        <v>0</v>
      </c>
      <c r="AL6351" t="s">
        <v>53</v>
      </c>
      <c r="AM6351" t="s">
        <v>53</v>
      </c>
      <c r="AN6351" t="s">
        <v>53</v>
      </c>
      <c r="AO6351" t="s">
        <v>53</v>
      </c>
      <c r="AP6351" t="s">
        <v>53</v>
      </c>
    </row>
    <row r="6352" spans="2:42" x14ac:dyDescent="0.2">
      <c r="B6352" t="s">
        <v>44</v>
      </c>
      <c r="C6352" t="str">
        <f>HYPERLINK("https://us2.cloudbeds.com/connect/8493803454333002#/reservations/9080486846684965?display=32NR8R41HJ&amp;reservation_id=9080486846684965", "32NR8R41HJ")</f>
        <v>32NR8R41HJ</v>
      </c>
      <c r="D6352" t="s">
        <v>45</v>
      </c>
      <c r="E6352" t="s">
        <v>165</v>
      </c>
      <c r="F6352" t="s">
        <v>61</v>
      </c>
      <c r="G6352" t="s">
        <v>48</v>
      </c>
      <c r="H6352" t="s">
        <v>49</v>
      </c>
      <c r="I6352" t="s">
        <v>50</v>
      </c>
      <c r="J6352" t="s">
        <v>7438</v>
      </c>
      <c r="K6352" t="s">
        <v>11387</v>
      </c>
      <c r="L6352" t="s">
        <v>53</v>
      </c>
      <c r="N6352" t="s">
        <v>11405</v>
      </c>
      <c r="P6352" t="s">
        <v>55</v>
      </c>
      <c r="R6352" t="s">
        <v>53</v>
      </c>
      <c r="T6352" t="s">
        <v>11406</v>
      </c>
      <c r="U6352" t="s">
        <v>58</v>
      </c>
      <c r="V6352">
        <v>2</v>
      </c>
      <c r="W6352">
        <v>1</v>
      </c>
      <c r="X6352">
        <v>2</v>
      </c>
      <c r="Y6352">
        <v>0</v>
      </c>
      <c r="Z6352">
        <v>2</v>
      </c>
      <c r="AA6352">
        <v>247.04</v>
      </c>
      <c r="AB6352">
        <v>247.04</v>
      </c>
      <c r="AC6352">
        <v>217.36</v>
      </c>
      <c r="AD6352">
        <v>0</v>
      </c>
      <c r="AE6352">
        <v>29.68</v>
      </c>
      <c r="AF6352">
        <v>0</v>
      </c>
      <c r="AG6352">
        <v>0</v>
      </c>
      <c r="AH6352">
        <v>0</v>
      </c>
      <c r="AI6352">
        <v>44.47</v>
      </c>
      <c r="AJ6352">
        <v>247.04</v>
      </c>
      <c r="AK6352">
        <v>0</v>
      </c>
      <c r="AL6352" t="s">
        <v>53</v>
      </c>
      <c r="AM6352" t="s">
        <v>53</v>
      </c>
      <c r="AN6352" t="s">
        <v>53</v>
      </c>
      <c r="AO6352" t="s">
        <v>53</v>
      </c>
      <c r="AP6352" t="s">
        <v>53</v>
      </c>
    </row>
    <row r="6353" spans="2:42" x14ac:dyDescent="0.2">
      <c r="B6353" t="s">
        <v>44</v>
      </c>
      <c r="C6353" t="str">
        <f>HYPERLINK("https://us2.cloudbeds.com/connect/8493803454333002#/reservations/143220665360586?display=32RHXVMA7W&amp;reservation_id=143220665360586", "32RHXVMA7W")</f>
        <v>32RHXVMA7W</v>
      </c>
      <c r="D6353" t="s">
        <v>45</v>
      </c>
      <c r="E6353" t="s">
        <v>190</v>
      </c>
      <c r="F6353" t="s">
        <v>61</v>
      </c>
      <c r="G6353" t="s">
        <v>48</v>
      </c>
      <c r="H6353" t="s">
        <v>3957</v>
      </c>
      <c r="I6353" t="s">
        <v>3975</v>
      </c>
      <c r="J6353" t="s">
        <v>6992</v>
      </c>
      <c r="K6353" t="s">
        <v>6829</v>
      </c>
      <c r="L6353" t="s">
        <v>53</v>
      </c>
      <c r="P6353" t="s">
        <v>55</v>
      </c>
      <c r="R6353" t="s">
        <v>56</v>
      </c>
      <c r="T6353" t="s">
        <v>11407</v>
      </c>
      <c r="U6353" t="s">
        <v>58</v>
      </c>
      <c r="V6353">
        <v>1</v>
      </c>
      <c r="W6353">
        <v>1</v>
      </c>
      <c r="X6353">
        <v>2</v>
      </c>
      <c r="Y6353">
        <v>0</v>
      </c>
      <c r="Z6353">
        <v>2</v>
      </c>
      <c r="AA6353">
        <v>202.3</v>
      </c>
      <c r="AB6353">
        <v>202.3</v>
      </c>
      <c r="AC6353">
        <v>178</v>
      </c>
      <c r="AD6353">
        <v>0</v>
      </c>
      <c r="AE6353">
        <v>24.3</v>
      </c>
      <c r="AF6353">
        <v>0</v>
      </c>
      <c r="AG6353">
        <v>0</v>
      </c>
      <c r="AH6353">
        <v>0</v>
      </c>
      <c r="AI6353">
        <v>0</v>
      </c>
      <c r="AJ6353">
        <v>202.3</v>
      </c>
      <c r="AK6353">
        <v>0</v>
      </c>
      <c r="AL6353" t="s">
        <v>53</v>
      </c>
      <c r="AM6353" t="s">
        <v>53</v>
      </c>
      <c r="AN6353" t="s">
        <v>53</v>
      </c>
      <c r="AO6353" t="s">
        <v>53</v>
      </c>
      <c r="AP6353" t="s">
        <v>53</v>
      </c>
    </row>
    <row r="6354" spans="2:42" x14ac:dyDescent="0.2">
      <c r="B6354" t="s">
        <v>44</v>
      </c>
      <c r="C6354" t="str">
        <f>HYPERLINK("https://us2.cloudbeds.com/connect/8493803454333002#/reservations/9080486846688540?display=32S911G9X9&amp;reservation_id=9080486846688540", "32S911G9X9")</f>
        <v>32S911G9X9</v>
      </c>
      <c r="D6354" t="s">
        <v>45</v>
      </c>
      <c r="E6354" t="s">
        <v>487</v>
      </c>
      <c r="F6354" t="s">
        <v>61</v>
      </c>
      <c r="G6354" t="s">
        <v>48</v>
      </c>
      <c r="H6354" t="s">
        <v>49</v>
      </c>
      <c r="I6354" t="s">
        <v>50</v>
      </c>
      <c r="J6354" t="s">
        <v>7293</v>
      </c>
      <c r="K6354" t="s">
        <v>7294</v>
      </c>
      <c r="L6354" t="s">
        <v>53</v>
      </c>
      <c r="N6354" t="s">
        <v>11408</v>
      </c>
      <c r="P6354" t="s">
        <v>55</v>
      </c>
      <c r="R6354" t="s">
        <v>53</v>
      </c>
      <c r="T6354" t="s">
        <v>11409</v>
      </c>
      <c r="U6354" t="s">
        <v>58</v>
      </c>
      <c r="V6354">
        <v>1</v>
      </c>
      <c r="W6354">
        <v>1</v>
      </c>
      <c r="X6354">
        <v>2</v>
      </c>
      <c r="Y6354">
        <v>0</v>
      </c>
      <c r="Z6354">
        <v>2</v>
      </c>
      <c r="AA6354">
        <v>188.52</v>
      </c>
      <c r="AB6354">
        <v>191.23</v>
      </c>
      <c r="AC6354">
        <v>165.87</v>
      </c>
      <c r="AD6354">
        <v>2.5</v>
      </c>
      <c r="AE6354">
        <v>22.86</v>
      </c>
      <c r="AF6354">
        <v>0</v>
      </c>
      <c r="AG6354">
        <v>0</v>
      </c>
      <c r="AH6354">
        <v>0</v>
      </c>
      <c r="AI6354">
        <v>34.42</v>
      </c>
      <c r="AJ6354">
        <v>191.23</v>
      </c>
      <c r="AK6354">
        <v>0</v>
      </c>
      <c r="AL6354" t="s">
        <v>53</v>
      </c>
      <c r="AM6354" t="s">
        <v>53</v>
      </c>
      <c r="AN6354" t="s">
        <v>53</v>
      </c>
      <c r="AO6354" t="s">
        <v>53</v>
      </c>
      <c r="AP6354" t="s">
        <v>53</v>
      </c>
    </row>
    <row r="6355" spans="2:42" x14ac:dyDescent="0.2">
      <c r="B6355" t="s">
        <v>44</v>
      </c>
      <c r="C6355" t="str">
        <f>HYPERLINK("https://us2.cloudbeds.com/connect/8493803454333002#/reservations/9080486846688603?display=32SAS174AP&amp;reservation_id=9080486846688603", "32SAS174AP")</f>
        <v>32SAS174AP</v>
      </c>
      <c r="D6355" t="s">
        <v>45</v>
      </c>
      <c r="E6355" t="s">
        <v>305</v>
      </c>
      <c r="F6355" t="s">
        <v>61</v>
      </c>
      <c r="G6355" t="s">
        <v>48</v>
      </c>
      <c r="H6355" t="s">
        <v>49</v>
      </c>
      <c r="I6355" t="s">
        <v>50</v>
      </c>
      <c r="J6355" t="s">
        <v>6992</v>
      </c>
      <c r="K6355" t="s">
        <v>6829</v>
      </c>
      <c r="L6355" t="s">
        <v>53</v>
      </c>
      <c r="N6355" t="s">
        <v>11410</v>
      </c>
      <c r="P6355" t="s">
        <v>58</v>
      </c>
      <c r="R6355" t="s">
        <v>56</v>
      </c>
      <c r="T6355" t="s">
        <v>11411</v>
      </c>
      <c r="U6355" t="s">
        <v>58</v>
      </c>
      <c r="V6355">
        <v>1</v>
      </c>
      <c r="W6355">
        <v>1</v>
      </c>
      <c r="X6355">
        <v>2</v>
      </c>
      <c r="Y6355">
        <v>0</v>
      </c>
      <c r="Z6355">
        <v>2</v>
      </c>
      <c r="AA6355">
        <v>182.07</v>
      </c>
      <c r="AB6355">
        <v>182.07</v>
      </c>
      <c r="AC6355">
        <v>160.19999999999999</v>
      </c>
      <c r="AD6355">
        <v>0</v>
      </c>
      <c r="AE6355">
        <v>21.87</v>
      </c>
      <c r="AF6355">
        <v>0</v>
      </c>
      <c r="AG6355">
        <v>0</v>
      </c>
      <c r="AH6355">
        <v>0</v>
      </c>
      <c r="AI6355">
        <v>32.770000000000003</v>
      </c>
      <c r="AJ6355">
        <v>182.07</v>
      </c>
      <c r="AK6355">
        <v>0</v>
      </c>
      <c r="AL6355" t="s">
        <v>53</v>
      </c>
      <c r="AM6355" t="s">
        <v>53</v>
      </c>
      <c r="AN6355" t="s">
        <v>53</v>
      </c>
      <c r="AO6355" t="s">
        <v>53</v>
      </c>
      <c r="AP6355" t="s">
        <v>53</v>
      </c>
    </row>
    <row r="6356" spans="2:42" x14ac:dyDescent="0.2">
      <c r="B6356" t="s">
        <v>44</v>
      </c>
      <c r="C6356" t="str">
        <f>HYPERLINK("https://us2.cloudbeds.com/connect/8493803454333002#/reservations/9080486846688834?display=32SHP70GYR&amp;reservation_id=9080486846688834", "32SHP70GYR")</f>
        <v>32SHP70GYR</v>
      </c>
      <c r="D6356" t="s">
        <v>45</v>
      </c>
      <c r="E6356" t="s">
        <v>138</v>
      </c>
      <c r="F6356" t="s">
        <v>70</v>
      </c>
      <c r="G6356" t="s">
        <v>48</v>
      </c>
      <c r="H6356" t="s">
        <v>49</v>
      </c>
      <c r="I6356" t="s">
        <v>62</v>
      </c>
      <c r="J6356" t="s">
        <v>11412</v>
      </c>
      <c r="K6356" t="s">
        <v>11413</v>
      </c>
      <c r="L6356" t="s">
        <v>53</v>
      </c>
      <c r="N6356" t="s">
        <v>11414</v>
      </c>
      <c r="P6356" t="s">
        <v>55</v>
      </c>
      <c r="R6356" t="s">
        <v>56</v>
      </c>
      <c r="T6356" t="s">
        <v>11415</v>
      </c>
      <c r="U6356" t="s">
        <v>55</v>
      </c>
      <c r="V6356">
        <v>2</v>
      </c>
      <c r="W6356">
        <v>1</v>
      </c>
      <c r="X6356">
        <v>2</v>
      </c>
      <c r="Y6356">
        <v>0</v>
      </c>
      <c r="Z6356">
        <v>2</v>
      </c>
      <c r="AA6356">
        <v>193</v>
      </c>
      <c r="AB6356">
        <v>193</v>
      </c>
      <c r="AC6356">
        <v>193</v>
      </c>
      <c r="AD6356">
        <v>0</v>
      </c>
      <c r="AE6356">
        <v>0</v>
      </c>
      <c r="AF6356">
        <v>0</v>
      </c>
      <c r="AG6356">
        <v>0</v>
      </c>
      <c r="AH6356">
        <v>0</v>
      </c>
      <c r="AI6356">
        <v>34.74</v>
      </c>
      <c r="AJ6356">
        <v>193</v>
      </c>
      <c r="AK6356">
        <v>0</v>
      </c>
      <c r="AL6356" t="s">
        <v>53</v>
      </c>
      <c r="AM6356" t="s">
        <v>53</v>
      </c>
      <c r="AN6356" t="s">
        <v>53</v>
      </c>
      <c r="AO6356" t="s">
        <v>53</v>
      </c>
      <c r="AP6356" t="s">
        <v>53</v>
      </c>
    </row>
    <row r="6357" spans="2:42" x14ac:dyDescent="0.2">
      <c r="B6357" t="s">
        <v>44</v>
      </c>
      <c r="C6357" t="str">
        <f>HYPERLINK("https://us2.cloudbeds.com/connect/8493803454333002#/reservations/9080486846689011?display=32SMJ2DRBB&amp;reservation_id=9080486846689011", "32SMJ2DRBB")</f>
        <v>32SMJ2DRBB</v>
      </c>
      <c r="D6357" t="s">
        <v>45</v>
      </c>
      <c r="E6357" t="s">
        <v>121</v>
      </c>
      <c r="F6357" t="s">
        <v>86</v>
      </c>
      <c r="G6357" t="s">
        <v>48</v>
      </c>
      <c r="H6357" t="s">
        <v>49</v>
      </c>
      <c r="I6357" t="s">
        <v>50</v>
      </c>
      <c r="J6357" t="s">
        <v>7293</v>
      </c>
      <c r="K6357" t="s">
        <v>5743</v>
      </c>
      <c r="L6357" t="s">
        <v>53</v>
      </c>
      <c r="N6357" t="s">
        <v>11416</v>
      </c>
      <c r="P6357" t="s">
        <v>55</v>
      </c>
      <c r="R6357" t="s">
        <v>53</v>
      </c>
      <c r="T6357" t="s">
        <v>11417</v>
      </c>
      <c r="U6357" t="s">
        <v>58</v>
      </c>
      <c r="V6357">
        <v>2</v>
      </c>
      <c r="W6357">
        <v>1</v>
      </c>
      <c r="X6357">
        <v>2</v>
      </c>
      <c r="Y6357">
        <v>0</v>
      </c>
      <c r="Z6357">
        <v>2</v>
      </c>
      <c r="AA6357">
        <v>378</v>
      </c>
      <c r="AB6357">
        <v>378</v>
      </c>
      <c r="AC6357">
        <v>332.59</v>
      </c>
      <c r="AD6357">
        <v>0</v>
      </c>
      <c r="AE6357">
        <v>45.41</v>
      </c>
      <c r="AF6357">
        <v>0</v>
      </c>
      <c r="AG6357">
        <v>0</v>
      </c>
      <c r="AH6357">
        <v>0</v>
      </c>
      <c r="AI6357">
        <v>68.040000000000006</v>
      </c>
      <c r="AJ6357">
        <v>378</v>
      </c>
      <c r="AK6357">
        <v>0</v>
      </c>
      <c r="AL6357" t="s">
        <v>53</v>
      </c>
      <c r="AM6357" t="s">
        <v>53</v>
      </c>
      <c r="AN6357" t="s">
        <v>53</v>
      </c>
      <c r="AO6357" t="s">
        <v>53</v>
      </c>
      <c r="AP6357" t="s">
        <v>53</v>
      </c>
    </row>
    <row r="6358" spans="2:42" x14ac:dyDescent="0.2">
      <c r="B6358" t="s">
        <v>44</v>
      </c>
      <c r="C6358" t="str">
        <f>HYPERLINK("https://us2.cloudbeds.com/connect/8493803454333002#/reservations/9080486846689222?display=32SSQUPW4Q&amp;reservation_id=9080486846689222", "32SSQUPW4Q")</f>
        <v>32SSQUPW4Q</v>
      </c>
      <c r="D6358" t="s">
        <v>45</v>
      </c>
      <c r="E6358" t="s">
        <v>128</v>
      </c>
      <c r="F6358" t="s">
        <v>86</v>
      </c>
      <c r="G6358" t="s">
        <v>48</v>
      </c>
      <c r="H6358" t="s">
        <v>49</v>
      </c>
      <c r="I6358" t="s">
        <v>50</v>
      </c>
      <c r="J6358" t="s">
        <v>7493</v>
      </c>
      <c r="K6358" t="s">
        <v>6344</v>
      </c>
      <c r="L6358" t="s">
        <v>53</v>
      </c>
      <c r="N6358" t="s">
        <v>11418</v>
      </c>
      <c r="P6358" t="s">
        <v>55</v>
      </c>
      <c r="R6358" t="s">
        <v>53</v>
      </c>
      <c r="T6358" t="s">
        <v>11419</v>
      </c>
      <c r="U6358" t="s">
        <v>58</v>
      </c>
      <c r="V6358">
        <v>1</v>
      </c>
      <c r="W6358">
        <v>1</v>
      </c>
      <c r="X6358">
        <v>2</v>
      </c>
      <c r="Y6358">
        <v>0</v>
      </c>
      <c r="Z6358">
        <v>2</v>
      </c>
      <c r="AA6358">
        <v>191.28</v>
      </c>
      <c r="AB6358">
        <v>191.28</v>
      </c>
      <c r="AC6358">
        <v>168.3</v>
      </c>
      <c r="AD6358">
        <v>0</v>
      </c>
      <c r="AE6358">
        <v>22.98</v>
      </c>
      <c r="AF6358">
        <v>0</v>
      </c>
      <c r="AG6358">
        <v>0</v>
      </c>
      <c r="AH6358">
        <v>0</v>
      </c>
      <c r="AI6358">
        <v>34.43</v>
      </c>
      <c r="AJ6358">
        <v>191.28</v>
      </c>
      <c r="AK6358">
        <v>0</v>
      </c>
      <c r="AL6358" t="s">
        <v>53</v>
      </c>
      <c r="AM6358" t="s">
        <v>53</v>
      </c>
      <c r="AN6358" t="s">
        <v>53</v>
      </c>
      <c r="AO6358" t="s">
        <v>53</v>
      </c>
      <c r="AP6358" t="s">
        <v>53</v>
      </c>
    </row>
    <row r="6359" spans="2:42" x14ac:dyDescent="0.2">
      <c r="B6359" t="s">
        <v>44</v>
      </c>
      <c r="C6359" t="str">
        <f>HYPERLINK("https://us2.cloudbeds.com/connect/8493803454333002#/reservations/9080486846689796?display=32TC8QVJHC&amp;reservation_id=9080486846689796", "32TC8QVJHC")</f>
        <v>32TC8QVJHC</v>
      </c>
      <c r="D6359" t="s">
        <v>45</v>
      </c>
      <c r="E6359" t="s">
        <v>213</v>
      </c>
      <c r="F6359" t="s">
        <v>86</v>
      </c>
      <c r="G6359" t="s">
        <v>48</v>
      </c>
      <c r="H6359" t="s">
        <v>49</v>
      </c>
      <c r="I6359" t="s">
        <v>62</v>
      </c>
      <c r="J6359" t="s">
        <v>6992</v>
      </c>
      <c r="K6359" t="s">
        <v>6829</v>
      </c>
      <c r="L6359" t="s">
        <v>53</v>
      </c>
      <c r="N6359" t="s">
        <v>11420</v>
      </c>
      <c r="P6359" t="s">
        <v>55</v>
      </c>
      <c r="R6359" t="s">
        <v>56</v>
      </c>
      <c r="T6359" t="s">
        <v>11421</v>
      </c>
      <c r="U6359" t="s">
        <v>55</v>
      </c>
      <c r="V6359">
        <v>1</v>
      </c>
      <c r="W6359">
        <v>1</v>
      </c>
      <c r="X6359">
        <v>2</v>
      </c>
      <c r="Y6359">
        <v>0</v>
      </c>
      <c r="Z6359">
        <v>2</v>
      </c>
      <c r="AA6359">
        <v>172</v>
      </c>
      <c r="AB6359">
        <v>172</v>
      </c>
      <c r="AC6359">
        <v>172</v>
      </c>
      <c r="AD6359">
        <v>0</v>
      </c>
      <c r="AE6359">
        <v>0</v>
      </c>
      <c r="AF6359">
        <v>0</v>
      </c>
      <c r="AG6359">
        <v>0</v>
      </c>
      <c r="AH6359">
        <v>0</v>
      </c>
      <c r="AI6359">
        <v>30.96</v>
      </c>
      <c r="AJ6359">
        <v>172</v>
      </c>
      <c r="AK6359">
        <v>0</v>
      </c>
      <c r="AL6359" t="s">
        <v>53</v>
      </c>
      <c r="AM6359" t="s">
        <v>53</v>
      </c>
      <c r="AN6359" t="s">
        <v>53</v>
      </c>
      <c r="AO6359" t="s">
        <v>53</v>
      </c>
      <c r="AP6359" t="s">
        <v>53</v>
      </c>
    </row>
    <row r="6360" spans="2:42" x14ac:dyDescent="0.2">
      <c r="B6360" t="s">
        <v>44</v>
      </c>
      <c r="C6360" t="str">
        <f>HYPERLINK("https://us2.cloudbeds.com/connect/8493803454333002#/reservations/9080486846690015?display=32TJ9PCV86&amp;reservation_id=9080486846690015", "32TJ9PCV86")</f>
        <v>32TJ9PCV86</v>
      </c>
      <c r="D6360" t="s">
        <v>45</v>
      </c>
      <c r="E6360" t="s">
        <v>155</v>
      </c>
      <c r="F6360" t="s">
        <v>86</v>
      </c>
      <c r="G6360" t="s">
        <v>48</v>
      </c>
      <c r="H6360" t="s">
        <v>49</v>
      </c>
      <c r="I6360" t="s">
        <v>50</v>
      </c>
      <c r="J6360" t="s">
        <v>6992</v>
      </c>
      <c r="K6360" t="s">
        <v>6829</v>
      </c>
      <c r="L6360" t="s">
        <v>53</v>
      </c>
      <c r="N6360" t="s">
        <v>11422</v>
      </c>
      <c r="P6360" t="s">
        <v>55</v>
      </c>
      <c r="R6360" t="s">
        <v>53</v>
      </c>
      <c r="T6360" t="s">
        <v>11423</v>
      </c>
      <c r="U6360" t="s">
        <v>58</v>
      </c>
      <c r="V6360">
        <v>1</v>
      </c>
      <c r="W6360">
        <v>1</v>
      </c>
      <c r="X6360">
        <v>2</v>
      </c>
      <c r="Y6360">
        <v>0</v>
      </c>
      <c r="Z6360">
        <v>2</v>
      </c>
      <c r="AA6360">
        <v>156.38</v>
      </c>
      <c r="AB6360">
        <v>156.38</v>
      </c>
      <c r="AC6360">
        <v>137.6</v>
      </c>
      <c r="AD6360">
        <v>0</v>
      </c>
      <c r="AE6360">
        <v>18.78</v>
      </c>
      <c r="AF6360">
        <v>0</v>
      </c>
      <c r="AG6360">
        <v>0</v>
      </c>
      <c r="AH6360">
        <v>0</v>
      </c>
      <c r="AI6360">
        <v>28.15</v>
      </c>
      <c r="AJ6360">
        <v>156.38</v>
      </c>
      <c r="AK6360">
        <v>0</v>
      </c>
      <c r="AL6360" t="s">
        <v>53</v>
      </c>
      <c r="AM6360" t="s">
        <v>53</v>
      </c>
      <c r="AN6360" t="s">
        <v>53</v>
      </c>
      <c r="AO6360" t="s">
        <v>53</v>
      </c>
      <c r="AP6360" t="s">
        <v>53</v>
      </c>
    </row>
    <row r="6361" spans="2:42" x14ac:dyDescent="0.2">
      <c r="B6361" t="s">
        <v>44</v>
      </c>
      <c r="C6361" t="str">
        <f>HYPERLINK("https://us2.cloudbeds.com/connect/8493803454333002#/reservations/143307939553418?display=32TJ50JCF1&amp;reservation_id=143307939553418", "32TJ50JCF1")</f>
        <v>32TJ50JCF1</v>
      </c>
      <c r="D6361" t="s">
        <v>45</v>
      </c>
      <c r="E6361" t="s">
        <v>213</v>
      </c>
      <c r="F6361" t="s">
        <v>86</v>
      </c>
      <c r="G6361" t="s">
        <v>48</v>
      </c>
      <c r="H6361" t="s">
        <v>3957</v>
      </c>
      <c r="I6361" t="s">
        <v>3975</v>
      </c>
      <c r="J6361" t="s">
        <v>6829</v>
      </c>
      <c r="K6361" t="s">
        <v>8686</v>
      </c>
      <c r="L6361" t="s">
        <v>53</v>
      </c>
      <c r="P6361" t="s">
        <v>55</v>
      </c>
      <c r="R6361" t="s">
        <v>56</v>
      </c>
      <c r="T6361" t="s">
        <v>11424</v>
      </c>
      <c r="U6361" t="s">
        <v>58</v>
      </c>
      <c r="V6361">
        <v>1</v>
      </c>
      <c r="W6361">
        <v>1</v>
      </c>
      <c r="X6361">
        <v>2</v>
      </c>
      <c r="Y6361">
        <v>0</v>
      </c>
      <c r="Z6361">
        <v>2</v>
      </c>
      <c r="AA6361">
        <v>181.84</v>
      </c>
      <c r="AB6361">
        <v>181.84</v>
      </c>
      <c r="AC6361">
        <v>160</v>
      </c>
      <c r="AD6361">
        <v>0</v>
      </c>
      <c r="AE6361">
        <v>21.84</v>
      </c>
      <c r="AF6361">
        <v>0</v>
      </c>
      <c r="AG6361">
        <v>0</v>
      </c>
      <c r="AH6361">
        <v>0</v>
      </c>
      <c r="AI6361">
        <v>0</v>
      </c>
      <c r="AJ6361">
        <v>181.84</v>
      </c>
      <c r="AK6361">
        <v>0</v>
      </c>
      <c r="AL6361" t="s">
        <v>53</v>
      </c>
      <c r="AM6361" t="s">
        <v>53</v>
      </c>
      <c r="AN6361" t="s">
        <v>53</v>
      </c>
      <c r="AO6361" t="s">
        <v>53</v>
      </c>
      <c r="AP6361" t="s">
        <v>53</v>
      </c>
    </row>
    <row r="6362" spans="2:42" x14ac:dyDescent="0.2">
      <c r="B6362" t="s">
        <v>44</v>
      </c>
      <c r="C6362" t="str">
        <f>HYPERLINK("https://us2.cloudbeds.com/connect/8493803454333002#/reservations/143309757391048?display=32TKXFECRR&amp;reservation_id=143309757391048", "32TKXFECRR")</f>
        <v>32TKXFECRR</v>
      </c>
      <c r="D6362" t="s">
        <v>45</v>
      </c>
      <c r="E6362" t="s">
        <v>121</v>
      </c>
      <c r="F6362" t="s">
        <v>86</v>
      </c>
      <c r="G6362" t="s">
        <v>48</v>
      </c>
      <c r="H6362" t="s">
        <v>3957</v>
      </c>
      <c r="I6362" t="s">
        <v>3975</v>
      </c>
      <c r="J6362" t="s">
        <v>6992</v>
      </c>
      <c r="K6362" t="s">
        <v>6829</v>
      </c>
      <c r="L6362" t="s">
        <v>53</v>
      </c>
      <c r="P6362" t="s">
        <v>55</v>
      </c>
      <c r="R6362" t="s">
        <v>56</v>
      </c>
      <c r="T6362" t="s">
        <v>11425</v>
      </c>
      <c r="U6362" t="s">
        <v>58</v>
      </c>
      <c r="V6362">
        <v>1</v>
      </c>
      <c r="W6362">
        <v>1</v>
      </c>
      <c r="X6362">
        <v>4</v>
      </c>
      <c r="Y6362">
        <v>0</v>
      </c>
      <c r="Z6362">
        <v>4</v>
      </c>
      <c r="AA6362">
        <v>195.48</v>
      </c>
      <c r="AB6362">
        <v>195.48</v>
      </c>
      <c r="AC6362">
        <v>172</v>
      </c>
      <c r="AD6362">
        <v>0</v>
      </c>
      <c r="AE6362">
        <v>23.48</v>
      </c>
      <c r="AF6362">
        <v>0</v>
      </c>
      <c r="AG6362">
        <v>0</v>
      </c>
      <c r="AH6362">
        <v>0</v>
      </c>
      <c r="AI6362">
        <v>0</v>
      </c>
      <c r="AJ6362">
        <v>195.48</v>
      </c>
      <c r="AK6362">
        <v>0</v>
      </c>
      <c r="AL6362" t="s">
        <v>53</v>
      </c>
      <c r="AM6362" t="s">
        <v>53</v>
      </c>
      <c r="AN6362" t="s">
        <v>53</v>
      </c>
      <c r="AO6362" t="s">
        <v>53</v>
      </c>
      <c r="AP6362" t="s">
        <v>53</v>
      </c>
    </row>
    <row r="6363" spans="2:42" x14ac:dyDescent="0.2">
      <c r="B6363" t="s">
        <v>44</v>
      </c>
      <c r="C6363" t="str">
        <f>HYPERLINK("https://us2.cloudbeds.com/connect/8493803454333002#/reservations/9080486846690138?display=32TNN11YTV&amp;reservation_id=9080486846690138", "32TNN11YTV")</f>
        <v>32TNN11YTV</v>
      </c>
      <c r="D6363" t="s">
        <v>45</v>
      </c>
      <c r="E6363" t="s">
        <v>113</v>
      </c>
      <c r="F6363" t="s">
        <v>61</v>
      </c>
      <c r="G6363" t="s">
        <v>48</v>
      </c>
      <c r="H6363" t="s">
        <v>49</v>
      </c>
      <c r="I6363" t="s">
        <v>50</v>
      </c>
      <c r="J6363" t="s">
        <v>6379</v>
      </c>
      <c r="K6363" t="s">
        <v>8616</v>
      </c>
      <c r="L6363" t="s">
        <v>53</v>
      </c>
      <c r="N6363" t="s">
        <v>11426</v>
      </c>
      <c r="P6363" t="s">
        <v>55</v>
      </c>
      <c r="R6363" t="s">
        <v>53</v>
      </c>
      <c r="T6363" t="s">
        <v>11427</v>
      </c>
      <c r="U6363" t="s">
        <v>58</v>
      </c>
      <c r="V6363">
        <v>2</v>
      </c>
      <c r="W6363">
        <v>1</v>
      </c>
      <c r="X6363">
        <v>2</v>
      </c>
      <c r="Y6363">
        <v>0</v>
      </c>
      <c r="Z6363">
        <v>2</v>
      </c>
      <c r="AA6363">
        <v>327.48</v>
      </c>
      <c r="AB6363">
        <v>327.48</v>
      </c>
      <c r="AC6363">
        <v>288.13</v>
      </c>
      <c r="AD6363">
        <v>0</v>
      </c>
      <c r="AE6363">
        <v>39.35</v>
      </c>
      <c r="AF6363">
        <v>0</v>
      </c>
      <c r="AG6363">
        <v>0</v>
      </c>
      <c r="AH6363">
        <v>0</v>
      </c>
      <c r="AI6363">
        <v>58.95</v>
      </c>
      <c r="AJ6363">
        <v>327.48</v>
      </c>
      <c r="AK6363">
        <v>0</v>
      </c>
      <c r="AL6363" t="s">
        <v>53</v>
      </c>
      <c r="AM6363" t="s">
        <v>53</v>
      </c>
      <c r="AN6363" t="s">
        <v>53</v>
      </c>
      <c r="AO6363" t="s">
        <v>53</v>
      </c>
      <c r="AP6363" t="s">
        <v>53</v>
      </c>
    </row>
    <row r="6364" spans="2:42" x14ac:dyDescent="0.2">
      <c r="B6364" t="s">
        <v>44</v>
      </c>
      <c r="C6364" t="str">
        <f>HYPERLINK("https://us2.cloudbeds.com/connect/8493803454333002#/reservations/143315845308567?display=32TP90UM1T&amp;reservation_id=143315845308567", "32TP90UM1T")</f>
        <v>32TP90UM1T</v>
      </c>
      <c r="D6364" t="s">
        <v>45</v>
      </c>
      <c r="E6364" t="s">
        <v>92</v>
      </c>
      <c r="F6364" t="s">
        <v>86</v>
      </c>
      <c r="G6364" t="s">
        <v>48</v>
      </c>
      <c r="H6364" t="s">
        <v>3957</v>
      </c>
      <c r="I6364" t="s">
        <v>3958</v>
      </c>
      <c r="J6364" t="s">
        <v>6992</v>
      </c>
      <c r="K6364" t="s">
        <v>6829</v>
      </c>
      <c r="L6364" t="s">
        <v>53</v>
      </c>
      <c r="P6364" t="s">
        <v>55</v>
      </c>
      <c r="R6364" t="s">
        <v>56</v>
      </c>
      <c r="T6364" t="s">
        <v>11428</v>
      </c>
      <c r="U6364" t="s">
        <v>58</v>
      </c>
      <c r="V6364">
        <v>1</v>
      </c>
      <c r="W6364">
        <v>1</v>
      </c>
      <c r="X6364">
        <v>2</v>
      </c>
      <c r="Y6364">
        <v>0</v>
      </c>
      <c r="Z6364">
        <v>2</v>
      </c>
      <c r="AA6364">
        <v>195.48</v>
      </c>
      <c r="AB6364">
        <v>195.48</v>
      </c>
      <c r="AC6364">
        <v>172</v>
      </c>
      <c r="AD6364">
        <v>0</v>
      </c>
      <c r="AE6364">
        <v>23.48</v>
      </c>
      <c r="AF6364">
        <v>0</v>
      </c>
      <c r="AG6364">
        <v>0</v>
      </c>
      <c r="AH6364">
        <v>0</v>
      </c>
      <c r="AI6364">
        <v>0</v>
      </c>
      <c r="AJ6364">
        <v>195.48</v>
      </c>
      <c r="AK6364">
        <v>0</v>
      </c>
      <c r="AL6364" t="s">
        <v>53</v>
      </c>
      <c r="AM6364" t="s">
        <v>53</v>
      </c>
      <c r="AN6364" t="s">
        <v>53</v>
      </c>
      <c r="AO6364" t="s">
        <v>53</v>
      </c>
      <c r="AP6364" t="s">
        <v>53</v>
      </c>
    </row>
    <row r="6365" spans="2:42" x14ac:dyDescent="0.2">
      <c r="B6365" t="s">
        <v>44</v>
      </c>
      <c r="C6365" t="str">
        <f>HYPERLINK("https://us2.cloudbeds.com/connect/8493803454333002#/reservations/9080486846690929?display=32UKAVUKQY&amp;reservation_id=9080486846690929", "32UKAVUKQY")</f>
        <v>32UKAVUKQY</v>
      </c>
      <c r="D6365" t="s">
        <v>45</v>
      </c>
      <c r="E6365" t="s">
        <v>223</v>
      </c>
      <c r="F6365" t="s">
        <v>47</v>
      </c>
      <c r="G6365" t="s">
        <v>48</v>
      </c>
      <c r="H6365" t="s">
        <v>49</v>
      </c>
      <c r="I6365" t="s">
        <v>8964</v>
      </c>
      <c r="J6365" t="s">
        <v>9725</v>
      </c>
      <c r="K6365" t="s">
        <v>9610</v>
      </c>
      <c r="L6365" t="s">
        <v>53</v>
      </c>
      <c r="N6365" t="s">
        <v>11429</v>
      </c>
      <c r="P6365" t="s">
        <v>55</v>
      </c>
      <c r="R6365" t="s">
        <v>53</v>
      </c>
      <c r="T6365" t="s">
        <v>11430</v>
      </c>
      <c r="U6365" t="s">
        <v>55</v>
      </c>
      <c r="V6365">
        <v>1</v>
      </c>
      <c r="W6365">
        <v>1</v>
      </c>
      <c r="X6365">
        <v>2</v>
      </c>
      <c r="Y6365">
        <v>0</v>
      </c>
      <c r="Z6365">
        <v>2</v>
      </c>
      <c r="AA6365">
        <v>0</v>
      </c>
      <c r="AB6365">
        <v>0</v>
      </c>
      <c r="AC6365">
        <v>154</v>
      </c>
      <c r="AD6365">
        <v>0</v>
      </c>
      <c r="AE6365">
        <v>0</v>
      </c>
      <c r="AF6365">
        <v>0</v>
      </c>
      <c r="AG6365">
        <v>0</v>
      </c>
      <c r="AH6365">
        <v>0</v>
      </c>
      <c r="AI6365">
        <v>23.1</v>
      </c>
      <c r="AJ6365">
        <v>154</v>
      </c>
      <c r="AK6365">
        <v>154</v>
      </c>
      <c r="AL6365" t="s">
        <v>53</v>
      </c>
      <c r="AM6365" t="s">
        <v>53</v>
      </c>
      <c r="AN6365" t="s">
        <v>53</v>
      </c>
      <c r="AO6365" t="s">
        <v>53</v>
      </c>
      <c r="AP6365" t="s">
        <v>53</v>
      </c>
    </row>
    <row r="6366" spans="2:42" x14ac:dyDescent="0.2">
      <c r="B6366" t="s">
        <v>44</v>
      </c>
      <c r="C6366" t="str">
        <f>HYPERLINK("https://us2.cloudbeds.com/connect/8493803454333002#/reservations/9080486846691089?display=32USFR0318&amp;reservation_id=9080486846691089", "32USFR0318")</f>
        <v>32USFR0318</v>
      </c>
      <c r="D6366" t="s">
        <v>45</v>
      </c>
      <c r="E6366" t="s">
        <v>179</v>
      </c>
      <c r="F6366" t="s">
        <v>47</v>
      </c>
      <c r="G6366" t="s">
        <v>48</v>
      </c>
      <c r="H6366" t="s">
        <v>49</v>
      </c>
      <c r="I6366" t="s">
        <v>8964</v>
      </c>
      <c r="J6366" t="s">
        <v>6829</v>
      </c>
      <c r="K6366" t="s">
        <v>8686</v>
      </c>
      <c r="L6366" t="s">
        <v>53</v>
      </c>
      <c r="N6366" t="s">
        <v>11431</v>
      </c>
      <c r="P6366" t="s">
        <v>55</v>
      </c>
      <c r="R6366" t="s">
        <v>53</v>
      </c>
      <c r="T6366" t="s">
        <v>11432</v>
      </c>
      <c r="U6366" t="s">
        <v>55</v>
      </c>
      <c r="V6366">
        <v>1</v>
      </c>
      <c r="W6366">
        <v>1</v>
      </c>
      <c r="X6366">
        <v>1</v>
      </c>
      <c r="Y6366">
        <v>0</v>
      </c>
      <c r="Z6366">
        <v>1</v>
      </c>
      <c r="AA6366">
        <v>0</v>
      </c>
      <c r="AB6366">
        <v>0</v>
      </c>
      <c r="AC6366">
        <v>163</v>
      </c>
      <c r="AD6366">
        <v>0</v>
      </c>
      <c r="AE6366">
        <v>0</v>
      </c>
      <c r="AF6366">
        <v>0</v>
      </c>
      <c r="AG6366">
        <v>0</v>
      </c>
      <c r="AH6366">
        <v>0</v>
      </c>
      <c r="AI6366">
        <v>24.45</v>
      </c>
      <c r="AJ6366">
        <v>163</v>
      </c>
      <c r="AK6366">
        <v>163</v>
      </c>
      <c r="AL6366" t="s">
        <v>53</v>
      </c>
      <c r="AM6366" t="s">
        <v>53</v>
      </c>
      <c r="AN6366" t="s">
        <v>53</v>
      </c>
      <c r="AO6366" t="s">
        <v>53</v>
      </c>
      <c r="AP6366" t="s">
        <v>53</v>
      </c>
    </row>
    <row r="6367" spans="2:42" x14ac:dyDescent="0.2">
      <c r="B6367" t="s">
        <v>44</v>
      </c>
      <c r="C6367" t="str">
        <f>HYPERLINK("https://us2.cloudbeds.com/connect/8493803454333002#/reservations/9080486846691267?display=32V3A7TK01&amp;reservation_id=9080486846691267", "32V3A7TK01")</f>
        <v>32V3A7TK01</v>
      </c>
      <c r="D6367" t="s">
        <v>45</v>
      </c>
      <c r="E6367" t="s">
        <v>165</v>
      </c>
      <c r="F6367" t="s">
        <v>61</v>
      </c>
      <c r="G6367" t="s">
        <v>48</v>
      </c>
      <c r="H6367" t="s">
        <v>49</v>
      </c>
      <c r="I6367" t="s">
        <v>50</v>
      </c>
      <c r="J6367" t="s">
        <v>5904</v>
      </c>
      <c r="K6367" t="s">
        <v>5403</v>
      </c>
      <c r="L6367" t="s">
        <v>53</v>
      </c>
      <c r="N6367" t="s">
        <v>11433</v>
      </c>
      <c r="P6367" t="s">
        <v>55</v>
      </c>
      <c r="R6367" t="s">
        <v>53</v>
      </c>
      <c r="T6367" t="s">
        <v>11434</v>
      </c>
      <c r="U6367" t="s">
        <v>58</v>
      </c>
      <c r="V6367">
        <v>1</v>
      </c>
      <c r="W6367">
        <v>1</v>
      </c>
      <c r="X6367">
        <v>2</v>
      </c>
      <c r="Y6367">
        <v>0</v>
      </c>
      <c r="Z6367">
        <v>2</v>
      </c>
      <c r="AA6367">
        <v>208.2</v>
      </c>
      <c r="AB6367">
        <v>208.2</v>
      </c>
      <c r="AC6367">
        <v>183.2</v>
      </c>
      <c r="AD6367">
        <v>0</v>
      </c>
      <c r="AE6367">
        <v>25</v>
      </c>
      <c r="AF6367">
        <v>0</v>
      </c>
      <c r="AG6367">
        <v>0</v>
      </c>
      <c r="AH6367">
        <v>0</v>
      </c>
      <c r="AI6367">
        <v>37.479999999999997</v>
      </c>
      <c r="AJ6367">
        <v>208.2</v>
      </c>
      <c r="AK6367">
        <v>0</v>
      </c>
      <c r="AL6367" t="s">
        <v>53</v>
      </c>
      <c r="AM6367" t="s">
        <v>53</v>
      </c>
      <c r="AN6367" t="s">
        <v>53</v>
      </c>
      <c r="AO6367" t="s">
        <v>53</v>
      </c>
      <c r="AP6367" t="s">
        <v>53</v>
      </c>
    </row>
    <row r="6368" spans="2:42" x14ac:dyDescent="0.2">
      <c r="B6368" t="s">
        <v>44</v>
      </c>
      <c r="C6368" t="str">
        <f>HYPERLINK("https://us2.cloudbeds.com/connect/8493803454333002#/reservations/9080486846691378?display=32V81VFFVT&amp;reservation_id=9080486846691378", "32V81VFFVT")</f>
        <v>32V81VFFVT</v>
      </c>
      <c r="D6368" t="s">
        <v>45</v>
      </c>
      <c r="E6368" t="s">
        <v>155</v>
      </c>
      <c r="F6368" t="s">
        <v>86</v>
      </c>
      <c r="G6368" t="s">
        <v>48</v>
      </c>
      <c r="H6368" t="s">
        <v>49</v>
      </c>
      <c r="I6368" t="s">
        <v>50</v>
      </c>
      <c r="J6368" t="s">
        <v>6829</v>
      </c>
      <c r="K6368" t="s">
        <v>8686</v>
      </c>
      <c r="L6368" t="s">
        <v>53</v>
      </c>
      <c r="N6368" t="s">
        <v>11435</v>
      </c>
      <c r="P6368" t="s">
        <v>55</v>
      </c>
      <c r="R6368" t="s">
        <v>53</v>
      </c>
      <c r="T6368" t="s">
        <v>11436</v>
      </c>
      <c r="U6368" t="s">
        <v>58</v>
      </c>
      <c r="V6368">
        <v>1</v>
      </c>
      <c r="W6368">
        <v>1</v>
      </c>
      <c r="X6368">
        <v>2</v>
      </c>
      <c r="Y6368">
        <v>0</v>
      </c>
      <c r="Z6368">
        <v>2</v>
      </c>
      <c r="AA6368">
        <v>154.56</v>
      </c>
      <c r="AB6368">
        <v>154.56</v>
      </c>
      <c r="AC6368">
        <v>136</v>
      </c>
      <c r="AD6368">
        <v>0</v>
      </c>
      <c r="AE6368">
        <v>18.559999999999999</v>
      </c>
      <c r="AF6368">
        <v>0</v>
      </c>
      <c r="AG6368">
        <v>0</v>
      </c>
      <c r="AH6368">
        <v>0</v>
      </c>
      <c r="AI6368">
        <v>27.82</v>
      </c>
      <c r="AJ6368">
        <v>154.56</v>
      </c>
      <c r="AK6368">
        <v>0</v>
      </c>
      <c r="AL6368" t="s">
        <v>53</v>
      </c>
      <c r="AM6368" t="s">
        <v>53</v>
      </c>
      <c r="AN6368" t="s">
        <v>53</v>
      </c>
      <c r="AO6368" t="s">
        <v>53</v>
      </c>
      <c r="AP6368" t="s">
        <v>53</v>
      </c>
    </row>
    <row r="6369" spans="2:42" x14ac:dyDescent="0.2">
      <c r="B6369" t="s">
        <v>44</v>
      </c>
      <c r="C6369" t="str">
        <f>HYPERLINK("https://us2.cloudbeds.com/connect/8493803454333002#/reservations/9080486846691452?display=32VCJD3JXH&amp;reservation_id=9080486846691452", "32VCJD3JXH")</f>
        <v>32VCJD3JXH</v>
      </c>
      <c r="D6369" t="s">
        <v>45</v>
      </c>
      <c r="E6369" t="s">
        <v>213</v>
      </c>
      <c r="F6369" t="s">
        <v>86</v>
      </c>
      <c r="G6369" t="s">
        <v>48</v>
      </c>
      <c r="H6369" t="s">
        <v>49</v>
      </c>
      <c r="I6369" t="s">
        <v>8964</v>
      </c>
      <c r="J6369" t="s">
        <v>9610</v>
      </c>
      <c r="K6369" t="s">
        <v>7088</v>
      </c>
      <c r="L6369" t="s">
        <v>53</v>
      </c>
      <c r="N6369" t="s">
        <v>11437</v>
      </c>
      <c r="P6369" t="s">
        <v>55</v>
      </c>
      <c r="R6369" t="s">
        <v>53</v>
      </c>
      <c r="T6369" t="s">
        <v>11438</v>
      </c>
      <c r="U6369" t="s">
        <v>55</v>
      </c>
      <c r="V6369">
        <v>1</v>
      </c>
      <c r="W6369">
        <v>1</v>
      </c>
      <c r="X6369">
        <v>2</v>
      </c>
      <c r="Y6369">
        <v>0</v>
      </c>
      <c r="Z6369">
        <v>2</v>
      </c>
      <c r="AA6369">
        <v>0</v>
      </c>
      <c r="AB6369">
        <v>0</v>
      </c>
      <c r="AC6369">
        <v>158</v>
      </c>
      <c r="AD6369">
        <v>0</v>
      </c>
      <c r="AE6369">
        <v>0</v>
      </c>
      <c r="AF6369">
        <v>0</v>
      </c>
      <c r="AG6369">
        <v>0</v>
      </c>
      <c r="AH6369">
        <v>0</v>
      </c>
      <c r="AI6369">
        <v>23.7</v>
      </c>
      <c r="AJ6369">
        <v>158</v>
      </c>
      <c r="AK6369">
        <v>158</v>
      </c>
      <c r="AL6369" t="s">
        <v>53</v>
      </c>
      <c r="AM6369" t="s">
        <v>53</v>
      </c>
      <c r="AN6369" t="s">
        <v>53</v>
      </c>
      <c r="AO6369" t="s">
        <v>53</v>
      </c>
      <c r="AP6369" t="s">
        <v>53</v>
      </c>
    </row>
    <row r="6370" spans="2:42" x14ac:dyDescent="0.2">
      <c r="B6370" t="s">
        <v>44</v>
      </c>
      <c r="C6370" t="str">
        <f>HYPERLINK("https://us2.cloudbeds.com/connect/8493803454333002#/reservations/9080486846691640?display=32VMPJ6KMT&amp;reservation_id=9080486846691640", "32VMPJ6KMT")</f>
        <v>32VMPJ6KMT</v>
      </c>
      <c r="D6370" t="s">
        <v>45</v>
      </c>
      <c r="E6370" t="s">
        <v>305</v>
      </c>
      <c r="F6370" t="s">
        <v>61</v>
      </c>
      <c r="G6370" t="s">
        <v>48</v>
      </c>
      <c r="H6370" t="s">
        <v>49</v>
      </c>
      <c r="I6370" t="s">
        <v>50</v>
      </c>
      <c r="J6370" t="s">
        <v>6829</v>
      </c>
      <c r="K6370" t="s">
        <v>5904</v>
      </c>
      <c r="L6370" t="s">
        <v>53</v>
      </c>
      <c r="N6370" t="s">
        <v>11439</v>
      </c>
      <c r="P6370" t="s">
        <v>55</v>
      </c>
      <c r="R6370" t="s">
        <v>53</v>
      </c>
      <c r="T6370" t="s">
        <v>11440</v>
      </c>
      <c r="U6370" t="s">
        <v>58</v>
      </c>
      <c r="V6370">
        <v>4</v>
      </c>
      <c r="W6370">
        <v>1</v>
      </c>
      <c r="X6370">
        <v>2</v>
      </c>
      <c r="Y6370">
        <v>0</v>
      </c>
      <c r="Z6370">
        <v>2</v>
      </c>
      <c r="AA6370">
        <v>775.55</v>
      </c>
      <c r="AB6370">
        <v>775.55</v>
      </c>
      <c r="AC6370">
        <v>682.4</v>
      </c>
      <c r="AD6370">
        <v>0</v>
      </c>
      <c r="AE6370">
        <v>93.15</v>
      </c>
      <c r="AF6370">
        <v>0</v>
      </c>
      <c r="AG6370">
        <v>0</v>
      </c>
      <c r="AH6370">
        <v>0</v>
      </c>
      <c r="AI6370">
        <v>139.6</v>
      </c>
      <c r="AJ6370">
        <v>775.55</v>
      </c>
      <c r="AK6370">
        <v>0</v>
      </c>
      <c r="AL6370" t="s">
        <v>53</v>
      </c>
      <c r="AM6370" t="s">
        <v>53</v>
      </c>
      <c r="AN6370" t="s">
        <v>53</v>
      </c>
      <c r="AO6370" t="s">
        <v>53</v>
      </c>
      <c r="AP6370" t="s">
        <v>53</v>
      </c>
    </row>
    <row r="6371" spans="2:42" x14ac:dyDescent="0.2">
      <c r="B6371" t="s">
        <v>44</v>
      </c>
      <c r="C6371" t="str">
        <f>HYPERLINK("https://us2.cloudbeds.com/connect/8493803454333002#/reservations/9080486846691842?display=32VWWADBZA&amp;reservation_id=9080486846691842", "32VWWADBZA")</f>
        <v>32VWWADBZA</v>
      </c>
      <c r="D6371" t="s">
        <v>45</v>
      </c>
      <c r="E6371" t="s">
        <v>121</v>
      </c>
      <c r="F6371" t="s">
        <v>86</v>
      </c>
      <c r="G6371" t="s">
        <v>48</v>
      </c>
      <c r="H6371" t="s">
        <v>49</v>
      </c>
      <c r="I6371" t="s">
        <v>50</v>
      </c>
      <c r="J6371" t="s">
        <v>5743</v>
      </c>
      <c r="K6371" t="s">
        <v>7931</v>
      </c>
      <c r="L6371" t="s">
        <v>53</v>
      </c>
      <c r="N6371" t="s">
        <v>11441</v>
      </c>
      <c r="P6371" t="s">
        <v>55</v>
      </c>
      <c r="R6371" t="s">
        <v>53</v>
      </c>
      <c r="T6371" t="s">
        <v>11442</v>
      </c>
      <c r="U6371" t="s">
        <v>58</v>
      </c>
      <c r="V6371">
        <v>1</v>
      </c>
      <c r="W6371">
        <v>1</v>
      </c>
      <c r="X6371">
        <v>2</v>
      </c>
      <c r="Y6371">
        <v>0</v>
      </c>
      <c r="Z6371">
        <v>2</v>
      </c>
      <c r="AA6371">
        <v>240.98</v>
      </c>
      <c r="AB6371">
        <v>261.82</v>
      </c>
      <c r="AC6371">
        <v>222.04</v>
      </c>
      <c r="AD6371">
        <v>10</v>
      </c>
      <c r="AE6371">
        <v>29.78</v>
      </c>
      <c r="AF6371">
        <v>0</v>
      </c>
      <c r="AG6371">
        <v>0</v>
      </c>
      <c r="AH6371">
        <v>0</v>
      </c>
      <c r="AI6371">
        <v>47.13</v>
      </c>
      <c r="AJ6371">
        <v>261.82</v>
      </c>
      <c r="AK6371">
        <v>0</v>
      </c>
      <c r="AL6371" t="s">
        <v>53</v>
      </c>
      <c r="AM6371" t="s">
        <v>53</v>
      </c>
      <c r="AN6371" t="s">
        <v>53</v>
      </c>
      <c r="AO6371" t="s">
        <v>53</v>
      </c>
      <c r="AP6371" t="s">
        <v>53</v>
      </c>
    </row>
    <row r="6372" spans="2:42" x14ac:dyDescent="0.2">
      <c r="B6372" t="s">
        <v>44</v>
      </c>
      <c r="C6372" t="str">
        <f>HYPERLINK("https://us2.cloudbeds.com/connect/8493803454333002#/reservations/143555321946304?display=332CX41AZM&amp;reservation_id=143555321946304", "332CX41AZM")</f>
        <v>332CX41AZM</v>
      </c>
      <c r="D6372" t="s">
        <v>45</v>
      </c>
      <c r="E6372" t="s">
        <v>381</v>
      </c>
      <c r="F6372" t="s">
        <v>47</v>
      </c>
      <c r="G6372" t="s">
        <v>48</v>
      </c>
      <c r="H6372" t="s">
        <v>3957</v>
      </c>
      <c r="I6372" t="s">
        <v>3958</v>
      </c>
      <c r="J6372" t="s">
        <v>6829</v>
      </c>
      <c r="K6372" t="s">
        <v>8686</v>
      </c>
      <c r="L6372" t="s">
        <v>53</v>
      </c>
      <c r="P6372" t="s">
        <v>55</v>
      </c>
      <c r="R6372" t="s">
        <v>56</v>
      </c>
      <c r="T6372" t="s">
        <v>11443</v>
      </c>
      <c r="U6372" t="s">
        <v>58</v>
      </c>
      <c r="V6372">
        <v>1</v>
      </c>
      <c r="W6372">
        <v>1</v>
      </c>
      <c r="X6372">
        <v>1</v>
      </c>
      <c r="Y6372">
        <v>0</v>
      </c>
      <c r="Z6372">
        <v>1</v>
      </c>
      <c r="AA6372">
        <v>172.75</v>
      </c>
      <c r="AB6372">
        <v>172.75</v>
      </c>
      <c r="AC6372">
        <v>152</v>
      </c>
      <c r="AD6372">
        <v>0</v>
      </c>
      <c r="AE6372">
        <v>20.75</v>
      </c>
      <c r="AF6372">
        <v>0</v>
      </c>
      <c r="AG6372">
        <v>0</v>
      </c>
      <c r="AH6372">
        <v>0</v>
      </c>
      <c r="AI6372">
        <v>0</v>
      </c>
      <c r="AJ6372">
        <v>172.75</v>
      </c>
      <c r="AK6372">
        <v>0</v>
      </c>
      <c r="AL6372" t="s">
        <v>53</v>
      </c>
      <c r="AM6372" t="s">
        <v>53</v>
      </c>
      <c r="AN6372" t="s">
        <v>53</v>
      </c>
      <c r="AO6372" t="s">
        <v>53</v>
      </c>
      <c r="AP6372" t="s">
        <v>53</v>
      </c>
    </row>
    <row r="6373" spans="2:42" x14ac:dyDescent="0.2">
      <c r="B6373" t="s">
        <v>44</v>
      </c>
      <c r="C6373" t="str">
        <f>HYPERLINK("https://us2.cloudbeds.com/connect/8493803454333002#/reservations/143624149803161?display=333WWUEN84&amp;reservation_id=143624149803161", "333WWUEN84")</f>
        <v>333WWUEN84</v>
      </c>
      <c r="D6373" t="s">
        <v>45</v>
      </c>
      <c r="E6373" t="s">
        <v>98</v>
      </c>
      <c r="F6373" t="s">
        <v>86</v>
      </c>
      <c r="G6373" t="s">
        <v>4520</v>
      </c>
      <c r="H6373" t="s">
        <v>3957</v>
      </c>
      <c r="I6373" t="s">
        <v>3958</v>
      </c>
      <c r="J6373" t="s">
        <v>6829</v>
      </c>
      <c r="K6373" t="s">
        <v>8686</v>
      </c>
      <c r="L6373" t="s">
        <v>53</v>
      </c>
      <c r="P6373" t="s">
        <v>55</v>
      </c>
      <c r="R6373" t="s">
        <v>56</v>
      </c>
      <c r="T6373" t="s">
        <v>11444</v>
      </c>
      <c r="U6373" t="s">
        <v>58</v>
      </c>
      <c r="V6373">
        <v>1</v>
      </c>
      <c r="W6373">
        <v>1</v>
      </c>
      <c r="X6373">
        <v>1</v>
      </c>
      <c r="Y6373">
        <v>0</v>
      </c>
      <c r="Z6373">
        <v>1</v>
      </c>
      <c r="AA6373">
        <v>179</v>
      </c>
      <c r="AB6373">
        <v>179</v>
      </c>
      <c r="AC6373">
        <v>157.5</v>
      </c>
      <c r="AD6373">
        <v>0</v>
      </c>
      <c r="AE6373">
        <v>21.5</v>
      </c>
      <c r="AF6373">
        <v>0</v>
      </c>
      <c r="AG6373">
        <v>0</v>
      </c>
      <c r="AH6373">
        <v>0</v>
      </c>
      <c r="AI6373">
        <v>0</v>
      </c>
      <c r="AJ6373">
        <v>179</v>
      </c>
      <c r="AK6373">
        <v>0</v>
      </c>
      <c r="AL6373" t="s">
        <v>53</v>
      </c>
      <c r="AM6373" t="s">
        <v>53</v>
      </c>
      <c r="AN6373" t="s">
        <v>53</v>
      </c>
      <c r="AO6373" t="s">
        <v>53</v>
      </c>
      <c r="AP6373" t="s">
        <v>53</v>
      </c>
    </row>
    <row r="6374" spans="2:42" x14ac:dyDescent="0.2">
      <c r="B6374" t="s">
        <v>44</v>
      </c>
      <c r="C6374" t="str">
        <f>HYPERLINK("https://us2.cloudbeds.com/connect/8493803454333002#/reservations/9080486846696721?display=334ZA42NCZ&amp;reservation_id=9080486846696721", "334ZA42NCZ")</f>
        <v>334ZA42NCZ</v>
      </c>
      <c r="D6374" t="s">
        <v>45</v>
      </c>
      <c r="E6374" t="s">
        <v>223</v>
      </c>
      <c r="F6374" t="s">
        <v>47</v>
      </c>
      <c r="G6374" t="s">
        <v>48</v>
      </c>
      <c r="H6374" t="s">
        <v>49</v>
      </c>
      <c r="I6374" t="s">
        <v>50</v>
      </c>
      <c r="J6374" t="s">
        <v>5403</v>
      </c>
      <c r="K6374" t="s">
        <v>5905</v>
      </c>
      <c r="L6374" t="s">
        <v>53</v>
      </c>
      <c r="N6374" t="s">
        <v>11445</v>
      </c>
      <c r="P6374" t="s">
        <v>55</v>
      </c>
      <c r="R6374" t="s">
        <v>53</v>
      </c>
      <c r="T6374" t="s">
        <v>11446</v>
      </c>
      <c r="U6374" t="s">
        <v>58</v>
      </c>
      <c r="V6374">
        <v>1</v>
      </c>
      <c r="W6374">
        <v>1</v>
      </c>
      <c r="X6374">
        <v>1</v>
      </c>
      <c r="Y6374">
        <v>0</v>
      </c>
      <c r="Z6374">
        <v>1</v>
      </c>
      <c r="AA6374">
        <v>173.89</v>
      </c>
      <c r="AB6374">
        <v>173.89</v>
      </c>
      <c r="AC6374">
        <v>153</v>
      </c>
      <c r="AD6374">
        <v>0</v>
      </c>
      <c r="AE6374">
        <v>20.89</v>
      </c>
      <c r="AF6374">
        <v>0</v>
      </c>
      <c r="AG6374">
        <v>0</v>
      </c>
      <c r="AH6374">
        <v>0</v>
      </c>
      <c r="AI6374">
        <v>31.3</v>
      </c>
      <c r="AJ6374">
        <v>173.89</v>
      </c>
      <c r="AK6374">
        <v>0</v>
      </c>
      <c r="AL6374" t="s">
        <v>53</v>
      </c>
      <c r="AM6374" t="s">
        <v>53</v>
      </c>
      <c r="AN6374" t="s">
        <v>53</v>
      </c>
      <c r="AO6374" t="s">
        <v>53</v>
      </c>
      <c r="AP6374" t="s">
        <v>53</v>
      </c>
    </row>
    <row r="6375" spans="2:42" x14ac:dyDescent="0.2">
      <c r="B6375" t="s">
        <v>44</v>
      </c>
      <c r="C6375" t="str">
        <f>HYPERLINK("https://us2.cloudbeds.com/connect/8493803454333002#/reservations/9080486846697296?display=335DRDVV9E&amp;reservation_id=9080486846697296", "335DRDVV9E")</f>
        <v>335DRDVV9E</v>
      </c>
      <c r="D6375" t="s">
        <v>45</v>
      </c>
      <c r="E6375" t="s">
        <v>381</v>
      </c>
      <c r="F6375" t="s">
        <v>47</v>
      </c>
      <c r="G6375" t="s">
        <v>48</v>
      </c>
      <c r="H6375" t="s">
        <v>49</v>
      </c>
      <c r="I6375" t="s">
        <v>62</v>
      </c>
      <c r="J6375" t="s">
        <v>7294</v>
      </c>
      <c r="K6375" t="s">
        <v>7931</v>
      </c>
      <c r="L6375" t="s">
        <v>53</v>
      </c>
      <c r="N6375" t="s">
        <v>11447</v>
      </c>
      <c r="P6375" t="s">
        <v>55</v>
      </c>
      <c r="R6375" t="s">
        <v>56</v>
      </c>
      <c r="T6375" t="s">
        <v>11448</v>
      </c>
      <c r="U6375" t="s">
        <v>55</v>
      </c>
      <c r="V6375">
        <v>2</v>
      </c>
      <c r="W6375">
        <v>1</v>
      </c>
      <c r="X6375">
        <v>2</v>
      </c>
      <c r="Y6375">
        <v>0</v>
      </c>
      <c r="Z6375">
        <v>2</v>
      </c>
      <c r="AA6375">
        <v>465</v>
      </c>
      <c r="AB6375">
        <v>465</v>
      </c>
      <c r="AC6375">
        <v>465</v>
      </c>
      <c r="AD6375">
        <v>0</v>
      </c>
      <c r="AE6375">
        <v>0</v>
      </c>
      <c r="AF6375">
        <v>0</v>
      </c>
      <c r="AG6375">
        <v>0</v>
      </c>
      <c r="AH6375">
        <v>0</v>
      </c>
      <c r="AI6375">
        <v>83.7</v>
      </c>
      <c r="AJ6375">
        <v>465</v>
      </c>
      <c r="AK6375">
        <v>0</v>
      </c>
      <c r="AL6375" t="s">
        <v>53</v>
      </c>
      <c r="AM6375" t="s">
        <v>53</v>
      </c>
      <c r="AN6375" t="s">
        <v>53</v>
      </c>
      <c r="AO6375" t="s">
        <v>53</v>
      </c>
      <c r="AP6375" t="s">
        <v>53</v>
      </c>
    </row>
    <row r="6376" spans="2:42" x14ac:dyDescent="0.2">
      <c r="B6376" t="s">
        <v>44</v>
      </c>
      <c r="C6376" t="str">
        <f>HYPERLINK("https://us2.cloudbeds.com/connect/8493803454333002#/reservations/9080486846697512?display=335NVAK4PY&amp;reservation_id=9080486846697512", "335NVAK4PY")</f>
        <v>335NVAK4PY</v>
      </c>
      <c r="D6376" t="s">
        <v>45</v>
      </c>
      <c r="E6376" t="s">
        <v>138</v>
      </c>
      <c r="F6376" t="s">
        <v>70</v>
      </c>
      <c r="G6376" t="s">
        <v>48</v>
      </c>
      <c r="H6376" t="s">
        <v>49</v>
      </c>
      <c r="I6376" t="s">
        <v>62</v>
      </c>
      <c r="J6376" t="s">
        <v>8686</v>
      </c>
      <c r="K6376" t="s">
        <v>5402</v>
      </c>
      <c r="L6376" t="s">
        <v>53</v>
      </c>
      <c r="N6376" t="s">
        <v>11449</v>
      </c>
      <c r="P6376" t="s">
        <v>55</v>
      </c>
      <c r="R6376" t="s">
        <v>56</v>
      </c>
      <c r="T6376" t="s">
        <v>11450</v>
      </c>
      <c r="U6376" t="s">
        <v>55</v>
      </c>
      <c r="V6376">
        <v>1</v>
      </c>
      <c r="W6376">
        <v>1</v>
      </c>
      <c r="X6376">
        <v>1</v>
      </c>
      <c r="Y6376">
        <v>0</v>
      </c>
      <c r="Z6376">
        <v>1</v>
      </c>
      <c r="AA6376">
        <v>166</v>
      </c>
      <c r="AB6376">
        <v>166</v>
      </c>
      <c r="AC6376">
        <v>166</v>
      </c>
      <c r="AD6376">
        <v>0</v>
      </c>
      <c r="AE6376">
        <v>0</v>
      </c>
      <c r="AF6376">
        <v>0</v>
      </c>
      <c r="AG6376">
        <v>0</v>
      </c>
      <c r="AH6376">
        <v>0</v>
      </c>
      <c r="AI6376">
        <v>29.88</v>
      </c>
      <c r="AJ6376">
        <v>166</v>
      </c>
      <c r="AK6376">
        <v>0</v>
      </c>
      <c r="AL6376" t="s">
        <v>53</v>
      </c>
      <c r="AM6376" t="s">
        <v>53</v>
      </c>
      <c r="AN6376" t="s">
        <v>53</v>
      </c>
      <c r="AO6376" t="s">
        <v>53</v>
      </c>
      <c r="AP6376" t="s">
        <v>53</v>
      </c>
    </row>
    <row r="6377" spans="2:42" x14ac:dyDescent="0.2">
      <c r="B6377" t="s">
        <v>44</v>
      </c>
      <c r="C6377" t="str">
        <f>HYPERLINK("https://us2.cloudbeds.com/connect/8493803454333002#/reservations/9080486846697593?display=335RF9QDXE&amp;reservation_id=9080486846697593", "335RF9QDXE")</f>
        <v>335RF9QDXE</v>
      </c>
      <c r="D6377" t="s">
        <v>45</v>
      </c>
      <c r="E6377" t="s">
        <v>121</v>
      </c>
      <c r="F6377" t="s">
        <v>86</v>
      </c>
      <c r="G6377" t="s">
        <v>48</v>
      </c>
      <c r="H6377" t="s">
        <v>49</v>
      </c>
      <c r="I6377" t="s">
        <v>62</v>
      </c>
      <c r="J6377" t="s">
        <v>6829</v>
      </c>
      <c r="K6377" t="s">
        <v>8686</v>
      </c>
      <c r="L6377" t="s">
        <v>53</v>
      </c>
      <c r="N6377" t="s">
        <v>11451</v>
      </c>
      <c r="P6377" t="s">
        <v>55</v>
      </c>
      <c r="R6377" t="s">
        <v>56</v>
      </c>
      <c r="T6377" t="s">
        <v>11452</v>
      </c>
      <c r="U6377" t="s">
        <v>55</v>
      </c>
      <c r="V6377">
        <v>1</v>
      </c>
      <c r="W6377">
        <v>1</v>
      </c>
      <c r="X6377">
        <v>4</v>
      </c>
      <c r="Y6377">
        <v>0</v>
      </c>
      <c r="Z6377">
        <v>4</v>
      </c>
      <c r="AA6377">
        <v>175</v>
      </c>
      <c r="AB6377">
        <v>175</v>
      </c>
      <c r="AC6377">
        <v>175</v>
      </c>
      <c r="AD6377">
        <v>0</v>
      </c>
      <c r="AE6377">
        <v>0</v>
      </c>
      <c r="AF6377">
        <v>0</v>
      </c>
      <c r="AG6377">
        <v>0</v>
      </c>
      <c r="AH6377">
        <v>0</v>
      </c>
      <c r="AI6377">
        <v>31.5</v>
      </c>
      <c r="AJ6377">
        <v>175</v>
      </c>
      <c r="AK6377">
        <v>0</v>
      </c>
      <c r="AL6377" t="s">
        <v>53</v>
      </c>
      <c r="AM6377" t="s">
        <v>53</v>
      </c>
      <c r="AN6377" t="s">
        <v>53</v>
      </c>
      <c r="AO6377" t="s">
        <v>53</v>
      </c>
      <c r="AP6377" t="s">
        <v>53</v>
      </c>
    </row>
    <row r="6378" spans="2:42" x14ac:dyDescent="0.2">
      <c r="B6378" t="s">
        <v>44</v>
      </c>
      <c r="C6378" t="str">
        <f>HYPERLINK("https://us2.cloudbeds.com/connect/8493803454333002#/reservations/143994237604036?display=33CMXH9AAR&amp;reservation_id=143994237604036", "33CMXH9AAR")</f>
        <v>33CMXH9AAR</v>
      </c>
      <c r="D6378" t="s">
        <v>45</v>
      </c>
      <c r="E6378" t="s">
        <v>69</v>
      </c>
      <c r="F6378" t="s">
        <v>70</v>
      </c>
      <c r="G6378" t="s">
        <v>48</v>
      </c>
      <c r="H6378" t="s">
        <v>3957</v>
      </c>
      <c r="I6378" t="s">
        <v>3975</v>
      </c>
      <c r="J6378" t="s">
        <v>8686</v>
      </c>
      <c r="K6378" t="s">
        <v>5402</v>
      </c>
      <c r="L6378" t="s">
        <v>53</v>
      </c>
      <c r="P6378" t="s">
        <v>55</v>
      </c>
      <c r="R6378" t="s">
        <v>56</v>
      </c>
      <c r="T6378" t="s">
        <v>11453</v>
      </c>
      <c r="U6378" t="s">
        <v>58</v>
      </c>
      <c r="V6378">
        <v>1</v>
      </c>
      <c r="W6378">
        <v>1</v>
      </c>
      <c r="X6378">
        <v>1</v>
      </c>
      <c r="Y6378">
        <v>0</v>
      </c>
      <c r="Z6378">
        <v>1</v>
      </c>
      <c r="AA6378">
        <v>189.8</v>
      </c>
      <c r="AB6378">
        <v>189.8</v>
      </c>
      <c r="AC6378">
        <v>167</v>
      </c>
      <c r="AD6378">
        <v>0</v>
      </c>
      <c r="AE6378">
        <v>22.8</v>
      </c>
      <c r="AF6378">
        <v>0</v>
      </c>
      <c r="AG6378">
        <v>0</v>
      </c>
      <c r="AH6378">
        <v>0</v>
      </c>
      <c r="AI6378">
        <v>0</v>
      </c>
      <c r="AJ6378">
        <v>189.8</v>
      </c>
      <c r="AK6378">
        <v>0</v>
      </c>
      <c r="AL6378" t="s">
        <v>53</v>
      </c>
      <c r="AM6378" t="s">
        <v>53</v>
      </c>
      <c r="AN6378" t="s">
        <v>53</v>
      </c>
      <c r="AO6378" t="s">
        <v>53</v>
      </c>
      <c r="AP6378" t="s">
        <v>53</v>
      </c>
    </row>
    <row r="6379" spans="2:42" x14ac:dyDescent="0.2">
      <c r="B6379" t="s">
        <v>44</v>
      </c>
      <c r="C6379" t="str">
        <f>HYPERLINK("https://us2.cloudbeds.com/connect/8493803454333002#/reservations/9080486846704215?display=33DUMRBJ07&amp;reservation_id=9080486846704215", "33DUMRBJ07")</f>
        <v>33DUMRBJ07</v>
      </c>
      <c r="D6379" t="s">
        <v>45</v>
      </c>
      <c r="E6379" t="s">
        <v>105</v>
      </c>
      <c r="F6379" t="s">
        <v>47</v>
      </c>
      <c r="G6379" t="s">
        <v>48</v>
      </c>
      <c r="H6379" t="s">
        <v>49</v>
      </c>
      <c r="I6379" t="s">
        <v>8964</v>
      </c>
      <c r="J6379" t="s">
        <v>10137</v>
      </c>
      <c r="K6379" t="s">
        <v>10070</v>
      </c>
      <c r="L6379" t="s">
        <v>53</v>
      </c>
      <c r="N6379" t="s">
        <v>11454</v>
      </c>
      <c r="P6379" t="s">
        <v>55</v>
      </c>
      <c r="R6379" t="s">
        <v>53</v>
      </c>
      <c r="T6379" t="s">
        <v>11455</v>
      </c>
      <c r="U6379" t="s">
        <v>55</v>
      </c>
      <c r="V6379">
        <v>2</v>
      </c>
      <c r="W6379">
        <v>1</v>
      </c>
      <c r="X6379">
        <v>2</v>
      </c>
      <c r="Y6379">
        <v>0</v>
      </c>
      <c r="Z6379">
        <v>2</v>
      </c>
      <c r="AA6379">
        <v>0</v>
      </c>
      <c r="AB6379">
        <v>0</v>
      </c>
      <c r="AC6379">
        <v>175</v>
      </c>
      <c r="AD6379">
        <v>0</v>
      </c>
      <c r="AE6379">
        <v>0</v>
      </c>
      <c r="AF6379">
        <v>0</v>
      </c>
      <c r="AG6379">
        <v>0</v>
      </c>
      <c r="AH6379">
        <v>0</v>
      </c>
      <c r="AI6379">
        <v>26.25</v>
      </c>
      <c r="AJ6379">
        <v>175</v>
      </c>
      <c r="AK6379">
        <v>175</v>
      </c>
      <c r="AL6379" t="s">
        <v>53</v>
      </c>
      <c r="AM6379" t="s">
        <v>53</v>
      </c>
      <c r="AN6379" t="s">
        <v>53</v>
      </c>
      <c r="AO6379" t="s">
        <v>53</v>
      </c>
      <c r="AP6379" t="s">
        <v>53</v>
      </c>
    </row>
    <row r="6380" spans="2:42" x14ac:dyDescent="0.2">
      <c r="B6380" t="s">
        <v>44</v>
      </c>
      <c r="C6380" t="str">
        <f>HYPERLINK("https://us2.cloudbeds.com/connect/8493803454333002#/reservations/144058884325524?display=33E6KD3KV2&amp;reservation_id=144058884325524", "33E6KD3KV2")</f>
        <v>33E6KD3KV2</v>
      </c>
      <c r="D6380" t="s">
        <v>45</v>
      </c>
      <c r="E6380" t="s">
        <v>381</v>
      </c>
      <c r="F6380" t="s">
        <v>47</v>
      </c>
      <c r="G6380" t="s">
        <v>48</v>
      </c>
      <c r="H6380" t="s">
        <v>3957</v>
      </c>
      <c r="I6380" t="s">
        <v>3989</v>
      </c>
      <c r="J6380" t="s">
        <v>8686</v>
      </c>
      <c r="K6380" t="s">
        <v>5904</v>
      </c>
      <c r="L6380" t="s">
        <v>53</v>
      </c>
      <c r="P6380" t="s">
        <v>55</v>
      </c>
      <c r="R6380" t="s">
        <v>56</v>
      </c>
      <c r="T6380" t="s">
        <v>11456</v>
      </c>
      <c r="U6380" t="s">
        <v>58</v>
      </c>
      <c r="V6380">
        <v>3</v>
      </c>
      <c r="W6380">
        <v>1</v>
      </c>
      <c r="X6380">
        <v>1</v>
      </c>
      <c r="Y6380">
        <v>0</v>
      </c>
      <c r="Z6380">
        <v>1</v>
      </c>
      <c r="AA6380">
        <v>835.34</v>
      </c>
      <c r="AB6380">
        <v>835.34</v>
      </c>
      <c r="AC6380">
        <v>735</v>
      </c>
      <c r="AD6380">
        <v>0</v>
      </c>
      <c r="AE6380">
        <v>100.34</v>
      </c>
      <c r="AF6380">
        <v>0</v>
      </c>
      <c r="AG6380">
        <v>0</v>
      </c>
      <c r="AH6380">
        <v>0</v>
      </c>
      <c r="AI6380">
        <v>0</v>
      </c>
      <c r="AJ6380">
        <v>835.34</v>
      </c>
      <c r="AK6380">
        <v>0</v>
      </c>
      <c r="AL6380" t="s">
        <v>53</v>
      </c>
      <c r="AM6380" t="s">
        <v>53</v>
      </c>
      <c r="AN6380" t="s">
        <v>53</v>
      </c>
      <c r="AO6380" t="s">
        <v>53</v>
      </c>
      <c r="AP6380" t="s">
        <v>53</v>
      </c>
    </row>
    <row r="6381" spans="2:42" x14ac:dyDescent="0.2">
      <c r="B6381" t="s">
        <v>44</v>
      </c>
      <c r="C6381" t="str">
        <f>HYPERLINK("https://us2.cloudbeds.com/connect/8493803454333002#/reservations/9080486846704418?display=33E96VY8FG&amp;reservation_id=9080486846704418", "33E96VY8FG")</f>
        <v>33E96VY8FG</v>
      </c>
      <c r="D6381" t="s">
        <v>45</v>
      </c>
      <c r="E6381" t="s">
        <v>190</v>
      </c>
      <c r="F6381" t="s">
        <v>61</v>
      </c>
      <c r="G6381" t="s">
        <v>48</v>
      </c>
      <c r="H6381" t="s">
        <v>49</v>
      </c>
      <c r="I6381" t="s">
        <v>50</v>
      </c>
      <c r="J6381" t="s">
        <v>10137</v>
      </c>
      <c r="K6381" t="s">
        <v>10070</v>
      </c>
      <c r="L6381" t="s">
        <v>53</v>
      </c>
      <c r="N6381" t="s">
        <v>11457</v>
      </c>
      <c r="P6381" t="s">
        <v>55</v>
      </c>
      <c r="R6381" t="s">
        <v>53</v>
      </c>
      <c r="T6381" t="s">
        <v>11458</v>
      </c>
      <c r="U6381" t="s">
        <v>58</v>
      </c>
      <c r="V6381">
        <v>2</v>
      </c>
      <c r="W6381">
        <v>1</v>
      </c>
      <c r="X6381">
        <v>2</v>
      </c>
      <c r="Y6381">
        <v>0</v>
      </c>
      <c r="Z6381">
        <v>2</v>
      </c>
      <c r="AA6381">
        <v>182.58</v>
      </c>
      <c r="AB6381">
        <v>182.58</v>
      </c>
      <c r="AC6381">
        <v>160.65</v>
      </c>
      <c r="AD6381">
        <v>0</v>
      </c>
      <c r="AE6381">
        <v>21.93</v>
      </c>
      <c r="AF6381">
        <v>0</v>
      </c>
      <c r="AG6381">
        <v>0</v>
      </c>
      <c r="AH6381">
        <v>0</v>
      </c>
      <c r="AI6381">
        <v>32.86</v>
      </c>
      <c r="AJ6381">
        <v>182.58</v>
      </c>
      <c r="AK6381">
        <v>0</v>
      </c>
      <c r="AL6381" t="s">
        <v>53</v>
      </c>
      <c r="AM6381" t="s">
        <v>53</v>
      </c>
      <c r="AN6381" t="s">
        <v>53</v>
      </c>
      <c r="AO6381" t="s">
        <v>53</v>
      </c>
      <c r="AP6381" t="s">
        <v>53</v>
      </c>
    </row>
    <row r="6382" spans="2:42" x14ac:dyDescent="0.2">
      <c r="B6382" t="s">
        <v>44</v>
      </c>
      <c r="C6382" t="str">
        <f>HYPERLINK("https://us2.cloudbeds.com/connect/8493803454333002#/reservations/9080486846704483?display=33ECBB10VR&amp;reservation_id=9080486846704483", "33ECBB10VR")</f>
        <v>33ECBB10VR</v>
      </c>
      <c r="D6382" t="s">
        <v>45</v>
      </c>
      <c r="E6382" t="s">
        <v>305</v>
      </c>
      <c r="F6382" t="s">
        <v>61</v>
      </c>
      <c r="G6382" t="s">
        <v>48</v>
      </c>
      <c r="H6382" t="s">
        <v>49</v>
      </c>
      <c r="I6382" t="s">
        <v>50</v>
      </c>
      <c r="J6382" t="s">
        <v>10137</v>
      </c>
      <c r="K6382" t="s">
        <v>10070</v>
      </c>
      <c r="L6382" t="s">
        <v>53</v>
      </c>
      <c r="N6382" t="s">
        <v>11459</v>
      </c>
      <c r="P6382" t="s">
        <v>55</v>
      </c>
      <c r="R6382" t="s">
        <v>53</v>
      </c>
      <c r="T6382" t="s">
        <v>11460</v>
      </c>
      <c r="U6382" t="s">
        <v>58</v>
      </c>
      <c r="V6382">
        <v>2</v>
      </c>
      <c r="W6382">
        <v>1</v>
      </c>
      <c r="X6382">
        <v>1</v>
      </c>
      <c r="Y6382">
        <v>0</v>
      </c>
      <c r="Z6382">
        <v>1</v>
      </c>
      <c r="AA6382">
        <v>183.64</v>
      </c>
      <c r="AB6382">
        <v>183.64</v>
      </c>
      <c r="AC6382">
        <v>161.59</v>
      </c>
      <c r="AD6382">
        <v>0</v>
      </c>
      <c r="AE6382">
        <v>22.05</v>
      </c>
      <c r="AF6382">
        <v>0</v>
      </c>
      <c r="AG6382">
        <v>0</v>
      </c>
      <c r="AH6382">
        <v>0</v>
      </c>
      <c r="AI6382">
        <v>33.06</v>
      </c>
      <c r="AJ6382">
        <v>183.64</v>
      </c>
      <c r="AK6382">
        <v>0</v>
      </c>
      <c r="AL6382" t="s">
        <v>53</v>
      </c>
      <c r="AM6382" t="s">
        <v>53</v>
      </c>
      <c r="AN6382" t="s">
        <v>53</v>
      </c>
      <c r="AO6382" t="s">
        <v>53</v>
      </c>
      <c r="AP6382" t="s">
        <v>53</v>
      </c>
    </row>
    <row r="6383" spans="2:42" x14ac:dyDescent="0.2">
      <c r="B6383" t="s">
        <v>44</v>
      </c>
      <c r="C6383" t="str">
        <f>HYPERLINK("https://us2.cloudbeds.com/connect/8493803454333002#/reservations/9080486846704929?display=33F0YRU86W&amp;reservation_id=9080486846704929", "33F0YRU86W")</f>
        <v>33F0YRU86W</v>
      </c>
      <c r="D6383" t="s">
        <v>45</v>
      </c>
      <c r="E6383" t="s">
        <v>265</v>
      </c>
      <c r="F6383" t="s">
        <v>61</v>
      </c>
      <c r="G6383" t="s">
        <v>48</v>
      </c>
      <c r="H6383" t="s">
        <v>49</v>
      </c>
      <c r="I6383" t="s">
        <v>50</v>
      </c>
      <c r="J6383" t="s">
        <v>10137</v>
      </c>
      <c r="K6383" t="s">
        <v>10070</v>
      </c>
      <c r="L6383" t="s">
        <v>53</v>
      </c>
      <c r="N6383" t="s">
        <v>11461</v>
      </c>
      <c r="P6383" t="s">
        <v>55</v>
      </c>
      <c r="R6383" t="s">
        <v>53</v>
      </c>
      <c r="T6383" t="s">
        <v>11462</v>
      </c>
      <c r="U6383" t="s">
        <v>58</v>
      </c>
      <c r="V6383">
        <v>2</v>
      </c>
      <c r="W6383">
        <v>1</v>
      </c>
      <c r="X6383">
        <v>1</v>
      </c>
      <c r="Y6383">
        <v>0</v>
      </c>
      <c r="Z6383">
        <v>1</v>
      </c>
      <c r="AA6383">
        <v>183.64</v>
      </c>
      <c r="AB6383">
        <v>183.64</v>
      </c>
      <c r="AC6383">
        <v>161.59</v>
      </c>
      <c r="AD6383">
        <v>0</v>
      </c>
      <c r="AE6383">
        <v>22.05</v>
      </c>
      <c r="AF6383">
        <v>0</v>
      </c>
      <c r="AG6383">
        <v>0</v>
      </c>
      <c r="AH6383">
        <v>0</v>
      </c>
      <c r="AI6383">
        <v>33.06</v>
      </c>
      <c r="AJ6383">
        <v>183.64</v>
      </c>
      <c r="AK6383">
        <v>0</v>
      </c>
      <c r="AL6383" t="s">
        <v>53</v>
      </c>
      <c r="AM6383" t="s">
        <v>53</v>
      </c>
      <c r="AN6383" t="s">
        <v>53</v>
      </c>
      <c r="AO6383" t="s">
        <v>53</v>
      </c>
      <c r="AP6383" t="s">
        <v>53</v>
      </c>
    </row>
    <row r="6384" spans="2:42" x14ac:dyDescent="0.2">
      <c r="B6384" t="s">
        <v>44</v>
      </c>
      <c r="C6384" t="str">
        <f>HYPERLINK("https://us2.cloudbeds.com/connect/8493803454333002#/reservations/9080486846705555?display=33G1XPMER3&amp;reservation_id=9080486846705555", "33G1XPMER3")</f>
        <v>33G1XPMER3</v>
      </c>
      <c r="D6384" t="s">
        <v>45</v>
      </c>
      <c r="E6384" t="s">
        <v>165</v>
      </c>
      <c r="F6384" t="s">
        <v>61</v>
      </c>
      <c r="G6384" t="s">
        <v>48</v>
      </c>
      <c r="H6384" t="s">
        <v>49</v>
      </c>
      <c r="I6384" t="s">
        <v>50</v>
      </c>
      <c r="J6384" t="s">
        <v>5402</v>
      </c>
      <c r="K6384" t="s">
        <v>8138</v>
      </c>
      <c r="L6384" t="s">
        <v>53</v>
      </c>
      <c r="N6384" t="s">
        <v>11463</v>
      </c>
      <c r="P6384" t="s">
        <v>55</v>
      </c>
      <c r="R6384" t="s">
        <v>53</v>
      </c>
      <c r="T6384" t="s">
        <v>11464</v>
      </c>
      <c r="U6384" t="s">
        <v>58</v>
      </c>
      <c r="V6384">
        <v>1</v>
      </c>
      <c r="W6384">
        <v>1</v>
      </c>
      <c r="X6384">
        <v>2</v>
      </c>
      <c r="Y6384">
        <v>0</v>
      </c>
      <c r="Z6384">
        <v>2</v>
      </c>
      <c r="AA6384">
        <v>251.62</v>
      </c>
      <c r="AB6384">
        <v>251.62</v>
      </c>
      <c r="AC6384">
        <v>221.4</v>
      </c>
      <c r="AD6384">
        <v>0</v>
      </c>
      <c r="AE6384">
        <v>30.22</v>
      </c>
      <c r="AF6384">
        <v>0</v>
      </c>
      <c r="AG6384">
        <v>0</v>
      </c>
      <c r="AH6384">
        <v>0</v>
      </c>
      <c r="AI6384">
        <v>45.29</v>
      </c>
      <c r="AJ6384">
        <v>251.62</v>
      </c>
      <c r="AK6384">
        <v>0</v>
      </c>
      <c r="AL6384" t="s">
        <v>53</v>
      </c>
      <c r="AM6384" t="s">
        <v>53</v>
      </c>
      <c r="AN6384" t="s">
        <v>53</v>
      </c>
      <c r="AO6384" t="s">
        <v>53</v>
      </c>
      <c r="AP6384" t="s">
        <v>53</v>
      </c>
    </row>
    <row r="6385" spans="2:42" x14ac:dyDescent="0.2">
      <c r="B6385" t="s">
        <v>44</v>
      </c>
      <c r="C6385" t="str">
        <f>HYPERLINK("https://us2.cloudbeds.com/connect/8493803454333002#/reservations/9080486846705650?display=33G744T9B7&amp;reservation_id=9080486846705650", "33G744T9B7")</f>
        <v>33G744T9B7</v>
      </c>
      <c r="D6385" t="s">
        <v>45</v>
      </c>
      <c r="E6385" t="s">
        <v>373</v>
      </c>
      <c r="F6385" t="s">
        <v>47</v>
      </c>
      <c r="G6385" t="s">
        <v>48</v>
      </c>
      <c r="H6385" t="s">
        <v>49</v>
      </c>
      <c r="I6385" t="s">
        <v>62</v>
      </c>
      <c r="J6385" t="s">
        <v>5403</v>
      </c>
      <c r="K6385" t="s">
        <v>8139</v>
      </c>
      <c r="L6385" t="s">
        <v>53</v>
      </c>
      <c r="N6385" t="s">
        <v>11465</v>
      </c>
      <c r="P6385" t="s">
        <v>55</v>
      </c>
      <c r="R6385" t="s">
        <v>56</v>
      </c>
      <c r="T6385" t="s">
        <v>11466</v>
      </c>
      <c r="U6385" t="s">
        <v>55</v>
      </c>
      <c r="V6385">
        <v>2</v>
      </c>
      <c r="W6385">
        <v>1</v>
      </c>
      <c r="X6385">
        <v>2</v>
      </c>
      <c r="Y6385">
        <v>0</v>
      </c>
      <c r="Z6385">
        <v>2</v>
      </c>
      <c r="AA6385">
        <v>352</v>
      </c>
      <c r="AB6385">
        <v>352</v>
      </c>
      <c r="AC6385">
        <v>352</v>
      </c>
      <c r="AD6385">
        <v>0</v>
      </c>
      <c r="AE6385">
        <v>0</v>
      </c>
      <c r="AF6385">
        <v>0</v>
      </c>
      <c r="AG6385">
        <v>0</v>
      </c>
      <c r="AH6385">
        <v>0</v>
      </c>
      <c r="AI6385">
        <v>63.36</v>
      </c>
      <c r="AJ6385">
        <v>352</v>
      </c>
      <c r="AK6385">
        <v>0</v>
      </c>
      <c r="AL6385" t="s">
        <v>53</v>
      </c>
      <c r="AM6385" t="s">
        <v>53</v>
      </c>
      <c r="AN6385" t="s">
        <v>53</v>
      </c>
      <c r="AO6385" t="s">
        <v>53</v>
      </c>
      <c r="AP6385" t="s">
        <v>53</v>
      </c>
    </row>
    <row r="6386" spans="2:42" x14ac:dyDescent="0.2">
      <c r="B6386" t="s">
        <v>44</v>
      </c>
      <c r="C6386" t="str">
        <f>HYPERLINK("https://us2.cloudbeds.com/connect/8493803454333002#/reservations/144299918917784?display=33JS8CSFMD&amp;reservation_id=144299918917784", "33JS8CSFMD")</f>
        <v>33JS8CSFMD</v>
      </c>
      <c r="D6386" t="s">
        <v>45</v>
      </c>
      <c r="E6386" t="s">
        <v>406</v>
      </c>
      <c r="F6386" t="s">
        <v>61</v>
      </c>
      <c r="G6386" t="s">
        <v>48</v>
      </c>
      <c r="H6386" t="s">
        <v>3957</v>
      </c>
      <c r="I6386" t="s">
        <v>3975</v>
      </c>
      <c r="J6386" t="s">
        <v>5905</v>
      </c>
      <c r="K6386" t="s">
        <v>5744</v>
      </c>
      <c r="L6386" t="s">
        <v>53</v>
      </c>
      <c r="P6386" t="s">
        <v>55</v>
      </c>
      <c r="R6386" t="s">
        <v>56</v>
      </c>
      <c r="T6386" t="s">
        <v>11467</v>
      </c>
      <c r="U6386" t="s">
        <v>58</v>
      </c>
      <c r="V6386">
        <v>6</v>
      </c>
      <c r="W6386">
        <v>1</v>
      </c>
      <c r="X6386">
        <v>2</v>
      </c>
      <c r="Y6386">
        <v>0</v>
      </c>
      <c r="Z6386">
        <v>2</v>
      </c>
      <c r="AA6386">
        <v>1464.98</v>
      </c>
      <c r="AB6386">
        <v>1464.98</v>
      </c>
      <c r="AC6386">
        <v>1289</v>
      </c>
      <c r="AD6386">
        <v>0</v>
      </c>
      <c r="AE6386">
        <v>175.98</v>
      </c>
      <c r="AF6386">
        <v>0</v>
      </c>
      <c r="AG6386">
        <v>0</v>
      </c>
      <c r="AH6386">
        <v>0</v>
      </c>
      <c r="AI6386">
        <v>0</v>
      </c>
      <c r="AJ6386">
        <v>1464.98</v>
      </c>
      <c r="AK6386">
        <v>0</v>
      </c>
      <c r="AL6386" t="s">
        <v>53</v>
      </c>
      <c r="AM6386" t="s">
        <v>53</v>
      </c>
      <c r="AN6386" t="s">
        <v>53</v>
      </c>
      <c r="AO6386" t="s">
        <v>53</v>
      </c>
      <c r="AP6386" t="s">
        <v>53</v>
      </c>
    </row>
    <row r="6387" spans="2:42" x14ac:dyDescent="0.2">
      <c r="B6387" t="s">
        <v>44</v>
      </c>
      <c r="C6387" t="str">
        <f>HYPERLINK("https://us2.cloudbeds.com/connect/8493803454333002#/reservations/9080486846710364?display=33YYRAY54S&amp;reservation_id=9080486846710364", "33YYRAY54S")</f>
        <v>33YYRAY54S</v>
      </c>
      <c r="D6387" t="s">
        <v>45</v>
      </c>
      <c r="E6387" t="s">
        <v>406</v>
      </c>
      <c r="F6387" t="s">
        <v>61</v>
      </c>
      <c r="G6387" t="s">
        <v>48</v>
      </c>
      <c r="H6387" t="s">
        <v>49</v>
      </c>
      <c r="I6387" t="s">
        <v>50</v>
      </c>
      <c r="J6387" t="s">
        <v>5744</v>
      </c>
      <c r="K6387" t="s">
        <v>9610</v>
      </c>
      <c r="L6387" t="s">
        <v>53</v>
      </c>
      <c r="N6387" t="s">
        <v>11468</v>
      </c>
      <c r="P6387" t="s">
        <v>55</v>
      </c>
      <c r="R6387" t="s">
        <v>53</v>
      </c>
      <c r="T6387" t="s">
        <v>11469</v>
      </c>
      <c r="U6387" t="s">
        <v>58</v>
      </c>
      <c r="V6387">
        <v>2</v>
      </c>
      <c r="W6387">
        <v>1</v>
      </c>
      <c r="X6387">
        <v>2</v>
      </c>
      <c r="Y6387">
        <v>0</v>
      </c>
      <c r="Z6387">
        <v>2</v>
      </c>
      <c r="AA6387">
        <v>361.46</v>
      </c>
      <c r="AB6387">
        <v>361.46</v>
      </c>
      <c r="AC6387">
        <v>318.05</v>
      </c>
      <c r="AD6387">
        <v>0</v>
      </c>
      <c r="AE6387">
        <v>43.41</v>
      </c>
      <c r="AF6387">
        <v>0</v>
      </c>
      <c r="AG6387">
        <v>0</v>
      </c>
      <c r="AH6387">
        <v>0</v>
      </c>
      <c r="AI6387">
        <v>65.06</v>
      </c>
      <c r="AJ6387">
        <v>361.46</v>
      </c>
      <c r="AK6387">
        <v>0</v>
      </c>
      <c r="AL6387" t="s">
        <v>53</v>
      </c>
      <c r="AM6387" t="s">
        <v>53</v>
      </c>
      <c r="AN6387" t="s">
        <v>53</v>
      </c>
      <c r="AO6387" t="s">
        <v>53</v>
      </c>
      <c r="AP6387" t="s">
        <v>53</v>
      </c>
    </row>
    <row r="6388" spans="2:42" x14ac:dyDescent="0.2">
      <c r="B6388" t="s">
        <v>44</v>
      </c>
      <c r="C6388" t="str">
        <f>HYPERLINK("https://us2.cloudbeds.com/connect/8493803454333002#/reservations/9080486846710577?display=33YV4PNG4V&amp;reservation_id=9080486846710577", "33YV4PNG4V")</f>
        <v>33YV4PNG4V</v>
      </c>
      <c r="D6388" t="s">
        <v>45</v>
      </c>
      <c r="E6388" t="s">
        <v>185</v>
      </c>
      <c r="F6388" t="s">
        <v>47</v>
      </c>
      <c r="G6388" t="s">
        <v>48</v>
      </c>
      <c r="H6388" t="s">
        <v>49</v>
      </c>
      <c r="I6388" t="s">
        <v>62</v>
      </c>
      <c r="J6388" t="s">
        <v>5402</v>
      </c>
      <c r="K6388" t="s">
        <v>8138</v>
      </c>
      <c r="L6388" t="s">
        <v>53</v>
      </c>
      <c r="N6388" t="s">
        <v>11470</v>
      </c>
      <c r="P6388" t="s">
        <v>55</v>
      </c>
      <c r="R6388" t="s">
        <v>56</v>
      </c>
      <c r="T6388" t="s">
        <v>11471</v>
      </c>
      <c r="U6388" t="s">
        <v>55</v>
      </c>
      <c r="V6388">
        <v>1</v>
      </c>
      <c r="W6388">
        <v>1</v>
      </c>
      <c r="X6388">
        <v>2</v>
      </c>
      <c r="Y6388">
        <v>0</v>
      </c>
      <c r="Z6388">
        <v>2</v>
      </c>
      <c r="AA6388">
        <v>227</v>
      </c>
      <c r="AB6388">
        <v>227</v>
      </c>
      <c r="AC6388">
        <v>227</v>
      </c>
      <c r="AD6388">
        <v>0</v>
      </c>
      <c r="AE6388">
        <v>0</v>
      </c>
      <c r="AF6388">
        <v>0</v>
      </c>
      <c r="AG6388">
        <v>0</v>
      </c>
      <c r="AH6388">
        <v>0</v>
      </c>
      <c r="AI6388">
        <v>40.86</v>
      </c>
      <c r="AJ6388">
        <v>227</v>
      </c>
      <c r="AK6388">
        <v>0</v>
      </c>
      <c r="AL6388" t="s">
        <v>53</v>
      </c>
      <c r="AM6388" t="s">
        <v>53</v>
      </c>
      <c r="AN6388" t="s">
        <v>53</v>
      </c>
      <c r="AO6388" t="s">
        <v>53</v>
      </c>
      <c r="AP6388" t="s">
        <v>53</v>
      </c>
    </row>
    <row r="6389" spans="2:42" x14ac:dyDescent="0.2">
      <c r="B6389" t="s">
        <v>44</v>
      </c>
      <c r="C6389" t="str">
        <f>HYPERLINK("https://us2.cloudbeds.com/connect/8493803454333002#/reservations/144397411401920?display=33M2B9YK71&amp;reservation_id=144397411401920", "33M2B9YK71")</f>
        <v>33M2B9YK71</v>
      </c>
      <c r="D6389" t="s">
        <v>45</v>
      </c>
      <c r="E6389" t="s">
        <v>179</v>
      </c>
      <c r="F6389" t="s">
        <v>47</v>
      </c>
      <c r="G6389" t="s">
        <v>48</v>
      </c>
      <c r="H6389" t="s">
        <v>3957</v>
      </c>
      <c r="I6389" t="s">
        <v>3975</v>
      </c>
      <c r="J6389" t="s">
        <v>5402</v>
      </c>
      <c r="K6389" t="s">
        <v>8138</v>
      </c>
      <c r="L6389" t="s">
        <v>53</v>
      </c>
      <c r="P6389" t="s">
        <v>55</v>
      </c>
      <c r="R6389" t="s">
        <v>56</v>
      </c>
      <c r="T6389" t="s">
        <v>11472</v>
      </c>
      <c r="U6389" t="s">
        <v>58</v>
      </c>
      <c r="V6389">
        <v>1</v>
      </c>
      <c r="W6389">
        <v>1</v>
      </c>
      <c r="X6389">
        <v>2</v>
      </c>
      <c r="Y6389">
        <v>0</v>
      </c>
      <c r="Z6389">
        <v>2</v>
      </c>
      <c r="AA6389">
        <v>257.99</v>
      </c>
      <c r="AB6389">
        <v>257.99</v>
      </c>
      <c r="AC6389">
        <v>227</v>
      </c>
      <c r="AD6389">
        <v>0</v>
      </c>
      <c r="AE6389">
        <v>30.99</v>
      </c>
      <c r="AF6389">
        <v>0</v>
      </c>
      <c r="AG6389">
        <v>0</v>
      </c>
      <c r="AH6389">
        <v>0</v>
      </c>
      <c r="AI6389">
        <v>0</v>
      </c>
      <c r="AJ6389">
        <v>257.99</v>
      </c>
      <c r="AK6389">
        <v>0</v>
      </c>
      <c r="AL6389" t="s">
        <v>53</v>
      </c>
      <c r="AM6389" t="s">
        <v>53</v>
      </c>
      <c r="AN6389" t="s">
        <v>53</v>
      </c>
      <c r="AO6389" t="s">
        <v>53</v>
      </c>
      <c r="AP6389" t="s">
        <v>53</v>
      </c>
    </row>
    <row r="6390" spans="2:42" x14ac:dyDescent="0.2">
      <c r="B6390" t="s">
        <v>44</v>
      </c>
      <c r="C6390" t="str">
        <f>HYPERLINK("https://us2.cloudbeds.com/connect/8493803454333002#/reservations/144429618811087?display=33MTMH86HF&amp;reservation_id=144429618811087", "33MTMH86HF")</f>
        <v>33MTMH86HF</v>
      </c>
      <c r="D6390" t="s">
        <v>45</v>
      </c>
      <c r="E6390" t="s">
        <v>46</v>
      </c>
      <c r="F6390" t="s">
        <v>47</v>
      </c>
      <c r="G6390" t="s">
        <v>4520</v>
      </c>
      <c r="H6390" t="s">
        <v>3957</v>
      </c>
      <c r="I6390" t="s">
        <v>3958</v>
      </c>
      <c r="J6390" t="s">
        <v>5402</v>
      </c>
      <c r="K6390" t="s">
        <v>8138</v>
      </c>
      <c r="L6390" t="s">
        <v>53</v>
      </c>
      <c r="P6390" t="s">
        <v>55</v>
      </c>
      <c r="R6390" t="s">
        <v>56</v>
      </c>
      <c r="T6390" t="s">
        <v>11473</v>
      </c>
      <c r="U6390" t="s">
        <v>58</v>
      </c>
      <c r="V6390">
        <v>1</v>
      </c>
      <c r="W6390">
        <v>1</v>
      </c>
      <c r="X6390">
        <v>1</v>
      </c>
      <c r="Y6390">
        <v>0</v>
      </c>
      <c r="Z6390">
        <v>1</v>
      </c>
      <c r="AA6390">
        <v>232.19</v>
      </c>
      <c r="AB6390">
        <v>232.19</v>
      </c>
      <c r="AC6390">
        <v>204.3</v>
      </c>
      <c r="AD6390">
        <v>0</v>
      </c>
      <c r="AE6390">
        <v>27.89</v>
      </c>
      <c r="AF6390">
        <v>0</v>
      </c>
      <c r="AG6390">
        <v>0</v>
      </c>
      <c r="AH6390">
        <v>0</v>
      </c>
      <c r="AI6390">
        <v>0</v>
      </c>
      <c r="AJ6390">
        <v>232.19</v>
      </c>
      <c r="AK6390">
        <v>0</v>
      </c>
      <c r="AL6390" t="s">
        <v>53</v>
      </c>
      <c r="AM6390" t="s">
        <v>53</v>
      </c>
      <c r="AN6390" t="s">
        <v>53</v>
      </c>
      <c r="AO6390" t="s">
        <v>53</v>
      </c>
      <c r="AP6390" t="s">
        <v>53</v>
      </c>
    </row>
    <row r="6391" spans="2:42" x14ac:dyDescent="0.2">
      <c r="B6391" t="s">
        <v>44</v>
      </c>
      <c r="C6391" t="str">
        <f>HYPERLINK("https://us2.cloudbeds.com/connect/8493803454333002#/reservations/9080486846711636?display=33NG0EN2DB&amp;reservation_id=9080486846711636", "33NG0EN2DB")</f>
        <v>33NG0EN2DB</v>
      </c>
      <c r="D6391" t="s">
        <v>45</v>
      </c>
      <c r="E6391" t="s">
        <v>185</v>
      </c>
      <c r="F6391" t="s">
        <v>47</v>
      </c>
      <c r="G6391" t="s">
        <v>48</v>
      </c>
      <c r="H6391" t="s">
        <v>49</v>
      </c>
      <c r="I6391" t="s">
        <v>50</v>
      </c>
      <c r="J6391" t="s">
        <v>6345</v>
      </c>
      <c r="K6391" t="s">
        <v>9687</v>
      </c>
      <c r="L6391" t="s">
        <v>53</v>
      </c>
      <c r="N6391" t="s">
        <v>11474</v>
      </c>
      <c r="P6391" t="s">
        <v>55</v>
      </c>
      <c r="R6391" t="s">
        <v>53</v>
      </c>
      <c r="T6391" t="s">
        <v>11475</v>
      </c>
      <c r="U6391" t="s">
        <v>58</v>
      </c>
      <c r="V6391">
        <v>2</v>
      </c>
      <c r="W6391">
        <v>1</v>
      </c>
      <c r="X6391">
        <v>2</v>
      </c>
      <c r="Y6391">
        <v>0</v>
      </c>
      <c r="Z6391">
        <v>2</v>
      </c>
      <c r="AA6391">
        <v>399.93</v>
      </c>
      <c r="AB6391">
        <v>399.93</v>
      </c>
      <c r="AC6391">
        <v>351.9</v>
      </c>
      <c r="AD6391">
        <v>0</v>
      </c>
      <c r="AE6391">
        <v>48.03</v>
      </c>
      <c r="AF6391">
        <v>0</v>
      </c>
      <c r="AG6391">
        <v>0</v>
      </c>
      <c r="AH6391">
        <v>0</v>
      </c>
      <c r="AI6391">
        <v>71.989999999999995</v>
      </c>
      <c r="AJ6391">
        <v>399.93</v>
      </c>
      <c r="AK6391">
        <v>0</v>
      </c>
      <c r="AL6391" t="s">
        <v>53</v>
      </c>
      <c r="AM6391" t="s">
        <v>53</v>
      </c>
      <c r="AN6391" t="s">
        <v>53</v>
      </c>
      <c r="AO6391" t="s">
        <v>53</v>
      </c>
      <c r="AP6391" t="s">
        <v>53</v>
      </c>
    </row>
    <row r="6392" spans="2:42" x14ac:dyDescent="0.2">
      <c r="B6392" t="s">
        <v>44</v>
      </c>
      <c r="C6392" t="str">
        <f>HYPERLINK("https://us2.cloudbeds.com/connect/8493803454333002#/reservations/9080486846711637?display=33NG04QSZ1&amp;reservation_id=9080486846711637", "33NG04QSZ1")</f>
        <v>33NG04QSZ1</v>
      </c>
      <c r="D6392" t="s">
        <v>45</v>
      </c>
      <c r="E6392" t="s">
        <v>179</v>
      </c>
      <c r="F6392" t="s">
        <v>47</v>
      </c>
      <c r="G6392" t="s">
        <v>48</v>
      </c>
      <c r="H6392" t="s">
        <v>49</v>
      </c>
      <c r="I6392" t="s">
        <v>50</v>
      </c>
      <c r="J6392" t="s">
        <v>6345</v>
      </c>
      <c r="K6392" t="s">
        <v>9687</v>
      </c>
      <c r="L6392" t="s">
        <v>53</v>
      </c>
      <c r="N6392" t="s">
        <v>11476</v>
      </c>
      <c r="P6392" t="s">
        <v>55</v>
      </c>
      <c r="R6392" t="s">
        <v>53</v>
      </c>
      <c r="T6392" t="s">
        <v>11477</v>
      </c>
      <c r="U6392" t="s">
        <v>58</v>
      </c>
      <c r="V6392">
        <v>2</v>
      </c>
      <c r="W6392">
        <v>1</v>
      </c>
      <c r="X6392">
        <v>1</v>
      </c>
      <c r="Y6392">
        <v>0</v>
      </c>
      <c r="Z6392">
        <v>1</v>
      </c>
      <c r="AA6392">
        <v>399.93</v>
      </c>
      <c r="AB6392">
        <v>399.93</v>
      </c>
      <c r="AC6392">
        <v>351.9</v>
      </c>
      <c r="AD6392">
        <v>0</v>
      </c>
      <c r="AE6392">
        <v>48.03</v>
      </c>
      <c r="AF6392">
        <v>0</v>
      </c>
      <c r="AG6392">
        <v>0</v>
      </c>
      <c r="AH6392">
        <v>0</v>
      </c>
      <c r="AI6392">
        <v>71.989999999999995</v>
      </c>
      <c r="AJ6392">
        <v>399.93</v>
      </c>
      <c r="AK6392">
        <v>0</v>
      </c>
      <c r="AL6392" t="s">
        <v>53</v>
      </c>
      <c r="AM6392" t="s">
        <v>53</v>
      </c>
      <c r="AN6392" t="s">
        <v>53</v>
      </c>
      <c r="AO6392" t="s">
        <v>53</v>
      </c>
      <c r="AP6392" t="s">
        <v>53</v>
      </c>
    </row>
    <row r="6393" spans="2:42" x14ac:dyDescent="0.2">
      <c r="B6393" t="s">
        <v>44</v>
      </c>
      <c r="C6393" t="str">
        <f>HYPERLINK("https://us2.cloudbeds.com/connect/8493803454333002#/reservations/9080486846712248?display=33ZKSWEGNV&amp;reservation_id=9080486846712248", "33ZKSWEGNV")</f>
        <v>33ZKSWEGNV</v>
      </c>
      <c r="D6393" t="s">
        <v>45</v>
      </c>
      <c r="E6393" t="s">
        <v>113</v>
      </c>
      <c r="F6393" t="s">
        <v>61</v>
      </c>
      <c r="G6393" t="s">
        <v>48</v>
      </c>
      <c r="H6393" t="s">
        <v>49</v>
      </c>
      <c r="I6393" t="s">
        <v>50</v>
      </c>
      <c r="J6393" t="s">
        <v>7493</v>
      </c>
      <c r="K6393" t="s">
        <v>6344</v>
      </c>
      <c r="L6393" t="s">
        <v>53</v>
      </c>
      <c r="N6393" t="s">
        <v>11478</v>
      </c>
      <c r="P6393" t="s">
        <v>55</v>
      </c>
      <c r="R6393" t="s">
        <v>53</v>
      </c>
      <c r="T6393" t="s">
        <v>11479</v>
      </c>
      <c r="U6393" t="s">
        <v>58</v>
      </c>
      <c r="V6393">
        <v>1</v>
      </c>
      <c r="W6393">
        <v>1</v>
      </c>
      <c r="X6393">
        <v>2</v>
      </c>
      <c r="Y6393">
        <v>0</v>
      </c>
      <c r="Z6393">
        <v>2</v>
      </c>
      <c r="AA6393">
        <v>189.23</v>
      </c>
      <c r="AB6393">
        <v>189.23</v>
      </c>
      <c r="AC6393">
        <v>166.5</v>
      </c>
      <c r="AD6393">
        <v>0</v>
      </c>
      <c r="AE6393">
        <v>22.73</v>
      </c>
      <c r="AF6393">
        <v>0</v>
      </c>
      <c r="AG6393">
        <v>0</v>
      </c>
      <c r="AH6393">
        <v>0</v>
      </c>
      <c r="AI6393">
        <v>34.06</v>
      </c>
      <c r="AJ6393">
        <v>189.23</v>
      </c>
      <c r="AK6393">
        <v>0</v>
      </c>
      <c r="AL6393" t="s">
        <v>53</v>
      </c>
      <c r="AM6393" t="s">
        <v>53</v>
      </c>
      <c r="AN6393" t="s">
        <v>53</v>
      </c>
      <c r="AO6393" t="s">
        <v>53</v>
      </c>
      <c r="AP6393" t="s">
        <v>53</v>
      </c>
    </row>
    <row r="6394" spans="2:42" x14ac:dyDescent="0.2">
      <c r="B6394" t="s">
        <v>44</v>
      </c>
      <c r="C6394" t="str">
        <f>HYPERLINK("https://us2.cloudbeds.com/connect/8493803454333002#/reservations/9080486846714982?display=33S5PQJ482&amp;reservation_id=9080486846714982", "33S5PQJ482")</f>
        <v>33S5PQJ482</v>
      </c>
      <c r="D6394" t="s">
        <v>45</v>
      </c>
      <c r="E6394" t="s">
        <v>223</v>
      </c>
      <c r="F6394" t="s">
        <v>47</v>
      </c>
      <c r="G6394" t="s">
        <v>48</v>
      </c>
      <c r="H6394" t="s">
        <v>49</v>
      </c>
      <c r="I6394" t="s">
        <v>50</v>
      </c>
      <c r="J6394" t="s">
        <v>8678</v>
      </c>
      <c r="K6394" t="s">
        <v>9688</v>
      </c>
      <c r="L6394" t="s">
        <v>53</v>
      </c>
      <c r="N6394" t="s">
        <v>11480</v>
      </c>
      <c r="P6394" t="s">
        <v>55</v>
      </c>
      <c r="R6394" t="s">
        <v>53</v>
      </c>
      <c r="T6394" t="s">
        <v>11481</v>
      </c>
      <c r="U6394" t="s">
        <v>58</v>
      </c>
      <c r="V6394">
        <v>2</v>
      </c>
      <c r="W6394">
        <v>1</v>
      </c>
      <c r="X6394">
        <v>2</v>
      </c>
      <c r="Y6394">
        <v>0</v>
      </c>
      <c r="Z6394">
        <v>2</v>
      </c>
      <c r="AA6394">
        <v>419.76</v>
      </c>
      <c r="AB6394">
        <v>419.76</v>
      </c>
      <c r="AC6394">
        <v>369.35</v>
      </c>
      <c r="AD6394">
        <v>0</v>
      </c>
      <c r="AE6394">
        <v>50.41</v>
      </c>
      <c r="AF6394">
        <v>0</v>
      </c>
      <c r="AG6394">
        <v>0</v>
      </c>
      <c r="AH6394">
        <v>0</v>
      </c>
      <c r="AI6394">
        <v>75.56</v>
      </c>
      <c r="AJ6394">
        <v>419.76</v>
      </c>
      <c r="AK6394">
        <v>0</v>
      </c>
      <c r="AL6394" t="s">
        <v>53</v>
      </c>
      <c r="AM6394" t="s">
        <v>53</v>
      </c>
      <c r="AN6394" t="s">
        <v>53</v>
      </c>
      <c r="AO6394" t="s">
        <v>53</v>
      </c>
      <c r="AP6394" t="s">
        <v>53</v>
      </c>
    </row>
    <row r="6395" spans="2:42" x14ac:dyDescent="0.2">
      <c r="B6395" t="s">
        <v>44</v>
      </c>
      <c r="C6395" t="str">
        <f>HYPERLINK("https://us2.cloudbeds.com/connect/8493803454333002#/reservations/9080486846714994?display=33S5V2S6AJ&amp;reservation_id=9080486846714994", "33S5V2S6AJ")</f>
        <v>33S5V2S6AJ</v>
      </c>
      <c r="D6395" t="s">
        <v>45</v>
      </c>
      <c r="E6395" t="s">
        <v>98</v>
      </c>
      <c r="F6395" t="s">
        <v>86</v>
      </c>
      <c r="G6395" t="s">
        <v>48</v>
      </c>
      <c r="H6395" t="s">
        <v>49</v>
      </c>
      <c r="I6395" t="s">
        <v>62</v>
      </c>
      <c r="J6395" t="s">
        <v>11482</v>
      </c>
      <c r="K6395" t="s">
        <v>10170</v>
      </c>
      <c r="L6395" t="s">
        <v>53</v>
      </c>
      <c r="N6395" t="s">
        <v>11483</v>
      </c>
      <c r="P6395" t="s">
        <v>55</v>
      </c>
      <c r="R6395" t="s">
        <v>11484</v>
      </c>
      <c r="T6395" t="s">
        <v>11485</v>
      </c>
      <c r="U6395" t="s">
        <v>55</v>
      </c>
      <c r="V6395">
        <v>2</v>
      </c>
      <c r="W6395">
        <v>1</v>
      </c>
      <c r="X6395">
        <v>2</v>
      </c>
      <c r="Y6395">
        <v>2</v>
      </c>
      <c r="Z6395">
        <v>4</v>
      </c>
      <c r="AA6395">
        <v>416.1</v>
      </c>
      <c r="AB6395">
        <v>416.1</v>
      </c>
      <c r="AC6395">
        <v>416.1</v>
      </c>
      <c r="AD6395">
        <v>0</v>
      </c>
      <c r="AE6395">
        <v>0</v>
      </c>
      <c r="AF6395">
        <v>0</v>
      </c>
      <c r="AG6395">
        <v>0</v>
      </c>
      <c r="AH6395">
        <v>0</v>
      </c>
      <c r="AI6395">
        <v>74.900000000000006</v>
      </c>
      <c r="AJ6395">
        <v>416.1</v>
      </c>
      <c r="AK6395">
        <v>0</v>
      </c>
      <c r="AL6395" t="s">
        <v>53</v>
      </c>
      <c r="AM6395" t="s">
        <v>53</v>
      </c>
      <c r="AN6395" t="s">
        <v>53</v>
      </c>
      <c r="AO6395" t="s">
        <v>53</v>
      </c>
      <c r="AP6395" t="s">
        <v>53</v>
      </c>
    </row>
    <row r="6396" spans="2:42" x14ac:dyDescent="0.2">
      <c r="B6396" t="s">
        <v>44</v>
      </c>
      <c r="C6396" t="str">
        <f>HYPERLINK("https://us2.cloudbeds.com/connect/8493803454333002#/reservations/9080486846715129?display=33SAVK6UMR&amp;reservation_id=9080486846715129", "33SAVK6UMR")</f>
        <v>33SAVK6UMR</v>
      </c>
      <c r="D6396" t="s">
        <v>45</v>
      </c>
      <c r="E6396" t="s">
        <v>381</v>
      </c>
      <c r="F6396" t="s">
        <v>47</v>
      </c>
      <c r="G6396" t="s">
        <v>48</v>
      </c>
      <c r="H6396" t="s">
        <v>49</v>
      </c>
      <c r="I6396" t="s">
        <v>50</v>
      </c>
      <c r="J6396" t="s">
        <v>8139</v>
      </c>
      <c r="K6396" t="s">
        <v>7294</v>
      </c>
      <c r="L6396" t="s">
        <v>53</v>
      </c>
      <c r="N6396" t="s">
        <v>11486</v>
      </c>
      <c r="P6396" t="s">
        <v>55</v>
      </c>
      <c r="R6396" t="s">
        <v>53</v>
      </c>
      <c r="T6396" t="s">
        <v>11487</v>
      </c>
      <c r="U6396" t="s">
        <v>58</v>
      </c>
      <c r="V6396">
        <v>2</v>
      </c>
      <c r="W6396">
        <v>1</v>
      </c>
      <c r="X6396">
        <v>1</v>
      </c>
      <c r="Y6396">
        <v>0</v>
      </c>
      <c r="Z6396">
        <v>1</v>
      </c>
      <c r="AA6396">
        <v>450.05</v>
      </c>
      <c r="AB6396">
        <v>450.05</v>
      </c>
      <c r="AC6396">
        <v>396</v>
      </c>
      <c r="AD6396">
        <v>0</v>
      </c>
      <c r="AE6396">
        <v>54.05</v>
      </c>
      <c r="AF6396">
        <v>0</v>
      </c>
      <c r="AG6396">
        <v>0</v>
      </c>
      <c r="AH6396">
        <v>0</v>
      </c>
      <c r="AI6396">
        <v>81.010000000000005</v>
      </c>
      <c r="AJ6396">
        <v>450.05</v>
      </c>
      <c r="AK6396">
        <v>0</v>
      </c>
      <c r="AL6396" t="s">
        <v>53</v>
      </c>
      <c r="AM6396" t="s">
        <v>53</v>
      </c>
      <c r="AN6396" t="s">
        <v>53</v>
      </c>
      <c r="AO6396" t="s">
        <v>53</v>
      </c>
      <c r="AP6396" t="s">
        <v>53</v>
      </c>
    </row>
    <row r="6397" spans="2:42" x14ac:dyDescent="0.2">
      <c r="B6397" t="s">
        <v>44</v>
      </c>
      <c r="C6397" t="str">
        <f>HYPERLINK("https://us2.cloudbeds.com/connect/8493803454333002#/reservations/9080486846715277?display=33SFFMK75U&amp;reservation_id=9080486846715277", "33SFFMK75U")</f>
        <v>33SFFMK75U</v>
      </c>
      <c r="D6397" t="s">
        <v>45</v>
      </c>
      <c r="E6397" t="s">
        <v>46</v>
      </c>
      <c r="F6397" t="s">
        <v>47</v>
      </c>
      <c r="G6397" t="s">
        <v>48</v>
      </c>
      <c r="H6397" t="s">
        <v>49</v>
      </c>
      <c r="I6397" t="s">
        <v>62</v>
      </c>
      <c r="J6397" t="s">
        <v>8138</v>
      </c>
      <c r="K6397" t="s">
        <v>5905</v>
      </c>
      <c r="L6397" t="s">
        <v>53</v>
      </c>
      <c r="N6397" t="s">
        <v>11488</v>
      </c>
      <c r="P6397" t="s">
        <v>55</v>
      </c>
      <c r="R6397" t="s">
        <v>56</v>
      </c>
      <c r="T6397" t="s">
        <v>11489</v>
      </c>
      <c r="U6397" t="s">
        <v>55</v>
      </c>
      <c r="V6397">
        <v>3</v>
      </c>
      <c r="W6397">
        <v>1</v>
      </c>
      <c r="X6397">
        <v>2</v>
      </c>
      <c r="Y6397">
        <v>0</v>
      </c>
      <c r="Z6397">
        <v>2</v>
      </c>
      <c r="AA6397">
        <v>691</v>
      </c>
      <c r="AB6397">
        <v>691</v>
      </c>
      <c r="AC6397">
        <v>691</v>
      </c>
      <c r="AD6397">
        <v>0</v>
      </c>
      <c r="AE6397">
        <v>0</v>
      </c>
      <c r="AF6397">
        <v>0</v>
      </c>
      <c r="AG6397">
        <v>0</v>
      </c>
      <c r="AH6397">
        <v>0</v>
      </c>
      <c r="AI6397">
        <v>124.38</v>
      </c>
      <c r="AJ6397">
        <v>691</v>
      </c>
      <c r="AK6397">
        <v>0</v>
      </c>
      <c r="AL6397" t="s">
        <v>53</v>
      </c>
      <c r="AM6397" t="s">
        <v>53</v>
      </c>
      <c r="AN6397" t="s">
        <v>53</v>
      </c>
      <c r="AO6397" t="s">
        <v>53</v>
      </c>
      <c r="AP6397" t="s">
        <v>53</v>
      </c>
    </row>
    <row r="6398" spans="2:42" x14ac:dyDescent="0.2">
      <c r="B6398" t="s">
        <v>44</v>
      </c>
      <c r="C6398" t="str">
        <f>HYPERLINK("https://us2.cloudbeds.com/connect/8493803454333002#/reservations/144687574896792?display=33SVDTYHZE&amp;reservation_id=144687574896792", "33SVDTYHZE")</f>
        <v>33SVDTYHZE</v>
      </c>
      <c r="D6398" t="s">
        <v>45</v>
      </c>
      <c r="E6398" t="s">
        <v>121</v>
      </c>
      <c r="F6398" t="s">
        <v>86</v>
      </c>
      <c r="G6398" t="s">
        <v>48</v>
      </c>
      <c r="H6398" t="s">
        <v>3957</v>
      </c>
      <c r="I6398" t="s">
        <v>3958</v>
      </c>
      <c r="J6398" t="s">
        <v>7088</v>
      </c>
      <c r="K6398" t="s">
        <v>7089</v>
      </c>
      <c r="L6398" t="s">
        <v>53</v>
      </c>
      <c r="P6398" t="s">
        <v>55</v>
      </c>
      <c r="R6398" t="s">
        <v>56</v>
      </c>
      <c r="T6398" t="s">
        <v>11490</v>
      </c>
      <c r="U6398" t="s">
        <v>58</v>
      </c>
      <c r="V6398">
        <v>2</v>
      </c>
      <c r="W6398">
        <v>1</v>
      </c>
      <c r="X6398">
        <v>1</v>
      </c>
      <c r="Y6398">
        <v>0</v>
      </c>
      <c r="Z6398">
        <v>1</v>
      </c>
      <c r="AA6398">
        <v>438.69</v>
      </c>
      <c r="AB6398">
        <v>438.69</v>
      </c>
      <c r="AC6398">
        <v>386</v>
      </c>
      <c r="AD6398">
        <v>0</v>
      </c>
      <c r="AE6398">
        <v>52.69</v>
      </c>
      <c r="AF6398">
        <v>0</v>
      </c>
      <c r="AG6398">
        <v>0</v>
      </c>
      <c r="AH6398">
        <v>0</v>
      </c>
      <c r="AI6398">
        <v>0</v>
      </c>
      <c r="AJ6398">
        <v>438.69</v>
      </c>
      <c r="AK6398">
        <v>0</v>
      </c>
      <c r="AL6398" t="s">
        <v>53</v>
      </c>
      <c r="AM6398" t="s">
        <v>53</v>
      </c>
      <c r="AN6398" t="s">
        <v>53</v>
      </c>
      <c r="AO6398" t="s">
        <v>53</v>
      </c>
      <c r="AP6398" t="s">
        <v>53</v>
      </c>
    </row>
    <row r="6399" spans="2:42" x14ac:dyDescent="0.2">
      <c r="B6399" t="s">
        <v>44</v>
      </c>
      <c r="C6399" t="str">
        <f>HYPERLINK("https://us2.cloudbeds.com/connect/8493803454333002#/reservations/9080486846716482?display=33TN49ZQ4C&amp;reservation_id=9080486846716482", "33TN49ZQ4C")</f>
        <v>33TN49ZQ4C</v>
      </c>
      <c r="D6399" t="s">
        <v>45</v>
      </c>
      <c r="E6399" t="s">
        <v>128</v>
      </c>
      <c r="F6399" t="s">
        <v>86</v>
      </c>
      <c r="G6399" t="s">
        <v>48</v>
      </c>
      <c r="H6399" t="s">
        <v>49</v>
      </c>
      <c r="I6399" t="s">
        <v>50</v>
      </c>
      <c r="J6399" t="s">
        <v>8138</v>
      </c>
      <c r="K6399" t="s">
        <v>5904</v>
      </c>
      <c r="L6399" t="s">
        <v>53</v>
      </c>
      <c r="N6399" t="s">
        <v>11491</v>
      </c>
      <c r="P6399" t="s">
        <v>55</v>
      </c>
      <c r="R6399" t="s">
        <v>53</v>
      </c>
      <c r="T6399" t="s">
        <v>11492</v>
      </c>
      <c r="U6399" t="s">
        <v>58</v>
      </c>
      <c r="V6399">
        <v>1</v>
      </c>
      <c r="W6399">
        <v>1</v>
      </c>
      <c r="X6399">
        <v>1</v>
      </c>
      <c r="Y6399">
        <v>1</v>
      </c>
      <c r="Z6399">
        <v>2</v>
      </c>
      <c r="AA6399">
        <v>199.11</v>
      </c>
      <c r="AB6399">
        <v>199.11</v>
      </c>
      <c r="AC6399">
        <v>175.2</v>
      </c>
      <c r="AD6399">
        <v>0</v>
      </c>
      <c r="AE6399">
        <v>23.91</v>
      </c>
      <c r="AF6399">
        <v>0</v>
      </c>
      <c r="AG6399">
        <v>0</v>
      </c>
      <c r="AH6399">
        <v>0</v>
      </c>
      <c r="AI6399">
        <v>35.840000000000003</v>
      </c>
      <c r="AJ6399">
        <v>199.11</v>
      </c>
      <c r="AK6399">
        <v>0</v>
      </c>
      <c r="AL6399" t="s">
        <v>53</v>
      </c>
      <c r="AM6399" t="s">
        <v>53</v>
      </c>
      <c r="AN6399" t="s">
        <v>53</v>
      </c>
      <c r="AO6399" t="s">
        <v>53</v>
      </c>
      <c r="AP6399" t="s">
        <v>53</v>
      </c>
    </row>
    <row r="6400" spans="2:42" x14ac:dyDescent="0.2">
      <c r="B6400" t="s">
        <v>44</v>
      </c>
      <c r="C6400" t="str">
        <f>HYPERLINK("https://us2.cloudbeds.com/connect/8493803454333002#/reservations/9080486846716562?display=33TPVRHA0A&amp;reservation_id=9080486846716562", "33TPVRHA0A")</f>
        <v>33TPVRHA0A</v>
      </c>
      <c r="D6400" t="s">
        <v>45</v>
      </c>
      <c r="E6400" t="s">
        <v>185</v>
      </c>
      <c r="F6400" t="s">
        <v>47</v>
      </c>
      <c r="G6400" t="s">
        <v>48</v>
      </c>
      <c r="H6400" t="s">
        <v>49</v>
      </c>
      <c r="I6400" t="s">
        <v>50</v>
      </c>
      <c r="J6400" t="s">
        <v>9291</v>
      </c>
      <c r="K6400" t="s">
        <v>11387</v>
      </c>
      <c r="L6400" t="s">
        <v>53</v>
      </c>
      <c r="N6400" t="s">
        <v>11493</v>
      </c>
      <c r="P6400" t="s">
        <v>55</v>
      </c>
      <c r="R6400" t="s">
        <v>53</v>
      </c>
      <c r="T6400" t="s">
        <v>11494</v>
      </c>
      <c r="U6400" t="s">
        <v>58</v>
      </c>
      <c r="V6400">
        <v>1</v>
      </c>
      <c r="W6400">
        <v>1</v>
      </c>
      <c r="X6400">
        <v>1</v>
      </c>
      <c r="Y6400">
        <v>0</v>
      </c>
      <c r="Z6400">
        <v>1</v>
      </c>
      <c r="AA6400">
        <v>120.06</v>
      </c>
      <c r="AB6400">
        <v>120.06</v>
      </c>
      <c r="AC6400">
        <v>105.64</v>
      </c>
      <c r="AD6400">
        <v>0</v>
      </c>
      <c r="AE6400">
        <v>14.42</v>
      </c>
      <c r="AF6400">
        <v>0</v>
      </c>
      <c r="AG6400">
        <v>0</v>
      </c>
      <c r="AH6400">
        <v>0</v>
      </c>
      <c r="AI6400">
        <v>21.61</v>
      </c>
      <c r="AJ6400">
        <v>120.06</v>
      </c>
      <c r="AK6400">
        <v>0</v>
      </c>
      <c r="AL6400" t="s">
        <v>53</v>
      </c>
      <c r="AM6400" t="s">
        <v>53</v>
      </c>
      <c r="AN6400" t="s">
        <v>53</v>
      </c>
      <c r="AO6400" t="s">
        <v>53</v>
      </c>
      <c r="AP6400" t="s">
        <v>53</v>
      </c>
    </row>
    <row r="6401" spans="2:42" x14ac:dyDescent="0.2">
      <c r="B6401" t="s">
        <v>44</v>
      </c>
      <c r="C6401" t="str">
        <f>HYPERLINK("https://us2.cloudbeds.com/connect/8493803454333002#/reservations/9080486846716657?display=33TTSSJMK5&amp;reservation_id=9080486846716657", "33TTSSJMK5")</f>
        <v>33TTSSJMK5</v>
      </c>
      <c r="D6401" t="s">
        <v>45</v>
      </c>
      <c r="E6401" t="s">
        <v>128</v>
      </c>
      <c r="F6401" t="s">
        <v>86</v>
      </c>
      <c r="G6401" t="s">
        <v>48</v>
      </c>
      <c r="H6401" t="s">
        <v>49</v>
      </c>
      <c r="I6401" t="s">
        <v>62</v>
      </c>
      <c r="J6401" t="s">
        <v>11495</v>
      </c>
      <c r="K6401" t="s">
        <v>10037</v>
      </c>
      <c r="L6401" t="s">
        <v>53</v>
      </c>
      <c r="N6401" t="s">
        <v>11496</v>
      </c>
      <c r="P6401" t="s">
        <v>55</v>
      </c>
      <c r="R6401" t="s">
        <v>56</v>
      </c>
      <c r="T6401" t="s">
        <v>11497</v>
      </c>
      <c r="U6401" t="s">
        <v>55</v>
      </c>
      <c r="V6401">
        <v>3</v>
      </c>
      <c r="W6401">
        <v>1</v>
      </c>
      <c r="X6401">
        <v>4</v>
      </c>
      <c r="Y6401">
        <v>0</v>
      </c>
      <c r="Z6401">
        <v>4</v>
      </c>
      <c r="AA6401">
        <v>233.7</v>
      </c>
      <c r="AB6401">
        <v>233.7</v>
      </c>
      <c r="AC6401">
        <v>233.7</v>
      </c>
      <c r="AD6401">
        <v>0</v>
      </c>
      <c r="AE6401">
        <v>0</v>
      </c>
      <c r="AF6401">
        <v>0</v>
      </c>
      <c r="AG6401">
        <v>0</v>
      </c>
      <c r="AH6401">
        <v>0</v>
      </c>
      <c r="AI6401">
        <v>42.07</v>
      </c>
      <c r="AJ6401">
        <v>233.7</v>
      </c>
      <c r="AK6401">
        <v>0</v>
      </c>
      <c r="AL6401" t="s">
        <v>53</v>
      </c>
      <c r="AM6401" t="s">
        <v>53</v>
      </c>
      <c r="AN6401" t="s">
        <v>53</v>
      </c>
      <c r="AO6401" t="s">
        <v>53</v>
      </c>
      <c r="AP6401" t="s">
        <v>53</v>
      </c>
    </row>
    <row r="6402" spans="2:42" x14ac:dyDescent="0.2">
      <c r="B6402" t="s">
        <v>44</v>
      </c>
      <c r="C6402" t="str">
        <f>HYPERLINK("https://us2.cloudbeds.com/connect/8493803454333002#/reservations/9080486846717175?display=33UYV0AV6V&amp;reservation_id=9080486846717175", "33UYV0AV6V")</f>
        <v>33UYV0AV6V</v>
      </c>
      <c r="D6402" t="s">
        <v>45</v>
      </c>
      <c r="E6402" t="s">
        <v>165</v>
      </c>
      <c r="F6402" t="s">
        <v>61</v>
      </c>
      <c r="G6402" t="s">
        <v>48</v>
      </c>
      <c r="H6402" t="s">
        <v>49</v>
      </c>
      <c r="I6402" t="s">
        <v>50</v>
      </c>
      <c r="J6402" t="s">
        <v>8138</v>
      </c>
      <c r="K6402" t="s">
        <v>5904</v>
      </c>
      <c r="L6402" t="s">
        <v>53</v>
      </c>
      <c r="N6402" t="s">
        <v>11498</v>
      </c>
      <c r="P6402" t="s">
        <v>55</v>
      </c>
      <c r="R6402" t="s">
        <v>53</v>
      </c>
      <c r="T6402" t="s">
        <v>11499</v>
      </c>
      <c r="U6402" t="s">
        <v>58</v>
      </c>
      <c r="V6402">
        <v>1</v>
      </c>
      <c r="W6402">
        <v>1</v>
      </c>
      <c r="X6402">
        <v>2</v>
      </c>
      <c r="Y6402">
        <v>0</v>
      </c>
      <c r="Z6402">
        <v>2</v>
      </c>
      <c r="AA6402">
        <v>248.21</v>
      </c>
      <c r="AB6402">
        <v>248.21</v>
      </c>
      <c r="AC6402">
        <v>218.4</v>
      </c>
      <c r="AD6402">
        <v>0</v>
      </c>
      <c r="AE6402">
        <v>29.81</v>
      </c>
      <c r="AF6402">
        <v>0</v>
      </c>
      <c r="AG6402">
        <v>0</v>
      </c>
      <c r="AH6402">
        <v>0</v>
      </c>
      <c r="AI6402">
        <v>44.68</v>
      </c>
      <c r="AJ6402">
        <v>248.21</v>
      </c>
      <c r="AK6402">
        <v>0</v>
      </c>
      <c r="AL6402" t="s">
        <v>53</v>
      </c>
      <c r="AM6402" t="s">
        <v>53</v>
      </c>
      <c r="AN6402" t="s">
        <v>53</v>
      </c>
      <c r="AO6402" t="s">
        <v>53</v>
      </c>
      <c r="AP6402" t="s">
        <v>53</v>
      </c>
    </row>
    <row r="6403" spans="2:42" x14ac:dyDescent="0.2">
      <c r="B6403" t="s">
        <v>44</v>
      </c>
      <c r="C6403" t="str">
        <f>HYPERLINK("https://us2.cloudbeds.com/connect/8493803454333002#/reservations/144765363974359?display=33UPYJF9J6&amp;reservation_id=144765363974359", "33UPYJF9J6")</f>
        <v>33UPYJF9J6</v>
      </c>
      <c r="D6403" t="s">
        <v>45</v>
      </c>
      <c r="E6403" t="s">
        <v>92</v>
      </c>
      <c r="F6403" t="s">
        <v>86</v>
      </c>
      <c r="G6403" t="s">
        <v>4520</v>
      </c>
      <c r="H6403" t="s">
        <v>3957</v>
      </c>
      <c r="I6403" t="s">
        <v>3958</v>
      </c>
      <c r="J6403" t="s">
        <v>8138</v>
      </c>
      <c r="K6403" t="s">
        <v>5904</v>
      </c>
      <c r="L6403" t="s">
        <v>53</v>
      </c>
      <c r="P6403" t="s">
        <v>55</v>
      </c>
      <c r="R6403" t="s">
        <v>56</v>
      </c>
      <c r="T6403" t="s">
        <v>11500</v>
      </c>
      <c r="U6403" t="s">
        <v>58</v>
      </c>
      <c r="V6403">
        <v>1</v>
      </c>
      <c r="W6403">
        <v>1</v>
      </c>
      <c r="X6403">
        <v>1</v>
      </c>
      <c r="Y6403">
        <v>0</v>
      </c>
      <c r="Z6403">
        <v>1</v>
      </c>
      <c r="AA6403">
        <v>224.01</v>
      </c>
      <c r="AB6403">
        <v>224.01</v>
      </c>
      <c r="AC6403">
        <v>197.1</v>
      </c>
      <c r="AD6403">
        <v>0</v>
      </c>
      <c r="AE6403">
        <v>26.91</v>
      </c>
      <c r="AF6403">
        <v>0</v>
      </c>
      <c r="AG6403">
        <v>0</v>
      </c>
      <c r="AH6403">
        <v>0</v>
      </c>
      <c r="AI6403">
        <v>0</v>
      </c>
      <c r="AJ6403">
        <v>224.01</v>
      </c>
      <c r="AK6403">
        <v>0</v>
      </c>
      <c r="AL6403" t="s">
        <v>53</v>
      </c>
      <c r="AM6403" t="s">
        <v>53</v>
      </c>
      <c r="AN6403" t="s">
        <v>53</v>
      </c>
      <c r="AO6403" t="s">
        <v>53</v>
      </c>
      <c r="AP6403" t="s">
        <v>53</v>
      </c>
    </row>
    <row r="6404" spans="2:42" x14ac:dyDescent="0.2">
      <c r="B6404" t="s">
        <v>44</v>
      </c>
      <c r="C6404" t="str">
        <f>HYPERLINK("https://us2.cloudbeds.com/connect/8493803454333002#/reservations/144766929203393?display=33UQSJA351&amp;reservation_id=144766929203393", "33UQSJA351")</f>
        <v>33UQSJA351</v>
      </c>
      <c r="D6404" t="s">
        <v>45</v>
      </c>
      <c r="E6404" t="s">
        <v>155</v>
      </c>
      <c r="F6404" t="s">
        <v>86</v>
      </c>
      <c r="G6404" t="s">
        <v>48</v>
      </c>
      <c r="H6404" t="s">
        <v>3957</v>
      </c>
      <c r="I6404" t="s">
        <v>3975</v>
      </c>
      <c r="J6404" t="s">
        <v>8138</v>
      </c>
      <c r="K6404" t="s">
        <v>5904</v>
      </c>
      <c r="L6404" t="s">
        <v>53</v>
      </c>
      <c r="P6404" t="s">
        <v>55</v>
      </c>
      <c r="R6404" t="s">
        <v>56</v>
      </c>
      <c r="T6404" t="s">
        <v>11501</v>
      </c>
      <c r="U6404" t="s">
        <v>58</v>
      </c>
      <c r="V6404">
        <v>1</v>
      </c>
      <c r="W6404">
        <v>1</v>
      </c>
      <c r="X6404">
        <v>2</v>
      </c>
      <c r="Y6404">
        <v>0</v>
      </c>
      <c r="Z6404">
        <v>2</v>
      </c>
      <c r="AA6404">
        <v>248.9</v>
      </c>
      <c r="AB6404">
        <v>248.9</v>
      </c>
      <c r="AC6404">
        <v>219</v>
      </c>
      <c r="AD6404">
        <v>0</v>
      </c>
      <c r="AE6404">
        <v>29.9</v>
      </c>
      <c r="AF6404">
        <v>0</v>
      </c>
      <c r="AG6404">
        <v>0</v>
      </c>
      <c r="AH6404">
        <v>0</v>
      </c>
      <c r="AI6404">
        <v>0</v>
      </c>
      <c r="AJ6404">
        <v>248.9</v>
      </c>
      <c r="AK6404">
        <v>0</v>
      </c>
      <c r="AL6404" t="s">
        <v>53</v>
      </c>
      <c r="AM6404" t="s">
        <v>53</v>
      </c>
      <c r="AN6404" t="s">
        <v>53</v>
      </c>
      <c r="AO6404" t="s">
        <v>53</v>
      </c>
      <c r="AP6404" t="s">
        <v>53</v>
      </c>
    </row>
    <row r="6405" spans="2:42" x14ac:dyDescent="0.2">
      <c r="B6405" t="s">
        <v>44</v>
      </c>
      <c r="C6405" t="str">
        <f>HYPERLINK("https://us2.cloudbeds.com/connect/8493803454333002#/reservations/144776576331934?display=33V1B30M1X&amp;reservation_id=144776576331934", "33V1B30M1X")</f>
        <v>33V1B30M1X</v>
      </c>
      <c r="D6405" t="s">
        <v>45</v>
      </c>
      <c r="E6405" t="s">
        <v>98</v>
      </c>
      <c r="F6405" t="s">
        <v>86</v>
      </c>
      <c r="G6405" t="s">
        <v>48</v>
      </c>
      <c r="H6405" t="s">
        <v>3957</v>
      </c>
      <c r="I6405" t="s">
        <v>3958</v>
      </c>
      <c r="J6405" t="s">
        <v>8138</v>
      </c>
      <c r="K6405" t="s">
        <v>5403</v>
      </c>
      <c r="L6405" t="s">
        <v>53</v>
      </c>
      <c r="P6405" t="s">
        <v>55</v>
      </c>
      <c r="R6405" t="s">
        <v>56</v>
      </c>
      <c r="T6405" t="s">
        <v>11502</v>
      </c>
      <c r="U6405" t="s">
        <v>58</v>
      </c>
      <c r="V6405">
        <v>2</v>
      </c>
      <c r="W6405">
        <v>1</v>
      </c>
      <c r="X6405">
        <v>1</v>
      </c>
      <c r="Y6405">
        <v>0</v>
      </c>
      <c r="Z6405">
        <v>1</v>
      </c>
      <c r="AA6405">
        <v>493.26</v>
      </c>
      <c r="AB6405">
        <v>493.26</v>
      </c>
      <c r="AC6405">
        <v>434</v>
      </c>
      <c r="AD6405">
        <v>0</v>
      </c>
      <c r="AE6405">
        <v>59.26</v>
      </c>
      <c r="AF6405">
        <v>0</v>
      </c>
      <c r="AG6405">
        <v>0</v>
      </c>
      <c r="AH6405">
        <v>0</v>
      </c>
      <c r="AI6405">
        <v>0</v>
      </c>
      <c r="AJ6405">
        <v>493.26</v>
      </c>
      <c r="AK6405">
        <v>0</v>
      </c>
      <c r="AL6405" t="s">
        <v>53</v>
      </c>
      <c r="AM6405" t="s">
        <v>53</v>
      </c>
      <c r="AN6405" t="s">
        <v>53</v>
      </c>
      <c r="AO6405" t="s">
        <v>53</v>
      </c>
      <c r="AP6405" t="s">
        <v>53</v>
      </c>
    </row>
    <row r="6406" spans="2:42" x14ac:dyDescent="0.2">
      <c r="B6406" t="s">
        <v>44</v>
      </c>
      <c r="C6406" t="str">
        <f>HYPERLINK("https://us2.cloudbeds.com/connect/8493803454333002#/reservations/9080486846717429?display=33V385QA72&amp;reservation_id=9080486846717429", "33V385QA72")</f>
        <v>33V385QA72</v>
      </c>
      <c r="D6406" t="s">
        <v>45</v>
      </c>
      <c r="E6406" t="s">
        <v>110</v>
      </c>
      <c r="F6406" t="s">
        <v>47</v>
      </c>
      <c r="G6406" t="s">
        <v>48</v>
      </c>
      <c r="H6406" t="s">
        <v>49</v>
      </c>
      <c r="I6406" t="s">
        <v>8964</v>
      </c>
      <c r="J6406" t="s">
        <v>5744</v>
      </c>
      <c r="K6406" t="s">
        <v>9725</v>
      </c>
      <c r="L6406" t="s">
        <v>53</v>
      </c>
      <c r="N6406" t="s">
        <v>11503</v>
      </c>
      <c r="P6406" t="s">
        <v>55</v>
      </c>
      <c r="R6406" t="s">
        <v>53</v>
      </c>
      <c r="T6406" t="s">
        <v>11504</v>
      </c>
      <c r="U6406" t="s">
        <v>55</v>
      </c>
      <c r="V6406">
        <v>1</v>
      </c>
      <c r="W6406">
        <v>1</v>
      </c>
      <c r="X6406">
        <v>2</v>
      </c>
      <c r="Y6406">
        <v>0</v>
      </c>
      <c r="Z6406">
        <v>2</v>
      </c>
      <c r="AA6406">
        <v>0</v>
      </c>
      <c r="AB6406">
        <v>0</v>
      </c>
      <c r="AC6406">
        <v>175</v>
      </c>
      <c r="AD6406">
        <v>0</v>
      </c>
      <c r="AE6406">
        <v>0</v>
      </c>
      <c r="AF6406">
        <v>0</v>
      </c>
      <c r="AG6406">
        <v>0</v>
      </c>
      <c r="AH6406">
        <v>0</v>
      </c>
      <c r="AI6406">
        <v>26.25</v>
      </c>
      <c r="AJ6406">
        <v>175</v>
      </c>
      <c r="AK6406">
        <v>175</v>
      </c>
      <c r="AL6406" t="s">
        <v>53</v>
      </c>
      <c r="AM6406" t="s">
        <v>53</v>
      </c>
      <c r="AN6406" t="s">
        <v>53</v>
      </c>
      <c r="AO6406" t="s">
        <v>53</v>
      </c>
      <c r="AP6406" t="s">
        <v>53</v>
      </c>
    </row>
    <row r="6407" spans="2:42" x14ac:dyDescent="0.2">
      <c r="B6407" t="s">
        <v>44</v>
      </c>
      <c r="C6407" t="str">
        <f>HYPERLINK("https://us2.cloudbeds.com/connect/8493803454333002#/reservations/9080486846717434?display=33V3H8886Q&amp;reservation_id=9080486846717434", "33V3H8886Q")</f>
        <v>33V3H8886Q</v>
      </c>
      <c r="D6407" t="s">
        <v>45</v>
      </c>
      <c r="E6407" t="s">
        <v>113</v>
      </c>
      <c r="F6407" t="s">
        <v>61</v>
      </c>
      <c r="G6407" t="s">
        <v>48</v>
      </c>
      <c r="H6407" t="s">
        <v>49</v>
      </c>
      <c r="I6407" t="s">
        <v>50</v>
      </c>
      <c r="J6407" t="s">
        <v>8021</v>
      </c>
      <c r="K6407" t="s">
        <v>8270</v>
      </c>
      <c r="L6407" t="s">
        <v>53</v>
      </c>
      <c r="N6407" t="s">
        <v>11505</v>
      </c>
      <c r="P6407" t="s">
        <v>55</v>
      </c>
      <c r="R6407" t="s">
        <v>53</v>
      </c>
      <c r="T6407" t="s">
        <v>11506</v>
      </c>
      <c r="U6407" t="s">
        <v>58</v>
      </c>
      <c r="V6407">
        <v>3</v>
      </c>
      <c r="W6407">
        <v>1</v>
      </c>
      <c r="X6407">
        <v>2</v>
      </c>
      <c r="Y6407">
        <v>0</v>
      </c>
      <c r="Z6407">
        <v>2</v>
      </c>
      <c r="AA6407">
        <v>387.66</v>
      </c>
      <c r="AB6407">
        <v>393.09</v>
      </c>
      <c r="AC6407">
        <v>341.1</v>
      </c>
      <c r="AD6407">
        <v>5</v>
      </c>
      <c r="AE6407">
        <v>46.99</v>
      </c>
      <c r="AF6407">
        <v>0</v>
      </c>
      <c r="AG6407">
        <v>0</v>
      </c>
      <c r="AH6407">
        <v>0</v>
      </c>
      <c r="AI6407">
        <v>70.760000000000005</v>
      </c>
      <c r="AJ6407">
        <v>393.09</v>
      </c>
      <c r="AK6407">
        <v>0</v>
      </c>
      <c r="AL6407" t="s">
        <v>53</v>
      </c>
      <c r="AM6407" t="s">
        <v>53</v>
      </c>
      <c r="AN6407" t="s">
        <v>53</v>
      </c>
      <c r="AO6407" t="s">
        <v>53</v>
      </c>
      <c r="AP6407" t="s">
        <v>53</v>
      </c>
    </row>
    <row r="6408" spans="2:42" x14ac:dyDescent="0.2">
      <c r="B6408" t="s">
        <v>44</v>
      </c>
      <c r="C6408" t="str">
        <f>HYPERLINK("https://us2.cloudbeds.com/connect/8493803454333002#/reservations/144786841596064?display=33V99CVPXX&amp;reservation_id=144786841596064", "33V99CVPXX")</f>
        <v>33V99CVPXX</v>
      </c>
      <c r="D6408" t="s">
        <v>45</v>
      </c>
      <c r="E6408" t="s">
        <v>121</v>
      </c>
      <c r="F6408" t="s">
        <v>86</v>
      </c>
      <c r="G6408" t="s">
        <v>48</v>
      </c>
      <c r="H6408" t="s">
        <v>3957</v>
      </c>
      <c r="I6408" t="s">
        <v>3958</v>
      </c>
      <c r="J6408" t="s">
        <v>8138</v>
      </c>
      <c r="K6408" t="s">
        <v>5904</v>
      </c>
      <c r="L6408" t="s">
        <v>53</v>
      </c>
      <c r="P6408" t="s">
        <v>55</v>
      </c>
      <c r="R6408" t="s">
        <v>56</v>
      </c>
      <c r="T6408" t="s">
        <v>11507</v>
      </c>
      <c r="U6408" t="s">
        <v>58</v>
      </c>
      <c r="V6408">
        <v>1</v>
      </c>
      <c r="W6408">
        <v>1</v>
      </c>
      <c r="X6408">
        <v>1</v>
      </c>
      <c r="Y6408">
        <v>0</v>
      </c>
      <c r="Z6408">
        <v>1</v>
      </c>
      <c r="AA6408">
        <v>248.9</v>
      </c>
      <c r="AB6408">
        <v>248.9</v>
      </c>
      <c r="AC6408">
        <v>219</v>
      </c>
      <c r="AD6408">
        <v>0</v>
      </c>
      <c r="AE6408">
        <v>29.9</v>
      </c>
      <c r="AF6408">
        <v>0</v>
      </c>
      <c r="AG6408">
        <v>0</v>
      </c>
      <c r="AH6408">
        <v>0</v>
      </c>
      <c r="AI6408">
        <v>0</v>
      </c>
      <c r="AJ6408">
        <v>248.9</v>
      </c>
      <c r="AK6408">
        <v>0</v>
      </c>
      <c r="AL6408" t="s">
        <v>53</v>
      </c>
      <c r="AM6408" t="s">
        <v>53</v>
      </c>
      <c r="AN6408" t="s">
        <v>53</v>
      </c>
      <c r="AO6408" t="s">
        <v>53</v>
      </c>
      <c r="AP6408" t="s">
        <v>53</v>
      </c>
    </row>
    <row r="6409" spans="2:42" x14ac:dyDescent="0.2">
      <c r="B6409" t="s">
        <v>44</v>
      </c>
      <c r="C6409" t="str">
        <f>HYPERLINK("https://us2.cloudbeds.com/connect/8493803454333002#/reservations/9080486846720332?display=342QZA9MYN&amp;reservation_id=9080486846720332", "342QZA9MYN")</f>
        <v>342QZA9MYN</v>
      </c>
      <c r="D6409" t="s">
        <v>45</v>
      </c>
      <c r="E6409" t="s">
        <v>138</v>
      </c>
      <c r="F6409" t="s">
        <v>70</v>
      </c>
      <c r="G6409" t="s">
        <v>48</v>
      </c>
      <c r="H6409" t="s">
        <v>49</v>
      </c>
      <c r="I6409" t="s">
        <v>8964</v>
      </c>
      <c r="J6409" t="s">
        <v>6380</v>
      </c>
      <c r="K6409" t="s">
        <v>7438</v>
      </c>
      <c r="L6409" t="s">
        <v>53</v>
      </c>
      <c r="N6409" t="s">
        <v>11508</v>
      </c>
      <c r="P6409" t="s">
        <v>55</v>
      </c>
      <c r="R6409" t="s">
        <v>53</v>
      </c>
      <c r="T6409" t="s">
        <v>11509</v>
      </c>
      <c r="U6409" t="s">
        <v>55</v>
      </c>
      <c r="V6409">
        <v>1</v>
      </c>
      <c r="W6409">
        <v>1</v>
      </c>
      <c r="X6409">
        <v>2</v>
      </c>
      <c r="Y6409">
        <v>0</v>
      </c>
      <c r="Z6409">
        <v>2</v>
      </c>
      <c r="AA6409">
        <v>0</v>
      </c>
      <c r="AB6409">
        <v>0</v>
      </c>
      <c r="AC6409">
        <v>106</v>
      </c>
      <c r="AD6409">
        <v>0</v>
      </c>
      <c r="AE6409">
        <v>0</v>
      </c>
      <c r="AF6409">
        <v>0</v>
      </c>
      <c r="AG6409">
        <v>0</v>
      </c>
      <c r="AH6409">
        <v>0</v>
      </c>
      <c r="AI6409">
        <v>15.9</v>
      </c>
      <c r="AJ6409">
        <v>106</v>
      </c>
      <c r="AK6409">
        <v>106</v>
      </c>
      <c r="AL6409" t="s">
        <v>53</v>
      </c>
      <c r="AM6409" t="s">
        <v>53</v>
      </c>
      <c r="AN6409" t="s">
        <v>53</v>
      </c>
      <c r="AO6409" t="s">
        <v>53</v>
      </c>
      <c r="AP6409" t="s">
        <v>53</v>
      </c>
    </row>
    <row r="6410" spans="2:42" x14ac:dyDescent="0.2">
      <c r="B6410" t="s">
        <v>44</v>
      </c>
      <c r="C6410" t="str">
        <f>HYPERLINK("https://us2.cloudbeds.com/connect/8493803454333002#/reservations/9080486846720344?display=342R39T2AE&amp;reservation_id=9080486846720344", "342R39T2AE")</f>
        <v>342R39T2AE</v>
      </c>
      <c r="D6410" t="s">
        <v>45</v>
      </c>
      <c r="E6410" t="s">
        <v>98</v>
      </c>
      <c r="F6410" t="s">
        <v>86</v>
      </c>
      <c r="G6410" t="s">
        <v>48</v>
      </c>
      <c r="H6410" t="s">
        <v>49</v>
      </c>
      <c r="I6410" t="s">
        <v>62</v>
      </c>
      <c r="J6410" t="s">
        <v>10723</v>
      </c>
      <c r="K6410" t="s">
        <v>10724</v>
      </c>
      <c r="L6410" t="s">
        <v>53</v>
      </c>
      <c r="N6410" t="s">
        <v>11510</v>
      </c>
      <c r="P6410" t="s">
        <v>55</v>
      </c>
      <c r="R6410" t="s">
        <v>56</v>
      </c>
      <c r="T6410" t="s">
        <v>11511</v>
      </c>
      <c r="U6410" t="s">
        <v>55</v>
      </c>
      <c r="V6410">
        <v>1</v>
      </c>
      <c r="W6410">
        <v>1</v>
      </c>
      <c r="X6410">
        <v>3</v>
      </c>
      <c r="Y6410">
        <v>0</v>
      </c>
      <c r="Z6410">
        <v>3</v>
      </c>
      <c r="AA6410">
        <v>101</v>
      </c>
      <c r="AB6410">
        <v>101</v>
      </c>
      <c r="AC6410">
        <v>101</v>
      </c>
      <c r="AD6410">
        <v>0</v>
      </c>
      <c r="AE6410">
        <v>0</v>
      </c>
      <c r="AF6410">
        <v>0</v>
      </c>
      <c r="AG6410">
        <v>0</v>
      </c>
      <c r="AH6410">
        <v>0</v>
      </c>
      <c r="AI6410">
        <v>18.18</v>
      </c>
      <c r="AJ6410">
        <v>101</v>
      </c>
      <c r="AK6410">
        <v>0</v>
      </c>
      <c r="AL6410" t="s">
        <v>53</v>
      </c>
      <c r="AM6410" t="s">
        <v>53</v>
      </c>
      <c r="AN6410" t="s">
        <v>53</v>
      </c>
      <c r="AO6410" t="s">
        <v>53</v>
      </c>
      <c r="AP6410" t="s">
        <v>53</v>
      </c>
    </row>
    <row r="6411" spans="2:42" x14ac:dyDescent="0.2">
      <c r="B6411" t="s">
        <v>44</v>
      </c>
      <c r="C6411" t="str">
        <f>HYPERLINK("https://us2.cloudbeds.com/connect/8493803454333002#/reservations/9080486846720801?display=3439SKRPTZ&amp;reservation_id=9080486846720801", "3439SKRPTZ")</f>
        <v>3439SKRPTZ</v>
      </c>
      <c r="D6411" t="s">
        <v>45</v>
      </c>
      <c r="E6411" t="s">
        <v>213</v>
      </c>
      <c r="F6411" t="s">
        <v>86</v>
      </c>
      <c r="G6411" t="s">
        <v>48</v>
      </c>
      <c r="H6411" t="s">
        <v>49</v>
      </c>
      <c r="I6411" t="s">
        <v>50</v>
      </c>
      <c r="J6411" t="s">
        <v>6345</v>
      </c>
      <c r="K6411" t="s">
        <v>6832</v>
      </c>
      <c r="L6411" t="s">
        <v>53</v>
      </c>
      <c r="N6411" t="s">
        <v>11512</v>
      </c>
      <c r="P6411" t="s">
        <v>55</v>
      </c>
      <c r="R6411" t="s">
        <v>53</v>
      </c>
      <c r="T6411" t="s">
        <v>11513</v>
      </c>
      <c r="U6411" t="s">
        <v>58</v>
      </c>
      <c r="V6411">
        <v>4</v>
      </c>
      <c r="W6411">
        <v>1</v>
      </c>
      <c r="X6411">
        <v>2</v>
      </c>
      <c r="Y6411">
        <v>0</v>
      </c>
      <c r="Z6411">
        <v>2</v>
      </c>
      <c r="AA6411">
        <v>912.84</v>
      </c>
      <c r="AB6411">
        <v>912.84</v>
      </c>
      <c r="AC6411">
        <v>803.2</v>
      </c>
      <c r="AD6411">
        <v>0</v>
      </c>
      <c r="AE6411">
        <v>109.64</v>
      </c>
      <c r="AF6411">
        <v>0</v>
      </c>
      <c r="AG6411">
        <v>0</v>
      </c>
      <c r="AH6411">
        <v>0</v>
      </c>
      <c r="AI6411">
        <v>164.31</v>
      </c>
      <c r="AJ6411">
        <v>912.84</v>
      </c>
      <c r="AK6411">
        <v>0</v>
      </c>
      <c r="AL6411" t="s">
        <v>53</v>
      </c>
      <c r="AM6411" t="s">
        <v>53</v>
      </c>
      <c r="AN6411" t="s">
        <v>53</v>
      </c>
      <c r="AO6411" t="s">
        <v>53</v>
      </c>
      <c r="AP6411" t="s">
        <v>53</v>
      </c>
    </row>
    <row r="6412" spans="2:42" x14ac:dyDescent="0.2">
      <c r="B6412" t="s">
        <v>44</v>
      </c>
      <c r="C6412" t="str">
        <f>HYPERLINK("https://us2.cloudbeds.com/connect/8493803454333002#/reservations/9080486846721896?display=344G2UYG9D&amp;reservation_id=9080486846721896", "344G2UYG9D")</f>
        <v>344G2UYG9D</v>
      </c>
      <c r="D6412" t="s">
        <v>45</v>
      </c>
      <c r="E6412" t="s">
        <v>46</v>
      </c>
      <c r="F6412" t="s">
        <v>47</v>
      </c>
      <c r="G6412" t="s">
        <v>48</v>
      </c>
      <c r="H6412" t="s">
        <v>49</v>
      </c>
      <c r="I6412" t="s">
        <v>50</v>
      </c>
      <c r="J6412" t="s">
        <v>7493</v>
      </c>
      <c r="K6412" t="s">
        <v>6344</v>
      </c>
      <c r="L6412" t="s">
        <v>53</v>
      </c>
      <c r="N6412" t="s">
        <v>11514</v>
      </c>
      <c r="P6412" t="s">
        <v>55</v>
      </c>
      <c r="R6412" t="s">
        <v>53</v>
      </c>
      <c r="T6412" t="s">
        <v>11515</v>
      </c>
      <c r="U6412" t="s">
        <v>58</v>
      </c>
      <c r="V6412">
        <v>1</v>
      </c>
      <c r="W6412">
        <v>1</v>
      </c>
      <c r="X6412">
        <v>2</v>
      </c>
      <c r="Y6412">
        <v>0</v>
      </c>
      <c r="Z6412">
        <v>2</v>
      </c>
      <c r="AA6412">
        <v>160.93</v>
      </c>
      <c r="AB6412">
        <v>160.93</v>
      </c>
      <c r="AC6412">
        <v>141.6</v>
      </c>
      <c r="AD6412">
        <v>0</v>
      </c>
      <c r="AE6412">
        <v>19.329999999999998</v>
      </c>
      <c r="AF6412">
        <v>0</v>
      </c>
      <c r="AG6412">
        <v>0</v>
      </c>
      <c r="AH6412">
        <v>0</v>
      </c>
      <c r="AI6412">
        <v>28.97</v>
      </c>
      <c r="AJ6412">
        <v>160.93</v>
      </c>
      <c r="AK6412">
        <v>0</v>
      </c>
      <c r="AL6412" t="s">
        <v>53</v>
      </c>
      <c r="AM6412" t="s">
        <v>53</v>
      </c>
      <c r="AN6412" t="s">
        <v>53</v>
      </c>
      <c r="AO6412" t="s">
        <v>53</v>
      </c>
      <c r="AP6412" t="s">
        <v>53</v>
      </c>
    </row>
    <row r="6413" spans="2:42" x14ac:dyDescent="0.2">
      <c r="B6413" t="s">
        <v>44</v>
      </c>
      <c r="C6413" t="str">
        <f>HYPERLINK("https://us2.cloudbeds.com/connect/8493803454333002#/reservations/9080486846722021?display=344Y3RD9Q0&amp;reservation_id=9080486846722021", "344Y3RD9Q0")</f>
        <v>344Y3RD9Q0</v>
      </c>
      <c r="D6413" t="s">
        <v>45</v>
      </c>
      <c r="E6413" t="s">
        <v>113</v>
      </c>
      <c r="F6413" t="s">
        <v>61</v>
      </c>
      <c r="G6413" t="s">
        <v>48</v>
      </c>
      <c r="H6413" t="s">
        <v>49</v>
      </c>
      <c r="I6413" t="s">
        <v>50</v>
      </c>
      <c r="J6413" t="s">
        <v>11495</v>
      </c>
      <c r="K6413" t="s">
        <v>11321</v>
      </c>
      <c r="L6413" t="s">
        <v>53</v>
      </c>
      <c r="N6413" t="s">
        <v>11516</v>
      </c>
      <c r="P6413" t="s">
        <v>55</v>
      </c>
      <c r="R6413" t="s">
        <v>53</v>
      </c>
      <c r="T6413" t="s">
        <v>11517</v>
      </c>
      <c r="U6413" t="s">
        <v>58</v>
      </c>
      <c r="V6413">
        <v>1</v>
      </c>
      <c r="W6413">
        <v>1</v>
      </c>
      <c r="X6413">
        <v>2</v>
      </c>
      <c r="Y6413">
        <v>0</v>
      </c>
      <c r="Z6413">
        <v>2</v>
      </c>
      <c r="AA6413">
        <v>72.459999999999994</v>
      </c>
      <c r="AB6413">
        <v>72.459999999999994</v>
      </c>
      <c r="AC6413">
        <v>63.75</v>
      </c>
      <c r="AD6413">
        <v>0</v>
      </c>
      <c r="AE6413">
        <v>8.7100000000000009</v>
      </c>
      <c r="AF6413">
        <v>0</v>
      </c>
      <c r="AG6413">
        <v>0</v>
      </c>
      <c r="AH6413">
        <v>0</v>
      </c>
      <c r="AI6413">
        <v>13.04</v>
      </c>
      <c r="AJ6413">
        <v>72.459999999999994</v>
      </c>
      <c r="AK6413">
        <v>0</v>
      </c>
      <c r="AL6413" t="s">
        <v>53</v>
      </c>
      <c r="AM6413" t="s">
        <v>53</v>
      </c>
      <c r="AN6413" t="s">
        <v>53</v>
      </c>
      <c r="AO6413" t="s">
        <v>53</v>
      </c>
      <c r="AP6413" t="s">
        <v>53</v>
      </c>
    </row>
    <row r="6414" spans="2:42" x14ac:dyDescent="0.2">
      <c r="B6414" t="s">
        <v>44</v>
      </c>
      <c r="C6414" t="str">
        <f>HYPERLINK("https://us2.cloudbeds.com/connect/8493803454333002#/reservations/145057836245146?display=344Y3URBTY&amp;reservation_id=145057836245146", "344Y3URBTY")</f>
        <v>344Y3URBTY</v>
      </c>
      <c r="D6414" t="s">
        <v>45</v>
      </c>
      <c r="E6414" t="s">
        <v>213</v>
      </c>
      <c r="F6414" t="s">
        <v>86</v>
      </c>
      <c r="G6414" t="s">
        <v>48</v>
      </c>
      <c r="H6414" t="s">
        <v>3957</v>
      </c>
      <c r="I6414" t="s">
        <v>3989</v>
      </c>
      <c r="J6414" t="s">
        <v>5904</v>
      </c>
      <c r="K6414" t="s">
        <v>5403</v>
      </c>
      <c r="L6414" t="s">
        <v>53</v>
      </c>
      <c r="P6414" t="s">
        <v>55</v>
      </c>
      <c r="R6414" t="s">
        <v>56</v>
      </c>
      <c r="T6414" t="s">
        <v>11518</v>
      </c>
      <c r="U6414" t="s">
        <v>58</v>
      </c>
      <c r="V6414">
        <v>1</v>
      </c>
      <c r="W6414">
        <v>1</v>
      </c>
      <c r="X6414">
        <v>1</v>
      </c>
      <c r="Y6414">
        <v>0</v>
      </c>
      <c r="Z6414">
        <v>1</v>
      </c>
      <c r="AA6414">
        <v>256.85000000000002</v>
      </c>
      <c r="AB6414">
        <v>256.85000000000002</v>
      </c>
      <c r="AC6414">
        <v>226</v>
      </c>
      <c r="AD6414">
        <v>0</v>
      </c>
      <c r="AE6414">
        <v>30.85</v>
      </c>
      <c r="AF6414">
        <v>0</v>
      </c>
      <c r="AG6414">
        <v>0</v>
      </c>
      <c r="AH6414">
        <v>0</v>
      </c>
      <c r="AI6414">
        <v>0</v>
      </c>
      <c r="AJ6414">
        <v>256.85000000000002</v>
      </c>
      <c r="AK6414">
        <v>0</v>
      </c>
      <c r="AL6414" t="s">
        <v>53</v>
      </c>
      <c r="AM6414" t="s">
        <v>53</v>
      </c>
      <c r="AN6414" t="s">
        <v>53</v>
      </c>
      <c r="AO6414" t="s">
        <v>53</v>
      </c>
      <c r="AP6414" t="s">
        <v>53</v>
      </c>
    </row>
    <row r="6415" spans="2:42" x14ac:dyDescent="0.2">
      <c r="B6415" t="s">
        <v>44</v>
      </c>
      <c r="C6415" t="str">
        <f>HYPERLINK("https://us2.cloudbeds.com/connect/8493803454333002#/reservations/9080486846722063?display=344N579DM7&amp;reservation_id=9080486846722063", "344N579DM7")</f>
        <v>344N579DM7</v>
      </c>
      <c r="D6415" t="s">
        <v>45</v>
      </c>
      <c r="E6415" t="s">
        <v>373</v>
      </c>
      <c r="F6415" t="s">
        <v>47</v>
      </c>
      <c r="G6415" t="s">
        <v>48</v>
      </c>
      <c r="H6415" t="s">
        <v>49</v>
      </c>
      <c r="I6415" t="s">
        <v>50</v>
      </c>
      <c r="J6415" t="s">
        <v>5904</v>
      </c>
      <c r="K6415" t="s">
        <v>5403</v>
      </c>
      <c r="L6415" t="s">
        <v>53</v>
      </c>
      <c r="N6415" t="s">
        <v>11519</v>
      </c>
      <c r="P6415" t="s">
        <v>55</v>
      </c>
      <c r="R6415" t="s">
        <v>53</v>
      </c>
      <c r="T6415" t="s">
        <v>11520</v>
      </c>
      <c r="U6415" t="s">
        <v>58</v>
      </c>
      <c r="V6415">
        <v>1</v>
      </c>
      <c r="W6415">
        <v>1</v>
      </c>
      <c r="X6415">
        <v>2</v>
      </c>
      <c r="Y6415">
        <v>0</v>
      </c>
      <c r="Z6415">
        <v>2</v>
      </c>
      <c r="AA6415">
        <v>220.94</v>
      </c>
      <c r="AB6415">
        <v>220.94</v>
      </c>
      <c r="AC6415">
        <v>194.4</v>
      </c>
      <c r="AD6415">
        <v>0</v>
      </c>
      <c r="AE6415">
        <v>26.54</v>
      </c>
      <c r="AF6415">
        <v>0</v>
      </c>
      <c r="AG6415">
        <v>0</v>
      </c>
      <c r="AH6415">
        <v>0</v>
      </c>
      <c r="AI6415">
        <v>39.770000000000003</v>
      </c>
      <c r="AJ6415">
        <v>220.94</v>
      </c>
      <c r="AK6415">
        <v>0</v>
      </c>
      <c r="AL6415" t="s">
        <v>53</v>
      </c>
      <c r="AM6415" t="s">
        <v>53</v>
      </c>
      <c r="AN6415" t="s">
        <v>53</v>
      </c>
      <c r="AO6415" t="s">
        <v>53</v>
      </c>
      <c r="AP6415" t="s">
        <v>53</v>
      </c>
    </row>
    <row r="6416" spans="2:42" x14ac:dyDescent="0.2">
      <c r="B6416" t="s">
        <v>44</v>
      </c>
      <c r="C6416" t="str">
        <f>HYPERLINK("https://us2.cloudbeds.com/connect/8493803454333002#/reservations/9080486846722264?display=344VPRZC6M&amp;reservation_id=9080486846722264", "344VPRZC6M")</f>
        <v>344VPRZC6M</v>
      </c>
      <c r="D6416" t="s">
        <v>45</v>
      </c>
      <c r="E6416" t="s">
        <v>128</v>
      </c>
      <c r="F6416" t="s">
        <v>86</v>
      </c>
      <c r="G6416" t="s">
        <v>48</v>
      </c>
      <c r="H6416" t="s">
        <v>49</v>
      </c>
      <c r="I6416" t="s">
        <v>50</v>
      </c>
      <c r="J6416" t="s">
        <v>11310</v>
      </c>
      <c r="K6416" t="s">
        <v>11521</v>
      </c>
      <c r="L6416" t="s">
        <v>53</v>
      </c>
      <c r="N6416" t="s">
        <v>11522</v>
      </c>
      <c r="P6416" t="s">
        <v>55</v>
      </c>
      <c r="R6416" t="s">
        <v>53</v>
      </c>
      <c r="T6416" t="s">
        <v>11523</v>
      </c>
      <c r="U6416" t="s">
        <v>58</v>
      </c>
      <c r="V6416">
        <v>2</v>
      </c>
      <c r="W6416">
        <v>1</v>
      </c>
      <c r="X6416">
        <v>2</v>
      </c>
      <c r="Y6416">
        <v>0</v>
      </c>
      <c r="Z6416">
        <v>2</v>
      </c>
      <c r="AA6416">
        <v>336.52</v>
      </c>
      <c r="AB6416">
        <v>336.52</v>
      </c>
      <c r="AC6416">
        <v>296.10000000000002</v>
      </c>
      <c r="AD6416">
        <v>0</v>
      </c>
      <c r="AE6416">
        <v>40.42</v>
      </c>
      <c r="AF6416">
        <v>0</v>
      </c>
      <c r="AG6416">
        <v>0</v>
      </c>
      <c r="AH6416">
        <v>0</v>
      </c>
      <c r="AI6416">
        <v>60.57</v>
      </c>
      <c r="AJ6416">
        <v>336.52</v>
      </c>
      <c r="AK6416">
        <v>0</v>
      </c>
      <c r="AL6416" t="s">
        <v>53</v>
      </c>
      <c r="AM6416" t="s">
        <v>53</v>
      </c>
      <c r="AN6416" t="s">
        <v>53</v>
      </c>
      <c r="AO6416" t="s">
        <v>53</v>
      </c>
      <c r="AP6416" t="s">
        <v>53</v>
      </c>
    </row>
    <row r="6417" spans="2:42" x14ac:dyDescent="0.2">
      <c r="B6417" t="s">
        <v>44</v>
      </c>
      <c r="C6417" t="str">
        <f>HYPERLINK("https://us2.cloudbeds.com/connect/8493803454333002#/reservations/9080486846722279?display=344WBX1H68&amp;reservation_id=9080486846722279", "344WBX1H68")</f>
        <v>344WBX1H68</v>
      </c>
      <c r="D6417" t="s">
        <v>45</v>
      </c>
      <c r="E6417" t="s">
        <v>11137</v>
      </c>
      <c r="F6417" t="s">
        <v>5257</v>
      </c>
      <c r="G6417" t="s">
        <v>48</v>
      </c>
      <c r="H6417" t="s">
        <v>49</v>
      </c>
      <c r="I6417" t="s">
        <v>50</v>
      </c>
      <c r="J6417" t="s">
        <v>11310</v>
      </c>
      <c r="K6417" t="s">
        <v>11521</v>
      </c>
      <c r="L6417" t="s">
        <v>53</v>
      </c>
      <c r="N6417" t="s">
        <v>11524</v>
      </c>
      <c r="P6417" t="s">
        <v>55</v>
      </c>
      <c r="R6417" t="s">
        <v>53</v>
      </c>
      <c r="T6417" t="s">
        <v>11525</v>
      </c>
      <c r="U6417" t="s">
        <v>58</v>
      </c>
      <c r="V6417">
        <v>2</v>
      </c>
      <c r="W6417">
        <v>2</v>
      </c>
      <c r="X6417">
        <v>2</v>
      </c>
      <c r="Y6417">
        <v>0</v>
      </c>
      <c r="Z6417">
        <v>2</v>
      </c>
      <c r="AA6417">
        <v>319.7</v>
      </c>
      <c r="AB6417">
        <v>319.7</v>
      </c>
      <c r="AC6417">
        <v>281.29000000000002</v>
      </c>
      <c r="AD6417">
        <v>0</v>
      </c>
      <c r="AE6417">
        <v>38.409999999999997</v>
      </c>
      <c r="AF6417">
        <v>0</v>
      </c>
      <c r="AG6417">
        <v>0</v>
      </c>
      <c r="AH6417">
        <v>0</v>
      </c>
      <c r="AI6417">
        <v>57.55</v>
      </c>
      <c r="AJ6417">
        <v>319.7</v>
      </c>
      <c r="AK6417">
        <v>0</v>
      </c>
      <c r="AL6417" t="s">
        <v>53</v>
      </c>
      <c r="AM6417" t="s">
        <v>53</v>
      </c>
      <c r="AN6417" t="s">
        <v>53</v>
      </c>
      <c r="AO6417" t="s">
        <v>53</v>
      </c>
      <c r="AP6417" t="s">
        <v>53</v>
      </c>
    </row>
    <row r="6418" spans="2:42" x14ac:dyDescent="0.2">
      <c r="B6418" t="s">
        <v>44</v>
      </c>
      <c r="C6418" t="str">
        <f>HYPERLINK("https://us2.cloudbeds.com/connect/8493803454333002#/reservations/9080486846722329?display=3451QPG5UU&amp;reservation_id=9080486846722329", "3451QPG5UU")</f>
        <v>3451QPG5UU</v>
      </c>
      <c r="D6418" t="s">
        <v>45</v>
      </c>
      <c r="E6418" t="s">
        <v>213</v>
      </c>
      <c r="F6418" t="s">
        <v>86</v>
      </c>
      <c r="G6418" t="s">
        <v>48</v>
      </c>
      <c r="H6418" t="s">
        <v>49</v>
      </c>
      <c r="I6418" t="s">
        <v>50</v>
      </c>
      <c r="J6418" t="s">
        <v>11310</v>
      </c>
      <c r="K6418" t="s">
        <v>11521</v>
      </c>
      <c r="L6418" t="s">
        <v>53</v>
      </c>
      <c r="N6418" t="s">
        <v>11526</v>
      </c>
      <c r="P6418" t="s">
        <v>55</v>
      </c>
      <c r="R6418" t="s">
        <v>53</v>
      </c>
      <c r="T6418" t="s">
        <v>11527</v>
      </c>
      <c r="U6418" t="s">
        <v>58</v>
      </c>
      <c r="V6418">
        <v>2</v>
      </c>
      <c r="W6418">
        <v>1</v>
      </c>
      <c r="X6418">
        <v>2</v>
      </c>
      <c r="Y6418">
        <v>2</v>
      </c>
      <c r="Z6418">
        <v>4</v>
      </c>
      <c r="AA6418">
        <v>319.7</v>
      </c>
      <c r="AB6418">
        <v>319.7</v>
      </c>
      <c r="AC6418">
        <v>281.29000000000002</v>
      </c>
      <c r="AD6418">
        <v>0</v>
      </c>
      <c r="AE6418">
        <v>38.409999999999997</v>
      </c>
      <c r="AF6418">
        <v>0</v>
      </c>
      <c r="AG6418">
        <v>0</v>
      </c>
      <c r="AH6418">
        <v>0</v>
      </c>
      <c r="AI6418">
        <v>57.55</v>
      </c>
      <c r="AJ6418">
        <v>319.7</v>
      </c>
      <c r="AK6418">
        <v>0</v>
      </c>
      <c r="AL6418" t="s">
        <v>53</v>
      </c>
      <c r="AM6418" t="s">
        <v>53</v>
      </c>
      <c r="AN6418" t="s">
        <v>53</v>
      </c>
      <c r="AO6418" t="s">
        <v>53</v>
      </c>
      <c r="AP6418" t="s">
        <v>53</v>
      </c>
    </row>
    <row r="6419" spans="2:42" x14ac:dyDescent="0.2">
      <c r="B6419" t="s">
        <v>44</v>
      </c>
      <c r="C6419" t="str">
        <f>HYPERLINK("https://us2.cloudbeds.com/connect/8493803454333002#/reservations/9080486846722401?display=3455EBRPGN&amp;reservation_id=9080486846722401", "3455EBRPGN")</f>
        <v>3455EBRPGN</v>
      </c>
      <c r="D6419" t="s">
        <v>45</v>
      </c>
      <c r="E6419" t="s">
        <v>179</v>
      </c>
      <c r="F6419" t="s">
        <v>47</v>
      </c>
      <c r="G6419" t="s">
        <v>48</v>
      </c>
      <c r="H6419" t="s">
        <v>49</v>
      </c>
      <c r="I6419" t="s">
        <v>50</v>
      </c>
      <c r="J6419" t="s">
        <v>5904</v>
      </c>
      <c r="K6419" t="s">
        <v>5403</v>
      </c>
      <c r="L6419" t="s">
        <v>53</v>
      </c>
      <c r="N6419" t="s">
        <v>11528</v>
      </c>
      <c r="P6419" t="s">
        <v>55</v>
      </c>
      <c r="R6419" t="s">
        <v>53</v>
      </c>
      <c r="T6419" t="s">
        <v>11529</v>
      </c>
      <c r="U6419" t="s">
        <v>58</v>
      </c>
      <c r="V6419">
        <v>1</v>
      </c>
      <c r="W6419">
        <v>1</v>
      </c>
      <c r="X6419">
        <v>2</v>
      </c>
      <c r="Y6419">
        <v>0</v>
      </c>
      <c r="Z6419">
        <v>2</v>
      </c>
      <c r="AA6419">
        <v>208.66</v>
      </c>
      <c r="AB6419">
        <v>208.66</v>
      </c>
      <c r="AC6419">
        <v>183.6</v>
      </c>
      <c r="AD6419">
        <v>0</v>
      </c>
      <c r="AE6419">
        <v>25.06</v>
      </c>
      <c r="AF6419">
        <v>0</v>
      </c>
      <c r="AG6419">
        <v>0</v>
      </c>
      <c r="AH6419">
        <v>0</v>
      </c>
      <c r="AI6419">
        <v>37.56</v>
      </c>
      <c r="AJ6419">
        <v>208.66</v>
      </c>
      <c r="AK6419">
        <v>0</v>
      </c>
      <c r="AL6419" t="s">
        <v>53</v>
      </c>
      <c r="AM6419" t="s">
        <v>53</v>
      </c>
      <c r="AN6419" t="s">
        <v>53</v>
      </c>
      <c r="AO6419" t="s">
        <v>53</v>
      </c>
      <c r="AP6419" t="s">
        <v>53</v>
      </c>
    </row>
    <row r="6420" spans="2:42" x14ac:dyDescent="0.2">
      <c r="B6420" t="s">
        <v>44</v>
      </c>
      <c r="C6420" t="str">
        <f>HYPERLINK("https://us2.cloudbeds.com/connect/8493803454333002#/reservations/9080486846722425?display=3456USYQ7Y&amp;reservation_id=9080486846722425", "3456USYQ7Y")</f>
        <v>3456USYQ7Y</v>
      </c>
      <c r="D6420" t="s">
        <v>45</v>
      </c>
      <c r="E6420" t="s">
        <v>373</v>
      </c>
      <c r="F6420" t="s">
        <v>47</v>
      </c>
      <c r="G6420" t="s">
        <v>48</v>
      </c>
      <c r="H6420" t="s">
        <v>49</v>
      </c>
      <c r="I6420" t="s">
        <v>62</v>
      </c>
      <c r="J6420" t="s">
        <v>7493</v>
      </c>
      <c r="K6420" t="s">
        <v>6344</v>
      </c>
      <c r="L6420" t="s">
        <v>53</v>
      </c>
      <c r="N6420" t="s">
        <v>11530</v>
      </c>
      <c r="P6420" t="s">
        <v>55</v>
      </c>
      <c r="R6420" t="s">
        <v>56</v>
      </c>
      <c r="T6420" t="s">
        <v>11531</v>
      </c>
      <c r="U6420" t="s">
        <v>55</v>
      </c>
      <c r="V6420">
        <v>1</v>
      </c>
      <c r="W6420">
        <v>1</v>
      </c>
      <c r="X6420">
        <v>2</v>
      </c>
      <c r="Y6420">
        <v>0</v>
      </c>
      <c r="Z6420">
        <v>2</v>
      </c>
      <c r="AA6420">
        <v>177</v>
      </c>
      <c r="AB6420">
        <v>177</v>
      </c>
      <c r="AC6420">
        <v>177</v>
      </c>
      <c r="AD6420">
        <v>0</v>
      </c>
      <c r="AE6420">
        <v>0</v>
      </c>
      <c r="AF6420">
        <v>0</v>
      </c>
      <c r="AG6420">
        <v>0</v>
      </c>
      <c r="AH6420">
        <v>0</v>
      </c>
      <c r="AI6420">
        <v>31.86</v>
      </c>
      <c r="AJ6420">
        <v>177</v>
      </c>
      <c r="AK6420">
        <v>0</v>
      </c>
      <c r="AL6420" t="s">
        <v>53</v>
      </c>
      <c r="AM6420" t="s">
        <v>53</v>
      </c>
      <c r="AN6420" t="s">
        <v>53</v>
      </c>
      <c r="AO6420" t="s">
        <v>53</v>
      </c>
      <c r="AP6420" t="s">
        <v>53</v>
      </c>
    </row>
    <row r="6421" spans="2:42" x14ac:dyDescent="0.2">
      <c r="B6421" t="s">
        <v>44</v>
      </c>
      <c r="C6421" t="str">
        <f>HYPERLINK("https://us2.cloudbeds.com/connect/8493803454333002#/reservations/9080486846722769?display=345M7GG36S&amp;reservation_id=9080486846722769", "345M7GG36S")</f>
        <v>345M7GG36S</v>
      </c>
      <c r="D6421" t="s">
        <v>45</v>
      </c>
      <c r="E6421" t="s">
        <v>155</v>
      </c>
      <c r="F6421" t="s">
        <v>86</v>
      </c>
      <c r="G6421" t="s">
        <v>48</v>
      </c>
      <c r="H6421" t="s">
        <v>49</v>
      </c>
      <c r="I6421" t="s">
        <v>62</v>
      </c>
      <c r="J6421" t="s">
        <v>5904</v>
      </c>
      <c r="K6421" t="s">
        <v>5403</v>
      </c>
      <c r="L6421" t="s">
        <v>53</v>
      </c>
      <c r="N6421" t="s">
        <v>11532</v>
      </c>
      <c r="P6421" t="s">
        <v>55</v>
      </c>
      <c r="R6421" t="s">
        <v>56</v>
      </c>
      <c r="T6421" t="s">
        <v>11533</v>
      </c>
      <c r="U6421" t="s">
        <v>55</v>
      </c>
      <c r="V6421">
        <v>1</v>
      </c>
      <c r="W6421">
        <v>1</v>
      </c>
      <c r="X6421">
        <v>2</v>
      </c>
      <c r="Y6421">
        <v>0</v>
      </c>
      <c r="Z6421">
        <v>2</v>
      </c>
      <c r="AA6421">
        <v>226</v>
      </c>
      <c r="AB6421">
        <v>226</v>
      </c>
      <c r="AC6421">
        <v>226</v>
      </c>
      <c r="AD6421">
        <v>0</v>
      </c>
      <c r="AE6421">
        <v>0</v>
      </c>
      <c r="AF6421">
        <v>0</v>
      </c>
      <c r="AG6421">
        <v>0</v>
      </c>
      <c r="AH6421">
        <v>0</v>
      </c>
      <c r="AI6421">
        <v>40.68</v>
      </c>
      <c r="AJ6421">
        <v>226</v>
      </c>
      <c r="AK6421">
        <v>0</v>
      </c>
      <c r="AL6421" t="s">
        <v>53</v>
      </c>
      <c r="AM6421" t="s">
        <v>53</v>
      </c>
      <c r="AN6421" t="s">
        <v>53</v>
      </c>
      <c r="AO6421" t="s">
        <v>53</v>
      </c>
      <c r="AP6421" t="s">
        <v>53</v>
      </c>
    </row>
    <row r="6422" spans="2:42" x14ac:dyDescent="0.2">
      <c r="B6422" t="s">
        <v>44</v>
      </c>
      <c r="C6422" t="str">
        <f>HYPERLINK("https://us2.cloudbeds.com/connect/8493803454333002#/reservations/9080486846722862?display=345S0TYFAC&amp;reservation_id=9080486846722862", "345S0TYFAC")</f>
        <v>345S0TYFAC</v>
      </c>
      <c r="D6422" t="s">
        <v>45</v>
      </c>
      <c r="E6422" t="s">
        <v>121</v>
      </c>
      <c r="F6422" t="s">
        <v>86</v>
      </c>
      <c r="G6422" t="s">
        <v>48</v>
      </c>
      <c r="H6422" t="s">
        <v>49</v>
      </c>
      <c r="I6422" t="s">
        <v>50</v>
      </c>
      <c r="J6422" t="s">
        <v>5904</v>
      </c>
      <c r="K6422" t="s">
        <v>5403</v>
      </c>
      <c r="L6422" t="s">
        <v>53</v>
      </c>
      <c r="N6422" t="s">
        <v>11534</v>
      </c>
      <c r="P6422" t="s">
        <v>55</v>
      </c>
      <c r="R6422" t="s">
        <v>53</v>
      </c>
      <c r="T6422" t="s">
        <v>11535</v>
      </c>
      <c r="U6422" t="s">
        <v>58</v>
      </c>
      <c r="V6422">
        <v>1</v>
      </c>
      <c r="W6422">
        <v>1</v>
      </c>
      <c r="X6422">
        <v>2</v>
      </c>
      <c r="Y6422">
        <v>0</v>
      </c>
      <c r="Z6422">
        <v>2</v>
      </c>
      <c r="AA6422">
        <v>231.17</v>
      </c>
      <c r="AB6422">
        <v>231.17</v>
      </c>
      <c r="AC6422">
        <v>203.4</v>
      </c>
      <c r="AD6422">
        <v>0</v>
      </c>
      <c r="AE6422">
        <v>27.77</v>
      </c>
      <c r="AF6422">
        <v>0</v>
      </c>
      <c r="AG6422">
        <v>0</v>
      </c>
      <c r="AH6422">
        <v>0</v>
      </c>
      <c r="AI6422">
        <v>41.61</v>
      </c>
      <c r="AJ6422">
        <v>231.17</v>
      </c>
      <c r="AK6422">
        <v>0</v>
      </c>
      <c r="AL6422" t="s">
        <v>53</v>
      </c>
      <c r="AM6422" t="s">
        <v>53</v>
      </c>
      <c r="AN6422" t="s">
        <v>53</v>
      </c>
      <c r="AO6422" t="s">
        <v>53</v>
      </c>
      <c r="AP6422" t="s">
        <v>53</v>
      </c>
    </row>
    <row r="6423" spans="2:42" x14ac:dyDescent="0.2">
      <c r="B6423" t="s">
        <v>44</v>
      </c>
      <c r="C6423" t="str">
        <f>HYPERLINK("https://us2.cloudbeds.com/connect/8493803454333002#/reservations/145116485341416?display=3460HX9UB5&amp;reservation_id=145116485341416", "3460HX9UB5")</f>
        <v>3460HX9UB5</v>
      </c>
      <c r="D6423" t="s">
        <v>45</v>
      </c>
      <c r="E6423" t="s">
        <v>381</v>
      </c>
      <c r="F6423" t="s">
        <v>47</v>
      </c>
      <c r="G6423" t="s">
        <v>4520</v>
      </c>
      <c r="H6423" t="s">
        <v>3957</v>
      </c>
      <c r="I6423" t="s">
        <v>3958</v>
      </c>
      <c r="J6423" t="s">
        <v>5904</v>
      </c>
      <c r="K6423" t="s">
        <v>5403</v>
      </c>
      <c r="L6423" t="s">
        <v>53</v>
      </c>
      <c r="P6423" t="s">
        <v>55</v>
      </c>
      <c r="R6423" t="s">
        <v>56</v>
      </c>
      <c r="T6423" t="s">
        <v>11536</v>
      </c>
      <c r="U6423" t="s">
        <v>58</v>
      </c>
      <c r="V6423">
        <v>1</v>
      </c>
      <c r="W6423">
        <v>1</v>
      </c>
      <c r="X6423">
        <v>1</v>
      </c>
      <c r="Y6423">
        <v>0</v>
      </c>
      <c r="Z6423">
        <v>1</v>
      </c>
      <c r="AA6423">
        <v>220.94</v>
      </c>
      <c r="AB6423">
        <v>220.94</v>
      </c>
      <c r="AC6423">
        <v>194.4</v>
      </c>
      <c r="AD6423">
        <v>0</v>
      </c>
      <c r="AE6423">
        <v>26.54</v>
      </c>
      <c r="AF6423">
        <v>0</v>
      </c>
      <c r="AG6423">
        <v>0</v>
      </c>
      <c r="AH6423">
        <v>0</v>
      </c>
      <c r="AI6423">
        <v>0</v>
      </c>
      <c r="AJ6423">
        <v>220.94</v>
      </c>
      <c r="AK6423">
        <v>0</v>
      </c>
      <c r="AL6423" t="s">
        <v>53</v>
      </c>
      <c r="AM6423" t="s">
        <v>53</v>
      </c>
      <c r="AN6423" t="s">
        <v>53</v>
      </c>
      <c r="AO6423" t="s">
        <v>53</v>
      </c>
      <c r="AP6423" t="s">
        <v>53</v>
      </c>
    </row>
    <row r="6424" spans="2:42" x14ac:dyDescent="0.2">
      <c r="B6424" t="s">
        <v>44</v>
      </c>
      <c r="C6424" t="str">
        <f>HYPERLINK("https://us2.cloudbeds.com/connect/8493803454333002#/reservations/9080486846723137?display=346AVURR6R&amp;reservation_id=9080486846723137", "346AVURR6R")</f>
        <v>346AVURR6R</v>
      </c>
      <c r="D6424" t="s">
        <v>45</v>
      </c>
      <c r="E6424" t="s">
        <v>110</v>
      </c>
      <c r="F6424" t="s">
        <v>47</v>
      </c>
      <c r="G6424" t="s">
        <v>48</v>
      </c>
      <c r="H6424" t="s">
        <v>49</v>
      </c>
      <c r="I6424" t="s">
        <v>50</v>
      </c>
      <c r="J6424" t="s">
        <v>7543</v>
      </c>
      <c r="K6424" t="s">
        <v>8047</v>
      </c>
      <c r="L6424" t="s">
        <v>53</v>
      </c>
      <c r="N6424" t="s">
        <v>11537</v>
      </c>
      <c r="P6424" t="s">
        <v>55</v>
      </c>
      <c r="R6424" t="s">
        <v>53</v>
      </c>
      <c r="T6424" t="s">
        <v>11538</v>
      </c>
      <c r="U6424" t="s">
        <v>58</v>
      </c>
      <c r="V6424">
        <v>1</v>
      </c>
      <c r="W6424">
        <v>1</v>
      </c>
      <c r="X6424">
        <v>1</v>
      </c>
      <c r="Y6424">
        <v>0</v>
      </c>
      <c r="Z6424">
        <v>1</v>
      </c>
      <c r="AA6424">
        <v>141.04</v>
      </c>
      <c r="AB6424">
        <v>141.04</v>
      </c>
      <c r="AC6424">
        <v>124.1</v>
      </c>
      <c r="AD6424">
        <v>0</v>
      </c>
      <c r="AE6424">
        <v>16.940000000000001</v>
      </c>
      <c r="AF6424">
        <v>0</v>
      </c>
      <c r="AG6424">
        <v>0</v>
      </c>
      <c r="AH6424">
        <v>0</v>
      </c>
      <c r="AI6424">
        <v>25.39</v>
      </c>
      <c r="AJ6424">
        <v>141.04</v>
      </c>
      <c r="AK6424">
        <v>0</v>
      </c>
      <c r="AL6424" t="s">
        <v>53</v>
      </c>
      <c r="AM6424" t="s">
        <v>53</v>
      </c>
      <c r="AN6424" t="s">
        <v>53</v>
      </c>
      <c r="AO6424" t="s">
        <v>53</v>
      </c>
      <c r="AP6424" t="s">
        <v>53</v>
      </c>
    </row>
    <row r="6425" spans="2:42" x14ac:dyDescent="0.2">
      <c r="B6425" t="s">
        <v>44</v>
      </c>
      <c r="C6425" t="str">
        <f>HYPERLINK("https://us2.cloudbeds.com/connect/8493803454333002#/reservations/9080486846723371?display=346PSWYZCZ&amp;reservation_id=9080486846723371", "346PSWYZCZ")</f>
        <v>346PSWYZCZ</v>
      </c>
      <c r="D6425" t="s">
        <v>45</v>
      </c>
      <c r="E6425" t="s">
        <v>406</v>
      </c>
      <c r="F6425" t="s">
        <v>61</v>
      </c>
      <c r="G6425" t="s">
        <v>48</v>
      </c>
      <c r="H6425" t="s">
        <v>49</v>
      </c>
      <c r="I6425" t="s">
        <v>50</v>
      </c>
      <c r="J6425" t="s">
        <v>5904</v>
      </c>
      <c r="K6425" t="s">
        <v>5403</v>
      </c>
      <c r="L6425" t="s">
        <v>53</v>
      </c>
      <c r="N6425" t="s">
        <v>11539</v>
      </c>
      <c r="P6425" t="s">
        <v>55</v>
      </c>
      <c r="R6425" t="s">
        <v>53</v>
      </c>
      <c r="T6425" t="s">
        <v>11540</v>
      </c>
      <c r="U6425" t="s">
        <v>58</v>
      </c>
      <c r="V6425">
        <v>1</v>
      </c>
      <c r="W6425">
        <v>1</v>
      </c>
      <c r="X6425">
        <v>2</v>
      </c>
      <c r="Y6425">
        <v>0</v>
      </c>
      <c r="Z6425">
        <v>2</v>
      </c>
      <c r="AA6425">
        <v>284.36</v>
      </c>
      <c r="AB6425">
        <v>284.36</v>
      </c>
      <c r="AC6425">
        <v>250.2</v>
      </c>
      <c r="AD6425">
        <v>0</v>
      </c>
      <c r="AE6425">
        <v>34.159999999999997</v>
      </c>
      <c r="AF6425">
        <v>0</v>
      </c>
      <c r="AG6425">
        <v>0</v>
      </c>
      <c r="AH6425">
        <v>0</v>
      </c>
      <c r="AI6425">
        <v>51.18</v>
      </c>
      <c r="AJ6425">
        <v>284.36</v>
      </c>
      <c r="AK6425">
        <v>0</v>
      </c>
      <c r="AL6425" t="s">
        <v>53</v>
      </c>
      <c r="AM6425" t="s">
        <v>53</v>
      </c>
      <c r="AN6425" t="s">
        <v>53</v>
      </c>
      <c r="AO6425" t="s">
        <v>53</v>
      </c>
      <c r="AP6425" t="s">
        <v>53</v>
      </c>
    </row>
    <row r="6426" spans="2:42" x14ac:dyDescent="0.2">
      <c r="B6426" t="s">
        <v>44</v>
      </c>
      <c r="C6426" t="str">
        <f>HYPERLINK("https://us2.cloudbeds.com/connect/8493803454333002#/reservations/9080486846727693?display=34CZFYRHHV&amp;reservation_id=9080486846727693", "34CZFYRHHV")</f>
        <v>34CZFYRHHV</v>
      </c>
      <c r="D6426" t="s">
        <v>45</v>
      </c>
      <c r="E6426" t="s">
        <v>223</v>
      </c>
      <c r="F6426" t="s">
        <v>47</v>
      </c>
      <c r="G6426" t="s">
        <v>48</v>
      </c>
      <c r="H6426" t="s">
        <v>49</v>
      </c>
      <c r="I6426" t="s">
        <v>8964</v>
      </c>
      <c r="J6426" t="s">
        <v>8616</v>
      </c>
      <c r="K6426" t="s">
        <v>6380</v>
      </c>
      <c r="L6426" t="s">
        <v>53</v>
      </c>
      <c r="N6426" t="s">
        <v>11541</v>
      </c>
      <c r="P6426" t="s">
        <v>55</v>
      </c>
      <c r="R6426" t="s">
        <v>53</v>
      </c>
      <c r="T6426" t="s">
        <v>11542</v>
      </c>
      <c r="U6426" t="s">
        <v>55</v>
      </c>
      <c r="V6426">
        <v>2</v>
      </c>
      <c r="W6426">
        <v>1</v>
      </c>
      <c r="X6426">
        <v>2</v>
      </c>
      <c r="Y6426">
        <v>0</v>
      </c>
      <c r="Z6426">
        <v>2</v>
      </c>
      <c r="AA6426">
        <v>0</v>
      </c>
      <c r="AB6426">
        <v>0</v>
      </c>
      <c r="AC6426">
        <v>434</v>
      </c>
      <c r="AD6426">
        <v>0</v>
      </c>
      <c r="AE6426">
        <v>0</v>
      </c>
      <c r="AF6426">
        <v>0</v>
      </c>
      <c r="AG6426">
        <v>0</v>
      </c>
      <c r="AH6426">
        <v>0</v>
      </c>
      <c r="AI6426">
        <v>65.099999999999994</v>
      </c>
      <c r="AJ6426">
        <v>434</v>
      </c>
      <c r="AK6426">
        <v>434</v>
      </c>
      <c r="AL6426" t="s">
        <v>53</v>
      </c>
      <c r="AM6426" t="s">
        <v>53</v>
      </c>
      <c r="AN6426" t="s">
        <v>53</v>
      </c>
      <c r="AO6426" t="s">
        <v>53</v>
      </c>
      <c r="AP6426" t="s">
        <v>53</v>
      </c>
    </row>
    <row r="6427" spans="2:42" x14ac:dyDescent="0.2">
      <c r="B6427" t="s">
        <v>44</v>
      </c>
      <c r="C6427" t="str">
        <f>HYPERLINK("https://us2.cloudbeds.com/connect/8493803454333002#/reservations/145428836417717?display=34DBCS01SG&amp;reservation_id=145428836417717", "34DBCS01SG")</f>
        <v>34DBCS01SG</v>
      </c>
      <c r="D6427" t="s">
        <v>45</v>
      </c>
      <c r="E6427" t="s">
        <v>113</v>
      </c>
      <c r="F6427" t="s">
        <v>61</v>
      </c>
      <c r="G6427" t="s">
        <v>3974</v>
      </c>
      <c r="H6427" t="s">
        <v>3957</v>
      </c>
      <c r="I6427" t="s">
        <v>3975</v>
      </c>
      <c r="J6427" t="s">
        <v>5744</v>
      </c>
      <c r="K6427" t="s">
        <v>9725</v>
      </c>
      <c r="L6427" t="s">
        <v>53</v>
      </c>
      <c r="P6427" t="s">
        <v>55</v>
      </c>
      <c r="R6427" t="s">
        <v>56</v>
      </c>
      <c r="T6427" t="s">
        <v>11543</v>
      </c>
      <c r="U6427" t="s">
        <v>58</v>
      </c>
      <c r="V6427">
        <v>1</v>
      </c>
      <c r="W6427">
        <v>1</v>
      </c>
      <c r="X6427">
        <v>2</v>
      </c>
      <c r="Y6427">
        <v>0</v>
      </c>
      <c r="Z6427">
        <v>2</v>
      </c>
      <c r="AA6427">
        <v>186.79</v>
      </c>
      <c r="AB6427">
        <v>186.79</v>
      </c>
      <c r="AC6427">
        <v>164.35</v>
      </c>
      <c r="AD6427">
        <v>0</v>
      </c>
      <c r="AE6427">
        <v>22.44</v>
      </c>
      <c r="AF6427">
        <v>0</v>
      </c>
      <c r="AG6427">
        <v>0</v>
      </c>
      <c r="AH6427">
        <v>0</v>
      </c>
      <c r="AI6427">
        <v>0</v>
      </c>
      <c r="AJ6427">
        <v>186.79</v>
      </c>
      <c r="AK6427">
        <v>0</v>
      </c>
      <c r="AL6427" t="s">
        <v>53</v>
      </c>
      <c r="AM6427" t="s">
        <v>53</v>
      </c>
      <c r="AN6427" t="s">
        <v>53</v>
      </c>
      <c r="AO6427" t="s">
        <v>53</v>
      </c>
      <c r="AP6427" t="s">
        <v>53</v>
      </c>
    </row>
    <row r="6428" spans="2:42" x14ac:dyDescent="0.2">
      <c r="B6428" t="s">
        <v>44</v>
      </c>
      <c r="C6428" t="str">
        <f>HYPERLINK("https://us2.cloudbeds.com/connect/8493803454333002#/reservations/9080486846728421?display=34DGRSJA8U&amp;reservation_id=9080486846728421", "34DGRSJA8U")</f>
        <v>34DGRSJA8U</v>
      </c>
      <c r="D6428" t="s">
        <v>45</v>
      </c>
      <c r="E6428" t="s">
        <v>113</v>
      </c>
      <c r="F6428" t="s">
        <v>61</v>
      </c>
      <c r="G6428" t="s">
        <v>48</v>
      </c>
      <c r="H6428" t="s">
        <v>49</v>
      </c>
      <c r="I6428" t="s">
        <v>50</v>
      </c>
      <c r="J6428" t="s">
        <v>7439</v>
      </c>
      <c r="K6428" t="s">
        <v>8021</v>
      </c>
      <c r="L6428" t="s">
        <v>53</v>
      </c>
      <c r="N6428" t="s">
        <v>11544</v>
      </c>
      <c r="P6428" t="s">
        <v>55</v>
      </c>
      <c r="R6428" t="s">
        <v>53</v>
      </c>
      <c r="T6428" t="s">
        <v>11545</v>
      </c>
      <c r="U6428" t="s">
        <v>58</v>
      </c>
      <c r="V6428">
        <v>2</v>
      </c>
      <c r="W6428">
        <v>1</v>
      </c>
      <c r="X6428">
        <v>2</v>
      </c>
      <c r="Y6428">
        <v>0</v>
      </c>
      <c r="Z6428">
        <v>2</v>
      </c>
      <c r="AA6428">
        <v>357.58</v>
      </c>
      <c r="AB6428">
        <v>357.58</v>
      </c>
      <c r="AC6428">
        <v>314.63</v>
      </c>
      <c r="AD6428">
        <v>0</v>
      </c>
      <c r="AE6428">
        <v>42.95</v>
      </c>
      <c r="AF6428">
        <v>0</v>
      </c>
      <c r="AG6428">
        <v>0</v>
      </c>
      <c r="AH6428">
        <v>0</v>
      </c>
      <c r="AI6428">
        <v>64.36</v>
      </c>
      <c r="AJ6428">
        <v>357.58</v>
      </c>
      <c r="AK6428">
        <v>0</v>
      </c>
      <c r="AL6428" t="s">
        <v>53</v>
      </c>
      <c r="AM6428" t="s">
        <v>53</v>
      </c>
      <c r="AN6428" t="s">
        <v>11546</v>
      </c>
      <c r="AO6428" t="s">
        <v>53</v>
      </c>
      <c r="AP6428" t="s">
        <v>53</v>
      </c>
    </row>
    <row r="6429" spans="2:42" x14ac:dyDescent="0.2">
      <c r="B6429" t="s">
        <v>44</v>
      </c>
      <c r="C6429" t="str">
        <f>HYPERLINK("https://us2.cloudbeds.com/connect/8493803454333002#/reservations/145442711543981?display=34DM4CSTY4&amp;reservation_id=145442711543981", "34DM4CSTY4")</f>
        <v>34DM4CSTY4</v>
      </c>
      <c r="D6429" t="s">
        <v>45</v>
      </c>
      <c r="E6429" t="s">
        <v>78</v>
      </c>
      <c r="F6429" t="s">
        <v>61</v>
      </c>
      <c r="G6429" t="s">
        <v>3974</v>
      </c>
      <c r="H6429" t="s">
        <v>3957</v>
      </c>
      <c r="I6429" t="s">
        <v>3975</v>
      </c>
      <c r="J6429" t="s">
        <v>9620</v>
      </c>
      <c r="K6429" t="s">
        <v>7089</v>
      </c>
      <c r="L6429" t="s">
        <v>53</v>
      </c>
      <c r="P6429" t="s">
        <v>55</v>
      </c>
      <c r="R6429" t="s">
        <v>56</v>
      </c>
      <c r="T6429" t="s">
        <v>11547</v>
      </c>
      <c r="U6429" t="s">
        <v>58</v>
      </c>
      <c r="V6429">
        <v>1</v>
      </c>
      <c r="W6429">
        <v>1</v>
      </c>
      <c r="X6429">
        <v>1</v>
      </c>
      <c r="Y6429">
        <v>0</v>
      </c>
      <c r="Z6429">
        <v>1</v>
      </c>
      <c r="AA6429">
        <v>200.81</v>
      </c>
      <c r="AB6429">
        <v>200.81</v>
      </c>
      <c r="AC6429">
        <v>176.7</v>
      </c>
      <c r="AD6429">
        <v>0</v>
      </c>
      <c r="AE6429">
        <v>24.11</v>
      </c>
      <c r="AF6429">
        <v>0</v>
      </c>
      <c r="AG6429">
        <v>0</v>
      </c>
      <c r="AH6429">
        <v>0</v>
      </c>
      <c r="AI6429">
        <v>0</v>
      </c>
      <c r="AJ6429">
        <v>200.81</v>
      </c>
      <c r="AK6429">
        <v>0</v>
      </c>
      <c r="AL6429" t="s">
        <v>53</v>
      </c>
      <c r="AM6429" t="s">
        <v>53</v>
      </c>
      <c r="AN6429" t="s">
        <v>53</v>
      </c>
      <c r="AO6429" t="s">
        <v>53</v>
      </c>
      <c r="AP6429" t="s">
        <v>53</v>
      </c>
    </row>
    <row r="6430" spans="2:42" x14ac:dyDescent="0.2">
      <c r="B6430" t="s">
        <v>44</v>
      </c>
      <c r="C6430" t="str">
        <f>HYPERLINK("https://us2.cloudbeds.com/connect/8493803454333002#/reservations/145444591878369?display=34DNJEDW52&amp;reservation_id=145444591878369", "34DNJEDW52")</f>
        <v>34DNJEDW52</v>
      </c>
      <c r="D6430" t="s">
        <v>45</v>
      </c>
      <c r="E6430" t="s">
        <v>381</v>
      </c>
      <c r="F6430" t="s">
        <v>47</v>
      </c>
      <c r="G6430" t="s">
        <v>4520</v>
      </c>
      <c r="H6430" t="s">
        <v>3957</v>
      </c>
      <c r="I6430" t="s">
        <v>3958</v>
      </c>
      <c r="J6430" t="s">
        <v>5403</v>
      </c>
      <c r="K6430" t="s">
        <v>5905</v>
      </c>
      <c r="L6430" t="s">
        <v>53</v>
      </c>
      <c r="P6430" t="s">
        <v>55</v>
      </c>
      <c r="R6430" t="s">
        <v>56</v>
      </c>
      <c r="T6430" t="s">
        <v>11548</v>
      </c>
      <c r="U6430" t="s">
        <v>58</v>
      </c>
      <c r="V6430">
        <v>1</v>
      </c>
      <c r="W6430">
        <v>1</v>
      </c>
      <c r="X6430">
        <v>1</v>
      </c>
      <c r="Y6430">
        <v>0</v>
      </c>
      <c r="Z6430">
        <v>1</v>
      </c>
      <c r="AA6430">
        <v>192.29</v>
      </c>
      <c r="AB6430">
        <v>192.29</v>
      </c>
      <c r="AC6430">
        <v>169.2</v>
      </c>
      <c r="AD6430">
        <v>0</v>
      </c>
      <c r="AE6430">
        <v>23.09</v>
      </c>
      <c r="AF6430">
        <v>0</v>
      </c>
      <c r="AG6430">
        <v>0</v>
      </c>
      <c r="AH6430">
        <v>0</v>
      </c>
      <c r="AI6430">
        <v>0</v>
      </c>
      <c r="AJ6430">
        <v>192.29</v>
      </c>
      <c r="AK6430">
        <v>0</v>
      </c>
      <c r="AL6430" t="s">
        <v>53</v>
      </c>
      <c r="AM6430" t="s">
        <v>53</v>
      </c>
      <c r="AN6430" t="s">
        <v>53</v>
      </c>
      <c r="AO6430" t="s">
        <v>53</v>
      </c>
      <c r="AP6430" t="s">
        <v>53</v>
      </c>
    </row>
    <row r="6431" spans="2:42" x14ac:dyDescent="0.2">
      <c r="B6431" t="s">
        <v>44</v>
      </c>
      <c r="C6431" t="str">
        <f>HYPERLINK("https://us2.cloudbeds.com/connect/8493803454333002#/reservations/145491220508815?display=34EQMTUBKF&amp;reservation_id=145491220508815", "34EQMTUBKF")</f>
        <v>34EQMTUBKF</v>
      </c>
      <c r="D6431" t="s">
        <v>45</v>
      </c>
      <c r="E6431" t="s">
        <v>155</v>
      </c>
      <c r="F6431" t="s">
        <v>86</v>
      </c>
      <c r="G6431" t="s">
        <v>48</v>
      </c>
      <c r="H6431" t="s">
        <v>3957</v>
      </c>
      <c r="I6431" t="s">
        <v>3975</v>
      </c>
      <c r="J6431" t="s">
        <v>5905</v>
      </c>
      <c r="K6431" t="s">
        <v>7294</v>
      </c>
      <c r="L6431" t="s">
        <v>53</v>
      </c>
      <c r="P6431" t="s">
        <v>55</v>
      </c>
      <c r="R6431" t="s">
        <v>56</v>
      </c>
      <c r="T6431" t="s">
        <v>11549</v>
      </c>
      <c r="U6431" t="s">
        <v>58</v>
      </c>
      <c r="V6431">
        <v>3</v>
      </c>
      <c r="W6431">
        <v>1</v>
      </c>
      <c r="X6431">
        <v>2</v>
      </c>
      <c r="Y6431">
        <v>0</v>
      </c>
      <c r="Z6431">
        <v>2</v>
      </c>
      <c r="AA6431">
        <v>754.64</v>
      </c>
      <c r="AB6431">
        <v>775.11</v>
      </c>
      <c r="AC6431">
        <v>664</v>
      </c>
      <c r="AD6431">
        <v>0</v>
      </c>
      <c r="AE6431">
        <v>90.64</v>
      </c>
      <c r="AF6431">
        <v>0</v>
      </c>
      <c r="AG6431">
        <v>0</v>
      </c>
      <c r="AH6431">
        <v>0</v>
      </c>
      <c r="AI6431">
        <v>0</v>
      </c>
      <c r="AJ6431">
        <v>754.64</v>
      </c>
      <c r="AK6431">
        <v>-20.47</v>
      </c>
      <c r="AL6431" t="s">
        <v>53</v>
      </c>
      <c r="AM6431" t="s">
        <v>53</v>
      </c>
      <c r="AN6431" t="s">
        <v>11550</v>
      </c>
      <c r="AO6431" t="s">
        <v>53</v>
      </c>
      <c r="AP6431" t="s">
        <v>53</v>
      </c>
    </row>
    <row r="6432" spans="2:42" x14ac:dyDescent="0.2">
      <c r="B6432" t="s">
        <v>44</v>
      </c>
      <c r="C6432" t="str">
        <f>HYPERLINK("https://us2.cloudbeds.com/connect/8493803454333002#/reservations/145509014249708?display=34F7FJ2DUV&amp;reservation_id=145509014249708", "34F7FJ2DUV")</f>
        <v>34F7FJ2DUV</v>
      </c>
      <c r="D6432" t="s">
        <v>45</v>
      </c>
      <c r="E6432" t="s">
        <v>105</v>
      </c>
      <c r="F6432" t="s">
        <v>47</v>
      </c>
      <c r="G6432" t="s">
        <v>4520</v>
      </c>
      <c r="H6432" t="s">
        <v>3957</v>
      </c>
      <c r="I6432" t="s">
        <v>3958</v>
      </c>
      <c r="J6432" t="s">
        <v>5905</v>
      </c>
      <c r="K6432" t="s">
        <v>8139</v>
      </c>
      <c r="L6432" t="s">
        <v>53</v>
      </c>
      <c r="P6432" t="s">
        <v>55</v>
      </c>
      <c r="R6432" t="s">
        <v>56</v>
      </c>
      <c r="T6432" t="s">
        <v>11551</v>
      </c>
      <c r="U6432" t="s">
        <v>58</v>
      </c>
      <c r="V6432">
        <v>1</v>
      </c>
      <c r="W6432">
        <v>1</v>
      </c>
      <c r="X6432">
        <v>1</v>
      </c>
      <c r="Y6432">
        <v>0</v>
      </c>
      <c r="Z6432">
        <v>1</v>
      </c>
      <c r="AA6432">
        <v>200.48</v>
      </c>
      <c r="AB6432">
        <v>200.48</v>
      </c>
      <c r="AC6432">
        <v>176.4</v>
      </c>
      <c r="AD6432">
        <v>0</v>
      </c>
      <c r="AE6432">
        <v>24.08</v>
      </c>
      <c r="AF6432">
        <v>0</v>
      </c>
      <c r="AG6432">
        <v>0</v>
      </c>
      <c r="AH6432">
        <v>0</v>
      </c>
      <c r="AI6432">
        <v>0</v>
      </c>
      <c r="AJ6432">
        <v>200.48</v>
      </c>
      <c r="AK6432">
        <v>0</v>
      </c>
      <c r="AL6432" t="s">
        <v>53</v>
      </c>
      <c r="AM6432" t="s">
        <v>53</v>
      </c>
      <c r="AN6432" t="s">
        <v>53</v>
      </c>
      <c r="AO6432" t="s">
        <v>53</v>
      </c>
      <c r="AP6432" t="s">
        <v>53</v>
      </c>
    </row>
    <row r="6433" spans="2:42" x14ac:dyDescent="0.2">
      <c r="B6433" t="s">
        <v>44</v>
      </c>
      <c r="C6433" t="str">
        <f>HYPERLINK("https://us2.cloudbeds.com/connect/8493803454333002#/reservations/9080486846729656?display=34FEAEWNGG&amp;reservation_id=9080486846729656", "34FEAEWNGG")</f>
        <v>34FEAEWNGG</v>
      </c>
      <c r="D6433" t="s">
        <v>45</v>
      </c>
      <c r="E6433" t="s">
        <v>105</v>
      </c>
      <c r="F6433" t="s">
        <v>47</v>
      </c>
      <c r="G6433" t="s">
        <v>48</v>
      </c>
      <c r="H6433" t="s">
        <v>49</v>
      </c>
      <c r="I6433" t="s">
        <v>8964</v>
      </c>
      <c r="J6433" t="s">
        <v>5744</v>
      </c>
      <c r="K6433" t="s">
        <v>9725</v>
      </c>
      <c r="L6433" t="s">
        <v>53</v>
      </c>
      <c r="N6433" t="s">
        <v>11552</v>
      </c>
      <c r="P6433" t="s">
        <v>55</v>
      </c>
      <c r="R6433" t="s">
        <v>53</v>
      </c>
      <c r="T6433" t="s">
        <v>11553</v>
      </c>
      <c r="U6433" t="s">
        <v>55</v>
      </c>
      <c r="V6433">
        <v>1</v>
      </c>
      <c r="W6433">
        <v>1</v>
      </c>
      <c r="X6433">
        <v>2</v>
      </c>
      <c r="Y6433">
        <v>0</v>
      </c>
      <c r="Z6433">
        <v>2</v>
      </c>
      <c r="AA6433">
        <v>0</v>
      </c>
      <c r="AB6433">
        <v>0</v>
      </c>
      <c r="AC6433">
        <v>170</v>
      </c>
      <c r="AD6433">
        <v>0</v>
      </c>
      <c r="AE6433">
        <v>0</v>
      </c>
      <c r="AF6433">
        <v>0</v>
      </c>
      <c r="AG6433">
        <v>0</v>
      </c>
      <c r="AH6433">
        <v>0</v>
      </c>
      <c r="AI6433">
        <v>25.5</v>
      </c>
      <c r="AJ6433">
        <v>170</v>
      </c>
      <c r="AK6433">
        <v>170</v>
      </c>
      <c r="AL6433" t="s">
        <v>53</v>
      </c>
      <c r="AM6433" t="s">
        <v>53</v>
      </c>
      <c r="AN6433" t="s">
        <v>53</v>
      </c>
      <c r="AO6433" t="s">
        <v>53</v>
      </c>
      <c r="AP6433" t="s">
        <v>53</v>
      </c>
    </row>
    <row r="6434" spans="2:42" x14ac:dyDescent="0.2">
      <c r="B6434" t="s">
        <v>44</v>
      </c>
      <c r="C6434" t="str">
        <f>HYPERLINK("https://us2.cloudbeds.com/connect/8493803454333002#/reservations/145676961816827?display=34J5H0U1YM&amp;reservation_id=145676961816827", "34J5H0U1YM")</f>
        <v>34J5H0U1YM</v>
      </c>
      <c r="D6434" t="s">
        <v>45</v>
      </c>
      <c r="E6434" t="s">
        <v>185</v>
      </c>
      <c r="F6434" t="s">
        <v>47</v>
      </c>
      <c r="G6434" t="s">
        <v>48</v>
      </c>
      <c r="H6434" t="s">
        <v>3957</v>
      </c>
      <c r="I6434" t="s">
        <v>3975</v>
      </c>
      <c r="J6434" t="s">
        <v>5905</v>
      </c>
      <c r="K6434" t="s">
        <v>8139</v>
      </c>
      <c r="L6434" t="s">
        <v>53</v>
      </c>
      <c r="P6434" t="s">
        <v>55</v>
      </c>
      <c r="R6434" t="s">
        <v>56</v>
      </c>
      <c r="T6434" t="s">
        <v>11554</v>
      </c>
      <c r="U6434" t="s">
        <v>58</v>
      </c>
      <c r="V6434">
        <v>1</v>
      </c>
      <c r="W6434">
        <v>1</v>
      </c>
      <c r="X6434">
        <v>1</v>
      </c>
      <c r="Y6434">
        <v>0</v>
      </c>
      <c r="Z6434">
        <v>1</v>
      </c>
      <c r="AA6434">
        <v>196.62</v>
      </c>
      <c r="AB6434">
        <v>196.62</v>
      </c>
      <c r="AC6434">
        <v>173</v>
      </c>
      <c r="AD6434">
        <v>0</v>
      </c>
      <c r="AE6434">
        <v>23.62</v>
      </c>
      <c r="AF6434">
        <v>0</v>
      </c>
      <c r="AG6434">
        <v>0</v>
      </c>
      <c r="AH6434">
        <v>0</v>
      </c>
      <c r="AI6434">
        <v>0</v>
      </c>
      <c r="AJ6434">
        <v>196.62</v>
      </c>
      <c r="AK6434">
        <v>0</v>
      </c>
      <c r="AL6434" t="s">
        <v>53</v>
      </c>
      <c r="AM6434" t="s">
        <v>53</v>
      </c>
      <c r="AN6434" t="s">
        <v>53</v>
      </c>
      <c r="AO6434" t="s">
        <v>53</v>
      </c>
      <c r="AP6434" t="s">
        <v>53</v>
      </c>
    </row>
    <row r="6435" spans="2:42" x14ac:dyDescent="0.2">
      <c r="B6435" t="s">
        <v>44</v>
      </c>
      <c r="C6435" t="str">
        <f>HYPERLINK("https://us2.cloudbeds.com/connect/8493803454333002#/reservations/9080486846733532?display=34K7TGWU46&amp;reservation_id=9080486846733532", "34K7TGWU46")</f>
        <v>34K7TGWU46</v>
      </c>
      <c r="D6435" t="s">
        <v>45</v>
      </c>
      <c r="E6435" t="s">
        <v>190</v>
      </c>
      <c r="F6435" t="s">
        <v>61</v>
      </c>
      <c r="G6435" t="s">
        <v>48</v>
      </c>
      <c r="H6435" t="s">
        <v>49</v>
      </c>
      <c r="I6435" t="s">
        <v>50</v>
      </c>
      <c r="J6435" t="s">
        <v>7088</v>
      </c>
      <c r="K6435" t="s">
        <v>9620</v>
      </c>
      <c r="L6435" t="s">
        <v>53</v>
      </c>
      <c r="N6435" t="s">
        <v>11555</v>
      </c>
      <c r="P6435" t="s">
        <v>55</v>
      </c>
      <c r="R6435" t="s">
        <v>53</v>
      </c>
      <c r="T6435" t="s">
        <v>11556</v>
      </c>
      <c r="U6435" t="s">
        <v>58</v>
      </c>
      <c r="V6435">
        <v>1</v>
      </c>
      <c r="W6435">
        <v>1</v>
      </c>
      <c r="X6435">
        <v>2</v>
      </c>
      <c r="Y6435">
        <v>0</v>
      </c>
      <c r="Z6435">
        <v>2</v>
      </c>
      <c r="AA6435">
        <v>150.61000000000001</v>
      </c>
      <c r="AB6435">
        <v>150.61000000000001</v>
      </c>
      <c r="AC6435">
        <v>132.52000000000001</v>
      </c>
      <c r="AD6435">
        <v>0</v>
      </c>
      <c r="AE6435">
        <v>18.09</v>
      </c>
      <c r="AF6435">
        <v>0</v>
      </c>
      <c r="AG6435">
        <v>0</v>
      </c>
      <c r="AH6435">
        <v>0</v>
      </c>
      <c r="AI6435">
        <v>27.11</v>
      </c>
      <c r="AJ6435">
        <v>150.61000000000001</v>
      </c>
      <c r="AK6435">
        <v>0</v>
      </c>
      <c r="AL6435" t="s">
        <v>53</v>
      </c>
      <c r="AM6435" t="s">
        <v>53</v>
      </c>
      <c r="AN6435" t="s">
        <v>53</v>
      </c>
      <c r="AO6435" t="s">
        <v>53</v>
      </c>
      <c r="AP6435" t="s">
        <v>53</v>
      </c>
    </row>
    <row r="6436" spans="2:42" x14ac:dyDescent="0.2">
      <c r="B6436" t="s">
        <v>44</v>
      </c>
      <c r="C6436" t="str">
        <f>HYPERLINK("https://us2.cloudbeds.com/connect/8493803454333002#/reservations/9080486846734459?display=34Y42VQNZX&amp;reservation_id=9080486846734459", "34Y42VQNZX")</f>
        <v>34Y42VQNZX</v>
      </c>
      <c r="D6436" t="s">
        <v>45</v>
      </c>
      <c r="E6436" t="s">
        <v>165</v>
      </c>
      <c r="F6436" t="s">
        <v>61</v>
      </c>
      <c r="G6436" t="s">
        <v>48</v>
      </c>
      <c r="H6436" t="s">
        <v>49</v>
      </c>
      <c r="I6436" t="s">
        <v>50</v>
      </c>
      <c r="J6436" t="s">
        <v>11557</v>
      </c>
      <c r="K6436" t="s">
        <v>10038</v>
      </c>
      <c r="L6436" t="s">
        <v>53</v>
      </c>
      <c r="N6436" t="s">
        <v>11558</v>
      </c>
      <c r="P6436" t="s">
        <v>55</v>
      </c>
      <c r="R6436" t="s">
        <v>53</v>
      </c>
      <c r="T6436" t="s">
        <v>11559</v>
      </c>
      <c r="U6436" t="s">
        <v>58</v>
      </c>
      <c r="V6436">
        <v>1</v>
      </c>
      <c r="W6436">
        <v>1</v>
      </c>
      <c r="X6436">
        <v>2</v>
      </c>
      <c r="Y6436">
        <v>0</v>
      </c>
      <c r="Z6436">
        <v>2</v>
      </c>
      <c r="AA6436">
        <v>86.37</v>
      </c>
      <c r="AB6436">
        <v>86.37</v>
      </c>
      <c r="AC6436">
        <v>76</v>
      </c>
      <c r="AD6436">
        <v>0</v>
      </c>
      <c r="AE6436">
        <v>10.37</v>
      </c>
      <c r="AF6436">
        <v>0</v>
      </c>
      <c r="AG6436">
        <v>0</v>
      </c>
      <c r="AH6436">
        <v>0</v>
      </c>
      <c r="AI6436">
        <v>15.55</v>
      </c>
      <c r="AJ6436">
        <v>86.37</v>
      </c>
      <c r="AK6436">
        <v>0</v>
      </c>
      <c r="AL6436" t="s">
        <v>53</v>
      </c>
      <c r="AM6436" t="s">
        <v>53</v>
      </c>
      <c r="AN6436" t="s">
        <v>53</v>
      </c>
      <c r="AO6436" t="s">
        <v>53</v>
      </c>
      <c r="AP6436" t="s">
        <v>53</v>
      </c>
    </row>
    <row r="6437" spans="2:42" x14ac:dyDescent="0.2">
      <c r="B6437" t="s">
        <v>44</v>
      </c>
      <c r="C6437" t="str">
        <f>HYPERLINK("https://us2.cloudbeds.com/connect/8493803454333002#/reservations/145770012041372?display=34YBXMANXP&amp;reservation_id=145770012041372", "34YBXMANXP")</f>
        <v>34YBXMANXP</v>
      </c>
      <c r="D6437" t="s">
        <v>45</v>
      </c>
      <c r="E6437" t="s">
        <v>92</v>
      </c>
      <c r="F6437" t="s">
        <v>86</v>
      </c>
      <c r="G6437" t="s">
        <v>48</v>
      </c>
      <c r="H6437" t="s">
        <v>3957</v>
      </c>
      <c r="I6437" t="s">
        <v>3975</v>
      </c>
      <c r="J6437" t="s">
        <v>5905</v>
      </c>
      <c r="K6437" t="s">
        <v>7294</v>
      </c>
      <c r="L6437" t="s">
        <v>53</v>
      </c>
      <c r="P6437" t="s">
        <v>55</v>
      </c>
      <c r="R6437" t="s">
        <v>56</v>
      </c>
      <c r="T6437" t="s">
        <v>11560</v>
      </c>
      <c r="U6437" t="s">
        <v>58</v>
      </c>
      <c r="V6437">
        <v>3</v>
      </c>
      <c r="W6437">
        <v>1</v>
      </c>
      <c r="X6437">
        <v>2</v>
      </c>
      <c r="Y6437">
        <v>0</v>
      </c>
      <c r="Z6437">
        <v>2</v>
      </c>
      <c r="AA6437">
        <v>668.27</v>
      </c>
      <c r="AB6437">
        <v>712.73</v>
      </c>
      <c r="AC6437">
        <v>588</v>
      </c>
      <c r="AD6437">
        <v>41</v>
      </c>
      <c r="AE6437">
        <v>83.73</v>
      </c>
      <c r="AF6437">
        <v>0</v>
      </c>
      <c r="AG6437">
        <v>0</v>
      </c>
      <c r="AH6437">
        <v>0</v>
      </c>
      <c r="AI6437">
        <v>0</v>
      </c>
      <c r="AJ6437">
        <v>712.73</v>
      </c>
      <c r="AK6437">
        <v>0</v>
      </c>
      <c r="AL6437" t="s">
        <v>53</v>
      </c>
      <c r="AM6437" t="s">
        <v>53</v>
      </c>
      <c r="AN6437" t="s">
        <v>53</v>
      </c>
      <c r="AO6437" t="s">
        <v>53</v>
      </c>
      <c r="AP6437" t="s">
        <v>53</v>
      </c>
    </row>
    <row r="6438" spans="2:42" x14ac:dyDescent="0.2">
      <c r="B6438" t="s">
        <v>44</v>
      </c>
      <c r="C6438" t="str">
        <f>HYPERLINK("https://us2.cloudbeds.com/connect/8493803454333002#/reservations/9080486846735149?display=34YM1XQZ5F&amp;reservation_id=9080486846735149", "34YM1XQZ5F")</f>
        <v>34YM1XQZ5F</v>
      </c>
      <c r="D6438" t="s">
        <v>45</v>
      </c>
      <c r="E6438" t="s">
        <v>179</v>
      </c>
      <c r="F6438" t="s">
        <v>47</v>
      </c>
      <c r="G6438" t="s">
        <v>48</v>
      </c>
      <c r="H6438" t="s">
        <v>49</v>
      </c>
      <c r="I6438" t="s">
        <v>50</v>
      </c>
      <c r="J6438" t="s">
        <v>5905</v>
      </c>
      <c r="K6438" t="s">
        <v>8139</v>
      </c>
      <c r="L6438" t="s">
        <v>53</v>
      </c>
      <c r="N6438" t="s">
        <v>11561</v>
      </c>
      <c r="P6438" t="s">
        <v>55</v>
      </c>
      <c r="R6438" t="s">
        <v>53</v>
      </c>
      <c r="T6438" t="s">
        <v>11562</v>
      </c>
      <c r="U6438" t="s">
        <v>58</v>
      </c>
      <c r="V6438">
        <v>1</v>
      </c>
      <c r="W6438">
        <v>1</v>
      </c>
      <c r="X6438">
        <v>2</v>
      </c>
      <c r="Y6438">
        <v>0</v>
      </c>
      <c r="Z6438">
        <v>2</v>
      </c>
      <c r="AA6438">
        <v>167.12</v>
      </c>
      <c r="AB6438">
        <v>167.12</v>
      </c>
      <c r="AC6438">
        <v>147.05000000000001</v>
      </c>
      <c r="AD6438">
        <v>0</v>
      </c>
      <c r="AE6438">
        <v>20.07</v>
      </c>
      <c r="AF6438">
        <v>0</v>
      </c>
      <c r="AG6438">
        <v>0</v>
      </c>
      <c r="AH6438">
        <v>0</v>
      </c>
      <c r="AI6438">
        <v>30.08</v>
      </c>
      <c r="AJ6438">
        <v>167.12</v>
      </c>
      <c r="AK6438">
        <v>0</v>
      </c>
      <c r="AL6438" t="s">
        <v>53</v>
      </c>
      <c r="AM6438" t="s">
        <v>53</v>
      </c>
      <c r="AN6438" t="s">
        <v>53</v>
      </c>
      <c r="AO6438" t="s">
        <v>53</v>
      </c>
      <c r="AP6438" t="s">
        <v>53</v>
      </c>
    </row>
    <row r="6439" spans="2:42" x14ac:dyDescent="0.2">
      <c r="B6439" t="s">
        <v>44</v>
      </c>
      <c r="C6439" t="str">
        <f>HYPERLINK("https://us2.cloudbeds.com/connect/8493803454333002#/reservations/9080486846735242?display=34YP98SS56&amp;reservation_id=9080486846735242", "34YP98SS56")</f>
        <v>34YP98SS56</v>
      </c>
      <c r="D6439" t="s">
        <v>45</v>
      </c>
      <c r="E6439" t="s">
        <v>69</v>
      </c>
      <c r="F6439" t="s">
        <v>70</v>
      </c>
      <c r="G6439" t="s">
        <v>48</v>
      </c>
      <c r="H6439" t="s">
        <v>49</v>
      </c>
      <c r="I6439" t="s">
        <v>50</v>
      </c>
      <c r="J6439" t="s">
        <v>9620</v>
      </c>
      <c r="K6439" t="s">
        <v>7089</v>
      </c>
      <c r="L6439" t="s">
        <v>53</v>
      </c>
      <c r="N6439" t="s">
        <v>11563</v>
      </c>
      <c r="P6439" t="s">
        <v>55</v>
      </c>
      <c r="R6439" t="s">
        <v>53</v>
      </c>
      <c r="T6439" t="s">
        <v>11564</v>
      </c>
      <c r="U6439" t="s">
        <v>58</v>
      </c>
      <c r="V6439">
        <v>1</v>
      </c>
      <c r="W6439">
        <v>1</v>
      </c>
      <c r="X6439">
        <v>2</v>
      </c>
      <c r="Y6439">
        <v>0</v>
      </c>
      <c r="Z6439">
        <v>2</v>
      </c>
      <c r="AA6439">
        <v>123.4</v>
      </c>
      <c r="AB6439">
        <v>123.4</v>
      </c>
      <c r="AC6439">
        <v>108.58</v>
      </c>
      <c r="AD6439">
        <v>0</v>
      </c>
      <c r="AE6439">
        <v>14.82</v>
      </c>
      <c r="AF6439">
        <v>0</v>
      </c>
      <c r="AG6439">
        <v>0</v>
      </c>
      <c r="AH6439">
        <v>0</v>
      </c>
      <c r="AI6439">
        <v>22.21</v>
      </c>
      <c r="AJ6439">
        <v>123.4</v>
      </c>
      <c r="AK6439">
        <v>0</v>
      </c>
      <c r="AL6439" t="s">
        <v>53</v>
      </c>
      <c r="AM6439" t="s">
        <v>53</v>
      </c>
      <c r="AN6439" t="s">
        <v>53</v>
      </c>
      <c r="AO6439" t="s">
        <v>53</v>
      </c>
      <c r="AP6439" t="s">
        <v>53</v>
      </c>
    </row>
    <row r="6440" spans="2:42" x14ac:dyDescent="0.2">
      <c r="B6440" t="s">
        <v>44</v>
      </c>
      <c r="C6440" t="str">
        <f>HYPERLINK("https://us2.cloudbeds.com/connect/8493803454333002#/reservations/9080486846735422?display=34YVSBF758&amp;reservation_id=9080486846735422", "34YVSBF758")</f>
        <v>34YVSBF758</v>
      </c>
      <c r="D6440" t="s">
        <v>45</v>
      </c>
      <c r="E6440" t="s">
        <v>46</v>
      </c>
      <c r="F6440" t="s">
        <v>47</v>
      </c>
      <c r="G6440" t="s">
        <v>48</v>
      </c>
      <c r="H6440" t="s">
        <v>49</v>
      </c>
      <c r="I6440" t="s">
        <v>62</v>
      </c>
      <c r="J6440" t="s">
        <v>5905</v>
      </c>
      <c r="K6440" t="s">
        <v>8139</v>
      </c>
      <c r="L6440" t="s">
        <v>53</v>
      </c>
      <c r="N6440" t="s">
        <v>11565</v>
      </c>
      <c r="P6440" t="s">
        <v>55</v>
      </c>
      <c r="R6440" t="s">
        <v>56</v>
      </c>
      <c r="T6440" t="s">
        <v>11566</v>
      </c>
      <c r="U6440" t="s">
        <v>55</v>
      </c>
      <c r="V6440">
        <v>1</v>
      </c>
      <c r="W6440">
        <v>1</v>
      </c>
      <c r="X6440">
        <v>1</v>
      </c>
      <c r="Y6440">
        <v>0</v>
      </c>
      <c r="Z6440">
        <v>1</v>
      </c>
      <c r="AA6440">
        <v>173</v>
      </c>
      <c r="AB6440">
        <v>173</v>
      </c>
      <c r="AC6440">
        <v>173</v>
      </c>
      <c r="AD6440">
        <v>0</v>
      </c>
      <c r="AE6440">
        <v>0</v>
      </c>
      <c r="AF6440">
        <v>0</v>
      </c>
      <c r="AG6440">
        <v>0</v>
      </c>
      <c r="AH6440">
        <v>0</v>
      </c>
      <c r="AI6440">
        <v>31.14</v>
      </c>
      <c r="AJ6440">
        <v>173</v>
      </c>
      <c r="AK6440">
        <v>0</v>
      </c>
      <c r="AL6440" t="s">
        <v>53</v>
      </c>
      <c r="AM6440" t="s">
        <v>53</v>
      </c>
      <c r="AN6440" t="s">
        <v>53</v>
      </c>
      <c r="AO6440" t="s">
        <v>53</v>
      </c>
      <c r="AP6440" t="s">
        <v>53</v>
      </c>
    </row>
    <row r="6441" spans="2:42" x14ac:dyDescent="0.2">
      <c r="B6441" t="s">
        <v>44</v>
      </c>
      <c r="C6441" t="str">
        <f>HYPERLINK("https://us2.cloudbeds.com/connect/8493803454333002#/reservations/9080486846735551?display=34M39PNDAC&amp;reservation_id=9080486846735551", "34M39PNDAC")</f>
        <v>34M39PNDAC</v>
      </c>
      <c r="D6441" t="s">
        <v>45</v>
      </c>
      <c r="E6441" t="s">
        <v>487</v>
      </c>
      <c r="F6441" t="s">
        <v>61</v>
      </c>
      <c r="G6441" t="s">
        <v>48</v>
      </c>
      <c r="H6441" t="s">
        <v>49</v>
      </c>
      <c r="I6441" t="s">
        <v>8964</v>
      </c>
      <c r="J6441" t="s">
        <v>7088</v>
      </c>
      <c r="K6441" t="s">
        <v>9620</v>
      </c>
      <c r="L6441" t="s">
        <v>53</v>
      </c>
      <c r="N6441" t="s">
        <v>11567</v>
      </c>
      <c r="P6441" t="s">
        <v>55</v>
      </c>
      <c r="R6441" t="s">
        <v>53</v>
      </c>
      <c r="T6441" t="s">
        <v>11568</v>
      </c>
      <c r="U6441" t="s">
        <v>55</v>
      </c>
      <c r="V6441">
        <v>1</v>
      </c>
      <c r="W6441">
        <v>1</v>
      </c>
      <c r="X6441">
        <v>2</v>
      </c>
      <c r="Y6441">
        <v>0</v>
      </c>
      <c r="Z6441">
        <v>2</v>
      </c>
      <c r="AA6441">
        <v>0</v>
      </c>
      <c r="AB6441">
        <v>0</v>
      </c>
      <c r="AC6441">
        <v>158</v>
      </c>
      <c r="AD6441">
        <v>0</v>
      </c>
      <c r="AE6441">
        <v>0</v>
      </c>
      <c r="AF6441">
        <v>0</v>
      </c>
      <c r="AG6441">
        <v>0</v>
      </c>
      <c r="AH6441">
        <v>0</v>
      </c>
      <c r="AI6441">
        <v>23.7</v>
      </c>
      <c r="AJ6441">
        <v>158</v>
      </c>
      <c r="AK6441">
        <v>158</v>
      </c>
      <c r="AL6441" t="s">
        <v>53</v>
      </c>
      <c r="AM6441" t="s">
        <v>53</v>
      </c>
      <c r="AN6441" t="s">
        <v>53</v>
      </c>
      <c r="AO6441" t="s">
        <v>53</v>
      </c>
      <c r="AP6441" t="s">
        <v>53</v>
      </c>
    </row>
    <row r="6442" spans="2:42" x14ac:dyDescent="0.2">
      <c r="B6442" t="s">
        <v>44</v>
      </c>
      <c r="C6442" t="str">
        <f>HYPERLINK("https://us2.cloudbeds.com/connect/8493803454333002#/reservations/9080486846735588?display=34M56YPBS7&amp;reservation_id=9080486846735588", "34M56YPBS7")</f>
        <v>34M56YPBS7</v>
      </c>
      <c r="D6442" t="s">
        <v>45</v>
      </c>
      <c r="E6442" t="s">
        <v>128</v>
      </c>
      <c r="F6442" t="s">
        <v>86</v>
      </c>
      <c r="G6442" t="s">
        <v>48</v>
      </c>
      <c r="H6442" t="s">
        <v>49</v>
      </c>
      <c r="I6442" t="s">
        <v>50</v>
      </c>
      <c r="J6442" t="s">
        <v>5905</v>
      </c>
      <c r="K6442" t="s">
        <v>8139</v>
      </c>
      <c r="L6442" t="s">
        <v>53</v>
      </c>
      <c r="N6442" t="s">
        <v>11569</v>
      </c>
      <c r="P6442" t="s">
        <v>55</v>
      </c>
      <c r="R6442" t="s">
        <v>53</v>
      </c>
      <c r="T6442" t="s">
        <v>11570</v>
      </c>
      <c r="U6442" t="s">
        <v>58</v>
      </c>
      <c r="V6442">
        <v>1</v>
      </c>
      <c r="W6442">
        <v>1</v>
      </c>
      <c r="X6442">
        <v>1</v>
      </c>
      <c r="Y6442">
        <v>0</v>
      </c>
      <c r="Z6442">
        <v>1</v>
      </c>
      <c r="AA6442">
        <v>194.35</v>
      </c>
      <c r="AB6442">
        <v>194.35</v>
      </c>
      <c r="AC6442">
        <v>171</v>
      </c>
      <c r="AD6442">
        <v>0</v>
      </c>
      <c r="AE6442">
        <v>23.35</v>
      </c>
      <c r="AF6442">
        <v>0</v>
      </c>
      <c r="AG6442">
        <v>0</v>
      </c>
      <c r="AH6442">
        <v>0</v>
      </c>
      <c r="AI6442">
        <v>34.979999999999997</v>
      </c>
      <c r="AJ6442">
        <v>194.35</v>
      </c>
      <c r="AK6442">
        <v>0</v>
      </c>
      <c r="AL6442" t="s">
        <v>53</v>
      </c>
      <c r="AM6442" t="s">
        <v>53</v>
      </c>
      <c r="AN6442" t="s">
        <v>53</v>
      </c>
      <c r="AO6442" t="s">
        <v>53</v>
      </c>
      <c r="AP6442" t="s">
        <v>53</v>
      </c>
    </row>
    <row r="6443" spans="2:42" x14ac:dyDescent="0.2">
      <c r="B6443" t="s">
        <v>44</v>
      </c>
      <c r="C6443" t="str">
        <f>HYPERLINK("https://us2.cloudbeds.com/connect/8493803454333002#/reservations/9080486846735589?display=34M5A8PTNV&amp;reservation_id=9080486846735589", "34M5A8PTNV")</f>
        <v>34M5A8PTNV</v>
      </c>
      <c r="D6443" t="s">
        <v>45</v>
      </c>
      <c r="E6443" t="s">
        <v>213</v>
      </c>
      <c r="F6443" t="s">
        <v>86</v>
      </c>
      <c r="G6443" t="s">
        <v>48</v>
      </c>
      <c r="H6443" t="s">
        <v>49</v>
      </c>
      <c r="I6443" t="s">
        <v>50</v>
      </c>
      <c r="J6443" t="s">
        <v>5905</v>
      </c>
      <c r="K6443" t="s">
        <v>8139</v>
      </c>
      <c r="L6443" t="s">
        <v>53</v>
      </c>
      <c r="N6443" t="s">
        <v>11571</v>
      </c>
      <c r="P6443" t="s">
        <v>55</v>
      </c>
      <c r="R6443" t="s">
        <v>53</v>
      </c>
      <c r="T6443" t="s">
        <v>11572</v>
      </c>
      <c r="U6443" t="s">
        <v>58</v>
      </c>
      <c r="V6443">
        <v>1</v>
      </c>
      <c r="W6443">
        <v>1</v>
      </c>
      <c r="X6443">
        <v>1</v>
      </c>
      <c r="Y6443">
        <v>0</v>
      </c>
      <c r="Z6443">
        <v>1</v>
      </c>
      <c r="AA6443">
        <v>194.35</v>
      </c>
      <c r="AB6443">
        <v>194.35</v>
      </c>
      <c r="AC6443">
        <v>171</v>
      </c>
      <c r="AD6443">
        <v>0</v>
      </c>
      <c r="AE6443">
        <v>23.35</v>
      </c>
      <c r="AF6443">
        <v>0</v>
      </c>
      <c r="AG6443">
        <v>0</v>
      </c>
      <c r="AH6443">
        <v>0</v>
      </c>
      <c r="AI6443">
        <v>34.979999999999997</v>
      </c>
      <c r="AJ6443">
        <v>194.35</v>
      </c>
      <c r="AK6443">
        <v>0</v>
      </c>
      <c r="AL6443" t="s">
        <v>53</v>
      </c>
      <c r="AM6443" t="s">
        <v>53</v>
      </c>
      <c r="AN6443" t="s">
        <v>53</v>
      </c>
      <c r="AO6443" t="s">
        <v>53</v>
      </c>
      <c r="AP6443" t="s">
        <v>53</v>
      </c>
    </row>
    <row r="6444" spans="2:42" x14ac:dyDescent="0.2">
      <c r="B6444" t="s">
        <v>44</v>
      </c>
      <c r="C6444" t="str">
        <f>HYPERLINK("https://us2.cloudbeds.com/connect/8493803454333002#/reservations/145836100223172?display=34MTZCKQ6H&amp;reservation_id=145836100223172", "34MTZCKQ6H")</f>
        <v>34MTZCKQ6H</v>
      </c>
      <c r="D6444" t="s">
        <v>45</v>
      </c>
      <c r="E6444" t="s">
        <v>46</v>
      </c>
      <c r="F6444" t="s">
        <v>47</v>
      </c>
      <c r="G6444" t="s">
        <v>48</v>
      </c>
      <c r="H6444" t="s">
        <v>3957</v>
      </c>
      <c r="I6444" t="s">
        <v>3989</v>
      </c>
      <c r="J6444" t="s">
        <v>8139</v>
      </c>
      <c r="K6444" t="s">
        <v>7293</v>
      </c>
      <c r="L6444" t="s">
        <v>53</v>
      </c>
      <c r="P6444" t="s">
        <v>55</v>
      </c>
      <c r="R6444" t="s">
        <v>56</v>
      </c>
      <c r="T6444" t="s">
        <v>11573</v>
      </c>
      <c r="U6444" t="s">
        <v>58</v>
      </c>
      <c r="V6444">
        <v>1</v>
      </c>
      <c r="W6444">
        <v>1</v>
      </c>
      <c r="X6444">
        <v>1</v>
      </c>
      <c r="Y6444">
        <v>0</v>
      </c>
      <c r="Z6444">
        <v>1</v>
      </c>
      <c r="AA6444">
        <v>195.48</v>
      </c>
      <c r="AB6444">
        <v>195.48</v>
      </c>
      <c r="AC6444">
        <v>172</v>
      </c>
      <c r="AD6444">
        <v>0</v>
      </c>
      <c r="AE6444">
        <v>23.48</v>
      </c>
      <c r="AF6444">
        <v>0</v>
      </c>
      <c r="AG6444">
        <v>0</v>
      </c>
      <c r="AH6444">
        <v>0</v>
      </c>
      <c r="AI6444">
        <v>0</v>
      </c>
      <c r="AJ6444">
        <v>195.48</v>
      </c>
      <c r="AK6444">
        <v>0</v>
      </c>
      <c r="AL6444" t="s">
        <v>53</v>
      </c>
      <c r="AM6444" t="s">
        <v>53</v>
      </c>
      <c r="AN6444" t="s">
        <v>53</v>
      </c>
      <c r="AO6444" t="s">
        <v>53</v>
      </c>
      <c r="AP6444" t="s">
        <v>53</v>
      </c>
    </row>
    <row r="6445" spans="2:42" x14ac:dyDescent="0.2">
      <c r="B6445" t="s">
        <v>44</v>
      </c>
      <c r="C6445" t="str">
        <f>HYPERLINK("https://us2.cloudbeds.com/connect/8493803454333002#/reservations/9080486846736229?display=34NAYH6DHS&amp;reservation_id=9080486846736229", "34NAYH6DHS")</f>
        <v>34NAYH6DHS</v>
      </c>
      <c r="D6445" t="s">
        <v>45</v>
      </c>
      <c r="E6445" t="s">
        <v>105</v>
      </c>
      <c r="F6445" t="s">
        <v>47</v>
      </c>
      <c r="G6445" t="s">
        <v>48</v>
      </c>
      <c r="H6445" t="s">
        <v>49</v>
      </c>
      <c r="I6445" t="s">
        <v>50</v>
      </c>
      <c r="J6445" t="s">
        <v>11275</v>
      </c>
      <c r="K6445" t="s">
        <v>11276</v>
      </c>
      <c r="L6445" t="s">
        <v>53</v>
      </c>
      <c r="N6445" t="s">
        <v>11574</v>
      </c>
      <c r="P6445" t="s">
        <v>55</v>
      </c>
      <c r="R6445" t="s">
        <v>53</v>
      </c>
      <c r="T6445" t="s">
        <v>11575</v>
      </c>
      <c r="U6445" t="s">
        <v>58</v>
      </c>
      <c r="V6445">
        <v>2</v>
      </c>
      <c r="W6445">
        <v>1</v>
      </c>
      <c r="X6445">
        <v>1</v>
      </c>
      <c r="Y6445">
        <v>0</v>
      </c>
      <c r="Z6445">
        <v>1</v>
      </c>
      <c r="AA6445">
        <v>168.42</v>
      </c>
      <c r="AB6445">
        <v>168.42</v>
      </c>
      <c r="AC6445">
        <v>148.19999999999999</v>
      </c>
      <c r="AD6445">
        <v>0</v>
      </c>
      <c r="AE6445">
        <v>20.22</v>
      </c>
      <c r="AF6445">
        <v>0</v>
      </c>
      <c r="AG6445">
        <v>0</v>
      </c>
      <c r="AH6445">
        <v>0</v>
      </c>
      <c r="AI6445">
        <v>30.32</v>
      </c>
      <c r="AJ6445">
        <v>168.42</v>
      </c>
      <c r="AK6445">
        <v>0</v>
      </c>
      <c r="AL6445" t="s">
        <v>53</v>
      </c>
      <c r="AM6445" t="s">
        <v>53</v>
      </c>
      <c r="AN6445" t="s">
        <v>53</v>
      </c>
      <c r="AO6445" t="s">
        <v>53</v>
      </c>
      <c r="AP6445" t="s">
        <v>53</v>
      </c>
    </row>
    <row r="6446" spans="2:42" x14ac:dyDescent="0.2">
      <c r="B6446" t="s">
        <v>44</v>
      </c>
      <c r="C6446" t="str">
        <f>HYPERLINK("https://us2.cloudbeds.com/connect/8493803454333002#/reservations/9080486846736230?display=34NAR8UW82&amp;reservation_id=9080486846736230", "34NAR8UW82")</f>
        <v>34NAR8UW82</v>
      </c>
      <c r="D6446" t="s">
        <v>45</v>
      </c>
      <c r="E6446" t="s">
        <v>185</v>
      </c>
      <c r="F6446" t="s">
        <v>47</v>
      </c>
      <c r="G6446" t="s">
        <v>48</v>
      </c>
      <c r="H6446" t="s">
        <v>49</v>
      </c>
      <c r="I6446" t="s">
        <v>50</v>
      </c>
      <c r="J6446" t="s">
        <v>11275</v>
      </c>
      <c r="K6446" t="s">
        <v>11276</v>
      </c>
      <c r="L6446" t="s">
        <v>53</v>
      </c>
      <c r="N6446" t="s">
        <v>11576</v>
      </c>
      <c r="P6446" t="s">
        <v>55</v>
      </c>
      <c r="R6446" t="s">
        <v>53</v>
      </c>
      <c r="T6446" t="s">
        <v>11577</v>
      </c>
      <c r="U6446" t="s">
        <v>58</v>
      </c>
      <c r="V6446">
        <v>2</v>
      </c>
      <c r="W6446">
        <v>1</v>
      </c>
      <c r="X6446">
        <v>1</v>
      </c>
      <c r="Y6446">
        <v>0</v>
      </c>
      <c r="Z6446">
        <v>1</v>
      </c>
      <c r="AA6446">
        <v>168.42</v>
      </c>
      <c r="AB6446">
        <v>168.42</v>
      </c>
      <c r="AC6446">
        <v>148.19999999999999</v>
      </c>
      <c r="AD6446">
        <v>0</v>
      </c>
      <c r="AE6446">
        <v>20.22</v>
      </c>
      <c r="AF6446">
        <v>0</v>
      </c>
      <c r="AG6446">
        <v>0</v>
      </c>
      <c r="AH6446">
        <v>0</v>
      </c>
      <c r="AI6446">
        <v>30.32</v>
      </c>
      <c r="AJ6446">
        <v>168.42</v>
      </c>
      <c r="AK6446">
        <v>0</v>
      </c>
      <c r="AL6446" t="s">
        <v>53</v>
      </c>
      <c r="AM6446" t="s">
        <v>53</v>
      </c>
      <c r="AN6446" t="s">
        <v>53</v>
      </c>
      <c r="AO6446" t="s">
        <v>53</v>
      </c>
      <c r="AP6446" t="s">
        <v>53</v>
      </c>
    </row>
    <row r="6447" spans="2:42" x14ac:dyDescent="0.2">
      <c r="B6447" t="s">
        <v>44</v>
      </c>
      <c r="C6447" t="str">
        <f>HYPERLINK("https://us2.cloudbeds.com/connect/8493803454333002#/reservations/145860790841561?display=34NFS9DYBP&amp;reservation_id=145860790841561", "34NFS9DYBP")</f>
        <v>34NFS9DYBP</v>
      </c>
      <c r="D6447" t="s">
        <v>45</v>
      </c>
      <c r="E6447" t="s">
        <v>381</v>
      </c>
      <c r="F6447" t="s">
        <v>47</v>
      </c>
      <c r="G6447" t="s">
        <v>48</v>
      </c>
      <c r="H6447" t="s">
        <v>3957</v>
      </c>
      <c r="I6447" t="s">
        <v>3958</v>
      </c>
      <c r="J6447" t="s">
        <v>5905</v>
      </c>
      <c r="K6447" t="s">
        <v>8139</v>
      </c>
      <c r="L6447" t="s">
        <v>53</v>
      </c>
      <c r="P6447" t="s">
        <v>55</v>
      </c>
      <c r="R6447" t="s">
        <v>56</v>
      </c>
      <c r="T6447" t="s">
        <v>11578</v>
      </c>
      <c r="U6447" t="s">
        <v>58</v>
      </c>
      <c r="V6447">
        <v>1</v>
      </c>
      <c r="W6447">
        <v>1</v>
      </c>
      <c r="X6447">
        <v>2</v>
      </c>
      <c r="Y6447">
        <v>0</v>
      </c>
      <c r="Z6447">
        <v>2</v>
      </c>
      <c r="AA6447">
        <v>196.62</v>
      </c>
      <c r="AB6447">
        <v>196.62</v>
      </c>
      <c r="AC6447">
        <v>173</v>
      </c>
      <c r="AD6447">
        <v>0</v>
      </c>
      <c r="AE6447">
        <v>23.62</v>
      </c>
      <c r="AF6447">
        <v>0</v>
      </c>
      <c r="AG6447">
        <v>0</v>
      </c>
      <c r="AH6447">
        <v>0</v>
      </c>
      <c r="AI6447">
        <v>0</v>
      </c>
      <c r="AJ6447">
        <v>196.62</v>
      </c>
      <c r="AK6447">
        <v>0</v>
      </c>
      <c r="AL6447" t="s">
        <v>53</v>
      </c>
      <c r="AM6447" t="s">
        <v>53</v>
      </c>
      <c r="AN6447" t="s">
        <v>11579</v>
      </c>
      <c r="AO6447" t="s">
        <v>53</v>
      </c>
      <c r="AP6447" t="s">
        <v>53</v>
      </c>
    </row>
    <row r="6448" spans="2:42" x14ac:dyDescent="0.2">
      <c r="B6448" t="s">
        <v>44</v>
      </c>
      <c r="C6448" t="str">
        <f>HYPERLINK("https://us2.cloudbeds.com/connect/8493803454333002#/reservations/9080486846736359?display=34NKRTSB71&amp;reservation_id=9080486846736359", "34NKRTSB71")</f>
        <v>34NKRTSB71</v>
      </c>
      <c r="D6448" t="s">
        <v>45</v>
      </c>
      <c r="E6448" t="s">
        <v>223</v>
      </c>
      <c r="F6448" t="s">
        <v>47</v>
      </c>
      <c r="G6448" t="s">
        <v>48</v>
      </c>
      <c r="H6448" t="s">
        <v>49</v>
      </c>
      <c r="I6448" t="s">
        <v>50</v>
      </c>
      <c r="J6448" t="s">
        <v>8139</v>
      </c>
      <c r="K6448" t="s">
        <v>7293</v>
      </c>
      <c r="L6448" t="s">
        <v>53</v>
      </c>
      <c r="N6448" t="s">
        <v>11580</v>
      </c>
      <c r="P6448" t="s">
        <v>55</v>
      </c>
      <c r="R6448" t="s">
        <v>53</v>
      </c>
      <c r="T6448" t="s">
        <v>11581</v>
      </c>
      <c r="U6448" t="s">
        <v>58</v>
      </c>
      <c r="V6448">
        <v>1</v>
      </c>
      <c r="W6448">
        <v>1</v>
      </c>
      <c r="X6448">
        <v>2</v>
      </c>
      <c r="Y6448">
        <v>0</v>
      </c>
      <c r="Z6448">
        <v>2</v>
      </c>
      <c r="AA6448">
        <v>175.94</v>
      </c>
      <c r="AB6448">
        <v>175.94</v>
      </c>
      <c r="AC6448">
        <v>154.80000000000001</v>
      </c>
      <c r="AD6448">
        <v>0</v>
      </c>
      <c r="AE6448">
        <v>21.14</v>
      </c>
      <c r="AF6448">
        <v>0</v>
      </c>
      <c r="AG6448">
        <v>0</v>
      </c>
      <c r="AH6448">
        <v>0</v>
      </c>
      <c r="AI6448">
        <v>31.67</v>
      </c>
      <c r="AJ6448">
        <v>175.94</v>
      </c>
      <c r="AK6448">
        <v>0</v>
      </c>
      <c r="AL6448" t="s">
        <v>53</v>
      </c>
      <c r="AM6448" t="s">
        <v>53</v>
      </c>
      <c r="AN6448" t="s">
        <v>53</v>
      </c>
      <c r="AO6448" t="s">
        <v>53</v>
      </c>
      <c r="AP6448" t="s">
        <v>53</v>
      </c>
    </row>
    <row r="6449" spans="2:42" x14ac:dyDescent="0.2">
      <c r="B6449" t="s">
        <v>44</v>
      </c>
      <c r="C6449" t="str">
        <f>HYPERLINK("https://us2.cloudbeds.com/connect/8493803454333002#/reservations/145868475330782?display=34NYQY5T9G&amp;reservation_id=145868475330782", "34NYQY5T9G")</f>
        <v>34NYQY5T9G</v>
      </c>
      <c r="D6449" t="s">
        <v>45</v>
      </c>
      <c r="E6449" t="s">
        <v>85</v>
      </c>
      <c r="F6449" t="s">
        <v>86</v>
      </c>
      <c r="G6449" t="s">
        <v>48</v>
      </c>
      <c r="H6449" t="s">
        <v>3957</v>
      </c>
      <c r="I6449" t="s">
        <v>3958</v>
      </c>
      <c r="J6449" t="s">
        <v>5905</v>
      </c>
      <c r="K6449" t="s">
        <v>7293</v>
      </c>
      <c r="L6449" t="s">
        <v>53</v>
      </c>
      <c r="P6449" t="s">
        <v>55</v>
      </c>
      <c r="R6449" t="s">
        <v>56</v>
      </c>
      <c r="T6449" t="s">
        <v>11582</v>
      </c>
      <c r="U6449" t="s">
        <v>58</v>
      </c>
      <c r="V6449">
        <v>2</v>
      </c>
      <c r="W6449">
        <v>1</v>
      </c>
      <c r="X6449">
        <v>2</v>
      </c>
      <c r="Y6449">
        <v>0</v>
      </c>
      <c r="Z6449">
        <v>2</v>
      </c>
      <c r="AA6449">
        <v>431.88</v>
      </c>
      <c r="AB6449">
        <v>431.88</v>
      </c>
      <c r="AC6449">
        <v>380</v>
      </c>
      <c r="AD6449">
        <v>0</v>
      </c>
      <c r="AE6449">
        <v>51.88</v>
      </c>
      <c r="AF6449">
        <v>0</v>
      </c>
      <c r="AG6449">
        <v>0</v>
      </c>
      <c r="AH6449">
        <v>0</v>
      </c>
      <c r="AI6449">
        <v>0</v>
      </c>
      <c r="AJ6449">
        <v>431.88</v>
      </c>
      <c r="AK6449">
        <v>0</v>
      </c>
      <c r="AL6449" t="s">
        <v>53</v>
      </c>
      <c r="AM6449" t="s">
        <v>53</v>
      </c>
      <c r="AN6449" t="s">
        <v>53</v>
      </c>
      <c r="AO6449" t="s">
        <v>53</v>
      </c>
      <c r="AP6449" t="s">
        <v>53</v>
      </c>
    </row>
    <row r="6450" spans="2:42" x14ac:dyDescent="0.2">
      <c r="B6450" t="s">
        <v>44</v>
      </c>
      <c r="C6450" t="str">
        <f>HYPERLINK("https://us2.cloudbeds.com/connect/8493803454333002#/reservations/9080486846737387?display=34PAHSQPM3&amp;reservation_id=9080486846737387", "34PAHSQPM3")</f>
        <v>34PAHSQPM3</v>
      </c>
      <c r="D6450" t="s">
        <v>45</v>
      </c>
      <c r="E6450" t="s">
        <v>265</v>
      </c>
      <c r="F6450" t="s">
        <v>61</v>
      </c>
      <c r="G6450" t="s">
        <v>48</v>
      </c>
      <c r="H6450" t="s">
        <v>49</v>
      </c>
      <c r="I6450" t="s">
        <v>50</v>
      </c>
      <c r="J6450" t="s">
        <v>9687</v>
      </c>
      <c r="K6450" t="s">
        <v>9688</v>
      </c>
      <c r="L6450" t="s">
        <v>53</v>
      </c>
      <c r="N6450" t="s">
        <v>11583</v>
      </c>
      <c r="P6450" t="s">
        <v>55</v>
      </c>
      <c r="R6450" t="s">
        <v>53</v>
      </c>
      <c r="T6450" t="s">
        <v>11584</v>
      </c>
      <c r="U6450" t="s">
        <v>58</v>
      </c>
      <c r="V6450">
        <v>1</v>
      </c>
      <c r="W6450">
        <v>1</v>
      </c>
      <c r="X6450">
        <v>1</v>
      </c>
      <c r="Y6450">
        <v>0</v>
      </c>
      <c r="Z6450">
        <v>1</v>
      </c>
      <c r="AA6450">
        <v>198.21</v>
      </c>
      <c r="AB6450">
        <v>198.21</v>
      </c>
      <c r="AC6450">
        <v>174.4</v>
      </c>
      <c r="AD6450">
        <v>0</v>
      </c>
      <c r="AE6450">
        <v>23.81</v>
      </c>
      <c r="AF6450">
        <v>0</v>
      </c>
      <c r="AG6450">
        <v>0</v>
      </c>
      <c r="AH6450">
        <v>0</v>
      </c>
      <c r="AI6450">
        <v>35.68</v>
      </c>
      <c r="AJ6450">
        <v>198.21</v>
      </c>
      <c r="AK6450">
        <v>0</v>
      </c>
      <c r="AL6450" t="s">
        <v>53</v>
      </c>
      <c r="AM6450" t="s">
        <v>53</v>
      </c>
      <c r="AN6450" t="s">
        <v>53</v>
      </c>
      <c r="AO6450" t="s">
        <v>53</v>
      </c>
      <c r="AP6450" t="s">
        <v>53</v>
      </c>
    </row>
    <row r="6451" spans="2:42" x14ac:dyDescent="0.2">
      <c r="B6451" t="s">
        <v>44</v>
      </c>
      <c r="C6451" t="str">
        <f>HYPERLINK("https://us2.cloudbeds.com/connect/8493803454333002#/reservations/9080486846739323?display=34RK0ARR3J&amp;reservation_id=9080486846739323", "34RK0ARR3J")</f>
        <v>34RK0ARR3J</v>
      </c>
      <c r="D6451" t="s">
        <v>45</v>
      </c>
      <c r="E6451" t="s">
        <v>487</v>
      </c>
      <c r="F6451" t="s">
        <v>61</v>
      </c>
      <c r="G6451" t="s">
        <v>48</v>
      </c>
      <c r="H6451" t="s">
        <v>49</v>
      </c>
      <c r="I6451" t="s">
        <v>50</v>
      </c>
      <c r="J6451" t="s">
        <v>8139</v>
      </c>
      <c r="K6451" t="s">
        <v>7293</v>
      </c>
      <c r="L6451" t="s">
        <v>53</v>
      </c>
      <c r="N6451" t="s">
        <v>11585</v>
      </c>
      <c r="P6451" t="s">
        <v>55</v>
      </c>
      <c r="R6451" t="s">
        <v>53</v>
      </c>
      <c r="T6451" t="s">
        <v>11586</v>
      </c>
      <c r="U6451" t="s">
        <v>58</v>
      </c>
      <c r="V6451">
        <v>1</v>
      </c>
      <c r="W6451">
        <v>1</v>
      </c>
      <c r="X6451">
        <v>2</v>
      </c>
      <c r="Y6451">
        <v>0</v>
      </c>
      <c r="Z6451">
        <v>2</v>
      </c>
      <c r="AA6451">
        <v>184.12</v>
      </c>
      <c r="AB6451">
        <v>184.12</v>
      </c>
      <c r="AC6451">
        <v>162</v>
      </c>
      <c r="AD6451">
        <v>0</v>
      </c>
      <c r="AE6451">
        <v>22.12</v>
      </c>
      <c r="AF6451">
        <v>0</v>
      </c>
      <c r="AG6451">
        <v>0</v>
      </c>
      <c r="AH6451">
        <v>0</v>
      </c>
      <c r="AI6451">
        <v>33.14</v>
      </c>
      <c r="AJ6451">
        <v>184.12</v>
      </c>
      <c r="AK6451">
        <v>0</v>
      </c>
      <c r="AL6451" t="s">
        <v>53</v>
      </c>
      <c r="AM6451" t="s">
        <v>53</v>
      </c>
      <c r="AN6451" t="s">
        <v>53</v>
      </c>
      <c r="AO6451" t="s">
        <v>53</v>
      </c>
      <c r="AP6451" t="s">
        <v>53</v>
      </c>
    </row>
    <row r="6452" spans="2:42" x14ac:dyDescent="0.2">
      <c r="B6452" t="s">
        <v>44</v>
      </c>
      <c r="C6452" t="str">
        <f>HYPERLINK("https://us2.cloudbeds.com/connect/8493803454333002#/reservations/9080486846739807?display=34S17Q5PXK&amp;reservation_id=9080486846739807", "34S17Q5PXK")</f>
        <v>34S17Q5PXK</v>
      </c>
      <c r="D6452" t="s">
        <v>45</v>
      </c>
      <c r="E6452" t="s">
        <v>265</v>
      </c>
      <c r="F6452" t="s">
        <v>61</v>
      </c>
      <c r="G6452" t="s">
        <v>48</v>
      </c>
      <c r="H6452" t="s">
        <v>49</v>
      </c>
      <c r="I6452" t="s">
        <v>62</v>
      </c>
      <c r="J6452" t="s">
        <v>11206</v>
      </c>
      <c r="K6452" t="s">
        <v>10137</v>
      </c>
      <c r="L6452" t="s">
        <v>53</v>
      </c>
      <c r="N6452" t="s">
        <v>11587</v>
      </c>
      <c r="P6452" t="s">
        <v>55</v>
      </c>
      <c r="R6452" t="s">
        <v>56</v>
      </c>
      <c r="T6452" t="s">
        <v>11588</v>
      </c>
      <c r="U6452" t="s">
        <v>55</v>
      </c>
      <c r="V6452">
        <v>1</v>
      </c>
      <c r="W6452">
        <v>1</v>
      </c>
      <c r="X6452">
        <v>2</v>
      </c>
      <c r="Y6452">
        <v>0</v>
      </c>
      <c r="Z6452">
        <v>2</v>
      </c>
      <c r="AA6452">
        <v>76</v>
      </c>
      <c r="AB6452">
        <v>76</v>
      </c>
      <c r="AC6452">
        <v>76</v>
      </c>
      <c r="AD6452">
        <v>0</v>
      </c>
      <c r="AE6452">
        <v>0</v>
      </c>
      <c r="AF6452">
        <v>0</v>
      </c>
      <c r="AG6452">
        <v>0</v>
      </c>
      <c r="AH6452">
        <v>0</v>
      </c>
      <c r="AI6452">
        <v>13.68</v>
      </c>
      <c r="AJ6452">
        <v>76</v>
      </c>
      <c r="AK6452">
        <v>0</v>
      </c>
      <c r="AL6452" t="s">
        <v>53</v>
      </c>
      <c r="AM6452" t="s">
        <v>53</v>
      </c>
      <c r="AN6452" t="s">
        <v>53</v>
      </c>
      <c r="AO6452" t="s">
        <v>53</v>
      </c>
      <c r="AP6452" t="s">
        <v>53</v>
      </c>
    </row>
    <row r="6453" spans="2:42" x14ac:dyDescent="0.2">
      <c r="B6453" t="s">
        <v>44</v>
      </c>
      <c r="C6453" t="str">
        <f>HYPERLINK("https://us2.cloudbeds.com/connect/8493803454333002#/reservations/9080486846741061?display=34T68QWJ25&amp;reservation_id=9080486846741061", "34T68QWJ25")</f>
        <v>34T68QWJ25</v>
      </c>
      <c r="D6453" t="s">
        <v>45</v>
      </c>
      <c r="E6453" t="s">
        <v>305</v>
      </c>
      <c r="F6453" t="s">
        <v>61</v>
      </c>
      <c r="G6453" t="s">
        <v>48</v>
      </c>
      <c r="H6453" t="s">
        <v>49</v>
      </c>
      <c r="I6453" t="s">
        <v>50</v>
      </c>
      <c r="J6453" t="s">
        <v>8139</v>
      </c>
      <c r="K6453" t="s">
        <v>7293</v>
      </c>
      <c r="L6453" t="s">
        <v>53</v>
      </c>
      <c r="N6453" t="s">
        <v>11589</v>
      </c>
      <c r="P6453" t="s">
        <v>55</v>
      </c>
      <c r="R6453" t="s">
        <v>53</v>
      </c>
      <c r="T6453" t="s">
        <v>11590</v>
      </c>
      <c r="U6453" t="s">
        <v>58</v>
      </c>
      <c r="V6453">
        <v>1</v>
      </c>
      <c r="W6453">
        <v>1</v>
      </c>
      <c r="X6453">
        <v>1</v>
      </c>
      <c r="Y6453">
        <v>0</v>
      </c>
      <c r="Z6453">
        <v>1</v>
      </c>
      <c r="AA6453">
        <v>184.12</v>
      </c>
      <c r="AB6453">
        <v>184.12</v>
      </c>
      <c r="AC6453">
        <v>162</v>
      </c>
      <c r="AD6453">
        <v>0</v>
      </c>
      <c r="AE6453">
        <v>22.12</v>
      </c>
      <c r="AF6453">
        <v>0</v>
      </c>
      <c r="AG6453">
        <v>0</v>
      </c>
      <c r="AH6453">
        <v>0</v>
      </c>
      <c r="AI6453">
        <v>33.14</v>
      </c>
      <c r="AJ6453">
        <v>184.12</v>
      </c>
      <c r="AK6453">
        <v>0</v>
      </c>
      <c r="AL6453" t="s">
        <v>53</v>
      </c>
      <c r="AM6453" t="s">
        <v>53</v>
      </c>
      <c r="AN6453" t="s">
        <v>53</v>
      </c>
      <c r="AO6453" t="s">
        <v>53</v>
      </c>
      <c r="AP6453" t="s">
        <v>53</v>
      </c>
    </row>
    <row r="6454" spans="2:42" x14ac:dyDescent="0.2">
      <c r="B6454" t="s">
        <v>44</v>
      </c>
      <c r="C6454" t="str">
        <f>HYPERLINK("https://us2.cloudbeds.com/connect/8493803454333002#/reservations/9080486846741404?display=34THBA0791&amp;reservation_id=9080486846741404", "34THBA0791")</f>
        <v>34THBA0791</v>
      </c>
      <c r="D6454" t="s">
        <v>45</v>
      </c>
      <c r="E6454" t="s">
        <v>78</v>
      </c>
      <c r="F6454" t="s">
        <v>61</v>
      </c>
      <c r="G6454" t="s">
        <v>48</v>
      </c>
      <c r="H6454" t="s">
        <v>49</v>
      </c>
      <c r="I6454" t="s">
        <v>50</v>
      </c>
      <c r="J6454" t="s">
        <v>7493</v>
      </c>
      <c r="K6454" t="s">
        <v>6344</v>
      </c>
      <c r="L6454" t="s">
        <v>53</v>
      </c>
      <c r="N6454" t="s">
        <v>11591</v>
      </c>
      <c r="P6454" t="s">
        <v>55</v>
      </c>
      <c r="R6454" t="s">
        <v>53</v>
      </c>
      <c r="T6454" t="s">
        <v>11592</v>
      </c>
      <c r="U6454" t="s">
        <v>58</v>
      </c>
      <c r="V6454">
        <v>1</v>
      </c>
      <c r="W6454">
        <v>1</v>
      </c>
      <c r="X6454">
        <v>2</v>
      </c>
      <c r="Y6454">
        <v>0</v>
      </c>
      <c r="Z6454">
        <v>2</v>
      </c>
      <c r="AA6454">
        <v>183.09</v>
      </c>
      <c r="AB6454">
        <v>183.09</v>
      </c>
      <c r="AC6454">
        <v>161.1</v>
      </c>
      <c r="AD6454">
        <v>0</v>
      </c>
      <c r="AE6454">
        <v>21.99</v>
      </c>
      <c r="AF6454">
        <v>0</v>
      </c>
      <c r="AG6454">
        <v>0</v>
      </c>
      <c r="AH6454">
        <v>0</v>
      </c>
      <c r="AI6454">
        <v>32.96</v>
      </c>
      <c r="AJ6454">
        <v>183.09</v>
      </c>
      <c r="AK6454">
        <v>0</v>
      </c>
      <c r="AL6454" t="s">
        <v>53</v>
      </c>
      <c r="AM6454" t="s">
        <v>53</v>
      </c>
      <c r="AN6454" t="s">
        <v>53</v>
      </c>
      <c r="AO6454" t="s">
        <v>53</v>
      </c>
      <c r="AP6454" t="s">
        <v>53</v>
      </c>
    </row>
    <row r="6455" spans="2:42" x14ac:dyDescent="0.2">
      <c r="B6455" t="s">
        <v>44</v>
      </c>
      <c r="C6455" t="str">
        <f>HYPERLINK("https://us2.cloudbeds.com/connect/8493803454333002#/reservations/9080486846741565?display=34TYVPAFW9&amp;reservation_id=9080486846741565", "34TYVPAFW9")</f>
        <v>34TYVPAFW9</v>
      </c>
      <c r="D6455" t="s">
        <v>45</v>
      </c>
      <c r="E6455" t="s">
        <v>110</v>
      </c>
      <c r="F6455" t="s">
        <v>47</v>
      </c>
      <c r="G6455" t="s">
        <v>48</v>
      </c>
      <c r="H6455" t="s">
        <v>49</v>
      </c>
      <c r="I6455" t="s">
        <v>8964</v>
      </c>
      <c r="J6455" t="s">
        <v>10070</v>
      </c>
      <c r="K6455" t="s">
        <v>10723</v>
      </c>
      <c r="L6455" t="s">
        <v>53</v>
      </c>
      <c r="N6455" t="s">
        <v>11593</v>
      </c>
      <c r="P6455" t="s">
        <v>55</v>
      </c>
      <c r="R6455" t="s">
        <v>53</v>
      </c>
      <c r="T6455" t="s">
        <v>11594</v>
      </c>
      <c r="U6455" t="s">
        <v>55</v>
      </c>
      <c r="V6455">
        <v>1</v>
      </c>
      <c r="W6455">
        <v>1</v>
      </c>
      <c r="X6455">
        <v>2</v>
      </c>
      <c r="Y6455">
        <v>0</v>
      </c>
      <c r="Z6455">
        <v>2</v>
      </c>
      <c r="AA6455">
        <v>0</v>
      </c>
      <c r="AB6455">
        <v>0</v>
      </c>
      <c r="AC6455">
        <v>87</v>
      </c>
      <c r="AD6455">
        <v>0</v>
      </c>
      <c r="AE6455">
        <v>0</v>
      </c>
      <c r="AF6455">
        <v>0</v>
      </c>
      <c r="AG6455">
        <v>0</v>
      </c>
      <c r="AH6455">
        <v>0</v>
      </c>
      <c r="AI6455">
        <v>13.05</v>
      </c>
      <c r="AJ6455">
        <v>87</v>
      </c>
      <c r="AK6455">
        <v>87</v>
      </c>
      <c r="AL6455" t="s">
        <v>53</v>
      </c>
      <c r="AM6455" t="s">
        <v>53</v>
      </c>
      <c r="AN6455" t="s">
        <v>53</v>
      </c>
      <c r="AO6455" t="s">
        <v>53</v>
      </c>
      <c r="AP6455" t="s">
        <v>53</v>
      </c>
    </row>
    <row r="6456" spans="2:42" x14ac:dyDescent="0.2">
      <c r="B6456" t="s">
        <v>44</v>
      </c>
      <c r="C6456" t="str">
        <f>HYPERLINK("https://us2.cloudbeds.com/connect/8493803454333002#/reservations/9080486846742079?display=34U5QBV27C&amp;reservation_id=9080486846742079", "34U5QBV27C")</f>
        <v>34U5QBV27C</v>
      </c>
      <c r="D6456" t="s">
        <v>45</v>
      </c>
      <c r="E6456" t="s">
        <v>98</v>
      </c>
      <c r="F6456" t="s">
        <v>86</v>
      </c>
      <c r="G6456" t="s">
        <v>48</v>
      </c>
      <c r="H6456" t="s">
        <v>49</v>
      </c>
      <c r="I6456" t="s">
        <v>62</v>
      </c>
      <c r="J6456" t="s">
        <v>8616</v>
      </c>
      <c r="K6456" t="s">
        <v>6380</v>
      </c>
      <c r="L6456" t="s">
        <v>53</v>
      </c>
      <c r="N6456" t="s">
        <v>11595</v>
      </c>
      <c r="P6456" t="s">
        <v>55</v>
      </c>
      <c r="R6456" t="s">
        <v>56</v>
      </c>
      <c r="T6456" t="s">
        <v>11596</v>
      </c>
      <c r="U6456" t="s">
        <v>55</v>
      </c>
      <c r="V6456">
        <v>2</v>
      </c>
      <c r="W6456">
        <v>1</v>
      </c>
      <c r="X6456">
        <v>2</v>
      </c>
      <c r="Y6456">
        <v>0</v>
      </c>
      <c r="Z6456">
        <v>2</v>
      </c>
      <c r="AA6456">
        <v>466.45</v>
      </c>
      <c r="AB6456">
        <v>466.45</v>
      </c>
      <c r="AC6456">
        <v>466.45</v>
      </c>
      <c r="AD6456">
        <v>0</v>
      </c>
      <c r="AE6456">
        <v>0</v>
      </c>
      <c r="AF6456">
        <v>0</v>
      </c>
      <c r="AG6456">
        <v>0</v>
      </c>
      <c r="AH6456">
        <v>0</v>
      </c>
      <c r="AI6456">
        <v>83.96</v>
      </c>
      <c r="AJ6456">
        <v>466.45</v>
      </c>
      <c r="AK6456">
        <v>0</v>
      </c>
      <c r="AL6456" t="s">
        <v>53</v>
      </c>
      <c r="AM6456" t="s">
        <v>53</v>
      </c>
      <c r="AN6456" t="s">
        <v>53</v>
      </c>
      <c r="AO6456" t="s">
        <v>53</v>
      </c>
      <c r="AP6456" t="s">
        <v>53</v>
      </c>
    </row>
    <row r="6457" spans="2:42" x14ac:dyDescent="0.2">
      <c r="B6457" t="s">
        <v>44</v>
      </c>
      <c r="C6457" t="str">
        <f>HYPERLINK("https://us2.cloudbeds.com/connect/8493803454333002#/reservations/146145550885115?display=34U5BXKKYM&amp;reservation_id=146145550885115", "34U5BXKKYM")</f>
        <v>34U5BXKKYM</v>
      </c>
      <c r="D6457" t="s">
        <v>45</v>
      </c>
      <c r="E6457" t="s">
        <v>406</v>
      </c>
      <c r="F6457" t="s">
        <v>61</v>
      </c>
      <c r="G6457" t="s">
        <v>3974</v>
      </c>
      <c r="H6457" t="s">
        <v>3957</v>
      </c>
      <c r="I6457" t="s">
        <v>3975</v>
      </c>
      <c r="J6457" t="s">
        <v>7088</v>
      </c>
      <c r="K6457" t="s">
        <v>9620</v>
      </c>
      <c r="L6457" t="s">
        <v>53</v>
      </c>
      <c r="P6457" t="s">
        <v>55</v>
      </c>
      <c r="R6457" t="s">
        <v>56</v>
      </c>
      <c r="T6457" t="s">
        <v>11596</v>
      </c>
      <c r="U6457" t="s">
        <v>58</v>
      </c>
      <c r="V6457">
        <v>1</v>
      </c>
      <c r="W6457">
        <v>1</v>
      </c>
      <c r="X6457">
        <v>2</v>
      </c>
      <c r="Y6457">
        <v>0</v>
      </c>
      <c r="Z6457">
        <v>2</v>
      </c>
      <c r="AA6457">
        <v>180.3</v>
      </c>
      <c r="AB6457">
        <v>180.3</v>
      </c>
      <c r="AC6457">
        <v>158.65</v>
      </c>
      <c r="AD6457">
        <v>0</v>
      </c>
      <c r="AE6457">
        <v>21.65</v>
      </c>
      <c r="AF6457">
        <v>0</v>
      </c>
      <c r="AG6457">
        <v>0</v>
      </c>
      <c r="AH6457">
        <v>0</v>
      </c>
      <c r="AI6457">
        <v>0</v>
      </c>
      <c r="AJ6457">
        <v>180.3</v>
      </c>
      <c r="AK6457">
        <v>0</v>
      </c>
      <c r="AL6457" t="s">
        <v>53</v>
      </c>
      <c r="AM6457" t="s">
        <v>53</v>
      </c>
      <c r="AN6457" t="s">
        <v>53</v>
      </c>
      <c r="AO6457" t="s">
        <v>53</v>
      </c>
      <c r="AP6457" t="s">
        <v>53</v>
      </c>
    </row>
    <row r="6458" spans="2:42" x14ac:dyDescent="0.2">
      <c r="B6458" t="s">
        <v>44</v>
      </c>
      <c r="C6458" t="str">
        <f>HYPERLINK("https://us2.cloudbeds.com/connect/8493803454333002#/reservations/146149594308834?display=34U8FT4S35&amp;reservation_id=146149594308834", "34U8FT4S35")</f>
        <v>34U8FT4S35</v>
      </c>
      <c r="D6458" t="s">
        <v>45</v>
      </c>
      <c r="E6458" t="s">
        <v>373</v>
      </c>
      <c r="F6458" t="s">
        <v>47</v>
      </c>
      <c r="G6458" t="s">
        <v>48</v>
      </c>
      <c r="H6458" t="s">
        <v>3957</v>
      </c>
      <c r="I6458" t="s">
        <v>3958</v>
      </c>
      <c r="J6458" t="s">
        <v>8139</v>
      </c>
      <c r="K6458" t="s">
        <v>7293</v>
      </c>
      <c r="L6458" t="s">
        <v>53</v>
      </c>
      <c r="P6458" t="s">
        <v>55</v>
      </c>
      <c r="R6458" t="s">
        <v>56</v>
      </c>
      <c r="T6458" t="s">
        <v>11597</v>
      </c>
      <c r="U6458" t="s">
        <v>58</v>
      </c>
      <c r="V6458">
        <v>1</v>
      </c>
      <c r="W6458">
        <v>1</v>
      </c>
      <c r="X6458">
        <v>1</v>
      </c>
      <c r="Y6458">
        <v>0</v>
      </c>
      <c r="Z6458">
        <v>1</v>
      </c>
      <c r="AA6458">
        <v>212.53</v>
      </c>
      <c r="AB6458">
        <v>212.53</v>
      </c>
      <c r="AC6458">
        <v>187</v>
      </c>
      <c r="AD6458">
        <v>0</v>
      </c>
      <c r="AE6458">
        <v>25.53</v>
      </c>
      <c r="AF6458">
        <v>0</v>
      </c>
      <c r="AG6458">
        <v>0</v>
      </c>
      <c r="AH6458">
        <v>0</v>
      </c>
      <c r="AI6458">
        <v>0</v>
      </c>
      <c r="AJ6458">
        <v>212.53</v>
      </c>
      <c r="AK6458">
        <v>0</v>
      </c>
      <c r="AL6458" t="s">
        <v>53</v>
      </c>
      <c r="AM6458" t="s">
        <v>53</v>
      </c>
      <c r="AN6458" t="s">
        <v>53</v>
      </c>
      <c r="AO6458" t="s">
        <v>53</v>
      </c>
      <c r="AP6458" t="s">
        <v>53</v>
      </c>
    </row>
    <row r="6459" spans="2:42" x14ac:dyDescent="0.2">
      <c r="B6459" t="s">
        <v>44</v>
      </c>
      <c r="C6459" t="str">
        <f>HYPERLINK("https://us2.cloudbeds.com/connect/8493803454333002#/reservations/146146355695766?display=34U5W48M27&amp;reservation_id=146146355695766", "34U5W48M27")</f>
        <v>34U5W48M27</v>
      </c>
      <c r="D6459" t="s">
        <v>45</v>
      </c>
      <c r="E6459" t="s">
        <v>213</v>
      </c>
      <c r="F6459" t="s">
        <v>86</v>
      </c>
      <c r="G6459" t="s">
        <v>48</v>
      </c>
      <c r="H6459" t="s">
        <v>3957</v>
      </c>
      <c r="I6459" t="s">
        <v>3975</v>
      </c>
      <c r="J6459" t="s">
        <v>9620</v>
      </c>
      <c r="K6459" t="s">
        <v>7089</v>
      </c>
      <c r="L6459" t="s">
        <v>53</v>
      </c>
      <c r="P6459" t="s">
        <v>55</v>
      </c>
      <c r="R6459" t="s">
        <v>56</v>
      </c>
      <c r="T6459" t="s">
        <v>11598</v>
      </c>
      <c r="U6459" t="s">
        <v>58</v>
      </c>
      <c r="V6459">
        <v>1</v>
      </c>
      <c r="W6459">
        <v>1</v>
      </c>
      <c r="X6459">
        <v>1</v>
      </c>
      <c r="Y6459">
        <v>0</v>
      </c>
      <c r="Z6459">
        <v>1</v>
      </c>
      <c r="AA6459">
        <v>211.39</v>
      </c>
      <c r="AB6459">
        <v>211.39</v>
      </c>
      <c r="AC6459">
        <v>186</v>
      </c>
      <c r="AD6459">
        <v>0</v>
      </c>
      <c r="AE6459">
        <v>25.39</v>
      </c>
      <c r="AF6459">
        <v>0</v>
      </c>
      <c r="AG6459">
        <v>0</v>
      </c>
      <c r="AH6459">
        <v>0</v>
      </c>
      <c r="AI6459">
        <v>0</v>
      </c>
      <c r="AJ6459">
        <v>211.39</v>
      </c>
      <c r="AK6459">
        <v>0</v>
      </c>
      <c r="AL6459" t="s">
        <v>53</v>
      </c>
      <c r="AM6459" t="s">
        <v>53</v>
      </c>
      <c r="AN6459" t="s">
        <v>53</v>
      </c>
      <c r="AO6459" t="s">
        <v>53</v>
      </c>
      <c r="AP6459" t="s">
        <v>53</v>
      </c>
    </row>
    <row r="6460" spans="2:42" x14ac:dyDescent="0.2">
      <c r="B6460" t="s">
        <v>44</v>
      </c>
      <c r="C6460" t="str">
        <f>HYPERLINK("https://us2.cloudbeds.com/connect/8493803454333002#/reservations/9080486846742614?display=34UU4V1QZM&amp;reservation_id=9080486846742614", "34UU4V1QZM")</f>
        <v>34UU4V1QZM</v>
      </c>
      <c r="D6460" t="s">
        <v>45</v>
      </c>
      <c r="E6460" t="s">
        <v>78</v>
      </c>
      <c r="F6460" t="s">
        <v>61</v>
      </c>
      <c r="G6460" t="s">
        <v>48</v>
      </c>
      <c r="H6460" t="s">
        <v>49</v>
      </c>
      <c r="I6460" t="s">
        <v>8964</v>
      </c>
      <c r="J6460" t="s">
        <v>8818</v>
      </c>
      <c r="K6460" t="s">
        <v>8819</v>
      </c>
      <c r="L6460" t="s">
        <v>53</v>
      </c>
      <c r="N6460" t="s">
        <v>11599</v>
      </c>
      <c r="P6460" t="s">
        <v>55</v>
      </c>
      <c r="R6460" t="s">
        <v>53</v>
      </c>
      <c r="T6460" t="s">
        <v>11600</v>
      </c>
      <c r="U6460" t="s">
        <v>55</v>
      </c>
      <c r="V6460">
        <v>4</v>
      </c>
      <c r="W6460">
        <v>1</v>
      </c>
      <c r="X6460">
        <v>2</v>
      </c>
      <c r="Y6460">
        <v>0</v>
      </c>
      <c r="Z6460">
        <v>2</v>
      </c>
      <c r="AA6460">
        <v>0</v>
      </c>
      <c r="AB6460">
        <v>0</v>
      </c>
      <c r="AC6460">
        <v>612</v>
      </c>
      <c r="AD6460">
        <v>0</v>
      </c>
      <c r="AE6460">
        <v>0</v>
      </c>
      <c r="AF6460">
        <v>0</v>
      </c>
      <c r="AG6460">
        <v>0</v>
      </c>
      <c r="AH6460">
        <v>0</v>
      </c>
      <c r="AI6460">
        <v>91.8</v>
      </c>
      <c r="AJ6460">
        <v>612</v>
      </c>
      <c r="AK6460">
        <v>612</v>
      </c>
      <c r="AL6460" t="s">
        <v>53</v>
      </c>
      <c r="AM6460" t="s">
        <v>53</v>
      </c>
      <c r="AN6460" t="s">
        <v>53</v>
      </c>
      <c r="AO6460" t="s">
        <v>53</v>
      </c>
      <c r="AP6460" t="s">
        <v>53</v>
      </c>
    </row>
    <row r="6461" spans="2:42" x14ac:dyDescent="0.2">
      <c r="B6461" t="s">
        <v>44</v>
      </c>
      <c r="C6461" t="str">
        <f>HYPERLINK("https://us2.cloudbeds.com/connect/8493803454333002#/reservations/9080486846742665?display=34UW4EG3J3&amp;reservation_id=9080486846742665", "34UW4EG3J3")</f>
        <v>34UW4EG3J3</v>
      </c>
      <c r="D6461" t="s">
        <v>45</v>
      </c>
      <c r="E6461" t="s">
        <v>138</v>
      </c>
      <c r="F6461" t="s">
        <v>70</v>
      </c>
      <c r="G6461" t="s">
        <v>48</v>
      </c>
      <c r="H6461" t="s">
        <v>49</v>
      </c>
      <c r="I6461" t="s">
        <v>62</v>
      </c>
      <c r="J6461" t="s">
        <v>9928</v>
      </c>
      <c r="K6461" t="s">
        <v>7492</v>
      </c>
      <c r="L6461" t="s">
        <v>53</v>
      </c>
      <c r="N6461" t="s">
        <v>11601</v>
      </c>
      <c r="P6461" t="s">
        <v>55</v>
      </c>
      <c r="R6461" t="s">
        <v>11602</v>
      </c>
      <c r="T6461" t="s">
        <v>11603</v>
      </c>
      <c r="U6461" t="s">
        <v>55</v>
      </c>
      <c r="V6461">
        <v>1</v>
      </c>
      <c r="W6461">
        <v>1</v>
      </c>
      <c r="X6461">
        <v>2</v>
      </c>
      <c r="Y6461">
        <v>0</v>
      </c>
      <c r="Z6461">
        <v>2</v>
      </c>
      <c r="AA6461">
        <v>123.5</v>
      </c>
      <c r="AB6461">
        <v>123.5</v>
      </c>
      <c r="AC6461">
        <v>123.5</v>
      </c>
      <c r="AD6461">
        <v>0</v>
      </c>
      <c r="AE6461">
        <v>0</v>
      </c>
      <c r="AF6461">
        <v>0</v>
      </c>
      <c r="AG6461">
        <v>0</v>
      </c>
      <c r="AH6461">
        <v>0</v>
      </c>
      <c r="AI6461">
        <v>22.23</v>
      </c>
      <c r="AJ6461">
        <v>123.5</v>
      </c>
      <c r="AK6461">
        <v>0</v>
      </c>
      <c r="AL6461" t="s">
        <v>53</v>
      </c>
      <c r="AM6461" t="s">
        <v>53</v>
      </c>
      <c r="AN6461" t="s">
        <v>53</v>
      </c>
      <c r="AO6461" t="s">
        <v>53</v>
      </c>
      <c r="AP6461" t="s">
        <v>53</v>
      </c>
    </row>
    <row r="6462" spans="2:42" x14ac:dyDescent="0.2">
      <c r="B6462" t="s">
        <v>44</v>
      </c>
      <c r="C6462" t="str">
        <f>HYPERLINK("https://us2.cloudbeds.com/connect/8493803454333002#/reservations/9080486846743126?display=34VJRM0HQ6&amp;reservation_id=9080486846743126", "34VJRM0HQ6")</f>
        <v>34VJRM0HQ6</v>
      </c>
      <c r="D6462" t="s">
        <v>45</v>
      </c>
      <c r="E6462" t="s">
        <v>46</v>
      </c>
      <c r="F6462" t="s">
        <v>47</v>
      </c>
      <c r="G6462" t="s">
        <v>48</v>
      </c>
      <c r="H6462" t="s">
        <v>49</v>
      </c>
      <c r="I6462" t="s">
        <v>50</v>
      </c>
      <c r="J6462" t="s">
        <v>8678</v>
      </c>
      <c r="K6462" t="s">
        <v>9688</v>
      </c>
      <c r="L6462" t="s">
        <v>53</v>
      </c>
      <c r="N6462" t="s">
        <v>11604</v>
      </c>
      <c r="P6462" t="s">
        <v>55</v>
      </c>
      <c r="R6462" t="s">
        <v>53</v>
      </c>
      <c r="T6462" t="s">
        <v>11605</v>
      </c>
      <c r="U6462" t="s">
        <v>58</v>
      </c>
      <c r="V6462">
        <v>2</v>
      </c>
      <c r="W6462">
        <v>1</v>
      </c>
      <c r="X6462">
        <v>2</v>
      </c>
      <c r="Y6462">
        <v>0</v>
      </c>
      <c r="Z6462">
        <v>2</v>
      </c>
      <c r="AA6462">
        <v>342.04</v>
      </c>
      <c r="AB6462">
        <v>342.04</v>
      </c>
      <c r="AC6462">
        <v>300.95</v>
      </c>
      <c r="AD6462">
        <v>0</v>
      </c>
      <c r="AE6462">
        <v>41.09</v>
      </c>
      <c r="AF6462">
        <v>0</v>
      </c>
      <c r="AG6462">
        <v>0</v>
      </c>
      <c r="AH6462">
        <v>0</v>
      </c>
      <c r="AI6462">
        <v>61.57</v>
      </c>
      <c r="AJ6462">
        <v>342.04</v>
      </c>
      <c r="AK6462">
        <v>0</v>
      </c>
      <c r="AL6462" t="s">
        <v>53</v>
      </c>
      <c r="AM6462" t="s">
        <v>53</v>
      </c>
      <c r="AN6462" t="s">
        <v>53</v>
      </c>
      <c r="AO6462" t="s">
        <v>53</v>
      </c>
      <c r="AP6462" t="s">
        <v>53</v>
      </c>
    </row>
    <row r="6463" spans="2:42" x14ac:dyDescent="0.2">
      <c r="B6463" t="s">
        <v>44</v>
      </c>
      <c r="C6463" t="str">
        <f>HYPERLINK("https://us2.cloudbeds.com/connect/8493803454333002#/reservations/9080486846743352?display=34VU03A738&amp;reservation_id=9080486846743352", "34VU03A738")</f>
        <v>34VU03A738</v>
      </c>
      <c r="D6463" t="s">
        <v>45</v>
      </c>
      <c r="E6463" t="s">
        <v>185</v>
      </c>
      <c r="F6463" t="s">
        <v>47</v>
      </c>
      <c r="G6463" t="s">
        <v>48</v>
      </c>
      <c r="H6463" t="s">
        <v>49</v>
      </c>
      <c r="I6463" t="s">
        <v>50</v>
      </c>
      <c r="J6463" t="s">
        <v>7089</v>
      </c>
      <c r="K6463" t="s">
        <v>9928</v>
      </c>
      <c r="L6463" t="s">
        <v>53</v>
      </c>
      <c r="N6463" t="s">
        <v>11606</v>
      </c>
      <c r="P6463" t="s">
        <v>55</v>
      </c>
      <c r="R6463" t="s">
        <v>53</v>
      </c>
      <c r="T6463" t="s">
        <v>11607</v>
      </c>
      <c r="U6463" t="s">
        <v>58</v>
      </c>
      <c r="V6463">
        <v>2</v>
      </c>
      <c r="W6463">
        <v>1</v>
      </c>
      <c r="X6463">
        <v>2</v>
      </c>
      <c r="Y6463">
        <v>0</v>
      </c>
      <c r="Z6463">
        <v>2</v>
      </c>
      <c r="AA6463">
        <v>405.51</v>
      </c>
      <c r="AB6463">
        <v>405.51</v>
      </c>
      <c r="AC6463">
        <v>356.8</v>
      </c>
      <c r="AD6463">
        <v>0</v>
      </c>
      <c r="AE6463">
        <v>48.71</v>
      </c>
      <c r="AF6463">
        <v>0</v>
      </c>
      <c r="AG6463">
        <v>0</v>
      </c>
      <c r="AH6463">
        <v>0</v>
      </c>
      <c r="AI6463">
        <v>72.989999999999995</v>
      </c>
      <c r="AJ6463">
        <v>405.51</v>
      </c>
      <c r="AK6463">
        <v>0</v>
      </c>
      <c r="AL6463" t="s">
        <v>53</v>
      </c>
      <c r="AM6463" t="s">
        <v>53</v>
      </c>
      <c r="AN6463" t="s">
        <v>53</v>
      </c>
      <c r="AO6463" t="s">
        <v>53</v>
      </c>
      <c r="AP6463" t="s">
        <v>53</v>
      </c>
    </row>
    <row r="6464" spans="2:42" x14ac:dyDescent="0.2">
      <c r="B6464" t="s">
        <v>44</v>
      </c>
      <c r="C6464" t="str">
        <f>HYPERLINK("https://us2.cloudbeds.com/connect/8493803454333002#/reservations/9080486846743416?display=34W0BA34NH&amp;reservation_id=9080486846743416", "34W0BA34NH")</f>
        <v>34W0BA34NH</v>
      </c>
      <c r="D6464" t="s">
        <v>45</v>
      </c>
      <c r="E6464" t="s">
        <v>185</v>
      </c>
      <c r="F6464" t="s">
        <v>47</v>
      </c>
      <c r="G6464" t="s">
        <v>48</v>
      </c>
      <c r="H6464" t="s">
        <v>49</v>
      </c>
      <c r="I6464" t="s">
        <v>62</v>
      </c>
      <c r="J6464" t="s">
        <v>11387</v>
      </c>
      <c r="K6464" t="s">
        <v>7439</v>
      </c>
      <c r="L6464" t="s">
        <v>53</v>
      </c>
      <c r="N6464" t="s">
        <v>11608</v>
      </c>
      <c r="P6464" t="s">
        <v>55</v>
      </c>
      <c r="R6464" t="s">
        <v>56</v>
      </c>
      <c r="T6464" t="s">
        <v>11609</v>
      </c>
      <c r="U6464" t="s">
        <v>55</v>
      </c>
      <c r="V6464">
        <v>2</v>
      </c>
      <c r="W6464">
        <v>1</v>
      </c>
      <c r="X6464">
        <v>2</v>
      </c>
      <c r="Y6464">
        <v>0</v>
      </c>
      <c r="Z6464">
        <v>2</v>
      </c>
      <c r="AA6464">
        <v>277</v>
      </c>
      <c r="AB6464">
        <v>277</v>
      </c>
      <c r="AC6464">
        <v>277</v>
      </c>
      <c r="AD6464">
        <v>0</v>
      </c>
      <c r="AE6464">
        <v>0</v>
      </c>
      <c r="AF6464">
        <v>0</v>
      </c>
      <c r="AG6464">
        <v>0</v>
      </c>
      <c r="AH6464">
        <v>0</v>
      </c>
      <c r="AI6464">
        <v>49.86</v>
      </c>
      <c r="AJ6464">
        <v>277</v>
      </c>
      <c r="AK6464">
        <v>0</v>
      </c>
      <c r="AL6464" t="s">
        <v>53</v>
      </c>
      <c r="AM6464" t="s">
        <v>53</v>
      </c>
      <c r="AN6464" t="s">
        <v>53</v>
      </c>
      <c r="AO6464" t="s">
        <v>53</v>
      </c>
      <c r="AP6464" t="s">
        <v>53</v>
      </c>
    </row>
    <row r="6465" spans="2:42" x14ac:dyDescent="0.2">
      <c r="B6465" t="s">
        <v>44</v>
      </c>
      <c r="C6465" t="str">
        <f>HYPERLINK("https://us2.cloudbeds.com/connect/8493803454333002#/reservations/9080486846743582?display=34W9RPGGYM&amp;reservation_id=9080486846743582", "34W9RPGGYM")</f>
        <v>34W9RPGGYM</v>
      </c>
      <c r="D6465" t="s">
        <v>45</v>
      </c>
      <c r="E6465" t="s">
        <v>223</v>
      </c>
      <c r="F6465" t="s">
        <v>47</v>
      </c>
      <c r="G6465" t="s">
        <v>48</v>
      </c>
      <c r="H6465" t="s">
        <v>49</v>
      </c>
      <c r="I6465" t="s">
        <v>50</v>
      </c>
      <c r="J6465" t="s">
        <v>7294</v>
      </c>
      <c r="K6465" t="s">
        <v>5743</v>
      </c>
      <c r="L6465" t="s">
        <v>53</v>
      </c>
      <c r="N6465" t="s">
        <v>11610</v>
      </c>
      <c r="P6465" t="s">
        <v>55</v>
      </c>
      <c r="R6465" t="s">
        <v>53</v>
      </c>
      <c r="T6465" t="s">
        <v>11611</v>
      </c>
      <c r="U6465" t="s">
        <v>58</v>
      </c>
      <c r="V6465">
        <v>1</v>
      </c>
      <c r="W6465">
        <v>1</v>
      </c>
      <c r="X6465">
        <v>1</v>
      </c>
      <c r="Y6465">
        <v>0</v>
      </c>
      <c r="Z6465">
        <v>1</v>
      </c>
      <c r="AA6465">
        <v>171.83</v>
      </c>
      <c r="AB6465">
        <v>171.83</v>
      </c>
      <c r="AC6465">
        <v>151.19999999999999</v>
      </c>
      <c r="AD6465">
        <v>0</v>
      </c>
      <c r="AE6465">
        <v>20.63</v>
      </c>
      <c r="AF6465">
        <v>0</v>
      </c>
      <c r="AG6465">
        <v>0</v>
      </c>
      <c r="AH6465">
        <v>0</v>
      </c>
      <c r="AI6465">
        <v>30.93</v>
      </c>
      <c r="AJ6465">
        <v>171.83</v>
      </c>
      <c r="AK6465">
        <v>0</v>
      </c>
      <c r="AL6465" t="s">
        <v>53</v>
      </c>
      <c r="AM6465" t="s">
        <v>53</v>
      </c>
      <c r="AN6465" t="s">
        <v>53</v>
      </c>
      <c r="AO6465" t="s">
        <v>53</v>
      </c>
      <c r="AP6465" t="s">
        <v>53</v>
      </c>
    </row>
    <row r="6466" spans="2:42" x14ac:dyDescent="0.2">
      <c r="B6466" t="s">
        <v>44</v>
      </c>
      <c r="C6466" t="str">
        <f>HYPERLINK("https://us2.cloudbeds.com/connect/8493803454333002#/reservations/9080486846743765?display=34WHTQ7RRY&amp;reservation_id=9080486846743765", "34WHTQ7RRY")</f>
        <v>34WHTQ7RRY</v>
      </c>
      <c r="D6466" t="s">
        <v>45</v>
      </c>
      <c r="E6466" t="s">
        <v>78</v>
      </c>
      <c r="F6466" t="s">
        <v>61</v>
      </c>
      <c r="G6466" t="s">
        <v>48</v>
      </c>
      <c r="H6466" t="s">
        <v>49</v>
      </c>
      <c r="I6466" t="s">
        <v>50</v>
      </c>
      <c r="J6466" t="s">
        <v>6344</v>
      </c>
      <c r="K6466" t="s">
        <v>8678</v>
      </c>
      <c r="L6466" t="s">
        <v>53</v>
      </c>
      <c r="N6466" t="s">
        <v>11612</v>
      </c>
      <c r="P6466" t="s">
        <v>55</v>
      </c>
      <c r="R6466" t="s">
        <v>53</v>
      </c>
      <c r="T6466" t="s">
        <v>11613</v>
      </c>
      <c r="U6466" t="s">
        <v>58</v>
      </c>
      <c r="V6466">
        <v>2</v>
      </c>
      <c r="W6466">
        <v>1</v>
      </c>
      <c r="X6466">
        <v>2</v>
      </c>
      <c r="Y6466">
        <v>0</v>
      </c>
      <c r="Z6466">
        <v>2</v>
      </c>
      <c r="AA6466">
        <v>422.16</v>
      </c>
      <c r="AB6466">
        <v>422.16</v>
      </c>
      <c r="AC6466">
        <v>371.45</v>
      </c>
      <c r="AD6466">
        <v>0</v>
      </c>
      <c r="AE6466">
        <v>50.71</v>
      </c>
      <c r="AF6466">
        <v>0</v>
      </c>
      <c r="AG6466">
        <v>0</v>
      </c>
      <c r="AH6466">
        <v>0</v>
      </c>
      <c r="AI6466">
        <v>75.989999999999995</v>
      </c>
      <c r="AJ6466">
        <v>422.16</v>
      </c>
      <c r="AK6466">
        <v>0</v>
      </c>
      <c r="AL6466" t="s">
        <v>53</v>
      </c>
      <c r="AM6466" t="s">
        <v>53</v>
      </c>
      <c r="AN6466" t="s">
        <v>53</v>
      </c>
      <c r="AO6466" t="s">
        <v>53</v>
      </c>
      <c r="AP6466" t="s">
        <v>53</v>
      </c>
    </row>
    <row r="6467" spans="2:42" x14ac:dyDescent="0.2">
      <c r="B6467" t="s">
        <v>44</v>
      </c>
      <c r="C6467" t="str">
        <f>HYPERLINK("https://us2.cloudbeds.com/connect/8493803454333002#/reservations/9080486846745698?display=352C5HPNJW&amp;reservation_id=9080486846745698", "352C5HPNJW")</f>
        <v>352C5HPNJW</v>
      </c>
      <c r="D6467" t="s">
        <v>45</v>
      </c>
      <c r="E6467" t="s">
        <v>78</v>
      </c>
      <c r="F6467" t="s">
        <v>61</v>
      </c>
      <c r="G6467" t="s">
        <v>48</v>
      </c>
      <c r="H6467" t="s">
        <v>49</v>
      </c>
      <c r="I6467" t="s">
        <v>62</v>
      </c>
      <c r="J6467" t="s">
        <v>8616</v>
      </c>
      <c r="K6467" t="s">
        <v>7438</v>
      </c>
      <c r="L6467" t="s">
        <v>53</v>
      </c>
      <c r="N6467" t="s">
        <v>11614</v>
      </c>
      <c r="P6467" t="s">
        <v>55</v>
      </c>
      <c r="R6467" t="s">
        <v>56</v>
      </c>
      <c r="T6467" t="s">
        <v>11615</v>
      </c>
      <c r="U6467" t="s">
        <v>55</v>
      </c>
      <c r="V6467">
        <v>3</v>
      </c>
      <c r="W6467">
        <v>1</v>
      </c>
      <c r="X6467">
        <v>2</v>
      </c>
      <c r="Y6467">
        <v>0</v>
      </c>
      <c r="Z6467">
        <v>2</v>
      </c>
      <c r="AA6467">
        <v>491.15</v>
      </c>
      <c r="AB6467">
        <v>491.15</v>
      </c>
      <c r="AC6467">
        <v>491.15</v>
      </c>
      <c r="AD6467">
        <v>0</v>
      </c>
      <c r="AE6467">
        <v>0</v>
      </c>
      <c r="AF6467">
        <v>0</v>
      </c>
      <c r="AG6467">
        <v>0</v>
      </c>
      <c r="AH6467">
        <v>0</v>
      </c>
      <c r="AI6467">
        <v>88.41</v>
      </c>
      <c r="AJ6467">
        <v>491.15</v>
      </c>
      <c r="AK6467">
        <v>0</v>
      </c>
      <c r="AL6467" t="s">
        <v>53</v>
      </c>
      <c r="AM6467" t="s">
        <v>53</v>
      </c>
      <c r="AN6467" t="s">
        <v>53</v>
      </c>
      <c r="AO6467" t="s">
        <v>53</v>
      </c>
      <c r="AP6467" t="s">
        <v>53</v>
      </c>
    </row>
    <row r="6468" spans="2:42" x14ac:dyDescent="0.2">
      <c r="B6468" t="s">
        <v>44</v>
      </c>
      <c r="C6468" t="str">
        <f>HYPERLINK("https://us2.cloudbeds.com/connect/8493803454333002#/reservations/9080486846746663?display=3539D3MTC7&amp;reservation_id=9080486846746663", "3539D3MTC7")</f>
        <v>3539D3MTC7</v>
      </c>
      <c r="D6468" t="s">
        <v>45</v>
      </c>
      <c r="E6468" t="s">
        <v>165</v>
      </c>
      <c r="F6468" t="s">
        <v>61</v>
      </c>
      <c r="G6468" t="s">
        <v>48</v>
      </c>
      <c r="H6468" t="s">
        <v>49</v>
      </c>
      <c r="I6468" t="s">
        <v>50</v>
      </c>
      <c r="J6468" t="s">
        <v>8437</v>
      </c>
      <c r="K6468" t="s">
        <v>7492</v>
      </c>
      <c r="L6468" t="s">
        <v>53</v>
      </c>
      <c r="N6468" t="s">
        <v>11616</v>
      </c>
      <c r="P6468" t="s">
        <v>55</v>
      </c>
      <c r="R6468" t="s">
        <v>53</v>
      </c>
      <c r="T6468" t="s">
        <v>11617</v>
      </c>
      <c r="U6468" t="s">
        <v>58</v>
      </c>
      <c r="V6468">
        <v>2</v>
      </c>
      <c r="W6468">
        <v>1</v>
      </c>
      <c r="X6468">
        <v>2</v>
      </c>
      <c r="Y6468">
        <v>0</v>
      </c>
      <c r="Z6468">
        <v>2</v>
      </c>
      <c r="AA6468">
        <v>480.01</v>
      </c>
      <c r="AB6468">
        <v>480.01</v>
      </c>
      <c r="AC6468">
        <v>422.37</v>
      </c>
      <c r="AD6468">
        <v>0</v>
      </c>
      <c r="AE6468">
        <v>57.64</v>
      </c>
      <c r="AF6468">
        <v>0</v>
      </c>
      <c r="AG6468">
        <v>0</v>
      </c>
      <c r="AH6468">
        <v>0</v>
      </c>
      <c r="AI6468">
        <v>86.4</v>
      </c>
      <c r="AJ6468">
        <v>480.01</v>
      </c>
      <c r="AK6468">
        <v>0</v>
      </c>
      <c r="AL6468" t="s">
        <v>53</v>
      </c>
      <c r="AM6468" t="s">
        <v>53</v>
      </c>
      <c r="AN6468" t="s">
        <v>53</v>
      </c>
      <c r="AO6468" t="s">
        <v>53</v>
      </c>
      <c r="AP6468" t="s">
        <v>53</v>
      </c>
    </row>
    <row r="6469" spans="2:42" x14ac:dyDescent="0.2">
      <c r="B6469" t="s">
        <v>44</v>
      </c>
      <c r="C6469" t="str">
        <f>HYPERLINK("https://us2.cloudbeds.com/connect/8493803454333002#/reservations/9080486846747607?display=3543GZZETR&amp;reservation_id=9080486846747607", "3543GZZETR")</f>
        <v>3543GZZETR</v>
      </c>
      <c r="D6469" t="s">
        <v>45</v>
      </c>
      <c r="E6469" t="s">
        <v>185</v>
      </c>
      <c r="F6469" t="s">
        <v>47</v>
      </c>
      <c r="G6469" t="s">
        <v>48</v>
      </c>
      <c r="H6469" t="s">
        <v>49</v>
      </c>
      <c r="I6469" t="s">
        <v>50</v>
      </c>
      <c r="J6469" t="s">
        <v>7492</v>
      </c>
      <c r="K6469" t="s">
        <v>7493</v>
      </c>
      <c r="L6469" t="s">
        <v>53</v>
      </c>
      <c r="N6469" t="s">
        <v>11618</v>
      </c>
      <c r="P6469" t="s">
        <v>55</v>
      </c>
      <c r="R6469" t="s">
        <v>53</v>
      </c>
      <c r="T6469" t="s">
        <v>11619</v>
      </c>
      <c r="U6469" t="s">
        <v>58</v>
      </c>
      <c r="V6469">
        <v>1</v>
      </c>
      <c r="W6469">
        <v>1</v>
      </c>
      <c r="X6469">
        <v>2</v>
      </c>
      <c r="Y6469">
        <v>0</v>
      </c>
      <c r="Z6469">
        <v>2</v>
      </c>
      <c r="AA6469">
        <v>167.75</v>
      </c>
      <c r="AB6469">
        <v>167.75</v>
      </c>
      <c r="AC6469">
        <v>147.6</v>
      </c>
      <c r="AD6469">
        <v>0</v>
      </c>
      <c r="AE6469">
        <v>20.149999999999999</v>
      </c>
      <c r="AF6469">
        <v>0</v>
      </c>
      <c r="AG6469">
        <v>0</v>
      </c>
      <c r="AH6469">
        <v>0</v>
      </c>
      <c r="AI6469">
        <v>30.2</v>
      </c>
      <c r="AJ6469">
        <v>167.75</v>
      </c>
      <c r="AK6469">
        <v>0</v>
      </c>
      <c r="AL6469" t="s">
        <v>53</v>
      </c>
      <c r="AM6469" t="s">
        <v>53</v>
      </c>
      <c r="AN6469" t="s">
        <v>53</v>
      </c>
      <c r="AO6469" t="s">
        <v>53</v>
      </c>
      <c r="AP6469" t="s">
        <v>53</v>
      </c>
    </row>
    <row r="6470" spans="2:42" x14ac:dyDescent="0.2">
      <c r="B6470" t="s">
        <v>44</v>
      </c>
      <c r="C6470" t="str">
        <f>HYPERLINK("https://us2.cloudbeds.com/connect/8493803454333002#/reservations/9080486846747616?display=3543T2447K&amp;reservation_id=9080486846747616", "3543T2447K")</f>
        <v>3543T2447K</v>
      </c>
      <c r="D6470" t="s">
        <v>45</v>
      </c>
      <c r="E6470" t="s">
        <v>105</v>
      </c>
      <c r="F6470" t="s">
        <v>47</v>
      </c>
      <c r="G6470" t="s">
        <v>48</v>
      </c>
      <c r="H6470" t="s">
        <v>49</v>
      </c>
      <c r="I6470" t="s">
        <v>50</v>
      </c>
      <c r="J6470" t="s">
        <v>7543</v>
      </c>
      <c r="K6470" t="s">
        <v>8047</v>
      </c>
      <c r="L6470" t="s">
        <v>53</v>
      </c>
      <c r="N6470" t="s">
        <v>11620</v>
      </c>
      <c r="P6470" t="s">
        <v>55</v>
      </c>
      <c r="R6470" t="s">
        <v>53</v>
      </c>
      <c r="T6470" t="s">
        <v>11621</v>
      </c>
      <c r="U6470" t="s">
        <v>58</v>
      </c>
      <c r="V6470">
        <v>1</v>
      </c>
      <c r="W6470">
        <v>1</v>
      </c>
      <c r="X6470">
        <v>2</v>
      </c>
      <c r="Y6470">
        <v>0</v>
      </c>
      <c r="Z6470">
        <v>2</v>
      </c>
      <c r="AA6470">
        <v>137.11000000000001</v>
      </c>
      <c r="AB6470">
        <v>137.11000000000001</v>
      </c>
      <c r="AC6470">
        <v>120.65</v>
      </c>
      <c r="AD6470">
        <v>0</v>
      </c>
      <c r="AE6470">
        <v>16.46</v>
      </c>
      <c r="AF6470">
        <v>0</v>
      </c>
      <c r="AG6470">
        <v>0</v>
      </c>
      <c r="AH6470">
        <v>0</v>
      </c>
      <c r="AI6470">
        <v>24.68</v>
      </c>
      <c r="AJ6470">
        <v>137.11000000000001</v>
      </c>
      <c r="AK6470">
        <v>0</v>
      </c>
      <c r="AL6470" t="s">
        <v>53</v>
      </c>
      <c r="AM6470" t="s">
        <v>53</v>
      </c>
      <c r="AN6470" t="s">
        <v>53</v>
      </c>
      <c r="AO6470" t="s">
        <v>53</v>
      </c>
      <c r="AP6470" t="s">
        <v>53</v>
      </c>
    </row>
    <row r="6471" spans="2:42" x14ac:dyDescent="0.2">
      <c r="B6471" t="s">
        <v>44</v>
      </c>
      <c r="C6471" t="str">
        <f>HYPERLINK("https://us2.cloudbeds.com/connect/8493803454333002#/reservations/9080486846749550?display=3565MFFC8B&amp;reservation_id=9080486846749550", "3565MFFC8B")</f>
        <v>3565MFFC8B</v>
      </c>
      <c r="D6471" t="s">
        <v>45</v>
      </c>
      <c r="E6471" t="s">
        <v>46</v>
      </c>
      <c r="F6471" t="s">
        <v>47</v>
      </c>
      <c r="G6471" t="s">
        <v>48</v>
      </c>
      <c r="H6471" t="s">
        <v>49</v>
      </c>
      <c r="I6471" t="s">
        <v>50</v>
      </c>
      <c r="J6471" t="s">
        <v>7294</v>
      </c>
      <c r="K6471" t="s">
        <v>5743</v>
      </c>
      <c r="L6471" t="s">
        <v>53</v>
      </c>
      <c r="N6471" t="s">
        <v>11622</v>
      </c>
      <c r="P6471" t="s">
        <v>55</v>
      </c>
      <c r="R6471" t="s">
        <v>53</v>
      </c>
      <c r="T6471" t="s">
        <v>11623</v>
      </c>
      <c r="U6471" t="s">
        <v>58</v>
      </c>
      <c r="V6471">
        <v>1</v>
      </c>
      <c r="W6471">
        <v>1</v>
      </c>
      <c r="X6471">
        <v>2</v>
      </c>
      <c r="Y6471">
        <v>0</v>
      </c>
      <c r="Z6471">
        <v>2</v>
      </c>
      <c r="AA6471">
        <v>212.75</v>
      </c>
      <c r="AB6471">
        <v>212.75</v>
      </c>
      <c r="AC6471">
        <v>187.2</v>
      </c>
      <c r="AD6471">
        <v>0</v>
      </c>
      <c r="AE6471">
        <v>25.55</v>
      </c>
      <c r="AF6471">
        <v>0</v>
      </c>
      <c r="AG6471">
        <v>0</v>
      </c>
      <c r="AH6471">
        <v>0</v>
      </c>
      <c r="AI6471">
        <v>38.299999999999997</v>
      </c>
      <c r="AJ6471">
        <v>212.75</v>
      </c>
      <c r="AK6471">
        <v>0</v>
      </c>
      <c r="AL6471" t="s">
        <v>53</v>
      </c>
      <c r="AM6471" t="s">
        <v>53</v>
      </c>
      <c r="AN6471" t="s">
        <v>53</v>
      </c>
      <c r="AO6471" t="s">
        <v>53</v>
      </c>
      <c r="AP6471" t="s">
        <v>53</v>
      </c>
    </row>
    <row r="6472" spans="2:42" x14ac:dyDescent="0.2">
      <c r="B6472" t="s">
        <v>44</v>
      </c>
      <c r="C6472" t="str">
        <f>HYPERLINK("https://us2.cloudbeds.com/connect/8493803454333002#/reservations/9080486846749800?display=356GHD9PWB&amp;reservation_id=9080486846749800", "356GHD9PWB")</f>
        <v>356GHD9PWB</v>
      </c>
      <c r="D6472" t="s">
        <v>45</v>
      </c>
      <c r="E6472" t="s">
        <v>179</v>
      </c>
      <c r="F6472" t="s">
        <v>47</v>
      </c>
      <c r="G6472" t="s">
        <v>48</v>
      </c>
      <c r="H6472" t="s">
        <v>49</v>
      </c>
      <c r="I6472" t="s">
        <v>11624</v>
      </c>
      <c r="J6472" t="s">
        <v>5744</v>
      </c>
      <c r="K6472" t="s">
        <v>9725</v>
      </c>
      <c r="L6472" t="s">
        <v>53</v>
      </c>
      <c r="N6472" t="s">
        <v>11625</v>
      </c>
      <c r="P6472" t="s">
        <v>55</v>
      </c>
      <c r="R6472" t="s">
        <v>56</v>
      </c>
      <c r="T6472" t="s">
        <v>11626</v>
      </c>
      <c r="U6472" t="s">
        <v>58</v>
      </c>
      <c r="V6472">
        <v>1</v>
      </c>
      <c r="W6472">
        <v>1</v>
      </c>
      <c r="X6472">
        <v>2</v>
      </c>
      <c r="Y6472">
        <v>0</v>
      </c>
      <c r="Z6472">
        <v>2</v>
      </c>
      <c r="AA6472">
        <v>0</v>
      </c>
      <c r="AB6472">
        <v>217.01</v>
      </c>
      <c r="AC6472">
        <v>190.95</v>
      </c>
      <c r="AD6472">
        <v>0</v>
      </c>
      <c r="AE6472">
        <v>26.06</v>
      </c>
      <c r="AF6472">
        <v>0</v>
      </c>
      <c r="AG6472">
        <v>0</v>
      </c>
      <c r="AH6472">
        <v>0</v>
      </c>
      <c r="AI6472">
        <v>17.36</v>
      </c>
      <c r="AJ6472">
        <v>217.01</v>
      </c>
      <c r="AK6472">
        <v>0</v>
      </c>
      <c r="AL6472" t="s">
        <v>53</v>
      </c>
      <c r="AM6472" t="s">
        <v>53</v>
      </c>
      <c r="AN6472" t="s">
        <v>53</v>
      </c>
      <c r="AO6472" t="s">
        <v>53</v>
      </c>
      <c r="AP6472" t="s">
        <v>53</v>
      </c>
    </row>
    <row r="6473" spans="2:42" x14ac:dyDescent="0.2">
      <c r="B6473" t="s">
        <v>44</v>
      </c>
      <c r="C6473" t="str">
        <f>HYPERLINK("https://us2.cloudbeds.com/connect/8493803454333002#/reservations/146547170898128?display=356JAT8H4A&amp;reservation_id=146547170898128", "356JAT8H4A")</f>
        <v>356JAT8H4A</v>
      </c>
      <c r="D6473" t="s">
        <v>45</v>
      </c>
      <c r="E6473" t="s">
        <v>190</v>
      </c>
      <c r="F6473" t="s">
        <v>61</v>
      </c>
      <c r="G6473" t="s">
        <v>48</v>
      </c>
      <c r="H6473" t="s">
        <v>3957</v>
      </c>
      <c r="I6473" t="s">
        <v>3975</v>
      </c>
      <c r="J6473" t="s">
        <v>11627</v>
      </c>
      <c r="K6473" t="s">
        <v>11628</v>
      </c>
      <c r="L6473" t="s">
        <v>53</v>
      </c>
      <c r="P6473" t="s">
        <v>55</v>
      </c>
      <c r="R6473" t="s">
        <v>56</v>
      </c>
      <c r="T6473" t="s">
        <v>11629</v>
      </c>
      <c r="U6473" t="s">
        <v>58</v>
      </c>
      <c r="V6473">
        <v>1</v>
      </c>
      <c r="W6473">
        <v>1</v>
      </c>
      <c r="X6473">
        <v>2</v>
      </c>
      <c r="Y6473">
        <v>0</v>
      </c>
      <c r="Z6473">
        <v>2</v>
      </c>
      <c r="AA6473">
        <v>194.91</v>
      </c>
      <c r="AB6473">
        <v>193.21</v>
      </c>
      <c r="AC6473">
        <v>168.3</v>
      </c>
      <c r="AD6473">
        <v>0</v>
      </c>
      <c r="AE6473">
        <v>24.91</v>
      </c>
      <c r="AF6473">
        <v>0</v>
      </c>
      <c r="AG6473">
        <v>0</v>
      </c>
      <c r="AH6473">
        <v>0</v>
      </c>
      <c r="AI6473">
        <v>0</v>
      </c>
      <c r="AJ6473">
        <v>193.21</v>
      </c>
      <c r="AK6473">
        <v>0</v>
      </c>
      <c r="AL6473" t="s">
        <v>53</v>
      </c>
      <c r="AM6473" t="s">
        <v>53</v>
      </c>
      <c r="AN6473" t="s">
        <v>11630</v>
      </c>
      <c r="AO6473" t="s">
        <v>53</v>
      </c>
      <c r="AP6473" t="s">
        <v>53</v>
      </c>
    </row>
    <row r="6474" spans="2:42" x14ac:dyDescent="0.2">
      <c r="B6474" t="s">
        <v>44</v>
      </c>
      <c r="C6474" t="str">
        <f>HYPERLINK("https://us2.cloudbeds.com/connect/8493803454333002#/reservations/146547991527617?display=356JVS7ZXJ&amp;reservation_id=146547991527617", "356JVS7ZXJ")</f>
        <v>356JVS7ZXJ</v>
      </c>
      <c r="D6474" t="s">
        <v>45</v>
      </c>
      <c r="E6474" t="s">
        <v>105</v>
      </c>
      <c r="F6474" t="s">
        <v>47</v>
      </c>
      <c r="G6474" t="s">
        <v>48</v>
      </c>
      <c r="H6474" t="s">
        <v>3957</v>
      </c>
      <c r="I6474" t="s">
        <v>3975</v>
      </c>
      <c r="J6474" t="s">
        <v>11627</v>
      </c>
      <c r="K6474" t="s">
        <v>11628</v>
      </c>
      <c r="L6474" t="s">
        <v>53</v>
      </c>
      <c r="P6474" t="s">
        <v>55</v>
      </c>
      <c r="R6474" t="s">
        <v>56</v>
      </c>
      <c r="T6474" t="s">
        <v>11631</v>
      </c>
      <c r="U6474" t="s">
        <v>58</v>
      </c>
      <c r="V6474">
        <v>1</v>
      </c>
      <c r="W6474">
        <v>1</v>
      </c>
      <c r="X6474">
        <v>2</v>
      </c>
      <c r="Y6474">
        <v>0</v>
      </c>
      <c r="Z6474">
        <v>2</v>
      </c>
      <c r="AA6474">
        <v>159.37</v>
      </c>
      <c r="AB6474">
        <v>159.37</v>
      </c>
      <c r="AC6474">
        <v>139</v>
      </c>
      <c r="AD6474">
        <v>2.5</v>
      </c>
      <c r="AE6474">
        <v>20.61</v>
      </c>
      <c r="AF6474">
        <v>0</v>
      </c>
      <c r="AG6474">
        <v>0</v>
      </c>
      <c r="AH6474">
        <v>0</v>
      </c>
      <c r="AI6474">
        <v>0</v>
      </c>
      <c r="AJ6474">
        <v>162.11000000000001</v>
      </c>
      <c r="AK6474">
        <v>2.74</v>
      </c>
      <c r="AL6474" t="s">
        <v>53</v>
      </c>
      <c r="AM6474" t="s">
        <v>53</v>
      </c>
      <c r="AN6474" t="s">
        <v>53</v>
      </c>
      <c r="AO6474" t="s">
        <v>53</v>
      </c>
      <c r="AP6474" t="s">
        <v>53</v>
      </c>
    </row>
    <row r="6475" spans="2:42" x14ac:dyDescent="0.2">
      <c r="B6475" t="s">
        <v>44</v>
      </c>
      <c r="C6475" t="str">
        <f>HYPERLINK("https://us2.cloudbeds.com/connect/8493803454333002#/reservations/9080486846750516?display=357FE511M5&amp;reservation_id=9080486846750516", "357FE511M5")</f>
        <v>357FE511M5</v>
      </c>
      <c r="D6475" t="s">
        <v>45</v>
      </c>
      <c r="E6475" t="s">
        <v>487</v>
      </c>
      <c r="F6475" t="s">
        <v>61</v>
      </c>
      <c r="G6475" t="s">
        <v>48</v>
      </c>
      <c r="H6475" t="s">
        <v>49</v>
      </c>
      <c r="I6475" t="s">
        <v>50</v>
      </c>
      <c r="J6475" t="s">
        <v>6345</v>
      </c>
      <c r="K6475" t="s">
        <v>8678</v>
      </c>
      <c r="L6475" t="s">
        <v>53</v>
      </c>
      <c r="N6475" t="s">
        <v>11632</v>
      </c>
      <c r="P6475" t="s">
        <v>55</v>
      </c>
      <c r="R6475" t="s">
        <v>53</v>
      </c>
      <c r="T6475" t="s">
        <v>11633</v>
      </c>
      <c r="U6475" t="s">
        <v>58</v>
      </c>
      <c r="V6475">
        <v>1</v>
      </c>
      <c r="W6475">
        <v>1</v>
      </c>
      <c r="X6475">
        <v>2</v>
      </c>
      <c r="Y6475">
        <v>0</v>
      </c>
      <c r="Z6475">
        <v>2</v>
      </c>
      <c r="AA6475">
        <v>196.39</v>
      </c>
      <c r="AB6475">
        <v>196.39</v>
      </c>
      <c r="AC6475">
        <v>172.8</v>
      </c>
      <c r="AD6475">
        <v>0</v>
      </c>
      <c r="AE6475">
        <v>23.59</v>
      </c>
      <c r="AF6475">
        <v>0</v>
      </c>
      <c r="AG6475">
        <v>0</v>
      </c>
      <c r="AH6475">
        <v>0</v>
      </c>
      <c r="AI6475">
        <v>35.35</v>
      </c>
      <c r="AJ6475">
        <v>196.39</v>
      </c>
      <c r="AK6475">
        <v>0</v>
      </c>
      <c r="AL6475" t="s">
        <v>53</v>
      </c>
      <c r="AM6475" t="s">
        <v>53</v>
      </c>
      <c r="AN6475" t="s">
        <v>53</v>
      </c>
      <c r="AO6475" t="s">
        <v>53</v>
      </c>
      <c r="AP6475" t="s">
        <v>53</v>
      </c>
    </row>
    <row r="6476" spans="2:42" x14ac:dyDescent="0.2">
      <c r="B6476" t="s">
        <v>44</v>
      </c>
      <c r="C6476" t="str">
        <f>HYPERLINK("https://us2.cloudbeds.com/connect/8493803454333002#/reservations/9080486846753675?display=35BMQ47F8E&amp;reservation_id=9080486846753675", "35BMQ47F8E")</f>
        <v>35BMQ47F8E</v>
      </c>
      <c r="D6476" t="s">
        <v>45</v>
      </c>
      <c r="E6476" t="s">
        <v>190</v>
      </c>
      <c r="F6476" t="s">
        <v>61</v>
      </c>
      <c r="G6476" t="s">
        <v>48</v>
      </c>
      <c r="H6476" t="s">
        <v>49</v>
      </c>
      <c r="I6476" t="s">
        <v>8964</v>
      </c>
      <c r="J6476" t="s">
        <v>8818</v>
      </c>
      <c r="K6476" t="s">
        <v>7439</v>
      </c>
      <c r="L6476" t="s">
        <v>53</v>
      </c>
      <c r="N6476" t="s">
        <v>11634</v>
      </c>
      <c r="P6476" t="s">
        <v>55</v>
      </c>
      <c r="R6476" t="s">
        <v>53</v>
      </c>
      <c r="T6476" t="s">
        <v>11635</v>
      </c>
      <c r="U6476" t="s">
        <v>55</v>
      </c>
      <c r="V6476">
        <v>1</v>
      </c>
      <c r="W6476">
        <v>1</v>
      </c>
      <c r="X6476">
        <v>2</v>
      </c>
      <c r="Y6476">
        <v>0</v>
      </c>
      <c r="Z6476">
        <v>2</v>
      </c>
      <c r="AA6476">
        <v>166</v>
      </c>
      <c r="AB6476">
        <v>0</v>
      </c>
      <c r="AC6476">
        <v>166</v>
      </c>
      <c r="AD6476">
        <v>0</v>
      </c>
      <c r="AE6476">
        <v>0</v>
      </c>
      <c r="AF6476">
        <v>0</v>
      </c>
      <c r="AG6476">
        <v>0</v>
      </c>
      <c r="AH6476">
        <v>0</v>
      </c>
      <c r="AI6476">
        <v>24.9</v>
      </c>
      <c r="AJ6476">
        <v>166</v>
      </c>
      <c r="AK6476">
        <v>166</v>
      </c>
      <c r="AL6476" t="s">
        <v>53</v>
      </c>
      <c r="AM6476" t="s">
        <v>53</v>
      </c>
      <c r="AN6476" t="s">
        <v>53</v>
      </c>
      <c r="AO6476" t="s">
        <v>53</v>
      </c>
      <c r="AP6476" t="s">
        <v>53</v>
      </c>
    </row>
    <row r="6477" spans="2:42" x14ac:dyDescent="0.2">
      <c r="B6477" t="s">
        <v>44</v>
      </c>
      <c r="C6477" t="str">
        <f>HYPERLINK("https://us2.cloudbeds.com/connect/8493803454333002#/reservations/9080486846754480?display=35CHHB8BKQ&amp;reservation_id=9080486846754480", "35CHHB8BKQ")</f>
        <v>35CHHB8BKQ</v>
      </c>
      <c r="D6477" t="s">
        <v>45</v>
      </c>
      <c r="E6477" t="s">
        <v>487</v>
      </c>
      <c r="F6477" t="s">
        <v>61</v>
      </c>
      <c r="G6477" t="s">
        <v>48</v>
      </c>
      <c r="H6477" t="s">
        <v>49</v>
      </c>
      <c r="I6477" t="s">
        <v>50</v>
      </c>
      <c r="J6477" t="s">
        <v>11636</v>
      </c>
      <c r="K6477" t="s">
        <v>8021</v>
      </c>
      <c r="L6477" t="s">
        <v>53</v>
      </c>
      <c r="N6477" t="s">
        <v>11637</v>
      </c>
      <c r="P6477" t="s">
        <v>55</v>
      </c>
      <c r="R6477" t="s">
        <v>53</v>
      </c>
      <c r="T6477" t="s">
        <v>11638</v>
      </c>
      <c r="U6477" t="s">
        <v>58</v>
      </c>
      <c r="V6477">
        <v>1</v>
      </c>
      <c r="W6477">
        <v>1</v>
      </c>
      <c r="X6477">
        <v>2</v>
      </c>
      <c r="Y6477">
        <v>0</v>
      </c>
      <c r="Z6477">
        <v>2</v>
      </c>
      <c r="AA6477">
        <v>204.57</v>
      </c>
      <c r="AB6477">
        <v>204.57</v>
      </c>
      <c r="AC6477">
        <v>180</v>
      </c>
      <c r="AD6477">
        <v>0</v>
      </c>
      <c r="AE6477">
        <v>24.57</v>
      </c>
      <c r="AF6477">
        <v>0</v>
      </c>
      <c r="AG6477">
        <v>0</v>
      </c>
      <c r="AH6477">
        <v>0</v>
      </c>
      <c r="AI6477">
        <v>36.82</v>
      </c>
      <c r="AJ6477">
        <v>204.57</v>
      </c>
      <c r="AK6477">
        <v>0</v>
      </c>
      <c r="AL6477" t="s">
        <v>53</v>
      </c>
      <c r="AM6477" t="s">
        <v>53</v>
      </c>
      <c r="AN6477" t="s">
        <v>53</v>
      </c>
      <c r="AO6477" t="s">
        <v>53</v>
      </c>
      <c r="AP6477" t="s">
        <v>53</v>
      </c>
    </row>
    <row r="6478" spans="2:42" x14ac:dyDescent="0.2">
      <c r="B6478" t="s">
        <v>44</v>
      </c>
      <c r="C6478" t="str">
        <f>HYPERLINK("https://us2.cloudbeds.com/connect/8493803454333002#/reservations/9080486846754639?display=35CM8CCNT1&amp;reservation_id=9080486846754639", "35CM8CCNT1")</f>
        <v>35CM8CCNT1</v>
      </c>
      <c r="D6478" t="s">
        <v>45</v>
      </c>
      <c r="E6478" t="s">
        <v>128</v>
      </c>
      <c r="F6478" t="s">
        <v>86</v>
      </c>
      <c r="G6478" t="s">
        <v>48</v>
      </c>
      <c r="H6478" t="s">
        <v>49</v>
      </c>
      <c r="I6478" t="s">
        <v>50</v>
      </c>
      <c r="J6478" t="s">
        <v>8819</v>
      </c>
      <c r="K6478" t="s">
        <v>9858</v>
      </c>
      <c r="L6478" t="s">
        <v>53</v>
      </c>
      <c r="N6478" t="s">
        <v>11639</v>
      </c>
      <c r="P6478" t="s">
        <v>55</v>
      </c>
      <c r="R6478" t="s">
        <v>53</v>
      </c>
      <c r="T6478" t="s">
        <v>11640</v>
      </c>
      <c r="U6478" t="s">
        <v>58</v>
      </c>
      <c r="V6478">
        <v>1</v>
      </c>
      <c r="W6478">
        <v>1</v>
      </c>
      <c r="X6478">
        <v>2</v>
      </c>
      <c r="Y6478">
        <v>0</v>
      </c>
      <c r="Z6478">
        <v>2</v>
      </c>
      <c r="AA6478">
        <v>134.61000000000001</v>
      </c>
      <c r="AB6478">
        <v>134.61000000000001</v>
      </c>
      <c r="AC6478">
        <v>118.44</v>
      </c>
      <c r="AD6478">
        <v>0</v>
      </c>
      <c r="AE6478">
        <v>16.170000000000002</v>
      </c>
      <c r="AF6478">
        <v>0</v>
      </c>
      <c r="AG6478">
        <v>0</v>
      </c>
      <c r="AH6478">
        <v>0</v>
      </c>
      <c r="AI6478">
        <v>24.23</v>
      </c>
      <c r="AJ6478">
        <v>134.61000000000001</v>
      </c>
      <c r="AK6478">
        <v>0</v>
      </c>
      <c r="AL6478" t="s">
        <v>53</v>
      </c>
      <c r="AM6478" t="s">
        <v>53</v>
      </c>
      <c r="AN6478" t="s">
        <v>53</v>
      </c>
      <c r="AO6478" t="s">
        <v>53</v>
      </c>
      <c r="AP6478" t="s">
        <v>53</v>
      </c>
    </row>
    <row r="6479" spans="2:42" x14ac:dyDescent="0.2">
      <c r="B6479" t="s">
        <v>44</v>
      </c>
      <c r="C6479" t="str">
        <f>HYPERLINK("https://us2.cloudbeds.com/connect/8493803454333002#/reservations/9080486846755125?display=35D79CPKB4&amp;reservation_id=9080486846755125", "35D79CPKB4")</f>
        <v>35D79CPKB4</v>
      </c>
      <c r="D6479" t="s">
        <v>45</v>
      </c>
      <c r="E6479" t="s">
        <v>373</v>
      </c>
      <c r="F6479" t="s">
        <v>47</v>
      </c>
      <c r="G6479" t="s">
        <v>48</v>
      </c>
      <c r="H6479" t="s">
        <v>49</v>
      </c>
      <c r="I6479" t="s">
        <v>8964</v>
      </c>
      <c r="J6479" t="s">
        <v>6345</v>
      </c>
      <c r="K6479" t="s">
        <v>9687</v>
      </c>
      <c r="L6479" t="s">
        <v>53</v>
      </c>
      <c r="N6479" t="s">
        <v>11641</v>
      </c>
      <c r="P6479" t="s">
        <v>55</v>
      </c>
      <c r="R6479" t="s">
        <v>53</v>
      </c>
      <c r="T6479" t="s">
        <v>11642</v>
      </c>
      <c r="U6479" t="s">
        <v>55</v>
      </c>
      <c r="V6479">
        <v>2</v>
      </c>
      <c r="W6479">
        <v>1</v>
      </c>
      <c r="X6479">
        <v>2</v>
      </c>
      <c r="Y6479">
        <v>0</v>
      </c>
      <c r="Z6479">
        <v>2</v>
      </c>
      <c r="AA6479">
        <v>0</v>
      </c>
      <c r="AB6479">
        <v>0</v>
      </c>
      <c r="AC6479">
        <v>424</v>
      </c>
      <c r="AD6479">
        <v>0</v>
      </c>
      <c r="AE6479">
        <v>0</v>
      </c>
      <c r="AF6479">
        <v>0</v>
      </c>
      <c r="AG6479">
        <v>0</v>
      </c>
      <c r="AH6479">
        <v>0</v>
      </c>
      <c r="AI6479">
        <v>63.6</v>
      </c>
      <c r="AJ6479">
        <v>424</v>
      </c>
      <c r="AK6479">
        <v>424</v>
      </c>
      <c r="AL6479" t="s">
        <v>53</v>
      </c>
      <c r="AM6479" t="s">
        <v>53</v>
      </c>
      <c r="AN6479" t="s">
        <v>53</v>
      </c>
      <c r="AO6479" t="s">
        <v>53</v>
      </c>
      <c r="AP6479" t="s">
        <v>53</v>
      </c>
    </row>
    <row r="6480" spans="2:42" x14ac:dyDescent="0.2">
      <c r="B6480" t="s">
        <v>44</v>
      </c>
      <c r="C6480" t="str">
        <f>HYPERLINK("https://us2.cloudbeds.com/connect/8493803454333002#/reservations/9080486846756080?display=35E9RYM50S&amp;reservation_id=9080486846756080", "35E9RYM50S")</f>
        <v>35E9RYM50S</v>
      </c>
      <c r="D6480" t="s">
        <v>45</v>
      </c>
      <c r="E6480" t="s">
        <v>381</v>
      </c>
      <c r="F6480" t="s">
        <v>47</v>
      </c>
      <c r="G6480" t="s">
        <v>48</v>
      </c>
      <c r="H6480" t="s">
        <v>49</v>
      </c>
      <c r="I6480" t="s">
        <v>11624</v>
      </c>
      <c r="J6480" t="s">
        <v>8678</v>
      </c>
      <c r="K6480" t="s">
        <v>9688</v>
      </c>
      <c r="L6480" t="s">
        <v>53</v>
      </c>
      <c r="N6480" t="s">
        <v>11643</v>
      </c>
      <c r="P6480" t="s">
        <v>55</v>
      </c>
      <c r="R6480" t="s">
        <v>56</v>
      </c>
      <c r="T6480" t="s">
        <v>11644</v>
      </c>
      <c r="U6480" t="s">
        <v>58</v>
      </c>
      <c r="V6480">
        <v>2</v>
      </c>
      <c r="W6480">
        <v>1</v>
      </c>
      <c r="X6480">
        <v>2</v>
      </c>
      <c r="Y6480">
        <v>0</v>
      </c>
      <c r="Z6480">
        <v>2</v>
      </c>
      <c r="AA6480">
        <v>0</v>
      </c>
      <c r="AB6480">
        <v>476.13</v>
      </c>
      <c r="AC6480">
        <v>418.95</v>
      </c>
      <c r="AD6480">
        <v>0</v>
      </c>
      <c r="AE6480">
        <v>57.18</v>
      </c>
      <c r="AF6480">
        <v>0</v>
      </c>
      <c r="AG6480">
        <v>0</v>
      </c>
      <c r="AH6480">
        <v>0</v>
      </c>
      <c r="AI6480">
        <v>38.090000000000003</v>
      </c>
      <c r="AJ6480">
        <v>476.13</v>
      </c>
      <c r="AK6480">
        <v>0</v>
      </c>
      <c r="AL6480" t="s">
        <v>53</v>
      </c>
      <c r="AM6480" t="s">
        <v>53</v>
      </c>
      <c r="AN6480" t="s">
        <v>53</v>
      </c>
      <c r="AO6480" t="s">
        <v>53</v>
      </c>
      <c r="AP6480" t="s">
        <v>53</v>
      </c>
    </row>
    <row r="6481" spans="2:42" x14ac:dyDescent="0.2">
      <c r="B6481" t="s">
        <v>44</v>
      </c>
      <c r="C6481" t="str">
        <f>HYPERLINK("https://us2.cloudbeds.com/connect/8493803454333002#/reservations/146884590301368?display=35EGJZ7QKH&amp;reservation_id=146884590301368", "35EGJZ7QKH")</f>
        <v>35EGJZ7QKH</v>
      </c>
      <c r="D6481" t="s">
        <v>45</v>
      </c>
      <c r="E6481" t="s">
        <v>373</v>
      </c>
      <c r="F6481" t="s">
        <v>47</v>
      </c>
      <c r="G6481" t="s">
        <v>48</v>
      </c>
      <c r="H6481" t="s">
        <v>3957</v>
      </c>
      <c r="I6481" t="s">
        <v>3975</v>
      </c>
      <c r="J6481" t="s">
        <v>7294</v>
      </c>
      <c r="K6481" t="s">
        <v>5743</v>
      </c>
      <c r="L6481" t="s">
        <v>53</v>
      </c>
      <c r="P6481" t="s">
        <v>55</v>
      </c>
      <c r="R6481" t="s">
        <v>56</v>
      </c>
      <c r="T6481" t="s">
        <v>11645</v>
      </c>
      <c r="U6481" t="s">
        <v>58</v>
      </c>
      <c r="V6481">
        <v>1</v>
      </c>
      <c r="W6481">
        <v>1</v>
      </c>
      <c r="X6481">
        <v>2</v>
      </c>
      <c r="Y6481">
        <v>0</v>
      </c>
      <c r="Z6481">
        <v>2</v>
      </c>
      <c r="AA6481">
        <v>358.01</v>
      </c>
      <c r="AB6481">
        <v>358.01</v>
      </c>
      <c r="AC6481">
        <v>315</v>
      </c>
      <c r="AD6481">
        <v>0</v>
      </c>
      <c r="AE6481">
        <v>43.01</v>
      </c>
      <c r="AF6481">
        <v>0</v>
      </c>
      <c r="AG6481">
        <v>0</v>
      </c>
      <c r="AH6481">
        <v>0</v>
      </c>
      <c r="AI6481">
        <v>0</v>
      </c>
      <c r="AJ6481">
        <v>358.01</v>
      </c>
      <c r="AK6481">
        <v>0</v>
      </c>
      <c r="AL6481" t="s">
        <v>53</v>
      </c>
      <c r="AM6481" t="s">
        <v>53</v>
      </c>
      <c r="AN6481" t="s">
        <v>53</v>
      </c>
      <c r="AO6481" t="s">
        <v>53</v>
      </c>
      <c r="AP6481" t="s">
        <v>53</v>
      </c>
    </row>
    <row r="6482" spans="2:42" x14ac:dyDescent="0.2">
      <c r="B6482" t="s">
        <v>44</v>
      </c>
      <c r="C6482" t="str">
        <f>HYPERLINK("https://us2.cloudbeds.com/connect/8493803454333002#/reservations/9080486846756250?display=35EX3X2JE0&amp;reservation_id=9080486846756250", "35EX3X2JE0")</f>
        <v>35EX3X2JE0</v>
      </c>
      <c r="D6482" t="s">
        <v>45</v>
      </c>
      <c r="E6482" t="s">
        <v>487</v>
      </c>
      <c r="F6482" t="s">
        <v>61</v>
      </c>
      <c r="G6482" t="s">
        <v>7801</v>
      </c>
      <c r="H6482" t="s">
        <v>49</v>
      </c>
      <c r="I6482" t="s">
        <v>50</v>
      </c>
      <c r="J6482" t="s">
        <v>7294</v>
      </c>
      <c r="K6482" t="s">
        <v>5743</v>
      </c>
      <c r="L6482" t="s">
        <v>53</v>
      </c>
      <c r="N6482" t="s">
        <v>11646</v>
      </c>
      <c r="P6482" t="s">
        <v>55</v>
      </c>
      <c r="R6482" t="s">
        <v>53</v>
      </c>
      <c r="T6482" t="s">
        <v>11647</v>
      </c>
      <c r="U6482" t="s">
        <v>58</v>
      </c>
      <c r="V6482">
        <v>1</v>
      </c>
      <c r="W6482">
        <v>1</v>
      </c>
      <c r="X6482">
        <v>1</v>
      </c>
      <c r="Y6482">
        <v>0</v>
      </c>
      <c r="Z6482">
        <v>1</v>
      </c>
      <c r="AA6482">
        <v>331.41</v>
      </c>
      <c r="AB6482">
        <v>304.3</v>
      </c>
      <c r="AC6482">
        <v>264.49</v>
      </c>
      <c r="AD6482">
        <v>0</v>
      </c>
      <c r="AE6482">
        <v>39.81</v>
      </c>
      <c r="AF6482">
        <v>0</v>
      </c>
      <c r="AG6482">
        <v>0</v>
      </c>
      <c r="AH6482">
        <v>0</v>
      </c>
      <c r="AI6482">
        <v>54.77</v>
      </c>
      <c r="AJ6482">
        <v>304.3</v>
      </c>
      <c r="AK6482">
        <v>0</v>
      </c>
      <c r="AL6482" t="s">
        <v>53</v>
      </c>
      <c r="AM6482" t="s">
        <v>53</v>
      </c>
      <c r="AN6482" t="s">
        <v>53</v>
      </c>
      <c r="AO6482" t="s">
        <v>53</v>
      </c>
      <c r="AP6482" t="s">
        <v>53</v>
      </c>
    </row>
    <row r="6483" spans="2:42" x14ac:dyDescent="0.2">
      <c r="B6483" t="s">
        <v>44</v>
      </c>
      <c r="C6483" t="str">
        <f>HYPERLINK("https://us2.cloudbeds.com/connect/8493803454333002#/reservations/9080486846757321?display=35G8FW156K&amp;reservation_id=9080486846757321", "35G8FW156K")</f>
        <v>35G8FW156K</v>
      </c>
      <c r="D6483" t="s">
        <v>45</v>
      </c>
      <c r="E6483" t="s">
        <v>406</v>
      </c>
      <c r="F6483" t="s">
        <v>61</v>
      </c>
      <c r="G6483" t="s">
        <v>48</v>
      </c>
      <c r="H6483" t="s">
        <v>49</v>
      </c>
      <c r="I6483" t="s">
        <v>50</v>
      </c>
      <c r="J6483" t="s">
        <v>7439</v>
      </c>
      <c r="K6483" t="s">
        <v>8021</v>
      </c>
      <c r="L6483" t="s">
        <v>53</v>
      </c>
      <c r="N6483" t="s">
        <v>11648</v>
      </c>
      <c r="P6483" t="s">
        <v>55</v>
      </c>
      <c r="R6483" t="s">
        <v>53</v>
      </c>
      <c r="T6483" t="s">
        <v>11649</v>
      </c>
      <c r="U6483" t="s">
        <v>58</v>
      </c>
      <c r="V6483">
        <v>2</v>
      </c>
      <c r="W6483">
        <v>1</v>
      </c>
      <c r="X6483">
        <v>2</v>
      </c>
      <c r="Y6483">
        <v>0</v>
      </c>
      <c r="Z6483">
        <v>2</v>
      </c>
      <c r="AA6483">
        <v>308.35000000000002</v>
      </c>
      <c r="AB6483">
        <v>308.35000000000002</v>
      </c>
      <c r="AC6483">
        <v>271.32</v>
      </c>
      <c r="AD6483">
        <v>0</v>
      </c>
      <c r="AE6483">
        <v>37.03</v>
      </c>
      <c r="AF6483">
        <v>0</v>
      </c>
      <c r="AG6483">
        <v>0</v>
      </c>
      <c r="AH6483">
        <v>0</v>
      </c>
      <c r="AI6483">
        <v>55.5</v>
      </c>
      <c r="AJ6483">
        <v>308.35000000000002</v>
      </c>
      <c r="AK6483">
        <v>0</v>
      </c>
      <c r="AL6483" t="s">
        <v>53</v>
      </c>
      <c r="AM6483" t="s">
        <v>53</v>
      </c>
      <c r="AN6483" t="s">
        <v>53</v>
      </c>
      <c r="AO6483" t="s">
        <v>53</v>
      </c>
      <c r="AP6483" t="s">
        <v>53</v>
      </c>
    </row>
    <row r="6484" spans="2:42" x14ac:dyDescent="0.2">
      <c r="B6484" t="s">
        <v>44</v>
      </c>
      <c r="C6484" t="str">
        <f>HYPERLINK("https://us2.cloudbeds.com/connect/8493803454333002#/reservations/147103489798372?display=35JY342WZX&amp;reservation_id=147103489798372", "35JY342WZX")</f>
        <v>35JY342WZX</v>
      </c>
      <c r="D6484" t="s">
        <v>45</v>
      </c>
      <c r="E6484" t="s">
        <v>11650</v>
      </c>
      <c r="F6484" t="s">
        <v>4628</v>
      </c>
      <c r="G6484" t="s">
        <v>48</v>
      </c>
      <c r="H6484" t="s">
        <v>3957</v>
      </c>
      <c r="I6484" t="s">
        <v>3975</v>
      </c>
      <c r="J6484" t="s">
        <v>11651</v>
      </c>
      <c r="K6484" t="s">
        <v>11652</v>
      </c>
      <c r="L6484" t="s">
        <v>53</v>
      </c>
      <c r="P6484" t="s">
        <v>55</v>
      </c>
      <c r="R6484" t="s">
        <v>56</v>
      </c>
      <c r="T6484" t="s">
        <v>11653</v>
      </c>
      <c r="U6484" t="s">
        <v>58</v>
      </c>
      <c r="V6484">
        <v>2</v>
      </c>
      <c r="W6484">
        <v>2</v>
      </c>
      <c r="X6484">
        <v>4</v>
      </c>
      <c r="Y6484">
        <v>2</v>
      </c>
      <c r="Z6484">
        <v>6</v>
      </c>
      <c r="AA6484">
        <v>646.67999999999995</v>
      </c>
      <c r="AB6484">
        <v>652.37</v>
      </c>
      <c r="AC6484">
        <v>569</v>
      </c>
      <c r="AD6484">
        <v>0</v>
      </c>
      <c r="AE6484">
        <v>83.37</v>
      </c>
      <c r="AF6484">
        <v>0</v>
      </c>
      <c r="AG6484">
        <v>0</v>
      </c>
      <c r="AH6484">
        <v>0</v>
      </c>
      <c r="AI6484">
        <v>0</v>
      </c>
      <c r="AJ6484">
        <v>652.37</v>
      </c>
      <c r="AK6484">
        <v>0</v>
      </c>
      <c r="AL6484" t="s">
        <v>53</v>
      </c>
      <c r="AM6484" t="s">
        <v>53</v>
      </c>
      <c r="AN6484" t="s">
        <v>53</v>
      </c>
      <c r="AO6484" t="s">
        <v>53</v>
      </c>
      <c r="AP6484" t="s">
        <v>53</v>
      </c>
    </row>
    <row r="6485" spans="2:42" x14ac:dyDescent="0.2">
      <c r="B6485" t="s">
        <v>44</v>
      </c>
      <c r="C6485" t="str">
        <f>HYPERLINK("https://us2.cloudbeds.com/connect/8493803454333002#/reservations/9080486846760627?display=35KXMKTBSX&amp;reservation_id=9080486846760627", "35KXMKTBSX")</f>
        <v>35KXMKTBSX</v>
      </c>
      <c r="D6485" t="s">
        <v>45</v>
      </c>
      <c r="E6485" t="s">
        <v>155</v>
      </c>
      <c r="F6485" t="s">
        <v>86</v>
      </c>
      <c r="G6485" t="s">
        <v>48</v>
      </c>
      <c r="H6485" t="s">
        <v>49</v>
      </c>
      <c r="I6485" t="s">
        <v>8964</v>
      </c>
      <c r="J6485" t="s">
        <v>5743</v>
      </c>
      <c r="K6485" t="s">
        <v>7931</v>
      </c>
      <c r="L6485" t="s">
        <v>53</v>
      </c>
      <c r="N6485" t="s">
        <v>11654</v>
      </c>
      <c r="P6485" t="s">
        <v>55</v>
      </c>
      <c r="R6485" t="s">
        <v>53</v>
      </c>
      <c r="T6485" t="s">
        <v>11655</v>
      </c>
      <c r="U6485" t="s">
        <v>55</v>
      </c>
      <c r="V6485">
        <v>1</v>
      </c>
      <c r="W6485">
        <v>1</v>
      </c>
      <c r="X6485">
        <v>2</v>
      </c>
      <c r="Y6485">
        <v>1</v>
      </c>
      <c r="Z6485">
        <v>3</v>
      </c>
      <c r="AA6485">
        <v>0</v>
      </c>
      <c r="AB6485">
        <v>0</v>
      </c>
      <c r="AC6485">
        <v>339</v>
      </c>
      <c r="AD6485">
        <v>0</v>
      </c>
      <c r="AE6485">
        <v>0</v>
      </c>
      <c r="AF6485">
        <v>0</v>
      </c>
      <c r="AG6485">
        <v>0</v>
      </c>
      <c r="AH6485">
        <v>0</v>
      </c>
      <c r="AI6485">
        <v>50.85</v>
      </c>
      <c r="AJ6485">
        <v>339</v>
      </c>
      <c r="AK6485">
        <v>339</v>
      </c>
      <c r="AL6485" t="s">
        <v>53</v>
      </c>
      <c r="AM6485" t="s">
        <v>53</v>
      </c>
      <c r="AN6485" t="s">
        <v>53</v>
      </c>
      <c r="AO6485" t="s">
        <v>53</v>
      </c>
      <c r="AP6485" t="s">
        <v>53</v>
      </c>
    </row>
    <row r="6486" spans="2:42" x14ac:dyDescent="0.2">
      <c r="B6486" t="s">
        <v>44</v>
      </c>
      <c r="C6486" t="str">
        <f>HYPERLINK("https://us2.cloudbeds.com/connect/8493803454333002#/reservations/9080486846760926?display=35KTENDKJA&amp;reservation_id=9080486846760926", "35KTENDKJA")</f>
        <v>35KTENDKJA</v>
      </c>
      <c r="D6486" t="s">
        <v>45</v>
      </c>
      <c r="E6486" t="s">
        <v>138</v>
      </c>
      <c r="F6486" t="s">
        <v>70</v>
      </c>
      <c r="G6486" t="s">
        <v>48</v>
      </c>
      <c r="H6486" t="s">
        <v>49</v>
      </c>
      <c r="I6486" t="s">
        <v>50</v>
      </c>
      <c r="J6486" t="s">
        <v>5744</v>
      </c>
      <c r="K6486" t="s">
        <v>9610</v>
      </c>
      <c r="L6486" t="s">
        <v>53</v>
      </c>
      <c r="N6486" t="s">
        <v>11656</v>
      </c>
      <c r="P6486" t="s">
        <v>55</v>
      </c>
      <c r="R6486" t="s">
        <v>53</v>
      </c>
      <c r="T6486" t="s">
        <v>11657</v>
      </c>
      <c r="U6486" t="s">
        <v>58</v>
      </c>
      <c r="V6486">
        <v>2</v>
      </c>
      <c r="W6486">
        <v>1</v>
      </c>
      <c r="X6486">
        <v>2</v>
      </c>
      <c r="Y6486">
        <v>0</v>
      </c>
      <c r="Z6486">
        <v>2</v>
      </c>
      <c r="AA6486">
        <v>279.01</v>
      </c>
      <c r="AB6486">
        <v>279.01</v>
      </c>
      <c r="AC6486">
        <v>245.5</v>
      </c>
      <c r="AD6486">
        <v>0</v>
      </c>
      <c r="AE6486">
        <v>33.51</v>
      </c>
      <c r="AF6486">
        <v>0</v>
      </c>
      <c r="AG6486">
        <v>0</v>
      </c>
      <c r="AH6486">
        <v>0</v>
      </c>
      <c r="AI6486">
        <v>50.22</v>
      </c>
      <c r="AJ6486">
        <v>279.01</v>
      </c>
      <c r="AK6486">
        <v>0</v>
      </c>
      <c r="AL6486" t="s">
        <v>53</v>
      </c>
      <c r="AM6486" t="s">
        <v>53</v>
      </c>
      <c r="AN6486" t="s">
        <v>53</v>
      </c>
      <c r="AO6486" t="s">
        <v>53</v>
      </c>
      <c r="AP6486" t="s">
        <v>53</v>
      </c>
    </row>
    <row r="6487" spans="2:42" x14ac:dyDescent="0.2">
      <c r="B6487" t="s">
        <v>44</v>
      </c>
      <c r="C6487" t="str">
        <f>HYPERLINK("https://us2.cloudbeds.com/connect/8493803454333002#/reservations/9080486846760940?display=35KTUAJFGV&amp;reservation_id=9080486846760940", "35KTUAJFGV")</f>
        <v>35KTUAJFGV</v>
      </c>
      <c r="D6487" t="s">
        <v>45</v>
      </c>
      <c r="E6487" t="s">
        <v>179</v>
      </c>
      <c r="F6487" t="s">
        <v>47</v>
      </c>
      <c r="G6487" t="s">
        <v>48</v>
      </c>
      <c r="H6487" t="s">
        <v>49</v>
      </c>
      <c r="I6487" t="s">
        <v>50</v>
      </c>
      <c r="J6487" t="s">
        <v>5743</v>
      </c>
      <c r="K6487" t="s">
        <v>5744</v>
      </c>
      <c r="L6487" t="s">
        <v>53</v>
      </c>
      <c r="N6487" t="s">
        <v>11658</v>
      </c>
      <c r="P6487" t="s">
        <v>55</v>
      </c>
      <c r="R6487" t="s">
        <v>53</v>
      </c>
      <c r="T6487" t="s">
        <v>11659</v>
      </c>
      <c r="U6487" t="s">
        <v>58</v>
      </c>
      <c r="V6487">
        <v>2</v>
      </c>
      <c r="W6487">
        <v>1</v>
      </c>
      <c r="X6487">
        <v>2</v>
      </c>
      <c r="Y6487">
        <v>0</v>
      </c>
      <c r="Z6487">
        <v>2</v>
      </c>
      <c r="AA6487">
        <v>471.3</v>
      </c>
      <c r="AB6487">
        <v>471.3</v>
      </c>
      <c r="AC6487">
        <v>414.7</v>
      </c>
      <c r="AD6487">
        <v>0</v>
      </c>
      <c r="AE6487">
        <v>56.6</v>
      </c>
      <c r="AF6487">
        <v>0</v>
      </c>
      <c r="AG6487">
        <v>0</v>
      </c>
      <c r="AH6487">
        <v>0</v>
      </c>
      <c r="AI6487">
        <v>84.83</v>
      </c>
      <c r="AJ6487">
        <v>471.3</v>
      </c>
      <c r="AK6487">
        <v>0</v>
      </c>
      <c r="AL6487" t="s">
        <v>53</v>
      </c>
      <c r="AM6487" t="s">
        <v>53</v>
      </c>
      <c r="AN6487" t="s">
        <v>53</v>
      </c>
      <c r="AO6487" t="s">
        <v>53</v>
      </c>
      <c r="AP6487" t="s">
        <v>53</v>
      </c>
    </row>
    <row r="6488" spans="2:42" x14ac:dyDescent="0.2">
      <c r="B6488" t="s">
        <v>44</v>
      </c>
      <c r="C6488" t="str">
        <f>HYPERLINK("https://us2.cloudbeds.com/connect/8493803454333002#/reservations/9080486846761170?display=35Y4MPYKP2&amp;reservation_id=9080486846761170", "35Y4MPYKP2")</f>
        <v>35Y4MPYKP2</v>
      </c>
      <c r="D6488" t="s">
        <v>45</v>
      </c>
      <c r="E6488" t="s">
        <v>190</v>
      </c>
      <c r="F6488" t="s">
        <v>61</v>
      </c>
      <c r="G6488" t="s">
        <v>48</v>
      </c>
      <c r="H6488" t="s">
        <v>49</v>
      </c>
      <c r="I6488" t="s">
        <v>50</v>
      </c>
      <c r="J6488" t="s">
        <v>9610</v>
      </c>
      <c r="K6488" t="s">
        <v>7088</v>
      </c>
      <c r="L6488" t="s">
        <v>53</v>
      </c>
      <c r="N6488" t="s">
        <v>11660</v>
      </c>
      <c r="P6488" t="s">
        <v>55</v>
      </c>
      <c r="R6488" t="s">
        <v>53</v>
      </c>
      <c r="T6488" t="s">
        <v>11661</v>
      </c>
      <c r="U6488" t="s">
        <v>58</v>
      </c>
      <c r="V6488">
        <v>1</v>
      </c>
      <c r="W6488">
        <v>1</v>
      </c>
      <c r="X6488">
        <v>2</v>
      </c>
      <c r="Y6488">
        <v>0</v>
      </c>
      <c r="Z6488">
        <v>2</v>
      </c>
      <c r="AA6488">
        <v>172.86</v>
      </c>
      <c r="AB6488">
        <v>172.86</v>
      </c>
      <c r="AC6488">
        <v>152.1</v>
      </c>
      <c r="AD6488">
        <v>0</v>
      </c>
      <c r="AE6488">
        <v>20.76</v>
      </c>
      <c r="AF6488">
        <v>0</v>
      </c>
      <c r="AG6488">
        <v>0</v>
      </c>
      <c r="AH6488">
        <v>0</v>
      </c>
      <c r="AI6488">
        <v>31.11</v>
      </c>
      <c r="AJ6488">
        <v>172.86</v>
      </c>
      <c r="AK6488">
        <v>0</v>
      </c>
      <c r="AL6488" t="s">
        <v>53</v>
      </c>
      <c r="AM6488" t="s">
        <v>53</v>
      </c>
      <c r="AN6488" t="s">
        <v>53</v>
      </c>
      <c r="AO6488" t="s">
        <v>53</v>
      </c>
      <c r="AP6488" t="s">
        <v>53</v>
      </c>
    </row>
    <row r="6489" spans="2:42" x14ac:dyDescent="0.2">
      <c r="B6489" t="s">
        <v>44</v>
      </c>
      <c r="C6489" t="str">
        <f>HYPERLINK("https://us2.cloudbeds.com/connect/8493803454333002#/reservations/9080486846761181?display=35Y5014ZFU&amp;reservation_id=9080486846761181", "35Y5014ZFU")</f>
        <v>35Y5014ZFU</v>
      </c>
      <c r="D6489" t="s">
        <v>45</v>
      </c>
      <c r="E6489" t="s">
        <v>487</v>
      </c>
      <c r="F6489" t="s">
        <v>61</v>
      </c>
      <c r="G6489" t="s">
        <v>48</v>
      </c>
      <c r="H6489" t="s">
        <v>49</v>
      </c>
      <c r="I6489" t="s">
        <v>62</v>
      </c>
      <c r="J6489" t="s">
        <v>9610</v>
      </c>
      <c r="K6489" t="s">
        <v>7088</v>
      </c>
      <c r="L6489" t="s">
        <v>53</v>
      </c>
      <c r="N6489" t="s">
        <v>11662</v>
      </c>
      <c r="P6489" t="s">
        <v>55</v>
      </c>
      <c r="R6489" t="s">
        <v>56</v>
      </c>
      <c r="T6489" t="s">
        <v>11663</v>
      </c>
      <c r="U6489" t="s">
        <v>55</v>
      </c>
      <c r="V6489">
        <v>1</v>
      </c>
      <c r="W6489">
        <v>1</v>
      </c>
      <c r="X6489">
        <v>2</v>
      </c>
      <c r="Y6489">
        <v>0</v>
      </c>
      <c r="Z6489">
        <v>2</v>
      </c>
      <c r="AA6489">
        <v>169</v>
      </c>
      <c r="AB6489">
        <v>169</v>
      </c>
      <c r="AC6489">
        <v>169</v>
      </c>
      <c r="AD6489">
        <v>0</v>
      </c>
      <c r="AE6489">
        <v>0</v>
      </c>
      <c r="AF6489">
        <v>0</v>
      </c>
      <c r="AG6489">
        <v>0</v>
      </c>
      <c r="AH6489">
        <v>0</v>
      </c>
      <c r="AI6489">
        <v>30.42</v>
      </c>
      <c r="AJ6489">
        <v>169</v>
      </c>
      <c r="AK6489">
        <v>0</v>
      </c>
      <c r="AL6489" t="s">
        <v>53</v>
      </c>
      <c r="AM6489" t="s">
        <v>53</v>
      </c>
      <c r="AN6489" t="s">
        <v>53</v>
      </c>
      <c r="AO6489" t="s">
        <v>53</v>
      </c>
      <c r="AP6489" t="s">
        <v>53</v>
      </c>
    </row>
    <row r="6490" spans="2:42" x14ac:dyDescent="0.2">
      <c r="B6490" t="s">
        <v>44</v>
      </c>
      <c r="C6490" t="str">
        <f>HYPERLINK("https://us2.cloudbeds.com/connect/8493803454333002#/reservations/9080486846761361?display=35YAWKB6JQ&amp;reservation_id=9080486846761361", "35YAWKB6JQ")</f>
        <v>35YAWKB6JQ</v>
      </c>
      <c r="D6490" t="s">
        <v>45</v>
      </c>
      <c r="E6490" t="s">
        <v>105</v>
      </c>
      <c r="F6490" t="s">
        <v>47</v>
      </c>
      <c r="G6490" t="s">
        <v>48</v>
      </c>
      <c r="H6490" t="s">
        <v>49</v>
      </c>
      <c r="I6490" t="s">
        <v>62</v>
      </c>
      <c r="J6490" t="s">
        <v>9620</v>
      </c>
      <c r="K6490" t="s">
        <v>7089</v>
      </c>
      <c r="L6490" t="s">
        <v>53</v>
      </c>
      <c r="N6490" t="s">
        <v>11664</v>
      </c>
      <c r="P6490" t="s">
        <v>55</v>
      </c>
      <c r="R6490" t="s">
        <v>56</v>
      </c>
      <c r="T6490" t="s">
        <v>11665</v>
      </c>
      <c r="U6490" t="s">
        <v>55</v>
      </c>
      <c r="V6490">
        <v>1</v>
      </c>
      <c r="W6490">
        <v>1</v>
      </c>
      <c r="X6490">
        <v>2</v>
      </c>
      <c r="Y6490">
        <v>0</v>
      </c>
      <c r="Z6490">
        <v>2</v>
      </c>
      <c r="AA6490">
        <v>186</v>
      </c>
      <c r="AB6490">
        <v>186</v>
      </c>
      <c r="AC6490">
        <v>186</v>
      </c>
      <c r="AD6490">
        <v>0</v>
      </c>
      <c r="AE6490">
        <v>0</v>
      </c>
      <c r="AF6490">
        <v>0</v>
      </c>
      <c r="AG6490">
        <v>0</v>
      </c>
      <c r="AH6490">
        <v>0</v>
      </c>
      <c r="AI6490">
        <v>33.479999999999997</v>
      </c>
      <c r="AJ6490">
        <v>186</v>
      </c>
      <c r="AK6490">
        <v>0</v>
      </c>
      <c r="AL6490" t="s">
        <v>53</v>
      </c>
      <c r="AM6490" t="s">
        <v>53</v>
      </c>
      <c r="AN6490" t="s">
        <v>53</v>
      </c>
      <c r="AO6490" t="s">
        <v>53</v>
      </c>
      <c r="AP6490" t="s">
        <v>53</v>
      </c>
    </row>
    <row r="6491" spans="2:42" x14ac:dyDescent="0.2">
      <c r="B6491" t="s">
        <v>44</v>
      </c>
      <c r="C6491" t="str">
        <f>HYPERLINK("https://us2.cloudbeds.com/connect/8493803454333002#/reservations/147184262520987?display=35YHY1Q26K&amp;reservation_id=147184262520987", "35YHY1Q26K")</f>
        <v>35YHY1Q26K</v>
      </c>
      <c r="D6491" t="s">
        <v>45</v>
      </c>
      <c r="E6491" t="s">
        <v>265</v>
      </c>
      <c r="F6491" t="s">
        <v>61</v>
      </c>
      <c r="G6491" t="s">
        <v>48</v>
      </c>
      <c r="H6491" t="s">
        <v>3957</v>
      </c>
      <c r="I6491" t="s">
        <v>3958</v>
      </c>
      <c r="J6491" t="s">
        <v>9610</v>
      </c>
      <c r="K6491" t="s">
        <v>9620</v>
      </c>
      <c r="L6491" t="s">
        <v>53</v>
      </c>
      <c r="P6491" t="s">
        <v>55</v>
      </c>
      <c r="R6491" t="s">
        <v>56</v>
      </c>
      <c r="T6491" t="s">
        <v>11666</v>
      </c>
      <c r="U6491" t="s">
        <v>58</v>
      </c>
      <c r="V6491">
        <v>2</v>
      </c>
      <c r="W6491">
        <v>1</v>
      </c>
      <c r="X6491">
        <v>1</v>
      </c>
      <c r="Y6491">
        <v>0</v>
      </c>
      <c r="Z6491">
        <v>1</v>
      </c>
      <c r="AA6491">
        <v>406.88</v>
      </c>
      <c r="AB6491">
        <v>406.88</v>
      </c>
      <c r="AC6491">
        <v>358</v>
      </c>
      <c r="AD6491">
        <v>0</v>
      </c>
      <c r="AE6491">
        <v>48.88</v>
      </c>
      <c r="AF6491">
        <v>0</v>
      </c>
      <c r="AG6491">
        <v>0</v>
      </c>
      <c r="AH6491">
        <v>0</v>
      </c>
      <c r="AI6491">
        <v>0</v>
      </c>
      <c r="AJ6491">
        <v>406.88</v>
      </c>
      <c r="AK6491">
        <v>0</v>
      </c>
      <c r="AL6491" t="s">
        <v>53</v>
      </c>
      <c r="AM6491" t="s">
        <v>53</v>
      </c>
      <c r="AN6491" t="s">
        <v>53</v>
      </c>
      <c r="AO6491" t="s">
        <v>53</v>
      </c>
      <c r="AP6491" t="s">
        <v>53</v>
      </c>
    </row>
    <row r="6492" spans="2:42" x14ac:dyDescent="0.2">
      <c r="B6492" t="s">
        <v>44</v>
      </c>
      <c r="C6492" t="str">
        <f>HYPERLINK("https://us2.cloudbeds.com/connect/8493803454333002#/reservations/147195483381940?display=35YQAPH233&amp;reservation_id=147195483381940", "35YQAPH233")</f>
        <v>35YQAPH233</v>
      </c>
      <c r="D6492" t="s">
        <v>45</v>
      </c>
      <c r="E6492" t="s">
        <v>305</v>
      </c>
      <c r="F6492" t="s">
        <v>61</v>
      </c>
      <c r="G6492" t="s">
        <v>4520</v>
      </c>
      <c r="H6492" t="s">
        <v>3957</v>
      </c>
      <c r="I6492" t="s">
        <v>3958</v>
      </c>
      <c r="J6492" t="s">
        <v>5744</v>
      </c>
      <c r="K6492" t="s">
        <v>9610</v>
      </c>
      <c r="L6492" t="s">
        <v>53</v>
      </c>
      <c r="P6492" t="s">
        <v>55</v>
      </c>
      <c r="R6492" t="s">
        <v>56</v>
      </c>
      <c r="T6492" t="s">
        <v>11667</v>
      </c>
      <c r="U6492" t="s">
        <v>58</v>
      </c>
      <c r="V6492">
        <v>2</v>
      </c>
      <c r="W6492">
        <v>1</v>
      </c>
      <c r="X6492">
        <v>1</v>
      </c>
      <c r="Y6492">
        <v>0</v>
      </c>
      <c r="Z6492">
        <v>1</v>
      </c>
      <c r="AA6492">
        <v>376.42</v>
      </c>
      <c r="AB6492">
        <v>376.42</v>
      </c>
      <c r="AC6492">
        <v>331.2</v>
      </c>
      <c r="AD6492">
        <v>0</v>
      </c>
      <c r="AE6492">
        <v>45.22</v>
      </c>
      <c r="AF6492">
        <v>0</v>
      </c>
      <c r="AG6492">
        <v>0</v>
      </c>
      <c r="AH6492">
        <v>0</v>
      </c>
      <c r="AI6492">
        <v>0</v>
      </c>
      <c r="AJ6492">
        <v>376.42</v>
      </c>
      <c r="AK6492">
        <v>0</v>
      </c>
      <c r="AL6492" t="s">
        <v>53</v>
      </c>
      <c r="AM6492" t="s">
        <v>53</v>
      </c>
      <c r="AN6492" t="s">
        <v>53</v>
      </c>
      <c r="AO6492" t="s">
        <v>53</v>
      </c>
      <c r="AP6492" t="s">
        <v>53</v>
      </c>
    </row>
    <row r="6493" spans="2:42" x14ac:dyDescent="0.2">
      <c r="B6493" t="s">
        <v>44</v>
      </c>
      <c r="C6493" t="str">
        <f>HYPERLINK("https://us2.cloudbeds.com/connect/8493803454333002#/reservations/9080486846762939?display=35NH41EKDJ&amp;reservation_id=9080486846762939", "35NH41EKDJ")</f>
        <v>35NH41EKDJ</v>
      </c>
      <c r="D6493" t="s">
        <v>45</v>
      </c>
      <c r="E6493" t="s">
        <v>223</v>
      </c>
      <c r="F6493" t="s">
        <v>47</v>
      </c>
      <c r="G6493" t="s">
        <v>48</v>
      </c>
      <c r="H6493" t="s">
        <v>49</v>
      </c>
      <c r="I6493" t="s">
        <v>62</v>
      </c>
      <c r="J6493" t="s">
        <v>7931</v>
      </c>
      <c r="K6493" t="s">
        <v>5744</v>
      </c>
      <c r="L6493" t="s">
        <v>53</v>
      </c>
      <c r="N6493" t="s">
        <v>11668</v>
      </c>
      <c r="P6493" t="s">
        <v>55</v>
      </c>
      <c r="R6493" t="s">
        <v>56</v>
      </c>
      <c r="T6493" t="s">
        <v>11669</v>
      </c>
      <c r="U6493" t="s">
        <v>55</v>
      </c>
      <c r="V6493">
        <v>1</v>
      </c>
      <c r="W6493">
        <v>1</v>
      </c>
      <c r="X6493">
        <v>1</v>
      </c>
      <c r="Y6493">
        <v>0</v>
      </c>
      <c r="Z6493">
        <v>1</v>
      </c>
      <c r="AA6493">
        <v>160</v>
      </c>
      <c r="AB6493">
        <v>160</v>
      </c>
      <c r="AC6493">
        <v>160</v>
      </c>
      <c r="AD6493">
        <v>0</v>
      </c>
      <c r="AE6493">
        <v>0</v>
      </c>
      <c r="AF6493">
        <v>0</v>
      </c>
      <c r="AG6493">
        <v>0</v>
      </c>
      <c r="AH6493">
        <v>0</v>
      </c>
      <c r="AI6493">
        <v>28.8</v>
      </c>
      <c r="AJ6493">
        <v>160</v>
      </c>
      <c r="AK6493">
        <v>0</v>
      </c>
      <c r="AL6493" t="s">
        <v>53</v>
      </c>
      <c r="AM6493" t="s">
        <v>53</v>
      </c>
      <c r="AN6493" t="s">
        <v>53</v>
      </c>
      <c r="AO6493" t="s">
        <v>53</v>
      </c>
      <c r="AP6493" t="s">
        <v>53</v>
      </c>
    </row>
    <row r="6494" spans="2:42" x14ac:dyDescent="0.2">
      <c r="B6494" t="s">
        <v>44</v>
      </c>
      <c r="C6494" t="str">
        <f>HYPERLINK("https://us2.cloudbeds.com/connect/8493803454333002#/reservations/147270103113979?display=35NX3FS3F9&amp;reservation_id=147270103113979", "35NX3FS3F9")</f>
        <v>35NX3FS3F9</v>
      </c>
      <c r="D6494" t="s">
        <v>45</v>
      </c>
      <c r="E6494" t="s">
        <v>165</v>
      </c>
      <c r="F6494" t="s">
        <v>61</v>
      </c>
      <c r="G6494" t="s">
        <v>4520</v>
      </c>
      <c r="H6494" t="s">
        <v>3957</v>
      </c>
      <c r="I6494" t="s">
        <v>3958</v>
      </c>
      <c r="J6494" t="s">
        <v>5743</v>
      </c>
      <c r="K6494" t="s">
        <v>7931</v>
      </c>
      <c r="L6494" t="s">
        <v>53</v>
      </c>
      <c r="P6494" t="s">
        <v>55</v>
      </c>
      <c r="R6494" t="s">
        <v>56</v>
      </c>
      <c r="T6494" t="s">
        <v>11670</v>
      </c>
      <c r="U6494" t="s">
        <v>58</v>
      </c>
      <c r="V6494">
        <v>1</v>
      </c>
      <c r="W6494">
        <v>1</v>
      </c>
      <c r="X6494">
        <v>1</v>
      </c>
      <c r="Y6494">
        <v>0</v>
      </c>
      <c r="Z6494">
        <v>1</v>
      </c>
      <c r="AA6494">
        <v>325.27</v>
      </c>
      <c r="AB6494">
        <v>325.27</v>
      </c>
      <c r="AC6494">
        <v>286.2</v>
      </c>
      <c r="AD6494">
        <v>0</v>
      </c>
      <c r="AE6494">
        <v>39.07</v>
      </c>
      <c r="AF6494">
        <v>0</v>
      </c>
      <c r="AG6494">
        <v>0</v>
      </c>
      <c r="AH6494">
        <v>0</v>
      </c>
      <c r="AI6494">
        <v>0</v>
      </c>
      <c r="AJ6494">
        <v>325.27</v>
      </c>
      <c r="AK6494">
        <v>0</v>
      </c>
      <c r="AL6494" t="s">
        <v>53</v>
      </c>
      <c r="AM6494" t="s">
        <v>53</v>
      </c>
      <c r="AN6494" t="s">
        <v>53</v>
      </c>
      <c r="AO6494" t="s">
        <v>53</v>
      </c>
      <c r="AP6494" t="s">
        <v>53</v>
      </c>
    </row>
    <row r="6495" spans="2:42" x14ac:dyDescent="0.2">
      <c r="B6495" t="s">
        <v>44</v>
      </c>
      <c r="C6495" t="str">
        <f>HYPERLINK("https://us2.cloudbeds.com/connect/8493803454333002#/reservations/147271541280989?display=35NJ77X7AP&amp;reservation_id=147271541280989", "35NJ77X7AP")</f>
        <v>35NJ77X7AP</v>
      </c>
      <c r="D6495" t="s">
        <v>45</v>
      </c>
      <c r="E6495" t="s">
        <v>487</v>
      </c>
      <c r="F6495" t="s">
        <v>61</v>
      </c>
      <c r="G6495" t="s">
        <v>4520</v>
      </c>
      <c r="H6495" t="s">
        <v>3957</v>
      </c>
      <c r="I6495" t="s">
        <v>3958</v>
      </c>
      <c r="J6495" t="s">
        <v>5743</v>
      </c>
      <c r="K6495" t="s">
        <v>7931</v>
      </c>
      <c r="L6495" t="s">
        <v>53</v>
      </c>
      <c r="P6495" t="s">
        <v>55</v>
      </c>
      <c r="R6495" t="s">
        <v>56</v>
      </c>
      <c r="T6495" t="s">
        <v>11671</v>
      </c>
      <c r="U6495" t="s">
        <v>58</v>
      </c>
      <c r="V6495">
        <v>1</v>
      </c>
      <c r="W6495">
        <v>1</v>
      </c>
      <c r="X6495">
        <v>1</v>
      </c>
      <c r="Y6495">
        <v>0</v>
      </c>
      <c r="Z6495">
        <v>1</v>
      </c>
      <c r="AA6495">
        <v>325.27</v>
      </c>
      <c r="AB6495">
        <v>325.27</v>
      </c>
      <c r="AC6495">
        <v>286.2</v>
      </c>
      <c r="AD6495">
        <v>0</v>
      </c>
      <c r="AE6495">
        <v>39.07</v>
      </c>
      <c r="AF6495">
        <v>0</v>
      </c>
      <c r="AG6495">
        <v>0</v>
      </c>
      <c r="AH6495">
        <v>0</v>
      </c>
      <c r="AI6495">
        <v>0</v>
      </c>
      <c r="AJ6495">
        <v>325.27</v>
      </c>
      <c r="AK6495">
        <v>0</v>
      </c>
      <c r="AL6495" t="s">
        <v>53</v>
      </c>
      <c r="AM6495" t="s">
        <v>53</v>
      </c>
      <c r="AN6495" t="s">
        <v>53</v>
      </c>
      <c r="AO6495" t="s">
        <v>53</v>
      </c>
      <c r="AP6495" t="s">
        <v>53</v>
      </c>
    </row>
    <row r="6496" spans="2:42" x14ac:dyDescent="0.2">
      <c r="B6496" t="s">
        <v>44</v>
      </c>
      <c r="C6496" t="str">
        <f>HYPERLINK("https://us2.cloudbeds.com/connect/8493803454333002#/reservations/9080486846763255?display=35Z18PZ8EH&amp;reservation_id=9080486846763255", "35Z18PZ8EH")</f>
        <v>35Z18PZ8EH</v>
      </c>
      <c r="D6496" t="s">
        <v>45</v>
      </c>
      <c r="E6496" t="s">
        <v>265</v>
      </c>
      <c r="F6496" t="s">
        <v>61</v>
      </c>
      <c r="G6496" t="s">
        <v>48</v>
      </c>
      <c r="H6496" t="s">
        <v>49</v>
      </c>
      <c r="I6496" t="s">
        <v>62</v>
      </c>
      <c r="J6496" t="s">
        <v>7931</v>
      </c>
      <c r="K6496" t="s">
        <v>5744</v>
      </c>
      <c r="L6496" t="s">
        <v>53</v>
      </c>
      <c r="N6496" t="s">
        <v>11672</v>
      </c>
      <c r="P6496" t="s">
        <v>55</v>
      </c>
      <c r="R6496" t="s">
        <v>56</v>
      </c>
      <c r="T6496" t="s">
        <v>11673</v>
      </c>
      <c r="U6496" t="s">
        <v>55</v>
      </c>
      <c r="V6496">
        <v>1</v>
      </c>
      <c r="W6496">
        <v>1</v>
      </c>
      <c r="X6496">
        <v>2</v>
      </c>
      <c r="Y6496">
        <v>0</v>
      </c>
      <c r="Z6496">
        <v>2</v>
      </c>
      <c r="AA6496">
        <v>178</v>
      </c>
      <c r="AB6496">
        <v>178</v>
      </c>
      <c r="AC6496">
        <v>178</v>
      </c>
      <c r="AD6496">
        <v>0</v>
      </c>
      <c r="AE6496">
        <v>0</v>
      </c>
      <c r="AF6496">
        <v>0</v>
      </c>
      <c r="AG6496">
        <v>0</v>
      </c>
      <c r="AH6496">
        <v>0</v>
      </c>
      <c r="AI6496">
        <v>32.04</v>
      </c>
      <c r="AJ6496">
        <v>178</v>
      </c>
      <c r="AK6496">
        <v>0</v>
      </c>
      <c r="AL6496" t="s">
        <v>53</v>
      </c>
      <c r="AM6496" t="s">
        <v>53</v>
      </c>
      <c r="AN6496" t="s">
        <v>53</v>
      </c>
      <c r="AO6496" t="s">
        <v>53</v>
      </c>
      <c r="AP6496" t="s">
        <v>53</v>
      </c>
    </row>
    <row r="6497" spans="2:42" x14ac:dyDescent="0.2">
      <c r="B6497" t="s">
        <v>44</v>
      </c>
      <c r="C6497" t="str">
        <f>HYPERLINK("https://us2.cloudbeds.com/connect/8493803454333002#/reservations/9080486846763361?display=35Z93YB6HW&amp;reservation_id=9080486846763361", "35Z93YB6HW")</f>
        <v>35Z93YB6HW</v>
      </c>
      <c r="D6497" t="s">
        <v>45</v>
      </c>
      <c r="E6497" t="s">
        <v>113</v>
      </c>
      <c r="F6497" t="s">
        <v>61</v>
      </c>
      <c r="G6497" t="s">
        <v>48</v>
      </c>
      <c r="H6497" t="s">
        <v>49</v>
      </c>
      <c r="I6497" t="s">
        <v>62</v>
      </c>
      <c r="J6497" t="s">
        <v>7931</v>
      </c>
      <c r="K6497" t="s">
        <v>5744</v>
      </c>
      <c r="L6497" t="s">
        <v>53</v>
      </c>
      <c r="N6497" t="s">
        <v>11674</v>
      </c>
      <c r="P6497" t="s">
        <v>55</v>
      </c>
      <c r="R6497" t="s">
        <v>56</v>
      </c>
      <c r="T6497" t="s">
        <v>11675</v>
      </c>
      <c r="U6497" t="s">
        <v>55</v>
      </c>
      <c r="V6497">
        <v>1</v>
      </c>
      <c r="W6497">
        <v>1</v>
      </c>
      <c r="X6497">
        <v>1</v>
      </c>
      <c r="Y6497">
        <v>0</v>
      </c>
      <c r="Z6497">
        <v>1</v>
      </c>
      <c r="AA6497">
        <v>178</v>
      </c>
      <c r="AB6497">
        <v>178</v>
      </c>
      <c r="AC6497">
        <v>178</v>
      </c>
      <c r="AD6497">
        <v>0</v>
      </c>
      <c r="AE6497">
        <v>0</v>
      </c>
      <c r="AF6497">
        <v>0</v>
      </c>
      <c r="AG6497">
        <v>0</v>
      </c>
      <c r="AH6497">
        <v>0</v>
      </c>
      <c r="AI6497">
        <v>32.04</v>
      </c>
      <c r="AJ6497">
        <v>178</v>
      </c>
      <c r="AK6497">
        <v>0</v>
      </c>
      <c r="AL6497" t="s">
        <v>53</v>
      </c>
      <c r="AM6497" t="s">
        <v>53</v>
      </c>
      <c r="AN6497" t="s">
        <v>53</v>
      </c>
      <c r="AO6497" t="s">
        <v>53</v>
      </c>
      <c r="AP6497" t="s">
        <v>53</v>
      </c>
    </row>
    <row r="6498" spans="2:42" x14ac:dyDescent="0.2">
      <c r="B6498" t="s">
        <v>44</v>
      </c>
      <c r="C6498" t="str">
        <f>HYPERLINK("https://us2.cloudbeds.com/connect/8493803454333002#/reservations/9080486846765084?display=35RBT54FFV&amp;reservation_id=9080486846765084", "35RBT54FFV")</f>
        <v>35RBT54FFV</v>
      </c>
      <c r="D6498" t="s">
        <v>45</v>
      </c>
      <c r="E6498" t="s">
        <v>69</v>
      </c>
      <c r="F6498" t="s">
        <v>70</v>
      </c>
      <c r="G6498" t="s">
        <v>48</v>
      </c>
      <c r="H6498" t="s">
        <v>49</v>
      </c>
      <c r="I6498" t="s">
        <v>50</v>
      </c>
      <c r="J6498" t="s">
        <v>7089</v>
      </c>
      <c r="K6498" t="s">
        <v>8437</v>
      </c>
      <c r="L6498" t="s">
        <v>53</v>
      </c>
      <c r="N6498" t="s">
        <v>11676</v>
      </c>
      <c r="P6498" t="s">
        <v>55</v>
      </c>
      <c r="R6498" t="s">
        <v>53</v>
      </c>
      <c r="T6498" t="s">
        <v>11677</v>
      </c>
      <c r="U6498" t="s">
        <v>58</v>
      </c>
      <c r="V6498">
        <v>1</v>
      </c>
      <c r="W6498">
        <v>1</v>
      </c>
      <c r="X6498">
        <v>2</v>
      </c>
      <c r="Y6498">
        <v>0</v>
      </c>
      <c r="Z6498">
        <v>2</v>
      </c>
      <c r="AA6498">
        <v>150.69999999999999</v>
      </c>
      <c r="AB6498">
        <v>150.69999999999999</v>
      </c>
      <c r="AC6498">
        <v>132.6</v>
      </c>
      <c r="AD6498">
        <v>0</v>
      </c>
      <c r="AE6498">
        <v>18.100000000000001</v>
      </c>
      <c r="AF6498">
        <v>0</v>
      </c>
      <c r="AG6498">
        <v>0</v>
      </c>
      <c r="AH6498">
        <v>0</v>
      </c>
      <c r="AI6498">
        <v>27.13</v>
      </c>
      <c r="AJ6498">
        <v>150.69999999999999</v>
      </c>
      <c r="AK6498">
        <v>0</v>
      </c>
      <c r="AL6498" t="s">
        <v>53</v>
      </c>
      <c r="AM6498" t="s">
        <v>53</v>
      </c>
      <c r="AN6498" t="s">
        <v>53</v>
      </c>
      <c r="AO6498" t="s">
        <v>53</v>
      </c>
      <c r="AP6498" t="s">
        <v>53</v>
      </c>
    </row>
    <row r="6499" spans="2:42" x14ac:dyDescent="0.2">
      <c r="B6499" t="s">
        <v>44</v>
      </c>
      <c r="C6499" t="str">
        <f>HYPERLINK("https://us2.cloudbeds.com/connect/8493803454333002#/reservations/147448061526180?display=35RNTZ38CT&amp;reservation_id=147448061526180", "35RNTZ38CT")</f>
        <v>35RNTZ38CT</v>
      </c>
      <c r="D6499" t="s">
        <v>45</v>
      </c>
      <c r="E6499" t="s">
        <v>78</v>
      </c>
      <c r="F6499" t="s">
        <v>61</v>
      </c>
      <c r="G6499" t="s">
        <v>4520</v>
      </c>
      <c r="H6499" t="s">
        <v>3957</v>
      </c>
      <c r="I6499" t="s">
        <v>3989</v>
      </c>
      <c r="J6499" t="s">
        <v>7931</v>
      </c>
      <c r="K6499" t="s">
        <v>5744</v>
      </c>
      <c r="L6499" t="s">
        <v>53</v>
      </c>
      <c r="P6499" t="s">
        <v>55</v>
      </c>
      <c r="R6499" t="s">
        <v>56</v>
      </c>
      <c r="T6499" t="s">
        <v>11678</v>
      </c>
      <c r="U6499" t="s">
        <v>58</v>
      </c>
      <c r="V6499">
        <v>1</v>
      </c>
      <c r="W6499">
        <v>1</v>
      </c>
      <c r="X6499">
        <v>1</v>
      </c>
      <c r="Y6499">
        <v>0</v>
      </c>
      <c r="Z6499">
        <v>1</v>
      </c>
      <c r="AA6499">
        <v>182.07</v>
      </c>
      <c r="AB6499">
        <v>182.07</v>
      </c>
      <c r="AC6499">
        <v>160.19999999999999</v>
      </c>
      <c r="AD6499">
        <v>0</v>
      </c>
      <c r="AE6499">
        <v>21.87</v>
      </c>
      <c r="AF6499">
        <v>0</v>
      </c>
      <c r="AG6499">
        <v>0</v>
      </c>
      <c r="AH6499">
        <v>0</v>
      </c>
      <c r="AI6499">
        <v>0</v>
      </c>
      <c r="AJ6499">
        <v>182.07</v>
      </c>
      <c r="AK6499">
        <v>0</v>
      </c>
      <c r="AL6499" t="s">
        <v>53</v>
      </c>
      <c r="AM6499" t="s">
        <v>53</v>
      </c>
      <c r="AN6499" t="s">
        <v>53</v>
      </c>
      <c r="AO6499" t="s">
        <v>53</v>
      </c>
      <c r="AP6499" t="s">
        <v>53</v>
      </c>
    </row>
    <row r="6500" spans="2:42" x14ac:dyDescent="0.2">
      <c r="B6500" t="s">
        <v>44</v>
      </c>
      <c r="C6500" t="str">
        <f>HYPERLINK("https://us2.cloudbeds.com/connect/8493803454333002#/reservations/9080486846765555?display=35RV51XZ4Q&amp;reservation_id=9080486846765555", "35RV51XZ4Q")</f>
        <v>35RV51XZ4Q</v>
      </c>
      <c r="D6500" t="s">
        <v>45</v>
      </c>
      <c r="E6500" t="s">
        <v>98</v>
      </c>
      <c r="F6500" t="s">
        <v>86</v>
      </c>
      <c r="G6500" t="s">
        <v>48</v>
      </c>
      <c r="H6500" t="s">
        <v>49</v>
      </c>
      <c r="I6500" t="s">
        <v>62</v>
      </c>
      <c r="J6500" t="s">
        <v>11413</v>
      </c>
      <c r="K6500" t="s">
        <v>11679</v>
      </c>
      <c r="L6500" t="s">
        <v>53</v>
      </c>
      <c r="N6500" t="s">
        <v>11680</v>
      </c>
      <c r="P6500" t="s">
        <v>55</v>
      </c>
      <c r="R6500" t="s">
        <v>56</v>
      </c>
      <c r="T6500" t="s">
        <v>11681</v>
      </c>
      <c r="U6500" t="s">
        <v>55</v>
      </c>
      <c r="V6500">
        <v>2</v>
      </c>
      <c r="W6500">
        <v>1</v>
      </c>
      <c r="X6500">
        <v>2</v>
      </c>
      <c r="Y6500">
        <v>2</v>
      </c>
      <c r="Z6500">
        <v>4</v>
      </c>
      <c r="AA6500">
        <v>245.1</v>
      </c>
      <c r="AB6500">
        <v>245.1</v>
      </c>
      <c r="AC6500">
        <v>245.1</v>
      </c>
      <c r="AD6500">
        <v>0</v>
      </c>
      <c r="AE6500">
        <v>0</v>
      </c>
      <c r="AF6500">
        <v>0</v>
      </c>
      <c r="AG6500">
        <v>0</v>
      </c>
      <c r="AH6500">
        <v>0</v>
      </c>
      <c r="AI6500">
        <v>44.12</v>
      </c>
      <c r="AJ6500">
        <v>245.1</v>
      </c>
      <c r="AK6500">
        <v>0</v>
      </c>
      <c r="AL6500" t="s">
        <v>53</v>
      </c>
      <c r="AM6500" t="s">
        <v>53</v>
      </c>
      <c r="AN6500" t="s">
        <v>53</v>
      </c>
      <c r="AO6500" t="s">
        <v>53</v>
      </c>
      <c r="AP6500" t="s">
        <v>53</v>
      </c>
    </row>
    <row r="6501" spans="2:42" x14ac:dyDescent="0.2">
      <c r="B6501" t="s">
        <v>44</v>
      </c>
      <c r="C6501" t="str">
        <f>HYPERLINK("https://us2.cloudbeds.com/connect/8493803454333002#/reservations/9080486846766050?display=35SFG7EEDY&amp;reservation_id=9080486846766050", "35SFG7EEDY")</f>
        <v>35SFG7EEDY</v>
      </c>
      <c r="D6501" t="s">
        <v>45</v>
      </c>
      <c r="E6501" t="s">
        <v>179</v>
      </c>
      <c r="F6501" t="s">
        <v>47</v>
      </c>
      <c r="G6501" t="s">
        <v>48</v>
      </c>
      <c r="H6501" t="s">
        <v>49</v>
      </c>
      <c r="I6501" t="s">
        <v>50</v>
      </c>
      <c r="J6501" t="s">
        <v>7089</v>
      </c>
      <c r="K6501" t="s">
        <v>8437</v>
      </c>
      <c r="L6501" t="s">
        <v>53</v>
      </c>
      <c r="N6501" t="s">
        <v>11682</v>
      </c>
      <c r="P6501" t="s">
        <v>55</v>
      </c>
      <c r="R6501" t="s">
        <v>53</v>
      </c>
      <c r="T6501" t="s">
        <v>11683</v>
      </c>
      <c r="U6501" t="s">
        <v>58</v>
      </c>
      <c r="V6501">
        <v>1</v>
      </c>
      <c r="W6501">
        <v>1</v>
      </c>
      <c r="X6501">
        <v>2</v>
      </c>
      <c r="Y6501">
        <v>0</v>
      </c>
      <c r="Z6501">
        <v>2</v>
      </c>
      <c r="AA6501">
        <v>205.77</v>
      </c>
      <c r="AB6501">
        <v>205.77</v>
      </c>
      <c r="AC6501">
        <v>181.05</v>
      </c>
      <c r="AD6501">
        <v>0</v>
      </c>
      <c r="AE6501">
        <v>24.72</v>
      </c>
      <c r="AF6501">
        <v>0</v>
      </c>
      <c r="AG6501">
        <v>0</v>
      </c>
      <c r="AH6501">
        <v>0</v>
      </c>
      <c r="AI6501">
        <v>37.04</v>
      </c>
      <c r="AJ6501">
        <v>205.77</v>
      </c>
      <c r="AK6501">
        <v>0</v>
      </c>
      <c r="AL6501" t="s">
        <v>53</v>
      </c>
      <c r="AM6501" t="s">
        <v>53</v>
      </c>
      <c r="AN6501" t="s">
        <v>53</v>
      </c>
      <c r="AO6501" t="s">
        <v>53</v>
      </c>
      <c r="AP6501" t="s">
        <v>53</v>
      </c>
    </row>
    <row r="6502" spans="2:42" x14ac:dyDescent="0.2">
      <c r="B6502" t="s">
        <v>44</v>
      </c>
      <c r="C6502" t="str">
        <f>HYPERLINK("https://us2.cloudbeds.com/connect/8493803454333002#/reservations/9080486846766332?display=35SPR0459B&amp;reservation_id=9080486846766332", "35SPR0459B")</f>
        <v>35SPR0459B</v>
      </c>
      <c r="D6502" t="s">
        <v>45</v>
      </c>
      <c r="E6502" t="s">
        <v>185</v>
      </c>
      <c r="F6502" t="s">
        <v>47</v>
      </c>
      <c r="G6502" t="s">
        <v>48</v>
      </c>
      <c r="H6502" t="s">
        <v>49</v>
      </c>
      <c r="I6502" t="s">
        <v>50</v>
      </c>
      <c r="J6502" t="s">
        <v>9928</v>
      </c>
      <c r="K6502" t="s">
        <v>7492</v>
      </c>
      <c r="L6502" t="s">
        <v>53</v>
      </c>
      <c r="N6502" t="s">
        <v>11684</v>
      </c>
      <c r="P6502" t="s">
        <v>55</v>
      </c>
      <c r="R6502" t="s">
        <v>53</v>
      </c>
      <c r="T6502" t="s">
        <v>11685</v>
      </c>
      <c r="U6502" t="s">
        <v>58</v>
      </c>
      <c r="V6502">
        <v>1</v>
      </c>
      <c r="W6502">
        <v>1</v>
      </c>
      <c r="X6502">
        <v>1</v>
      </c>
      <c r="Y6502">
        <v>0</v>
      </c>
      <c r="Z6502">
        <v>1</v>
      </c>
      <c r="AA6502">
        <v>146.83000000000001</v>
      </c>
      <c r="AB6502">
        <v>146.83000000000001</v>
      </c>
      <c r="AC6502">
        <v>129.19999999999999</v>
      </c>
      <c r="AD6502">
        <v>0</v>
      </c>
      <c r="AE6502">
        <v>17.63</v>
      </c>
      <c r="AF6502">
        <v>0</v>
      </c>
      <c r="AG6502">
        <v>0</v>
      </c>
      <c r="AH6502">
        <v>0</v>
      </c>
      <c r="AI6502">
        <v>26.43</v>
      </c>
      <c r="AJ6502">
        <v>146.83000000000001</v>
      </c>
      <c r="AK6502">
        <v>0</v>
      </c>
      <c r="AL6502" t="s">
        <v>53</v>
      </c>
      <c r="AM6502" t="s">
        <v>53</v>
      </c>
      <c r="AN6502" t="s">
        <v>53</v>
      </c>
      <c r="AO6502" t="s">
        <v>53</v>
      </c>
      <c r="AP6502" t="s">
        <v>53</v>
      </c>
    </row>
    <row r="6503" spans="2:42" x14ac:dyDescent="0.2">
      <c r="B6503" t="s">
        <v>44</v>
      </c>
      <c r="C6503" t="str">
        <f>HYPERLINK("https://us2.cloudbeds.com/connect/8493803454333002#/reservations/147527074455725?display=35TJ2MTG87&amp;reservation_id=147527074455725", "35TJ2MTG87")</f>
        <v>35TJ2MTG87</v>
      </c>
      <c r="D6503" t="s">
        <v>45</v>
      </c>
      <c r="E6503" t="s">
        <v>381</v>
      </c>
      <c r="F6503" t="s">
        <v>47</v>
      </c>
      <c r="G6503" t="s">
        <v>7801</v>
      </c>
      <c r="H6503" t="s">
        <v>3957</v>
      </c>
      <c r="I6503" t="s">
        <v>3989</v>
      </c>
      <c r="J6503" t="s">
        <v>7931</v>
      </c>
      <c r="K6503" t="s">
        <v>5744</v>
      </c>
      <c r="L6503" t="s">
        <v>53</v>
      </c>
      <c r="P6503" t="s">
        <v>55</v>
      </c>
      <c r="R6503" t="s">
        <v>56</v>
      </c>
      <c r="T6503" t="s">
        <v>11686</v>
      </c>
      <c r="U6503" t="s">
        <v>58</v>
      </c>
      <c r="V6503">
        <v>1</v>
      </c>
      <c r="W6503">
        <v>1</v>
      </c>
      <c r="X6503">
        <v>1</v>
      </c>
      <c r="Y6503">
        <v>0</v>
      </c>
      <c r="Z6503">
        <v>1</v>
      </c>
      <c r="AA6503">
        <v>170.82</v>
      </c>
      <c r="AB6503">
        <v>170.82</v>
      </c>
      <c r="AC6503">
        <v>150.30000000000001</v>
      </c>
      <c r="AD6503">
        <v>0</v>
      </c>
      <c r="AE6503">
        <v>20.52</v>
      </c>
      <c r="AF6503">
        <v>0</v>
      </c>
      <c r="AG6503">
        <v>0</v>
      </c>
      <c r="AH6503">
        <v>0</v>
      </c>
      <c r="AI6503">
        <v>0</v>
      </c>
      <c r="AJ6503">
        <v>170.82</v>
      </c>
      <c r="AK6503">
        <v>0</v>
      </c>
      <c r="AL6503" t="s">
        <v>53</v>
      </c>
      <c r="AM6503" t="s">
        <v>53</v>
      </c>
      <c r="AN6503" t="s">
        <v>53</v>
      </c>
      <c r="AO6503" t="s">
        <v>53</v>
      </c>
      <c r="AP6503" t="s">
        <v>53</v>
      </c>
    </row>
    <row r="6504" spans="2:42" x14ac:dyDescent="0.2">
      <c r="B6504" t="s">
        <v>44</v>
      </c>
      <c r="C6504" t="str">
        <f>HYPERLINK("https://us2.cloudbeds.com/connect/8493803454333002#/reservations/147529931190441?display=35TY9MPBET&amp;reservation_id=147529931190441", "35TY9MPBET")</f>
        <v>35TY9MPBET</v>
      </c>
      <c r="D6504" t="s">
        <v>45</v>
      </c>
      <c r="E6504" t="s">
        <v>487</v>
      </c>
      <c r="F6504" t="s">
        <v>61</v>
      </c>
      <c r="G6504" t="s">
        <v>48</v>
      </c>
      <c r="H6504" t="s">
        <v>3957</v>
      </c>
      <c r="I6504" t="s">
        <v>3975</v>
      </c>
      <c r="J6504" t="s">
        <v>7931</v>
      </c>
      <c r="K6504" t="s">
        <v>5744</v>
      </c>
      <c r="L6504" t="s">
        <v>53</v>
      </c>
      <c r="P6504" t="s">
        <v>55</v>
      </c>
      <c r="R6504" t="s">
        <v>56</v>
      </c>
      <c r="T6504" t="s">
        <v>11687</v>
      </c>
      <c r="U6504" t="s">
        <v>58</v>
      </c>
      <c r="V6504">
        <v>1</v>
      </c>
      <c r="W6504">
        <v>1</v>
      </c>
      <c r="X6504">
        <v>2</v>
      </c>
      <c r="Y6504">
        <v>0</v>
      </c>
      <c r="Z6504">
        <v>2</v>
      </c>
      <c r="AA6504">
        <v>202.3</v>
      </c>
      <c r="AB6504">
        <v>202.3</v>
      </c>
      <c r="AC6504">
        <v>178</v>
      </c>
      <c r="AD6504">
        <v>0</v>
      </c>
      <c r="AE6504">
        <v>24.3</v>
      </c>
      <c r="AF6504">
        <v>0</v>
      </c>
      <c r="AG6504">
        <v>0</v>
      </c>
      <c r="AH6504">
        <v>0</v>
      </c>
      <c r="AI6504">
        <v>0</v>
      </c>
      <c r="AJ6504">
        <v>202.3</v>
      </c>
      <c r="AK6504">
        <v>0</v>
      </c>
      <c r="AL6504" t="s">
        <v>53</v>
      </c>
      <c r="AM6504" t="s">
        <v>53</v>
      </c>
      <c r="AN6504" t="s">
        <v>53</v>
      </c>
      <c r="AO6504" t="s">
        <v>53</v>
      </c>
      <c r="AP6504" t="s">
        <v>53</v>
      </c>
    </row>
    <row r="6505" spans="2:42" x14ac:dyDescent="0.2">
      <c r="B6505" t="s">
        <v>44</v>
      </c>
      <c r="C6505" t="str">
        <f>HYPERLINK("https://us2.cloudbeds.com/connect/8493803454333002#/reservations/147533011669204?display=35TNMDA6U6&amp;reservation_id=147533011669204", "35TNMDA6U6")</f>
        <v>35TNMDA6U6</v>
      </c>
      <c r="D6505" t="s">
        <v>45</v>
      </c>
      <c r="E6505" t="s">
        <v>265</v>
      </c>
      <c r="F6505" t="s">
        <v>61</v>
      </c>
      <c r="G6505" t="s">
        <v>48</v>
      </c>
      <c r="H6505" t="s">
        <v>3957</v>
      </c>
      <c r="I6505" t="s">
        <v>3975</v>
      </c>
      <c r="J6505" t="s">
        <v>5744</v>
      </c>
      <c r="K6505" t="s">
        <v>9610</v>
      </c>
      <c r="L6505" t="s">
        <v>53</v>
      </c>
      <c r="P6505" t="s">
        <v>55</v>
      </c>
      <c r="R6505" t="s">
        <v>56</v>
      </c>
      <c r="T6505" t="s">
        <v>11688</v>
      </c>
      <c r="U6505" t="s">
        <v>58</v>
      </c>
      <c r="V6505">
        <v>2</v>
      </c>
      <c r="W6505">
        <v>1</v>
      </c>
      <c r="X6505">
        <v>2</v>
      </c>
      <c r="Y6505">
        <v>0</v>
      </c>
      <c r="Z6505">
        <v>2</v>
      </c>
      <c r="AA6505">
        <v>418.24</v>
      </c>
      <c r="AB6505">
        <v>418.24</v>
      </c>
      <c r="AC6505">
        <v>368</v>
      </c>
      <c r="AD6505">
        <v>0</v>
      </c>
      <c r="AE6505">
        <v>50.24</v>
      </c>
      <c r="AF6505">
        <v>0</v>
      </c>
      <c r="AG6505">
        <v>0</v>
      </c>
      <c r="AH6505">
        <v>0</v>
      </c>
      <c r="AI6505">
        <v>0</v>
      </c>
      <c r="AJ6505">
        <v>418.24</v>
      </c>
      <c r="AK6505">
        <v>0</v>
      </c>
      <c r="AL6505" t="s">
        <v>53</v>
      </c>
      <c r="AM6505" t="s">
        <v>53</v>
      </c>
      <c r="AN6505" t="s">
        <v>53</v>
      </c>
      <c r="AO6505" t="s">
        <v>53</v>
      </c>
      <c r="AP6505" t="s">
        <v>53</v>
      </c>
    </row>
    <row r="6506" spans="2:42" x14ac:dyDescent="0.2">
      <c r="B6506" t="s">
        <v>44</v>
      </c>
      <c r="C6506" t="str">
        <f>HYPERLINK("https://us2.cloudbeds.com/connect/8493803454333002#/reservations/9080486846767249?display=35TR0SXGBS&amp;reservation_id=9080486846767249", "35TR0SXGBS")</f>
        <v>35TR0SXGBS</v>
      </c>
      <c r="D6506" t="s">
        <v>45</v>
      </c>
      <c r="E6506" t="s">
        <v>155</v>
      </c>
      <c r="F6506" t="s">
        <v>86</v>
      </c>
      <c r="G6506" t="s">
        <v>48</v>
      </c>
      <c r="H6506" t="s">
        <v>49</v>
      </c>
      <c r="I6506" t="s">
        <v>50</v>
      </c>
      <c r="J6506" t="s">
        <v>7931</v>
      </c>
      <c r="K6506" t="s">
        <v>5744</v>
      </c>
      <c r="L6506" t="s">
        <v>53</v>
      </c>
      <c r="N6506" t="s">
        <v>11689</v>
      </c>
      <c r="P6506" t="s">
        <v>55</v>
      </c>
      <c r="R6506" t="s">
        <v>53</v>
      </c>
      <c r="T6506" t="s">
        <v>11690</v>
      </c>
      <c r="U6506" t="s">
        <v>58</v>
      </c>
      <c r="V6506">
        <v>1</v>
      </c>
      <c r="W6506">
        <v>1</v>
      </c>
      <c r="X6506">
        <v>2</v>
      </c>
      <c r="Y6506">
        <v>0</v>
      </c>
      <c r="Z6506">
        <v>2</v>
      </c>
      <c r="AA6506">
        <v>169.12</v>
      </c>
      <c r="AB6506">
        <v>179.42</v>
      </c>
      <c r="AC6506">
        <v>148.80000000000001</v>
      </c>
      <c r="AD6506">
        <v>9.5</v>
      </c>
      <c r="AE6506">
        <v>21.12</v>
      </c>
      <c r="AF6506">
        <v>0</v>
      </c>
      <c r="AG6506">
        <v>0</v>
      </c>
      <c r="AH6506">
        <v>0</v>
      </c>
      <c r="AI6506">
        <v>32.299999999999997</v>
      </c>
      <c r="AJ6506">
        <v>179.42</v>
      </c>
      <c r="AK6506">
        <v>0</v>
      </c>
      <c r="AL6506" t="s">
        <v>53</v>
      </c>
      <c r="AM6506" t="s">
        <v>53</v>
      </c>
      <c r="AN6506" t="s">
        <v>53</v>
      </c>
      <c r="AO6506" t="s">
        <v>53</v>
      </c>
      <c r="AP6506" t="s">
        <v>53</v>
      </c>
    </row>
    <row r="6507" spans="2:42" x14ac:dyDescent="0.2">
      <c r="B6507" t="s">
        <v>44</v>
      </c>
      <c r="C6507" t="str">
        <f>HYPERLINK("https://us2.cloudbeds.com/connect/8493803454333002#/reservations/9080486846767456?display=35U38ZVXXA&amp;reservation_id=9080486846767456", "35U38ZVXXA")</f>
        <v>35U38ZVXXA</v>
      </c>
      <c r="D6507" t="s">
        <v>45</v>
      </c>
      <c r="E6507" t="s">
        <v>128</v>
      </c>
      <c r="F6507" t="s">
        <v>86</v>
      </c>
      <c r="G6507" t="s">
        <v>48</v>
      </c>
      <c r="H6507" t="s">
        <v>49</v>
      </c>
      <c r="I6507" t="s">
        <v>50</v>
      </c>
      <c r="J6507" t="s">
        <v>7088</v>
      </c>
      <c r="K6507" t="s">
        <v>9620</v>
      </c>
      <c r="L6507" t="s">
        <v>53</v>
      </c>
      <c r="N6507" t="s">
        <v>11691</v>
      </c>
      <c r="P6507" t="s">
        <v>55</v>
      </c>
      <c r="R6507" t="s">
        <v>53</v>
      </c>
      <c r="T6507" t="s">
        <v>11692</v>
      </c>
      <c r="U6507" t="s">
        <v>58</v>
      </c>
      <c r="V6507">
        <v>1</v>
      </c>
      <c r="W6507">
        <v>1</v>
      </c>
      <c r="X6507">
        <v>1</v>
      </c>
      <c r="Y6507">
        <v>0</v>
      </c>
      <c r="Z6507">
        <v>1</v>
      </c>
      <c r="AA6507">
        <v>328.34</v>
      </c>
      <c r="AB6507">
        <v>328.34</v>
      </c>
      <c r="AC6507">
        <v>288.89999999999998</v>
      </c>
      <c r="AD6507">
        <v>0</v>
      </c>
      <c r="AE6507">
        <v>39.44</v>
      </c>
      <c r="AF6507">
        <v>0</v>
      </c>
      <c r="AG6507">
        <v>0</v>
      </c>
      <c r="AH6507">
        <v>0</v>
      </c>
      <c r="AI6507">
        <v>59.1</v>
      </c>
      <c r="AJ6507">
        <v>328.34</v>
      </c>
      <c r="AK6507">
        <v>0</v>
      </c>
      <c r="AL6507" t="s">
        <v>53</v>
      </c>
      <c r="AM6507" t="s">
        <v>53</v>
      </c>
      <c r="AN6507" t="s">
        <v>53</v>
      </c>
      <c r="AO6507" t="s">
        <v>53</v>
      </c>
      <c r="AP6507" t="s">
        <v>53</v>
      </c>
    </row>
    <row r="6508" spans="2:42" x14ac:dyDescent="0.2">
      <c r="B6508" t="s">
        <v>44</v>
      </c>
      <c r="C6508" t="str">
        <f>HYPERLINK("https://us2.cloudbeds.com/connect/8493803454333002#/reservations/9080486846767457?display=35U38R7EYC&amp;reservation_id=9080486846767457", "35U38R7EYC")</f>
        <v>35U38R7EYC</v>
      </c>
      <c r="D6508" t="s">
        <v>45</v>
      </c>
      <c r="E6508" t="s">
        <v>213</v>
      </c>
      <c r="F6508" t="s">
        <v>86</v>
      </c>
      <c r="G6508" t="s">
        <v>48</v>
      </c>
      <c r="H6508" t="s">
        <v>49</v>
      </c>
      <c r="I6508" t="s">
        <v>50</v>
      </c>
      <c r="J6508" t="s">
        <v>7088</v>
      </c>
      <c r="K6508" t="s">
        <v>9620</v>
      </c>
      <c r="L6508" t="s">
        <v>53</v>
      </c>
      <c r="N6508" t="s">
        <v>11693</v>
      </c>
      <c r="P6508" t="s">
        <v>55</v>
      </c>
      <c r="R6508" t="s">
        <v>53</v>
      </c>
      <c r="T6508" t="s">
        <v>11694</v>
      </c>
      <c r="U6508" t="s">
        <v>58</v>
      </c>
      <c r="V6508">
        <v>1</v>
      </c>
      <c r="W6508">
        <v>1</v>
      </c>
      <c r="X6508">
        <v>1</v>
      </c>
      <c r="Y6508">
        <v>0</v>
      </c>
      <c r="Z6508">
        <v>1</v>
      </c>
      <c r="AA6508">
        <v>328.34</v>
      </c>
      <c r="AB6508">
        <v>328.34</v>
      </c>
      <c r="AC6508">
        <v>288.89999999999998</v>
      </c>
      <c r="AD6508">
        <v>0</v>
      </c>
      <c r="AE6508">
        <v>39.44</v>
      </c>
      <c r="AF6508">
        <v>0</v>
      </c>
      <c r="AG6508">
        <v>0</v>
      </c>
      <c r="AH6508">
        <v>0</v>
      </c>
      <c r="AI6508">
        <v>59.1</v>
      </c>
      <c r="AJ6508">
        <v>328.34</v>
      </c>
      <c r="AK6508">
        <v>0</v>
      </c>
      <c r="AL6508" t="s">
        <v>53</v>
      </c>
      <c r="AM6508" t="s">
        <v>53</v>
      </c>
      <c r="AN6508" t="s">
        <v>53</v>
      </c>
      <c r="AO6508" t="s">
        <v>53</v>
      </c>
      <c r="AP6508" t="s">
        <v>53</v>
      </c>
    </row>
    <row r="6509" spans="2:42" x14ac:dyDescent="0.2">
      <c r="B6509" t="s">
        <v>44</v>
      </c>
      <c r="C6509" t="str">
        <f>HYPERLINK("https://us2.cloudbeds.com/connect/8493803454333002#/reservations/147550827438296?display=35U4FY184S&amp;reservation_id=147550827438296", "35U4FY184S")</f>
        <v>35U4FY184S</v>
      </c>
      <c r="D6509" t="s">
        <v>45</v>
      </c>
      <c r="E6509" t="s">
        <v>165</v>
      </c>
      <c r="F6509" t="s">
        <v>61</v>
      </c>
      <c r="G6509" t="s">
        <v>4520</v>
      </c>
      <c r="H6509" t="s">
        <v>3957</v>
      </c>
      <c r="I6509" t="s">
        <v>3958</v>
      </c>
      <c r="J6509" t="s">
        <v>7931</v>
      </c>
      <c r="K6509" t="s">
        <v>5744</v>
      </c>
      <c r="L6509" t="s">
        <v>53</v>
      </c>
      <c r="P6509" t="s">
        <v>55</v>
      </c>
      <c r="R6509" t="s">
        <v>56</v>
      </c>
      <c r="T6509" t="s">
        <v>11695</v>
      </c>
      <c r="U6509" t="s">
        <v>58</v>
      </c>
      <c r="V6509">
        <v>1</v>
      </c>
      <c r="W6509">
        <v>1</v>
      </c>
      <c r="X6509">
        <v>1</v>
      </c>
      <c r="Y6509">
        <v>0</v>
      </c>
      <c r="Z6509">
        <v>1</v>
      </c>
      <c r="AA6509">
        <v>182.07</v>
      </c>
      <c r="AB6509">
        <v>182.07</v>
      </c>
      <c r="AC6509">
        <v>160.19999999999999</v>
      </c>
      <c r="AD6509">
        <v>0</v>
      </c>
      <c r="AE6509">
        <v>21.87</v>
      </c>
      <c r="AF6509">
        <v>0</v>
      </c>
      <c r="AG6509">
        <v>0</v>
      </c>
      <c r="AH6509">
        <v>0</v>
      </c>
      <c r="AI6509">
        <v>0</v>
      </c>
      <c r="AJ6509">
        <v>182.07</v>
      </c>
      <c r="AK6509">
        <v>0</v>
      </c>
      <c r="AL6509" t="s">
        <v>53</v>
      </c>
      <c r="AM6509" t="s">
        <v>53</v>
      </c>
      <c r="AN6509" t="s">
        <v>53</v>
      </c>
      <c r="AO6509" t="s">
        <v>53</v>
      </c>
      <c r="AP6509" t="s">
        <v>53</v>
      </c>
    </row>
    <row r="6510" spans="2:42" x14ac:dyDescent="0.2">
      <c r="B6510" t="s">
        <v>44</v>
      </c>
      <c r="C6510" t="str">
        <f>HYPERLINK("https://us2.cloudbeds.com/connect/8493803454333002#/reservations/147562007130256?display=35UD4A1YY3&amp;reservation_id=147562007130256", "35UD4A1YY3")</f>
        <v>35UD4A1YY3</v>
      </c>
      <c r="D6510" t="s">
        <v>45</v>
      </c>
      <c r="E6510" t="s">
        <v>5093</v>
      </c>
      <c r="F6510" t="s">
        <v>1472</v>
      </c>
      <c r="G6510" t="s">
        <v>3974</v>
      </c>
      <c r="H6510" t="s">
        <v>3957</v>
      </c>
      <c r="I6510" t="s">
        <v>3975</v>
      </c>
      <c r="J6510" t="s">
        <v>10137</v>
      </c>
      <c r="K6510" t="s">
        <v>8865</v>
      </c>
      <c r="L6510" t="s">
        <v>53</v>
      </c>
      <c r="P6510" t="s">
        <v>55</v>
      </c>
      <c r="R6510" t="s">
        <v>56</v>
      </c>
      <c r="T6510" t="s">
        <v>11696</v>
      </c>
      <c r="U6510" t="s">
        <v>58</v>
      </c>
      <c r="V6510">
        <v>2</v>
      </c>
      <c r="W6510">
        <v>2</v>
      </c>
      <c r="X6510">
        <v>4</v>
      </c>
      <c r="Y6510">
        <v>0</v>
      </c>
      <c r="Z6510">
        <v>4</v>
      </c>
      <c r="AA6510">
        <v>241.85</v>
      </c>
      <c r="AB6510">
        <v>241.85</v>
      </c>
      <c r="AC6510">
        <v>212.8</v>
      </c>
      <c r="AD6510">
        <v>0</v>
      </c>
      <c r="AE6510">
        <v>29.05</v>
      </c>
      <c r="AF6510">
        <v>0</v>
      </c>
      <c r="AG6510">
        <v>0</v>
      </c>
      <c r="AH6510">
        <v>0</v>
      </c>
      <c r="AI6510">
        <v>0</v>
      </c>
      <c r="AJ6510">
        <v>241.85</v>
      </c>
      <c r="AK6510">
        <v>0</v>
      </c>
      <c r="AL6510" t="s">
        <v>53</v>
      </c>
      <c r="AM6510" t="s">
        <v>53</v>
      </c>
      <c r="AN6510" t="s">
        <v>53</v>
      </c>
      <c r="AO6510" t="s">
        <v>53</v>
      </c>
      <c r="AP6510" t="s">
        <v>53</v>
      </c>
    </row>
    <row r="6511" spans="2:42" x14ac:dyDescent="0.2">
      <c r="B6511" t="s">
        <v>44</v>
      </c>
      <c r="C6511" t="str">
        <f>HYPERLINK("https://us2.cloudbeds.com/connect/8493803454333002#/reservations/9080486846768418?display=35VNSE6W5E&amp;reservation_id=9080486846768418", "35VNSE6W5E")</f>
        <v>35VNSE6W5E</v>
      </c>
      <c r="D6511" t="s">
        <v>45</v>
      </c>
      <c r="E6511" t="s">
        <v>190</v>
      </c>
      <c r="F6511" t="s">
        <v>61</v>
      </c>
      <c r="G6511" t="s">
        <v>48</v>
      </c>
      <c r="H6511" t="s">
        <v>49</v>
      </c>
      <c r="I6511" t="s">
        <v>62</v>
      </c>
      <c r="J6511" t="s">
        <v>5744</v>
      </c>
      <c r="K6511" t="s">
        <v>9725</v>
      </c>
      <c r="L6511" t="s">
        <v>53</v>
      </c>
      <c r="N6511" t="s">
        <v>11697</v>
      </c>
      <c r="P6511" t="s">
        <v>55</v>
      </c>
      <c r="R6511" t="s">
        <v>6556</v>
      </c>
      <c r="T6511" t="s">
        <v>11698</v>
      </c>
      <c r="U6511" t="s">
        <v>55</v>
      </c>
      <c r="V6511">
        <v>1</v>
      </c>
      <c r="W6511">
        <v>1</v>
      </c>
      <c r="X6511">
        <v>2</v>
      </c>
      <c r="Y6511">
        <v>0</v>
      </c>
      <c r="Z6511">
        <v>2</v>
      </c>
      <c r="AA6511">
        <v>190</v>
      </c>
      <c r="AB6511">
        <v>190</v>
      </c>
      <c r="AC6511">
        <v>190</v>
      </c>
      <c r="AD6511">
        <v>0</v>
      </c>
      <c r="AE6511">
        <v>0</v>
      </c>
      <c r="AF6511">
        <v>0</v>
      </c>
      <c r="AG6511">
        <v>0</v>
      </c>
      <c r="AH6511">
        <v>0</v>
      </c>
      <c r="AI6511">
        <v>34.200000000000003</v>
      </c>
      <c r="AJ6511">
        <v>190</v>
      </c>
      <c r="AK6511">
        <v>0</v>
      </c>
      <c r="AL6511" t="s">
        <v>53</v>
      </c>
      <c r="AM6511" t="s">
        <v>53</v>
      </c>
      <c r="AN6511" t="s">
        <v>53</v>
      </c>
      <c r="AO6511" t="s">
        <v>53</v>
      </c>
      <c r="AP6511" t="s">
        <v>53</v>
      </c>
    </row>
    <row r="6512" spans="2:42" x14ac:dyDescent="0.2">
      <c r="B6512" t="s">
        <v>44</v>
      </c>
      <c r="C6512" t="str">
        <f>HYPERLINK("https://us2.cloudbeds.com/connect/8493803454333002#/reservations/9080486846769225?display=3608952F3W&amp;reservation_id=9080486846769225", "3608952F3W")</f>
        <v>3608952F3W</v>
      </c>
      <c r="D6512" t="s">
        <v>45</v>
      </c>
      <c r="E6512" t="s">
        <v>110</v>
      </c>
      <c r="F6512" t="s">
        <v>47</v>
      </c>
      <c r="G6512" t="s">
        <v>48</v>
      </c>
      <c r="H6512" t="s">
        <v>49</v>
      </c>
      <c r="I6512" t="s">
        <v>50</v>
      </c>
      <c r="J6512" t="s">
        <v>6832</v>
      </c>
      <c r="K6512" t="s">
        <v>8615</v>
      </c>
      <c r="L6512" t="s">
        <v>53</v>
      </c>
      <c r="N6512" t="s">
        <v>11699</v>
      </c>
      <c r="P6512" t="s">
        <v>55</v>
      </c>
      <c r="R6512" t="s">
        <v>53</v>
      </c>
      <c r="T6512" t="s">
        <v>11700</v>
      </c>
      <c r="U6512" t="s">
        <v>58</v>
      </c>
      <c r="V6512">
        <v>1</v>
      </c>
      <c r="W6512">
        <v>1</v>
      </c>
      <c r="X6512">
        <v>1</v>
      </c>
      <c r="Y6512">
        <v>0</v>
      </c>
      <c r="Z6512">
        <v>1</v>
      </c>
      <c r="AA6512">
        <v>173.89</v>
      </c>
      <c r="AB6512">
        <v>173.89</v>
      </c>
      <c r="AC6512">
        <v>153</v>
      </c>
      <c r="AD6512">
        <v>0</v>
      </c>
      <c r="AE6512">
        <v>20.89</v>
      </c>
      <c r="AF6512">
        <v>0</v>
      </c>
      <c r="AG6512">
        <v>0</v>
      </c>
      <c r="AH6512">
        <v>0</v>
      </c>
      <c r="AI6512">
        <v>31.3</v>
      </c>
      <c r="AJ6512">
        <v>173.89</v>
      </c>
      <c r="AK6512">
        <v>0</v>
      </c>
      <c r="AL6512" t="s">
        <v>53</v>
      </c>
      <c r="AM6512" t="s">
        <v>53</v>
      </c>
      <c r="AN6512" t="s">
        <v>53</v>
      </c>
      <c r="AO6512" t="s">
        <v>53</v>
      </c>
      <c r="AP6512" t="s">
        <v>53</v>
      </c>
    </row>
    <row r="6513" spans="2:42" x14ac:dyDescent="0.2">
      <c r="B6513" t="s">
        <v>44</v>
      </c>
      <c r="C6513" t="str">
        <f>HYPERLINK("https://us2.cloudbeds.com/connect/8493803454333002#/reservations/147825369419920?display=363J1R3JFF&amp;reservation_id=147825369419920", "363J1R3JFF")</f>
        <v>363J1R3JFF</v>
      </c>
      <c r="D6513" t="s">
        <v>45</v>
      </c>
      <c r="E6513" t="s">
        <v>373</v>
      </c>
      <c r="F6513" t="s">
        <v>47</v>
      </c>
      <c r="G6513" t="s">
        <v>48</v>
      </c>
      <c r="H6513" t="s">
        <v>3957</v>
      </c>
      <c r="I6513" t="s">
        <v>3975</v>
      </c>
      <c r="J6513" t="s">
        <v>5744</v>
      </c>
      <c r="K6513" t="s">
        <v>9610</v>
      </c>
      <c r="L6513" t="s">
        <v>53</v>
      </c>
      <c r="P6513" t="s">
        <v>55</v>
      </c>
      <c r="R6513" t="s">
        <v>56</v>
      </c>
      <c r="T6513" t="s">
        <v>11701</v>
      </c>
      <c r="U6513" t="s">
        <v>58</v>
      </c>
      <c r="V6513">
        <v>2</v>
      </c>
      <c r="W6513">
        <v>1</v>
      </c>
      <c r="X6513">
        <v>2</v>
      </c>
      <c r="Y6513">
        <v>0</v>
      </c>
      <c r="Z6513">
        <v>2</v>
      </c>
      <c r="AA6513">
        <v>368.23</v>
      </c>
      <c r="AB6513">
        <v>368.23</v>
      </c>
      <c r="AC6513">
        <v>324</v>
      </c>
      <c r="AD6513">
        <v>0</v>
      </c>
      <c r="AE6513">
        <v>44.23</v>
      </c>
      <c r="AF6513">
        <v>0</v>
      </c>
      <c r="AG6513">
        <v>0</v>
      </c>
      <c r="AH6513">
        <v>0</v>
      </c>
      <c r="AI6513">
        <v>0</v>
      </c>
      <c r="AJ6513">
        <v>368.23</v>
      </c>
      <c r="AK6513">
        <v>0</v>
      </c>
      <c r="AL6513" t="s">
        <v>53</v>
      </c>
      <c r="AM6513" t="s">
        <v>53</v>
      </c>
      <c r="AN6513" t="s">
        <v>53</v>
      </c>
      <c r="AO6513" t="s">
        <v>53</v>
      </c>
      <c r="AP6513" t="s">
        <v>53</v>
      </c>
    </row>
    <row r="6514" spans="2:42" x14ac:dyDescent="0.2">
      <c r="B6514" t="s">
        <v>44</v>
      </c>
      <c r="C6514" t="str">
        <f>HYPERLINK("https://us2.cloudbeds.com/connect/8493803454333002#/reservations/9080486846771968?display=363RY6TFAZ&amp;reservation_id=9080486846771968", "363RY6TFAZ")</f>
        <v>363RY6TFAZ</v>
      </c>
      <c r="D6514" t="s">
        <v>45</v>
      </c>
      <c r="E6514" t="s">
        <v>113</v>
      </c>
      <c r="F6514" t="s">
        <v>61</v>
      </c>
      <c r="G6514" t="s">
        <v>48</v>
      </c>
      <c r="H6514" t="s">
        <v>49</v>
      </c>
      <c r="I6514" t="s">
        <v>50</v>
      </c>
      <c r="J6514" t="s">
        <v>7543</v>
      </c>
      <c r="K6514" t="s">
        <v>10893</v>
      </c>
      <c r="L6514" t="s">
        <v>53</v>
      </c>
      <c r="N6514" t="s">
        <v>11702</v>
      </c>
      <c r="P6514" t="s">
        <v>55</v>
      </c>
      <c r="R6514" t="s">
        <v>53</v>
      </c>
      <c r="T6514" t="s">
        <v>11703</v>
      </c>
      <c r="U6514" t="s">
        <v>58</v>
      </c>
      <c r="V6514">
        <v>2</v>
      </c>
      <c r="W6514">
        <v>1</v>
      </c>
      <c r="X6514">
        <v>2</v>
      </c>
      <c r="Y6514">
        <v>0</v>
      </c>
      <c r="Z6514">
        <v>2</v>
      </c>
      <c r="AA6514">
        <v>343.68</v>
      </c>
      <c r="AB6514">
        <v>343.68</v>
      </c>
      <c r="AC6514">
        <v>302.39999999999998</v>
      </c>
      <c r="AD6514">
        <v>0</v>
      </c>
      <c r="AE6514">
        <v>41.28</v>
      </c>
      <c r="AF6514">
        <v>0</v>
      </c>
      <c r="AG6514">
        <v>0</v>
      </c>
      <c r="AH6514">
        <v>0</v>
      </c>
      <c r="AI6514">
        <v>61.86</v>
      </c>
      <c r="AJ6514">
        <v>343.68</v>
      </c>
      <c r="AK6514">
        <v>0</v>
      </c>
      <c r="AL6514" t="s">
        <v>53</v>
      </c>
      <c r="AM6514" t="s">
        <v>53</v>
      </c>
      <c r="AN6514" t="s">
        <v>53</v>
      </c>
      <c r="AO6514" t="s">
        <v>53</v>
      </c>
      <c r="AP6514" t="s">
        <v>53</v>
      </c>
    </row>
    <row r="6515" spans="2:42" x14ac:dyDescent="0.2">
      <c r="B6515" t="s">
        <v>44</v>
      </c>
      <c r="C6515" t="str">
        <f>HYPERLINK("https://us2.cloudbeds.com/connect/8493803454333002#/reservations/9080486846772248?display=3643XGYRP2&amp;reservation_id=9080486846772248", "3643XGYRP2")</f>
        <v>3643XGYRP2</v>
      </c>
      <c r="D6515" t="s">
        <v>45</v>
      </c>
      <c r="E6515" t="s">
        <v>381</v>
      </c>
      <c r="F6515" t="s">
        <v>47</v>
      </c>
      <c r="G6515" t="s">
        <v>48</v>
      </c>
      <c r="H6515" t="s">
        <v>49</v>
      </c>
      <c r="I6515" t="s">
        <v>8964</v>
      </c>
      <c r="J6515" t="s">
        <v>9725</v>
      </c>
      <c r="K6515" t="s">
        <v>9610</v>
      </c>
      <c r="L6515" t="s">
        <v>53</v>
      </c>
      <c r="N6515" t="s">
        <v>11704</v>
      </c>
      <c r="P6515" t="s">
        <v>55</v>
      </c>
      <c r="R6515" t="s">
        <v>53</v>
      </c>
      <c r="T6515" t="s">
        <v>11705</v>
      </c>
      <c r="U6515" t="s">
        <v>55</v>
      </c>
      <c r="V6515">
        <v>1</v>
      </c>
      <c r="W6515">
        <v>1</v>
      </c>
      <c r="X6515">
        <v>1</v>
      </c>
      <c r="Y6515">
        <v>0</v>
      </c>
      <c r="Z6515">
        <v>1</v>
      </c>
      <c r="AA6515">
        <v>0</v>
      </c>
      <c r="AB6515">
        <v>0</v>
      </c>
      <c r="AC6515">
        <v>160</v>
      </c>
      <c r="AD6515">
        <v>0</v>
      </c>
      <c r="AE6515">
        <v>0</v>
      </c>
      <c r="AF6515">
        <v>0</v>
      </c>
      <c r="AG6515">
        <v>0</v>
      </c>
      <c r="AH6515">
        <v>0</v>
      </c>
      <c r="AI6515">
        <v>24</v>
      </c>
      <c r="AJ6515">
        <v>160</v>
      </c>
      <c r="AK6515">
        <v>160</v>
      </c>
      <c r="AL6515" t="s">
        <v>53</v>
      </c>
      <c r="AM6515" t="s">
        <v>53</v>
      </c>
      <c r="AN6515" t="s">
        <v>53</v>
      </c>
      <c r="AO6515" t="s">
        <v>53</v>
      </c>
      <c r="AP6515" t="s">
        <v>53</v>
      </c>
    </row>
    <row r="6516" spans="2:42" x14ac:dyDescent="0.2">
      <c r="B6516" t="s">
        <v>44</v>
      </c>
      <c r="C6516" t="str">
        <f>HYPERLINK("https://us2.cloudbeds.com/connect/8493803454333002#/reservations/9080486846772348?display=3646YWQB8N&amp;reservation_id=9080486846772348", "3646YWQB8N")</f>
        <v>3646YWQB8N</v>
      </c>
      <c r="D6516" t="s">
        <v>45</v>
      </c>
      <c r="E6516" t="s">
        <v>110</v>
      </c>
      <c r="F6516" t="s">
        <v>47</v>
      </c>
      <c r="G6516" t="s">
        <v>48</v>
      </c>
      <c r="H6516" t="s">
        <v>49</v>
      </c>
      <c r="I6516" t="s">
        <v>62</v>
      </c>
      <c r="J6516" t="s">
        <v>9610</v>
      </c>
      <c r="K6516" t="s">
        <v>7088</v>
      </c>
      <c r="L6516" t="s">
        <v>53</v>
      </c>
      <c r="N6516" t="s">
        <v>11706</v>
      </c>
      <c r="P6516" t="s">
        <v>55</v>
      </c>
      <c r="R6516" t="s">
        <v>56</v>
      </c>
      <c r="T6516" t="s">
        <v>11707</v>
      </c>
      <c r="U6516" t="s">
        <v>55</v>
      </c>
      <c r="V6516">
        <v>1</v>
      </c>
      <c r="W6516">
        <v>1</v>
      </c>
      <c r="X6516">
        <v>2</v>
      </c>
      <c r="Y6516">
        <v>0</v>
      </c>
      <c r="Z6516">
        <v>2</v>
      </c>
      <c r="AA6516">
        <v>158</v>
      </c>
      <c r="AB6516">
        <v>158</v>
      </c>
      <c r="AC6516">
        <v>158</v>
      </c>
      <c r="AD6516">
        <v>0</v>
      </c>
      <c r="AE6516">
        <v>0</v>
      </c>
      <c r="AF6516">
        <v>0</v>
      </c>
      <c r="AG6516">
        <v>0</v>
      </c>
      <c r="AH6516">
        <v>0</v>
      </c>
      <c r="AI6516">
        <v>28.44</v>
      </c>
      <c r="AJ6516">
        <v>158</v>
      </c>
      <c r="AK6516">
        <v>0</v>
      </c>
      <c r="AL6516" t="s">
        <v>53</v>
      </c>
      <c r="AM6516" t="s">
        <v>53</v>
      </c>
      <c r="AN6516" t="s">
        <v>53</v>
      </c>
      <c r="AO6516" t="s">
        <v>53</v>
      </c>
      <c r="AP6516" t="s">
        <v>53</v>
      </c>
    </row>
    <row r="6517" spans="2:42" x14ac:dyDescent="0.2">
      <c r="B6517" t="s">
        <v>44</v>
      </c>
      <c r="C6517" t="str">
        <f>HYPERLINK("https://us2.cloudbeds.com/connect/8493803454333002#/reservations/9080486846772361?display=36479QQEHZ&amp;reservation_id=9080486846772361", "36479QQEHZ")</f>
        <v>36479QQEHZ</v>
      </c>
      <c r="D6517" t="s">
        <v>45</v>
      </c>
      <c r="E6517" t="s">
        <v>179</v>
      </c>
      <c r="F6517" t="s">
        <v>47</v>
      </c>
      <c r="G6517" t="s">
        <v>48</v>
      </c>
      <c r="H6517" t="s">
        <v>49</v>
      </c>
      <c r="I6517" t="s">
        <v>50</v>
      </c>
      <c r="J6517" t="s">
        <v>9928</v>
      </c>
      <c r="K6517" t="s">
        <v>7492</v>
      </c>
      <c r="L6517" t="s">
        <v>53</v>
      </c>
      <c r="N6517" t="s">
        <v>11708</v>
      </c>
      <c r="P6517" t="s">
        <v>55</v>
      </c>
      <c r="R6517" t="s">
        <v>53</v>
      </c>
      <c r="T6517" t="s">
        <v>11709</v>
      </c>
      <c r="U6517" t="s">
        <v>58</v>
      </c>
      <c r="V6517">
        <v>1</v>
      </c>
      <c r="W6517">
        <v>1</v>
      </c>
      <c r="X6517">
        <v>1</v>
      </c>
      <c r="Y6517">
        <v>0</v>
      </c>
      <c r="Z6517">
        <v>1</v>
      </c>
      <c r="AA6517">
        <v>164.22</v>
      </c>
      <c r="AB6517">
        <v>164.22</v>
      </c>
      <c r="AC6517">
        <v>144.49</v>
      </c>
      <c r="AD6517">
        <v>0</v>
      </c>
      <c r="AE6517">
        <v>19.73</v>
      </c>
      <c r="AF6517">
        <v>0</v>
      </c>
      <c r="AG6517">
        <v>0</v>
      </c>
      <c r="AH6517">
        <v>0</v>
      </c>
      <c r="AI6517">
        <v>29.56</v>
      </c>
      <c r="AJ6517">
        <v>164.22</v>
      </c>
      <c r="AK6517">
        <v>0</v>
      </c>
      <c r="AL6517" t="s">
        <v>53</v>
      </c>
      <c r="AM6517" t="s">
        <v>53</v>
      </c>
      <c r="AN6517" t="s">
        <v>53</v>
      </c>
      <c r="AO6517" t="s">
        <v>53</v>
      </c>
      <c r="AP6517" t="s">
        <v>53</v>
      </c>
    </row>
    <row r="6518" spans="2:42" x14ac:dyDescent="0.2">
      <c r="B6518" t="s">
        <v>44</v>
      </c>
      <c r="C6518" t="str">
        <f>HYPERLINK("https://us2.cloudbeds.com/connect/8493803454333002#/reservations/9080486846772697?display=364XACJ92E&amp;reservation_id=9080486846772697", "364XACJ92E")</f>
        <v>364XACJ92E</v>
      </c>
      <c r="D6518" t="s">
        <v>45</v>
      </c>
      <c r="E6518" t="s">
        <v>213</v>
      </c>
      <c r="F6518" t="s">
        <v>86</v>
      </c>
      <c r="G6518" t="s">
        <v>48</v>
      </c>
      <c r="H6518" t="s">
        <v>49</v>
      </c>
      <c r="I6518" t="s">
        <v>62</v>
      </c>
      <c r="J6518" t="s">
        <v>7089</v>
      </c>
      <c r="K6518" t="s">
        <v>8437</v>
      </c>
      <c r="L6518" t="s">
        <v>53</v>
      </c>
      <c r="N6518" t="s">
        <v>11710</v>
      </c>
      <c r="P6518" t="s">
        <v>55</v>
      </c>
      <c r="R6518" t="s">
        <v>56</v>
      </c>
      <c r="T6518" t="s">
        <v>11711</v>
      </c>
      <c r="U6518" t="s">
        <v>55</v>
      </c>
      <c r="V6518">
        <v>1</v>
      </c>
      <c r="W6518">
        <v>1</v>
      </c>
      <c r="X6518">
        <v>2</v>
      </c>
      <c r="Y6518">
        <v>0</v>
      </c>
      <c r="Z6518">
        <v>2</v>
      </c>
      <c r="AA6518">
        <v>236</v>
      </c>
      <c r="AB6518">
        <v>236</v>
      </c>
      <c r="AC6518">
        <v>236</v>
      </c>
      <c r="AD6518">
        <v>0</v>
      </c>
      <c r="AE6518">
        <v>0</v>
      </c>
      <c r="AF6518">
        <v>0</v>
      </c>
      <c r="AG6518">
        <v>0</v>
      </c>
      <c r="AH6518">
        <v>0</v>
      </c>
      <c r="AI6518">
        <v>42.48</v>
      </c>
      <c r="AJ6518">
        <v>236</v>
      </c>
      <c r="AK6518">
        <v>0</v>
      </c>
      <c r="AL6518" t="s">
        <v>53</v>
      </c>
      <c r="AM6518" t="s">
        <v>53</v>
      </c>
      <c r="AN6518" t="s">
        <v>53</v>
      </c>
      <c r="AO6518" t="s">
        <v>53</v>
      </c>
      <c r="AP6518" t="s">
        <v>53</v>
      </c>
    </row>
    <row r="6519" spans="2:42" x14ac:dyDescent="0.2">
      <c r="B6519" t="s">
        <v>44</v>
      </c>
      <c r="C6519" t="str">
        <f>HYPERLINK("https://us2.cloudbeds.com/connect/8493803454333002#/reservations/9080486846773539?display=365B7ZNANM&amp;reservation_id=9080486846773539", "365B7ZNANM")</f>
        <v>365B7ZNANM</v>
      </c>
      <c r="D6519" t="s">
        <v>45</v>
      </c>
      <c r="E6519" t="s">
        <v>105</v>
      </c>
      <c r="F6519" t="s">
        <v>47</v>
      </c>
      <c r="G6519" t="s">
        <v>48</v>
      </c>
      <c r="H6519" t="s">
        <v>49</v>
      </c>
      <c r="I6519" t="s">
        <v>50</v>
      </c>
      <c r="J6519" t="s">
        <v>7089</v>
      </c>
      <c r="K6519" t="s">
        <v>8437</v>
      </c>
      <c r="L6519" t="s">
        <v>53</v>
      </c>
      <c r="N6519" t="s">
        <v>11712</v>
      </c>
      <c r="P6519" t="s">
        <v>55</v>
      </c>
      <c r="R6519" t="s">
        <v>53</v>
      </c>
      <c r="T6519" t="s">
        <v>11713</v>
      </c>
      <c r="U6519" t="s">
        <v>58</v>
      </c>
      <c r="V6519">
        <v>1</v>
      </c>
      <c r="W6519">
        <v>1</v>
      </c>
      <c r="X6519">
        <v>1</v>
      </c>
      <c r="Y6519">
        <v>0</v>
      </c>
      <c r="Z6519">
        <v>1</v>
      </c>
      <c r="AA6519">
        <v>205.77</v>
      </c>
      <c r="AB6519">
        <v>205.77</v>
      </c>
      <c r="AC6519">
        <v>181.05</v>
      </c>
      <c r="AD6519">
        <v>0</v>
      </c>
      <c r="AE6519">
        <v>24.72</v>
      </c>
      <c r="AF6519">
        <v>0</v>
      </c>
      <c r="AG6519">
        <v>0</v>
      </c>
      <c r="AH6519">
        <v>0</v>
      </c>
      <c r="AI6519">
        <v>37.04</v>
      </c>
      <c r="AJ6519">
        <v>205.77</v>
      </c>
      <c r="AK6519">
        <v>0</v>
      </c>
      <c r="AL6519" t="s">
        <v>53</v>
      </c>
      <c r="AM6519" t="s">
        <v>53</v>
      </c>
      <c r="AN6519" t="s">
        <v>53</v>
      </c>
      <c r="AO6519" t="s">
        <v>53</v>
      </c>
      <c r="AP6519" t="s">
        <v>53</v>
      </c>
    </row>
    <row r="6520" spans="2:42" x14ac:dyDescent="0.2">
      <c r="B6520" t="s">
        <v>44</v>
      </c>
      <c r="C6520" t="str">
        <f>HYPERLINK("https://us2.cloudbeds.com/connect/8493803454333002#/reservations/9080486846773577?display=365CC369VA&amp;reservation_id=9080486846773577", "365CC369VA")</f>
        <v>365CC369VA</v>
      </c>
      <c r="D6520" t="s">
        <v>45</v>
      </c>
      <c r="E6520" t="s">
        <v>190</v>
      </c>
      <c r="F6520" t="s">
        <v>61</v>
      </c>
      <c r="G6520" t="s">
        <v>48</v>
      </c>
      <c r="H6520" t="s">
        <v>49</v>
      </c>
      <c r="I6520" t="s">
        <v>50</v>
      </c>
      <c r="J6520" t="s">
        <v>6345</v>
      </c>
      <c r="K6520" t="s">
        <v>9688</v>
      </c>
      <c r="L6520" t="s">
        <v>53</v>
      </c>
      <c r="N6520" t="s">
        <v>11714</v>
      </c>
      <c r="P6520" t="s">
        <v>55</v>
      </c>
      <c r="R6520" t="s">
        <v>53</v>
      </c>
      <c r="T6520" t="s">
        <v>11715</v>
      </c>
      <c r="U6520" t="s">
        <v>58</v>
      </c>
      <c r="V6520">
        <v>3</v>
      </c>
      <c r="W6520">
        <v>1</v>
      </c>
      <c r="X6520">
        <v>2</v>
      </c>
      <c r="Y6520">
        <v>0</v>
      </c>
      <c r="Z6520">
        <v>2</v>
      </c>
      <c r="AA6520">
        <v>699.63</v>
      </c>
      <c r="AB6520">
        <v>699.63</v>
      </c>
      <c r="AC6520">
        <v>615.59</v>
      </c>
      <c r="AD6520">
        <v>0</v>
      </c>
      <c r="AE6520">
        <v>84.04</v>
      </c>
      <c r="AF6520">
        <v>0</v>
      </c>
      <c r="AG6520">
        <v>0</v>
      </c>
      <c r="AH6520">
        <v>0</v>
      </c>
      <c r="AI6520">
        <v>125.93</v>
      </c>
      <c r="AJ6520">
        <v>699.63</v>
      </c>
      <c r="AK6520">
        <v>0</v>
      </c>
      <c r="AL6520" t="s">
        <v>53</v>
      </c>
      <c r="AM6520" t="s">
        <v>53</v>
      </c>
      <c r="AN6520" t="s">
        <v>53</v>
      </c>
      <c r="AO6520" t="s">
        <v>53</v>
      </c>
      <c r="AP6520" t="s">
        <v>53</v>
      </c>
    </row>
    <row r="6521" spans="2:42" x14ac:dyDescent="0.2">
      <c r="B6521" t="s">
        <v>44</v>
      </c>
      <c r="C6521" t="str">
        <f>HYPERLINK("https://us2.cloudbeds.com/connect/8493803454333002#/reservations/147903980327058?display=365DUGTVZK&amp;reservation_id=147903980327058", "365DUGTVZK")</f>
        <v>365DUGTVZK</v>
      </c>
      <c r="D6521" t="s">
        <v>45</v>
      </c>
      <c r="E6521" t="s">
        <v>128</v>
      </c>
      <c r="F6521" t="s">
        <v>86</v>
      </c>
      <c r="G6521" t="s">
        <v>4520</v>
      </c>
      <c r="H6521" t="s">
        <v>3957</v>
      </c>
      <c r="I6521" t="s">
        <v>3958</v>
      </c>
      <c r="J6521" t="s">
        <v>5744</v>
      </c>
      <c r="K6521" t="s">
        <v>9610</v>
      </c>
      <c r="L6521" t="s">
        <v>53</v>
      </c>
      <c r="P6521" t="s">
        <v>55</v>
      </c>
      <c r="R6521" t="s">
        <v>56</v>
      </c>
      <c r="T6521" t="s">
        <v>11716</v>
      </c>
      <c r="U6521" t="s">
        <v>58</v>
      </c>
      <c r="V6521">
        <v>2</v>
      </c>
      <c r="W6521">
        <v>1</v>
      </c>
      <c r="X6521">
        <v>1</v>
      </c>
      <c r="Y6521">
        <v>0</v>
      </c>
      <c r="Z6521">
        <v>1</v>
      </c>
      <c r="AA6521">
        <v>368.22</v>
      </c>
      <c r="AB6521">
        <v>368.22</v>
      </c>
      <c r="AC6521">
        <v>324</v>
      </c>
      <c r="AD6521">
        <v>0</v>
      </c>
      <c r="AE6521">
        <v>44.22</v>
      </c>
      <c r="AF6521">
        <v>0</v>
      </c>
      <c r="AG6521">
        <v>0</v>
      </c>
      <c r="AH6521">
        <v>0</v>
      </c>
      <c r="AI6521">
        <v>0</v>
      </c>
      <c r="AJ6521">
        <v>368.22</v>
      </c>
      <c r="AK6521">
        <v>0</v>
      </c>
      <c r="AL6521" t="s">
        <v>53</v>
      </c>
      <c r="AM6521" t="s">
        <v>53</v>
      </c>
      <c r="AN6521" t="s">
        <v>53</v>
      </c>
      <c r="AO6521" t="s">
        <v>53</v>
      </c>
      <c r="AP6521" t="s">
        <v>53</v>
      </c>
    </row>
    <row r="6522" spans="2:42" x14ac:dyDescent="0.2">
      <c r="B6522" t="s">
        <v>44</v>
      </c>
      <c r="C6522" t="str">
        <f>HYPERLINK("https://us2.cloudbeds.com/connect/8493803454333002#/reservations/9080486846773699?display=365GVYCB9M&amp;reservation_id=9080486846773699", "365GVYCB9M")</f>
        <v>365GVYCB9M</v>
      </c>
      <c r="D6522" t="s">
        <v>45</v>
      </c>
      <c r="E6522" t="s">
        <v>373</v>
      </c>
      <c r="F6522" t="s">
        <v>47</v>
      </c>
      <c r="G6522" t="s">
        <v>48</v>
      </c>
      <c r="H6522" t="s">
        <v>49</v>
      </c>
      <c r="I6522" t="s">
        <v>50</v>
      </c>
      <c r="J6522" t="s">
        <v>9610</v>
      </c>
      <c r="K6522" t="s">
        <v>7088</v>
      </c>
      <c r="L6522" t="s">
        <v>53</v>
      </c>
      <c r="N6522" t="s">
        <v>11717</v>
      </c>
      <c r="P6522" t="s">
        <v>55</v>
      </c>
      <c r="R6522" t="s">
        <v>53</v>
      </c>
      <c r="T6522" t="s">
        <v>11718</v>
      </c>
      <c r="U6522" t="s">
        <v>58</v>
      </c>
      <c r="V6522">
        <v>1</v>
      </c>
      <c r="W6522">
        <v>1</v>
      </c>
      <c r="X6522">
        <v>2</v>
      </c>
      <c r="Y6522">
        <v>0</v>
      </c>
      <c r="Z6522">
        <v>2</v>
      </c>
      <c r="AA6522">
        <v>161.61000000000001</v>
      </c>
      <c r="AB6522">
        <v>161.61000000000001</v>
      </c>
      <c r="AC6522">
        <v>142.19999999999999</v>
      </c>
      <c r="AD6522">
        <v>0</v>
      </c>
      <c r="AE6522">
        <v>19.41</v>
      </c>
      <c r="AF6522">
        <v>0</v>
      </c>
      <c r="AG6522">
        <v>0</v>
      </c>
      <c r="AH6522">
        <v>0</v>
      </c>
      <c r="AI6522">
        <v>29.09</v>
      </c>
      <c r="AJ6522">
        <v>161.61000000000001</v>
      </c>
      <c r="AK6522">
        <v>0</v>
      </c>
      <c r="AL6522" t="s">
        <v>53</v>
      </c>
      <c r="AM6522" t="s">
        <v>53</v>
      </c>
      <c r="AN6522" t="s">
        <v>53</v>
      </c>
      <c r="AO6522" t="s">
        <v>53</v>
      </c>
      <c r="AP6522" t="s">
        <v>53</v>
      </c>
    </row>
    <row r="6523" spans="2:42" x14ac:dyDescent="0.2">
      <c r="B6523" t="s">
        <v>44</v>
      </c>
      <c r="C6523" t="str">
        <f>HYPERLINK("https://us2.cloudbeds.com/connect/8493803454333002#/reservations/9080486846773911?display=365ZDZ3DV8&amp;reservation_id=9080486846773911", "365ZDZ3DV8")</f>
        <v>365ZDZ3DV8</v>
      </c>
      <c r="D6523" t="s">
        <v>45</v>
      </c>
      <c r="E6523" t="s">
        <v>105</v>
      </c>
      <c r="F6523" t="s">
        <v>47</v>
      </c>
      <c r="G6523" t="s">
        <v>48</v>
      </c>
      <c r="H6523" t="s">
        <v>49</v>
      </c>
      <c r="I6523" t="s">
        <v>50</v>
      </c>
      <c r="J6523" t="s">
        <v>9687</v>
      </c>
      <c r="K6523" t="s">
        <v>9688</v>
      </c>
      <c r="L6523" t="s">
        <v>53</v>
      </c>
      <c r="N6523" t="s">
        <v>11719</v>
      </c>
      <c r="P6523" t="s">
        <v>55</v>
      </c>
      <c r="R6523" t="s">
        <v>53</v>
      </c>
      <c r="T6523" t="s">
        <v>11720</v>
      </c>
      <c r="U6523" t="s">
        <v>58</v>
      </c>
      <c r="V6523">
        <v>1</v>
      </c>
      <c r="W6523">
        <v>1</v>
      </c>
      <c r="X6523">
        <v>2</v>
      </c>
      <c r="Y6523">
        <v>0</v>
      </c>
      <c r="Z6523">
        <v>2</v>
      </c>
      <c r="AA6523">
        <v>204.06</v>
      </c>
      <c r="AB6523">
        <v>204.06</v>
      </c>
      <c r="AC6523">
        <v>179.55</v>
      </c>
      <c r="AD6523">
        <v>0</v>
      </c>
      <c r="AE6523">
        <v>24.51</v>
      </c>
      <c r="AF6523">
        <v>0</v>
      </c>
      <c r="AG6523">
        <v>0</v>
      </c>
      <c r="AH6523">
        <v>0</v>
      </c>
      <c r="AI6523">
        <v>36.729999999999997</v>
      </c>
      <c r="AJ6523">
        <v>204.06</v>
      </c>
      <c r="AK6523">
        <v>0</v>
      </c>
      <c r="AL6523" t="s">
        <v>53</v>
      </c>
      <c r="AM6523" t="s">
        <v>53</v>
      </c>
      <c r="AN6523" t="s">
        <v>53</v>
      </c>
      <c r="AO6523" t="s">
        <v>53</v>
      </c>
      <c r="AP6523" t="s">
        <v>53</v>
      </c>
    </row>
    <row r="6524" spans="2:42" x14ac:dyDescent="0.2">
      <c r="B6524" t="s">
        <v>44</v>
      </c>
      <c r="C6524" t="str">
        <f>HYPERLINK("https://us2.cloudbeds.com/connect/8493803454333002#/reservations/147934123962497?display=36648ZR1ZP&amp;reservation_id=147934123962497", "36648ZR1ZP")</f>
        <v>36648ZR1ZP</v>
      </c>
      <c r="D6524" t="s">
        <v>45</v>
      </c>
      <c r="E6524" t="s">
        <v>2713</v>
      </c>
      <c r="F6524" t="s">
        <v>86</v>
      </c>
      <c r="G6524" t="s">
        <v>3974</v>
      </c>
      <c r="H6524" t="s">
        <v>3957</v>
      </c>
      <c r="I6524" t="s">
        <v>3975</v>
      </c>
      <c r="J6524" t="s">
        <v>11721</v>
      </c>
      <c r="K6524" t="s">
        <v>10591</v>
      </c>
      <c r="L6524" t="s">
        <v>53</v>
      </c>
      <c r="P6524" t="s">
        <v>55</v>
      </c>
      <c r="R6524" t="s">
        <v>56</v>
      </c>
      <c r="T6524" t="s">
        <v>11722</v>
      </c>
      <c r="U6524" t="s">
        <v>58</v>
      </c>
      <c r="V6524">
        <v>2</v>
      </c>
      <c r="W6524">
        <v>2</v>
      </c>
      <c r="X6524">
        <v>4</v>
      </c>
      <c r="Y6524">
        <v>4</v>
      </c>
      <c r="Z6524">
        <v>8</v>
      </c>
      <c r="AA6524">
        <v>244.02</v>
      </c>
      <c r="AB6524">
        <v>244.02</v>
      </c>
      <c r="AC6524">
        <v>214.7</v>
      </c>
      <c r="AD6524">
        <v>0</v>
      </c>
      <c r="AE6524">
        <v>29.32</v>
      </c>
      <c r="AF6524">
        <v>0</v>
      </c>
      <c r="AG6524">
        <v>0</v>
      </c>
      <c r="AH6524">
        <v>0</v>
      </c>
      <c r="AI6524">
        <v>0</v>
      </c>
      <c r="AJ6524">
        <v>244.02</v>
      </c>
      <c r="AK6524">
        <v>0</v>
      </c>
      <c r="AL6524" t="s">
        <v>53</v>
      </c>
      <c r="AM6524" t="s">
        <v>53</v>
      </c>
      <c r="AN6524" t="s">
        <v>53</v>
      </c>
      <c r="AO6524" t="s">
        <v>53</v>
      </c>
      <c r="AP6524" t="s">
        <v>53</v>
      </c>
    </row>
    <row r="6525" spans="2:42" x14ac:dyDescent="0.2">
      <c r="B6525" t="s">
        <v>44</v>
      </c>
      <c r="C6525" t="str">
        <f>HYPERLINK("https://us2.cloudbeds.com/connect/8493803454333002#/reservations/147936135880914?display=3665R5AYDH&amp;reservation_id=147936135880914", "3665R5AYDH")</f>
        <v>3665R5AYDH</v>
      </c>
      <c r="D6525" t="s">
        <v>45</v>
      </c>
      <c r="E6525" t="s">
        <v>11723</v>
      </c>
      <c r="F6525" t="s">
        <v>86</v>
      </c>
      <c r="G6525" t="s">
        <v>48</v>
      </c>
      <c r="H6525" t="s">
        <v>3957</v>
      </c>
      <c r="I6525" t="s">
        <v>3975</v>
      </c>
      <c r="J6525" t="s">
        <v>10137</v>
      </c>
      <c r="K6525" t="s">
        <v>8865</v>
      </c>
      <c r="L6525" t="s">
        <v>53</v>
      </c>
      <c r="P6525" t="s">
        <v>55</v>
      </c>
      <c r="R6525" t="s">
        <v>56</v>
      </c>
      <c r="T6525" t="s">
        <v>11724</v>
      </c>
      <c r="U6525" t="s">
        <v>58</v>
      </c>
      <c r="V6525">
        <v>2</v>
      </c>
      <c r="W6525">
        <v>2</v>
      </c>
      <c r="X6525">
        <v>4</v>
      </c>
      <c r="Y6525">
        <v>4</v>
      </c>
      <c r="Z6525">
        <v>8</v>
      </c>
      <c r="AA6525">
        <v>297.77999999999997</v>
      </c>
      <c r="AB6525">
        <v>297.77999999999997</v>
      </c>
      <c r="AC6525">
        <v>262</v>
      </c>
      <c r="AD6525">
        <v>0</v>
      </c>
      <c r="AE6525">
        <v>35.78</v>
      </c>
      <c r="AF6525">
        <v>0</v>
      </c>
      <c r="AG6525">
        <v>0</v>
      </c>
      <c r="AH6525">
        <v>0</v>
      </c>
      <c r="AI6525">
        <v>0</v>
      </c>
      <c r="AJ6525">
        <v>297.77999999999997</v>
      </c>
      <c r="AK6525">
        <v>0</v>
      </c>
      <c r="AL6525" t="s">
        <v>53</v>
      </c>
      <c r="AM6525" t="s">
        <v>53</v>
      </c>
      <c r="AN6525" t="s">
        <v>53</v>
      </c>
      <c r="AO6525" t="s">
        <v>53</v>
      </c>
      <c r="AP6525" t="s">
        <v>53</v>
      </c>
    </row>
    <row r="6526" spans="2:42" x14ac:dyDescent="0.2">
      <c r="B6526" t="s">
        <v>44</v>
      </c>
      <c r="C6526" t="str">
        <f>HYPERLINK("https://us2.cloudbeds.com/connect/8493803454333002#/reservations/9080486846774342?display=366CB0ECFF&amp;reservation_id=9080486846774342", "366CB0ECFF")</f>
        <v>366CB0ECFF</v>
      </c>
      <c r="D6526" t="s">
        <v>45</v>
      </c>
      <c r="E6526" t="s">
        <v>223</v>
      </c>
      <c r="F6526" t="s">
        <v>47</v>
      </c>
      <c r="G6526" t="s">
        <v>48</v>
      </c>
      <c r="H6526" t="s">
        <v>49</v>
      </c>
      <c r="I6526" t="s">
        <v>8964</v>
      </c>
      <c r="J6526" t="s">
        <v>5744</v>
      </c>
      <c r="K6526" t="s">
        <v>9725</v>
      </c>
      <c r="L6526" t="s">
        <v>53</v>
      </c>
      <c r="N6526" t="s">
        <v>11725</v>
      </c>
      <c r="P6526" t="s">
        <v>55</v>
      </c>
      <c r="R6526" t="s">
        <v>53</v>
      </c>
      <c r="T6526" t="s">
        <v>11726</v>
      </c>
      <c r="U6526" t="s">
        <v>55</v>
      </c>
      <c r="V6526">
        <v>1</v>
      </c>
      <c r="W6526">
        <v>1</v>
      </c>
      <c r="X6526">
        <v>2</v>
      </c>
      <c r="Y6526">
        <v>0</v>
      </c>
      <c r="Z6526">
        <v>2</v>
      </c>
      <c r="AA6526">
        <v>0</v>
      </c>
      <c r="AB6526">
        <v>0</v>
      </c>
      <c r="AC6526">
        <v>170</v>
      </c>
      <c r="AD6526">
        <v>0</v>
      </c>
      <c r="AE6526">
        <v>0</v>
      </c>
      <c r="AF6526">
        <v>0</v>
      </c>
      <c r="AG6526">
        <v>0</v>
      </c>
      <c r="AH6526">
        <v>0</v>
      </c>
      <c r="AI6526">
        <v>25.5</v>
      </c>
      <c r="AJ6526">
        <v>170</v>
      </c>
      <c r="AK6526">
        <v>170</v>
      </c>
      <c r="AL6526" t="s">
        <v>53</v>
      </c>
      <c r="AM6526" t="s">
        <v>53</v>
      </c>
      <c r="AN6526" t="s">
        <v>53</v>
      </c>
      <c r="AO6526" t="s">
        <v>53</v>
      </c>
      <c r="AP6526" t="s">
        <v>53</v>
      </c>
    </row>
    <row r="6527" spans="2:42" x14ac:dyDescent="0.2">
      <c r="B6527" t="s">
        <v>44</v>
      </c>
      <c r="C6527" t="str">
        <f>HYPERLINK("https://us2.cloudbeds.com/connect/8493803454333002#/reservations/9080486846774525?display=366YWVVUMK&amp;reservation_id=9080486846774525", "366YWVVUMK")</f>
        <v>366YWVVUMK</v>
      </c>
      <c r="D6527" t="s">
        <v>45</v>
      </c>
      <c r="E6527" t="s">
        <v>121</v>
      </c>
      <c r="F6527" t="s">
        <v>86</v>
      </c>
      <c r="G6527" t="s">
        <v>48</v>
      </c>
      <c r="H6527" t="s">
        <v>49</v>
      </c>
      <c r="I6527" t="s">
        <v>50</v>
      </c>
      <c r="J6527" t="s">
        <v>9725</v>
      </c>
      <c r="K6527" t="s">
        <v>7088</v>
      </c>
      <c r="L6527" t="s">
        <v>53</v>
      </c>
      <c r="N6527" t="s">
        <v>11727</v>
      </c>
      <c r="P6527" t="s">
        <v>55</v>
      </c>
      <c r="R6527" t="s">
        <v>53</v>
      </c>
      <c r="T6527" t="s">
        <v>11728</v>
      </c>
      <c r="U6527" t="s">
        <v>58</v>
      </c>
      <c r="V6527">
        <v>2</v>
      </c>
      <c r="W6527">
        <v>1</v>
      </c>
      <c r="X6527">
        <v>3</v>
      </c>
      <c r="Y6527">
        <v>1</v>
      </c>
      <c r="Z6527">
        <v>4</v>
      </c>
      <c r="AA6527">
        <v>357.99</v>
      </c>
      <c r="AB6527">
        <v>357.99</v>
      </c>
      <c r="AC6527">
        <v>315</v>
      </c>
      <c r="AD6527">
        <v>0</v>
      </c>
      <c r="AE6527">
        <v>42.99</v>
      </c>
      <c r="AF6527">
        <v>0</v>
      </c>
      <c r="AG6527">
        <v>0</v>
      </c>
      <c r="AH6527">
        <v>0</v>
      </c>
      <c r="AI6527">
        <v>64.44</v>
      </c>
      <c r="AJ6527">
        <v>357.99</v>
      </c>
      <c r="AK6527">
        <v>0</v>
      </c>
      <c r="AL6527" t="s">
        <v>53</v>
      </c>
      <c r="AM6527" t="s">
        <v>53</v>
      </c>
      <c r="AN6527" t="s">
        <v>53</v>
      </c>
      <c r="AO6527" t="s">
        <v>53</v>
      </c>
      <c r="AP6527" t="s">
        <v>53</v>
      </c>
    </row>
    <row r="6528" spans="2:42" x14ac:dyDescent="0.2">
      <c r="B6528" t="s">
        <v>44</v>
      </c>
      <c r="C6528" t="str">
        <f>HYPERLINK("https://us2.cloudbeds.com/connect/8493803454333002#/reservations/9080486846774634?display=366S5ZQYKK&amp;reservation_id=9080486846774634", "366S5ZQYKK")</f>
        <v>366S5ZQYKK</v>
      </c>
      <c r="D6528" t="s">
        <v>45</v>
      </c>
      <c r="E6528" t="s">
        <v>92</v>
      </c>
      <c r="F6528" t="s">
        <v>86</v>
      </c>
      <c r="G6528" t="s">
        <v>48</v>
      </c>
      <c r="H6528" t="s">
        <v>49</v>
      </c>
      <c r="I6528" t="s">
        <v>50</v>
      </c>
      <c r="J6528" t="s">
        <v>8616</v>
      </c>
      <c r="K6528" t="s">
        <v>7438</v>
      </c>
      <c r="L6528" t="s">
        <v>53</v>
      </c>
      <c r="N6528" t="s">
        <v>11729</v>
      </c>
      <c r="P6528" t="s">
        <v>55</v>
      </c>
      <c r="R6528" t="s">
        <v>53</v>
      </c>
      <c r="T6528" t="s">
        <v>11730</v>
      </c>
      <c r="U6528" t="s">
        <v>58</v>
      </c>
      <c r="V6528">
        <v>3</v>
      </c>
      <c r="W6528">
        <v>1</v>
      </c>
      <c r="X6528">
        <v>2</v>
      </c>
      <c r="Y6528">
        <v>0</v>
      </c>
      <c r="Z6528">
        <v>2</v>
      </c>
      <c r="AA6528">
        <v>430.97</v>
      </c>
      <c r="AB6528">
        <v>430.97</v>
      </c>
      <c r="AC6528">
        <v>379.2</v>
      </c>
      <c r="AD6528">
        <v>0</v>
      </c>
      <c r="AE6528">
        <v>51.77</v>
      </c>
      <c r="AF6528">
        <v>0</v>
      </c>
      <c r="AG6528">
        <v>0</v>
      </c>
      <c r="AH6528">
        <v>0</v>
      </c>
      <c r="AI6528">
        <v>77.569999999999993</v>
      </c>
      <c r="AJ6528">
        <v>430.97</v>
      </c>
      <c r="AK6528">
        <v>0</v>
      </c>
      <c r="AL6528" t="s">
        <v>53</v>
      </c>
      <c r="AM6528" t="s">
        <v>53</v>
      </c>
      <c r="AN6528" t="s">
        <v>53</v>
      </c>
      <c r="AO6528" t="s">
        <v>53</v>
      </c>
      <c r="AP6528" t="s">
        <v>53</v>
      </c>
    </row>
    <row r="6529" spans="2:42" x14ac:dyDescent="0.2">
      <c r="B6529" t="s">
        <v>44</v>
      </c>
      <c r="C6529" t="str">
        <f>HYPERLINK("https://us2.cloudbeds.com/connect/8493803454333002#/reservations/147970766184652?display=366WY1GTM3&amp;reservation_id=147970766184652", "366WY1GTM3")</f>
        <v>366WY1GTM3</v>
      </c>
      <c r="D6529" t="s">
        <v>45</v>
      </c>
      <c r="E6529" t="s">
        <v>165</v>
      </c>
      <c r="F6529" t="s">
        <v>61</v>
      </c>
      <c r="G6529" t="s">
        <v>48</v>
      </c>
      <c r="H6529" t="s">
        <v>3957</v>
      </c>
      <c r="I6529" t="s">
        <v>3975</v>
      </c>
      <c r="J6529" t="s">
        <v>8678</v>
      </c>
      <c r="K6529" t="s">
        <v>9687</v>
      </c>
      <c r="L6529" t="s">
        <v>53</v>
      </c>
      <c r="P6529" t="s">
        <v>55</v>
      </c>
      <c r="R6529" t="s">
        <v>56</v>
      </c>
      <c r="T6529" t="s">
        <v>11731</v>
      </c>
      <c r="U6529" t="s">
        <v>58</v>
      </c>
      <c r="V6529">
        <v>1</v>
      </c>
      <c r="W6529">
        <v>1</v>
      </c>
      <c r="X6529">
        <v>2</v>
      </c>
      <c r="Y6529">
        <v>0</v>
      </c>
      <c r="Z6529">
        <v>2</v>
      </c>
      <c r="AA6529">
        <v>290.94</v>
      </c>
      <c r="AB6529">
        <v>290.94</v>
      </c>
      <c r="AC6529">
        <v>256</v>
      </c>
      <c r="AD6529">
        <v>0</v>
      </c>
      <c r="AE6529">
        <v>34.94</v>
      </c>
      <c r="AF6529">
        <v>0</v>
      </c>
      <c r="AG6529">
        <v>0</v>
      </c>
      <c r="AH6529">
        <v>0</v>
      </c>
      <c r="AI6529">
        <v>0</v>
      </c>
      <c r="AJ6529">
        <v>290.94</v>
      </c>
      <c r="AK6529">
        <v>0</v>
      </c>
      <c r="AL6529" t="s">
        <v>53</v>
      </c>
      <c r="AM6529" t="s">
        <v>53</v>
      </c>
      <c r="AN6529" t="s">
        <v>53</v>
      </c>
      <c r="AO6529" t="s">
        <v>53</v>
      </c>
      <c r="AP6529" t="s">
        <v>53</v>
      </c>
    </row>
    <row r="6530" spans="2:42" x14ac:dyDescent="0.2">
      <c r="B6530" t="s">
        <v>44</v>
      </c>
      <c r="C6530" t="str">
        <f>HYPERLINK("https://us2.cloudbeds.com/connect/8493803454333002#/reservations/9080486846775229?display=367NNMF4SH&amp;reservation_id=9080486846775229", "367NNMF4SH")</f>
        <v>367NNMF4SH</v>
      </c>
      <c r="D6530" t="s">
        <v>45</v>
      </c>
      <c r="E6530" t="s">
        <v>138</v>
      </c>
      <c r="F6530" t="s">
        <v>70</v>
      </c>
      <c r="G6530" t="s">
        <v>48</v>
      </c>
      <c r="H6530" t="s">
        <v>49</v>
      </c>
      <c r="I6530" t="s">
        <v>62</v>
      </c>
      <c r="J6530" t="s">
        <v>7543</v>
      </c>
      <c r="K6530" t="s">
        <v>10893</v>
      </c>
      <c r="L6530" t="s">
        <v>53</v>
      </c>
      <c r="N6530" t="s">
        <v>11732</v>
      </c>
      <c r="P6530" t="s">
        <v>55</v>
      </c>
      <c r="R6530" t="s">
        <v>11733</v>
      </c>
      <c r="T6530" t="s">
        <v>11734</v>
      </c>
      <c r="U6530" t="s">
        <v>55</v>
      </c>
      <c r="V6530">
        <v>2</v>
      </c>
      <c r="W6530">
        <v>1</v>
      </c>
      <c r="X6530">
        <v>2</v>
      </c>
      <c r="Y6530">
        <v>0</v>
      </c>
      <c r="Z6530">
        <v>2</v>
      </c>
      <c r="AA6530">
        <v>247.95</v>
      </c>
      <c r="AB6530">
        <v>247.95</v>
      </c>
      <c r="AC6530">
        <v>247.95</v>
      </c>
      <c r="AD6530">
        <v>0</v>
      </c>
      <c r="AE6530">
        <v>0</v>
      </c>
      <c r="AF6530">
        <v>0</v>
      </c>
      <c r="AG6530">
        <v>0</v>
      </c>
      <c r="AH6530">
        <v>0</v>
      </c>
      <c r="AI6530">
        <v>44.63</v>
      </c>
      <c r="AJ6530">
        <v>247.95</v>
      </c>
      <c r="AK6530">
        <v>0</v>
      </c>
      <c r="AL6530" t="s">
        <v>53</v>
      </c>
      <c r="AM6530" t="s">
        <v>53</v>
      </c>
      <c r="AN6530" t="s">
        <v>53</v>
      </c>
      <c r="AO6530" t="s">
        <v>53</v>
      </c>
      <c r="AP6530" t="s">
        <v>53</v>
      </c>
    </row>
    <row r="6531" spans="2:42" x14ac:dyDescent="0.2">
      <c r="B6531" t="s">
        <v>44</v>
      </c>
      <c r="C6531" t="str">
        <f>HYPERLINK("https://us2.cloudbeds.com/connect/8493803454333002#/reservations/9080486846775819?display=368PGZW3HY&amp;reservation_id=9080486846775819", "368PGZW3HY")</f>
        <v>368PGZW3HY</v>
      </c>
      <c r="D6531" t="s">
        <v>45</v>
      </c>
      <c r="E6531" t="s">
        <v>179</v>
      </c>
      <c r="F6531" t="s">
        <v>47</v>
      </c>
      <c r="G6531" t="s">
        <v>48</v>
      </c>
      <c r="H6531" t="s">
        <v>49</v>
      </c>
      <c r="I6531" t="s">
        <v>50</v>
      </c>
      <c r="J6531" t="s">
        <v>7492</v>
      </c>
      <c r="K6531" t="s">
        <v>7493</v>
      </c>
      <c r="L6531" t="s">
        <v>53</v>
      </c>
      <c r="N6531" t="s">
        <v>11735</v>
      </c>
      <c r="P6531" t="s">
        <v>55</v>
      </c>
      <c r="R6531" t="s">
        <v>53</v>
      </c>
      <c r="T6531" t="s">
        <v>11736</v>
      </c>
      <c r="U6531" t="s">
        <v>58</v>
      </c>
      <c r="V6531">
        <v>1</v>
      </c>
      <c r="W6531">
        <v>1</v>
      </c>
      <c r="X6531">
        <v>2</v>
      </c>
      <c r="Y6531">
        <v>0</v>
      </c>
      <c r="Z6531">
        <v>2</v>
      </c>
      <c r="AA6531">
        <v>145.1</v>
      </c>
      <c r="AB6531">
        <v>145.1</v>
      </c>
      <c r="AC6531">
        <v>127.68</v>
      </c>
      <c r="AD6531">
        <v>0</v>
      </c>
      <c r="AE6531">
        <v>17.420000000000002</v>
      </c>
      <c r="AF6531">
        <v>0</v>
      </c>
      <c r="AG6531">
        <v>0</v>
      </c>
      <c r="AH6531">
        <v>0</v>
      </c>
      <c r="AI6531">
        <v>26.12</v>
      </c>
      <c r="AJ6531">
        <v>145.1</v>
      </c>
      <c r="AK6531">
        <v>0</v>
      </c>
      <c r="AL6531" t="s">
        <v>53</v>
      </c>
      <c r="AM6531" t="s">
        <v>53</v>
      </c>
      <c r="AN6531" t="s">
        <v>53</v>
      </c>
      <c r="AO6531" t="s">
        <v>53</v>
      </c>
      <c r="AP6531" t="s">
        <v>53</v>
      </c>
    </row>
    <row r="6532" spans="2:42" x14ac:dyDescent="0.2">
      <c r="B6532" t="s">
        <v>44</v>
      </c>
      <c r="C6532" t="str">
        <f>HYPERLINK("https://us2.cloudbeds.com/connect/8493803454333002#/reservations/9080486846775820?display=368PANXDCK&amp;reservation_id=9080486846775820", "368PANXDCK")</f>
        <v>368PANXDCK</v>
      </c>
      <c r="D6532" t="s">
        <v>45</v>
      </c>
      <c r="E6532" t="s">
        <v>46</v>
      </c>
      <c r="F6532" t="s">
        <v>47</v>
      </c>
      <c r="G6532" t="s">
        <v>48</v>
      </c>
      <c r="H6532" t="s">
        <v>49</v>
      </c>
      <c r="I6532" t="s">
        <v>50</v>
      </c>
      <c r="J6532" t="s">
        <v>7492</v>
      </c>
      <c r="K6532" t="s">
        <v>7493</v>
      </c>
      <c r="L6532" t="s">
        <v>53</v>
      </c>
      <c r="N6532" t="s">
        <v>11737</v>
      </c>
      <c r="P6532" t="s">
        <v>55</v>
      </c>
      <c r="R6532" t="s">
        <v>53</v>
      </c>
      <c r="T6532" t="s">
        <v>11738</v>
      </c>
      <c r="U6532" t="s">
        <v>58</v>
      </c>
      <c r="V6532">
        <v>1</v>
      </c>
      <c r="W6532">
        <v>1</v>
      </c>
      <c r="X6532">
        <v>2</v>
      </c>
      <c r="Y6532">
        <v>0</v>
      </c>
      <c r="Z6532">
        <v>2</v>
      </c>
      <c r="AA6532">
        <v>145.1</v>
      </c>
      <c r="AB6532">
        <v>145.1</v>
      </c>
      <c r="AC6532">
        <v>127.68</v>
      </c>
      <c r="AD6532">
        <v>0</v>
      </c>
      <c r="AE6532">
        <v>17.420000000000002</v>
      </c>
      <c r="AF6532">
        <v>0</v>
      </c>
      <c r="AG6532">
        <v>0</v>
      </c>
      <c r="AH6532">
        <v>0</v>
      </c>
      <c r="AI6532">
        <v>26.12</v>
      </c>
      <c r="AJ6532">
        <v>145.1</v>
      </c>
      <c r="AK6532">
        <v>0</v>
      </c>
      <c r="AL6532" t="s">
        <v>53</v>
      </c>
      <c r="AM6532" t="s">
        <v>53</v>
      </c>
      <c r="AN6532" t="s">
        <v>53</v>
      </c>
      <c r="AO6532" t="s">
        <v>53</v>
      </c>
      <c r="AP6532" t="s">
        <v>53</v>
      </c>
    </row>
    <row r="6533" spans="2:42" x14ac:dyDescent="0.2">
      <c r="B6533" t="s">
        <v>44</v>
      </c>
      <c r="C6533" t="str">
        <f>HYPERLINK("https://us2.cloudbeds.com/connect/8493803454333002#/reservations/9080486846775821?display=368PANXDCY&amp;reservation_id=9080486846775821", "368PANXDCY")</f>
        <v>368PANXDCY</v>
      </c>
      <c r="D6533" t="s">
        <v>45</v>
      </c>
      <c r="E6533" t="s">
        <v>223</v>
      </c>
      <c r="F6533" t="s">
        <v>47</v>
      </c>
      <c r="G6533" t="s">
        <v>48</v>
      </c>
      <c r="H6533" t="s">
        <v>49</v>
      </c>
      <c r="I6533" t="s">
        <v>50</v>
      </c>
      <c r="J6533" t="s">
        <v>7492</v>
      </c>
      <c r="K6533" t="s">
        <v>7493</v>
      </c>
      <c r="L6533" t="s">
        <v>53</v>
      </c>
      <c r="N6533" t="s">
        <v>11739</v>
      </c>
      <c r="P6533" t="s">
        <v>55</v>
      </c>
      <c r="R6533" t="s">
        <v>53</v>
      </c>
      <c r="T6533" t="s">
        <v>11740</v>
      </c>
      <c r="U6533" t="s">
        <v>58</v>
      </c>
      <c r="V6533">
        <v>1</v>
      </c>
      <c r="W6533">
        <v>1</v>
      </c>
      <c r="X6533">
        <v>2</v>
      </c>
      <c r="Y6533">
        <v>0</v>
      </c>
      <c r="Z6533">
        <v>2</v>
      </c>
      <c r="AA6533">
        <v>145.1</v>
      </c>
      <c r="AB6533">
        <v>145.1</v>
      </c>
      <c r="AC6533">
        <v>127.68</v>
      </c>
      <c r="AD6533">
        <v>0</v>
      </c>
      <c r="AE6533">
        <v>17.420000000000002</v>
      </c>
      <c r="AF6533">
        <v>0</v>
      </c>
      <c r="AG6533">
        <v>0</v>
      </c>
      <c r="AH6533">
        <v>0</v>
      </c>
      <c r="AI6533">
        <v>26.12</v>
      </c>
      <c r="AJ6533">
        <v>145.1</v>
      </c>
      <c r="AK6533">
        <v>0</v>
      </c>
      <c r="AL6533" t="s">
        <v>53</v>
      </c>
      <c r="AM6533" t="s">
        <v>53</v>
      </c>
      <c r="AN6533" t="s">
        <v>53</v>
      </c>
      <c r="AO6533" t="s">
        <v>53</v>
      </c>
      <c r="AP6533" t="s">
        <v>53</v>
      </c>
    </row>
    <row r="6534" spans="2:42" x14ac:dyDescent="0.2">
      <c r="B6534" t="s">
        <v>44</v>
      </c>
      <c r="C6534" t="str">
        <f>HYPERLINK("https://us2.cloudbeds.com/connect/8493803454333002#/reservations/9080486846778070?display=36BJ1EHYSR&amp;reservation_id=9080486846778070", "36BJ1EHYSR")</f>
        <v>36BJ1EHYSR</v>
      </c>
      <c r="D6534" t="s">
        <v>45</v>
      </c>
      <c r="E6534" t="s">
        <v>98</v>
      </c>
      <c r="F6534" t="s">
        <v>86</v>
      </c>
      <c r="G6534" t="s">
        <v>48</v>
      </c>
      <c r="H6534" t="s">
        <v>49</v>
      </c>
      <c r="I6534" t="s">
        <v>8964</v>
      </c>
      <c r="J6534" t="s">
        <v>9610</v>
      </c>
      <c r="K6534" t="s">
        <v>7088</v>
      </c>
      <c r="L6534" t="s">
        <v>53</v>
      </c>
      <c r="N6534" t="s">
        <v>11741</v>
      </c>
      <c r="P6534" t="s">
        <v>55</v>
      </c>
      <c r="R6534" t="s">
        <v>53</v>
      </c>
      <c r="T6534" t="s">
        <v>11742</v>
      </c>
      <c r="U6534" t="s">
        <v>55</v>
      </c>
      <c r="V6534">
        <v>1</v>
      </c>
      <c r="W6534">
        <v>1</v>
      </c>
      <c r="X6534">
        <v>2</v>
      </c>
      <c r="Y6534">
        <v>0</v>
      </c>
      <c r="Z6534">
        <v>2</v>
      </c>
      <c r="AA6534">
        <v>0</v>
      </c>
      <c r="AB6534">
        <v>0</v>
      </c>
      <c r="AC6534">
        <v>188</v>
      </c>
      <c r="AD6534">
        <v>0</v>
      </c>
      <c r="AE6534">
        <v>0</v>
      </c>
      <c r="AF6534">
        <v>0</v>
      </c>
      <c r="AG6534">
        <v>0</v>
      </c>
      <c r="AH6534">
        <v>0</v>
      </c>
      <c r="AI6534">
        <v>28.2</v>
      </c>
      <c r="AJ6534">
        <v>188</v>
      </c>
      <c r="AK6534">
        <v>188</v>
      </c>
      <c r="AL6534" t="s">
        <v>53</v>
      </c>
      <c r="AM6534" t="s">
        <v>53</v>
      </c>
      <c r="AN6534" t="s">
        <v>53</v>
      </c>
      <c r="AO6534" t="s">
        <v>53</v>
      </c>
      <c r="AP6534" t="s">
        <v>53</v>
      </c>
    </row>
    <row r="6535" spans="2:42" x14ac:dyDescent="0.2">
      <c r="B6535" t="s">
        <v>44</v>
      </c>
      <c r="C6535" t="str">
        <f>HYPERLINK("https://us2.cloudbeds.com/connect/8493803454333002#/reservations/148168557891731?display=36BKQ2NNJD&amp;reservation_id=148168557891731", "36BKQ2NNJD")</f>
        <v>36BKQ2NNJD</v>
      </c>
      <c r="D6535" t="s">
        <v>45</v>
      </c>
      <c r="E6535" t="s">
        <v>138</v>
      </c>
      <c r="F6535" t="s">
        <v>70</v>
      </c>
      <c r="G6535" t="s">
        <v>48</v>
      </c>
      <c r="H6535" t="s">
        <v>3957</v>
      </c>
      <c r="I6535" t="s">
        <v>3975</v>
      </c>
      <c r="J6535" t="s">
        <v>9610</v>
      </c>
      <c r="K6535" t="s">
        <v>9620</v>
      </c>
      <c r="L6535" t="s">
        <v>53</v>
      </c>
      <c r="P6535" t="s">
        <v>55</v>
      </c>
      <c r="R6535" t="s">
        <v>56</v>
      </c>
      <c r="T6535" t="s">
        <v>11743</v>
      </c>
      <c r="U6535" t="s">
        <v>58</v>
      </c>
      <c r="V6535">
        <v>2</v>
      </c>
      <c r="W6535">
        <v>1</v>
      </c>
      <c r="X6535">
        <v>2</v>
      </c>
      <c r="Y6535">
        <v>0</v>
      </c>
      <c r="Z6535">
        <v>2</v>
      </c>
      <c r="AA6535">
        <v>343.23</v>
      </c>
      <c r="AB6535">
        <v>343.23</v>
      </c>
      <c r="AC6535">
        <v>302</v>
      </c>
      <c r="AD6535">
        <v>0</v>
      </c>
      <c r="AE6535">
        <v>41.23</v>
      </c>
      <c r="AF6535">
        <v>0</v>
      </c>
      <c r="AG6535">
        <v>0</v>
      </c>
      <c r="AH6535">
        <v>0</v>
      </c>
      <c r="AI6535">
        <v>0</v>
      </c>
      <c r="AJ6535">
        <v>343.23</v>
      </c>
      <c r="AK6535">
        <v>0</v>
      </c>
      <c r="AL6535" t="s">
        <v>53</v>
      </c>
      <c r="AM6535" t="s">
        <v>53</v>
      </c>
      <c r="AN6535" t="s">
        <v>53</v>
      </c>
      <c r="AO6535" t="s">
        <v>53</v>
      </c>
      <c r="AP6535" t="s">
        <v>53</v>
      </c>
    </row>
    <row r="6536" spans="2:42" x14ac:dyDescent="0.2">
      <c r="B6536" t="s">
        <v>44</v>
      </c>
      <c r="C6536" t="str">
        <f>HYPERLINK("https://us2.cloudbeds.com/connect/8493803454333002#/reservations/9080486846778315?display=36BRKVASHN&amp;reservation_id=9080486846778315", "36BRKVASHN")</f>
        <v>36BRKVASHN</v>
      </c>
      <c r="D6536" t="s">
        <v>45</v>
      </c>
      <c r="E6536" t="s">
        <v>223</v>
      </c>
      <c r="F6536" t="s">
        <v>47</v>
      </c>
      <c r="G6536" t="s">
        <v>48</v>
      </c>
      <c r="H6536" t="s">
        <v>49</v>
      </c>
      <c r="I6536" t="s">
        <v>62</v>
      </c>
      <c r="J6536" t="s">
        <v>9928</v>
      </c>
      <c r="K6536" t="s">
        <v>7492</v>
      </c>
      <c r="L6536" t="s">
        <v>53</v>
      </c>
      <c r="N6536" t="s">
        <v>11744</v>
      </c>
      <c r="P6536" t="s">
        <v>55</v>
      </c>
      <c r="R6536" t="s">
        <v>56</v>
      </c>
      <c r="T6536" t="s">
        <v>11745</v>
      </c>
      <c r="U6536" t="s">
        <v>55</v>
      </c>
      <c r="V6536">
        <v>1</v>
      </c>
      <c r="W6536">
        <v>1</v>
      </c>
      <c r="X6536">
        <v>2</v>
      </c>
      <c r="Y6536">
        <v>0</v>
      </c>
      <c r="Z6536">
        <v>2</v>
      </c>
      <c r="AA6536">
        <v>184</v>
      </c>
      <c r="AB6536">
        <v>184</v>
      </c>
      <c r="AC6536">
        <v>184</v>
      </c>
      <c r="AD6536">
        <v>0</v>
      </c>
      <c r="AE6536">
        <v>0</v>
      </c>
      <c r="AF6536">
        <v>0</v>
      </c>
      <c r="AG6536">
        <v>0</v>
      </c>
      <c r="AH6536">
        <v>0</v>
      </c>
      <c r="AI6536">
        <v>33.119999999999997</v>
      </c>
      <c r="AJ6536">
        <v>184</v>
      </c>
      <c r="AK6536">
        <v>0</v>
      </c>
      <c r="AL6536" t="s">
        <v>53</v>
      </c>
      <c r="AM6536" t="s">
        <v>53</v>
      </c>
      <c r="AN6536" t="s">
        <v>53</v>
      </c>
      <c r="AO6536" t="s">
        <v>53</v>
      </c>
      <c r="AP6536" t="s">
        <v>53</v>
      </c>
    </row>
    <row r="6537" spans="2:42" x14ac:dyDescent="0.2">
      <c r="B6537" t="s">
        <v>44</v>
      </c>
      <c r="C6537" t="str">
        <f>HYPERLINK("https://us2.cloudbeds.com/connect/8493803454333002#/reservations/9080486846778373?display=36BSUMYP1D&amp;reservation_id=9080486846778373", "36BSUMYP1D")</f>
        <v>36BSUMYP1D</v>
      </c>
      <c r="D6537" t="s">
        <v>45</v>
      </c>
      <c r="E6537" t="s">
        <v>165</v>
      </c>
      <c r="F6537" t="s">
        <v>61</v>
      </c>
      <c r="G6537" t="s">
        <v>48</v>
      </c>
      <c r="H6537" t="s">
        <v>49</v>
      </c>
      <c r="I6537" t="s">
        <v>50</v>
      </c>
      <c r="J6537" t="s">
        <v>9725</v>
      </c>
      <c r="K6537" t="s">
        <v>9610</v>
      </c>
      <c r="L6537" t="s">
        <v>53</v>
      </c>
      <c r="N6537" t="s">
        <v>11746</v>
      </c>
      <c r="P6537" t="s">
        <v>55</v>
      </c>
      <c r="R6537" t="s">
        <v>53</v>
      </c>
      <c r="T6537" t="s">
        <v>11747</v>
      </c>
      <c r="U6537" t="s">
        <v>58</v>
      </c>
      <c r="V6537">
        <v>1</v>
      </c>
      <c r="W6537">
        <v>1</v>
      </c>
      <c r="X6537">
        <v>2</v>
      </c>
      <c r="Y6537">
        <v>0</v>
      </c>
      <c r="Z6537">
        <v>2</v>
      </c>
      <c r="AA6537">
        <v>176.95</v>
      </c>
      <c r="AB6537">
        <v>176.95</v>
      </c>
      <c r="AC6537">
        <v>155.69999999999999</v>
      </c>
      <c r="AD6537">
        <v>0</v>
      </c>
      <c r="AE6537">
        <v>21.25</v>
      </c>
      <c r="AF6537">
        <v>0</v>
      </c>
      <c r="AG6537">
        <v>0</v>
      </c>
      <c r="AH6537">
        <v>0</v>
      </c>
      <c r="AI6537">
        <v>31.85</v>
      </c>
      <c r="AJ6537">
        <v>176.95</v>
      </c>
      <c r="AK6537">
        <v>0</v>
      </c>
      <c r="AL6537" t="s">
        <v>53</v>
      </c>
      <c r="AM6537" t="s">
        <v>53</v>
      </c>
      <c r="AN6537" t="s">
        <v>53</v>
      </c>
      <c r="AO6537" t="s">
        <v>53</v>
      </c>
      <c r="AP6537" t="s">
        <v>53</v>
      </c>
    </row>
    <row r="6538" spans="2:42" x14ac:dyDescent="0.2">
      <c r="B6538" t="s">
        <v>44</v>
      </c>
      <c r="C6538" t="str">
        <f>HYPERLINK("https://us2.cloudbeds.com/connect/8493803454333002#/reservations/9080486846779104?display=36CHGJXW9Z&amp;reservation_id=9080486846779104", "36CHGJXW9Z")</f>
        <v>36CHGJXW9Z</v>
      </c>
      <c r="D6538" t="s">
        <v>45</v>
      </c>
      <c r="E6538" t="s">
        <v>223</v>
      </c>
      <c r="F6538" t="s">
        <v>47</v>
      </c>
      <c r="G6538" t="s">
        <v>48</v>
      </c>
      <c r="H6538" t="s">
        <v>49</v>
      </c>
      <c r="I6538" t="s">
        <v>50</v>
      </c>
      <c r="J6538" t="s">
        <v>7089</v>
      </c>
      <c r="K6538" t="s">
        <v>8437</v>
      </c>
      <c r="L6538" t="s">
        <v>53</v>
      </c>
      <c r="N6538" t="s">
        <v>11748</v>
      </c>
      <c r="P6538" t="s">
        <v>55</v>
      </c>
      <c r="R6538" t="s">
        <v>53</v>
      </c>
      <c r="T6538" t="s">
        <v>11749</v>
      </c>
      <c r="U6538" t="s">
        <v>58</v>
      </c>
      <c r="V6538">
        <v>1</v>
      </c>
      <c r="W6538">
        <v>1</v>
      </c>
      <c r="X6538">
        <v>2</v>
      </c>
      <c r="Y6538">
        <v>0</v>
      </c>
      <c r="Z6538">
        <v>2</v>
      </c>
      <c r="AA6538">
        <v>202.75</v>
      </c>
      <c r="AB6538">
        <v>202.75</v>
      </c>
      <c r="AC6538">
        <v>178.4</v>
      </c>
      <c r="AD6538">
        <v>0</v>
      </c>
      <c r="AE6538">
        <v>24.35</v>
      </c>
      <c r="AF6538">
        <v>0</v>
      </c>
      <c r="AG6538">
        <v>0</v>
      </c>
      <c r="AH6538">
        <v>0</v>
      </c>
      <c r="AI6538">
        <v>36.5</v>
      </c>
      <c r="AJ6538">
        <v>202.75</v>
      </c>
      <c r="AK6538">
        <v>0</v>
      </c>
      <c r="AL6538" t="s">
        <v>53</v>
      </c>
      <c r="AM6538" t="s">
        <v>53</v>
      </c>
      <c r="AN6538" t="s">
        <v>53</v>
      </c>
      <c r="AO6538" t="s">
        <v>53</v>
      </c>
      <c r="AP6538" t="s">
        <v>53</v>
      </c>
    </row>
    <row r="6539" spans="2:42" x14ac:dyDescent="0.2">
      <c r="B6539" t="s">
        <v>44</v>
      </c>
      <c r="C6539" t="str">
        <f>HYPERLINK("https://us2.cloudbeds.com/connect/8493803454333002#/reservations/9080486846779439?display=36CSVYGNDJ&amp;reservation_id=9080486846779439", "36CSVYGNDJ")</f>
        <v>36CSVYGNDJ</v>
      </c>
      <c r="D6539" t="s">
        <v>45</v>
      </c>
      <c r="E6539" t="s">
        <v>185</v>
      </c>
      <c r="F6539" t="s">
        <v>47</v>
      </c>
      <c r="G6539" t="s">
        <v>48</v>
      </c>
      <c r="H6539" t="s">
        <v>49</v>
      </c>
      <c r="I6539" t="s">
        <v>50</v>
      </c>
      <c r="J6539" t="s">
        <v>9620</v>
      </c>
      <c r="K6539" t="s">
        <v>7089</v>
      </c>
      <c r="L6539" t="s">
        <v>53</v>
      </c>
      <c r="N6539" t="s">
        <v>11750</v>
      </c>
      <c r="P6539" t="s">
        <v>55</v>
      </c>
      <c r="R6539" t="s">
        <v>53</v>
      </c>
      <c r="T6539" t="s">
        <v>11751</v>
      </c>
      <c r="U6539" t="s">
        <v>58</v>
      </c>
      <c r="V6539">
        <v>1</v>
      </c>
      <c r="W6539">
        <v>1</v>
      </c>
      <c r="X6539">
        <v>1</v>
      </c>
      <c r="Y6539">
        <v>0</v>
      </c>
      <c r="Z6539">
        <v>1</v>
      </c>
      <c r="AA6539">
        <v>191.28</v>
      </c>
      <c r="AB6539">
        <v>191.28</v>
      </c>
      <c r="AC6539">
        <v>168.3</v>
      </c>
      <c r="AD6539">
        <v>0</v>
      </c>
      <c r="AE6539">
        <v>22.98</v>
      </c>
      <c r="AF6539">
        <v>0</v>
      </c>
      <c r="AG6539">
        <v>0</v>
      </c>
      <c r="AH6539">
        <v>0</v>
      </c>
      <c r="AI6539">
        <v>34.43</v>
      </c>
      <c r="AJ6539">
        <v>191.28</v>
      </c>
      <c r="AK6539">
        <v>0</v>
      </c>
      <c r="AL6539" t="s">
        <v>53</v>
      </c>
      <c r="AM6539" t="s">
        <v>53</v>
      </c>
      <c r="AN6539" t="s">
        <v>53</v>
      </c>
      <c r="AO6539" t="s">
        <v>53</v>
      </c>
      <c r="AP6539" t="s">
        <v>53</v>
      </c>
    </row>
    <row r="6540" spans="2:42" x14ac:dyDescent="0.2">
      <c r="B6540" t="s">
        <v>44</v>
      </c>
      <c r="C6540" t="str">
        <f>HYPERLINK("https://us2.cloudbeds.com/connect/8493803454333002#/reservations/9080486846779440?display=36CT1QX1HK&amp;reservation_id=9080486846779440", "36CT1QX1HK")</f>
        <v>36CT1QX1HK</v>
      </c>
      <c r="D6540" t="s">
        <v>45</v>
      </c>
      <c r="E6540" t="s">
        <v>179</v>
      </c>
      <c r="F6540" t="s">
        <v>47</v>
      </c>
      <c r="G6540" t="s">
        <v>48</v>
      </c>
      <c r="H6540" t="s">
        <v>49</v>
      </c>
      <c r="I6540" t="s">
        <v>50</v>
      </c>
      <c r="J6540" t="s">
        <v>9620</v>
      </c>
      <c r="K6540" t="s">
        <v>7089</v>
      </c>
      <c r="L6540" t="s">
        <v>53</v>
      </c>
      <c r="N6540" t="s">
        <v>11752</v>
      </c>
      <c r="P6540" t="s">
        <v>55</v>
      </c>
      <c r="R6540" t="s">
        <v>53</v>
      </c>
      <c r="T6540" t="s">
        <v>11753</v>
      </c>
      <c r="U6540" t="s">
        <v>58</v>
      </c>
      <c r="V6540">
        <v>1</v>
      </c>
      <c r="W6540">
        <v>1</v>
      </c>
      <c r="X6540">
        <v>1</v>
      </c>
      <c r="Y6540">
        <v>0</v>
      </c>
      <c r="Z6540">
        <v>1</v>
      </c>
      <c r="AA6540">
        <v>191.28</v>
      </c>
      <c r="AB6540">
        <v>193.99</v>
      </c>
      <c r="AC6540">
        <v>168.3</v>
      </c>
      <c r="AD6540">
        <v>2.5</v>
      </c>
      <c r="AE6540">
        <v>23.19</v>
      </c>
      <c r="AF6540">
        <v>0</v>
      </c>
      <c r="AG6540">
        <v>0</v>
      </c>
      <c r="AH6540">
        <v>0</v>
      </c>
      <c r="AI6540">
        <v>34.92</v>
      </c>
      <c r="AJ6540">
        <v>193.99</v>
      </c>
      <c r="AK6540">
        <v>0</v>
      </c>
      <c r="AL6540" t="s">
        <v>53</v>
      </c>
      <c r="AM6540" t="s">
        <v>53</v>
      </c>
      <c r="AN6540" t="s">
        <v>53</v>
      </c>
      <c r="AO6540" t="s">
        <v>53</v>
      </c>
      <c r="AP6540" t="s">
        <v>53</v>
      </c>
    </row>
    <row r="6541" spans="2:42" x14ac:dyDescent="0.2">
      <c r="B6541" t="s">
        <v>44</v>
      </c>
      <c r="C6541" t="str">
        <f>HYPERLINK("https://us2.cloudbeds.com/connect/8493803454333002#/reservations/9080486846779877?display=36D87PMQD7&amp;reservation_id=9080486846779877", "36D87PMQD7")</f>
        <v>36D87PMQD7</v>
      </c>
      <c r="D6541" t="s">
        <v>45</v>
      </c>
      <c r="E6541" t="s">
        <v>190</v>
      </c>
      <c r="F6541" t="s">
        <v>61</v>
      </c>
      <c r="G6541" t="s">
        <v>48</v>
      </c>
      <c r="H6541" t="s">
        <v>49</v>
      </c>
      <c r="I6541" t="s">
        <v>50</v>
      </c>
      <c r="J6541" t="s">
        <v>9620</v>
      </c>
      <c r="K6541" t="s">
        <v>9928</v>
      </c>
      <c r="L6541" t="s">
        <v>53</v>
      </c>
      <c r="N6541" t="s">
        <v>11754</v>
      </c>
      <c r="P6541" t="s">
        <v>55</v>
      </c>
      <c r="R6541" t="s">
        <v>53</v>
      </c>
      <c r="T6541" t="s">
        <v>11755</v>
      </c>
      <c r="U6541" t="s">
        <v>58</v>
      </c>
      <c r="V6541">
        <v>3</v>
      </c>
      <c r="W6541">
        <v>1</v>
      </c>
      <c r="X6541">
        <v>1</v>
      </c>
      <c r="Y6541">
        <v>0</v>
      </c>
      <c r="Z6541">
        <v>1</v>
      </c>
      <c r="AA6541">
        <v>603.72</v>
      </c>
      <c r="AB6541">
        <v>603.72</v>
      </c>
      <c r="AC6541">
        <v>531.20000000000005</v>
      </c>
      <c r="AD6541">
        <v>0</v>
      </c>
      <c r="AE6541">
        <v>72.52</v>
      </c>
      <c r="AF6541">
        <v>0</v>
      </c>
      <c r="AG6541">
        <v>0</v>
      </c>
      <c r="AH6541">
        <v>0</v>
      </c>
      <c r="AI6541">
        <v>108.67</v>
      </c>
      <c r="AJ6541">
        <v>603.72</v>
      </c>
      <c r="AK6541">
        <v>0</v>
      </c>
      <c r="AL6541" t="s">
        <v>53</v>
      </c>
      <c r="AM6541" t="s">
        <v>53</v>
      </c>
      <c r="AN6541" t="s">
        <v>53</v>
      </c>
      <c r="AO6541" t="s">
        <v>53</v>
      </c>
      <c r="AP6541" t="s">
        <v>53</v>
      </c>
    </row>
    <row r="6542" spans="2:42" x14ac:dyDescent="0.2">
      <c r="B6542" t="s">
        <v>44</v>
      </c>
      <c r="C6542" t="str">
        <f>HYPERLINK("https://us2.cloudbeds.com/connect/8493803454333002#/reservations/9080486846781914?display=36FR1DH2RF&amp;reservation_id=9080486846781914", "36FR1DH2RF")</f>
        <v>36FR1DH2RF</v>
      </c>
      <c r="D6542" t="s">
        <v>45</v>
      </c>
      <c r="E6542" t="s">
        <v>406</v>
      </c>
      <c r="F6542" t="s">
        <v>61</v>
      </c>
      <c r="G6542" t="s">
        <v>48</v>
      </c>
      <c r="H6542" t="s">
        <v>49</v>
      </c>
      <c r="I6542" t="s">
        <v>50</v>
      </c>
      <c r="J6542" t="s">
        <v>9610</v>
      </c>
      <c r="K6542" t="s">
        <v>7088</v>
      </c>
      <c r="L6542" t="s">
        <v>53</v>
      </c>
      <c r="N6542" t="s">
        <v>11756</v>
      </c>
      <c r="P6542" t="s">
        <v>55</v>
      </c>
      <c r="R6542" t="s">
        <v>53</v>
      </c>
      <c r="T6542" t="s">
        <v>11757</v>
      </c>
      <c r="U6542" t="s">
        <v>58</v>
      </c>
      <c r="V6542">
        <v>1</v>
      </c>
      <c r="W6542">
        <v>1</v>
      </c>
      <c r="X6542">
        <v>2</v>
      </c>
      <c r="Y6542">
        <v>0</v>
      </c>
      <c r="Z6542">
        <v>2</v>
      </c>
      <c r="AA6542">
        <v>161.33000000000001</v>
      </c>
      <c r="AB6542">
        <v>161.33000000000001</v>
      </c>
      <c r="AC6542">
        <v>141.94999999999999</v>
      </c>
      <c r="AD6542">
        <v>0</v>
      </c>
      <c r="AE6542">
        <v>19.38</v>
      </c>
      <c r="AF6542">
        <v>0</v>
      </c>
      <c r="AG6542">
        <v>0</v>
      </c>
      <c r="AH6542">
        <v>0</v>
      </c>
      <c r="AI6542">
        <v>29.04</v>
      </c>
      <c r="AJ6542">
        <v>161.33000000000001</v>
      </c>
      <c r="AK6542">
        <v>0</v>
      </c>
      <c r="AL6542" t="s">
        <v>53</v>
      </c>
      <c r="AM6542" t="s">
        <v>53</v>
      </c>
      <c r="AN6542" t="s">
        <v>53</v>
      </c>
      <c r="AO6542" t="s">
        <v>53</v>
      </c>
      <c r="AP6542" t="s">
        <v>53</v>
      </c>
    </row>
    <row r="6543" spans="2:42" x14ac:dyDescent="0.2">
      <c r="B6543" t="s">
        <v>44</v>
      </c>
      <c r="C6543" t="str">
        <f>HYPERLINK("https://us2.cloudbeds.com/connect/8493803454333002#/reservations/9080486846781988?display=36FT4W6XYA&amp;reservation_id=9080486846781988", "36FT4W6XYA")</f>
        <v>36FT4W6XYA</v>
      </c>
      <c r="D6543" t="s">
        <v>45</v>
      </c>
      <c r="E6543" t="s">
        <v>305</v>
      </c>
      <c r="F6543" t="s">
        <v>61</v>
      </c>
      <c r="G6543" t="s">
        <v>48</v>
      </c>
      <c r="H6543" t="s">
        <v>49</v>
      </c>
      <c r="I6543" t="s">
        <v>50</v>
      </c>
      <c r="J6543" t="s">
        <v>9610</v>
      </c>
      <c r="K6543" t="s">
        <v>9620</v>
      </c>
      <c r="L6543" t="s">
        <v>53</v>
      </c>
      <c r="N6543" t="s">
        <v>11758</v>
      </c>
      <c r="P6543" t="s">
        <v>55</v>
      </c>
      <c r="R6543" t="s">
        <v>53</v>
      </c>
      <c r="T6543" t="s">
        <v>11759</v>
      </c>
      <c r="U6543" t="s">
        <v>58</v>
      </c>
      <c r="V6543">
        <v>2</v>
      </c>
      <c r="W6543">
        <v>1</v>
      </c>
      <c r="X6543">
        <v>1</v>
      </c>
      <c r="Y6543">
        <v>0</v>
      </c>
      <c r="Z6543">
        <v>1</v>
      </c>
      <c r="AA6543">
        <v>436.66</v>
      </c>
      <c r="AB6543">
        <v>436.66</v>
      </c>
      <c r="AC6543">
        <v>384.2</v>
      </c>
      <c r="AD6543">
        <v>0</v>
      </c>
      <c r="AE6543">
        <v>52.46</v>
      </c>
      <c r="AF6543">
        <v>0</v>
      </c>
      <c r="AG6543">
        <v>0</v>
      </c>
      <c r="AH6543">
        <v>0</v>
      </c>
      <c r="AI6543">
        <v>78.599999999999994</v>
      </c>
      <c r="AJ6543">
        <v>436.66</v>
      </c>
      <c r="AK6543">
        <v>0</v>
      </c>
      <c r="AL6543" t="s">
        <v>53</v>
      </c>
      <c r="AM6543" t="s">
        <v>53</v>
      </c>
      <c r="AN6543" t="s">
        <v>53</v>
      </c>
      <c r="AO6543" t="s">
        <v>53</v>
      </c>
      <c r="AP6543" t="s">
        <v>53</v>
      </c>
    </row>
    <row r="6544" spans="2:42" x14ac:dyDescent="0.2">
      <c r="B6544" t="s">
        <v>44</v>
      </c>
      <c r="C6544" t="str">
        <f>HYPERLINK("https://us2.cloudbeds.com/connect/8493803454333002#/reservations/9080486846782262?display=36GA20568W&amp;reservation_id=9080486846782262", "36GA20568W")</f>
        <v>36GA20568W</v>
      </c>
      <c r="D6544" t="s">
        <v>45</v>
      </c>
      <c r="E6544" t="s">
        <v>105</v>
      </c>
      <c r="F6544" t="s">
        <v>47</v>
      </c>
      <c r="G6544" t="s">
        <v>48</v>
      </c>
      <c r="H6544" t="s">
        <v>49</v>
      </c>
      <c r="I6544" t="s">
        <v>50</v>
      </c>
      <c r="J6544" t="s">
        <v>9610</v>
      </c>
      <c r="K6544" t="s">
        <v>7088</v>
      </c>
      <c r="L6544" t="s">
        <v>53</v>
      </c>
      <c r="N6544" t="s">
        <v>11760</v>
      </c>
      <c r="P6544" t="s">
        <v>55</v>
      </c>
      <c r="R6544" t="s">
        <v>53</v>
      </c>
      <c r="T6544" t="s">
        <v>11761</v>
      </c>
      <c r="U6544" t="s">
        <v>58</v>
      </c>
      <c r="V6544">
        <v>1</v>
      </c>
      <c r="W6544">
        <v>1</v>
      </c>
      <c r="X6544">
        <v>1</v>
      </c>
      <c r="Y6544">
        <v>0</v>
      </c>
      <c r="Z6544">
        <v>1</v>
      </c>
      <c r="AA6544">
        <v>152.63</v>
      </c>
      <c r="AB6544">
        <v>152.63</v>
      </c>
      <c r="AC6544">
        <v>134.30000000000001</v>
      </c>
      <c r="AD6544">
        <v>0</v>
      </c>
      <c r="AE6544">
        <v>18.329999999999998</v>
      </c>
      <c r="AF6544">
        <v>0</v>
      </c>
      <c r="AG6544">
        <v>0</v>
      </c>
      <c r="AH6544">
        <v>0</v>
      </c>
      <c r="AI6544">
        <v>27.47</v>
      </c>
      <c r="AJ6544">
        <v>152.63</v>
      </c>
      <c r="AK6544">
        <v>0</v>
      </c>
      <c r="AL6544" t="s">
        <v>53</v>
      </c>
      <c r="AM6544" t="s">
        <v>53</v>
      </c>
      <c r="AN6544" t="s">
        <v>53</v>
      </c>
      <c r="AO6544" t="s">
        <v>53</v>
      </c>
      <c r="AP6544" t="s">
        <v>53</v>
      </c>
    </row>
    <row r="6545" spans="2:42" x14ac:dyDescent="0.2">
      <c r="B6545" t="s">
        <v>44</v>
      </c>
      <c r="C6545" t="str">
        <f>HYPERLINK("https://us2.cloudbeds.com/connect/8493803454333002#/reservations/9080486846782672?display=36H25AS3P5&amp;reservation_id=9080486846782672", "36H25AS3P5")</f>
        <v>36H25AS3P5</v>
      </c>
      <c r="D6545" t="s">
        <v>45</v>
      </c>
      <c r="E6545" t="s">
        <v>69</v>
      </c>
      <c r="F6545" t="s">
        <v>70</v>
      </c>
      <c r="G6545" t="s">
        <v>48</v>
      </c>
      <c r="H6545" t="s">
        <v>49</v>
      </c>
      <c r="I6545" t="s">
        <v>50</v>
      </c>
      <c r="J6545" t="s">
        <v>6345</v>
      </c>
      <c r="K6545" t="s">
        <v>8678</v>
      </c>
      <c r="L6545" t="s">
        <v>53</v>
      </c>
      <c r="N6545" t="s">
        <v>11762</v>
      </c>
      <c r="P6545" t="s">
        <v>55</v>
      </c>
      <c r="R6545" t="s">
        <v>53</v>
      </c>
      <c r="T6545" t="s">
        <v>11763</v>
      </c>
      <c r="U6545" t="s">
        <v>58</v>
      </c>
      <c r="V6545">
        <v>1</v>
      </c>
      <c r="W6545">
        <v>1</v>
      </c>
      <c r="X6545">
        <v>2</v>
      </c>
      <c r="Y6545">
        <v>0</v>
      </c>
      <c r="Z6545">
        <v>2</v>
      </c>
      <c r="AA6545">
        <v>150.61000000000001</v>
      </c>
      <c r="AB6545">
        <v>150.61000000000001</v>
      </c>
      <c r="AC6545">
        <v>132.52000000000001</v>
      </c>
      <c r="AD6545">
        <v>0</v>
      </c>
      <c r="AE6545">
        <v>18.09</v>
      </c>
      <c r="AF6545">
        <v>0</v>
      </c>
      <c r="AG6545">
        <v>0</v>
      </c>
      <c r="AH6545">
        <v>0</v>
      </c>
      <c r="AI6545">
        <v>27.11</v>
      </c>
      <c r="AJ6545">
        <v>150.61000000000001</v>
      </c>
      <c r="AK6545">
        <v>0</v>
      </c>
      <c r="AL6545" t="s">
        <v>53</v>
      </c>
      <c r="AM6545" t="s">
        <v>53</v>
      </c>
      <c r="AN6545" t="s">
        <v>53</v>
      </c>
      <c r="AO6545" t="s">
        <v>53</v>
      </c>
      <c r="AP6545" t="s">
        <v>53</v>
      </c>
    </row>
    <row r="6546" spans="2:42" x14ac:dyDescent="0.2">
      <c r="B6546" t="s">
        <v>44</v>
      </c>
      <c r="C6546" t="str">
        <f>HYPERLINK("https://us2.cloudbeds.com/connect/8493803454333002#/reservations/148405778919665?display=36H6FKPGND&amp;reservation_id=148405778919665", "36H6FKPGND")</f>
        <v>36H6FKPGND</v>
      </c>
      <c r="D6546" t="s">
        <v>45</v>
      </c>
      <c r="E6546" t="s">
        <v>190</v>
      </c>
      <c r="F6546" t="s">
        <v>61</v>
      </c>
      <c r="G6546" t="s">
        <v>3974</v>
      </c>
      <c r="H6546" t="s">
        <v>3957</v>
      </c>
      <c r="I6546" t="s">
        <v>3975</v>
      </c>
      <c r="J6546" t="s">
        <v>8616</v>
      </c>
      <c r="K6546" t="s">
        <v>6380</v>
      </c>
      <c r="L6546" t="s">
        <v>53</v>
      </c>
      <c r="P6546" t="s">
        <v>55</v>
      </c>
      <c r="R6546" t="s">
        <v>56</v>
      </c>
      <c r="T6546" t="s">
        <v>11764</v>
      </c>
      <c r="U6546" t="s">
        <v>58</v>
      </c>
      <c r="V6546">
        <v>2</v>
      </c>
      <c r="W6546">
        <v>1</v>
      </c>
      <c r="X6546">
        <v>2</v>
      </c>
      <c r="Y6546">
        <v>0</v>
      </c>
      <c r="Z6546">
        <v>2</v>
      </c>
      <c r="AA6546">
        <v>461.01</v>
      </c>
      <c r="AB6546">
        <v>466.43</v>
      </c>
      <c r="AC6546">
        <v>405.65</v>
      </c>
      <c r="AD6546">
        <v>5</v>
      </c>
      <c r="AE6546">
        <v>55.78</v>
      </c>
      <c r="AF6546">
        <v>0</v>
      </c>
      <c r="AG6546">
        <v>0</v>
      </c>
      <c r="AH6546">
        <v>0</v>
      </c>
      <c r="AI6546">
        <v>0</v>
      </c>
      <c r="AJ6546">
        <v>466.43</v>
      </c>
      <c r="AK6546">
        <v>0</v>
      </c>
      <c r="AL6546" t="s">
        <v>53</v>
      </c>
      <c r="AM6546" t="s">
        <v>53</v>
      </c>
      <c r="AN6546" t="s">
        <v>53</v>
      </c>
      <c r="AO6546" t="s">
        <v>53</v>
      </c>
      <c r="AP6546" t="s">
        <v>53</v>
      </c>
    </row>
    <row r="6547" spans="2:42" x14ac:dyDescent="0.2">
      <c r="B6547" t="s">
        <v>44</v>
      </c>
      <c r="C6547" t="str">
        <f>HYPERLINK("https://us2.cloudbeds.com/connect/8493803454333002#/reservations/9080486846785074?display=36K4PQB52R&amp;reservation_id=9080486846785074", "36K4PQB52R")</f>
        <v>36K4PQB52R</v>
      </c>
      <c r="D6547" t="s">
        <v>45</v>
      </c>
      <c r="E6547" t="s">
        <v>46</v>
      </c>
      <c r="F6547" t="s">
        <v>47</v>
      </c>
      <c r="G6547" t="s">
        <v>48</v>
      </c>
      <c r="H6547" t="s">
        <v>49</v>
      </c>
      <c r="I6547" t="s">
        <v>50</v>
      </c>
      <c r="J6547" t="s">
        <v>9610</v>
      </c>
      <c r="K6547" t="s">
        <v>7088</v>
      </c>
      <c r="L6547" t="s">
        <v>53</v>
      </c>
      <c r="N6547" t="s">
        <v>11765</v>
      </c>
      <c r="P6547" t="s">
        <v>55</v>
      </c>
      <c r="R6547" t="s">
        <v>53</v>
      </c>
      <c r="T6547" t="s">
        <v>11766</v>
      </c>
      <c r="U6547" t="s">
        <v>58</v>
      </c>
      <c r="V6547">
        <v>1</v>
      </c>
      <c r="W6547">
        <v>1</v>
      </c>
      <c r="X6547">
        <v>1</v>
      </c>
      <c r="Y6547">
        <v>0</v>
      </c>
      <c r="Z6547">
        <v>1</v>
      </c>
      <c r="AA6547">
        <v>161.61000000000001</v>
      </c>
      <c r="AB6547">
        <v>161.61000000000001</v>
      </c>
      <c r="AC6547">
        <v>142.19999999999999</v>
      </c>
      <c r="AD6547">
        <v>0</v>
      </c>
      <c r="AE6547">
        <v>19.41</v>
      </c>
      <c r="AF6547">
        <v>0</v>
      </c>
      <c r="AG6547">
        <v>0</v>
      </c>
      <c r="AH6547">
        <v>0</v>
      </c>
      <c r="AI6547">
        <v>29.09</v>
      </c>
      <c r="AJ6547">
        <v>161.61000000000001</v>
      </c>
      <c r="AK6547">
        <v>0</v>
      </c>
      <c r="AL6547" t="s">
        <v>53</v>
      </c>
      <c r="AM6547" t="s">
        <v>53</v>
      </c>
      <c r="AN6547" t="s">
        <v>53</v>
      </c>
      <c r="AO6547" t="s">
        <v>53</v>
      </c>
      <c r="AP6547" t="s">
        <v>53</v>
      </c>
    </row>
    <row r="6548" spans="2:42" x14ac:dyDescent="0.2">
      <c r="B6548" t="s">
        <v>44</v>
      </c>
      <c r="C6548" t="str">
        <f>HYPERLINK("https://us2.cloudbeds.com/connect/8493803454333002#/reservations/9080486846785785?display=36KPBGTH4N&amp;reservation_id=9080486846785785", "36KPBGTH4N")</f>
        <v>36KPBGTH4N</v>
      </c>
      <c r="D6548" t="s">
        <v>45</v>
      </c>
      <c r="E6548" t="s">
        <v>381</v>
      </c>
      <c r="F6548" t="s">
        <v>47</v>
      </c>
      <c r="G6548" t="s">
        <v>48</v>
      </c>
      <c r="H6548" t="s">
        <v>49</v>
      </c>
      <c r="I6548" t="s">
        <v>50</v>
      </c>
      <c r="J6548" t="s">
        <v>7493</v>
      </c>
      <c r="K6548" t="s">
        <v>6344</v>
      </c>
      <c r="L6548" t="s">
        <v>53</v>
      </c>
      <c r="N6548" t="s">
        <v>11767</v>
      </c>
      <c r="P6548" t="s">
        <v>55</v>
      </c>
      <c r="R6548" t="s">
        <v>53</v>
      </c>
      <c r="T6548" t="s">
        <v>11768</v>
      </c>
      <c r="U6548" t="s">
        <v>58</v>
      </c>
      <c r="V6548">
        <v>1</v>
      </c>
      <c r="W6548">
        <v>1</v>
      </c>
      <c r="X6548">
        <v>2</v>
      </c>
      <c r="Y6548">
        <v>0</v>
      </c>
      <c r="Z6548">
        <v>2</v>
      </c>
      <c r="AA6548">
        <v>159.36000000000001</v>
      </c>
      <c r="AB6548">
        <v>159.36000000000001</v>
      </c>
      <c r="AC6548">
        <v>140.22</v>
      </c>
      <c r="AD6548">
        <v>0</v>
      </c>
      <c r="AE6548">
        <v>19.14</v>
      </c>
      <c r="AF6548">
        <v>0</v>
      </c>
      <c r="AG6548">
        <v>0</v>
      </c>
      <c r="AH6548">
        <v>0</v>
      </c>
      <c r="AI6548">
        <v>28.68</v>
      </c>
      <c r="AJ6548">
        <v>159.36000000000001</v>
      </c>
      <c r="AK6548">
        <v>0</v>
      </c>
      <c r="AL6548" t="s">
        <v>53</v>
      </c>
      <c r="AM6548" t="s">
        <v>53</v>
      </c>
      <c r="AN6548" t="s">
        <v>53</v>
      </c>
      <c r="AO6548" t="s">
        <v>53</v>
      </c>
      <c r="AP6548" t="s">
        <v>53</v>
      </c>
    </row>
    <row r="6549" spans="2:42" x14ac:dyDescent="0.2">
      <c r="B6549" t="s">
        <v>44</v>
      </c>
      <c r="C6549" t="str">
        <f>HYPERLINK("https://us2.cloudbeds.com/connect/8493803454333002#/reservations/9080486846785910?display=36KTDANBZU&amp;reservation_id=9080486846785910", "36KTDANBZU")</f>
        <v>36KTDANBZU</v>
      </c>
      <c r="D6549" t="s">
        <v>45</v>
      </c>
      <c r="E6549" t="s">
        <v>487</v>
      </c>
      <c r="F6549" t="s">
        <v>61</v>
      </c>
      <c r="G6549" t="s">
        <v>48</v>
      </c>
      <c r="H6549" t="s">
        <v>49</v>
      </c>
      <c r="I6549" t="s">
        <v>50</v>
      </c>
      <c r="J6549" t="s">
        <v>7492</v>
      </c>
      <c r="K6549" t="s">
        <v>6344</v>
      </c>
      <c r="L6549" t="s">
        <v>53</v>
      </c>
      <c r="N6549" t="s">
        <v>11769</v>
      </c>
      <c r="P6549" t="s">
        <v>55</v>
      </c>
      <c r="R6549" t="s">
        <v>56</v>
      </c>
      <c r="T6549" t="s">
        <v>11770</v>
      </c>
      <c r="U6549" t="s">
        <v>58</v>
      </c>
      <c r="V6549">
        <v>2</v>
      </c>
      <c r="W6549">
        <v>1</v>
      </c>
      <c r="X6549">
        <v>2</v>
      </c>
      <c r="Y6549">
        <v>0</v>
      </c>
      <c r="Z6549">
        <v>2</v>
      </c>
      <c r="AA6549">
        <v>379.47</v>
      </c>
      <c r="AB6549">
        <v>379.47</v>
      </c>
      <c r="AC6549">
        <v>333.9</v>
      </c>
      <c r="AD6549">
        <v>0</v>
      </c>
      <c r="AE6549">
        <v>45.57</v>
      </c>
      <c r="AF6549">
        <v>0</v>
      </c>
      <c r="AG6549">
        <v>0</v>
      </c>
      <c r="AH6549">
        <v>0</v>
      </c>
      <c r="AI6549">
        <v>68.3</v>
      </c>
      <c r="AJ6549">
        <v>379.47</v>
      </c>
      <c r="AK6549">
        <v>0</v>
      </c>
      <c r="AL6549" t="s">
        <v>53</v>
      </c>
      <c r="AM6549" t="s">
        <v>53</v>
      </c>
      <c r="AN6549" t="s">
        <v>53</v>
      </c>
      <c r="AO6549" t="s">
        <v>53</v>
      </c>
      <c r="AP6549" t="s">
        <v>53</v>
      </c>
    </row>
    <row r="6550" spans="2:42" x14ac:dyDescent="0.2">
      <c r="B6550" t="s">
        <v>44</v>
      </c>
      <c r="C6550" t="str">
        <f>HYPERLINK("https://us2.cloudbeds.com/connect/8493803454333002#/reservations/9080486846786061?display=36Y0J7T2FX&amp;reservation_id=9080486846786061", "36Y0J7T2FX")</f>
        <v>36Y0J7T2FX</v>
      </c>
      <c r="D6550" t="s">
        <v>45</v>
      </c>
      <c r="E6550" t="s">
        <v>223</v>
      </c>
      <c r="F6550" t="s">
        <v>47</v>
      </c>
      <c r="G6550" t="s">
        <v>48</v>
      </c>
      <c r="H6550" t="s">
        <v>49</v>
      </c>
      <c r="I6550" t="s">
        <v>50</v>
      </c>
      <c r="J6550" t="s">
        <v>9620</v>
      </c>
      <c r="K6550" t="s">
        <v>7089</v>
      </c>
      <c r="L6550" t="s">
        <v>53</v>
      </c>
      <c r="N6550" t="s">
        <v>11771</v>
      </c>
      <c r="P6550" t="s">
        <v>55</v>
      </c>
      <c r="R6550" t="s">
        <v>53</v>
      </c>
      <c r="T6550" t="s">
        <v>11772</v>
      </c>
      <c r="U6550" t="s">
        <v>58</v>
      </c>
      <c r="V6550">
        <v>1</v>
      </c>
      <c r="W6550">
        <v>1</v>
      </c>
      <c r="X6550">
        <v>1</v>
      </c>
      <c r="Y6550">
        <v>0</v>
      </c>
      <c r="Z6550">
        <v>1</v>
      </c>
      <c r="AA6550">
        <v>185.13</v>
      </c>
      <c r="AB6550">
        <v>185.13</v>
      </c>
      <c r="AC6550">
        <v>162.9</v>
      </c>
      <c r="AD6550">
        <v>0</v>
      </c>
      <c r="AE6550">
        <v>22.23</v>
      </c>
      <c r="AF6550">
        <v>0</v>
      </c>
      <c r="AG6550">
        <v>0</v>
      </c>
      <c r="AH6550">
        <v>0</v>
      </c>
      <c r="AI6550">
        <v>33.32</v>
      </c>
      <c r="AJ6550">
        <v>185.13</v>
      </c>
      <c r="AK6550">
        <v>0</v>
      </c>
      <c r="AL6550" t="s">
        <v>53</v>
      </c>
      <c r="AM6550" t="s">
        <v>53</v>
      </c>
      <c r="AN6550" t="s">
        <v>53</v>
      </c>
      <c r="AO6550" t="s">
        <v>53</v>
      </c>
      <c r="AP6550" t="s">
        <v>53</v>
      </c>
    </row>
    <row r="6551" spans="2:42" x14ac:dyDescent="0.2">
      <c r="B6551" t="s">
        <v>44</v>
      </c>
      <c r="C6551" t="str">
        <f>HYPERLINK("https://us2.cloudbeds.com/connect/8493803454333002#/reservations/9080486846786082?display=36Y0ZJM7GA&amp;reservation_id=9080486846786082", "36Y0ZJM7GA")</f>
        <v>36Y0ZJM7GA</v>
      </c>
      <c r="D6551" t="s">
        <v>45</v>
      </c>
      <c r="E6551" t="s">
        <v>223</v>
      </c>
      <c r="F6551" t="s">
        <v>47</v>
      </c>
      <c r="G6551" t="s">
        <v>48</v>
      </c>
      <c r="H6551" t="s">
        <v>49</v>
      </c>
      <c r="I6551" t="s">
        <v>50</v>
      </c>
      <c r="J6551" t="s">
        <v>6345</v>
      </c>
      <c r="K6551" t="s">
        <v>8678</v>
      </c>
      <c r="L6551" t="s">
        <v>53</v>
      </c>
      <c r="N6551" t="s">
        <v>11773</v>
      </c>
      <c r="P6551" t="s">
        <v>55</v>
      </c>
      <c r="R6551" t="s">
        <v>53</v>
      </c>
      <c r="T6551" t="s">
        <v>11774</v>
      </c>
      <c r="U6551" t="s">
        <v>58</v>
      </c>
      <c r="V6551">
        <v>1</v>
      </c>
      <c r="W6551">
        <v>1</v>
      </c>
      <c r="X6551">
        <v>2</v>
      </c>
      <c r="Y6551">
        <v>0</v>
      </c>
      <c r="Z6551">
        <v>2</v>
      </c>
      <c r="AA6551">
        <v>185.37</v>
      </c>
      <c r="AB6551">
        <v>185.37</v>
      </c>
      <c r="AC6551">
        <v>163.11000000000001</v>
      </c>
      <c r="AD6551">
        <v>0</v>
      </c>
      <c r="AE6551">
        <v>22.26</v>
      </c>
      <c r="AF6551">
        <v>0</v>
      </c>
      <c r="AG6551">
        <v>0</v>
      </c>
      <c r="AH6551">
        <v>0</v>
      </c>
      <c r="AI6551">
        <v>33.369999999999997</v>
      </c>
      <c r="AJ6551">
        <v>185.37</v>
      </c>
      <c r="AK6551">
        <v>0</v>
      </c>
      <c r="AL6551" t="s">
        <v>53</v>
      </c>
      <c r="AM6551" t="s">
        <v>53</v>
      </c>
      <c r="AN6551" t="s">
        <v>53</v>
      </c>
      <c r="AO6551" t="s">
        <v>53</v>
      </c>
      <c r="AP6551" t="s">
        <v>53</v>
      </c>
    </row>
    <row r="6552" spans="2:42" x14ac:dyDescent="0.2">
      <c r="B6552" t="s">
        <v>44</v>
      </c>
      <c r="C6552" t="str">
        <f>HYPERLINK("https://us2.cloudbeds.com/connect/8493803454333002#/reservations/148579859345638?display=36Y98PWW2R&amp;reservation_id=148579859345638", "36Y98PWW2R")</f>
        <v>36Y98PWW2R</v>
      </c>
      <c r="D6552" t="s">
        <v>45</v>
      </c>
      <c r="E6552" t="s">
        <v>121</v>
      </c>
      <c r="F6552" t="s">
        <v>86</v>
      </c>
      <c r="G6552" t="s">
        <v>3974</v>
      </c>
      <c r="H6552" t="s">
        <v>3957</v>
      </c>
      <c r="I6552" t="s">
        <v>3975</v>
      </c>
      <c r="J6552" t="s">
        <v>8616</v>
      </c>
      <c r="K6552" t="s">
        <v>6380</v>
      </c>
      <c r="L6552" t="s">
        <v>53</v>
      </c>
      <c r="P6552" t="s">
        <v>55</v>
      </c>
      <c r="R6552" t="s">
        <v>56</v>
      </c>
      <c r="T6552" t="s">
        <v>11775</v>
      </c>
      <c r="U6552" t="s">
        <v>58</v>
      </c>
      <c r="V6552">
        <v>2</v>
      </c>
      <c r="W6552">
        <v>1</v>
      </c>
      <c r="X6552">
        <v>2</v>
      </c>
      <c r="Y6552">
        <v>2</v>
      </c>
      <c r="Z6552">
        <v>4</v>
      </c>
      <c r="AA6552">
        <v>563.6</v>
      </c>
      <c r="AB6552">
        <v>569.02</v>
      </c>
      <c r="AC6552">
        <v>495.9</v>
      </c>
      <c r="AD6552">
        <v>5</v>
      </c>
      <c r="AE6552">
        <v>68.12</v>
      </c>
      <c r="AF6552">
        <v>0</v>
      </c>
      <c r="AG6552">
        <v>0</v>
      </c>
      <c r="AH6552">
        <v>0</v>
      </c>
      <c r="AI6552">
        <v>0</v>
      </c>
      <c r="AJ6552">
        <v>569.02</v>
      </c>
      <c r="AK6552">
        <v>0</v>
      </c>
      <c r="AL6552" t="s">
        <v>53</v>
      </c>
      <c r="AM6552" t="s">
        <v>53</v>
      </c>
      <c r="AN6552" t="s">
        <v>53</v>
      </c>
      <c r="AO6552" t="s">
        <v>53</v>
      </c>
      <c r="AP6552" t="s">
        <v>53</v>
      </c>
    </row>
    <row r="6553" spans="2:42" x14ac:dyDescent="0.2">
      <c r="B6553" t="s">
        <v>44</v>
      </c>
      <c r="C6553" t="str">
        <f>HYPERLINK("https://us2.cloudbeds.com/connect/8493803454333002#/reservations/9080486846786518?display=36YEBM3XJ1&amp;reservation_id=9080486846786518", "36YEBM3XJ1")</f>
        <v>36YEBM3XJ1</v>
      </c>
      <c r="D6553" t="s">
        <v>45</v>
      </c>
      <c r="E6553" t="s">
        <v>121</v>
      </c>
      <c r="F6553" t="s">
        <v>86</v>
      </c>
      <c r="G6553" t="s">
        <v>48</v>
      </c>
      <c r="H6553" t="s">
        <v>49</v>
      </c>
      <c r="I6553" t="s">
        <v>50</v>
      </c>
      <c r="J6553" t="s">
        <v>7089</v>
      </c>
      <c r="K6553" t="s">
        <v>9928</v>
      </c>
      <c r="L6553" t="s">
        <v>53</v>
      </c>
      <c r="N6553" t="s">
        <v>11776</v>
      </c>
      <c r="P6553" t="s">
        <v>55</v>
      </c>
      <c r="R6553" t="s">
        <v>53</v>
      </c>
      <c r="T6553" t="s">
        <v>11777</v>
      </c>
      <c r="U6553" t="s">
        <v>58</v>
      </c>
      <c r="V6553">
        <v>2</v>
      </c>
      <c r="W6553">
        <v>1</v>
      </c>
      <c r="X6553">
        <v>2</v>
      </c>
      <c r="Y6553">
        <v>0</v>
      </c>
      <c r="Z6553">
        <v>2</v>
      </c>
      <c r="AA6553">
        <v>591.21</v>
      </c>
      <c r="AB6553">
        <v>591.21</v>
      </c>
      <c r="AC6553">
        <v>520.20000000000005</v>
      </c>
      <c r="AD6553">
        <v>0</v>
      </c>
      <c r="AE6553">
        <v>71.010000000000005</v>
      </c>
      <c r="AF6553">
        <v>0</v>
      </c>
      <c r="AG6553">
        <v>0</v>
      </c>
      <c r="AH6553">
        <v>0</v>
      </c>
      <c r="AI6553">
        <v>106.42</v>
      </c>
      <c r="AJ6553">
        <v>591.21</v>
      </c>
      <c r="AK6553">
        <v>0</v>
      </c>
      <c r="AL6553" t="s">
        <v>53</v>
      </c>
      <c r="AM6553" t="s">
        <v>53</v>
      </c>
      <c r="AN6553" t="s">
        <v>53</v>
      </c>
      <c r="AO6553" t="s">
        <v>53</v>
      </c>
      <c r="AP6553" t="s">
        <v>53</v>
      </c>
    </row>
    <row r="6554" spans="2:42" x14ac:dyDescent="0.2">
      <c r="B6554" t="s">
        <v>44</v>
      </c>
      <c r="C6554" t="str">
        <f>HYPERLINK("https://us2.cloudbeds.com/connect/8493803454333002#/reservations/9080486846786633?display=36YHE0FNT8&amp;reservation_id=9080486846786633", "36YHE0FNT8")</f>
        <v>36YHE0FNT8</v>
      </c>
      <c r="D6554" t="s">
        <v>45</v>
      </c>
      <c r="E6554" t="s">
        <v>373</v>
      </c>
      <c r="F6554" t="s">
        <v>47</v>
      </c>
      <c r="G6554" t="s">
        <v>48</v>
      </c>
      <c r="H6554" t="s">
        <v>49</v>
      </c>
      <c r="I6554" t="s">
        <v>50</v>
      </c>
      <c r="J6554" t="s">
        <v>7492</v>
      </c>
      <c r="K6554" t="s">
        <v>7493</v>
      </c>
      <c r="L6554" t="s">
        <v>53</v>
      </c>
      <c r="N6554" t="s">
        <v>11778</v>
      </c>
      <c r="P6554" t="s">
        <v>55</v>
      </c>
      <c r="R6554" t="s">
        <v>53</v>
      </c>
      <c r="T6554" t="s">
        <v>11779</v>
      </c>
      <c r="U6554" t="s">
        <v>58</v>
      </c>
      <c r="V6554">
        <v>1</v>
      </c>
      <c r="W6554">
        <v>1</v>
      </c>
      <c r="X6554">
        <v>2</v>
      </c>
      <c r="Y6554">
        <v>0</v>
      </c>
      <c r="Z6554">
        <v>2</v>
      </c>
      <c r="AA6554">
        <v>161.84</v>
      </c>
      <c r="AB6554">
        <v>161.84</v>
      </c>
      <c r="AC6554">
        <v>142.4</v>
      </c>
      <c r="AD6554">
        <v>0</v>
      </c>
      <c r="AE6554">
        <v>19.440000000000001</v>
      </c>
      <c r="AF6554">
        <v>0</v>
      </c>
      <c r="AG6554">
        <v>0</v>
      </c>
      <c r="AH6554">
        <v>0</v>
      </c>
      <c r="AI6554">
        <v>29.13</v>
      </c>
      <c r="AJ6554">
        <v>161.84</v>
      </c>
      <c r="AK6554">
        <v>0</v>
      </c>
      <c r="AL6554" t="s">
        <v>53</v>
      </c>
      <c r="AM6554" t="s">
        <v>53</v>
      </c>
      <c r="AN6554" t="s">
        <v>53</v>
      </c>
      <c r="AO6554" t="s">
        <v>53</v>
      </c>
      <c r="AP6554" t="s">
        <v>53</v>
      </c>
    </row>
    <row r="6555" spans="2:42" x14ac:dyDescent="0.2">
      <c r="B6555" t="s">
        <v>44</v>
      </c>
      <c r="C6555" t="str">
        <f>HYPERLINK("https://us2.cloudbeds.com/connect/8493803454333002#/reservations/148608326987992?display=36YVA6M2QZ&amp;reservation_id=148608326987992", "36YVA6M2QZ")</f>
        <v>36YVA6M2QZ</v>
      </c>
      <c r="D6555" t="s">
        <v>45</v>
      </c>
      <c r="E6555" t="s">
        <v>105</v>
      </c>
      <c r="F6555" t="s">
        <v>47</v>
      </c>
      <c r="G6555" t="s">
        <v>48</v>
      </c>
      <c r="H6555" t="s">
        <v>3957</v>
      </c>
      <c r="I6555" t="s">
        <v>3975</v>
      </c>
      <c r="J6555" t="s">
        <v>6379</v>
      </c>
      <c r="K6555" t="s">
        <v>8616</v>
      </c>
      <c r="L6555" t="s">
        <v>53</v>
      </c>
      <c r="P6555" t="s">
        <v>55</v>
      </c>
      <c r="R6555" t="s">
        <v>56</v>
      </c>
      <c r="T6555" t="s">
        <v>11780</v>
      </c>
      <c r="U6555" t="s">
        <v>58</v>
      </c>
      <c r="V6555">
        <v>2</v>
      </c>
      <c r="W6555">
        <v>1</v>
      </c>
      <c r="X6555">
        <v>1</v>
      </c>
      <c r="Y6555">
        <v>0</v>
      </c>
      <c r="Z6555">
        <v>1</v>
      </c>
      <c r="AA6555">
        <v>377.33</v>
      </c>
      <c r="AB6555">
        <v>377.33</v>
      </c>
      <c r="AC6555">
        <v>332</v>
      </c>
      <c r="AD6555">
        <v>0</v>
      </c>
      <c r="AE6555">
        <v>45.33</v>
      </c>
      <c r="AF6555">
        <v>0</v>
      </c>
      <c r="AG6555">
        <v>0</v>
      </c>
      <c r="AH6555">
        <v>0</v>
      </c>
      <c r="AI6555">
        <v>0</v>
      </c>
      <c r="AJ6555">
        <v>377.33</v>
      </c>
      <c r="AK6555">
        <v>0</v>
      </c>
      <c r="AL6555" t="s">
        <v>53</v>
      </c>
      <c r="AM6555" t="s">
        <v>53</v>
      </c>
      <c r="AN6555" t="s">
        <v>53</v>
      </c>
      <c r="AO6555" t="s">
        <v>53</v>
      </c>
      <c r="AP6555" t="s">
        <v>53</v>
      </c>
    </row>
    <row r="6556" spans="2:42" x14ac:dyDescent="0.2">
      <c r="B6556" t="s">
        <v>44</v>
      </c>
      <c r="C6556" t="str">
        <f>HYPERLINK("https://us2.cloudbeds.com/connect/8493803454333002#/reservations/9080486846787702?display=36MJCX9WB5&amp;reservation_id=9080486846787702", "36MJCX9WB5")</f>
        <v>36MJCX9WB5</v>
      </c>
      <c r="D6556" t="s">
        <v>45</v>
      </c>
      <c r="E6556" t="s">
        <v>381</v>
      </c>
      <c r="F6556" t="s">
        <v>47</v>
      </c>
      <c r="G6556" t="s">
        <v>48</v>
      </c>
      <c r="H6556" t="s">
        <v>49</v>
      </c>
      <c r="I6556" t="s">
        <v>62</v>
      </c>
      <c r="J6556" t="s">
        <v>8616</v>
      </c>
      <c r="K6556" t="s">
        <v>10717</v>
      </c>
      <c r="L6556" t="s">
        <v>53</v>
      </c>
      <c r="N6556" t="s">
        <v>11781</v>
      </c>
      <c r="P6556" t="s">
        <v>55</v>
      </c>
      <c r="R6556" t="s">
        <v>946</v>
      </c>
      <c r="T6556" t="s">
        <v>11782</v>
      </c>
      <c r="U6556" t="s">
        <v>55</v>
      </c>
      <c r="V6556">
        <v>1</v>
      </c>
      <c r="W6556">
        <v>1</v>
      </c>
      <c r="X6556">
        <v>2</v>
      </c>
      <c r="Y6556">
        <v>0</v>
      </c>
      <c r="Z6556">
        <v>2</v>
      </c>
      <c r="AA6556">
        <v>181.45</v>
      </c>
      <c r="AB6556">
        <v>181.45</v>
      </c>
      <c r="AC6556">
        <v>181.45</v>
      </c>
      <c r="AD6556">
        <v>0</v>
      </c>
      <c r="AE6556">
        <v>0</v>
      </c>
      <c r="AF6556">
        <v>0</v>
      </c>
      <c r="AG6556">
        <v>0</v>
      </c>
      <c r="AH6556">
        <v>0</v>
      </c>
      <c r="AI6556">
        <v>32.659999999999997</v>
      </c>
      <c r="AJ6556">
        <v>181.45</v>
      </c>
      <c r="AK6556">
        <v>0</v>
      </c>
      <c r="AL6556" t="s">
        <v>53</v>
      </c>
      <c r="AM6556" t="s">
        <v>53</v>
      </c>
      <c r="AN6556" t="s">
        <v>53</v>
      </c>
      <c r="AO6556" t="s">
        <v>53</v>
      </c>
      <c r="AP6556" t="s">
        <v>53</v>
      </c>
    </row>
    <row r="6557" spans="2:42" x14ac:dyDescent="0.2">
      <c r="B6557" t="s">
        <v>44</v>
      </c>
      <c r="C6557" t="str">
        <f>HYPERLINK("https://us2.cloudbeds.com/connect/8493803454333002#/reservations/9080486846788158?display=36NAYZPU9G&amp;reservation_id=9080486846788158", "36NAYZPU9G")</f>
        <v>36NAYZPU9G</v>
      </c>
      <c r="D6557" t="s">
        <v>45</v>
      </c>
      <c r="E6557" t="s">
        <v>305</v>
      </c>
      <c r="F6557" t="s">
        <v>61</v>
      </c>
      <c r="G6557" t="s">
        <v>48</v>
      </c>
      <c r="H6557" t="s">
        <v>49</v>
      </c>
      <c r="I6557" t="s">
        <v>50</v>
      </c>
      <c r="J6557" t="s">
        <v>11495</v>
      </c>
      <c r="K6557" t="s">
        <v>11321</v>
      </c>
      <c r="L6557" t="s">
        <v>53</v>
      </c>
      <c r="N6557" t="s">
        <v>11783</v>
      </c>
      <c r="P6557" t="s">
        <v>55</v>
      </c>
      <c r="R6557" t="s">
        <v>53</v>
      </c>
      <c r="T6557" t="s">
        <v>11784</v>
      </c>
      <c r="U6557" t="s">
        <v>58</v>
      </c>
      <c r="V6557">
        <v>1</v>
      </c>
      <c r="W6557">
        <v>1</v>
      </c>
      <c r="X6557">
        <v>2</v>
      </c>
      <c r="Y6557">
        <v>0</v>
      </c>
      <c r="Z6557">
        <v>2</v>
      </c>
      <c r="AA6557">
        <v>88.19</v>
      </c>
      <c r="AB6557">
        <v>88.19</v>
      </c>
      <c r="AC6557">
        <v>77.599999999999994</v>
      </c>
      <c r="AD6557">
        <v>0</v>
      </c>
      <c r="AE6557">
        <v>10.59</v>
      </c>
      <c r="AF6557">
        <v>0</v>
      </c>
      <c r="AG6557">
        <v>0</v>
      </c>
      <c r="AH6557">
        <v>0</v>
      </c>
      <c r="AI6557">
        <v>15.87</v>
      </c>
      <c r="AJ6557">
        <v>88.19</v>
      </c>
      <c r="AK6557">
        <v>0</v>
      </c>
      <c r="AL6557" t="s">
        <v>53</v>
      </c>
      <c r="AM6557" t="s">
        <v>53</v>
      </c>
      <c r="AN6557" t="s">
        <v>53</v>
      </c>
      <c r="AO6557" t="s">
        <v>53</v>
      </c>
      <c r="AP6557" t="s">
        <v>53</v>
      </c>
    </row>
    <row r="6558" spans="2:42" x14ac:dyDescent="0.2">
      <c r="B6558" t="s">
        <v>44</v>
      </c>
      <c r="C6558" t="str">
        <f>HYPERLINK("https://us2.cloudbeds.com/connect/8493803454333002#/reservations/148679927374006?display=36NKZP0C9R&amp;reservation_id=148679927374006", "36NKZP0C9R")</f>
        <v>36NKZP0C9R</v>
      </c>
      <c r="D6558" t="s">
        <v>45</v>
      </c>
      <c r="E6558" t="s">
        <v>46</v>
      </c>
      <c r="F6558" t="s">
        <v>47</v>
      </c>
      <c r="G6558" t="s">
        <v>48</v>
      </c>
      <c r="H6558" t="s">
        <v>3957</v>
      </c>
      <c r="I6558" t="s">
        <v>3975</v>
      </c>
      <c r="J6558" t="s">
        <v>9620</v>
      </c>
      <c r="K6558" t="s">
        <v>7089</v>
      </c>
      <c r="L6558" t="s">
        <v>53</v>
      </c>
      <c r="P6558" t="s">
        <v>55</v>
      </c>
      <c r="R6558" t="s">
        <v>56</v>
      </c>
      <c r="T6558" t="s">
        <v>11785</v>
      </c>
      <c r="U6558" t="s">
        <v>58</v>
      </c>
      <c r="V6558">
        <v>1</v>
      </c>
      <c r="W6558">
        <v>1</v>
      </c>
      <c r="X6558">
        <v>2</v>
      </c>
      <c r="Y6558">
        <v>0</v>
      </c>
      <c r="Z6558">
        <v>2</v>
      </c>
      <c r="AA6558">
        <v>205.71</v>
      </c>
      <c r="AB6558">
        <v>205.71</v>
      </c>
      <c r="AC6558">
        <v>181</v>
      </c>
      <c r="AD6558">
        <v>0</v>
      </c>
      <c r="AE6558">
        <v>24.71</v>
      </c>
      <c r="AF6558">
        <v>0</v>
      </c>
      <c r="AG6558">
        <v>0</v>
      </c>
      <c r="AH6558">
        <v>0</v>
      </c>
      <c r="AI6558">
        <v>0</v>
      </c>
      <c r="AJ6558">
        <v>205.71</v>
      </c>
      <c r="AK6558">
        <v>0</v>
      </c>
      <c r="AL6558" t="s">
        <v>53</v>
      </c>
      <c r="AM6558" t="s">
        <v>53</v>
      </c>
      <c r="AN6558" t="s">
        <v>53</v>
      </c>
      <c r="AO6558" t="s">
        <v>53</v>
      </c>
      <c r="AP6558" t="s">
        <v>53</v>
      </c>
    </row>
    <row r="6559" spans="2:42" x14ac:dyDescent="0.2">
      <c r="B6559" t="s">
        <v>44</v>
      </c>
      <c r="C6559" t="str">
        <f>HYPERLINK("https://us2.cloudbeds.com/connect/8493803454333002#/reservations/9080486846788881?display=36ZCS04RQ0&amp;reservation_id=9080486846788881", "36ZCS04RQ0")</f>
        <v>36ZCS04RQ0</v>
      </c>
      <c r="D6559" t="s">
        <v>45</v>
      </c>
      <c r="E6559" t="s">
        <v>373</v>
      </c>
      <c r="F6559" t="s">
        <v>47</v>
      </c>
      <c r="G6559" t="s">
        <v>48</v>
      </c>
      <c r="H6559" t="s">
        <v>49</v>
      </c>
      <c r="I6559" t="s">
        <v>8964</v>
      </c>
      <c r="J6559" t="s">
        <v>9620</v>
      </c>
      <c r="K6559" t="s">
        <v>7089</v>
      </c>
      <c r="L6559" t="s">
        <v>53</v>
      </c>
      <c r="N6559" t="s">
        <v>11786</v>
      </c>
      <c r="P6559" t="s">
        <v>55</v>
      </c>
      <c r="R6559" t="s">
        <v>53</v>
      </c>
      <c r="T6559" t="s">
        <v>11787</v>
      </c>
      <c r="U6559" t="s">
        <v>55</v>
      </c>
      <c r="V6559">
        <v>1</v>
      </c>
      <c r="W6559">
        <v>1</v>
      </c>
      <c r="X6559">
        <v>2</v>
      </c>
      <c r="Y6559">
        <v>0</v>
      </c>
      <c r="Z6559">
        <v>2</v>
      </c>
      <c r="AA6559">
        <v>0</v>
      </c>
      <c r="AB6559">
        <v>0</v>
      </c>
      <c r="AC6559">
        <v>184</v>
      </c>
      <c r="AD6559">
        <v>0</v>
      </c>
      <c r="AE6559">
        <v>0</v>
      </c>
      <c r="AF6559">
        <v>0</v>
      </c>
      <c r="AG6559">
        <v>0</v>
      </c>
      <c r="AH6559">
        <v>0</v>
      </c>
      <c r="AI6559">
        <v>27.6</v>
      </c>
      <c r="AJ6559">
        <v>184</v>
      </c>
      <c r="AK6559">
        <v>184</v>
      </c>
      <c r="AL6559" t="s">
        <v>53</v>
      </c>
      <c r="AM6559" t="s">
        <v>53</v>
      </c>
      <c r="AN6559" t="s">
        <v>53</v>
      </c>
      <c r="AO6559" t="s">
        <v>53</v>
      </c>
      <c r="AP6559" t="s">
        <v>53</v>
      </c>
    </row>
    <row r="6560" spans="2:42" x14ac:dyDescent="0.2">
      <c r="B6560" t="s">
        <v>44</v>
      </c>
      <c r="C6560" t="str">
        <f>HYPERLINK("https://us2.cloudbeds.com/connect/8493803454333002#/reservations/9080486846791596?display=36S9NT39PC&amp;reservation_id=9080486846791596", "36S9NT39PC")</f>
        <v>36S9NT39PC</v>
      </c>
      <c r="D6560" t="s">
        <v>45</v>
      </c>
      <c r="E6560" t="s">
        <v>110</v>
      </c>
      <c r="F6560" t="s">
        <v>47</v>
      </c>
      <c r="G6560" t="s">
        <v>48</v>
      </c>
      <c r="H6560" t="s">
        <v>49</v>
      </c>
      <c r="I6560" t="s">
        <v>50</v>
      </c>
      <c r="J6560" t="s">
        <v>10121</v>
      </c>
      <c r="K6560" t="s">
        <v>8616</v>
      </c>
      <c r="L6560" t="s">
        <v>53</v>
      </c>
      <c r="N6560" t="s">
        <v>11788</v>
      </c>
      <c r="P6560" t="s">
        <v>55</v>
      </c>
      <c r="R6560" t="s">
        <v>53</v>
      </c>
      <c r="T6560" t="s">
        <v>11789</v>
      </c>
      <c r="U6560" t="s">
        <v>58</v>
      </c>
      <c r="V6560">
        <v>1</v>
      </c>
      <c r="W6560">
        <v>1</v>
      </c>
      <c r="X6560">
        <v>1</v>
      </c>
      <c r="Y6560">
        <v>0</v>
      </c>
      <c r="Z6560">
        <v>1</v>
      </c>
      <c r="AA6560">
        <v>156.91999999999999</v>
      </c>
      <c r="AB6560">
        <v>156.91999999999999</v>
      </c>
      <c r="AC6560">
        <v>138.08000000000001</v>
      </c>
      <c r="AD6560">
        <v>0</v>
      </c>
      <c r="AE6560">
        <v>18.84</v>
      </c>
      <c r="AF6560">
        <v>0</v>
      </c>
      <c r="AG6560">
        <v>0</v>
      </c>
      <c r="AH6560">
        <v>0</v>
      </c>
      <c r="AI6560">
        <v>28.25</v>
      </c>
      <c r="AJ6560">
        <v>156.91999999999999</v>
      </c>
      <c r="AK6560">
        <v>0</v>
      </c>
      <c r="AL6560" t="s">
        <v>53</v>
      </c>
      <c r="AM6560" t="s">
        <v>53</v>
      </c>
      <c r="AN6560" t="s">
        <v>53</v>
      </c>
      <c r="AO6560" t="s">
        <v>53</v>
      </c>
      <c r="AP6560" t="s">
        <v>53</v>
      </c>
    </row>
    <row r="6561" spans="2:42" x14ac:dyDescent="0.2">
      <c r="B6561" t="s">
        <v>44</v>
      </c>
      <c r="C6561" t="str">
        <f>HYPERLINK("https://us2.cloudbeds.com/connect/8493803454333002#/reservations/9080486846793586?display=36TW5TB9A0&amp;reservation_id=9080486846793586", "36TW5TB9A0")</f>
        <v>36TW5TB9A0</v>
      </c>
      <c r="D6561" t="s">
        <v>45</v>
      </c>
      <c r="E6561" t="s">
        <v>487</v>
      </c>
      <c r="F6561" t="s">
        <v>61</v>
      </c>
      <c r="G6561" t="s">
        <v>48</v>
      </c>
      <c r="H6561" t="s">
        <v>49</v>
      </c>
      <c r="I6561" t="s">
        <v>50</v>
      </c>
      <c r="J6561" t="s">
        <v>9620</v>
      </c>
      <c r="K6561" t="s">
        <v>7089</v>
      </c>
      <c r="L6561" t="s">
        <v>53</v>
      </c>
      <c r="N6561" t="s">
        <v>11790</v>
      </c>
      <c r="P6561" t="s">
        <v>55</v>
      </c>
      <c r="R6561" t="s">
        <v>53</v>
      </c>
      <c r="T6561" t="s">
        <v>11791</v>
      </c>
      <c r="U6561" t="s">
        <v>58</v>
      </c>
      <c r="V6561">
        <v>1</v>
      </c>
      <c r="W6561">
        <v>1</v>
      </c>
      <c r="X6561">
        <v>2</v>
      </c>
      <c r="Y6561">
        <v>0</v>
      </c>
      <c r="Z6561">
        <v>2</v>
      </c>
      <c r="AA6561">
        <v>193.31</v>
      </c>
      <c r="AB6561">
        <v>198.74</v>
      </c>
      <c r="AC6561">
        <v>170.1</v>
      </c>
      <c r="AD6561">
        <v>5</v>
      </c>
      <c r="AE6561">
        <v>23.64</v>
      </c>
      <c r="AF6561">
        <v>0</v>
      </c>
      <c r="AG6561">
        <v>0</v>
      </c>
      <c r="AH6561">
        <v>0</v>
      </c>
      <c r="AI6561">
        <v>35.770000000000003</v>
      </c>
      <c r="AJ6561">
        <v>198.74</v>
      </c>
      <c r="AK6561">
        <v>0</v>
      </c>
      <c r="AL6561" t="s">
        <v>53</v>
      </c>
      <c r="AM6561" t="s">
        <v>53</v>
      </c>
      <c r="AN6561" t="s">
        <v>53</v>
      </c>
      <c r="AO6561" t="s">
        <v>53</v>
      </c>
      <c r="AP6561" t="s">
        <v>53</v>
      </c>
    </row>
    <row r="6562" spans="2:42" x14ac:dyDescent="0.2">
      <c r="B6562" t="s">
        <v>44</v>
      </c>
      <c r="C6562" t="str">
        <f>HYPERLINK("https://us2.cloudbeds.com/connect/8493803454333002#/reservations/9080486846794390?display=36UT627S2G&amp;reservation_id=9080486846794390", "36UT627S2G")</f>
        <v>36UT627S2G</v>
      </c>
      <c r="D6562" t="s">
        <v>45</v>
      </c>
      <c r="E6562" t="s">
        <v>305</v>
      </c>
      <c r="F6562" t="s">
        <v>61</v>
      </c>
      <c r="G6562" t="s">
        <v>48</v>
      </c>
      <c r="H6562" t="s">
        <v>49</v>
      </c>
      <c r="I6562" t="s">
        <v>50</v>
      </c>
      <c r="J6562" t="s">
        <v>9928</v>
      </c>
      <c r="K6562" t="s">
        <v>6344</v>
      </c>
      <c r="L6562" t="s">
        <v>53</v>
      </c>
      <c r="N6562" t="s">
        <v>11792</v>
      </c>
      <c r="P6562" t="s">
        <v>55</v>
      </c>
      <c r="R6562" t="s">
        <v>53</v>
      </c>
      <c r="T6562" t="s">
        <v>11793</v>
      </c>
      <c r="U6562" t="s">
        <v>58</v>
      </c>
      <c r="V6562">
        <v>3</v>
      </c>
      <c r="W6562">
        <v>1</v>
      </c>
      <c r="X6562">
        <v>1</v>
      </c>
      <c r="Y6562">
        <v>0</v>
      </c>
      <c r="Z6562">
        <v>1</v>
      </c>
      <c r="AA6562">
        <v>565.63</v>
      </c>
      <c r="AB6562">
        <v>565.63</v>
      </c>
      <c r="AC6562">
        <v>497.7</v>
      </c>
      <c r="AD6562">
        <v>0</v>
      </c>
      <c r="AE6562">
        <v>67.930000000000007</v>
      </c>
      <c r="AF6562">
        <v>0</v>
      </c>
      <c r="AG6562">
        <v>0</v>
      </c>
      <c r="AH6562">
        <v>0</v>
      </c>
      <c r="AI6562">
        <v>101.81</v>
      </c>
      <c r="AJ6562">
        <v>565.63</v>
      </c>
      <c r="AK6562">
        <v>0</v>
      </c>
      <c r="AL6562" t="s">
        <v>53</v>
      </c>
      <c r="AM6562" t="s">
        <v>53</v>
      </c>
      <c r="AN6562" t="s">
        <v>53</v>
      </c>
      <c r="AO6562" t="s">
        <v>53</v>
      </c>
      <c r="AP6562" t="s">
        <v>53</v>
      </c>
    </row>
    <row r="6563" spans="2:42" x14ac:dyDescent="0.2">
      <c r="B6563" t="s">
        <v>44</v>
      </c>
      <c r="C6563" t="str">
        <f>HYPERLINK("https://us2.cloudbeds.com/connect/8493803454333002#/reservations/9080486846795873?display=36WW3E3X1X&amp;reservation_id=9080486846795873", "36WW3E3X1X")</f>
        <v>36WW3E3X1X</v>
      </c>
      <c r="D6563" t="s">
        <v>45</v>
      </c>
      <c r="E6563" t="s">
        <v>46</v>
      </c>
      <c r="F6563" t="s">
        <v>47</v>
      </c>
      <c r="G6563" t="s">
        <v>48</v>
      </c>
      <c r="H6563" t="s">
        <v>49</v>
      </c>
      <c r="I6563" t="s">
        <v>50</v>
      </c>
      <c r="J6563" t="s">
        <v>7089</v>
      </c>
      <c r="K6563" t="s">
        <v>8437</v>
      </c>
      <c r="L6563" t="s">
        <v>53</v>
      </c>
      <c r="N6563" t="s">
        <v>11794</v>
      </c>
      <c r="P6563" t="s">
        <v>55</v>
      </c>
      <c r="R6563" t="s">
        <v>53</v>
      </c>
      <c r="T6563" t="s">
        <v>11795</v>
      </c>
      <c r="U6563" t="s">
        <v>58</v>
      </c>
      <c r="V6563">
        <v>1</v>
      </c>
      <c r="W6563">
        <v>1</v>
      </c>
      <c r="X6563">
        <v>2</v>
      </c>
      <c r="Y6563">
        <v>0</v>
      </c>
      <c r="Z6563">
        <v>2</v>
      </c>
      <c r="AA6563">
        <v>185.47</v>
      </c>
      <c r="AB6563">
        <v>185.47</v>
      </c>
      <c r="AC6563">
        <v>163.19999999999999</v>
      </c>
      <c r="AD6563">
        <v>0</v>
      </c>
      <c r="AE6563">
        <v>22.27</v>
      </c>
      <c r="AF6563">
        <v>0</v>
      </c>
      <c r="AG6563">
        <v>0</v>
      </c>
      <c r="AH6563">
        <v>0</v>
      </c>
      <c r="AI6563">
        <v>33.380000000000003</v>
      </c>
      <c r="AJ6563">
        <v>185.47</v>
      </c>
      <c r="AK6563">
        <v>0</v>
      </c>
      <c r="AL6563" t="s">
        <v>53</v>
      </c>
      <c r="AM6563" t="s">
        <v>53</v>
      </c>
      <c r="AN6563" t="s">
        <v>53</v>
      </c>
      <c r="AO6563" t="s">
        <v>53</v>
      </c>
      <c r="AP6563" t="s">
        <v>53</v>
      </c>
    </row>
    <row r="6564" spans="2:42" x14ac:dyDescent="0.2">
      <c r="B6564" t="s">
        <v>44</v>
      </c>
      <c r="C6564" t="str">
        <f>HYPERLINK("https://us2.cloudbeds.com/connect/8493803454333002#/reservations/149191432499387?display=372KQTMGGD&amp;reservation_id=149191432499387", "372KQTMGGD")</f>
        <v>372KQTMGGD</v>
      </c>
      <c r="D6564" t="s">
        <v>45</v>
      </c>
      <c r="E6564" t="s">
        <v>78</v>
      </c>
      <c r="F6564" t="s">
        <v>61</v>
      </c>
      <c r="G6564" t="s">
        <v>3974</v>
      </c>
      <c r="H6564" t="s">
        <v>3957</v>
      </c>
      <c r="I6564" t="s">
        <v>3975</v>
      </c>
      <c r="J6564" t="s">
        <v>11387</v>
      </c>
      <c r="K6564" t="s">
        <v>8818</v>
      </c>
      <c r="L6564" t="s">
        <v>53</v>
      </c>
      <c r="P6564" t="s">
        <v>55</v>
      </c>
      <c r="R6564" t="s">
        <v>56</v>
      </c>
      <c r="T6564" t="s">
        <v>11796</v>
      </c>
      <c r="U6564" t="s">
        <v>58</v>
      </c>
      <c r="V6564">
        <v>1</v>
      </c>
      <c r="W6564">
        <v>1</v>
      </c>
      <c r="X6564">
        <v>2</v>
      </c>
      <c r="Y6564">
        <v>0</v>
      </c>
      <c r="Z6564">
        <v>2</v>
      </c>
      <c r="AA6564">
        <v>163.03</v>
      </c>
      <c r="AB6564">
        <v>163.03</v>
      </c>
      <c r="AC6564">
        <v>143.44999999999999</v>
      </c>
      <c r="AD6564">
        <v>0</v>
      </c>
      <c r="AE6564">
        <v>19.579999999999998</v>
      </c>
      <c r="AF6564">
        <v>0</v>
      </c>
      <c r="AG6564">
        <v>0</v>
      </c>
      <c r="AH6564">
        <v>0</v>
      </c>
      <c r="AI6564">
        <v>0</v>
      </c>
      <c r="AJ6564">
        <v>163.03</v>
      </c>
      <c r="AK6564">
        <v>0</v>
      </c>
      <c r="AL6564" t="s">
        <v>53</v>
      </c>
      <c r="AM6564" t="s">
        <v>53</v>
      </c>
      <c r="AN6564" t="s">
        <v>53</v>
      </c>
      <c r="AO6564" t="s">
        <v>53</v>
      </c>
      <c r="AP6564" t="s">
        <v>53</v>
      </c>
    </row>
    <row r="6565" spans="2:42" x14ac:dyDescent="0.2">
      <c r="B6565" t="s">
        <v>44</v>
      </c>
      <c r="C6565" t="str">
        <f>HYPERLINK("https://us2.cloudbeds.com/connect/8493803454333002#/reservations/9080486846798000?display=3731VUQ3CY&amp;reservation_id=9080486846798000", "3731VUQ3CY")</f>
        <v>3731VUQ3CY</v>
      </c>
      <c r="D6565" t="s">
        <v>45</v>
      </c>
      <c r="E6565" t="s">
        <v>121</v>
      </c>
      <c r="F6565" t="s">
        <v>86</v>
      </c>
      <c r="G6565" t="s">
        <v>48</v>
      </c>
      <c r="H6565" t="s">
        <v>49</v>
      </c>
      <c r="I6565" t="s">
        <v>50</v>
      </c>
      <c r="J6565" t="s">
        <v>6345</v>
      </c>
      <c r="K6565" t="s">
        <v>8678</v>
      </c>
      <c r="L6565" t="s">
        <v>53</v>
      </c>
      <c r="N6565" t="s">
        <v>11797</v>
      </c>
      <c r="P6565" t="s">
        <v>55</v>
      </c>
      <c r="R6565" t="s">
        <v>53</v>
      </c>
      <c r="T6565" t="s">
        <v>11798</v>
      </c>
      <c r="U6565" t="s">
        <v>58</v>
      </c>
      <c r="V6565">
        <v>1</v>
      </c>
      <c r="W6565">
        <v>1</v>
      </c>
      <c r="X6565">
        <v>2</v>
      </c>
      <c r="Y6565">
        <v>0</v>
      </c>
      <c r="Z6565">
        <v>2</v>
      </c>
      <c r="AA6565">
        <v>272.41000000000003</v>
      </c>
      <c r="AB6565">
        <v>900.34</v>
      </c>
      <c r="AC6565">
        <v>239.7</v>
      </c>
      <c r="AD6565">
        <v>0</v>
      </c>
      <c r="AE6565">
        <v>32.71</v>
      </c>
      <c r="AF6565">
        <v>0</v>
      </c>
      <c r="AG6565">
        <v>0</v>
      </c>
      <c r="AH6565">
        <v>0</v>
      </c>
      <c r="AI6565">
        <v>49.03</v>
      </c>
      <c r="AJ6565">
        <v>272.41000000000003</v>
      </c>
      <c r="AK6565">
        <v>0</v>
      </c>
      <c r="AL6565" t="s">
        <v>53</v>
      </c>
      <c r="AM6565" t="s">
        <v>53</v>
      </c>
      <c r="AN6565" t="s">
        <v>11799</v>
      </c>
      <c r="AO6565" t="s">
        <v>53</v>
      </c>
      <c r="AP6565" t="s">
        <v>53</v>
      </c>
    </row>
    <row r="6566" spans="2:42" x14ac:dyDescent="0.2">
      <c r="B6566" t="s">
        <v>44</v>
      </c>
      <c r="C6566" t="str">
        <f>HYPERLINK("https://us2.cloudbeds.com/connect/8493803454333002#/reservations/9080486846798393?display=373F9TVV40&amp;reservation_id=9080486846798393", "373F9TVV40")</f>
        <v>373F9TVV40</v>
      </c>
      <c r="D6566" t="s">
        <v>45</v>
      </c>
      <c r="E6566" t="s">
        <v>92</v>
      </c>
      <c r="F6566" t="s">
        <v>86</v>
      </c>
      <c r="G6566" t="s">
        <v>48</v>
      </c>
      <c r="H6566" t="s">
        <v>49</v>
      </c>
      <c r="I6566" t="s">
        <v>50</v>
      </c>
      <c r="J6566" t="s">
        <v>9620</v>
      </c>
      <c r="K6566" t="s">
        <v>7089</v>
      </c>
      <c r="L6566" t="s">
        <v>53</v>
      </c>
      <c r="N6566" t="s">
        <v>11800</v>
      </c>
      <c r="P6566" t="s">
        <v>55</v>
      </c>
      <c r="R6566" t="s">
        <v>53</v>
      </c>
      <c r="T6566" t="s">
        <v>11801</v>
      </c>
      <c r="U6566" t="s">
        <v>58</v>
      </c>
      <c r="V6566">
        <v>1</v>
      </c>
      <c r="W6566">
        <v>1</v>
      </c>
      <c r="X6566">
        <v>3</v>
      </c>
      <c r="Y6566">
        <v>0</v>
      </c>
      <c r="Z6566">
        <v>3</v>
      </c>
      <c r="AA6566">
        <v>186.39</v>
      </c>
      <c r="AB6566">
        <v>186.39</v>
      </c>
      <c r="AC6566">
        <v>164</v>
      </c>
      <c r="AD6566">
        <v>0</v>
      </c>
      <c r="AE6566">
        <v>22.39</v>
      </c>
      <c r="AF6566">
        <v>0</v>
      </c>
      <c r="AG6566">
        <v>0</v>
      </c>
      <c r="AH6566">
        <v>0</v>
      </c>
      <c r="AI6566">
        <v>33.549999999999997</v>
      </c>
      <c r="AJ6566">
        <v>186.39</v>
      </c>
      <c r="AK6566">
        <v>0</v>
      </c>
      <c r="AL6566" t="s">
        <v>53</v>
      </c>
      <c r="AM6566" t="s">
        <v>53</v>
      </c>
      <c r="AN6566" t="s">
        <v>53</v>
      </c>
      <c r="AO6566" t="s">
        <v>53</v>
      </c>
      <c r="AP6566" t="s">
        <v>53</v>
      </c>
    </row>
    <row r="6567" spans="2:42" x14ac:dyDescent="0.2">
      <c r="B6567" t="s">
        <v>44</v>
      </c>
      <c r="C6567" t="str">
        <f>HYPERLINK("https://us2.cloudbeds.com/connect/8493803454333002#/reservations/9080486846798413?display=373FQ41DJN&amp;reservation_id=9080486846798413", "373FQ41DJN")</f>
        <v>373FQ41DJN</v>
      </c>
      <c r="D6567" t="s">
        <v>45</v>
      </c>
      <c r="E6567" t="s">
        <v>373</v>
      </c>
      <c r="F6567" t="s">
        <v>47</v>
      </c>
      <c r="G6567" t="s">
        <v>48</v>
      </c>
      <c r="H6567" t="s">
        <v>49</v>
      </c>
      <c r="I6567" t="s">
        <v>50</v>
      </c>
      <c r="J6567" t="s">
        <v>9291</v>
      </c>
      <c r="K6567" t="s">
        <v>8818</v>
      </c>
      <c r="L6567" t="s">
        <v>53</v>
      </c>
      <c r="N6567" t="s">
        <v>11802</v>
      </c>
      <c r="P6567" t="s">
        <v>55</v>
      </c>
      <c r="R6567" t="s">
        <v>53</v>
      </c>
      <c r="T6567" t="s">
        <v>11803</v>
      </c>
      <c r="U6567" t="s">
        <v>58</v>
      </c>
      <c r="V6567">
        <v>2</v>
      </c>
      <c r="W6567">
        <v>1</v>
      </c>
      <c r="X6567">
        <v>2</v>
      </c>
      <c r="Y6567">
        <v>0</v>
      </c>
      <c r="Z6567">
        <v>2</v>
      </c>
      <c r="AA6567">
        <v>238.06</v>
      </c>
      <c r="AB6567">
        <v>238.06</v>
      </c>
      <c r="AC6567">
        <v>209.47</v>
      </c>
      <c r="AD6567">
        <v>0</v>
      </c>
      <c r="AE6567">
        <v>28.59</v>
      </c>
      <c r="AF6567">
        <v>0</v>
      </c>
      <c r="AG6567">
        <v>0</v>
      </c>
      <c r="AH6567">
        <v>0</v>
      </c>
      <c r="AI6567">
        <v>42.85</v>
      </c>
      <c r="AJ6567">
        <v>238.06</v>
      </c>
      <c r="AK6567">
        <v>0</v>
      </c>
      <c r="AL6567" t="s">
        <v>53</v>
      </c>
      <c r="AM6567" t="s">
        <v>53</v>
      </c>
      <c r="AN6567" t="s">
        <v>53</v>
      </c>
      <c r="AO6567" t="s">
        <v>53</v>
      </c>
      <c r="AP6567" t="s">
        <v>53</v>
      </c>
    </row>
    <row r="6568" spans="2:42" x14ac:dyDescent="0.2">
      <c r="B6568" t="s">
        <v>44</v>
      </c>
      <c r="C6568" t="str">
        <f>HYPERLINK("https://us2.cloudbeds.com/connect/8493803454333002#/reservations/9080486846799953?display=374SZ9J5B1&amp;reservation_id=9080486846799953", "374SZ9J5B1")</f>
        <v>374SZ9J5B1</v>
      </c>
      <c r="D6568" t="s">
        <v>45</v>
      </c>
      <c r="E6568" t="s">
        <v>185</v>
      </c>
      <c r="F6568" t="s">
        <v>47</v>
      </c>
      <c r="G6568" t="s">
        <v>48</v>
      </c>
      <c r="H6568" t="s">
        <v>49</v>
      </c>
      <c r="I6568" t="s">
        <v>8964</v>
      </c>
      <c r="J6568" t="s">
        <v>11310</v>
      </c>
      <c r="K6568" t="s">
        <v>11804</v>
      </c>
      <c r="L6568" t="s">
        <v>53</v>
      </c>
      <c r="N6568" t="s">
        <v>11805</v>
      </c>
      <c r="P6568" t="s">
        <v>55</v>
      </c>
      <c r="R6568" t="s">
        <v>53</v>
      </c>
      <c r="T6568" t="s">
        <v>11806</v>
      </c>
      <c r="U6568" t="s">
        <v>55</v>
      </c>
      <c r="V6568">
        <v>1</v>
      </c>
      <c r="W6568">
        <v>1</v>
      </c>
      <c r="X6568">
        <v>2</v>
      </c>
      <c r="Y6568">
        <v>0</v>
      </c>
      <c r="Z6568">
        <v>2</v>
      </c>
      <c r="AA6568">
        <v>131</v>
      </c>
      <c r="AB6568">
        <v>0</v>
      </c>
      <c r="AC6568">
        <v>131</v>
      </c>
      <c r="AD6568">
        <v>0</v>
      </c>
      <c r="AE6568">
        <v>0</v>
      </c>
      <c r="AF6568">
        <v>0</v>
      </c>
      <c r="AG6568">
        <v>0</v>
      </c>
      <c r="AH6568">
        <v>0</v>
      </c>
      <c r="AI6568">
        <v>19.649999999999999</v>
      </c>
      <c r="AJ6568">
        <v>131</v>
      </c>
      <c r="AK6568">
        <v>131</v>
      </c>
      <c r="AL6568" t="s">
        <v>53</v>
      </c>
      <c r="AM6568" t="s">
        <v>53</v>
      </c>
      <c r="AN6568" t="s">
        <v>53</v>
      </c>
      <c r="AO6568" t="s">
        <v>53</v>
      </c>
      <c r="AP6568" t="s">
        <v>53</v>
      </c>
    </row>
    <row r="6569" spans="2:42" x14ac:dyDescent="0.2">
      <c r="B6569" t="s">
        <v>44</v>
      </c>
      <c r="C6569" t="str">
        <f>HYPERLINK("https://us2.cloudbeds.com/connect/8493803454333002#/reservations/9080486846800202?display=3754E1Y53S&amp;reservation_id=9080486846800202", "3754E1Y53S")</f>
        <v>3754E1Y53S</v>
      </c>
      <c r="D6569" t="s">
        <v>45</v>
      </c>
      <c r="E6569" t="s">
        <v>78</v>
      </c>
      <c r="F6569" t="s">
        <v>61</v>
      </c>
      <c r="G6569" t="s">
        <v>48</v>
      </c>
      <c r="H6569" t="s">
        <v>49</v>
      </c>
      <c r="I6569" t="s">
        <v>50</v>
      </c>
      <c r="J6569" t="s">
        <v>7089</v>
      </c>
      <c r="K6569" t="s">
        <v>8437</v>
      </c>
      <c r="L6569" t="s">
        <v>53</v>
      </c>
      <c r="N6569" t="s">
        <v>11807</v>
      </c>
      <c r="P6569" t="s">
        <v>55</v>
      </c>
      <c r="R6569" t="s">
        <v>53</v>
      </c>
      <c r="T6569" t="s">
        <v>11808</v>
      </c>
      <c r="U6569" t="s">
        <v>58</v>
      </c>
      <c r="V6569">
        <v>1</v>
      </c>
      <c r="W6569">
        <v>1</v>
      </c>
      <c r="X6569">
        <v>2</v>
      </c>
      <c r="Y6569">
        <v>0</v>
      </c>
      <c r="Z6569">
        <v>2</v>
      </c>
      <c r="AA6569">
        <v>220.94</v>
      </c>
      <c r="AB6569">
        <v>220.94</v>
      </c>
      <c r="AC6569">
        <v>194.4</v>
      </c>
      <c r="AD6569">
        <v>0</v>
      </c>
      <c r="AE6569">
        <v>26.54</v>
      </c>
      <c r="AF6569">
        <v>0</v>
      </c>
      <c r="AG6569">
        <v>0</v>
      </c>
      <c r="AH6569">
        <v>0</v>
      </c>
      <c r="AI6569">
        <v>39.770000000000003</v>
      </c>
      <c r="AJ6569">
        <v>220.94</v>
      </c>
      <c r="AK6569">
        <v>0</v>
      </c>
      <c r="AL6569" t="s">
        <v>53</v>
      </c>
      <c r="AM6569" t="s">
        <v>53</v>
      </c>
      <c r="AN6569" t="s">
        <v>53</v>
      </c>
      <c r="AO6569" t="s">
        <v>53</v>
      </c>
      <c r="AP6569" t="s">
        <v>53</v>
      </c>
    </row>
    <row r="6570" spans="2:42" x14ac:dyDescent="0.2">
      <c r="B6570" t="s">
        <v>44</v>
      </c>
      <c r="C6570" t="str">
        <f>HYPERLINK("https://us2.cloudbeds.com/connect/8493803454333002#/reservations/9080486846800707?display=375KPCDF2W&amp;reservation_id=9080486846800707", "375KPCDF2W")</f>
        <v>375KPCDF2W</v>
      </c>
      <c r="D6570" t="s">
        <v>45</v>
      </c>
      <c r="E6570" t="s">
        <v>406</v>
      </c>
      <c r="F6570" t="s">
        <v>61</v>
      </c>
      <c r="G6570" t="s">
        <v>48</v>
      </c>
      <c r="H6570" t="s">
        <v>49</v>
      </c>
      <c r="I6570" t="s">
        <v>50</v>
      </c>
      <c r="J6570" t="s">
        <v>7089</v>
      </c>
      <c r="K6570" t="s">
        <v>9928</v>
      </c>
      <c r="L6570" t="s">
        <v>53</v>
      </c>
      <c r="N6570" t="s">
        <v>11809</v>
      </c>
      <c r="P6570" t="s">
        <v>55</v>
      </c>
      <c r="R6570" t="s">
        <v>53</v>
      </c>
      <c r="T6570" t="s">
        <v>11810</v>
      </c>
      <c r="U6570" t="s">
        <v>58</v>
      </c>
      <c r="V6570">
        <v>2</v>
      </c>
      <c r="W6570">
        <v>1</v>
      </c>
      <c r="X6570">
        <v>2</v>
      </c>
      <c r="Y6570">
        <v>0</v>
      </c>
      <c r="Z6570">
        <v>2</v>
      </c>
      <c r="AA6570">
        <v>414.43</v>
      </c>
      <c r="AB6570">
        <v>414.43</v>
      </c>
      <c r="AC6570">
        <v>364.65</v>
      </c>
      <c r="AD6570">
        <v>0</v>
      </c>
      <c r="AE6570">
        <v>49.78</v>
      </c>
      <c r="AF6570">
        <v>0</v>
      </c>
      <c r="AG6570">
        <v>0</v>
      </c>
      <c r="AH6570">
        <v>0</v>
      </c>
      <c r="AI6570">
        <v>74.599999999999994</v>
      </c>
      <c r="AJ6570">
        <v>414.43</v>
      </c>
      <c r="AK6570">
        <v>0</v>
      </c>
      <c r="AL6570" t="s">
        <v>53</v>
      </c>
      <c r="AM6570" t="s">
        <v>53</v>
      </c>
      <c r="AN6570" t="s">
        <v>53</v>
      </c>
      <c r="AO6570" t="s">
        <v>53</v>
      </c>
      <c r="AP6570" t="s">
        <v>53</v>
      </c>
    </row>
    <row r="6571" spans="2:42" x14ac:dyDescent="0.2">
      <c r="B6571" t="s">
        <v>44</v>
      </c>
      <c r="C6571" t="str">
        <f>HYPERLINK("https://us2.cloudbeds.com/connect/8493803454333002#/reservations/149318735986822?display=375KCQBMWR&amp;reservation_id=149318735986822", "375KCQBMWR")</f>
        <v>375KCQBMWR</v>
      </c>
      <c r="D6571" t="s">
        <v>45</v>
      </c>
      <c r="E6571" t="s">
        <v>406</v>
      </c>
      <c r="F6571" t="s">
        <v>61</v>
      </c>
      <c r="G6571" t="s">
        <v>4520</v>
      </c>
      <c r="H6571" t="s">
        <v>3957</v>
      </c>
      <c r="I6571" t="s">
        <v>3958</v>
      </c>
      <c r="J6571" t="s">
        <v>9620</v>
      </c>
      <c r="K6571" t="s">
        <v>7089</v>
      </c>
      <c r="L6571" t="s">
        <v>53</v>
      </c>
      <c r="P6571" t="s">
        <v>55</v>
      </c>
      <c r="R6571" t="s">
        <v>56</v>
      </c>
      <c r="T6571" t="s">
        <v>11811</v>
      </c>
      <c r="U6571" t="s">
        <v>58</v>
      </c>
      <c r="V6571">
        <v>1</v>
      </c>
      <c r="W6571">
        <v>1</v>
      </c>
      <c r="X6571">
        <v>1</v>
      </c>
      <c r="Y6571">
        <v>0</v>
      </c>
      <c r="Z6571">
        <v>1</v>
      </c>
      <c r="AA6571">
        <v>190.25</v>
      </c>
      <c r="AB6571">
        <v>190.25</v>
      </c>
      <c r="AC6571">
        <v>167.4</v>
      </c>
      <c r="AD6571">
        <v>0</v>
      </c>
      <c r="AE6571">
        <v>22.85</v>
      </c>
      <c r="AF6571">
        <v>0</v>
      </c>
      <c r="AG6571">
        <v>0</v>
      </c>
      <c r="AH6571">
        <v>0</v>
      </c>
      <c r="AI6571">
        <v>0</v>
      </c>
      <c r="AJ6571">
        <v>190.25</v>
      </c>
      <c r="AK6571">
        <v>0</v>
      </c>
      <c r="AL6571" t="s">
        <v>53</v>
      </c>
      <c r="AM6571" t="s">
        <v>53</v>
      </c>
      <c r="AN6571" t="s">
        <v>53</v>
      </c>
      <c r="AO6571" t="s">
        <v>53</v>
      </c>
      <c r="AP6571" t="s">
        <v>53</v>
      </c>
    </row>
    <row r="6572" spans="2:42" x14ac:dyDescent="0.2">
      <c r="B6572" t="s">
        <v>44</v>
      </c>
      <c r="C6572" t="str">
        <f>HYPERLINK("https://us2.cloudbeds.com/connect/8493803454333002#/reservations/9080486846801020?display=37604V53WN&amp;reservation_id=9080486846801020", "37604V53WN")</f>
        <v>37604V53WN</v>
      </c>
      <c r="D6572" t="s">
        <v>45</v>
      </c>
      <c r="E6572" t="s">
        <v>305</v>
      </c>
      <c r="F6572" t="s">
        <v>61</v>
      </c>
      <c r="G6572" t="s">
        <v>48</v>
      </c>
      <c r="H6572" t="s">
        <v>49</v>
      </c>
      <c r="I6572" t="s">
        <v>50</v>
      </c>
      <c r="J6572" t="s">
        <v>9620</v>
      </c>
      <c r="K6572" t="s">
        <v>7089</v>
      </c>
      <c r="L6572" t="s">
        <v>53</v>
      </c>
      <c r="N6572" t="s">
        <v>11812</v>
      </c>
      <c r="P6572" t="s">
        <v>55</v>
      </c>
      <c r="R6572" t="s">
        <v>53</v>
      </c>
      <c r="T6572" t="s">
        <v>11813</v>
      </c>
      <c r="U6572" t="s">
        <v>58</v>
      </c>
      <c r="V6572">
        <v>1</v>
      </c>
      <c r="W6572">
        <v>1</v>
      </c>
      <c r="X6572">
        <v>2</v>
      </c>
      <c r="Y6572">
        <v>0</v>
      </c>
      <c r="Z6572">
        <v>2</v>
      </c>
      <c r="AA6572">
        <v>190.25</v>
      </c>
      <c r="AB6572">
        <v>190.25</v>
      </c>
      <c r="AC6572">
        <v>167.4</v>
      </c>
      <c r="AD6572">
        <v>0</v>
      </c>
      <c r="AE6572">
        <v>22.85</v>
      </c>
      <c r="AF6572">
        <v>0</v>
      </c>
      <c r="AG6572">
        <v>0</v>
      </c>
      <c r="AH6572">
        <v>0</v>
      </c>
      <c r="AI6572">
        <v>34.25</v>
      </c>
      <c r="AJ6572">
        <v>190.25</v>
      </c>
      <c r="AK6572">
        <v>0</v>
      </c>
      <c r="AL6572" t="s">
        <v>53</v>
      </c>
      <c r="AM6572" t="s">
        <v>53</v>
      </c>
      <c r="AN6572" t="s">
        <v>53</v>
      </c>
      <c r="AO6572" t="s">
        <v>53</v>
      </c>
      <c r="AP6572" t="s">
        <v>53</v>
      </c>
    </row>
    <row r="6573" spans="2:42" x14ac:dyDescent="0.2">
      <c r="B6573" t="s">
        <v>44</v>
      </c>
      <c r="C6573" t="str">
        <f>HYPERLINK("https://us2.cloudbeds.com/connect/8493803454333002#/reservations/9080486846801414?display=376J9H9W86&amp;reservation_id=9080486846801414", "376J9H9W86")</f>
        <v>376J9H9W86</v>
      </c>
      <c r="D6573" t="s">
        <v>45</v>
      </c>
      <c r="E6573" t="s">
        <v>265</v>
      </c>
      <c r="F6573" t="s">
        <v>61</v>
      </c>
      <c r="G6573" t="s">
        <v>48</v>
      </c>
      <c r="H6573" t="s">
        <v>49</v>
      </c>
      <c r="I6573" t="s">
        <v>62</v>
      </c>
      <c r="J6573" t="s">
        <v>9620</v>
      </c>
      <c r="K6573" t="s">
        <v>8437</v>
      </c>
      <c r="L6573" t="s">
        <v>53</v>
      </c>
      <c r="N6573" t="s">
        <v>11814</v>
      </c>
      <c r="P6573" t="s">
        <v>55</v>
      </c>
      <c r="R6573" t="s">
        <v>56</v>
      </c>
      <c r="T6573" t="s">
        <v>11815</v>
      </c>
      <c r="U6573" t="s">
        <v>55</v>
      </c>
      <c r="V6573">
        <v>2</v>
      </c>
      <c r="W6573">
        <v>1</v>
      </c>
      <c r="X6573">
        <v>2</v>
      </c>
      <c r="Y6573">
        <v>0</v>
      </c>
      <c r="Z6573">
        <v>2</v>
      </c>
      <c r="AA6573">
        <v>402</v>
      </c>
      <c r="AB6573">
        <v>402</v>
      </c>
      <c r="AC6573">
        <v>402</v>
      </c>
      <c r="AD6573">
        <v>0</v>
      </c>
      <c r="AE6573">
        <v>0</v>
      </c>
      <c r="AF6573">
        <v>0</v>
      </c>
      <c r="AG6573">
        <v>0</v>
      </c>
      <c r="AH6573">
        <v>0</v>
      </c>
      <c r="AI6573">
        <v>72.36</v>
      </c>
      <c r="AJ6573">
        <v>402</v>
      </c>
      <c r="AK6573">
        <v>0</v>
      </c>
      <c r="AL6573" t="s">
        <v>53</v>
      </c>
      <c r="AM6573" t="s">
        <v>53</v>
      </c>
      <c r="AN6573" t="s">
        <v>53</v>
      </c>
      <c r="AO6573" t="s">
        <v>53</v>
      </c>
      <c r="AP6573" t="s">
        <v>53</v>
      </c>
    </row>
    <row r="6574" spans="2:42" x14ac:dyDescent="0.2">
      <c r="B6574" t="s">
        <v>44</v>
      </c>
      <c r="C6574" t="str">
        <f>HYPERLINK("https://us2.cloudbeds.com/connect/8493803454333002#/reservations/9080486846801736?display=3773PG35RX&amp;reservation_id=9080486846801736", "3773PG35RX")</f>
        <v>3773PG35RX</v>
      </c>
      <c r="D6574" t="s">
        <v>45</v>
      </c>
      <c r="E6574" t="s">
        <v>213</v>
      </c>
      <c r="F6574" t="s">
        <v>86</v>
      </c>
      <c r="G6574" t="s">
        <v>48</v>
      </c>
      <c r="H6574" t="s">
        <v>49</v>
      </c>
      <c r="I6574" t="s">
        <v>62</v>
      </c>
      <c r="J6574" t="s">
        <v>8437</v>
      </c>
      <c r="K6574" t="s">
        <v>9928</v>
      </c>
      <c r="L6574" t="s">
        <v>53</v>
      </c>
      <c r="N6574" t="s">
        <v>11816</v>
      </c>
      <c r="P6574" t="s">
        <v>55</v>
      </c>
      <c r="R6574" t="s">
        <v>56</v>
      </c>
      <c r="T6574" t="s">
        <v>11817</v>
      </c>
      <c r="U6574" t="s">
        <v>55</v>
      </c>
      <c r="V6574">
        <v>1</v>
      </c>
      <c r="W6574">
        <v>1</v>
      </c>
      <c r="X6574">
        <v>4</v>
      </c>
      <c r="Y6574">
        <v>0</v>
      </c>
      <c r="Z6574">
        <v>4</v>
      </c>
      <c r="AA6574">
        <v>219</v>
      </c>
      <c r="AB6574">
        <v>219</v>
      </c>
      <c r="AC6574">
        <v>219</v>
      </c>
      <c r="AD6574">
        <v>0</v>
      </c>
      <c r="AE6574">
        <v>0</v>
      </c>
      <c r="AF6574">
        <v>0</v>
      </c>
      <c r="AG6574">
        <v>0</v>
      </c>
      <c r="AH6574">
        <v>0</v>
      </c>
      <c r="AI6574">
        <v>39.42</v>
      </c>
      <c r="AJ6574">
        <v>219</v>
      </c>
      <c r="AK6574">
        <v>0</v>
      </c>
      <c r="AL6574" t="s">
        <v>53</v>
      </c>
      <c r="AM6574" t="s">
        <v>53</v>
      </c>
      <c r="AN6574" t="s">
        <v>53</v>
      </c>
      <c r="AO6574" t="s">
        <v>53</v>
      </c>
      <c r="AP6574" t="s">
        <v>53</v>
      </c>
    </row>
    <row r="6575" spans="2:42" x14ac:dyDescent="0.2">
      <c r="B6575" t="s">
        <v>44</v>
      </c>
      <c r="C6575" t="str">
        <f>HYPERLINK("https://us2.cloudbeds.com/connect/8493803454333002#/reservations/9080486846801889?display=377AWD3PKP&amp;reservation_id=9080486846801889", "377AWD3PKP")</f>
        <v>377AWD3PKP</v>
      </c>
      <c r="D6575" t="s">
        <v>45</v>
      </c>
      <c r="E6575" t="s">
        <v>223</v>
      </c>
      <c r="F6575" t="s">
        <v>47</v>
      </c>
      <c r="G6575" t="s">
        <v>48</v>
      </c>
      <c r="H6575" t="s">
        <v>49</v>
      </c>
      <c r="I6575" t="s">
        <v>50</v>
      </c>
      <c r="J6575" t="s">
        <v>10591</v>
      </c>
      <c r="K6575" t="s">
        <v>11818</v>
      </c>
      <c r="L6575" t="s">
        <v>53</v>
      </c>
      <c r="N6575" t="s">
        <v>11819</v>
      </c>
      <c r="P6575" t="s">
        <v>55</v>
      </c>
      <c r="R6575" t="s">
        <v>53</v>
      </c>
      <c r="T6575" t="s">
        <v>11820</v>
      </c>
      <c r="U6575" t="s">
        <v>58</v>
      </c>
      <c r="V6575">
        <v>1</v>
      </c>
      <c r="W6575">
        <v>1</v>
      </c>
      <c r="X6575">
        <v>2</v>
      </c>
      <c r="Y6575">
        <v>0</v>
      </c>
      <c r="Z6575">
        <v>2</v>
      </c>
      <c r="AA6575">
        <v>71.61</v>
      </c>
      <c r="AB6575">
        <v>71.61</v>
      </c>
      <c r="AC6575">
        <v>63</v>
      </c>
      <c r="AD6575">
        <v>0</v>
      </c>
      <c r="AE6575">
        <v>8.61</v>
      </c>
      <c r="AF6575">
        <v>0</v>
      </c>
      <c r="AG6575">
        <v>0</v>
      </c>
      <c r="AH6575">
        <v>0</v>
      </c>
      <c r="AI6575">
        <v>12.89</v>
      </c>
      <c r="AJ6575">
        <v>71.61</v>
      </c>
      <c r="AK6575">
        <v>0</v>
      </c>
      <c r="AL6575" t="s">
        <v>53</v>
      </c>
      <c r="AM6575" t="s">
        <v>53</v>
      </c>
      <c r="AN6575" t="s">
        <v>53</v>
      </c>
      <c r="AO6575" t="s">
        <v>53</v>
      </c>
      <c r="AP6575" t="s">
        <v>53</v>
      </c>
    </row>
    <row r="6576" spans="2:42" x14ac:dyDescent="0.2">
      <c r="B6576" t="s">
        <v>44</v>
      </c>
      <c r="C6576" t="str">
        <f>HYPERLINK("https://us2.cloudbeds.com/connect/8493803454333002#/reservations/9080486846805990?display=37CQJTRKGN&amp;reservation_id=9080486846805990", "37CQJTRKGN")</f>
        <v>37CQJTRKGN</v>
      </c>
      <c r="D6576" t="s">
        <v>45</v>
      </c>
      <c r="E6576" t="s">
        <v>110</v>
      </c>
      <c r="F6576" t="s">
        <v>47</v>
      </c>
      <c r="G6576" t="s">
        <v>48</v>
      </c>
      <c r="H6576" t="s">
        <v>49</v>
      </c>
      <c r="I6576" t="s">
        <v>50</v>
      </c>
      <c r="J6576" t="s">
        <v>8437</v>
      </c>
      <c r="K6576" t="s">
        <v>9928</v>
      </c>
      <c r="L6576" t="s">
        <v>53</v>
      </c>
      <c r="N6576" t="s">
        <v>11821</v>
      </c>
      <c r="P6576" t="s">
        <v>55</v>
      </c>
      <c r="R6576" t="s">
        <v>53</v>
      </c>
      <c r="T6576" t="s">
        <v>11822</v>
      </c>
      <c r="U6576" t="s">
        <v>58</v>
      </c>
      <c r="V6576">
        <v>1</v>
      </c>
      <c r="W6576">
        <v>1</v>
      </c>
      <c r="X6576">
        <v>1</v>
      </c>
      <c r="Y6576">
        <v>0</v>
      </c>
      <c r="Z6576">
        <v>1</v>
      </c>
      <c r="AA6576">
        <v>170.93</v>
      </c>
      <c r="AB6576">
        <v>170.93</v>
      </c>
      <c r="AC6576">
        <v>150.4</v>
      </c>
      <c r="AD6576">
        <v>0</v>
      </c>
      <c r="AE6576">
        <v>20.53</v>
      </c>
      <c r="AF6576">
        <v>0</v>
      </c>
      <c r="AG6576">
        <v>0</v>
      </c>
      <c r="AH6576">
        <v>0</v>
      </c>
      <c r="AI6576">
        <v>30.77</v>
      </c>
      <c r="AJ6576">
        <v>170.93</v>
      </c>
      <c r="AK6576">
        <v>0</v>
      </c>
      <c r="AL6576" t="s">
        <v>53</v>
      </c>
      <c r="AM6576" t="s">
        <v>53</v>
      </c>
      <c r="AN6576" t="s">
        <v>53</v>
      </c>
      <c r="AO6576" t="s">
        <v>53</v>
      </c>
      <c r="AP6576" t="s">
        <v>53</v>
      </c>
    </row>
    <row r="6577" spans="2:42" x14ac:dyDescent="0.2">
      <c r="B6577" t="s">
        <v>44</v>
      </c>
      <c r="C6577" t="str">
        <f>HYPERLINK("https://us2.cloudbeds.com/connect/8493803454333002#/reservations/9080486846806093?display=37CT4AWZ29&amp;reservation_id=9080486846806093", "37CT4AWZ29")</f>
        <v>37CT4AWZ29</v>
      </c>
      <c r="D6577" t="s">
        <v>45</v>
      </c>
      <c r="E6577" t="s">
        <v>105</v>
      </c>
      <c r="F6577" t="s">
        <v>47</v>
      </c>
      <c r="G6577" t="s">
        <v>48</v>
      </c>
      <c r="H6577" t="s">
        <v>49</v>
      </c>
      <c r="I6577" t="s">
        <v>50</v>
      </c>
      <c r="J6577" t="s">
        <v>8437</v>
      </c>
      <c r="K6577" t="s">
        <v>9928</v>
      </c>
      <c r="L6577" t="s">
        <v>53</v>
      </c>
      <c r="N6577" t="s">
        <v>11823</v>
      </c>
      <c r="P6577" t="s">
        <v>55</v>
      </c>
      <c r="R6577" t="s">
        <v>53</v>
      </c>
      <c r="T6577" t="s">
        <v>11824</v>
      </c>
      <c r="U6577" t="s">
        <v>58</v>
      </c>
      <c r="V6577">
        <v>1</v>
      </c>
      <c r="W6577">
        <v>1</v>
      </c>
      <c r="X6577">
        <v>2</v>
      </c>
      <c r="Y6577">
        <v>0</v>
      </c>
      <c r="Z6577">
        <v>2</v>
      </c>
      <c r="AA6577">
        <v>213.66</v>
      </c>
      <c r="AB6577">
        <v>213.66</v>
      </c>
      <c r="AC6577">
        <v>188</v>
      </c>
      <c r="AD6577">
        <v>0</v>
      </c>
      <c r="AE6577">
        <v>25.66</v>
      </c>
      <c r="AF6577">
        <v>0</v>
      </c>
      <c r="AG6577">
        <v>0</v>
      </c>
      <c r="AH6577">
        <v>0</v>
      </c>
      <c r="AI6577">
        <v>38.46</v>
      </c>
      <c r="AJ6577">
        <v>213.66</v>
      </c>
      <c r="AK6577">
        <v>0</v>
      </c>
      <c r="AL6577" t="s">
        <v>53</v>
      </c>
      <c r="AM6577" t="s">
        <v>53</v>
      </c>
      <c r="AN6577" t="s">
        <v>53</v>
      </c>
      <c r="AO6577" t="s">
        <v>53</v>
      </c>
      <c r="AP6577" t="s">
        <v>53</v>
      </c>
    </row>
    <row r="6578" spans="2:42" x14ac:dyDescent="0.2">
      <c r="B6578" t="s">
        <v>44</v>
      </c>
      <c r="C6578" t="str">
        <f>HYPERLINK("https://us2.cloudbeds.com/connect/8493803454333002#/reservations/9080486846806303?display=37D4813QXJ&amp;reservation_id=9080486846806303", "37D4813QXJ")</f>
        <v>37D4813QXJ</v>
      </c>
      <c r="D6578" t="s">
        <v>45</v>
      </c>
      <c r="E6578" t="s">
        <v>69</v>
      </c>
      <c r="F6578" t="s">
        <v>70</v>
      </c>
      <c r="G6578" t="s">
        <v>48</v>
      </c>
      <c r="H6578" t="s">
        <v>49</v>
      </c>
      <c r="I6578" t="s">
        <v>62</v>
      </c>
      <c r="J6578" t="s">
        <v>9928</v>
      </c>
      <c r="K6578" t="s">
        <v>7492</v>
      </c>
      <c r="L6578" t="s">
        <v>53</v>
      </c>
      <c r="N6578" t="s">
        <v>11825</v>
      </c>
      <c r="P6578" t="s">
        <v>55</v>
      </c>
      <c r="R6578" t="s">
        <v>56</v>
      </c>
      <c r="T6578" t="s">
        <v>11826</v>
      </c>
      <c r="U6578" t="s">
        <v>55</v>
      </c>
      <c r="V6578">
        <v>1</v>
      </c>
      <c r="W6578">
        <v>1</v>
      </c>
      <c r="X6578">
        <v>1</v>
      </c>
      <c r="Y6578">
        <v>0</v>
      </c>
      <c r="Z6578">
        <v>1</v>
      </c>
      <c r="AA6578">
        <v>104</v>
      </c>
      <c r="AB6578">
        <v>104</v>
      </c>
      <c r="AC6578">
        <v>104</v>
      </c>
      <c r="AD6578">
        <v>0</v>
      </c>
      <c r="AE6578">
        <v>0</v>
      </c>
      <c r="AF6578">
        <v>0</v>
      </c>
      <c r="AG6578">
        <v>0</v>
      </c>
      <c r="AH6578">
        <v>0</v>
      </c>
      <c r="AI6578">
        <v>18.72</v>
      </c>
      <c r="AJ6578">
        <v>104</v>
      </c>
      <c r="AK6578">
        <v>0</v>
      </c>
      <c r="AL6578" t="s">
        <v>53</v>
      </c>
      <c r="AM6578" t="s">
        <v>53</v>
      </c>
      <c r="AN6578" t="s">
        <v>53</v>
      </c>
      <c r="AO6578" t="s">
        <v>53</v>
      </c>
      <c r="AP6578" t="s">
        <v>53</v>
      </c>
    </row>
    <row r="6579" spans="2:42" x14ac:dyDescent="0.2">
      <c r="B6579" t="s">
        <v>44</v>
      </c>
      <c r="C6579" t="str">
        <f>HYPERLINK("https://us2.cloudbeds.com/connect/8493803454333002#/reservations/149642195579131?display=37D6RV1M0C&amp;reservation_id=149642195579131", "37D6RV1M0C")</f>
        <v>37D6RV1M0C</v>
      </c>
      <c r="D6579" t="s">
        <v>45</v>
      </c>
      <c r="E6579" t="s">
        <v>305</v>
      </c>
      <c r="F6579" t="s">
        <v>61</v>
      </c>
      <c r="G6579" t="s">
        <v>7801</v>
      </c>
      <c r="H6579" t="s">
        <v>3957</v>
      </c>
      <c r="I6579" t="s">
        <v>3958</v>
      </c>
      <c r="J6579" t="s">
        <v>7089</v>
      </c>
      <c r="K6579" t="s">
        <v>8437</v>
      </c>
      <c r="L6579" t="s">
        <v>53</v>
      </c>
      <c r="P6579" t="s">
        <v>55</v>
      </c>
      <c r="R6579" t="s">
        <v>56</v>
      </c>
      <c r="T6579" t="s">
        <v>11827</v>
      </c>
      <c r="U6579" t="s">
        <v>58</v>
      </c>
      <c r="V6579">
        <v>1</v>
      </c>
      <c r="W6579">
        <v>1</v>
      </c>
      <c r="X6579">
        <v>1</v>
      </c>
      <c r="Y6579">
        <v>0</v>
      </c>
      <c r="Z6579">
        <v>1</v>
      </c>
      <c r="AA6579">
        <v>261.85000000000002</v>
      </c>
      <c r="AB6579">
        <v>261.85000000000002</v>
      </c>
      <c r="AC6579">
        <v>230.4</v>
      </c>
      <c r="AD6579">
        <v>0</v>
      </c>
      <c r="AE6579">
        <v>31.45</v>
      </c>
      <c r="AF6579">
        <v>0</v>
      </c>
      <c r="AG6579">
        <v>0</v>
      </c>
      <c r="AH6579">
        <v>0</v>
      </c>
      <c r="AI6579">
        <v>0</v>
      </c>
      <c r="AJ6579">
        <v>261.85000000000002</v>
      </c>
      <c r="AK6579">
        <v>0</v>
      </c>
      <c r="AL6579" t="s">
        <v>53</v>
      </c>
      <c r="AM6579" t="s">
        <v>53</v>
      </c>
      <c r="AN6579" t="s">
        <v>53</v>
      </c>
      <c r="AO6579" t="s">
        <v>53</v>
      </c>
      <c r="AP6579" t="s">
        <v>53</v>
      </c>
    </row>
    <row r="6580" spans="2:42" x14ac:dyDescent="0.2">
      <c r="B6580" t="s">
        <v>44</v>
      </c>
      <c r="C6580" t="str">
        <f>HYPERLINK("https://us2.cloudbeds.com/connect/8493803454333002#/reservations/149672914776204?display=37DUKT9K35&amp;reservation_id=149672914776204", "37DUKT9K35")</f>
        <v>37DUKT9K35</v>
      </c>
      <c r="D6580" t="s">
        <v>45</v>
      </c>
      <c r="E6580" t="s">
        <v>373</v>
      </c>
      <c r="F6580" t="s">
        <v>47</v>
      </c>
      <c r="G6580" t="s">
        <v>4520</v>
      </c>
      <c r="H6580" t="s">
        <v>3957</v>
      </c>
      <c r="I6580" t="s">
        <v>3958</v>
      </c>
      <c r="J6580" t="s">
        <v>7089</v>
      </c>
      <c r="K6580" t="s">
        <v>8437</v>
      </c>
      <c r="L6580" t="s">
        <v>53</v>
      </c>
      <c r="P6580" t="s">
        <v>55</v>
      </c>
      <c r="R6580" t="s">
        <v>56</v>
      </c>
      <c r="T6580" t="s">
        <v>11828</v>
      </c>
      <c r="U6580" t="s">
        <v>58</v>
      </c>
      <c r="V6580">
        <v>1</v>
      </c>
      <c r="W6580">
        <v>1</v>
      </c>
      <c r="X6580">
        <v>1</v>
      </c>
      <c r="Y6580">
        <v>0</v>
      </c>
      <c r="Z6580">
        <v>1</v>
      </c>
      <c r="AA6580">
        <v>235.26</v>
      </c>
      <c r="AB6580">
        <v>235.26</v>
      </c>
      <c r="AC6580">
        <v>207</v>
      </c>
      <c r="AD6580">
        <v>0</v>
      </c>
      <c r="AE6580">
        <v>28.26</v>
      </c>
      <c r="AF6580">
        <v>0</v>
      </c>
      <c r="AG6580">
        <v>0</v>
      </c>
      <c r="AH6580">
        <v>0</v>
      </c>
      <c r="AI6580">
        <v>0</v>
      </c>
      <c r="AJ6580">
        <v>235.26</v>
      </c>
      <c r="AK6580">
        <v>0</v>
      </c>
      <c r="AL6580" t="s">
        <v>53</v>
      </c>
      <c r="AM6580" t="s">
        <v>53</v>
      </c>
      <c r="AN6580" t="s">
        <v>53</v>
      </c>
      <c r="AO6580" t="s">
        <v>53</v>
      </c>
      <c r="AP6580" t="s">
        <v>53</v>
      </c>
    </row>
    <row r="6581" spans="2:42" x14ac:dyDescent="0.2">
      <c r="B6581" t="s">
        <v>44</v>
      </c>
      <c r="C6581" t="str">
        <f>HYPERLINK("https://us2.cloudbeds.com/connect/8493803454333002#/reservations/9080486846807805?display=37ES4WA73U&amp;reservation_id=9080486846807805", "37ES4WA73U")</f>
        <v>37ES4WA73U</v>
      </c>
      <c r="D6581" t="s">
        <v>45</v>
      </c>
      <c r="E6581" t="s">
        <v>179</v>
      </c>
      <c r="F6581" t="s">
        <v>47</v>
      </c>
      <c r="G6581" t="s">
        <v>48</v>
      </c>
      <c r="H6581" t="s">
        <v>49</v>
      </c>
      <c r="I6581" t="s">
        <v>50</v>
      </c>
      <c r="J6581" t="s">
        <v>8437</v>
      </c>
      <c r="K6581" t="s">
        <v>9928</v>
      </c>
      <c r="L6581" t="s">
        <v>53</v>
      </c>
      <c r="N6581" t="s">
        <v>11829</v>
      </c>
      <c r="P6581" t="s">
        <v>55</v>
      </c>
      <c r="R6581" t="s">
        <v>53</v>
      </c>
      <c r="T6581" t="s">
        <v>11830</v>
      </c>
      <c r="U6581" t="s">
        <v>58</v>
      </c>
      <c r="V6581">
        <v>1</v>
      </c>
      <c r="W6581">
        <v>1</v>
      </c>
      <c r="X6581">
        <v>2</v>
      </c>
      <c r="Y6581">
        <v>0</v>
      </c>
      <c r="Z6581">
        <v>2</v>
      </c>
      <c r="AA6581">
        <v>213.66</v>
      </c>
      <c r="AB6581">
        <v>213.66</v>
      </c>
      <c r="AC6581">
        <v>188</v>
      </c>
      <c r="AD6581">
        <v>0</v>
      </c>
      <c r="AE6581">
        <v>25.66</v>
      </c>
      <c r="AF6581">
        <v>0</v>
      </c>
      <c r="AG6581">
        <v>0</v>
      </c>
      <c r="AH6581">
        <v>0</v>
      </c>
      <c r="AI6581">
        <v>38.46</v>
      </c>
      <c r="AJ6581">
        <v>213.66</v>
      </c>
      <c r="AK6581">
        <v>0</v>
      </c>
      <c r="AL6581" t="s">
        <v>53</v>
      </c>
      <c r="AM6581" t="s">
        <v>53</v>
      </c>
      <c r="AN6581" t="s">
        <v>53</v>
      </c>
      <c r="AO6581" t="s">
        <v>53</v>
      </c>
      <c r="AP6581" t="s">
        <v>53</v>
      </c>
    </row>
    <row r="6582" spans="2:42" x14ac:dyDescent="0.2">
      <c r="B6582" t="s">
        <v>44</v>
      </c>
      <c r="C6582" t="str">
        <f>HYPERLINK("https://us2.cloudbeds.com/connect/8493803454333002#/reservations/9080486846808120?display=37FBXNUEZB&amp;reservation_id=9080486846808120", "37FBXNUEZB")</f>
        <v>37FBXNUEZB</v>
      </c>
      <c r="D6582" t="s">
        <v>45</v>
      </c>
      <c r="E6582" t="s">
        <v>223</v>
      </c>
      <c r="F6582" t="s">
        <v>47</v>
      </c>
      <c r="G6582" t="s">
        <v>48</v>
      </c>
      <c r="H6582" t="s">
        <v>49</v>
      </c>
      <c r="I6582" t="s">
        <v>50</v>
      </c>
      <c r="J6582" t="s">
        <v>8437</v>
      </c>
      <c r="K6582" t="s">
        <v>9928</v>
      </c>
      <c r="L6582" t="s">
        <v>53</v>
      </c>
      <c r="N6582" t="s">
        <v>11831</v>
      </c>
      <c r="P6582" t="s">
        <v>55</v>
      </c>
      <c r="R6582" t="s">
        <v>53</v>
      </c>
      <c r="T6582" t="s">
        <v>11832</v>
      </c>
      <c r="U6582" t="s">
        <v>58</v>
      </c>
      <c r="V6582">
        <v>1</v>
      </c>
      <c r="W6582">
        <v>1</v>
      </c>
      <c r="X6582">
        <v>1</v>
      </c>
      <c r="Y6582">
        <v>0</v>
      </c>
      <c r="Z6582">
        <v>1</v>
      </c>
      <c r="AA6582">
        <v>181.61</v>
      </c>
      <c r="AB6582">
        <v>181.61</v>
      </c>
      <c r="AC6582">
        <v>159.80000000000001</v>
      </c>
      <c r="AD6582">
        <v>0</v>
      </c>
      <c r="AE6582">
        <v>21.81</v>
      </c>
      <c r="AF6582">
        <v>0</v>
      </c>
      <c r="AG6582">
        <v>0</v>
      </c>
      <c r="AH6582">
        <v>0</v>
      </c>
      <c r="AI6582">
        <v>32.69</v>
      </c>
      <c r="AJ6582">
        <v>181.61</v>
      </c>
      <c r="AK6582">
        <v>0</v>
      </c>
      <c r="AL6582" t="s">
        <v>53</v>
      </c>
      <c r="AM6582" t="s">
        <v>53</v>
      </c>
      <c r="AN6582" t="s">
        <v>53</v>
      </c>
      <c r="AO6582" t="s">
        <v>53</v>
      </c>
      <c r="AP6582" t="s">
        <v>53</v>
      </c>
    </row>
    <row r="6583" spans="2:42" x14ac:dyDescent="0.2">
      <c r="B6583" t="s">
        <v>44</v>
      </c>
      <c r="C6583" t="str">
        <f>HYPERLINK("https://us2.cloudbeds.com/connect/8493803454333002#/reservations/9080486846808122?display=37FBXZZBAX&amp;reservation_id=9080486846808122", "37FBXZZBAX")</f>
        <v>37FBXZZBAX</v>
      </c>
      <c r="D6583" t="s">
        <v>45</v>
      </c>
      <c r="E6583" t="s">
        <v>46</v>
      </c>
      <c r="F6583" t="s">
        <v>47</v>
      </c>
      <c r="G6583" t="s">
        <v>48</v>
      </c>
      <c r="H6583" t="s">
        <v>49</v>
      </c>
      <c r="I6583" t="s">
        <v>50</v>
      </c>
      <c r="J6583" t="s">
        <v>8437</v>
      </c>
      <c r="K6583" t="s">
        <v>9928</v>
      </c>
      <c r="L6583" t="s">
        <v>53</v>
      </c>
      <c r="N6583" t="s">
        <v>11833</v>
      </c>
      <c r="P6583" t="s">
        <v>55</v>
      </c>
      <c r="R6583" t="s">
        <v>53</v>
      </c>
      <c r="T6583" t="s">
        <v>11834</v>
      </c>
      <c r="U6583" t="s">
        <v>58</v>
      </c>
      <c r="V6583">
        <v>1</v>
      </c>
      <c r="W6583">
        <v>1</v>
      </c>
      <c r="X6583">
        <v>1</v>
      </c>
      <c r="Y6583">
        <v>0</v>
      </c>
      <c r="Z6583">
        <v>1</v>
      </c>
      <c r="AA6583">
        <v>181.61</v>
      </c>
      <c r="AB6583">
        <v>181.61</v>
      </c>
      <c r="AC6583">
        <v>159.80000000000001</v>
      </c>
      <c r="AD6583">
        <v>0</v>
      </c>
      <c r="AE6583">
        <v>21.81</v>
      </c>
      <c r="AF6583">
        <v>0</v>
      </c>
      <c r="AG6583">
        <v>0</v>
      </c>
      <c r="AH6583">
        <v>0</v>
      </c>
      <c r="AI6583">
        <v>32.69</v>
      </c>
      <c r="AJ6583">
        <v>181.61</v>
      </c>
      <c r="AK6583">
        <v>0</v>
      </c>
      <c r="AL6583" t="s">
        <v>53</v>
      </c>
      <c r="AM6583" t="s">
        <v>53</v>
      </c>
      <c r="AN6583" t="s">
        <v>53</v>
      </c>
      <c r="AO6583" t="s">
        <v>53</v>
      </c>
      <c r="AP6583" t="s">
        <v>53</v>
      </c>
    </row>
    <row r="6584" spans="2:42" x14ac:dyDescent="0.2">
      <c r="B6584" t="s">
        <v>44</v>
      </c>
      <c r="C6584" t="str">
        <f>HYPERLINK("https://us2.cloudbeds.com/connect/8493803454333002#/reservations/149736560672953?display=37FDU66GZ0&amp;reservation_id=149736560672953", "37FDU66GZ0")</f>
        <v>37FDU66GZ0</v>
      </c>
      <c r="D6584" t="s">
        <v>45</v>
      </c>
      <c r="E6584" t="s">
        <v>373</v>
      </c>
      <c r="F6584" t="s">
        <v>47</v>
      </c>
      <c r="G6584" t="s">
        <v>5966</v>
      </c>
      <c r="H6584" t="s">
        <v>3957</v>
      </c>
      <c r="I6584" t="s">
        <v>3975</v>
      </c>
      <c r="J6584" t="s">
        <v>8437</v>
      </c>
      <c r="K6584" t="s">
        <v>9928</v>
      </c>
      <c r="L6584" t="s">
        <v>53</v>
      </c>
      <c r="P6584" t="s">
        <v>55</v>
      </c>
      <c r="R6584" t="s">
        <v>56</v>
      </c>
      <c r="T6584" t="s">
        <v>11835</v>
      </c>
      <c r="U6584" t="s">
        <v>58</v>
      </c>
      <c r="V6584">
        <v>1</v>
      </c>
      <c r="W6584">
        <v>1</v>
      </c>
      <c r="X6584">
        <v>2</v>
      </c>
      <c r="Y6584">
        <v>0</v>
      </c>
      <c r="Z6584">
        <v>2</v>
      </c>
      <c r="AA6584">
        <v>170.93</v>
      </c>
      <c r="AB6584">
        <v>170.93</v>
      </c>
      <c r="AC6584">
        <v>150.4</v>
      </c>
      <c r="AD6584">
        <v>0</v>
      </c>
      <c r="AE6584">
        <v>20.53</v>
      </c>
      <c r="AF6584">
        <v>0</v>
      </c>
      <c r="AG6584">
        <v>0</v>
      </c>
      <c r="AH6584">
        <v>0</v>
      </c>
      <c r="AI6584">
        <v>0</v>
      </c>
      <c r="AJ6584">
        <v>170.93</v>
      </c>
      <c r="AK6584">
        <v>0</v>
      </c>
      <c r="AL6584" t="s">
        <v>53</v>
      </c>
      <c r="AM6584" t="s">
        <v>53</v>
      </c>
      <c r="AN6584" t="s">
        <v>53</v>
      </c>
      <c r="AO6584" t="s">
        <v>53</v>
      </c>
      <c r="AP6584" t="s">
        <v>53</v>
      </c>
    </row>
    <row r="6585" spans="2:42" x14ac:dyDescent="0.2">
      <c r="B6585" t="s">
        <v>44</v>
      </c>
      <c r="C6585" t="str">
        <f>HYPERLINK("https://us2.cloudbeds.com/connect/8493803454333002#/reservations/149737988034723?display=37FF0YPVDW&amp;reservation_id=149737988034723", "37FF0YPVDW")</f>
        <v>37FF0YPVDW</v>
      </c>
      <c r="D6585" t="s">
        <v>45</v>
      </c>
      <c r="E6585" t="s">
        <v>305</v>
      </c>
      <c r="F6585" t="s">
        <v>61</v>
      </c>
      <c r="G6585" t="s">
        <v>48</v>
      </c>
      <c r="H6585" t="s">
        <v>3957</v>
      </c>
      <c r="I6585" t="s">
        <v>3975</v>
      </c>
      <c r="J6585" t="s">
        <v>8437</v>
      </c>
      <c r="K6585" t="s">
        <v>9928</v>
      </c>
      <c r="L6585" t="s">
        <v>53</v>
      </c>
      <c r="P6585" t="s">
        <v>55</v>
      </c>
      <c r="R6585" t="s">
        <v>56</v>
      </c>
      <c r="T6585" t="s">
        <v>11836</v>
      </c>
      <c r="U6585" t="s">
        <v>58</v>
      </c>
      <c r="V6585">
        <v>1</v>
      </c>
      <c r="W6585">
        <v>1</v>
      </c>
      <c r="X6585">
        <v>2</v>
      </c>
      <c r="Y6585">
        <v>0</v>
      </c>
      <c r="Z6585">
        <v>2</v>
      </c>
      <c r="AA6585">
        <v>237.53</v>
      </c>
      <c r="AB6585">
        <v>237.53</v>
      </c>
      <c r="AC6585">
        <v>209</v>
      </c>
      <c r="AD6585">
        <v>0</v>
      </c>
      <c r="AE6585">
        <v>28.53</v>
      </c>
      <c r="AF6585">
        <v>0</v>
      </c>
      <c r="AG6585">
        <v>0</v>
      </c>
      <c r="AH6585">
        <v>0</v>
      </c>
      <c r="AI6585">
        <v>0</v>
      </c>
      <c r="AJ6585">
        <v>237.53</v>
      </c>
      <c r="AK6585">
        <v>0</v>
      </c>
      <c r="AL6585" t="s">
        <v>53</v>
      </c>
      <c r="AM6585" t="s">
        <v>53</v>
      </c>
      <c r="AN6585" t="s">
        <v>53</v>
      </c>
      <c r="AO6585" t="s">
        <v>53</v>
      </c>
      <c r="AP6585" t="s">
        <v>53</v>
      </c>
    </row>
    <row r="6586" spans="2:42" x14ac:dyDescent="0.2">
      <c r="B6586" t="s">
        <v>44</v>
      </c>
      <c r="C6586" t="str">
        <f>HYPERLINK("https://us2.cloudbeds.com/connect/8493803454333002#/reservations/149752447418552?display=37FQ74AKHA&amp;reservation_id=149752447418552", "37FQ74AKHA")</f>
        <v>37FQ74AKHA</v>
      </c>
      <c r="D6586" t="s">
        <v>45</v>
      </c>
      <c r="E6586" t="s">
        <v>92</v>
      </c>
      <c r="F6586" t="s">
        <v>86</v>
      </c>
      <c r="G6586" t="s">
        <v>48</v>
      </c>
      <c r="H6586" t="s">
        <v>3957</v>
      </c>
      <c r="I6586" t="s">
        <v>3958</v>
      </c>
      <c r="J6586" t="s">
        <v>7089</v>
      </c>
      <c r="K6586" t="s">
        <v>9928</v>
      </c>
      <c r="L6586" t="s">
        <v>53</v>
      </c>
      <c r="P6586" t="s">
        <v>55</v>
      </c>
      <c r="R6586" t="s">
        <v>56</v>
      </c>
      <c r="T6586" t="s">
        <v>11837</v>
      </c>
      <c r="U6586" t="s">
        <v>58</v>
      </c>
      <c r="V6586">
        <v>2</v>
      </c>
      <c r="W6586">
        <v>1</v>
      </c>
      <c r="X6586">
        <v>1</v>
      </c>
      <c r="Y6586">
        <v>0</v>
      </c>
      <c r="Z6586">
        <v>1</v>
      </c>
      <c r="AA6586">
        <v>554.62</v>
      </c>
      <c r="AB6586">
        <v>565.48</v>
      </c>
      <c r="AC6586">
        <v>488</v>
      </c>
      <c r="AD6586">
        <v>10</v>
      </c>
      <c r="AE6586">
        <v>67.48</v>
      </c>
      <c r="AF6586">
        <v>0</v>
      </c>
      <c r="AG6586">
        <v>0</v>
      </c>
      <c r="AH6586">
        <v>0</v>
      </c>
      <c r="AI6586">
        <v>0</v>
      </c>
      <c r="AJ6586">
        <v>565.48</v>
      </c>
      <c r="AK6586">
        <v>0</v>
      </c>
      <c r="AL6586" t="s">
        <v>53</v>
      </c>
      <c r="AM6586" t="s">
        <v>53</v>
      </c>
      <c r="AN6586" t="s">
        <v>53</v>
      </c>
      <c r="AO6586" t="s">
        <v>53</v>
      </c>
      <c r="AP6586" t="s">
        <v>53</v>
      </c>
    </row>
    <row r="6587" spans="2:42" x14ac:dyDescent="0.2">
      <c r="B6587" t="s">
        <v>44</v>
      </c>
      <c r="C6587" t="str">
        <f>HYPERLINK("https://us2.cloudbeds.com/connect/8493803454333002#/reservations/9080486846808584?display=37G3SG8G7R&amp;reservation_id=9080486846808584", "37G3SG8G7R")</f>
        <v>37G3SG8G7R</v>
      </c>
      <c r="D6587" t="s">
        <v>45</v>
      </c>
      <c r="E6587" t="s">
        <v>265</v>
      </c>
      <c r="F6587" t="s">
        <v>61</v>
      </c>
      <c r="G6587" t="s">
        <v>48</v>
      </c>
      <c r="H6587" t="s">
        <v>49</v>
      </c>
      <c r="I6587" t="s">
        <v>8964</v>
      </c>
      <c r="J6587" t="s">
        <v>8437</v>
      </c>
      <c r="K6587" t="s">
        <v>9928</v>
      </c>
      <c r="L6587" t="s">
        <v>53</v>
      </c>
      <c r="N6587" t="s">
        <v>11838</v>
      </c>
      <c r="P6587" t="s">
        <v>55</v>
      </c>
      <c r="R6587" t="s">
        <v>53</v>
      </c>
      <c r="T6587" t="s">
        <v>11839</v>
      </c>
      <c r="U6587" t="s">
        <v>55</v>
      </c>
      <c r="V6587">
        <v>1</v>
      </c>
      <c r="W6587">
        <v>1</v>
      </c>
      <c r="X6587">
        <v>2</v>
      </c>
      <c r="Y6587">
        <v>0</v>
      </c>
      <c r="Z6587">
        <v>2</v>
      </c>
      <c r="AA6587">
        <v>0</v>
      </c>
      <c r="AB6587">
        <v>0</v>
      </c>
      <c r="AC6587">
        <v>201</v>
      </c>
      <c r="AD6587">
        <v>0</v>
      </c>
      <c r="AE6587">
        <v>0</v>
      </c>
      <c r="AF6587">
        <v>0</v>
      </c>
      <c r="AG6587">
        <v>0</v>
      </c>
      <c r="AH6587">
        <v>0</v>
      </c>
      <c r="AI6587">
        <v>30.15</v>
      </c>
      <c r="AJ6587">
        <v>201</v>
      </c>
      <c r="AK6587">
        <v>201</v>
      </c>
      <c r="AL6587" t="s">
        <v>53</v>
      </c>
      <c r="AM6587" t="s">
        <v>53</v>
      </c>
      <c r="AN6587" t="s">
        <v>53</v>
      </c>
      <c r="AO6587" t="s">
        <v>53</v>
      </c>
      <c r="AP6587" t="s">
        <v>53</v>
      </c>
    </row>
    <row r="6588" spans="2:42" x14ac:dyDescent="0.2">
      <c r="B6588" t="s">
        <v>44</v>
      </c>
      <c r="C6588" t="str">
        <f>HYPERLINK("https://us2.cloudbeds.com/connect/8493803454333002#/reservations/9080486846808766?display=37GFBF74YW&amp;reservation_id=9080486846808766", "37GFBF74YW")</f>
        <v>37GFBF74YW</v>
      </c>
      <c r="D6588" t="s">
        <v>45</v>
      </c>
      <c r="E6588" t="s">
        <v>121</v>
      </c>
      <c r="F6588" t="s">
        <v>86</v>
      </c>
      <c r="G6588" t="s">
        <v>48</v>
      </c>
      <c r="H6588" t="s">
        <v>49</v>
      </c>
      <c r="I6588" t="s">
        <v>62</v>
      </c>
      <c r="J6588" t="s">
        <v>11636</v>
      </c>
      <c r="K6588" t="s">
        <v>8819</v>
      </c>
      <c r="L6588" t="s">
        <v>53</v>
      </c>
      <c r="N6588" t="s">
        <v>11840</v>
      </c>
      <c r="P6588" t="s">
        <v>55</v>
      </c>
      <c r="R6588" t="s">
        <v>56</v>
      </c>
      <c r="T6588" t="s">
        <v>11841</v>
      </c>
      <c r="U6588" t="s">
        <v>55</v>
      </c>
      <c r="V6588">
        <v>2</v>
      </c>
      <c r="W6588">
        <v>1</v>
      </c>
      <c r="X6588">
        <v>2</v>
      </c>
      <c r="Y6588">
        <v>0</v>
      </c>
      <c r="Z6588">
        <v>2</v>
      </c>
      <c r="AA6588">
        <v>372.4</v>
      </c>
      <c r="AB6588">
        <v>372.4</v>
      </c>
      <c r="AC6588">
        <v>372.4</v>
      </c>
      <c r="AD6588">
        <v>0</v>
      </c>
      <c r="AE6588">
        <v>0</v>
      </c>
      <c r="AF6588">
        <v>0</v>
      </c>
      <c r="AG6588">
        <v>0</v>
      </c>
      <c r="AH6588">
        <v>0</v>
      </c>
      <c r="AI6588">
        <v>67.03</v>
      </c>
      <c r="AJ6588">
        <v>372.4</v>
      </c>
      <c r="AK6588">
        <v>0</v>
      </c>
      <c r="AL6588" t="s">
        <v>53</v>
      </c>
      <c r="AM6588" t="s">
        <v>53</v>
      </c>
      <c r="AN6588" t="s">
        <v>53</v>
      </c>
      <c r="AO6588" t="s">
        <v>53</v>
      </c>
      <c r="AP6588" t="s">
        <v>53</v>
      </c>
    </row>
    <row r="6589" spans="2:42" x14ac:dyDescent="0.2">
      <c r="B6589" t="s">
        <v>44</v>
      </c>
      <c r="C6589" t="str">
        <f>HYPERLINK("https://us2.cloudbeds.com/connect/8493803454333002#/reservations/9080486846810958?display=37JW4XQC6D&amp;reservation_id=9080486846810958", "37JW4XQC6D")</f>
        <v>37JW4XQC6D</v>
      </c>
      <c r="D6589" t="s">
        <v>45</v>
      </c>
      <c r="E6589" t="s">
        <v>110</v>
      </c>
      <c r="F6589" t="s">
        <v>47</v>
      </c>
      <c r="G6589" t="s">
        <v>48</v>
      </c>
      <c r="H6589" t="s">
        <v>49</v>
      </c>
      <c r="I6589" t="s">
        <v>62</v>
      </c>
      <c r="J6589" t="s">
        <v>7439</v>
      </c>
      <c r="K6589" t="s">
        <v>11636</v>
      </c>
      <c r="L6589" t="s">
        <v>53</v>
      </c>
      <c r="N6589" t="s">
        <v>11842</v>
      </c>
      <c r="P6589" t="s">
        <v>55</v>
      </c>
      <c r="R6589" t="s">
        <v>56</v>
      </c>
      <c r="T6589" t="s">
        <v>11843</v>
      </c>
      <c r="U6589" t="s">
        <v>55</v>
      </c>
      <c r="V6589">
        <v>1</v>
      </c>
      <c r="W6589">
        <v>1</v>
      </c>
      <c r="X6589">
        <v>2</v>
      </c>
      <c r="Y6589">
        <v>0</v>
      </c>
      <c r="Z6589">
        <v>2</v>
      </c>
      <c r="AA6589">
        <v>183.35</v>
      </c>
      <c r="AB6589">
        <v>183.35</v>
      </c>
      <c r="AC6589">
        <v>183.35</v>
      </c>
      <c r="AD6589">
        <v>0</v>
      </c>
      <c r="AE6589">
        <v>0</v>
      </c>
      <c r="AF6589">
        <v>0</v>
      </c>
      <c r="AG6589">
        <v>0</v>
      </c>
      <c r="AH6589">
        <v>0</v>
      </c>
      <c r="AI6589">
        <v>33</v>
      </c>
      <c r="AJ6589">
        <v>183.35</v>
      </c>
      <c r="AK6589">
        <v>0</v>
      </c>
      <c r="AL6589" t="s">
        <v>53</v>
      </c>
      <c r="AM6589" t="s">
        <v>53</v>
      </c>
      <c r="AN6589" t="s">
        <v>53</v>
      </c>
      <c r="AO6589" t="s">
        <v>53</v>
      </c>
      <c r="AP6589" t="s">
        <v>53</v>
      </c>
    </row>
    <row r="6590" spans="2:42" x14ac:dyDescent="0.2">
      <c r="B6590" t="s">
        <v>44</v>
      </c>
      <c r="C6590" t="str">
        <f>HYPERLINK("https://us2.cloudbeds.com/connect/8493803454333002#/reservations/9080486846812752?display=37YWEKWW4T&amp;reservation_id=9080486846812752", "37YWEKWW4T")</f>
        <v>37YWEKWW4T</v>
      </c>
      <c r="D6590" t="s">
        <v>45</v>
      </c>
      <c r="E6590" t="s">
        <v>265</v>
      </c>
      <c r="F6590" t="s">
        <v>61</v>
      </c>
      <c r="G6590" t="s">
        <v>48</v>
      </c>
      <c r="H6590" t="s">
        <v>49</v>
      </c>
      <c r="I6590" t="s">
        <v>50</v>
      </c>
      <c r="J6590" t="s">
        <v>9928</v>
      </c>
      <c r="K6590" t="s">
        <v>6344</v>
      </c>
      <c r="L6590" t="s">
        <v>53</v>
      </c>
      <c r="N6590" t="s">
        <v>11844</v>
      </c>
      <c r="P6590" t="s">
        <v>55</v>
      </c>
      <c r="R6590" t="s">
        <v>53</v>
      </c>
      <c r="T6590" t="s">
        <v>11845</v>
      </c>
      <c r="U6590" t="s">
        <v>58</v>
      </c>
      <c r="V6590">
        <v>3</v>
      </c>
      <c r="W6590">
        <v>1</v>
      </c>
      <c r="X6590">
        <v>1</v>
      </c>
      <c r="Y6590">
        <v>0</v>
      </c>
      <c r="Z6590">
        <v>1</v>
      </c>
      <c r="AA6590">
        <v>601.42999999999995</v>
      </c>
      <c r="AB6590">
        <v>601.42999999999995</v>
      </c>
      <c r="AC6590">
        <v>529.20000000000005</v>
      </c>
      <c r="AD6590">
        <v>0</v>
      </c>
      <c r="AE6590">
        <v>72.23</v>
      </c>
      <c r="AF6590">
        <v>0</v>
      </c>
      <c r="AG6590">
        <v>0</v>
      </c>
      <c r="AH6590">
        <v>0</v>
      </c>
      <c r="AI6590">
        <v>108.26</v>
      </c>
      <c r="AJ6590">
        <v>601.42999999999995</v>
      </c>
      <c r="AK6590">
        <v>0</v>
      </c>
      <c r="AL6590" t="s">
        <v>53</v>
      </c>
      <c r="AM6590" t="s">
        <v>53</v>
      </c>
      <c r="AN6590" t="s">
        <v>53</v>
      </c>
      <c r="AO6590" t="s">
        <v>53</v>
      </c>
      <c r="AP6590" t="s">
        <v>53</v>
      </c>
    </row>
    <row r="6591" spans="2:42" x14ac:dyDescent="0.2">
      <c r="B6591" t="s">
        <v>44</v>
      </c>
      <c r="C6591" t="str">
        <f>HYPERLINK("https://us2.cloudbeds.com/connect/8493803454333002#/reservations/150020313592021?display=37M2KZ5P53&amp;reservation_id=150020313592021", "37M2KZ5P53")</f>
        <v>37M2KZ5P53</v>
      </c>
      <c r="D6591" t="s">
        <v>45</v>
      </c>
      <c r="E6591" t="s">
        <v>406</v>
      </c>
      <c r="F6591" t="s">
        <v>61</v>
      </c>
      <c r="G6591" t="s">
        <v>48</v>
      </c>
      <c r="H6591" t="s">
        <v>3957</v>
      </c>
      <c r="I6591" t="s">
        <v>3989</v>
      </c>
      <c r="J6591" t="s">
        <v>9928</v>
      </c>
      <c r="K6591" t="s">
        <v>6344</v>
      </c>
      <c r="L6591" t="s">
        <v>53</v>
      </c>
      <c r="P6591" t="s">
        <v>55</v>
      </c>
      <c r="R6591" t="s">
        <v>56</v>
      </c>
      <c r="T6591" t="s">
        <v>11846</v>
      </c>
      <c r="U6591" t="s">
        <v>58</v>
      </c>
      <c r="V6591">
        <v>3</v>
      </c>
      <c r="W6591">
        <v>1</v>
      </c>
      <c r="X6591">
        <v>1</v>
      </c>
      <c r="Y6591">
        <v>0</v>
      </c>
      <c r="Z6591">
        <v>1</v>
      </c>
      <c r="AA6591">
        <v>601.42999999999995</v>
      </c>
      <c r="AB6591">
        <v>601.42999999999995</v>
      </c>
      <c r="AC6591">
        <v>529.20000000000005</v>
      </c>
      <c r="AD6591">
        <v>0</v>
      </c>
      <c r="AE6591">
        <v>72.23</v>
      </c>
      <c r="AF6591">
        <v>0</v>
      </c>
      <c r="AG6591">
        <v>0</v>
      </c>
      <c r="AH6591">
        <v>0</v>
      </c>
      <c r="AI6591">
        <v>0</v>
      </c>
      <c r="AJ6591">
        <v>601.42999999999995</v>
      </c>
      <c r="AK6591">
        <v>0</v>
      </c>
      <c r="AL6591" t="s">
        <v>53</v>
      </c>
      <c r="AM6591" t="s">
        <v>53</v>
      </c>
      <c r="AN6591" t="s">
        <v>53</v>
      </c>
      <c r="AO6591" t="s">
        <v>53</v>
      </c>
      <c r="AP6591" t="s">
        <v>53</v>
      </c>
    </row>
    <row r="6592" spans="2:42" x14ac:dyDescent="0.2">
      <c r="B6592" t="s">
        <v>44</v>
      </c>
      <c r="C6592" t="str">
        <f>HYPERLINK("https://us2.cloudbeds.com/connect/8493803454333002#/reservations/9080486846813559?display=37N37GW3JF&amp;reservation_id=9080486846813559", "37N37GW3JF")</f>
        <v>37N37GW3JF</v>
      </c>
      <c r="D6592" t="s">
        <v>45</v>
      </c>
      <c r="E6592" t="s">
        <v>373</v>
      </c>
      <c r="F6592" t="s">
        <v>47</v>
      </c>
      <c r="G6592" t="s">
        <v>48</v>
      </c>
      <c r="H6592" t="s">
        <v>49</v>
      </c>
      <c r="I6592" t="s">
        <v>8964</v>
      </c>
      <c r="J6592" t="s">
        <v>7438</v>
      </c>
      <c r="K6592" t="s">
        <v>9291</v>
      </c>
      <c r="L6592" t="s">
        <v>53</v>
      </c>
      <c r="N6592" t="s">
        <v>11847</v>
      </c>
      <c r="P6592" t="s">
        <v>55</v>
      </c>
      <c r="R6592" t="s">
        <v>53</v>
      </c>
      <c r="T6592" t="s">
        <v>11848</v>
      </c>
      <c r="U6592" t="s">
        <v>55</v>
      </c>
      <c r="V6592">
        <v>1</v>
      </c>
      <c r="W6592">
        <v>1</v>
      </c>
      <c r="X6592">
        <v>2</v>
      </c>
      <c r="Y6592">
        <v>0</v>
      </c>
      <c r="Z6592">
        <v>2</v>
      </c>
      <c r="AA6592">
        <v>92</v>
      </c>
      <c r="AB6592">
        <v>0</v>
      </c>
      <c r="AC6592">
        <v>92</v>
      </c>
      <c r="AD6592">
        <v>0</v>
      </c>
      <c r="AE6592">
        <v>0</v>
      </c>
      <c r="AF6592">
        <v>0</v>
      </c>
      <c r="AG6592">
        <v>0</v>
      </c>
      <c r="AH6592">
        <v>0</v>
      </c>
      <c r="AI6592">
        <v>13.8</v>
      </c>
      <c r="AJ6592">
        <v>92</v>
      </c>
      <c r="AK6592">
        <v>92</v>
      </c>
      <c r="AL6592" t="s">
        <v>53</v>
      </c>
      <c r="AM6592" t="s">
        <v>53</v>
      </c>
      <c r="AN6592" t="s">
        <v>53</v>
      </c>
      <c r="AO6592" t="s">
        <v>53</v>
      </c>
      <c r="AP6592" t="s">
        <v>53</v>
      </c>
    </row>
    <row r="6593" spans="2:42" x14ac:dyDescent="0.2">
      <c r="B6593" t="s">
        <v>44</v>
      </c>
      <c r="C6593" t="str">
        <f>HYPERLINK("https://us2.cloudbeds.com/connect/8493803454333002#/reservations/9080486846813591?display=37N56CZR4R&amp;reservation_id=9080486846813591", "37N56CZR4R")</f>
        <v>37N56CZR4R</v>
      </c>
      <c r="D6593" t="s">
        <v>45</v>
      </c>
      <c r="E6593" t="s">
        <v>155</v>
      </c>
      <c r="F6593" t="s">
        <v>86</v>
      </c>
      <c r="G6593" t="s">
        <v>48</v>
      </c>
      <c r="H6593" t="s">
        <v>49</v>
      </c>
      <c r="I6593" t="s">
        <v>50</v>
      </c>
      <c r="J6593" t="s">
        <v>8437</v>
      </c>
      <c r="K6593" t="s">
        <v>9928</v>
      </c>
      <c r="L6593" t="s">
        <v>53</v>
      </c>
      <c r="N6593" t="s">
        <v>11849</v>
      </c>
      <c r="P6593" t="s">
        <v>55</v>
      </c>
      <c r="R6593" t="s">
        <v>53</v>
      </c>
      <c r="T6593" t="s">
        <v>11850</v>
      </c>
      <c r="U6593" t="s">
        <v>58</v>
      </c>
      <c r="V6593">
        <v>1</v>
      </c>
      <c r="W6593">
        <v>1</v>
      </c>
      <c r="X6593">
        <v>2</v>
      </c>
      <c r="Y6593">
        <v>0</v>
      </c>
      <c r="Z6593">
        <v>2</v>
      </c>
      <c r="AA6593">
        <v>198.21</v>
      </c>
      <c r="AB6593">
        <v>198.21</v>
      </c>
      <c r="AC6593">
        <v>174.4</v>
      </c>
      <c r="AD6593">
        <v>0</v>
      </c>
      <c r="AE6593">
        <v>23.81</v>
      </c>
      <c r="AF6593">
        <v>0</v>
      </c>
      <c r="AG6593">
        <v>0</v>
      </c>
      <c r="AH6593">
        <v>0</v>
      </c>
      <c r="AI6593">
        <v>35.68</v>
      </c>
      <c r="AJ6593">
        <v>198.21</v>
      </c>
      <c r="AK6593">
        <v>0</v>
      </c>
      <c r="AL6593" t="s">
        <v>53</v>
      </c>
      <c r="AM6593" t="s">
        <v>53</v>
      </c>
      <c r="AN6593" t="s">
        <v>53</v>
      </c>
      <c r="AO6593" t="s">
        <v>53</v>
      </c>
      <c r="AP6593" t="s">
        <v>53</v>
      </c>
    </row>
    <row r="6594" spans="2:42" x14ac:dyDescent="0.2">
      <c r="B6594" t="s">
        <v>44</v>
      </c>
      <c r="C6594" t="str">
        <f>HYPERLINK("https://us2.cloudbeds.com/connect/8493803454333002#/reservations/9080486846815623?display=37QWW41PJ8&amp;reservation_id=9080486846815623", "37QWW41PJ8")</f>
        <v>37QWW41PJ8</v>
      </c>
      <c r="D6594" t="s">
        <v>45</v>
      </c>
      <c r="E6594" t="s">
        <v>113</v>
      </c>
      <c r="F6594" t="s">
        <v>61</v>
      </c>
      <c r="G6594" t="s">
        <v>48</v>
      </c>
      <c r="H6594" t="s">
        <v>49</v>
      </c>
      <c r="I6594" t="s">
        <v>50</v>
      </c>
      <c r="J6594" t="s">
        <v>9928</v>
      </c>
      <c r="K6594" t="s">
        <v>7492</v>
      </c>
      <c r="L6594" t="s">
        <v>53</v>
      </c>
      <c r="N6594" t="s">
        <v>11851</v>
      </c>
      <c r="P6594" t="s">
        <v>55</v>
      </c>
      <c r="R6594" t="s">
        <v>53</v>
      </c>
      <c r="T6594" t="s">
        <v>11852</v>
      </c>
      <c r="U6594" t="s">
        <v>58</v>
      </c>
      <c r="V6594">
        <v>1</v>
      </c>
      <c r="W6594">
        <v>1</v>
      </c>
      <c r="X6594">
        <v>1</v>
      </c>
      <c r="Y6594">
        <v>0</v>
      </c>
      <c r="Z6594">
        <v>1</v>
      </c>
      <c r="AA6594">
        <v>173.66</v>
      </c>
      <c r="AB6594">
        <v>173.66</v>
      </c>
      <c r="AC6594">
        <v>152.80000000000001</v>
      </c>
      <c r="AD6594">
        <v>0</v>
      </c>
      <c r="AE6594">
        <v>20.86</v>
      </c>
      <c r="AF6594">
        <v>0</v>
      </c>
      <c r="AG6594">
        <v>0</v>
      </c>
      <c r="AH6594">
        <v>0</v>
      </c>
      <c r="AI6594">
        <v>31.26</v>
      </c>
      <c r="AJ6594">
        <v>173.66</v>
      </c>
      <c r="AK6594">
        <v>0</v>
      </c>
      <c r="AL6594" t="s">
        <v>53</v>
      </c>
      <c r="AM6594" t="s">
        <v>53</v>
      </c>
      <c r="AN6594" t="s">
        <v>53</v>
      </c>
      <c r="AO6594" t="s">
        <v>53</v>
      </c>
      <c r="AP6594" t="s">
        <v>53</v>
      </c>
    </row>
    <row r="6595" spans="2:42" x14ac:dyDescent="0.2">
      <c r="B6595" t="s">
        <v>44</v>
      </c>
      <c r="C6595" t="str">
        <f>HYPERLINK("https://us2.cloudbeds.com/connect/8493803454333002#/reservations/9080486846818551?display=37U5A0ZJVT&amp;reservation_id=9080486846818551", "37U5A0ZJVT")</f>
        <v>37U5A0ZJVT</v>
      </c>
      <c r="D6595" t="s">
        <v>45</v>
      </c>
      <c r="E6595" t="s">
        <v>98</v>
      </c>
      <c r="F6595" t="s">
        <v>86</v>
      </c>
      <c r="G6595" t="s">
        <v>48</v>
      </c>
      <c r="H6595" t="s">
        <v>49</v>
      </c>
      <c r="I6595" t="s">
        <v>8964</v>
      </c>
      <c r="J6595" t="s">
        <v>10487</v>
      </c>
      <c r="K6595" t="s">
        <v>10037</v>
      </c>
      <c r="L6595" t="s">
        <v>53</v>
      </c>
      <c r="N6595" t="s">
        <v>11853</v>
      </c>
      <c r="P6595" t="s">
        <v>55</v>
      </c>
      <c r="R6595" t="s">
        <v>53</v>
      </c>
      <c r="T6595" t="s">
        <v>11854</v>
      </c>
      <c r="U6595" t="s">
        <v>55</v>
      </c>
      <c r="V6595">
        <v>1</v>
      </c>
      <c r="W6595">
        <v>1</v>
      </c>
      <c r="X6595">
        <v>3</v>
      </c>
      <c r="Y6595">
        <v>0</v>
      </c>
      <c r="Z6595">
        <v>3</v>
      </c>
      <c r="AA6595">
        <v>0</v>
      </c>
      <c r="AB6595">
        <v>0</v>
      </c>
      <c r="AC6595">
        <v>113</v>
      </c>
      <c r="AD6595">
        <v>0</v>
      </c>
      <c r="AE6595">
        <v>0</v>
      </c>
      <c r="AF6595">
        <v>0</v>
      </c>
      <c r="AG6595">
        <v>0</v>
      </c>
      <c r="AH6595">
        <v>0</v>
      </c>
      <c r="AI6595">
        <v>16.95</v>
      </c>
      <c r="AJ6595">
        <v>113</v>
      </c>
      <c r="AK6595">
        <v>113</v>
      </c>
      <c r="AL6595" t="s">
        <v>53</v>
      </c>
      <c r="AM6595" t="s">
        <v>53</v>
      </c>
      <c r="AN6595" t="s">
        <v>53</v>
      </c>
      <c r="AO6595" t="s">
        <v>53</v>
      </c>
      <c r="AP6595" t="s">
        <v>53</v>
      </c>
    </row>
    <row r="6596" spans="2:42" x14ac:dyDescent="0.2">
      <c r="B6596" t="s">
        <v>44</v>
      </c>
      <c r="C6596" t="str">
        <f>HYPERLINK("https://us2.cloudbeds.com/connect/8493803454333002#/reservations/9080486846819526?display=37VB0ZQNNK&amp;reservation_id=9080486846819526", "37VB0ZQNNK")</f>
        <v>37VB0ZQNNK</v>
      </c>
      <c r="D6596" t="s">
        <v>45</v>
      </c>
      <c r="E6596" t="s">
        <v>381</v>
      </c>
      <c r="F6596" t="s">
        <v>47</v>
      </c>
      <c r="G6596" t="s">
        <v>48</v>
      </c>
      <c r="H6596" t="s">
        <v>49</v>
      </c>
      <c r="I6596" t="s">
        <v>8964</v>
      </c>
      <c r="J6596" t="s">
        <v>7492</v>
      </c>
      <c r="K6596" t="s">
        <v>7493</v>
      </c>
      <c r="L6596" t="s">
        <v>53</v>
      </c>
      <c r="N6596" t="s">
        <v>11855</v>
      </c>
      <c r="P6596" t="s">
        <v>55</v>
      </c>
      <c r="R6596" t="s">
        <v>53</v>
      </c>
      <c r="T6596" t="s">
        <v>11856</v>
      </c>
      <c r="U6596" t="s">
        <v>55</v>
      </c>
      <c r="V6596">
        <v>1</v>
      </c>
      <c r="W6596">
        <v>1</v>
      </c>
      <c r="X6596">
        <v>2</v>
      </c>
      <c r="Y6596">
        <v>0</v>
      </c>
      <c r="Z6596">
        <v>2</v>
      </c>
      <c r="AA6596">
        <v>0</v>
      </c>
      <c r="AB6596">
        <v>131</v>
      </c>
      <c r="AC6596">
        <v>181</v>
      </c>
      <c r="AD6596">
        <v>0</v>
      </c>
      <c r="AE6596">
        <v>0</v>
      </c>
      <c r="AF6596">
        <v>0</v>
      </c>
      <c r="AG6596">
        <v>0</v>
      </c>
      <c r="AH6596">
        <v>0</v>
      </c>
      <c r="AI6596">
        <v>27.15</v>
      </c>
      <c r="AJ6596">
        <v>181</v>
      </c>
      <c r="AK6596">
        <v>100</v>
      </c>
      <c r="AL6596" t="s">
        <v>53</v>
      </c>
      <c r="AM6596" t="s">
        <v>53</v>
      </c>
      <c r="AN6596" t="s">
        <v>11857</v>
      </c>
      <c r="AO6596" t="s">
        <v>53</v>
      </c>
      <c r="AP6596" t="s">
        <v>53</v>
      </c>
    </row>
    <row r="6597" spans="2:42" x14ac:dyDescent="0.2">
      <c r="B6597" t="s">
        <v>44</v>
      </c>
      <c r="C6597" t="str">
        <f>HYPERLINK("https://us2.cloudbeds.com/connect/8493803454333002#/reservations/9080486846819546?display=37VC8VCJVQ&amp;reservation_id=9080486846819546", "37VC8VCJVQ")</f>
        <v>37VC8VCJVQ</v>
      </c>
      <c r="D6597" t="s">
        <v>45</v>
      </c>
      <c r="E6597" t="s">
        <v>113</v>
      </c>
      <c r="F6597" t="s">
        <v>61</v>
      </c>
      <c r="G6597" t="s">
        <v>48</v>
      </c>
      <c r="H6597" t="s">
        <v>49</v>
      </c>
      <c r="I6597" t="s">
        <v>8964</v>
      </c>
      <c r="J6597" t="s">
        <v>11381</v>
      </c>
      <c r="K6597" t="s">
        <v>11382</v>
      </c>
      <c r="L6597" t="s">
        <v>53</v>
      </c>
      <c r="N6597" t="s">
        <v>11858</v>
      </c>
      <c r="P6597" t="s">
        <v>58</v>
      </c>
      <c r="R6597" t="s">
        <v>53</v>
      </c>
      <c r="T6597" t="s">
        <v>11859</v>
      </c>
      <c r="U6597" t="s">
        <v>55</v>
      </c>
      <c r="V6597">
        <v>3</v>
      </c>
      <c r="W6597">
        <v>1</v>
      </c>
      <c r="X6597">
        <v>1</v>
      </c>
      <c r="Y6597">
        <v>0</v>
      </c>
      <c r="Z6597">
        <v>1</v>
      </c>
      <c r="AA6597">
        <v>0</v>
      </c>
      <c r="AB6597">
        <v>0</v>
      </c>
      <c r="AC6597">
        <v>429</v>
      </c>
      <c r="AD6597">
        <v>0</v>
      </c>
      <c r="AE6597">
        <v>0</v>
      </c>
      <c r="AF6597">
        <v>0</v>
      </c>
      <c r="AG6597">
        <v>0</v>
      </c>
      <c r="AH6597">
        <v>0</v>
      </c>
      <c r="AI6597">
        <v>64.349999999999994</v>
      </c>
      <c r="AJ6597">
        <v>429</v>
      </c>
      <c r="AK6597">
        <v>429</v>
      </c>
      <c r="AL6597" t="s">
        <v>53</v>
      </c>
      <c r="AM6597" t="s">
        <v>53</v>
      </c>
      <c r="AN6597" t="s">
        <v>11860</v>
      </c>
      <c r="AO6597" t="s">
        <v>53</v>
      </c>
      <c r="AP6597" t="s">
        <v>53</v>
      </c>
    </row>
    <row r="6598" spans="2:42" x14ac:dyDescent="0.2">
      <c r="B6598" t="s">
        <v>44</v>
      </c>
      <c r="C6598" t="str">
        <f>HYPERLINK("https://us2.cloudbeds.com/connect/8493803454333002#/reservations/9080486846820024?display=37W4C7UQG9&amp;reservation_id=9080486846820024", "37W4C7UQG9")</f>
        <v>37W4C7UQG9</v>
      </c>
      <c r="D6598" t="s">
        <v>45</v>
      </c>
      <c r="E6598" t="s">
        <v>46</v>
      </c>
      <c r="F6598" t="s">
        <v>47</v>
      </c>
      <c r="G6598" t="s">
        <v>48</v>
      </c>
      <c r="H6598" t="s">
        <v>49</v>
      </c>
      <c r="I6598" t="s">
        <v>50</v>
      </c>
      <c r="J6598" t="s">
        <v>9928</v>
      </c>
      <c r="K6598" t="s">
        <v>7492</v>
      </c>
      <c r="L6598" t="s">
        <v>53</v>
      </c>
      <c r="N6598" t="s">
        <v>11861</v>
      </c>
      <c r="P6598" t="s">
        <v>55</v>
      </c>
      <c r="R6598" t="s">
        <v>53</v>
      </c>
      <c r="T6598" t="s">
        <v>11862</v>
      </c>
      <c r="U6598" t="s">
        <v>58</v>
      </c>
      <c r="V6598">
        <v>1</v>
      </c>
      <c r="W6598">
        <v>1</v>
      </c>
      <c r="X6598">
        <v>2</v>
      </c>
      <c r="Y6598">
        <v>0</v>
      </c>
      <c r="Z6598">
        <v>2</v>
      </c>
      <c r="AA6598">
        <v>173.89</v>
      </c>
      <c r="AB6598">
        <v>173.89</v>
      </c>
      <c r="AC6598">
        <v>153</v>
      </c>
      <c r="AD6598">
        <v>0</v>
      </c>
      <c r="AE6598">
        <v>20.89</v>
      </c>
      <c r="AF6598">
        <v>0</v>
      </c>
      <c r="AG6598">
        <v>0</v>
      </c>
      <c r="AH6598">
        <v>0</v>
      </c>
      <c r="AI6598">
        <v>31.3</v>
      </c>
      <c r="AJ6598">
        <v>173.89</v>
      </c>
      <c r="AK6598">
        <v>0</v>
      </c>
      <c r="AL6598" t="s">
        <v>53</v>
      </c>
      <c r="AM6598" t="s">
        <v>53</v>
      </c>
      <c r="AN6598" t="s">
        <v>53</v>
      </c>
      <c r="AO6598" t="s">
        <v>53</v>
      </c>
      <c r="AP6598" t="s">
        <v>53</v>
      </c>
    </row>
    <row r="6599" spans="2:42" x14ac:dyDescent="0.2">
      <c r="B6599" t="s">
        <v>44</v>
      </c>
      <c r="C6599" t="str">
        <f>HYPERLINK("https://us2.cloudbeds.com/connect/8493803454333002#/reservations/9080486846820203?display=37WD6HFGGX&amp;reservation_id=9080486846820203", "37WD6HFGGX")</f>
        <v>37WD6HFGGX</v>
      </c>
      <c r="D6599" t="s">
        <v>45</v>
      </c>
      <c r="E6599" t="s">
        <v>138</v>
      </c>
      <c r="F6599" t="s">
        <v>70</v>
      </c>
      <c r="G6599" t="s">
        <v>48</v>
      </c>
      <c r="H6599" t="s">
        <v>49</v>
      </c>
      <c r="I6599" t="s">
        <v>8964</v>
      </c>
      <c r="J6599" t="s">
        <v>11863</v>
      </c>
      <c r="K6599" t="s">
        <v>10776</v>
      </c>
      <c r="L6599" t="s">
        <v>53</v>
      </c>
      <c r="N6599" t="s">
        <v>11864</v>
      </c>
      <c r="P6599" t="s">
        <v>55</v>
      </c>
      <c r="R6599" t="s">
        <v>53</v>
      </c>
      <c r="T6599" t="s">
        <v>11865</v>
      </c>
      <c r="U6599" t="s">
        <v>55</v>
      </c>
      <c r="V6599">
        <v>3</v>
      </c>
      <c r="W6599">
        <v>1</v>
      </c>
      <c r="X6599">
        <v>2</v>
      </c>
      <c r="Y6599">
        <v>0</v>
      </c>
      <c r="Z6599">
        <v>2</v>
      </c>
      <c r="AA6599">
        <v>0</v>
      </c>
      <c r="AB6599">
        <v>0</v>
      </c>
      <c r="AC6599">
        <v>253</v>
      </c>
      <c r="AD6599">
        <v>0</v>
      </c>
      <c r="AE6599">
        <v>0</v>
      </c>
      <c r="AF6599">
        <v>0</v>
      </c>
      <c r="AG6599">
        <v>0</v>
      </c>
      <c r="AH6599">
        <v>0</v>
      </c>
      <c r="AI6599">
        <v>37.950000000000003</v>
      </c>
      <c r="AJ6599">
        <v>253</v>
      </c>
      <c r="AK6599">
        <v>253</v>
      </c>
      <c r="AL6599" t="s">
        <v>53</v>
      </c>
      <c r="AM6599" t="s">
        <v>53</v>
      </c>
      <c r="AN6599" t="s">
        <v>53</v>
      </c>
      <c r="AO6599" t="s">
        <v>53</v>
      </c>
      <c r="AP6599" t="s">
        <v>53</v>
      </c>
    </row>
    <row r="6600" spans="2:42" x14ac:dyDescent="0.2">
      <c r="B6600" t="s">
        <v>44</v>
      </c>
      <c r="C6600" t="str">
        <f>HYPERLINK("https://us2.cloudbeds.com/connect/8493803454333002#/reservations/9080486846820688?display=38061XGQH1&amp;reservation_id=9080486846820688", "38061XGQH1")</f>
        <v>38061XGQH1</v>
      </c>
      <c r="D6600" t="s">
        <v>45</v>
      </c>
      <c r="E6600" t="s">
        <v>113</v>
      </c>
      <c r="F6600" t="s">
        <v>61</v>
      </c>
      <c r="G6600" t="s">
        <v>48</v>
      </c>
      <c r="H6600" t="s">
        <v>49</v>
      </c>
      <c r="I6600" t="s">
        <v>50</v>
      </c>
      <c r="J6600" t="s">
        <v>6832</v>
      </c>
      <c r="K6600" t="s">
        <v>8615</v>
      </c>
      <c r="L6600" t="s">
        <v>53</v>
      </c>
      <c r="N6600" t="s">
        <v>11866</v>
      </c>
      <c r="P6600" t="s">
        <v>55</v>
      </c>
      <c r="R6600" t="s">
        <v>53</v>
      </c>
      <c r="T6600" t="s">
        <v>11867</v>
      </c>
      <c r="U6600" t="s">
        <v>58</v>
      </c>
      <c r="V6600">
        <v>1</v>
      </c>
      <c r="W6600">
        <v>1</v>
      </c>
      <c r="X6600">
        <v>2</v>
      </c>
      <c r="Y6600">
        <v>0</v>
      </c>
      <c r="Z6600">
        <v>2</v>
      </c>
      <c r="AA6600">
        <v>212.79</v>
      </c>
      <c r="AB6600">
        <v>212.79</v>
      </c>
      <c r="AC6600">
        <v>187.24</v>
      </c>
      <c r="AD6600">
        <v>0</v>
      </c>
      <c r="AE6600">
        <v>25.55</v>
      </c>
      <c r="AF6600">
        <v>0</v>
      </c>
      <c r="AG6600">
        <v>0</v>
      </c>
      <c r="AH6600">
        <v>0</v>
      </c>
      <c r="AI6600">
        <v>38.299999999999997</v>
      </c>
      <c r="AJ6600">
        <v>212.79</v>
      </c>
      <c r="AK6600">
        <v>0</v>
      </c>
      <c r="AL6600" t="s">
        <v>53</v>
      </c>
      <c r="AM6600" t="s">
        <v>53</v>
      </c>
      <c r="AN6600" t="s">
        <v>11868</v>
      </c>
      <c r="AO6600" t="s">
        <v>53</v>
      </c>
      <c r="AP6600" t="s">
        <v>53</v>
      </c>
    </row>
    <row r="6601" spans="2:42" x14ac:dyDescent="0.2">
      <c r="B6601" t="s">
        <v>44</v>
      </c>
      <c r="C6601" t="str">
        <f>HYPERLINK("https://us2.cloudbeds.com/connect/8493803454333002#/reservations/9080486846822992?display=383YAWN1PP&amp;reservation_id=9080486846822992", "383YAWN1PP")</f>
        <v>383YAWN1PP</v>
      </c>
      <c r="D6601" t="s">
        <v>45</v>
      </c>
      <c r="E6601" t="s">
        <v>165</v>
      </c>
      <c r="F6601" t="s">
        <v>61</v>
      </c>
      <c r="G6601" t="s">
        <v>48</v>
      </c>
      <c r="H6601" t="s">
        <v>49</v>
      </c>
      <c r="I6601" t="s">
        <v>50</v>
      </c>
      <c r="J6601" t="s">
        <v>7492</v>
      </c>
      <c r="K6601" t="s">
        <v>7493</v>
      </c>
      <c r="L6601" t="s">
        <v>53</v>
      </c>
      <c r="N6601" t="s">
        <v>11869</v>
      </c>
      <c r="P6601" t="s">
        <v>55</v>
      </c>
      <c r="R6601" t="s">
        <v>53</v>
      </c>
      <c r="T6601" t="s">
        <v>11870</v>
      </c>
      <c r="U6601" t="s">
        <v>58</v>
      </c>
      <c r="V6601">
        <v>1</v>
      </c>
      <c r="W6601">
        <v>1</v>
      </c>
      <c r="X6601">
        <v>2</v>
      </c>
      <c r="Y6601">
        <v>0</v>
      </c>
      <c r="Z6601">
        <v>2</v>
      </c>
      <c r="AA6601">
        <v>170.93</v>
      </c>
      <c r="AB6601">
        <v>170.93</v>
      </c>
      <c r="AC6601">
        <v>150.4</v>
      </c>
      <c r="AD6601">
        <v>0</v>
      </c>
      <c r="AE6601">
        <v>20.53</v>
      </c>
      <c r="AF6601">
        <v>0</v>
      </c>
      <c r="AG6601">
        <v>0</v>
      </c>
      <c r="AH6601">
        <v>0</v>
      </c>
      <c r="AI6601">
        <v>30.77</v>
      </c>
      <c r="AJ6601">
        <v>170.93</v>
      </c>
      <c r="AK6601">
        <v>0</v>
      </c>
      <c r="AL6601" t="s">
        <v>53</v>
      </c>
      <c r="AM6601" t="s">
        <v>53</v>
      </c>
      <c r="AN6601" t="s">
        <v>53</v>
      </c>
      <c r="AO6601" t="s">
        <v>53</v>
      </c>
      <c r="AP6601" t="s">
        <v>53</v>
      </c>
    </row>
    <row r="6602" spans="2:42" x14ac:dyDescent="0.2">
      <c r="B6602" t="s">
        <v>44</v>
      </c>
      <c r="C6602" t="str">
        <f>HYPERLINK("https://us2.cloudbeds.com/connect/8493803454333002#/reservations/9080486846824146?display=384YQ90W88&amp;reservation_id=9080486846824146", "384YQ90W88")</f>
        <v>384YQ90W88</v>
      </c>
      <c r="D6602" t="s">
        <v>45</v>
      </c>
      <c r="E6602" t="s">
        <v>105</v>
      </c>
      <c r="F6602" t="s">
        <v>47</v>
      </c>
      <c r="G6602" t="s">
        <v>48</v>
      </c>
      <c r="H6602" t="s">
        <v>49</v>
      </c>
      <c r="I6602" t="s">
        <v>50</v>
      </c>
      <c r="J6602" t="s">
        <v>6380</v>
      </c>
      <c r="K6602" t="s">
        <v>7438</v>
      </c>
      <c r="L6602" t="s">
        <v>53</v>
      </c>
      <c r="N6602" t="s">
        <v>11871</v>
      </c>
      <c r="P6602" t="s">
        <v>55</v>
      </c>
      <c r="R6602" t="s">
        <v>53</v>
      </c>
      <c r="T6602" t="s">
        <v>11872</v>
      </c>
      <c r="U6602" t="s">
        <v>58</v>
      </c>
      <c r="V6602">
        <v>1</v>
      </c>
      <c r="W6602">
        <v>1</v>
      </c>
      <c r="X6602">
        <v>2</v>
      </c>
      <c r="Y6602">
        <v>0</v>
      </c>
      <c r="Z6602">
        <v>2</v>
      </c>
      <c r="AA6602">
        <v>117.57</v>
      </c>
      <c r="AB6602">
        <v>117.57</v>
      </c>
      <c r="AC6602">
        <v>103.45</v>
      </c>
      <c r="AD6602">
        <v>0</v>
      </c>
      <c r="AE6602">
        <v>14.12</v>
      </c>
      <c r="AF6602">
        <v>0</v>
      </c>
      <c r="AG6602">
        <v>0</v>
      </c>
      <c r="AH6602">
        <v>0</v>
      </c>
      <c r="AI6602">
        <v>21.16</v>
      </c>
      <c r="AJ6602">
        <v>117.57</v>
      </c>
      <c r="AK6602">
        <v>0</v>
      </c>
      <c r="AL6602" t="s">
        <v>53</v>
      </c>
      <c r="AM6602" t="s">
        <v>53</v>
      </c>
      <c r="AN6602" t="s">
        <v>53</v>
      </c>
      <c r="AO6602" t="s">
        <v>53</v>
      </c>
      <c r="AP6602" t="s">
        <v>53</v>
      </c>
    </row>
    <row r="6603" spans="2:42" x14ac:dyDescent="0.2">
      <c r="B6603" t="s">
        <v>44</v>
      </c>
      <c r="C6603" t="str">
        <f>HYPERLINK("https://us2.cloudbeds.com/connect/8493803454333002#/reservations/9080486846824350?display=384SGM383P&amp;reservation_id=9080486846824350", "384SGM383P")</f>
        <v>384SGM383P</v>
      </c>
      <c r="D6603" t="s">
        <v>45</v>
      </c>
      <c r="E6603" t="s">
        <v>373</v>
      </c>
      <c r="F6603" t="s">
        <v>47</v>
      </c>
      <c r="G6603" t="s">
        <v>48</v>
      </c>
      <c r="H6603" t="s">
        <v>49</v>
      </c>
      <c r="I6603" t="s">
        <v>50</v>
      </c>
      <c r="J6603" t="s">
        <v>6832</v>
      </c>
      <c r="K6603" t="s">
        <v>6379</v>
      </c>
      <c r="L6603" t="s">
        <v>53</v>
      </c>
      <c r="N6603" t="s">
        <v>11873</v>
      </c>
      <c r="P6603" t="s">
        <v>55</v>
      </c>
      <c r="R6603" t="s">
        <v>53</v>
      </c>
      <c r="T6603" t="s">
        <v>11874</v>
      </c>
      <c r="U6603" t="s">
        <v>58</v>
      </c>
      <c r="V6603">
        <v>2</v>
      </c>
      <c r="W6603">
        <v>1</v>
      </c>
      <c r="X6603">
        <v>1</v>
      </c>
      <c r="Y6603">
        <v>0</v>
      </c>
      <c r="Z6603">
        <v>1</v>
      </c>
      <c r="AA6603">
        <v>380.62</v>
      </c>
      <c r="AB6603">
        <v>386.04</v>
      </c>
      <c r="AC6603">
        <v>334.9</v>
      </c>
      <c r="AD6603">
        <v>5</v>
      </c>
      <c r="AE6603">
        <v>46.14</v>
      </c>
      <c r="AF6603">
        <v>0</v>
      </c>
      <c r="AG6603">
        <v>0</v>
      </c>
      <c r="AH6603">
        <v>0</v>
      </c>
      <c r="AI6603">
        <v>69.489999999999995</v>
      </c>
      <c r="AJ6603">
        <v>386.04</v>
      </c>
      <c r="AK6603">
        <v>0</v>
      </c>
      <c r="AL6603" t="s">
        <v>53</v>
      </c>
      <c r="AM6603" t="s">
        <v>53</v>
      </c>
      <c r="AN6603" t="s">
        <v>53</v>
      </c>
      <c r="AO6603" t="s">
        <v>53</v>
      </c>
      <c r="AP6603" t="s">
        <v>53</v>
      </c>
    </row>
    <row r="6604" spans="2:42" x14ac:dyDescent="0.2">
      <c r="B6604" t="s">
        <v>44</v>
      </c>
      <c r="C6604" t="str">
        <f>HYPERLINK("https://us2.cloudbeds.com/connect/8493803454333002#/reservations/9080486846824362?display=384SRVTG97&amp;reservation_id=9080486846824362", "384SRVTG97")</f>
        <v>384SRVTG97</v>
      </c>
      <c r="D6604" t="s">
        <v>45</v>
      </c>
      <c r="E6604" t="s">
        <v>185</v>
      </c>
      <c r="F6604" t="s">
        <v>47</v>
      </c>
      <c r="G6604" t="s">
        <v>48</v>
      </c>
      <c r="H6604" t="s">
        <v>49</v>
      </c>
      <c r="I6604" t="s">
        <v>50</v>
      </c>
      <c r="J6604" t="s">
        <v>6380</v>
      </c>
      <c r="K6604" t="s">
        <v>9291</v>
      </c>
      <c r="L6604" t="s">
        <v>53</v>
      </c>
      <c r="N6604" t="s">
        <v>11875</v>
      </c>
      <c r="P6604" t="s">
        <v>55</v>
      </c>
      <c r="R6604" t="s">
        <v>53</v>
      </c>
      <c r="T6604" t="s">
        <v>11876</v>
      </c>
      <c r="U6604" t="s">
        <v>58</v>
      </c>
      <c r="V6604">
        <v>2</v>
      </c>
      <c r="W6604">
        <v>1</v>
      </c>
      <c r="X6604">
        <v>2</v>
      </c>
      <c r="Y6604">
        <v>0</v>
      </c>
      <c r="Z6604">
        <v>2</v>
      </c>
      <c r="AA6604">
        <v>240</v>
      </c>
      <c r="AB6604">
        <v>240</v>
      </c>
      <c r="AC6604">
        <v>211.18</v>
      </c>
      <c r="AD6604">
        <v>0</v>
      </c>
      <c r="AE6604">
        <v>28.82</v>
      </c>
      <c r="AF6604">
        <v>0</v>
      </c>
      <c r="AG6604">
        <v>0</v>
      </c>
      <c r="AH6604">
        <v>0</v>
      </c>
      <c r="AI6604">
        <v>43.2</v>
      </c>
      <c r="AJ6604">
        <v>240</v>
      </c>
      <c r="AK6604">
        <v>0</v>
      </c>
      <c r="AL6604" t="s">
        <v>53</v>
      </c>
      <c r="AM6604" t="s">
        <v>53</v>
      </c>
      <c r="AN6604" t="s">
        <v>53</v>
      </c>
      <c r="AO6604" t="s">
        <v>53</v>
      </c>
      <c r="AP6604" t="s">
        <v>53</v>
      </c>
    </row>
    <row r="6605" spans="2:42" x14ac:dyDescent="0.2">
      <c r="B6605" t="s">
        <v>44</v>
      </c>
      <c r="C6605" t="str">
        <f>HYPERLINK("https://us2.cloudbeds.com/connect/8493803454333002#/reservations/9080486846824457?display=384VYS7HW6&amp;reservation_id=9080486846824457", "384VYS7HW6")</f>
        <v>384VYS7HW6</v>
      </c>
      <c r="D6605" t="s">
        <v>45</v>
      </c>
      <c r="E6605" t="s">
        <v>46</v>
      </c>
      <c r="F6605" t="s">
        <v>47</v>
      </c>
      <c r="G6605" t="s">
        <v>48</v>
      </c>
      <c r="H6605" t="s">
        <v>49</v>
      </c>
      <c r="I6605" t="s">
        <v>62</v>
      </c>
      <c r="J6605" t="s">
        <v>6380</v>
      </c>
      <c r="K6605" t="s">
        <v>7438</v>
      </c>
      <c r="L6605" t="s">
        <v>53</v>
      </c>
      <c r="N6605" t="s">
        <v>11877</v>
      </c>
      <c r="P6605" t="s">
        <v>55</v>
      </c>
      <c r="R6605" t="s">
        <v>56</v>
      </c>
      <c r="T6605" t="s">
        <v>11878</v>
      </c>
      <c r="U6605" t="s">
        <v>55</v>
      </c>
      <c r="V6605">
        <v>1</v>
      </c>
      <c r="W6605">
        <v>1</v>
      </c>
      <c r="X6605">
        <v>2</v>
      </c>
      <c r="Y6605">
        <v>0</v>
      </c>
      <c r="Z6605">
        <v>2</v>
      </c>
      <c r="AA6605">
        <v>114.95</v>
      </c>
      <c r="AB6605">
        <v>114.95</v>
      </c>
      <c r="AC6605">
        <v>114.95</v>
      </c>
      <c r="AD6605">
        <v>0</v>
      </c>
      <c r="AE6605">
        <v>0</v>
      </c>
      <c r="AF6605">
        <v>0</v>
      </c>
      <c r="AG6605">
        <v>0</v>
      </c>
      <c r="AH6605">
        <v>0</v>
      </c>
      <c r="AI6605">
        <v>20.69</v>
      </c>
      <c r="AJ6605">
        <v>114.95</v>
      </c>
      <c r="AK6605">
        <v>0</v>
      </c>
      <c r="AL6605" t="s">
        <v>53</v>
      </c>
      <c r="AM6605" t="s">
        <v>53</v>
      </c>
      <c r="AN6605" t="s">
        <v>53</v>
      </c>
      <c r="AO6605" t="s">
        <v>53</v>
      </c>
      <c r="AP6605" t="s">
        <v>53</v>
      </c>
    </row>
    <row r="6606" spans="2:42" x14ac:dyDescent="0.2">
      <c r="B6606" t="s">
        <v>44</v>
      </c>
      <c r="C6606" t="str">
        <f>HYPERLINK("https://us2.cloudbeds.com/connect/8493803454333002#/reservations/150731786191062?display=385PHGNKCK&amp;reservation_id=150731786191062", "385PHGNKCK")</f>
        <v>385PHGNKCK</v>
      </c>
      <c r="D6606" t="s">
        <v>45</v>
      </c>
      <c r="E6606" t="s">
        <v>305</v>
      </c>
      <c r="F6606" t="s">
        <v>61</v>
      </c>
      <c r="G6606" t="s">
        <v>3974</v>
      </c>
      <c r="H6606" t="s">
        <v>3957</v>
      </c>
      <c r="I6606" t="s">
        <v>3975</v>
      </c>
      <c r="J6606" t="s">
        <v>8615</v>
      </c>
      <c r="K6606" t="s">
        <v>10121</v>
      </c>
      <c r="L6606" t="s">
        <v>53</v>
      </c>
      <c r="P6606" t="s">
        <v>55</v>
      </c>
      <c r="R6606" t="s">
        <v>56</v>
      </c>
      <c r="T6606" t="s">
        <v>11879</v>
      </c>
      <c r="U6606" t="s">
        <v>58</v>
      </c>
      <c r="V6606">
        <v>2</v>
      </c>
      <c r="W6606">
        <v>1</v>
      </c>
      <c r="X6606">
        <v>2</v>
      </c>
      <c r="Y6606">
        <v>0</v>
      </c>
      <c r="Z6606">
        <v>2</v>
      </c>
      <c r="AA6606">
        <v>513.91999999999996</v>
      </c>
      <c r="AB6606">
        <v>513.91999999999996</v>
      </c>
      <c r="AC6606">
        <v>452.2</v>
      </c>
      <c r="AD6606">
        <v>0</v>
      </c>
      <c r="AE6606">
        <v>61.72</v>
      </c>
      <c r="AF6606">
        <v>0</v>
      </c>
      <c r="AG6606">
        <v>0</v>
      </c>
      <c r="AH6606">
        <v>0</v>
      </c>
      <c r="AI6606">
        <v>0</v>
      </c>
      <c r="AJ6606">
        <v>513.91999999999996</v>
      </c>
      <c r="AK6606">
        <v>0</v>
      </c>
      <c r="AL6606" t="s">
        <v>53</v>
      </c>
      <c r="AM6606" t="s">
        <v>53</v>
      </c>
      <c r="AN6606" t="s">
        <v>53</v>
      </c>
      <c r="AO6606" t="s">
        <v>53</v>
      </c>
      <c r="AP6606" t="s">
        <v>53</v>
      </c>
    </row>
    <row r="6607" spans="2:42" x14ac:dyDescent="0.2">
      <c r="B6607" t="s">
        <v>44</v>
      </c>
      <c r="C6607" t="str">
        <f>HYPERLINK("https://us2.cloudbeds.com/connect/8493803454333002#/reservations/9080486846825854?display=3866PYBH42&amp;reservation_id=9080486846825854", "3866PYBH42")</f>
        <v>3866PYBH42</v>
      </c>
      <c r="D6607" t="s">
        <v>45</v>
      </c>
      <c r="E6607" t="s">
        <v>105</v>
      </c>
      <c r="F6607" t="s">
        <v>47</v>
      </c>
      <c r="G6607" t="s">
        <v>48</v>
      </c>
      <c r="H6607" t="s">
        <v>49</v>
      </c>
      <c r="I6607" t="s">
        <v>50</v>
      </c>
      <c r="J6607" t="s">
        <v>10590</v>
      </c>
      <c r="K6607" t="s">
        <v>11721</v>
      </c>
      <c r="L6607" t="s">
        <v>53</v>
      </c>
      <c r="N6607" t="s">
        <v>11880</v>
      </c>
      <c r="P6607" t="s">
        <v>55</v>
      </c>
      <c r="R6607" t="s">
        <v>53</v>
      </c>
      <c r="T6607" t="s">
        <v>11881</v>
      </c>
      <c r="U6607" t="s">
        <v>58</v>
      </c>
      <c r="V6607">
        <v>1</v>
      </c>
      <c r="W6607">
        <v>1</v>
      </c>
      <c r="X6607">
        <v>1</v>
      </c>
      <c r="Y6607">
        <v>0</v>
      </c>
      <c r="Z6607">
        <v>1</v>
      </c>
      <c r="AA6607">
        <v>72.459999999999994</v>
      </c>
      <c r="AB6607">
        <v>72.459999999999994</v>
      </c>
      <c r="AC6607">
        <v>63.75</v>
      </c>
      <c r="AD6607">
        <v>0</v>
      </c>
      <c r="AE6607">
        <v>8.7100000000000009</v>
      </c>
      <c r="AF6607">
        <v>0</v>
      </c>
      <c r="AG6607">
        <v>0</v>
      </c>
      <c r="AH6607">
        <v>0</v>
      </c>
      <c r="AI6607">
        <v>13.04</v>
      </c>
      <c r="AJ6607">
        <v>72.459999999999994</v>
      </c>
      <c r="AK6607">
        <v>0</v>
      </c>
      <c r="AL6607" t="s">
        <v>53</v>
      </c>
      <c r="AM6607" t="s">
        <v>53</v>
      </c>
      <c r="AN6607" t="s">
        <v>53</v>
      </c>
      <c r="AO6607" t="s">
        <v>53</v>
      </c>
      <c r="AP6607" t="s">
        <v>53</v>
      </c>
    </row>
    <row r="6608" spans="2:42" x14ac:dyDescent="0.2">
      <c r="B6608" t="s">
        <v>44</v>
      </c>
      <c r="C6608" t="str">
        <f>HYPERLINK("https://us2.cloudbeds.com/connect/8493803454333002#/reservations/9080486846826530?display=3875GB3RSJ&amp;reservation_id=9080486846826530", "3875GB3RSJ")</f>
        <v>3875GB3RSJ</v>
      </c>
      <c r="D6608" t="s">
        <v>45</v>
      </c>
      <c r="E6608" t="s">
        <v>128</v>
      </c>
      <c r="F6608" t="s">
        <v>86</v>
      </c>
      <c r="G6608" t="s">
        <v>48</v>
      </c>
      <c r="H6608" t="s">
        <v>49</v>
      </c>
      <c r="I6608" t="s">
        <v>50</v>
      </c>
      <c r="J6608" t="s">
        <v>7492</v>
      </c>
      <c r="K6608" t="s">
        <v>7493</v>
      </c>
      <c r="L6608" t="s">
        <v>53</v>
      </c>
      <c r="N6608" t="s">
        <v>11882</v>
      </c>
      <c r="P6608" t="s">
        <v>55</v>
      </c>
      <c r="R6608" t="s">
        <v>53</v>
      </c>
      <c r="T6608" t="s">
        <v>11883</v>
      </c>
      <c r="U6608" t="s">
        <v>58</v>
      </c>
      <c r="V6608">
        <v>1</v>
      </c>
      <c r="W6608">
        <v>1</v>
      </c>
      <c r="X6608">
        <v>2</v>
      </c>
      <c r="Y6608">
        <v>0</v>
      </c>
      <c r="Z6608">
        <v>2</v>
      </c>
      <c r="AA6608">
        <v>183.09</v>
      </c>
      <c r="AB6608">
        <v>183.09</v>
      </c>
      <c r="AC6608">
        <v>161.1</v>
      </c>
      <c r="AD6608">
        <v>0</v>
      </c>
      <c r="AE6608">
        <v>21.99</v>
      </c>
      <c r="AF6608">
        <v>0</v>
      </c>
      <c r="AG6608">
        <v>0</v>
      </c>
      <c r="AH6608">
        <v>0</v>
      </c>
      <c r="AI6608">
        <v>32.96</v>
      </c>
      <c r="AJ6608">
        <v>183.09</v>
      </c>
      <c r="AK6608">
        <v>0</v>
      </c>
      <c r="AL6608" t="s">
        <v>53</v>
      </c>
      <c r="AM6608" t="s">
        <v>53</v>
      </c>
      <c r="AN6608" t="s">
        <v>53</v>
      </c>
      <c r="AO6608" t="s">
        <v>53</v>
      </c>
      <c r="AP6608" t="s">
        <v>53</v>
      </c>
    </row>
    <row r="6609" spans="2:42" x14ac:dyDescent="0.2">
      <c r="B6609" t="s">
        <v>44</v>
      </c>
      <c r="C6609" t="str">
        <f>HYPERLINK("https://us2.cloudbeds.com/connect/8493803454333002#/reservations/9080486846826562?display=38776TPDYA&amp;reservation_id=9080486846826562", "38776TPDYA")</f>
        <v>38776TPDYA</v>
      </c>
      <c r="D6609" t="s">
        <v>45</v>
      </c>
      <c r="E6609" t="s">
        <v>138</v>
      </c>
      <c r="F6609" t="s">
        <v>70</v>
      </c>
      <c r="G6609" t="s">
        <v>48</v>
      </c>
      <c r="H6609" t="s">
        <v>49</v>
      </c>
      <c r="I6609" t="s">
        <v>8964</v>
      </c>
      <c r="J6609" t="s">
        <v>11521</v>
      </c>
      <c r="K6609" t="s">
        <v>11884</v>
      </c>
      <c r="L6609" t="s">
        <v>53</v>
      </c>
      <c r="N6609" t="s">
        <v>11885</v>
      </c>
      <c r="P6609" t="s">
        <v>55</v>
      </c>
      <c r="R6609" t="s">
        <v>53</v>
      </c>
      <c r="T6609" t="s">
        <v>11886</v>
      </c>
      <c r="U6609" t="s">
        <v>55</v>
      </c>
      <c r="V6609">
        <v>1</v>
      </c>
      <c r="W6609">
        <v>1</v>
      </c>
      <c r="X6609">
        <v>2</v>
      </c>
      <c r="Y6609">
        <v>0</v>
      </c>
      <c r="Z6609">
        <v>2</v>
      </c>
      <c r="AA6609">
        <v>0</v>
      </c>
      <c r="AB6609">
        <v>0</v>
      </c>
      <c r="AC6609">
        <v>125</v>
      </c>
      <c r="AD6609">
        <v>0</v>
      </c>
      <c r="AE6609">
        <v>0</v>
      </c>
      <c r="AF6609">
        <v>0</v>
      </c>
      <c r="AG6609">
        <v>0</v>
      </c>
      <c r="AH6609">
        <v>0</v>
      </c>
      <c r="AI6609">
        <v>18.75</v>
      </c>
      <c r="AJ6609">
        <v>125</v>
      </c>
      <c r="AK6609">
        <v>125</v>
      </c>
      <c r="AL6609" t="s">
        <v>53</v>
      </c>
      <c r="AM6609" t="s">
        <v>53</v>
      </c>
      <c r="AN6609" t="s">
        <v>53</v>
      </c>
      <c r="AO6609" t="s">
        <v>53</v>
      </c>
      <c r="AP6609" t="s">
        <v>53</v>
      </c>
    </row>
    <row r="6610" spans="2:42" x14ac:dyDescent="0.2">
      <c r="B6610" t="s">
        <v>44</v>
      </c>
      <c r="C6610" t="str">
        <f>HYPERLINK("https://us2.cloudbeds.com/connect/8493803454333002#/reservations/9080486846827254?display=3886DMVKDT&amp;reservation_id=9080486846827254", "3886DMVKDT")</f>
        <v>3886DMVKDT</v>
      </c>
      <c r="D6610" t="s">
        <v>45</v>
      </c>
      <c r="E6610" t="s">
        <v>128</v>
      </c>
      <c r="F6610" t="s">
        <v>86</v>
      </c>
      <c r="G6610" t="s">
        <v>48</v>
      </c>
      <c r="H6610" t="s">
        <v>49</v>
      </c>
      <c r="I6610" t="s">
        <v>50</v>
      </c>
      <c r="J6610" t="s">
        <v>11887</v>
      </c>
      <c r="K6610" t="s">
        <v>11378</v>
      </c>
      <c r="L6610" t="s">
        <v>53</v>
      </c>
      <c r="N6610" t="s">
        <v>11888</v>
      </c>
      <c r="P6610" t="s">
        <v>55</v>
      </c>
      <c r="R6610" t="s">
        <v>53</v>
      </c>
      <c r="T6610" t="s">
        <v>11889</v>
      </c>
      <c r="U6610" t="s">
        <v>58</v>
      </c>
      <c r="V6610">
        <v>1</v>
      </c>
      <c r="W6610">
        <v>1</v>
      </c>
      <c r="X6610">
        <v>1</v>
      </c>
      <c r="Y6610">
        <v>0</v>
      </c>
      <c r="Z6610">
        <v>1</v>
      </c>
      <c r="AA6610">
        <v>108.6</v>
      </c>
      <c r="AB6610">
        <v>111.31</v>
      </c>
      <c r="AC6610">
        <v>95.56</v>
      </c>
      <c r="AD6610">
        <v>2.5</v>
      </c>
      <c r="AE6610">
        <v>13.25</v>
      </c>
      <c r="AF6610">
        <v>0</v>
      </c>
      <c r="AG6610">
        <v>0</v>
      </c>
      <c r="AH6610">
        <v>0</v>
      </c>
      <c r="AI6610">
        <v>20.04</v>
      </c>
      <c r="AJ6610">
        <v>111.31</v>
      </c>
      <c r="AK6610">
        <v>0</v>
      </c>
      <c r="AL6610" t="s">
        <v>53</v>
      </c>
      <c r="AM6610" t="s">
        <v>53</v>
      </c>
      <c r="AN6610" t="s">
        <v>53</v>
      </c>
      <c r="AO6610" t="s">
        <v>53</v>
      </c>
      <c r="AP6610" t="s">
        <v>53</v>
      </c>
    </row>
    <row r="6611" spans="2:42" x14ac:dyDescent="0.2">
      <c r="B6611" t="s">
        <v>44</v>
      </c>
      <c r="C6611" t="str">
        <f>HYPERLINK("https://us2.cloudbeds.com/connect/8493803454333002#/reservations/9080486846827256?display=3886JMNVGS&amp;reservation_id=9080486846827256", "3886JMNVGS")</f>
        <v>3886JMNVGS</v>
      </c>
      <c r="D6611" t="s">
        <v>45</v>
      </c>
      <c r="E6611" t="s">
        <v>223</v>
      </c>
      <c r="F6611" t="s">
        <v>47</v>
      </c>
      <c r="G6611" t="s">
        <v>48</v>
      </c>
      <c r="H6611" t="s">
        <v>49</v>
      </c>
      <c r="I6611" t="s">
        <v>62</v>
      </c>
      <c r="J6611" t="s">
        <v>6380</v>
      </c>
      <c r="K6611" t="s">
        <v>7438</v>
      </c>
      <c r="L6611" t="s">
        <v>53</v>
      </c>
      <c r="N6611" t="s">
        <v>11890</v>
      </c>
      <c r="P6611" t="s">
        <v>55</v>
      </c>
      <c r="R6611" t="s">
        <v>56</v>
      </c>
      <c r="T6611" t="s">
        <v>11891</v>
      </c>
      <c r="U6611" t="s">
        <v>55</v>
      </c>
      <c r="V6611">
        <v>1</v>
      </c>
      <c r="W6611">
        <v>1</v>
      </c>
      <c r="X6611">
        <v>2</v>
      </c>
      <c r="Y6611">
        <v>0</v>
      </c>
      <c r="Z6611">
        <v>2</v>
      </c>
      <c r="AA6611">
        <v>121</v>
      </c>
      <c r="AB6611">
        <v>121</v>
      </c>
      <c r="AC6611">
        <v>121</v>
      </c>
      <c r="AD6611">
        <v>0</v>
      </c>
      <c r="AE6611">
        <v>0</v>
      </c>
      <c r="AF6611">
        <v>0</v>
      </c>
      <c r="AG6611">
        <v>0</v>
      </c>
      <c r="AH6611">
        <v>0</v>
      </c>
      <c r="AI6611">
        <v>21.78</v>
      </c>
      <c r="AJ6611">
        <v>121</v>
      </c>
      <c r="AK6611">
        <v>0</v>
      </c>
      <c r="AL6611" t="s">
        <v>53</v>
      </c>
      <c r="AM6611" t="s">
        <v>53</v>
      </c>
      <c r="AN6611" t="s">
        <v>53</v>
      </c>
      <c r="AO6611" t="s">
        <v>53</v>
      </c>
      <c r="AP6611" t="s">
        <v>53</v>
      </c>
    </row>
    <row r="6612" spans="2:42" x14ac:dyDescent="0.2">
      <c r="B6612" t="s">
        <v>44</v>
      </c>
      <c r="C6612" t="str">
        <f>HYPERLINK("https://us2.cloudbeds.com/connect/8493803454333002#/reservations/9080486846830283?display=38CBEYGAXH&amp;reservation_id=9080486846830283", "38CBEYGAXH")</f>
        <v>38CBEYGAXH</v>
      </c>
      <c r="D6612" t="s">
        <v>45</v>
      </c>
      <c r="E6612" t="s">
        <v>155</v>
      </c>
      <c r="F6612" t="s">
        <v>86</v>
      </c>
      <c r="G6612" t="s">
        <v>48</v>
      </c>
      <c r="H6612" t="s">
        <v>49</v>
      </c>
      <c r="I6612" t="s">
        <v>50</v>
      </c>
      <c r="J6612" t="s">
        <v>8678</v>
      </c>
      <c r="K6612" t="s">
        <v>9687</v>
      </c>
      <c r="L6612" t="s">
        <v>53</v>
      </c>
      <c r="N6612" t="s">
        <v>11892</v>
      </c>
      <c r="P6612" t="s">
        <v>55</v>
      </c>
      <c r="R6612" t="s">
        <v>53</v>
      </c>
      <c r="T6612" t="s">
        <v>11893</v>
      </c>
      <c r="U6612" t="s">
        <v>58</v>
      </c>
      <c r="V6612">
        <v>1</v>
      </c>
      <c r="W6612">
        <v>1</v>
      </c>
      <c r="X6612">
        <v>1</v>
      </c>
      <c r="Y6612">
        <v>0</v>
      </c>
      <c r="Z6612">
        <v>1</v>
      </c>
      <c r="AA6612">
        <v>314.58999999999997</v>
      </c>
      <c r="AB6612">
        <v>320.01</v>
      </c>
      <c r="AC6612">
        <v>276.8</v>
      </c>
      <c r="AD6612">
        <v>5</v>
      </c>
      <c r="AE6612">
        <v>38.21</v>
      </c>
      <c r="AF6612">
        <v>0</v>
      </c>
      <c r="AG6612">
        <v>0</v>
      </c>
      <c r="AH6612">
        <v>0</v>
      </c>
      <c r="AI6612">
        <v>57.6</v>
      </c>
      <c r="AJ6612">
        <v>320.01</v>
      </c>
      <c r="AK6612">
        <v>0</v>
      </c>
      <c r="AL6612" t="s">
        <v>53</v>
      </c>
      <c r="AM6612" t="s">
        <v>53</v>
      </c>
      <c r="AN6612" t="s">
        <v>53</v>
      </c>
      <c r="AO6612" t="s">
        <v>53</v>
      </c>
      <c r="AP6612" t="s">
        <v>53</v>
      </c>
    </row>
    <row r="6613" spans="2:42" x14ac:dyDescent="0.2">
      <c r="B6613" t="s">
        <v>44</v>
      </c>
      <c r="C6613" t="str">
        <f>HYPERLINK("https://us2.cloudbeds.com/connect/8493803454333002#/reservations/9080486846830285?display=38CBGJTABT&amp;reservation_id=9080486846830285", "38CBGJTABT")</f>
        <v>38CBGJTABT</v>
      </c>
      <c r="D6613" t="s">
        <v>45</v>
      </c>
      <c r="E6613" t="s">
        <v>98</v>
      </c>
      <c r="F6613" t="s">
        <v>86</v>
      </c>
      <c r="G6613" t="s">
        <v>48</v>
      </c>
      <c r="H6613" t="s">
        <v>49</v>
      </c>
      <c r="I6613" t="s">
        <v>50</v>
      </c>
      <c r="J6613" t="s">
        <v>8678</v>
      </c>
      <c r="K6613" t="s">
        <v>9687</v>
      </c>
      <c r="L6613" t="s">
        <v>53</v>
      </c>
      <c r="N6613" t="s">
        <v>11894</v>
      </c>
      <c r="P6613" t="s">
        <v>55</v>
      </c>
      <c r="R6613" t="s">
        <v>53</v>
      </c>
      <c r="T6613" t="s">
        <v>11895</v>
      </c>
      <c r="U6613" t="s">
        <v>58</v>
      </c>
      <c r="V6613">
        <v>1</v>
      </c>
      <c r="W6613">
        <v>1</v>
      </c>
      <c r="X6613">
        <v>2</v>
      </c>
      <c r="Y6613">
        <v>0</v>
      </c>
      <c r="Z6613">
        <v>2</v>
      </c>
      <c r="AA6613">
        <v>314.58999999999997</v>
      </c>
      <c r="AB6613">
        <v>314.58999999999997</v>
      </c>
      <c r="AC6613">
        <v>276.8</v>
      </c>
      <c r="AD6613">
        <v>0</v>
      </c>
      <c r="AE6613">
        <v>37.79</v>
      </c>
      <c r="AF6613">
        <v>0</v>
      </c>
      <c r="AG6613">
        <v>0</v>
      </c>
      <c r="AH6613">
        <v>0</v>
      </c>
      <c r="AI6613">
        <v>56.63</v>
      </c>
      <c r="AJ6613">
        <v>314.58999999999997</v>
      </c>
      <c r="AK6613">
        <v>0</v>
      </c>
      <c r="AL6613" t="s">
        <v>53</v>
      </c>
      <c r="AM6613" t="s">
        <v>53</v>
      </c>
      <c r="AN6613" t="s">
        <v>53</v>
      </c>
      <c r="AO6613" t="s">
        <v>53</v>
      </c>
      <c r="AP6613" t="s">
        <v>53</v>
      </c>
    </row>
    <row r="6614" spans="2:42" x14ac:dyDescent="0.2">
      <c r="B6614" t="s">
        <v>44</v>
      </c>
      <c r="C6614" t="str">
        <f>HYPERLINK("https://us2.cloudbeds.com/connect/8493803454333002#/reservations/9080486846831828?display=38DMRU3U54&amp;reservation_id=9080486846831828", "38DMRU3U54")</f>
        <v>38DMRU3U54</v>
      </c>
      <c r="D6614" t="s">
        <v>45</v>
      </c>
      <c r="E6614" t="s">
        <v>69</v>
      </c>
      <c r="F6614" t="s">
        <v>70</v>
      </c>
      <c r="G6614" t="s">
        <v>48</v>
      </c>
      <c r="H6614" t="s">
        <v>49</v>
      </c>
      <c r="I6614" t="s">
        <v>50</v>
      </c>
      <c r="J6614" t="s">
        <v>11896</v>
      </c>
      <c r="K6614" t="s">
        <v>10590</v>
      </c>
      <c r="L6614" t="s">
        <v>53</v>
      </c>
      <c r="N6614" t="s">
        <v>11897</v>
      </c>
      <c r="P6614" t="s">
        <v>55</v>
      </c>
      <c r="R6614" t="s">
        <v>53</v>
      </c>
      <c r="T6614" t="s">
        <v>11898</v>
      </c>
      <c r="U6614" t="s">
        <v>58</v>
      </c>
      <c r="V6614">
        <v>1</v>
      </c>
      <c r="W6614">
        <v>1</v>
      </c>
      <c r="X6614">
        <v>2</v>
      </c>
      <c r="Y6614">
        <v>0</v>
      </c>
      <c r="Z6614">
        <v>2</v>
      </c>
      <c r="AA6614">
        <v>82.12</v>
      </c>
      <c r="AB6614">
        <v>82.12</v>
      </c>
      <c r="AC6614">
        <v>72.25</v>
      </c>
      <c r="AD6614">
        <v>0</v>
      </c>
      <c r="AE6614">
        <v>9.8699999999999992</v>
      </c>
      <c r="AF6614">
        <v>0</v>
      </c>
      <c r="AG6614">
        <v>0</v>
      </c>
      <c r="AH6614">
        <v>0</v>
      </c>
      <c r="AI6614">
        <v>14.78</v>
      </c>
      <c r="AJ6614">
        <v>82.12</v>
      </c>
      <c r="AK6614">
        <v>0</v>
      </c>
      <c r="AL6614" t="s">
        <v>53</v>
      </c>
      <c r="AM6614" t="s">
        <v>53</v>
      </c>
      <c r="AN6614" t="s">
        <v>53</v>
      </c>
      <c r="AO6614" t="s">
        <v>53</v>
      </c>
      <c r="AP6614" t="s">
        <v>53</v>
      </c>
    </row>
    <row r="6615" spans="2:42" x14ac:dyDescent="0.2">
      <c r="B6615" t="s">
        <v>44</v>
      </c>
      <c r="C6615" t="str">
        <f>HYPERLINK("https://us2.cloudbeds.com/connect/8493803454333002#/reservations/9080486846832243?display=38E1B97BR5&amp;reservation_id=9080486846832243", "38E1B97BR5")</f>
        <v>38E1B97BR5</v>
      </c>
      <c r="D6615" t="s">
        <v>45</v>
      </c>
      <c r="E6615" t="s">
        <v>381</v>
      </c>
      <c r="F6615" t="s">
        <v>47</v>
      </c>
      <c r="G6615" t="s">
        <v>48</v>
      </c>
      <c r="H6615" t="s">
        <v>49</v>
      </c>
      <c r="I6615" t="s">
        <v>50</v>
      </c>
      <c r="J6615" t="s">
        <v>8615</v>
      </c>
      <c r="K6615" t="s">
        <v>8616</v>
      </c>
      <c r="L6615" t="s">
        <v>53</v>
      </c>
      <c r="N6615" t="s">
        <v>11899</v>
      </c>
      <c r="P6615" t="s">
        <v>55</v>
      </c>
      <c r="R6615" t="s">
        <v>53</v>
      </c>
      <c r="T6615" t="s">
        <v>11900</v>
      </c>
      <c r="U6615" t="s">
        <v>58</v>
      </c>
      <c r="V6615">
        <v>3</v>
      </c>
      <c r="W6615">
        <v>1</v>
      </c>
      <c r="X6615">
        <v>2</v>
      </c>
      <c r="Y6615">
        <v>0</v>
      </c>
      <c r="Z6615">
        <v>2</v>
      </c>
      <c r="AA6615">
        <v>554.84</v>
      </c>
      <c r="AB6615">
        <v>554.84</v>
      </c>
      <c r="AC6615">
        <v>488.2</v>
      </c>
      <c r="AD6615">
        <v>0</v>
      </c>
      <c r="AE6615">
        <v>66.64</v>
      </c>
      <c r="AF6615">
        <v>0</v>
      </c>
      <c r="AG6615">
        <v>0</v>
      </c>
      <c r="AH6615">
        <v>0</v>
      </c>
      <c r="AI6615">
        <v>99.87</v>
      </c>
      <c r="AJ6615">
        <v>554.84</v>
      </c>
      <c r="AK6615">
        <v>0</v>
      </c>
      <c r="AL6615" t="s">
        <v>53</v>
      </c>
      <c r="AM6615" t="s">
        <v>53</v>
      </c>
      <c r="AN6615" t="s">
        <v>53</v>
      </c>
      <c r="AO6615" t="s">
        <v>53</v>
      </c>
      <c r="AP6615" t="s">
        <v>53</v>
      </c>
    </row>
    <row r="6616" spans="2:42" x14ac:dyDescent="0.2">
      <c r="B6616" t="s">
        <v>44</v>
      </c>
      <c r="C6616" t="str">
        <f>HYPERLINK("https://us2.cloudbeds.com/connect/8493803454333002#/reservations/9080486846833902?display=38F5MMQUGH&amp;reservation_id=9080486846833902", "38F5MMQUGH")</f>
        <v>38F5MMQUGH</v>
      </c>
      <c r="D6616" t="s">
        <v>45</v>
      </c>
      <c r="E6616" t="s">
        <v>155</v>
      </c>
      <c r="F6616" t="s">
        <v>86</v>
      </c>
      <c r="G6616" t="s">
        <v>48</v>
      </c>
      <c r="H6616" t="s">
        <v>49</v>
      </c>
      <c r="I6616" t="s">
        <v>50</v>
      </c>
      <c r="J6616" t="s">
        <v>7493</v>
      </c>
      <c r="K6616" t="s">
        <v>6344</v>
      </c>
      <c r="L6616" t="s">
        <v>53</v>
      </c>
      <c r="N6616" t="s">
        <v>11901</v>
      </c>
      <c r="P6616" t="s">
        <v>55</v>
      </c>
      <c r="R6616" t="s">
        <v>53</v>
      </c>
      <c r="T6616" t="s">
        <v>11902</v>
      </c>
      <c r="U6616" t="s">
        <v>58</v>
      </c>
      <c r="V6616">
        <v>1</v>
      </c>
      <c r="W6616">
        <v>1</v>
      </c>
      <c r="X6616">
        <v>2</v>
      </c>
      <c r="Y6616">
        <v>0</v>
      </c>
      <c r="Z6616">
        <v>2</v>
      </c>
      <c r="AA6616">
        <v>213.77</v>
      </c>
      <c r="AB6616">
        <v>213.77</v>
      </c>
      <c r="AC6616">
        <v>188.1</v>
      </c>
      <c r="AD6616">
        <v>0</v>
      </c>
      <c r="AE6616">
        <v>25.67</v>
      </c>
      <c r="AF6616">
        <v>0</v>
      </c>
      <c r="AG6616">
        <v>0</v>
      </c>
      <c r="AH6616">
        <v>0</v>
      </c>
      <c r="AI6616">
        <v>38.479999999999997</v>
      </c>
      <c r="AJ6616">
        <v>213.77</v>
      </c>
      <c r="AK6616">
        <v>0</v>
      </c>
      <c r="AL6616" t="s">
        <v>53</v>
      </c>
      <c r="AM6616" t="s">
        <v>53</v>
      </c>
      <c r="AN6616" t="s">
        <v>53</v>
      </c>
      <c r="AO6616" t="s">
        <v>53</v>
      </c>
      <c r="AP6616" t="s">
        <v>53</v>
      </c>
    </row>
    <row r="6617" spans="2:42" x14ac:dyDescent="0.2">
      <c r="B6617" t="s">
        <v>44</v>
      </c>
      <c r="C6617" t="str">
        <f>HYPERLINK("https://us2.cloudbeds.com/connect/8493803454333002#/reservations/9080486846837178?display=38JSQRN04Z&amp;reservation_id=9080486846837178", "38JSQRN04Z")</f>
        <v>38JSQRN04Z</v>
      </c>
      <c r="D6617" t="s">
        <v>45</v>
      </c>
      <c r="E6617" t="s">
        <v>138</v>
      </c>
      <c r="F6617" t="s">
        <v>70</v>
      </c>
      <c r="G6617" t="s">
        <v>48</v>
      </c>
      <c r="H6617" t="s">
        <v>49</v>
      </c>
      <c r="I6617" t="s">
        <v>8964</v>
      </c>
      <c r="J6617" t="s">
        <v>11557</v>
      </c>
      <c r="K6617" t="s">
        <v>11863</v>
      </c>
      <c r="L6617" t="s">
        <v>53</v>
      </c>
      <c r="N6617" t="s">
        <v>11903</v>
      </c>
      <c r="P6617" t="s">
        <v>55</v>
      </c>
      <c r="R6617" t="s">
        <v>53</v>
      </c>
      <c r="T6617" t="s">
        <v>11904</v>
      </c>
      <c r="U6617" t="s">
        <v>55</v>
      </c>
      <c r="V6617">
        <v>3</v>
      </c>
      <c r="W6617">
        <v>1</v>
      </c>
      <c r="X6617">
        <v>2</v>
      </c>
      <c r="Y6617">
        <v>0</v>
      </c>
      <c r="Z6617">
        <v>2</v>
      </c>
      <c r="AA6617">
        <v>0</v>
      </c>
      <c r="AB6617">
        <v>0</v>
      </c>
      <c r="AC6617">
        <v>248</v>
      </c>
      <c r="AD6617">
        <v>0</v>
      </c>
      <c r="AE6617">
        <v>0</v>
      </c>
      <c r="AF6617">
        <v>0</v>
      </c>
      <c r="AG6617">
        <v>0</v>
      </c>
      <c r="AH6617">
        <v>0</v>
      </c>
      <c r="AI6617">
        <v>37.200000000000003</v>
      </c>
      <c r="AJ6617">
        <v>248</v>
      </c>
      <c r="AK6617">
        <v>248</v>
      </c>
      <c r="AL6617" t="s">
        <v>53</v>
      </c>
      <c r="AM6617" t="s">
        <v>53</v>
      </c>
      <c r="AN6617" t="s">
        <v>53</v>
      </c>
      <c r="AO6617" t="s">
        <v>53</v>
      </c>
      <c r="AP6617" t="s">
        <v>53</v>
      </c>
    </row>
    <row r="6618" spans="2:42" x14ac:dyDescent="0.2">
      <c r="B6618" t="s">
        <v>44</v>
      </c>
      <c r="C6618" t="str">
        <f>HYPERLINK("https://us2.cloudbeds.com/connect/8493803454333002#/reservations/9080486846838516?display=38Y5A4PJ5X&amp;reservation_id=9080486846838516", "38Y5A4PJ5X")</f>
        <v>38Y5A4PJ5X</v>
      </c>
      <c r="D6618" t="s">
        <v>45</v>
      </c>
      <c r="E6618" t="s">
        <v>223</v>
      </c>
      <c r="F6618" t="s">
        <v>47</v>
      </c>
      <c r="G6618" t="s">
        <v>48</v>
      </c>
      <c r="H6618" t="s">
        <v>49</v>
      </c>
      <c r="I6618" t="s">
        <v>50</v>
      </c>
      <c r="J6618" t="s">
        <v>8021</v>
      </c>
      <c r="K6618" t="s">
        <v>8819</v>
      </c>
      <c r="L6618" t="s">
        <v>53</v>
      </c>
      <c r="N6618" t="s">
        <v>11905</v>
      </c>
      <c r="P6618" t="s">
        <v>55</v>
      </c>
      <c r="R6618" t="s">
        <v>53</v>
      </c>
      <c r="T6618" t="s">
        <v>11906</v>
      </c>
      <c r="U6618" t="s">
        <v>58</v>
      </c>
      <c r="V6618">
        <v>1</v>
      </c>
      <c r="W6618">
        <v>1</v>
      </c>
      <c r="X6618">
        <v>2</v>
      </c>
      <c r="Y6618">
        <v>0</v>
      </c>
      <c r="Z6618">
        <v>2</v>
      </c>
      <c r="AA6618">
        <v>135.25</v>
      </c>
      <c r="AB6618">
        <v>135.25</v>
      </c>
      <c r="AC6618">
        <v>119</v>
      </c>
      <c r="AD6618">
        <v>0</v>
      </c>
      <c r="AE6618">
        <v>16.25</v>
      </c>
      <c r="AF6618">
        <v>0</v>
      </c>
      <c r="AG6618">
        <v>0</v>
      </c>
      <c r="AH6618">
        <v>0</v>
      </c>
      <c r="AI6618">
        <v>24.35</v>
      </c>
      <c r="AJ6618">
        <v>135.25</v>
      </c>
      <c r="AK6618">
        <v>0</v>
      </c>
      <c r="AL6618" t="s">
        <v>53</v>
      </c>
      <c r="AM6618" t="s">
        <v>53</v>
      </c>
      <c r="AN6618" t="s">
        <v>53</v>
      </c>
      <c r="AO6618" t="s">
        <v>53</v>
      </c>
      <c r="AP6618" t="s">
        <v>53</v>
      </c>
    </row>
    <row r="6619" spans="2:42" x14ac:dyDescent="0.2">
      <c r="B6619" t="s">
        <v>44</v>
      </c>
      <c r="C6619" t="str">
        <f>HYPERLINK("https://us2.cloudbeds.com/connect/8493803454333002#/reservations/9080486846838638?display=38Y90Y9HFC&amp;reservation_id=9080486846838638", "38Y90Y9HFC")</f>
        <v>38Y90Y9HFC</v>
      </c>
      <c r="D6619" t="s">
        <v>45</v>
      </c>
      <c r="E6619" t="s">
        <v>46</v>
      </c>
      <c r="F6619" t="s">
        <v>47</v>
      </c>
      <c r="G6619" t="s">
        <v>48</v>
      </c>
      <c r="H6619" t="s">
        <v>49</v>
      </c>
      <c r="I6619" t="s">
        <v>50</v>
      </c>
      <c r="J6619" t="s">
        <v>9858</v>
      </c>
      <c r="K6619" t="s">
        <v>7543</v>
      </c>
      <c r="L6619" t="s">
        <v>53</v>
      </c>
      <c r="N6619" t="s">
        <v>11907</v>
      </c>
      <c r="P6619" t="s">
        <v>55</v>
      </c>
      <c r="R6619" t="s">
        <v>53</v>
      </c>
      <c r="T6619" t="s">
        <v>11908</v>
      </c>
      <c r="U6619" t="s">
        <v>58</v>
      </c>
      <c r="V6619">
        <v>3</v>
      </c>
      <c r="W6619">
        <v>1</v>
      </c>
      <c r="X6619">
        <v>2</v>
      </c>
      <c r="Y6619">
        <v>0</v>
      </c>
      <c r="Z6619">
        <v>2</v>
      </c>
      <c r="AA6619">
        <v>363.11</v>
      </c>
      <c r="AB6619">
        <v>363.11</v>
      </c>
      <c r="AC6619">
        <v>311.36</v>
      </c>
      <c r="AD6619">
        <v>7.5</v>
      </c>
      <c r="AE6619">
        <v>44.25</v>
      </c>
      <c r="AF6619">
        <v>0</v>
      </c>
      <c r="AG6619">
        <v>0</v>
      </c>
      <c r="AH6619">
        <v>0</v>
      </c>
      <c r="AI6619">
        <v>65.36</v>
      </c>
      <c r="AJ6619">
        <v>363.11</v>
      </c>
      <c r="AK6619">
        <v>0</v>
      </c>
      <c r="AL6619" t="s">
        <v>53</v>
      </c>
      <c r="AM6619" t="s">
        <v>53</v>
      </c>
      <c r="AN6619" t="s">
        <v>53</v>
      </c>
      <c r="AO6619" t="s">
        <v>53</v>
      </c>
      <c r="AP6619" t="s">
        <v>53</v>
      </c>
    </row>
    <row r="6620" spans="2:42" x14ac:dyDescent="0.2">
      <c r="B6620" t="s">
        <v>44</v>
      </c>
      <c r="C6620" t="str">
        <f>HYPERLINK("https://us2.cloudbeds.com/connect/8493803454333002#/reservations/151412196135070?display=38YZCXDA4C&amp;reservation_id=151412196135070", "38YZCXDA4C")</f>
        <v>38YZCXDA4C</v>
      </c>
      <c r="D6620" t="s">
        <v>45</v>
      </c>
      <c r="E6620" t="s">
        <v>406</v>
      </c>
      <c r="F6620" t="s">
        <v>61</v>
      </c>
      <c r="G6620" t="s">
        <v>7801</v>
      </c>
      <c r="H6620" t="s">
        <v>3957</v>
      </c>
      <c r="I6620" t="s">
        <v>3958</v>
      </c>
      <c r="J6620" t="s">
        <v>6344</v>
      </c>
      <c r="K6620" t="s">
        <v>8678</v>
      </c>
      <c r="L6620" t="s">
        <v>53</v>
      </c>
      <c r="P6620" t="s">
        <v>55</v>
      </c>
      <c r="R6620" t="s">
        <v>56</v>
      </c>
      <c r="T6620" t="s">
        <v>11909</v>
      </c>
      <c r="U6620" t="s">
        <v>58</v>
      </c>
      <c r="V6620">
        <v>2</v>
      </c>
      <c r="W6620">
        <v>1</v>
      </c>
      <c r="X6620">
        <v>1</v>
      </c>
      <c r="Y6620">
        <v>0</v>
      </c>
      <c r="Z6620">
        <v>1</v>
      </c>
      <c r="AA6620">
        <v>665.89</v>
      </c>
      <c r="AB6620">
        <v>987.07</v>
      </c>
      <c r="AC6620">
        <v>585.9</v>
      </c>
      <c r="AD6620">
        <v>0</v>
      </c>
      <c r="AE6620">
        <v>79.989999999999995</v>
      </c>
      <c r="AF6620">
        <v>0</v>
      </c>
      <c r="AG6620">
        <v>0</v>
      </c>
      <c r="AH6620">
        <v>0</v>
      </c>
      <c r="AI6620">
        <v>0</v>
      </c>
      <c r="AJ6620">
        <v>665.89</v>
      </c>
      <c r="AK6620">
        <v>0</v>
      </c>
      <c r="AL6620" t="s">
        <v>53</v>
      </c>
      <c r="AM6620" t="s">
        <v>53</v>
      </c>
      <c r="AN6620" t="s">
        <v>11910</v>
      </c>
      <c r="AO6620" t="s">
        <v>53</v>
      </c>
      <c r="AP6620" t="s">
        <v>53</v>
      </c>
    </row>
    <row r="6621" spans="2:42" x14ac:dyDescent="0.2">
      <c r="B6621" t="s">
        <v>44</v>
      </c>
      <c r="C6621" t="str">
        <f>HYPERLINK("https://us2.cloudbeds.com/connect/8493803454333002#/reservations/9080486846839445?display=38M11SQ13U&amp;reservation_id=9080486846839445", "38M11SQ13U")</f>
        <v>38M11SQ13U</v>
      </c>
      <c r="D6621" t="s">
        <v>45</v>
      </c>
      <c r="E6621" t="s">
        <v>121</v>
      </c>
      <c r="F6621" t="s">
        <v>86</v>
      </c>
      <c r="G6621" t="s">
        <v>48</v>
      </c>
      <c r="H6621" t="s">
        <v>49</v>
      </c>
      <c r="I6621" t="s">
        <v>62</v>
      </c>
      <c r="J6621" t="s">
        <v>9291</v>
      </c>
      <c r="K6621" t="s">
        <v>8818</v>
      </c>
      <c r="L6621" t="s">
        <v>53</v>
      </c>
      <c r="N6621" t="s">
        <v>11911</v>
      </c>
      <c r="P6621" t="s">
        <v>55</v>
      </c>
      <c r="R6621" t="s">
        <v>56</v>
      </c>
      <c r="T6621" t="s">
        <v>11912</v>
      </c>
      <c r="U6621" t="s">
        <v>55</v>
      </c>
      <c r="V6621">
        <v>2</v>
      </c>
      <c r="W6621">
        <v>1</v>
      </c>
      <c r="X6621">
        <v>2</v>
      </c>
      <c r="Y6621">
        <v>0</v>
      </c>
      <c r="Z6621">
        <v>2</v>
      </c>
      <c r="AA6621">
        <v>360.05</v>
      </c>
      <c r="AB6621">
        <v>360.05</v>
      </c>
      <c r="AC6621">
        <v>360.05</v>
      </c>
      <c r="AD6621">
        <v>0</v>
      </c>
      <c r="AE6621">
        <v>0</v>
      </c>
      <c r="AF6621">
        <v>0</v>
      </c>
      <c r="AG6621">
        <v>0</v>
      </c>
      <c r="AH6621">
        <v>0</v>
      </c>
      <c r="AI6621">
        <v>64.81</v>
      </c>
      <c r="AJ6621">
        <v>360.05</v>
      </c>
      <c r="AK6621">
        <v>0</v>
      </c>
      <c r="AL6621" t="s">
        <v>53</v>
      </c>
      <c r="AM6621" t="s">
        <v>53</v>
      </c>
      <c r="AN6621" t="s">
        <v>53</v>
      </c>
      <c r="AO6621" t="s">
        <v>53</v>
      </c>
      <c r="AP6621" t="s">
        <v>53</v>
      </c>
    </row>
    <row r="6622" spans="2:42" x14ac:dyDescent="0.2">
      <c r="B6622" t="s">
        <v>44</v>
      </c>
      <c r="C6622" t="str">
        <f>HYPERLINK("https://us2.cloudbeds.com/connect/8493803454333002#/reservations/9080486846839684?display=38M8UD4FAQ&amp;reservation_id=9080486846839684", "38M8UD4FAQ")</f>
        <v>38M8UD4FAQ</v>
      </c>
      <c r="D6622" t="s">
        <v>45</v>
      </c>
      <c r="E6622" t="s">
        <v>98</v>
      </c>
      <c r="F6622" t="s">
        <v>86</v>
      </c>
      <c r="G6622" t="s">
        <v>48</v>
      </c>
      <c r="H6622" t="s">
        <v>49</v>
      </c>
      <c r="I6622" t="s">
        <v>8964</v>
      </c>
      <c r="J6622" t="s">
        <v>11412</v>
      </c>
      <c r="K6622" t="s">
        <v>11276</v>
      </c>
      <c r="L6622" t="s">
        <v>53</v>
      </c>
      <c r="N6622" t="s">
        <v>11913</v>
      </c>
      <c r="P6622" t="s">
        <v>55</v>
      </c>
      <c r="R6622" t="s">
        <v>53</v>
      </c>
      <c r="T6622" t="s">
        <v>11914</v>
      </c>
      <c r="U6622" t="s">
        <v>55</v>
      </c>
      <c r="V6622">
        <v>1</v>
      </c>
      <c r="W6622">
        <v>1</v>
      </c>
      <c r="X6622">
        <v>2</v>
      </c>
      <c r="Y6622">
        <v>2</v>
      </c>
      <c r="Z6622">
        <v>4</v>
      </c>
      <c r="AA6622">
        <v>0</v>
      </c>
      <c r="AB6622">
        <v>0</v>
      </c>
      <c r="AC6622">
        <v>138</v>
      </c>
      <c r="AD6622">
        <v>0</v>
      </c>
      <c r="AE6622">
        <v>0</v>
      </c>
      <c r="AF6622">
        <v>0</v>
      </c>
      <c r="AG6622">
        <v>0</v>
      </c>
      <c r="AH6622">
        <v>0</v>
      </c>
      <c r="AI6622">
        <v>20.7</v>
      </c>
      <c r="AJ6622">
        <v>138</v>
      </c>
      <c r="AK6622">
        <v>138</v>
      </c>
      <c r="AL6622" t="s">
        <v>53</v>
      </c>
      <c r="AM6622" t="s">
        <v>53</v>
      </c>
      <c r="AN6622" t="s">
        <v>53</v>
      </c>
      <c r="AO6622" t="s">
        <v>53</v>
      </c>
      <c r="AP6622" t="s">
        <v>53</v>
      </c>
    </row>
    <row r="6623" spans="2:42" x14ac:dyDescent="0.2">
      <c r="B6623" t="s">
        <v>44</v>
      </c>
      <c r="C6623" t="str">
        <f>HYPERLINK("https://us2.cloudbeds.com/connect/8493803454333002#/reservations/9080486846841008?display=38NM59ZWR1&amp;reservation_id=9080486846841008", "38NM59ZWR1")</f>
        <v>38NM59ZWR1</v>
      </c>
      <c r="D6623" t="s">
        <v>45</v>
      </c>
      <c r="E6623" t="s">
        <v>406</v>
      </c>
      <c r="F6623" t="s">
        <v>61</v>
      </c>
      <c r="G6623" t="s">
        <v>48</v>
      </c>
      <c r="H6623" t="s">
        <v>49</v>
      </c>
      <c r="I6623" t="s">
        <v>50</v>
      </c>
      <c r="J6623" t="s">
        <v>10121</v>
      </c>
      <c r="K6623" t="s">
        <v>8616</v>
      </c>
      <c r="L6623" t="s">
        <v>53</v>
      </c>
      <c r="N6623" t="s">
        <v>11915</v>
      </c>
      <c r="P6623" t="s">
        <v>55</v>
      </c>
      <c r="R6623" t="s">
        <v>53</v>
      </c>
      <c r="T6623" t="s">
        <v>11916</v>
      </c>
      <c r="U6623" t="s">
        <v>58</v>
      </c>
      <c r="V6623">
        <v>1</v>
      </c>
      <c r="W6623">
        <v>1</v>
      </c>
      <c r="X6623">
        <v>2</v>
      </c>
      <c r="Y6623">
        <v>0</v>
      </c>
      <c r="Z6623">
        <v>2</v>
      </c>
      <c r="AA6623">
        <v>170.05</v>
      </c>
      <c r="AB6623">
        <v>170.05</v>
      </c>
      <c r="AC6623">
        <v>149.62</v>
      </c>
      <c r="AD6623">
        <v>0</v>
      </c>
      <c r="AE6623">
        <v>20.43</v>
      </c>
      <c r="AF6623">
        <v>0</v>
      </c>
      <c r="AG6623">
        <v>0</v>
      </c>
      <c r="AH6623">
        <v>0</v>
      </c>
      <c r="AI6623">
        <v>30.61</v>
      </c>
      <c r="AJ6623">
        <v>170.05</v>
      </c>
      <c r="AK6623">
        <v>0</v>
      </c>
      <c r="AL6623" t="s">
        <v>53</v>
      </c>
      <c r="AM6623" t="s">
        <v>53</v>
      </c>
      <c r="AN6623" t="s">
        <v>53</v>
      </c>
      <c r="AO6623" t="s">
        <v>53</v>
      </c>
      <c r="AP6623" t="s">
        <v>53</v>
      </c>
    </row>
    <row r="6624" spans="2:42" x14ac:dyDescent="0.2">
      <c r="B6624" t="s">
        <v>44</v>
      </c>
      <c r="C6624" t="str">
        <f>HYPERLINK("https://us2.cloudbeds.com/connect/8493803454333002#/reservations/151523868459147?display=38ZBS1FB8T&amp;reservation_id=151523868459147", "38ZBS1FB8T")</f>
        <v>38ZBS1FB8T</v>
      </c>
      <c r="D6624" t="s">
        <v>45</v>
      </c>
      <c r="E6624" t="s">
        <v>155</v>
      </c>
      <c r="F6624" t="s">
        <v>86</v>
      </c>
      <c r="G6624" t="s">
        <v>48</v>
      </c>
      <c r="H6624" t="s">
        <v>3957</v>
      </c>
      <c r="I6624" t="s">
        <v>3975</v>
      </c>
      <c r="J6624" t="s">
        <v>11310</v>
      </c>
      <c r="K6624" t="s">
        <v>11521</v>
      </c>
      <c r="L6624" t="s">
        <v>53</v>
      </c>
      <c r="P6624" t="s">
        <v>55</v>
      </c>
      <c r="R6624" t="s">
        <v>56</v>
      </c>
      <c r="T6624" t="s">
        <v>11917</v>
      </c>
      <c r="U6624" t="s">
        <v>58</v>
      </c>
      <c r="V6624">
        <v>2</v>
      </c>
      <c r="W6624">
        <v>1</v>
      </c>
      <c r="X6624">
        <v>1</v>
      </c>
      <c r="Y6624">
        <v>2</v>
      </c>
      <c r="Z6624">
        <v>3</v>
      </c>
      <c r="AA6624">
        <v>413.7</v>
      </c>
      <c r="AB6624">
        <v>413.7</v>
      </c>
      <c r="AC6624">
        <v>364</v>
      </c>
      <c r="AD6624">
        <v>0</v>
      </c>
      <c r="AE6624">
        <v>49.7</v>
      </c>
      <c r="AF6624">
        <v>0</v>
      </c>
      <c r="AG6624">
        <v>0</v>
      </c>
      <c r="AH6624">
        <v>0</v>
      </c>
      <c r="AI6624">
        <v>0</v>
      </c>
      <c r="AJ6624">
        <v>413.7</v>
      </c>
      <c r="AK6624">
        <v>0</v>
      </c>
      <c r="AL6624" t="s">
        <v>53</v>
      </c>
      <c r="AM6624" t="s">
        <v>53</v>
      </c>
      <c r="AN6624" t="s">
        <v>53</v>
      </c>
      <c r="AO6624" t="s">
        <v>53</v>
      </c>
      <c r="AP6624" t="s">
        <v>53</v>
      </c>
    </row>
    <row r="6625" spans="2:42" x14ac:dyDescent="0.2">
      <c r="B6625" t="s">
        <v>44</v>
      </c>
      <c r="C6625" t="str">
        <f>HYPERLINK("https://us2.cloudbeds.com/connect/8493803454333002#/reservations/151704586829963?display=38SJPQWDF1&amp;reservation_id=151704586829963", "38SJPQWDF1")</f>
        <v>38SJPQWDF1</v>
      </c>
      <c r="D6625" t="s">
        <v>45</v>
      </c>
      <c r="E6625" t="s">
        <v>69</v>
      </c>
      <c r="F6625" t="s">
        <v>70</v>
      </c>
      <c r="G6625" t="s">
        <v>48</v>
      </c>
      <c r="H6625" t="s">
        <v>3957</v>
      </c>
      <c r="I6625" t="s">
        <v>3975</v>
      </c>
      <c r="J6625" t="s">
        <v>8678</v>
      </c>
      <c r="K6625" t="s">
        <v>9687</v>
      </c>
      <c r="L6625" t="s">
        <v>53</v>
      </c>
      <c r="P6625" t="s">
        <v>55</v>
      </c>
      <c r="R6625" t="s">
        <v>56</v>
      </c>
      <c r="T6625" t="s">
        <v>11918</v>
      </c>
      <c r="U6625" t="s">
        <v>58</v>
      </c>
      <c r="V6625">
        <v>1</v>
      </c>
      <c r="W6625">
        <v>1</v>
      </c>
      <c r="X6625">
        <v>2</v>
      </c>
      <c r="Y6625">
        <v>0</v>
      </c>
      <c r="Z6625">
        <v>2</v>
      </c>
      <c r="AA6625">
        <v>252.31</v>
      </c>
      <c r="AB6625">
        <v>252.31</v>
      </c>
      <c r="AC6625">
        <v>222</v>
      </c>
      <c r="AD6625">
        <v>0</v>
      </c>
      <c r="AE6625">
        <v>30.31</v>
      </c>
      <c r="AF6625">
        <v>0</v>
      </c>
      <c r="AG6625">
        <v>0</v>
      </c>
      <c r="AH6625">
        <v>0</v>
      </c>
      <c r="AI6625">
        <v>0</v>
      </c>
      <c r="AJ6625">
        <v>252.31</v>
      </c>
      <c r="AK6625">
        <v>0</v>
      </c>
      <c r="AL6625" t="s">
        <v>53</v>
      </c>
      <c r="AM6625" t="s">
        <v>53</v>
      </c>
      <c r="AN6625" t="s">
        <v>53</v>
      </c>
      <c r="AO6625" t="s">
        <v>53</v>
      </c>
      <c r="AP6625" t="s">
        <v>53</v>
      </c>
    </row>
    <row r="6626" spans="2:42" x14ac:dyDescent="0.2">
      <c r="B6626" t="s">
        <v>44</v>
      </c>
      <c r="C6626" t="str">
        <f>HYPERLINK("https://us2.cloudbeds.com/connect/8493803454333002#/reservations/151831902879975?display=38VJC185RK&amp;reservation_id=151831902879975", "38VJC185RK")</f>
        <v>38VJC185RK</v>
      </c>
      <c r="D6626" t="s">
        <v>45</v>
      </c>
      <c r="E6626" t="s">
        <v>105</v>
      </c>
      <c r="F6626" t="s">
        <v>47</v>
      </c>
      <c r="G6626" t="s">
        <v>48</v>
      </c>
      <c r="H6626" t="s">
        <v>3957</v>
      </c>
      <c r="I6626" t="s">
        <v>3975</v>
      </c>
      <c r="J6626" t="s">
        <v>6345</v>
      </c>
      <c r="K6626" t="s">
        <v>8678</v>
      </c>
      <c r="L6626" t="s">
        <v>53</v>
      </c>
      <c r="P6626" t="s">
        <v>55</v>
      </c>
      <c r="R6626" t="s">
        <v>56</v>
      </c>
      <c r="T6626" t="s">
        <v>11919</v>
      </c>
      <c r="U6626" t="s">
        <v>58</v>
      </c>
      <c r="V6626">
        <v>1</v>
      </c>
      <c r="W6626">
        <v>1</v>
      </c>
      <c r="X6626">
        <v>1</v>
      </c>
      <c r="Y6626">
        <v>0</v>
      </c>
      <c r="Z6626">
        <v>1</v>
      </c>
      <c r="AA6626">
        <v>271.63</v>
      </c>
      <c r="AB6626">
        <v>271.63</v>
      </c>
      <c r="AC6626">
        <v>239</v>
      </c>
      <c r="AD6626">
        <v>0</v>
      </c>
      <c r="AE6626">
        <v>32.630000000000003</v>
      </c>
      <c r="AF6626">
        <v>0</v>
      </c>
      <c r="AG6626">
        <v>0</v>
      </c>
      <c r="AH6626">
        <v>0</v>
      </c>
      <c r="AI6626">
        <v>0</v>
      </c>
      <c r="AJ6626">
        <v>271.63</v>
      </c>
      <c r="AK6626">
        <v>0</v>
      </c>
      <c r="AL6626" t="s">
        <v>53</v>
      </c>
      <c r="AM6626" t="s">
        <v>53</v>
      </c>
      <c r="AN6626" t="s">
        <v>53</v>
      </c>
      <c r="AO6626" t="s">
        <v>53</v>
      </c>
      <c r="AP6626" t="s">
        <v>53</v>
      </c>
    </row>
    <row r="6627" spans="2:42" x14ac:dyDescent="0.2">
      <c r="B6627" t="s">
        <v>44</v>
      </c>
      <c r="C6627" t="str">
        <f>HYPERLINK("https://us2.cloudbeds.com/connect/8493803454333002#/reservations/9080486846848583?display=38WHSGEY0E&amp;reservation_id=9080486846848583", "38WHSGEY0E")</f>
        <v>38WHSGEY0E</v>
      </c>
      <c r="D6627" t="s">
        <v>45</v>
      </c>
      <c r="E6627" t="s">
        <v>128</v>
      </c>
      <c r="F6627" t="s">
        <v>86</v>
      </c>
      <c r="G6627" t="s">
        <v>48</v>
      </c>
      <c r="H6627" t="s">
        <v>49</v>
      </c>
      <c r="I6627" t="s">
        <v>50</v>
      </c>
      <c r="J6627" t="s">
        <v>6345</v>
      </c>
      <c r="K6627" t="s">
        <v>8678</v>
      </c>
      <c r="L6627" t="s">
        <v>53</v>
      </c>
      <c r="N6627" t="s">
        <v>11920</v>
      </c>
      <c r="P6627" t="s">
        <v>55</v>
      </c>
      <c r="R6627" t="s">
        <v>53</v>
      </c>
      <c r="T6627" t="s">
        <v>11921</v>
      </c>
      <c r="U6627" t="s">
        <v>58</v>
      </c>
      <c r="V6627">
        <v>1</v>
      </c>
      <c r="W6627">
        <v>1</v>
      </c>
      <c r="X6627">
        <v>2</v>
      </c>
      <c r="Y6627">
        <v>0</v>
      </c>
      <c r="Z6627">
        <v>2</v>
      </c>
      <c r="AA6627">
        <v>325.27</v>
      </c>
      <c r="AB6627">
        <v>325.27</v>
      </c>
      <c r="AC6627">
        <v>286.2</v>
      </c>
      <c r="AD6627">
        <v>0</v>
      </c>
      <c r="AE6627">
        <v>39.07</v>
      </c>
      <c r="AF6627">
        <v>0</v>
      </c>
      <c r="AG6627">
        <v>0</v>
      </c>
      <c r="AH6627">
        <v>0</v>
      </c>
      <c r="AI6627">
        <v>58.55</v>
      </c>
      <c r="AJ6627">
        <v>325.27</v>
      </c>
      <c r="AK6627">
        <v>0</v>
      </c>
      <c r="AL6627" t="s">
        <v>53</v>
      </c>
      <c r="AM6627" t="s">
        <v>53</v>
      </c>
      <c r="AN6627" t="s">
        <v>53</v>
      </c>
      <c r="AO6627" t="s">
        <v>53</v>
      </c>
      <c r="AP6627" t="s">
        <v>53</v>
      </c>
    </row>
    <row r="6628" spans="2:42" x14ac:dyDescent="0.2">
      <c r="B6628" t="s">
        <v>44</v>
      </c>
      <c r="C6628" t="str">
        <f>HYPERLINK("https://us2.cloudbeds.com/connect/8493803454333002#/reservations/9080486846851905?display=3944YFQVZM&amp;reservation_id=9080486846851905", "3944YFQVZM")</f>
        <v>3944YFQVZM</v>
      </c>
      <c r="D6628" t="s">
        <v>45</v>
      </c>
      <c r="E6628" t="s">
        <v>46</v>
      </c>
      <c r="F6628" t="s">
        <v>47</v>
      </c>
      <c r="G6628" t="s">
        <v>48</v>
      </c>
      <c r="H6628" t="s">
        <v>49</v>
      </c>
      <c r="I6628" t="s">
        <v>50</v>
      </c>
      <c r="J6628" t="s">
        <v>6832</v>
      </c>
      <c r="K6628" t="s">
        <v>8615</v>
      </c>
      <c r="L6628" t="s">
        <v>53</v>
      </c>
      <c r="N6628" t="s">
        <v>11922</v>
      </c>
      <c r="P6628" t="s">
        <v>55</v>
      </c>
      <c r="R6628" t="s">
        <v>53</v>
      </c>
      <c r="T6628" t="s">
        <v>11923</v>
      </c>
      <c r="U6628" t="s">
        <v>58</v>
      </c>
      <c r="V6628">
        <v>1</v>
      </c>
      <c r="W6628">
        <v>1</v>
      </c>
      <c r="X6628">
        <v>2</v>
      </c>
      <c r="Y6628">
        <v>0</v>
      </c>
      <c r="Z6628">
        <v>2</v>
      </c>
      <c r="AA6628">
        <v>170.02</v>
      </c>
      <c r="AB6628">
        <v>170.02</v>
      </c>
      <c r="AC6628">
        <v>149.6</v>
      </c>
      <c r="AD6628">
        <v>0</v>
      </c>
      <c r="AE6628">
        <v>20.420000000000002</v>
      </c>
      <c r="AF6628">
        <v>0</v>
      </c>
      <c r="AG6628">
        <v>0</v>
      </c>
      <c r="AH6628">
        <v>0</v>
      </c>
      <c r="AI6628">
        <v>30.6</v>
      </c>
      <c r="AJ6628">
        <v>170.02</v>
      </c>
      <c r="AK6628">
        <v>0</v>
      </c>
      <c r="AL6628" t="s">
        <v>53</v>
      </c>
      <c r="AM6628" t="s">
        <v>53</v>
      </c>
      <c r="AN6628" t="s">
        <v>53</v>
      </c>
      <c r="AO6628" t="s">
        <v>53</v>
      </c>
      <c r="AP6628" t="s">
        <v>53</v>
      </c>
    </row>
    <row r="6629" spans="2:42" x14ac:dyDescent="0.2">
      <c r="B6629" t="s">
        <v>44</v>
      </c>
      <c r="C6629" t="str">
        <f>HYPERLINK("https://us2.cloudbeds.com/connect/8493803454333002#/reservations/9080486846853383?display=395K519WDE&amp;reservation_id=9080486846853383", "395K519WDE")</f>
        <v>395K519WDE</v>
      </c>
      <c r="D6629" t="s">
        <v>45</v>
      </c>
      <c r="E6629" t="s">
        <v>105</v>
      </c>
      <c r="F6629" t="s">
        <v>47</v>
      </c>
      <c r="G6629" t="s">
        <v>48</v>
      </c>
      <c r="H6629" t="s">
        <v>49</v>
      </c>
      <c r="I6629" t="s">
        <v>50</v>
      </c>
      <c r="J6629" t="s">
        <v>8678</v>
      </c>
      <c r="K6629" t="s">
        <v>9687</v>
      </c>
      <c r="L6629" t="s">
        <v>53</v>
      </c>
      <c r="N6629" t="s">
        <v>11924</v>
      </c>
      <c r="P6629" t="s">
        <v>55</v>
      </c>
      <c r="R6629" t="s">
        <v>53</v>
      </c>
      <c r="T6629" t="s">
        <v>11925</v>
      </c>
      <c r="U6629" t="s">
        <v>58</v>
      </c>
      <c r="V6629">
        <v>1</v>
      </c>
      <c r="W6629">
        <v>1</v>
      </c>
      <c r="X6629">
        <v>2</v>
      </c>
      <c r="Y6629">
        <v>0</v>
      </c>
      <c r="Z6629">
        <v>2</v>
      </c>
      <c r="AA6629">
        <v>287.42</v>
      </c>
      <c r="AB6629">
        <v>287.42</v>
      </c>
      <c r="AC6629">
        <v>252.9</v>
      </c>
      <c r="AD6629">
        <v>0</v>
      </c>
      <c r="AE6629">
        <v>34.520000000000003</v>
      </c>
      <c r="AF6629">
        <v>0</v>
      </c>
      <c r="AG6629">
        <v>0</v>
      </c>
      <c r="AH6629">
        <v>0</v>
      </c>
      <c r="AI6629">
        <v>51.74</v>
      </c>
      <c r="AJ6629">
        <v>287.42</v>
      </c>
      <c r="AK6629">
        <v>0</v>
      </c>
      <c r="AL6629" t="s">
        <v>53</v>
      </c>
      <c r="AM6629" t="s">
        <v>53</v>
      </c>
      <c r="AN6629" t="s">
        <v>53</v>
      </c>
      <c r="AO6629" t="s">
        <v>53</v>
      </c>
      <c r="AP6629" t="s">
        <v>53</v>
      </c>
    </row>
    <row r="6630" spans="2:42" x14ac:dyDescent="0.2">
      <c r="B6630" t="s">
        <v>44</v>
      </c>
      <c r="C6630" t="str">
        <f>HYPERLINK("https://us2.cloudbeds.com/connect/8493803454333002#/reservations/9080486846853631?display=395RWD72E8&amp;reservation_id=9080486846853631", "395RWD72E8")</f>
        <v>395RWD72E8</v>
      </c>
      <c r="D6630" t="s">
        <v>45</v>
      </c>
      <c r="E6630" t="s">
        <v>305</v>
      </c>
      <c r="F6630" t="s">
        <v>61</v>
      </c>
      <c r="G6630" t="s">
        <v>48</v>
      </c>
      <c r="H6630" t="s">
        <v>49</v>
      </c>
      <c r="I6630" t="s">
        <v>50</v>
      </c>
      <c r="J6630" t="s">
        <v>11381</v>
      </c>
      <c r="K6630" t="s">
        <v>11926</v>
      </c>
      <c r="L6630" t="s">
        <v>53</v>
      </c>
      <c r="N6630" t="s">
        <v>11927</v>
      </c>
      <c r="P6630" t="s">
        <v>55</v>
      </c>
      <c r="R6630" t="s">
        <v>53</v>
      </c>
      <c r="T6630" t="s">
        <v>11928</v>
      </c>
      <c r="U6630" t="s">
        <v>58</v>
      </c>
      <c r="V6630">
        <v>2</v>
      </c>
      <c r="W6630">
        <v>1</v>
      </c>
      <c r="X6630">
        <v>2</v>
      </c>
      <c r="Y6630">
        <v>0</v>
      </c>
      <c r="Z6630">
        <v>2</v>
      </c>
      <c r="AA6630">
        <v>264.29000000000002</v>
      </c>
      <c r="AB6630">
        <v>264.29000000000002</v>
      </c>
      <c r="AC6630">
        <v>232.55</v>
      </c>
      <c r="AD6630">
        <v>0</v>
      </c>
      <c r="AE6630">
        <v>31.74</v>
      </c>
      <c r="AF6630">
        <v>0</v>
      </c>
      <c r="AG6630">
        <v>0</v>
      </c>
      <c r="AH6630">
        <v>0</v>
      </c>
      <c r="AI6630">
        <v>47.57</v>
      </c>
      <c r="AJ6630">
        <v>264.29000000000002</v>
      </c>
      <c r="AK6630">
        <v>0</v>
      </c>
      <c r="AL6630" t="s">
        <v>53</v>
      </c>
      <c r="AM6630" t="s">
        <v>53</v>
      </c>
      <c r="AN6630" t="s">
        <v>53</v>
      </c>
      <c r="AO6630" t="s">
        <v>53</v>
      </c>
      <c r="AP6630" t="s">
        <v>53</v>
      </c>
    </row>
    <row r="6631" spans="2:42" x14ac:dyDescent="0.2">
      <c r="B6631" t="s">
        <v>44</v>
      </c>
      <c r="C6631" t="str">
        <f>HYPERLINK("https://us2.cloudbeds.com/connect/8493803454333002#/reservations/152204971155699?display=397B7Q9TDW&amp;reservation_id=152204971155699", "397B7Q9TDW")</f>
        <v>397B7Q9TDW</v>
      </c>
      <c r="D6631" t="s">
        <v>45</v>
      </c>
      <c r="E6631" t="s">
        <v>78</v>
      </c>
      <c r="F6631" t="s">
        <v>61</v>
      </c>
      <c r="G6631" t="s">
        <v>4520</v>
      </c>
      <c r="H6631" t="s">
        <v>3957</v>
      </c>
      <c r="I6631" t="s">
        <v>3958</v>
      </c>
      <c r="J6631" t="s">
        <v>8678</v>
      </c>
      <c r="K6631" t="s">
        <v>9687</v>
      </c>
      <c r="L6631" t="s">
        <v>53</v>
      </c>
      <c r="P6631" t="s">
        <v>55</v>
      </c>
      <c r="R6631" t="s">
        <v>56</v>
      </c>
      <c r="T6631" t="s">
        <v>11929</v>
      </c>
      <c r="U6631" t="s">
        <v>58</v>
      </c>
      <c r="V6631">
        <v>1</v>
      </c>
      <c r="W6631">
        <v>1</v>
      </c>
      <c r="X6631">
        <v>1</v>
      </c>
      <c r="Y6631">
        <v>0</v>
      </c>
      <c r="Z6631">
        <v>1</v>
      </c>
      <c r="AA6631">
        <v>358.01</v>
      </c>
      <c r="AB6631">
        <v>358.01</v>
      </c>
      <c r="AC6631">
        <v>315</v>
      </c>
      <c r="AD6631">
        <v>0</v>
      </c>
      <c r="AE6631">
        <v>43.01</v>
      </c>
      <c r="AF6631">
        <v>0</v>
      </c>
      <c r="AG6631">
        <v>0</v>
      </c>
      <c r="AH6631">
        <v>0</v>
      </c>
      <c r="AI6631">
        <v>0</v>
      </c>
      <c r="AJ6631">
        <v>358.01</v>
      </c>
      <c r="AK6631">
        <v>0</v>
      </c>
      <c r="AL6631" t="s">
        <v>53</v>
      </c>
      <c r="AM6631" t="s">
        <v>53</v>
      </c>
      <c r="AN6631" t="s">
        <v>53</v>
      </c>
      <c r="AO6631" t="s">
        <v>53</v>
      </c>
      <c r="AP6631" t="s">
        <v>53</v>
      </c>
    </row>
    <row r="6632" spans="2:42" x14ac:dyDescent="0.2">
      <c r="B6632" t="s">
        <v>44</v>
      </c>
      <c r="C6632" t="str">
        <f>HYPERLINK("https://us2.cloudbeds.com/connect/8493803454333002#/reservations/9080486846854900?display=397GETA2H5&amp;reservation_id=9080486846854900", "397GETA2H5")</f>
        <v>397GETA2H5</v>
      </c>
      <c r="D6632" t="s">
        <v>45</v>
      </c>
      <c r="E6632" t="s">
        <v>185</v>
      </c>
      <c r="F6632" t="s">
        <v>47</v>
      </c>
      <c r="G6632" t="s">
        <v>48</v>
      </c>
      <c r="H6632" t="s">
        <v>49</v>
      </c>
      <c r="I6632" t="s">
        <v>50</v>
      </c>
      <c r="J6632" t="s">
        <v>6379</v>
      </c>
      <c r="K6632" t="s">
        <v>8616</v>
      </c>
      <c r="L6632" t="s">
        <v>53</v>
      </c>
      <c r="N6632" t="s">
        <v>11930</v>
      </c>
      <c r="P6632" t="s">
        <v>55</v>
      </c>
      <c r="R6632" t="s">
        <v>53</v>
      </c>
      <c r="T6632" t="s">
        <v>11931</v>
      </c>
      <c r="U6632" t="s">
        <v>58</v>
      </c>
      <c r="V6632">
        <v>2</v>
      </c>
      <c r="W6632">
        <v>1</v>
      </c>
      <c r="X6632">
        <v>2</v>
      </c>
      <c r="Y6632">
        <v>0</v>
      </c>
      <c r="Z6632">
        <v>2</v>
      </c>
      <c r="AA6632">
        <v>350.95</v>
      </c>
      <c r="AB6632">
        <v>350.95</v>
      </c>
      <c r="AC6632">
        <v>308.8</v>
      </c>
      <c r="AD6632">
        <v>0</v>
      </c>
      <c r="AE6632">
        <v>42.15</v>
      </c>
      <c r="AF6632">
        <v>0</v>
      </c>
      <c r="AG6632">
        <v>0</v>
      </c>
      <c r="AH6632">
        <v>0</v>
      </c>
      <c r="AI6632">
        <v>63.17</v>
      </c>
      <c r="AJ6632">
        <v>350.95</v>
      </c>
      <c r="AK6632">
        <v>0</v>
      </c>
      <c r="AL6632" t="s">
        <v>53</v>
      </c>
      <c r="AM6632" t="s">
        <v>53</v>
      </c>
      <c r="AN6632" t="s">
        <v>53</v>
      </c>
      <c r="AO6632" t="s">
        <v>53</v>
      </c>
      <c r="AP6632" t="s">
        <v>53</v>
      </c>
    </row>
    <row r="6633" spans="2:42" x14ac:dyDescent="0.2">
      <c r="B6633" t="s">
        <v>44</v>
      </c>
      <c r="C6633" t="str">
        <f>HYPERLINK("https://us2.cloudbeds.com/connect/8493803454333002#/reservations/152244550844644?display=3988T4V2MF&amp;reservation_id=152244550844644", "3988T4V2MF")</f>
        <v>3988T4V2MF</v>
      </c>
      <c r="D6633" t="s">
        <v>45</v>
      </c>
      <c r="E6633" t="s">
        <v>69</v>
      </c>
      <c r="F6633" t="s">
        <v>70</v>
      </c>
      <c r="G6633" t="s">
        <v>48</v>
      </c>
      <c r="H6633" t="s">
        <v>3957</v>
      </c>
      <c r="I6633" t="s">
        <v>3975</v>
      </c>
      <c r="J6633" t="s">
        <v>9687</v>
      </c>
      <c r="K6633" t="s">
        <v>9688</v>
      </c>
      <c r="L6633" t="s">
        <v>53</v>
      </c>
      <c r="P6633" t="s">
        <v>55</v>
      </c>
      <c r="R6633" t="s">
        <v>56</v>
      </c>
      <c r="T6633" t="s">
        <v>11932</v>
      </c>
      <c r="U6633" t="s">
        <v>58</v>
      </c>
      <c r="V6633">
        <v>1</v>
      </c>
      <c r="W6633">
        <v>1</v>
      </c>
      <c r="X6633">
        <v>2</v>
      </c>
      <c r="Y6633">
        <v>0</v>
      </c>
      <c r="Z6633">
        <v>2</v>
      </c>
      <c r="AA6633">
        <v>248.9</v>
      </c>
      <c r="AB6633">
        <v>248.9</v>
      </c>
      <c r="AC6633">
        <v>219</v>
      </c>
      <c r="AD6633">
        <v>0</v>
      </c>
      <c r="AE6633">
        <v>29.9</v>
      </c>
      <c r="AF6633">
        <v>0</v>
      </c>
      <c r="AG6633">
        <v>0</v>
      </c>
      <c r="AH6633">
        <v>0</v>
      </c>
      <c r="AI6633">
        <v>0</v>
      </c>
      <c r="AJ6633">
        <v>248.9</v>
      </c>
      <c r="AK6633">
        <v>0</v>
      </c>
      <c r="AL6633" t="s">
        <v>53</v>
      </c>
      <c r="AM6633" t="s">
        <v>53</v>
      </c>
      <c r="AN6633" t="s">
        <v>53</v>
      </c>
      <c r="AO6633" t="s">
        <v>53</v>
      </c>
      <c r="AP6633" t="s">
        <v>53</v>
      </c>
    </row>
    <row r="6634" spans="2:42" x14ac:dyDescent="0.2">
      <c r="B6634" t="s">
        <v>44</v>
      </c>
      <c r="C6634" t="str">
        <f>HYPERLINK("https://us2.cloudbeds.com/connect/8493803454333002#/reservations/152251508588788?display=398E8UTXP3&amp;reservation_id=152251508588788", "398E8UTXP3")</f>
        <v>398E8UTXP3</v>
      </c>
      <c r="D6634" t="s">
        <v>45</v>
      </c>
      <c r="E6634" t="s">
        <v>179</v>
      </c>
      <c r="F6634" t="s">
        <v>47</v>
      </c>
      <c r="G6634" t="s">
        <v>4520</v>
      </c>
      <c r="H6634" t="s">
        <v>3957</v>
      </c>
      <c r="I6634" t="s">
        <v>3958</v>
      </c>
      <c r="J6634" t="s">
        <v>9687</v>
      </c>
      <c r="K6634" t="s">
        <v>9688</v>
      </c>
      <c r="L6634" t="s">
        <v>53</v>
      </c>
      <c r="P6634" t="s">
        <v>55</v>
      </c>
      <c r="R6634" t="s">
        <v>56</v>
      </c>
      <c r="T6634" t="s">
        <v>11933</v>
      </c>
      <c r="U6634" t="s">
        <v>58</v>
      </c>
      <c r="V6634">
        <v>1</v>
      </c>
      <c r="W6634">
        <v>1</v>
      </c>
      <c r="X6634">
        <v>1</v>
      </c>
      <c r="Y6634">
        <v>0</v>
      </c>
      <c r="Z6634">
        <v>1</v>
      </c>
      <c r="AA6634">
        <v>235.26</v>
      </c>
      <c r="AB6634">
        <v>235.26</v>
      </c>
      <c r="AC6634">
        <v>207</v>
      </c>
      <c r="AD6634">
        <v>0</v>
      </c>
      <c r="AE6634">
        <v>28.26</v>
      </c>
      <c r="AF6634">
        <v>0</v>
      </c>
      <c r="AG6634">
        <v>0</v>
      </c>
      <c r="AH6634">
        <v>0</v>
      </c>
      <c r="AI6634">
        <v>0</v>
      </c>
      <c r="AJ6634">
        <v>235.26</v>
      </c>
      <c r="AK6634">
        <v>0</v>
      </c>
      <c r="AL6634" t="s">
        <v>53</v>
      </c>
      <c r="AM6634" t="s">
        <v>53</v>
      </c>
      <c r="AN6634" t="s">
        <v>53</v>
      </c>
      <c r="AO6634" t="s">
        <v>53</v>
      </c>
      <c r="AP6634" t="s">
        <v>53</v>
      </c>
    </row>
    <row r="6635" spans="2:42" x14ac:dyDescent="0.2">
      <c r="B6635" t="s">
        <v>44</v>
      </c>
      <c r="C6635" t="str">
        <f>HYPERLINK("https://us2.cloudbeds.com/connect/8493803454333002#/reservations/152415926976642?display=39C9J6RJ5K&amp;reservation_id=152415926976642", "39C9J6RJ5K")</f>
        <v>39C9J6RJ5K</v>
      </c>
      <c r="D6635" t="s">
        <v>45</v>
      </c>
      <c r="E6635" t="s">
        <v>155</v>
      </c>
      <c r="F6635" t="s">
        <v>86</v>
      </c>
      <c r="G6635" t="s">
        <v>5966</v>
      </c>
      <c r="H6635" t="s">
        <v>3957</v>
      </c>
      <c r="I6635" t="s">
        <v>3958</v>
      </c>
      <c r="J6635" t="s">
        <v>9687</v>
      </c>
      <c r="K6635" t="s">
        <v>9688</v>
      </c>
      <c r="L6635" t="s">
        <v>53</v>
      </c>
      <c r="P6635" t="s">
        <v>55</v>
      </c>
      <c r="R6635" t="s">
        <v>56</v>
      </c>
      <c r="T6635" t="s">
        <v>11934</v>
      </c>
      <c r="U6635" t="s">
        <v>58</v>
      </c>
      <c r="V6635">
        <v>1</v>
      </c>
      <c r="W6635">
        <v>1</v>
      </c>
      <c r="X6635">
        <v>1</v>
      </c>
      <c r="Y6635">
        <v>0</v>
      </c>
      <c r="Z6635">
        <v>1</v>
      </c>
      <c r="AA6635">
        <v>142.07</v>
      </c>
      <c r="AB6635">
        <v>142.07</v>
      </c>
      <c r="AC6635">
        <v>125</v>
      </c>
      <c r="AD6635">
        <v>0</v>
      </c>
      <c r="AE6635">
        <v>17.07</v>
      </c>
      <c r="AF6635">
        <v>0</v>
      </c>
      <c r="AG6635">
        <v>0</v>
      </c>
      <c r="AH6635">
        <v>0</v>
      </c>
      <c r="AI6635">
        <v>0</v>
      </c>
      <c r="AJ6635">
        <v>142.07</v>
      </c>
      <c r="AK6635">
        <v>0</v>
      </c>
      <c r="AL6635" t="s">
        <v>53</v>
      </c>
      <c r="AM6635" t="s">
        <v>53</v>
      </c>
      <c r="AN6635" t="s">
        <v>53</v>
      </c>
      <c r="AO6635" t="s">
        <v>53</v>
      </c>
      <c r="AP6635" t="s">
        <v>53</v>
      </c>
    </row>
    <row r="6636" spans="2:42" x14ac:dyDescent="0.2">
      <c r="B6636" t="s">
        <v>44</v>
      </c>
      <c r="C6636" t="str">
        <f>HYPERLINK("https://us2.cloudbeds.com/connect/8493803454333002#/reservations/9080486846858037?display=39CBHHKN4M&amp;reservation_id=9080486846858037", "39CBHHKN4M")</f>
        <v>39CBHHKN4M</v>
      </c>
      <c r="D6636" t="s">
        <v>45</v>
      </c>
      <c r="E6636" t="s">
        <v>46</v>
      </c>
      <c r="F6636" t="s">
        <v>47</v>
      </c>
      <c r="G6636" t="s">
        <v>48</v>
      </c>
      <c r="H6636" t="s">
        <v>49</v>
      </c>
      <c r="I6636" t="s">
        <v>62</v>
      </c>
      <c r="J6636" t="s">
        <v>9688</v>
      </c>
      <c r="K6636" t="s">
        <v>6832</v>
      </c>
      <c r="L6636" t="s">
        <v>53</v>
      </c>
      <c r="N6636" t="s">
        <v>11935</v>
      </c>
      <c r="P6636" t="s">
        <v>55</v>
      </c>
      <c r="R6636" t="s">
        <v>56</v>
      </c>
      <c r="T6636" t="s">
        <v>11936</v>
      </c>
      <c r="U6636" t="s">
        <v>55</v>
      </c>
      <c r="V6636">
        <v>1</v>
      </c>
      <c r="W6636">
        <v>1</v>
      </c>
      <c r="X6636">
        <v>2</v>
      </c>
      <c r="Y6636">
        <v>0</v>
      </c>
      <c r="Z6636">
        <v>2</v>
      </c>
      <c r="AA6636">
        <v>117</v>
      </c>
      <c r="AB6636">
        <v>117</v>
      </c>
      <c r="AC6636">
        <v>117</v>
      </c>
      <c r="AD6636">
        <v>0</v>
      </c>
      <c r="AE6636">
        <v>0</v>
      </c>
      <c r="AF6636">
        <v>0</v>
      </c>
      <c r="AG6636">
        <v>0</v>
      </c>
      <c r="AH6636">
        <v>0</v>
      </c>
      <c r="AI6636">
        <v>21.06</v>
      </c>
      <c r="AJ6636">
        <v>117</v>
      </c>
      <c r="AK6636">
        <v>0</v>
      </c>
      <c r="AL6636" t="s">
        <v>53</v>
      </c>
      <c r="AM6636" t="s">
        <v>53</v>
      </c>
      <c r="AN6636" t="s">
        <v>53</v>
      </c>
      <c r="AO6636" t="s">
        <v>53</v>
      </c>
      <c r="AP6636" t="s">
        <v>53</v>
      </c>
    </row>
    <row r="6637" spans="2:42" x14ac:dyDescent="0.2">
      <c r="B6637" t="s">
        <v>44</v>
      </c>
      <c r="C6637" t="str">
        <f>HYPERLINK("https://us2.cloudbeds.com/connect/8493803454333002#/reservations/9080486846858497?display=39CQD4CS3Q&amp;reservation_id=9080486846858497", "39CQD4CS3Q")</f>
        <v>39CQD4CS3Q</v>
      </c>
      <c r="D6637" t="s">
        <v>45</v>
      </c>
      <c r="E6637" t="s">
        <v>185</v>
      </c>
      <c r="F6637" t="s">
        <v>47</v>
      </c>
      <c r="G6637" t="s">
        <v>48</v>
      </c>
      <c r="H6637" t="s">
        <v>49</v>
      </c>
      <c r="I6637" t="s">
        <v>62</v>
      </c>
      <c r="J6637" t="s">
        <v>9687</v>
      </c>
      <c r="K6637" t="s">
        <v>9688</v>
      </c>
      <c r="L6637" t="s">
        <v>53</v>
      </c>
      <c r="N6637" t="s">
        <v>11937</v>
      </c>
      <c r="P6637" t="s">
        <v>55</v>
      </c>
      <c r="R6637" t="s">
        <v>56</v>
      </c>
      <c r="T6637" t="s">
        <v>11938</v>
      </c>
      <c r="U6637" t="s">
        <v>55</v>
      </c>
      <c r="V6637">
        <v>1</v>
      </c>
      <c r="W6637">
        <v>1</v>
      </c>
      <c r="X6637">
        <v>2</v>
      </c>
      <c r="Y6637">
        <v>0</v>
      </c>
      <c r="Z6637">
        <v>2</v>
      </c>
      <c r="AA6637">
        <v>230</v>
      </c>
      <c r="AB6637">
        <v>230</v>
      </c>
      <c r="AC6637">
        <v>230</v>
      </c>
      <c r="AD6637">
        <v>0</v>
      </c>
      <c r="AE6637">
        <v>0</v>
      </c>
      <c r="AF6637">
        <v>0</v>
      </c>
      <c r="AG6637">
        <v>0</v>
      </c>
      <c r="AH6637">
        <v>0</v>
      </c>
      <c r="AI6637">
        <v>41.4</v>
      </c>
      <c r="AJ6637">
        <v>230</v>
      </c>
      <c r="AK6637">
        <v>0</v>
      </c>
      <c r="AL6637" t="s">
        <v>53</v>
      </c>
      <c r="AM6637" t="s">
        <v>53</v>
      </c>
      <c r="AN6637" t="s">
        <v>53</v>
      </c>
      <c r="AO6637" t="s">
        <v>53</v>
      </c>
      <c r="AP6637" t="s">
        <v>53</v>
      </c>
    </row>
    <row r="6638" spans="2:42" x14ac:dyDescent="0.2">
      <c r="B6638" t="s">
        <v>44</v>
      </c>
      <c r="C6638" t="str">
        <f>HYPERLINK("https://us2.cloudbeds.com/connect/8493803454333002#/reservations/9080486846858767?display=39D28H9RPF&amp;reservation_id=9080486846858767", "39D28H9RPF")</f>
        <v>39D28H9RPF</v>
      </c>
      <c r="D6638" t="s">
        <v>45</v>
      </c>
      <c r="E6638" t="s">
        <v>373</v>
      </c>
      <c r="F6638" t="s">
        <v>47</v>
      </c>
      <c r="G6638" t="s">
        <v>48</v>
      </c>
      <c r="H6638" t="s">
        <v>49</v>
      </c>
      <c r="I6638" t="s">
        <v>62</v>
      </c>
      <c r="J6638" t="s">
        <v>9687</v>
      </c>
      <c r="K6638" t="s">
        <v>9688</v>
      </c>
      <c r="L6638" t="s">
        <v>53</v>
      </c>
      <c r="N6638" t="s">
        <v>11939</v>
      </c>
      <c r="P6638" t="s">
        <v>55</v>
      </c>
      <c r="R6638" t="s">
        <v>6556</v>
      </c>
      <c r="T6638" t="s">
        <v>11940</v>
      </c>
      <c r="U6638" t="s">
        <v>55</v>
      </c>
      <c r="V6638">
        <v>1</v>
      </c>
      <c r="W6638">
        <v>1</v>
      </c>
      <c r="X6638">
        <v>1</v>
      </c>
      <c r="Y6638">
        <v>0</v>
      </c>
      <c r="Z6638">
        <v>1</v>
      </c>
      <c r="AA6638">
        <v>230</v>
      </c>
      <c r="AB6638">
        <v>230</v>
      </c>
      <c r="AC6638">
        <v>230</v>
      </c>
      <c r="AD6638">
        <v>0</v>
      </c>
      <c r="AE6638">
        <v>0</v>
      </c>
      <c r="AF6638">
        <v>0</v>
      </c>
      <c r="AG6638">
        <v>0</v>
      </c>
      <c r="AH6638">
        <v>0</v>
      </c>
      <c r="AI6638">
        <v>41.4</v>
      </c>
      <c r="AJ6638">
        <v>230</v>
      </c>
      <c r="AK6638">
        <v>0</v>
      </c>
      <c r="AL6638" t="s">
        <v>53</v>
      </c>
      <c r="AM6638" t="s">
        <v>53</v>
      </c>
      <c r="AN6638" t="s">
        <v>53</v>
      </c>
      <c r="AO6638" t="s">
        <v>53</v>
      </c>
      <c r="AP6638" t="s">
        <v>53</v>
      </c>
    </row>
    <row r="6639" spans="2:42" x14ac:dyDescent="0.2">
      <c r="B6639" t="s">
        <v>44</v>
      </c>
      <c r="C6639" t="str">
        <f>HYPERLINK("https://us2.cloudbeds.com/connect/8493803454333002#/reservations/9080486846859029?display=39DBHFSA7U&amp;reservation_id=9080486846859029", "39DBHFSA7U")</f>
        <v>39DBHFSA7U</v>
      </c>
      <c r="D6639" t="s">
        <v>45</v>
      </c>
      <c r="E6639" t="s">
        <v>78</v>
      </c>
      <c r="F6639" t="s">
        <v>61</v>
      </c>
      <c r="G6639" t="s">
        <v>48</v>
      </c>
      <c r="H6639" t="s">
        <v>49</v>
      </c>
      <c r="I6639" t="s">
        <v>50</v>
      </c>
      <c r="J6639" t="s">
        <v>9687</v>
      </c>
      <c r="K6639" t="s">
        <v>9688</v>
      </c>
      <c r="L6639" t="s">
        <v>53</v>
      </c>
      <c r="N6639" t="s">
        <v>11941</v>
      </c>
      <c r="P6639" t="s">
        <v>55</v>
      </c>
      <c r="R6639" t="s">
        <v>53</v>
      </c>
      <c r="T6639" t="s">
        <v>11942</v>
      </c>
      <c r="U6639" t="s">
        <v>58</v>
      </c>
      <c r="V6639">
        <v>1</v>
      </c>
      <c r="W6639">
        <v>1</v>
      </c>
      <c r="X6639">
        <v>1</v>
      </c>
      <c r="Y6639">
        <v>0</v>
      </c>
      <c r="Z6639">
        <v>1</v>
      </c>
      <c r="AA6639">
        <v>250.94</v>
      </c>
      <c r="AB6639">
        <v>250.94</v>
      </c>
      <c r="AC6639">
        <v>220.8</v>
      </c>
      <c r="AD6639">
        <v>0</v>
      </c>
      <c r="AE6639">
        <v>30.14</v>
      </c>
      <c r="AF6639">
        <v>0</v>
      </c>
      <c r="AG6639">
        <v>0</v>
      </c>
      <c r="AH6639">
        <v>0</v>
      </c>
      <c r="AI6639">
        <v>45.17</v>
      </c>
      <c r="AJ6639">
        <v>250.94</v>
      </c>
      <c r="AK6639">
        <v>0</v>
      </c>
      <c r="AL6639" t="s">
        <v>53</v>
      </c>
      <c r="AM6639" t="s">
        <v>53</v>
      </c>
      <c r="AN6639" t="s">
        <v>53</v>
      </c>
      <c r="AO6639" t="s">
        <v>53</v>
      </c>
      <c r="AP6639" t="s">
        <v>53</v>
      </c>
    </row>
    <row r="6640" spans="2:42" x14ac:dyDescent="0.2">
      <c r="B6640" t="s">
        <v>44</v>
      </c>
      <c r="C6640" t="str">
        <f>HYPERLINK("https://us2.cloudbeds.com/connect/8493803454333002#/reservations/9080486846860544?display=39FD7TA1X6&amp;reservation_id=9080486846860544", "39FD7TA1X6")</f>
        <v>39FD7TA1X6</v>
      </c>
      <c r="D6640" t="s">
        <v>45</v>
      </c>
      <c r="E6640" t="s">
        <v>305</v>
      </c>
      <c r="F6640" t="s">
        <v>61</v>
      </c>
      <c r="G6640" t="s">
        <v>48</v>
      </c>
      <c r="H6640" t="s">
        <v>49</v>
      </c>
      <c r="I6640" t="s">
        <v>62</v>
      </c>
      <c r="J6640" t="s">
        <v>9687</v>
      </c>
      <c r="K6640" t="s">
        <v>9688</v>
      </c>
      <c r="L6640" t="s">
        <v>53</v>
      </c>
      <c r="N6640" t="s">
        <v>11943</v>
      </c>
      <c r="P6640" t="s">
        <v>55</v>
      </c>
      <c r="R6640" t="s">
        <v>56</v>
      </c>
      <c r="T6640" t="s">
        <v>11944</v>
      </c>
      <c r="U6640" t="s">
        <v>55</v>
      </c>
      <c r="V6640">
        <v>1</v>
      </c>
      <c r="W6640">
        <v>1</v>
      </c>
      <c r="X6640">
        <v>2</v>
      </c>
      <c r="Y6640">
        <v>0</v>
      </c>
      <c r="Z6640">
        <v>2</v>
      </c>
      <c r="AA6640">
        <v>276</v>
      </c>
      <c r="AB6640">
        <v>276</v>
      </c>
      <c r="AC6640">
        <v>276</v>
      </c>
      <c r="AD6640">
        <v>0</v>
      </c>
      <c r="AE6640">
        <v>0</v>
      </c>
      <c r="AF6640">
        <v>0</v>
      </c>
      <c r="AG6640">
        <v>0</v>
      </c>
      <c r="AH6640">
        <v>0</v>
      </c>
      <c r="AI6640">
        <v>49.68</v>
      </c>
      <c r="AJ6640">
        <v>276</v>
      </c>
      <c r="AK6640">
        <v>0</v>
      </c>
      <c r="AL6640" t="s">
        <v>53</v>
      </c>
      <c r="AM6640" t="s">
        <v>53</v>
      </c>
      <c r="AN6640" t="s">
        <v>53</v>
      </c>
      <c r="AO6640" t="s">
        <v>53</v>
      </c>
      <c r="AP6640" t="s">
        <v>53</v>
      </c>
    </row>
    <row r="6641" spans="2:42" x14ac:dyDescent="0.2">
      <c r="B6641" t="s">
        <v>44</v>
      </c>
      <c r="C6641" t="str">
        <f>HYPERLINK("https://us2.cloudbeds.com/connect/8493803454333002#/reservations/152565626036369?display=39FQGC1JFS&amp;reservation_id=152565626036369", "39FQGC1JFS")</f>
        <v>39FQGC1JFS</v>
      </c>
      <c r="D6641" t="s">
        <v>45</v>
      </c>
      <c r="E6641" t="s">
        <v>98</v>
      </c>
      <c r="F6641" t="s">
        <v>86</v>
      </c>
      <c r="G6641" t="s">
        <v>48</v>
      </c>
      <c r="H6641" t="s">
        <v>3957</v>
      </c>
      <c r="I6641" t="s">
        <v>3958</v>
      </c>
      <c r="J6641" t="s">
        <v>9687</v>
      </c>
      <c r="K6641" t="s">
        <v>9688</v>
      </c>
      <c r="L6641" t="s">
        <v>53</v>
      </c>
      <c r="P6641" t="s">
        <v>55</v>
      </c>
      <c r="R6641" t="s">
        <v>56</v>
      </c>
      <c r="T6641" t="s">
        <v>11945</v>
      </c>
      <c r="U6641" t="s">
        <v>58</v>
      </c>
      <c r="V6641">
        <v>1</v>
      </c>
      <c r="W6641">
        <v>1</v>
      </c>
      <c r="X6641">
        <v>1</v>
      </c>
      <c r="Y6641">
        <v>0</v>
      </c>
      <c r="Z6641">
        <v>1</v>
      </c>
      <c r="AA6641">
        <v>346.64</v>
      </c>
      <c r="AB6641">
        <v>346.64</v>
      </c>
      <c r="AC6641">
        <v>305</v>
      </c>
      <c r="AD6641">
        <v>0</v>
      </c>
      <c r="AE6641">
        <v>41.64</v>
      </c>
      <c r="AF6641">
        <v>0</v>
      </c>
      <c r="AG6641">
        <v>0</v>
      </c>
      <c r="AH6641">
        <v>0</v>
      </c>
      <c r="AI6641">
        <v>0</v>
      </c>
      <c r="AJ6641">
        <v>346.64</v>
      </c>
      <c r="AK6641">
        <v>0</v>
      </c>
      <c r="AL6641" t="s">
        <v>53</v>
      </c>
      <c r="AM6641" t="s">
        <v>53</v>
      </c>
      <c r="AN6641" t="s">
        <v>53</v>
      </c>
      <c r="AO6641" t="s">
        <v>53</v>
      </c>
      <c r="AP6641" t="s">
        <v>53</v>
      </c>
    </row>
    <row r="6642" spans="2:42" x14ac:dyDescent="0.2">
      <c r="B6642" t="s">
        <v>44</v>
      </c>
      <c r="C6642" t="str">
        <f>HYPERLINK("https://us2.cloudbeds.com/connect/8493803454333002#/reservations/9080486846860913?display=39G2PSHV3A&amp;reservation_id=9080486846860913", "39G2PSHV3A")</f>
        <v>39G2PSHV3A</v>
      </c>
      <c r="D6642" t="s">
        <v>45</v>
      </c>
      <c r="E6642" t="s">
        <v>121</v>
      </c>
      <c r="F6642" t="s">
        <v>86</v>
      </c>
      <c r="G6642" t="s">
        <v>48</v>
      </c>
      <c r="H6642" t="s">
        <v>49</v>
      </c>
      <c r="I6642" t="s">
        <v>50</v>
      </c>
      <c r="J6642" t="s">
        <v>9687</v>
      </c>
      <c r="K6642" t="s">
        <v>9688</v>
      </c>
      <c r="L6642" t="s">
        <v>53</v>
      </c>
      <c r="N6642" t="s">
        <v>11946</v>
      </c>
      <c r="P6642" t="s">
        <v>55</v>
      </c>
      <c r="R6642" t="s">
        <v>53</v>
      </c>
      <c r="T6642" t="s">
        <v>11947</v>
      </c>
      <c r="U6642" t="s">
        <v>58</v>
      </c>
      <c r="V6642">
        <v>1</v>
      </c>
      <c r="W6642">
        <v>1</v>
      </c>
      <c r="X6642">
        <v>1</v>
      </c>
      <c r="Y6642">
        <v>0</v>
      </c>
      <c r="Z6642">
        <v>1</v>
      </c>
      <c r="AA6642">
        <v>311.97000000000003</v>
      </c>
      <c r="AB6642">
        <v>311.97000000000003</v>
      </c>
      <c r="AC6642">
        <v>274.5</v>
      </c>
      <c r="AD6642">
        <v>0</v>
      </c>
      <c r="AE6642">
        <v>37.47</v>
      </c>
      <c r="AF6642">
        <v>0</v>
      </c>
      <c r="AG6642">
        <v>0</v>
      </c>
      <c r="AH6642">
        <v>0</v>
      </c>
      <c r="AI6642">
        <v>56.15</v>
      </c>
      <c r="AJ6642">
        <v>311.97000000000003</v>
      </c>
      <c r="AK6642">
        <v>0</v>
      </c>
      <c r="AL6642" t="s">
        <v>53</v>
      </c>
      <c r="AM6642" t="s">
        <v>53</v>
      </c>
      <c r="AN6642" t="s">
        <v>53</v>
      </c>
      <c r="AO6642" t="s">
        <v>53</v>
      </c>
      <c r="AP6642" t="s">
        <v>53</v>
      </c>
    </row>
    <row r="6643" spans="2:42" x14ac:dyDescent="0.2">
      <c r="B6643" t="s">
        <v>44</v>
      </c>
      <c r="C6643" t="str">
        <f>HYPERLINK("https://us2.cloudbeds.com/connect/8493803454333002#/reservations/9080486846860916?display=39G2PV9APH&amp;reservation_id=9080486846860916", "39G2PV9APH")</f>
        <v>39G2PV9APH</v>
      </c>
      <c r="D6643" t="s">
        <v>45</v>
      </c>
      <c r="E6643" t="s">
        <v>92</v>
      </c>
      <c r="F6643" t="s">
        <v>86</v>
      </c>
      <c r="G6643" t="s">
        <v>48</v>
      </c>
      <c r="H6643" t="s">
        <v>49</v>
      </c>
      <c r="I6643" t="s">
        <v>50</v>
      </c>
      <c r="J6643" t="s">
        <v>9687</v>
      </c>
      <c r="K6643" t="s">
        <v>9688</v>
      </c>
      <c r="L6643" t="s">
        <v>53</v>
      </c>
      <c r="N6643" t="s">
        <v>11948</v>
      </c>
      <c r="P6643" t="s">
        <v>55</v>
      </c>
      <c r="R6643" t="s">
        <v>53</v>
      </c>
      <c r="T6643" t="s">
        <v>11949</v>
      </c>
      <c r="U6643" t="s">
        <v>58</v>
      </c>
      <c r="V6643">
        <v>1</v>
      </c>
      <c r="W6643">
        <v>1</v>
      </c>
      <c r="X6643">
        <v>3</v>
      </c>
      <c r="Y6643">
        <v>0</v>
      </c>
      <c r="Z6643">
        <v>3</v>
      </c>
      <c r="AA6643">
        <v>311.97000000000003</v>
      </c>
      <c r="AB6643">
        <v>311.97000000000003</v>
      </c>
      <c r="AC6643">
        <v>274.5</v>
      </c>
      <c r="AD6643">
        <v>0</v>
      </c>
      <c r="AE6643">
        <v>37.47</v>
      </c>
      <c r="AF6643">
        <v>0</v>
      </c>
      <c r="AG6643">
        <v>0</v>
      </c>
      <c r="AH6643">
        <v>0</v>
      </c>
      <c r="AI6643">
        <v>56.15</v>
      </c>
      <c r="AJ6643">
        <v>311.97000000000003</v>
      </c>
      <c r="AK6643">
        <v>0</v>
      </c>
      <c r="AL6643" t="s">
        <v>53</v>
      </c>
      <c r="AM6643" t="s">
        <v>53</v>
      </c>
      <c r="AN6643" t="s">
        <v>53</v>
      </c>
      <c r="AO6643" t="s">
        <v>53</v>
      </c>
      <c r="AP6643" t="s">
        <v>53</v>
      </c>
    </row>
    <row r="6644" spans="2:42" x14ac:dyDescent="0.2">
      <c r="B6644" t="s">
        <v>44</v>
      </c>
      <c r="C6644" t="str">
        <f>HYPERLINK("https://us2.cloudbeds.com/connect/8493803454333002#/reservations/9080486846863290?display=39JVNE10XX&amp;reservation_id=9080486846863290", "39JVNE10XX")</f>
        <v>39JVNE10XX</v>
      </c>
      <c r="D6644" t="s">
        <v>45</v>
      </c>
      <c r="E6644" t="s">
        <v>179</v>
      </c>
      <c r="F6644" t="s">
        <v>47</v>
      </c>
      <c r="G6644" t="s">
        <v>48</v>
      </c>
      <c r="H6644" t="s">
        <v>49</v>
      </c>
      <c r="I6644" t="s">
        <v>50</v>
      </c>
      <c r="J6644" t="s">
        <v>11206</v>
      </c>
      <c r="K6644" t="s">
        <v>10137</v>
      </c>
      <c r="L6644" t="s">
        <v>53</v>
      </c>
      <c r="N6644" t="s">
        <v>11950</v>
      </c>
      <c r="P6644" t="s">
        <v>55</v>
      </c>
      <c r="R6644" t="s">
        <v>53</v>
      </c>
      <c r="T6644" t="s">
        <v>11951</v>
      </c>
      <c r="U6644" t="s">
        <v>58</v>
      </c>
      <c r="V6644">
        <v>1</v>
      </c>
      <c r="W6644">
        <v>1</v>
      </c>
      <c r="X6644">
        <v>2</v>
      </c>
      <c r="Y6644">
        <v>0</v>
      </c>
      <c r="Z6644">
        <v>2</v>
      </c>
      <c r="AA6644">
        <v>71.900000000000006</v>
      </c>
      <c r="AB6644">
        <v>71.900000000000006</v>
      </c>
      <c r="AC6644">
        <v>63.27</v>
      </c>
      <c r="AD6644">
        <v>0</v>
      </c>
      <c r="AE6644">
        <v>8.6300000000000008</v>
      </c>
      <c r="AF6644">
        <v>0</v>
      </c>
      <c r="AG6644">
        <v>0</v>
      </c>
      <c r="AH6644">
        <v>0</v>
      </c>
      <c r="AI6644">
        <v>12.94</v>
      </c>
      <c r="AJ6644">
        <v>71.900000000000006</v>
      </c>
      <c r="AK6644">
        <v>0</v>
      </c>
      <c r="AL6644" t="s">
        <v>53</v>
      </c>
      <c r="AM6644" t="s">
        <v>53</v>
      </c>
      <c r="AN6644" t="s">
        <v>53</v>
      </c>
      <c r="AO6644" t="s">
        <v>53</v>
      </c>
      <c r="AP6644" t="s">
        <v>53</v>
      </c>
    </row>
    <row r="6645" spans="2:42" x14ac:dyDescent="0.2">
      <c r="B6645" t="s">
        <v>44</v>
      </c>
      <c r="C6645" t="str">
        <f>HYPERLINK("https://us2.cloudbeds.com/connect/8493803454333002#/reservations/9080486846863710?display=39KD8F3C1G&amp;reservation_id=9080486846863710", "39KD8F3C1G")</f>
        <v>39KD8F3C1G</v>
      </c>
      <c r="D6645" t="s">
        <v>45</v>
      </c>
      <c r="E6645" t="s">
        <v>213</v>
      </c>
      <c r="F6645" t="s">
        <v>86</v>
      </c>
      <c r="G6645" t="s">
        <v>48</v>
      </c>
      <c r="H6645" t="s">
        <v>49</v>
      </c>
      <c r="I6645" t="s">
        <v>50</v>
      </c>
      <c r="J6645" t="s">
        <v>7438</v>
      </c>
      <c r="K6645" t="s">
        <v>8818</v>
      </c>
      <c r="L6645" t="s">
        <v>53</v>
      </c>
      <c r="N6645" t="s">
        <v>11952</v>
      </c>
      <c r="P6645" t="s">
        <v>55</v>
      </c>
      <c r="R6645" t="s">
        <v>53</v>
      </c>
      <c r="T6645" t="s">
        <v>11953</v>
      </c>
      <c r="U6645" t="s">
        <v>58</v>
      </c>
      <c r="V6645">
        <v>3</v>
      </c>
      <c r="W6645">
        <v>1</v>
      </c>
      <c r="X6645">
        <v>2</v>
      </c>
      <c r="Y6645">
        <v>0</v>
      </c>
      <c r="Z6645">
        <v>2</v>
      </c>
      <c r="AA6645">
        <v>523.75</v>
      </c>
      <c r="AB6645">
        <v>523.75</v>
      </c>
      <c r="AC6645">
        <v>460.83</v>
      </c>
      <c r="AD6645">
        <v>0</v>
      </c>
      <c r="AE6645">
        <v>62.92</v>
      </c>
      <c r="AF6645">
        <v>0</v>
      </c>
      <c r="AG6645">
        <v>0</v>
      </c>
      <c r="AH6645">
        <v>0</v>
      </c>
      <c r="AI6645">
        <v>94.28</v>
      </c>
      <c r="AJ6645">
        <v>523.75</v>
      </c>
      <c r="AK6645">
        <v>0</v>
      </c>
      <c r="AL6645" t="s">
        <v>53</v>
      </c>
      <c r="AM6645" t="s">
        <v>53</v>
      </c>
      <c r="AN6645" t="s">
        <v>53</v>
      </c>
      <c r="AO6645" t="s">
        <v>53</v>
      </c>
      <c r="AP6645" t="s">
        <v>53</v>
      </c>
    </row>
    <row r="6646" spans="2:42" x14ac:dyDescent="0.2">
      <c r="B6646" t="s">
        <v>44</v>
      </c>
      <c r="C6646" t="str">
        <f>HYPERLINK("https://us2.cloudbeds.com/connect/8493803454333002#/reservations/9080486846865527?display=39M36DARCC&amp;reservation_id=9080486846865527", "39M36DARCC")</f>
        <v>39M36DARCC</v>
      </c>
      <c r="D6646" t="s">
        <v>45</v>
      </c>
      <c r="E6646" t="s">
        <v>110</v>
      </c>
      <c r="F6646" t="s">
        <v>47</v>
      </c>
      <c r="G6646" t="s">
        <v>48</v>
      </c>
      <c r="H6646" t="s">
        <v>49</v>
      </c>
      <c r="I6646" t="s">
        <v>50</v>
      </c>
      <c r="J6646" t="s">
        <v>8021</v>
      </c>
      <c r="K6646" t="s">
        <v>9858</v>
      </c>
      <c r="L6646" t="s">
        <v>53</v>
      </c>
      <c r="N6646" t="s">
        <v>11954</v>
      </c>
      <c r="P6646" t="s">
        <v>55</v>
      </c>
      <c r="R6646" t="s">
        <v>53</v>
      </c>
      <c r="T6646" t="s">
        <v>11955</v>
      </c>
      <c r="U6646" t="s">
        <v>58</v>
      </c>
      <c r="V6646">
        <v>2</v>
      </c>
      <c r="W6646">
        <v>1</v>
      </c>
      <c r="X6646">
        <v>2</v>
      </c>
      <c r="Y6646">
        <v>0</v>
      </c>
      <c r="Z6646">
        <v>2</v>
      </c>
      <c r="AA6646">
        <v>214.74</v>
      </c>
      <c r="AB6646">
        <v>214.74</v>
      </c>
      <c r="AC6646">
        <v>188.95</v>
      </c>
      <c r="AD6646">
        <v>0</v>
      </c>
      <c r="AE6646">
        <v>25.79</v>
      </c>
      <c r="AF6646">
        <v>0</v>
      </c>
      <c r="AG6646">
        <v>0</v>
      </c>
      <c r="AH6646">
        <v>0</v>
      </c>
      <c r="AI6646">
        <v>38.65</v>
      </c>
      <c r="AJ6646">
        <v>214.74</v>
      </c>
      <c r="AK6646">
        <v>0</v>
      </c>
      <c r="AL6646" t="s">
        <v>53</v>
      </c>
      <c r="AM6646" t="s">
        <v>53</v>
      </c>
      <c r="AN6646" t="s">
        <v>53</v>
      </c>
      <c r="AO6646" t="s">
        <v>53</v>
      </c>
      <c r="AP6646" t="s">
        <v>53</v>
      </c>
    </row>
    <row r="6647" spans="2:42" x14ac:dyDescent="0.2">
      <c r="B6647" t="s">
        <v>44</v>
      </c>
      <c r="C6647" t="str">
        <f>HYPERLINK("https://us2.cloudbeds.com/connect/8493803454333002#/reservations/9080486846866389?display=39MW8GXRG9&amp;reservation_id=9080486846866389", "39MW8GXRG9")</f>
        <v>39MW8GXRG9</v>
      </c>
      <c r="D6647" t="s">
        <v>45</v>
      </c>
      <c r="E6647" t="s">
        <v>105</v>
      </c>
      <c r="F6647" t="s">
        <v>47</v>
      </c>
      <c r="G6647" t="s">
        <v>48</v>
      </c>
      <c r="H6647" t="s">
        <v>49</v>
      </c>
      <c r="I6647" t="s">
        <v>50</v>
      </c>
      <c r="J6647" t="s">
        <v>11956</v>
      </c>
      <c r="K6647" t="s">
        <v>11267</v>
      </c>
      <c r="L6647" t="s">
        <v>53</v>
      </c>
      <c r="N6647" t="s">
        <v>11957</v>
      </c>
      <c r="P6647" t="s">
        <v>55</v>
      </c>
      <c r="R6647" t="s">
        <v>53</v>
      </c>
      <c r="T6647" t="s">
        <v>11958</v>
      </c>
      <c r="U6647" t="s">
        <v>58</v>
      </c>
      <c r="V6647">
        <v>4</v>
      </c>
      <c r="W6647">
        <v>1</v>
      </c>
      <c r="X6647">
        <v>2</v>
      </c>
      <c r="Y6647">
        <v>0</v>
      </c>
      <c r="Z6647">
        <v>2</v>
      </c>
      <c r="AA6647">
        <v>469.33</v>
      </c>
      <c r="AB6647">
        <v>469.33</v>
      </c>
      <c r="AC6647">
        <v>412.95</v>
      </c>
      <c r="AD6647">
        <v>0</v>
      </c>
      <c r="AE6647">
        <v>56.38</v>
      </c>
      <c r="AF6647">
        <v>0</v>
      </c>
      <c r="AG6647">
        <v>0</v>
      </c>
      <c r="AH6647">
        <v>0</v>
      </c>
      <c r="AI6647">
        <v>84.48</v>
      </c>
      <c r="AJ6647">
        <v>469.33</v>
      </c>
      <c r="AK6647">
        <v>0</v>
      </c>
      <c r="AL6647" t="s">
        <v>53</v>
      </c>
      <c r="AM6647" t="s">
        <v>53</v>
      </c>
      <c r="AN6647" t="s">
        <v>53</v>
      </c>
      <c r="AO6647" t="s">
        <v>53</v>
      </c>
      <c r="AP6647" t="s">
        <v>53</v>
      </c>
    </row>
    <row r="6648" spans="2:42" x14ac:dyDescent="0.2">
      <c r="B6648" t="s">
        <v>44</v>
      </c>
      <c r="C6648" t="str">
        <f>HYPERLINK("https://us2.cloudbeds.com/connect/8493803454333002#/reservations/152879507701890?display=39N5HPCKZN&amp;reservation_id=152879507701890", "39N5HPCKZN")</f>
        <v>39N5HPCKZN</v>
      </c>
      <c r="D6648" t="s">
        <v>45</v>
      </c>
      <c r="E6648" t="s">
        <v>179</v>
      </c>
      <c r="F6648" t="s">
        <v>47</v>
      </c>
      <c r="G6648" t="s">
        <v>4520</v>
      </c>
      <c r="H6648" t="s">
        <v>3957</v>
      </c>
      <c r="I6648" t="s">
        <v>3958</v>
      </c>
      <c r="J6648" t="s">
        <v>9688</v>
      </c>
      <c r="K6648" t="s">
        <v>6832</v>
      </c>
      <c r="L6648" t="s">
        <v>53</v>
      </c>
      <c r="P6648" t="s">
        <v>55</v>
      </c>
      <c r="R6648" t="s">
        <v>56</v>
      </c>
      <c r="T6648" t="s">
        <v>11959</v>
      </c>
      <c r="U6648" t="s">
        <v>58</v>
      </c>
      <c r="V6648">
        <v>1</v>
      </c>
      <c r="W6648">
        <v>1</v>
      </c>
      <c r="X6648">
        <v>1</v>
      </c>
      <c r="Y6648">
        <v>0</v>
      </c>
      <c r="Z6648">
        <v>1</v>
      </c>
      <c r="AA6648">
        <v>187.18</v>
      </c>
      <c r="AB6648">
        <v>187.18</v>
      </c>
      <c r="AC6648">
        <v>164.7</v>
      </c>
      <c r="AD6648">
        <v>0</v>
      </c>
      <c r="AE6648">
        <v>22.48</v>
      </c>
      <c r="AF6648">
        <v>0</v>
      </c>
      <c r="AG6648">
        <v>0</v>
      </c>
      <c r="AH6648">
        <v>0</v>
      </c>
      <c r="AI6648">
        <v>0</v>
      </c>
      <c r="AJ6648">
        <v>187.18</v>
      </c>
      <c r="AK6648">
        <v>0</v>
      </c>
      <c r="AL6648" t="s">
        <v>53</v>
      </c>
      <c r="AM6648" t="s">
        <v>53</v>
      </c>
      <c r="AN6648" t="s">
        <v>53</v>
      </c>
      <c r="AO6648" t="s">
        <v>53</v>
      </c>
      <c r="AP6648" t="s">
        <v>53</v>
      </c>
    </row>
    <row r="6649" spans="2:42" x14ac:dyDescent="0.2">
      <c r="B6649" t="s">
        <v>44</v>
      </c>
      <c r="C6649" t="str">
        <f>HYPERLINK("https://us2.cloudbeds.com/connect/8493803454333002#/reservations/9080486846867047?display=39NT6FH2W0&amp;reservation_id=9080486846867047", "39NT6FH2W0")</f>
        <v>39NT6FH2W0</v>
      </c>
      <c r="D6649" t="s">
        <v>45</v>
      </c>
      <c r="E6649" t="s">
        <v>179</v>
      </c>
      <c r="F6649" t="s">
        <v>47</v>
      </c>
      <c r="G6649" t="s">
        <v>48</v>
      </c>
      <c r="H6649" t="s">
        <v>49</v>
      </c>
      <c r="I6649" t="s">
        <v>50</v>
      </c>
      <c r="J6649" t="s">
        <v>10121</v>
      </c>
      <c r="K6649" t="s">
        <v>8616</v>
      </c>
      <c r="L6649" t="s">
        <v>53</v>
      </c>
      <c r="N6649" t="s">
        <v>11960</v>
      </c>
      <c r="P6649" t="s">
        <v>55</v>
      </c>
      <c r="R6649" t="s">
        <v>53</v>
      </c>
      <c r="T6649" t="s">
        <v>11961</v>
      </c>
      <c r="U6649" t="s">
        <v>58</v>
      </c>
      <c r="V6649">
        <v>1</v>
      </c>
      <c r="W6649">
        <v>1</v>
      </c>
      <c r="X6649">
        <v>1</v>
      </c>
      <c r="Y6649">
        <v>0</v>
      </c>
      <c r="Z6649">
        <v>1</v>
      </c>
      <c r="AA6649">
        <v>190.25</v>
      </c>
      <c r="AB6649">
        <v>380.5</v>
      </c>
      <c r="AC6649">
        <v>167.4</v>
      </c>
      <c r="AD6649">
        <v>0</v>
      </c>
      <c r="AE6649">
        <v>22.85</v>
      </c>
      <c r="AF6649">
        <v>0</v>
      </c>
      <c r="AG6649">
        <v>0</v>
      </c>
      <c r="AH6649">
        <v>0</v>
      </c>
      <c r="AI6649">
        <v>34.25</v>
      </c>
      <c r="AJ6649">
        <v>190.25</v>
      </c>
      <c r="AK6649">
        <v>0</v>
      </c>
      <c r="AL6649" t="s">
        <v>53</v>
      </c>
      <c r="AM6649" t="s">
        <v>53</v>
      </c>
      <c r="AN6649" t="s">
        <v>53</v>
      </c>
      <c r="AO6649" t="s">
        <v>53</v>
      </c>
      <c r="AP6649" t="s">
        <v>53</v>
      </c>
    </row>
    <row r="6650" spans="2:42" x14ac:dyDescent="0.2">
      <c r="B6650" t="s">
        <v>44</v>
      </c>
      <c r="C6650" t="str">
        <f>HYPERLINK("https://us2.cloudbeds.com/connect/8493803454333002#/reservations/9080486846867110?display=39NWDW0A9W&amp;reservation_id=9080486846867110", "39NWDW0A9W")</f>
        <v>39NWDW0A9W</v>
      </c>
      <c r="D6650" t="s">
        <v>45</v>
      </c>
      <c r="E6650" t="s">
        <v>223</v>
      </c>
      <c r="F6650" t="s">
        <v>47</v>
      </c>
      <c r="G6650" t="s">
        <v>48</v>
      </c>
      <c r="H6650" t="s">
        <v>49</v>
      </c>
      <c r="I6650" t="s">
        <v>50</v>
      </c>
      <c r="J6650" t="s">
        <v>9688</v>
      </c>
      <c r="K6650" t="s">
        <v>6832</v>
      </c>
      <c r="L6650" t="s">
        <v>53</v>
      </c>
      <c r="N6650" t="s">
        <v>11962</v>
      </c>
      <c r="P6650" t="s">
        <v>55</v>
      </c>
      <c r="R6650" t="s">
        <v>53</v>
      </c>
      <c r="T6650" t="s">
        <v>11963</v>
      </c>
      <c r="U6650" t="s">
        <v>58</v>
      </c>
      <c r="V6650">
        <v>1</v>
      </c>
      <c r="W6650">
        <v>1</v>
      </c>
      <c r="X6650">
        <v>2</v>
      </c>
      <c r="Y6650">
        <v>0</v>
      </c>
      <c r="Z6650">
        <v>2</v>
      </c>
      <c r="AA6650">
        <v>187.18</v>
      </c>
      <c r="AB6650">
        <v>189.35</v>
      </c>
      <c r="AC6650">
        <v>164.7</v>
      </c>
      <c r="AD6650">
        <v>2</v>
      </c>
      <c r="AE6650">
        <v>22.65</v>
      </c>
      <c r="AF6650">
        <v>0</v>
      </c>
      <c r="AG6650">
        <v>0</v>
      </c>
      <c r="AH6650">
        <v>0</v>
      </c>
      <c r="AI6650">
        <v>34.08</v>
      </c>
      <c r="AJ6650">
        <v>189.35</v>
      </c>
      <c r="AK6650">
        <v>0</v>
      </c>
      <c r="AL6650" t="s">
        <v>53</v>
      </c>
      <c r="AM6650" t="s">
        <v>53</v>
      </c>
      <c r="AN6650" t="s">
        <v>53</v>
      </c>
      <c r="AO6650" t="s">
        <v>53</v>
      </c>
      <c r="AP6650" t="s">
        <v>53</v>
      </c>
    </row>
    <row r="6651" spans="2:42" x14ac:dyDescent="0.2">
      <c r="B6651" t="s">
        <v>44</v>
      </c>
      <c r="C6651" t="str">
        <f>HYPERLINK("https://us2.cloudbeds.com/connect/8493803454333002#/reservations/152950050939127?display=39ZR5AA6CC&amp;reservation_id=152950050939127", "39ZR5AA6CC")</f>
        <v>39ZR5AA6CC</v>
      </c>
      <c r="D6651" t="s">
        <v>45</v>
      </c>
      <c r="E6651" t="s">
        <v>373</v>
      </c>
      <c r="F6651" t="s">
        <v>47</v>
      </c>
      <c r="G6651" t="s">
        <v>48</v>
      </c>
      <c r="H6651" t="s">
        <v>3957</v>
      </c>
      <c r="I6651" t="s">
        <v>3958</v>
      </c>
      <c r="J6651" t="s">
        <v>9688</v>
      </c>
      <c r="K6651" t="s">
        <v>6832</v>
      </c>
      <c r="L6651" t="s">
        <v>53</v>
      </c>
      <c r="P6651" t="s">
        <v>55</v>
      </c>
      <c r="R6651" t="s">
        <v>56</v>
      </c>
      <c r="T6651" t="s">
        <v>11964</v>
      </c>
      <c r="U6651" t="s">
        <v>58</v>
      </c>
      <c r="V6651">
        <v>1</v>
      </c>
      <c r="W6651">
        <v>1</v>
      </c>
      <c r="X6651">
        <v>1</v>
      </c>
      <c r="Y6651">
        <v>0</v>
      </c>
      <c r="Z6651">
        <v>1</v>
      </c>
      <c r="AA6651">
        <v>207.99</v>
      </c>
      <c r="AB6651">
        <v>207.99</v>
      </c>
      <c r="AC6651">
        <v>183</v>
      </c>
      <c r="AD6651">
        <v>0</v>
      </c>
      <c r="AE6651">
        <v>24.99</v>
      </c>
      <c r="AF6651">
        <v>0</v>
      </c>
      <c r="AG6651">
        <v>0</v>
      </c>
      <c r="AH6651">
        <v>0</v>
      </c>
      <c r="AI6651">
        <v>0</v>
      </c>
      <c r="AJ6651">
        <v>207.99</v>
      </c>
      <c r="AK6651">
        <v>0</v>
      </c>
      <c r="AL6651" t="s">
        <v>53</v>
      </c>
      <c r="AM6651" t="s">
        <v>53</v>
      </c>
      <c r="AN6651" t="s">
        <v>53</v>
      </c>
      <c r="AO6651" t="s">
        <v>53</v>
      </c>
      <c r="AP6651" t="s">
        <v>53</v>
      </c>
    </row>
    <row r="6652" spans="2:42" x14ac:dyDescent="0.2">
      <c r="B6652" t="s">
        <v>44</v>
      </c>
      <c r="C6652" t="str">
        <f>HYPERLINK("https://us2.cloudbeds.com/connect/8493803454333002#/reservations/9080486846870194?display=39SA5YTVQZ&amp;reservation_id=9080486846870194", "39SA5YTVQZ")</f>
        <v>39SA5YTVQZ</v>
      </c>
      <c r="D6652" t="s">
        <v>45</v>
      </c>
      <c r="E6652" t="s">
        <v>179</v>
      </c>
      <c r="F6652" t="s">
        <v>47</v>
      </c>
      <c r="G6652" t="s">
        <v>48</v>
      </c>
      <c r="H6652" t="s">
        <v>49</v>
      </c>
      <c r="I6652" t="s">
        <v>50</v>
      </c>
      <c r="J6652" t="s">
        <v>6832</v>
      </c>
      <c r="K6652" t="s">
        <v>8615</v>
      </c>
      <c r="L6652" t="s">
        <v>53</v>
      </c>
      <c r="N6652" t="s">
        <v>11965</v>
      </c>
      <c r="P6652" t="s">
        <v>55</v>
      </c>
      <c r="R6652" t="s">
        <v>53</v>
      </c>
      <c r="T6652" t="s">
        <v>11966</v>
      </c>
      <c r="U6652" t="s">
        <v>58</v>
      </c>
      <c r="V6652">
        <v>1</v>
      </c>
      <c r="W6652">
        <v>1</v>
      </c>
      <c r="X6652">
        <v>2</v>
      </c>
      <c r="Y6652">
        <v>0</v>
      </c>
      <c r="Z6652">
        <v>2</v>
      </c>
      <c r="AA6652">
        <v>172.75</v>
      </c>
      <c r="AB6652">
        <v>172.75</v>
      </c>
      <c r="AC6652">
        <v>152</v>
      </c>
      <c r="AD6652">
        <v>0</v>
      </c>
      <c r="AE6652">
        <v>20.75</v>
      </c>
      <c r="AF6652">
        <v>0</v>
      </c>
      <c r="AG6652">
        <v>0</v>
      </c>
      <c r="AH6652">
        <v>0</v>
      </c>
      <c r="AI6652">
        <v>31.1</v>
      </c>
      <c r="AJ6652">
        <v>172.75</v>
      </c>
      <c r="AK6652">
        <v>0</v>
      </c>
      <c r="AL6652" t="s">
        <v>53</v>
      </c>
      <c r="AM6652" t="s">
        <v>53</v>
      </c>
      <c r="AN6652" t="s">
        <v>53</v>
      </c>
      <c r="AO6652" t="s">
        <v>53</v>
      </c>
      <c r="AP6652" t="s">
        <v>53</v>
      </c>
    </row>
    <row r="6653" spans="2:42" x14ac:dyDescent="0.2">
      <c r="B6653" t="s">
        <v>44</v>
      </c>
      <c r="C6653" t="str">
        <f>HYPERLINK("https://us2.cloudbeds.com/connect/8493803454333002#/reservations/9080486846872604?display=39UGDYVFT1&amp;reservation_id=9080486846872604", "39UGDYVFT1")</f>
        <v>39UGDYVFT1</v>
      </c>
      <c r="D6653" t="s">
        <v>45</v>
      </c>
      <c r="E6653" t="s">
        <v>213</v>
      </c>
      <c r="F6653" t="s">
        <v>86</v>
      </c>
      <c r="G6653" t="s">
        <v>48</v>
      </c>
      <c r="H6653" t="s">
        <v>49</v>
      </c>
      <c r="I6653" t="s">
        <v>50</v>
      </c>
      <c r="J6653" t="s">
        <v>7543</v>
      </c>
      <c r="K6653" t="s">
        <v>8047</v>
      </c>
      <c r="L6653" t="s">
        <v>53</v>
      </c>
      <c r="N6653" t="s">
        <v>11967</v>
      </c>
      <c r="P6653" t="s">
        <v>55</v>
      </c>
      <c r="R6653" t="s">
        <v>53</v>
      </c>
      <c r="T6653" t="s">
        <v>11968</v>
      </c>
      <c r="U6653" t="s">
        <v>58</v>
      </c>
      <c r="V6653">
        <v>1</v>
      </c>
      <c r="W6653">
        <v>1</v>
      </c>
      <c r="X6653">
        <v>2</v>
      </c>
      <c r="Y6653">
        <v>0</v>
      </c>
      <c r="Z6653">
        <v>2</v>
      </c>
      <c r="AA6653">
        <v>202.12</v>
      </c>
      <c r="AB6653">
        <v>202.12</v>
      </c>
      <c r="AC6653">
        <v>177.84</v>
      </c>
      <c r="AD6653">
        <v>0</v>
      </c>
      <c r="AE6653">
        <v>24.28</v>
      </c>
      <c r="AF6653">
        <v>0</v>
      </c>
      <c r="AG6653">
        <v>0</v>
      </c>
      <c r="AH6653">
        <v>0</v>
      </c>
      <c r="AI6653">
        <v>36.380000000000003</v>
      </c>
      <c r="AJ6653">
        <v>202.12</v>
      </c>
      <c r="AK6653">
        <v>0</v>
      </c>
      <c r="AL6653" t="s">
        <v>53</v>
      </c>
      <c r="AM6653" t="s">
        <v>53</v>
      </c>
      <c r="AN6653" t="s">
        <v>53</v>
      </c>
      <c r="AO6653" t="s">
        <v>53</v>
      </c>
      <c r="AP6653" t="s">
        <v>53</v>
      </c>
    </row>
    <row r="6654" spans="2:42" x14ac:dyDescent="0.2">
      <c r="B6654" t="s">
        <v>44</v>
      </c>
      <c r="C6654" t="str">
        <f>HYPERLINK("https://us2.cloudbeds.com/connect/8493803454333002#/reservations/9080486846874253?display=39WAB6WWHZ&amp;reservation_id=9080486846874253", "39WAB6WWHZ")</f>
        <v>39WAB6WWHZ</v>
      </c>
      <c r="D6654" t="s">
        <v>45</v>
      </c>
      <c r="E6654" t="s">
        <v>190</v>
      </c>
      <c r="F6654" t="s">
        <v>61</v>
      </c>
      <c r="G6654" t="s">
        <v>48</v>
      </c>
      <c r="H6654" t="s">
        <v>49</v>
      </c>
      <c r="I6654" t="s">
        <v>50</v>
      </c>
      <c r="J6654" t="s">
        <v>8615</v>
      </c>
      <c r="K6654" t="s">
        <v>8616</v>
      </c>
      <c r="L6654" t="s">
        <v>53</v>
      </c>
      <c r="N6654" t="s">
        <v>11969</v>
      </c>
      <c r="P6654" t="s">
        <v>55</v>
      </c>
      <c r="R6654" t="s">
        <v>53</v>
      </c>
      <c r="T6654" t="s">
        <v>11970</v>
      </c>
      <c r="U6654" t="s">
        <v>58</v>
      </c>
      <c r="V6654">
        <v>3</v>
      </c>
      <c r="W6654">
        <v>1</v>
      </c>
      <c r="X6654">
        <v>2</v>
      </c>
      <c r="Y6654">
        <v>0</v>
      </c>
      <c r="Z6654">
        <v>2</v>
      </c>
      <c r="AA6654">
        <v>720.09</v>
      </c>
      <c r="AB6654">
        <v>720.09</v>
      </c>
      <c r="AC6654">
        <v>633.6</v>
      </c>
      <c r="AD6654">
        <v>0</v>
      </c>
      <c r="AE6654">
        <v>86.49</v>
      </c>
      <c r="AF6654">
        <v>0</v>
      </c>
      <c r="AG6654">
        <v>0</v>
      </c>
      <c r="AH6654">
        <v>0</v>
      </c>
      <c r="AI6654">
        <v>129.62</v>
      </c>
      <c r="AJ6654">
        <v>720.09</v>
      </c>
      <c r="AK6654">
        <v>0</v>
      </c>
      <c r="AL6654" t="s">
        <v>53</v>
      </c>
      <c r="AM6654" t="s">
        <v>53</v>
      </c>
      <c r="AN6654" t="s">
        <v>11971</v>
      </c>
      <c r="AO6654" t="s">
        <v>53</v>
      </c>
      <c r="AP6654" t="s">
        <v>53</v>
      </c>
    </row>
    <row r="6655" spans="2:42" x14ac:dyDescent="0.2">
      <c r="B6655" t="s">
        <v>44</v>
      </c>
      <c r="C6655" t="str">
        <f>HYPERLINK("https://us2.cloudbeds.com/connect/8493803454333002#/reservations/9080486846874572?display=39WZ56QNWW&amp;reservation_id=9080486846874572", "39WZ56QNWW")</f>
        <v>39WZ56QNWW</v>
      </c>
      <c r="D6655" t="s">
        <v>45</v>
      </c>
      <c r="E6655" t="s">
        <v>155</v>
      </c>
      <c r="F6655" t="s">
        <v>86</v>
      </c>
      <c r="G6655" t="s">
        <v>48</v>
      </c>
      <c r="H6655" t="s">
        <v>49</v>
      </c>
      <c r="I6655" t="s">
        <v>50</v>
      </c>
      <c r="J6655" t="s">
        <v>10193</v>
      </c>
      <c r="K6655" t="s">
        <v>11495</v>
      </c>
      <c r="L6655" t="s">
        <v>53</v>
      </c>
      <c r="N6655" t="s">
        <v>11972</v>
      </c>
      <c r="P6655" t="s">
        <v>55</v>
      </c>
      <c r="R6655" t="s">
        <v>53</v>
      </c>
      <c r="T6655" t="s">
        <v>11973</v>
      </c>
      <c r="U6655" t="s">
        <v>58</v>
      </c>
      <c r="V6655">
        <v>1</v>
      </c>
      <c r="W6655">
        <v>1</v>
      </c>
      <c r="X6655">
        <v>2</v>
      </c>
      <c r="Y6655">
        <v>0</v>
      </c>
      <c r="Z6655">
        <v>2</v>
      </c>
      <c r="AA6655">
        <v>122.74</v>
      </c>
      <c r="AB6655">
        <v>122.74</v>
      </c>
      <c r="AC6655">
        <v>108</v>
      </c>
      <c r="AD6655">
        <v>0</v>
      </c>
      <c r="AE6655">
        <v>14.74</v>
      </c>
      <c r="AF6655">
        <v>0</v>
      </c>
      <c r="AG6655">
        <v>0</v>
      </c>
      <c r="AH6655">
        <v>0</v>
      </c>
      <c r="AI6655">
        <v>22.09</v>
      </c>
      <c r="AJ6655">
        <v>122.74</v>
      </c>
      <c r="AK6655">
        <v>0</v>
      </c>
      <c r="AL6655" t="s">
        <v>53</v>
      </c>
      <c r="AM6655" t="s">
        <v>53</v>
      </c>
      <c r="AN6655" t="s">
        <v>53</v>
      </c>
      <c r="AO6655" t="s">
        <v>53</v>
      </c>
      <c r="AP6655" t="s">
        <v>53</v>
      </c>
    </row>
    <row r="6656" spans="2:42" x14ac:dyDescent="0.2">
      <c r="B6656" t="s">
        <v>44</v>
      </c>
      <c r="C6656" t="str">
        <f>HYPERLINK("https://us2.cloudbeds.com/connect/8493803454333002#/reservations/153294840422613?display=39WU4FURAK&amp;reservation_id=153294840422613", "39WU4FURAK")</f>
        <v>39WU4FURAK</v>
      </c>
      <c r="D6656" t="s">
        <v>45</v>
      </c>
      <c r="E6656" t="s">
        <v>11974</v>
      </c>
      <c r="F6656" t="s">
        <v>47</v>
      </c>
      <c r="G6656" t="s">
        <v>48</v>
      </c>
      <c r="H6656" t="s">
        <v>3957</v>
      </c>
      <c r="I6656" t="s">
        <v>3975</v>
      </c>
      <c r="J6656" t="s">
        <v>6832</v>
      </c>
      <c r="K6656" t="s">
        <v>8615</v>
      </c>
      <c r="L6656" t="s">
        <v>53</v>
      </c>
      <c r="P6656" t="s">
        <v>55</v>
      </c>
      <c r="R6656" t="s">
        <v>56</v>
      </c>
      <c r="T6656" t="s">
        <v>11975</v>
      </c>
      <c r="U6656" t="s">
        <v>58</v>
      </c>
      <c r="V6656">
        <v>2</v>
      </c>
      <c r="W6656">
        <v>2</v>
      </c>
      <c r="X6656">
        <v>4</v>
      </c>
      <c r="Y6656">
        <v>0</v>
      </c>
      <c r="Z6656">
        <v>4</v>
      </c>
      <c r="AA6656">
        <v>431.88</v>
      </c>
      <c r="AB6656">
        <v>431.88</v>
      </c>
      <c r="AC6656">
        <v>380</v>
      </c>
      <c r="AD6656">
        <v>0</v>
      </c>
      <c r="AE6656">
        <v>51.88</v>
      </c>
      <c r="AF6656">
        <v>0</v>
      </c>
      <c r="AG6656">
        <v>0</v>
      </c>
      <c r="AH6656">
        <v>0</v>
      </c>
      <c r="AI6656">
        <v>0</v>
      </c>
      <c r="AJ6656">
        <v>431.88</v>
      </c>
      <c r="AK6656">
        <v>0</v>
      </c>
      <c r="AL6656" t="s">
        <v>53</v>
      </c>
      <c r="AM6656" t="s">
        <v>53</v>
      </c>
      <c r="AN6656" t="s">
        <v>11976</v>
      </c>
      <c r="AO6656" t="s">
        <v>53</v>
      </c>
      <c r="AP6656" t="s">
        <v>53</v>
      </c>
    </row>
    <row r="6657" spans="2:42" x14ac:dyDescent="0.2">
      <c r="B6657" t="s">
        <v>44</v>
      </c>
      <c r="C6657" t="str">
        <f>HYPERLINK("https://us2.cloudbeds.com/connect/8493803454333002#/reservations/9080486846877263?display=3A3K3F4HHA&amp;reservation_id=9080486846877263", "3A3K3F4HHA")</f>
        <v>3A3K3F4HHA</v>
      </c>
      <c r="D6657" t="s">
        <v>45</v>
      </c>
      <c r="E6657" t="s">
        <v>105</v>
      </c>
      <c r="F6657" t="s">
        <v>47</v>
      </c>
      <c r="G6657" t="s">
        <v>48</v>
      </c>
      <c r="H6657" t="s">
        <v>49</v>
      </c>
      <c r="I6657" t="s">
        <v>62</v>
      </c>
      <c r="J6657" t="s">
        <v>8021</v>
      </c>
      <c r="K6657" t="s">
        <v>9858</v>
      </c>
      <c r="L6657" t="s">
        <v>53</v>
      </c>
      <c r="N6657" t="s">
        <v>11977</v>
      </c>
      <c r="P6657" t="s">
        <v>55</v>
      </c>
      <c r="R6657" t="s">
        <v>125</v>
      </c>
      <c r="T6657" t="s">
        <v>11978</v>
      </c>
      <c r="U6657" t="s">
        <v>55</v>
      </c>
      <c r="V6657">
        <v>2</v>
      </c>
      <c r="W6657">
        <v>1</v>
      </c>
      <c r="X6657">
        <v>2</v>
      </c>
      <c r="Y6657">
        <v>0</v>
      </c>
      <c r="Z6657">
        <v>2</v>
      </c>
      <c r="AA6657">
        <v>175</v>
      </c>
      <c r="AB6657">
        <v>175</v>
      </c>
      <c r="AC6657">
        <v>175</v>
      </c>
      <c r="AD6657">
        <v>0</v>
      </c>
      <c r="AE6657">
        <v>0</v>
      </c>
      <c r="AF6657">
        <v>0</v>
      </c>
      <c r="AG6657">
        <v>0</v>
      </c>
      <c r="AH6657">
        <v>0</v>
      </c>
      <c r="AI6657">
        <v>31.5</v>
      </c>
      <c r="AJ6657">
        <v>175</v>
      </c>
      <c r="AK6657">
        <v>0</v>
      </c>
      <c r="AL6657" t="s">
        <v>53</v>
      </c>
      <c r="AM6657" t="s">
        <v>53</v>
      </c>
      <c r="AN6657" t="s">
        <v>53</v>
      </c>
      <c r="AO6657" t="s">
        <v>53</v>
      </c>
      <c r="AP6657" t="s">
        <v>53</v>
      </c>
    </row>
    <row r="6658" spans="2:42" x14ac:dyDescent="0.2">
      <c r="B6658" t="s">
        <v>44</v>
      </c>
      <c r="C6658" t="str">
        <f>HYPERLINK("https://us2.cloudbeds.com/connect/8493803454333002#/reservations/9080486846878140?display=3A4BEMCSVE&amp;reservation_id=9080486846878140", "3A4BEMCSVE")</f>
        <v>3A4BEMCSVE</v>
      </c>
      <c r="D6658" t="s">
        <v>45</v>
      </c>
      <c r="E6658" t="s">
        <v>223</v>
      </c>
      <c r="F6658" t="s">
        <v>47</v>
      </c>
      <c r="G6658" t="s">
        <v>48</v>
      </c>
      <c r="H6658" t="s">
        <v>49</v>
      </c>
      <c r="I6658" t="s">
        <v>50</v>
      </c>
      <c r="J6658" t="s">
        <v>10121</v>
      </c>
      <c r="K6658" t="s">
        <v>8616</v>
      </c>
      <c r="L6658" t="s">
        <v>53</v>
      </c>
      <c r="N6658" t="s">
        <v>11979</v>
      </c>
      <c r="P6658" t="s">
        <v>55</v>
      </c>
      <c r="R6658" t="s">
        <v>53</v>
      </c>
      <c r="T6658" t="s">
        <v>11980</v>
      </c>
      <c r="U6658" t="s">
        <v>58</v>
      </c>
      <c r="V6658">
        <v>1</v>
      </c>
      <c r="W6658">
        <v>1</v>
      </c>
      <c r="X6658">
        <v>1</v>
      </c>
      <c r="Y6658">
        <v>0</v>
      </c>
      <c r="Z6658">
        <v>1</v>
      </c>
      <c r="AA6658">
        <v>184.51</v>
      </c>
      <c r="AB6658">
        <v>184.51</v>
      </c>
      <c r="AC6658">
        <v>162.35</v>
      </c>
      <c r="AD6658">
        <v>0</v>
      </c>
      <c r="AE6658">
        <v>22.16</v>
      </c>
      <c r="AF6658">
        <v>0</v>
      </c>
      <c r="AG6658">
        <v>0</v>
      </c>
      <c r="AH6658">
        <v>0</v>
      </c>
      <c r="AI6658">
        <v>33.21</v>
      </c>
      <c r="AJ6658">
        <v>184.51</v>
      </c>
      <c r="AK6658">
        <v>0</v>
      </c>
      <c r="AL6658" t="s">
        <v>53</v>
      </c>
      <c r="AM6658" t="s">
        <v>53</v>
      </c>
      <c r="AN6658" t="s">
        <v>53</v>
      </c>
      <c r="AO6658" t="s">
        <v>53</v>
      </c>
      <c r="AP6658" t="s">
        <v>53</v>
      </c>
    </row>
    <row r="6659" spans="2:42" x14ac:dyDescent="0.2">
      <c r="B6659" t="s">
        <v>44</v>
      </c>
      <c r="C6659" t="str">
        <f>HYPERLINK("https://us2.cloudbeds.com/connect/8493803454333002#/reservations/9080486846878587?display=3A4NW34T09&amp;reservation_id=9080486846878587", "3A4NW34T09")</f>
        <v>3A4NW34T09</v>
      </c>
      <c r="D6659" t="s">
        <v>45</v>
      </c>
      <c r="E6659" t="s">
        <v>265</v>
      </c>
      <c r="F6659" t="s">
        <v>61</v>
      </c>
      <c r="G6659" t="s">
        <v>48</v>
      </c>
      <c r="H6659" t="s">
        <v>49</v>
      </c>
      <c r="I6659" t="s">
        <v>50</v>
      </c>
      <c r="J6659" t="s">
        <v>8615</v>
      </c>
      <c r="K6659" t="s">
        <v>10121</v>
      </c>
      <c r="L6659" t="s">
        <v>53</v>
      </c>
      <c r="N6659" t="s">
        <v>11981</v>
      </c>
      <c r="P6659" t="s">
        <v>55</v>
      </c>
      <c r="R6659" t="s">
        <v>53</v>
      </c>
      <c r="T6659" t="s">
        <v>11982</v>
      </c>
      <c r="U6659" t="s">
        <v>58</v>
      </c>
      <c r="V6659">
        <v>2</v>
      </c>
      <c r="W6659">
        <v>1</v>
      </c>
      <c r="X6659">
        <v>1</v>
      </c>
      <c r="Y6659">
        <v>0</v>
      </c>
      <c r="Z6659">
        <v>1</v>
      </c>
      <c r="AA6659">
        <v>448.23</v>
      </c>
      <c r="AB6659">
        <v>448.23</v>
      </c>
      <c r="AC6659">
        <v>394.4</v>
      </c>
      <c r="AD6659">
        <v>0</v>
      </c>
      <c r="AE6659">
        <v>53.83</v>
      </c>
      <c r="AF6659">
        <v>0</v>
      </c>
      <c r="AG6659">
        <v>0</v>
      </c>
      <c r="AH6659">
        <v>0</v>
      </c>
      <c r="AI6659">
        <v>80.680000000000007</v>
      </c>
      <c r="AJ6659">
        <v>448.23</v>
      </c>
      <c r="AK6659">
        <v>0</v>
      </c>
      <c r="AL6659" t="s">
        <v>53</v>
      </c>
      <c r="AM6659" t="s">
        <v>53</v>
      </c>
      <c r="AN6659" t="s">
        <v>53</v>
      </c>
      <c r="AO6659" t="s">
        <v>53</v>
      </c>
      <c r="AP6659" t="s">
        <v>53</v>
      </c>
    </row>
    <row r="6660" spans="2:42" x14ac:dyDescent="0.2">
      <c r="B6660" t="s">
        <v>44</v>
      </c>
      <c r="C6660" t="str">
        <f>HYPERLINK("https://us2.cloudbeds.com/connect/8493803454333002#/reservations/9080486846879411?display=3A5DJ486KG&amp;reservation_id=9080486846879411", "3A5DJ486KG")</f>
        <v>3A5DJ486KG</v>
      </c>
      <c r="D6660" t="s">
        <v>45</v>
      </c>
      <c r="E6660" t="s">
        <v>305</v>
      </c>
      <c r="F6660" t="s">
        <v>61</v>
      </c>
      <c r="G6660" t="s">
        <v>48</v>
      </c>
      <c r="H6660" t="s">
        <v>49</v>
      </c>
      <c r="I6660" t="s">
        <v>50</v>
      </c>
      <c r="J6660" t="s">
        <v>8047</v>
      </c>
      <c r="K6660" t="s">
        <v>10893</v>
      </c>
      <c r="L6660" t="s">
        <v>53</v>
      </c>
      <c r="N6660" t="s">
        <v>11983</v>
      </c>
      <c r="P6660" t="s">
        <v>55</v>
      </c>
      <c r="R6660" t="s">
        <v>53</v>
      </c>
      <c r="T6660" t="s">
        <v>11984</v>
      </c>
      <c r="U6660" t="s">
        <v>58</v>
      </c>
      <c r="V6660">
        <v>1</v>
      </c>
      <c r="W6660">
        <v>1</v>
      </c>
      <c r="X6660">
        <v>1</v>
      </c>
      <c r="Y6660">
        <v>0</v>
      </c>
      <c r="Z6660">
        <v>1</v>
      </c>
      <c r="AA6660">
        <v>107.98</v>
      </c>
      <c r="AB6660">
        <v>107.98</v>
      </c>
      <c r="AC6660">
        <v>95</v>
      </c>
      <c r="AD6660">
        <v>0</v>
      </c>
      <c r="AE6660">
        <v>12.98</v>
      </c>
      <c r="AF6660">
        <v>0</v>
      </c>
      <c r="AG6660">
        <v>0</v>
      </c>
      <c r="AH6660">
        <v>0</v>
      </c>
      <c r="AI6660">
        <v>19.440000000000001</v>
      </c>
      <c r="AJ6660">
        <v>107.98</v>
      </c>
      <c r="AK6660">
        <v>0</v>
      </c>
      <c r="AL6660" t="s">
        <v>53</v>
      </c>
      <c r="AM6660" t="s">
        <v>53</v>
      </c>
      <c r="AN6660" t="s">
        <v>53</v>
      </c>
      <c r="AO6660" t="s">
        <v>53</v>
      </c>
      <c r="AP6660" t="s">
        <v>53</v>
      </c>
    </row>
    <row r="6661" spans="2:42" x14ac:dyDescent="0.2">
      <c r="B6661" t="s">
        <v>44</v>
      </c>
      <c r="C6661" t="str">
        <f>HYPERLINK("https://us2.cloudbeds.com/connect/8493803454333002#/reservations/9080486846881606?display=3A7G8NZC1F&amp;reservation_id=9080486846881606", "3A7G8NZC1F")</f>
        <v>3A7G8NZC1F</v>
      </c>
      <c r="D6661" t="s">
        <v>45</v>
      </c>
      <c r="E6661" t="s">
        <v>213</v>
      </c>
      <c r="F6661" t="s">
        <v>86</v>
      </c>
      <c r="G6661" t="s">
        <v>48</v>
      </c>
      <c r="H6661" t="s">
        <v>49</v>
      </c>
      <c r="I6661" t="s">
        <v>62</v>
      </c>
      <c r="J6661" t="s">
        <v>10717</v>
      </c>
      <c r="K6661" t="s">
        <v>6380</v>
      </c>
      <c r="L6661" t="s">
        <v>53</v>
      </c>
      <c r="N6661" t="s">
        <v>11985</v>
      </c>
      <c r="P6661" t="s">
        <v>55</v>
      </c>
      <c r="R6661" t="s">
        <v>6556</v>
      </c>
      <c r="T6661" t="s">
        <v>11986</v>
      </c>
      <c r="U6661" t="s">
        <v>55</v>
      </c>
      <c r="V6661">
        <v>1</v>
      </c>
      <c r="W6661">
        <v>1</v>
      </c>
      <c r="X6661">
        <v>2</v>
      </c>
      <c r="Y6661">
        <v>0</v>
      </c>
      <c r="Z6661">
        <v>2</v>
      </c>
      <c r="AA6661">
        <v>375</v>
      </c>
      <c r="AB6661">
        <v>375</v>
      </c>
      <c r="AC6661">
        <v>375</v>
      </c>
      <c r="AD6661">
        <v>0</v>
      </c>
      <c r="AE6661">
        <v>0</v>
      </c>
      <c r="AF6661">
        <v>0</v>
      </c>
      <c r="AG6661">
        <v>0</v>
      </c>
      <c r="AH6661">
        <v>0</v>
      </c>
      <c r="AI6661">
        <v>67.5</v>
      </c>
      <c r="AJ6661">
        <v>375</v>
      </c>
      <c r="AK6661">
        <v>0</v>
      </c>
      <c r="AL6661" t="s">
        <v>53</v>
      </c>
      <c r="AM6661" t="s">
        <v>53</v>
      </c>
      <c r="AN6661" t="s">
        <v>53</v>
      </c>
      <c r="AO6661" t="s">
        <v>53</v>
      </c>
      <c r="AP6661" t="s">
        <v>53</v>
      </c>
    </row>
    <row r="6662" spans="2:42" x14ac:dyDescent="0.2">
      <c r="B6662" t="s">
        <v>44</v>
      </c>
      <c r="C6662" t="str">
        <f>HYPERLINK("https://us2.cloudbeds.com/connect/8493803454333002#/reservations/9080486846888584?display=3AF0QB31N7&amp;reservation_id=9080486846888584", "3AF0QB31N7")</f>
        <v>3AF0QB31N7</v>
      </c>
      <c r="D6662" t="s">
        <v>45</v>
      </c>
      <c r="E6662" t="s">
        <v>179</v>
      </c>
      <c r="F6662" t="s">
        <v>47</v>
      </c>
      <c r="G6662" t="s">
        <v>48</v>
      </c>
      <c r="H6662" t="s">
        <v>49</v>
      </c>
      <c r="I6662" t="s">
        <v>62</v>
      </c>
      <c r="J6662" t="s">
        <v>6379</v>
      </c>
      <c r="K6662" t="s">
        <v>10121</v>
      </c>
      <c r="L6662" t="s">
        <v>53</v>
      </c>
      <c r="N6662" t="s">
        <v>11987</v>
      </c>
      <c r="P6662" t="s">
        <v>55</v>
      </c>
      <c r="R6662" t="s">
        <v>56</v>
      </c>
      <c r="T6662" t="s">
        <v>11988</v>
      </c>
      <c r="U6662" t="s">
        <v>55</v>
      </c>
      <c r="V6662">
        <v>1</v>
      </c>
      <c r="W6662">
        <v>1</v>
      </c>
      <c r="X6662">
        <v>1</v>
      </c>
      <c r="Y6662">
        <v>0</v>
      </c>
      <c r="Z6662">
        <v>1</v>
      </c>
      <c r="AA6662">
        <v>193</v>
      </c>
      <c r="AB6662">
        <v>193</v>
      </c>
      <c r="AC6662">
        <v>193</v>
      </c>
      <c r="AD6662">
        <v>0</v>
      </c>
      <c r="AE6662">
        <v>0</v>
      </c>
      <c r="AF6662">
        <v>0</v>
      </c>
      <c r="AG6662">
        <v>0</v>
      </c>
      <c r="AH6662">
        <v>0</v>
      </c>
      <c r="AI6662">
        <v>34.74</v>
      </c>
      <c r="AJ6662">
        <v>193</v>
      </c>
      <c r="AK6662">
        <v>0</v>
      </c>
      <c r="AL6662" t="s">
        <v>53</v>
      </c>
      <c r="AM6662" t="s">
        <v>53</v>
      </c>
      <c r="AN6662" t="s">
        <v>53</v>
      </c>
      <c r="AO6662" t="s">
        <v>53</v>
      </c>
      <c r="AP6662" t="s">
        <v>53</v>
      </c>
    </row>
    <row r="6663" spans="2:42" x14ac:dyDescent="0.2">
      <c r="B6663" t="s">
        <v>44</v>
      </c>
      <c r="C6663" t="str">
        <f>HYPERLINK("https://us2.cloudbeds.com/connect/8493803454333002#/reservations/9080486846888752?display=3AF84PSFXF&amp;reservation_id=9080486846888752", "3AF84PSFXF")</f>
        <v>3AF84PSFXF</v>
      </c>
      <c r="D6663" t="s">
        <v>45</v>
      </c>
      <c r="E6663" t="s">
        <v>69</v>
      </c>
      <c r="F6663" t="s">
        <v>70</v>
      </c>
      <c r="G6663" t="s">
        <v>48</v>
      </c>
      <c r="H6663" t="s">
        <v>49</v>
      </c>
      <c r="I6663" t="s">
        <v>62</v>
      </c>
      <c r="J6663" t="s">
        <v>10717</v>
      </c>
      <c r="K6663" t="s">
        <v>6380</v>
      </c>
      <c r="L6663" t="s">
        <v>53</v>
      </c>
      <c r="N6663" t="s">
        <v>11989</v>
      </c>
      <c r="P6663" t="s">
        <v>55</v>
      </c>
      <c r="R6663" t="s">
        <v>56</v>
      </c>
      <c r="T6663" t="s">
        <v>11990</v>
      </c>
      <c r="U6663" t="s">
        <v>55</v>
      </c>
      <c r="V6663">
        <v>1</v>
      </c>
      <c r="W6663">
        <v>1</v>
      </c>
      <c r="X6663">
        <v>2</v>
      </c>
      <c r="Y6663">
        <v>0</v>
      </c>
      <c r="Z6663">
        <v>2</v>
      </c>
      <c r="AA6663">
        <v>163</v>
      </c>
      <c r="AB6663">
        <v>163</v>
      </c>
      <c r="AC6663">
        <v>163</v>
      </c>
      <c r="AD6663">
        <v>0</v>
      </c>
      <c r="AE6663">
        <v>0</v>
      </c>
      <c r="AF6663">
        <v>0</v>
      </c>
      <c r="AG6663">
        <v>0</v>
      </c>
      <c r="AH6663">
        <v>0</v>
      </c>
      <c r="AI6663">
        <v>29.34</v>
      </c>
      <c r="AJ6663">
        <v>163</v>
      </c>
      <c r="AK6663">
        <v>0</v>
      </c>
      <c r="AL6663" t="s">
        <v>53</v>
      </c>
      <c r="AM6663" t="s">
        <v>53</v>
      </c>
      <c r="AN6663" t="s">
        <v>53</v>
      </c>
      <c r="AO6663" t="s">
        <v>53</v>
      </c>
      <c r="AP6663" t="s">
        <v>53</v>
      </c>
    </row>
    <row r="6664" spans="2:42" x14ac:dyDescent="0.2">
      <c r="B6664" t="s">
        <v>44</v>
      </c>
      <c r="C6664" t="str">
        <f>HYPERLINK("https://us2.cloudbeds.com/connect/8493803454333002#/reservations/9080486846889068?display=3AFYDC0VVK&amp;reservation_id=9080486846889068", "3AFYDC0VVK")</f>
        <v>3AFYDC0VVK</v>
      </c>
      <c r="D6664" t="s">
        <v>45</v>
      </c>
      <c r="E6664" t="s">
        <v>305</v>
      </c>
      <c r="F6664" t="s">
        <v>61</v>
      </c>
      <c r="G6664" t="s">
        <v>48</v>
      </c>
      <c r="H6664" t="s">
        <v>49</v>
      </c>
      <c r="I6664" t="s">
        <v>50</v>
      </c>
      <c r="J6664" t="s">
        <v>10121</v>
      </c>
      <c r="K6664" t="s">
        <v>8616</v>
      </c>
      <c r="L6664" t="s">
        <v>53</v>
      </c>
      <c r="N6664" t="s">
        <v>11991</v>
      </c>
      <c r="P6664" t="s">
        <v>55</v>
      </c>
      <c r="R6664" t="s">
        <v>53</v>
      </c>
      <c r="T6664" t="s">
        <v>11992</v>
      </c>
      <c r="U6664" t="s">
        <v>58</v>
      </c>
      <c r="V6664">
        <v>1</v>
      </c>
      <c r="W6664">
        <v>1</v>
      </c>
      <c r="X6664">
        <v>1</v>
      </c>
      <c r="Y6664">
        <v>0</v>
      </c>
      <c r="Z6664">
        <v>1</v>
      </c>
      <c r="AA6664">
        <v>193.21</v>
      </c>
      <c r="AB6664">
        <v>193.21</v>
      </c>
      <c r="AC6664">
        <v>170</v>
      </c>
      <c r="AD6664">
        <v>0</v>
      </c>
      <c r="AE6664">
        <v>23.21</v>
      </c>
      <c r="AF6664">
        <v>0</v>
      </c>
      <c r="AG6664">
        <v>0</v>
      </c>
      <c r="AH6664">
        <v>0</v>
      </c>
      <c r="AI6664">
        <v>34.78</v>
      </c>
      <c r="AJ6664">
        <v>193.21</v>
      </c>
      <c r="AK6664">
        <v>0</v>
      </c>
      <c r="AL6664" t="s">
        <v>53</v>
      </c>
      <c r="AM6664" t="s">
        <v>53</v>
      </c>
      <c r="AN6664" t="s">
        <v>53</v>
      </c>
      <c r="AO6664" t="s">
        <v>53</v>
      </c>
      <c r="AP6664" t="s">
        <v>53</v>
      </c>
    </row>
    <row r="6665" spans="2:42" x14ac:dyDescent="0.2">
      <c r="B6665" t="s">
        <v>44</v>
      </c>
      <c r="C6665" t="str">
        <f>HYPERLINK("https://us2.cloudbeds.com/connect/8493803454333002#/reservations/9080486846889380?display=3AG277X14E&amp;reservation_id=9080486846889380", "3AG277X14E")</f>
        <v>3AG277X14E</v>
      </c>
      <c r="D6665" t="s">
        <v>45</v>
      </c>
      <c r="E6665" t="s">
        <v>105</v>
      </c>
      <c r="F6665" t="s">
        <v>47</v>
      </c>
      <c r="G6665" t="s">
        <v>48</v>
      </c>
      <c r="H6665" t="s">
        <v>49</v>
      </c>
      <c r="I6665" t="s">
        <v>50</v>
      </c>
      <c r="J6665" t="s">
        <v>11557</v>
      </c>
      <c r="K6665" t="s">
        <v>11863</v>
      </c>
      <c r="L6665" t="s">
        <v>53</v>
      </c>
      <c r="N6665" t="s">
        <v>11993</v>
      </c>
      <c r="P6665" t="s">
        <v>55</v>
      </c>
      <c r="R6665" t="s">
        <v>53</v>
      </c>
      <c r="T6665" t="s">
        <v>11994</v>
      </c>
      <c r="U6665" t="s">
        <v>58</v>
      </c>
      <c r="V6665">
        <v>3</v>
      </c>
      <c r="W6665">
        <v>1</v>
      </c>
      <c r="X6665">
        <v>2</v>
      </c>
      <c r="Y6665">
        <v>0</v>
      </c>
      <c r="Z6665">
        <v>2</v>
      </c>
      <c r="AA6665">
        <v>302.32</v>
      </c>
      <c r="AB6665">
        <v>302.32</v>
      </c>
      <c r="AC6665">
        <v>266</v>
      </c>
      <c r="AD6665">
        <v>0</v>
      </c>
      <c r="AE6665">
        <v>36.32</v>
      </c>
      <c r="AF6665">
        <v>0</v>
      </c>
      <c r="AG6665">
        <v>0</v>
      </c>
      <c r="AH6665">
        <v>0</v>
      </c>
      <c r="AI6665">
        <v>54.42</v>
      </c>
      <c r="AJ6665">
        <v>302.32</v>
      </c>
      <c r="AK6665">
        <v>0</v>
      </c>
      <c r="AL6665" t="s">
        <v>53</v>
      </c>
      <c r="AM6665" t="s">
        <v>53</v>
      </c>
      <c r="AN6665" t="s">
        <v>53</v>
      </c>
      <c r="AO6665" t="s">
        <v>53</v>
      </c>
      <c r="AP6665" t="s">
        <v>53</v>
      </c>
    </row>
    <row r="6666" spans="2:42" x14ac:dyDescent="0.2">
      <c r="B6666" t="s">
        <v>44</v>
      </c>
      <c r="C6666" t="str">
        <f>HYPERLINK("https://us2.cloudbeds.com/connect/8493803454333002#/reservations/9080486846889419?display=3AG3QMAVSY&amp;reservation_id=9080486846889419", "3AG3QMAVSY")</f>
        <v>3AG3QMAVSY</v>
      </c>
      <c r="D6666" t="s">
        <v>45</v>
      </c>
      <c r="E6666" t="s">
        <v>223</v>
      </c>
      <c r="F6666" t="s">
        <v>47</v>
      </c>
      <c r="G6666" t="s">
        <v>48</v>
      </c>
      <c r="H6666" t="s">
        <v>49</v>
      </c>
      <c r="I6666" t="s">
        <v>50</v>
      </c>
      <c r="J6666" t="s">
        <v>6379</v>
      </c>
      <c r="K6666" t="s">
        <v>10121</v>
      </c>
      <c r="L6666" t="s">
        <v>53</v>
      </c>
      <c r="N6666" t="s">
        <v>11995</v>
      </c>
      <c r="P6666" t="s">
        <v>55</v>
      </c>
      <c r="R6666" t="s">
        <v>53</v>
      </c>
      <c r="T6666" t="s">
        <v>11996</v>
      </c>
      <c r="U6666" t="s">
        <v>58</v>
      </c>
      <c r="V6666">
        <v>1</v>
      </c>
      <c r="W6666">
        <v>1</v>
      </c>
      <c r="X6666">
        <v>2</v>
      </c>
      <c r="Y6666">
        <v>0</v>
      </c>
      <c r="Z6666">
        <v>2</v>
      </c>
      <c r="AA6666">
        <v>210.26</v>
      </c>
      <c r="AB6666">
        <v>210.26</v>
      </c>
      <c r="AC6666">
        <v>185</v>
      </c>
      <c r="AD6666">
        <v>0</v>
      </c>
      <c r="AE6666">
        <v>25.26</v>
      </c>
      <c r="AF6666">
        <v>0</v>
      </c>
      <c r="AG6666">
        <v>0</v>
      </c>
      <c r="AH6666">
        <v>0</v>
      </c>
      <c r="AI6666">
        <v>37.85</v>
      </c>
      <c r="AJ6666">
        <v>210.26</v>
      </c>
      <c r="AK6666">
        <v>0</v>
      </c>
      <c r="AL6666" t="s">
        <v>53</v>
      </c>
      <c r="AM6666" t="s">
        <v>53</v>
      </c>
      <c r="AN6666" t="s">
        <v>53</v>
      </c>
      <c r="AO6666" t="s">
        <v>53</v>
      </c>
      <c r="AP6666" t="s">
        <v>53</v>
      </c>
    </row>
    <row r="6667" spans="2:42" x14ac:dyDescent="0.2">
      <c r="B6667" t="s">
        <v>44</v>
      </c>
      <c r="C6667" t="str">
        <f>HYPERLINK("https://us2.cloudbeds.com/connect/8493803454333002#/reservations/153993532072071?display=3AGA4M7UCK&amp;reservation_id=153993532072071", "3AGA4M7UCK")</f>
        <v>3AGA4M7UCK</v>
      </c>
      <c r="D6667" t="s">
        <v>45</v>
      </c>
      <c r="E6667" t="s">
        <v>373</v>
      </c>
      <c r="F6667" t="s">
        <v>47</v>
      </c>
      <c r="G6667" t="s">
        <v>48</v>
      </c>
      <c r="H6667" t="s">
        <v>3957</v>
      </c>
      <c r="I6667" t="s">
        <v>3989</v>
      </c>
      <c r="J6667" t="s">
        <v>6379</v>
      </c>
      <c r="K6667" t="s">
        <v>8616</v>
      </c>
      <c r="L6667" t="s">
        <v>53</v>
      </c>
      <c r="P6667" t="s">
        <v>55</v>
      </c>
      <c r="R6667" t="s">
        <v>56</v>
      </c>
      <c r="T6667" t="s">
        <v>11997</v>
      </c>
      <c r="U6667" t="s">
        <v>58</v>
      </c>
      <c r="V6667">
        <v>2</v>
      </c>
      <c r="W6667">
        <v>1</v>
      </c>
      <c r="X6667">
        <v>1</v>
      </c>
      <c r="Y6667">
        <v>1</v>
      </c>
      <c r="Z6667">
        <v>2</v>
      </c>
      <c r="AA6667">
        <v>403.47</v>
      </c>
      <c r="AB6667">
        <v>403.47</v>
      </c>
      <c r="AC6667">
        <v>355</v>
      </c>
      <c r="AD6667">
        <v>0</v>
      </c>
      <c r="AE6667">
        <v>48.47</v>
      </c>
      <c r="AF6667">
        <v>0</v>
      </c>
      <c r="AG6667">
        <v>0</v>
      </c>
      <c r="AH6667">
        <v>0</v>
      </c>
      <c r="AI6667">
        <v>0</v>
      </c>
      <c r="AJ6667">
        <v>403.47</v>
      </c>
      <c r="AK6667">
        <v>0</v>
      </c>
      <c r="AL6667" t="s">
        <v>53</v>
      </c>
      <c r="AM6667" t="s">
        <v>53</v>
      </c>
      <c r="AN6667" t="s">
        <v>53</v>
      </c>
      <c r="AO6667" t="s">
        <v>53</v>
      </c>
      <c r="AP6667" t="s">
        <v>53</v>
      </c>
    </row>
    <row r="6668" spans="2:42" x14ac:dyDescent="0.2">
      <c r="B6668" t="s">
        <v>44</v>
      </c>
      <c r="C6668" t="str">
        <f>HYPERLINK("https://us2.cloudbeds.com/connect/8493803454333002#/reservations/9080486846889659?display=3AGFH530R7&amp;reservation_id=9080486846889659", "3AGFH530R7")</f>
        <v>3AGFH530R7</v>
      </c>
      <c r="D6668" t="s">
        <v>45</v>
      </c>
      <c r="E6668" t="s">
        <v>213</v>
      </c>
      <c r="F6668" t="s">
        <v>86</v>
      </c>
      <c r="G6668" t="s">
        <v>48</v>
      </c>
      <c r="H6668" t="s">
        <v>49</v>
      </c>
      <c r="I6668" t="s">
        <v>8964</v>
      </c>
      <c r="J6668" t="s">
        <v>11370</v>
      </c>
      <c r="K6668" t="s">
        <v>11998</v>
      </c>
      <c r="L6668" t="s">
        <v>53</v>
      </c>
      <c r="N6668" t="s">
        <v>11999</v>
      </c>
      <c r="P6668" t="s">
        <v>55</v>
      </c>
      <c r="R6668" t="s">
        <v>53</v>
      </c>
      <c r="T6668" t="s">
        <v>12000</v>
      </c>
      <c r="U6668" t="s">
        <v>55</v>
      </c>
      <c r="V6668">
        <v>1</v>
      </c>
      <c r="W6668">
        <v>1</v>
      </c>
      <c r="X6668">
        <v>2</v>
      </c>
      <c r="Y6668">
        <v>2</v>
      </c>
      <c r="Z6668">
        <v>4</v>
      </c>
      <c r="AA6668">
        <v>0</v>
      </c>
      <c r="AB6668">
        <v>0</v>
      </c>
      <c r="AC6668">
        <v>126</v>
      </c>
      <c r="AD6668">
        <v>0</v>
      </c>
      <c r="AE6668">
        <v>0</v>
      </c>
      <c r="AF6668">
        <v>0</v>
      </c>
      <c r="AG6668">
        <v>0</v>
      </c>
      <c r="AH6668">
        <v>0</v>
      </c>
      <c r="AI6668">
        <v>18.899999999999999</v>
      </c>
      <c r="AJ6668">
        <v>126</v>
      </c>
      <c r="AK6668">
        <v>126</v>
      </c>
      <c r="AL6668" t="s">
        <v>53</v>
      </c>
      <c r="AM6668" t="s">
        <v>53</v>
      </c>
      <c r="AN6668" t="s">
        <v>53</v>
      </c>
      <c r="AO6668" t="s">
        <v>53</v>
      </c>
      <c r="AP6668" t="s">
        <v>53</v>
      </c>
    </row>
    <row r="6669" spans="2:42" x14ac:dyDescent="0.2">
      <c r="B6669" t="s">
        <v>44</v>
      </c>
      <c r="C6669" t="str">
        <f>HYPERLINK("https://us2.cloudbeds.com/connect/8493803454333002#/reservations/154234076004506?display=3AYVD48E4D&amp;reservation_id=154234076004506", "3AYVD48E4D")</f>
        <v>3AYVD48E4D</v>
      </c>
      <c r="D6669" t="s">
        <v>45</v>
      </c>
      <c r="E6669" t="s">
        <v>165</v>
      </c>
      <c r="F6669" t="s">
        <v>61</v>
      </c>
      <c r="G6669" t="s">
        <v>48</v>
      </c>
      <c r="H6669" t="s">
        <v>3957</v>
      </c>
      <c r="I6669" t="s">
        <v>3975</v>
      </c>
      <c r="J6669" t="s">
        <v>8818</v>
      </c>
      <c r="K6669" t="s">
        <v>7439</v>
      </c>
      <c r="L6669" t="s">
        <v>53</v>
      </c>
      <c r="P6669" t="s">
        <v>55</v>
      </c>
      <c r="R6669" t="s">
        <v>56</v>
      </c>
      <c r="T6669" t="s">
        <v>12001</v>
      </c>
      <c r="U6669" t="s">
        <v>58</v>
      </c>
      <c r="V6669">
        <v>1</v>
      </c>
      <c r="W6669">
        <v>1</v>
      </c>
      <c r="X6669">
        <v>2</v>
      </c>
      <c r="Y6669">
        <v>0</v>
      </c>
      <c r="Z6669">
        <v>2</v>
      </c>
      <c r="AA6669">
        <v>178.43</v>
      </c>
      <c r="AB6669">
        <v>178.43</v>
      </c>
      <c r="AC6669">
        <v>157</v>
      </c>
      <c r="AD6669">
        <v>0</v>
      </c>
      <c r="AE6669">
        <v>21.43</v>
      </c>
      <c r="AF6669">
        <v>0</v>
      </c>
      <c r="AG6669">
        <v>0</v>
      </c>
      <c r="AH6669">
        <v>0</v>
      </c>
      <c r="AI6669">
        <v>0</v>
      </c>
      <c r="AJ6669">
        <v>178.43</v>
      </c>
      <c r="AK6669">
        <v>0</v>
      </c>
      <c r="AL6669" t="s">
        <v>53</v>
      </c>
      <c r="AM6669" t="s">
        <v>53</v>
      </c>
      <c r="AN6669" t="s">
        <v>53</v>
      </c>
      <c r="AO6669" t="s">
        <v>53</v>
      </c>
      <c r="AP6669" t="s">
        <v>53</v>
      </c>
    </row>
    <row r="6670" spans="2:42" x14ac:dyDescent="0.2">
      <c r="B6670" t="s">
        <v>44</v>
      </c>
      <c r="C6670" t="str">
        <f>HYPERLINK("https://us2.cloudbeds.com/connect/8493803454333002#/reservations/9080486846895068?display=3AMTS4CEGZ&amp;reservation_id=9080486846895068", "3AMTS4CEGZ")</f>
        <v>3AMTS4CEGZ</v>
      </c>
      <c r="D6670" t="s">
        <v>45</v>
      </c>
      <c r="E6670" t="s">
        <v>113</v>
      </c>
      <c r="F6670" t="s">
        <v>61</v>
      </c>
      <c r="G6670" t="s">
        <v>48</v>
      </c>
      <c r="H6670" t="s">
        <v>49</v>
      </c>
      <c r="I6670" t="s">
        <v>62</v>
      </c>
      <c r="J6670" t="s">
        <v>8616</v>
      </c>
      <c r="K6670" t="s">
        <v>10717</v>
      </c>
      <c r="L6670" t="s">
        <v>53</v>
      </c>
      <c r="N6670" t="s">
        <v>12002</v>
      </c>
      <c r="P6670" t="s">
        <v>55</v>
      </c>
      <c r="R6670" t="s">
        <v>56</v>
      </c>
      <c r="T6670" t="s">
        <v>12003</v>
      </c>
      <c r="U6670" t="s">
        <v>55</v>
      </c>
      <c r="V6670">
        <v>1</v>
      </c>
      <c r="W6670">
        <v>1</v>
      </c>
      <c r="X6670">
        <v>2</v>
      </c>
      <c r="Y6670">
        <v>0</v>
      </c>
      <c r="Z6670">
        <v>2</v>
      </c>
      <c r="AA6670">
        <v>196</v>
      </c>
      <c r="AB6670">
        <v>196</v>
      </c>
      <c r="AC6670">
        <v>196</v>
      </c>
      <c r="AD6670">
        <v>0</v>
      </c>
      <c r="AE6670">
        <v>0</v>
      </c>
      <c r="AF6670">
        <v>0</v>
      </c>
      <c r="AG6670">
        <v>0</v>
      </c>
      <c r="AH6670">
        <v>0</v>
      </c>
      <c r="AI6670">
        <v>35.28</v>
      </c>
      <c r="AJ6670">
        <v>196</v>
      </c>
      <c r="AK6670">
        <v>0</v>
      </c>
      <c r="AL6670" t="s">
        <v>53</v>
      </c>
      <c r="AM6670" t="s">
        <v>53</v>
      </c>
      <c r="AN6670" t="s">
        <v>53</v>
      </c>
      <c r="AO6670" t="s">
        <v>53</v>
      </c>
      <c r="AP6670" t="s">
        <v>53</v>
      </c>
    </row>
    <row r="6671" spans="2:42" x14ac:dyDescent="0.2">
      <c r="B6671" t="s">
        <v>44</v>
      </c>
      <c r="C6671" t="str">
        <f>HYPERLINK("https://us2.cloudbeds.com/connect/8493803454333002#/reservations/154274958418141?display=3AMU1PCS4Y&amp;reservation_id=154274958418141", "3AMU1PCS4Y")</f>
        <v>3AMU1PCS4Y</v>
      </c>
      <c r="D6671" t="s">
        <v>45</v>
      </c>
      <c r="E6671" t="s">
        <v>265</v>
      </c>
      <c r="F6671" t="s">
        <v>61</v>
      </c>
      <c r="G6671" t="s">
        <v>7801</v>
      </c>
      <c r="H6671" t="s">
        <v>3957</v>
      </c>
      <c r="I6671" t="s">
        <v>3958</v>
      </c>
      <c r="J6671" t="s">
        <v>10121</v>
      </c>
      <c r="K6671" t="s">
        <v>8616</v>
      </c>
      <c r="L6671" t="s">
        <v>53</v>
      </c>
      <c r="P6671" t="s">
        <v>55</v>
      </c>
      <c r="R6671" t="s">
        <v>56</v>
      </c>
      <c r="T6671" t="s">
        <v>12004</v>
      </c>
      <c r="U6671" t="s">
        <v>58</v>
      </c>
      <c r="V6671">
        <v>1</v>
      </c>
      <c r="W6671">
        <v>1</v>
      </c>
      <c r="X6671">
        <v>1</v>
      </c>
      <c r="Y6671">
        <v>0</v>
      </c>
      <c r="Z6671">
        <v>1</v>
      </c>
      <c r="AA6671">
        <v>186.16</v>
      </c>
      <c r="AB6671">
        <v>186.16</v>
      </c>
      <c r="AC6671">
        <v>163.80000000000001</v>
      </c>
      <c r="AD6671">
        <v>0</v>
      </c>
      <c r="AE6671">
        <v>22.36</v>
      </c>
      <c r="AF6671">
        <v>0</v>
      </c>
      <c r="AG6671">
        <v>0</v>
      </c>
      <c r="AH6671">
        <v>0</v>
      </c>
      <c r="AI6671">
        <v>0</v>
      </c>
      <c r="AJ6671">
        <v>186.16</v>
      </c>
      <c r="AK6671">
        <v>0</v>
      </c>
      <c r="AL6671" t="s">
        <v>53</v>
      </c>
      <c r="AM6671" t="s">
        <v>53</v>
      </c>
      <c r="AN6671" t="s">
        <v>53</v>
      </c>
      <c r="AO6671" t="s">
        <v>53</v>
      </c>
      <c r="AP6671" t="s">
        <v>53</v>
      </c>
    </row>
    <row r="6672" spans="2:42" x14ac:dyDescent="0.2">
      <c r="B6672" t="s">
        <v>44</v>
      </c>
      <c r="C6672" t="str">
        <f>HYPERLINK("https://us2.cloudbeds.com/connect/8493803454333002#/reservations/9080486846895148?display=3AMW7UCF19&amp;reservation_id=9080486846895148", "3AMW7UCF19")</f>
        <v>3AMW7UCF19</v>
      </c>
      <c r="D6672" t="s">
        <v>45</v>
      </c>
      <c r="E6672" t="s">
        <v>165</v>
      </c>
      <c r="F6672" t="s">
        <v>61</v>
      </c>
      <c r="G6672" t="s">
        <v>48</v>
      </c>
      <c r="H6672" t="s">
        <v>49</v>
      </c>
      <c r="I6672" t="s">
        <v>8964</v>
      </c>
      <c r="J6672" t="s">
        <v>8616</v>
      </c>
      <c r="K6672" t="s">
        <v>10717</v>
      </c>
      <c r="L6672" t="s">
        <v>53</v>
      </c>
      <c r="N6672" t="s">
        <v>12005</v>
      </c>
      <c r="P6672" t="s">
        <v>55</v>
      </c>
      <c r="R6672" t="s">
        <v>53</v>
      </c>
      <c r="T6672" t="s">
        <v>12006</v>
      </c>
      <c r="U6672" t="s">
        <v>55</v>
      </c>
      <c r="V6672">
        <v>1</v>
      </c>
      <c r="W6672">
        <v>1</v>
      </c>
      <c r="X6672">
        <v>2</v>
      </c>
      <c r="Y6672">
        <v>0</v>
      </c>
      <c r="Z6672">
        <v>2</v>
      </c>
      <c r="AA6672">
        <v>0</v>
      </c>
      <c r="AB6672">
        <v>0</v>
      </c>
      <c r="AC6672">
        <v>199</v>
      </c>
      <c r="AD6672">
        <v>0</v>
      </c>
      <c r="AE6672">
        <v>0</v>
      </c>
      <c r="AF6672">
        <v>0</v>
      </c>
      <c r="AG6672">
        <v>0</v>
      </c>
      <c r="AH6672">
        <v>0</v>
      </c>
      <c r="AI6672">
        <v>29.85</v>
      </c>
      <c r="AJ6672">
        <v>199</v>
      </c>
      <c r="AK6672">
        <v>199</v>
      </c>
      <c r="AL6672" t="s">
        <v>53</v>
      </c>
      <c r="AM6672" t="s">
        <v>53</v>
      </c>
      <c r="AN6672" t="s">
        <v>53</v>
      </c>
      <c r="AO6672" t="s">
        <v>53</v>
      </c>
      <c r="AP6672" t="s">
        <v>53</v>
      </c>
    </row>
    <row r="6673" spans="2:42" x14ac:dyDescent="0.2">
      <c r="B6673" t="s">
        <v>44</v>
      </c>
      <c r="C6673" t="str">
        <f>HYPERLINK("https://us2.cloudbeds.com/connect/8493803454333002#/reservations/9080486846895210?display=3AN1R5X8EH&amp;reservation_id=9080486846895210", "3AN1R5X8EH")</f>
        <v>3AN1R5X8EH</v>
      </c>
      <c r="D6673" t="s">
        <v>45</v>
      </c>
      <c r="E6673" t="s">
        <v>406</v>
      </c>
      <c r="F6673" t="s">
        <v>61</v>
      </c>
      <c r="G6673" t="s">
        <v>48</v>
      </c>
      <c r="H6673" t="s">
        <v>49</v>
      </c>
      <c r="I6673" t="s">
        <v>50</v>
      </c>
      <c r="J6673" t="s">
        <v>8616</v>
      </c>
      <c r="K6673" t="s">
        <v>10717</v>
      </c>
      <c r="L6673" t="s">
        <v>53</v>
      </c>
      <c r="N6673" t="s">
        <v>12007</v>
      </c>
      <c r="P6673" t="s">
        <v>55</v>
      </c>
      <c r="R6673" t="s">
        <v>53</v>
      </c>
      <c r="T6673" t="s">
        <v>12008</v>
      </c>
      <c r="U6673" t="s">
        <v>58</v>
      </c>
      <c r="V6673">
        <v>1</v>
      </c>
      <c r="W6673">
        <v>1</v>
      </c>
      <c r="X6673">
        <v>2</v>
      </c>
      <c r="Y6673">
        <v>0</v>
      </c>
      <c r="Z6673">
        <v>2</v>
      </c>
      <c r="AA6673">
        <v>222.75</v>
      </c>
      <c r="AB6673">
        <v>222.75</v>
      </c>
      <c r="AC6673">
        <v>196</v>
      </c>
      <c r="AD6673">
        <v>0</v>
      </c>
      <c r="AE6673">
        <v>26.75</v>
      </c>
      <c r="AF6673">
        <v>0</v>
      </c>
      <c r="AG6673">
        <v>0</v>
      </c>
      <c r="AH6673">
        <v>0</v>
      </c>
      <c r="AI6673">
        <v>40.1</v>
      </c>
      <c r="AJ6673">
        <v>222.75</v>
      </c>
      <c r="AK6673">
        <v>0</v>
      </c>
      <c r="AL6673" t="s">
        <v>53</v>
      </c>
      <c r="AM6673" t="s">
        <v>53</v>
      </c>
      <c r="AN6673" t="s">
        <v>53</v>
      </c>
      <c r="AO6673" t="s">
        <v>53</v>
      </c>
      <c r="AP6673" t="s">
        <v>53</v>
      </c>
    </row>
    <row r="6674" spans="2:42" x14ac:dyDescent="0.2">
      <c r="B6674" t="s">
        <v>44</v>
      </c>
      <c r="C6674" t="str">
        <f>HYPERLINK("https://us2.cloudbeds.com/connect/8493803454333002#/reservations/154299657011394?display=3ANG5STKDE&amp;reservation_id=154299657011394", "3ANG5STKDE")</f>
        <v>3ANG5STKDE</v>
      </c>
      <c r="D6674" t="s">
        <v>45</v>
      </c>
      <c r="E6674" t="s">
        <v>185</v>
      </c>
      <c r="F6674" t="s">
        <v>47</v>
      </c>
      <c r="G6674" t="s">
        <v>4520</v>
      </c>
      <c r="H6674" t="s">
        <v>3957</v>
      </c>
      <c r="I6674" t="s">
        <v>3958</v>
      </c>
      <c r="J6674" t="s">
        <v>7439</v>
      </c>
      <c r="K6674" t="s">
        <v>8819</v>
      </c>
      <c r="L6674" t="s">
        <v>53</v>
      </c>
      <c r="P6674" t="s">
        <v>55</v>
      </c>
      <c r="R6674" t="s">
        <v>56</v>
      </c>
      <c r="T6674" t="s">
        <v>12009</v>
      </c>
      <c r="U6674" t="s">
        <v>58</v>
      </c>
      <c r="V6674">
        <v>3</v>
      </c>
      <c r="W6674">
        <v>1</v>
      </c>
      <c r="X6674">
        <v>1</v>
      </c>
      <c r="Y6674">
        <v>0</v>
      </c>
      <c r="Z6674">
        <v>1</v>
      </c>
      <c r="AA6674">
        <v>409.13</v>
      </c>
      <c r="AB6674">
        <v>409.13</v>
      </c>
      <c r="AC6674">
        <v>360</v>
      </c>
      <c r="AD6674">
        <v>0</v>
      </c>
      <c r="AE6674">
        <v>49.13</v>
      </c>
      <c r="AF6674">
        <v>0</v>
      </c>
      <c r="AG6674">
        <v>0</v>
      </c>
      <c r="AH6674">
        <v>0</v>
      </c>
      <c r="AI6674">
        <v>0</v>
      </c>
      <c r="AJ6674">
        <v>409.13</v>
      </c>
      <c r="AK6674">
        <v>0</v>
      </c>
      <c r="AL6674" t="s">
        <v>53</v>
      </c>
      <c r="AM6674" t="s">
        <v>53</v>
      </c>
      <c r="AN6674" t="s">
        <v>53</v>
      </c>
      <c r="AO6674" t="s">
        <v>53</v>
      </c>
      <c r="AP6674" t="s">
        <v>53</v>
      </c>
    </row>
    <row r="6675" spans="2:42" x14ac:dyDescent="0.2">
      <c r="B6675" t="s">
        <v>44</v>
      </c>
      <c r="C6675" t="str">
        <f>HYPERLINK("https://us2.cloudbeds.com/connect/8493803454333002#/reservations/9080486846897084?display=3APY1JEVFW&amp;reservation_id=9080486846897084", "3APY1JEVFW")</f>
        <v>3APY1JEVFW</v>
      </c>
      <c r="D6675" t="s">
        <v>45</v>
      </c>
      <c r="E6675" t="s">
        <v>105</v>
      </c>
      <c r="F6675" t="s">
        <v>47</v>
      </c>
      <c r="G6675" t="s">
        <v>48</v>
      </c>
      <c r="H6675" t="s">
        <v>49</v>
      </c>
      <c r="I6675" t="s">
        <v>62</v>
      </c>
      <c r="J6675" t="s">
        <v>11863</v>
      </c>
      <c r="K6675" t="s">
        <v>9658</v>
      </c>
      <c r="L6675" t="s">
        <v>53</v>
      </c>
      <c r="N6675" t="s">
        <v>12010</v>
      </c>
      <c r="P6675" t="s">
        <v>55</v>
      </c>
      <c r="R6675" t="s">
        <v>56</v>
      </c>
      <c r="T6675" t="s">
        <v>12011</v>
      </c>
      <c r="U6675" t="s">
        <v>55</v>
      </c>
      <c r="V6675">
        <v>2</v>
      </c>
      <c r="W6675">
        <v>1</v>
      </c>
      <c r="X6675">
        <v>2</v>
      </c>
      <c r="Y6675">
        <v>0</v>
      </c>
      <c r="Z6675">
        <v>2</v>
      </c>
      <c r="AA6675">
        <v>183</v>
      </c>
      <c r="AB6675">
        <v>183</v>
      </c>
      <c r="AC6675">
        <v>183</v>
      </c>
      <c r="AD6675">
        <v>0</v>
      </c>
      <c r="AE6675">
        <v>0</v>
      </c>
      <c r="AF6675">
        <v>0</v>
      </c>
      <c r="AG6675">
        <v>0</v>
      </c>
      <c r="AH6675">
        <v>0</v>
      </c>
      <c r="AI6675">
        <v>32.94</v>
      </c>
      <c r="AJ6675">
        <v>183</v>
      </c>
      <c r="AK6675">
        <v>0</v>
      </c>
      <c r="AL6675" t="s">
        <v>53</v>
      </c>
      <c r="AM6675" t="s">
        <v>53</v>
      </c>
      <c r="AN6675" t="s">
        <v>53</v>
      </c>
      <c r="AO6675" t="s">
        <v>53</v>
      </c>
      <c r="AP6675" t="s">
        <v>53</v>
      </c>
    </row>
    <row r="6676" spans="2:42" x14ac:dyDescent="0.2">
      <c r="B6676" t="s">
        <v>44</v>
      </c>
      <c r="C6676" t="str">
        <f>HYPERLINK("https://us2.cloudbeds.com/connect/8493803454333002#/reservations/9080486846900128?display=3ATJTKRF74&amp;reservation_id=9080486846900128", "3ATJTKRF74")</f>
        <v>3ATJTKRF74</v>
      </c>
      <c r="D6676" t="s">
        <v>45</v>
      </c>
      <c r="E6676" t="s">
        <v>487</v>
      </c>
      <c r="F6676" t="s">
        <v>61</v>
      </c>
      <c r="G6676" t="s">
        <v>48</v>
      </c>
      <c r="H6676" t="s">
        <v>49</v>
      </c>
      <c r="I6676" t="s">
        <v>62</v>
      </c>
      <c r="J6676" t="s">
        <v>10717</v>
      </c>
      <c r="K6676" t="s">
        <v>6380</v>
      </c>
      <c r="L6676" t="s">
        <v>53</v>
      </c>
      <c r="N6676" t="s">
        <v>12012</v>
      </c>
      <c r="P6676" t="s">
        <v>55</v>
      </c>
      <c r="R6676" t="s">
        <v>56</v>
      </c>
      <c r="T6676" t="s">
        <v>12013</v>
      </c>
      <c r="U6676" t="s">
        <v>55</v>
      </c>
      <c r="V6676">
        <v>1</v>
      </c>
      <c r="W6676">
        <v>1</v>
      </c>
      <c r="X6676">
        <v>2</v>
      </c>
      <c r="Y6676">
        <v>0</v>
      </c>
      <c r="Z6676">
        <v>2</v>
      </c>
      <c r="AA6676">
        <v>194</v>
      </c>
      <c r="AB6676">
        <v>194</v>
      </c>
      <c r="AC6676">
        <v>194</v>
      </c>
      <c r="AD6676">
        <v>0</v>
      </c>
      <c r="AE6676">
        <v>0</v>
      </c>
      <c r="AF6676">
        <v>0</v>
      </c>
      <c r="AG6676">
        <v>0</v>
      </c>
      <c r="AH6676">
        <v>0</v>
      </c>
      <c r="AI6676">
        <v>34.92</v>
      </c>
      <c r="AJ6676">
        <v>194</v>
      </c>
      <c r="AK6676">
        <v>0</v>
      </c>
      <c r="AL6676" t="s">
        <v>53</v>
      </c>
      <c r="AM6676" t="s">
        <v>53</v>
      </c>
      <c r="AN6676" t="s">
        <v>12014</v>
      </c>
      <c r="AO6676" t="s">
        <v>53</v>
      </c>
      <c r="AP6676" t="s">
        <v>53</v>
      </c>
    </row>
    <row r="6677" spans="2:42" x14ac:dyDescent="0.2">
      <c r="B6677" t="s">
        <v>44</v>
      </c>
      <c r="C6677" t="str">
        <f>HYPERLINK("https://us2.cloudbeds.com/connect/8493803454333002#/reservations/9080486846901601?display=3AV2T66YEY&amp;reservation_id=9080486846901601", "3AV2T66YEY")</f>
        <v>3AV2T66YEY</v>
      </c>
      <c r="D6677" t="s">
        <v>45</v>
      </c>
      <c r="E6677" t="s">
        <v>223</v>
      </c>
      <c r="F6677" t="s">
        <v>47</v>
      </c>
      <c r="G6677" t="s">
        <v>48</v>
      </c>
      <c r="H6677" t="s">
        <v>49</v>
      </c>
      <c r="I6677" t="s">
        <v>50</v>
      </c>
      <c r="J6677" t="s">
        <v>7439</v>
      </c>
      <c r="K6677" t="s">
        <v>8021</v>
      </c>
      <c r="L6677" t="s">
        <v>53</v>
      </c>
      <c r="N6677" t="s">
        <v>12015</v>
      </c>
      <c r="P6677" t="s">
        <v>55</v>
      </c>
      <c r="R6677" t="s">
        <v>53</v>
      </c>
      <c r="T6677" t="s">
        <v>12016</v>
      </c>
      <c r="U6677" t="s">
        <v>58</v>
      </c>
      <c r="V6677">
        <v>2</v>
      </c>
      <c r="W6677">
        <v>1</v>
      </c>
      <c r="X6677">
        <v>2</v>
      </c>
      <c r="Y6677">
        <v>0</v>
      </c>
      <c r="Z6677">
        <v>2</v>
      </c>
      <c r="AA6677">
        <v>310.95</v>
      </c>
      <c r="AB6677">
        <v>310.95</v>
      </c>
      <c r="AC6677">
        <v>273.60000000000002</v>
      </c>
      <c r="AD6677">
        <v>0</v>
      </c>
      <c r="AE6677">
        <v>37.35</v>
      </c>
      <c r="AF6677">
        <v>0</v>
      </c>
      <c r="AG6677">
        <v>0</v>
      </c>
      <c r="AH6677">
        <v>0</v>
      </c>
      <c r="AI6677">
        <v>55.97</v>
      </c>
      <c r="AJ6677">
        <v>310.95</v>
      </c>
      <c r="AK6677">
        <v>0</v>
      </c>
      <c r="AL6677" t="s">
        <v>53</v>
      </c>
      <c r="AM6677" t="s">
        <v>53</v>
      </c>
      <c r="AN6677" t="s">
        <v>53</v>
      </c>
      <c r="AO6677" t="s">
        <v>53</v>
      </c>
      <c r="AP6677" t="s">
        <v>53</v>
      </c>
    </row>
    <row r="6678" spans="2:42" x14ac:dyDescent="0.2">
      <c r="B6678" t="s">
        <v>44</v>
      </c>
      <c r="C6678" t="str">
        <f>HYPERLINK("https://us2.cloudbeds.com/connect/8493803454333002#/reservations/154651089621131?display=3AVZ9Q613P&amp;reservation_id=154651089621131", "3AVZ9Q613P")</f>
        <v>3AVZ9Q613P</v>
      </c>
      <c r="D6678" t="s">
        <v>45</v>
      </c>
      <c r="E6678" t="s">
        <v>487</v>
      </c>
      <c r="F6678" t="s">
        <v>61</v>
      </c>
      <c r="G6678" t="s">
        <v>48</v>
      </c>
      <c r="H6678" t="s">
        <v>3957</v>
      </c>
      <c r="I6678" t="s">
        <v>3958</v>
      </c>
      <c r="J6678" t="s">
        <v>8616</v>
      </c>
      <c r="K6678" t="s">
        <v>10717</v>
      </c>
      <c r="L6678" t="s">
        <v>53</v>
      </c>
      <c r="P6678" t="s">
        <v>55</v>
      </c>
      <c r="R6678" t="s">
        <v>56</v>
      </c>
      <c r="T6678" t="s">
        <v>12017</v>
      </c>
      <c r="U6678" t="s">
        <v>58</v>
      </c>
      <c r="V6678">
        <v>1</v>
      </c>
      <c r="W6678">
        <v>1</v>
      </c>
      <c r="X6678">
        <v>1</v>
      </c>
      <c r="Y6678">
        <v>0</v>
      </c>
      <c r="Z6678">
        <v>1</v>
      </c>
      <c r="AA6678">
        <v>226.17</v>
      </c>
      <c r="AB6678">
        <v>226.17</v>
      </c>
      <c r="AC6678">
        <v>199</v>
      </c>
      <c r="AD6678">
        <v>0</v>
      </c>
      <c r="AE6678">
        <v>27.17</v>
      </c>
      <c r="AF6678">
        <v>0</v>
      </c>
      <c r="AG6678">
        <v>0</v>
      </c>
      <c r="AH6678">
        <v>0</v>
      </c>
      <c r="AI6678">
        <v>0</v>
      </c>
      <c r="AJ6678">
        <v>226.17</v>
      </c>
      <c r="AK6678">
        <v>0</v>
      </c>
      <c r="AL6678" t="s">
        <v>53</v>
      </c>
      <c r="AM6678" t="s">
        <v>53</v>
      </c>
      <c r="AN6678" t="s">
        <v>53</v>
      </c>
      <c r="AO6678" t="s">
        <v>53</v>
      </c>
      <c r="AP6678" t="s">
        <v>53</v>
      </c>
    </row>
    <row r="6679" spans="2:42" x14ac:dyDescent="0.2">
      <c r="B6679" t="s">
        <v>44</v>
      </c>
      <c r="C6679" t="str">
        <f>HYPERLINK("https://us2.cloudbeds.com/connect/8493803454333002#/reservations/154709661237447?display=3B03YEAJZT&amp;reservation_id=154709661237447", "3B03YEAJZT")</f>
        <v>3B03YEAJZT</v>
      </c>
      <c r="D6679" t="s">
        <v>45</v>
      </c>
      <c r="E6679" t="s">
        <v>265</v>
      </c>
      <c r="F6679" t="s">
        <v>61</v>
      </c>
      <c r="G6679" t="s">
        <v>48</v>
      </c>
      <c r="H6679" t="s">
        <v>3957</v>
      </c>
      <c r="I6679" t="s">
        <v>3958</v>
      </c>
      <c r="J6679" t="s">
        <v>8616</v>
      </c>
      <c r="K6679" t="s">
        <v>10717</v>
      </c>
      <c r="L6679" t="s">
        <v>53</v>
      </c>
      <c r="P6679" t="s">
        <v>55</v>
      </c>
      <c r="R6679" t="s">
        <v>56</v>
      </c>
      <c r="T6679" t="s">
        <v>12018</v>
      </c>
      <c r="U6679" t="s">
        <v>58</v>
      </c>
      <c r="V6679">
        <v>1</v>
      </c>
      <c r="W6679">
        <v>1</v>
      </c>
      <c r="X6679">
        <v>1</v>
      </c>
      <c r="Y6679">
        <v>0</v>
      </c>
      <c r="Z6679">
        <v>1</v>
      </c>
      <c r="AA6679">
        <v>226.17</v>
      </c>
      <c r="AB6679">
        <v>226.17</v>
      </c>
      <c r="AC6679">
        <v>199</v>
      </c>
      <c r="AD6679">
        <v>0</v>
      </c>
      <c r="AE6679">
        <v>27.17</v>
      </c>
      <c r="AF6679">
        <v>0</v>
      </c>
      <c r="AG6679">
        <v>0</v>
      </c>
      <c r="AH6679">
        <v>0</v>
      </c>
      <c r="AI6679">
        <v>0</v>
      </c>
      <c r="AJ6679">
        <v>226.17</v>
      </c>
      <c r="AK6679">
        <v>0</v>
      </c>
      <c r="AL6679" t="s">
        <v>53</v>
      </c>
      <c r="AM6679" t="s">
        <v>53</v>
      </c>
      <c r="AN6679" t="s">
        <v>53</v>
      </c>
      <c r="AO6679" t="s">
        <v>53</v>
      </c>
      <c r="AP6679" t="s">
        <v>53</v>
      </c>
    </row>
    <row r="6680" spans="2:42" x14ac:dyDescent="0.2">
      <c r="B6680" t="s">
        <v>44</v>
      </c>
      <c r="C6680" t="str">
        <f>HYPERLINK("https://us2.cloudbeds.com/connect/8493803454333002#/reservations/9080486846903402?display=3B0PEY5WGZ&amp;reservation_id=9080486846903402", "3B0PEY5WGZ")</f>
        <v>3B0PEY5WGZ</v>
      </c>
      <c r="D6680" t="s">
        <v>45</v>
      </c>
      <c r="E6680" t="s">
        <v>165</v>
      </c>
      <c r="F6680" t="s">
        <v>61</v>
      </c>
      <c r="G6680" t="s">
        <v>48</v>
      </c>
      <c r="H6680" t="s">
        <v>49</v>
      </c>
      <c r="I6680" t="s">
        <v>50</v>
      </c>
      <c r="J6680" t="s">
        <v>10717</v>
      </c>
      <c r="K6680" t="s">
        <v>6380</v>
      </c>
      <c r="L6680" t="s">
        <v>53</v>
      </c>
      <c r="N6680" t="s">
        <v>12019</v>
      </c>
      <c r="P6680" t="s">
        <v>55</v>
      </c>
      <c r="R6680" t="s">
        <v>53</v>
      </c>
      <c r="T6680" t="s">
        <v>12020</v>
      </c>
      <c r="U6680" t="s">
        <v>58</v>
      </c>
      <c r="V6680">
        <v>1</v>
      </c>
      <c r="W6680">
        <v>1</v>
      </c>
      <c r="X6680">
        <v>2</v>
      </c>
      <c r="Y6680">
        <v>0</v>
      </c>
      <c r="Z6680">
        <v>2</v>
      </c>
      <c r="AA6680">
        <v>210.26</v>
      </c>
      <c r="AB6680">
        <v>210.26</v>
      </c>
      <c r="AC6680">
        <v>185</v>
      </c>
      <c r="AD6680">
        <v>0</v>
      </c>
      <c r="AE6680">
        <v>25.26</v>
      </c>
      <c r="AF6680">
        <v>0</v>
      </c>
      <c r="AG6680">
        <v>0</v>
      </c>
      <c r="AH6680">
        <v>0</v>
      </c>
      <c r="AI6680">
        <v>37.85</v>
      </c>
      <c r="AJ6680">
        <v>210.26</v>
      </c>
      <c r="AK6680">
        <v>0</v>
      </c>
      <c r="AL6680" t="s">
        <v>53</v>
      </c>
      <c r="AM6680" t="s">
        <v>53</v>
      </c>
      <c r="AN6680" t="s">
        <v>53</v>
      </c>
      <c r="AO6680" t="s">
        <v>53</v>
      </c>
      <c r="AP6680" t="s">
        <v>53</v>
      </c>
    </row>
    <row r="6681" spans="2:42" x14ac:dyDescent="0.2">
      <c r="B6681" t="s">
        <v>44</v>
      </c>
      <c r="C6681" t="str">
        <f>HYPERLINK("https://us2.cloudbeds.com/connect/8493803454333002#/reservations/9080486846906238?display=3B4U3YNGNQ&amp;reservation_id=9080486846906238", "3B4U3YNGNQ")</f>
        <v>3B4U3YNGNQ</v>
      </c>
      <c r="D6681" t="s">
        <v>45</v>
      </c>
      <c r="E6681" t="s">
        <v>265</v>
      </c>
      <c r="F6681" t="s">
        <v>61</v>
      </c>
      <c r="G6681" t="s">
        <v>48</v>
      </c>
      <c r="H6681" t="s">
        <v>49</v>
      </c>
      <c r="I6681" t="s">
        <v>50</v>
      </c>
      <c r="J6681" t="s">
        <v>10717</v>
      </c>
      <c r="K6681" t="s">
        <v>6380</v>
      </c>
      <c r="L6681" t="s">
        <v>53</v>
      </c>
      <c r="N6681" t="s">
        <v>12021</v>
      </c>
      <c r="P6681" t="s">
        <v>55</v>
      </c>
      <c r="R6681" t="s">
        <v>53</v>
      </c>
      <c r="T6681" t="s">
        <v>12022</v>
      </c>
      <c r="U6681" t="s">
        <v>58</v>
      </c>
      <c r="V6681">
        <v>1</v>
      </c>
      <c r="W6681">
        <v>1</v>
      </c>
      <c r="X6681">
        <v>2</v>
      </c>
      <c r="Y6681">
        <v>0</v>
      </c>
      <c r="Z6681">
        <v>2</v>
      </c>
      <c r="AA6681">
        <v>178.72</v>
      </c>
      <c r="AB6681">
        <v>178.72</v>
      </c>
      <c r="AC6681">
        <v>157.25</v>
      </c>
      <c r="AD6681">
        <v>0</v>
      </c>
      <c r="AE6681">
        <v>21.47</v>
      </c>
      <c r="AF6681">
        <v>0</v>
      </c>
      <c r="AG6681">
        <v>0</v>
      </c>
      <c r="AH6681">
        <v>0</v>
      </c>
      <c r="AI6681">
        <v>32.17</v>
      </c>
      <c r="AJ6681">
        <v>178.72</v>
      </c>
      <c r="AK6681">
        <v>0</v>
      </c>
      <c r="AL6681" t="s">
        <v>53</v>
      </c>
      <c r="AM6681" t="s">
        <v>53</v>
      </c>
      <c r="AN6681" t="s">
        <v>53</v>
      </c>
      <c r="AO6681" t="s">
        <v>53</v>
      </c>
      <c r="AP6681" t="s">
        <v>53</v>
      </c>
    </row>
    <row r="6682" spans="2:42" x14ac:dyDescent="0.2">
      <c r="B6682" t="s">
        <v>44</v>
      </c>
      <c r="C6682" t="str">
        <f>HYPERLINK("https://us2.cloudbeds.com/connect/8493803454333002#/reservations/9080486846906369?display=3B51N7D2CR&amp;reservation_id=9080486846906369", "3B51N7D2CR")</f>
        <v>3B51N7D2CR</v>
      </c>
      <c r="D6682" t="s">
        <v>45</v>
      </c>
      <c r="E6682" t="s">
        <v>406</v>
      </c>
      <c r="F6682" t="s">
        <v>61</v>
      </c>
      <c r="G6682" t="s">
        <v>48</v>
      </c>
      <c r="H6682" t="s">
        <v>49</v>
      </c>
      <c r="I6682" t="s">
        <v>50</v>
      </c>
      <c r="J6682" t="s">
        <v>10717</v>
      </c>
      <c r="K6682" t="s">
        <v>6380</v>
      </c>
      <c r="L6682" t="s">
        <v>53</v>
      </c>
      <c r="N6682" t="s">
        <v>12023</v>
      </c>
      <c r="P6682" t="s">
        <v>55</v>
      </c>
      <c r="R6682" t="s">
        <v>53</v>
      </c>
      <c r="T6682" t="s">
        <v>12024</v>
      </c>
      <c r="U6682" t="s">
        <v>58</v>
      </c>
      <c r="V6682">
        <v>1</v>
      </c>
      <c r="W6682">
        <v>1</v>
      </c>
      <c r="X6682">
        <v>2</v>
      </c>
      <c r="Y6682">
        <v>0</v>
      </c>
      <c r="Z6682">
        <v>2</v>
      </c>
      <c r="AA6682">
        <v>189.23</v>
      </c>
      <c r="AB6682">
        <v>189.23</v>
      </c>
      <c r="AC6682">
        <v>166.5</v>
      </c>
      <c r="AD6682">
        <v>0</v>
      </c>
      <c r="AE6682">
        <v>22.73</v>
      </c>
      <c r="AF6682">
        <v>0</v>
      </c>
      <c r="AG6682">
        <v>0</v>
      </c>
      <c r="AH6682">
        <v>0</v>
      </c>
      <c r="AI6682">
        <v>34.06</v>
      </c>
      <c r="AJ6682">
        <v>189.23</v>
      </c>
      <c r="AK6682">
        <v>0</v>
      </c>
      <c r="AL6682" t="s">
        <v>53</v>
      </c>
      <c r="AM6682" t="s">
        <v>53</v>
      </c>
      <c r="AN6682" t="s">
        <v>53</v>
      </c>
      <c r="AO6682" t="s">
        <v>53</v>
      </c>
      <c r="AP6682" t="s">
        <v>53</v>
      </c>
    </row>
    <row r="6683" spans="2:42" x14ac:dyDescent="0.2">
      <c r="B6683" t="s">
        <v>44</v>
      </c>
      <c r="C6683" t="str">
        <f>HYPERLINK("https://us2.cloudbeds.com/connect/8493803454333002#/reservations/9080486846906515?display=3B56K3W2KF&amp;reservation_id=9080486846906515", "3B56K3W2KF")</f>
        <v>3B56K3W2KF</v>
      </c>
      <c r="D6683" t="s">
        <v>45</v>
      </c>
      <c r="E6683" t="s">
        <v>305</v>
      </c>
      <c r="F6683" t="s">
        <v>61</v>
      </c>
      <c r="G6683" t="s">
        <v>48</v>
      </c>
      <c r="H6683" t="s">
        <v>49</v>
      </c>
      <c r="I6683" t="s">
        <v>50</v>
      </c>
      <c r="J6683" t="s">
        <v>10717</v>
      </c>
      <c r="K6683" t="s">
        <v>6380</v>
      </c>
      <c r="L6683" t="s">
        <v>53</v>
      </c>
      <c r="N6683" t="s">
        <v>12025</v>
      </c>
      <c r="P6683" t="s">
        <v>55</v>
      </c>
      <c r="R6683" t="s">
        <v>53</v>
      </c>
      <c r="T6683" t="s">
        <v>12026</v>
      </c>
      <c r="U6683" t="s">
        <v>58</v>
      </c>
      <c r="V6683">
        <v>1</v>
      </c>
      <c r="W6683">
        <v>1</v>
      </c>
      <c r="X6683">
        <v>1</v>
      </c>
      <c r="Y6683">
        <v>0</v>
      </c>
      <c r="Z6683">
        <v>1</v>
      </c>
      <c r="AA6683">
        <v>168.2</v>
      </c>
      <c r="AB6683">
        <v>168.2</v>
      </c>
      <c r="AC6683">
        <v>148</v>
      </c>
      <c r="AD6683">
        <v>0</v>
      </c>
      <c r="AE6683">
        <v>20.2</v>
      </c>
      <c r="AF6683">
        <v>0</v>
      </c>
      <c r="AG6683">
        <v>0</v>
      </c>
      <c r="AH6683">
        <v>0</v>
      </c>
      <c r="AI6683">
        <v>30.28</v>
      </c>
      <c r="AJ6683">
        <v>168.2</v>
      </c>
      <c r="AK6683">
        <v>0</v>
      </c>
      <c r="AL6683" t="s">
        <v>53</v>
      </c>
      <c r="AM6683" t="s">
        <v>53</v>
      </c>
      <c r="AN6683" t="s">
        <v>53</v>
      </c>
      <c r="AO6683" t="s">
        <v>53</v>
      </c>
      <c r="AP6683" t="s">
        <v>53</v>
      </c>
    </row>
    <row r="6684" spans="2:42" x14ac:dyDescent="0.2">
      <c r="B6684" t="s">
        <v>44</v>
      </c>
      <c r="C6684" t="str">
        <f>HYPERLINK("https://us2.cloudbeds.com/connect/8493803454333002#/reservations/9080486846907198?display=3B5W1V874Y&amp;reservation_id=9080486846907198", "3B5W1V874Y")</f>
        <v>3B5W1V874Y</v>
      </c>
      <c r="D6684" t="s">
        <v>45</v>
      </c>
      <c r="E6684" t="s">
        <v>110</v>
      </c>
      <c r="F6684" t="s">
        <v>47</v>
      </c>
      <c r="G6684" t="s">
        <v>48</v>
      </c>
      <c r="H6684" t="s">
        <v>49</v>
      </c>
      <c r="I6684" t="s">
        <v>62</v>
      </c>
      <c r="J6684" t="s">
        <v>10717</v>
      </c>
      <c r="K6684" t="s">
        <v>6380</v>
      </c>
      <c r="L6684" t="s">
        <v>53</v>
      </c>
      <c r="N6684" t="s">
        <v>12027</v>
      </c>
      <c r="P6684" t="s">
        <v>55</v>
      </c>
      <c r="R6684" t="s">
        <v>56</v>
      </c>
      <c r="T6684" t="s">
        <v>12028</v>
      </c>
      <c r="U6684" t="s">
        <v>55</v>
      </c>
      <c r="V6684">
        <v>1</v>
      </c>
      <c r="W6684">
        <v>1</v>
      </c>
      <c r="X6684">
        <v>2</v>
      </c>
      <c r="Y6684">
        <v>0</v>
      </c>
      <c r="Z6684">
        <v>2</v>
      </c>
      <c r="AA6684">
        <v>171</v>
      </c>
      <c r="AB6684">
        <v>171</v>
      </c>
      <c r="AC6684">
        <v>171</v>
      </c>
      <c r="AD6684">
        <v>0</v>
      </c>
      <c r="AE6684">
        <v>0</v>
      </c>
      <c r="AF6684">
        <v>0</v>
      </c>
      <c r="AG6684">
        <v>0</v>
      </c>
      <c r="AH6684">
        <v>0</v>
      </c>
      <c r="AI6684">
        <v>30.78</v>
      </c>
      <c r="AJ6684">
        <v>171</v>
      </c>
      <c r="AK6684">
        <v>0</v>
      </c>
      <c r="AL6684" t="s">
        <v>53</v>
      </c>
      <c r="AM6684" t="s">
        <v>53</v>
      </c>
      <c r="AN6684" t="s">
        <v>53</v>
      </c>
      <c r="AO6684" t="s">
        <v>53</v>
      </c>
      <c r="AP6684" t="s">
        <v>53</v>
      </c>
    </row>
    <row r="6685" spans="2:42" x14ac:dyDescent="0.2">
      <c r="B6685" t="s">
        <v>44</v>
      </c>
      <c r="C6685" t="str">
        <f>HYPERLINK("https://us2.cloudbeds.com/connect/8493803454333002#/reservations/9080486846907313?display=3B63ABQW82&amp;reservation_id=9080486846907313", "3B63ABQW82")</f>
        <v>3B63ABQW82</v>
      </c>
      <c r="D6685" t="s">
        <v>45</v>
      </c>
      <c r="E6685" t="s">
        <v>105</v>
      </c>
      <c r="F6685" t="s">
        <v>47</v>
      </c>
      <c r="G6685" t="s">
        <v>48</v>
      </c>
      <c r="H6685" t="s">
        <v>49</v>
      </c>
      <c r="I6685" t="s">
        <v>50</v>
      </c>
      <c r="J6685" t="s">
        <v>10717</v>
      </c>
      <c r="K6685" t="s">
        <v>6380</v>
      </c>
      <c r="L6685" t="s">
        <v>53</v>
      </c>
      <c r="N6685" t="s">
        <v>12029</v>
      </c>
      <c r="P6685" t="s">
        <v>55</v>
      </c>
      <c r="R6685" t="s">
        <v>53</v>
      </c>
      <c r="T6685" t="s">
        <v>12030</v>
      </c>
      <c r="U6685" t="s">
        <v>58</v>
      </c>
      <c r="V6685">
        <v>1</v>
      </c>
      <c r="W6685">
        <v>1</v>
      </c>
      <c r="X6685">
        <v>1</v>
      </c>
      <c r="Y6685">
        <v>0</v>
      </c>
      <c r="Z6685">
        <v>1</v>
      </c>
      <c r="AA6685">
        <v>155.47999999999999</v>
      </c>
      <c r="AB6685">
        <v>155.47999999999999</v>
      </c>
      <c r="AC6685">
        <v>136.80000000000001</v>
      </c>
      <c r="AD6685">
        <v>0</v>
      </c>
      <c r="AE6685">
        <v>18.68</v>
      </c>
      <c r="AF6685">
        <v>0</v>
      </c>
      <c r="AG6685">
        <v>0</v>
      </c>
      <c r="AH6685">
        <v>0</v>
      </c>
      <c r="AI6685">
        <v>27.99</v>
      </c>
      <c r="AJ6685">
        <v>155.47999999999999</v>
      </c>
      <c r="AK6685">
        <v>0</v>
      </c>
      <c r="AL6685" t="s">
        <v>53</v>
      </c>
      <c r="AM6685" t="s">
        <v>53</v>
      </c>
      <c r="AN6685" t="s">
        <v>53</v>
      </c>
      <c r="AO6685" t="s">
        <v>53</v>
      </c>
      <c r="AP6685" t="s">
        <v>53</v>
      </c>
    </row>
    <row r="6686" spans="2:42" x14ac:dyDescent="0.2">
      <c r="B6686" t="s">
        <v>44</v>
      </c>
      <c r="C6686" t="str">
        <f>HYPERLINK("https://us2.cloudbeds.com/connect/8493803454333002#/reservations/9080486846907327?display=3B63GWES1T&amp;reservation_id=9080486846907327", "3B63GWES1T")</f>
        <v>3B63GWES1T</v>
      </c>
      <c r="D6686" t="s">
        <v>45</v>
      </c>
      <c r="E6686" t="s">
        <v>305</v>
      </c>
      <c r="F6686" t="s">
        <v>61</v>
      </c>
      <c r="G6686" t="s">
        <v>48</v>
      </c>
      <c r="H6686" t="s">
        <v>49</v>
      </c>
      <c r="I6686" t="s">
        <v>50</v>
      </c>
      <c r="J6686" t="s">
        <v>6380</v>
      </c>
      <c r="K6686" t="s">
        <v>7438</v>
      </c>
      <c r="L6686" t="s">
        <v>53</v>
      </c>
      <c r="N6686" t="s">
        <v>12031</v>
      </c>
      <c r="P6686" t="s">
        <v>55</v>
      </c>
      <c r="R6686" t="s">
        <v>53</v>
      </c>
      <c r="T6686" t="s">
        <v>12032</v>
      </c>
      <c r="U6686" t="s">
        <v>58</v>
      </c>
      <c r="V6686">
        <v>1</v>
      </c>
      <c r="W6686">
        <v>1</v>
      </c>
      <c r="X6686">
        <v>1</v>
      </c>
      <c r="Y6686">
        <v>0</v>
      </c>
      <c r="Z6686">
        <v>1</v>
      </c>
      <c r="AA6686">
        <v>90.01</v>
      </c>
      <c r="AB6686">
        <v>90.01</v>
      </c>
      <c r="AC6686">
        <v>79.2</v>
      </c>
      <c r="AD6686">
        <v>0</v>
      </c>
      <c r="AE6686">
        <v>10.81</v>
      </c>
      <c r="AF6686">
        <v>0</v>
      </c>
      <c r="AG6686">
        <v>0</v>
      </c>
      <c r="AH6686">
        <v>0</v>
      </c>
      <c r="AI6686">
        <v>16.2</v>
      </c>
      <c r="AJ6686">
        <v>90.01</v>
      </c>
      <c r="AK6686">
        <v>0</v>
      </c>
      <c r="AL6686" t="s">
        <v>53</v>
      </c>
      <c r="AM6686" t="s">
        <v>53</v>
      </c>
      <c r="AN6686" t="s">
        <v>53</v>
      </c>
      <c r="AO6686" t="s">
        <v>53</v>
      </c>
      <c r="AP6686" t="s">
        <v>53</v>
      </c>
    </row>
    <row r="6687" spans="2:42" x14ac:dyDescent="0.2">
      <c r="B6687" t="s">
        <v>44</v>
      </c>
      <c r="C6687" t="str">
        <f>HYPERLINK("https://us2.cloudbeds.com/connect/8493803454333002#/reservations/9080486846907394?display=3B66AH6S34&amp;reservation_id=9080486846907394", "3B66AH6S34")</f>
        <v>3B66AH6S34</v>
      </c>
      <c r="D6687" t="s">
        <v>45</v>
      </c>
      <c r="E6687" t="s">
        <v>373</v>
      </c>
      <c r="F6687" t="s">
        <v>47</v>
      </c>
      <c r="G6687" t="s">
        <v>48</v>
      </c>
      <c r="H6687" t="s">
        <v>49</v>
      </c>
      <c r="I6687" t="s">
        <v>62</v>
      </c>
      <c r="J6687" t="s">
        <v>10717</v>
      </c>
      <c r="K6687" t="s">
        <v>6380</v>
      </c>
      <c r="L6687" t="s">
        <v>53</v>
      </c>
      <c r="N6687" t="s">
        <v>12033</v>
      </c>
      <c r="P6687" t="s">
        <v>55</v>
      </c>
      <c r="R6687" t="s">
        <v>56</v>
      </c>
      <c r="T6687" t="s">
        <v>12034</v>
      </c>
      <c r="U6687" t="s">
        <v>55</v>
      </c>
      <c r="V6687">
        <v>1</v>
      </c>
      <c r="W6687">
        <v>1</v>
      </c>
      <c r="X6687">
        <v>2</v>
      </c>
      <c r="Y6687">
        <v>0</v>
      </c>
      <c r="Z6687">
        <v>2</v>
      </c>
      <c r="AA6687">
        <v>171</v>
      </c>
      <c r="AB6687">
        <v>171</v>
      </c>
      <c r="AC6687">
        <v>171</v>
      </c>
      <c r="AD6687">
        <v>0</v>
      </c>
      <c r="AE6687">
        <v>0</v>
      </c>
      <c r="AF6687">
        <v>0</v>
      </c>
      <c r="AG6687">
        <v>0</v>
      </c>
      <c r="AH6687">
        <v>0</v>
      </c>
      <c r="AI6687">
        <v>30.78</v>
      </c>
      <c r="AJ6687">
        <v>171</v>
      </c>
      <c r="AK6687">
        <v>0</v>
      </c>
      <c r="AL6687" t="s">
        <v>53</v>
      </c>
      <c r="AM6687" t="s">
        <v>53</v>
      </c>
      <c r="AN6687" t="s">
        <v>53</v>
      </c>
      <c r="AO6687" t="s">
        <v>53</v>
      </c>
      <c r="AP6687" t="s">
        <v>53</v>
      </c>
    </row>
    <row r="6688" spans="2:42" x14ac:dyDescent="0.2">
      <c r="B6688" t="s">
        <v>44</v>
      </c>
      <c r="C6688" t="str">
        <f>HYPERLINK("https://us2.cloudbeds.com/connect/8493803454333002#/reservations/9080486846907395?display=3B66923NNN&amp;reservation_id=9080486846907395", "3B66923NNN")</f>
        <v>3B66923NNN</v>
      </c>
      <c r="D6688" t="s">
        <v>45</v>
      </c>
      <c r="E6688" t="s">
        <v>373</v>
      </c>
      <c r="F6688" t="s">
        <v>47</v>
      </c>
      <c r="G6688" t="s">
        <v>48</v>
      </c>
      <c r="H6688" t="s">
        <v>49</v>
      </c>
      <c r="I6688" t="s">
        <v>8964</v>
      </c>
      <c r="J6688" t="s">
        <v>6380</v>
      </c>
      <c r="K6688" t="s">
        <v>7438</v>
      </c>
      <c r="L6688" t="s">
        <v>53</v>
      </c>
      <c r="N6688" t="s">
        <v>12035</v>
      </c>
      <c r="P6688" t="s">
        <v>55</v>
      </c>
      <c r="R6688" t="s">
        <v>53</v>
      </c>
      <c r="T6688" t="s">
        <v>12036</v>
      </c>
      <c r="U6688" t="s">
        <v>55</v>
      </c>
      <c r="V6688">
        <v>1</v>
      </c>
      <c r="W6688">
        <v>1</v>
      </c>
      <c r="X6688">
        <v>2</v>
      </c>
      <c r="Y6688">
        <v>0</v>
      </c>
      <c r="Z6688">
        <v>2</v>
      </c>
      <c r="AA6688">
        <v>0</v>
      </c>
      <c r="AB6688">
        <v>0</v>
      </c>
      <c r="AC6688">
        <v>135</v>
      </c>
      <c r="AD6688">
        <v>0</v>
      </c>
      <c r="AE6688">
        <v>0</v>
      </c>
      <c r="AF6688">
        <v>0</v>
      </c>
      <c r="AG6688">
        <v>0</v>
      </c>
      <c r="AH6688">
        <v>0</v>
      </c>
      <c r="AI6688">
        <v>20.25</v>
      </c>
      <c r="AJ6688">
        <v>135</v>
      </c>
      <c r="AK6688">
        <v>135</v>
      </c>
      <c r="AL6688" t="s">
        <v>53</v>
      </c>
      <c r="AM6688" t="s">
        <v>53</v>
      </c>
      <c r="AN6688" t="s">
        <v>53</v>
      </c>
      <c r="AO6688" t="s">
        <v>53</v>
      </c>
      <c r="AP6688" t="s">
        <v>53</v>
      </c>
    </row>
    <row r="6689" spans="2:42" x14ac:dyDescent="0.2">
      <c r="B6689" t="s">
        <v>44</v>
      </c>
      <c r="C6689" t="str">
        <f>HYPERLINK("https://us2.cloudbeds.com/connect/8493803454333002#/reservations/154968683458697?display=3B6671NZ4J&amp;reservation_id=154968683458697", "3B6671NZ4J")</f>
        <v>3B6671NZ4J</v>
      </c>
      <c r="D6689" t="s">
        <v>45</v>
      </c>
      <c r="E6689" t="s">
        <v>381</v>
      </c>
      <c r="F6689" t="s">
        <v>47</v>
      </c>
      <c r="G6689" t="s">
        <v>7801</v>
      </c>
      <c r="H6689" t="s">
        <v>3957</v>
      </c>
      <c r="I6689" t="s">
        <v>3958</v>
      </c>
      <c r="J6689" t="s">
        <v>10717</v>
      </c>
      <c r="K6689" t="s">
        <v>6380</v>
      </c>
      <c r="L6689" t="s">
        <v>53</v>
      </c>
      <c r="P6689" t="s">
        <v>55</v>
      </c>
      <c r="R6689" t="s">
        <v>56</v>
      </c>
      <c r="T6689" t="s">
        <v>12037</v>
      </c>
      <c r="U6689" t="s">
        <v>58</v>
      </c>
      <c r="V6689">
        <v>1</v>
      </c>
      <c r="W6689">
        <v>1</v>
      </c>
      <c r="X6689">
        <v>1</v>
      </c>
      <c r="Y6689">
        <v>0</v>
      </c>
      <c r="Z6689">
        <v>1</v>
      </c>
      <c r="AA6689">
        <v>174.91</v>
      </c>
      <c r="AB6689">
        <v>174.91</v>
      </c>
      <c r="AC6689">
        <v>153.9</v>
      </c>
      <c r="AD6689">
        <v>0</v>
      </c>
      <c r="AE6689">
        <v>21.01</v>
      </c>
      <c r="AF6689">
        <v>0</v>
      </c>
      <c r="AG6689">
        <v>0</v>
      </c>
      <c r="AH6689">
        <v>0</v>
      </c>
      <c r="AI6689">
        <v>0</v>
      </c>
      <c r="AJ6689">
        <v>174.91</v>
      </c>
      <c r="AK6689">
        <v>0</v>
      </c>
      <c r="AL6689" t="s">
        <v>53</v>
      </c>
      <c r="AM6689" t="s">
        <v>53</v>
      </c>
      <c r="AN6689" t="s">
        <v>53</v>
      </c>
      <c r="AO6689" t="s">
        <v>53</v>
      </c>
      <c r="AP6689" t="s">
        <v>53</v>
      </c>
    </row>
    <row r="6690" spans="2:42" x14ac:dyDescent="0.2">
      <c r="B6690" t="s">
        <v>44</v>
      </c>
      <c r="C6690" t="str">
        <f>HYPERLINK("https://us2.cloudbeds.com/connect/8493803454333002#/reservations/155030136041652?display=3B7KQA5EH2&amp;reservation_id=155030136041652", "3B7KQA5EH2")</f>
        <v>3B7KQA5EH2</v>
      </c>
      <c r="D6690" t="s">
        <v>45</v>
      </c>
      <c r="E6690" t="s">
        <v>381</v>
      </c>
      <c r="F6690" t="s">
        <v>47</v>
      </c>
      <c r="G6690" t="s">
        <v>48</v>
      </c>
      <c r="H6690" t="s">
        <v>3957</v>
      </c>
      <c r="I6690" t="s">
        <v>3958</v>
      </c>
      <c r="J6690" t="s">
        <v>6380</v>
      </c>
      <c r="K6690" t="s">
        <v>7438</v>
      </c>
      <c r="L6690" t="s">
        <v>53</v>
      </c>
      <c r="P6690" t="s">
        <v>55</v>
      </c>
      <c r="R6690" t="s">
        <v>56</v>
      </c>
      <c r="T6690" t="s">
        <v>12038</v>
      </c>
      <c r="U6690" t="s">
        <v>58</v>
      </c>
      <c r="V6690">
        <v>1</v>
      </c>
      <c r="W6690">
        <v>1</v>
      </c>
      <c r="X6690">
        <v>1</v>
      </c>
      <c r="Y6690">
        <v>0</v>
      </c>
      <c r="Z6690">
        <v>1</v>
      </c>
      <c r="AA6690">
        <v>150.02000000000001</v>
      </c>
      <c r="AB6690">
        <v>150.02000000000001</v>
      </c>
      <c r="AC6690">
        <v>132</v>
      </c>
      <c r="AD6690">
        <v>0</v>
      </c>
      <c r="AE6690">
        <v>18.02</v>
      </c>
      <c r="AF6690">
        <v>0</v>
      </c>
      <c r="AG6690">
        <v>0</v>
      </c>
      <c r="AH6690">
        <v>0</v>
      </c>
      <c r="AI6690">
        <v>0</v>
      </c>
      <c r="AJ6690">
        <v>150.02000000000001</v>
      </c>
      <c r="AK6690">
        <v>0</v>
      </c>
      <c r="AL6690" t="s">
        <v>53</v>
      </c>
      <c r="AM6690" t="s">
        <v>53</v>
      </c>
      <c r="AN6690" t="s">
        <v>53</v>
      </c>
      <c r="AO6690" t="s">
        <v>53</v>
      </c>
      <c r="AP6690" t="s">
        <v>53</v>
      </c>
    </row>
    <row r="6691" spans="2:42" x14ac:dyDescent="0.2">
      <c r="B6691" t="s">
        <v>44</v>
      </c>
      <c r="C6691" t="str">
        <f>HYPERLINK("https://us2.cloudbeds.com/connect/8493803454333002#/reservations/9080486846912326?display=3BD8BF1489&amp;reservation_id=9080486846912326", "3BD8BF1489")</f>
        <v>3BD8BF1489</v>
      </c>
      <c r="D6691" t="s">
        <v>45</v>
      </c>
      <c r="E6691" t="s">
        <v>165</v>
      </c>
      <c r="F6691" t="s">
        <v>61</v>
      </c>
      <c r="G6691" t="s">
        <v>48</v>
      </c>
      <c r="H6691" t="s">
        <v>49</v>
      </c>
      <c r="I6691" t="s">
        <v>50</v>
      </c>
      <c r="J6691" t="s">
        <v>6380</v>
      </c>
      <c r="K6691" t="s">
        <v>7438</v>
      </c>
      <c r="L6691" t="s">
        <v>53</v>
      </c>
      <c r="N6691" t="s">
        <v>12039</v>
      </c>
      <c r="P6691" t="s">
        <v>55</v>
      </c>
      <c r="R6691" t="s">
        <v>53</v>
      </c>
      <c r="T6691" t="s">
        <v>12040</v>
      </c>
      <c r="U6691" t="s">
        <v>58</v>
      </c>
      <c r="V6691">
        <v>1</v>
      </c>
      <c r="W6691">
        <v>1</v>
      </c>
      <c r="X6691">
        <v>2</v>
      </c>
      <c r="Y6691">
        <v>0</v>
      </c>
      <c r="Z6691">
        <v>2</v>
      </c>
      <c r="AA6691">
        <v>120.93</v>
      </c>
      <c r="AB6691">
        <v>120.93</v>
      </c>
      <c r="AC6691">
        <v>106.4</v>
      </c>
      <c r="AD6691">
        <v>0</v>
      </c>
      <c r="AE6691">
        <v>14.53</v>
      </c>
      <c r="AF6691">
        <v>0</v>
      </c>
      <c r="AG6691">
        <v>0</v>
      </c>
      <c r="AH6691">
        <v>0</v>
      </c>
      <c r="AI6691">
        <v>21.77</v>
      </c>
      <c r="AJ6691">
        <v>120.93</v>
      </c>
      <c r="AK6691">
        <v>0</v>
      </c>
      <c r="AL6691" t="s">
        <v>53</v>
      </c>
      <c r="AM6691" t="s">
        <v>53</v>
      </c>
      <c r="AN6691" t="s">
        <v>53</v>
      </c>
      <c r="AO6691" t="s">
        <v>53</v>
      </c>
      <c r="AP6691" t="s">
        <v>53</v>
      </c>
    </row>
    <row r="6692" spans="2:42" x14ac:dyDescent="0.2">
      <c r="B6692" t="s">
        <v>44</v>
      </c>
      <c r="C6692" t="str">
        <f>HYPERLINK("https://us2.cloudbeds.com/connect/8493803454333002#/reservations/9080486846912851?display=3BDNSRDCH4&amp;reservation_id=9080486846912851", "3BDNSRDCH4")</f>
        <v>3BDNSRDCH4</v>
      </c>
      <c r="D6692" t="s">
        <v>45</v>
      </c>
      <c r="E6692" t="s">
        <v>190</v>
      </c>
      <c r="F6692" t="s">
        <v>61</v>
      </c>
      <c r="G6692" t="s">
        <v>48</v>
      </c>
      <c r="H6692" t="s">
        <v>49</v>
      </c>
      <c r="I6692" t="s">
        <v>50</v>
      </c>
      <c r="J6692" t="s">
        <v>6380</v>
      </c>
      <c r="K6692" t="s">
        <v>7438</v>
      </c>
      <c r="L6692" t="s">
        <v>53</v>
      </c>
      <c r="N6692" t="s">
        <v>12041</v>
      </c>
      <c r="P6692" t="s">
        <v>55</v>
      </c>
      <c r="R6692" t="s">
        <v>53</v>
      </c>
      <c r="T6692" t="s">
        <v>12042</v>
      </c>
      <c r="U6692" t="s">
        <v>58</v>
      </c>
      <c r="V6692">
        <v>1</v>
      </c>
      <c r="W6692">
        <v>1</v>
      </c>
      <c r="X6692">
        <v>2</v>
      </c>
      <c r="Y6692">
        <v>0</v>
      </c>
      <c r="Z6692">
        <v>2</v>
      </c>
      <c r="AA6692">
        <v>120.93</v>
      </c>
      <c r="AB6692">
        <v>120.93</v>
      </c>
      <c r="AC6692">
        <v>106.4</v>
      </c>
      <c r="AD6692">
        <v>0</v>
      </c>
      <c r="AE6692">
        <v>14.53</v>
      </c>
      <c r="AF6692">
        <v>0</v>
      </c>
      <c r="AG6692">
        <v>0</v>
      </c>
      <c r="AH6692">
        <v>0</v>
      </c>
      <c r="AI6692">
        <v>21.77</v>
      </c>
      <c r="AJ6692">
        <v>120.93</v>
      </c>
      <c r="AK6692">
        <v>0</v>
      </c>
      <c r="AL6692" t="s">
        <v>53</v>
      </c>
      <c r="AM6692" t="s">
        <v>53</v>
      </c>
      <c r="AN6692" t="s">
        <v>53</v>
      </c>
      <c r="AO6692" t="s">
        <v>53</v>
      </c>
      <c r="AP6692" t="s">
        <v>53</v>
      </c>
    </row>
    <row r="6693" spans="2:42" x14ac:dyDescent="0.2">
      <c r="B6693" t="s">
        <v>44</v>
      </c>
      <c r="C6693" t="str">
        <f>HYPERLINK("https://us2.cloudbeds.com/connect/8493803454333002#/reservations/9080486846913209?display=3BE1EFD9CW&amp;reservation_id=9080486846913209", "3BE1EFD9CW")</f>
        <v>3BE1EFD9CW</v>
      </c>
      <c r="D6693" t="s">
        <v>45</v>
      </c>
      <c r="E6693" t="s">
        <v>113</v>
      </c>
      <c r="F6693" t="s">
        <v>61</v>
      </c>
      <c r="G6693" t="s">
        <v>48</v>
      </c>
      <c r="H6693" t="s">
        <v>49</v>
      </c>
      <c r="I6693" t="s">
        <v>8964</v>
      </c>
      <c r="J6693" t="s">
        <v>6380</v>
      </c>
      <c r="K6693" t="s">
        <v>7438</v>
      </c>
      <c r="L6693" t="s">
        <v>53</v>
      </c>
      <c r="N6693" t="s">
        <v>12043</v>
      </c>
      <c r="P6693" t="s">
        <v>55</v>
      </c>
      <c r="R6693" t="s">
        <v>53</v>
      </c>
      <c r="T6693" t="s">
        <v>12044</v>
      </c>
      <c r="U6693" t="s">
        <v>55</v>
      </c>
      <c r="V6693">
        <v>1</v>
      </c>
      <c r="W6693">
        <v>1</v>
      </c>
      <c r="X6693">
        <v>2</v>
      </c>
      <c r="Y6693">
        <v>0</v>
      </c>
      <c r="Z6693">
        <v>2</v>
      </c>
      <c r="AA6693">
        <v>0</v>
      </c>
      <c r="AB6693">
        <v>0</v>
      </c>
      <c r="AC6693">
        <v>136</v>
      </c>
      <c r="AD6693">
        <v>0</v>
      </c>
      <c r="AE6693">
        <v>0</v>
      </c>
      <c r="AF6693">
        <v>0</v>
      </c>
      <c r="AG6693">
        <v>0</v>
      </c>
      <c r="AH6693">
        <v>0</v>
      </c>
      <c r="AI6693">
        <v>20.399999999999999</v>
      </c>
      <c r="AJ6693">
        <v>136</v>
      </c>
      <c r="AK6693">
        <v>136</v>
      </c>
      <c r="AL6693" t="s">
        <v>53</v>
      </c>
      <c r="AM6693" t="s">
        <v>53</v>
      </c>
      <c r="AN6693" t="s">
        <v>53</v>
      </c>
      <c r="AO6693" t="s">
        <v>53</v>
      </c>
      <c r="AP6693" t="s">
        <v>53</v>
      </c>
    </row>
    <row r="6694" spans="2:42" x14ac:dyDescent="0.2">
      <c r="B6694" t="s">
        <v>44</v>
      </c>
      <c r="C6694" t="str">
        <f>HYPERLINK("https://us2.cloudbeds.com/connect/8493803454333002#/reservations/9080486846913558?display=3BEC9S3V2G&amp;reservation_id=9080486846913558", "3BEC9S3V2G")</f>
        <v>3BEC9S3V2G</v>
      </c>
      <c r="D6694" t="s">
        <v>45</v>
      </c>
      <c r="E6694" t="s">
        <v>190</v>
      </c>
      <c r="F6694" t="s">
        <v>61</v>
      </c>
      <c r="G6694" t="s">
        <v>48</v>
      </c>
      <c r="H6694" t="s">
        <v>49</v>
      </c>
      <c r="I6694" t="s">
        <v>62</v>
      </c>
      <c r="J6694" t="s">
        <v>7438</v>
      </c>
      <c r="K6694" t="s">
        <v>9291</v>
      </c>
      <c r="L6694" t="s">
        <v>53</v>
      </c>
      <c r="N6694" t="s">
        <v>12045</v>
      </c>
      <c r="P6694" t="s">
        <v>55</v>
      </c>
      <c r="R6694" t="s">
        <v>56</v>
      </c>
      <c r="T6694" t="s">
        <v>12046</v>
      </c>
      <c r="U6694" t="s">
        <v>55</v>
      </c>
      <c r="V6694">
        <v>1</v>
      </c>
      <c r="W6694">
        <v>1</v>
      </c>
      <c r="X6694">
        <v>2</v>
      </c>
      <c r="Y6694">
        <v>0</v>
      </c>
      <c r="Z6694">
        <v>2</v>
      </c>
      <c r="AA6694">
        <v>135</v>
      </c>
      <c r="AB6694">
        <v>135</v>
      </c>
      <c r="AC6694">
        <v>135</v>
      </c>
      <c r="AD6694">
        <v>0</v>
      </c>
      <c r="AE6694">
        <v>0</v>
      </c>
      <c r="AF6694">
        <v>0</v>
      </c>
      <c r="AG6694">
        <v>0</v>
      </c>
      <c r="AH6694">
        <v>0</v>
      </c>
      <c r="AI6694">
        <v>24.3</v>
      </c>
      <c r="AJ6694">
        <v>135</v>
      </c>
      <c r="AK6694">
        <v>0</v>
      </c>
      <c r="AL6694" t="s">
        <v>53</v>
      </c>
      <c r="AM6694" t="s">
        <v>53</v>
      </c>
      <c r="AN6694" t="s">
        <v>12047</v>
      </c>
      <c r="AO6694" t="s">
        <v>53</v>
      </c>
      <c r="AP6694" t="s">
        <v>53</v>
      </c>
    </row>
    <row r="6695" spans="2:42" x14ac:dyDescent="0.2">
      <c r="B6695" t="s">
        <v>44</v>
      </c>
      <c r="C6695" t="str">
        <f>HYPERLINK("https://us2.cloudbeds.com/connect/8493803454333002#/reservations/9080486846913673?display=3BEGDJ581X&amp;reservation_id=9080486846913673", "3BEGDJ581X")</f>
        <v>3BEGDJ581X</v>
      </c>
      <c r="D6695" t="s">
        <v>45</v>
      </c>
      <c r="E6695" t="s">
        <v>138</v>
      </c>
      <c r="F6695" t="s">
        <v>70</v>
      </c>
      <c r="G6695" t="s">
        <v>48</v>
      </c>
      <c r="H6695" t="s">
        <v>49</v>
      </c>
      <c r="I6695" t="s">
        <v>50</v>
      </c>
      <c r="J6695" t="s">
        <v>8021</v>
      </c>
      <c r="K6695" t="s">
        <v>8819</v>
      </c>
      <c r="L6695" t="s">
        <v>53</v>
      </c>
      <c r="N6695" t="s">
        <v>12048</v>
      </c>
      <c r="P6695" t="s">
        <v>55</v>
      </c>
      <c r="R6695" t="s">
        <v>53</v>
      </c>
      <c r="T6695" t="s">
        <v>12049</v>
      </c>
      <c r="U6695" t="s">
        <v>58</v>
      </c>
      <c r="V6695">
        <v>1</v>
      </c>
      <c r="W6695">
        <v>1</v>
      </c>
      <c r="X6695">
        <v>2</v>
      </c>
      <c r="Y6695">
        <v>0</v>
      </c>
      <c r="Z6695">
        <v>2</v>
      </c>
      <c r="AA6695">
        <v>76.760000000000005</v>
      </c>
      <c r="AB6695">
        <v>76.760000000000005</v>
      </c>
      <c r="AC6695">
        <v>67.540000000000006</v>
      </c>
      <c r="AD6695">
        <v>0</v>
      </c>
      <c r="AE6695">
        <v>9.2200000000000006</v>
      </c>
      <c r="AF6695">
        <v>0</v>
      </c>
      <c r="AG6695">
        <v>0</v>
      </c>
      <c r="AH6695">
        <v>0</v>
      </c>
      <c r="AI6695">
        <v>13.82</v>
      </c>
      <c r="AJ6695">
        <v>76.760000000000005</v>
      </c>
      <c r="AK6695">
        <v>0</v>
      </c>
      <c r="AL6695" t="s">
        <v>53</v>
      </c>
      <c r="AM6695" t="s">
        <v>53</v>
      </c>
      <c r="AN6695" t="s">
        <v>53</v>
      </c>
      <c r="AO6695" t="s">
        <v>53</v>
      </c>
      <c r="AP6695" t="s">
        <v>53</v>
      </c>
    </row>
    <row r="6696" spans="2:42" x14ac:dyDescent="0.2">
      <c r="B6696" t="s">
        <v>44</v>
      </c>
      <c r="C6696" t="str">
        <f>HYPERLINK("https://us2.cloudbeds.com/connect/8493803454333002#/reservations/9080486846913826?display=3BEKTT3DBC&amp;reservation_id=9080486846913826", "3BEKTT3DBC")</f>
        <v>3BEKTT3DBC</v>
      </c>
      <c r="D6696" t="s">
        <v>45</v>
      </c>
      <c r="E6696" t="s">
        <v>165</v>
      </c>
      <c r="F6696" t="s">
        <v>61</v>
      </c>
      <c r="G6696" t="s">
        <v>48</v>
      </c>
      <c r="H6696" t="s">
        <v>49</v>
      </c>
      <c r="I6696" t="s">
        <v>50</v>
      </c>
      <c r="J6696" t="s">
        <v>11387</v>
      </c>
      <c r="K6696" t="s">
        <v>8818</v>
      </c>
      <c r="L6696" t="s">
        <v>53</v>
      </c>
      <c r="N6696" t="s">
        <v>12050</v>
      </c>
      <c r="P6696" t="s">
        <v>55</v>
      </c>
      <c r="R6696" t="s">
        <v>53</v>
      </c>
      <c r="T6696" t="s">
        <v>12051</v>
      </c>
      <c r="U6696" t="s">
        <v>58</v>
      </c>
      <c r="V6696">
        <v>1</v>
      </c>
      <c r="W6696">
        <v>1</v>
      </c>
      <c r="X6696">
        <v>2</v>
      </c>
      <c r="Y6696">
        <v>0</v>
      </c>
      <c r="Z6696">
        <v>2</v>
      </c>
      <c r="AA6696">
        <v>150.02000000000001</v>
      </c>
      <c r="AB6696">
        <v>150.02000000000001</v>
      </c>
      <c r="AC6696">
        <v>132</v>
      </c>
      <c r="AD6696">
        <v>0</v>
      </c>
      <c r="AE6696">
        <v>18.02</v>
      </c>
      <c r="AF6696">
        <v>0</v>
      </c>
      <c r="AG6696">
        <v>0</v>
      </c>
      <c r="AH6696">
        <v>0</v>
      </c>
      <c r="AI6696">
        <v>27</v>
      </c>
      <c r="AJ6696">
        <v>150.02000000000001</v>
      </c>
      <c r="AK6696">
        <v>0</v>
      </c>
      <c r="AL6696" t="s">
        <v>53</v>
      </c>
      <c r="AM6696" t="s">
        <v>53</v>
      </c>
      <c r="AN6696" t="s">
        <v>53</v>
      </c>
      <c r="AO6696" t="s">
        <v>53</v>
      </c>
      <c r="AP6696" t="s">
        <v>53</v>
      </c>
    </row>
    <row r="6697" spans="2:42" x14ac:dyDescent="0.2">
      <c r="B6697" t="s">
        <v>44</v>
      </c>
      <c r="C6697" t="str">
        <f>HYPERLINK("https://us2.cloudbeds.com/connect/8493803454333002#/reservations/155328776356057?display=3BEY18JDZ6&amp;reservation_id=155328776356057", "3BEY18JDZ6")</f>
        <v>3BEY18JDZ6</v>
      </c>
      <c r="D6697" t="s">
        <v>45</v>
      </c>
      <c r="E6697" t="s">
        <v>487</v>
      </c>
      <c r="F6697" t="s">
        <v>61</v>
      </c>
      <c r="G6697" t="s">
        <v>48</v>
      </c>
      <c r="H6697" t="s">
        <v>3957</v>
      </c>
      <c r="I6697" t="s">
        <v>3975</v>
      </c>
      <c r="J6697" t="s">
        <v>6380</v>
      </c>
      <c r="K6697" t="s">
        <v>7438</v>
      </c>
      <c r="L6697" t="s">
        <v>53</v>
      </c>
      <c r="P6697" t="s">
        <v>55</v>
      </c>
      <c r="R6697" t="s">
        <v>56</v>
      </c>
      <c r="T6697" t="s">
        <v>12052</v>
      </c>
      <c r="U6697" t="s">
        <v>58</v>
      </c>
      <c r="V6697">
        <v>1</v>
      </c>
      <c r="W6697">
        <v>1</v>
      </c>
      <c r="X6697">
        <v>2</v>
      </c>
      <c r="Y6697">
        <v>0</v>
      </c>
      <c r="Z6697">
        <v>2</v>
      </c>
      <c r="AA6697">
        <v>151.16</v>
      </c>
      <c r="AB6697">
        <v>151.16</v>
      </c>
      <c r="AC6697">
        <v>133</v>
      </c>
      <c r="AD6697">
        <v>0</v>
      </c>
      <c r="AE6697">
        <v>18.16</v>
      </c>
      <c r="AF6697">
        <v>0</v>
      </c>
      <c r="AG6697">
        <v>0</v>
      </c>
      <c r="AH6697">
        <v>0</v>
      </c>
      <c r="AI6697">
        <v>0</v>
      </c>
      <c r="AJ6697">
        <v>151.16</v>
      </c>
      <c r="AK6697">
        <v>0</v>
      </c>
      <c r="AL6697" t="s">
        <v>53</v>
      </c>
      <c r="AM6697" t="s">
        <v>53</v>
      </c>
      <c r="AN6697" t="s">
        <v>53</v>
      </c>
      <c r="AO6697" t="s">
        <v>53</v>
      </c>
      <c r="AP6697" t="s">
        <v>53</v>
      </c>
    </row>
    <row r="6698" spans="2:42" x14ac:dyDescent="0.2">
      <c r="B6698" t="s">
        <v>44</v>
      </c>
      <c r="C6698" t="str">
        <f>HYPERLINK("https://us2.cloudbeds.com/connect/8493803454333002#/reservations/155341869863148?display=3BEV5RCX7B&amp;reservation_id=155341869863148", "3BEV5RCX7B")</f>
        <v>3BEV5RCX7B</v>
      </c>
      <c r="D6698" t="s">
        <v>45</v>
      </c>
      <c r="E6698" t="s">
        <v>406</v>
      </c>
      <c r="F6698" t="s">
        <v>61</v>
      </c>
      <c r="G6698" t="s">
        <v>48</v>
      </c>
      <c r="H6698" t="s">
        <v>3957</v>
      </c>
      <c r="I6698" t="s">
        <v>3975</v>
      </c>
      <c r="J6698" t="s">
        <v>6380</v>
      </c>
      <c r="K6698" t="s">
        <v>7438</v>
      </c>
      <c r="L6698" t="s">
        <v>53</v>
      </c>
      <c r="P6698" t="s">
        <v>55</v>
      </c>
      <c r="R6698" t="s">
        <v>56</v>
      </c>
      <c r="T6698" t="s">
        <v>12053</v>
      </c>
      <c r="U6698" t="s">
        <v>58</v>
      </c>
      <c r="V6698">
        <v>1</v>
      </c>
      <c r="W6698">
        <v>1</v>
      </c>
      <c r="X6698">
        <v>2</v>
      </c>
      <c r="Y6698">
        <v>0</v>
      </c>
      <c r="Z6698">
        <v>2</v>
      </c>
      <c r="AA6698">
        <v>151.16</v>
      </c>
      <c r="AB6698">
        <v>151.16</v>
      </c>
      <c r="AC6698">
        <v>133</v>
      </c>
      <c r="AD6698">
        <v>0</v>
      </c>
      <c r="AE6698">
        <v>18.16</v>
      </c>
      <c r="AF6698">
        <v>0</v>
      </c>
      <c r="AG6698">
        <v>0</v>
      </c>
      <c r="AH6698">
        <v>0</v>
      </c>
      <c r="AI6698">
        <v>0</v>
      </c>
      <c r="AJ6698">
        <v>151.16</v>
      </c>
      <c r="AK6698">
        <v>0</v>
      </c>
      <c r="AL6698" t="s">
        <v>53</v>
      </c>
      <c r="AM6698" t="s">
        <v>53</v>
      </c>
      <c r="AN6698" t="s">
        <v>53</v>
      </c>
      <c r="AO6698" t="s">
        <v>53</v>
      </c>
      <c r="AP6698" t="s">
        <v>53</v>
      </c>
    </row>
    <row r="6699" spans="2:42" x14ac:dyDescent="0.2">
      <c r="B6699" t="s">
        <v>44</v>
      </c>
      <c r="C6699" t="str">
        <f>HYPERLINK("https://us2.cloudbeds.com/connect/8493803454333002#/reservations/9080486846914200?display=3BEWY7GQ3M&amp;reservation_id=9080486846914200", "3BEWY7GQ3M")</f>
        <v>3BEWY7GQ3M</v>
      </c>
      <c r="D6699" t="s">
        <v>45</v>
      </c>
      <c r="E6699" t="s">
        <v>128</v>
      </c>
      <c r="F6699" t="s">
        <v>86</v>
      </c>
      <c r="G6699" t="s">
        <v>48</v>
      </c>
      <c r="H6699" t="s">
        <v>49</v>
      </c>
      <c r="I6699" t="s">
        <v>50</v>
      </c>
      <c r="J6699" t="s">
        <v>6380</v>
      </c>
      <c r="K6699" t="s">
        <v>7438</v>
      </c>
      <c r="L6699" t="s">
        <v>53</v>
      </c>
      <c r="N6699" t="s">
        <v>12054</v>
      </c>
      <c r="P6699" t="s">
        <v>55</v>
      </c>
      <c r="R6699" t="s">
        <v>53</v>
      </c>
      <c r="T6699" t="s">
        <v>12055</v>
      </c>
      <c r="U6699" t="s">
        <v>58</v>
      </c>
      <c r="V6699">
        <v>1</v>
      </c>
      <c r="W6699">
        <v>1</v>
      </c>
      <c r="X6699">
        <v>2</v>
      </c>
      <c r="Y6699">
        <v>2</v>
      </c>
      <c r="Z6699">
        <v>4</v>
      </c>
      <c r="AA6699">
        <v>175.94</v>
      </c>
      <c r="AB6699">
        <v>175.94</v>
      </c>
      <c r="AC6699">
        <v>154.80000000000001</v>
      </c>
      <c r="AD6699">
        <v>0</v>
      </c>
      <c r="AE6699">
        <v>21.14</v>
      </c>
      <c r="AF6699">
        <v>0</v>
      </c>
      <c r="AG6699">
        <v>0</v>
      </c>
      <c r="AH6699">
        <v>0</v>
      </c>
      <c r="AI6699">
        <v>31.67</v>
      </c>
      <c r="AJ6699">
        <v>175.94</v>
      </c>
      <c r="AK6699">
        <v>0</v>
      </c>
      <c r="AL6699" t="s">
        <v>53</v>
      </c>
      <c r="AM6699" t="s">
        <v>53</v>
      </c>
      <c r="AN6699" t="s">
        <v>53</v>
      </c>
      <c r="AO6699" t="s">
        <v>53</v>
      </c>
      <c r="AP6699" t="s">
        <v>53</v>
      </c>
    </row>
    <row r="6700" spans="2:42" x14ac:dyDescent="0.2">
      <c r="B6700" t="s">
        <v>44</v>
      </c>
      <c r="C6700" t="str">
        <f>HYPERLINK("https://us2.cloudbeds.com/connect/8493803454333002#/reservations/155346237898886?display=3BF1XEKJAM&amp;reservation_id=155346237898886", "3BF1XEKJAM")</f>
        <v>3BF1XEKJAM</v>
      </c>
      <c r="D6700" t="s">
        <v>45</v>
      </c>
      <c r="E6700" t="s">
        <v>265</v>
      </c>
      <c r="F6700" t="s">
        <v>61</v>
      </c>
      <c r="G6700" t="s">
        <v>48</v>
      </c>
      <c r="H6700" t="s">
        <v>3957</v>
      </c>
      <c r="I6700" t="s">
        <v>3958</v>
      </c>
      <c r="J6700" t="s">
        <v>6380</v>
      </c>
      <c r="K6700" t="s">
        <v>9291</v>
      </c>
      <c r="L6700" t="s">
        <v>53</v>
      </c>
      <c r="P6700" t="s">
        <v>55</v>
      </c>
      <c r="R6700" t="s">
        <v>56</v>
      </c>
      <c r="T6700" t="s">
        <v>12056</v>
      </c>
      <c r="U6700" t="s">
        <v>58</v>
      </c>
      <c r="V6700">
        <v>2</v>
      </c>
      <c r="W6700">
        <v>1</v>
      </c>
      <c r="X6700">
        <v>1</v>
      </c>
      <c r="Y6700">
        <v>0</v>
      </c>
      <c r="Z6700">
        <v>1</v>
      </c>
      <c r="AA6700">
        <v>310.27</v>
      </c>
      <c r="AB6700">
        <v>311.41000000000003</v>
      </c>
      <c r="AC6700">
        <v>272</v>
      </c>
      <c r="AD6700">
        <v>0</v>
      </c>
      <c r="AE6700">
        <v>37.130000000000003</v>
      </c>
      <c r="AF6700">
        <v>0</v>
      </c>
      <c r="AG6700">
        <v>0</v>
      </c>
      <c r="AH6700">
        <v>0</v>
      </c>
      <c r="AI6700">
        <v>0</v>
      </c>
      <c r="AJ6700">
        <v>309.13</v>
      </c>
      <c r="AK6700">
        <v>0</v>
      </c>
      <c r="AL6700" t="s">
        <v>53</v>
      </c>
      <c r="AM6700" t="s">
        <v>53</v>
      </c>
      <c r="AN6700" t="s">
        <v>53</v>
      </c>
      <c r="AO6700" t="s">
        <v>53</v>
      </c>
      <c r="AP6700" t="s">
        <v>53</v>
      </c>
    </row>
    <row r="6701" spans="2:42" x14ac:dyDescent="0.2">
      <c r="B6701" t="s">
        <v>44</v>
      </c>
      <c r="C6701" t="str">
        <f>HYPERLINK("https://us2.cloudbeds.com/connect/8493803454333002#/reservations/9080486846914996?display=3BG41WU4U4&amp;reservation_id=9080486846914996", "3BG41WU4U4")</f>
        <v>3BG41WU4U4</v>
      </c>
      <c r="D6701" t="s">
        <v>45</v>
      </c>
      <c r="E6701" t="s">
        <v>69</v>
      </c>
      <c r="F6701" t="s">
        <v>70</v>
      </c>
      <c r="G6701" t="s">
        <v>48</v>
      </c>
      <c r="H6701" t="s">
        <v>49</v>
      </c>
      <c r="I6701" t="s">
        <v>62</v>
      </c>
      <c r="J6701" t="s">
        <v>10038</v>
      </c>
      <c r="K6701" t="s">
        <v>10775</v>
      </c>
      <c r="L6701" t="s">
        <v>53</v>
      </c>
      <c r="N6701" t="s">
        <v>12057</v>
      </c>
      <c r="P6701" t="s">
        <v>55</v>
      </c>
      <c r="R6701" t="s">
        <v>56</v>
      </c>
      <c r="T6701" t="s">
        <v>12058</v>
      </c>
      <c r="U6701" t="s">
        <v>55</v>
      </c>
      <c r="V6701">
        <v>3</v>
      </c>
      <c r="W6701">
        <v>1</v>
      </c>
      <c r="X6701">
        <v>2</v>
      </c>
      <c r="Y6701">
        <v>0</v>
      </c>
      <c r="Z6701">
        <v>2</v>
      </c>
      <c r="AA6701">
        <v>273</v>
      </c>
      <c r="AB6701">
        <v>273</v>
      </c>
      <c r="AC6701">
        <v>273</v>
      </c>
      <c r="AD6701">
        <v>0</v>
      </c>
      <c r="AE6701">
        <v>0</v>
      </c>
      <c r="AF6701">
        <v>0</v>
      </c>
      <c r="AG6701">
        <v>0</v>
      </c>
      <c r="AH6701">
        <v>0</v>
      </c>
      <c r="AI6701">
        <v>49.14</v>
      </c>
      <c r="AJ6701">
        <v>273</v>
      </c>
      <c r="AK6701">
        <v>0</v>
      </c>
      <c r="AL6701" t="s">
        <v>53</v>
      </c>
      <c r="AM6701" t="s">
        <v>53</v>
      </c>
      <c r="AN6701" t="s">
        <v>53</v>
      </c>
      <c r="AO6701" t="s">
        <v>53</v>
      </c>
      <c r="AP6701" t="s">
        <v>53</v>
      </c>
    </row>
    <row r="6702" spans="2:42" x14ac:dyDescent="0.2">
      <c r="B6702" t="s">
        <v>44</v>
      </c>
      <c r="C6702" t="str">
        <f>HYPERLINK("https://us2.cloudbeds.com/connect/8493803454333002#/reservations/9080486846915214?display=3BGD5GF7UB&amp;reservation_id=9080486846915214", "3BGD5GF7UB")</f>
        <v>3BGD5GF7UB</v>
      </c>
      <c r="D6702" t="s">
        <v>45</v>
      </c>
      <c r="E6702" t="s">
        <v>121</v>
      </c>
      <c r="F6702" t="s">
        <v>86</v>
      </c>
      <c r="G6702" t="s">
        <v>48</v>
      </c>
      <c r="H6702" t="s">
        <v>49</v>
      </c>
      <c r="I6702" t="s">
        <v>62</v>
      </c>
      <c r="J6702" t="s">
        <v>7438</v>
      </c>
      <c r="K6702" t="s">
        <v>9291</v>
      </c>
      <c r="L6702" t="s">
        <v>53</v>
      </c>
      <c r="N6702" t="s">
        <v>12059</v>
      </c>
      <c r="P6702" t="s">
        <v>55</v>
      </c>
      <c r="R6702" t="s">
        <v>56</v>
      </c>
      <c r="T6702" t="s">
        <v>12060</v>
      </c>
      <c r="U6702" t="s">
        <v>55</v>
      </c>
      <c r="V6702">
        <v>1</v>
      </c>
      <c r="W6702">
        <v>1</v>
      </c>
      <c r="X6702">
        <v>2</v>
      </c>
      <c r="Y6702">
        <v>0</v>
      </c>
      <c r="Z6702">
        <v>2</v>
      </c>
      <c r="AA6702">
        <v>175</v>
      </c>
      <c r="AB6702">
        <v>175</v>
      </c>
      <c r="AC6702">
        <v>175</v>
      </c>
      <c r="AD6702">
        <v>0</v>
      </c>
      <c r="AE6702">
        <v>0</v>
      </c>
      <c r="AF6702">
        <v>0</v>
      </c>
      <c r="AG6702">
        <v>0</v>
      </c>
      <c r="AH6702">
        <v>0</v>
      </c>
      <c r="AI6702">
        <v>31.5</v>
      </c>
      <c r="AJ6702">
        <v>175</v>
      </c>
      <c r="AK6702">
        <v>0</v>
      </c>
      <c r="AL6702" t="s">
        <v>53</v>
      </c>
      <c r="AM6702" t="s">
        <v>53</v>
      </c>
      <c r="AN6702" t="s">
        <v>53</v>
      </c>
      <c r="AO6702" t="s">
        <v>53</v>
      </c>
      <c r="AP6702" t="s">
        <v>53</v>
      </c>
    </row>
    <row r="6703" spans="2:42" x14ac:dyDescent="0.2">
      <c r="B6703" t="s">
        <v>44</v>
      </c>
      <c r="C6703" t="str">
        <f>HYPERLINK("https://us2.cloudbeds.com/connect/8493803454333002#/reservations/9080486846915288?display=3BGGHH48BM&amp;reservation_id=9080486846915288", "3BGGHH48BM")</f>
        <v>3BGGHH48BM</v>
      </c>
      <c r="D6703" t="s">
        <v>45</v>
      </c>
      <c r="E6703" t="s">
        <v>128</v>
      </c>
      <c r="F6703" t="s">
        <v>86</v>
      </c>
      <c r="G6703" t="s">
        <v>48</v>
      </c>
      <c r="H6703" t="s">
        <v>49</v>
      </c>
      <c r="I6703" t="s">
        <v>8964</v>
      </c>
      <c r="J6703" t="s">
        <v>7439</v>
      </c>
      <c r="K6703" t="s">
        <v>11636</v>
      </c>
      <c r="L6703" t="s">
        <v>53</v>
      </c>
      <c r="N6703" t="s">
        <v>12061</v>
      </c>
      <c r="P6703" t="s">
        <v>55</v>
      </c>
      <c r="R6703" t="s">
        <v>53</v>
      </c>
      <c r="T6703" t="s">
        <v>12062</v>
      </c>
      <c r="U6703" t="s">
        <v>55</v>
      </c>
      <c r="V6703">
        <v>1</v>
      </c>
      <c r="W6703">
        <v>1</v>
      </c>
      <c r="X6703">
        <v>3</v>
      </c>
      <c r="Y6703">
        <v>1</v>
      </c>
      <c r="Z6703">
        <v>4</v>
      </c>
      <c r="AA6703">
        <v>0</v>
      </c>
      <c r="AB6703">
        <v>0</v>
      </c>
      <c r="AC6703">
        <v>222</v>
      </c>
      <c r="AD6703">
        <v>0</v>
      </c>
      <c r="AE6703">
        <v>0</v>
      </c>
      <c r="AF6703">
        <v>0</v>
      </c>
      <c r="AG6703">
        <v>0</v>
      </c>
      <c r="AH6703">
        <v>0</v>
      </c>
      <c r="AI6703">
        <v>33.299999999999997</v>
      </c>
      <c r="AJ6703">
        <v>222</v>
      </c>
      <c r="AK6703">
        <v>222</v>
      </c>
      <c r="AL6703" t="s">
        <v>53</v>
      </c>
      <c r="AM6703" t="s">
        <v>53</v>
      </c>
      <c r="AN6703" t="s">
        <v>53</v>
      </c>
      <c r="AO6703" t="s">
        <v>53</v>
      </c>
      <c r="AP6703" t="s">
        <v>53</v>
      </c>
    </row>
    <row r="6704" spans="2:42" x14ac:dyDescent="0.2">
      <c r="B6704" t="s">
        <v>44</v>
      </c>
      <c r="C6704" t="str">
        <f>HYPERLINK("https://us2.cloudbeds.com/connect/8493803454333002#/reservations/155405854253285?display=3BGENPNHDJ&amp;reservation_id=155405854253285", "3BGENPNHDJ")</f>
        <v>3BGENPNHDJ</v>
      </c>
      <c r="D6704" t="s">
        <v>45</v>
      </c>
      <c r="E6704" t="s">
        <v>165</v>
      </c>
      <c r="F6704" t="s">
        <v>61</v>
      </c>
      <c r="G6704" t="s">
        <v>48</v>
      </c>
      <c r="H6704" t="s">
        <v>3957</v>
      </c>
      <c r="I6704" t="s">
        <v>3975</v>
      </c>
      <c r="J6704" t="s">
        <v>7439</v>
      </c>
      <c r="K6704" t="s">
        <v>8021</v>
      </c>
      <c r="L6704" t="s">
        <v>53</v>
      </c>
      <c r="P6704" t="s">
        <v>55</v>
      </c>
      <c r="R6704" t="s">
        <v>56</v>
      </c>
      <c r="T6704" t="s">
        <v>12063</v>
      </c>
      <c r="U6704" t="s">
        <v>58</v>
      </c>
      <c r="V6704">
        <v>2</v>
      </c>
      <c r="W6704">
        <v>1</v>
      </c>
      <c r="X6704">
        <v>2</v>
      </c>
      <c r="Y6704">
        <v>0</v>
      </c>
      <c r="Z6704">
        <v>2</v>
      </c>
      <c r="AA6704">
        <v>372.78</v>
      </c>
      <c r="AB6704">
        <v>372.78</v>
      </c>
      <c r="AC6704">
        <v>328</v>
      </c>
      <c r="AD6704">
        <v>0</v>
      </c>
      <c r="AE6704">
        <v>44.78</v>
      </c>
      <c r="AF6704">
        <v>0</v>
      </c>
      <c r="AG6704">
        <v>0</v>
      </c>
      <c r="AH6704">
        <v>0</v>
      </c>
      <c r="AI6704">
        <v>0</v>
      </c>
      <c r="AJ6704">
        <v>372.78</v>
      </c>
      <c r="AK6704">
        <v>0</v>
      </c>
      <c r="AL6704" t="s">
        <v>53</v>
      </c>
      <c r="AM6704" t="s">
        <v>53</v>
      </c>
      <c r="AN6704" t="s">
        <v>53</v>
      </c>
      <c r="AO6704" t="s">
        <v>53</v>
      </c>
      <c r="AP6704" t="s">
        <v>53</v>
      </c>
    </row>
    <row r="6705" spans="2:42" x14ac:dyDescent="0.2">
      <c r="B6705" t="s">
        <v>44</v>
      </c>
      <c r="C6705" t="str">
        <f>HYPERLINK("https://us2.cloudbeds.com/connect/8493803454333002#/reservations/9080486846915932?display=3BHJAENNA4&amp;reservation_id=9080486846915932", "3BHJAENNA4")</f>
        <v>3BHJAENNA4</v>
      </c>
      <c r="D6705" t="s">
        <v>45</v>
      </c>
      <c r="E6705" t="s">
        <v>373</v>
      </c>
      <c r="F6705" t="s">
        <v>47</v>
      </c>
      <c r="G6705" t="s">
        <v>48</v>
      </c>
      <c r="H6705" t="s">
        <v>49</v>
      </c>
      <c r="I6705" t="s">
        <v>62</v>
      </c>
      <c r="J6705" t="s">
        <v>8818</v>
      </c>
      <c r="K6705" t="s">
        <v>7439</v>
      </c>
      <c r="L6705" t="s">
        <v>53</v>
      </c>
      <c r="N6705" t="s">
        <v>12064</v>
      </c>
      <c r="P6705" t="s">
        <v>55</v>
      </c>
      <c r="R6705" t="s">
        <v>201</v>
      </c>
      <c r="T6705" t="s">
        <v>12065</v>
      </c>
      <c r="U6705" t="s">
        <v>55</v>
      </c>
      <c r="V6705">
        <v>1</v>
      </c>
      <c r="W6705">
        <v>1</v>
      </c>
      <c r="X6705">
        <v>2</v>
      </c>
      <c r="Y6705">
        <v>0</v>
      </c>
      <c r="Z6705">
        <v>2</v>
      </c>
      <c r="AA6705">
        <v>139</v>
      </c>
      <c r="AB6705">
        <v>139</v>
      </c>
      <c r="AC6705">
        <v>139</v>
      </c>
      <c r="AD6705">
        <v>0</v>
      </c>
      <c r="AE6705">
        <v>0</v>
      </c>
      <c r="AF6705">
        <v>0</v>
      </c>
      <c r="AG6705">
        <v>0</v>
      </c>
      <c r="AH6705">
        <v>0</v>
      </c>
      <c r="AI6705">
        <v>25.02</v>
      </c>
      <c r="AJ6705">
        <v>139</v>
      </c>
      <c r="AK6705">
        <v>0</v>
      </c>
      <c r="AL6705" t="s">
        <v>53</v>
      </c>
      <c r="AM6705" t="s">
        <v>53</v>
      </c>
      <c r="AN6705" t="s">
        <v>53</v>
      </c>
      <c r="AO6705" t="s">
        <v>53</v>
      </c>
      <c r="AP6705" t="s">
        <v>53</v>
      </c>
    </row>
    <row r="6706" spans="2:42" x14ac:dyDescent="0.2">
      <c r="B6706" t="s">
        <v>44</v>
      </c>
      <c r="C6706" t="str">
        <f>HYPERLINK("https://us2.cloudbeds.com/connect/8493803454333002#/reservations/9080486846917867?display=3BKF4HJ0Z4&amp;reservation_id=9080486846917867", "3BKF4HJ0Z4")</f>
        <v>3BKF4HJ0Z4</v>
      </c>
      <c r="D6706" t="s">
        <v>45</v>
      </c>
      <c r="E6706" t="s">
        <v>78</v>
      </c>
      <c r="F6706" t="s">
        <v>61</v>
      </c>
      <c r="G6706" t="s">
        <v>48</v>
      </c>
      <c r="H6706" t="s">
        <v>49</v>
      </c>
      <c r="I6706" t="s">
        <v>62</v>
      </c>
      <c r="J6706" t="s">
        <v>7438</v>
      </c>
      <c r="K6706" t="s">
        <v>11387</v>
      </c>
      <c r="L6706" t="s">
        <v>53</v>
      </c>
      <c r="N6706" t="s">
        <v>12066</v>
      </c>
      <c r="P6706" t="s">
        <v>55</v>
      </c>
      <c r="R6706" t="s">
        <v>56</v>
      </c>
      <c r="T6706" t="s">
        <v>12067</v>
      </c>
      <c r="U6706" t="s">
        <v>55</v>
      </c>
      <c r="V6706">
        <v>2</v>
      </c>
      <c r="W6706">
        <v>1</v>
      </c>
      <c r="X6706">
        <v>2</v>
      </c>
      <c r="Y6706">
        <v>0</v>
      </c>
      <c r="Z6706">
        <v>2</v>
      </c>
      <c r="AA6706">
        <v>280</v>
      </c>
      <c r="AB6706">
        <v>280</v>
      </c>
      <c r="AC6706">
        <v>280</v>
      </c>
      <c r="AD6706">
        <v>0</v>
      </c>
      <c r="AE6706">
        <v>0</v>
      </c>
      <c r="AF6706">
        <v>0</v>
      </c>
      <c r="AG6706">
        <v>0</v>
      </c>
      <c r="AH6706">
        <v>0</v>
      </c>
      <c r="AI6706">
        <v>50.4</v>
      </c>
      <c r="AJ6706">
        <v>280</v>
      </c>
      <c r="AK6706">
        <v>0</v>
      </c>
      <c r="AL6706" t="s">
        <v>53</v>
      </c>
      <c r="AM6706" t="s">
        <v>53</v>
      </c>
      <c r="AN6706" t="s">
        <v>53</v>
      </c>
      <c r="AO6706" t="s">
        <v>53</v>
      </c>
      <c r="AP6706" t="s">
        <v>53</v>
      </c>
    </row>
    <row r="6707" spans="2:42" x14ac:dyDescent="0.2">
      <c r="B6707" t="s">
        <v>44</v>
      </c>
      <c r="C6707" t="str">
        <f>HYPERLINK("https://us2.cloudbeds.com/connect/8493803454333002#/reservations/9080486846918522?display=3BY3K5ABTA&amp;reservation_id=9080486846918522", "3BY3K5ABTA")</f>
        <v>3BY3K5ABTA</v>
      </c>
      <c r="D6707" t="s">
        <v>45</v>
      </c>
      <c r="E6707" t="s">
        <v>165</v>
      </c>
      <c r="F6707" t="s">
        <v>61</v>
      </c>
      <c r="G6707" t="s">
        <v>48</v>
      </c>
      <c r="H6707" t="s">
        <v>49</v>
      </c>
      <c r="I6707" t="s">
        <v>8964</v>
      </c>
      <c r="J6707" t="s">
        <v>10724</v>
      </c>
      <c r="K6707" t="s">
        <v>11998</v>
      </c>
      <c r="L6707" t="s">
        <v>53</v>
      </c>
      <c r="N6707" t="s">
        <v>12068</v>
      </c>
      <c r="P6707" t="s">
        <v>55</v>
      </c>
      <c r="R6707" t="s">
        <v>53</v>
      </c>
      <c r="T6707" t="s">
        <v>12069</v>
      </c>
      <c r="U6707" t="s">
        <v>55</v>
      </c>
      <c r="V6707">
        <v>2</v>
      </c>
      <c r="W6707">
        <v>1</v>
      </c>
      <c r="X6707">
        <v>2</v>
      </c>
      <c r="Y6707">
        <v>0</v>
      </c>
      <c r="Z6707">
        <v>2</v>
      </c>
      <c r="AA6707">
        <v>0</v>
      </c>
      <c r="AB6707">
        <v>0</v>
      </c>
      <c r="AC6707">
        <v>196</v>
      </c>
      <c r="AD6707">
        <v>0</v>
      </c>
      <c r="AE6707">
        <v>0</v>
      </c>
      <c r="AF6707">
        <v>0</v>
      </c>
      <c r="AG6707">
        <v>0</v>
      </c>
      <c r="AH6707">
        <v>0</v>
      </c>
      <c r="AI6707">
        <v>29.4</v>
      </c>
      <c r="AJ6707">
        <v>196</v>
      </c>
      <c r="AK6707">
        <v>196</v>
      </c>
      <c r="AL6707" t="s">
        <v>53</v>
      </c>
      <c r="AM6707" t="s">
        <v>53</v>
      </c>
      <c r="AN6707" t="s">
        <v>53</v>
      </c>
      <c r="AO6707" t="s">
        <v>53</v>
      </c>
      <c r="AP6707" t="s">
        <v>53</v>
      </c>
    </row>
    <row r="6708" spans="2:42" x14ac:dyDescent="0.2">
      <c r="B6708" t="s">
        <v>44</v>
      </c>
      <c r="C6708" t="str">
        <f>HYPERLINK("https://us2.cloudbeds.com/connect/8493803454333002#/reservations/9080486846919298?display=3BYRNGNS7C&amp;reservation_id=9080486846919298", "3BYRNGNS7C")</f>
        <v>3BYRNGNS7C</v>
      </c>
      <c r="D6708" t="s">
        <v>45</v>
      </c>
      <c r="E6708" t="s">
        <v>165</v>
      </c>
      <c r="F6708" t="s">
        <v>61</v>
      </c>
      <c r="G6708" t="s">
        <v>48</v>
      </c>
      <c r="H6708" t="s">
        <v>49</v>
      </c>
      <c r="I6708" t="s">
        <v>50</v>
      </c>
      <c r="J6708" t="s">
        <v>10893</v>
      </c>
      <c r="K6708" t="s">
        <v>12070</v>
      </c>
      <c r="L6708" t="s">
        <v>53</v>
      </c>
      <c r="N6708" t="s">
        <v>12071</v>
      </c>
      <c r="P6708" t="s">
        <v>55</v>
      </c>
      <c r="R6708" t="s">
        <v>53</v>
      </c>
      <c r="T6708" t="s">
        <v>12072</v>
      </c>
      <c r="U6708" t="s">
        <v>58</v>
      </c>
      <c r="V6708">
        <v>1</v>
      </c>
      <c r="W6708">
        <v>1</v>
      </c>
      <c r="X6708">
        <v>2</v>
      </c>
      <c r="Y6708">
        <v>0</v>
      </c>
      <c r="Z6708">
        <v>2</v>
      </c>
      <c r="AA6708">
        <v>106.12</v>
      </c>
      <c r="AB6708">
        <v>106.12</v>
      </c>
      <c r="AC6708">
        <v>93.37</v>
      </c>
      <c r="AD6708">
        <v>0</v>
      </c>
      <c r="AE6708">
        <v>12.75</v>
      </c>
      <c r="AF6708">
        <v>0</v>
      </c>
      <c r="AG6708">
        <v>0</v>
      </c>
      <c r="AH6708">
        <v>0</v>
      </c>
      <c r="AI6708">
        <v>19.100000000000001</v>
      </c>
      <c r="AJ6708">
        <v>106.12</v>
      </c>
      <c r="AK6708">
        <v>0</v>
      </c>
      <c r="AL6708" t="s">
        <v>53</v>
      </c>
      <c r="AM6708" t="s">
        <v>53</v>
      </c>
      <c r="AN6708" t="s">
        <v>53</v>
      </c>
      <c r="AO6708" t="s">
        <v>53</v>
      </c>
      <c r="AP6708" t="s">
        <v>53</v>
      </c>
    </row>
    <row r="6709" spans="2:42" x14ac:dyDescent="0.2">
      <c r="B6709" t="s">
        <v>44</v>
      </c>
      <c r="C6709" t="str">
        <f>HYPERLINK("https://us2.cloudbeds.com/connect/8493803454333002#/reservations/9080486846920107?display=3BMX3TT292&amp;reservation_id=9080486846920107", "3BMX3TT292")</f>
        <v>3BMX3TT292</v>
      </c>
      <c r="D6709" t="s">
        <v>45</v>
      </c>
      <c r="E6709" t="s">
        <v>223</v>
      </c>
      <c r="F6709" t="s">
        <v>47</v>
      </c>
      <c r="G6709" t="s">
        <v>48</v>
      </c>
      <c r="H6709" t="s">
        <v>49</v>
      </c>
      <c r="I6709" t="s">
        <v>50</v>
      </c>
      <c r="J6709" t="s">
        <v>11387</v>
      </c>
      <c r="K6709" t="s">
        <v>7439</v>
      </c>
      <c r="L6709" t="s">
        <v>53</v>
      </c>
      <c r="N6709" t="s">
        <v>12073</v>
      </c>
      <c r="P6709" t="s">
        <v>55</v>
      </c>
      <c r="R6709" t="s">
        <v>53</v>
      </c>
      <c r="T6709" t="s">
        <v>12074</v>
      </c>
      <c r="U6709" t="s">
        <v>58</v>
      </c>
      <c r="V6709">
        <v>2</v>
      </c>
      <c r="W6709">
        <v>1</v>
      </c>
      <c r="X6709">
        <v>2</v>
      </c>
      <c r="Y6709">
        <v>0</v>
      </c>
      <c r="Z6709">
        <v>2</v>
      </c>
      <c r="AA6709">
        <v>266.95999999999998</v>
      </c>
      <c r="AB6709">
        <v>266.95999999999998</v>
      </c>
      <c r="AC6709">
        <v>234.9</v>
      </c>
      <c r="AD6709">
        <v>0</v>
      </c>
      <c r="AE6709">
        <v>32.06</v>
      </c>
      <c r="AF6709">
        <v>0</v>
      </c>
      <c r="AG6709">
        <v>0</v>
      </c>
      <c r="AH6709">
        <v>0</v>
      </c>
      <c r="AI6709">
        <v>48.05</v>
      </c>
      <c r="AJ6709">
        <v>266.95999999999998</v>
      </c>
      <c r="AK6709">
        <v>0</v>
      </c>
      <c r="AL6709" t="s">
        <v>53</v>
      </c>
      <c r="AM6709" t="s">
        <v>53</v>
      </c>
      <c r="AN6709" t="s">
        <v>53</v>
      </c>
      <c r="AO6709" t="s">
        <v>53</v>
      </c>
      <c r="AP6709" t="s">
        <v>53</v>
      </c>
    </row>
    <row r="6710" spans="2:42" x14ac:dyDescent="0.2">
      <c r="B6710" t="s">
        <v>44</v>
      </c>
      <c r="C6710" t="str">
        <f>HYPERLINK("https://us2.cloudbeds.com/connect/8493803454333002#/reservations/155686082117795?display=3BN0N88V4J&amp;reservation_id=155686082117795", "3BN0N88V4J")</f>
        <v>3BN0N88V4J</v>
      </c>
      <c r="D6710" t="s">
        <v>45</v>
      </c>
      <c r="E6710" t="s">
        <v>223</v>
      </c>
      <c r="F6710" t="s">
        <v>47</v>
      </c>
      <c r="G6710" t="s">
        <v>48</v>
      </c>
      <c r="H6710" t="s">
        <v>3957</v>
      </c>
      <c r="I6710" t="s">
        <v>3958</v>
      </c>
      <c r="J6710" t="s">
        <v>7438</v>
      </c>
      <c r="K6710" t="s">
        <v>11387</v>
      </c>
      <c r="L6710" t="s">
        <v>53</v>
      </c>
      <c r="P6710" t="s">
        <v>55</v>
      </c>
      <c r="R6710" t="s">
        <v>56</v>
      </c>
      <c r="T6710" t="s">
        <v>12075</v>
      </c>
      <c r="U6710" t="s">
        <v>58</v>
      </c>
      <c r="V6710">
        <v>2</v>
      </c>
      <c r="W6710">
        <v>1</v>
      </c>
      <c r="X6710">
        <v>2</v>
      </c>
      <c r="Y6710">
        <v>0</v>
      </c>
      <c r="Z6710">
        <v>2</v>
      </c>
      <c r="AA6710">
        <v>279.60000000000002</v>
      </c>
      <c r="AB6710">
        <v>279.60000000000002</v>
      </c>
      <c r="AC6710">
        <v>246</v>
      </c>
      <c r="AD6710">
        <v>0</v>
      </c>
      <c r="AE6710">
        <v>33.6</v>
      </c>
      <c r="AF6710">
        <v>0</v>
      </c>
      <c r="AG6710">
        <v>0</v>
      </c>
      <c r="AH6710">
        <v>0</v>
      </c>
      <c r="AI6710">
        <v>0</v>
      </c>
      <c r="AJ6710">
        <v>279.60000000000002</v>
      </c>
      <c r="AK6710">
        <v>0</v>
      </c>
      <c r="AL6710" t="s">
        <v>53</v>
      </c>
      <c r="AM6710" t="s">
        <v>53</v>
      </c>
      <c r="AN6710" t="s">
        <v>53</v>
      </c>
      <c r="AO6710" t="s">
        <v>53</v>
      </c>
      <c r="AP6710" t="s">
        <v>53</v>
      </c>
    </row>
    <row r="6711" spans="2:42" x14ac:dyDescent="0.2">
      <c r="B6711" t="s">
        <v>44</v>
      </c>
      <c r="C6711" t="str">
        <f>HYPERLINK("https://us2.cloudbeds.com/connect/8493803454333002#/reservations/9080486846921022?display=3BNG1HSJB7&amp;reservation_id=9080486846921022", "3BNG1HSJB7")</f>
        <v>3BNG1HSJB7</v>
      </c>
      <c r="D6711" t="s">
        <v>45</v>
      </c>
      <c r="E6711" t="s">
        <v>487</v>
      </c>
      <c r="F6711" t="s">
        <v>61</v>
      </c>
      <c r="G6711" t="s">
        <v>48</v>
      </c>
      <c r="H6711" t="s">
        <v>49</v>
      </c>
      <c r="I6711" t="s">
        <v>50</v>
      </c>
      <c r="J6711" t="s">
        <v>7438</v>
      </c>
      <c r="K6711" t="s">
        <v>11636</v>
      </c>
      <c r="L6711" t="s">
        <v>53</v>
      </c>
      <c r="N6711" t="s">
        <v>12076</v>
      </c>
      <c r="P6711" t="s">
        <v>55</v>
      </c>
      <c r="R6711" t="s">
        <v>53</v>
      </c>
      <c r="T6711" t="s">
        <v>12077</v>
      </c>
      <c r="U6711" t="s">
        <v>58</v>
      </c>
      <c r="V6711">
        <v>5</v>
      </c>
      <c r="W6711">
        <v>1</v>
      </c>
      <c r="X6711">
        <v>2</v>
      </c>
      <c r="Y6711">
        <v>0</v>
      </c>
      <c r="Z6711">
        <v>2</v>
      </c>
      <c r="AA6711">
        <v>766.11</v>
      </c>
      <c r="AB6711">
        <v>766.11</v>
      </c>
      <c r="AC6711">
        <v>674.1</v>
      </c>
      <c r="AD6711">
        <v>0</v>
      </c>
      <c r="AE6711">
        <v>92.01</v>
      </c>
      <c r="AF6711">
        <v>0</v>
      </c>
      <c r="AG6711">
        <v>0</v>
      </c>
      <c r="AH6711">
        <v>0</v>
      </c>
      <c r="AI6711">
        <v>137.9</v>
      </c>
      <c r="AJ6711">
        <v>766.11</v>
      </c>
      <c r="AK6711">
        <v>0</v>
      </c>
      <c r="AL6711" t="s">
        <v>53</v>
      </c>
      <c r="AM6711" t="s">
        <v>53</v>
      </c>
      <c r="AN6711" t="s">
        <v>53</v>
      </c>
      <c r="AO6711" t="s">
        <v>53</v>
      </c>
      <c r="AP6711" t="s">
        <v>53</v>
      </c>
    </row>
    <row r="6712" spans="2:42" x14ac:dyDescent="0.2">
      <c r="B6712" t="s">
        <v>44</v>
      </c>
      <c r="C6712" t="str">
        <f>HYPERLINK("https://us2.cloudbeds.com/connect/8493803454333002#/reservations/9080486846921307?display=3BNTGFU0QY&amp;reservation_id=9080486846921307", "3BNTGFU0QY")</f>
        <v>3BNTGFU0QY</v>
      </c>
      <c r="D6712" t="s">
        <v>45</v>
      </c>
      <c r="E6712" t="s">
        <v>138</v>
      </c>
      <c r="F6712" t="s">
        <v>70</v>
      </c>
      <c r="G6712" t="s">
        <v>48</v>
      </c>
      <c r="H6712" t="s">
        <v>49</v>
      </c>
      <c r="I6712" t="s">
        <v>62</v>
      </c>
      <c r="J6712" t="s">
        <v>7438</v>
      </c>
      <c r="K6712" t="s">
        <v>9291</v>
      </c>
      <c r="L6712" t="s">
        <v>53</v>
      </c>
      <c r="N6712" t="s">
        <v>12078</v>
      </c>
      <c r="P6712" t="s">
        <v>55</v>
      </c>
      <c r="R6712" t="s">
        <v>56</v>
      </c>
      <c r="T6712" t="s">
        <v>12079</v>
      </c>
      <c r="U6712" t="s">
        <v>55</v>
      </c>
      <c r="V6712">
        <v>1</v>
      </c>
      <c r="W6712">
        <v>1</v>
      </c>
      <c r="X6712">
        <v>2</v>
      </c>
      <c r="Y6712">
        <v>0</v>
      </c>
      <c r="Z6712">
        <v>2</v>
      </c>
      <c r="AA6712">
        <v>108</v>
      </c>
      <c r="AB6712">
        <v>108</v>
      </c>
      <c r="AC6712">
        <v>108</v>
      </c>
      <c r="AD6712">
        <v>0</v>
      </c>
      <c r="AE6712">
        <v>0</v>
      </c>
      <c r="AF6712">
        <v>0</v>
      </c>
      <c r="AG6712">
        <v>0</v>
      </c>
      <c r="AH6712">
        <v>0</v>
      </c>
      <c r="AI6712">
        <v>19.440000000000001</v>
      </c>
      <c r="AJ6712">
        <v>108</v>
      </c>
      <c r="AK6712">
        <v>0</v>
      </c>
      <c r="AL6712" t="s">
        <v>53</v>
      </c>
      <c r="AM6712" t="s">
        <v>53</v>
      </c>
      <c r="AN6712" t="s">
        <v>53</v>
      </c>
      <c r="AO6712" t="s">
        <v>53</v>
      </c>
      <c r="AP6712" t="s">
        <v>53</v>
      </c>
    </row>
    <row r="6713" spans="2:42" x14ac:dyDescent="0.2">
      <c r="B6713" t="s">
        <v>44</v>
      </c>
      <c r="C6713" t="str">
        <f>HYPERLINK("https://us2.cloudbeds.com/connect/8493803454333002#/reservations/9080486846921346?display=3BNVZND4EP&amp;reservation_id=9080486846921346", "3BNVZND4EP")</f>
        <v>3BNVZND4EP</v>
      </c>
      <c r="D6713" t="s">
        <v>45</v>
      </c>
      <c r="E6713" t="s">
        <v>46</v>
      </c>
      <c r="F6713" t="s">
        <v>47</v>
      </c>
      <c r="G6713" t="s">
        <v>48</v>
      </c>
      <c r="H6713" t="s">
        <v>49</v>
      </c>
      <c r="I6713" t="s">
        <v>50</v>
      </c>
      <c r="J6713" t="s">
        <v>7439</v>
      </c>
      <c r="K6713" t="s">
        <v>11636</v>
      </c>
      <c r="L6713" t="s">
        <v>53</v>
      </c>
      <c r="N6713" t="s">
        <v>12080</v>
      </c>
      <c r="P6713" t="s">
        <v>55</v>
      </c>
      <c r="R6713" t="s">
        <v>53</v>
      </c>
      <c r="T6713" t="s">
        <v>12081</v>
      </c>
      <c r="U6713" t="s">
        <v>58</v>
      </c>
      <c r="V6713">
        <v>1</v>
      </c>
      <c r="W6713">
        <v>1</v>
      </c>
      <c r="X6713">
        <v>2</v>
      </c>
      <c r="Y6713">
        <v>0</v>
      </c>
      <c r="Z6713">
        <v>2</v>
      </c>
      <c r="AA6713">
        <v>155.47999999999999</v>
      </c>
      <c r="AB6713">
        <v>155.47999999999999</v>
      </c>
      <c r="AC6713">
        <v>136.80000000000001</v>
      </c>
      <c r="AD6713">
        <v>0</v>
      </c>
      <c r="AE6713">
        <v>18.68</v>
      </c>
      <c r="AF6713">
        <v>0</v>
      </c>
      <c r="AG6713">
        <v>0</v>
      </c>
      <c r="AH6713">
        <v>0</v>
      </c>
      <c r="AI6713">
        <v>27.99</v>
      </c>
      <c r="AJ6713">
        <v>155.47999999999999</v>
      </c>
      <c r="AK6713">
        <v>0</v>
      </c>
      <c r="AL6713" t="s">
        <v>53</v>
      </c>
      <c r="AM6713" t="s">
        <v>53</v>
      </c>
      <c r="AN6713" t="s">
        <v>53</v>
      </c>
      <c r="AO6713" t="s">
        <v>53</v>
      </c>
      <c r="AP6713" t="s">
        <v>53</v>
      </c>
    </row>
    <row r="6714" spans="2:42" x14ac:dyDescent="0.2">
      <c r="B6714" t="s">
        <v>44</v>
      </c>
      <c r="C6714" t="str">
        <f>HYPERLINK("https://us2.cloudbeds.com/connect/8493803454333002#/reservations/9080486846921670?display=3BZE6DH55M&amp;reservation_id=9080486846921670", "3BZE6DH55M")</f>
        <v>3BZE6DH55M</v>
      </c>
      <c r="D6714" t="s">
        <v>45</v>
      </c>
      <c r="E6714" t="s">
        <v>373</v>
      </c>
      <c r="F6714" t="s">
        <v>47</v>
      </c>
      <c r="G6714" t="s">
        <v>48</v>
      </c>
      <c r="H6714" t="s">
        <v>49</v>
      </c>
      <c r="I6714" t="s">
        <v>50</v>
      </c>
      <c r="J6714" t="s">
        <v>7439</v>
      </c>
      <c r="K6714" t="s">
        <v>8021</v>
      </c>
      <c r="L6714" t="s">
        <v>53</v>
      </c>
      <c r="N6714" t="s">
        <v>12082</v>
      </c>
      <c r="P6714" t="s">
        <v>55</v>
      </c>
      <c r="R6714" t="s">
        <v>53</v>
      </c>
      <c r="T6714" t="s">
        <v>12083</v>
      </c>
      <c r="U6714" t="s">
        <v>58</v>
      </c>
      <c r="V6714">
        <v>2</v>
      </c>
      <c r="W6714">
        <v>1</v>
      </c>
      <c r="X6714">
        <v>2</v>
      </c>
      <c r="Y6714">
        <v>0</v>
      </c>
      <c r="Z6714">
        <v>2</v>
      </c>
      <c r="AA6714">
        <v>287.87</v>
      </c>
      <c r="AB6714">
        <v>287.87</v>
      </c>
      <c r="AC6714">
        <v>253.3</v>
      </c>
      <c r="AD6714">
        <v>0</v>
      </c>
      <c r="AE6714">
        <v>34.57</v>
      </c>
      <c r="AF6714">
        <v>0</v>
      </c>
      <c r="AG6714">
        <v>0</v>
      </c>
      <c r="AH6714">
        <v>0</v>
      </c>
      <c r="AI6714">
        <v>51.82</v>
      </c>
      <c r="AJ6714">
        <v>287.87</v>
      </c>
      <c r="AK6714">
        <v>0</v>
      </c>
      <c r="AL6714" t="s">
        <v>53</v>
      </c>
      <c r="AM6714" t="s">
        <v>53</v>
      </c>
      <c r="AN6714" t="s">
        <v>53</v>
      </c>
      <c r="AO6714" t="s">
        <v>53</v>
      </c>
      <c r="AP6714" t="s">
        <v>53</v>
      </c>
    </row>
    <row r="6715" spans="2:42" x14ac:dyDescent="0.2">
      <c r="B6715" t="s">
        <v>44</v>
      </c>
      <c r="C6715" t="str">
        <f>HYPERLINK("https://us2.cloudbeds.com/connect/8493803454333002#/reservations/155755891409027?display=3BZYP1ACG7&amp;reservation_id=155755891409027", "3BZYP1ACG7")</f>
        <v>3BZYP1ACG7</v>
      </c>
      <c r="D6715" t="s">
        <v>45</v>
      </c>
      <c r="E6715" t="s">
        <v>155</v>
      </c>
      <c r="F6715" t="s">
        <v>86</v>
      </c>
      <c r="G6715" t="s">
        <v>48</v>
      </c>
      <c r="H6715" t="s">
        <v>3957</v>
      </c>
      <c r="I6715" t="s">
        <v>3958</v>
      </c>
      <c r="J6715" t="s">
        <v>7438</v>
      </c>
      <c r="K6715" t="s">
        <v>9291</v>
      </c>
      <c r="L6715" t="s">
        <v>53</v>
      </c>
      <c r="P6715" t="s">
        <v>55</v>
      </c>
      <c r="R6715" t="s">
        <v>56</v>
      </c>
      <c r="T6715" t="s">
        <v>12084</v>
      </c>
      <c r="U6715" t="s">
        <v>58</v>
      </c>
      <c r="V6715">
        <v>1</v>
      </c>
      <c r="W6715">
        <v>1</v>
      </c>
      <c r="X6715">
        <v>1</v>
      </c>
      <c r="Y6715">
        <v>3</v>
      </c>
      <c r="Z6715">
        <v>4</v>
      </c>
      <c r="AA6715">
        <v>194.35</v>
      </c>
      <c r="AB6715">
        <v>194.35</v>
      </c>
      <c r="AC6715">
        <v>171</v>
      </c>
      <c r="AD6715">
        <v>0</v>
      </c>
      <c r="AE6715">
        <v>23.35</v>
      </c>
      <c r="AF6715">
        <v>0</v>
      </c>
      <c r="AG6715">
        <v>0</v>
      </c>
      <c r="AH6715">
        <v>0</v>
      </c>
      <c r="AI6715">
        <v>0</v>
      </c>
      <c r="AJ6715">
        <v>194.35</v>
      </c>
      <c r="AK6715">
        <v>0</v>
      </c>
      <c r="AL6715" t="s">
        <v>53</v>
      </c>
      <c r="AM6715" t="s">
        <v>53</v>
      </c>
      <c r="AN6715" t="s">
        <v>53</v>
      </c>
      <c r="AO6715" t="s">
        <v>53</v>
      </c>
      <c r="AP6715" t="s">
        <v>53</v>
      </c>
    </row>
    <row r="6716" spans="2:42" x14ac:dyDescent="0.2">
      <c r="B6716" t="s">
        <v>44</v>
      </c>
      <c r="C6716" t="str">
        <f>HYPERLINK("https://us2.cloudbeds.com/connect/8493803454333002#/reservations/9080486846921975?display=3BZS8EU212&amp;reservation_id=9080486846921975", "3BZS8EU212")</f>
        <v>3BZS8EU212</v>
      </c>
      <c r="D6716" t="s">
        <v>45</v>
      </c>
      <c r="E6716" t="s">
        <v>138</v>
      </c>
      <c r="F6716" t="s">
        <v>70</v>
      </c>
      <c r="G6716" t="s">
        <v>48</v>
      </c>
      <c r="H6716" t="s">
        <v>49</v>
      </c>
      <c r="I6716" t="s">
        <v>8964</v>
      </c>
      <c r="J6716" t="s">
        <v>9291</v>
      </c>
      <c r="K6716" t="s">
        <v>11387</v>
      </c>
      <c r="L6716" t="s">
        <v>53</v>
      </c>
      <c r="N6716" t="s">
        <v>12085</v>
      </c>
      <c r="P6716" t="s">
        <v>55</v>
      </c>
      <c r="R6716" t="s">
        <v>53</v>
      </c>
      <c r="T6716" t="s">
        <v>12086</v>
      </c>
      <c r="U6716" t="s">
        <v>55</v>
      </c>
      <c r="V6716">
        <v>1</v>
      </c>
      <c r="W6716">
        <v>1</v>
      </c>
      <c r="X6716">
        <v>2</v>
      </c>
      <c r="Y6716">
        <v>0</v>
      </c>
      <c r="Z6716">
        <v>2</v>
      </c>
      <c r="AA6716">
        <v>0</v>
      </c>
      <c r="AB6716">
        <v>0</v>
      </c>
      <c r="AC6716">
        <v>111</v>
      </c>
      <c r="AD6716">
        <v>0</v>
      </c>
      <c r="AE6716">
        <v>0</v>
      </c>
      <c r="AF6716">
        <v>0</v>
      </c>
      <c r="AG6716">
        <v>0</v>
      </c>
      <c r="AH6716">
        <v>0</v>
      </c>
      <c r="AI6716">
        <v>16.649999999999999</v>
      </c>
      <c r="AJ6716">
        <v>111</v>
      </c>
      <c r="AK6716">
        <v>111</v>
      </c>
      <c r="AL6716" t="s">
        <v>53</v>
      </c>
      <c r="AM6716" t="s">
        <v>53</v>
      </c>
      <c r="AN6716" t="s">
        <v>53</v>
      </c>
      <c r="AO6716" t="s">
        <v>53</v>
      </c>
      <c r="AP6716" t="s">
        <v>53</v>
      </c>
    </row>
    <row r="6717" spans="2:42" x14ac:dyDescent="0.2">
      <c r="B6717" t="s">
        <v>44</v>
      </c>
      <c r="C6717" t="str">
        <f>HYPERLINK("https://us2.cloudbeds.com/connect/8493803454333002#/reservations/9080486846922619?display=3BPQV77TTZ&amp;reservation_id=9080486846922619", "3BPQV77TTZ")</f>
        <v>3BPQV77TTZ</v>
      </c>
      <c r="D6717" t="s">
        <v>45</v>
      </c>
      <c r="E6717" t="s">
        <v>185</v>
      </c>
      <c r="F6717" t="s">
        <v>47</v>
      </c>
      <c r="G6717" t="s">
        <v>48</v>
      </c>
      <c r="H6717" t="s">
        <v>49</v>
      </c>
      <c r="I6717" t="s">
        <v>8964</v>
      </c>
      <c r="J6717" t="s">
        <v>10487</v>
      </c>
      <c r="K6717" t="s">
        <v>10037</v>
      </c>
      <c r="L6717" t="s">
        <v>53</v>
      </c>
      <c r="N6717" t="s">
        <v>12087</v>
      </c>
      <c r="P6717" t="s">
        <v>55</v>
      </c>
      <c r="R6717" t="s">
        <v>53</v>
      </c>
      <c r="T6717" t="s">
        <v>12088</v>
      </c>
      <c r="U6717" t="s">
        <v>55</v>
      </c>
      <c r="V6717">
        <v>1</v>
      </c>
      <c r="W6717">
        <v>1</v>
      </c>
      <c r="X6717">
        <v>2</v>
      </c>
      <c r="Y6717">
        <v>0</v>
      </c>
      <c r="Z6717">
        <v>2</v>
      </c>
      <c r="AA6717">
        <v>0</v>
      </c>
      <c r="AB6717">
        <v>0</v>
      </c>
      <c r="AC6717">
        <v>88</v>
      </c>
      <c r="AD6717">
        <v>0</v>
      </c>
      <c r="AE6717">
        <v>0</v>
      </c>
      <c r="AF6717">
        <v>0</v>
      </c>
      <c r="AG6717">
        <v>0</v>
      </c>
      <c r="AH6717">
        <v>0</v>
      </c>
      <c r="AI6717">
        <v>13.2</v>
      </c>
      <c r="AJ6717">
        <v>88</v>
      </c>
      <c r="AK6717">
        <v>88</v>
      </c>
      <c r="AL6717" t="s">
        <v>53</v>
      </c>
      <c r="AM6717" t="s">
        <v>53</v>
      </c>
      <c r="AN6717" t="s">
        <v>53</v>
      </c>
      <c r="AO6717" t="s">
        <v>53</v>
      </c>
      <c r="AP6717" t="s">
        <v>53</v>
      </c>
    </row>
    <row r="6718" spans="2:42" x14ac:dyDescent="0.2">
      <c r="B6718" t="s">
        <v>44</v>
      </c>
      <c r="C6718" t="str">
        <f>HYPERLINK("https://us2.cloudbeds.com/connect/8493803454333002#/reservations/9080486846925262?display=3BTFUD87PX&amp;reservation_id=9080486846925262", "3BTFUD87PX")</f>
        <v>3BTFUD87PX</v>
      </c>
      <c r="D6718" t="s">
        <v>45</v>
      </c>
      <c r="E6718" t="s">
        <v>381</v>
      </c>
      <c r="F6718" t="s">
        <v>47</v>
      </c>
      <c r="G6718" t="s">
        <v>48</v>
      </c>
      <c r="H6718" t="s">
        <v>49</v>
      </c>
      <c r="I6718" t="s">
        <v>50</v>
      </c>
      <c r="J6718" t="s">
        <v>7439</v>
      </c>
      <c r="K6718" t="s">
        <v>11636</v>
      </c>
      <c r="L6718" t="s">
        <v>53</v>
      </c>
      <c r="N6718" t="s">
        <v>12089</v>
      </c>
      <c r="P6718" t="s">
        <v>55</v>
      </c>
      <c r="R6718" t="s">
        <v>53</v>
      </c>
      <c r="T6718" t="s">
        <v>12090</v>
      </c>
      <c r="U6718" t="s">
        <v>58</v>
      </c>
      <c r="V6718">
        <v>1</v>
      </c>
      <c r="W6718">
        <v>1</v>
      </c>
      <c r="X6718">
        <v>2</v>
      </c>
      <c r="Y6718">
        <v>0</v>
      </c>
      <c r="Z6718">
        <v>2</v>
      </c>
      <c r="AA6718">
        <v>161.33000000000001</v>
      </c>
      <c r="AB6718">
        <v>161.33000000000001</v>
      </c>
      <c r="AC6718">
        <v>141.94999999999999</v>
      </c>
      <c r="AD6718">
        <v>0</v>
      </c>
      <c r="AE6718">
        <v>19.38</v>
      </c>
      <c r="AF6718">
        <v>0</v>
      </c>
      <c r="AG6718">
        <v>0</v>
      </c>
      <c r="AH6718">
        <v>0</v>
      </c>
      <c r="AI6718">
        <v>29.04</v>
      </c>
      <c r="AJ6718">
        <v>161.33000000000001</v>
      </c>
      <c r="AK6718">
        <v>0</v>
      </c>
      <c r="AL6718" t="s">
        <v>53</v>
      </c>
      <c r="AM6718" t="s">
        <v>53</v>
      </c>
      <c r="AN6718" t="s">
        <v>53</v>
      </c>
      <c r="AO6718" t="s">
        <v>53</v>
      </c>
      <c r="AP6718" t="s">
        <v>53</v>
      </c>
    </row>
    <row r="6719" spans="2:42" x14ac:dyDescent="0.2">
      <c r="B6719" t="s">
        <v>44</v>
      </c>
      <c r="C6719" t="str">
        <f>HYPERLINK("https://us2.cloudbeds.com/connect/8493803454333002#/reservations/9080486846925946?display=3BU557P0TX&amp;reservation_id=9080486846925946", "3BU557P0TX")</f>
        <v>3BU557P0TX</v>
      </c>
      <c r="D6719" t="s">
        <v>45</v>
      </c>
      <c r="E6719" t="s">
        <v>46</v>
      </c>
      <c r="F6719" t="s">
        <v>47</v>
      </c>
      <c r="G6719" t="s">
        <v>48</v>
      </c>
      <c r="H6719" t="s">
        <v>49</v>
      </c>
      <c r="I6719" t="s">
        <v>50</v>
      </c>
      <c r="J6719" t="s">
        <v>9291</v>
      </c>
      <c r="K6719" t="s">
        <v>7439</v>
      </c>
      <c r="L6719" t="s">
        <v>53</v>
      </c>
      <c r="N6719" t="s">
        <v>12091</v>
      </c>
      <c r="P6719" t="s">
        <v>55</v>
      </c>
      <c r="R6719" t="s">
        <v>53</v>
      </c>
      <c r="T6719" t="s">
        <v>12092</v>
      </c>
      <c r="U6719" t="s">
        <v>58</v>
      </c>
      <c r="V6719">
        <v>3</v>
      </c>
      <c r="W6719">
        <v>1</v>
      </c>
      <c r="X6719">
        <v>2</v>
      </c>
      <c r="Y6719">
        <v>0</v>
      </c>
      <c r="Z6719">
        <v>2</v>
      </c>
      <c r="AA6719">
        <v>383.93</v>
      </c>
      <c r="AB6719">
        <v>383.93</v>
      </c>
      <c r="AC6719">
        <v>337.8</v>
      </c>
      <c r="AD6719">
        <v>0</v>
      </c>
      <c r="AE6719">
        <v>46.13</v>
      </c>
      <c r="AF6719">
        <v>0</v>
      </c>
      <c r="AG6719">
        <v>0</v>
      </c>
      <c r="AH6719">
        <v>0</v>
      </c>
      <c r="AI6719">
        <v>69.11</v>
      </c>
      <c r="AJ6719">
        <v>383.93</v>
      </c>
      <c r="AK6719">
        <v>0</v>
      </c>
      <c r="AL6719" t="s">
        <v>53</v>
      </c>
      <c r="AM6719" t="s">
        <v>53</v>
      </c>
      <c r="AN6719" t="s">
        <v>53</v>
      </c>
      <c r="AO6719" t="s">
        <v>53</v>
      </c>
      <c r="AP6719" t="s">
        <v>53</v>
      </c>
    </row>
    <row r="6720" spans="2:42" x14ac:dyDescent="0.2">
      <c r="B6720" t="s">
        <v>44</v>
      </c>
      <c r="C6720" t="str">
        <f>HYPERLINK("https://us2.cloudbeds.com/connect/8493803454333002#/reservations/9080486846926255?display=3BUEJAS287&amp;reservation_id=9080486846926255", "3BUEJAS287")</f>
        <v>3BUEJAS287</v>
      </c>
      <c r="D6720" t="s">
        <v>45</v>
      </c>
      <c r="E6720" t="s">
        <v>155</v>
      </c>
      <c r="F6720" t="s">
        <v>86</v>
      </c>
      <c r="G6720" t="s">
        <v>48</v>
      </c>
      <c r="H6720" t="s">
        <v>49</v>
      </c>
      <c r="I6720" t="s">
        <v>11624</v>
      </c>
      <c r="J6720" t="s">
        <v>7439</v>
      </c>
      <c r="K6720" t="s">
        <v>11636</v>
      </c>
      <c r="L6720" t="s">
        <v>53</v>
      </c>
      <c r="N6720" t="s">
        <v>12093</v>
      </c>
      <c r="P6720" t="s">
        <v>58</v>
      </c>
      <c r="R6720" t="s">
        <v>56</v>
      </c>
      <c r="T6720" t="s">
        <v>12094</v>
      </c>
      <c r="U6720" t="s">
        <v>58</v>
      </c>
      <c r="V6720">
        <v>1</v>
      </c>
      <c r="W6720">
        <v>1</v>
      </c>
      <c r="X6720">
        <v>4</v>
      </c>
      <c r="Y6720">
        <v>0</v>
      </c>
      <c r="Z6720">
        <v>4</v>
      </c>
      <c r="AA6720">
        <v>0</v>
      </c>
      <c r="AB6720">
        <v>0</v>
      </c>
      <c r="AC6720">
        <v>198.55</v>
      </c>
      <c r="AD6720">
        <v>0</v>
      </c>
      <c r="AE6720">
        <v>27.1</v>
      </c>
      <c r="AF6720">
        <v>0</v>
      </c>
      <c r="AG6720">
        <v>0</v>
      </c>
      <c r="AH6720">
        <v>0</v>
      </c>
      <c r="AI6720">
        <v>18.05</v>
      </c>
      <c r="AJ6720">
        <v>225.65</v>
      </c>
      <c r="AK6720">
        <v>225.65</v>
      </c>
      <c r="AL6720" t="s">
        <v>53</v>
      </c>
      <c r="AM6720" t="s">
        <v>53</v>
      </c>
      <c r="AN6720" t="s">
        <v>53</v>
      </c>
      <c r="AO6720" t="s">
        <v>53</v>
      </c>
      <c r="AP6720" t="s">
        <v>53</v>
      </c>
    </row>
    <row r="6721" spans="2:42" x14ac:dyDescent="0.2">
      <c r="B6721" t="s">
        <v>44</v>
      </c>
      <c r="C6721" t="str">
        <f>HYPERLINK("https://us2.cloudbeds.com/connect/8493803454333002#/reservations/9080486846926275?display=3BUF61QBRC&amp;reservation_id=9080486846926275", "3BUF61QBRC")</f>
        <v>3BUF61QBRC</v>
      </c>
      <c r="D6721" t="s">
        <v>45</v>
      </c>
      <c r="E6721" t="s">
        <v>138</v>
      </c>
      <c r="F6721" t="s">
        <v>70</v>
      </c>
      <c r="G6721" t="s">
        <v>48</v>
      </c>
      <c r="H6721" t="s">
        <v>49</v>
      </c>
      <c r="I6721" t="s">
        <v>50</v>
      </c>
      <c r="J6721" t="s">
        <v>8818</v>
      </c>
      <c r="K6721" t="s">
        <v>7439</v>
      </c>
      <c r="L6721" t="s">
        <v>53</v>
      </c>
      <c r="N6721" t="s">
        <v>12095</v>
      </c>
      <c r="P6721" t="s">
        <v>55</v>
      </c>
      <c r="R6721" t="s">
        <v>53</v>
      </c>
      <c r="T6721" t="s">
        <v>12096</v>
      </c>
      <c r="U6721" t="s">
        <v>58</v>
      </c>
      <c r="V6721">
        <v>1</v>
      </c>
      <c r="W6721">
        <v>1</v>
      </c>
      <c r="X6721">
        <v>1</v>
      </c>
      <c r="Y6721">
        <v>0</v>
      </c>
      <c r="Z6721">
        <v>1</v>
      </c>
      <c r="AA6721">
        <v>109.1</v>
      </c>
      <c r="AB6721">
        <v>109.1</v>
      </c>
      <c r="AC6721">
        <v>96</v>
      </c>
      <c r="AD6721">
        <v>0</v>
      </c>
      <c r="AE6721">
        <v>13.1</v>
      </c>
      <c r="AF6721">
        <v>0</v>
      </c>
      <c r="AG6721">
        <v>0</v>
      </c>
      <c r="AH6721">
        <v>0</v>
      </c>
      <c r="AI6721">
        <v>19.64</v>
      </c>
      <c r="AJ6721">
        <v>109.1</v>
      </c>
      <c r="AK6721">
        <v>0</v>
      </c>
      <c r="AL6721" t="s">
        <v>53</v>
      </c>
      <c r="AM6721" t="s">
        <v>53</v>
      </c>
      <c r="AN6721" t="s">
        <v>53</v>
      </c>
      <c r="AO6721" t="s">
        <v>53</v>
      </c>
      <c r="AP6721" t="s">
        <v>53</v>
      </c>
    </row>
    <row r="6722" spans="2:42" x14ac:dyDescent="0.2">
      <c r="B6722" t="s">
        <v>44</v>
      </c>
      <c r="C6722" t="str">
        <f>HYPERLINK("https://us2.cloudbeds.com/connect/8493803454333002#/reservations/9080486846926279?display=3BUF9TEEQN&amp;reservation_id=9080486846926279", "3BUF9TEEQN")</f>
        <v>3BUF9TEEQN</v>
      </c>
      <c r="D6722" t="s">
        <v>45</v>
      </c>
      <c r="E6722" t="s">
        <v>110</v>
      </c>
      <c r="F6722" t="s">
        <v>47</v>
      </c>
      <c r="G6722" t="s">
        <v>48</v>
      </c>
      <c r="H6722" t="s">
        <v>49</v>
      </c>
      <c r="I6722" t="s">
        <v>50</v>
      </c>
      <c r="J6722" t="s">
        <v>8818</v>
      </c>
      <c r="K6722" t="s">
        <v>7439</v>
      </c>
      <c r="L6722" t="s">
        <v>53</v>
      </c>
      <c r="N6722" t="s">
        <v>12097</v>
      </c>
      <c r="P6722" t="s">
        <v>55</v>
      </c>
      <c r="R6722" t="s">
        <v>53</v>
      </c>
      <c r="T6722" t="s">
        <v>12098</v>
      </c>
      <c r="U6722" t="s">
        <v>58</v>
      </c>
      <c r="V6722">
        <v>1</v>
      </c>
      <c r="W6722">
        <v>1</v>
      </c>
      <c r="X6722">
        <v>1</v>
      </c>
      <c r="Y6722">
        <v>0</v>
      </c>
      <c r="Z6722">
        <v>1</v>
      </c>
      <c r="AA6722">
        <v>109.1</v>
      </c>
      <c r="AB6722">
        <v>109.1</v>
      </c>
      <c r="AC6722">
        <v>96</v>
      </c>
      <c r="AD6722">
        <v>0</v>
      </c>
      <c r="AE6722">
        <v>13.1</v>
      </c>
      <c r="AF6722">
        <v>0</v>
      </c>
      <c r="AG6722">
        <v>0</v>
      </c>
      <c r="AH6722">
        <v>0</v>
      </c>
      <c r="AI6722">
        <v>19.64</v>
      </c>
      <c r="AJ6722">
        <v>109.1</v>
      </c>
      <c r="AK6722">
        <v>0</v>
      </c>
      <c r="AL6722" t="s">
        <v>53</v>
      </c>
      <c r="AM6722" t="s">
        <v>53</v>
      </c>
      <c r="AN6722" t="s">
        <v>53</v>
      </c>
      <c r="AO6722" t="s">
        <v>53</v>
      </c>
      <c r="AP6722" t="s">
        <v>53</v>
      </c>
    </row>
    <row r="6723" spans="2:42" x14ac:dyDescent="0.2">
      <c r="B6723" t="s">
        <v>44</v>
      </c>
      <c r="C6723" t="str">
        <f>HYPERLINK("https://us2.cloudbeds.com/connect/8493803454333002#/reservations/9080486846926309?display=3BUG84WU8M&amp;reservation_id=9080486846926309", "3BUG84WU8M")</f>
        <v>3BUG84WU8M</v>
      </c>
      <c r="D6723" t="s">
        <v>45</v>
      </c>
      <c r="E6723" t="s">
        <v>113</v>
      </c>
      <c r="F6723" t="s">
        <v>61</v>
      </c>
      <c r="G6723" t="s">
        <v>48</v>
      </c>
      <c r="H6723" t="s">
        <v>49</v>
      </c>
      <c r="I6723" t="s">
        <v>50</v>
      </c>
      <c r="J6723" t="s">
        <v>8818</v>
      </c>
      <c r="K6723" t="s">
        <v>7439</v>
      </c>
      <c r="L6723" t="s">
        <v>53</v>
      </c>
      <c r="N6723" t="s">
        <v>12099</v>
      </c>
      <c r="P6723" t="s">
        <v>55</v>
      </c>
      <c r="R6723" t="s">
        <v>53</v>
      </c>
      <c r="T6723" t="s">
        <v>12100</v>
      </c>
      <c r="U6723" t="s">
        <v>58</v>
      </c>
      <c r="V6723">
        <v>1</v>
      </c>
      <c r="W6723">
        <v>1</v>
      </c>
      <c r="X6723">
        <v>1</v>
      </c>
      <c r="Y6723">
        <v>0</v>
      </c>
      <c r="Z6723">
        <v>1</v>
      </c>
      <c r="AA6723">
        <v>150.02000000000001</v>
      </c>
      <c r="AB6723">
        <v>150.02000000000001</v>
      </c>
      <c r="AC6723">
        <v>132</v>
      </c>
      <c r="AD6723">
        <v>0</v>
      </c>
      <c r="AE6723">
        <v>18.02</v>
      </c>
      <c r="AF6723">
        <v>0</v>
      </c>
      <c r="AG6723">
        <v>0</v>
      </c>
      <c r="AH6723">
        <v>0</v>
      </c>
      <c r="AI6723">
        <v>27</v>
      </c>
      <c r="AJ6723">
        <v>150.02000000000001</v>
      </c>
      <c r="AK6723">
        <v>0</v>
      </c>
      <c r="AL6723" t="s">
        <v>53</v>
      </c>
      <c r="AM6723" t="s">
        <v>53</v>
      </c>
      <c r="AN6723" t="s">
        <v>53</v>
      </c>
      <c r="AO6723" t="s">
        <v>53</v>
      </c>
      <c r="AP6723" t="s">
        <v>53</v>
      </c>
    </row>
    <row r="6724" spans="2:42" x14ac:dyDescent="0.2">
      <c r="B6724" t="s">
        <v>44</v>
      </c>
      <c r="C6724" t="str">
        <f>HYPERLINK("https://us2.cloudbeds.com/connect/8493803454333002#/reservations/156070639313123?display=3BW1FJ2PQS&amp;reservation_id=156070639313123", "3BW1FJ2PQS")</f>
        <v>3BW1FJ2PQS</v>
      </c>
      <c r="D6724" t="s">
        <v>45</v>
      </c>
      <c r="E6724" t="s">
        <v>113</v>
      </c>
      <c r="F6724" t="s">
        <v>61</v>
      </c>
      <c r="G6724" t="s">
        <v>8291</v>
      </c>
      <c r="H6724" t="s">
        <v>3957</v>
      </c>
      <c r="I6724" t="s">
        <v>3958</v>
      </c>
      <c r="J6724" t="s">
        <v>9291</v>
      </c>
      <c r="K6724" t="s">
        <v>8818</v>
      </c>
      <c r="L6724" t="s">
        <v>53</v>
      </c>
      <c r="P6724" t="s">
        <v>55</v>
      </c>
      <c r="R6724" t="s">
        <v>56</v>
      </c>
      <c r="T6724" t="s">
        <v>12101</v>
      </c>
      <c r="U6724" t="s">
        <v>58</v>
      </c>
      <c r="V6724">
        <v>2</v>
      </c>
      <c r="W6724">
        <v>2</v>
      </c>
      <c r="X6724">
        <v>2</v>
      </c>
      <c r="Y6724">
        <v>0</v>
      </c>
      <c r="Z6724">
        <v>2</v>
      </c>
      <c r="AA6724">
        <v>307.88</v>
      </c>
      <c r="AB6724">
        <v>307.88</v>
      </c>
      <c r="AC6724">
        <v>270.89999999999998</v>
      </c>
      <c r="AD6724">
        <v>0</v>
      </c>
      <c r="AE6724">
        <v>36.979999999999997</v>
      </c>
      <c r="AF6724">
        <v>0</v>
      </c>
      <c r="AG6724">
        <v>0</v>
      </c>
      <c r="AH6724">
        <v>0</v>
      </c>
      <c r="AI6724">
        <v>0</v>
      </c>
      <c r="AJ6724">
        <v>307.88</v>
      </c>
      <c r="AK6724">
        <v>0</v>
      </c>
      <c r="AL6724" t="s">
        <v>53</v>
      </c>
      <c r="AM6724" t="s">
        <v>53</v>
      </c>
      <c r="AN6724" t="s">
        <v>53</v>
      </c>
      <c r="AO6724" t="s">
        <v>53</v>
      </c>
      <c r="AP6724" t="s">
        <v>53</v>
      </c>
    </row>
    <row r="6725" spans="2:42" x14ac:dyDescent="0.2">
      <c r="B6725" t="s">
        <v>44</v>
      </c>
      <c r="C6725" t="str">
        <f>HYPERLINK("https://us2.cloudbeds.com/connect/8493803454333002#/reservations/156152147165385?display=3C0VJ9YUET&amp;reservation_id=156152147165385", "3C0VJ9YUET")</f>
        <v>3C0VJ9YUET</v>
      </c>
      <c r="D6725" t="s">
        <v>45</v>
      </c>
      <c r="E6725" t="s">
        <v>138</v>
      </c>
      <c r="F6725" t="s">
        <v>70</v>
      </c>
      <c r="G6725" t="s">
        <v>48</v>
      </c>
      <c r="H6725" t="s">
        <v>3957</v>
      </c>
      <c r="I6725" t="s">
        <v>3975</v>
      </c>
      <c r="J6725" t="s">
        <v>11387</v>
      </c>
      <c r="K6725" t="s">
        <v>8818</v>
      </c>
      <c r="L6725" t="s">
        <v>53</v>
      </c>
      <c r="P6725" t="s">
        <v>55</v>
      </c>
      <c r="R6725" t="s">
        <v>56</v>
      </c>
      <c r="T6725" t="s">
        <v>12102</v>
      </c>
      <c r="U6725" t="s">
        <v>58</v>
      </c>
      <c r="V6725">
        <v>1</v>
      </c>
      <c r="W6725">
        <v>1</v>
      </c>
      <c r="X6725">
        <v>1</v>
      </c>
      <c r="Y6725">
        <v>0</v>
      </c>
      <c r="Z6725">
        <v>1</v>
      </c>
      <c r="AA6725">
        <v>98.88</v>
      </c>
      <c r="AB6725">
        <v>98.88</v>
      </c>
      <c r="AC6725">
        <v>87</v>
      </c>
      <c r="AD6725">
        <v>0</v>
      </c>
      <c r="AE6725">
        <v>11.88</v>
      </c>
      <c r="AF6725">
        <v>0</v>
      </c>
      <c r="AG6725">
        <v>0</v>
      </c>
      <c r="AH6725">
        <v>0</v>
      </c>
      <c r="AI6725">
        <v>0</v>
      </c>
      <c r="AJ6725">
        <v>98.88</v>
      </c>
      <c r="AK6725">
        <v>0</v>
      </c>
      <c r="AL6725" t="s">
        <v>53</v>
      </c>
      <c r="AM6725" t="s">
        <v>53</v>
      </c>
      <c r="AN6725" t="s">
        <v>53</v>
      </c>
      <c r="AO6725" t="s">
        <v>53</v>
      </c>
      <c r="AP6725" t="s">
        <v>53</v>
      </c>
    </row>
    <row r="6726" spans="2:42" x14ac:dyDescent="0.2">
      <c r="B6726" t="s">
        <v>44</v>
      </c>
      <c r="C6726" t="str">
        <f>HYPERLINK("https://us2.cloudbeds.com/connect/8493803454333002#/reservations/9080486846932043?display=3C4DWX7NGM&amp;reservation_id=9080486846932043", "3C4DWX7NGM")</f>
        <v>3C4DWX7NGM</v>
      </c>
      <c r="D6726" t="s">
        <v>45</v>
      </c>
      <c r="E6726" t="s">
        <v>190</v>
      </c>
      <c r="F6726" t="s">
        <v>61</v>
      </c>
      <c r="G6726" t="s">
        <v>48</v>
      </c>
      <c r="H6726" t="s">
        <v>49</v>
      </c>
      <c r="I6726" t="s">
        <v>8964</v>
      </c>
      <c r="J6726" t="s">
        <v>7439</v>
      </c>
      <c r="K6726" t="s">
        <v>11636</v>
      </c>
      <c r="L6726" t="s">
        <v>53</v>
      </c>
      <c r="N6726" t="s">
        <v>12103</v>
      </c>
      <c r="P6726" t="s">
        <v>55</v>
      </c>
      <c r="R6726" t="s">
        <v>53</v>
      </c>
      <c r="T6726" t="s">
        <v>12104</v>
      </c>
      <c r="U6726" t="s">
        <v>55</v>
      </c>
      <c r="V6726">
        <v>1</v>
      </c>
      <c r="W6726">
        <v>1</v>
      </c>
      <c r="X6726">
        <v>2</v>
      </c>
      <c r="Y6726">
        <v>0</v>
      </c>
      <c r="Z6726">
        <v>2</v>
      </c>
      <c r="AA6726">
        <v>0</v>
      </c>
      <c r="AB6726">
        <v>0</v>
      </c>
      <c r="AC6726">
        <v>176</v>
      </c>
      <c r="AD6726">
        <v>0</v>
      </c>
      <c r="AE6726">
        <v>0</v>
      </c>
      <c r="AF6726">
        <v>0</v>
      </c>
      <c r="AG6726">
        <v>0</v>
      </c>
      <c r="AH6726">
        <v>0</v>
      </c>
      <c r="AI6726">
        <v>26.4</v>
      </c>
      <c r="AJ6726">
        <v>176</v>
      </c>
      <c r="AK6726">
        <v>176</v>
      </c>
      <c r="AL6726" t="s">
        <v>53</v>
      </c>
      <c r="AM6726" t="s">
        <v>53</v>
      </c>
      <c r="AN6726" t="s">
        <v>53</v>
      </c>
      <c r="AO6726" t="s">
        <v>53</v>
      </c>
      <c r="AP6726" t="s">
        <v>53</v>
      </c>
    </row>
    <row r="6727" spans="2:42" x14ac:dyDescent="0.2">
      <c r="B6727" t="s">
        <v>44</v>
      </c>
      <c r="C6727" t="str">
        <f>HYPERLINK("https://us2.cloudbeds.com/connect/8493803454333002#/reservations/9080486846935214?display=3C7X3JH6FM&amp;reservation_id=9080486846935214", "3C7X3JH6FM")</f>
        <v>3C7X3JH6FM</v>
      </c>
      <c r="D6727" t="s">
        <v>45</v>
      </c>
      <c r="E6727" t="s">
        <v>190</v>
      </c>
      <c r="F6727" t="s">
        <v>61</v>
      </c>
      <c r="G6727" t="s">
        <v>48</v>
      </c>
      <c r="H6727" t="s">
        <v>49</v>
      </c>
      <c r="I6727" t="s">
        <v>50</v>
      </c>
      <c r="J6727" t="s">
        <v>11387</v>
      </c>
      <c r="K6727" t="s">
        <v>8818</v>
      </c>
      <c r="L6727" t="s">
        <v>53</v>
      </c>
      <c r="N6727" t="s">
        <v>12105</v>
      </c>
      <c r="P6727" t="s">
        <v>55</v>
      </c>
      <c r="R6727" t="s">
        <v>56</v>
      </c>
      <c r="T6727" t="s">
        <v>12106</v>
      </c>
      <c r="U6727" t="s">
        <v>58</v>
      </c>
      <c r="V6727">
        <v>1</v>
      </c>
      <c r="W6727">
        <v>1</v>
      </c>
      <c r="X6727">
        <v>1</v>
      </c>
      <c r="Y6727">
        <v>0</v>
      </c>
      <c r="Z6727">
        <v>1</v>
      </c>
      <c r="AA6727">
        <v>134.61000000000001</v>
      </c>
      <c r="AB6727">
        <v>134.61000000000001</v>
      </c>
      <c r="AC6727">
        <v>118.44</v>
      </c>
      <c r="AD6727">
        <v>0</v>
      </c>
      <c r="AE6727">
        <v>16.170000000000002</v>
      </c>
      <c r="AF6727">
        <v>0</v>
      </c>
      <c r="AG6727">
        <v>0</v>
      </c>
      <c r="AH6727">
        <v>0</v>
      </c>
      <c r="AI6727">
        <v>24.23</v>
      </c>
      <c r="AJ6727">
        <v>134.61000000000001</v>
      </c>
      <c r="AK6727">
        <v>0</v>
      </c>
      <c r="AL6727" t="s">
        <v>53</v>
      </c>
      <c r="AM6727" t="s">
        <v>53</v>
      </c>
      <c r="AN6727" t="s">
        <v>53</v>
      </c>
      <c r="AO6727" t="s">
        <v>53</v>
      </c>
      <c r="AP6727" t="s">
        <v>53</v>
      </c>
    </row>
    <row r="6728" spans="2:42" x14ac:dyDescent="0.2">
      <c r="B6728" t="s">
        <v>44</v>
      </c>
      <c r="C6728" t="str">
        <f>HYPERLINK("https://us2.cloudbeds.com/connect/8493803454333002#/reservations/9080486846935610?display=3C824NT8EY&amp;reservation_id=9080486846935610", "3C824NT8EY")</f>
        <v>3C824NT8EY</v>
      </c>
      <c r="D6728" t="s">
        <v>45</v>
      </c>
      <c r="E6728" t="s">
        <v>113</v>
      </c>
      <c r="F6728" t="s">
        <v>61</v>
      </c>
      <c r="G6728" t="s">
        <v>48</v>
      </c>
      <c r="H6728" t="s">
        <v>49</v>
      </c>
      <c r="I6728" t="s">
        <v>50</v>
      </c>
      <c r="J6728" t="s">
        <v>10037</v>
      </c>
      <c r="K6728" t="s">
        <v>10038</v>
      </c>
      <c r="L6728" t="s">
        <v>53</v>
      </c>
      <c r="N6728" t="s">
        <v>12107</v>
      </c>
      <c r="P6728" t="s">
        <v>55</v>
      </c>
      <c r="R6728" t="s">
        <v>53</v>
      </c>
      <c r="T6728" t="s">
        <v>12108</v>
      </c>
      <c r="U6728" t="s">
        <v>58</v>
      </c>
      <c r="V6728">
        <v>2</v>
      </c>
      <c r="W6728">
        <v>1</v>
      </c>
      <c r="X6728">
        <v>1</v>
      </c>
      <c r="Y6728">
        <v>0</v>
      </c>
      <c r="Z6728">
        <v>1</v>
      </c>
      <c r="AA6728">
        <v>164.1</v>
      </c>
      <c r="AB6728">
        <v>164.1</v>
      </c>
      <c r="AC6728">
        <v>144.4</v>
      </c>
      <c r="AD6728">
        <v>0</v>
      </c>
      <c r="AE6728">
        <v>19.7</v>
      </c>
      <c r="AF6728">
        <v>0</v>
      </c>
      <c r="AG6728">
        <v>0</v>
      </c>
      <c r="AH6728">
        <v>0</v>
      </c>
      <c r="AI6728">
        <v>29.54</v>
      </c>
      <c r="AJ6728">
        <v>164.1</v>
      </c>
      <c r="AK6728">
        <v>0</v>
      </c>
      <c r="AL6728" t="s">
        <v>53</v>
      </c>
      <c r="AM6728" t="s">
        <v>53</v>
      </c>
      <c r="AN6728" t="s">
        <v>53</v>
      </c>
      <c r="AO6728" t="s">
        <v>53</v>
      </c>
      <c r="AP6728" t="s">
        <v>53</v>
      </c>
    </row>
    <row r="6729" spans="2:42" x14ac:dyDescent="0.2">
      <c r="B6729" t="s">
        <v>44</v>
      </c>
      <c r="C6729" t="str">
        <f>HYPERLINK("https://us2.cloudbeds.com/connect/8493803454333002#/reservations/156468003008714?display=3C8C54MC5M&amp;reservation_id=156468003008714", "3C8C54MC5M")</f>
        <v>3C8C54MC5M</v>
      </c>
      <c r="D6729" t="s">
        <v>45</v>
      </c>
      <c r="E6729" t="s">
        <v>128</v>
      </c>
      <c r="F6729" t="s">
        <v>86</v>
      </c>
      <c r="G6729" t="s">
        <v>48</v>
      </c>
      <c r="H6729" t="s">
        <v>3957</v>
      </c>
      <c r="I6729" t="s">
        <v>3975</v>
      </c>
      <c r="J6729" t="s">
        <v>11387</v>
      </c>
      <c r="K6729" t="s">
        <v>8818</v>
      </c>
      <c r="L6729" t="s">
        <v>53</v>
      </c>
      <c r="P6729" t="s">
        <v>55</v>
      </c>
      <c r="R6729" t="s">
        <v>56</v>
      </c>
      <c r="T6729" t="s">
        <v>12109</v>
      </c>
      <c r="U6729" t="s">
        <v>58</v>
      </c>
      <c r="V6729">
        <v>1</v>
      </c>
      <c r="W6729">
        <v>1</v>
      </c>
      <c r="X6729">
        <v>2</v>
      </c>
      <c r="Y6729">
        <v>0</v>
      </c>
      <c r="Z6729">
        <v>2</v>
      </c>
      <c r="AA6729">
        <v>185.26</v>
      </c>
      <c r="AB6729">
        <v>185.26</v>
      </c>
      <c r="AC6729">
        <v>163</v>
      </c>
      <c r="AD6729">
        <v>0</v>
      </c>
      <c r="AE6729">
        <v>22.26</v>
      </c>
      <c r="AF6729">
        <v>0</v>
      </c>
      <c r="AG6729">
        <v>0</v>
      </c>
      <c r="AH6729">
        <v>0</v>
      </c>
      <c r="AI6729">
        <v>0</v>
      </c>
      <c r="AJ6729">
        <v>185.26</v>
      </c>
      <c r="AK6729">
        <v>0</v>
      </c>
      <c r="AL6729" t="s">
        <v>53</v>
      </c>
      <c r="AM6729" t="s">
        <v>53</v>
      </c>
      <c r="AN6729" t="s">
        <v>53</v>
      </c>
      <c r="AO6729" t="s">
        <v>53</v>
      </c>
      <c r="AP6729" t="s">
        <v>53</v>
      </c>
    </row>
    <row r="6730" spans="2:42" x14ac:dyDescent="0.2">
      <c r="B6730" t="s">
        <v>44</v>
      </c>
      <c r="C6730" t="str">
        <f>HYPERLINK("https://us2.cloudbeds.com/connect/8493803454333002#/reservations/156498983407749?display=3C934P5Y4E&amp;reservation_id=156498983407749", "3C934P5Y4E")</f>
        <v>3C934P5Y4E</v>
      </c>
      <c r="D6730" t="s">
        <v>45</v>
      </c>
      <c r="E6730" t="s">
        <v>406</v>
      </c>
      <c r="F6730" t="s">
        <v>61</v>
      </c>
      <c r="G6730" t="s">
        <v>48</v>
      </c>
      <c r="H6730" t="s">
        <v>3957</v>
      </c>
      <c r="I6730" t="s">
        <v>3958</v>
      </c>
      <c r="J6730" t="s">
        <v>11387</v>
      </c>
      <c r="K6730" t="s">
        <v>8818</v>
      </c>
      <c r="L6730" t="s">
        <v>53</v>
      </c>
      <c r="P6730" t="s">
        <v>55</v>
      </c>
      <c r="R6730" t="s">
        <v>56</v>
      </c>
      <c r="T6730" t="s">
        <v>12110</v>
      </c>
      <c r="U6730" t="s">
        <v>58</v>
      </c>
      <c r="V6730">
        <v>1</v>
      </c>
      <c r="W6730">
        <v>1</v>
      </c>
      <c r="X6730">
        <v>1</v>
      </c>
      <c r="Y6730">
        <v>0</v>
      </c>
      <c r="Z6730">
        <v>1</v>
      </c>
      <c r="AA6730">
        <v>160.25</v>
      </c>
      <c r="AB6730">
        <v>160.25</v>
      </c>
      <c r="AC6730">
        <v>141</v>
      </c>
      <c r="AD6730">
        <v>0</v>
      </c>
      <c r="AE6730">
        <v>19.25</v>
      </c>
      <c r="AF6730">
        <v>0</v>
      </c>
      <c r="AG6730">
        <v>0</v>
      </c>
      <c r="AH6730">
        <v>0</v>
      </c>
      <c r="AI6730">
        <v>0</v>
      </c>
      <c r="AJ6730">
        <v>160.25</v>
      </c>
      <c r="AK6730">
        <v>0</v>
      </c>
      <c r="AL6730" t="s">
        <v>53</v>
      </c>
      <c r="AM6730" t="s">
        <v>53</v>
      </c>
      <c r="AN6730" t="s">
        <v>53</v>
      </c>
      <c r="AO6730" t="s">
        <v>53</v>
      </c>
      <c r="AP6730" t="s">
        <v>53</v>
      </c>
    </row>
    <row r="6731" spans="2:42" x14ac:dyDescent="0.2">
      <c r="B6731" t="s">
        <v>44</v>
      </c>
      <c r="C6731" t="str">
        <f>HYPERLINK("https://us2.cloudbeds.com/connect/8493803454333002#/reservations/9080486846936670?display=3C9Y52J828&amp;reservation_id=9080486846936670", "3C9Y52J828")</f>
        <v>3C9Y52J828</v>
      </c>
      <c r="D6731" t="s">
        <v>45</v>
      </c>
      <c r="E6731" t="s">
        <v>138</v>
      </c>
      <c r="F6731" t="s">
        <v>70</v>
      </c>
      <c r="G6731" t="s">
        <v>48</v>
      </c>
      <c r="H6731" t="s">
        <v>49</v>
      </c>
      <c r="I6731" t="s">
        <v>62</v>
      </c>
      <c r="J6731" t="s">
        <v>9858</v>
      </c>
      <c r="K6731" t="s">
        <v>8270</v>
      </c>
      <c r="L6731" t="s">
        <v>53</v>
      </c>
      <c r="N6731" t="s">
        <v>12111</v>
      </c>
      <c r="P6731" t="s">
        <v>55</v>
      </c>
      <c r="R6731" t="s">
        <v>56</v>
      </c>
      <c r="T6731" t="s">
        <v>12112</v>
      </c>
      <c r="U6731" t="s">
        <v>55</v>
      </c>
      <c r="V6731">
        <v>1</v>
      </c>
      <c r="W6731">
        <v>1</v>
      </c>
      <c r="X6731">
        <v>2</v>
      </c>
      <c r="Y6731">
        <v>0</v>
      </c>
      <c r="Z6731">
        <v>2</v>
      </c>
      <c r="AA6731">
        <v>76</v>
      </c>
      <c r="AB6731">
        <v>76</v>
      </c>
      <c r="AC6731">
        <v>76</v>
      </c>
      <c r="AD6731">
        <v>0</v>
      </c>
      <c r="AE6731">
        <v>0</v>
      </c>
      <c r="AF6731">
        <v>0</v>
      </c>
      <c r="AG6731">
        <v>0</v>
      </c>
      <c r="AH6731">
        <v>0</v>
      </c>
      <c r="AI6731">
        <v>13.68</v>
      </c>
      <c r="AJ6731">
        <v>76</v>
      </c>
      <c r="AK6731">
        <v>0</v>
      </c>
      <c r="AL6731" t="s">
        <v>53</v>
      </c>
      <c r="AM6731" t="s">
        <v>53</v>
      </c>
      <c r="AN6731" t="s">
        <v>53</v>
      </c>
      <c r="AO6731" t="s">
        <v>53</v>
      </c>
      <c r="AP6731" t="s">
        <v>53</v>
      </c>
    </row>
    <row r="6732" spans="2:42" x14ac:dyDescent="0.2">
      <c r="B6732" t="s">
        <v>44</v>
      </c>
      <c r="C6732" t="str">
        <f>HYPERLINK("https://us2.cloudbeds.com/connect/8493803454333002#/reservations/9080486846939348?display=3CD4NAEK7P&amp;reservation_id=9080486846939348", "3CD4NAEK7P")</f>
        <v>3CD4NAEK7P</v>
      </c>
      <c r="D6732" t="s">
        <v>45</v>
      </c>
      <c r="E6732" t="s">
        <v>128</v>
      </c>
      <c r="F6732" t="s">
        <v>86</v>
      </c>
      <c r="G6732" t="s">
        <v>48</v>
      </c>
      <c r="H6732" t="s">
        <v>49</v>
      </c>
      <c r="I6732" t="s">
        <v>62</v>
      </c>
      <c r="J6732" t="s">
        <v>8021</v>
      </c>
      <c r="K6732" t="s">
        <v>8819</v>
      </c>
      <c r="L6732" t="s">
        <v>53</v>
      </c>
      <c r="N6732" t="s">
        <v>12113</v>
      </c>
      <c r="P6732" t="s">
        <v>55</v>
      </c>
      <c r="R6732" t="s">
        <v>56</v>
      </c>
      <c r="T6732" t="s">
        <v>12114</v>
      </c>
      <c r="U6732" t="s">
        <v>55</v>
      </c>
      <c r="V6732">
        <v>1</v>
      </c>
      <c r="W6732">
        <v>1</v>
      </c>
      <c r="X6732">
        <v>2</v>
      </c>
      <c r="Y6732">
        <v>0</v>
      </c>
      <c r="Z6732">
        <v>2</v>
      </c>
      <c r="AA6732">
        <v>143</v>
      </c>
      <c r="AB6732">
        <v>143</v>
      </c>
      <c r="AC6732">
        <v>143</v>
      </c>
      <c r="AD6732">
        <v>0</v>
      </c>
      <c r="AE6732">
        <v>0</v>
      </c>
      <c r="AF6732">
        <v>0</v>
      </c>
      <c r="AG6732">
        <v>0</v>
      </c>
      <c r="AH6732">
        <v>0</v>
      </c>
      <c r="AI6732">
        <v>25.74</v>
      </c>
      <c r="AJ6732">
        <v>143</v>
      </c>
      <c r="AK6732">
        <v>0</v>
      </c>
      <c r="AL6732" t="s">
        <v>53</v>
      </c>
      <c r="AM6732" t="s">
        <v>53</v>
      </c>
      <c r="AN6732" t="s">
        <v>53</v>
      </c>
      <c r="AO6732" t="s">
        <v>53</v>
      </c>
      <c r="AP6732" t="s">
        <v>53</v>
      </c>
    </row>
    <row r="6733" spans="2:42" x14ac:dyDescent="0.2">
      <c r="B6733" t="s">
        <v>44</v>
      </c>
      <c r="C6733" t="str">
        <f>HYPERLINK("https://us2.cloudbeds.com/connect/8493803454333002#/reservations/9080486846940558?display=3CEC01U9EQ&amp;reservation_id=9080486846940558", "3CEC01U9EQ")</f>
        <v>3CEC01U9EQ</v>
      </c>
      <c r="D6733" t="s">
        <v>45</v>
      </c>
      <c r="E6733" t="s">
        <v>128</v>
      </c>
      <c r="F6733" t="s">
        <v>86</v>
      </c>
      <c r="G6733" t="s">
        <v>48</v>
      </c>
      <c r="H6733" t="s">
        <v>49</v>
      </c>
      <c r="I6733" t="s">
        <v>50</v>
      </c>
      <c r="J6733" t="s">
        <v>8818</v>
      </c>
      <c r="K6733" t="s">
        <v>7439</v>
      </c>
      <c r="L6733" t="s">
        <v>53</v>
      </c>
      <c r="N6733" t="s">
        <v>12115</v>
      </c>
      <c r="P6733" t="s">
        <v>55</v>
      </c>
      <c r="R6733" t="s">
        <v>53</v>
      </c>
      <c r="T6733" t="s">
        <v>12116</v>
      </c>
      <c r="U6733" t="s">
        <v>58</v>
      </c>
      <c r="V6733">
        <v>1</v>
      </c>
      <c r="W6733">
        <v>1</v>
      </c>
      <c r="X6733">
        <v>2</v>
      </c>
      <c r="Y6733">
        <v>0</v>
      </c>
      <c r="Z6733">
        <v>2</v>
      </c>
      <c r="AA6733">
        <v>169.06</v>
      </c>
      <c r="AB6733">
        <v>169.06</v>
      </c>
      <c r="AC6733">
        <v>148.75</v>
      </c>
      <c r="AD6733">
        <v>0</v>
      </c>
      <c r="AE6733">
        <v>20.309999999999999</v>
      </c>
      <c r="AF6733">
        <v>0</v>
      </c>
      <c r="AG6733">
        <v>0</v>
      </c>
      <c r="AH6733">
        <v>0</v>
      </c>
      <c r="AI6733">
        <v>30.43</v>
      </c>
      <c r="AJ6733">
        <v>169.06</v>
      </c>
      <c r="AK6733">
        <v>0</v>
      </c>
      <c r="AL6733" t="s">
        <v>53</v>
      </c>
      <c r="AM6733" t="s">
        <v>53</v>
      </c>
      <c r="AN6733" t="s">
        <v>53</v>
      </c>
      <c r="AO6733" t="s">
        <v>53</v>
      </c>
      <c r="AP6733" t="s">
        <v>53</v>
      </c>
    </row>
    <row r="6734" spans="2:42" x14ac:dyDescent="0.2">
      <c r="B6734" t="s">
        <v>44</v>
      </c>
      <c r="C6734" t="str">
        <f>HYPERLINK("https://us2.cloudbeds.com/connect/8493803454333002#/reservations/9080486846941541?display=3CF889D7FU&amp;reservation_id=9080486846941541", "3CF889D7FU")</f>
        <v>3CF889D7FU</v>
      </c>
      <c r="D6734" t="s">
        <v>45</v>
      </c>
      <c r="E6734" t="s">
        <v>113</v>
      </c>
      <c r="F6734" t="s">
        <v>61</v>
      </c>
      <c r="G6734" t="s">
        <v>48</v>
      </c>
      <c r="H6734" t="s">
        <v>49</v>
      </c>
      <c r="I6734" t="s">
        <v>50</v>
      </c>
      <c r="J6734" t="s">
        <v>12117</v>
      </c>
      <c r="K6734" t="s">
        <v>12118</v>
      </c>
      <c r="L6734" t="s">
        <v>53</v>
      </c>
      <c r="N6734" t="s">
        <v>12119</v>
      </c>
      <c r="P6734" t="s">
        <v>55</v>
      </c>
      <c r="R6734" t="s">
        <v>53</v>
      </c>
      <c r="T6734" t="s">
        <v>12120</v>
      </c>
      <c r="U6734" t="s">
        <v>58</v>
      </c>
      <c r="V6734">
        <v>3</v>
      </c>
      <c r="W6734">
        <v>1</v>
      </c>
      <c r="X6734">
        <v>2</v>
      </c>
      <c r="Y6734">
        <v>0</v>
      </c>
      <c r="Z6734">
        <v>2</v>
      </c>
      <c r="AA6734">
        <v>389.7</v>
      </c>
      <c r="AB6734">
        <v>514.48</v>
      </c>
      <c r="AC6734">
        <v>342.9</v>
      </c>
      <c r="AD6734">
        <v>0</v>
      </c>
      <c r="AE6734">
        <v>46.8</v>
      </c>
      <c r="AF6734">
        <v>0</v>
      </c>
      <c r="AG6734">
        <v>0</v>
      </c>
      <c r="AH6734">
        <v>0</v>
      </c>
      <c r="AI6734">
        <v>70.150000000000006</v>
      </c>
      <c r="AJ6734">
        <v>389.7</v>
      </c>
      <c r="AK6734">
        <v>0</v>
      </c>
      <c r="AL6734" t="s">
        <v>53</v>
      </c>
      <c r="AM6734" t="s">
        <v>53</v>
      </c>
      <c r="AN6734" t="s">
        <v>12121</v>
      </c>
      <c r="AO6734" t="s">
        <v>53</v>
      </c>
      <c r="AP6734" t="s">
        <v>53</v>
      </c>
    </row>
    <row r="6735" spans="2:42" x14ac:dyDescent="0.2">
      <c r="B6735" t="s">
        <v>44</v>
      </c>
      <c r="C6735" t="str">
        <f>HYPERLINK("https://us2.cloudbeds.com/connect/8493803454333002#/reservations/9080486846942983?display=3CH94JE9V9&amp;reservation_id=9080486846942983", "3CH94JE9V9")</f>
        <v>3CH94JE9V9</v>
      </c>
      <c r="D6735" t="s">
        <v>45</v>
      </c>
      <c r="E6735" t="s">
        <v>305</v>
      </c>
      <c r="F6735" t="s">
        <v>61</v>
      </c>
      <c r="G6735" t="s">
        <v>48</v>
      </c>
      <c r="H6735" t="s">
        <v>49</v>
      </c>
      <c r="I6735" t="s">
        <v>50</v>
      </c>
      <c r="J6735" t="s">
        <v>7439</v>
      </c>
      <c r="K6735" t="s">
        <v>8021</v>
      </c>
      <c r="L6735" t="s">
        <v>53</v>
      </c>
      <c r="N6735" t="s">
        <v>12122</v>
      </c>
      <c r="P6735" t="s">
        <v>55</v>
      </c>
      <c r="R6735" t="s">
        <v>53</v>
      </c>
      <c r="T6735" t="s">
        <v>12123</v>
      </c>
      <c r="U6735" t="s">
        <v>58</v>
      </c>
      <c r="V6735">
        <v>2</v>
      </c>
      <c r="W6735">
        <v>1</v>
      </c>
      <c r="X6735">
        <v>2</v>
      </c>
      <c r="Y6735">
        <v>0</v>
      </c>
      <c r="Z6735">
        <v>2</v>
      </c>
      <c r="AA6735">
        <v>423.46</v>
      </c>
      <c r="AB6735">
        <v>423.46</v>
      </c>
      <c r="AC6735">
        <v>372.6</v>
      </c>
      <c r="AD6735">
        <v>0</v>
      </c>
      <c r="AE6735">
        <v>50.86</v>
      </c>
      <c r="AF6735">
        <v>0</v>
      </c>
      <c r="AG6735">
        <v>0</v>
      </c>
      <c r="AH6735">
        <v>0</v>
      </c>
      <c r="AI6735">
        <v>76.22</v>
      </c>
      <c r="AJ6735">
        <v>423.46</v>
      </c>
      <c r="AK6735">
        <v>0</v>
      </c>
      <c r="AL6735" t="s">
        <v>53</v>
      </c>
      <c r="AM6735" t="s">
        <v>53</v>
      </c>
      <c r="AN6735" t="s">
        <v>53</v>
      </c>
      <c r="AO6735" t="s">
        <v>53</v>
      </c>
      <c r="AP6735" t="s">
        <v>53</v>
      </c>
    </row>
    <row r="6736" spans="2:42" x14ac:dyDescent="0.2">
      <c r="B6736" t="s">
        <v>44</v>
      </c>
      <c r="C6736" t="str">
        <f>HYPERLINK("https://us2.cloudbeds.com/connect/8493803454333002#/reservations/9080486846943296?display=3CHPP3U2H3&amp;reservation_id=9080486846943296", "3CHPP3U2H3")</f>
        <v>3CHPP3U2H3</v>
      </c>
      <c r="D6736" t="s">
        <v>45</v>
      </c>
      <c r="E6736" t="s">
        <v>155</v>
      </c>
      <c r="F6736" t="s">
        <v>86</v>
      </c>
      <c r="G6736" t="s">
        <v>48</v>
      </c>
      <c r="H6736" t="s">
        <v>49</v>
      </c>
      <c r="I6736" t="s">
        <v>50</v>
      </c>
      <c r="J6736" t="s">
        <v>11636</v>
      </c>
      <c r="K6736" t="s">
        <v>9858</v>
      </c>
      <c r="L6736" t="s">
        <v>53</v>
      </c>
      <c r="N6736" t="s">
        <v>12124</v>
      </c>
      <c r="P6736" t="s">
        <v>55</v>
      </c>
      <c r="R6736" t="s">
        <v>53</v>
      </c>
      <c r="T6736" t="s">
        <v>12125</v>
      </c>
      <c r="U6736" t="s">
        <v>58</v>
      </c>
      <c r="V6736">
        <v>3</v>
      </c>
      <c r="W6736">
        <v>1</v>
      </c>
      <c r="X6736">
        <v>2</v>
      </c>
      <c r="Y6736">
        <v>0</v>
      </c>
      <c r="Z6736">
        <v>2</v>
      </c>
      <c r="AA6736">
        <v>475.46</v>
      </c>
      <c r="AB6736">
        <v>475.46</v>
      </c>
      <c r="AC6736">
        <v>418.36</v>
      </c>
      <c r="AD6736">
        <v>0</v>
      </c>
      <c r="AE6736">
        <v>57.1</v>
      </c>
      <c r="AF6736">
        <v>0</v>
      </c>
      <c r="AG6736">
        <v>0</v>
      </c>
      <c r="AH6736">
        <v>0</v>
      </c>
      <c r="AI6736">
        <v>85.58</v>
      </c>
      <c r="AJ6736">
        <v>475.46</v>
      </c>
      <c r="AK6736">
        <v>0</v>
      </c>
      <c r="AL6736" t="s">
        <v>53</v>
      </c>
      <c r="AM6736" t="s">
        <v>53</v>
      </c>
      <c r="AN6736" t="s">
        <v>53</v>
      </c>
      <c r="AO6736" t="s">
        <v>53</v>
      </c>
      <c r="AP6736" t="s">
        <v>53</v>
      </c>
    </row>
    <row r="6737" spans="2:42" x14ac:dyDescent="0.2">
      <c r="B6737" t="s">
        <v>44</v>
      </c>
      <c r="C6737" t="str">
        <f>HYPERLINK("https://us2.cloudbeds.com/connect/8493803454333002#/reservations/9080486846946146?display=3CYXDEHPAC&amp;reservation_id=9080486846946146", "3CYXDEHPAC")</f>
        <v>3CYXDEHPAC</v>
      </c>
      <c r="D6737" t="s">
        <v>45</v>
      </c>
      <c r="E6737" t="s">
        <v>105</v>
      </c>
      <c r="F6737" t="s">
        <v>47</v>
      </c>
      <c r="G6737" t="s">
        <v>48</v>
      </c>
      <c r="H6737" t="s">
        <v>49</v>
      </c>
      <c r="I6737" t="s">
        <v>50</v>
      </c>
      <c r="J6737" t="s">
        <v>8047</v>
      </c>
      <c r="K6737" t="s">
        <v>10893</v>
      </c>
      <c r="L6737" t="s">
        <v>53</v>
      </c>
      <c r="N6737" t="s">
        <v>12126</v>
      </c>
      <c r="P6737" t="s">
        <v>55</v>
      </c>
      <c r="R6737" t="s">
        <v>53</v>
      </c>
      <c r="T6737" t="s">
        <v>12127</v>
      </c>
      <c r="U6737" t="s">
        <v>58</v>
      </c>
      <c r="V6737">
        <v>1</v>
      </c>
      <c r="W6737">
        <v>1</v>
      </c>
      <c r="X6737">
        <v>1</v>
      </c>
      <c r="Y6737">
        <v>0</v>
      </c>
      <c r="Z6737">
        <v>1</v>
      </c>
      <c r="AA6737">
        <v>121.46</v>
      </c>
      <c r="AB6737">
        <v>121.46</v>
      </c>
      <c r="AC6737">
        <v>106.87</v>
      </c>
      <c r="AD6737">
        <v>0</v>
      </c>
      <c r="AE6737">
        <v>14.59</v>
      </c>
      <c r="AF6737">
        <v>0</v>
      </c>
      <c r="AG6737">
        <v>0</v>
      </c>
      <c r="AH6737">
        <v>0</v>
      </c>
      <c r="AI6737">
        <v>21.86</v>
      </c>
      <c r="AJ6737">
        <v>121.46</v>
      </c>
      <c r="AK6737">
        <v>0</v>
      </c>
      <c r="AL6737" t="s">
        <v>53</v>
      </c>
      <c r="AM6737" t="s">
        <v>53</v>
      </c>
      <c r="AN6737" t="s">
        <v>53</v>
      </c>
      <c r="AO6737" t="s">
        <v>53</v>
      </c>
      <c r="AP6737" t="s">
        <v>53</v>
      </c>
    </row>
    <row r="6738" spans="2:42" x14ac:dyDescent="0.2">
      <c r="B6738" t="s">
        <v>44</v>
      </c>
      <c r="C6738" t="str">
        <f>HYPERLINK("https://us2.cloudbeds.com/connect/8493803454333002#/reservations/9080486846947700?display=3CN6BQUK1M&amp;reservation_id=9080486846947700", "3CN6BQUK1M")</f>
        <v>3CN6BQUK1M</v>
      </c>
      <c r="D6738" t="s">
        <v>45</v>
      </c>
      <c r="E6738" t="s">
        <v>110</v>
      </c>
      <c r="F6738" t="s">
        <v>47</v>
      </c>
      <c r="G6738" t="s">
        <v>48</v>
      </c>
      <c r="H6738" t="s">
        <v>49</v>
      </c>
      <c r="I6738" t="s">
        <v>50</v>
      </c>
      <c r="J6738" t="s">
        <v>10881</v>
      </c>
      <c r="K6738" t="s">
        <v>9658</v>
      </c>
      <c r="L6738" t="s">
        <v>53</v>
      </c>
      <c r="N6738" t="s">
        <v>12128</v>
      </c>
      <c r="P6738" t="s">
        <v>55</v>
      </c>
      <c r="R6738" t="s">
        <v>53</v>
      </c>
      <c r="T6738" t="s">
        <v>12129</v>
      </c>
      <c r="U6738" t="s">
        <v>58</v>
      </c>
      <c r="V6738">
        <v>3</v>
      </c>
      <c r="W6738">
        <v>1</v>
      </c>
      <c r="X6738">
        <v>1</v>
      </c>
      <c r="Y6738">
        <v>0</v>
      </c>
      <c r="Z6738">
        <v>1</v>
      </c>
      <c r="AA6738">
        <v>251.43</v>
      </c>
      <c r="AB6738">
        <v>251.43</v>
      </c>
      <c r="AC6738">
        <v>221.25</v>
      </c>
      <c r="AD6738">
        <v>0</v>
      </c>
      <c r="AE6738">
        <v>30.18</v>
      </c>
      <c r="AF6738">
        <v>0</v>
      </c>
      <c r="AG6738">
        <v>0</v>
      </c>
      <c r="AH6738">
        <v>0</v>
      </c>
      <c r="AI6738">
        <v>45.26</v>
      </c>
      <c r="AJ6738">
        <v>251.43</v>
      </c>
      <c r="AK6738">
        <v>0</v>
      </c>
      <c r="AL6738" t="s">
        <v>53</v>
      </c>
      <c r="AM6738" t="s">
        <v>53</v>
      </c>
      <c r="AN6738" t="s">
        <v>53</v>
      </c>
      <c r="AO6738" t="s">
        <v>53</v>
      </c>
      <c r="AP6738" t="s">
        <v>53</v>
      </c>
    </row>
    <row r="6739" spans="2:42" x14ac:dyDescent="0.2">
      <c r="B6739" t="s">
        <v>44</v>
      </c>
      <c r="C6739" t="str">
        <f>HYPERLINK("https://us2.cloudbeds.com/connect/8493803454333002#/reservations/9080486846948683?display=3CZX4JXR6U&amp;reservation_id=9080486846948683", "3CZX4JXR6U")</f>
        <v>3CZX4JXR6U</v>
      </c>
      <c r="D6739" t="s">
        <v>45</v>
      </c>
      <c r="E6739" t="s">
        <v>185</v>
      </c>
      <c r="F6739" t="s">
        <v>47</v>
      </c>
      <c r="G6739" t="s">
        <v>48</v>
      </c>
      <c r="H6739" t="s">
        <v>49</v>
      </c>
      <c r="I6739" t="s">
        <v>50</v>
      </c>
      <c r="J6739" t="s">
        <v>7543</v>
      </c>
      <c r="K6739" t="s">
        <v>10893</v>
      </c>
      <c r="L6739" t="s">
        <v>53</v>
      </c>
      <c r="N6739" t="s">
        <v>12130</v>
      </c>
      <c r="P6739" t="s">
        <v>55</v>
      </c>
      <c r="R6739" t="s">
        <v>53</v>
      </c>
      <c r="T6739" t="s">
        <v>12131</v>
      </c>
      <c r="U6739" t="s">
        <v>58</v>
      </c>
      <c r="V6739">
        <v>2</v>
      </c>
      <c r="W6739">
        <v>1</v>
      </c>
      <c r="X6739">
        <v>2</v>
      </c>
      <c r="Y6739">
        <v>0</v>
      </c>
      <c r="Z6739">
        <v>2</v>
      </c>
      <c r="AA6739">
        <v>247.78</v>
      </c>
      <c r="AB6739">
        <v>247.78</v>
      </c>
      <c r="AC6739">
        <v>218.02</v>
      </c>
      <c r="AD6739">
        <v>0</v>
      </c>
      <c r="AE6739">
        <v>29.76</v>
      </c>
      <c r="AF6739">
        <v>0</v>
      </c>
      <c r="AG6739">
        <v>0</v>
      </c>
      <c r="AH6739">
        <v>0</v>
      </c>
      <c r="AI6739">
        <v>44.6</v>
      </c>
      <c r="AJ6739">
        <v>247.78</v>
      </c>
      <c r="AK6739">
        <v>0</v>
      </c>
      <c r="AL6739" t="s">
        <v>53</v>
      </c>
      <c r="AM6739" t="s">
        <v>53</v>
      </c>
      <c r="AN6739" t="s">
        <v>53</v>
      </c>
      <c r="AO6739" t="s">
        <v>53</v>
      </c>
      <c r="AP6739" t="s">
        <v>53</v>
      </c>
    </row>
    <row r="6740" spans="2:42" x14ac:dyDescent="0.2">
      <c r="B6740" t="s">
        <v>44</v>
      </c>
      <c r="C6740" t="str">
        <f>HYPERLINK("https://us2.cloudbeds.com/connect/8493803454333002#/reservations/9080486846949029?display=3CP2H0JF11&amp;reservation_id=9080486846949029", "3CP2H0JF11")</f>
        <v>3CP2H0JF11</v>
      </c>
      <c r="D6740" t="s">
        <v>45</v>
      </c>
      <c r="E6740" t="s">
        <v>110</v>
      </c>
      <c r="F6740" t="s">
        <v>47</v>
      </c>
      <c r="G6740" t="s">
        <v>48</v>
      </c>
      <c r="H6740" t="s">
        <v>49</v>
      </c>
      <c r="I6740" t="s">
        <v>50</v>
      </c>
      <c r="J6740" t="s">
        <v>11636</v>
      </c>
      <c r="K6740" t="s">
        <v>8021</v>
      </c>
      <c r="L6740" t="s">
        <v>53</v>
      </c>
      <c r="N6740" t="s">
        <v>12132</v>
      </c>
      <c r="P6740" t="s">
        <v>55</v>
      </c>
      <c r="R6740" t="s">
        <v>53</v>
      </c>
      <c r="T6740" t="s">
        <v>12133</v>
      </c>
      <c r="U6740" t="s">
        <v>58</v>
      </c>
      <c r="V6740">
        <v>1</v>
      </c>
      <c r="W6740">
        <v>1</v>
      </c>
      <c r="X6740">
        <v>2</v>
      </c>
      <c r="Y6740">
        <v>0</v>
      </c>
      <c r="Z6740">
        <v>2</v>
      </c>
      <c r="AA6740">
        <v>143.19999999999999</v>
      </c>
      <c r="AB6740">
        <v>143.19999999999999</v>
      </c>
      <c r="AC6740">
        <v>126</v>
      </c>
      <c r="AD6740">
        <v>0</v>
      </c>
      <c r="AE6740">
        <v>17.2</v>
      </c>
      <c r="AF6740">
        <v>0</v>
      </c>
      <c r="AG6740">
        <v>0</v>
      </c>
      <c r="AH6740">
        <v>0</v>
      </c>
      <c r="AI6740">
        <v>25.78</v>
      </c>
      <c r="AJ6740">
        <v>143.19999999999999</v>
      </c>
      <c r="AK6740">
        <v>0</v>
      </c>
      <c r="AL6740" t="s">
        <v>53</v>
      </c>
      <c r="AM6740" t="s">
        <v>53</v>
      </c>
      <c r="AN6740" t="s">
        <v>53</v>
      </c>
      <c r="AO6740" t="s">
        <v>53</v>
      </c>
      <c r="AP6740" t="s">
        <v>53</v>
      </c>
    </row>
    <row r="6741" spans="2:42" x14ac:dyDescent="0.2">
      <c r="B6741" t="s">
        <v>44</v>
      </c>
      <c r="C6741" t="str">
        <f>HYPERLINK("https://us2.cloudbeds.com/connect/8493803454333002#/reservations/9080486846952038?display=3CTUUV8S3D&amp;reservation_id=9080486846952038", "3CTUUV8S3D")</f>
        <v>3CTUUV8S3D</v>
      </c>
      <c r="D6741" t="s">
        <v>45</v>
      </c>
      <c r="E6741" t="s">
        <v>190</v>
      </c>
      <c r="F6741" t="s">
        <v>61</v>
      </c>
      <c r="G6741" t="s">
        <v>48</v>
      </c>
      <c r="H6741" t="s">
        <v>49</v>
      </c>
      <c r="I6741" t="s">
        <v>50</v>
      </c>
      <c r="J6741" t="s">
        <v>11636</v>
      </c>
      <c r="K6741" t="s">
        <v>8021</v>
      </c>
      <c r="L6741" t="s">
        <v>53</v>
      </c>
      <c r="N6741" t="s">
        <v>12134</v>
      </c>
      <c r="P6741" t="s">
        <v>55</v>
      </c>
      <c r="R6741" t="s">
        <v>53</v>
      </c>
      <c r="T6741" t="s">
        <v>12135</v>
      </c>
      <c r="U6741" t="s">
        <v>58</v>
      </c>
      <c r="V6741">
        <v>1</v>
      </c>
      <c r="W6741">
        <v>1</v>
      </c>
      <c r="X6741">
        <v>2</v>
      </c>
      <c r="Y6741">
        <v>0</v>
      </c>
      <c r="Z6741">
        <v>2</v>
      </c>
      <c r="AA6741">
        <v>147.02000000000001</v>
      </c>
      <c r="AB6741">
        <v>147.02000000000001</v>
      </c>
      <c r="AC6741">
        <v>129.36000000000001</v>
      </c>
      <c r="AD6741">
        <v>0</v>
      </c>
      <c r="AE6741">
        <v>17.66</v>
      </c>
      <c r="AF6741">
        <v>0</v>
      </c>
      <c r="AG6741">
        <v>0</v>
      </c>
      <c r="AH6741">
        <v>0</v>
      </c>
      <c r="AI6741">
        <v>26.46</v>
      </c>
      <c r="AJ6741">
        <v>147.02000000000001</v>
      </c>
      <c r="AK6741">
        <v>0</v>
      </c>
      <c r="AL6741" t="s">
        <v>53</v>
      </c>
      <c r="AM6741" t="s">
        <v>53</v>
      </c>
      <c r="AN6741" t="s">
        <v>53</v>
      </c>
      <c r="AO6741" t="s">
        <v>53</v>
      </c>
      <c r="AP6741" t="s">
        <v>53</v>
      </c>
    </row>
    <row r="6742" spans="2:42" x14ac:dyDescent="0.2">
      <c r="B6742" t="s">
        <v>44</v>
      </c>
      <c r="C6742" t="str">
        <f>HYPERLINK("https://us2.cloudbeds.com/connect/8493803454333002#/reservations/9080486846952211?display=3CU49HGKKU&amp;reservation_id=9080486846952211", "3CU49HGKKU")</f>
        <v>3CU49HGKKU</v>
      </c>
      <c r="D6742" t="s">
        <v>45</v>
      </c>
      <c r="E6742" t="s">
        <v>265</v>
      </c>
      <c r="F6742" t="s">
        <v>61</v>
      </c>
      <c r="G6742" t="s">
        <v>48</v>
      </c>
      <c r="H6742" t="s">
        <v>49</v>
      </c>
      <c r="I6742" t="s">
        <v>62</v>
      </c>
      <c r="J6742" t="s">
        <v>11636</v>
      </c>
      <c r="K6742" t="s">
        <v>8021</v>
      </c>
      <c r="L6742" t="s">
        <v>53</v>
      </c>
      <c r="N6742" t="s">
        <v>12136</v>
      </c>
      <c r="P6742" t="s">
        <v>55</v>
      </c>
      <c r="R6742" t="s">
        <v>56</v>
      </c>
      <c r="T6742" t="s">
        <v>12137</v>
      </c>
      <c r="U6742" t="s">
        <v>55</v>
      </c>
      <c r="V6742">
        <v>1</v>
      </c>
      <c r="W6742">
        <v>1</v>
      </c>
      <c r="X6742">
        <v>2</v>
      </c>
      <c r="Y6742">
        <v>0</v>
      </c>
      <c r="Z6742">
        <v>2</v>
      </c>
      <c r="AA6742">
        <v>154</v>
      </c>
      <c r="AB6742">
        <v>154</v>
      </c>
      <c r="AC6742">
        <v>154</v>
      </c>
      <c r="AD6742">
        <v>0</v>
      </c>
      <c r="AE6742">
        <v>0</v>
      </c>
      <c r="AF6742">
        <v>0</v>
      </c>
      <c r="AG6742">
        <v>0</v>
      </c>
      <c r="AH6742">
        <v>0</v>
      </c>
      <c r="AI6742">
        <v>27.72</v>
      </c>
      <c r="AJ6742">
        <v>154</v>
      </c>
      <c r="AK6742">
        <v>0</v>
      </c>
      <c r="AL6742" t="s">
        <v>53</v>
      </c>
      <c r="AM6742" t="s">
        <v>53</v>
      </c>
      <c r="AN6742" t="s">
        <v>12138</v>
      </c>
      <c r="AO6742" t="s">
        <v>53</v>
      </c>
      <c r="AP6742" t="s">
        <v>53</v>
      </c>
    </row>
    <row r="6743" spans="2:42" x14ac:dyDescent="0.2">
      <c r="B6743" t="s">
        <v>44</v>
      </c>
      <c r="C6743" t="str">
        <f>HYPERLINK("https://us2.cloudbeds.com/connect/8493803454333002#/reservations/157396686373012?display=3CU5852VYU&amp;reservation_id=157396686373012", "3CU5852VYU")</f>
        <v>3CU5852VYU</v>
      </c>
      <c r="D6743" t="s">
        <v>45</v>
      </c>
      <c r="E6743" t="s">
        <v>223</v>
      </c>
      <c r="F6743" t="s">
        <v>47</v>
      </c>
      <c r="G6743" t="s">
        <v>48</v>
      </c>
      <c r="H6743" t="s">
        <v>3957</v>
      </c>
      <c r="I6743" t="s">
        <v>3989</v>
      </c>
      <c r="J6743" t="s">
        <v>8819</v>
      </c>
      <c r="K6743" t="s">
        <v>9858</v>
      </c>
      <c r="L6743" t="s">
        <v>53</v>
      </c>
      <c r="P6743" t="s">
        <v>55</v>
      </c>
      <c r="R6743" t="s">
        <v>56</v>
      </c>
      <c r="T6743" t="s">
        <v>12139</v>
      </c>
      <c r="U6743" t="s">
        <v>58</v>
      </c>
      <c r="V6743">
        <v>1</v>
      </c>
      <c r="W6743">
        <v>1</v>
      </c>
      <c r="X6743">
        <v>1</v>
      </c>
      <c r="Y6743">
        <v>0</v>
      </c>
      <c r="Z6743">
        <v>1</v>
      </c>
      <c r="AA6743">
        <v>110.24</v>
      </c>
      <c r="AB6743">
        <v>110.24</v>
      </c>
      <c r="AC6743">
        <v>97</v>
      </c>
      <c r="AD6743">
        <v>0</v>
      </c>
      <c r="AE6743">
        <v>13.24</v>
      </c>
      <c r="AF6743">
        <v>0</v>
      </c>
      <c r="AG6743">
        <v>0</v>
      </c>
      <c r="AH6743">
        <v>0</v>
      </c>
      <c r="AI6743">
        <v>0</v>
      </c>
      <c r="AJ6743">
        <v>110.24</v>
      </c>
      <c r="AK6743">
        <v>0</v>
      </c>
      <c r="AL6743" t="s">
        <v>53</v>
      </c>
      <c r="AM6743" t="s">
        <v>53</v>
      </c>
      <c r="AN6743" t="s">
        <v>53</v>
      </c>
      <c r="AO6743" t="s">
        <v>53</v>
      </c>
      <c r="AP6743" t="s">
        <v>53</v>
      </c>
    </row>
    <row r="6744" spans="2:42" x14ac:dyDescent="0.2">
      <c r="B6744" t="s">
        <v>44</v>
      </c>
      <c r="C6744" t="str">
        <f>HYPERLINK("https://us2.cloudbeds.com/connect/8493803454333002#/reservations/9080486846952902?display=3CUUVCAFMR&amp;reservation_id=9080486846952902", "3CUUVCAFMR")</f>
        <v>3CUUVCAFMR</v>
      </c>
      <c r="D6744" t="s">
        <v>45</v>
      </c>
      <c r="E6744" t="s">
        <v>165</v>
      </c>
      <c r="F6744" t="s">
        <v>61</v>
      </c>
      <c r="G6744" t="s">
        <v>48</v>
      </c>
      <c r="H6744" t="s">
        <v>49</v>
      </c>
      <c r="I6744" t="s">
        <v>50</v>
      </c>
      <c r="J6744" t="s">
        <v>8021</v>
      </c>
      <c r="K6744" t="s">
        <v>8819</v>
      </c>
      <c r="L6744" t="s">
        <v>53</v>
      </c>
      <c r="N6744" t="s">
        <v>12140</v>
      </c>
      <c r="P6744" t="s">
        <v>55</v>
      </c>
      <c r="R6744" t="s">
        <v>53</v>
      </c>
      <c r="T6744" t="s">
        <v>12141</v>
      </c>
      <c r="U6744" t="s">
        <v>58</v>
      </c>
      <c r="V6744">
        <v>1</v>
      </c>
      <c r="W6744">
        <v>1</v>
      </c>
      <c r="X6744">
        <v>2</v>
      </c>
      <c r="Y6744">
        <v>0</v>
      </c>
      <c r="Z6744">
        <v>2</v>
      </c>
      <c r="AA6744">
        <v>121.72</v>
      </c>
      <c r="AB6744">
        <v>121.72</v>
      </c>
      <c r="AC6744">
        <v>107.1</v>
      </c>
      <c r="AD6744">
        <v>0</v>
      </c>
      <c r="AE6744">
        <v>14.62</v>
      </c>
      <c r="AF6744">
        <v>0</v>
      </c>
      <c r="AG6744">
        <v>0</v>
      </c>
      <c r="AH6744">
        <v>0</v>
      </c>
      <c r="AI6744">
        <v>21.91</v>
      </c>
      <c r="AJ6744">
        <v>121.72</v>
      </c>
      <c r="AK6744">
        <v>0</v>
      </c>
      <c r="AL6744" t="s">
        <v>53</v>
      </c>
      <c r="AM6744" t="s">
        <v>53</v>
      </c>
      <c r="AN6744" t="s">
        <v>53</v>
      </c>
      <c r="AO6744" t="s">
        <v>53</v>
      </c>
      <c r="AP6744" t="s">
        <v>53</v>
      </c>
    </row>
    <row r="6745" spans="2:42" x14ac:dyDescent="0.2">
      <c r="B6745" t="s">
        <v>44</v>
      </c>
      <c r="C6745" t="str">
        <f>HYPERLINK("https://us2.cloudbeds.com/connect/8493803454333002#/reservations/9080486846953299?display=3CVE33J5TA&amp;reservation_id=9080486846953299", "3CVE33J5TA")</f>
        <v>3CVE33J5TA</v>
      </c>
      <c r="D6745" t="s">
        <v>45</v>
      </c>
      <c r="E6745" t="s">
        <v>46</v>
      </c>
      <c r="F6745" t="s">
        <v>47</v>
      </c>
      <c r="G6745" t="s">
        <v>48</v>
      </c>
      <c r="H6745" t="s">
        <v>49</v>
      </c>
      <c r="I6745" t="s">
        <v>50</v>
      </c>
      <c r="J6745" t="s">
        <v>11636</v>
      </c>
      <c r="K6745" t="s">
        <v>8021</v>
      </c>
      <c r="L6745" t="s">
        <v>53</v>
      </c>
      <c r="N6745" t="s">
        <v>12142</v>
      </c>
      <c r="P6745" t="s">
        <v>55</v>
      </c>
      <c r="R6745" t="s">
        <v>53</v>
      </c>
      <c r="T6745" t="s">
        <v>12143</v>
      </c>
      <c r="U6745" t="s">
        <v>58</v>
      </c>
      <c r="V6745">
        <v>1</v>
      </c>
      <c r="W6745">
        <v>1</v>
      </c>
      <c r="X6745">
        <v>2</v>
      </c>
      <c r="Y6745">
        <v>0</v>
      </c>
      <c r="Z6745">
        <v>2</v>
      </c>
      <c r="AA6745">
        <v>130.91999999999999</v>
      </c>
      <c r="AB6745">
        <v>136.34</v>
      </c>
      <c r="AC6745">
        <v>115.2</v>
      </c>
      <c r="AD6745">
        <v>5</v>
      </c>
      <c r="AE6745">
        <v>16.14</v>
      </c>
      <c r="AF6745">
        <v>0</v>
      </c>
      <c r="AG6745">
        <v>0</v>
      </c>
      <c r="AH6745">
        <v>0</v>
      </c>
      <c r="AI6745">
        <v>24.54</v>
      </c>
      <c r="AJ6745">
        <v>136.34</v>
      </c>
      <c r="AK6745">
        <v>0</v>
      </c>
      <c r="AL6745" t="s">
        <v>53</v>
      </c>
      <c r="AM6745" t="s">
        <v>53</v>
      </c>
      <c r="AN6745" t="s">
        <v>53</v>
      </c>
      <c r="AO6745" t="s">
        <v>53</v>
      </c>
      <c r="AP6745" t="s">
        <v>53</v>
      </c>
    </row>
    <row r="6746" spans="2:42" x14ac:dyDescent="0.2">
      <c r="B6746" t="s">
        <v>44</v>
      </c>
      <c r="C6746" t="str">
        <f>HYPERLINK("https://us2.cloudbeds.com/connect/8493803454333002#/reservations/9080486846953684?display=3CVV7UCXGN&amp;reservation_id=9080486846953684", "3CVV7UCXGN")</f>
        <v>3CVV7UCXGN</v>
      </c>
      <c r="D6746" t="s">
        <v>45</v>
      </c>
      <c r="E6746" t="s">
        <v>213</v>
      </c>
      <c r="F6746" t="s">
        <v>86</v>
      </c>
      <c r="G6746" t="s">
        <v>48</v>
      </c>
      <c r="H6746" t="s">
        <v>49</v>
      </c>
      <c r="I6746" t="s">
        <v>8964</v>
      </c>
      <c r="J6746" t="s">
        <v>12144</v>
      </c>
      <c r="K6746" t="s">
        <v>10170</v>
      </c>
      <c r="L6746" t="s">
        <v>53</v>
      </c>
      <c r="N6746" t="s">
        <v>12145</v>
      </c>
      <c r="P6746" t="s">
        <v>55</v>
      </c>
      <c r="R6746" t="s">
        <v>53</v>
      </c>
      <c r="T6746" t="s">
        <v>12146</v>
      </c>
      <c r="U6746" t="s">
        <v>55</v>
      </c>
      <c r="V6746">
        <v>3</v>
      </c>
      <c r="W6746">
        <v>1</v>
      </c>
      <c r="X6746">
        <v>2</v>
      </c>
      <c r="Y6746">
        <v>2</v>
      </c>
      <c r="Z6746">
        <v>4</v>
      </c>
      <c r="AA6746">
        <v>0</v>
      </c>
      <c r="AB6746">
        <v>0</v>
      </c>
      <c r="AC6746">
        <v>642</v>
      </c>
      <c r="AD6746">
        <v>0</v>
      </c>
      <c r="AE6746">
        <v>0</v>
      </c>
      <c r="AF6746">
        <v>0</v>
      </c>
      <c r="AG6746">
        <v>0</v>
      </c>
      <c r="AH6746">
        <v>0</v>
      </c>
      <c r="AI6746">
        <v>96.3</v>
      </c>
      <c r="AJ6746">
        <v>642</v>
      </c>
      <c r="AK6746">
        <v>642</v>
      </c>
      <c r="AL6746" t="s">
        <v>53</v>
      </c>
      <c r="AM6746" t="s">
        <v>53</v>
      </c>
      <c r="AN6746" t="s">
        <v>53</v>
      </c>
      <c r="AO6746" t="s">
        <v>53</v>
      </c>
      <c r="AP6746" t="s">
        <v>53</v>
      </c>
    </row>
    <row r="6747" spans="2:42" x14ac:dyDescent="0.2">
      <c r="B6747" t="s">
        <v>44</v>
      </c>
      <c r="C6747" t="str">
        <f>HYPERLINK("https://us2.cloudbeds.com/connect/8493803454333002#/reservations/9080486846953964?display=3CWDQW7ZH8&amp;reservation_id=9080486846953964", "3CWDQW7ZH8")</f>
        <v>3CWDQW7ZH8</v>
      </c>
      <c r="D6747" t="s">
        <v>45</v>
      </c>
      <c r="E6747" t="s">
        <v>381</v>
      </c>
      <c r="F6747" t="s">
        <v>47</v>
      </c>
      <c r="G6747" t="s">
        <v>48</v>
      </c>
      <c r="H6747" t="s">
        <v>49</v>
      </c>
      <c r="I6747" t="s">
        <v>50</v>
      </c>
      <c r="J6747" t="s">
        <v>11636</v>
      </c>
      <c r="K6747" t="s">
        <v>8021</v>
      </c>
      <c r="L6747" t="s">
        <v>53</v>
      </c>
      <c r="N6747" t="s">
        <v>12147</v>
      </c>
      <c r="P6747" t="s">
        <v>55</v>
      </c>
      <c r="R6747" t="s">
        <v>53</v>
      </c>
      <c r="T6747" t="s">
        <v>12148</v>
      </c>
      <c r="U6747" t="s">
        <v>58</v>
      </c>
      <c r="V6747">
        <v>1</v>
      </c>
      <c r="W6747">
        <v>1</v>
      </c>
      <c r="X6747">
        <v>2</v>
      </c>
      <c r="Y6747">
        <v>0</v>
      </c>
      <c r="Z6747">
        <v>2</v>
      </c>
      <c r="AA6747">
        <v>122.19</v>
      </c>
      <c r="AB6747">
        <v>122.19</v>
      </c>
      <c r="AC6747">
        <v>107.52</v>
      </c>
      <c r="AD6747">
        <v>0</v>
      </c>
      <c r="AE6747">
        <v>14.67</v>
      </c>
      <c r="AF6747">
        <v>0</v>
      </c>
      <c r="AG6747">
        <v>0</v>
      </c>
      <c r="AH6747">
        <v>0</v>
      </c>
      <c r="AI6747">
        <v>21.99</v>
      </c>
      <c r="AJ6747">
        <v>122.19</v>
      </c>
      <c r="AK6747">
        <v>0</v>
      </c>
      <c r="AL6747" t="s">
        <v>53</v>
      </c>
      <c r="AM6747" t="s">
        <v>53</v>
      </c>
      <c r="AN6747" t="s">
        <v>53</v>
      </c>
      <c r="AO6747" t="s">
        <v>53</v>
      </c>
      <c r="AP6747" t="s">
        <v>53</v>
      </c>
    </row>
    <row r="6748" spans="2:42" x14ac:dyDescent="0.2">
      <c r="B6748" t="s">
        <v>44</v>
      </c>
      <c r="C6748" t="str">
        <f>HYPERLINK("https://us2.cloudbeds.com/connect/8493803454333002#/reservations/9080486846954097?display=3CWYWZEYXN&amp;reservation_id=9080486846954097", "3CWYWZEYXN")</f>
        <v>3CWYWZEYXN</v>
      </c>
      <c r="D6748" t="s">
        <v>45</v>
      </c>
      <c r="E6748" t="s">
        <v>46</v>
      </c>
      <c r="F6748" t="s">
        <v>47</v>
      </c>
      <c r="G6748" t="s">
        <v>48</v>
      </c>
      <c r="H6748" t="s">
        <v>49</v>
      </c>
      <c r="I6748" t="s">
        <v>8964</v>
      </c>
      <c r="J6748" t="s">
        <v>8819</v>
      </c>
      <c r="K6748" t="s">
        <v>9858</v>
      </c>
      <c r="L6748" t="s">
        <v>53</v>
      </c>
      <c r="N6748" t="s">
        <v>12149</v>
      </c>
      <c r="P6748" t="s">
        <v>55</v>
      </c>
      <c r="R6748" t="s">
        <v>53</v>
      </c>
      <c r="T6748" t="s">
        <v>12150</v>
      </c>
      <c r="U6748" t="s">
        <v>55</v>
      </c>
      <c r="V6748">
        <v>1</v>
      </c>
      <c r="W6748">
        <v>1</v>
      </c>
      <c r="X6748">
        <v>2</v>
      </c>
      <c r="Y6748">
        <v>0</v>
      </c>
      <c r="Z6748">
        <v>2</v>
      </c>
      <c r="AA6748">
        <v>0</v>
      </c>
      <c r="AB6748">
        <v>0</v>
      </c>
      <c r="AC6748">
        <v>100</v>
      </c>
      <c r="AD6748">
        <v>0</v>
      </c>
      <c r="AE6748">
        <v>0</v>
      </c>
      <c r="AF6748">
        <v>0</v>
      </c>
      <c r="AG6748">
        <v>0</v>
      </c>
      <c r="AH6748">
        <v>0</v>
      </c>
      <c r="AI6748">
        <v>15</v>
      </c>
      <c r="AJ6748">
        <v>100</v>
      </c>
      <c r="AK6748">
        <v>100</v>
      </c>
      <c r="AL6748" t="s">
        <v>53</v>
      </c>
      <c r="AM6748" t="s">
        <v>53</v>
      </c>
      <c r="AN6748" t="s">
        <v>53</v>
      </c>
      <c r="AO6748" t="s">
        <v>53</v>
      </c>
      <c r="AP6748" t="s">
        <v>53</v>
      </c>
    </row>
    <row r="6749" spans="2:42" x14ac:dyDescent="0.2">
      <c r="B6749" t="s">
        <v>44</v>
      </c>
      <c r="C6749" t="str">
        <f>HYPERLINK("https://us2.cloudbeds.com/connect/8493803454333002#/reservations/9080486846954251?display=3CWVPQ3MXM&amp;reservation_id=9080486846954251", "3CWVPQ3MXM")</f>
        <v>3CWVPQ3MXM</v>
      </c>
      <c r="D6749" t="s">
        <v>45</v>
      </c>
      <c r="E6749" t="s">
        <v>305</v>
      </c>
      <c r="F6749" t="s">
        <v>61</v>
      </c>
      <c r="G6749" t="s">
        <v>48</v>
      </c>
      <c r="H6749" t="s">
        <v>49</v>
      </c>
      <c r="I6749" t="s">
        <v>50</v>
      </c>
      <c r="J6749" t="s">
        <v>9858</v>
      </c>
      <c r="K6749" t="s">
        <v>7542</v>
      </c>
      <c r="L6749" t="s">
        <v>53</v>
      </c>
      <c r="N6749" t="s">
        <v>12151</v>
      </c>
      <c r="P6749" t="s">
        <v>55</v>
      </c>
      <c r="R6749" t="s">
        <v>53</v>
      </c>
      <c r="T6749" t="s">
        <v>12152</v>
      </c>
      <c r="U6749" t="s">
        <v>58</v>
      </c>
      <c r="V6749">
        <v>2</v>
      </c>
      <c r="W6749">
        <v>1</v>
      </c>
      <c r="X6749">
        <v>2</v>
      </c>
      <c r="Y6749">
        <v>0</v>
      </c>
      <c r="Z6749">
        <v>2</v>
      </c>
      <c r="AA6749">
        <v>259.82</v>
      </c>
      <c r="AB6749">
        <v>259.82</v>
      </c>
      <c r="AC6749">
        <v>228.6</v>
      </c>
      <c r="AD6749">
        <v>0</v>
      </c>
      <c r="AE6749">
        <v>31.22</v>
      </c>
      <c r="AF6749">
        <v>0</v>
      </c>
      <c r="AG6749">
        <v>0</v>
      </c>
      <c r="AH6749">
        <v>0</v>
      </c>
      <c r="AI6749">
        <v>46.77</v>
      </c>
      <c r="AJ6749">
        <v>259.82</v>
      </c>
      <c r="AK6749">
        <v>0</v>
      </c>
      <c r="AL6749" t="s">
        <v>53</v>
      </c>
      <c r="AM6749" t="s">
        <v>53</v>
      </c>
      <c r="AN6749" t="s">
        <v>53</v>
      </c>
      <c r="AO6749" t="s">
        <v>53</v>
      </c>
      <c r="AP6749" t="s">
        <v>53</v>
      </c>
    </row>
    <row r="6750" spans="2:42" x14ac:dyDescent="0.2">
      <c r="B6750" t="s">
        <v>44</v>
      </c>
      <c r="C6750" t="str">
        <f>HYPERLINK("https://us2.cloudbeds.com/connect/8493803454333002#/reservations/9080486846955150?display=3D1SQ6ZZRG&amp;reservation_id=9080486846955150", "3D1SQ6ZZRG")</f>
        <v>3D1SQ6ZZRG</v>
      </c>
      <c r="D6750" t="s">
        <v>45</v>
      </c>
      <c r="E6750" t="s">
        <v>128</v>
      </c>
      <c r="F6750" t="s">
        <v>86</v>
      </c>
      <c r="G6750" t="s">
        <v>48</v>
      </c>
      <c r="H6750" t="s">
        <v>49</v>
      </c>
      <c r="I6750" t="s">
        <v>50</v>
      </c>
      <c r="J6750" t="s">
        <v>11382</v>
      </c>
      <c r="K6750" t="s">
        <v>11309</v>
      </c>
      <c r="L6750" t="s">
        <v>53</v>
      </c>
      <c r="N6750" t="s">
        <v>12153</v>
      </c>
      <c r="P6750" t="s">
        <v>55</v>
      </c>
      <c r="R6750" t="s">
        <v>53</v>
      </c>
      <c r="T6750" t="s">
        <v>12154</v>
      </c>
      <c r="U6750" t="s">
        <v>58</v>
      </c>
      <c r="V6750">
        <v>1</v>
      </c>
      <c r="W6750">
        <v>1</v>
      </c>
      <c r="X6750">
        <v>2</v>
      </c>
      <c r="Y6750">
        <v>1</v>
      </c>
      <c r="Z6750">
        <v>3</v>
      </c>
      <c r="AA6750">
        <v>106.89</v>
      </c>
      <c r="AB6750">
        <v>106.89</v>
      </c>
      <c r="AC6750">
        <v>94.05</v>
      </c>
      <c r="AD6750">
        <v>0</v>
      </c>
      <c r="AE6750">
        <v>12.84</v>
      </c>
      <c r="AF6750">
        <v>0</v>
      </c>
      <c r="AG6750">
        <v>0</v>
      </c>
      <c r="AH6750">
        <v>0</v>
      </c>
      <c r="AI6750">
        <v>19.239999999999998</v>
      </c>
      <c r="AJ6750">
        <v>106.89</v>
      </c>
      <c r="AK6750">
        <v>0</v>
      </c>
      <c r="AL6750" t="s">
        <v>53</v>
      </c>
      <c r="AM6750" t="s">
        <v>53</v>
      </c>
      <c r="AN6750" t="s">
        <v>53</v>
      </c>
      <c r="AO6750" t="s">
        <v>53</v>
      </c>
      <c r="AP6750" t="s">
        <v>53</v>
      </c>
    </row>
    <row r="6751" spans="2:42" x14ac:dyDescent="0.2">
      <c r="B6751" t="s">
        <v>44</v>
      </c>
      <c r="C6751" t="str">
        <f>HYPERLINK("https://us2.cloudbeds.com/connect/8493803454333002#/reservations/157657805865091?display=3D39EBVZJ3&amp;reservation_id=157657805865091", "3D39EBVZJ3")</f>
        <v>3D39EBVZJ3</v>
      </c>
      <c r="D6751" t="s">
        <v>45</v>
      </c>
      <c r="E6751" t="s">
        <v>185</v>
      </c>
      <c r="F6751" t="s">
        <v>47</v>
      </c>
      <c r="G6751" t="s">
        <v>48</v>
      </c>
      <c r="H6751" t="s">
        <v>3957</v>
      </c>
      <c r="I6751" t="s">
        <v>3975</v>
      </c>
      <c r="J6751" t="s">
        <v>8819</v>
      </c>
      <c r="K6751" t="s">
        <v>9858</v>
      </c>
      <c r="L6751" t="s">
        <v>53</v>
      </c>
      <c r="P6751" t="s">
        <v>55</v>
      </c>
      <c r="R6751" t="s">
        <v>56</v>
      </c>
      <c r="T6751" t="s">
        <v>12155</v>
      </c>
      <c r="U6751" t="s">
        <v>58</v>
      </c>
      <c r="V6751">
        <v>1</v>
      </c>
      <c r="W6751">
        <v>1</v>
      </c>
      <c r="X6751">
        <v>2</v>
      </c>
      <c r="Y6751">
        <v>0</v>
      </c>
      <c r="Z6751">
        <v>2</v>
      </c>
      <c r="AA6751">
        <v>109.1</v>
      </c>
      <c r="AB6751">
        <v>109.1</v>
      </c>
      <c r="AC6751">
        <v>96</v>
      </c>
      <c r="AD6751">
        <v>0</v>
      </c>
      <c r="AE6751">
        <v>13.1</v>
      </c>
      <c r="AF6751">
        <v>0</v>
      </c>
      <c r="AG6751">
        <v>0</v>
      </c>
      <c r="AH6751">
        <v>0</v>
      </c>
      <c r="AI6751">
        <v>0</v>
      </c>
      <c r="AJ6751">
        <v>109.1</v>
      </c>
      <c r="AK6751">
        <v>0</v>
      </c>
      <c r="AL6751" t="s">
        <v>53</v>
      </c>
      <c r="AM6751" t="s">
        <v>53</v>
      </c>
      <c r="AN6751" t="s">
        <v>53</v>
      </c>
      <c r="AO6751" t="s">
        <v>53</v>
      </c>
      <c r="AP6751" t="s">
        <v>53</v>
      </c>
    </row>
    <row r="6752" spans="2:42" x14ac:dyDescent="0.2">
      <c r="B6752" t="s">
        <v>44</v>
      </c>
      <c r="C6752" t="str">
        <f>HYPERLINK("https://us2.cloudbeds.com/connect/8493803454333002#/reservations/157680176763108?display=3D3QZWMVYK&amp;reservation_id=157680176763108", "3D3QZWMVYK")</f>
        <v>3D3QZWMVYK</v>
      </c>
      <c r="D6752" t="s">
        <v>45</v>
      </c>
      <c r="E6752" t="s">
        <v>373</v>
      </c>
      <c r="F6752" t="s">
        <v>47</v>
      </c>
      <c r="G6752" t="s">
        <v>48</v>
      </c>
      <c r="H6752" t="s">
        <v>3957</v>
      </c>
      <c r="I6752" t="s">
        <v>3975</v>
      </c>
      <c r="J6752" t="s">
        <v>7542</v>
      </c>
      <c r="K6752" t="s">
        <v>10893</v>
      </c>
      <c r="L6752" t="s">
        <v>53</v>
      </c>
      <c r="P6752" t="s">
        <v>55</v>
      </c>
      <c r="R6752" t="s">
        <v>56</v>
      </c>
      <c r="T6752" t="s">
        <v>12156</v>
      </c>
      <c r="U6752" t="s">
        <v>58</v>
      </c>
      <c r="V6752">
        <v>3</v>
      </c>
      <c r="W6752">
        <v>1</v>
      </c>
      <c r="X6752">
        <v>1</v>
      </c>
      <c r="Y6752">
        <v>0</v>
      </c>
      <c r="Z6752">
        <v>1</v>
      </c>
      <c r="AA6752">
        <v>444.39</v>
      </c>
      <c r="AB6752">
        <v>444.39</v>
      </c>
      <c r="AC6752">
        <v>391</v>
      </c>
      <c r="AD6752">
        <v>0</v>
      </c>
      <c r="AE6752">
        <v>53.39</v>
      </c>
      <c r="AF6752">
        <v>0</v>
      </c>
      <c r="AG6752">
        <v>0</v>
      </c>
      <c r="AH6752">
        <v>0</v>
      </c>
      <c r="AI6752">
        <v>0</v>
      </c>
      <c r="AJ6752">
        <v>444.39</v>
      </c>
      <c r="AK6752">
        <v>0</v>
      </c>
      <c r="AL6752" t="s">
        <v>53</v>
      </c>
      <c r="AM6752" t="s">
        <v>53</v>
      </c>
      <c r="AN6752" t="s">
        <v>53</v>
      </c>
      <c r="AO6752" t="s">
        <v>53</v>
      </c>
      <c r="AP6752" t="s">
        <v>53</v>
      </c>
    </row>
    <row r="6753" spans="2:42" x14ac:dyDescent="0.2">
      <c r="B6753" t="s">
        <v>44</v>
      </c>
      <c r="C6753" t="str">
        <f>HYPERLINK("https://us2.cloudbeds.com/connect/8493803454333002#/reservations/9080486846957529?display=3D53MRZG6S&amp;reservation_id=9080486846957529", "3D53MRZG6S")</f>
        <v>3D53MRZG6S</v>
      </c>
      <c r="D6753" t="s">
        <v>45</v>
      </c>
      <c r="E6753" t="s">
        <v>78</v>
      </c>
      <c r="F6753" t="s">
        <v>61</v>
      </c>
      <c r="G6753" t="s">
        <v>48</v>
      </c>
      <c r="H6753" t="s">
        <v>49</v>
      </c>
      <c r="I6753" t="s">
        <v>50</v>
      </c>
      <c r="J6753" t="s">
        <v>8819</v>
      </c>
      <c r="K6753" t="s">
        <v>8270</v>
      </c>
      <c r="L6753" t="s">
        <v>53</v>
      </c>
      <c r="N6753" t="s">
        <v>12157</v>
      </c>
      <c r="P6753" t="s">
        <v>55</v>
      </c>
      <c r="R6753" t="s">
        <v>53</v>
      </c>
      <c r="T6753" t="s">
        <v>12158</v>
      </c>
      <c r="U6753" t="s">
        <v>58</v>
      </c>
      <c r="V6753">
        <v>2</v>
      </c>
      <c r="W6753">
        <v>1</v>
      </c>
      <c r="X6753">
        <v>2</v>
      </c>
      <c r="Y6753">
        <v>0</v>
      </c>
      <c r="Z6753">
        <v>2</v>
      </c>
      <c r="AA6753">
        <v>207.68</v>
      </c>
      <c r="AB6753">
        <v>207.68</v>
      </c>
      <c r="AC6753">
        <v>182.75</v>
      </c>
      <c r="AD6753">
        <v>0</v>
      </c>
      <c r="AE6753">
        <v>24.93</v>
      </c>
      <c r="AF6753">
        <v>0</v>
      </c>
      <c r="AG6753">
        <v>0</v>
      </c>
      <c r="AH6753">
        <v>0</v>
      </c>
      <c r="AI6753">
        <v>37.380000000000003</v>
      </c>
      <c r="AJ6753">
        <v>207.68</v>
      </c>
      <c r="AK6753">
        <v>0</v>
      </c>
      <c r="AL6753" t="s">
        <v>53</v>
      </c>
      <c r="AM6753" t="s">
        <v>53</v>
      </c>
      <c r="AN6753" t="s">
        <v>53</v>
      </c>
      <c r="AO6753" t="s">
        <v>53</v>
      </c>
      <c r="AP6753" t="s">
        <v>53</v>
      </c>
    </row>
    <row r="6754" spans="2:42" x14ac:dyDescent="0.2">
      <c r="B6754" t="s">
        <v>44</v>
      </c>
      <c r="C6754" t="str">
        <f>HYPERLINK("https://us2.cloudbeds.com/connect/8493803454333002#/reservations/157761724559537?display=3D5NTNVJVV&amp;reservation_id=157761724559537", "3D5NTNVJVV")</f>
        <v>3D5NTNVJVV</v>
      </c>
      <c r="D6754" t="s">
        <v>45</v>
      </c>
      <c r="E6754" t="s">
        <v>138</v>
      </c>
      <c r="F6754" t="s">
        <v>70</v>
      </c>
      <c r="G6754" t="s">
        <v>48</v>
      </c>
      <c r="H6754" t="s">
        <v>3957</v>
      </c>
      <c r="I6754" t="s">
        <v>3975</v>
      </c>
      <c r="J6754" t="s">
        <v>10586</v>
      </c>
      <c r="K6754" t="s">
        <v>12159</v>
      </c>
      <c r="L6754" t="s">
        <v>53</v>
      </c>
      <c r="P6754" t="s">
        <v>55</v>
      </c>
      <c r="R6754" t="s">
        <v>56</v>
      </c>
      <c r="T6754" t="s">
        <v>12160</v>
      </c>
      <c r="U6754" t="s">
        <v>58</v>
      </c>
      <c r="V6754">
        <v>1</v>
      </c>
      <c r="W6754">
        <v>1</v>
      </c>
      <c r="X6754">
        <v>2</v>
      </c>
      <c r="Y6754">
        <v>0</v>
      </c>
      <c r="Z6754">
        <v>2</v>
      </c>
      <c r="AA6754">
        <v>79.56</v>
      </c>
      <c r="AB6754">
        <v>79.56</v>
      </c>
      <c r="AC6754">
        <v>70</v>
      </c>
      <c r="AD6754">
        <v>0</v>
      </c>
      <c r="AE6754">
        <v>9.56</v>
      </c>
      <c r="AF6754">
        <v>0</v>
      </c>
      <c r="AG6754">
        <v>0</v>
      </c>
      <c r="AH6754">
        <v>0</v>
      </c>
      <c r="AI6754">
        <v>0</v>
      </c>
      <c r="AJ6754">
        <v>79.56</v>
      </c>
      <c r="AK6754">
        <v>0</v>
      </c>
      <c r="AL6754" t="s">
        <v>53</v>
      </c>
      <c r="AM6754" t="s">
        <v>53</v>
      </c>
      <c r="AN6754" t="s">
        <v>53</v>
      </c>
      <c r="AO6754" t="s">
        <v>53</v>
      </c>
      <c r="AP6754" t="s">
        <v>53</v>
      </c>
    </row>
    <row r="6755" spans="2:42" x14ac:dyDescent="0.2">
      <c r="B6755" t="s">
        <v>44</v>
      </c>
      <c r="C6755" t="str">
        <f>HYPERLINK("https://us2.cloudbeds.com/connect/8493803454333002#/reservations/9080486846959937?display=3D7ZY2HR3S&amp;reservation_id=9080486846959937", "3D7ZY2HR3S")</f>
        <v>3D7ZY2HR3S</v>
      </c>
      <c r="D6755" t="s">
        <v>45</v>
      </c>
      <c r="E6755" t="s">
        <v>46</v>
      </c>
      <c r="F6755" t="s">
        <v>47</v>
      </c>
      <c r="G6755" t="s">
        <v>48</v>
      </c>
      <c r="H6755" t="s">
        <v>49</v>
      </c>
      <c r="I6755" t="s">
        <v>62</v>
      </c>
      <c r="J6755" t="s">
        <v>8021</v>
      </c>
      <c r="K6755" t="s">
        <v>8819</v>
      </c>
      <c r="L6755" t="s">
        <v>53</v>
      </c>
      <c r="N6755" t="s">
        <v>12161</v>
      </c>
      <c r="P6755" t="s">
        <v>55</v>
      </c>
      <c r="R6755" t="s">
        <v>56</v>
      </c>
      <c r="T6755" t="s">
        <v>12162</v>
      </c>
      <c r="U6755" t="s">
        <v>55</v>
      </c>
      <c r="V6755">
        <v>1</v>
      </c>
      <c r="W6755">
        <v>1</v>
      </c>
      <c r="X6755">
        <v>2</v>
      </c>
      <c r="Y6755">
        <v>0</v>
      </c>
      <c r="Z6755">
        <v>2</v>
      </c>
      <c r="AA6755">
        <v>96</v>
      </c>
      <c r="AB6755">
        <v>96</v>
      </c>
      <c r="AC6755">
        <v>96</v>
      </c>
      <c r="AD6755">
        <v>0</v>
      </c>
      <c r="AE6755">
        <v>0</v>
      </c>
      <c r="AF6755">
        <v>0</v>
      </c>
      <c r="AG6755">
        <v>0</v>
      </c>
      <c r="AH6755">
        <v>0</v>
      </c>
      <c r="AI6755">
        <v>17.28</v>
      </c>
      <c r="AJ6755">
        <v>96</v>
      </c>
      <c r="AK6755">
        <v>0</v>
      </c>
      <c r="AL6755" t="s">
        <v>53</v>
      </c>
      <c r="AM6755" t="s">
        <v>53</v>
      </c>
      <c r="AN6755" t="s">
        <v>53</v>
      </c>
      <c r="AO6755" t="s">
        <v>53</v>
      </c>
      <c r="AP6755" t="s">
        <v>53</v>
      </c>
    </row>
    <row r="6756" spans="2:42" x14ac:dyDescent="0.2">
      <c r="B6756" t="s">
        <v>44</v>
      </c>
      <c r="C6756" t="str">
        <f>HYPERLINK("https://us2.cloudbeds.com/connect/8493803454333002#/reservations/9080486846960304?display=3D888RHK9G&amp;reservation_id=9080486846960304", "3D888RHK9G")</f>
        <v>3D888RHK9G</v>
      </c>
      <c r="D6756" t="s">
        <v>45</v>
      </c>
      <c r="E6756" t="s">
        <v>373</v>
      </c>
      <c r="F6756" t="s">
        <v>47</v>
      </c>
      <c r="G6756" t="s">
        <v>48</v>
      </c>
      <c r="H6756" t="s">
        <v>49</v>
      </c>
      <c r="I6756" t="s">
        <v>50</v>
      </c>
      <c r="J6756" t="s">
        <v>8021</v>
      </c>
      <c r="K6756" t="s">
        <v>8819</v>
      </c>
      <c r="L6756" t="s">
        <v>53</v>
      </c>
      <c r="N6756" t="s">
        <v>12163</v>
      </c>
      <c r="P6756" t="s">
        <v>55</v>
      </c>
      <c r="R6756" t="s">
        <v>53</v>
      </c>
      <c r="T6756" t="s">
        <v>12164</v>
      </c>
      <c r="U6756" t="s">
        <v>58</v>
      </c>
      <c r="V6756">
        <v>1</v>
      </c>
      <c r="W6756">
        <v>1</v>
      </c>
      <c r="X6756">
        <v>1</v>
      </c>
      <c r="Y6756">
        <v>0</v>
      </c>
      <c r="Z6756">
        <v>1</v>
      </c>
      <c r="AA6756">
        <v>98.2</v>
      </c>
      <c r="AB6756">
        <v>98.2</v>
      </c>
      <c r="AC6756">
        <v>86.4</v>
      </c>
      <c r="AD6756">
        <v>0</v>
      </c>
      <c r="AE6756">
        <v>11.8</v>
      </c>
      <c r="AF6756">
        <v>0</v>
      </c>
      <c r="AG6756">
        <v>0</v>
      </c>
      <c r="AH6756">
        <v>0</v>
      </c>
      <c r="AI6756">
        <v>17.68</v>
      </c>
      <c r="AJ6756">
        <v>98.2</v>
      </c>
      <c r="AK6756">
        <v>0</v>
      </c>
      <c r="AL6756" t="s">
        <v>53</v>
      </c>
      <c r="AM6756" t="s">
        <v>53</v>
      </c>
      <c r="AN6756" t="s">
        <v>53</v>
      </c>
      <c r="AO6756" t="s">
        <v>53</v>
      </c>
      <c r="AP6756" t="s">
        <v>53</v>
      </c>
    </row>
    <row r="6757" spans="2:42" x14ac:dyDescent="0.2">
      <c r="B6757" t="s">
        <v>44</v>
      </c>
      <c r="C6757" t="str">
        <f>HYPERLINK("https://us2.cloudbeds.com/connect/8493803454333002#/reservations/9080486846960986?display=3D99FNABEK&amp;reservation_id=9080486846960986", "3D99FNABEK")</f>
        <v>3D99FNABEK</v>
      </c>
      <c r="D6757" t="s">
        <v>45</v>
      </c>
      <c r="E6757" t="s">
        <v>110</v>
      </c>
      <c r="F6757" t="s">
        <v>47</v>
      </c>
      <c r="G6757" t="s">
        <v>48</v>
      </c>
      <c r="H6757" t="s">
        <v>49</v>
      </c>
      <c r="I6757" t="s">
        <v>50</v>
      </c>
      <c r="J6757" t="s">
        <v>10415</v>
      </c>
      <c r="K6757" t="s">
        <v>11321</v>
      </c>
      <c r="L6757" t="s">
        <v>53</v>
      </c>
      <c r="N6757" t="s">
        <v>12165</v>
      </c>
      <c r="P6757" t="s">
        <v>55</v>
      </c>
      <c r="R6757" t="s">
        <v>53</v>
      </c>
      <c r="T6757" t="s">
        <v>12166</v>
      </c>
      <c r="U6757" t="s">
        <v>58</v>
      </c>
      <c r="V6757">
        <v>3</v>
      </c>
      <c r="W6757">
        <v>1</v>
      </c>
      <c r="X6757">
        <v>2</v>
      </c>
      <c r="Y6757">
        <v>0</v>
      </c>
      <c r="Z6757">
        <v>2</v>
      </c>
      <c r="AA6757">
        <v>252.37</v>
      </c>
      <c r="AB6757">
        <v>252.37</v>
      </c>
      <c r="AC6757">
        <v>222.07</v>
      </c>
      <c r="AD6757">
        <v>0</v>
      </c>
      <c r="AE6757">
        <v>30.3</v>
      </c>
      <c r="AF6757">
        <v>0</v>
      </c>
      <c r="AG6757">
        <v>0</v>
      </c>
      <c r="AH6757">
        <v>0</v>
      </c>
      <c r="AI6757">
        <v>45.43</v>
      </c>
      <c r="AJ6757">
        <v>252.37</v>
      </c>
      <c r="AK6757">
        <v>0</v>
      </c>
      <c r="AL6757" t="s">
        <v>53</v>
      </c>
      <c r="AM6757" t="s">
        <v>53</v>
      </c>
      <c r="AN6757" t="s">
        <v>53</v>
      </c>
      <c r="AO6757" t="s">
        <v>53</v>
      </c>
      <c r="AP6757" t="s">
        <v>53</v>
      </c>
    </row>
    <row r="6758" spans="2:42" x14ac:dyDescent="0.2">
      <c r="B6758" t="s">
        <v>44</v>
      </c>
      <c r="C6758" t="str">
        <f>HYPERLINK("https://us2.cloudbeds.com/connect/8493803454333002#/reservations/9080486846964105?display=3DDK9AC2FE&amp;reservation_id=9080486846964105", "3DDK9AC2FE")</f>
        <v>3DDK9AC2FE</v>
      </c>
      <c r="D6758" t="s">
        <v>45</v>
      </c>
      <c r="E6758" t="s">
        <v>165</v>
      </c>
      <c r="F6758" t="s">
        <v>61</v>
      </c>
      <c r="G6758" t="s">
        <v>48</v>
      </c>
      <c r="H6758" t="s">
        <v>49</v>
      </c>
      <c r="I6758" t="s">
        <v>62</v>
      </c>
      <c r="J6758" t="s">
        <v>11321</v>
      </c>
      <c r="K6758" t="s">
        <v>10487</v>
      </c>
      <c r="L6758" t="s">
        <v>53</v>
      </c>
      <c r="N6758" t="s">
        <v>12167</v>
      </c>
      <c r="P6758" t="s">
        <v>55</v>
      </c>
      <c r="R6758" t="s">
        <v>56</v>
      </c>
      <c r="T6758" t="s">
        <v>12168</v>
      </c>
      <c r="U6758" t="s">
        <v>55</v>
      </c>
      <c r="V6758">
        <v>1</v>
      </c>
      <c r="W6758">
        <v>1</v>
      </c>
      <c r="X6758">
        <v>2</v>
      </c>
      <c r="Y6758">
        <v>0</v>
      </c>
      <c r="Z6758">
        <v>2</v>
      </c>
      <c r="AA6758">
        <v>90.25</v>
      </c>
      <c r="AB6758">
        <v>90.25</v>
      </c>
      <c r="AC6758">
        <v>90.25</v>
      </c>
      <c r="AD6758">
        <v>0</v>
      </c>
      <c r="AE6758">
        <v>0</v>
      </c>
      <c r="AF6758">
        <v>0</v>
      </c>
      <c r="AG6758">
        <v>0</v>
      </c>
      <c r="AH6758">
        <v>0</v>
      </c>
      <c r="AI6758">
        <v>16.25</v>
      </c>
      <c r="AJ6758">
        <v>90.25</v>
      </c>
      <c r="AK6758">
        <v>0</v>
      </c>
      <c r="AL6758" t="s">
        <v>53</v>
      </c>
      <c r="AM6758" t="s">
        <v>53</v>
      </c>
      <c r="AN6758" t="s">
        <v>53</v>
      </c>
      <c r="AO6758" t="s">
        <v>53</v>
      </c>
      <c r="AP6758" t="s">
        <v>53</v>
      </c>
    </row>
    <row r="6759" spans="2:42" x14ac:dyDescent="0.2">
      <c r="B6759" t="s">
        <v>44</v>
      </c>
      <c r="C6759" t="str">
        <f>HYPERLINK("https://us2.cloudbeds.com/connect/8493803454333002#/reservations/9080486846964203?display=3DDNDKVMTC&amp;reservation_id=9080486846964203", "3DDNDKVMTC")</f>
        <v>3DDNDKVMTC</v>
      </c>
      <c r="D6759" t="s">
        <v>45</v>
      </c>
      <c r="E6759" t="s">
        <v>190</v>
      </c>
      <c r="F6759" t="s">
        <v>61</v>
      </c>
      <c r="G6759" t="s">
        <v>48</v>
      </c>
      <c r="H6759" t="s">
        <v>49</v>
      </c>
      <c r="I6759" t="s">
        <v>62</v>
      </c>
      <c r="J6759" t="s">
        <v>9858</v>
      </c>
      <c r="K6759" t="s">
        <v>8270</v>
      </c>
      <c r="L6759" t="s">
        <v>53</v>
      </c>
      <c r="N6759" t="s">
        <v>12169</v>
      </c>
      <c r="P6759" t="s">
        <v>55</v>
      </c>
      <c r="R6759" t="s">
        <v>56</v>
      </c>
      <c r="T6759" t="s">
        <v>12170</v>
      </c>
      <c r="U6759" t="s">
        <v>55</v>
      </c>
      <c r="V6759">
        <v>1</v>
      </c>
      <c r="W6759">
        <v>1</v>
      </c>
      <c r="X6759">
        <v>2</v>
      </c>
      <c r="Y6759">
        <v>0</v>
      </c>
      <c r="Z6759">
        <v>2</v>
      </c>
      <c r="AA6759">
        <v>112</v>
      </c>
      <c r="AB6759">
        <v>112</v>
      </c>
      <c r="AC6759">
        <v>112</v>
      </c>
      <c r="AD6759">
        <v>0</v>
      </c>
      <c r="AE6759">
        <v>0</v>
      </c>
      <c r="AF6759">
        <v>0</v>
      </c>
      <c r="AG6759">
        <v>0</v>
      </c>
      <c r="AH6759">
        <v>0</v>
      </c>
      <c r="AI6759">
        <v>20.16</v>
      </c>
      <c r="AJ6759">
        <v>112</v>
      </c>
      <c r="AK6759">
        <v>0</v>
      </c>
      <c r="AL6759" t="s">
        <v>53</v>
      </c>
      <c r="AM6759" t="s">
        <v>53</v>
      </c>
      <c r="AN6759" t="s">
        <v>53</v>
      </c>
      <c r="AO6759" t="s">
        <v>53</v>
      </c>
      <c r="AP6759" t="s">
        <v>53</v>
      </c>
    </row>
    <row r="6760" spans="2:42" x14ac:dyDescent="0.2">
      <c r="B6760" t="s">
        <v>44</v>
      </c>
      <c r="C6760" t="str">
        <f>HYPERLINK("https://us2.cloudbeds.com/connect/8493803454333002#/reservations/9080486846965234?display=3DEJ5EG7R8&amp;reservation_id=9080486846965234", "3DEJ5EG7R8")</f>
        <v>3DEJ5EG7R8</v>
      </c>
      <c r="D6760" t="s">
        <v>45</v>
      </c>
      <c r="E6760" t="s">
        <v>373</v>
      </c>
      <c r="F6760" t="s">
        <v>47</v>
      </c>
      <c r="G6760" t="s">
        <v>48</v>
      </c>
      <c r="H6760" t="s">
        <v>49</v>
      </c>
      <c r="I6760" t="s">
        <v>50</v>
      </c>
      <c r="J6760" t="s">
        <v>8819</v>
      </c>
      <c r="K6760" t="s">
        <v>8270</v>
      </c>
      <c r="L6760" t="s">
        <v>53</v>
      </c>
      <c r="N6760" t="s">
        <v>12171</v>
      </c>
      <c r="P6760" t="s">
        <v>55</v>
      </c>
      <c r="R6760" t="s">
        <v>53</v>
      </c>
      <c r="T6760" t="s">
        <v>12172</v>
      </c>
      <c r="U6760" t="s">
        <v>58</v>
      </c>
      <c r="V6760">
        <v>2</v>
      </c>
      <c r="W6760">
        <v>1</v>
      </c>
      <c r="X6760">
        <v>2</v>
      </c>
      <c r="Y6760">
        <v>0</v>
      </c>
      <c r="Z6760">
        <v>2</v>
      </c>
      <c r="AA6760">
        <v>204.57</v>
      </c>
      <c r="AB6760">
        <v>204.57</v>
      </c>
      <c r="AC6760">
        <v>180</v>
      </c>
      <c r="AD6760">
        <v>0</v>
      </c>
      <c r="AE6760">
        <v>24.57</v>
      </c>
      <c r="AF6760">
        <v>0</v>
      </c>
      <c r="AG6760">
        <v>0</v>
      </c>
      <c r="AH6760">
        <v>0</v>
      </c>
      <c r="AI6760">
        <v>36.82</v>
      </c>
      <c r="AJ6760">
        <v>204.57</v>
      </c>
      <c r="AK6760">
        <v>0</v>
      </c>
      <c r="AL6760" t="s">
        <v>53</v>
      </c>
      <c r="AM6760" t="s">
        <v>53</v>
      </c>
      <c r="AN6760" t="s">
        <v>53</v>
      </c>
      <c r="AO6760" t="s">
        <v>53</v>
      </c>
      <c r="AP6760" t="s">
        <v>53</v>
      </c>
    </row>
    <row r="6761" spans="2:42" x14ac:dyDescent="0.2">
      <c r="B6761" t="s">
        <v>44</v>
      </c>
      <c r="C6761" t="str">
        <f>HYPERLINK("https://us2.cloudbeds.com/connect/8493803454333002#/reservations/158224139854041?display=3DGXVGPR6T&amp;reservation_id=158224139854041", "3DGXVGPR6T")</f>
        <v>3DGXVGPR6T</v>
      </c>
      <c r="D6761" t="s">
        <v>45</v>
      </c>
      <c r="E6761" t="s">
        <v>381</v>
      </c>
      <c r="F6761" t="s">
        <v>47</v>
      </c>
      <c r="G6761" t="s">
        <v>48</v>
      </c>
      <c r="H6761" t="s">
        <v>3957</v>
      </c>
      <c r="I6761" t="s">
        <v>3975</v>
      </c>
      <c r="J6761" t="s">
        <v>8819</v>
      </c>
      <c r="K6761" t="s">
        <v>9858</v>
      </c>
      <c r="L6761" t="s">
        <v>53</v>
      </c>
      <c r="P6761" t="s">
        <v>55</v>
      </c>
      <c r="R6761" t="s">
        <v>56</v>
      </c>
      <c r="T6761" t="s">
        <v>12173</v>
      </c>
      <c r="U6761" t="s">
        <v>58</v>
      </c>
      <c r="V6761">
        <v>1</v>
      </c>
      <c r="W6761">
        <v>1</v>
      </c>
      <c r="X6761">
        <v>2</v>
      </c>
      <c r="Y6761">
        <v>0</v>
      </c>
      <c r="Z6761">
        <v>2</v>
      </c>
      <c r="AA6761">
        <v>114.79</v>
      </c>
      <c r="AB6761">
        <v>114.79</v>
      </c>
      <c r="AC6761">
        <v>101</v>
      </c>
      <c r="AD6761">
        <v>0</v>
      </c>
      <c r="AE6761">
        <v>13.79</v>
      </c>
      <c r="AF6761">
        <v>0</v>
      </c>
      <c r="AG6761">
        <v>0</v>
      </c>
      <c r="AH6761">
        <v>0</v>
      </c>
      <c r="AI6761">
        <v>0</v>
      </c>
      <c r="AJ6761">
        <v>114.79</v>
      </c>
      <c r="AK6761">
        <v>0</v>
      </c>
      <c r="AL6761" t="s">
        <v>53</v>
      </c>
      <c r="AM6761" t="s">
        <v>53</v>
      </c>
      <c r="AN6761" t="s">
        <v>53</v>
      </c>
      <c r="AO6761" t="s">
        <v>53</v>
      </c>
      <c r="AP6761" t="s">
        <v>53</v>
      </c>
    </row>
    <row r="6762" spans="2:42" x14ac:dyDescent="0.2">
      <c r="B6762" t="s">
        <v>44</v>
      </c>
      <c r="C6762" t="str">
        <f>HYPERLINK("https://us2.cloudbeds.com/connect/8493803454333002#/reservations/158233024180445?display=3DGPRH9A04&amp;reservation_id=158233024180445", "3DGPRH9A04")</f>
        <v>3DGPRH9A04</v>
      </c>
      <c r="D6762" t="s">
        <v>45</v>
      </c>
      <c r="E6762" t="s">
        <v>223</v>
      </c>
      <c r="F6762" t="s">
        <v>47</v>
      </c>
      <c r="G6762" t="s">
        <v>48</v>
      </c>
      <c r="H6762" t="s">
        <v>3957</v>
      </c>
      <c r="I6762" t="s">
        <v>3975</v>
      </c>
      <c r="J6762" t="s">
        <v>9858</v>
      </c>
      <c r="K6762" t="s">
        <v>8047</v>
      </c>
      <c r="L6762" t="s">
        <v>53</v>
      </c>
      <c r="P6762" t="s">
        <v>58</v>
      </c>
      <c r="R6762" t="s">
        <v>56</v>
      </c>
      <c r="T6762" t="s">
        <v>12174</v>
      </c>
      <c r="U6762" t="s">
        <v>58</v>
      </c>
      <c r="V6762">
        <v>4</v>
      </c>
      <c r="W6762">
        <v>1</v>
      </c>
      <c r="X6762">
        <v>1</v>
      </c>
      <c r="Y6762">
        <v>0</v>
      </c>
      <c r="Z6762">
        <v>1</v>
      </c>
      <c r="AA6762">
        <v>530.77</v>
      </c>
      <c r="AB6762">
        <v>541.62</v>
      </c>
      <c r="AC6762">
        <v>467</v>
      </c>
      <c r="AD6762">
        <v>10</v>
      </c>
      <c r="AE6762">
        <v>64.62</v>
      </c>
      <c r="AF6762">
        <v>0</v>
      </c>
      <c r="AG6762">
        <v>0</v>
      </c>
      <c r="AH6762">
        <v>0</v>
      </c>
      <c r="AI6762">
        <v>0</v>
      </c>
      <c r="AJ6762">
        <v>541.62</v>
      </c>
      <c r="AK6762">
        <v>0</v>
      </c>
      <c r="AL6762" t="s">
        <v>53</v>
      </c>
      <c r="AM6762" t="s">
        <v>53</v>
      </c>
      <c r="AN6762" t="s">
        <v>53</v>
      </c>
      <c r="AO6762" t="s">
        <v>53</v>
      </c>
      <c r="AP6762" t="s">
        <v>53</v>
      </c>
    </row>
    <row r="6763" spans="2:42" x14ac:dyDescent="0.2">
      <c r="B6763" t="s">
        <v>44</v>
      </c>
      <c r="C6763" t="str">
        <f>HYPERLINK("https://us2.cloudbeds.com/connect/8493803454333002#/reservations/158238867439859?display=3DGUBRFK47&amp;reservation_id=158238867439859", "3DGUBRFK47")</f>
        <v>3DGUBRFK47</v>
      </c>
      <c r="D6763" t="s">
        <v>45</v>
      </c>
      <c r="E6763" t="s">
        <v>190</v>
      </c>
      <c r="F6763" t="s">
        <v>61</v>
      </c>
      <c r="G6763" t="s">
        <v>48</v>
      </c>
      <c r="H6763" t="s">
        <v>3957</v>
      </c>
      <c r="I6763" t="s">
        <v>3958</v>
      </c>
      <c r="J6763" t="s">
        <v>8819</v>
      </c>
      <c r="K6763" t="s">
        <v>9858</v>
      </c>
      <c r="L6763" t="s">
        <v>53</v>
      </c>
      <c r="P6763" t="s">
        <v>55</v>
      </c>
      <c r="R6763" t="s">
        <v>56</v>
      </c>
      <c r="T6763" t="s">
        <v>12175</v>
      </c>
      <c r="U6763" t="s">
        <v>58</v>
      </c>
      <c r="V6763">
        <v>1</v>
      </c>
      <c r="W6763">
        <v>1</v>
      </c>
      <c r="X6763">
        <v>1</v>
      </c>
      <c r="Y6763">
        <v>0</v>
      </c>
      <c r="Z6763">
        <v>1</v>
      </c>
      <c r="AA6763">
        <v>129.57</v>
      </c>
      <c r="AB6763">
        <v>129.57</v>
      </c>
      <c r="AC6763">
        <v>114</v>
      </c>
      <c r="AD6763">
        <v>0</v>
      </c>
      <c r="AE6763">
        <v>15.57</v>
      </c>
      <c r="AF6763">
        <v>0</v>
      </c>
      <c r="AG6763">
        <v>0</v>
      </c>
      <c r="AH6763">
        <v>0</v>
      </c>
      <c r="AI6763">
        <v>0</v>
      </c>
      <c r="AJ6763">
        <v>129.57</v>
      </c>
      <c r="AK6763">
        <v>0</v>
      </c>
      <c r="AL6763" t="s">
        <v>53</v>
      </c>
      <c r="AM6763" t="s">
        <v>53</v>
      </c>
      <c r="AN6763" t="s">
        <v>53</v>
      </c>
      <c r="AO6763" t="s">
        <v>53</v>
      </c>
      <c r="AP6763" t="s">
        <v>53</v>
      </c>
    </row>
    <row r="6764" spans="2:42" x14ac:dyDescent="0.2">
      <c r="B6764" t="s">
        <v>44</v>
      </c>
      <c r="C6764" t="str">
        <f>HYPERLINK("https://us2.cloudbeds.com/connect/8493803454333002#/reservations/9080486846967445?display=3DH4CMHV95&amp;reservation_id=9080486846967445", "3DH4CMHV95")</f>
        <v>3DH4CMHV95</v>
      </c>
      <c r="D6764" t="s">
        <v>45</v>
      </c>
      <c r="E6764" t="s">
        <v>105</v>
      </c>
      <c r="F6764" t="s">
        <v>47</v>
      </c>
      <c r="G6764" t="s">
        <v>48</v>
      </c>
      <c r="H6764" t="s">
        <v>49</v>
      </c>
      <c r="I6764" t="s">
        <v>50</v>
      </c>
      <c r="J6764" t="s">
        <v>8270</v>
      </c>
      <c r="K6764" t="s">
        <v>7542</v>
      </c>
      <c r="L6764" t="s">
        <v>53</v>
      </c>
      <c r="N6764" t="s">
        <v>12176</v>
      </c>
      <c r="P6764" t="s">
        <v>55</v>
      </c>
      <c r="R6764" t="s">
        <v>53</v>
      </c>
      <c r="T6764" t="s">
        <v>12177</v>
      </c>
      <c r="U6764" t="s">
        <v>58</v>
      </c>
      <c r="V6764">
        <v>1</v>
      </c>
      <c r="W6764">
        <v>1</v>
      </c>
      <c r="X6764">
        <v>2</v>
      </c>
      <c r="Y6764">
        <v>0</v>
      </c>
      <c r="Z6764">
        <v>2</v>
      </c>
      <c r="AA6764">
        <v>102.74</v>
      </c>
      <c r="AB6764">
        <v>102.74</v>
      </c>
      <c r="AC6764">
        <v>90.4</v>
      </c>
      <c r="AD6764">
        <v>0</v>
      </c>
      <c r="AE6764">
        <v>12.34</v>
      </c>
      <c r="AF6764">
        <v>0</v>
      </c>
      <c r="AG6764">
        <v>0</v>
      </c>
      <c r="AH6764">
        <v>0</v>
      </c>
      <c r="AI6764">
        <v>18.489999999999998</v>
      </c>
      <c r="AJ6764">
        <v>102.74</v>
      </c>
      <c r="AK6764">
        <v>0</v>
      </c>
      <c r="AL6764" t="s">
        <v>53</v>
      </c>
      <c r="AM6764" t="s">
        <v>53</v>
      </c>
      <c r="AN6764" t="s">
        <v>53</v>
      </c>
      <c r="AO6764" t="s">
        <v>53</v>
      </c>
      <c r="AP6764" t="s">
        <v>53</v>
      </c>
    </row>
    <row r="6765" spans="2:42" x14ac:dyDescent="0.2">
      <c r="B6765" t="s">
        <v>44</v>
      </c>
      <c r="C6765" t="str">
        <f>HYPERLINK("https://us2.cloudbeds.com/connect/8493803454333002#/reservations/9080486846967446?display=3DH4BMMMJR&amp;reservation_id=9080486846967446", "3DH4BMMMJR")</f>
        <v>3DH4BMMMJR</v>
      </c>
      <c r="D6765" t="s">
        <v>45</v>
      </c>
      <c r="E6765" t="s">
        <v>185</v>
      </c>
      <c r="F6765" t="s">
        <v>47</v>
      </c>
      <c r="G6765" t="s">
        <v>48</v>
      </c>
      <c r="H6765" t="s">
        <v>49</v>
      </c>
      <c r="I6765" t="s">
        <v>50</v>
      </c>
      <c r="J6765" t="s">
        <v>8270</v>
      </c>
      <c r="K6765" t="s">
        <v>7542</v>
      </c>
      <c r="L6765" t="s">
        <v>53</v>
      </c>
      <c r="N6765" t="s">
        <v>12178</v>
      </c>
      <c r="P6765" t="s">
        <v>55</v>
      </c>
      <c r="R6765" t="s">
        <v>53</v>
      </c>
      <c r="T6765" t="s">
        <v>12179</v>
      </c>
      <c r="U6765" t="s">
        <v>58</v>
      </c>
      <c r="V6765">
        <v>1</v>
      </c>
      <c r="W6765">
        <v>1</v>
      </c>
      <c r="X6765">
        <v>2</v>
      </c>
      <c r="Y6765">
        <v>0</v>
      </c>
      <c r="Z6765">
        <v>2</v>
      </c>
      <c r="AA6765">
        <v>102.74</v>
      </c>
      <c r="AB6765">
        <v>102.74</v>
      </c>
      <c r="AC6765">
        <v>90.4</v>
      </c>
      <c r="AD6765">
        <v>0</v>
      </c>
      <c r="AE6765">
        <v>12.34</v>
      </c>
      <c r="AF6765">
        <v>0</v>
      </c>
      <c r="AG6765">
        <v>0</v>
      </c>
      <c r="AH6765">
        <v>0</v>
      </c>
      <c r="AI6765">
        <v>18.489999999999998</v>
      </c>
      <c r="AJ6765">
        <v>102.74</v>
      </c>
      <c r="AK6765">
        <v>0</v>
      </c>
      <c r="AL6765" t="s">
        <v>53</v>
      </c>
      <c r="AM6765" t="s">
        <v>53</v>
      </c>
      <c r="AN6765" t="s">
        <v>53</v>
      </c>
      <c r="AO6765" t="s">
        <v>53</v>
      </c>
      <c r="AP6765" t="s">
        <v>53</v>
      </c>
    </row>
    <row r="6766" spans="2:42" x14ac:dyDescent="0.2">
      <c r="B6766" t="s">
        <v>44</v>
      </c>
      <c r="C6766" t="str">
        <f>HYPERLINK("https://us2.cloudbeds.com/connect/8493803454333002#/reservations/158255564337310?display=3DHA9FZD0Y&amp;reservation_id=158255564337310", "3DHA9FZD0Y")</f>
        <v>3DHA9FZD0Y</v>
      </c>
      <c r="D6766" t="s">
        <v>45</v>
      </c>
      <c r="E6766" t="s">
        <v>487</v>
      </c>
      <c r="F6766" t="s">
        <v>61</v>
      </c>
      <c r="G6766" t="s">
        <v>48</v>
      </c>
      <c r="H6766" t="s">
        <v>3957</v>
      </c>
      <c r="I6766" t="s">
        <v>3958</v>
      </c>
      <c r="J6766" t="s">
        <v>8819</v>
      </c>
      <c r="K6766" t="s">
        <v>9858</v>
      </c>
      <c r="L6766" t="s">
        <v>53</v>
      </c>
      <c r="P6766" t="s">
        <v>55</v>
      </c>
      <c r="R6766" t="s">
        <v>56</v>
      </c>
      <c r="T6766" t="s">
        <v>12180</v>
      </c>
      <c r="U6766" t="s">
        <v>58</v>
      </c>
      <c r="V6766">
        <v>1</v>
      </c>
      <c r="W6766">
        <v>1</v>
      </c>
      <c r="X6766">
        <v>1</v>
      </c>
      <c r="Y6766">
        <v>0</v>
      </c>
      <c r="Z6766">
        <v>1</v>
      </c>
      <c r="AA6766">
        <v>129.57</v>
      </c>
      <c r="AB6766">
        <v>129.57</v>
      </c>
      <c r="AC6766">
        <v>114</v>
      </c>
      <c r="AD6766">
        <v>0</v>
      </c>
      <c r="AE6766">
        <v>15.57</v>
      </c>
      <c r="AF6766">
        <v>0</v>
      </c>
      <c r="AG6766">
        <v>0</v>
      </c>
      <c r="AH6766">
        <v>0</v>
      </c>
      <c r="AI6766">
        <v>0</v>
      </c>
      <c r="AJ6766">
        <v>129.57</v>
      </c>
      <c r="AK6766">
        <v>0</v>
      </c>
      <c r="AL6766" t="s">
        <v>53</v>
      </c>
      <c r="AM6766" t="s">
        <v>53</v>
      </c>
      <c r="AN6766" t="s">
        <v>53</v>
      </c>
      <c r="AO6766" t="s">
        <v>53</v>
      </c>
      <c r="AP6766" t="s">
        <v>53</v>
      </c>
    </row>
    <row r="6767" spans="2:42" x14ac:dyDescent="0.2">
      <c r="B6767" t="s">
        <v>44</v>
      </c>
      <c r="C6767" t="str">
        <f>HYPERLINK("https://us2.cloudbeds.com/connect/8493803454333002#/reservations/9080486846970629?display=3DYH085XXZ&amp;reservation_id=9080486846970629", "3DYH085XXZ")</f>
        <v>3DYH085XXZ</v>
      </c>
      <c r="D6767" t="s">
        <v>45</v>
      </c>
      <c r="E6767" t="s">
        <v>165</v>
      </c>
      <c r="F6767" t="s">
        <v>61</v>
      </c>
      <c r="G6767" t="s">
        <v>48</v>
      </c>
      <c r="H6767" t="s">
        <v>49</v>
      </c>
      <c r="I6767" t="s">
        <v>50</v>
      </c>
      <c r="J6767" t="s">
        <v>7542</v>
      </c>
      <c r="K6767" t="s">
        <v>7543</v>
      </c>
      <c r="L6767" t="s">
        <v>53</v>
      </c>
      <c r="N6767" t="s">
        <v>12181</v>
      </c>
      <c r="P6767" t="s">
        <v>55</v>
      </c>
      <c r="R6767" t="s">
        <v>53</v>
      </c>
      <c r="T6767" t="s">
        <v>12182</v>
      </c>
      <c r="U6767" t="s">
        <v>58</v>
      </c>
      <c r="V6767">
        <v>1</v>
      </c>
      <c r="W6767">
        <v>1</v>
      </c>
      <c r="X6767">
        <v>2</v>
      </c>
      <c r="Y6767">
        <v>0</v>
      </c>
      <c r="Z6767">
        <v>2</v>
      </c>
      <c r="AA6767">
        <v>134</v>
      </c>
      <c r="AB6767">
        <v>134</v>
      </c>
      <c r="AC6767">
        <v>117.9</v>
      </c>
      <c r="AD6767">
        <v>0</v>
      </c>
      <c r="AE6767">
        <v>16.100000000000001</v>
      </c>
      <c r="AF6767">
        <v>0</v>
      </c>
      <c r="AG6767">
        <v>0</v>
      </c>
      <c r="AH6767">
        <v>0</v>
      </c>
      <c r="AI6767">
        <v>24.12</v>
      </c>
      <c r="AJ6767">
        <v>134</v>
      </c>
      <c r="AK6767">
        <v>0</v>
      </c>
      <c r="AL6767" t="s">
        <v>53</v>
      </c>
      <c r="AM6767" t="s">
        <v>53</v>
      </c>
      <c r="AN6767" t="s">
        <v>53</v>
      </c>
      <c r="AO6767" t="s">
        <v>53</v>
      </c>
      <c r="AP6767" t="s">
        <v>53</v>
      </c>
    </row>
    <row r="6768" spans="2:42" x14ac:dyDescent="0.2">
      <c r="B6768" t="s">
        <v>44</v>
      </c>
      <c r="C6768" t="str">
        <f>HYPERLINK("https://us2.cloudbeds.com/connect/8493803454333002#/reservations/9080486846970840?display=3DYN7G5BZY&amp;reservation_id=9080486846970840", "3DYN7G5BZY")</f>
        <v>3DYN7G5BZY</v>
      </c>
      <c r="D6768" t="s">
        <v>45</v>
      </c>
      <c r="E6768" t="s">
        <v>487</v>
      </c>
      <c r="F6768" t="s">
        <v>61</v>
      </c>
      <c r="G6768" t="s">
        <v>48</v>
      </c>
      <c r="H6768" t="s">
        <v>49</v>
      </c>
      <c r="I6768" t="s">
        <v>50</v>
      </c>
      <c r="J6768" t="s">
        <v>9858</v>
      </c>
      <c r="K6768" t="s">
        <v>8270</v>
      </c>
      <c r="L6768" t="s">
        <v>53</v>
      </c>
      <c r="N6768" t="s">
        <v>12183</v>
      </c>
      <c r="P6768" t="s">
        <v>55</v>
      </c>
      <c r="R6768" t="s">
        <v>53</v>
      </c>
      <c r="T6768" t="s">
        <v>12184</v>
      </c>
      <c r="U6768" t="s">
        <v>58</v>
      </c>
      <c r="V6768">
        <v>1</v>
      </c>
      <c r="W6768">
        <v>1</v>
      </c>
      <c r="X6768">
        <v>2</v>
      </c>
      <c r="Y6768">
        <v>0</v>
      </c>
      <c r="Z6768">
        <v>2</v>
      </c>
      <c r="AA6768">
        <v>100.93</v>
      </c>
      <c r="AB6768">
        <v>100.93</v>
      </c>
      <c r="AC6768">
        <v>88.8</v>
      </c>
      <c r="AD6768">
        <v>0</v>
      </c>
      <c r="AE6768">
        <v>12.13</v>
      </c>
      <c r="AF6768">
        <v>0</v>
      </c>
      <c r="AG6768">
        <v>0</v>
      </c>
      <c r="AH6768">
        <v>0</v>
      </c>
      <c r="AI6768">
        <v>18.170000000000002</v>
      </c>
      <c r="AJ6768">
        <v>100.93</v>
      </c>
      <c r="AK6768">
        <v>0</v>
      </c>
      <c r="AL6768" t="s">
        <v>53</v>
      </c>
      <c r="AM6768" t="s">
        <v>53</v>
      </c>
      <c r="AN6768" t="s">
        <v>53</v>
      </c>
      <c r="AO6768" t="s">
        <v>53</v>
      </c>
      <c r="AP6768" t="s">
        <v>53</v>
      </c>
    </row>
    <row r="6769" spans="2:42" x14ac:dyDescent="0.2">
      <c r="B6769" t="s">
        <v>44</v>
      </c>
      <c r="C6769" t="str">
        <f>HYPERLINK("https://us2.cloudbeds.com/connect/8493803454333002#/reservations/9080486846970895?display=3DYZE9S9CP&amp;reservation_id=9080486846970895", "3DYZE9S9CP")</f>
        <v>3DYZE9S9CP</v>
      </c>
      <c r="D6769" t="s">
        <v>45</v>
      </c>
      <c r="E6769" t="s">
        <v>185</v>
      </c>
      <c r="F6769" t="s">
        <v>47</v>
      </c>
      <c r="G6769" t="s">
        <v>48</v>
      </c>
      <c r="H6769" t="s">
        <v>49</v>
      </c>
      <c r="I6769" t="s">
        <v>50</v>
      </c>
      <c r="J6769" t="s">
        <v>10415</v>
      </c>
      <c r="K6769" t="s">
        <v>11495</v>
      </c>
      <c r="L6769" t="s">
        <v>53</v>
      </c>
      <c r="N6769" t="s">
        <v>12185</v>
      </c>
      <c r="P6769" t="s">
        <v>55</v>
      </c>
      <c r="R6769" t="s">
        <v>53</v>
      </c>
      <c r="T6769" t="s">
        <v>12186</v>
      </c>
      <c r="U6769" t="s">
        <v>58</v>
      </c>
      <c r="V6769">
        <v>2</v>
      </c>
      <c r="W6769">
        <v>1</v>
      </c>
      <c r="X6769">
        <v>2</v>
      </c>
      <c r="Y6769">
        <v>0</v>
      </c>
      <c r="Z6769">
        <v>2</v>
      </c>
      <c r="AA6769">
        <v>189.46</v>
      </c>
      <c r="AB6769">
        <v>189.46</v>
      </c>
      <c r="AC6769">
        <v>166.72</v>
      </c>
      <c r="AD6769">
        <v>0</v>
      </c>
      <c r="AE6769">
        <v>22.74</v>
      </c>
      <c r="AF6769">
        <v>0</v>
      </c>
      <c r="AG6769">
        <v>0</v>
      </c>
      <c r="AH6769">
        <v>0</v>
      </c>
      <c r="AI6769">
        <v>34.1</v>
      </c>
      <c r="AJ6769">
        <v>189.46</v>
      </c>
      <c r="AK6769">
        <v>0</v>
      </c>
      <c r="AL6769" t="s">
        <v>53</v>
      </c>
      <c r="AM6769" t="s">
        <v>53</v>
      </c>
      <c r="AN6769" t="s">
        <v>53</v>
      </c>
      <c r="AO6769" t="s">
        <v>53</v>
      </c>
      <c r="AP6769" t="s">
        <v>53</v>
      </c>
    </row>
    <row r="6770" spans="2:42" x14ac:dyDescent="0.2">
      <c r="B6770" t="s">
        <v>44</v>
      </c>
      <c r="C6770" t="str">
        <f>HYPERLINK("https://us2.cloudbeds.com/connect/8493803454333002#/reservations/9080486846972618?display=3DNCH71PF6&amp;reservation_id=9080486846972618", "3DNCH71PF6")</f>
        <v>3DNCH71PF6</v>
      </c>
      <c r="D6770" t="s">
        <v>45</v>
      </c>
      <c r="E6770" t="s">
        <v>406</v>
      </c>
      <c r="F6770" t="s">
        <v>61</v>
      </c>
      <c r="G6770" t="s">
        <v>48</v>
      </c>
      <c r="H6770" t="s">
        <v>49</v>
      </c>
      <c r="I6770" t="s">
        <v>8964</v>
      </c>
      <c r="J6770" t="s">
        <v>9858</v>
      </c>
      <c r="K6770" t="s">
        <v>8270</v>
      </c>
      <c r="L6770" t="s">
        <v>53</v>
      </c>
      <c r="N6770" t="s">
        <v>12187</v>
      </c>
      <c r="P6770" t="s">
        <v>55</v>
      </c>
      <c r="R6770" t="s">
        <v>53</v>
      </c>
      <c r="T6770" t="s">
        <v>12188</v>
      </c>
      <c r="U6770" t="s">
        <v>55</v>
      </c>
      <c r="V6770">
        <v>1</v>
      </c>
      <c r="W6770">
        <v>1</v>
      </c>
      <c r="X6770">
        <v>2</v>
      </c>
      <c r="Y6770">
        <v>0</v>
      </c>
      <c r="Z6770">
        <v>2</v>
      </c>
      <c r="AA6770">
        <v>0</v>
      </c>
      <c r="AB6770">
        <v>0</v>
      </c>
      <c r="AC6770">
        <v>114</v>
      </c>
      <c r="AD6770">
        <v>0</v>
      </c>
      <c r="AE6770">
        <v>0</v>
      </c>
      <c r="AF6770">
        <v>0</v>
      </c>
      <c r="AG6770">
        <v>0</v>
      </c>
      <c r="AH6770">
        <v>0</v>
      </c>
      <c r="AI6770">
        <v>17.100000000000001</v>
      </c>
      <c r="AJ6770">
        <v>114</v>
      </c>
      <c r="AK6770">
        <v>114</v>
      </c>
      <c r="AL6770" t="s">
        <v>53</v>
      </c>
      <c r="AM6770" t="s">
        <v>53</v>
      </c>
      <c r="AN6770" t="s">
        <v>53</v>
      </c>
      <c r="AO6770" t="s">
        <v>53</v>
      </c>
      <c r="AP6770" t="s">
        <v>53</v>
      </c>
    </row>
    <row r="6771" spans="2:42" x14ac:dyDescent="0.2">
      <c r="B6771" t="s">
        <v>44</v>
      </c>
      <c r="C6771" t="str">
        <f>HYPERLINK("https://us2.cloudbeds.com/connect/8493803454333002#/reservations/9080486846973500?display=3DZFMMS1WX&amp;reservation_id=9080486846973500", "3DZFMMS1WX")</f>
        <v>3DZFMMS1WX</v>
      </c>
      <c r="D6771" t="s">
        <v>45</v>
      </c>
      <c r="E6771" t="s">
        <v>128</v>
      </c>
      <c r="F6771" t="s">
        <v>86</v>
      </c>
      <c r="G6771" t="s">
        <v>48</v>
      </c>
      <c r="H6771" t="s">
        <v>49</v>
      </c>
      <c r="I6771" t="s">
        <v>50</v>
      </c>
      <c r="J6771" t="s">
        <v>9858</v>
      </c>
      <c r="K6771" t="s">
        <v>8270</v>
      </c>
      <c r="L6771" t="s">
        <v>53</v>
      </c>
      <c r="N6771" t="s">
        <v>12189</v>
      </c>
      <c r="P6771" t="s">
        <v>55</v>
      </c>
      <c r="R6771" t="s">
        <v>53</v>
      </c>
      <c r="T6771" t="s">
        <v>12190</v>
      </c>
      <c r="U6771" t="s">
        <v>58</v>
      </c>
      <c r="V6771">
        <v>1</v>
      </c>
      <c r="W6771">
        <v>1</v>
      </c>
      <c r="X6771">
        <v>2</v>
      </c>
      <c r="Y6771">
        <v>0</v>
      </c>
      <c r="Z6771">
        <v>2</v>
      </c>
      <c r="AA6771">
        <v>131.94999999999999</v>
      </c>
      <c r="AB6771">
        <v>131.94999999999999</v>
      </c>
      <c r="AC6771">
        <v>116.1</v>
      </c>
      <c r="AD6771">
        <v>0</v>
      </c>
      <c r="AE6771">
        <v>15.85</v>
      </c>
      <c r="AF6771">
        <v>0</v>
      </c>
      <c r="AG6771">
        <v>0</v>
      </c>
      <c r="AH6771">
        <v>0</v>
      </c>
      <c r="AI6771">
        <v>23.75</v>
      </c>
      <c r="AJ6771">
        <v>131.94999999999999</v>
      </c>
      <c r="AK6771">
        <v>0</v>
      </c>
      <c r="AL6771" t="s">
        <v>53</v>
      </c>
      <c r="AM6771" t="s">
        <v>53</v>
      </c>
      <c r="AN6771" t="s">
        <v>53</v>
      </c>
      <c r="AO6771" t="s">
        <v>53</v>
      </c>
      <c r="AP6771" t="s">
        <v>53</v>
      </c>
    </row>
    <row r="6772" spans="2:42" x14ac:dyDescent="0.2">
      <c r="B6772" t="s">
        <v>44</v>
      </c>
      <c r="C6772" t="str">
        <f>HYPERLINK("https://us2.cloudbeds.com/connect/8493803454333002#/reservations/158561104646363?display=3DZFSZDTFM&amp;reservation_id=158561104646363", "3DZFSZDTFM")</f>
        <v>3DZFSZDTFM</v>
      </c>
      <c r="D6772" t="s">
        <v>45</v>
      </c>
      <c r="E6772" t="s">
        <v>85</v>
      </c>
      <c r="F6772" t="s">
        <v>86</v>
      </c>
      <c r="G6772" t="s">
        <v>48</v>
      </c>
      <c r="H6772" t="s">
        <v>3957</v>
      </c>
      <c r="I6772" t="s">
        <v>3958</v>
      </c>
      <c r="J6772" t="s">
        <v>9858</v>
      </c>
      <c r="K6772" t="s">
        <v>8270</v>
      </c>
      <c r="L6772" t="s">
        <v>53</v>
      </c>
      <c r="P6772" t="s">
        <v>55</v>
      </c>
      <c r="R6772" t="s">
        <v>56</v>
      </c>
      <c r="T6772" t="s">
        <v>12191</v>
      </c>
      <c r="U6772" t="s">
        <v>58</v>
      </c>
      <c r="V6772">
        <v>1</v>
      </c>
      <c r="W6772">
        <v>1</v>
      </c>
      <c r="X6772">
        <v>1</v>
      </c>
      <c r="Y6772">
        <v>0</v>
      </c>
      <c r="Z6772">
        <v>1</v>
      </c>
      <c r="AA6772">
        <v>146.61000000000001</v>
      </c>
      <c r="AB6772">
        <v>146.61000000000001</v>
      </c>
      <c r="AC6772">
        <v>129</v>
      </c>
      <c r="AD6772">
        <v>0</v>
      </c>
      <c r="AE6772">
        <v>17.61</v>
      </c>
      <c r="AF6772">
        <v>0</v>
      </c>
      <c r="AG6772">
        <v>0</v>
      </c>
      <c r="AH6772">
        <v>0</v>
      </c>
      <c r="AI6772">
        <v>0</v>
      </c>
      <c r="AJ6772">
        <v>146.61000000000001</v>
      </c>
      <c r="AK6772">
        <v>0</v>
      </c>
      <c r="AL6772" t="s">
        <v>53</v>
      </c>
      <c r="AM6772" t="s">
        <v>53</v>
      </c>
      <c r="AN6772" t="s">
        <v>53</v>
      </c>
      <c r="AO6772" t="s">
        <v>53</v>
      </c>
      <c r="AP6772" t="s">
        <v>53</v>
      </c>
    </row>
    <row r="6773" spans="2:42" x14ac:dyDescent="0.2">
      <c r="B6773" t="s">
        <v>44</v>
      </c>
      <c r="C6773" t="str">
        <f>HYPERLINK("https://us2.cloudbeds.com/connect/8493803454333002#/reservations/9080486846978677?display=3DV2XD80J4&amp;reservation_id=9080486846978677", "3DV2XD80J4")</f>
        <v>3DV2XD80J4</v>
      </c>
      <c r="D6773" t="s">
        <v>45</v>
      </c>
      <c r="E6773" t="s">
        <v>46</v>
      </c>
      <c r="F6773" t="s">
        <v>47</v>
      </c>
      <c r="G6773" t="s">
        <v>48</v>
      </c>
      <c r="H6773" t="s">
        <v>49</v>
      </c>
      <c r="I6773" t="s">
        <v>62</v>
      </c>
      <c r="J6773" t="s">
        <v>7543</v>
      </c>
      <c r="K6773" t="s">
        <v>12070</v>
      </c>
      <c r="L6773" t="s">
        <v>53</v>
      </c>
      <c r="N6773" t="s">
        <v>12192</v>
      </c>
      <c r="P6773" t="s">
        <v>55</v>
      </c>
      <c r="R6773" t="s">
        <v>56</v>
      </c>
      <c r="T6773" t="s">
        <v>12193</v>
      </c>
      <c r="U6773" t="s">
        <v>55</v>
      </c>
      <c r="V6773">
        <v>3</v>
      </c>
      <c r="W6773">
        <v>1</v>
      </c>
      <c r="X6773">
        <v>2</v>
      </c>
      <c r="Y6773">
        <v>0</v>
      </c>
      <c r="Z6773">
        <v>2</v>
      </c>
      <c r="AA6773">
        <v>359</v>
      </c>
      <c r="AB6773">
        <v>359</v>
      </c>
      <c r="AC6773">
        <v>359</v>
      </c>
      <c r="AD6773">
        <v>0</v>
      </c>
      <c r="AE6773">
        <v>0</v>
      </c>
      <c r="AF6773">
        <v>0</v>
      </c>
      <c r="AG6773">
        <v>0</v>
      </c>
      <c r="AH6773">
        <v>0</v>
      </c>
      <c r="AI6773">
        <v>64.62</v>
      </c>
      <c r="AJ6773">
        <v>359</v>
      </c>
      <c r="AK6773">
        <v>0</v>
      </c>
      <c r="AL6773" t="s">
        <v>53</v>
      </c>
      <c r="AM6773" t="s">
        <v>53</v>
      </c>
      <c r="AN6773" t="s">
        <v>53</v>
      </c>
      <c r="AO6773" t="s">
        <v>53</v>
      </c>
      <c r="AP6773" t="s">
        <v>53</v>
      </c>
    </row>
    <row r="6774" spans="2:42" x14ac:dyDescent="0.2">
      <c r="B6774" t="s">
        <v>44</v>
      </c>
      <c r="C6774" t="str">
        <f>HYPERLINK("https://us2.cloudbeds.com/connect/8493803454333002#/reservations/158943593484483?display=3E0F174Y7Q&amp;reservation_id=158943593484483", "3E0F174Y7Q")</f>
        <v>3E0F174Y7Q</v>
      </c>
      <c r="D6774" t="s">
        <v>45</v>
      </c>
      <c r="E6774" t="s">
        <v>110</v>
      </c>
      <c r="F6774" t="s">
        <v>47</v>
      </c>
      <c r="G6774" t="s">
        <v>4520</v>
      </c>
      <c r="H6774" t="s">
        <v>3957</v>
      </c>
      <c r="I6774" t="s">
        <v>3958</v>
      </c>
      <c r="J6774" t="s">
        <v>8270</v>
      </c>
      <c r="K6774" t="s">
        <v>7542</v>
      </c>
      <c r="L6774" t="s">
        <v>53</v>
      </c>
      <c r="P6774" t="s">
        <v>55</v>
      </c>
      <c r="R6774" t="s">
        <v>56</v>
      </c>
      <c r="T6774" t="s">
        <v>12194</v>
      </c>
      <c r="U6774" t="s">
        <v>58</v>
      </c>
      <c r="V6774">
        <v>1</v>
      </c>
      <c r="W6774">
        <v>1</v>
      </c>
      <c r="X6774">
        <v>1</v>
      </c>
      <c r="Y6774">
        <v>0</v>
      </c>
      <c r="Z6774">
        <v>1</v>
      </c>
      <c r="AA6774">
        <v>116.61</v>
      </c>
      <c r="AB6774">
        <v>116.61</v>
      </c>
      <c r="AC6774">
        <v>102.6</v>
      </c>
      <c r="AD6774">
        <v>0</v>
      </c>
      <c r="AE6774">
        <v>14.01</v>
      </c>
      <c r="AF6774">
        <v>0</v>
      </c>
      <c r="AG6774">
        <v>0</v>
      </c>
      <c r="AH6774">
        <v>0</v>
      </c>
      <c r="AI6774">
        <v>0</v>
      </c>
      <c r="AJ6774">
        <v>116.61</v>
      </c>
      <c r="AK6774">
        <v>0</v>
      </c>
      <c r="AL6774" t="s">
        <v>53</v>
      </c>
      <c r="AM6774" t="s">
        <v>53</v>
      </c>
      <c r="AN6774" t="s">
        <v>53</v>
      </c>
      <c r="AO6774" t="s">
        <v>53</v>
      </c>
      <c r="AP6774" t="s">
        <v>53</v>
      </c>
    </row>
    <row r="6775" spans="2:42" x14ac:dyDescent="0.2">
      <c r="B6775" t="s">
        <v>44</v>
      </c>
      <c r="C6775" t="str">
        <f>HYPERLINK("https://us2.cloudbeds.com/connect/8493803454333002#/reservations/159113264795883?display=3E4EDNFWTN&amp;reservation_id=159113264795883", "3E4EDNFWTN")</f>
        <v>3E4EDNFWTN</v>
      </c>
      <c r="D6775" t="s">
        <v>45</v>
      </c>
      <c r="E6775" t="s">
        <v>113</v>
      </c>
      <c r="F6775" t="s">
        <v>61</v>
      </c>
      <c r="G6775" t="s">
        <v>48</v>
      </c>
      <c r="H6775" t="s">
        <v>3957</v>
      </c>
      <c r="I6775" t="s">
        <v>3958</v>
      </c>
      <c r="J6775" t="s">
        <v>7542</v>
      </c>
      <c r="K6775" t="s">
        <v>7543</v>
      </c>
      <c r="L6775" t="s">
        <v>53</v>
      </c>
      <c r="P6775" t="s">
        <v>55</v>
      </c>
      <c r="R6775" t="s">
        <v>56</v>
      </c>
      <c r="T6775" t="s">
        <v>12195</v>
      </c>
      <c r="U6775" t="s">
        <v>58</v>
      </c>
      <c r="V6775">
        <v>1</v>
      </c>
      <c r="W6775">
        <v>1</v>
      </c>
      <c r="X6775">
        <v>1</v>
      </c>
      <c r="Y6775">
        <v>0</v>
      </c>
      <c r="Z6775">
        <v>1</v>
      </c>
      <c r="AA6775">
        <v>127.29</v>
      </c>
      <c r="AB6775">
        <v>127.29</v>
      </c>
      <c r="AC6775">
        <v>112</v>
      </c>
      <c r="AD6775">
        <v>0</v>
      </c>
      <c r="AE6775">
        <v>15.29</v>
      </c>
      <c r="AF6775">
        <v>0</v>
      </c>
      <c r="AG6775">
        <v>0</v>
      </c>
      <c r="AH6775">
        <v>0</v>
      </c>
      <c r="AI6775">
        <v>0</v>
      </c>
      <c r="AJ6775">
        <v>127.29</v>
      </c>
      <c r="AK6775">
        <v>0</v>
      </c>
      <c r="AL6775" t="s">
        <v>53</v>
      </c>
      <c r="AM6775" t="s">
        <v>53</v>
      </c>
      <c r="AN6775" t="s">
        <v>53</v>
      </c>
      <c r="AO6775" t="s">
        <v>53</v>
      </c>
      <c r="AP6775" t="s">
        <v>53</v>
      </c>
    </row>
    <row r="6776" spans="2:42" x14ac:dyDescent="0.2">
      <c r="B6776" t="s">
        <v>44</v>
      </c>
      <c r="C6776" t="str">
        <f>HYPERLINK("https://us2.cloudbeds.com/connect/8493803454333002#/reservations/159204541771911?display=3E6J31YDE8&amp;reservation_id=159204541771911", "3E6J31YDE8")</f>
        <v>3E6J31YDE8</v>
      </c>
      <c r="D6776" t="s">
        <v>45</v>
      </c>
      <c r="E6776" t="s">
        <v>12196</v>
      </c>
      <c r="F6776" t="s">
        <v>511</v>
      </c>
      <c r="G6776" t="s">
        <v>7801</v>
      </c>
      <c r="H6776" t="s">
        <v>3957</v>
      </c>
      <c r="I6776" t="s">
        <v>3958</v>
      </c>
      <c r="J6776" t="s">
        <v>7542</v>
      </c>
      <c r="K6776" t="s">
        <v>11495</v>
      </c>
      <c r="L6776" t="s">
        <v>53</v>
      </c>
      <c r="P6776" t="s">
        <v>55</v>
      </c>
      <c r="R6776" t="s">
        <v>56</v>
      </c>
      <c r="T6776" t="s">
        <v>12197</v>
      </c>
      <c r="U6776" t="s">
        <v>58</v>
      </c>
      <c r="V6776">
        <v>9</v>
      </c>
      <c r="W6776">
        <v>2</v>
      </c>
      <c r="X6776">
        <v>2</v>
      </c>
      <c r="Y6776">
        <v>0</v>
      </c>
      <c r="Z6776">
        <v>2</v>
      </c>
      <c r="AA6776">
        <v>964.55</v>
      </c>
      <c r="AB6776">
        <v>964.55</v>
      </c>
      <c r="AC6776">
        <v>848.7</v>
      </c>
      <c r="AD6776">
        <v>0</v>
      </c>
      <c r="AE6776">
        <v>115.85</v>
      </c>
      <c r="AF6776">
        <v>0</v>
      </c>
      <c r="AG6776">
        <v>0</v>
      </c>
      <c r="AH6776">
        <v>0</v>
      </c>
      <c r="AI6776">
        <v>0</v>
      </c>
      <c r="AJ6776">
        <v>964.55</v>
      </c>
      <c r="AK6776">
        <v>0</v>
      </c>
      <c r="AL6776" t="s">
        <v>53</v>
      </c>
      <c r="AM6776" t="s">
        <v>53</v>
      </c>
      <c r="AN6776" t="s">
        <v>53</v>
      </c>
      <c r="AO6776" t="s">
        <v>53</v>
      </c>
      <c r="AP6776" t="s">
        <v>53</v>
      </c>
    </row>
    <row r="6777" spans="2:42" x14ac:dyDescent="0.2">
      <c r="B6777" t="s">
        <v>44</v>
      </c>
      <c r="C6777" t="str">
        <f>HYPERLINK("https://us2.cloudbeds.com/connect/8493803454333002#/reservations/9080486846986465?display=3E7SDCNCE9&amp;reservation_id=9080486846986465", "3E7SDCNCE9")</f>
        <v>3E7SDCNCE9</v>
      </c>
      <c r="D6777" t="s">
        <v>45</v>
      </c>
      <c r="E6777" t="s">
        <v>105</v>
      </c>
      <c r="F6777" t="s">
        <v>47</v>
      </c>
      <c r="G6777" t="s">
        <v>48</v>
      </c>
      <c r="H6777" t="s">
        <v>49</v>
      </c>
      <c r="I6777" t="s">
        <v>62</v>
      </c>
      <c r="J6777" t="s">
        <v>7542</v>
      </c>
      <c r="K6777" t="s">
        <v>7543</v>
      </c>
      <c r="L6777" t="s">
        <v>53</v>
      </c>
      <c r="N6777" t="s">
        <v>12198</v>
      </c>
      <c r="P6777" t="s">
        <v>55</v>
      </c>
      <c r="R6777" t="s">
        <v>56</v>
      </c>
      <c r="T6777" t="s">
        <v>12199</v>
      </c>
      <c r="U6777" t="s">
        <v>55</v>
      </c>
      <c r="V6777">
        <v>1</v>
      </c>
      <c r="W6777">
        <v>1</v>
      </c>
      <c r="X6777">
        <v>2</v>
      </c>
      <c r="Y6777">
        <v>0</v>
      </c>
      <c r="Z6777">
        <v>2</v>
      </c>
      <c r="AA6777">
        <v>107</v>
      </c>
      <c r="AB6777">
        <v>107</v>
      </c>
      <c r="AC6777">
        <v>107</v>
      </c>
      <c r="AD6777">
        <v>0</v>
      </c>
      <c r="AE6777">
        <v>0</v>
      </c>
      <c r="AF6777">
        <v>0</v>
      </c>
      <c r="AG6777">
        <v>0</v>
      </c>
      <c r="AH6777">
        <v>0</v>
      </c>
      <c r="AI6777">
        <v>19.260000000000002</v>
      </c>
      <c r="AJ6777">
        <v>107</v>
      </c>
      <c r="AK6777">
        <v>0</v>
      </c>
      <c r="AL6777" t="s">
        <v>53</v>
      </c>
      <c r="AM6777" t="s">
        <v>53</v>
      </c>
      <c r="AN6777" t="s">
        <v>53</v>
      </c>
      <c r="AO6777" t="s">
        <v>53</v>
      </c>
      <c r="AP6777" t="s">
        <v>53</v>
      </c>
    </row>
    <row r="6778" spans="2:42" x14ac:dyDescent="0.2">
      <c r="B6778" t="s">
        <v>44</v>
      </c>
      <c r="C6778" t="str">
        <f>HYPERLINK("https://us2.cloudbeds.com/connect/8493803454333002#/reservations/159264208486653?display=3E7W9M6N35&amp;reservation_id=159264208486653", "3E7W9M6N35")</f>
        <v>3E7W9M6N35</v>
      </c>
      <c r="D6778" t="s">
        <v>45</v>
      </c>
      <c r="E6778" t="s">
        <v>78</v>
      </c>
      <c r="F6778" t="s">
        <v>61</v>
      </c>
      <c r="G6778" t="s">
        <v>48</v>
      </c>
      <c r="H6778" t="s">
        <v>3957</v>
      </c>
      <c r="I6778" t="s">
        <v>3958</v>
      </c>
      <c r="J6778" t="s">
        <v>7542</v>
      </c>
      <c r="K6778" t="s">
        <v>7543</v>
      </c>
      <c r="L6778" t="s">
        <v>53</v>
      </c>
      <c r="P6778" t="s">
        <v>55</v>
      </c>
      <c r="R6778" t="s">
        <v>56</v>
      </c>
      <c r="T6778" t="s">
        <v>12200</v>
      </c>
      <c r="U6778" t="s">
        <v>58</v>
      </c>
      <c r="V6778">
        <v>1</v>
      </c>
      <c r="W6778">
        <v>1</v>
      </c>
      <c r="X6778">
        <v>1</v>
      </c>
      <c r="Y6778">
        <v>0</v>
      </c>
      <c r="Z6778">
        <v>1</v>
      </c>
      <c r="AA6778">
        <v>127.29</v>
      </c>
      <c r="AB6778">
        <v>127.29</v>
      </c>
      <c r="AC6778">
        <v>112</v>
      </c>
      <c r="AD6778">
        <v>0</v>
      </c>
      <c r="AE6778">
        <v>15.29</v>
      </c>
      <c r="AF6778">
        <v>0</v>
      </c>
      <c r="AG6778">
        <v>0</v>
      </c>
      <c r="AH6778">
        <v>0</v>
      </c>
      <c r="AI6778">
        <v>0</v>
      </c>
      <c r="AJ6778">
        <v>127.29</v>
      </c>
      <c r="AK6778">
        <v>0</v>
      </c>
      <c r="AL6778" t="s">
        <v>53</v>
      </c>
      <c r="AM6778" t="s">
        <v>53</v>
      </c>
      <c r="AN6778" t="s">
        <v>53</v>
      </c>
      <c r="AO6778" t="s">
        <v>53</v>
      </c>
      <c r="AP6778" t="s">
        <v>53</v>
      </c>
    </row>
    <row r="6779" spans="2:42" x14ac:dyDescent="0.2">
      <c r="B6779" t="s">
        <v>44</v>
      </c>
      <c r="C6779" t="str">
        <f>HYPERLINK("https://us2.cloudbeds.com/connect/8493803454333002#/reservations/9080486846986908?display=3E8XEYTF4U&amp;reservation_id=9080486846986908", "3E8XEYTF4U")</f>
        <v>3E8XEYTF4U</v>
      </c>
      <c r="D6779" t="s">
        <v>45</v>
      </c>
      <c r="E6779" t="s">
        <v>185</v>
      </c>
      <c r="F6779" t="s">
        <v>47</v>
      </c>
      <c r="G6779" t="s">
        <v>48</v>
      </c>
      <c r="H6779" t="s">
        <v>49</v>
      </c>
      <c r="I6779" t="s">
        <v>50</v>
      </c>
      <c r="J6779" t="s">
        <v>7542</v>
      </c>
      <c r="K6779" t="s">
        <v>7543</v>
      </c>
      <c r="L6779" t="s">
        <v>53</v>
      </c>
      <c r="N6779" t="s">
        <v>12201</v>
      </c>
      <c r="P6779" t="s">
        <v>55</v>
      </c>
      <c r="R6779" t="s">
        <v>53</v>
      </c>
      <c r="T6779" t="s">
        <v>12202</v>
      </c>
      <c r="U6779" t="s">
        <v>58</v>
      </c>
      <c r="V6779">
        <v>1</v>
      </c>
      <c r="W6779">
        <v>1</v>
      </c>
      <c r="X6779">
        <v>2</v>
      </c>
      <c r="Y6779">
        <v>0</v>
      </c>
      <c r="Z6779">
        <v>2</v>
      </c>
      <c r="AA6779">
        <v>103.36</v>
      </c>
      <c r="AB6779">
        <v>103.36</v>
      </c>
      <c r="AC6779">
        <v>90.95</v>
      </c>
      <c r="AD6779">
        <v>0</v>
      </c>
      <c r="AE6779">
        <v>12.41</v>
      </c>
      <c r="AF6779">
        <v>0</v>
      </c>
      <c r="AG6779">
        <v>0</v>
      </c>
      <c r="AH6779">
        <v>0</v>
      </c>
      <c r="AI6779">
        <v>18.600000000000001</v>
      </c>
      <c r="AJ6779">
        <v>103.36</v>
      </c>
      <c r="AK6779">
        <v>0</v>
      </c>
      <c r="AL6779" t="s">
        <v>53</v>
      </c>
      <c r="AM6779" t="s">
        <v>53</v>
      </c>
      <c r="AN6779" t="s">
        <v>53</v>
      </c>
      <c r="AO6779" t="s">
        <v>53</v>
      </c>
      <c r="AP6779" t="s">
        <v>53</v>
      </c>
    </row>
    <row r="6780" spans="2:42" x14ac:dyDescent="0.2">
      <c r="B6780" t="s">
        <v>44</v>
      </c>
      <c r="C6780" t="str">
        <f>HYPERLINK("https://us2.cloudbeds.com/connect/8493803454333002#/reservations/9080486846991014?display=3EE8BW2AJA&amp;reservation_id=9080486846991014", "3EE8BW2AJA")</f>
        <v>3EE8BW2AJA</v>
      </c>
      <c r="D6780" t="s">
        <v>45</v>
      </c>
      <c r="E6780" t="s">
        <v>305</v>
      </c>
      <c r="F6780" t="s">
        <v>61</v>
      </c>
      <c r="G6780" t="s">
        <v>48</v>
      </c>
      <c r="H6780" t="s">
        <v>49</v>
      </c>
      <c r="I6780" t="s">
        <v>8964</v>
      </c>
      <c r="J6780" t="s">
        <v>9659</v>
      </c>
      <c r="K6780" t="s">
        <v>10590</v>
      </c>
      <c r="L6780" t="s">
        <v>53</v>
      </c>
      <c r="N6780" t="s">
        <v>12203</v>
      </c>
      <c r="P6780" t="s">
        <v>55</v>
      </c>
      <c r="R6780" t="s">
        <v>53</v>
      </c>
      <c r="T6780" t="s">
        <v>12204</v>
      </c>
      <c r="U6780" t="s">
        <v>55</v>
      </c>
      <c r="V6780">
        <v>3</v>
      </c>
      <c r="W6780">
        <v>1</v>
      </c>
      <c r="X6780">
        <v>2</v>
      </c>
      <c r="Y6780">
        <v>0</v>
      </c>
      <c r="Z6780">
        <v>2</v>
      </c>
      <c r="AA6780">
        <v>0</v>
      </c>
      <c r="AB6780">
        <v>0</v>
      </c>
      <c r="AC6780">
        <v>292</v>
      </c>
      <c r="AD6780">
        <v>0</v>
      </c>
      <c r="AE6780">
        <v>0</v>
      </c>
      <c r="AF6780">
        <v>0</v>
      </c>
      <c r="AG6780">
        <v>0</v>
      </c>
      <c r="AH6780">
        <v>0</v>
      </c>
      <c r="AI6780">
        <v>43.8</v>
      </c>
      <c r="AJ6780">
        <v>292</v>
      </c>
      <c r="AK6780">
        <v>292</v>
      </c>
      <c r="AL6780" t="s">
        <v>53</v>
      </c>
      <c r="AM6780" t="s">
        <v>53</v>
      </c>
      <c r="AN6780" t="s">
        <v>53</v>
      </c>
      <c r="AO6780" t="s">
        <v>53</v>
      </c>
      <c r="AP6780" t="s">
        <v>53</v>
      </c>
    </row>
    <row r="6781" spans="2:42" x14ac:dyDescent="0.2">
      <c r="B6781" t="s">
        <v>44</v>
      </c>
      <c r="C6781" t="str">
        <f>HYPERLINK("https://us2.cloudbeds.com/connect/8493803454333002#/reservations/9080486846991175?display=3EEFHF3G05&amp;reservation_id=9080486846991175", "3EEFHF3G05")</f>
        <v>3EEFHF3G05</v>
      </c>
      <c r="D6781" t="s">
        <v>45</v>
      </c>
      <c r="E6781" t="s">
        <v>138</v>
      </c>
      <c r="F6781" t="s">
        <v>70</v>
      </c>
      <c r="G6781" t="s">
        <v>48</v>
      </c>
      <c r="H6781" t="s">
        <v>49</v>
      </c>
      <c r="I6781" t="s">
        <v>62</v>
      </c>
      <c r="J6781" t="s">
        <v>10779</v>
      </c>
      <c r="K6781" t="s">
        <v>9659</v>
      </c>
      <c r="L6781" t="s">
        <v>53</v>
      </c>
      <c r="N6781" t="s">
        <v>12205</v>
      </c>
      <c r="P6781" t="s">
        <v>55</v>
      </c>
      <c r="R6781" t="s">
        <v>56</v>
      </c>
      <c r="T6781" t="s">
        <v>12206</v>
      </c>
      <c r="U6781" t="s">
        <v>55</v>
      </c>
      <c r="V6781">
        <v>1</v>
      </c>
      <c r="W6781">
        <v>1</v>
      </c>
      <c r="X6781">
        <v>2</v>
      </c>
      <c r="Y6781">
        <v>0</v>
      </c>
      <c r="Z6781">
        <v>2</v>
      </c>
      <c r="AA6781">
        <v>66.5</v>
      </c>
      <c r="AB6781">
        <v>66.5</v>
      </c>
      <c r="AC6781">
        <v>66.5</v>
      </c>
      <c r="AD6781">
        <v>0</v>
      </c>
      <c r="AE6781">
        <v>0</v>
      </c>
      <c r="AF6781">
        <v>0</v>
      </c>
      <c r="AG6781">
        <v>0</v>
      </c>
      <c r="AH6781">
        <v>0</v>
      </c>
      <c r="AI6781">
        <v>11.97</v>
      </c>
      <c r="AJ6781">
        <v>66.5</v>
      </c>
      <c r="AK6781">
        <v>0</v>
      </c>
      <c r="AL6781" t="s">
        <v>53</v>
      </c>
      <c r="AM6781" t="s">
        <v>53</v>
      </c>
      <c r="AN6781" t="s">
        <v>53</v>
      </c>
      <c r="AO6781" t="s">
        <v>53</v>
      </c>
      <c r="AP6781" t="s">
        <v>53</v>
      </c>
    </row>
    <row r="6782" spans="2:42" x14ac:dyDescent="0.2">
      <c r="B6782" t="s">
        <v>44</v>
      </c>
      <c r="C6782" t="str">
        <f>HYPERLINK("https://us2.cloudbeds.com/connect/8493803454333002#/reservations/9080486846991283?display=3EEJYK2MYT&amp;reservation_id=9080486846991283", "3EEJYK2MYT")</f>
        <v>3EEJYK2MYT</v>
      </c>
      <c r="D6782" t="s">
        <v>45</v>
      </c>
      <c r="E6782" t="s">
        <v>213</v>
      </c>
      <c r="F6782" t="s">
        <v>86</v>
      </c>
      <c r="G6782" t="s">
        <v>48</v>
      </c>
      <c r="H6782" t="s">
        <v>49</v>
      </c>
      <c r="I6782" t="s">
        <v>62</v>
      </c>
      <c r="J6782" t="s">
        <v>11998</v>
      </c>
      <c r="K6782" t="s">
        <v>11887</v>
      </c>
      <c r="L6782" t="s">
        <v>53</v>
      </c>
      <c r="N6782" t="s">
        <v>12207</v>
      </c>
      <c r="P6782" t="s">
        <v>55</v>
      </c>
      <c r="R6782" t="s">
        <v>56</v>
      </c>
      <c r="T6782" t="s">
        <v>12208</v>
      </c>
      <c r="U6782" t="s">
        <v>55</v>
      </c>
      <c r="V6782">
        <v>2</v>
      </c>
      <c r="W6782">
        <v>1</v>
      </c>
      <c r="X6782">
        <v>4</v>
      </c>
      <c r="Y6782">
        <v>0</v>
      </c>
      <c r="Z6782">
        <v>4</v>
      </c>
      <c r="AA6782">
        <v>301.14999999999998</v>
      </c>
      <c r="AB6782">
        <v>301.14999999999998</v>
      </c>
      <c r="AC6782">
        <v>301.14999999999998</v>
      </c>
      <c r="AD6782">
        <v>0</v>
      </c>
      <c r="AE6782">
        <v>0</v>
      </c>
      <c r="AF6782">
        <v>0</v>
      </c>
      <c r="AG6782">
        <v>0</v>
      </c>
      <c r="AH6782">
        <v>0</v>
      </c>
      <c r="AI6782">
        <v>54.21</v>
      </c>
      <c r="AJ6782">
        <v>301.14999999999998</v>
      </c>
      <c r="AK6782">
        <v>0</v>
      </c>
      <c r="AL6782" t="s">
        <v>53</v>
      </c>
      <c r="AM6782" t="s">
        <v>53</v>
      </c>
      <c r="AN6782" t="s">
        <v>53</v>
      </c>
      <c r="AO6782" t="s">
        <v>53</v>
      </c>
      <c r="AP6782" t="s">
        <v>53</v>
      </c>
    </row>
    <row r="6783" spans="2:42" x14ac:dyDescent="0.2">
      <c r="B6783" t="s">
        <v>44</v>
      </c>
      <c r="C6783" t="str">
        <f>HYPERLINK("https://us2.cloudbeds.com/connect/8493803454333002#/reservations/159552295080073?display=3EEZBVERFF&amp;reservation_id=159552295080073", "3EEZBVERFF")</f>
        <v>3EEZBVERFF</v>
      </c>
      <c r="D6783" t="s">
        <v>45</v>
      </c>
      <c r="E6783" t="s">
        <v>179</v>
      </c>
      <c r="F6783" t="s">
        <v>47</v>
      </c>
      <c r="G6783" t="s">
        <v>48</v>
      </c>
      <c r="H6783" t="s">
        <v>3957</v>
      </c>
      <c r="I6783" t="s">
        <v>3958</v>
      </c>
      <c r="J6783" t="s">
        <v>10192</v>
      </c>
      <c r="K6783" t="s">
        <v>10193</v>
      </c>
      <c r="L6783" t="s">
        <v>53</v>
      </c>
      <c r="P6783" t="s">
        <v>55</v>
      </c>
      <c r="R6783" t="s">
        <v>56</v>
      </c>
      <c r="T6783" t="s">
        <v>12209</v>
      </c>
      <c r="U6783" t="s">
        <v>58</v>
      </c>
      <c r="V6783">
        <v>2</v>
      </c>
      <c r="W6783">
        <v>1</v>
      </c>
      <c r="X6783">
        <v>1</v>
      </c>
      <c r="Y6783">
        <v>0</v>
      </c>
      <c r="Z6783">
        <v>1</v>
      </c>
      <c r="AA6783">
        <v>262.54000000000002</v>
      </c>
      <c r="AB6783">
        <v>262.54000000000002</v>
      </c>
      <c r="AC6783">
        <v>195.35</v>
      </c>
      <c r="AD6783">
        <v>0</v>
      </c>
      <c r="AE6783">
        <v>31.54</v>
      </c>
      <c r="AF6783">
        <v>0</v>
      </c>
      <c r="AG6783">
        <v>0</v>
      </c>
      <c r="AH6783">
        <v>0</v>
      </c>
      <c r="AI6783">
        <v>0</v>
      </c>
      <c r="AJ6783">
        <v>226.89</v>
      </c>
      <c r="AK6783">
        <v>0</v>
      </c>
      <c r="AL6783" t="s">
        <v>53</v>
      </c>
      <c r="AM6783" t="s">
        <v>53</v>
      </c>
      <c r="AN6783" t="s">
        <v>53</v>
      </c>
      <c r="AO6783" t="s">
        <v>53</v>
      </c>
      <c r="AP6783" t="s">
        <v>53</v>
      </c>
    </row>
    <row r="6784" spans="2:42" x14ac:dyDescent="0.2">
      <c r="B6784" t="s">
        <v>44</v>
      </c>
      <c r="C6784" t="str">
        <f>HYPERLINK("https://us2.cloudbeds.com/connect/8493803454333002#/reservations/159552291868818?display=3EEZBSZFYN&amp;reservation_id=159552291868818", "3EEZBSZFYN")</f>
        <v>3EEZBSZFYN</v>
      </c>
      <c r="D6784" t="s">
        <v>45</v>
      </c>
      <c r="E6784" t="s">
        <v>128</v>
      </c>
      <c r="F6784" t="s">
        <v>86</v>
      </c>
      <c r="G6784" t="s">
        <v>3974</v>
      </c>
      <c r="H6784" t="s">
        <v>3957</v>
      </c>
      <c r="I6784" t="s">
        <v>3975</v>
      </c>
      <c r="J6784" t="s">
        <v>11896</v>
      </c>
      <c r="K6784" t="s">
        <v>11721</v>
      </c>
      <c r="L6784" t="s">
        <v>53</v>
      </c>
      <c r="P6784" t="s">
        <v>55</v>
      </c>
      <c r="R6784" t="s">
        <v>56</v>
      </c>
      <c r="T6784" t="s">
        <v>12210</v>
      </c>
      <c r="U6784" t="s">
        <v>58</v>
      </c>
      <c r="V6784">
        <v>2</v>
      </c>
      <c r="W6784">
        <v>1</v>
      </c>
      <c r="X6784">
        <v>2</v>
      </c>
      <c r="Y6784">
        <v>0</v>
      </c>
      <c r="Z6784">
        <v>2</v>
      </c>
      <c r="AA6784">
        <v>240.78</v>
      </c>
      <c r="AB6784">
        <v>240.78</v>
      </c>
      <c r="AC6784">
        <v>211.85</v>
      </c>
      <c r="AD6784">
        <v>0</v>
      </c>
      <c r="AE6784">
        <v>28.93</v>
      </c>
      <c r="AF6784">
        <v>0</v>
      </c>
      <c r="AG6784">
        <v>0</v>
      </c>
      <c r="AH6784">
        <v>0</v>
      </c>
      <c r="AI6784">
        <v>0</v>
      </c>
      <c r="AJ6784">
        <v>240.78</v>
      </c>
      <c r="AK6784">
        <v>0</v>
      </c>
      <c r="AL6784" t="s">
        <v>53</v>
      </c>
      <c r="AM6784" t="s">
        <v>53</v>
      </c>
      <c r="AN6784" t="s">
        <v>53</v>
      </c>
      <c r="AO6784" t="s">
        <v>53</v>
      </c>
      <c r="AP6784" t="s">
        <v>53</v>
      </c>
    </row>
    <row r="6785" spans="2:42" x14ac:dyDescent="0.2">
      <c r="B6785" t="s">
        <v>44</v>
      </c>
      <c r="C6785" t="str">
        <f>HYPERLINK("https://us2.cloudbeds.com/connect/8493803454333002#/reservations/9080486846991575?display=3EETS6UQJM&amp;reservation_id=9080486846991575", "3EETS6UQJM")</f>
        <v>3EETS6UQJM</v>
      </c>
      <c r="D6785" t="s">
        <v>45</v>
      </c>
      <c r="E6785" t="s">
        <v>105</v>
      </c>
      <c r="F6785" t="s">
        <v>47</v>
      </c>
      <c r="G6785" t="s">
        <v>48</v>
      </c>
      <c r="H6785" t="s">
        <v>49</v>
      </c>
      <c r="I6785" t="s">
        <v>50</v>
      </c>
      <c r="J6785" t="s">
        <v>10779</v>
      </c>
      <c r="K6785" t="s">
        <v>9659</v>
      </c>
      <c r="L6785" t="s">
        <v>53</v>
      </c>
      <c r="N6785" t="s">
        <v>12211</v>
      </c>
      <c r="P6785" t="s">
        <v>55</v>
      </c>
      <c r="R6785" t="s">
        <v>53</v>
      </c>
      <c r="T6785" t="s">
        <v>12212</v>
      </c>
      <c r="U6785" t="s">
        <v>58</v>
      </c>
      <c r="V6785">
        <v>1</v>
      </c>
      <c r="W6785">
        <v>1</v>
      </c>
      <c r="X6785">
        <v>1</v>
      </c>
      <c r="Y6785">
        <v>0</v>
      </c>
      <c r="Z6785">
        <v>1</v>
      </c>
      <c r="AA6785">
        <v>77.73</v>
      </c>
      <c r="AB6785">
        <v>77.73</v>
      </c>
      <c r="AC6785">
        <v>68.400000000000006</v>
      </c>
      <c r="AD6785">
        <v>0</v>
      </c>
      <c r="AE6785">
        <v>9.33</v>
      </c>
      <c r="AF6785">
        <v>0</v>
      </c>
      <c r="AG6785">
        <v>0</v>
      </c>
      <c r="AH6785">
        <v>0</v>
      </c>
      <c r="AI6785">
        <v>13.99</v>
      </c>
      <c r="AJ6785">
        <v>77.73</v>
      </c>
      <c r="AK6785">
        <v>0</v>
      </c>
      <c r="AL6785" t="s">
        <v>53</v>
      </c>
      <c r="AM6785" t="s">
        <v>53</v>
      </c>
      <c r="AN6785" t="s">
        <v>53</v>
      </c>
      <c r="AO6785" t="s">
        <v>53</v>
      </c>
      <c r="AP6785" t="s">
        <v>53</v>
      </c>
    </row>
    <row r="6786" spans="2:42" x14ac:dyDescent="0.2">
      <c r="B6786" t="s">
        <v>44</v>
      </c>
      <c r="C6786" t="str">
        <f>HYPERLINK("https://us2.cloudbeds.com/connect/8493803454333002#/reservations/9080486846992362?display=3EFTPGFA11&amp;reservation_id=9080486846992362", "3EFTPGFA11")</f>
        <v>3EFTPGFA11</v>
      </c>
      <c r="D6786" t="s">
        <v>45</v>
      </c>
      <c r="E6786" t="s">
        <v>165</v>
      </c>
      <c r="F6786" t="s">
        <v>61</v>
      </c>
      <c r="G6786" t="s">
        <v>48</v>
      </c>
      <c r="H6786" t="s">
        <v>49</v>
      </c>
      <c r="I6786" t="s">
        <v>50</v>
      </c>
      <c r="J6786" t="s">
        <v>7543</v>
      </c>
      <c r="K6786" t="s">
        <v>10893</v>
      </c>
      <c r="L6786" t="s">
        <v>53</v>
      </c>
      <c r="N6786" t="s">
        <v>12213</v>
      </c>
      <c r="P6786" t="s">
        <v>55</v>
      </c>
      <c r="R6786" t="s">
        <v>53</v>
      </c>
      <c r="T6786" t="s">
        <v>12214</v>
      </c>
      <c r="U6786" t="s">
        <v>58</v>
      </c>
      <c r="V6786">
        <v>2</v>
      </c>
      <c r="W6786">
        <v>1</v>
      </c>
      <c r="X6786">
        <v>1</v>
      </c>
      <c r="Y6786">
        <v>0</v>
      </c>
      <c r="Z6786">
        <v>1</v>
      </c>
      <c r="AA6786">
        <v>199.46</v>
      </c>
      <c r="AB6786">
        <v>201.63</v>
      </c>
      <c r="AC6786">
        <v>175.5</v>
      </c>
      <c r="AD6786">
        <v>2</v>
      </c>
      <c r="AE6786">
        <v>24.13</v>
      </c>
      <c r="AF6786">
        <v>0</v>
      </c>
      <c r="AG6786">
        <v>0</v>
      </c>
      <c r="AH6786">
        <v>0</v>
      </c>
      <c r="AI6786">
        <v>36.29</v>
      </c>
      <c r="AJ6786">
        <v>201.63</v>
      </c>
      <c r="AK6786">
        <v>0</v>
      </c>
      <c r="AL6786" t="s">
        <v>53</v>
      </c>
      <c r="AM6786" t="s">
        <v>53</v>
      </c>
      <c r="AN6786" t="s">
        <v>53</v>
      </c>
      <c r="AO6786" t="s">
        <v>53</v>
      </c>
      <c r="AP6786" t="s">
        <v>53</v>
      </c>
    </row>
    <row r="6787" spans="2:42" x14ac:dyDescent="0.2">
      <c r="B6787" t="s">
        <v>44</v>
      </c>
      <c r="C6787" t="str">
        <f>HYPERLINK("https://us2.cloudbeds.com/connect/8493803454333002#/reservations/9080486846992428?display=3EG08DSN8V&amp;reservation_id=9080486846992428", "3EG08DSN8V")</f>
        <v>3EG08DSN8V</v>
      </c>
      <c r="D6787" t="s">
        <v>45</v>
      </c>
      <c r="E6787" t="s">
        <v>78</v>
      </c>
      <c r="F6787" t="s">
        <v>61</v>
      </c>
      <c r="G6787" t="s">
        <v>48</v>
      </c>
      <c r="H6787" t="s">
        <v>49</v>
      </c>
      <c r="I6787" t="s">
        <v>8964</v>
      </c>
      <c r="J6787" t="s">
        <v>7543</v>
      </c>
      <c r="K6787" t="s">
        <v>8047</v>
      </c>
      <c r="L6787" t="s">
        <v>53</v>
      </c>
      <c r="N6787" t="s">
        <v>12215</v>
      </c>
      <c r="P6787" t="s">
        <v>55</v>
      </c>
      <c r="R6787" t="s">
        <v>53</v>
      </c>
      <c r="T6787" t="s">
        <v>12216</v>
      </c>
      <c r="U6787" t="s">
        <v>55</v>
      </c>
      <c r="V6787">
        <v>1</v>
      </c>
      <c r="W6787">
        <v>1</v>
      </c>
      <c r="X6787">
        <v>2</v>
      </c>
      <c r="Y6787">
        <v>0</v>
      </c>
      <c r="Z6787">
        <v>2</v>
      </c>
      <c r="AA6787">
        <v>0</v>
      </c>
      <c r="AB6787">
        <v>0</v>
      </c>
      <c r="AC6787">
        <v>103</v>
      </c>
      <c r="AD6787">
        <v>0</v>
      </c>
      <c r="AE6787">
        <v>0</v>
      </c>
      <c r="AF6787">
        <v>0</v>
      </c>
      <c r="AG6787">
        <v>0</v>
      </c>
      <c r="AH6787">
        <v>0</v>
      </c>
      <c r="AI6787">
        <v>15.45</v>
      </c>
      <c r="AJ6787">
        <v>103</v>
      </c>
      <c r="AK6787">
        <v>103</v>
      </c>
      <c r="AL6787" t="s">
        <v>53</v>
      </c>
      <c r="AM6787" t="s">
        <v>53</v>
      </c>
      <c r="AN6787" t="s">
        <v>53</v>
      </c>
      <c r="AO6787" t="s">
        <v>53</v>
      </c>
      <c r="AP6787" t="s">
        <v>53</v>
      </c>
    </row>
    <row r="6788" spans="2:42" x14ac:dyDescent="0.2">
      <c r="B6788" t="s">
        <v>44</v>
      </c>
      <c r="C6788" t="str">
        <f>HYPERLINK("https://us2.cloudbeds.com/connect/8493803454333002#/reservations/9080486846992663?display=3EGCJJHB9S&amp;reservation_id=9080486846992663", "3EGCJJHB9S")</f>
        <v>3EGCJJHB9S</v>
      </c>
      <c r="D6788" t="s">
        <v>45</v>
      </c>
      <c r="E6788" t="s">
        <v>190</v>
      </c>
      <c r="F6788" t="s">
        <v>61</v>
      </c>
      <c r="G6788" t="s">
        <v>48</v>
      </c>
      <c r="H6788" t="s">
        <v>49</v>
      </c>
      <c r="I6788" t="s">
        <v>50</v>
      </c>
      <c r="J6788" t="s">
        <v>7543</v>
      </c>
      <c r="K6788" t="s">
        <v>8047</v>
      </c>
      <c r="L6788" t="s">
        <v>53</v>
      </c>
      <c r="N6788" t="s">
        <v>12217</v>
      </c>
      <c r="P6788" t="s">
        <v>55</v>
      </c>
      <c r="R6788" t="s">
        <v>53</v>
      </c>
      <c r="T6788" t="s">
        <v>12218</v>
      </c>
      <c r="U6788" t="s">
        <v>58</v>
      </c>
      <c r="V6788">
        <v>1</v>
      </c>
      <c r="W6788">
        <v>1</v>
      </c>
      <c r="X6788">
        <v>1</v>
      </c>
      <c r="Y6788">
        <v>0</v>
      </c>
      <c r="Z6788">
        <v>1</v>
      </c>
      <c r="AA6788">
        <v>102.29</v>
      </c>
      <c r="AB6788">
        <v>102.29</v>
      </c>
      <c r="AC6788">
        <v>90</v>
      </c>
      <c r="AD6788">
        <v>0</v>
      </c>
      <c r="AE6788">
        <v>12.29</v>
      </c>
      <c r="AF6788">
        <v>0</v>
      </c>
      <c r="AG6788">
        <v>0</v>
      </c>
      <c r="AH6788">
        <v>0</v>
      </c>
      <c r="AI6788">
        <v>18.41</v>
      </c>
      <c r="AJ6788">
        <v>102.29</v>
      </c>
      <c r="AK6788">
        <v>0</v>
      </c>
      <c r="AL6788" t="s">
        <v>53</v>
      </c>
      <c r="AM6788" t="s">
        <v>53</v>
      </c>
      <c r="AN6788" t="s">
        <v>53</v>
      </c>
      <c r="AO6788" t="s">
        <v>53</v>
      </c>
      <c r="AP6788" t="s">
        <v>53</v>
      </c>
    </row>
    <row r="6789" spans="2:42" x14ac:dyDescent="0.2">
      <c r="B6789" t="s">
        <v>44</v>
      </c>
      <c r="C6789" t="str">
        <f>HYPERLINK("https://us2.cloudbeds.com/connect/8493803454333002#/reservations/9080486846992710?display=3EGEKY902F&amp;reservation_id=9080486846992710", "3EGEKY902F")</f>
        <v>3EGEKY902F</v>
      </c>
      <c r="D6789" t="s">
        <v>45</v>
      </c>
      <c r="E6789" t="s">
        <v>487</v>
      </c>
      <c r="F6789" t="s">
        <v>61</v>
      </c>
      <c r="G6789" t="s">
        <v>48</v>
      </c>
      <c r="H6789" t="s">
        <v>49</v>
      </c>
      <c r="I6789" t="s">
        <v>62</v>
      </c>
      <c r="J6789" t="s">
        <v>7543</v>
      </c>
      <c r="K6789" t="s">
        <v>8047</v>
      </c>
      <c r="L6789" t="s">
        <v>53</v>
      </c>
      <c r="N6789" t="s">
        <v>12219</v>
      </c>
      <c r="P6789" t="s">
        <v>55</v>
      </c>
      <c r="R6789" t="s">
        <v>56</v>
      </c>
      <c r="T6789" t="s">
        <v>12220</v>
      </c>
      <c r="U6789" t="s">
        <v>55</v>
      </c>
      <c r="V6789">
        <v>1</v>
      </c>
      <c r="W6789">
        <v>1</v>
      </c>
      <c r="X6789">
        <v>1</v>
      </c>
      <c r="Y6789">
        <v>0</v>
      </c>
      <c r="Z6789">
        <v>1</v>
      </c>
      <c r="AA6789">
        <v>100</v>
      </c>
      <c r="AB6789">
        <v>100</v>
      </c>
      <c r="AC6789">
        <v>100</v>
      </c>
      <c r="AD6789">
        <v>0</v>
      </c>
      <c r="AE6789">
        <v>0</v>
      </c>
      <c r="AF6789">
        <v>0</v>
      </c>
      <c r="AG6789">
        <v>0</v>
      </c>
      <c r="AH6789">
        <v>0</v>
      </c>
      <c r="AI6789">
        <v>18</v>
      </c>
      <c r="AJ6789">
        <v>100</v>
      </c>
      <c r="AK6789">
        <v>0</v>
      </c>
      <c r="AL6789" t="s">
        <v>53</v>
      </c>
      <c r="AM6789" t="s">
        <v>53</v>
      </c>
      <c r="AN6789" t="s">
        <v>53</v>
      </c>
      <c r="AO6789" t="s">
        <v>53</v>
      </c>
      <c r="AP6789" t="s">
        <v>53</v>
      </c>
    </row>
    <row r="6790" spans="2:42" x14ac:dyDescent="0.2">
      <c r="B6790" t="s">
        <v>44</v>
      </c>
      <c r="C6790" t="str">
        <f>HYPERLINK("https://us2.cloudbeds.com/connect/8493803454333002#/reservations/9080486846992869?display=3EGZE7M669&amp;reservation_id=9080486846992869", "3EGZE7M669")</f>
        <v>3EGZE7M669</v>
      </c>
      <c r="D6790" t="s">
        <v>45</v>
      </c>
      <c r="E6790" t="s">
        <v>185</v>
      </c>
      <c r="F6790" t="s">
        <v>47</v>
      </c>
      <c r="G6790" t="s">
        <v>48</v>
      </c>
      <c r="H6790" t="s">
        <v>49</v>
      </c>
      <c r="I6790" t="s">
        <v>8964</v>
      </c>
      <c r="J6790" t="s">
        <v>10881</v>
      </c>
      <c r="K6790" t="s">
        <v>9658</v>
      </c>
      <c r="L6790" t="s">
        <v>53</v>
      </c>
      <c r="N6790" t="s">
        <v>12221</v>
      </c>
      <c r="P6790" t="s">
        <v>58</v>
      </c>
      <c r="R6790" t="s">
        <v>53</v>
      </c>
      <c r="T6790" t="s">
        <v>12222</v>
      </c>
      <c r="U6790" t="s">
        <v>55</v>
      </c>
      <c r="V6790">
        <v>3</v>
      </c>
      <c r="W6790">
        <v>1</v>
      </c>
      <c r="X6790">
        <v>2</v>
      </c>
      <c r="Y6790">
        <v>0</v>
      </c>
      <c r="Z6790">
        <v>2</v>
      </c>
      <c r="AA6790">
        <v>0</v>
      </c>
      <c r="AB6790">
        <v>0</v>
      </c>
      <c r="AC6790">
        <v>255</v>
      </c>
      <c r="AD6790">
        <v>0</v>
      </c>
      <c r="AE6790">
        <v>0</v>
      </c>
      <c r="AF6790">
        <v>0</v>
      </c>
      <c r="AG6790">
        <v>0</v>
      </c>
      <c r="AH6790">
        <v>0</v>
      </c>
      <c r="AI6790">
        <v>38.25</v>
      </c>
      <c r="AJ6790">
        <v>255</v>
      </c>
      <c r="AK6790">
        <v>255</v>
      </c>
      <c r="AL6790" t="s">
        <v>53</v>
      </c>
      <c r="AM6790" t="s">
        <v>53</v>
      </c>
      <c r="AN6790" t="s">
        <v>53</v>
      </c>
      <c r="AO6790" t="s">
        <v>53</v>
      </c>
      <c r="AP6790" t="s">
        <v>53</v>
      </c>
    </row>
    <row r="6791" spans="2:42" x14ac:dyDescent="0.2">
      <c r="B6791" t="s">
        <v>44</v>
      </c>
      <c r="C6791" t="str">
        <f>HYPERLINK("https://us2.cloudbeds.com/connect/8493803454333002#/reservations/9080486846993057?display=3EH1ATAKDN&amp;reservation_id=9080486846993057", "3EH1ATAKDN")</f>
        <v>3EH1ATAKDN</v>
      </c>
      <c r="D6791" t="s">
        <v>45</v>
      </c>
      <c r="E6791" t="s">
        <v>110</v>
      </c>
      <c r="F6791" t="s">
        <v>47</v>
      </c>
      <c r="G6791" t="s">
        <v>48</v>
      </c>
      <c r="H6791" t="s">
        <v>49</v>
      </c>
      <c r="I6791" t="s">
        <v>50</v>
      </c>
      <c r="J6791" t="s">
        <v>10037</v>
      </c>
      <c r="K6791" t="s">
        <v>11557</v>
      </c>
      <c r="L6791" t="s">
        <v>53</v>
      </c>
      <c r="N6791" t="s">
        <v>12223</v>
      </c>
      <c r="P6791" t="s">
        <v>55</v>
      </c>
      <c r="R6791" t="s">
        <v>53</v>
      </c>
      <c r="T6791" t="s">
        <v>12224</v>
      </c>
      <c r="U6791" t="s">
        <v>58</v>
      </c>
      <c r="V6791">
        <v>1</v>
      </c>
      <c r="W6791">
        <v>1</v>
      </c>
      <c r="X6791">
        <v>1</v>
      </c>
      <c r="Y6791">
        <v>0</v>
      </c>
      <c r="Z6791">
        <v>1</v>
      </c>
      <c r="AA6791">
        <v>77.73</v>
      </c>
      <c r="AB6791">
        <v>77.73</v>
      </c>
      <c r="AC6791">
        <v>68.400000000000006</v>
      </c>
      <c r="AD6791">
        <v>0</v>
      </c>
      <c r="AE6791">
        <v>9.33</v>
      </c>
      <c r="AF6791">
        <v>0</v>
      </c>
      <c r="AG6791">
        <v>0</v>
      </c>
      <c r="AH6791">
        <v>0</v>
      </c>
      <c r="AI6791">
        <v>13.99</v>
      </c>
      <c r="AJ6791">
        <v>77.73</v>
      </c>
      <c r="AK6791">
        <v>0</v>
      </c>
      <c r="AL6791" t="s">
        <v>53</v>
      </c>
      <c r="AM6791" t="s">
        <v>53</v>
      </c>
      <c r="AN6791" t="s">
        <v>53</v>
      </c>
      <c r="AO6791" t="s">
        <v>53</v>
      </c>
      <c r="AP6791" t="s">
        <v>53</v>
      </c>
    </row>
    <row r="6792" spans="2:42" x14ac:dyDescent="0.2">
      <c r="B6792" t="s">
        <v>44</v>
      </c>
      <c r="C6792" t="str">
        <f>HYPERLINK("https://us2.cloudbeds.com/connect/8493803454333002#/reservations/9080486846993221?display=3EHAYSZMKK&amp;reservation_id=9080486846993221", "3EHAYSZMKK")</f>
        <v>3EHAYSZMKK</v>
      </c>
      <c r="D6792" t="s">
        <v>45</v>
      </c>
      <c r="E6792" t="s">
        <v>138</v>
      </c>
      <c r="F6792" t="s">
        <v>70</v>
      </c>
      <c r="G6792" t="s">
        <v>48</v>
      </c>
      <c r="H6792" t="s">
        <v>49</v>
      </c>
      <c r="I6792" t="s">
        <v>8964</v>
      </c>
      <c r="J6792" t="s">
        <v>10893</v>
      </c>
      <c r="K6792" t="s">
        <v>12225</v>
      </c>
      <c r="L6792" t="s">
        <v>53</v>
      </c>
      <c r="N6792" t="s">
        <v>12226</v>
      </c>
      <c r="P6792" t="s">
        <v>55</v>
      </c>
      <c r="R6792" t="s">
        <v>53</v>
      </c>
      <c r="T6792" t="s">
        <v>12227</v>
      </c>
      <c r="U6792" t="s">
        <v>55</v>
      </c>
      <c r="V6792">
        <v>2</v>
      </c>
      <c r="W6792">
        <v>1</v>
      </c>
      <c r="X6792">
        <v>2</v>
      </c>
      <c r="Y6792">
        <v>0</v>
      </c>
      <c r="Z6792">
        <v>2</v>
      </c>
      <c r="AA6792">
        <v>0</v>
      </c>
      <c r="AB6792">
        <v>0</v>
      </c>
      <c r="AC6792">
        <v>146</v>
      </c>
      <c r="AD6792">
        <v>0</v>
      </c>
      <c r="AE6792">
        <v>0</v>
      </c>
      <c r="AF6792">
        <v>0</v>
      </c>
      <c r="AG6792">
        <v>0</v>
      </c>
      <c r="AH6792">
        <v>0</v>
      </c>
      <c r="AI6792">
        <v>21.9</v>
      </c>
      <c r="AJ6792">
        <v>146</v>
      </c>
      <c r="AK6792">
        <v>146</v>
      </c>
      <c r="AL6792" t="s">
        <v>53</v>
      </c>
      <c r="AM6792" t="s">
        <v>53</v>
      </c>
      <c r="AN6792" t="s">
        <v>53</v>
      </c>
      <c r="AO6792" t="s">
        <v>53</v>
      </c>
      <c r="AP6792" t="s">
        <v>53</v>
      </c>
    </row>
    <row r="6793" spans="2:42" x14ac:dyDescent="0.2">
      <c r="B6793" t="s">
        <v>44</v>
      </c>
      <c r="C6793" t="str">
        <f>HYPERLINK("https://us2.cloudbeds.com/connect/8493803454333002#/reservations/9080486846993548?display=3EHSXZN4G0&amp;reservation_id=9080486846993548", "3EHSXZN4G0")</f>
        <v>3EHSXZN4G0</v>
      </c>
      <c r="D6793" t="s">
        <v>45</v>
      </c>
      <c r="E6793" t="s">
        <v>78</v>
      </c>
      <c r="F6793" t="s">
        <v>61</v>
      </c>
      <c r="G6793" t="s">
        <v>48</v>
      </c>
      <c r="H6793" t="s">
        <v>49</v>
      </c>
      <c r="I6793" t="s">
        <v>50</v>
      </c>
      <c r="J6793" t="s">
        <v>8047</v>
      </c>
      <c r="K6793" t="s">
        <v>10893</v>
      </c>
      <c r="L6793" t="s">
        <v>53</v>
      </c>
      <c r="N6793" t="s">
        <v>12228</v>
      </c>
      <c r="P6793" t="s">
        <v>55</v>
      </c>
      <c r="R6793" t="s">
        <v>53</v>
      </c>
      <c r="T6793" t="s">
        <v>12229</v>
      </c>
      <c r="U6793" t="s">
        <v>58</v>
      </c>
      <c r="V6793">
        <v>1</v>
      </c>
      <c r="W6793">
        <v>1</v>
      </c>
      <c r="X6793">
        <v>1</v>
      </c>
      <c r="Y6793">
        <v>0</v>
      </c>
      <c r="Z6793">
        <v>1</v>
      </c>
      <c r="AA6793">
        <v>90.69</v>
      </c>
      <c r="AB6793">
        <v>90.69</v>
      </c>
      <c r="AC6793">
        <v>79.8</v>
      </c>
      <c r="AD6793">
        <v>0</v>
      </c>
      <c r="AE6793">
        <v>10.89</v>
      </c>
      <c r="AF6793">
        <v>0</v>
      </c>
      <c r="AG6793">
        <v>0</v>
      </c>
      <c r="AH6793">
        <v>0</v>
      </c>
      <c r="AI6793">
        <v>16.32</v>
      </c>
      <c r="AJ6793">
        <v>90.69</v>
      </c>
      <c r="AK6793">
        <v>0</v>
      </c>
      <c r="AL6793" t="s">
        <v>53</v>
      </c>
      <c r="AM6793" t="s">
        <v>53</v>
      </c>
      <c r="AN6793" t="s">
        <v>53</v>
      </c>
      <c r="AO6793" t="s">
        <v>53</v>
      </c>
      <c r="AP6793" t="s">
        <v>53</v>
      </c>
    </row>
    <row r="6794" spans="2:42" x14ac:dyDescent="0.2">
      <c r="B6794" t="s">
        <v>44</v>
      </c>
      <c r="C6794" t="str">
        <f>HYPERLINK("https://us2.cloudbeds.com/connect/8493803454333002#/reservations/9080486846996630?display=3EMCJ9UZ86&amp;reservation_id=9080486846996630", "3EMCJ9UZ86")</f>
        <v>3EMCJ9UZ86</v>
      </c>
      <c r="D6794" t="s">
        <v>45</v>
      </c>
      <c r="E6794" t="s">
        <v>128</v>
      </c>
      <c r="F6794" t="s">
        <v>86</v>
      </c>
      <c r="G6794" t="s">
        <v>48</v>
      </c>
      <c r="H6794" t="s">
        <v>49</v>
      </c>
      <c r="I6794" t="s">
        <v>50</v>
      </c>
      <c r="J6794" t="s">
        <v>8047</v>
      </c>
      <c r="K6794" t="s">
        <v>10893</v>
      </c>
      <c r="L6794" t="s">
        <v>53</v>
      </c>
      <c r="N6794" t="s">
        <v>12230</v>
      </c>
      <c r="P6794" t="s">
        <v>55</v>
      </c>
      <c r="R6794" t="s">
        <v>53</v>
      </c>
      <c r="T6794" t="s">
        <v>12231</v>
      </c>
      <c r="U6794" t="s">
        <v>58</v>
      </c>
      <c r="V6794">
        <v>1</v>
      </c>
      <c r="W6794">
        <v>1</v>
      </c>
      <c r="X6794">
        <v>2</v>
      </c>
      <c r="Y6794">
        <v>0</v>
      </c>
      <c r="Z6794">
        <v>2</v>
      </c>
      <c r="AA6794">
        <v>112.52</v>
      </c>
      <c r="AB6794">
        <v>112.52</v>
      </c>
      <c r="AC6794">
        <v>99</v>
      </c>
      <c r="AD6794">
        <v>0</v>
      </c>
      <c r="AE6794">
        <v>13.52</v>
      </c>
      <c r="AF6794">
        <v>0</v>
      </c>
      <c r="AG6794">
        <v>0</v>
      </c>
      <c r="AH6794">
        <v>0</v>
      </c>
      <c r="AI6794">
        <v>20.25</v>
      </c>
      <c r="AJ6794">
        <v>112.52</v>
      </c>
      <c r="AK6794">
        <v>0</v>
      </c>
      <c r="AL6794" t="s">
        <v>53</v>
      </c>
      <c r="AM6794" t="s">
        <v>53</v>
      </c>
      <c r="AN6794" t="s">
        <v>53</v>
      </c>
      <c r="AO6794" t="s">
        <v>53</v>
      </c>
      <c r="AP6794" t="s">
        <v>53</v>
      </c>
    </row>
    <row r="6795" spans="2:42" x14ac:dyDescent="0.2">
      <c r="B6795" t="s">
        <v>44</v>
      </c>
      <c r="C6795" t="str">
        <f>HYPERLINK("https://us2.cloudbeds.com/connect/8493803454333002#/reservations/9080486846996653?display=3EMDDRBU3Y&amp;reservation_id=9080486846996653", "3EMDDRBU3Y")</f>
        <v>3EMDDRBU3Y</v>
      </c>
      <c r="D6795" t="s">
        <v>45</v>
      </c>
      <c r="E6795" t="s">
        <v>69</v>
      </c>
      <c r="F6795" t="s">
        <v>70</v>
      </c>
      <c r="G6795" t="s">
        <v>48</v>
      </c>
      <c r="H6795" t="s">
        <v>49</v>
      </c>
      <c r="I6795" t="s">
        <v>50</v>
      </c>
      <c r="J6795" t="s">
        <v>10169</v>
      </c>
      <c r="K6795" t="s">
        <v>10170</v>
      </c>
      <c r="L6795" t="s">
        <v>53</v>
      </c>
      <c r="N6795" t="s">
        <v>12232</v>
      </c>
      <c r="P6795" t="s">
        <v>55</v>
      </c>
      <c r="R6795" t="s">
        <v>53</v>
      </c>
      <c r="T6795" t="s">
        <v>12233</v>
      </c>
      <c r="U6795" t="s">
        <v>58</v>
      </c>
      <c r="V6795">
        <v>1</v>
      </c>
      <c r="W6795">
        <v>1</v>
      </c>
      <c r="X6795">
        <v>2</v>
      </c>
      <c r="Y6795">
        <v>0</v>
      </c>
      <c r="Z6795">
        <v>2</v>
      </c>
      <c r="AA6795">
        <v>140.41</v>
      </c>
      <c r="AB6795">
        <v>140.41</v>
      </c>
      <c r="AC6795">
        <v>123.55</v>
      </c>
      <c r="AD6795">
        <v>0</v>
      </c>
      <c r="AE6795">
        <v>16.86</v>
      </c>
      <c r="AF6795">
        <v>0</v>
      </c>
      <c r="AG6795">
        <v>0</v>
      </c>
      <c r="AH6795">
        <v>0</v>
      </c>
      <c r="AI6795">
        <v>25.27</v>
      </c>
      <c r="AJ6795">
        <v>140.41</v>
      </c>
      <c r="AK6795">
        <v>0</v>
      </c>
      <c r="AL6795" t="s">
        <v>53</v>
      </c>
      <c r="AM6795" t="s">
        <v>53</v>
      </c>
      <c r="AN6795" t="s">
        <v>53</v>
      </c>
      <c r="AO6795" t="s">
        <v>53</v>
      </c>
      <c r="AP6795" t="s">
        <v>53</v>
      </c>
    </row>
    <row r="6796" spans="2:42" x14ac:dyDescent="0.2">
      <c r="B6796" t="s">
        <v>44</v>
      </c>
      <c r="C6796" t="str">
        <f>HYPERLINK("https://us2.cloudbeds.com/connect/8493803454333002#/reservations/159881067049090?display=3EMEURMH0C&amp;reservation_id=159881067049090", "3EMEURMH0C")</f>
        <v>3EMEURMH0C</v>
      </c>
      <c r="D6796" t="s">
        <v>45</v>
      </c>
      <c r="E6796" t="s">
        <v>487</v>
      </c>
      <c r="F6796" t="s">
        <v>61</v>
      </c>
      <c r="G6796" t="s">
        <v>48</v>
      </c>
      <c r="H6796" t="s">
        <v>3957</v>
      </c>
      <c r="I6796" t="s">
        <v>3975</v>
      </c>
      <c r="J6796" t="s">
        <v>8047</v>
      </c>
      <c r="K6796" t="s">
        <v>10893</v>
      </c>
      <c r="L6796" t="s">
        <v>53</v>
      </c>
      <c r="P6796" t="s">
        <v>55</v>
      </c>
      <c r="R6796" t="s">
        <v>56</v>
      </c>
      <c r="T6796" t="s">
        <v>12234</v>
      </c>
      <c r="U6796" t="s">
        <v>58</v>
      </c>
      <c r="V6796">
        <v>1</v>
      </c>
      <c r="W6796">
        <v>1</v>
      </c>
      <c r="X6796">
        <v>1</v>
      </c>
      <c r="Y6796">
        <v>0</v>
      </c>
      <c r="Z6796">
        <v>1</v>
      </c>
      <c r="AA6796">
        <v>107.98</v>
      </c>
      <c r="AB6796">
        <v>107.98</v>
      </c>
      <c r="AC6796">
        <v>95</v>
      </c>
      <c r="AD6796">
        <v>0</v>
      </c>
      <c r="AE6796">
        <v>12.98</v>
      </c>
      <c r="AF6796">
        <v>0</v>
      </c>
      <c r="AG6796">
        <v>0</v>
      </c>
      <c r="AH6796">
        <v>0</v>
      </c>
      <c r="AI6796">
        <v>0</v>
      </c>
      <c r="AJ6796">
        <v>107.98</v>
      </c>
      <c r="AK6796">
        <v>0</v>
      </c>
      <c r="AL6796" t="s">
        <v>53</v>
      </c>
      <c r="AM6796" t="s">
        <v>53</v>
      </c>
      <c r="AN6796" t="s">
        <v>53</v>
      </c>
      <c r="AO6796" t="s">
        <v>53</v>
      </c>
      <c r="AP6796" t="s">
        <v>53</v>
      </c>
    </row>
    <row r="6797" spans="2:42" x14ac:dyDescent="0.2">
      <c r="B6797" t="s">
        <v>44</v>
      </c>
      <c r="C6797" t="str">
        <f>HYPERLINK("https://us2.cloudbeds.com/connect/8493803454333002#/reservations/159911555895461?display=3EN5HTMK3S&amp;reservation_id=159911555895461", "3EN5HTMK3S")</f>
        <v>3EN5HTMK3S</v>
      </c>
      <c r="D6797" t="s">
        <v>45</v>
      </c>
      <c r="E6797" t="s">
        <v>179</v>
      </c>
      <c r="F6797" t="s">
        <v>47</v>
      </c>
      <c r="G6797" t="s">
        <v>48</v>
      </c>
      <c r="H6797" t="s">
        <v>3957</v>
      </c>
      <c r="I6797" t="s">
        <v>3958</v>
      </c>
      <c r="J6797" t="s">
        <v>8047</v>
      </c>
      <c r="K6797" t="s">
        <v>10893</v>
      </c>
      <c r="L6797" t="s">
        <v>53</v>
      </c>
      <c r="P6797" t="s">
        <v>55</v>
      </c>
      <c r="R6797" t="s">
        <v>56</v>
      </c>
      <c r="T6797" t="s">
        <v>12235</v>
      </c>
      <c r="U6797" t="s">
        <v>58</v>
      </c>
      <c r="V6797">
        <v>1</v>
      </c>
      <c r="W6797">
        <v>1</v>
      </c>
      <c r="X6797">
        <v>1</v>
      </c>
      <c r="Y6797">
        <v>0</v>
      </c>
      <c r="Z6797">
        <v>1</v>
      </c>
      <c r="AA6797">
        <v>106.84</v>
      </c>
      <c r="AB6797">
        <v>106.84</v>
      </c>
      <c r="AC6797">
        <v>94</v>
      </c>
      <c r="AD6797">
        <v>0</v>
      </c>
      <c r="AE6797">
        <v>12.84</v>
      </c>
      <c r="AF6797">
        <v>0</v>
      </c>
      <c r="AG6797">
        <v>0</v>
      </c>
      <c r="AH6797">
        <v>0</v>
      </c>
      <c r="AI6797">
        <v>0</v>
      </c>
      <c r="AJ6797">
        <v>106.84</v>
      </c>
      <c r="AK6797">
        <v>0</v>
      </c>
      <c r="AL6797" t="s">
        <v>53</v>
      </c>
      <c r="AM6797" t="s">
        <v>53</v>
      </c>
      <c r="AN6797" t="s">
        <v>53</v>
      </c>
      <c r="AO6797" t="s">
        <v>53</v>
      </c>
      <c r="AP6797" t="s">
        <v>53</v>
      </c>
    </row>
    <row r="6798" spans="2:42" x14ac:dyDescent="0.2">
      <c r="B6798" t="s">
        <v>44</v>
      </c>
      <c r="C6798" t="str">
        <f>HYPERLINK("https://us2.cloudbeds.com/connect/8493803454333002#/reservations/9080486846997522?display=3ENDT69PXC&amp;reservation_id=9080486846997522", "3ENDT69PXC")</f>
        <v>3ENDT69PXC</v>
      </c>
      <c r="D6798" t="s">
        <v>45</v>
      </c>
      <c r="E6798" t="s">
        <v>110</v>
      </c>
      <c r="F6798" t="s">
        <v>47</v>
      </c>
      <c r="G6798" t="s">
        <v>48</v>
      </c>
      <c r="H6798" t="s">
        <v>49</v>
      </c>
      <c r="I6798" t="s">
        <v>8964</v>
      </c>
      <c r="J6798" t="s">
        <v>12144</v>
      </c>
      <c r="K6798" t="s">
        <v>11482</v>
      </c>
      <c r="L6798" t="s">
        <v>53</v>
      </c>
      <c r="N6798" t="s">
        <v>12236</v>
      </c>
      <c r="P6798" t="s">
        <v>55</v>
      </c>
      <c r="R6798" t="s">
        <v>53</v>
      </c>
      <c r="T6798" t="s">
        <v>12237</v>
      </c>
      <c r="U6798" t="s">
        <v>55</v>
      </c>
      <c r="V6798">
        <v>1</v>
      </c>
      <c r="W6798">
        <v>1</v>
      </c>
      <c r="X6798">
        <v>2</v>
      </c>
      <c r="Y6798">
        <v>0</v>
      </c>
      <c r="Z6798">
        <v>2</v>
      </c>
      <c r="AA6798">
        <v>0</v>
      </c>
      <c r="AB6798">
        <v>0</v>
      </c>
      <c r="AC6798">
        <v>153</v>
      </c>
      <c r="AD6798">
        <v>0</v>
      </c>
      <c r="AE6798">
        <v>0</v>
      </c>
      <c r="AF6798">
        <v>0</v>
      </c>
      <c r="AG6798">
        <v>0</v>
      </c>
      <c r="AH6798">
        <v>0</v>
      </c>
      <c r="AI6798">
        <v>22.95</v>
      </c>
      <c r="AJ6798">
        <v>153</v>
      </c>
      <c r="AK6798">
        <v>153</v>
      </c>
      <c r="AL6798" t="s">
        <v>53</v>
      </c>
      <c r="AM6798" t="s">
        <v>53</v>
      </c>
      <c r="AN6798" t="s">
        <v>53</v>
      </c>
      <c r="AO6798" t="s">
        <v>53</v>
      </c>
      <c r="AP6798" t="s">
        <v>53</v>
      </c>
    </row>
    <row r="6799" spans="2:42" x14ac:dyDescent="0.2">
      <c r="B6799" t="s">
        <v>44</v>
      </c>
      <c r="C6799" t="str">
        <f>HYPERLINK("https://us2.cloudbeds.com/connect/8493803454333002#/reservations/9080486846997531?display=3ENEZR5HE4&amp;reservation_id=9080486846997531", "3ENEZR5HE4")</f>
        <v>3ENEZR5HE4</v>
      </c>
      <c r="D6799" t="s">
        <v>45</v>
      </c>
      <c r="E6799" t="s">
        <v>190</v>
      </c>
      <c r="F6799" t="s">
        <v>61</v>
      </c>
      <c r="G6799" t="s">
        <v>48</v>
      </c>
      <c r="H6799" t="s">
        <v>49</v>
      </c>
      <c r="I6799" t="s">
        <v>62</v>
      </c>
      <c r="J6799" t="s">
        <v>8047</v>
      </c>
      <c r="K6799" t="s">
        <v>10893</v>
      </c>
      <c r="L6799" t="s">
        <v>53</v>
      </c>
      <c r="N6799" t="s">
        <v>12238</v>
      </c>
      <c r="P6799" t="s">
        <v>55</v>
      </c>
      <c r="R6799" t="s">
        <v>56</v>
      </c>
      <c r="T6799" t="s">
        <v>12239</v>
      </c>
      <c r="U6799" t="s">
        <v>55</v>
      </c>
      <c r="V6799">
        <v>1</v>
      </c>
      <c r="W6799">
        <v>1</v>
      </c>
      <c r="X6799">
        <v>2</v>
      </c>
      <c r="Y6799">
        <v>0</v>
      </c>
      <c r="Z6799">
        <v>2</v>
      </c>
      <c r="AA6799">
        <v>95</v>
      </c>
      <c r="AB6799">
        <v>95</v>
      </c>
      <c r="AC6799">
        <v>95</v>
      </c>
      <c r="AD6799">
        <v>0</v>
      </c>
      <c r="AE6799">
        <v>0</v>
      </c>
      <c r="AF6799">
        <v>0</v>
      </c>
      <c r="AG6799">
        <v>0</v>
      </c>
      <c r="AH6799">
        <v>0</v>
      </c>
      <c r="AI6799">
        <v>17.100000000000001</v>
      </c>
      <c r="AJ6799">
        <v>95</v>
      </c>
      <c r="AK6799">
        <v>0</v>
      </c>
      <c r="AL6799" t="s">
        <v>53</v>
      </c>
      <c r="AM6799" t="s">
        <v>53</v>
      </c>
      <c r="AN6799" t="s">
        <v>53</v>
      </c>
      <c r="AO6799" t="s">
        <v>53</v>
      </c>
      <c r="AP6799" t="s">
        <v>53</v>
      </c>
    </row>
    <row r="6800" spans="2:42" x14ac:dyDescent="0.2">
      <c r="B6800" t="s">
        <v>44</v>
      </c>
      <c r="C6800" t="str">
        <f>HYPERLINK("https://us2.cloudbeds.com/connect/8493803454333002#/reservations/9080486846997848?display=3ENSNXETC7&amp;reservation_id=9080486846997848", "3ENSNXETC7")</f>
        <v>3ENSNXETC7</v>
      </c>
      <c r="D6800" t="s">
        <v>45</v>
      </c>
      <c r="E6800" t="s">
        <v>165</v>
      </c>
      <c r="F6800" t="s">
        <v>61</v>
      </c>
      <c r="G6800" t="s">
        <v>48</v>
      </c>
      <c r="H6800" t="s">
        <v>49</v>
      </c>
      <c r="I6800" t="s">
        <v>8964</v>
      </c>
      <c r="J6800" t="s">
        <v>12225</v>
      </c>
      <c r="K6800" t="s">
        <v>10192</v>
      </c>
      <c r="L6800" t="s">
        <v>53</v>
      </c>
      <c r="N6800" t="s">
        <v>12240</v>
      </c>
      <c r="P6800" t="s">
        <v>55</v>
      </c>
      <c r="R6800" t="s">
        <v>53</v>
      </c>
      <c r="T6800" t="s">
        <v>12241</v>
      </c>
      <c r="U6800" t="s">
        <v>55</v>
      </c>
      <c r="V6800">
        <v>1</v>
      </c>
      <c r="W6800">
        <v>1</v>
      </c>
      <c r="X6800">
        <v>2</v>
      </c>
      <c r="Y6800">
        <v>0</v>
      </c>
      <c r="Z6800">
        <v>2</v>
      </c>
      <c r="AA6800">
        <v>0</v>
      </c>
      <c r="AB6800">
        <v>0</v>
      </c>
      <c r="AC6800">
        <v>89</v>
      </c>
      <c r="AD6800">
        <v>0</v>
      </c>
      <c r="AE6800">
        <v>0</v>
      </c>
      <c r="AF6800">
        <v>0</v>
      </c>
      <c r="AG6800">
        <v>0</v>
      </c>
      <c r="AH6800">
        <v>0</v>
      </c>
      <c r="AI6800">
        <v>13.35</v>
      </c>
      <c r="AJ6800">
        <v>89</v>
      </c>
      <c r="AK6800">
        <v>89</v>
      </c>
      <c r="AL6800" t="s">
        <v>53</v>
      </c>
      <c r="AM6800" t="s">
        <v>53</v>
      </c>
      <c r="AN6800" t="s">
        <v>53</v>
      </c>
      <c r="AO6800" t="s">
        <v>53</v>
      </c>
      <c r="AP6800" t="s">
        <v>53</v>
      </c>
    </row>
    <row r="6801" spans="2:42" x14ac:dyDescent="0.2">
      <c r="B6801" t="s">
        <v>44</v>
      </c>
      <c r="C6801" t="str">
        <f>HYPERLINK("https://us2.cloudbeds.com/connect/8493803454333002#/reservations/159946830528671?display=3ENWS8694V&amp;reservation_id=159946830528671", "3ENWS8694V")</f>
        <v>3ENWS8694V</v>
      </c>
      <c r="D6801" t="s">
        <v>45</v>
      </c>
      <c r="E6801" t="s">
        <v>223</v>
      </c>
      <c r="F6801" t="s">
        <v>47</v>
      </c>
      <c r="G6801" t="s">
        <v>48</v>
      </c>
      <c r="H6801" t="s">
        <v>3957</v>
      </c>
      <c r="I6801" t="s">
        <v>3958</v>
      </c>
      <c r="J6801" t="s">
        <v>8047</v>
      </c>
      <c r="K6801" t="s">
        <v>10893</v>
      </c>
      <c r="L6801" t="s">
        <v>53</v>
      </c>
      <c r="P6801" t="s">
        <v>55</v>
      </c>
      <c r="R6801" t="s">
        <v>56</v>
      </c>
      <c r="T6801" t="s">
        <v>12242</v>
      </c>
      <c r="U6801" t="s">
        <v>58</v>
      </c>
      <c r="V6801">
        <v>1</v>
      </c>
      <c r="W6801">
        <v>1</v>
      </c>
      <c r="X6801">
        <v>1</v>
      </c>
      <c r="Y6801">
        <v>0</v>
      </c>
      <c r="Z6801">
        <v>1</v>
      </c>
      <c r="AA6801">
        <v>106.84</v>
      </c>
      <c r="AB6801">
        <v>106.84</v>
      </c>
      <c r="AC6801">
        <v>94</v>
      </c>
      <c r="AD6801">
        <v>0</v>
      </c>
      <c r="AE6801">
        <v>12.84</v>
      </c>
      <c r="AF6801">
        <v>0</v>
      </c>
      <c r="AG6801">
        <v>0</v>
      </c>
      <c r="AH6801">
        <v>0</v>
      </c>
      <c r="AI6801">
        <v>0</v>
      </c>
      <c r="AJ6801">
        <v>106.84</v>
      </c>
      <c r="AK6801">
        <v>0</v>
      </c>
      <c r="AL6801" t="s">
        <v>53</v>
      </c>
      <c r="AM6801" t="s">
        <v>53</v>
      </c>
      <c r="AN6801" t="s">
        <v>53</v>
      </c>
      <c r="AO6801" t="s">
        <v>53</v>
      </c>
      <c r="AP6801" t="s">
        <v>53</v>
      </c>
    </row>
    <row r="6802" spans="2:42" x14ac:dyDescent="0.2">
      <c r="B6802" t="s">
        <v>44</v>
      </c>
      <c r="C6802" t="str">
        <f>HYPERLINK("https://us2.cloudbeds.com/connect/8493803454333002#/reservations/9080486846998110?display=3EZ7TVQED8&amp;reservation_id=9080486846998110", "3EZ7TVQED8")</f>
        <v>3EZ7TVQED8</v>
      </c>
      <c r="D6802" t="s">
        <v>45</v>
      </c>
      <c r="E6802" t="s">
        <v>406</v>
      </c>
      <c r="F6802" t="s">
        <v>61</v>
      </c>
      <c r="G6802" t="s">
        <v>48</v>
      </c>
      <c r="H6802" t="s">
        <v>49</v>
      </c>
      <c r="I6802" t="s">
        <v>50</v>
      </c>
      <c r="J6802" t="s">
        <v>8047</v>
      </c>
      <c r="K6802" t="s">
        <v>10893</v>
      </c>
      <c r="L6802" t="s">
        <v>53</v>
      </c>
      <c r="N6802" t="s">
        <v>12243</v>
      </c>
      <c r="P6802" t="s">
        <v>55</v>
      </c>
      <c r="R6802" t="s">
        <v>53</v>
      </c>
      <c r="T6802" t="s">
        <v>12244</v>
      </c>
      <c r="U6802" t="s">
        <v>58</v>
      </c>
      <c r="V6802">
        <v>1</v>
      </c>
      <c r="W6802">
        <v>1</v>
      </c>
      <c r="X6802">
        <v>1</v>
      </c>
      <c r="Y6802">
        <v>0</v>
      </c>
      <c r="Z6802">
        <v>1</v>
      </c>
      <c r="AA6802">
        <v>97.17</v>
      </c>
      <c r="AB6802">
        <v>97.17</v>
      </c>
      <c r="AC6802">
        <v>85.5</v>
      </c>
      <c r="AD6802">
        <v>0</v>
      </c>
      <c r="AE6802">
        <v>11.67</v>
      </c>
      <c r="AF6802">
        <v>0</v>
      </c>
      <c r="AG6802">
        <v>0</v>
      </c>
      <c r="AH6802">
        <v>0</v>
      </c>
      <c r="AI6802">
        <v>17.489999999999998</v>
      </c>
      <c r="AJ6802">
        <v>97.17</v>
      </c>
      <c r="AK6802">
        <v>0</v>
      </c>
      <c r="AL6802" t="s">
        <v>53</v>
      </c>
      <c r="AM6802" t="s">
        <v>53</v>
      </c>
      <c r="AN6802" t="s">
        <v>53</v>
      </c>
      <c r="AO6802" t="s">
        <v>53</v>
      </c>
      <c r="AP6802" t="s">
        <v>53</v>
      </c>
    </row>
    <row r="6803" spans="2:42" x14ac:dyDescent="0.2">
      <c r="B6803" t="s">
        <v>44</v>
      </c>
      <c r="C6803" t="str">
        <f>HYPERLINK("https://us2.cloudbeds.com/connect/8493803454333002#/reservations/159956807536868?display=3EZ7J627RM&amp;reservation_id=159956807536868", "3EZ7J627RM")</f>
        <v>3EZ7J627RM</v>
      </c>
      <c r="D6803" t="s">
        <v>45</v>
      </c>
      <c r="E6803" t="s">
        <v>110</v>
      </c>
      <c r="F6803" t="s">
        <v>47</v>
      </c>
      <c r="G6803" t="s">
        <v>48</v>
      </c>
      <c r="H6803" t="s">
        <v>3957</v>
      </c>
      <c r="I6803" t="s">
        <v>3958</v>
      </c>
      <c r="J6803" t="s">
        <v>8047</v>
      </c>
      <c r="K6803" t="s">
        <v>10893</v>
      </c>
      <c r="L6803" t="s">
        <v>53</v>
      </c>
      <c r="P6803" t="s">
        <v>55</v>
      </c>
      <c r="R6803" t="s">
        <v>56</v>
      </c>
      <c r="T6803" t="s">
        <v>12245</v>
      </c>
      <c r="U6803" t="s">
        <v>58</v>
      </c>
      <c r="V6803">
        <v>1</v>
      </c>
      <c r="W6803">
        <v>1</v>
      </c>
      <c r="X6803">
        <v>1</v>
      </c>
      <c r="Y6803">
        <v>0</v>
      </c>
      <c r="Z6803">
        <v>1</v>
      </c>
      <c r="AA6803">
        <v>106.84</v>
      </c>
      <c r="AB6803">
        <v>106.84</v>
      </c>
      <c r="AC6803">
        <v>94</v>
      </c>
      <c r="AD6803">
        <v>0</v>
      </c>
      <c r="AE6803">
        <v>12.84</v>
      </c>
      <c r="AF6803">
        <v>0</v>
      </c>
      <c r="AG6803">
        <v>0</v>
      </c>
      <c r="AH6803">
        <v>0</v>
      </c>
      <c r="AI6803">
        <v>0</v>
      </c>
      <c r="AJ6803">
        <v>106.84</v>
      </c>
      <c r="AK6803">
        <v>0</v>
      </c>
      <c r="AL6803" t="s">
        <v>53</v>
      </c>
      <c r="AM6803" t="s">
        <v>53</v>
      </c>
      <c r="AN6803" t="s">
        <v>53</v>
      </c>
      <c r="AO6803" t="s">
        <v>53</v>
      </c>
      <c r="AP6803" t="s">
        <v>53</v>
      </c>
    </row>
    <row r="6804" spans="2:42" x14ac:dyDescent="0.2">
      <c r="B6804" t="s">
        <v>44</v>
      </c>
      <c r="C6804" t="str">
        <f>HYPERLINK("https://us2.cloudbeds.com/connect/8493803454333002#/reservations/9080486846998408?display=3EZP6ENUV5&amp;reservation_id=9080486846998408", "3EZP6ENUV5")</f>
        <v>3EZP6ENUV5</v>
      </c>
      <c r="D6804" t="s">
        <v>45</v>
      </c>
      <c r="E6804" t="s">
        <v>110</v>
      </c>
      <c r="F6804" t="s">
        <v>47</v>
      </c>
      <c r="G6804" t="s">
        <v>48</v>
      </c>
      <c r="H6804" t="s">
        <v>49</v>
      </c>
      <c r="I6804" t="s">
        <v>62</v>
      </c>
      <c r="J6804" t="s">
        <v>12070</v>
      </c>
      <c r="K6804" t="s">
        <v>12225</v>
      </c>
      <c r="L6804" t="s">
        <v>53</v>
      </c>
      <c r="N6804" t="s">
        <v>12246</v>
      </c>
      <c r="P6804" t="s">
        <v>55</v>
      </c>
      <c r="R6804" t="s">
        <v>56</v>
      </c>
      <c r="T6804" t="s">
        <v>12247</v>
      </c>
      <c r="U6804" t="s">
        <v>55</v>
      </c>
      <c r="V6804">
        <v>1</v>
      </c>
      <c r="W6804">
        <v>1</v>
      </c>
      <c r="X6804">
        <v>2</v>
      </c>
      <c r="Y6804">
        <v>0</v>
      </c>
      <c r="Z6804">
        <v>2</v>
      </c>
      <c r="AA6804">
        <v>76</v>
      </c>
      <c r="AB6804">
        <v>76</v>
      </c>
      <c r="AC6804">
        <v>76</v>
      </c>
      <c r="AD6804">
        <v>0</v>
      </c>
      <c r="AE6804">
        <v>0</v>
      </c>
      <c r="AF6804">
        <v>0</v>
      </c>
      <c r="AG6804">
        <v>0</v>
      </c>
      <c r="AH6804">
        <v>0</v>
      </c>
      <c r="AI6804">
        <v>13.68</v>
      </c>
      <c r="AJ6804">
        <v>76</v>
      </c>
      <c r="AK6804">
        <v>0</v>
      </c>
      <c r="AL6804" t="s">
        <v>53</v>
      </c>
      <c r="AM6804" t="s">
        <v>53</v>
      </c>
      <c r="AN6804" t="s">
        <v>53</v>
      </c>
      <c r="AO6804" t="s">
        <v>53</v>
      </c>
      <c r="AP6804" t="s">
        <v>53</v>
      </c>
    </row>
    <row r="6805" spans="2:42" x14ac:dyDescent="0.2">
      <c r="B6805" t="s">
        <v>44</v>
      </c>
      <c r="C6805" t="str">
        <f>HYPERLINK("https://us2.cloudbeds.com/connect/8493803454333002#/reservations/9080486846998633?display=3EP7XQKPBD&amp;reservation_id=9080486846998633", "3EP7XQKPBD")</f>
        <v>3EP7XQKPBD</v>
      </c>
      <c r="D6805" t="s">
        <v>45</v>
      </c>
      <c r="E6805" t="s">
        <v>105</v>
      </c>
      <c r="F6805" t="s">
        <v>47</v>
      </c>
      <c r="G6805" t="s">
        <v>48</v>
      </c>
      <c r="H6805" t="s">
        <v>49</v>
      </c>
      <c r="I6805" t="s">
        <v>8964</v>
      </c>
      <c r="J6805" t="s">
        <v>10192</v>
      </c>
      <c r="K6805" t="s">
        <v>10415</v>
      </c>
      <c r="L6805" t="s">
        <v>53</v>
      </c>
      <c r="N6805" t="s">
        <v>12248</v>
      </c>
      <c r="P6805" t="s">
        <v>55</v>
      </c>
      <c r="R6805" t="s">
        <v>53</v>
      </c>
      <c r="T6805" t="s">
        <v>12249</v>
      </c>
      <c r="U6805" t="s">
        <v>55</v>
      </c>
      <c r="V6805">
        <v>1</v>
      </c>
      <c r="W6805">
        <v>1</v>
      </c>
      <c r="X6805">
        <v>2</v>
      </c>
      <c r="Y6805">
        <v>0</v>
      </c>
      <c r="Z6805">
        <v>2</v>
      </c>
      <c r="AA6805">
        <v>0</v>
      </c>
      <c r="AB6805">
        <v>0</v>
      </c>
      <c r="AC6805">
        <v>79</v>
      </c>
      <c r="AD6805">
        <v>0</v>
      </c>
      <c r="AE6805">
        <v>0</v>
      </c>
      <c r="AF6805">
        <v>0</v>
      </c>
      <c r="AG6805">
        <v>0</v>
      </c>
      <c r="AH6805">
        <v>0</v>
      </c>
      <c r="AI6805">
        <v>11.85</v>
      </c>
      <c r="AJ6805">
        <v>79</v>
      </c>
      <c r="AK6805">
        <v>79</v>
      </c>
      <c r="AL6805" t="s">
        <v>53</v>
      </c>
      <c r="AM6805" t="s">
        <v>53</v>
      </c>
      <c r="AN6805" t="s">
        <v>53</v>
      </c>
      <c r="AO6805" t="s">
        <v>53</v>
      </c>
      <c r="AP6805" t="s">
        <v>53</v>
      </c>
    </row>
    <row r="6806" spans="2:42" x14ac:dyDescent="0.2">
      <c r="B6806" t="s">
        <v>44</v>
      </c>
      <c r="C6806" t="str">
        <f>HYPERLINK("https://us2.cloudbeds.com/connect/8493803454333002#/reservations/9080486846998645?display=3EP8RUDZ25&amp;reservation_id=9080486846998645", "3EP8RUDZ25")</f>
        <v>3EP8RUDZ25</v>
      </c>
      <c r="D6806" t="s">
        <v>45</v>
      </c>
      <c r="E6806" t="s">
        <v>265</v>
      </c>
      <c r="F6806" t="s">
        <v>61</v>
      </c>
      <c r="G6806" t="s">
        <v>48</v>
      </c>
      <c r="H6806" t="s">
        <v>49</v>
      </c>
      <c r="I6806" t="s">
        <v>50</v>
      </c>
      <c r="J6806" t="s">
        <v>8047</v>
      </c>
      <c r="K6806" t="s">
        <v>10893</v>
      </c>
      <c r="L6806" t="s">
        <v>53</v>
      </c>
      <c r="N6806" t="s">
        <v>12250</v>
      </c>
      <c r="P6806" t="s">
        <v>55</v>
      </c>
      <c r="R6806" t="s">
        <v>53</v>
      </c>
      <c r="T6806" t="s">
        <v>12251</v>
      </c>
      <c r="U6806" t="s">
        <v>58</v>
      </c>
      <c r="V6806">
        <v>1</v>
      </c>
      <c r="W6806">
        <v>1</v>
      </c>
      <c r="X6806">
        <v>2</v>
      </c>
      <c r="Y6806">
        <v>0</v>
      </c>
      <c r="Z6806">
        <v>2</v>
      </c>
      <c r="AA6806">
        <v>97.17</v>
      </c>
      <c r="AB6806">
        <v>97.17</v>
      </c>
      <c r="AC6806">
        <v>85.5</v>
      </c>
      <c r="AD6806">
        <v>0</v>
      </c>
      <c r="AE6806">
        <v>11.67</v>
      </c>
      <c r="AF6806">
        <v>0</v>
      </c>
      <c r="AG6806">
        <v>0</v>
      </c>
      <c r="AH6806">
        <v>0</v>
      </c>
      <c r="AI6806">
        <v>17.489999999999998</v>
      </c>
      <c r="AJ6806">
        <v>97.17</v>
      </c>
      <c r="AK6806">
        <v>0</v>
      </c>
      <c r="AL6806" t="s">
        <v>53</v>
      </c>
      <c r="AM6806" t="s">
        <v>53</v>
      </c>
      <c r="AN6806" t="s">
        <v>53</v>
      </c>
      <c r="AO6806" t="s">
        <v>53</v>
      </c>
      <c r="AP6806" t="s">
        <v>53</v>
      </c>
    </row>
    <row r="6807" spans="2:42" x14ac:dyDescent="0.2">
      <c r="B6807" t="s">
        <v>44</v>
      </c>
      <c r="C6807" t="str">
        <f>HYPERLINK("https://us2.cloudbeds.com/connect/8493803454333002#/reservations/9080486846998679?display=3EPAHNJ4P3&amp;reservation_id=9080486846998679", "3EPAHNJ4P3")</f>
        <v>3EPAHNJ4P3</v>
      </c>
      <c r="D6807" t="s">
        <v>45</v>
      </c>
      <c r="E6807" t="s">
        <v>105</v>
      </c>
      <c r="F6807" t="s">
        <v>47</v>
      </c>
      <c r="G6807" t="s">
        <v>48</v>
      </c>
      <c r="H6807" t="s">
        <v>49</v>
      </c>
      <c r="I6807" t="s">
        <v>62</v>
      </c>
      <c r="J6807" t="s">
        <v>10415</v>
      </c>
      <c r="K6807" t="s">
        <v>10193</v>
      </c>
      <c r="L6807" t="s">
        <v>53</v>
      </c>
      <c r="N6807" t="s">
        <v>12252</v>
      </c>
      <c r="P6807" t="s">
        <v>55</v>
      </c>
      <c r="R6807" t="s">
        <v>56</v>
      </c>
      <c r="T6807" t="s">
        <v>12253</v>
      </c>
      <c r="U6807" t="s">
        <v>55</v>
      </c>
      <c r="V6807">
        <v>1</v>
      </c>
      <c r="W6807">
        <v>1</v>
      </c>
      <c r="X6807">
        <v>1</v>
      </c>
      <c r="Y6807">
        <v>0</v>
      </c>
      <c r="Z6807">
        <v>1</v>
      </c>
      <c r="AA6807">
        <v>76</v>
      </c>
      <c r="AB6807">
        <v>76</v>
      </c>
      <c r="AC6807">
        <v>76</v>
      </c>
      <c r="AD6807">
        <v>0</v>
      </c>
      <c r="AE6807">
        <v>0</v>
      </c>
      <c r="AF6807">
        <v>0</v>
      </c>
      <c r="AG6807">
        <v>0</v>
      </c>
      <c r="AH6807">
        <v>0</v>
      </c>
      <c r="AI6807">
        <v>13.68</v>
      </c>
      <c r="AJ6807">
        <v>76</v>
      </c>
      <c r="AK6807">
        <v>0</v>
      </c>
      <c r="AL6807" t="s">
        <v>53</v>
      </c>
      <c r="AM6807" t="s">
        <v>53</v>
      </c>
      <c r="AN6807" t="s">
        <v>53</v>
      </c>
      <c r="AO6807" t="s">
        <v>53</v>
      </c>
      <c r="AP6807" t="s">
        <v>53</v>
      </c>
    </row>
    <row r="6808" spans="2:42" x14ac:dyDescent="0.2">
      <c r="B6808" t="s">
        <v>44</v>
      </c>
      <c r="C6808" t="str">
        <f>HYPERLINK("https://us2.cloudbeds.com/connect/8493803454333002#/reservations/9080486846999727?display=3EREV2Z8A5&amp;reservation_id=9080486846999727", "3EREV2Z8A5")</f>
        <v>3EREV2Z8A5</v>
      </c>
      <c r="D6808" t="s">
        <v>45</v>
      </c>
      <c r="E6808" t="s">
        <v>69</v>
      </c>
      <c r="F6808" t="s">
        <v>70</v>
      </c>
      <c r="G6808" t="s">
        <v>48</v>
      </c>
      <c r="H6808" t="s">
        <v>49</v>
      </c>
      <c r="I6808" t="s">
        <v>50</v>
      </c>
      <c r="J6808" t="s">
        <v>9658</v>
      </c>
      <c r="K6808" t="s">
        <v>10776</v>
      </c>
      <c r="L6808" t="s">
        <v>53</v>
      </c>
      <c r="N6808" t="s">
        <v>12254</v>
      </c>
      <c r="P6808" t="s">
        <v>55</v>
      </c>
      <c r="R6808" t="s">
        <v>53</v>
      </c>
      <c r="T6808" t="s">
        <v>12255</v>
      </c>
      <c r="U6808" t="s">
        <v>58</v>
      </c>
      <c r="V6808">
        <v>1</v>
      </c>
      <c r="W6808">
        <v>1</v>
      </c>
      <c r="X6808">
        <v>2</v>
      </c>
      <c r="Y6808">
        <v>0</v>
      </c>
      <c r="Z6808">
        <v>2</v>
      </c>
      <c r="AA6808">
        <v>60.45</v>
      </c>
      <c r="AB6808">
        <v>60.45</v>
      </c>
      <c r="AC6808">
        <v>53.2</v>
      </c>
      <c r="AD6808">
        <v>0</v>
      </c>
      <c r="AE6808">
        <v>7.25</v>
      </c>
      <c r="AF6808">
        <v>0</v>
      </c>
      <c r="AG6808">
        <v>0</v>
      </c>
      <c r="AH6808">
        <v>0</v>
      </c>
      <c r="AI6808">
        <v>10.88</v>
      </c>
      <c r="AJ6808">
        <v>60.45</v>
      </c>
      <c r="AK6808">
        <v>0</v>
      </c>
      <c r="AL6808" t="s">
        <v>53</v>
      </c>
      <c r="AM6808" t="s">
        <v>53</v>
      </c>
      <c r="AN6808" t="s">
        <v>53</v>
      </c>
      <c r="AO6808" t="s">
        <v>53</v>
      </c>
      <c r="AP6808" t="s">
        <v>53</v>
      </c>
    </row>
    <row r="6809" spans="2:42" x14ac:dyDescent="0.2">
      <c r="B6809" t="s">
        <v>44</v>
      </c>
      <c r="C6809" t="str">
        <f>HYPERLINK("https://us2.cloudbeds.com/connect/8493803454333002#/reservations/9080486847001203?display=3ETXJ0BXQ8&amp;reservation_id=9080486847001203", "3ETXJ0BXQ8")</f>
        <v>3ETXJ0BXQ8</v>
      </c>
      <c r="D6809" t="s">
        <v>45</v>
      </c>
      <c r="E6809" t="s">
        <v>113</v>
      </c>
      <c r="F6809" t="s">
        <v>61</v>
      </c>
      <c r="G6809" t="s">
        <v>48</v>
      </c>
      <c r="H6809" t="s">
        <v>49</v>
      </c>
      <c r="I6809" t="s">
        <v>62</v>
      </c>
      <c r="J6809" t="s">
        <v>10893</v>
      </c>
      <c r="K6809" t="s">
        <v>12070</v>
      </c>
      <c r="L6809" t="s">
        <v>53</v>
      </c>
      <c r="N6809" t="s">
        <v>12256</v>
      </c>
      <c r="P6809" t="s">
        <v>55</v>
      </c>
      <c r="R6809" t="s">
        <v>56</v>
      </c>
      <c r="T6809" t="s">
        <v>12257</v>
      </c>
      <c r="U6809" t="s">
        <v>55</v>
      </c>
      <c r="V6809">
        <v>1</v>
      </c>
      <c r="W6809">
        <v>1</v>
      </c>
      <c r="X6809">
        <v>2</v>
      </c>
      <c r="Y6809">
        <v>0</v>
      </c>
      <c r="Z6809">
        <v>2</v>
      </c>
      <c r="AA6809">
        <v>86</v>
      </c>
      <c r="AB6809">
        <v>86</v>
      </c>
      <c r="AC6809">
        <v>86</v>
      </c>
      <c r="AD6809">
        <v>0</v>
      </c>
      <c r="AE6809">
        <v>0</v>
      </c>
      <c r="AF6809">
        <v>0</v>
      </c>
      <c r="AG6809">
        <v>0</v>
      </c>
      <c r="AH6809">
        <v>0</v>
      </c>
      <c r="AI6809">
        <v>15.48</v>
      </c>
      <c r="AJ6809">
        <v>86</v>
      </c>
      <c r="AK6809">
        <v>0</v>
      </c>
      <c r="AL6809" t="s">
        <v>53</v>
      </c>
      <c r="AM6809" t="s">
        <v>53</v>
      </c>
      <c r="AN6809" t="s">
        <v>53</v>
      </c>
      <c r="AO6809" t="s">
        <v>53</v>
      </c>
      <c r="AP6809" t="s">
        <v>53</v>
      </c>
    </row>
    <row r="6810" spans="2:42" x14ac:dyDescent="0.2">
      <c r="B6810" t="s">
        <v>44</v>
      </c>
      <c r="C6810" t="str">
        <f>HYPERLINK("https://us2.cloudbeds.com/connect/8493803454333002#/reservations/160269552083111?display=3EVXZHX8EJ&amp;reservation_id=160269552083111", "3EVXZHX8EJ")</f>
        <v>3EVXZHX8EJ</v>
      </c>
      <c r="D6810" t="s">
        <v>45</v>
      </c>
      <c r="E6810" t="s">
        <v>381</v>
      </c>
      <c r="F6810" t="s">
        <v>47</v>
      </c>
      <c r="G6810" t="s">
        <v>48</v>
      </c>
      <c r="H6810" t="s">
        <v>3957</v>
      </c>
      <c r="I6810" t="s">
        <v>3989</v>
      </c>
      <c r="J6810" t="s">
        <v>11370</v>
      </c>
      <c r="K6810" t="s">
        <v>12258</v>
      </c>
      <c r="L6810" t="s">
        <v>53</v>
      </c>
      <c r="P6810" t="s">
        <v>55</v>
      </c>
      <c r="R6810" t="s">
        <v>56</v>
      </c>
      <c r="T6810" t="s">
        <v>12259</v>
      </c>
      <c r="U6810" t="s">
        <v>58</v>
      </c>
      <c r="V6810">
        <v>5</v>
      </c>
      <c r="W6810">
        <v>1</v>
      </c>
      <c r="X6810">
        <v>1</v>
      </c>
      <c r="Y6810">
        <v>0</v>
      </c>
      <c r="Z6810">
        <v>1</v>
      </c>
      <c r="AA6810">
        <v>538.70000000000005</v>
      </c>
      <c r="AB6810">
        <v>546.83000000000004</v>
      </c>
      <c r="AC6810">
        <v>474</v>
      </c>
      <c r="AD6810">
        <v>7.5</v>
      </c>
      <c r="AE6810">
        <v>65.33</v>
      </c>
      <c r="AF6810">
        <v>0</v>
      </c>
      <c r="AG6810">
        <v>0</v>
      </c>
      <c r="AH6810">
        <v>0</v>
      </c>
      <c r="AI6810">
        <v>0</v>
      </c>
      <c r="AJ6810">
        <v>546.83000000000004</v>
      </c>
      <c r="AK6810">
        <v>0</v>
      </c>
      <c r="AL6810" t="s">
        <v>53</v>
      </c>
      <c r="AM6810" t="s">
        <v>53</v>
      </c>
      <c r="AN6810" t="s">
        <v>53</v>
      </c>
      <c r="AO6810" t="s">
        <v>53</v>
      </c>
      <c r="AP6810" t="s">
        <v>53</v>
      </c>
    </row>
    <row r="6811" spans="2:42" x14ac:dyDescent="0.2">
      <c r="B6811" t="s">
        <v>44</v>
      </c>
      <c r="C6811" t="str">
        <f>HYPERLINK("https://us2.cloudbeds.com/connect/8493803454333002#/reservations/9080486847003779?display=3EW5CJ52ST&amp;reservation_id=9080486847003779", "3EW5CJ52ST")</f>
        <v>3EW5CJ52ST</v>
      </c>
      <c r="D6811" t="s">
        <v>45</v>
      </c>
      <c r="E6811" t="s">
        <v>78</v>
      </c>
      <c r="F6811" t="s">
        <v>61</v>
      </c>
      <c r="G6811" t="s">
        <v>48</v>
      </c>
      <c r="H6811" t="s">
        <v>49</v>
      </c>
      <c r="I6811" t="s">
        <v>8964</v>
      </c>
      <c r="J6811" t="s">
        <v>10893</v>
      </c>
      <c r="K6811" t="s">
        <v>12070</v>
      </c>
      <c r="L6811" t="s">
        <v>53</v>
      </c>
      <c r="N6811" t="s">
        <v>12260</v>
      </c>
      <c r="P6811" t="s">
        <v>55</v>
      </c>
      <c r="R6811" t="s">
        <v>53</v>
      </c>
      <c r="T6811" t="s">
        <v>12261</v>
      </c>
      <c r="U6811" t="s">
        <v>55</v>
      </c>
      <c r="V6811">
        <v>1</v>
      </c>
      <c r="W6811">
        <v>1</v>
      </c>
      <c r="X6811">
        <v>2</v>
      </c>
      <c r="Y6811">
        <v>0</v>
      </c>
      <c r="Z6811">
        <v>2</v>
      </c>
      <c r="AA6811">
        <v>0</v>
      </c>
      <c r="AB6811">
        <v>0</v>
      </c>
      <c r="AC6811">
        <v>89</v>
      </c>
      <c r="AD6811">
        <v>0</v>
      </c>
      <c r="AE6811">
        <v>0</v>
      </c>
      <c r="AF6811">
        <v>0</v>
      </c>
      <c r="AG6811">
        <v>0</v>
      </c>
      <c r="AH6811">
        <v>0</v>
      </c>
      <c r="AI6811">
        <v>13.35</v>
      </c>
      <c r="AJ6811">
        <v>89</v>
      </c>
      <c r="AK6811">
        <v>89</v>
      </c>
      <c r="AL6811" t="s">
        <v>53</v>
      </c>
      <c r="AM6811" t="s">
        <v>53</v>
      </c>
      <c r="AN6811" t="s">
        <v>53</v>
      </c>
      <c r="AO6811" t="s">
        <v>53</v>
      </c>
      <c r="AP6811" t="s">
        <v>53</v>
      </c>
    </row>
    <row r="6812" spans="2:42" x14ac:dyDescent="0.2">
      <c r="B6812" t="s">
        <v>44</v>
      </c>
      <c r="C6812" t="str">
        <f>HYPERLINK("https://us2.cloudbeds.com/connect/8493803454333002#/reservations/9080486847003981?display=3EWCZNVVSR&amp;reservation_id=9080486847003981", "3EWCZNVVSR")</f>
        <v>3EWCZNVVSR</v>
      </c>
      <c r="D6812" t="s">
        <v>45</v>
      </c>
      <c r="E6812" t="s">
        <v>190</v>
      </c>
      <c r="F6812" t="s">
        <v>61</v>
      </c>
      <c r="G6812" t="s">
        <v>48</v>
      </c>
      <c r="H6812" t="s">
        <v>49</v>
      </c>
      <c r="I6812" t="s">
        <v>50</v>
      </c>
      <c r="J6812" t="s">
        <v>10893</v>
      </c>
      <c r="K6812" t="s">
        <v>12070</v>
      </c>
      <c r="L6812" t="s">
        <v>53</v>
      </c>
      <c r="N6812" t="s">
        <v>12262</v>
      </c>
      <c r="P6812" t="s">
        <v>55</v>
      </c>
      <c r="R6812" t="s">
        <v>53</v>
      </c>
      <c r="T6812" t="s">
        <v>12263</v>
      </c>
      <c r="U6812" t="s">
        <v>58</v>
      </c>
      <c r="V6812">
        <v>1</v>
      </c>
      <c r="W6812">
        <v>1</v>
      </c>
      <c r="X6812">
        <v>2</v>
      </c>
      <c r="Y6812">
        <v>0</v>
      </c>
      <c r="Z6812">
        <v>2</v>
      </c>
      <c r="AA6812">
        <v>87.96</v>
      </c>
      <c r="AB6812">
        <v>87.96</v>
      </c>
      <c r="AC6812">
        <v>77.400000000000006</v>
      </c>
      <c r="AD6812">
        <v>0</v>
      </c>
      <c r="AE6812">
        <v>10.56</v>
      </c>
      <c r="AF6812">
        <v>0</v>
      </c>
      <c r="AG6812">
        <v>0</v>
      </c>
      <c r="AH6812">
        <v>0</v>
      </c>
      <c r="AI6812">
        <v>15.83</v>
      </c>
      <c r="AJ6812">
        <v>87.96</v>
      </c>
      <c r="AK6812">
        <v>0</v>
      </c>
      <c r="AL6812" t="s">
        <v>53</v>
      </c>
      <c r="AM6812" t="s">
        <v>53</v>
      </c>
      <c r="AN6812" t="s">
        <v>53</v>
      </c>
      <c r="AO6812" t="s">
        <v>53</v>
      </c>
      <c r="AP6812" t="s">
        <v>53</v>
      </c>
    </row>
    <row r="6813" spans="2:42" x14ac:dyDescent="0.2">
      <c r="B6813" t="s">
        <v>44</v>
      </c>
      <c r="C6813" t="str">
        <f>HYPERLINK("https://us2.cloudbeds.com/connect/8493803454333002#/reservations/160321395216604?display=3EWPT81SKR&amp;reservation_id=160321395216604", "3EWPT81SKR")</f>
        <v>3EWPT81SKR</v>
      </c>
      <c r="D6813" t="s">
        <v>45</v>
      </c>
      <c r="E6813" t="s">
        <v>110</v>
      </c>
      <c r="F6813" t="s">
        <v>47</v>
      </c>
      <c r="G6813" t="s">
        <v>48</v>
      </c>
      <c r="H6813" t="s">
        <v>3957</v>
      </c>
      <c r="I6813" t="s">
        <v>3975</v>
      </c>
      <c r="J6813" t="s">
        <v>10893</v>
      </c>
      <c r="K6813" t="s">
        <v>12070</v>
      </c>
      <c r="L6813" t="s">
        <v>53</v>
      </c>
      <c r="P6813" t="s">
        <v>55</v>
      </c>
      <c r="R6813" t="s">
        <v>56</v>
      </c>
      <c r="T6813" t="s">
        <v>12264</v>
      </c>
      <c r="U6813" t="s">
        <v>58</v>
      </c>
      <c r="V6813">
        <v>1</v>
      </c>
      <c r="W6813">
        <v>1</v>
      </c>
      <c r="X6813">
        <v>1</v>
      </c>
      <c r="Y6813">
        <v>0</v>
      </c>
      <c r="Z6813">
        <v>1</v>
      </c>
      <c r="AA6813">
        <v>86.37</v>
      </c>
      <c r="AB6813">
        <v>86.37</v>
      </c>
      <c r="AC6813">
        <v>66</v>
      </c>
      <c r="AD6813">
        <v>0</v>
      </c>
      <c r="AE6813">
        <v>10.37</v>
      </c>
      <c r="AF6813">
        <v>0</v>
      </c>
      <c r="AG6813">
        <v>0</v>
      </c>
      <c r="AH6813">
        <v>0</v>
      </c>
      <c r="AI6813">
        <v>0</v>
      </c>
      <c r="AJ6813">
        <v>76.37</v>
      </c>
      <c r="AK6813">
        <v>0</v>
      </c>
      <c r="AL6813" t="s">
        <v>53</v>
      </c>
      <c r="AM6813" t="s">
        <v>53</v>
      </c>
      <c r="AN6813" t="s">
        <v>53</v>
      </c>
      <c r="AO6813" t="s">
        <v>53</v>
      </c>
      <c r="AP6813" t="s">
        <v>53</v>
      </c>
    </row>
    <row r="6814" spans="2:42" x14ac:dyDescent="0.2">
      <c r="B6814" t="s">
        <v>44</v>
      </c>
      <c r="C6814" t="str">
        <f>HYPERLINK("https://us2.cloudbeds.com/connect/8493803454333002#/reservations/9080486847004438?display=3F00Y57GVM&amp;reservation_id=9080486847004438", "3F00Y57GVM")</f>
        <v>3F00Y57GVM</v>
      </c>
      <c r="D6814" t="s">
        <v>45</v>
      </c>
      <c r="E6814" t="s">
        <v>105</v>
      </c>
      <c r="F6814" t="s">
        <v>47</v>
      </c>
      <c r="G6814" t="s">
        <v>48</v>
      </c>
      <c r="H6814" t="s">
        <v>49</v>
      </c>
      <c r="I6814" t="s">
        <v>62</v>
      </c>
      <c r="J6814" t="s">
        <v>10893</v>
      </c>
      <c r="K6814" t="s">
        <v>12070</v>
      </c>
      <c r="L6814" t="s">
        <v>53</v>
      </c>
      <c r="N6814" t="s">
        <v>12265</v>
      </c>
      <c r="P6814" t="s">
        <v>55</v>
      </c>
      <c r="R6814" t="s">
        <v>56</v>
      </c>
      <c r="T6814" t="s">
        <v>12266</v>
      </c>
      <c r="U6814" t="s">
        <v>55</v>
      </c>
      <c r="V6814">
        <v>1</v>
      </c>
      <c r="W6814">
        <v>1</v>
      </c>
      <c r="X6814">
        <v>2</v>
      </c>
      <c r="Y6814">
        <v>0</v>
      </c>
      <c r="Z6814">
        <v>2</v>
      </c>
      <c r="AA6814">
        <v>76</v>
      </c>
      <c r="AB6814">
        <v>76</v>
      </c>
      <c r="AC6814">
        <v>76</v>
      </c>
      <c r="AD6814">
        <v>0</v>
      </c>
      <c r="AE6814">
        <v>0</v>
      </c>
      <c r="AF6814">
        <v>0</v>
      </c>
      <c r="AG6814">
        <v>0</v>
      </c>
      <c r="AH6814">
        <v>0</v>
      </c>
      <c r="AI6814">
        <v>13.68</v>
      </c>
      <c r="AJ6814">
        <v>76</v>
      </c>
      <c r="AK6814">
        <v>0</v>
      </c>
      <c r="AL6814" t="s">
        <v>53</v>
      </c>
      <c r="AM6814" t="s">
        <v>53</v>
      </c>
      <c r="AN6814" t="s">
        <v>53</v>
      </c>
      <c r="AO6814" t="s">
        <v>53</v>
      </c>
      <c r="AP6814" t="s">
        <v>53</v>
      </c>
    </row>
    <row r="6815" spans="2:42" x14ac:dyDescent="0.2">
      <c r="B6815" t="s">
        <v>44</v>
      </c>
      <c r="C6815" t="str">
        <f>HYPERLINK("https://us2.cloudbeds.com/connect/8493803454333002#/reservations/9080486847004904?display=3F0NRQZ9PG&amp;reservation_id=9080486847004904", "3F0NRQZ9PG")</f>
        <v>3F0NRQZ9PG</v>
      </c>
      <c r="D6815" t="s">
        <v>45</v>
      </c>
      <c r="E6815" t="s">
        <v>138</v>
      </c>
      <c r="F6815" t="s">
        <v>70</v>
      </c>
      <c r="G6815" t="s">
        <v>48</v>
      </c>
      <c r="H6815" t="s">
        <v>49</v>
      </c>
      <c r="I6815" t="s">
        <v>50</v>
      </c>
      <c r="J6815" t="s">
        <v>11998</v>
      </c>
      <c r="K6815" t="s">
        <v>8866</v>
      </c>
      <c r="L6815" t="s">
        <v>53</v>
      </c>
      <c r="N6815" t="s">
        <v>12267</v>
      </c>
      <c r="P6815" t="s">
        <v>55</v>
      </c>
      <c r="R6815" t="s">
        <v>53</v>
      </c>
      <c r="T6815" t="s">
        <v>12268</v>
      </c>
      <c r="U6815" t="s">
        <v>58</v>
      </c>
      <c r="V6815">
        <v>1</v>
      </c>
      <c r="W6815">
        <v>1</v>
      </c>
      <c r="X6815">
        <v>1</v>
      </c>
      <c r="Y6815">
        <v>0</v>
      </c>
      <c r="Z6815">
        <v>1</v>
      </c>
      <c r="AA6815">
        <v>71.61</v>
      </c>
      <c r="AB6815">
        <v>71.61</v>
      </c>
      <c r="AC6815">
        <v>63</v>
      </c>
      <c r="AD6815">
        <v>0</v>
      </c>
      <c r="AE6815">
        <v>8.61</v>
      </c>
      <c r="AF6815">
        <v>0</v>
      </c>
      <c r="AG6815">
        <v>0</v>
      </c>
      <c r="AH6815">
        <v>0</v>
      </c>
      <c r="AI6815">
        <v>12.89</v>
      </c>
      <c r="AJ6815">
        <v>71.61</v>
      </c>
      <c r="AK6815">
        <v>0</v>
      </c>
      <c r="AL6815" t="s">
        <v>53</v>
      </c>
      <c r="AM6815" t="s">
        <v>53</v>
      </c>
      <c r="AN6815" t="s">
        <v>53</v>
      </c>
      <c r="AO6815" t="s">
        <v>53</v>
      </c>
      <c r="AP6815" t="s">
        <v>53</v>
      </c>
    </row>
    <row r="6816" spans="2:42" x14ac:dyDescent="0.2">
      <c r="B6816" t="s">
        <v>44</v>
      </c>
      <c r="C6816" t="str">
        <f>HYPERLINK("https://us2.cloudbeds.com/connect/8493803454333002#/reservations/9080486847004906?display=3F0NU3HY4X&amp;reservation_id=9080486847004906", "3F0NU3HY4X")</f>
        <v>3F0NU3HY4X</v>
      </c>
      <c r="D6816" t="s">
        <v>45</v>
      </c>
      <c r="E6816" t="s">
        <v>69</v>
      </c>
      <c r="F6816" t="s">
        <v>70</v>
      </c>
      <c r="G6816" t="s">
        <v>48</v>
      </c>
      <c r="H6816" t="s">
        <v>49</v>
      </c>
      <c r="I6816" t="s">
        <v>8964</v>
      </c>
      <c r="J6816" t="s">
        <v>10170</v>
      </c>
      <c r="K6816" t="s">
        <v>12269</v>
      </c>
      <c r="L6816" t="s">
        <v>53</v>
      </c>
      <c r="N6816" t="s">
        <v>12270</v>
      </c>
      <c r="P6816" t="s">
        <v>58</v>
      </c>
      <c r="R6816" t="s">
        <v>53</v>
      </c>
      <c r="T6816" t="s">
        <v>12271</v>
      </c>
      <c r="U6816" t="s">
        <v>55</v>
      </c>
      <c r="V6816">
        <v>1</v>
      </c>
      <c r="W6816">
        <v>1</v>
      </c>
      <c r="X6816">
        <v>2</v>
      </c>
      <c r="Y6816">
        <v>0</v>
      </c>
      <c r="Z6816">
        <v>2</v>
      </c>
      <c r="AA6816">
        <v>0</v>
      </c>
      <c r="AB6816">
        <v>0</v>
      </c>
      <c r="AC6816">
        <v>133</v>
      </c>
      <c r="AD6816">
        <v>0</v>
      </c>
      <c r="AE6816">
        <v>0</v>
      </c>
      <c r="AF6816">
        <v>0</v>
      </c>
      <c r="AG6816">
        <v>0</v>
      </c>
      <c r="AH6816">
        <v>0</v>
      </c>
      <c r="AI6816">
        <v>19.95</v>
      </c>
      <c r="AJ6816">
        <v>133</v>
      </c>
      <c r="AK6816">
        <v>133</v>
      </c>
      <c r="AL6816" t="s">
        <v>53</v>
      </c>
      <c r="AM6816" t="s">
        <v>53</v>
      </c>
      <c r="AN6816" t="s">
        <v>53</v>
      </c>
      <c r="AO6816" t="s">
        <v>53</v>
      </c>
      <c r="AP6816" t="s">
        <v>53</v>
      </c>
    </row>
    <row r="6817" spans="2:42" x14ac:dyDescent="0.2">
      <c r="B6817" t="s">
        <v>44</v>
      </c>
      <c r="C6817" t="str">
        <f>HYPERLINK("https://us2.cloudbeds.com/connect/8493803454333002#/reservations/9080486847004980?display=3F0RFEVEFF&amp;reservation_id=9080486847004980", "3F0RFEVEFF")</f>
        <v>3F0RFEVEFF</v>
      </c>
      <c r="D6817" t="s">
        <v>45</v>
      </c>
      <c r="E6817" t="s">
        <v>128</v>
      </c>
      <c r="F6817" t="s">
        <v>86</v>
      </c>
      <c r="G6817" t="s">
        <v>48</v>
      </c>
      <c r="H6817" t="s">
        <v>49</v>
      </c>
      <c r="I6817" t="s">
        <v>50</v>
      </c>
      <c r="J6817" t="s">
        <v>10893</v>
      </c>
      <c r="K6817" t="s">
        <v>12070</v>
      </c>
      <c r="L6817" t="s">
        <v>53</v>
      </c>
      <c r="N6817" t="s">
        <v>12272</v>
      </c>
      <c r="P6817" t="s">
        <v>55</v>
      </c>
      <c r="R6817" t="s">
        <v>53</v>
      </c>
      <c r="T6817" t="s">
        <v>12273</v>
      </c>
      <c r="U6817" t="s">
        <v>58</v>
      </c>
      <c r="V6817">
        <v>1</v>
      </c>
      <c r="W6817">
        <v>1</v>
      </c>
      <c r="X6817">
        <v>2</v>
      </c>
      <c r="Y6817">
        <v>0</v>
      </c>
      <c r="Z6817">
        <v>2</v>
      </c>
      <c r="AA6817">
        <v>95.64</v>
      </c>
      <c r="AB6817">
        <v>95.64</v>
      </c>
      <c r="AC6817">
        <v>84.15</v>
      </c>
      <c r="AD6817">
        <v>0</v>
      </c>
      <c r="AE6817">
        <v>11.49</v>
      </c>
      <c r="AF6817">
        <v>0</v>
      </c>
      <c r="AG6817">
        <v>0</v>
      </c>
      <c r="AH6817">
        <v>0</v>
      </c>
      <c r="AI6817">
        <v>17.22</v>
      </c>
      <c r="AJ6817">
        <v>95.64</v>
      </c>
      <c r="AK6817">
        <v>0</v>
      </c>
      <c r="AL6817" t="s">
        <v>53</v>
      </c>
      <c r="AM6817" t="s">
        <v>53</v>
      </c>
      <c r="AN6817" t="s">
        <v>53</v>
      </c>
      <c r="AO6817" t="s">
        <v>53</v>
      </c>
      <c r="AP6817" t="s">
        <v>53</v>
      </c>
    </row>
    <row r="6818" spans="2:42" x14ac:dyDescent="0.2">
      <c r="B6818" t="s">
        <v>44</v>
      </c>
      <c r="C6818" t="str">
        <f>HYPERLINK("https://us2.cloudbeds.com/connect/8493803454333002#/reservations/9080486847005070?display=3F0V90FWQN&amp;reservation_id=9080486847005070", "3F0V90FWQN")</f>
        <v>3F0V90FWQN</v>
      </c>
      <c r="D6818" t="s">
        <v>45</v>
      </c>
      <c r="E6818" t="s">
        <v>213</v>
      </c>
      <c r="F6818" t="s">
        <v>86</v>
      </c>
      <c r="G6818" t="s">
        <v>48</v>
      </c>
      <c r="H6818" t="s">
        <v>49</v>
      </c>
      <c r="I6818" t="s">
        <v>50</v>
      </c>
      <c r="J6818" t="s">
        <v>12070</v>
      </c>
      <c r="K6818" t="s">
        <v>12225</v>
      </c>
      <c r="L6818" t="s">
        <v>53</v>
      </c>
      <c r="N6818" t="s">
        <v>12274</v>
      </c>
      <c r="P6818" t="s">
        <v>55</v>
      </c>
      <c r="R6818" t="s">
        <v>53</v>
      </c>
      <c r="T6818" t="s">
        <v>12275</v>
      </c>
      <c r="U6818" t="s">
        <v>58</v>
      </c>
      <c r="V6818">
        <v>1</v>
      </c>
      <c r="W6818">
        <v>1</v>
      </c>
      <c r="X6818">
        <v>2</v>
      </c>
      <c r="Y6818">
        <v>2</v>
      </c>
      <c r="Z6818">
        <v>4</v>
      </c>
      <c r="AA6818">
        <v>101.26</v>
      </c>
      <c r="AB6818">
        <v>101.26</v>
      </c>
      <c r="AC6818">
        <v>89.1</v>
      </c>
      <c r="AD6818">
        <v>0</v>
      </c>
      <c r="AE6818">
        <v>12.16</v>
      </c>
      <c r="AF6818">
        <v>0</v>
      </c>
      <c r="AG6818">
        <v>0</v>
      </c>
      <c r="AH6818">
        <v>0</v>
      </c>
      <c r="AI6818">
        <v>18.23</v>
      </c>
      <c r="AJ6818">
        <v>101.26</v>
      </c>
      <c r="AK6818">
        <v>0</v>
      </c>
      <c r="AL6818" t="s">
        <v>53</v>
      </c>
      <c r="AM6818" t="s">
        <v>53</v>
      </c>
      <c r="AN6818" t="s">
        <v>53</v>
      </c>
      <c r="AO6818" t="s">
        <v>53</v>
      </c>
      <c r="AP6818" t="s">
        <v>53</v>
      </c>
    </row>
    <row r="6819" spans="2:42" x14ac:dyDescent="0.2">
      <c r="B6819" t="s">
        <v>44</v>
      </c>
      <c r="C6819" t="str">
        <f>HYPERLINK("https://us2.cloudbeds.com/connect/8493803454333002#/reservations/9080486847005120?display=3F11E5T0H9&amp;reservation_id=9080486847005120", "3F11E5T0H9")</f>
        <v>3F11E5T0H9</v>
      </c>
      <c r="D6819" t="s">
        <v>45</v>
      </c>
      <c r="E6819" t="s">
        <v>223</v>
      </c>
      <c r="F6819" t="s">
        <v>47</v>
      </c>
      <c r="G6819" t="s">
        <v>48</v>
      </c>
      <c r="H6819" t="s">
        <v>49</v>
      </c>
      <c r="I6819" t="s">
        <v>50</v>
      </c>
      <c r="J6819" t="s">
        <v>12070</v>
      </c>
      <c r="K6819" t="s">
        <v>10193</v>
      </c>
      <c r="L6819" t="s">
        <v>53</v>
      </c>
      <c r="N6819" t="s">
        <v>12276</v>
      </c>
      <c r="P6819" t="s">
        <v>55</v>
      </c>
      <c r="R6819" t="s">
        <v>53</v>
      </c>
      <c r="T6819" t="s">
        <v>12277</v>
      </c>
      <c r="U6819" t="s">
        <v>58</v>
      </c>
      <c r="V6819">
        <v>4</v>
      </c>
      <c r="W6819">
        <v>1</v>
      </c>
      <c r="X6819">
        <v>2</v>
      </c>
      <c r="Y6819">
        <v>0</v>
      </c>
      <c r="Z6819">
        <v>2</v>
      </c>
      <c r="AA6819">
        <v>310.92</v>
      </c>
      <c r="AB6819">
        <v>310.92</v>
      </c>
      <c r="AC6819">
        <v>273.60000000000002</v>
      </c>
      <c r="AD6819">
        <v>0</v>
      </c>
      <c r="AE6819">
        <v>37.32</v>
      </c>
      <c r="AF6819">
        <v>0</v>
      </c>
      <c r="AG6819">
        <v>0</v>
      </c>
      <c r="AH6819">
        <v>0</v>
      </c>
      <c r="AI6819">
        <v>55.97</v>
      </c>
      <c r="AJ6819">
        <v>310.92</v>
      </c>
      <c r="AK6819">
        <v>0</v>
      </c>
      <c r="AL6819" t="s">
        <v>53</v>
      </c>
      <c r="AM6819" t="s">
        <v>53</v>
      </c>
      <c r="AN6819" t="s">
        <v>53</v>
      </c>
      <c r="AO6819" t="s">
        <v>53</v>
      </c>
      <c r="AP6819" t="s">
        <v>53</v>
      </c>
    </row>
    <row r="6820" spans="2:42" x14ac:dyDescent="0.2">
      <c r="B6820" t="s">
        <v>44</v>
      </c>
      <c r="C6820" t="str">
        <f>HYPERLINK("https://us2.cloudbeds.com/connect/8493803454333002#/reservations/160567624364255?display=3F5XHVWSMJ&amp;reservation_id=160567624364255", "3F5XHVWSMJ")</f>
        <v>3F5XHVWSMJ</v>
      </c>
      <c r="D6820" t="s">
        <v>45</v>
      </c>
      <c r="E6820" t="s">
        <v>12278</v>
      </c>
      <c r="F6820" t="s">
        <v>86</v>
      </c>
      <c r="G6820" t="s">
        <v>48</v>
      </c>
      <c r="H6820" t="s">
        <v>3957</v>
      </c>
      <c r="I6820" t="s">
        <v>3975</v>
      </c>
      <c r="J6820" t="s">
        <v>11482</v>
      </c>
      <c r="K6820" t="s">
        <v>10169</v>
      </c>
      <c r="L6820" t="s">
        <v>53</v>
      </c>
      <c r="P6820" t="s">
        <v>55</v>
      </c>
      <c r="R6820" t="s">
        <v>56</v>
      </c>
      <c r="T6820" t="s">
        <v>12279</v>
      </c>
      <c r="U6820" t="s">
        <v>58</v>
      </c>
      <c r="V6820">
        <v>2</v>
      </c>
      <c r="W6820">
        <v>2</v>
      </c>
      <c r="X6820">
        <v>4</v>
      </c>
      <c r="Y6820">
        <v>2</v>
      </c>
      <c r="Z6820">
        <v>6</v>
      </c>
      <c r="AA6820">
        <v>452.34</v>
      </c>
      <c r="AB6820">
        <v>452.34</v>
      </c>
      <c r="AC6820">
        <v>398</v>
      </c>
      <c r="AD6820">
        <v>0</v>
      </c>
      <c r="AE6820">
        <v>54.34</v>
      </c>
      <c r="AF6820">
        <v>0</v>
      </c>
      <c r="AG6820">
        <v>0</v>
      </c>
      <c r="AH6820">
        <v>0</v>
      </c>
      <c r="AI6820">
        <v>0</v>
      </c>
      <c r="AJ6820">
        <v>452.34</v>
      </c>
      <c r="AK6820">
        <v>0</v>
      </c>
      <c r="AL6820" t="s">
        <v>53</v>
      </c>
      <c r="AM6820" t="s">
        <v>53</v>
      </c>
      <c r="AN6820" t="s">
        <v>53</v>
      </c>
      <c r="AO6820" t="s">
        <v>53</v>
      </c>
      <c r="AP6820" t="s">
        <v>53</v>
      </c>
    </row>
    <row r="6821" spans="2:42" x14ac:dyDescent="0.2">
      <c r="B6821" t="s">
        <v>44</v>
      </c>
      <c r="C6821" t="str">
        <f>HYPERLINK("https://us2.cloudbeds.com/connect/8493803454333002#/reservations/9080486847008873?display=3F5VW1WQQ4&amp;reservation_id=9080486847008873", "3F5VW1WQQ4")</f>
        <v>3F5VW1WQQ4</v>
      </c>
      <c r="D6821" t="s">
        <v>45</v>
      </c>
      <c r="E6821" t="s">
        <v>128</v>
      </c>
      <c r="F6821" t="s">
        <v>86</v>
      </c>
      <c r="G6821" t="s">
        <v>48</v>
      </c>
      <c r="H6821" t="s">
        <v>49</v>
      </c>
      <c r="I6821" t="s">
        <v>8964</v>
      </c>
      <c r="J6821" t="s">
        <v>10193</v>
      </c>
      <c r="K6821" t="s">
        <v>11495</v>
      </c>
      <c r="L6821" t="s">
        <v>53</v>
      </c>
      <c r="N6821" t="s">
        <v>12280</v>
      </c>
      <c r="P6821" t="s">
        <v>55</v>
      </c>
      <c r="R6821" t="s">
        <v>53</v>
      </c>
      <c r="T6821" t="s">
        <v>12281</v>
      </c>
      <c r="U6821" t="s">
        <v>55</v>
      </c>
      <c r="V6821">
        <v>1</v>
      </c>
      <c r="W6821">
        <v>1</v>
      </c>
      <c r="X6821">
        <v>2</v>
      </c>
      <c r="Y6821">
        <v>0</v>
      </c>
      <c r="Z6821">
        <v>2</v>
      </c>
      <c r="AA6821">
        <v>0</v>
      </c>
      <c r="AB6821">
        <v>0</v>
      </c>
      <c r="AC6821">
        <v>123</v>
      </c>
      <c r="AD6821">
        <v>0</v>
      </c>
      <c r="AE6821">
        <v>0</v>
      </c>
      <c r="AF6821">
        <v>0</v>
      </c>
      <c r="AG6821">
        <v>0</v>
      </c>
      <c r="AH6821">
        <v>0</v>
      </c>
      <c r="AI6821">
        <v>18.45</v>
      </c>
      <c r="AJ6821">
        <v>123</v>
      </c>
      <c r="AK6821">
        <v>123</v>
      </c>
      <c r="AL6821" t="s">
        <v>53</v>
      </c>
      <c r="AM6821" t="s">
        <v>53</v>
      </c>
      <c r="AN6821" t="s">
        <v>53</v>
      </c>
      <c r="AO6821" t="s">
        <v>53</v>
      </c>
      <c r="AP6821" t="s">
        <v>53</v>
      </c>
    </row>
    <row r="6822" spans="2:42" x14ac:dyDescent="0.2">
      <c r="B6822" t="s">
        <v>44</v>
      </c>
      <c r="C6822" t="str">
        <f>HYPERLINK("https://us2.cloudbeds.com/connect/8493803454333002#/reservations/160636304695551?display=3F75NU2AT2&amp;reservation_id=160636304695551", "3F75NU2AT2")</f>
        <v>3F75NU2AT2</v>
      </c>
      <c r="D6822" t="s">
        <v>45</v>
      </c>
      <c r="E6822" t="s">
        <v>373</v>
      </c>
      <c r="F6822" t="s">
        <v>47</v>
      </c>
      <c r="G6822" t="s">
        <v>48</v>
      </c>
      <c r="H6822" t="s">
        <v>3957</v>
      </c>
      <c r="I6822" t="s">
        <v>3958</v>
      </c>
      <c r="J6822" t="s">
        <v>12070</v>
      </c>
      <c r="K6822" t="s">
        <v>10192</v>
      </c>
      <c r="L6822" t="s">
        <v>53</v>
      </c>
      <c r="P6822" t="s">
        <v>55</v>
      </c>
      <c r="R6822" t="s">
        <v>56</v>
      </c>
      <c r="T6822" t="s">
        <v>12282</v>
      </c>
      <c r="U6822" t="s">
        <v>58</v>
      </c>
      <c r="V6822">
        <v>2</v>
      </c>
      <c r="W6822">
        <v>1</v>
      </c>
      <c r="X6822">
        <v>2</v>
      </c>
      <c r="Y6822">
        <v>0</v>
      </c>
      <c r="Z6822">
        <v>2</v>
      </c>
      <c r="AA6822">
        <v>172.74</v>
      </c>
      <c r="AB6822">
        <v>172.74</v>
      </c>
      <c r="AC6822">
        <v>152</v>
      </c>
      <c r="AD6822">
        <v>0</v>
      </c>
      <c r="AE6822">
        <v>20.74</v>
      </c>
      <c r="AF6822">
        <v>0</v>
      </c>
      <c r="AG6822">
        <v>0</v>
      </c>
      <c r="AH6822">
        <v>0</v>
      </c>
      <c r="AI6822">
        <v>0</v>
      </c>
      <c r="AJ6822">
        <v>172.74</v>
      </c>
      <c r="AK6822">
        <v>0</v>
      </c>
      <c r="AL6822" t="s">
        <v>53</v>
      </c>
      <c r="AM6822" t="s">
        <v>53</v>
      </c>
      <c r="AN6822" t="s">
        <v>12283</v>
      </c>
      <c r="AO6822" t="s">
        <v>53</v>
      </c>
      <c r="AP6822" t="s">
        <v>53</v>
      </c>
    </row>
    <row r="6823" spans="2:42" x14ac:dyDescent="0.2">
      <c r="B6823" t="s">
        <v>44</v>
      </c>
      <c r="C6823" t="str">
        <f>HYPERLINK("https://us2.cloudbeds.com/connect/8493803454333002#/reservations/160651194654943?display=3F7H8CMD5Z&amp;reservation_id=160651194654943", "3F7H8CMD5Z")</f>
        <v>3F7H8CMD5Z</v>
      </c>
      <c r="D6823" t="s">
        <v>45</v>
      </c>
      <c r="E6823" t="s">
        <v>185</v>
      </c>
      <c r="F6823" t="s">
        <v>47</v>
      </c>
      <c r="G6823" t="s">
        <v>48</v>
      </c>
      <c r="H6823" t="s">
        <v>3957</v>
      </c>
      <c r="I6823" t="s">
        <v>3958</v>
      </c>
      <c r="J6823" t="s">
        <v>12070</v>
      </c>
      <c r="K6823" t="s">
        <v>12225</v>
      </c>
      <c r="L6823" t="s">
        <v>53</v>
      </c>
      <c r="P6823" t="s">
        <v>55</v>
      </c>
      <c r="R6823" t="s">
        <v>56</v>
      </c>
      <c r="T6823" t="s">
        <v>12284</v>
      </c>
      <c r="U6823" t="s">
        <v>58</v>
      </c>
      <c r="V6823">
        <v>1</v>
      </c>
      <c r="W6823">
        <v>1</v>
      </c>
      <c r="X6823">
        <v>1</v>
      </c>
      <c r="Y6823">
        <v>0</v>
      </c>
      <c r="Z6823">
        <v>1</v>
      </c>
      <c r="AA6823">
        <v>86.37</v>
      </c>
      <c r="AB6823">
        <v>86.37</v>
      </c>
      <c r="AC6823">
        <v>76</v>
      </c>
      <c r="AD6823">
        <v>0</v>
      </c>
      <c r="AE6823">
        <v>10.37</v>
      </c>
      <c r="AF6823">
        <v>0</v>
      </c>
      <c r="AG6823">
        <v>0</v>
      </c>
      <c r="AH6823">
        <v>0</v>
      </c>
      <c r="AI6823">
        <v>0</v>
      </c>
      <c r="AJ6823">
        <v>86.37</v>
      </c>
      <c r="AK6823">
        <v>0</v>
      </c>
      <c r="AL6823" t="s">
        <v>53</v>
      </c>
      <c r="AM6823" t="s">
        <v>53</v>
      </c>
      <c r="AN6823" t="s">
        <v>53</v>
      </c>
      <c r="AO6823" t="s">
        <v>53</v>
      </c>
      <c r="AP6823" t="s">
        <v>53</v>
      </c>
    </row>
    <row r="6824" spans="2:42" x14ac:dyDescent="0.2">
      <c r="B6824" t="s">
        <v>44</v>
      </c>
      <c r="C6824" t="str">
        <f>HYPERLINK("https://us2.cloudbeds.com/connect/8493803454333002#/reservations/9080486847010958?display=3F80G60SMA&amp;reservation_id=9080486847010958", "3F80G60SMA")</f>
        <v>3F80G60SMA</v>
      </c>
      <c r="D6824" t="s">
        <v>45</v>
      </c>
      <c r="E6824" t="s">
        <v>46</v>
      </c>
      <c r="F6824" t="s">
        <v>47</v>
      </c>
      <c r="G6824" t="s">
        <v>48</v>
      </c>
      <c r="H6824" t="s">
        <v>49</v>
      </c>
      <c r="I6824" t="s">
        <v>50</v>
      </c>
      <c r="J6824" t="s">
        <v>12070</v>
      </c>
      <c r="K6824" t="s">
        <v>12225</v>
      </c>
      <c r="L6824" t="s">
        <v>53</v>
      </c>
      <c r="N6824" t="s">
        <v>12285</v>
      </c>
      <c r="P6824" t="s">
        <v>55</v>
      </c>
      <c r="R6824" t="s">
        <v>53</v>
      </c>
      <c r="T6824" t="s">
        <v>12286</v>
      </c>
      <c r="U6824" t="s">
        <v>58</v>
      </c>
      <c r="V6824">
        <v>1</v>
      </c>
      <c r="W6824">
        <v>1</v>
      </c>
      <c r="X6824">
        <v>2</v>
      </c>
      <c r="Y6824">
        <v>0</v>
      </c>
      <c r="Z6824">
        <v>2</v>
      </c>
      <c r="AA6824">
        <v>77.73</v>
      </c>
      <c r="AB6824">
        <v>77.73</v>
      </c>
      <c r="AC6824">
        <v>68.400000000000006</v>
      </c>
      <c r="AD6824">
        <v>0</v>
      </c>
      <c r="AE6824">
        <v>9.33</v>
      </c>
      <c r="AF6824">
        <v>0</v>
      </c>
      <c r="AG6824">
        <v>0</v>
      </c>
      <c r="AH6824">
        <v>0</v>
      </c>
      <c r="AI6824">
        <v>13.99</v>
      </c>
      <c r="AJ6824">
        <v>77.73</v>
      </c>
      <c r="AK6824">
        <v>0</v>
      </c>
      <c r="AL6824" t="s">
        <v>53</v>
      </c>
      <c r="AM6824" t="s">
        <v>53</v>
      </c>
      <c r="AN6824" t="s">
        <v>53</v>
      </c>
      <c r="AO6824" t="s">
        <v>53</v>
      </c>
      <c r="AP6824" t="s">
        <v>53</v>
      </c>
    </row>
    <row r="6825" spans="2:42" x14ac:dyDescent="0.2">
      <c r="B6825" t="s">
        <v>44</v>
      </c>
      <c r="C6825" t="str">
        <f>HYPERLINK("https://us2.cloudbeds.com/connect/8493803454333002#/reservations/9080486847011136?display=3F86QPMGBU&amp;reservation_id=9080486847011136", "3F86QPMGBU")</f>
        <v>3F86QPMGBU</v>
      </c>
      <c r="D6825" t="s">
        <v>45</v>
      </c>
      <c r="E6825" t="s">
        <v>138</v>
      </c>
      <c r="F6825" t="s">
        <v>70</v>
      </c>
      <c r="G6825" t="s">
        <v>48</v>
      </c>
      <c r="H6825" t="s">
        <v>49</v>
      </c>
      <c r="I6825" t="s">
        <v>50</v>
      </c>
      <c r="J6825" t="s">
        <v>10037</v>
      </c>
      <c r="K6825" t="s">
        <v>11557</v>
      </c>
      <c r="L6825" t="s">
        <v>53</v>
      </c>
      <c r="N6825" t="s">
        <v>12287</v>
      </c>
      <c r="P6825" t="s">
        <v>55</v>
      </c>
      <c r="R6825" t="s">
        <v>53</v>
      </c>
      <c r="T6825" t="s">
        <v>12288</v>
      </c>
      <c r="U6825" t="s">
        <v>58</v>
      </c>
      <c r="V6825">
        <v>1</v>
      </c>
      <c r="W6825">
        <v>1</v>
      </c>
      <c r="X6825">
        <v>1</v>
      </c>
      <c r="Y6825">
        <v>0</v>
      </c>
      <c r="Z6825">
        <v>1</v>
      </c>
      <c r="AA6825">
        <v>68.02</v>
      </c>
      <c r="AB6825">
        <v>68.02</v>
      </c>
      <c r="AC6825">
        <v>59.85</v>
      </c>
      <c r="AD6825">
        <v>0</v>
      </c>
      <c r="AE6825">
        <v>8.17</v>
      </c>
      <c r="AF6825">
        <v>0</v>
      </c>
      <c r="AG6825">
        <v>0</v>
      </c>
      <c r="AH6825">
        <v>0</v>
      </c>
      <c r="AI6825">
        <v>12.24</v>
      </c>
      <c r="AJ6825">
        <v>68.02</v>
      </c>
      <c r="AK6825">
        <v>0</v>
      </c>
      <c r="AL6825" t="s">
        <v>53</v>
      </c>
      <c r="AM6825" t="s">
        <v>53</v>
      </c>
      <c r="AN6825" t="s">
        <v>53</v>
      </c>
      <c r="AO6825" t="s">
        <v>53</v>
      </c>
      <c r="AP6825" t="s">
        <v>53</v>
      </c>
    </row>
    <row r="6826" spans="2:42" x14ac:dyDescent="0.2">
      <c r="B6826" t="s">
        <v>44</v>
      </c>
      <c r="C6826" t="str">
        <f>HYPERLINK("https://us2.cloudbeds.com/connect/8493803454333002#/reservations/9080486847011370?display=3F8XJV2TEA&amp;reservation_id=9080486847011370", "3F8XJV2TEA")</f>
        <v>3F8XJV2TEA</v>
      </c>
      <c r="D6826" t="s">
        <v>45</v>
      </c>
      <c r="E6826" t="s">
        <v>138</v>
      </c>
      <c r="F6826" t="s">
        <v>70</v>
      </c>
      <c r="G6826" t="s">
        <v>48</v>
      </c>
      <c r="H6826" t="s">
        <v>49</v>
      </c>
      <c r="I6826" t="s">
        <v>8964</v>
      </c>
      <c r="J6826" t="s">
        <v>12225</v>
      </c>
      <c r="K6826" t="s">
        <v>10192</v>
      </c>
      <c r="L6826" t="s">
        <v>53</v>
      </c>
      <c r="N6826" t="s">
        <v>12289</v>
      </c>
      <c r="P6826" t="s">
        <v>55</v>
      </c>
      <c r="R6826" t="s">
        <v>53</v>
      </c>
      <c r="T6826" t="s">
        <v>12290</v>
      </c>
      <c r="U6826" t="s">
        <v>55</v>
      </c>
      <c r="V6826">
        <v>1</v>
      </c>
      <c r="W6826">
        <v>1</v>
      </c>
      <c r="X6826">
        <v>1</v>
      </c>
      <c r="Y6826">
        <v>0</v>
      </c>
      <c r="Z6826">
        <v>1</v>
      </c>
      <c r="AA6826">
        <v>0</v>
      </c>
      <c r="AB6826">
        <v>0</v>
      </c>
      <c r="AC6826">
        <v>73</v>
      </c>
      <c r="AD6826">
        <v>0</v>
      </c>
      <c r="AE6826">
        <v>0</v>
      </c>
      <c r="AF6826">
        <v>0</v>
      </c>
      <c r="AG6826">
        <v>0</v>
      </c>
      <c r="AH6826">
        <v>0</v>
      </c>
      <c r="AI6826">
        <v>10.95</v>
      </c>
      <c r="AJ6826">
        <v>73</v>
      </c>
      <c r="AK6826">
        <v>73</v>
      </c>
      <c r="AL6826" t="s">
        <v>53</v>
      </c>
      <c r="AM6826" t="s">
        <v>53</v>
      </c>
      <c r="AN6826" t="s">
        <v>53</v>
      </c>
      <c r="AO6826" t="s">
        <v>53</v>
      </c>
      <c r="AP6826" t="s">
        <v>53</v>
      </c>
    </row>
    <row r="6827" spans="2:42" x14ac:dyDescent="0.2">
      <c r="B6827" t="s">
        <v>44</v>
      </c>
      <c r="C6827" t="str">
        <f>HYPERLINK("https://us2.cloudbeds.com/connect/8493803454333002#/reservations/9080486847011373?display=3F8XJV3067&amp;reservation_id=9080486847011373", "3F8XJV3067")</f>
        <v>3F8XJV3067</v>
      </c>
      <c r="D6827" t="s">
        <v>45</v>
      </c>
      <c r="E6827" t="s">
        <v>213</v>
      </c>
      <c r="F6827" t="s">
        <v>86</v>
      </c>
      <c r="G6827" t="s">
        <v>48</v>
      </c>
      <c r="H6827" t="s">
        <v>49</v>
      </c>
      <c r="I6827" t="s">
        <v>62</v>
      </c>
      <c r="J6827" t="s">
        <v>10487</v>
      </c>
      <c r="K6827" t="s">
        <v>10037</v>
      </c>
      <c r="L6827" t="s">
        <v>53</v>
      </c>
      <c r="N6827" t="s">
        <v>12291</v>
      </c>
      <c r="P6827" t="s">
        <v>55</v>
      </c>
      <c r="R6827" t="s">
        <v>56</v>
      </c>
      <c r="T6827" t="s">
        <v>12292</v>
      </c>
      <c r="U6827" t="s">
        <v>55</v>
      </c>
      <c r="V6827">
        <v>1</v>
      </c>
      <c r="W6827">
        <v>1</v>
      </c>
      <c r="X6827">
        <v>3</v>
      </c>
      <c r="Y6827">
        <v>0</v>
      </c>
      <c r="Z6827">
        <v>3</v>
      </c>
      <c r="AA6827">
        <v>94.05</v>
      </c>
      <c r="AB6827">
        <v>94.05</v>
      </c>
      <c r="AC6827">
        <v>94.05</v>
      </c>
      <c r="AD6827">
        <v>0</v>
      </c>
      <c r="AE6827">
        <v>0</v>
      </c>
      <c r="AF6827">
        <v>0</v>
      </c>
      <c r="AG6827">
        <v>0</v>
      </c>
      <c r="AH6827">
        <v>0</v>
      </c>
      <c r="AI6827">
        <v>16.93</v>
      </c>
      <c r="AJ6827">
        <v>94.05</v>
      </c>
      <c r="AK6827">
        <v>0</v>
      </c>
      <c r="AL6827" t="s">
        <v>53</v>
      </c>
      <c r="AM6827" t="s">
        <v>53</v>
      </c>
      <c r="AN6827" t="s">
        <v>53</v>
      </c>
      <c r="AO6827" t="s">
        <v>53</v>
      </c>
      <c r="AP6827" t="s">
        <v>53</v>
      </c>
    </row>
    <row r="6828" spans="2:42" x14ac:dyDescent="0.2">
      <c r="B6828" t="s">
        <v>44</v>
      </c>
      <c r="C6828" t="str">
        <f>HYPERLINK("https://us2.cloudbeds.com/connect/8493803454333002#/reservations/9080486847011407?display=3F8KTDRQXA&amp;reservation_id=9080486847011407", "3F8KTDRQXA")</f>
        <v>3F8KTDRQXA</v>
      </c>
      <c r="D6828" t="s">
        <v>45</v>
      </c>
      <c r="E6828" t="s">
        <v>179</v>
      </c>
      <c r="F6828" t="s">
        <v>47</v>
      </c>
      <c r="G6828" t="s">
        <v>48</v>
      </c>
      <c r="H6828" t="s">
        <v>49</v>
      </c>
      <c r="I6828" t="s">
        <v>50</v>
      </c>
      <c r="J6828" t="s">
        <v>12070</v>
      </c>
      <c r="K6828" t="s">
        <v>10192</v>
      </c>
      <c r="L6828" t="s">
        <v>53</v>
      </c>
      <c r="N6828" t="s">
        <v>12293</v>
      </c>
      <c r="P6828" t="s">
        <v>55</v>
      </c>
      <c r="R6828" t="s">
        <v>53</v>
      </c>
      <c r="T6828" t="s">
        <v>12294</v>
      </c>
      <c r="U6828" t="s">
        <v>58</v>
      </c>
      <c r="V6828">
        <v>2</v>
      </c>
      <c r="W6828">
        <v>1</v>
      </c>
      <c r="X6828">
        <v>2</v>
      </c>
      <c r="Y6828">
        <v>0</v>
      </c>
      <c r="Z6828">
        <v>2</v>
      </c>
      <c r="AA6828">
        <v>155.46</v>
      </c>
      <c r="AB6828">
        <v>155.46</v>
      </c>
      <c r="AC6828">
        <v>136.80000000000001</v>
      </c>
      <c r="AD6828">
        <v>0</v>
      </c>
      <c r="AE6828">
        <v>18.66</v>
      </c>
      <c r="AF6828">
        <v>0</v>
      </c>
      <c r="AG6828">
        <v>0</v>
      </c>
      <c r="AH6828">
        <v>0</v>
      </c>
      <c r="AI6828">
        <v>27.98</v>
      </c>
      <c r="AJ6828">
        <v>155.46</v>
      </c>
      <c r="AK6828">
        <v>0</v>
      </c>
      <c r="AL6828" t="s">
        <v>53</v>
      </c>
      <c r="AM6828" t="s">
        <v>53</v>
      </c>
      <c r="AN6828" t="s">
        <v>53</v>
      </c>
      <c r="AO6828" t="s">
        <v>53</v>
      </c>
      <c r="AP6828" t="s">
        <v>53</v>
      </c>
    </row>
    <row r="6829" spans="2:42" x14ac:dyDescent="0.2">
      <c r="B6829" t="s">
        <v>44</v>
      </c>
      <c r="C6829" t="str">
        <f>HYPERLINK("https://us2.cloudbeds.com/connect/8493803454333002#/reservations/9080486847011452?display=3F8MNFF3FU&amp;reservation_id=9080486847011452", "3F8MNFF3FU")</f>
        <v>3F8MNFF3FU</v>
      </c>
      <c r="D6829" t="s">
        <v>45</v>
      </c>
      <c r="E6829" t="s">
        <v>105</v>
      </c>
      <c r="F6829" t="s">
        <v>47</v>
      </c>
      <c r="G6829" t="s">
        <v>48</v>
      </c>
      <c r="H6829" t="s">
        <v>49</v>
      </c>
      <c r="I6829" t="s">
        <v>50</v>
      </c>
      <c r="J6829" t="s">
        <v>12070</v>
      </c>
      <c r="K6829" t="s">
        <v>12225</v>
      </c>
      <c r="L6829" t="s">
        <v>53</v>
      </c>
      <c r="N6829" t="s">
        <v>12295</v>
      </c>
      <c r="P6829" t="s">
        <v>55</v>
      </c>
      <c r="R6829" t="s">
        <v>53</v>
      </c>
      <c r="T6829" t="s">
        <v>12296</v>
      </c>
      <c r="U6829" t="s">
        <v>58</v>
      </c>
      <c r="V6829">
        <v>1</v>
      </c>
      <c r="W6829">
        <v>1</v>
      </c>
      <c r="X6829">
        <v>1</v>
      </c>
      <c r="Y6829">
        <v>0</v>
      </c>
      <c r="Z6829">
        <v>1</v>
      </c>
      <c r="AA6829">
        <v>77.73</v>
      </c>
      <c r="AB6829">
        <v>77.73</v>
      </c>
      <c r="AC6829">
        <v>68.400000000000006</v>
      </c>
      <c r="AD6829">
        <v>0</v>
      </c>
      <c r="AE6829">
        <v>9.33</v>
      </c>
      <c r="AF6829">
        <v>0</v>
      </c>
      <c r="AG6829">
        <v>0</v>
      </c>
      <c r="AH6829">
        <v>0</v>
      </c>
      <c r="AI6829">
        <v>13.99</v>
      </c>
      <c r="AJ6829">
        <v>77.73</v>
      </c>
      <c r="AK6829">
        <v>0</v>
      </c>
      <c r="AL6829" t="s">
        <v>53</v>
      </c>
      <c r="AM6829" t="s">
        <v>53</v>
      </c>
      <c r="AN6829" t="s">
        <v>53</v>
      </c>
      <c r="AO6829" t="s">
        <v>53</v>
      </c>
      <c r="AP6829" t="s">
        <v>53</v>
      </c>
    </row>
    <row r="6830" spans="2:42" x14ac:dyDescent="0.2">
      <c r="B6830" t="s">
        <v>44</v>
      </c>
      <c r="C6830" t="str">
        <f>HYPERLINK("https://us2.cloudbeds.com/connect/8493803454333002#/reservations/9080486847012184?display=3F9NBD86M6&amp;reservation_id=9080486847012184", "3F9NBD86M6")</f>
        <v>3F9NBD86M6</v>
      </c>
      <c r="D6830" t="s">
        <v>45</v>
      </c>
      <c r="E6830" t="s">
        <v>69</v>
      </c>
      <c r="F6830" t="s">
        <v>70</v>
      </c>
      <c r="G6830" t="s">
        <v>48</v>
      </c>
      <c r="H6830" t="s">
        <v>49</v>
      </c>
      <c r="I6830" t="s">
        <v>62</v>
      </c>
      <c r="J6830" t="s">
        <v>11370</v>
      </c>
      <c r="K6830" t="s">
        <v>8866</v>
      </c>
      <c r="L6830" t="s">
        <v>53</v>
      </c>
      <c r="N6830" t="s">
        <v>12297</v>
      </c>
      <c r="P6830" t="s">
        <v>55</v>
      </c>
      <c r="R6830" t="s">
        <v>56</v>
      </c>
      <c r="T6830" t="s">
        <v>12298</v>
      </c>
      <c r="U6830" t="s">
        <v>55</v>
      </c>
      <c r="V6830">
        <v>2</v>
      </c>
      <c r="W6830">
        <v>1</v>
      </c>
      <c r="X6830">
        <v>2</v>
      </c>
      <c r="Y6830">
        <v>0</v>
      </c>
      <c r="Z6830">
        <v>2</v>
      </c>
      <c r="AA6830">
        <v>140</v>
      </c>
      <c r="AB6830">
        <v>140</v>
      </c>
      <c r="AC6830">
        <v>140</v>
      </c>
      <c r="AD6830">
        <v>0</v>
      </c>
      <c r="AE6830">
        <v>0</v>
      </c>
      <c r="AF6830">
        <v>0</v>
      </c>
      <c r="AG6830">
        <v>0</v>
      </c>
      <c r="AH6830">
        <v>0</v>
      </c>
      <c r="AI6830">
        <v>25.2</v>
      </c>
      <c r="AJ6830">
        <v>140</v>
      </c>
      <c r="AK6830">
        <v>0</v>
      </c>
      <c r="AL6830" t="s">
        <v>53</v>
      </c>
      <c r="AM6830" t="s">
        <v>53</v>
      </c>
      <c r="AN6830" t="s">
        <v>53</v>
      </c>
      <c r="AO6830" t="s">
        <v>53</v>
      </c>
      <c r="AP6830" t="s">
        <v>53</v>
      </c>
    </row>
    <row r="6831" spans="2:42" x14ac:dyDescent="0.2">
      <c r="B6831" t="s">
        <v>44</v>
      </c>
      <c r="C6831" t="str">
        <f>HYPERLINK("https://us2.cloudbeds.com/connect/8493803454333002#/reservations/9080486847012331?display=3F9UP0C5FS&amp;reservation_id=9080486847012331", "3F9UP0C5FS")</f>
        <v>3F9UP0C5FS</v>
      </c>
      <c r="D6831" t="s">
        <v>45</v>
      </c>
      <c r="E6831" t="s">
        <v>113</v>
      </c>
      <c r="F6831" t="s">
        <v>61</v>
      </c>
      <c r="G6831" t="s">
        <v>48</v>
      </c>
      <c r="H6831" t="s">
        <v>49</v>
      </c>
      <c r="I6831" t="s">
        <v>8964</v>
      </c>
      <c r="J6831" t="s">
        <v>12299</v>
      </c>
      <c r="K6831" t="s">
        <v>11896</v>
      </c>
      <c r="L6831" t="s">
        <v>53</v>
      </c>
      <c r="N6831" t="s">
        <v>12300</v>
      </c>
      <c r="P6831" t="s">
        <v>55</v>
      </c>
      <c r="R6831" t="s">
        <v>53</v>
      </c>
      <c r="T6831" t="s">
        <v>12301</v>
      </c>
      <c r="U6831" t="s">
        <v>55</v>
      </c>
      <c r="V6831">
        <v>1</v>
      </c>
      <c r="W6831">
        <v>1</v>
      </c>
      <c r="X6831">
        <v>2</v>
      </c>
      <c r="Y6831">
        <v>0</v>
      </c>
      <c r="Z6831">
        <v>2</v>
      </c>
      <c r="AA6831">
        <v>0</v>
      </c>
      <c r="AB6831">
        <v>0</v>
      </c>
      <c r="AC6831">
        <v>98</v>
      </c>
      <c r="AD6831">
        <v>0</v>
      </c>
      <c r="AE6831">
        <v>0</v>
      </c>
      <c r="AF6831">
        <v>0</v>
      </c>
      <c r="AG6831">
        <v>0</v>
      </c>
      <c r="AH6831">
        <v>0</v>
      </c>
      <c r="AI6831">
        <v>14.7</v>
      </c>
      <c r="AJ6831">
        <v>98</v>
      </c>
      <c r="AK6831">
        <v>98</v>
      </c>
      <c r="AL6831" t="s">
        <v>53</v>
      </c>
      <c r="AM6831" t="s">
        <v>53</v>
      </c>
      <c r="AN6831" t="s">
        <v>53</v>
      </c>
      <c r="AO6831" t="s">
        <v>53</v>
      </c>
      <c r="AP6831" t="s">
        <v>53</v>
      </c>
    </row>
    <row r="6832" spans="2:42" x14ac:dyDescent="0.2">
      <c r="B6832" t="s">
        <v>44</v>
      </c>
      <c r="C6832" t="str">
        <f>HYPERLINK("https://us2.cloudbeds.com/connect/8493803454333002#/reservations/9080486847012863?display=3FAVTN5914&amp;reservation_id=9080486847012863", "3FAVTN5914")</f>
        <v>3FAVTN5914</v>
      </c>
      <c r="D6832" t="s">
        <v>45</v>
      </c>
      <c r="E6832" t="s">
        <v>78</v>
      </c>
      <c r="F6832" t="s">
        <v>61</v>
      </c>
      <c r="G6832" t="s">
        <v>48</v>
      </c>
      <c r="H6832" t="s">
        <v>49</v>
      </c>
      <c r="I6832" t="s">
        <v>8964</v>
      </c>
      <c r="J6832" t="s">
        <v>10881</v>
      </c>
      <c r="K6832" t="s">
        <v>10775</v>
      </c>
      <c r="L6832" t="s">
        <v>53</v>
      </c>
      <c r="N6832" t="s">
        <v>12302</v>
      </c>
      <c r="P6832" t="s">
        <v>55</v>
      </c>
      <c r="R6832" t="s">
        <v>53</v>
      </c>
      <c r="T6832" t="s">
        <v>12303</v>
      </c>
      <c r="U6832" t="s">
        <v>55</v>
      </c>
      <c r="V6832">
        <v>2</v>
      </c>
      <c r="W6832">
        <v>1</v>
      </c>
      <c r="X6832">
        <v>2</v>
      </c>
      <c r="Y6832">
        <v>0</v>
      </c>
      <c r="Z6832">
        <v>2</v>
      </c>
      <c r="AA6832">
        <v>0</v>
      </c>
      <c r="AB6832">
        <v>0</v>
      </c>
      <c r="AC6832">
        <v>196</v>
      </c>
      <c r="AD6832">
        <v>0</v>
      </c>
      <c r="AE6832">
        <v>0</v>
      </c>
      <c r="AF6832">
        <v>0</v>
      </c>
      <c r="AG6832">
        <v>0</v>
      </c>
      <c r="AH6832">
        <v>0</v>
      </c>
      <c r="AI6832">
        <v>29.4</v>
      </c>
      <c r="AJ6832">
        <v>196</v>
      </c>
      <c r="AK6832">
        <v>196</v>
      </c>
      <c r="AL6832" t="s">
        <v>53</v>
      </c>
      <c r="AM6832" t="s">
        <v>53</v>
      </c>
      <c r="AN6832" t="s">
        <v>53</v>
      </c>
      <c r="AO6832" t="s">
        <v>53</v>
      </c>
      <c r="AP6832" t="s">
        <v>53</v>
      </c>
    </row>
    <row r="6833" spans="2:42" x14ac:dyDescent="0.2">
      <c r="B6833" t="s">
        <v>44</v>
      </c>
      <c r="C6833" t="str">
        <f>HYPERLINK("https://us2.cloudbeds.com/connect/8493803454333002#/reservations/9080486847013787?display=3FC8PF73MK&amp;reservation_id=9080486847013787", "3FC8PF73MK")</f>
        <v>3FC8PF73MK</v>
      </c>
      <c r="D6833" t="s">
        <v>45</v>
      </c>
      <c r="E6833" t="s">
        <v>113</v>
      </c>
      <c r="F6833" t="s">
        <v>61</v>
      </c>
      <c r="G6833" t="s">
        <v>48</v>
      </c>
      <c r="H6833" t="s">
        <v>49</v>
      </c>
      <c r="I6833" t="s">
        <v>50</v>
      </c>
      <c r="J6833" t="s">
        <v>12225</v>
      </c>
      <c r="K6833" t="s">
        <v>10192</v>
      </c>
      <c r="L6833" t="s">
        <v>53</v>
      </c>
      <c r="N6833" t="s">
        <v>12304</v>
      </c>
      <c r="P6833" t="s">
        <v>55</v>
      </c>
      <c r="R6833" t="s">
        <v>53</v>
      </c>
      <c r="T6833" t="s">
        <v>12305</v>
      </c>
      <c r="U6833" t="s">
        <v>58</v>
      </c>
      <c r="V6833">
        <v>1</v>
      </c>
      <c r="W6833">
        <v>1</v>
      </c>
      <c r="X6833">
        <v>1</v>
      </c>
      <c r="Y6833">
        <v>0</v>
      </c>
      <c r="Z6833">
        <v>1</v>
      </c>
      <c r="AA6833">
        <v>78.2</v>
      </c>
      <c r="AB6833">
        <v>78.2</v>
      </c>
      <c r="AC6833">
        <v>68.8</v>
      </c>
      <c r="AD6833">
        <v>0</v>
      </c>
      <c r="AE6833">
        <v>9.4</v>
      </c>
      <c r="AF6833">
        <v>0</v>
      </c>
      <c r="AG6833">
        <v>0</v>
      </c>
      <c r="AH6833">
        <v>0</v>
      </c>
      <c r="AI6833">
        <v>14.08</v>
      </c>
      <c r="AJ6833">
        <v>78.2</v>
      </c>
      <c r="AK6833">
        <v>0</v>
      </c>
      <c r="AL6833" t="s">
        <v>53</v>
      </c>
      <c r="AM6833" t="s">
        <v>53</v>
      </c>
      <c r="AN6833" t="s">
        <v>53</v>
      </c>
      <c r="AO6833" t="s">
        <v>53</v>
      </c>
      <c r="AP6833" t="s">
        <v>53</v>
      </c>
    </row>
    <row r="6834" spans="2:42" x14ac:dyDescent="0.2">
      <c r="B6834" t="s">
        <v>44</v>
      </c>
      <c r="C6834" t="str">
        <f>HYPERLINK("https://us2.cloudbeds.com/connect/8493803454333002#/reservations/9080486847015705?display=3FE6Z01JA7&amp;reservation_id=9080486847015705", "3FE6Z01JA7")</f>
        <v>3FE6Z01JA7</v>
      </c>
      <c r="D6834" t="s">
        <v>45</v>
      </c>
      <c r="E6834" t="s">
        <v>138</v>
      </c>
      <c r="F6834" t="s">
        <v>70</v>
      </c>
      <c r="G6834" t="s">
        <v>48</v>
      </c>
      <c r="H6834" t="s">
        <v>49</v>
      </c>
      <c r="I6834" t="s">
        <v>62</v>
      </c>
      <c r="J6834" t="s">
        <v>10193</v>
      </c>
      <c r="K6834" t="s">
        <v>11321</v>
      </c>
      <c r="L6834" t="s">
        <v>53</v>
      </c>
      <c r="N6834" t="s">
        <v>12306</v>
      </c>
      <c r="P6834" t="s">
        <v>55</v>
      </c>
      <c r="R6834" t="s">
        <v>56</v>
      </c>
      <c r="T6834" t="s">
        <v>12307</v>
      </c>
      <c r="U6834" t="s">
        <v>55</v>
      </c>
      <c r="V6834">
        <v>2</v>
      </c>
      <c r="W6834">
        <v>1</v>
      </c>
      <c r="X6834">
        <v>2</v>
      </c>
      <c r="Y6834">
        <v>0</v>
      </c>
      <c r="Z6834">
        <v>2</v>
      </c>
      <c r="AA6834">
        <v>161</v>
      </c>
      <c r="AB6834">
        <v>161</v>
      </c>
      <c r="AC6834">
        <v>161</v>
      </c>
      <c r="AD6834">
        <v>0</v>
      </c>
      <c r="AE6834">
        <v>0</v>
      </c>
      <c r="AF6834">
        <v>0</v>
      </c>
      <c r="AG6834">
        <v>0</v>
      </c>
      <c r="AH6834">
        <v>0</v>
      </c>
      <c r="AI6834">
        <v>28.98</v>
      </c>
      <c r="AJ6834">
        <v>161</v>
      </c>
      <c r="AK6834">
        <v>0</v>
      </c>
      <c r="AL6834" t="s">
        <v>53</v>
      </c>
      <c r="AM6834" t="s">
        <v>53</v>
      </c>
      <c r="AN6834" t="s">
        <v>53</v>
      </c>
      <c r="AO6834" t="s">
        <v>53</v>
      </c>
      <c r="AP6834" t="s">
        <v>53</v>
      </c>
    </row>
    <row r="6835" spans="2:42" x14ac:dyDescent="0.2">
      <c r="B6835" t="s">
        <v>44</v>
      </c>
      <c r="C6835" t="str">
        <f>HYPERLINK("https://us2.cloudbeds.com/connect/8493803454333002#/reservations/9080486847015775?display=3FE8P67FN8&amp;reservation_id=9080486847015775", "3FE8P67FN8")</f>
        <v>3FE8P67FN8</v>
      </c>
      <c r="D6835" t="s">
        <v>45</v>
      </c>
      <c r="E6835" t="s">
        <v>381</v>
      </c>
      <c r="F6835" t="s">
        <v>47</v>
      </c>
      <c r="G6835" t="s">
        <v>48</v>
      </c>
      <c r="H6835" t="s">
        <v>49</v>
      </c>
      <c r="I6835" t="s">
        <v>50</v>
      </c>
      <c r="J6835" t="s">
        <v>10590</v>
      </c>
      <c r="K6835" t="s">
        <v>10591</v>
      </c>
      <c r="L6835" t="s">
        <v>53</v>
      </c>
      <c r="N6835" t="s">
        <v>12308</v>
      </c>
      <c r="P6835" t="s">
        <v>55</v>
      </c>
      <c r="R6835" t="s">
        <v>53</v>
      </c>
      <c r="T6835" t="s">
        <v>12309</v>
      </c>
      <c r="U6835" t="s">
        <v>58</v>
      </c>
      <c r="V6835">
        <v>2</v>
      </c>
      <c r="W6835">
        <v>1</v>
      </c>
      <c r="X6835">
        <v>2</v>
      </c>
      <c r="Y6835">
        <v>0</v>
      </c>
      <c r="Z6835">
        <v>2</v>
      </c>
      <c r="AA6835">
        <v>143.22</v>
      </c>
      <c r="AB6835">
        <v>143.22</v>
      </c>
      <c r="AC6835">
        <v>126</v>
      </c>
      <c r="AD6835">
        <v>0</v>
      </c>
      <c r="AE6835">
        <v>17.22</v>
      </c>
      <c r="AF6835">
        <v>0</v>
      </c>
      <c r="AG6835">
        <v>0</v>
      </c>
      <c r="AH6835">
        <v>0</v>
      </c>
      <c r="AI6835">
        <v>25.78</v>
      </c>
      <c r="AJ6835">
        <v>143.22</v>
      </c>
      <c r="AK6835">
        <v>0</v>
      </c>
      <c r="AL6835" t="s">
        <v>53</v>
      </c>
      <c r="AM6835" t="s">
        <v>53</v>
      </c>
      <c r="AN6835" t="s">
        <v>53</v>
      </c>
      <c r="AO6835" t="s">
        <v>53</v>
      </c>
      <c r="AP6835" t="s">
        <v>53</v>
      </c>
    </row>
    <row r="6836" spans="2:42" x14ac:dyDescent="0.2">
      <c r="B6836" t="s">
        <v>44</v>
      </c>
      <c r="C6836" t="str">
        <f>HYPERLINK("https://us2.cloudbeds.com/connect/8493803454333002#/reservations/161022802165963?display=3FG7WQW610&amp;reservation_id=161022802165963", "3FG7WQW610")</f>
        <v>3FG7WQW610</v>
      </c>
      <c r="D6836" t="s">
        <v>45</v>
      </c>
      <c r="E6836" t="s">
        <v>128</v>
      </c>
      <c r="F6836" t="s">
        <v>86</v>
      </c>
      <c r="G6836" t="s">
        <v>48</v>
      </c>
      <c r="H6836" t="s">
        <v>3957</v>
      </c>
      <c r="I6836" t="s">
        <v>3958</v>
      </c>
      <c r="J6836" t="s">
        <v>12225</v>
      </c>
      <c r="K6836" t="s">
        <v>10415</v>
      </c>
      <c r="L6836" t="s">
        <v>53</v>
      </c>
      <c r="P6836" t="s">
        <v>55</v>
      </c>
      <c r="R6836" t="s">
        <v>56</v>
      </c>
      <c r="T6836" t="s">
        <v>12310</v>
      </c>
      <c r="U6836" t="s">
        <v>58</v>
      </c>
      <c r="V6836">
        <v>2</v>
      </c>
      <c r="W6836">
        <v>1</v>
      </c>
      <c r="X6836">
        <v>1</v>
      </c>
      <c r="Y6836">
        <v>0</v>
      </c>
      <c r="Z6836">
        <v>1</v>
      </c>
      <c r="AA6836">
        <v>225.04</v>
      </c>
      <c r="AB6836">
        <v>225.04</v>
      </c>
      <c r="AC6836">
        <v>198</v>
      </c>
      <c r="AD6836">
        <v>0</v>
      </c>
      <c r="AE6836">
        <v>27.04</v>
      </c>
      <c r="AF6836">
        <v>0</v>
      </c>
      <c r="AG6836">
        <v>0</v>
      </c>
      <c r="AH6836">
        <v>0</v>
      </c>
      <c r="AI6836">
        <v>0</v>
      </c>
      <c r="AJ6836">
        <v>225.04</v>
      </c>
      <c r="AK6836">
        <v>0</v>
      </c>
      <c r="AL6836" t="s">
        <v>53</v>
      </c>
      <c r="AM6836" t="s">
        <v>53</v>
      </c>
      <c r="AN6836" t="s">
        <v>53</v>
      </c>
      <c r="AO6836" t="s">
        <v>53</v>
      </c>
      <c r="AP6836" t="s">
        <v>53</v>
      </c>
    </row>
    <row r="6837" spans="2:42" x14ac:dyDescent="0.2">
      <c r="B6837" t="s">
        <v>44</v>
      </c>
      <c r="C6837" t="str">
        <f>HYPERLINK("https://us2.cloudbeds.com/connect/8493803454333002#/reservations/9080486847018163?display=3FGMTCQNQZ&amp;reservation_id=9080486847018163", "3FGMTCQNQZ")</f>
        <v>3FGMTCQNQZ</v>
      </c>
      <c r="D6837" t="s">
        <v>45</v>
      </c>
      <c r="E6837" t="s">
        <v>46</v>
      </c>
      <c r="F6837" t="s">
        <v>47</v>
      </c>
      <c r="G6837" t="s">
        <v>48</v>
      </c>
      <c r="H6837" t="s">
        <v>49</v>
      </c>
      <c r="I6837" t="s">
        <v>50</v>
      </c>
      <c r="J6837" t="s">
        <v>10415</v>
      </c>
      <c r="K6837" t="s">
        <v>10193</v>
      </c>
      <c r="L6837" t="s">
        <v>53</v>
      </c>
      <c r="N6837" t="s">
        <v>12311</v>
      </c>
      <c r="P6837" t="s">
        <v>55</v>
      </c>
      <c r="R6837" t="s">
        <v>53</v>
      </c>
      <c r="T6837" t="s">
        <v>12312</v>
      </c>
      <c r="U6837" t="s">
        <v>58</v>
      </c>
      <c r="V6837">
        <v>1</v>
      </c>
      <c r="W6837">
        <v>1</v>
      </c>
      <c r="X6837">
        <v>1</v>
      </c>
      <c r="Y6837">
        <v>0</v>
      </c>
      <c r="Z6837">
        <v>1</v>
      </c>
      <c r="AA6837">
        <v>72.55</v>
      </c>
      <c r="AB6837">
        <v>72.55</v>
      </c>
      <c r="AC6837">
        <v>63.84</v>
      </c>
      <c r="AD6837">
        <v>0</v>
      </c>
      <c r="AE6837">
        <v>8.7100000000000009</v>
      </c>
      <c r="AF6837">
        <v>0</v>
      </c>
      <c r="AG6837">
        <v>0</v>
      </c>
      <c r="AH6837">
        <v>0</v>
      </c>
      <c r="AI6837">
        <v>13.06</v>
      </c>
      <c r="AJ6837">
        <v>72.55</v>
      </c>
      <c r="AK6837">
        <v>0</v>
      </c>
      <c r="AL6837" t="s">
        <v>53</v>
      </c>
      <c r="AM6837" t="s">
        <v>53</v>
      </c>
      <c r="AN6837" t="s">
        <v>53</v>
      </c>
      <c r="AO6837" t="s">
        <v>53</v>
      </c>
      <c r="AP6837" t="s">
        <v>53</v>
      </c>
    </row>
    <row r="6838" spans="2:42" x14ac:dyDescent="0.2">
      <c r="B6838" t="s">
        <v>44</v>
      </c>
      <c r="C6838" t="str">
        <f>HYPERLINK("https://us2.cloudbeds.com/connect/8493803454333002#/reservations/9080486847018257?display=3FGRJY1CGB&amp;reservation_id=9080486847018257", "3FGRJY1CGB")</f>
        <v>3FGRJY1CGB</v>
      </c>
      <c r="D6838" t="s">
        <v>45</v>
      </c>
      <c r="E6838" t="s">
        <v>165</v>
      </c>
      <c r="F6838" t="s">
        <v>61</v>
      </c>
      <c r="G6838" t="s">
        <v>48</v>
      </c>
      <c r="H6838" t="s">
        <v>49</v>
      </c>
      <c r="I6838" t="s">
        <v>50</v>
      </c>
      <c r="J6838" t="s">
        <v>10193</v>
      </c>
      <c r="K6838" t="s">
        <v>11321</v>
      </c>
      <c r="L6838" t="s">
        <v>53</v>
      </c>
      <c r="N6838" t="s">
        <v>12313</v>
      </c>
      <c r="P6838" t="s">
        <v>55</v>
      </c>
      <c r="R6838" t="s">
        <v>53</v>
      </c>
      <c r="T6838" t="s">
        <v>12314</v>
      </c>
      <c r="U6838" t="s">
        <v>58</v>
      </c>
      <c r="V6838">
        <v>2</v>
      </c>
      <c r="W6838">
        <v>1</v>
      </c>
      <c r="X6838">
        <v>2</v>
      </c>
      <c r="Y6838">
        <v>0</v>
      </c>
      <c r="Z6838">
        <v>2</v>
      </c>
      <c r="AA6838">
        <v>198.43</v>
      </c>
      <c r="AB6838">
        <v>198.43</v>
      </c>
      <c r="AC6838">
        <v>174.6</v>
      </c>
      <c r="AD6838">
        <v>0</v>
      </c>
      <c r="AE6838">
        <v>23.83</v>
      </c>
      <c r="AF6838">
        <v>0</v>
      </c>
      <c r="AG6838">
        <v>0</v>
      </c>
      <c r="AH6838">
        <v>0</v>
      </c>
      <c r="AI6838">
        <v>35.72</v>
      </c>
      <c r="AJ6838">
        <v>198.43</v>
      </c>
      <c r="AK6838">
        <v>0</v>
      </c>
      <c r="AL6838" t="s">
        <v>53</v>
      </c>
      <c r="AM6838" t="s">
        <v>53</v>
      </c>
      <c r="AN6838" t="s">
        <v>53</v>
      </c>
      <c r="AO6838" t="s">
        <v>53</v>
      </c>
      <c r="AP6838" t="s">
        <v>53</v>
      </c>
    </row>
    <row r="6839" spans="2:42" x14ac:dyDescent="0.2">
      <c r="B6839" t="s">
        <v>44</v>
      </c>
      <c r="C6839" t="str">
        <f>HYPERLINK("https://us2.cloudbeds.com/connect/8493803454333002#/reservations/9080486847018286?display=3FGSQ6YNGT&amp;reservation_id=9080486847018286", "3FGSQ6YNGT")</f>
        <v>3FGSQ6YNGT</v>
      </c>
      <c r="D6839" t="s">
        <v>45</v>
      </c>
      <c r="E6839" t="s">
        <v>110</v>
      </c>
      <c r="F6839" t="s">
        <v>47</v>
      </c>
      <c r="G6839" t="s">
        <v>48</v>
      </c>
      <c r="H6839" t="s">
        <v>49</v>
      </c>
      <c r="I6839" t="s">
        <v>50</v>
      </c>
      <c r="J6839" t="s">
        <v>12225</v>
      </c>
      <c r="K6839" t="s">
        <v>10192</v>
      </c>
      <c r="L6839" t="s">
        <v>53</v>
      </c>
      <c r="N6839" t="s">
        <v>12315</v>
      </c>
      <c r="P6839" t="s">
        <v>55</v>
      </c>
      <c r="R6839" t="s">
        <v>53</v>
      </c>
      <c r="T6839" t="s">
        <v>12316</v>
      </c>
      <c r="U6839" t="s">
        <v>58</v>
      </c>
      <c r="V6839">
        <v>1</v>
      </c>
      <c r="W6839">
        <v>1</v>
      </c>
      <c r="X6839">
        <v>1</v>
      </c>
      <c r="Y6839">
        <v>0</v>
      </c>
      <c r="Z6839">
        <v>1</v>
      </c>
      <c r="AA6839">
        <v>72.55</v>
      </c>
      <c r="AB6839">
        <v>72.55</v>
      </c>
      <c r="AC6839">
        <v>63.84</v>
      </c>
      <c r="AD6839">
        <v>0</v>
      </c>
      <c r="AE6839">
        <v>8.7100000000000009</v>
      </c>
      <c r="AF6839">
        <v>0</v>
      </c>
      <c r="AG6839">
        <v>0</v>
      </c>
      <c r="AH6839">
        <v>0</v>
      </c>
      <c r="AI6839">
        <v>13.06</v>
      </c>
      <c r="AJ6839">
        <v>72.55</v>
      </c>
      <c r="AK6839">
        <v>0</v>
      </c>
      <c r="AL6839" t="s">
        <v>53</v>
      </c>
      <c r="AM6839" t="s">
        <v>53</v>
      </c>
      <c r="AN6839" t="s">
        <v>53</v>
      </c>
      <c r="AO6839" t="s">
        <v>53</v>
      </c>
      <c r="AP6839" t="s">
        <v>53</v>
      </c>
    </row>
    <row r="6840" spans="2:42" x14ac:dyDescent="0.2">
      <c r="B6840" t="s">
        <v>44</v>
      </c>
      <c r="C6840" t="str">
        <f>HYPERLINK("https://us2.cloudbeds.com/connect/8493803454333002#/reservations/161050960982243?display=3FGTQB7ZU1&amp;reservation_id=161050960982243", "3FGTQB7ZU1")</f>
        <v>3FGTQB7ZU1</v>
      </c>
      <c r="D6840" t="s">
        <v>45</v>
      </c>
      <c r="E6840" t="s">
        <v>46</v>
      </c>
      <c r="F6840" t="s">
        <v>47</v>
      </c>
      <c r="G6840" t="s">
        <v>48</v>
      </c>
      <c r="H6840" t="s">
        <v>3957</v>
      </c>
      <c r="I6840" t="s">
        <v>3958</v>
      </c>
      <c r="J6840" t="s">
        <v>12225</v>
      </c>
      <c r="K6840" t="s">
        <v>10192</v>
      </c>
      <c r="L6840" t="s">
        <v>53</v>
      </c>
      <c r="P6840" t="s">
        <v>55</v>
      </c>
      <c r="R6840" t="s">
        <v>56</v>
      </c>
      <c r="T6840" t="s">
        <v>12317</v>
      </c>
      <c r="U6840" t="s">
        <v>58</v>
      </c>
      <c r="V6840">
        <v>1</v>
      </c>
      <c r="W6840">
        <v>1</v>
      </c>
      <c r="X6840">
        <v>1</v>
      </c>
      <c r="Y6840">
        <v>0</v>
      </c>
      <c r="Z6840">
        <v>1</v>
      </c>
      <c r="AA6840">
        <v>86.37</v>
      </c>
      <c r="AB6840">
        <v>86.37</v>
      </c>
      <c r="AC6840">
        <v>76</v>
      </c>
      <c r="AD6840">
        <v>0</v>
      </c>
      <c r="AE6840">
        <v>10.37</v>
      </c>
      <c r="AF6840">
        <v>0</v>
      </c>
      <c r="AG6840">
        <v>0</v>
      </c>
      <c r="AH6840">
        <v>0</v>
      </c>
      <c r="AI6840">
        <v>0</v>
      </c>
      <c r="AJ6840">
        <v>86.37</v>
      </c>
      <c r="AK6840">
        <v>0</v>
      </c>
      <c r="AL6840" t="s">
        <v>53</v>
      </c>
      <c r="AM6840" t="s">
        <v>53</v>
      </c>
      <c r="AN6840" t="s">
        <v>53</v>
      </c>
      <c r="AO6840" t="s">
        <v>53</v>
      </c>
      <c r="AP6840" t="s">
        <v>53</v>
      </c>
    </row>
    <row r="6841" spans="2:42" x14ac:dyDescent="0.2">
      <c r="B6841" t="s">
        <v>44</v>
      </c>
      <c r="C6841" t="str">
        <f>HYPERLINK("https://us2.cloudbeds.com/connect/8493803454333002#/reservations/9080486847018405?display=3FH2GAZ27C&amp;reservation_id=9080486847018405", "3FH2GAZ27C")</f>
        <v>3FH2GAZ27C</v>
      </c>
      <c r="D6841" t="s">
        <v>45</v>
      </c>
      <c r="E6841" t="s">
        <v>105</v>
      </c>
      <c r="F6841" t="s">
        <v>47</v>
      </c>
      <c r="G6841" t="s">
        <v>48</v>
      </c>
      <c r="H6841" t="s">
        <v>49</v>
      </c>
      <c r="I6841" t="s">
        <v>50</v>
      </c>
      <c r="J6841" t="s">
        <v>12225</v>
      </c>
      <c r="K6841" t="s">
        <v>10192</v>
      </c>
      <c r="L6841" t="s">
        <v>53</v>
      </c>
      <c r="N6841" t="s">
        <v>12318</v>
      </c>
      <c r="P6841" t="s">
        <v>55</v>
      </c>
      <c r="R6841" t="s">
        <v>53</v>
      </c>
      <c r="T6841" t="s">
        <v>12319</v>
      </c>
      <c r="U6841" t="s">
        <v>58</v>
      </c>
      <c r="V6841">
        <v>1</v>
      </c>
      <c r="W6841">
        <v>1</v>
      </c>
      <c r="X6841">
        <v>1</v>
      </c>
      <c r="Y6841">
        <v>0</v>
      </c>
      <c r="Z6841">
        <v>1</v>
      </c>
      <c r="AA6841">
        <v>77.73</v>
      </c>
      <c r="AB6841">
        <v>77.73</v>
      </c>
      <c r="AC6841">
        <v>68.400000000000006</v>
      </c>
      <c r="AD6841">
        <v>0</v>
      </c>
      <c r="AE6841">
        <v>9.33</v>
      </c>
      <c r="AF6841">
        <v>0</v>
      </c>
      <c r="AG6841">
        <v>0</v>
      </c>
      <c r="AH6841">
        <v>0</v>
      </c>
      <c r="AI6841">
        <v>13.99</v>
      </c>
      <c r="AJ6841">
        <v>77.73</v>
      </c>
      <c r="AK6841">
        <v>0</v>
      </c>
      <c r="AL6841" t="s">
        <v>53</v>
      </c>
      <c r="AM6841" t="s">
        <v>53</v>
      </c>
      <c r="AN6841" t="s">
        <v>53</v>
      </c>
      <c r="AO6841" t="s">
        <v>53</v>
      </c>
      <c r="AP6841" t="s">
        <v>53</v>
      </c>
    </row>
    <row r="6842" spans="2:42" x14ac:dyDescent="0.2">
      <c r="B6842" t="s">
        <v>44</v>
      </c>
      <c r="C6842" t="str">
        <f>HYPERLINK("https://us2.cloudbeds.com/connect/8493803454333002#/reservations/9080486847018810?display=3FHK4TXV2C&amp;reservation_id=9080486847018810", "3FHK4TXV2C")</f>
        <v>3FHK4TXV2C</v>
      </c>
      <c r="D6842" t="s">
        <v>45</v>
      </c>
      <c r="E6842" t="s">
        <v>185</v>
      </c>
      <c r="F6842" t="s">
        <v>47</v>
      </c>
      <c r="G6842" t="s">
        <v>48</v>
      </c>
      <c r="H6842" t="s">
        <v>49</v>
      </c>
      <c r="I6842" t="s">
        <v>50</v>
      </c>
      <c r="J6842" t="s">
        <v>12225</v>
      </c>
      <c r="K6842" t="s">
        <v>10192</v>
      </c>
      <c r="L6842" t="s">
        <v>53</v>
      </c>
      <c r="N6842" t="s">
        <v>12320</v>
      </c>
      <c r="P6842" t="s">
        <v>55</v>
      </c>
      <c r="R6842" t="s">
        <v>53</v>
      </c>
      <c r="T6842" t="s">
        <v>12321</v>
      </c>
      <c r="U6842" t="s">
        <v>58</v>
      </c>
      <c r="V6842">
        <v>1</v>
      </c>
      <c r="W6842">
        <v>1</v>
      </c>
      <c r="X6842">
        <v>1</v>
      </c>
      <c r="Y6842">
        <v>0</v>
      </c>
      <c r="Z6842">
        <v>1</v>
      </c>
      <c r="AA6842">
        <v>77.73</v>
      </c>
      <c r="AB6842">
        <v>77.73</v>
      </c>
      <c r="AC6842">
        <v>68.400000000000006</v>
      </c>
      <c r="AD6842">
        <v>0</v>
      </c>
      <c r="AE6842">
        <v>9.33</v>
      </c>
      <c r="AF6842">
        <v>0</v>
      </c>
      <c r="AG6842">
        <v>0</v>
      </c>
      <c r="AH6842">
        <v>0</v>
      </c>
      <c r="AI6842">
        <v>13.99</v>
      </c>
      <c r="AJ6842">
        <v>77.73</v>
      </c>
      <c r="AK6842">
        <v>0</v>
      </c>
      <c r="AL6842" t="s">
        <v>53</v>
      </c>
      <c r="AM6842" t="s">
        <v>53</v>
      </c>
      <c r="AN6842" t="s">
        <v>53</v>
      </c>
      <c r="AO6842" t="s">
        <v>53</v>
      </c>
      <c r="AP6842" t="s">
        <v>53</v>
      </c>
    </row>
    <row r="6843" spans="2:42" x14ac:dyDescent="0.2">
      <c r="B6843" t="s">
        <v>44</v>
      </c>
      <c r="C6843" t="str">
        <f>HYPERLINK("https://us2.cloudbeds.com/connect/8493803454333002#/reservations/161089132384427?display=3FHQBNC9X4&amp;reservation_id=161089132384427", "3FHQBNC9X4")</f>
        <v>3FHQBNC9X4</v>
      </c>
      <c r="D6843" t="s">
        <v>45</v>
      </c>
      <c r="E6843" t="s">
        <v>78</v>
      </c>
      <c r="F6843" t="s">
        <v>61</v>
      </c>
      <c r="G6843" t="s">
        <v>48</v>
      </c>
      <c r="H6843" t="s">
        <v>3957</v>
      </c>
      <c r="I6843" t="s">
        <v>3958</v>
      </c>
      <c r="J6843" t="s">
        <v>12225</v>
      </c>
      <c r="K6843" t="s">
        <v>10192</v>
      </c>
      <c r="L6843" t="s">
        <v>53</v>
      </c>
      <c r="P6843" t="s">
        <v>55</v>
      </c>
      <c r="R6843" t="s">
        <v>56</v>
      </c>
      <c r="T6843" t="s">
        <v>12322</v>
      </c>
      <c r="U6843" t="s">
        <v>58</v>
      </c>
      <c r="V6843">
        <v>1</v>
      </c>
      <c r="W6843">
        <v>1</v>
      </c>
      <c r="X6843">
        <v>1</v>
      </c>
      <c r="Y6843">
        <v>0</v>
      </c>
      <c r="Z6843">
        <v>1</v>
      </c>
      <c r="AA6843">
        <v>97.74</v>
      </c>
      <c r="AB6843">
        <v>97.74</v>
      </c>
      <c r="AC6843">
        <v>86</v>
      </c>
      <c r="AD6843">
        <v>0</v>
      </c>
      <c r="AE6843">
        <v>11.74</v>
      </c>
      <c r="AF6843">
        <v>0</v>
      </c>
      <c r="AG6843">
        <v>0</v>
      </c>
      <c r="AH6843">
        <v>0</v>
      </c>
      <c r="AI6843">
        <v>0</v>
      </c>
      <c r="AJ6843">
        <v>97.74</v>
      </c>
      <c r="AK6843">
        <v>0</v>
      </c>
      <c r="AL6843" t="s">
        <v>53</v>
      </c>
      <c r="AM6843" t="s">
        <v>53</v>
      </c>
      <c r="AN6843" t="s">
        <v>53</v>
      </c>
      <c r="AO6843" t="s">
        <v>53</v>
      </c>
      <c r="AP6843" t="s">
        <v>53</v>
      </c>
    </row>
    <row r="6844" spans="2:42" x14ac:dyDescent="0.2">
      <c r="B6844" t="s">
        <v>44</v>
      </c>
      <c r="C6844" t="str">
        <f>HYPERLINK("https://us2.cloudbeds.com/connect/8493803454333002#/reservations/9080486847019276?display=3FX9HC7RCH&amp;reservation_id=9080486847019276", "3FX9HC7RCH")</f>
        <v>3FX9HC7RCH</v>
      </c>
      <c r="D6844" t="s">
        <v>45</v>
      </c>
      <c r="E6844" t="s">
        <v>138</v>
      </c>
      <c r="F6844" t="s">
        <v>70</v>
      </c>
      <c r="G6844" t="s">
        <v>48</v>
      </c>
      <c r="H6844" t="s">
        <v>49</v>
      </c>
      <c r="I6844" t="s">
        <v>50</v>
      </c>
      <c r="J6844" t="s">
        <v>10587</v>
      </c>
      <c r="K6844" t="s">
        <v>12323</v>
      </c>
      <c r="L6844" t="s">
        <v>53</v>
      </c>
      <c r="N6844" t="s">
        <v>12324</v>
      </c>
      <c r="P6844" t="s">
        <v>55</v>
      </c>
      <c r="R6844" t="s">
        <v>53</v>
      </c>
      <c r="T6844" t="s">
        <v>12325</v>
      </c>
      <c r="U6844" t="s">
        <v>58</v>
      </c>
      <c r="V6844">
        <v>3</v>
      </c>
      <c r="W6844">
        <v>1</v>
      </c>
      <c r="X6844">
        <v>2</v>
      </c>
      <c r="Y6844">
        <v>0</v>
      </c>
      <c r="Z6844">
        <v>2</v>
      </c>
      <c r="AA6844">
        <v>257.31</v>
      </c>
      <c r="AB6844">
        <v>257.31</v>
      </c>
      <c r="AC6844">
        <v>226.4</v>
      </c>
      <c r="AD6844">
        <v>0</v>
      </c>
      <c r="AE6844">
        <v>30.91</v>
      </c>
      <c r="AF6844">
        <v>0</v>
      </c>
      <c r="AG6844">
        <v>0</v>
      </c>
      <c r="AH6844">
        <v>0</v>
      </c>
      <c r="AI6844">
        <v>46.32</v>
      </c>
      <c r="AJ6844">
        <v>257.31</v>
      </c>
      <c r="AK6844">
        <v>0</v>
      </c>
      <c r="AL6844" t="s">
        <v>53</v>
      </c>
      <c r="AM6844" t="s">
        <v>53</v>
      </c>
      <c r="AN6844" t="s">
        <v>53</v>
      </c>
      <c r="AO6844" t="s">
        <v>53</v>
      </c>
      <c r="AP6844" t="s">
        <v>53</v>
      </c>
    </row>
    <row r="6845" spans="2:42" x14ac:dyDescent="0.2">
      <c r="B6845" t="s">
        <v>44</v>
      </c>
      <c r="C6845" t="str">
        <f>HYPERLINK("https://us2.cloudbeds.com/connect/8493803454333002#/reservations/9080486847022159?display=3FM820PK8U&amp;reservation_id=9080486847022159", "3FM820PK8U")</f>
        <v>3FM820PK8U</v>
      </c>
      <c r="D6845" t="s">
        <v>45</v>
      </c>
      <c r="E6845" t="s">
        <v>179</v>
      </c>
      <c r="F6845" t="s">
        <v>47</v>
      </c>
      <c r="G6845" t="s">
        <v>48</v>
      </c>
      <c r="H6845" t="s">
        <v>49</v>
      </c>
      <c r="I6845" t="s">
        <v>62</v>
      </c>
      <c r="J6845" t="s">
        <v>10775</v>
      </c>
      <c r="K6845" t="s">
        <v>10779</v>
      </c>
      <c r="L6845" t="s">
        <v>53</v>
      </c>
      <c r="N6845" t="s">
        <v>12326</v>
      </c>
      <c r="P6845" t="s">
        <v>55</v>
      </c>
      <c r="R6845" t="s">
        <v>56</v>
      </c>
      <c r="T6845" t="s">
        <v>12327</v>
      </c>
      <c r="U6845" t="s">
        <v>55</v>
      </c>
      <c r="V6845">
        <v>3</v>
      </c>
      <c r="W6845">
        <v>1</v>
      </c>
      <c r="X6845">
        <v>2</v>
      </c>
      <c r="Y6845">
        <v>0</v>
      </c>
      <c r="Z6845">
        <v>2</v>
      </c>
      <c r="AA6845">
        <v>225</v>
      </c>
      <c r="AB6845">
        <v>225</v>
      </c>
      <c r="AC6845">
        <v>225</v>
      </c>
      <c r="AD6845">
        <v>0</v>
      </c>
      <c r="AE6845">
        <v>0</v>
      </c>
      <c r="AF6845">
        <v>0</v>
      </c>
      <c r="AG6845">
        <v>0</v>
      </c>
      <c r="AH6845">
        <v>0</v>
      </c>
      <c r="AI6845">
        <v>40.5</v>
      </c>
      <c r="AJ6845">
        <v>225</v>
      </c>
      <c r="AK6845">
        <v>0</v>
      </c>
      <c r="AL6845" t="s">
        <v>53</v>
      </c>
      <c r="AM6845" t="s">
        <v>53</v>
      </c>
      <c r="AN6845" t="s">
        <v>53</v>
      </c>
      <c r="AO6845" t="s">
        <v>53</v>
      </c>
      <c r="AP6845" t="s">
        <v>53</v>
      </c>
    </row>
    <row r="6846" spans="2:42" x14ac:dyDescent="0.2">
      <c r="B6846" t="s">
        <v>44</v>
      </c>
      <c r="C6846" t="str">
        <f>HYPERLINK("https://us2.cloudbeds.com/connect/8493803454333002#/reservations/9080486847022634?display=3FMJYGF28R&amp;reservation_id=9080486847022634", "3FMJYGF28R")</f>
        <v>3FMJYGF28R</v>
      </c>
      <c r="D6846" t="s">
        <v>45</v>
      </c>
      <c r="E6846" t="s">
        <v>185</v>
      </c>
      <c r="F6846" t="s">
        <v>47</v>
      </c>
      <c r="G6846" t="s">
        <v>48</v>
      </c>
      <c r="H6846" t="s">
        <v>49</v>
      </c>
      <c r="I6846" t="s">
        <v>62</v>
      </c>
      <c r="J6846" t="s">
        <v>10192</v>
      </c>
      <c r="K6846" t="s">
        <v>10415</v>
      </c>
      <c r="L6846" t="s">
        <v>53</v>
      </c>
      <c r="N6846" t="s">
        <v>12328</v>
      </c>
      <c r="P6846" t="s">
        <v>55</v>
      </c>
      <c r="R6846" t="s">
        <v>118</v>
      </c>
      <c r="T6846" t="s">
        <v>12329</v>
      </c>
      <c r="U6846" t="s">
        <v>55</v>
      </c>
      <c r="V6846">
        <v>1</v>
      </c>
      <c r="W6846">
        <v>1</v>
      </c>
      <c r="X6846">
        <v>2</v>
      </c>
      <c r="Y6846">
        <v>0</v>
      </c>
      <c r="Z6846">
        <v>2</v>
      </c>
      <c r="AA6846">
        <v>75</v>
      </c>
      <c r="AB6846">
        <v>75</v>
      </c>
      <c r="AC6846">
        <v>75</v>
      </c>
      <c r="AD6846">
        <v>0</v>
      </c>
      <c r="AE6846">
        <v>0</v>
      </c>
      <c r="AF6846">
        <v>0</v>
      </c>
      <c r="AG6846">
        <v>0</v>
      </c>
      <c r="AH6846">
        <v>0</v>
      </c>
      <c r="AI6846">
        <v>13.5</v>
      </c>
      <c r="AJ6846">
        <v>75</v>
      </c>
      <c r="AK6846">
        <v>0</v>
      </c>
      <c r="AL6846" t="s">
        <v>53</v>
      </c>
      <c r="AM6846" t="s">
        <v>53</v>
      </c>
      <c r="AN6846" t="s">
        <v>12330</v>
      </c>
      <c r="AO6846" t="s">
        <v>53</v>
      </c>
      <c r="AP6846" t="s">
        <v>53</v>
      </c>
    </row>
    <row r="6847" spans="2:42" x14ac:dyDescent="0.2">
      <c r="B6847" t="s">
        <v>44</v>
      </c>
      <c r="C6847" t="str">
        <f>HYPERLINK("https://us2.cloudbeds.com/connect/8493803454333002#/reservations/9080486847023197?display=3FN563BW3S&amp;reservation_id=9080486847023197", "3FN563BW3S")</f>
        <v>3FN563BW3S</v>
      </c>
      <c r="D6847" t="s">
        <v>45</v>
      </c>
      <c r="E6847" t="s">
        <v>265</v>
      </c>
      <c r="F6847" t="s">
        <v>61</v>
      </c>
      <c r="G6847" t="s">
        <v>48</v>
      </c>
      <c r="H6847" t="s">
        <v>49</v>
      </c>
      <c r="I6847" t="s">
        <v>8964</v>
      </c>
      <c r="J6847" t="s">
        <v>10193</v>
      </c>
      <c r="K6847" t="s">
        <v>11495</v>
      </c>
      <c r="L6847" t="s">
        <v>53</v>
      </c>
      <c r="N6847" t="s">
        <v>12331</v>
      </c>
      <c r="P6847" t="s">
        <v>55</v>
      </c>
      <c r="R6847" t="s">
        <v>53</v>
      </c>
      <c r="T6847" t="s">
        <v>12332</v>
      </c>
      <c r="U6847" t="s">
        <v>55</v>
      </c>
      <c r="V6847">
        <v>1</v>
      </c>
      <c r="W6847">
        <v>1</v>
      </c>
      <c r="X6847">
        <v>2</v>
      </c>
      <c r="Y6847">
        <v>0</v>
      </c>
      <c r="Z6847">
        <v>2</v>
      </c>
      <c r="AA6847">
        <v>0</v>
      </c>
      <c r="AB6847">
        <v>0</v>
      </c>
      <c r="AC6847">
        <v>98</v>
      </c>
      <c r="AD6847">
        <v>0</v>
      </c>
      <c r="AE6847">
        <v>0</v>
      </c>
      <c r="AF6847">
        <v>0</v>
      </c>
      <c r="AG6847">
        <v>0</v>
      </c>
      <c r="AH6847">
        <v>0</v>
      </c>
      <c r="AI6847">
        <v>14.7</v>
      </c>
      <c r="AJ6847">
        <v>98</v>
      </c>
      <c r="AK6847">
        <v>98</v>
      </c>
      <c r="AL6847" t="s">
        <v>53</v>
      </c>
      <c r="AM6847" t="s">
        <v>53</v>
      </c>
      <c r="AN6847" t="s">
        <v>53</v>
      </c>
      <c r="AO6847" t="s">
        <v>53</v>
      </c>
      <c r="AP6847" t="s">
        <v>53</v>
      </c>
    </row>
    <row r="6848" spans="2:42" x14ac:dyDescent="0.2">
      <c r="B6848" t="s">
        <v>44</v>
      </c>
      <c r="C6848" t="str">
        <f>HYPERLINK("https://us2.cloudbeds.com/connect/8493803454333002#/reservations/9080486847023625?display=3FNFP5RTY5&amp;reservation_id=9080486847023625", "3FNFP5RTY5")</f>
        <v>3FNFP5RTY5</v>
      </c>
      <c r="D6848" t="s">
        <v>45</v>
      </c>
      <c r="E6848" t="s">
        <v>223</v>
      </c>
      <c r="F6848" t="s">
        <v>47</v>
      </c>
      <c r="G6848" t="s">
        <v>48</v>
      </c>
      <c r="H6848" t="s">
        <v>49</v>
      </c>
      <c r="I6848" t="s">
        <v>62</v>
      </c>
      <c r="J6848" t="s">
        <v>10775</v>
      </c>
      <c r="K6848" t="s">
        <v>9658</v>
      </c>
      <c r="L6848" t="s">
        <v>53</v>
      </c>
      <c r="N6848" t="s">
        <v>12333</v>
      </c>
      <c r="P6848" t="s">
        <v>55</v>
      </c>
      <c r="R6848" t="s">
        <v>56</v>
      </c>
      <c r="T6848" t="s">
        <v>12334</v>
      </c>
      <c r="U6848" t="s">
        <v>55</v>
      </c>
      <c r="V6848">
        <v>1</v>
      </c>
      <c r="W6848">
        <v>1</v>
      </c>
      <c r="X6848">
        <v>1</v>
      </c>
      <c r="Y6848">
        <v>0</v>
      </c>
      <c r="Z6848">
        <v>1</v>
      </c>
      <c r="AA6848">
        <v>71.25</v>
      </c>
      <c r="AB6848">
        <v>71.25</v>
      </c>
      <c r="AC6848">
        <v>71.25</v>
      </c>
      <c r="AD6848">
        <v>0</v>
      </c>
      <c r="AE6848">
        <v>0</v>
      </c>
      <c r="AF6848">
        <v>0</v>
      </c>
      <c r="AG6848">
        <v>0</v>
      </c>
      <c r="AH6848">
        <v>0</v>
      </c>
      <c r="AI6848">
        <v>12.83</v>
      </c>
      <c r="AJ6848">
        <v>71.25</v>
      </c>
      <c r="AK6848">
        <v>0</v>
      </c>
      <c r="AL6848" t="s">
        <v>53</v>
      </c>
      <c r="AM6848" t="s">
        <v>53</v>
      </c>
      <c r="AN6848" t="s">
        <v>53</v>
      </c>
      <c r="AO6848" t="s">
        <v>53</v>
      </c>
      <c r="AP6848" t="s">
        <v>53</v>
      </c>
    </row>
    <row r="6849" spans="2:42" x14ac:dyDescent="0.2">
      <c r="B6849" t="s">
        <v>44</v>
      </c>
      <c r="C6849" t="str">
        <f>HYPERLINK("https://us2.cloudbeds.com/connect/8493803454333002#/reservations/161336950055061?display=3FNK80Q9CW&amp;reservation_id=161336950055061", "3FNK80Q9CW")</f>
        <v>3FNK80Q9CW</v>
      </c>
      <c r="D6849" t="s">
        <v>45</v>
      </c>
      <c r="E6849" t="s">
        <v>78</v>
      </c>
      <c r="F6849" t="s">
        <v>61</v>
      </c>
      <c r="G6849" t="s">
        <v>48</v>
      </c>
      <c r="H6849" t="s">
        <v>3957</v>
      </c>
      <c r="I6849" t="s">
        <v>3975</v>
      </c>
      <c r="J6849" t="s">
        <v>10192</v>
      </c>
      <c r="K6849" t="s">
        <v>11495</v>
      </c>
      <c r="L6849" t="s">
        <v>53</v>
      </c>
      <c r="P6849" t="s">
        <v>55</v>
      </c>
      <c r="R6849" t="s">
        <v>56</v>
      </c>
      <c r="T6849" t="s">
        <v>12335</v>
      </c>
      <c r="U6849" t="s">
        <v>58</v>
      </c>
      <c r="V6849">
        <v>3</v>
      </c>
      <c r="W6849">
        <v>1</v>
      </c>
      <c r="X6849">
        <v>1</v>
      </c>
      <c r="Y6849">
        <v>0</v>
      </c>
      <c r="Z6849">
        <v>1</v>
      </c>
      <c r="AA6849">
        <v>287.56</v>
      </c>
      <c r="AB6849">
        <v>287.56</v>
      </c>
      <c r="AC6849">
        <v>253</v>
      </c>
      <c r="AD6849">
        <v>0</v>
      </c>
      <c r="AE6849">
        <v>34.56</v>
      </c>
      <c r="AF6849">
        <v>0</v>
      </c>
      <c r="AG6849">
        <v>0</v>
      </c>
      <c r="AH6849">
        <v>0</v>
      </c>
      <c r="AI6849">
        <v>0</v>
      </c>
      <c r="AJ6849">
        <v>287.56</v>
      </c>
      <c r="AK6849">
        <v>0</v>
      </c>
      <c r="AL6849" t="s">
        <v>53</v>
      </c>
      <c r="AM6849" t="s">
        <v>53</v>
      </c>
      <c r="AN6849" t="s">
        <v>53</v>
      </c>
      <c r="AO6849" t="s">
        <v>53</v>
      </c>
      <c r="AP6849" t="s">
        <v>53</v>
      </c>
    </row>
    <row r="6850" spans="2:42" x14ac:dyDescent="0.2">
      <c r="B6850" t="s">
        <v>44</v>
      </c>
      <c r="C6850" t="str">
        <f>HYPERLINK("https://us2.cloudbeds.com/connect/8493803454333002#/reservations/9080486847024448?display=3FZ5S5SUZU&amp;reservation_id=9080486847024448", "3FZ5S5SUZU")</f>
        <v>3FZ5S5SUZU</v>
      </c>
      <c r="D6850" t="s">
        <v>45</v>
      </c>
      <c r="E6850" t="s">
        <v>105</v>
      </c>
      <c r="F6850" t="s">
        <v>47</v>
      </c>
      <c r="G6850" t="s">
        <v>48</v>
      </c>
      <c r="H6850" t="s">
        <v>49</v>
      </c>
      <c r="I6850" t="s">
        <v>62</v>
      </c>
      <c r="J6850" t="s">
        <v>10193</v>
      </c>
      <c r="K6850" t="s">
        <v>11321</v>
      </c>
      <c r="L6850" t="s">
        <v>53</v>
      </c>
      <c r="N6850" t="s">
        <v>12336</v>
      </c>
      <c r="P6850" t="s">
        <v>55</v>
      </c>
      <c r="R6850" t="s">
        <v>56</v>
      </c>
      <c r="T6850" t="s">
        <v>12337</v>
      </c>
      <c r="U6850" t="s">
        <v>55</v>
      </c>
      <c r="V6850">
        <v>2</v>
      </c>
      <c r="W6850">
        <v>1</v>
      </c>
      <c r="X6850">
        <v>1</v>
      </c>
      <c r="Y6850">
        <v>0</v>
      </c>
      <c r="Z6850">
        <v>1</v>
      </c>
      <c r="AA6850">
        <v>170</v>
      </c>
      <c r="AB6850">
        <v>170</v>
      </c>
      <c r="AC6850">
        <v>170</v>
      </c>
      <c r="AD6850">
        <v>0</v>
      </c>
      <c r="AE6850">
        <v>0</v>
      </c>
      <c r="AF6850">
        <v>0</v>
      </c>
      <c r="AG6850">
        <v>0</v>
      </c>
      <c r="AH6850">
        <v>0</v>
      </c>
      <c r="AI6850">
        <v>30.6</v>
      </c>
      <c r="AJ6850">
        <v>170</v>
      </c>
      <c r="AK6850">
        <v>0</v>
      </c>
      <c r="AL6850" t="s">
        <v>53</v>
      </c>
      <c r="AM6850" t="s">
        <v>53</v>
      </c>
      <c r="AN6850" t="s">
        <v>53</v>
      </c>
      <c r="AO6850" t="s">
        <v>53</v>
      </c>
      <c r="AP6850" t="s">
        <v>53</v>
      </c>
    </row>
    <row r="6851" spans="2:42" x14ac:dyDescent="0.2">
      <c r="B6851" t="s">
        <v>44</v>
      </c>
      <c r="C6851" t="str">
        <f>HYPERLINK("https://us2.cloudbeds.com/connect/8493803454333002#/reservations/161366826504391?display=3FZACEDHEC&amp;reservation_id=161366826504391", "3FZACEDHEC")</f>
        <v>3FZACEDHEC</v>
      </c>
      <c r="D6851" t="s">
        <v>45</v>
      </c>
      <c r="E6851" t="s">
        <v>46</v>
      </c>
      <c r="F6851" t="s">
        <v>47</v>
      </c>
      <c r="G6851" t="s">
        <v>48</v>
      </c>
      <c r="H6851" t="s">
        <v>3957</v>
      </c>
      <c r="I6851" t="s">
        <v>3958</v>
      </c>
      <c r="J6851" t="s">
        <v>10192</v>
      </c>
      <c r="K6851" t="s">
        <v>10415</v>
      </c>
      <c r="L6851" t="s">
        <v>53</v>
      </c>
      <c r="P6851" t="s">
        <v>55</v>
      </c>
      <c r="R6851" t="s">
        <v>56</v>
      </c>
      <c r="T6851" t="s">
        <v>12338</v>
      </c>
      <c r="U6851" t="s">
        <v>58</v>
      </c>
      <c r="V6851">
        <v>1</v>
      </c>
      <c r="W6851">
        <v>1</v>
      </c>
      <c r="X6851">
        <v>2</v>
      </c>
      <c r="Y6851">
        <v>0</v>
      </c>
      <c r="Z6851">
        <v>2</v>
      </c>
      <c r="AA6851">
        <v>85.25</v>
      </c>
      <c r="AB6851">
        <v>85.25</v>
      </c>
      <c r="AC6851">
        <v>75</v>
      </c>
      <c r="AD6851">
        <v>0</v>
      </c>
      <c r="AE6851">
        <v>10.25</v>
      </c>
      <c r="AF6851">
        <v>0</v>
      </c>
      <c r="AG6851">
        <v>0</v>
      </c>
      <c r="AH6851">
        <v>0</v>
      </c>
      <c r="AI6851">
        <v>0</v>
      </c>
      <c r="AJ6851">
        <v>85.25</v>
      </c>
      <c r="AK6851">
        <v>0</v>
      </c>
      <c r="AL6851" t="s">
        <v>53</v>
      </c>
      <c r="AM6851" t="s">
        <v>53</v>
      </c>
      <c r="AN6851" t="s">
        <v>53</v>
      </c>
      <c r="AO6851" t="s">
        <v>53</v>
      </c>
      <c r="AP6851" t="s">
        <v>53</v>
      </c>
    </row>
    <row r="6852" spans="2:42" x14ac:dyDescent="0.2">
      <c r="B6852" t="s">
        <v>44</v>
      </c>
      <c r="C6852" t="str">
        <f>HYPERLINK("https://us2.cloudbeds.com/connect/8493803454333002#/reservations/9080486847024978?display=3FZPYQDCWY&amp;reservation_id=9080486847024978", "3FZPYQDCWY")</f>
        <v>3FZPYQDCWY</v>
      </c>
      <c r="D6852" t="s">
        <v>45</v>
      </c>
      <c r="E6852" t="s">
        <v>138</v>
      </c>
      <c r="F6852" t="s">
        <v>70</v>
      </c>
      <c r="G6852" t="s">
        <v>48</v>
      </c>
      <c r="H6852" t="s">
        <v>49</v>
      </c>
      <c r="I6852" t="s">
        <v>50</v>
      </c>
      <c r="J6852" t="s">
        <v>10192</v>
      </c>
      <c r="K6852" t="s">
        <v>10415</v>
      </c>
      <c r="L6852" t="s">
        <v>53</v>
      </c>
      <c r="N6852" t="s">
        <v>12339</v>
      </c>
      <c r="P6852" t="s">
        <v>55</v>
      </c>
      <c r="R6852" t="s">
        <v>53</v>
      </c>
      <c r="T6852" t="s">
        <v>12340</v>
      </c>
      <c r="U6852" t="s">
        <v>58</v>
      </c>
      <c r="V6852">
        <v>1</v>
      </c>
      <c r="W6852">
        <v>1</v>
      </c>
      <c r="X6852">
        <v>2</v>
      </c>
      <c r="Y6852">
        <v>0</v>
      </c>
      <c r="Z6852">
        <v>2</v>
      </c>
      <c r="AA6852">
        <v>59.89</v>
      </c>
      <c r="AB6852">
        <v>59.89</v>
      </c>
      <c r="AC6852">
        <v>52.7</v>
      </c>
      <c r="AD6852">
        <v>0</v>
      </c>
      <c r="AE6852">
        <v>7.19</v>
      </c>
      <c r="AF6852">
        <v>0</v>
      </c>
      <c r="AG6852">
        <v>0</v>
      </c>
      <c r="AH6852">
        <v>0</v>
      </c>
      <c r="AI6852">
        <v>10.78</v>
      </c>
      <c r="AJ6852">
        <v>59.89</v>
      </c>
      <c r="AK6852">
        <v>0</v>
      </c>
      <c r="AL6852" t="s">
        <v>53</v>
      </c>
      <c r="AM6852" t="s">
        <v>53</v>
      </c>
      <c r="AN6852" t="s">
        <v>53</v>
      </c>
      <c r="AO6852" t="s">
        <v>53</v>
      </c>
      <c r="AP6852" t="s">
        <v>53</v>
      </c>
    </row>
    <row r="6853" spans="2:42" x14ac:dyDescent="0.2">
      <c r="B6853" t="s">
        <v>44</v>
      </c>
      <c r="C6853" t="str">
        <f>HYPERLINK("https://us2.cloudbeds.com/connect/8493803454333002#/reservations/9080486847025028?display=3FZSNKUMKB&amp;reservation_id=9080486847025028", "3FZSNKUMKB")</f>
        <v>3FZSNKUMKB</v>
      </c>
      <c r="D6853" t="s">
        <v>45</v>
      </c>
      <c r="E6853" t="s">
        <v>113</v>
      </c>
      <c r="F6853" t="s">
        <v>61</v>
      </c>
      <c r="G6853" t="s">
        <v>48</v>
      </c>
      <c r="H6853" t="s">
        <v>49</v>
      </c>
      <c r="I6853" t="s">
        <v>50</v>
      </c>
      <c r="J6853" t="s">
        <v>10192</v>
      </c>
      <c r="K6853" t="s">
        <v>10415</v>
      </c>
      <c r="L6853" t="s">
        <v>53</v>
      </c>
      <c r="N6853" t="s">
        <v>12341</v>
      </c>
      <c r="P6853" t="s">
        <v>55</v>
      </c>
      <c r="R6853" t="s">
        <v>53</v>
      </c>
      <c r="T6853" t="s">
        <v>12342</v>
      </c>
      <c r="U6853" t="s">
        <v>58</v>
      </c>
      <c r="V6853">
        <v>1</v>
      </c>
      <c r="W6853">
        <v>1</v>
      </c>
      <c r="X6853">
        <v>2</v>
      </c>
      <c r="Y6853">
        <v>0</v>
      </c>
      <c r="Z6853">
        <v>2</v>
      </c>
      <c r="AA6853">
        <v>71.819999999999993</v>
      </c>
      <c r="AB6853">
        <v>71.819999999999993</v>
      </c>
      <c r="AC6853">
        <v>63.2</v>
      </c>
      <c r="AD6853">
        <v>0</v>
      </c>
      <c r="AE6853">
        <v>8.6199999999999992</v>
      </c>
      <c r="AF6853">
        <v>0</v>
      </c>
      <c r="AG6853">
        <v>0</v>
      </c>
      <c r="AH6853">
        <v>0</v>
      </c>
      <c r="AI6853">
        <v>12.93</v>
      </c>
      <c r="AJ6853">
        <v>71.819999999999993</v>
      </c>
      <c r="AK6853">
        <v>0</v>
      </c>
      <c r="AL6853" t="s">
        <v>53</v>
      </c>
      <c r="AM6853" t="s">
        <v>53</v>
      </c>
      <c r="AN6853" t="s">
        <v>53</v>
      </c>
      <c r="AO6853" t="s">
        <v>53</v>
      </c>
      <c r="AP6853" t="s">
        <v>53</v>
      </c>
    </row>
    <row r="6854" spans="2:42" x14ac:dyDescent="0.2">
      <c r="B6854" t="s">
        <v>44</v>
      </c>
      <c r="C6854" t="str">
        <f>HYPERLINK("https://us2.cloudbeds.com/connect/8493803454333002#/reservations/161404863934668?display=3FP6RCJ36N&amp;reservation_id=161404863934668", "3FP6RCJ36N")</f>
        <v>3FP6RCJ36N</v>
      </c>
      <c r="D6854" t="s">
        <v>45</v>
      </c>
      <c r="E6854" t="s">
        <v>155</v>
      </c>
      <c r="F6854" t="s">
        <v>86</v>
      </c>
      <c r="G6854" t="s">
        <v>48</v>
      </c>
      <c r="H6854" t="s">
        <v>3957</v>
      </c>
      <c r="I6854" t="s">
        <v>3975</v>
      </c>
      <c r="J6854" t="s">
        <v>11495</v>
      </c>
      <c r="K6854" t="s">
        <v>11557</v>
      </c>
      <c r="L6854" t="s">
        <v>53</v>
      </c>
      <c r="P6854" t="s">
        <v>55</v>
      </c>
      <c r="R6854" t="s">
        <v>56</v>
      </c>
      <c r="T6854" t="s">
        <v>12343</v>
      </c>
      <c r="U6854" t="s">
        <v>58</v>
      </c>
      <c r="V6854">
        <v>4</v>
      </c>
      <c r="W6854">
        <v>1</v>
      </c>
      <c r="X6854">
        <v>2</v>
      </c>
      <c r="Y6854">
        <v>0</v>
      </c>
      <c r="Z6854">
        <v>2</v>
      </c>
      <c r="AA6854">
        <v>418.24</v>
      </c>
      <c r="AB6854">
        <v>418.24</v>
      </c>
      <c r="AC6854">
        <v>368</v>
      </c>
      <c r="AD6854">
        <v>0</v>
      </c>
      <c r="AE6854">
        <v>50.24</v>
      </c>
      <c r="AF6854">
        <v>0</v>
      </c>
      <c r="AG6854">
        <v>0</v>
      </c>
      <c r="AH6854">
        <v>0</v>
      </c>
      <c r="AI6854">
        <v>0</v>
      </c>
      <c r="AJ6854">
        <v>418.24</v>
      </c>
      <c r="AK6854">
        <v>0</v>
      </c>
      <c r="AL6854" t="s">
        <v>53</v>
      </c>
      <c r="AM6854" t="s">
        <v>53</v>
      </c>
      <c r="AN6854" t="s">
        <v>53</v>
      </c>
      <c r="AO6854" t="s">
        <v>53</v>
      </c>
      <c r="AP6854" t="s">
        <v>53</v>
      </c>
    </row>
    <row r="6855" spans="2:42" x14ac:dyDescent="0.2">
      <c r="B6855" t="s">
        <v>44</v>
      </c>
      <c r="C6855" t="str">
        <f>HYPERLINK("https://us2.cloudbeds.com/connect/8493803454333002#/reservations/9080486847025306?display=3FP9EJUJN8&amp;reservation_id=9080486847025306", "3FP9EJUJN8")</f>
        <v>3FP9EJUJN8</v>
      </c>
      <c r="D6855" t="s">
        <v>45</v>
      </c>
      <c r="E6855" t="s">
        <v>373</v>
      </c>
      <c r="F6855" t="s">
        <v>47</v>
      </c>
      <c r="G6855" t="s">
        <v>48</v>
      </c>
      <c r="H6855" t="s">
        <v>49</v>
      </c>
      <c r="I6855" t="s">
        <v>62</v>
      </c>
      <c r="J6855" t="s">
        <v>10192</v>
      </c>
      <c r="K6855" t="s">
        <v>10415</v>
      </c>
      <c r="L6855" t="s">
        <v>53</v>
      </c>
      <c r="N6855" t="s">
        <v>12344</v>
      </c>
      <c r="P6855" t="s">
        <v>55</v>
      </c>
      <c r="R6855" t="s">
        <v>56</v>
      </c>
      <c r="T6855" t="s">
        <v>12345</v>
      </c>
      <c r="U6855" t="s">
        <v>55</v>
      </c>
      <c r="V6855">
        <v>1</v>
      </c>
      <c r="W6855">
        <v>1</v>
      </c>
      <c r="X6855">
        <v>1</v>
      </c>
      <c r="Y6855">
        <v>0</v>
      </c>
      <c r="Z6855">
        <v>1</v>
      </c>
      <c r="AA6855">
        <v>75</v>
      </c>
      <c r="AB6855">
        <v>75</v>
      </c>
      <c r="AC6855">
        <v>75</v>
      </c>
      <c r="AD6855">
        <v>0</v>
      </c>
      <c r="AE6855">
        <v>0</v>
      </c>
      <c r="AF6855">
        <v>0</v>
      </c>
      <c r="AG6855">
        <v>0</v>
      </c>
      <c r="AH6855">
        <v>0</v>
      </c>
      <c r="AI6855">
        <v>13.5</v>
      </c>
      <c r="AJ6855">
        <v>75</v>
      </c>
      <c r="AK6855">
        <v>0</v>
      </c>
      <c r="AL6855" t="s">
        <v>53</v>
      </c>
      <c r="AM6855" t="s">
        <v>53</v>
      </c>
      <c r="AN6855" t="s">
        <v>53</v>
      </c>
      <c r="AO6855" t="s">
        <v>53</v>
      </c>
      <c r="AP6855" t="s">
        <v>53</v>
      </c>
    </row>
    <row r="6856" spans="2:42" x14ac:dyDescent="0.2">
      <c r="B6856" t="s">
        <v>44</v>
      </c>
      <c r="C6856" t="str">
        <f>HYPERLINK("https://us2.cloudbeds.com/connect/8493803454333002#/reservations/9080486847025348?display=3FPC6XQ6ZB&amp;reservation_id=9080486847025348", "3FPC6XQ6ZB")</f>
        <v>3FPC6XQ6ZB</v>
      </c>
      <c r="D6856" t="s">
        <v>45</v>
      </c>
      <c r="E6856" t="s">
        <v>190</v>
      </c>
      <c r="F6856" t="s">
        <v>61</v>
      </c>
      <c r="G6856" t="s">
        <v>48</v>
      </c>
      <c r="H6856" t="s">
        <v>49</v>
      </c>
      <c r="I6856" t="s">
        <v>8964</v>
      </c>
      <c r="J6856" t="s">
        <v>10192</v>
      </c>
      <c r="K6856" t="s">
        <v>10415</v>
      </c>
      <c r="L6856" t="s">
        <v>53</v>
      </c>
      <c r="N6856" t="s">
        <v>12346</v>
      </c>
      <c r="P6856" t="s">
        <v>55</v>
      </c>
      <c r="R6856" t="s">
        <v>53</v>
      </c>
      <c r="T6856" t="s">
        <v>12347</v>
      </c>
      <c r="U6856" t="s">
        <v>55</v>
      </c>
      <c r="V6856">
        <v>1</v>
      </c>
      <c r="W6856">
        <v>1</v>
      </c>
      <c r="X6856">
        <v>2</v>
      </c>
      <c r="Y6856">
        <v>0</v>
      </c>
      <c r="Z6856">
        <v>2</v>
      </c>
      <c r="AA6856">
        <v>0</v>
      </c>
      <c r="AB6856">
        <v>0</v>
      </c>
      <c r="AC6856">
        <v>82</v>
      </c>
      <c r="AD6856">
        <v>0</v>
      </c>
      <c r="AE6856">
        <v>0</v>
      </c>
      <c r="AF6856">
        <v>0</v>
      </c>
      <c r="AG6856">
        <v>0</v>
      </c>
      <c r="AH6856">
        <v>0</v>
      </c>
      <c r="AI6856">
        <v>12.3</v>
      </c>
      <c r="AJ6856">
        <v>82</v>
      </c>
      <c r="AK6856">
        <v>82</v>
      </c>
      <c r="AL6856" t="s">
        <v>53</v>
      </c>
      <c r="AM6856" t="s">
        <v>53</v>
      </c>
      <c r="AN6856" t="s">
        <v>53</v>
      </c>
      <c r="AO6856" t="s">
        <v>53</v>
      </c>
      <c r="AP6856" t="s">
        <v>53</v>
      </c>
    </row>
    <row r="6857" spans="2:42" x14ac:dyDescent="0.2">
      <c r="B6857" t="s">
        <v>44</v>
      </c>
      <c r="C6857" t="str">
        <f>HYPERLINK("https://us2.cloudbeds.com/connect/8493803454333002#/reservations/9080486847025819?display=3FPVB5ANEM&amp;reservation_id=9080486847025819", "3FPVB5ANEM")</f>
        <v>3FPVB5ANEM</v>
      </c>
      <c r="D6857" t="s">
        <v>45</v>
      </c>
      <c r="E6857" t="s">
        <v>85</v>
      </c>
      <c r="F6857" t="s">
        <v>86</v>
      </c>
      <c r="G6857" t="s">
        <v>48</v>
      </c>
      <c r="H6857" t="s">
        <v>49</v>
      </c>
      <c r="I6857" t="s">
        <v>50</v>
      </c>
      <c r="J6857" t="s">
        <v>10193</v>
      </c>
      <c r="K6857" t="s">
        <v>11495</v>
      </c>
      <c r="L6857" t="s">
        <v>53</v>
      </c>
      <c r="N6857" t="s">
        <v>12348</v>
      </c>
      <c r="P6857" t="s">
        <v>55</v>
      </c>
      <c r="R6857" t="s">
        <v>53</v>
      </c>
      <c r="T6857" t="s">
        <v>12349</v>
      </c>
      <c r="U6857" t="s">
        <v>58</v>
      </c>
      <c r="V6857">
        <v>1</v>
      </c>
      <c r="W6857">
        <v>1</v>
      </c>
      <c r="X6857">
        <v>2</v>
      </c>
      <c r="Y6857">
        <v>0</v>
      </c>
      <c r="Z6857">
        <v>2</v>
      </c>
      <c r="AA6857">
        <v>134.11000000000001</v>
      </c>
      <c r="AB6857">
        <v>146.03</v>
      </c>
      <c r="AC6857">
        <v>118</v>
      </c>
      <c r="AD6857">
        <v>11</v>
      </c>
      <c r="AE6857">
        <v>17.03</v>
      </c>
      <c r="AF6857">
        <v>0</v>
      </c>
      <c r="AG6857">
        <v>0</v>
      </c>
      <c r="AH6857">
        <v>0</v>
      </c>
      <c r="AI6857">
        <v>26.29</v>
      </c>
      <c r="AJ6857">
        <v>146.03</v>
      </c>
      <c r="AK6857">
        <v>0</v>
      </c>
      <c r="AL6857" t="s">
        <v>53</v>
      </c>
      <c r="AM6857" t="s">
        <v>53</v>
      </c>
      <c r="AN6857" t="s">
        <v>53</v>
      </c>
      <c r="AO6857" t="s">
        <v>53</v>
      </c>
      <c r="AP6857" t="s">
        <v>53</v>
      </c>
    </row>
    <row r="6858" spans="2:42" x14ac:dyDescent="0.2">
      <c r="B6858" t="s">
        <v>44</v>
      </c>
      <c r="C6858" t="str">
        <f>HYPERLINK("https://us2.cloudbeds.com/connect/8493803454333002#/reservations/9080486847025974?display=3FQ54KSD99&amp;reservation_id=9080486847025974", "3FQ54KSD99")</f>
        <v>3FQ54KSD99</v>
      </c>
      <c r="D6858" t="s">
        <v>45</v>
      </c>
      <c r="E6858" t="s">
        <v>92</v>
      </c>
      <c r="F6858" t="s">
        <v>86</v>
      </c>
      <c r="G6858" t="s">
        <v>48</v>
      </c>
      <c r="H6858" t="s">
        <v>49</v>
      </c>
      <c r="I6858" t="s">
        <v>50</v>
      </c>
      <c r="J6858" t="s">
        <v>12350</v>
      </c>
      <c r="K6858" t="s">
        <v>10169</v>
      </c>
      <c r="L6858" t="s">
        <v>53</v>
      </c>
      <c r="N6858" t="s">
        <v>12351</v>
      </c>
      <c r="P6858" t="s">
        <v>55</v>
      </c>
      <c r="R6858" t="s">
        <v>53</v>
      </c>
      <c r="T6858" t="s">
        <v>12352</v>
      </c>
      <c r="U6858" t="s">
        <v>58</v>
      </c>
      <c r="V6858">
        <v>3</v>
      </c>
      <c r="W6858">
        <v>1</v>
      </c>
      <c r="X6858">
        <v>2</v>
      </c>
      <c r="Y6858">
        <v>0</v>
      </c>
      <c r="Z6858">
        <v>2</v>
      </c>
      <c r="AA6858">
        <v>520.63</v>
      </c>
      <c r="AB6858">
        <v>520.63</v>
      </c>
      <c r="AC6858">
        <v>458.1</v>
      </c>
      <c r="AD6858">
        <v>0</v>
      </c>
      <c r="AE6858">
        <v>62.53</v>
      </c>
      <c r="AF6858">
        <v>0</v>
      </c>
      <c r="AG6858">
        <v>0</v>
      </c>
      <c r="AH6858">
        <v>0</v>
      </c>
      <c r="AI6858">
        <v>93.71</v>
      </c>
      <c r="AJ6858">
        <v>520.63</v>
      </c>
      <c r="AK6858">
        <v>0</v>
      </c>
      <c r="AL6858" t="s">
        <v>53</v>
      </c>
      <c r="AM6858" t="s">
        <v>53</v>
      </c>
      <c r="AN6858" t="s">
        <v>53</v>
      </c>
      <c r="AO6858" t="s">
        <v>53</v>
      </c>
      <c r="AP6858" t="s">
        <v>53</v>
      </c>
    </row>
    <row r="6859" spans="2:42" x14ac:dyDescent="0.2">
      <c r="B6859" t="s">
        <v>44</v>
      </c>
      <c r="C6859" t="str">
        <f>HYPERLINK("https://us2.cloudbeds.com/connect/8493803454333002#/reservations/161452383461552?display=3FQAKK9WCS&amp;reservation_id=161452383461552", "3FQAKK9WCS")</f>
        <v>3FQAKK9WCS</v>
      </c>
      <c r="D6859" t="s">
        <v>45</v>
      </c>
      <c r="E6859" t="s">
        <v>12353</v>
      </c>
      <c r="F6859" t="s">
        <v>5257</v>
      </c>
      <c r="G6859" t="s">
        <v>8291</v>
      </c>
      <c r="H6859" t="s">
        <v>3957</v>
      </c>
      <c r="I6859" t="s">
        <v>3958</v>
      </c>
      <c r="J6859" t="s">
        <v>10192</v>
      </c>
      <c r="K6859" t="s">
        <v>11321</v>
      </c>
      <c r="L6859" t="s">
        <v>53</v>
      </c>
      <c r="P6859" t="s">
        <v>55</v>
      </c>
      <c r="R6859" t="s">
        <v>56</v>
      </c>
      <c r="T6859" t="s">
        <v>12354</v>
      </c>
      <c r="U6859" t="s">
        <v>58</v>
      </c>
      <c r="V6859">
        <v>4</v>
      </c>
      <c r="W6859">
        <v>2</v>
      </c>
      <c r="X6859">
        <v>2</v>
      </c>
      <c r="Y6859">
        <v>0</v>
      </c>
      <c r="Z6859">
        <v>2</v>
      </c>
      <c r="AA6859">
        <v>412.8</v>
      </c>
      <c r="AB6859">
        <v>412.8</v>
      </c>
      <c r="AC6859">
        <v>363.2</v>
      </c>
      <c r="AD6859">
        <v>0</v>
      </c>
      <c r="AE6859">
        <v>49.6</v>
      </c>
      <c r="AF6859">
        <v>0</v>
      </c>
      <c r="AG6859">
        <v>0</v>
      </c>
      <c r="AH6859">
        <v>0</v>
      </c>
      <c r="AI6859">
        <v>0</v>
      </c>
      <c r="AJ6859">
        <v>412.8</v>
      </c>
      <c r="AK6859">
        <v>0</v>
      </c>
      <c r="AL6859" t="s">
        <v>53</v>
      </c>
      <c r="AM6859" t="s">
        <v>53</v>
      </c>
      <c r="AN6859" t="s">
        <v>12355</v>
      </c>
      <c r="AO6859" t="s">
        <v>53</v>
      </c>
      <c r="AP6859" t="s">
        <v>53</v>
      </c>
    </row>
    <row r="6860" spans="2:42" x14ac:dyDescent="0.2">
      <c r="B6860" t="s">
        <v>44</v>
      </c>
      <c r="C6860" t="str">
        <f>HYPERLINK("https://us2.cloudbeds.com/connect/8493803454333002#/reservations/161482967982229?display=3FR1A3WBMZ&amp;reservation_id=161482967982229", "3FR1A3WBMZ")</f>
        <v>3FR1A3WBMZ</v>
      </c>
      <c r="D6860" t="s">
        <v>45</v>
      </c>
      <c r="E6860" t="s">
        <v>487</v>
      </c>
      <c r="F6860" t="s">
        <v>61</v>
      </c>
      <c r="G6860" t="s">
        <v>48</v>
      </c>
      <c r="H6860" t="s">
        <v>3957</v>
      </c>
      <c r="I6860" t="s">
        <v>3975</v>
      </c>
      <c r="J6860" t="s">
        <v>10193</v>
      </c>
      <c r="K6860" t="s">
        <v>11321</v>
      </c>
      <c r="L6860" t="s">
        <v>53</v>
      </c>
      <c r="P6860" t="s">
        <v>55</v>
      </c>
      <c r="R6860" t="s">
        <v>56</v>
      </c>
      <c r="T6860" t="s">
        <v>12356</v>
      </c>
      <c r="U6860" t="s">
        <v>58</v>
      </c>
      <c r="V6860">
        <v>2</v>
      </c>
      <c r="W6860">
        <v>1</v>
      </c>
      <c r="X6860">
        <v>2</v>
      </c>
      <c r="Y6860">
        <v>0</v>
      </c>
      <c r="Z6860">
        <v>2</v>
      </c>
      <c r="AA6860">
        <v>225.05</v>
      </c>
      <c r="AB6860">
        <v>225.05</v>
      </c>
      <c r="AC6860">
        <v>198</v>
      </c>
      <c r="AD6860">
        <v>0</v>
      </c>
      <c r="AE6860">
        <v>27.05</v>
      </c>
      <c r="AF6860">
        <v>0</v>
      </c>
      <c r="AG6860">
        <v>0</v>
      </c>
      <c r="AH6860">
        <v>0</v>
      </c>
      <c r="AI6860">
        <v>0</v>
      </c>
      <c r="AJ6860">
        <v>225.05</v>
      </c>
      <c r="AK6860">
        <v>0</v>
      </c>
      <c r="AL6860" t="s">
        <v>53</v>
      </c>
      <c r="AM6860" t="s">
        <v>53</v>
      </c>
      <c r="AN6860" t="s">
        <v>53</v>
      </c>
      <c r="AO6860" t="s">
        <v>53</v>
      </c>
      <c r="AP6860" t="s">
        <v>53</v>
      </c>
    </row>
    <row r="6861" spans="2:42" x14ac:dyDescent="0.2">
      <c r="B6861" t="s">
        <v>44</v>
      </c>
      <c r="C6861" t="str">
        <f>HYPERLINK("https://us2.cloudbeds.com/connect/8493803454333002#/reservations/9080486847028329?display=3FTPWXYUAB&amp;reservation_id=9080486847028329", "3FTPWXYUAB")</f>
        <v>3FTPWXYUAB</v>
      </c>
      <c r="D6861" t="s">
        <v>45</v>
      </c>
      <c r="E6861" t="s">
        <v>113</v>
      </c>
      <c r="F6861" t="s">
        <v>61</v>
      </c>
      <c r="G6861" t="s">
        <v>48</v>
      </c>
      <c r="H6861" t="s">
        <v>49</v>
      </c>
      <c r="I6861" t="s">
        <v>50</v>
      </c>
      <c r="J6861" t="s">
        <v>10415</v>
      </c>
      <c r="K6861" t="s">
        <v>10193</v>
      </c>
      <c r="L6861" t="s">
        <v>53</v>
      </c>
      <c r="N6861" t="s">
        <v>12357</v>
      </c>
      <c r="P6861" t="s">
        <v>55</v>
      </c>
      <c r="R6861" t="s">
        <v>53</v>
      </c>
      <c r="T6861" t="s">
        <v>12358</v>
      </c>
      <c r="U6861" t="s">
        <v>58</v>
      </c>
      <c r="V6861">
        <v>1</v>
      </c>
      <c r="W6861">
        <v>1</v>
      </c>
      <c r="X6861">
        <v>1</v>
      </c>
      <c r="Y6861">
        <v>0</v>
      </c>
      <c r="Z6861">
        <v>1</v>
      </c>
      <c r="AA6861">
        <v>81.83</v>
      </c>
      <c r="AB6861">
        <v>81.83</v>
      </c>
      <c r="AC6861">
        <v>72</v>
      </c>
      <c r="AD6861">
        <v>0</v>
      </c>
      <c r="AE6861">
        <v>9.83</v>
      </c>
      <c r="AF6861">
        <v>0</v>
      </c>
      <c r="AG6861">
        <v>0</v>
      </c>
      <c r="AH6861">
        <v>0</v>
      </c>
      <c r="AI6861">
        <v>14.73</v>
      </c>
      <c r="AJ6861">
        <v>81.83</v>
      </c>
      <c r="AK6861">
        <v>0</v>
      </c>
      <c r="AL6861" t="s">
        <v>53</v>
      </c>
      <c r="AM6861" t="s">
        <v>53</v>
      </c>
      <c r="AN6861" t="s">
        <v>53</v>
      </c>
      <c r="AO6861" t="s">
        <v>53</v>
      </c>
      <c r="AP6861" t="s">
        <v>53</v>
      </c>
    </row>
    <row r="6862" spans="2:42" x14ac:dyDescent="0.2">
      <c r="B6862" t="s">
        <v>44</v>
      </c>
      <c r="C6862" t="str">
        <f>HYPERLINK("https://us2.cloudbeds.com/connect/8493803454333002#/reservations/9080486847028464?display=3FTUN7QXDW&amp;reservation_id=9080486847028464", "3FTUN7QXDW")</f>
        <v>3FTUN7QXDW</v>
      </c>
      <c r="D6862" t="s">
        <v>45</v>
      </c>
      <c r="E6862" t="s">
        <v>78</v>
      </c>
      <c r="F6862" t="s">
        <v>61</v>
      </c>
      <c r="G6862" t="s">
        <v>48</v>
      </c>
      <c r="H6862" t="s">
        <v>49</v>
      </c>
      <c r="I6862" t="s">
        <v>50</v>
      </c>
      <c r="J6862" t="s">
        <v>11495</v>
      </c>
      <c r="K6862" t="s">
        <v>11321</v>
      </c>
      <c r="L6862" t="s">
        <v>53</v>
      </c>
      <c r="N6862" t="s">
        <v>12359</v>
      </c>
      <c r="P6862" t="s">
        <v>55</v>
      </c>
      <c r="R6862" t="s">
        <v>53</v>
      </c>
      <c r="T6862" t="s">
        <v>12360</v>
      </c>
      <c r="U6862" t="s">
        <v>58</v>
      </c>
      <c r="V6862">
        <v>1</v>
      </c>
      <c r="W6862">
        <v>1</v>
      </c>
      <c r="X6862">
        <v>1</v>
      </c>
      <c r="Y6862">
        <v>0</v>
      </c>
      <c r="Z6862">
        <v>1</v>
      </c>
      <c r="AA6862">
        <v>90.69</v>
      </c>
      <c r="AB6862">
        <v>90.69</v>
      </c>
      <c r="AC6862">
        <v>79.8</v>
      </c>
      <c r="AD6862">
        <v>0</v>
      </c>
      <c r="AE6862">
        <v>10.89</v>
      </c>
      <c r="AF6862">
        <v>0</v>
      </c>
      <c r="AG6862">
        <v>0</v>
      </c>
      <c r="AH6862">
        <v>0</v>
      </c>
      <c r="AI6862">
        <v>16.32</v>
      </c>
      <c r="AJ6862">
        <v>90.69</v>
      </c>
      <c r="AK6862">
        <v>0</v>
      </c>
      <c r="AL6862" t="s">
        <v>53</v>
      </c>
      <c r="AM6862" t="s">
        <v>53</v>
      </c>
      <c r="AN6862" t="s">
        <v>53</v>
      </c>
      <c r="AO6862" t="s">
        <v>53</v>
      </c>
      <c r="AP6862" t="s">
        <v>53</v>
      </c>
    </row>
    <row r="6863" spans="2:42" x14ac:dyDescent="0.2">
      <c r="B6863" t="s">
        <v>44</v>
      </c>
      <c r="C6863" t="str">
        <f>HYPERLINK("https://us2.cloudbeds.com/connect/8493803454333002#/reservations/9080486847029081?display=3FUXE9R85M&amp;reservation_id=9080486847029081", "3FUXE9R85M")</f>
        <v>3FUXE9R85M</v>
      </c>
      <c r="D6863" t="s">
        <v>45</v>
      </c>
      <c r="E6863" t="s">
        <v>138</v>
      </c>
      <c r="F6863" t="s">
        <v>70</v>
      </c>
      <c r="G6863" t="s">
        <v>48</v>
      </c>
      <c r="H6863" t="s">
        <v>49</v>
      </c>
      <c r="I6863" t="s">
        <v>50</v>
      </c>
      <c r="J6863" t="s">
        <v>10776</v>
      </c>
      <c r="K6863" t="s">
        <v>10779</v>
      </c>
      <c r="L6863" t="s">
        <v>53</v>
      </c>
      <c r="N6863" t="s">
        <v>12361</v>
      </c>
      <c r="P6863" t="s">
        <v>55</v>
      </c>
      <c r="R6863" t="s">
        <v>53</v>
      </c>
      <c r="T6863" t="s">
        <v>12362</v>
      </c>
      <c r="U6863" t="s">
        <v>58</v>
      </c>
      <c r="V6863">
        <v>1</v>
      </c>
      <c r="W6863">
        <v>1</v>
      </c>
      <c r="X6863">
        <v>1</v>
      </c>
      <c r="Y6863">
        <v>0</v>
      </c>
      <c r="Z6863">
        <v>1</v>
      </c>
      <c r="AA6863">
        <v>63.49</v>
      </c>
      <c r="AB6863">
        <v>63.49</v>
      </c>
      <c r="AC6863">
        <v>55.86</v>
      </c>
      <c r="AD6863">
        <v>0</v>
      </c>
      <c r="AE6863">
        <v>7.63</v>
      </c>
      <c r="AF6863">
        <v>0</v>
      </c>
      <c r="AG6863">
        <v>0</v>
      </c>
      <c r="AH6863">
        <v>0</v>
      </c>
      <c r="AI6863">
        <v>11.43</v>
      </c>
      <c r="AJ6863">
        <v>63.49</v>
      </c>
      <c r="AK6863">
        <v>0</v>
      </c>
      <c r="AL6863" t="s">
        <v>53</v>
      </c>
      <c r="AM6863" t="s">
        <v>53</v>
      </c>
      <c r="AN6863" t="s">
        <v>53</v>
      </c>
      <c r="AO6863" t="s">
        <v>53</v>
      </c>
      <c r="AP6863" t="s">
        <v>53</v>
      </c>
    </row>
    <row r="6864" spans="2:42" x14ac:dyDescent="0.2">
      <c r="B6864" t="s">
        <v>44</v>
      </c>
      <c r="C6864" t="str">
        <f>HYPERLINK("https://us2.cloudbeds.com/connect/8493803454333002#/reservations/9080486847029227?display=3FUM67A1TQ&amp;reservation_id=9080486847029227", "3FUM67A1TQ")</f>
        <v>3FUM67A1TQ</v>
      </c>
      <c r="D6864" t="s">
        <v>45</v>
      </c>
      <c r="E6864" t="s">
        <v>138</v>
      </c>
      <c r="F6864" t="s">
        <v>70</v>
      </c>
      <c r="G6864" t="s">
        <v>48</v>
      </c>
      <c r="H6864" t="s">
        <v>49</v>
      </c>
      <c r="I6864" t="s">
        <v>8964</v>
      </c>
      <c r="J6864" t="s">
        <v>10415</v>
      </c>
      <c r="K6864" t="s">
        <v>10193</v>
      </c>
      <c r="L6864" t="s">
        <v>53</v>
      </c>
      <c r="N6864" t="s">
        <v>12363</v>
      </c>
      <c r="P6864" t="s">
        <v>55</v>
      </c>
      <c r="R6864" t="s">
        <v>53</v>
      </c>
      <c r="T6864" t="s">
        <v>12364</v>
      </c>
      <c r="U6864" t="s">
        <v>55</v>
      </c>
      <c r="V6864">
        <v>1</v>
      </c>
      <c r="W6864">
        <v>1</v>
      </c>
      <c r="X6864">
        <v>2</v>
      </c>
      <c r="Y6864">
        <v>0</v>
      </c>
      <c r="Z6864">
        <v>2</v>
      </c>
      <c r="AA6864">
        <v>0</v>
      </c>
      <c r="AB6864">
        <v>0</v>
      </c>
      <c r="AC6864">
        <v>59</v>
      </c>
      <c r="AD6864">
        <v>0</v>
      </c>
      <c r="AE6864">
        <v>0</v>
      </c>
      <c r="AF6864">
        <v>0</v>
      </c>
      <c r="AG6864">
        <v>0</v>
      </c>
      <c r="AH6864">
        <v>0</v>
      </c>
      <c r="AI6864">
        <v>8.85</v>
      </c>
      <c r="AJ6864">
        <v>59</v>
      </c>
      <c r="AK6864">
        <v>59</v>
      </c>
      <c r="AL6864" t="s">
        <v>53</v>
      </c>
      <c r="AM6864" t="s">
        <v>53</v>
      </c>
      <c r="AN6864" t="s">
        <v>53</v>
      </c>
      <c r="AO6864" t="s">
        <v>53</v>
      </c>
      <c r="AP6864" t="s">
        <v>53</v>
      </c>
    </row>
    <row r="6865" spans="2:42" x14ac:dyDescent="0.2">
      <c r="B6865" t="s">
        <v>44</v>
      </c>
      <c r="C6865" t="str">
        <f>HYPERLINK("https://us2.cloudbeds.com/connect/8493803454333002#/reservations/9080486847029509?display=3FUVRD3C5C&amp;reservation_id=9080486847029509", "3FUVRD3C5C")</f>
        <v>3FUVRD3C5C</v>
      </c>
      <c r="D6865" t="s">
        <v>45</v>
      </c>
      <c r="E6865" t="s">
        <v>179</v>
      </c>
      <c r="F6865" t="s">
        <v>47</v>
      </c>
      <c r="G6865" t="s">
        <v>48</v>
      </c>
      <c r="H6865" t="s">
        <v>49</v>
      </c>
      <c r="I6865" t="s">
        <v>8964</v>
      </c>
      <c r="J6865" t="s">
        <v>10193</v>
      </c>
      <c r="K6865" t="s">
        <v>11495</v>
      </c>
      <c r="L6865" t="s">
        <v>53</v>
      </c>
      <c r="N6865" t="s">
        <v>12365</v>
      </c>
      <c r="P6865" t="s">
        <v>55</v>
      </c>
      <c r="R6865" t="s">
        <v>53</v>
      </c>
      <c r="T6865" t="s">
        <v>12366</v>
      </c>
      <c r="U6865" t="s">
        <v>55</v>
      </c>
      <c r="V6865">
        <v>1</v>
      </c>
      <c r="W6865">
        <v>1</v>
      </c>
      <c r="X6865">
        <v>2</v>
      </c>
      <c r="Y6865">
        <v>0</v>
      </c>
      <c r="Z6865">
        <v>2</v>
      </c>
      <c r="AA6865">
        <v>0</v>
      </c>
      <c r="AB6865">
        <v>0</v>
      </c>
      <c r="AC6865">
        <v>88</v>
      </c>
      <c r="AD6865">
        <v>0</v>
      </c>
      <c r="AE6865">
        <v>0</v>
      </c>
      <c r="AF6865">
        <v>0</v>
      </c>
      <c r="AG6865">
        <v>0</v>
      </c>
      <c r="AH6865">
        <v>0</v>
      </c>
      <c r="AI6865">
        <v>13.2</v>
      </c>
      <c r="AJ6865">
        <v>88</v>
      </c>
      <c r="AK6865">
        <v>88</v>
      </c>
      <c r="AL6865" t="s">
        <v>53</v>
      </c>
      <c r="AM6865" t="s">
        <v>53</v>
      </c>
      <c r="AN6865" t="s">
        <v>12367</v>
      </c>
      <c r="AO6865" t="s">
        <v>53</v>
      </c>
      <c r="AP6865" t="s">
        <v>53</v>
      </c>
    </row>
    <row r="6866" spans="2:42" x14ac:dyDescent="0.2">
      <c r="B6866" t="s">
        <v>44</v>
      </c>
      <c r="C6866" t="str">
        <f>HYPERLINK("https://us2.cloudbeds.com/connect/8493803454333002#/reservations/161691332067472?display=3FVUYA35RU&amp;reservation_id=161691332067472", "3FVUYA35RU")</f>
        <v>3FVUYA35RU</v>
      </c>
      <c r="D6866" t="s">
        <v>45</v>
      </c>
      <c r="E6866" t="s">
        <v>223</v>
      </c>
      <c r="F6866" t="s">
        <v>47</v>
      </c>
      <c r="G6866" t="s">
        <v>48</v>
      </c>
      <c r="H6866" t="s">
        <v>3957</v>
      </c>
      <c r="I6866" t="s">
        <v>3975</v>
      </c>
      <c r="J6866" t="s">
        <v>10193</v>
      </c>
      <c r="K6866" t="s">
        <v>11495</v>
      </c>
      <c r="L6866" t="s">
        <v>53</v>
      </c>
      <c r="P6866" t="s">
        <v>55</v>
      </c>
      <c r="R6866" t="s">
        <v>56</v>
      </c>
      <c r="T6866" t="s">
        <v>12368</v>
      </c>
      <c r="U6866" t="s">
        <v>58</v>
      </c>
      <c r="V6866">
        <v>1</v>
      </c>
      <c r="W6866">
        <v>1</v>
      </c>
      <c r="X6866">
        <v>2</v>
      </c>
      <c r="Y6866">
        <v>0</v>
      </c>
      <c r="Z6866">
        <v>2</v>
      </c>
      <c r="AA6866">
        <v>96.61</v>
      </c>
      <c r="AB6866">
        <v>96.61</v>
      </c>
      <c r="AC6866">
        <v>85</v>
      </c>
      <c r="AD6866">
        <v>0</v>
      </c>
      <c r="AE6866">
        <v>11.61</v>
      </c>
      <c r="AF6866">
        <v>0</v>
      </c>
      <c r="AG6866">
        <v>0</v>
      </c>
      <c r="AH6866">
        <v>0</v>
      </c>
      <c r="AI6866">
        <v>0</v>
      </c>
      <c r="AJ6866">
        <v>96.61</v>
      </c>
      <c r="AK6866">
        <v>0</v>
      </c>
      <c r="AL6866" t="s">
        <v>53</v>
      </c>
      <c r="AM6866" t="s">
        <v>53</v>
      </c>
      <c r="AN6866" t="s">
        <v>53</v>
      </c>
      <c r="AO6866" t="s">
        <v>53</v>
      </c>
      <c r="AP6866" t="s">
        <v>53</v>
      </c>
    </row>
    <row r="6867" spans="2:42" x14ac:dyDescent="0.2">
      <c r="B6867" t="s">
        <v>44</v>
      </c>
      <c r="C6867" t="str">
        <f>HYPERLINK("https://us2.cloudbeds.com/connect/8493803454333002#/reservations/161697016369361?display=3FW21X88FA&amp;reservation_id=161697016369361", "3FW21X88FA")</f>
        <v>3FW21X88FA</v>
      </c>
      <c r="D6867" t="s">
        <v>45</v>
      </c>
      <c r="E6867" t="s">
        <v>12369</v>
      </c>
      <c r="F6867" t="s">
        <v>5257</v>
      </c>
      <c r="G6867" t="s">
        <v>12370</v>
      </c>
      <c r="H6867" t="s">
        <v>3957</v>
      </c>
      <c r="I6867" t="s">
        <v>3975</v>
      </c>
      <c r="J6867" t="s">
        <v>11896</v>
      </c>
      <c r="K6867" t="s">
        <v>10590</v>
      </c>
      <c r="L6867" t="s">
        <v>53</v>
      </c>
      <c r="P6867" t="s">
        <v>55</v>
      </c>
      <c r="R6867" t="s">
        <v>56</v>
      </c>
      <c r="T6867" t="s">
        <v>12371</v>
      </c>
      <c r="U6867" t="s">
        <v>58</v>
      </c>
      <c r="V6867">
        <v>4</v>
      </c>
      <c r="W6867">
        <v>4</v>
      </c>
      <c r="X6867">
        <v>8</v>
      </c>
      <c r="Y6867">
        <v>0</v>
      </c>
      <c r="Z6867">
        <v>8</v>
      </c>
      <c r="AA6867">
        <v>381.6</v>
      </c>
      <c r="AB6867">
        <v>335.75</v>
      </c>
      <c r="AC6867">
        <v>335.75</v>
      </c>
      <c r="AD6867">
        <v>0</v>
      </c>
      <c r="AE6867">
        <v>45.85</v>
      </c>
      <c r="AF6867">
        <v>0</v>
      </c>
      <c r="AG6867">
        <v>0</v>
      </c>
      <c r="AH6867">
        <v>0</v>
      </c>
      <c r="AI6867">
        <v>0</v>
      </c>
      <c r="AJ6867">
        <v>381.6</v>
      </c>
      <c r="AK6867">
        <v>45.85</v>
      </c>
      <c r="AL6867" t="s">
        <v>53</v>
      </c>
      <c r="AM6867" t="s">
        <v>53</v>
      </c>
      <c r="AN6867" t="s">
        <v>12372</v>
      </c>
      <c r="AO6867" t="s">
        <v>53</v>
      </c>
      <c r="AP6867" t="s">
        <v>53</v>
      </c>
    </row>
    <row r="6868" spans="2:42" x14ac:dyDescent="0.2">
      <c r="B6868" t="s">
        <v>44</v>
      </c>
      <c r="C6868" t="str">
        <f>HYPERLINK("https://us2.cloudbeds.com/connect/8493803454333002#/reservations/9080486847031425?display=3FWVWPHYHN&amp;reservation_id=9080486847031425", "3FWVWPHYHN")</f>
        <v>3FWVWPHYHN</v>
      </c>
      <c r="D6868" t="s">
        <v>45</v>
      </c>
      <c r="E6868" t="s">
        <v>373</v>
      </c>
      <c r="F6868" t="s">
        <v>47</v>
      </c>
      <c r="G6868" t="s">
        <v>48</v>
      </c>
      <c r="H6868" t="s">
        <v>49</v>
      </c>
      <c r="I6868" t="s">
        <v>8964</v>
      </c>
      <c r="J6868" t="s">
        <v>10415</v>
      </c>
      <c r="K6868" t="s">
        <v>10193</v>
      </c>
      <c r="L6868" t="s">
        <v>53</v>
      </c>
      <c r="N6868" t="s">
        <v>12373</v>
      </c>
      <c r="P6868" t="s">
        <v>55</v>
      </c>
      <c r="R6868" t="s">
        <v>53</v>
      </c>
      <c r="T6868" t="s">
        <v>12374</v>
      </c>
      <c r="U6868" t="s">
        <v>55</v>
      </c>
      <c r="V6868">
        <v>1</v>
      </c>
      <c r="W6868">
        <v>1</v>
      </c>
      <c r="X6868">
        <v>2</v>
      </c>
      <c r="Y6868">
        <v>0</v>
      </c>
      <c r="Z6868">
        <v>2</v>
      </c>
      <c r="AA6868">
        <v>0</v>
      </c>
      <c r="AB6868">
        <v>0</v>
      </c>
      <c r="AC6868">
        <v>78</v>
      </c>
      <c r="AD6868">
        <v>0</v>
      </c>
      <c r="AE6868">
        <v>0</v>
      </c>
      <c r="AF6868">
        <v>0</v>
      </c>
      <c r="AG6868">
        <v>0</v>
      </c>
      <c r="AH6868">
        <v>0</v>
      </c>
      <c r="AI6868">
        <v>11.7</v>
      </c>
      <c r="AJ6868">
        <v>78</v>
      </c>
      <c r="AK6868">
        <v>78</v>
      </c>
      <c r="AL6868" t="s">
        <v>53</v>
      </c>
      <c r="AM6868" t="s">
        <v>53</v>
      </c>
      <c r="AN6868" t="s">
        <v>53</v>
      </c>
      <c r="AO6868" t="s">
        <v>53</v>
      </c>
      <c r="AP6868" t="s">
        <v>53</v>
      </c>
    </row>
    <row r="6869" spans="2:42" x14ac:dyDescent="0.2">
      <c r="B6869" t="s">
        <v>44</v>
      </c>
      <c r="C6869" t="str">
        <f>HYPERLINK("https://us2.cloudbeds.com/connect/8493803454333002#/reservations/9080486847031455?display=3G002AFYT0&amp;reservation_id=9080486847031455", "3G002AFYT0")</f>
        <v>3G002AFYT0</v>
      </c>
      <c r="D6869" t="s">
        <v>45</v>
      </c>
      <c r="E6869" t="s">
        <v>46</v>
      </c>
      <c r="F6869" t="s">
        <v>47</v>
      </c>
      <c r="G6869" t="s">
        <v>48</v>
      </c>
      <c r="H6869" t="s">
        <v>49</v>
      </c>
      <c r="I6869" t="s">
        <v>62</v>
      </c>
      <c r="J6869" t="s">
        <v>10193</v>
      </c>
      <c r="K6869" t="s">
        <v>11495</v>
      </c>
      <c r="L6869" t="s">
        <v>53</v>
      </c>
      <c r="N6869" t="s">
        <v>12375</v>
      </c>
      <c r="P6869" t="s">
        <v>55</v>
      </c>
      <c r="R6869" t="s">
        <v>56</v>
      </c>
      <c r="T6869" t="s">
        <v>12376</v>
      </c>
      <c r="U6869" t="s">
        <v>55</v>
      </c>
      <c r="V6869">
        <v>1</v>
      </c>
      <c r="W6869">
        <v>1</v>
      </c>
      <c r="X6869">
        <v>2</v>
      </c>
      <c r="Y6869">
        <v>0</v>
      </c>
      <c r="Z6869">
        <v>2</v>
      </c>
      <c r="AA6869">
        <v>85</v>
      </c>
      <c r="AB6869">
        <v>85</v>
      </c>
      <c r="AC6869">
        <v>85</v>
      </c>
      <c r="AD6869">
        <v>0</v>
      </c>
      <c r="AE6869">
        <v>0</v>
      </c>
      <c r="AF6869">
        <v>0</v>
      </c>
      <c r="AG6869">
        <v>0</v>
      </c>
      <c r="AH6869">
        <v>0</v>
      </c>
      <c r="AI6869">
        <v>15.3</v>
      </c>
      <c r="AJ6869">
        <v>85</v>
      </c>
      <c r="AK6869">
        <v>0</v>
      </c>
      <c r="AL6869" t="s">
        <v>53</v>
      </c>
      <c r="AM6869" t="s">
        <v>53</v>
      </c>
      <c r="AN6869" t="s">
        <v>53</v>
      </c>
      <c r="AO6869" t="s">
        <v>53</v>
      </c>
      <c r="AP6869" t="s">
        <v>53</v>
      </c>
    </row>
    <row r="6870" spans="2:42" x14ac:dyDescent="0.2">
      <c r="B6870" t="s">
        <v>44</v>
      </c>
      <c r="C6870" t="str">
        <f>HYPERLINK("https://us2.cloudbeds.com/connect/8493803454333002#/reservations/161736987308266?display=3FWWWTQX86&amp;reservation_id=161736987308266", "3FWWWTQX86")</f>
        <v>3FWWWTQX86</v>
      </c>
      <c r="D6870" t="s">
        <v>45</v>
      </c>
      <c r="E6870" t="s">
        <v>406</v>
      </c>
      <c r="F6870" t="s">
        <v>61</v>
      </c>
      <c r="G6870" t="s">
        <v>48</v>
      </c>
      <c r="H6870" t="s">
        <v>3957</v>
      </c>
      <c r="I6870" t="s">
        <v>3958</v>
      </c>
      <c r="J6870" t="s">
        <v>10415</v>
      </c>
      <c r="K6870" t="s">
        <v>10193</v>
      </c>
      <c r="L6870" t="s">
        <v>53</v>
      </c>
      <c r="P6870" t="s">
        <v>55</v>
      </c>
      <c r="R6870" t="s">
        <v>56</v>
      </c>
      <c r="T6870" t="s">
        <v>12377</v>
      </c>
      <c r="U6870" t="s">
        <v>58</v>
      </c>
      <c r="V6870">
        <v>1</v>
      </c>
      <c r="W6870">
        <v>1</v>
      </c>
      <c r="X6870">
        <v>1</v>
      </c>
      <c r="Y6870">
        <v>0</v>
      </c>
      <c r="Z6870">
        <v>1</v>
      </c>
      <c r="AA6870">
        <v>90.92</v>
      </c>
      <c r="AB6870">
        <v>90.92</v>
      </c>
      <c r="AC6870">
        <v>80</v>
      </c>
      <c r="AD6870">
        <v>0</v>
      </c>
      <c r="AE6870">
        <v>10.92</v>
      </c>
      <c r="AF6870">
        <v>0</v>
      </c>
      <c r="AG6870">
        <v>0</v>
      </c>
      <c r="AH6870">
        <v>0</v>
      </c>
      <c r="AI6870">
        <v>0</v>
      </c>
      <c r="AJ6870">
        <v>90.92</v>
      </c>
      <c r="AK6870">
        <v>0</v>
      </c>
      <c r="AL6870" t="s">
        <v>53</v>
      </c>
      <c r="AM6870" t="s">
        <v>53</v>
      </c>
      <c r="AN6870" t="s">
        <v>53</v>
      </c>
      <c r="AO6870" t="s">
        <v>53</v>
      </c>
      <c r="AP6870" t="s">
        <v>53</v>
      </c>
    </row>
    <row r="6871" spans="2:42" x14ac:dyDescent="0.2">
      <c r="B6871" t="s">
        <v>44</v>
      </c>
      <c r="C6871" t="str">
        <f>HYPERLINK("https://us2.cloudbeds.com/connect/8493803454333002#/reservations/9080486847031458?display=3G00R4BHEQ&amp;reservation_id=9080486847031458", "3G00R4BHEQ")</f>
        <v>3G00R4BHEQ</v>
      </c>
      <c r="D6871" t="s">
        <v>45</v>
      </c>
      <c r="E6871" t="s">
        <v>12378</v>
      </c>
      <c r="F6871" t="s">
        <v>5257</v>
      </c>
      <c r="G6871" t="s">
        <v>8291</v>
      </c>
      <c r="H6871" t="s">
        <v>49</v>
      </c>
      <c r="I6871" t="s">
        <v>50</v>
      </c>
      <c r="J6871" t="s">
        <v>10415</v>
      </c>
      <c r="K6871" t="s">
        <v>10487</v>
      </c>
      <c r="L6871" t="s">
        <v>53</v>
      </c>
      <c r="N6871" t="s">
        <v>12379</v>
      </c>
      <c r="P6871" t="s">
        <v>55</v>
      </c>
      <c r="R6871" t="s">
        <v>53</v>
      </c>
      <c r="T6871" t="s">
        <v>12380</v>
      </c>
      <c r="U6871" t="s">
        <v>58</v>
      </c>
      <c r="V6871">
        <v>4</v>
      </c>
      <c r="W6871">
        <v>2</v>
      </c>
      <c r="X6871">
        <v>2</v>
      </c>
      <c r="Y6871">
        <v>0</v>
      </c>
      <c r="Z6871">
        <v>2</v>
      </c>
      <c r="AA6871">
        <v>333.03</v>
      </c>
      <c r="AB6871">
        <v>333.03</v>
      </c>
      <c r="AC6871">
        <v>293</v>
      </c>
      <c r="AD6871">
        <v>0</v>
      </c>
      <c r="AE6871">
        <v>40.03</v>
      </c>
      <c r="AF6871">
        <v>0</v>
      </c>
      <c r="AG6871">
        <v>0</v>
      </c>
      <c r="AH6871">
        <v>0</v>
      </c>
      <c r="AI6871">
        <v>59.95</v>
      </c>
      <c r="AJ6871">
        <v>333.03</v>
      </c>
      <c r="AK6871">
        <v>0</v>
      </c>
      <c r="AL6871" t="s">
        <v>53</v>
      </c>
      <c r="AM6871" t="s">
        <v>53</v>
      </c>
      <c r="AN6871" t="s">
        <v>53</v>
      </c>
      <c r="AO6871" t="s">
        <v>53</v>
      </c>
      <c r="AP6871" t="s">
        <v>53</v>
      </c>
    </row>
    <row r="6872" spans="2:42" x14ac:dyDescent="0.2">
      <c r="B6872" t="s">
        <v>44</v>
      </c>
      <c r="C6872" t="str">
        <f>HYPERLINK("https://us2.cloudbeds.com/connect/8493803454333002#/reservations/9080486847031514?display=3G02M94S6S&amp;reservation_id=9080486847031514", "3G02M94S6S")</f>
        <v>3G02M94S6S</v>
      </c>
      <c r="D6872" t="s">
        <v>45</v>
      </c>
      <c r="E6872" t="s">
        <v>373</v>
      </c>
      <c r="F6872" t="s">
        <v>47</v>
      </c>
      <c r="G6872" t="s">
        <v>48</v>
      </c>
      <c r="H6872" t="s">
        <v>49</v>
      </c>
      <c r="I6872" t="s">
        <v>50</v>
      </c>
      <c r="J6872" t="s">
        <v>10193</v>
      </c>
      <c r="K6872" t="s">
        <v>11321</v>
      </c>
      <c r="L6872" t="s">
        <v>53</v>
      </c>
      <c r="N6872" t="s">
        <v>12381</v>
      </c>
      <c r="P6872" t="s">
        <v>55</v>
      </c>
      <c r="R6872" t="s">
        <v>53</v>
      </c>
      <c r="T6872" t="s">
        <v>12382</v>
      </c>
      <c r="U6872" t="s">
        <v>58</v>
      </c>
      <c r="V6872">
        <v>2</v>
      </c>
      <c r="W6872">
        <v>1</v>
      </c>
      <c r="X6872">
        <v>1</v>
      </c>
      <c r="Y6872">
        <v>0</v>
      </c>
      <c r="Z6872">
        <v>1</v>
      </c>
      <c r="AA6872">
        <v>173.9</v>
      </c>
      <c r="AB6872">
        <v>173.9</v>
      </c>
      <c r="AC6872">
        <v>26.05</v>
      </c>
      <c r="AD6872">
        <v>0</v>
      </c>
      <c r="AE6872">
        <v>20.9</v>
      </c>
      <c r="AF6872">
        <v>0</v>
      </c>
      <c r="AG6872">
        <v>0</v>
      </c>
      <c r="AH6872">
        <v>0</v>
      </c>
      <c r="AI6872">
        <v>8.4499999999999993</v>
      </c>
      <c r="AJ6872">
        <v>46.95</v>
      </c>
      <c r="AK6872">
        <v>0</v>
      </c>
      <c r="AL6872" t="s">
        <v>53</v>
      </c>
      <c r="AM6872" t="s">
        <v>53</v>
      </c>
      <c r="AN6872" t="s">
        <v>12383</v>
      </c>
      <c r="AO6872" t="s">
        <v>53</v>
      </c>
      <c r="AP6872" t="s">
        <v>53</v>
      </c>
    </row>
    <row r="6873" spans="2:42" x14ac:dyDescent="0.2">
      <c r="B6873" t="s">
        <v>44</v>
      </c>
      <c r="C6873" t="str">
        <f>HYPERLINK("https://us2.cloudbeds.com/connect/8493803454333002#/reservations/9080486847031719?display=3G0BRXYDT4&amp;reservation_id=9080486847031719", "3G0BRXYDT4")</f>
        <v>3G0BRXYDT4</v>
      </c>
      <c r="D6873" t="s">
        <v>45</v>
      </c>
      <c r="E6873" t="s">
        <v>406</v>
      </c>
      <c r="F6873" t="s">
        <v>61</v>
      </c>
      <c r="G6873" t="s">
        <v>48</v>
      </c>
      <c r="H6873" t="s">
        <v>49</v>
      </c>
      <c r="I6873" t="s">
        <v>8964</v>
      </c>
      <c r="J6873" t="s">
        <v>10193</v>
      </c>
      <c r="K6873" t="s">
        <v>11321</v>
      </c>
      <c r="L6873" t="s">
        <v>53</v>
      </c>
      <c r="N6873" t="s">
        <v>12384</v>
      </c>
      <c r="P6873" t="s">
        <v>55</v>
      </c>
      <c r="R6873" t="s">
        <v>53</v>
      </c>
      <c r="T6873" t="s">
        <v>12385</v>
      </c>
      <c r="U6873" t="s">
        <v>55</v>
      </c>
      <c r="V6873">
        <v>2</v>
      </c>
      <c r="W6873">
        <v>1</v>
      </c>
      <c r="X6873">
        <v>2</v>
      </c>
      <c r="Y6873">
        <v>0</v>
      </c>
      <c r="Z6873">
        <v>2</v>
      </c>
      <c r="AA6873">
        <v>0</v>
      </c>
      <c r="AB6873">
        <v>0</v>
      </c>
      <c r="AC6873">
        <v>204</v>
      </c>
      <c r="AD6873">
        <v>0</v>
      </c>
      <c r="AE6873">
        <v>0</v>
      </c>
      <c r="AF6873">
        <v>0</v>
      </c>
      <c r="AG6873">
        <v>0</v>
      </c>
      <c r="AH6873">
        <v>0</v>
      </c>
      <c r="AI6873">
        <v>30.6</v>
      </c>
      <c r="AJ6873">
        <v>204</v>
      </c>
      <c r="AK6873">
        <v>204</v>
      </c>
      <c r="AL6873" t="s">
        <v>53</v>
      </c>
      <c r="AM6873" t="s">
        <v>53</v>
      </c>
      <c r="AN6873" t="s">
        <v>53</v>
      </c>
      <c r="AO6873" t="s">
        <v>53</v>
      </c>
      <c r="AP6873" t="s">
        <v>53</v>
      </c>
    </row>
    <row r="6874" spans="2:42" x14ac:dyDescent="0.2">
      <c r="B6874" t="s">
        <v>44</v>
      </c>
      <c r="C6874" t="str">
        <f>HYPERLINK("https://us2.cloudbeds.com/connect/8493803454333002#/reservations/9080486847031814?display=3G0G0GNPFG&amp;reservation_id=9080486847031814", "3G0G0GNPFG")</f>
        <v>3G0G0GNPFG</v>
      </c>
      <c r="D6874" t="s">
        <v>45</v>
      </c>
      <c r="E6874" t="s">
        <v>305</v>
      </c>
      <c r="F6874" t="s">
        <v>61</v>
      </c>
      <c r="G6874" t="s">
        <v>48</v>
      </c>
      <c r="H6874" t="s">
        <v>49</v>
      </c>
      <c r="I6874" t="s">
        <v>50</v>
      </c>
      <c r="J6874" t="s">
        <v>10193</v>
      </c>
      <c r="K6874" t="s">
        <v>11495</v>
      </c>
      <c r="L6874" t="s">
        <v>53</v>
      </c>
      <c r="N6874" t="s">
        <v>12386</v>
      </c>
      <c r="P6874" t="s">
        <v>55</v>
      </c>
      <c r="R6874" t="s">
        <v>53</v>
      </c>
      <c r="T6874" t="s">
        <v>12387</v>
      </c>
      <c r="U6874" t="s">
        <v>58</v>
      </c>
      <c r="V6874">
        <v>1</v>
      </c>
      <c r="W6874">
        <v>1</v>
      </c>
      <c r="X6874">
        <v>1</v>
      </c>
      <c r="Y6874">
        <v>0</v>
      </c>
      <c r="Z6874">
        <v>1</v>
      </c>
      <c r="AA6874">
        <v>93.65</v>
      </c>
      <c r="AB6874">
        <v>93.65</v>
      </c>
      <c r="AC6874">
        <v>82.4</v>
      </c>
      <c r="AD6874">
        <v>0</v>
      </c>
      <c r="AE6874">
        <v>11.25</v>
      </c>
      <c r="AF6874">
        <v>0</v>
      </c>
      <c r="AG6874">
        <v>0</v>
      </c>
      <c r="AH6874">
        <v>0</v>
      </c>
      <c r="AI6874">
        <v>16.86</v>
      </c>
      <c r="AJ6874">
        <v>93.65</v>
      </c>
      <c r="AK6874">
        <v>0</v>
      </c>
      <c r="AL6874" t="s">
        <v>53</v>
      </c>
      <c r="AM6874" t="s">
        <v>53</v>
      </c>
      <c r="AN6874" t="s">
        <v>53</v>
      </c>
      <c r="AO6874" t="s">
        <v>53</v>
      </c>
      <c r="AP6874" t="s">
        <v>53</v>
      </c>
    </row>
    <row r="6875" spans="2:42" x14ac:dyDescent="0.2">
      <c r="B6875" t="s">
        <v>44</v>
      </c>
      <c r="C6875" t="str">
        <f>HYPERLINK("https://us2.cloudbeds.com/connect/8493803454333002#/reservations/161762045853832?display=3G0JD6RH7R&amp;reservation_id=161762045853832", "3G0JD6RH7R")</f>
        <v>3G0JD6RH7R</v>
      </c>
      <c r="D6875" t="s">
        <v>45</v>
      </c>
      <c r="E6875" t="s">
        <v>128</v>
      </c>
      <c r="F6875" t="s">
        <v>86</v>
      </c>
      <c r="G6875" t="s">
        <v>48</v>
      </c>
      <c r="H6875" t="s">
        <v>3957</v>
      </c>
      <c r="I6875" t="s">
        <v>3975</v>
      </c>
      <c r="J6875" t="s">
        <v>10415</v>
      </c>
      <c r="K6875" t="s">
        <v>10193</v>
      </c>
      <c r="L6875" t="s">
        <v>53</v>
      </c>
      <c r="P6875" t="s">
        <v>55</v>
      </c>
      <c r="R6875" t="s">
        <v>56</v>
      </c>
      <c r="T6875" t="s">
        <v>12388</v>
      </c>
      <c r="U6875" t="s">
        <v>58</v>
      </c>
      <c r="V6875">
        <v>1</v>
      </c>
      <c r="W6875">
        <v>1</v>
      </c>
      <c r="X6875">
        <v>2</v>
      </c>
      <c r="Y6875">
        <v>2</v>
      </c>
      <c r="Z6875">
        <v>4</v>
      </c>
      <c r="AA6875">
        <v>100.01</v>
      </c>
      <c r="AB6875">
        <v>100.01</v>
      </c>
      <c r="AC6875">
        <v>88</v>
      </c>
      <c r="AD6875">
        <v>0</v>
      </c>
      <c r="AE6875">
        <v>12.01</v>
      </c>
      <c r="AF6875">
        <v>0</v>
      </c>
      <c r="AG6875">
        <v>0</v>
      </c>
      <c r="AH6875">
        <v>0</v>
      </c>
      <c r="AI6875">
        <v>0</v>
      </c>
      <c r="AJ6875">
        <v>100.01</v>
      </c>
      <c r="AK6875">
        <v>0</v>
      </c>
      <c r="AL6875" t="s">
        <v>53</v>
      </c>
      <c r="AM6875" t="s">
        <v>53</v>
      </c>
      <c r="AN6875" t="s">
        <v>53</v>
      </c>
      <c r="AO6875" t="s">
        <v>53</v>
      </c>
      <c r="AP6875" t="s">
        <v>53</v>
      </c>
    </row>
    <row r="6876" spans="2:42" x14ac:dyDescent="0.2">
      <c r="B6876" t="s">
        <v>44</v>
      </c>
      <c r="C6876" t="str">
        <f>HYPERLINK("https://us2.cloudbeds.com/connect/8493803454333002#/reservations/9080486847032234?display=3G114ASH9W&amp;reservation_id=9080486847032234", "3G114ASH9W")</f>
        <v>3G114ASH9W</v>
      </c>
      <c r="D6876" t="s">
        <v>45</v>
      </c>
      <c r="E6876" t="s">
        <v>113</v>
      </c>
      <c r="F6876" t="s">
        <v>61</v>
      </c>
      <c r="G6876" t="s">
        <v>48</v>
      </c>
      <c r="H6876" t="s">
        <v>49</v>
      </c>
      <c r="I6876" t="s">
        <v>8964</v>
      </c>
      <c r="J6876" t="s">
        <v>10193</v>
      </c>
      <c r="K6876" t="s">
        <v>11495</v>
      </c>
      <c r="L6876" t="s">
        <v>53</v>
      </c>
      <c r="N6876" t="s">
        <v>12389</v>
      </c>
      <c r="P6876" t="s">
        <v>55</v>
      </c>
      <c r="R6876" t="s">
        <v>53</v>
      </c>
      <c r="T6876" t="s">
        <v>12390</v>
      </c>
      <c r="U6876" t="s">
        <v>55</v>
      </c>
      <c r="V6876">
        <v>1</v>
      </c>
      <c r="W6876">
        <v>1</v>
      </c>
      <c r="X6876">
        <v>2</v>
      </c>
      <c r="Y6876">
        <v>0</v>
      </c>
      <c r="Z6876">
        <v>2</v>
      </c>
      <c r="AA6876">
        <v>0</v>
      </c>
      <c r="AB6876">
        <v>0</v>
      </c>
      <c r="AC6876">
        <v>106</v>
      </c>
      <c r="AD6876">
        <v>0</v>
      </c>
      <c r="AE6876">
        <v>0</v>
      </c>
      <c r="AF6876">
        <v>0</v>
      </c>
      <c r="AG6876">
        <v>0</v>
      </c>
      <c r="AH6876">
        <v>0</v>
      </c>
      <c r="AI6876">
        <v>15.9</v>
      </c>
      <c r="AJ6876">
        <v>106</v>
      </c>
      <c r="AK6876">
        <v>106</v>
      </c>
      <c r="AL6876" t="s">
        <v>53</v>
      </c>
      <c r="AM6876" t="s">
        <v>53</v>
      </c>
      <c r="AN6876" t="s">
        <v>53</v>
      </c>
      <c r="AO6876" t="s">
        <v>53</v>
      </c>
      <c r="AP6876" t="s">
        <v>53</v>
      </c>
    </row>
    <row r="6877" spans="2:42" x14ac:dyDescent="0.2">
      <c r="B6877" t="s">
        <v>44</v>
      </c>
      <c r="C6877" t="str">
        <f>HYPERLINK("https://us2.cloudbeds.com/connect/8493803454333002#/reservations/9080486847032528?display=3G1FG9D7RU&amp;reservation_id=9080486847032528", "3G1FG9D7RU")</f>
        <v>3G1FG9D7RU</v>
      </c>
      <c r="D6877" t="s">
        <v>45</v>
      </c>
      <c r="E6877" t="s">
        <v>305</v>
      </c>
      <c r="F6877" t="s">
        <v>61</v>
      </c>
      <c r="G6877" t="s">
        <v>48</v>
      </c>
      <c r="H6877" t="s">
        <v>49</v>
      </c>
      <c r="I6877" t="s">
        <v>50</v>
      </c>
      <c r="J6877" t="s">
        <v>10415</v>
      </c>
      <c r="K6877" t="s">
        <v>10193</v>
      </c>
      <c r="L6877" t="s">
        <v>53</v>
      </c>
      <c r="N6877" t="s">
        <v>12391</v>
      </c>
      <c r="P6877" t="s">
        <v>55</v>
      </c>
      <c r="R6877" t="s">
        <v>53</v>
      </c>
      <c r="T6877" t="s">
        <v>12392</v>
      </c>
      <c r="U6877" t="s">
        <v>58</v>
      </c>
      <c r="V6877">
        <v>1</v>
      </c>
      <c r="W6877">
        <v>1</v>
      </c>
      <c r="X6877">
        <v>1</v>
      </c>
      <c r="Y6877">
        <v>0</v>
      </c>
      <c r="Z6877">
        <v>1</v>
      </c>
      <c r="AA6877">
        <v>72.739999999999995</v>
      </c>
      <c r="AB6877">
        <v>72.739999999999995</v>
      </c>
      <c r="AC6877">
        <v>64</v>
      </c>
      <c r="AD6877">
        <v>0</v>
      </c>
      <c r="AE6877">
        <v>8.74</v>
      </c>
      <c r="AF6877">
        <v>0</v>
      </c>
      <c r="AG6877">
        <v>0</v>
      </c>
      <c r="AH6877">
        <v>0</v>
      </c>
      <c r="AI6877">
        <v>13.09</v>
      </c>
      <c r="AJ6877">
        <v>72.739999999999995</v>
      </c>
      <c r="AK6877">
        <v>0</v>
      </c>
      <c r="AL6877" t="s">
        <v>53</v>
      </c>
      <c r="AM6877" t="s">
        <v>53</v>
      </c>
      <c r="AN6877" t="s">
        <v>53</v>
      </c>
      <c r="AO6877" t="s">
        <v>53</v>
      </c>
      <c r="AP6877" t="s">
        <v>53</v>
      </c>
    </row>
    <row r="6878" spans="2:42" x14ac:dyDescent="0.2">
      <c r="B6878" t="s">
        <v>44</v>
      </c>
      <c r="C6878" t="str">
        <f>HYPERLINK("https://us2.cloudbeds.com/connect/8493803454333002#/reservations/9080486847032530?display=3G1FBBR73S&amp;reservation_id=9080486847032530", "3G1FBBR73S")</f>
        <v>3G1FBBR73S</v>
      </c>
      <c r="D6878" t="s">
        <v>45</v>
      </c>
      <c r="E6878" t="s">
        <v>265</v>
      </c>
      <c r="F6878" t="s">
        <v>61</v>
      </c>
      <c r="G6878" t="s">
        <v>48</v>
      </c>
      <c r="H6878" t="s">
        <v>49</v>
      </c>
      <c r="I6878" t="s">
        <v>50</v>
      </c>
      <c r="J6878" t="s">
        <v>10415</v>
      </c>
      <c r="K6878" t="s">
        <v>10193</v>
      </c>
      <c r="L6878" t="s">
        <v>53</v>
      </c>
      <c r="N6878" t="s">
        <v>12393</v>
      </c>
      <c r="P6878" t="s">
        <v>55</v>
      </c>
      <c r="R6878" t="s">
        <v>53</v>
      </c>
      <c r="T6878" t="s">
        <v>12394</v>
      </c>
      <c r="U6878" t="s">
        <v>58</v>
      </c>
      <c r="V6878">
        <v>1</v>
      </c>
      <c r="W6878">
        <v>1</v>
      </c>
      <c r="X6878">
        <v>1</v>
      </c>
      <c r="Y6878">
        <v>0</v>
      </c>
      <c r="Z6878">
        <v>1</v>
      </c>
      <c r="AA6878">
        <v>72.739999999999995</v>
      </c>
      <c r="AB6878">
        <v>80.739999999999995</v>
      </c>
      <c r="AC6878">
        <v>72</v>
      </c>
      <c r="AD6878">
        <v>0</v>
      </c>
      <c r="AE6878">
        <v>8.74</v>
      </c>
      <c r="AF6878">
        <v>0</v>
      </c>
      <c r="AG6878">
        <v>0</v>
      </c>
      <c r="AH6878">
        <v>0</v>
      </c>
      <c r="AI6878">
        <v>14.53</v>
      </c>
      <c r="AJ6878">
        <v>80.739999999999995</v>
      </c>
      <c r="AK6878">
        <v>0</v>
      </c>
      <c r="AL6878" t="s">
        <v>53</v>
      </c>
      <c r="AM6878" t="s">
        <v>53</v>
      </c>
      <c r="AN6878" t="s">
        <v>53</v>
      </c>
      <c r="AO6878" t="s">
        <v>53</v>
      </c>
      <c r="AP6878" t="s">
        <v>53</v>
      </c>
    </row>
    <row r="6879" spans="2:42" x14ac:dyDescent="0.2">
      <c r="B6879" t="s">
        <v>44</v>
      </c>
      <c r="C6879" t="str">
        <f>HYPERLINK("https://us2.cloudbeds.com/connect/8493803454333002#/reservations/9080486847032565?display=3G1HECSK6K&amp;reservation_id=9080486847032565", "3G1HECSK6K")</f>
        <v>3G1HECSK6K</v>
      </c>
      <c r="D6879" t="s">
        <v>45</v>
      </c>
      <c r="E6879" t="s">
        <v>223</v>
      </c>
      <c r="F6879" t="s">
        <v>47</v>
      </c>
      <c r="G6879" t="s">
        <v>48</v>
      </c>
      <c r="H6879" t="s">
        <v>49</v>
      </c>
      <c r="I6879" t="s">
        <v>50</v>
      </c>
      <c r="J6879" t="s">
        <v>9658</v>
      </c>
      <c r="K6879" t="s">
        <v>9659</v>
      </c>
      <c r="L6879" t="s">
        <v>53</v>
      </c>
      <c r="N6879" t="s">
        <v>12395</v>
      </c>
      <c r="P6879" t="s">
        <v>55</v>
      </c>
      <c r="R6879" t="s">
        <v>53</v>
      </c>
      <c r="T6879" t="s">
        <v>12396</v>
      </c>
      <c r="U6879" t="s">
        <v>58</v>
      </c>
      <c r="V6879">
        <v>3</v>
      </c>
      <c r="W6879">
        <v>1</v>
      </c>
      <c r="X6879">
        <v>2</v>
      </c>
      <c r="Y6879">
        <v>0</v>
      </c>
      <c r="Z6879">
        <v>2</v>
      </c>
      <c r="AA6879">
        <v>230.13</v>
      </c>
      <c r="AB6879">
        <v>465.69</v>
      </c>
      <c r="AC6879">
        <v>202.5</v>
      </c>
      <c r="AD6879">
        <v>5</v>
      </c>
      <c r="AE6879">
        <v>28.06</v>
      </c>
      <c r="AF6879">
        <v>0</v>
      </c>
      <c r="AG6879">
        <v>0</v>
      </c>
      <c r="AH6879">
        <v>0</v>
      </c>
      <c r="AI6879">
        <v>42.4</v>
      </c>
      <c r="AJ6879">
        <v>235.56</v>
      </c>
      <c r="AK6879">
        <v>0</v>
      </c>
      <c r="AL6879" t="s">
        <v>53</v>
      </c>
      <c r="AM6879" t="s">
        <v>53</v>
      </c>
      <c r="AN6879" t="s">
        <v>53</v>
      </c>
      <c r="AO6879" t="s">
        <v>53</v>
      </c>
      <c r="AP6879" t="s">
        <v>53</v>
      </c>
    </row>
    <row r="6880" spans="2:42" x14ac:dyDescent="0.2">
      <c r="B6880" t="s">
        <v>44</v>
      </c>
      <c r="C6880" t="str">
        <f>HYPERLINK("https://us2.cloudbeds.com/connect/8493803454333002#/reservations/9080486847032633?display=3G1Y2SQ6DU&amp;reservation_id=9080486847032633", "3G1Y2SQ6DU")</f>
        <v>3G1Y2SQ6DU</v>
      </c>
      <c r="D6880" t="s">
        <v>45</v>
      </c>
      <c r="E6880" t="s">
        <v>213</v>
      </c>
      <c r="F6880" t="s">
        <v>86</v>
      </c>
      <c r="G6880" t="s">
        <v>48</v>
      </c>
      <c r="H6880" t="s">
        <v>49</v>
      </c>
      <c r="I6880" t="s">
        <v>50</v>
      </c>
      <c r="J6880" t="s">
        <v>10193</v>
      </c>
      <c r="K6880" t="s">
        <v>11495</v>
      </c>
      <c r="L6880" t="s">
        <v>53</v>
      </c>
      <c r="N6880" t="s">
        <v>12397</v>
      </c>
      <c r="P6880" t="s">
        <v>55</v>
      </c>
      <c r="R6880" t="s">
        <v>53</v>
      </c>
      <c r="T6880" t="s">
        <v>12398</v>
      </c>
      <c r="U6880" t="s">
        <v>58</v>
      </c>
      <c r="V6880">
        <v>1</v>
      </c>
      <c r="W6880">
        <v>1</v>
      </c>
      <c r="X6880">
        <v>2</v>
      </c>
      <c r="Y6880">
        <v>0</v>
      </c>
      <c r="Z6880">
        <v>2</v>
      </c>
      <c r="AA6880">
        <v>100.93</v>
      </c>
      <c r="AB6880">
        <v>100.93</v>
      </c>
      <c r="AC6880">
        <v>88.8</v>
      </c>
      <c r="AD6880">
        <v>0</v>
      </c>
      <c r="AE6880">
        <v>12.13</v>
      </c>
      <c r="AF6880">
        <v>0</v>
      </c>
      <c r="AG6880">
        <v>0</v>
      </c>
      <c r="AH6880">
        <v>0</v>
      </c>
      <c r="AI6880">
        <v>18.170000000000002</v>
      </c>
      <c r="AJ6880">
        <v>100.93</v>
      </c>
      <c r="AK6880">
        <v>0</v>
      </c>
      <c r="AL6880" t="s">
        <v>53</v>
      </c>
      <c r="AM6880" t="s">
        <v>53</v>
      </c>
      <c r="AN6880" t="s">
        <v>53</v>
      </c>
      <c r="AO6880" t="s">
        <v>53</v>
      </c>
      <c r="AP6880" t="s">
        <v>53</v>
      </c>
    </row>
    <row r="6881" spans="2:42" x14ac:dyDescent="0.2">
      <c r="B6881" t="s">
        <v>44</v>
      </c>
      <c r="C6881" t="str">
        <f>HYPERLINK("https://us2.cloudbeds.com/connect/8493803454333002#/reservations/9080486847036435?display=3G6YD2MJCT&amp;reservation_id=9080486847036435", "3G6YD2MJCT")</f>
        <v>3G6YD2MJCT</v>
      </c>
      <c r="D6881" t="s">
        <v>45</v>
      </c>
      <c r="E6881" t="s">
        <v>69</v>
      </c>
      <c r="F6881" t="s">
        <v>70</v>
      </c>
      <c r="G6881" t="s">
        <v>48</v>
      </c>
      <c r="H6881" t="s">
        <v>49</v>
      </c>
      <c r="I6881" t="s">
        <v>50</v>
      </c>
      <c r="J6881" t="s">
        <v>11495</v>
      </c>
      <c r="K6881" t="s">
        <v>11321</v>
      </c>
      <c r="L6881" t="s">
        <v>53</v>
      </c>
      <c r="N6881" t="s">
        <v>12399</v>
      </c>
      <c r="P6881" t="s">
        <v>55</v>
      </c>
      <c r="R6881" t="s">
        <v>53</v>
      </c>
      <c r="T6881" t="s">
        <v>12400</v>
      </c>
      <c r="U6881" t="s">
        <v>58</v>
      </c>
      <c r="V6881">
        <v>1</v>
      </c>
      <c r="W6881">
        <v>1</v>
      </c>
      <c r="X6881">
        <v>1</v>
      </c>
      <c r="Y6881">
        <v>0</v>
      </c>
      <c r="Z6881">
        <v>1</v>
      </c>
      <c r="AA6881">
        <v>63.64</v>
      </c>
      <c r="AB6881">
        <v>63.64</v>
      </c>
      <c r="AC6881">
        <v>56</v>
      </c>
      <c r="AD6881">
        <v>0</v>
      </c>
      <c r="AE6881">
        <v>7.64</v>
      </c>
      <c r="AF6881">
        <v>0</v>
      </c>
      <c r="AG6881">
        <v>0</v>
      </c>
      <c r="AH6881">
        <v>0</v>
      </c>
      <c r="AI6881">
        <v>11.46</v>
      </c>
      <c r="AJ6881">
        <v>63.64</v>
      </c>
      <c r="AK6881">
        <v>0</v>
      </c>
      <c r="AL6881" t="s">
        <v>53</v>
      </c>
      <c r="AM6881" t="s">
        <v>53</v>
      </c>
      <c r="AN6881" t="s">
        <v>53</v>
      </c>
      <c r="AO6881" t="s">
        <v>53</v>
      </c>
      <c r="AP6881" t="s">
        <v>53</v>
      </c>
    </row>
    <row r="6882" spans="2:42" x14ac:dyDescent="0.2">
      <c r="B6882" t="s">
        <v>44</v>
      </c>
      <c r="C6882" t="str">
        <f>HYPERLINK("https://us2.cloudbeds.com/connect/8493803454333002#/reservations/9080486847036450?display=3G6YSCU23D&amp;reservation_id=9080486847036450", "3G6YSCU23D")</f>
        <v>3G6YSCU23D</v>
      </c>
      <c r="D6882" t="s">
        <v>45</v>
      </c>
      <c r="E6882" t="s">
        <v>190</v>
      </c>
      <c r="F6882" t="s">
        <v>61</v>
      </c>
      <c r="G6882" t="s">
        <v>48</v>
      </c>
      <c r="H6882" t="s">
        <v>49</v>
      </c>
      <c r="I6882" t="s">
        <v>50</v>
      </c>
      <c r="J6882" t="s">
        <v>11495</v>
      </c>
      <c r="K6882" t="s">
        <v>11321</v>
      </c>
      <c r="L6882" t="s">
        <v>53</v>
      </c>
      <c r="N6882" t="s">
        <v>12401</v>
      </c>
      <c r="P6882" t="s">
        <v>55</v>
      </c>
      <c r="R6882" t="s">
        <v>53</v>
      </c>
      <c r="T6882" t="s">
        <v>12402</v>
      </c>
      <c r="U6882" t="s">
        <v>58</v>
      </c>
      <c r="V6882">
        <v>1</v>
      </c>
      <c r="W6882">
        <v>1</v>
      </c>
      <c r="X6882">
        <v>2</v>
      </c>
      <c r="Y6882">
        <v>0</v>
      </c>
      <c r="Z6882">
        <v>2</v>
      </c>
      <c r="AA6882">
        <v>86.37</v>
      </c>
      <c r="AB6882">
        <v>86.37</v>
      </c>
      <c r="AC6882">
        <v>76</v>
      </c>
      <c r="AD6882">
        <v>0</v>
      </c>
      <c r="AE6882">
        <v>10.37</v>
      </c>
      <c r="AF6882">
        <v>0</v>
      </c>
      <c r="AG6882">
        <v>0</v>
      </c>
      <c r="AH6882">
        <v>0</v>
      </c>
      <c r="AI6882">
        <v>15.55</v>
      </c>
      <c r="AJ6882">
        <v>86.37</v>
      </c>
      <c r="AK6882">
        <v>0</v>
      </c>
      <c r="AL6882" t="s">
        <v>53</v>
      </c>
      <c r="AM6882" t="s">
        <v>53</v>
      </c>
      <c r="AN6882" t="s">
        <v>53</v>
      </c>
      <c r="AO6882" t="s">
        <v>53</v>
      </c>
      <c r="AP6882" t="s">
        <v>53</v>
      </c>
    </row>
    <row r="6883" spans="2:42" x14ac:dyDescent="0.2">
      <c r="B6883" t="s">
        <v>44</v>
      </c>
      <c r="C6883" t="str">
        <f>HYPERLINK("https://us2.cloudbeds.com/connect/8493803454333002#/reservations/9080486847036611?display=3G6RJ3DKWS&amp;reservation_id=9080486847036611", "3G6RJ3DKWS")</f>
        <v>3G6RJ3DKWS</v>
      </c>
      <c r="D6883" t="s">
        <v>45</v>
      </c>
      <c r="E6883" t="s">
        <v>487</v>
      </c>
      <c r="F6883" t="s">
        <v>61</v>
      </c>
      <c r="G6883" t="s">
        <v>48</v>
      </c>
      <c r="H6883" t="s">
        <v>49</v>
      </c>
      <c r="I6883" t="s">
        <v>8964</v>
      </c>
      <c r="J6883" t="s">
        <v>11310</v>
      </c>
      <c r="K6883" t="s">
        <v>11804</v>
      </c>
      <c r="L6883" t="s">
        <v>53</v>
      </c>
      <c r="N6883" t="s">
        <v>12403</v>
      </c>
      <c r="P6883" t="s">
        <v>55</v>
      </c>
      <c r="R6883" t="s">
        <v>53</v>
      </c>
      <c r="T6883" t="s">
        <v>12404</v>
      </c>
      <c r="U6883" t="s">
        <v>55</v>
      </c>
      <c r="V6883">
        <v>1</v>
      </c>
      <c r="W6883">
        <v>1</v>
      </c>
      <c r="X6883">
        <v>2</v>
      </c>
      <c r="Y6883">
        <v>0</v>
      </c>
      <c r="Z6883">
        <v>2</v>
      </c>
      <c r="AA6883">
        <v>0</v>
      </c>
      <c r="AB6883">
        <v>0</v>
      </c>
      <c r="AC6883">
        <v>169</v>
      </c>
      <c r="AD6883">
        <v>0</v>
      </c>
      <c r="AE6883">
        <v>0</v>
      </c>
      <c r="AF6883">
        <v>0</v>
      </c>
      <c r="AG6883">
        <v>0</v>
      </c>
      <c r="AH6883">
        <v>0</v>
      </c>
      <c r="AI6883">
        <v>25.35</v>
      </c>
      <c r="AJ6883">
        <v>169</v>
      </c>
      <c r="AK6883">
        <v>169</v>
      </c>
      <c r="AL6883" t="s">
        <v>53</v>
      </c>
      <c r="AM6883" t="s">
        <v>53</v>
      </c>
      <c r="AN6883" t="s">
        <v>53</v>
      </c>
      <c r="AO6883" t="s">
        <v>53</v>
      </c>
      <c r="AP6883" t="s">
        <v>53</v>
      </c>
    </row>
    <row r="6884" spans="2:42" x14ac:dyDescent="0.2">
      <c r="B6884" t="s">
        <v>44</v>
      </c>
      <c r="C6884" t="str">
        <f>HYPERLINK("https://us2.cloudbeds.com/connect/8493803454333002#/reservations/9080486847036631?display=3G6S1UUU23&amp;reservation_id=9080486847036631", "3G6S1UUU23")</f>
        <v>3G6S1UUU23</v>
      </c>
      <c r="D6884" t="s">
        <v>45</v>
      </c>
      <c r="E6884" t="s">
        <v>185</v>
      </c>
      <c r="F6884" t="s">
        <v>47</v>
      </c>
      <c r="G6884" t="s">
        <v>48</v>
      </c>
      <c r="H6884" t="s">
        <v>49</v>
      </c>
      <c r="I6884" t="s">
        <v>50</v>
      </c>
      <c r="J6884" t="s">
        <v>11495</v>
      </c>
      <c r="K6884" t="s">
        <v>11321</v>
      </c>
      <c r="L6884" t="s">
        <v>53</v>
      </c>
      <c r="N6884" t="s">
        <v>12405</v>
      </c>
      <c r="P6884" t="s">
        <v>55</v>
      </c>
      <c r="R6884" t="s">
        <v>53</v>
      </c>
      <c r="T6884" t="s">
        <v>12406</v>
      </c>
      <c r="U6884" t="s">
        <v>58</v>
      </c>
      <c r="V6884">
        <v>1</v>
      </c>
      <c r="W6884">
        <v>1</v>
      </c>
      <c r="X6884">
        <v>1</v>
      </c>
      <c r="Y6884">
        <v>0</v>
      </c>
      <c r="Z6884">
        <v>1</v>
      </c>
      <c r="AA6884">
        <v>86.95</v>
      </c>
      <c r="AB6884">
        <v>86.95</v>
      </c>
      <c r="AC6884">
        <v>76.5</v>
      </c>
      <c r="AD6884">
        <v>0</v>
      </c>
      <c r="AE6884">
        <v>10.45</v>
      </c>
      <c r="AF6884">
        <v>0</v>
      </c>
      <c r="AG6884">
        <v>0</v>
      </c>
      <c r="AH6884">
        <v>0</v>
      </c>
      <c r="AI6884">
        <v>15.65</v>
      </c>
      <c r="AJ6884">
        <v>86.95</v>
      </c>
      <c r="AK6884">
        <v>0</v>
      </c>
      <c r="AL6884" t="s">
        <v>53</v>
      </c>
      <c r="AM6884" t="s">
        <v>53</v>
      </c>
      <c r="AN6884" t="s">
        <v>53</v>
      </c>
      <c r="AO6884" t="s">
        <v>53</v>
      </c>
      <c r="AP6884" t="s">
        <v>53</v>
      </c>
    </row>
    <row r="6885" spans="2:42" x14ac:dyDescent="0.2">
      <c r="B6885" t="s">
        <v>44</v>
      </c>
      <c r="C6885" t="str">
        <f>HYPERLINK("https://us2.cloudbeds.com/connect/8493803454333002#/reservations/9080486847037386?display=3G7NUA6C4A&amp;reservation_id=9080486847037386", "3G7NUA6C4A")</f>
        <v>3G7NUA6C4A</v>
      </c>
      <c r="D6885" t="s">
        <v>45</v>
      </c>
      <c r="E6885" t="s">
        <v>190</v>
      </c>
      <c r="F6885" t="s">
        <v>61</v>
      </c>
      <c r="G6885" t="s">
        <v>48</v>
      </c>
      <c r="H6885" t="s">
        <v>49</v>
      </c>
      <c r="I6885" t="s">
        <v>8964</v>
      </c>
      <c r="J6885" t="s">
        <v>10038</v>
      </c>
      <c r="K6885" t="s">
        <v>10881</v>
      </c>
      <c r="L6885" t="s">
        <v>53</v>
      </c>
      <c r="N6885" t="s">
        <v>12407</v>
      </c>
      <c r="P6885" t="s">
        <v>58</v>
      </c>
      <c r="R6885" t="s">
        <v>53</v>
      </c>
      <c r="T6885" t="s">
        <v>12408</v>
      </c>
      <c r="U6885" t="s">
        <v>55</v>
      </c>
      <c r="V6885">
        <v>1</v>
      </c>
      <c r="W6885">
        <v>1</v>
      </c>
      <c r="X6885">
        <v>2</v>
      </c>
      <c r="Y6885">
        <v>0</v>
      </c>
      <c r="Z6885">
        <v>2</v>
      </c>
      <c r="AA6885">
        <v>82</v>
      </c>
      <c r="AB6885">
        <v>2.71</v>
      </c>
      <c r="AC6885">
        <v>82</v>
      </c>
      <c r="AD6885">
        <v>2.5</v>
      </c>
      <c r="AE6885">
        <v>0.21</v>
      </c>
      <c r="AF6885">
        <v>0</v>
      </c>
      <c r="AG6885">
        <v>0</v>
      </c>
      <c r="AH6885">
        <v>0</v>
      </c>
      <c r="AI6885">
        <v>12.71</v>
      </c>
      <c r="AJ6885">
        <v>84.71</v>
      </c>
      <c r="AK6885">
        <v>82</v>
      </c>
      <c r="AL6885" t="s">
        <v>53</v>
      </c>
      <c r="AM6885" t="s">
        <v>53</v>
      </c>
      <c r="AN6885" t="s">
        <v>53</v>
      </c>
      <c r="AO6885" t="s">
        <v>53</v>
      </c>
      <c r="AP6885" t="s">
        <v>53</v>
      </c>
    </row>
    <row r="6886" spans="2:42" x14ac:dyDescent="0.2">
      <c r="B6886" t="s">
        <v>44</v>
      </c>
      <c r="C6886" t="str">
        <f>HYPERLINK("https://us2.cloudbeds.com/connect/8493803454333002#/reservations/9080486847037394?display=3G7ZK34BKV&amp;reservation_id=9080486847037394", "3G7ZK34BKV")</f>
        <v>3G7ZK34BKV</v>
      </c>
      <c r="D6886" t="s">
        <v>45</v>
      </c>
      <c r="E6886" t="s">
        <v>179</v>
      </c>
      <c r="F6886" t="s">
        <v>47</v>
      </c>
      <c r="G6886" t="s">
        <v>48</v>
      </c>
      <c r="H6886" t="s">
        <v>49</v>
      </c>
      <c r="I6886" t="s">
        <v>8964</v>
      </c>
      <c r="J6886" t="s">
        <v>11863</v>
      </c>
      <c r="K6886" t="s">
        <v>10775</v>
      </c>
      <c r="L6886" t="s">
        <v>53</v>
      </c>
      <c r="N6886" t="s">
        <v>12409</v>
      </c>
      <c r="P6886" t="s">
        <v>58</v>
      </c>
      <c r="R6886" t="s">
        <v>53</v>
      </c>
      <c r="T6886" t="s">
        <v>12410</v>
      </c>
      <c r="U6886" t="s">
        <v>55</v>
      </c>
      <c r="V6886">
        <v>1</v>
      </c>
      <c r="W6886">
        <v>1</v>
      </c>
      <c r="X6886">
        <v>2</v>
      </c>
      <c r="Y6886">
        <v>0</v>
      </c>
      <c r="Z6886">
        <v>2</v>
      </c>
      <c r="AA6886">
        <v>0</v>
      </c>
      <c r="AB6886">
        <v>0</v>
      </c>
      <c r="AC6886">
        <v>88</v>
      </c>
      <c r="AD6886">
        <v>0</v>
      </c>
      <c r="AE6886">
        <v>0</v>
      </c>
      <c r="AF6886">
        <v>0</v>
      </c>
      <c r="AG6886">
        <v>0</v>
      </c>
      <c r="AH6886">
        <v>0</v>
      </c>
      <c r="AI6886">
        <v>13.2</v>
      </c>
      <c r="AJ6886">
        <v>88</v>
      </c>
      <c r="AK6886">
        <v>88</v>
      </c>
      <c r="AL6886" t="s">
        <v>53</v>
      </c>
      <c r="AM6886" t="s">
        <v>53</v>
      </c>
      <c r="AN6886" t="s">
        <v>53</v>
      </c>
      <c r="AO6886" t="s">
        <v>53</v>
      </c>
      <c r="AP6886" t="s">
        <v>53</v>
      </c>
    </row>
    <row r="6887" spans="2:42" x14ac:dyDescent="0.2">
      <c r="B6887" t="s">
        <v>44</v>
      </c>
      <c r="C6887" t="str">
        <f>HYPERLINK("https://us2.cloudbeds.com/connect/8493803454333002#/reservations/9080486847037633?display=3G7WRZSR25&amp;reservation_id=9080486847037633", "3G7WRZSR25")</f>
        <v>3G7WRZSR25</v>
      </c>
      <c r="D6887" t="s">
        <v>45</v>
      </c>
      <c r="E6887" t="s">
        <v>110</v>
      </c>
      <c r="F6887" t="s">
        <v>47</v>
      </c>
      <c r="G6887" t="s">
        <v>48</v>
      </c>
      <c r="H6887" t="s">
        <v>49</v>
      </c>
      <c r="I6887" t="s">
        <v>8964</v>
      </c>
      <c r="J6887" t="s">
        <v>11557</v>
      </c>
      <c r="K6887" t="s">
        <v>10881</v>
      </c>
      <c r="L6887" t="s">
        <v>53</v>
      </c>
      <c r="N6887" t="s">
        <v>12411</v>
      </c>
      <c r="P6887" t="s">
        <v>55</v>
      </c>
      <c r="R6887" t="s">
        <v>53</v>
      </c>
      <c r="T6887" t="s">
        <v>12412</v>
      </c>
      <c r="U6887" t="s">
        <v>55</v>
      </c>
      <c r="V6887">
        <v>2</v>
      </c>
      <c r="W6887">
        <v>1</v>
      </c>
      <c r="X6887">
        <v>1</v>
      </c>
      <c r="Y6887">
        <v>0</v>
      </c>
      <c r="Z6887">
        <v>1</v>
      </c>
      <c r="AA6887">
        <v>0</v>
      </c>
      <c r="AB6887">
        <v>0</v>
      </c>
      <c r="AC6887">
        <v>156</v>
      </c>
      <c r="AD6887">
        <v>0</v>
      </c>
      <c r="AE6887">
        <v>0</v>
      </c>
      <c r="AF6887">
        <v>0</v>
      </c>
      <c r="AG6887">
        <v>0</v>
      </c>
      <c r="AH6887">
        <v>0</v>
      </c>
      <c r="AI6887">
        <v>23.4</v>
      </c>
      <c r="AJ6887">
        <v>156</v>
      </c>
      <c r="AK6887">
        <v>156</v>
      </c>
      <c r="AL6887" t="s">
        <v>53</v>
      </c>
      <c r="AM6887" t="s">
        <v>53</v>
      </c>
      <c r="AN6887" t="s">
        <v>53</v>
      </c>
      <c r="AO6887" t="s">
        <v>53</v>
      </c>
      <c r="AP6887" t="s">
        <v>53</v>
      </c>
    </row>
    <row r="6888" spans="2:42" x14ac:dyDescent="0.2">
      <c r="B6888" t="s">
        <v>44</v>
      </c>
      <c r="C6888" t="str">
        <f>HYPERLINK("https://us2.cloudbeds.com/connect/8493803454333002#/reservations/162081271398566?display=3G82J58SVD&amp;reservation_id=162081271398566", "3G82J58SVD")</f>
        <v>3G82J58SVD</v>
      </c>
      <c r="D6888" t="s">
        <v>45</v>
      </c>
      <c r="E6888" t="s">
        <v>138</v>
      </c>
      <c r="F6888" t="s">
        <v>70</v>
      </c>
      <c r="G6888" t="s">
        <v>48</v>
      </c>
      <c r="H6888" t="s">
        <v>3957</v>
      </c>
      <c r="I6888" t="s">
        <v>3975</v>
      </c>
      <c r="J6888" t="s">
        <v>11321</v>
      </c>
      <c r="K6888" t="s">
        <v>10487</v>
      </c>
      <c r="L6888" t="s">
        <v>53</v>
      </c>
      <c r="P6888" t="s">
        <v>55</v>
      </c>
      <c r="R6888" t="s">
        <v>56</v>
      </c>
      <c r="T6888" t="s">
        <v>12413</v>
      </c>
      <c r="U6888" t="s">
        <v>58</v>
      </c>
      <c r="V6888">
        <v>1</v>
      </c>
      <c r="W6888">
        <v>1</v>
      </c>
      <c r="X6888">
        <v>2</v>
      </c>
      <c r="Y6888">
        <v>0</v>
      </c>
      <c r="Z6888">
        <v>2</v>
      </c>
      <c r="AA6888">
        <v>79.56</v>
      </c>
      <c r="AB6888">
        <v>79.56</v>
      </c>
      <c r="AC6888">
        <v>70</v>
      </c>
      <c r="AD6888">
        <v>0</v>
      </c>
      <c r="AE6888">
        <v>9.56</v>
      </c>
      <c r="AF6888">
        <v>0</v>
      </c>
      <c r="AG6888">
        <v>0</v>
      </c>
      <c r="AH6888">
        <v>0</v>
      </c>
      <c r="AI6888">
        <v>0</v>
      </c>
      <c r="AJ6888">
        <v>79.56</v>
      </c>
      <c r="AK6888">
        <v>0</v>
      </c>
      <c r="AL6888" t="s">
        <v>53</v>
      </c>
      <c r="AM6888" t="s">
        <v>53</v>
      </c>
      <c r="AN6888" t="s">
        <v>53</v>
      </c>
      <c r="AO6888" t="s">
        <v>53</v>
      </c>
      <c r="AP6888" t="s">
        <v>53</v>
      </c>
    </row>
    <row r="6889" spans="2:42" x14ac:dyDescent="0.2">
      <c r="B6889" t="s">
        <v>44</v>
      </c>
      <c r="C6889" t="str">
        <f>HYPERLINK("https://us2.cloudbeds.com/connect/8493803454333002#/reservations/9080486847038664?display=3G9J7WCM38&amp;reservation_id=9080486847038664", "3G9J7WCM38")</f>
        <v>3G9J7WCM38</v>
      </c>
      <c r="D6889" t="s">
        <v>45</v>
      </c>
      <c r="E6889" t="s">
        <v>165</v>
      </c>
      <c r="F6889" t="s">
        <v>61</v>
      </c>
      <c r="G6889" t="s">
        <v>48</v>
      </c>
      <c r="H6889" t="s">
        <v>49</v>
      </c>
      <c r="I6889" t="s">
        <v>50</v>
      </c>
      <c r="J6889" t="s">
        <v>12144</v>
      </c>
      <c r="K6889" t="s">
        <v>10170</v>
      </c>
      <c r="L6889" t="s">
        <v>53</v>
      </c>
      <c r="N6889" t="s">
        <v>12414</v>
      </c>
      <c r="P6889" t="s">
        <v>55</v>
      </c>
      <c r="R6889" t="s">
        <v>53</v>
      </c>
      <c r="T6889" t="s">
        <v>12415</v>
      </c>
      <c r="U6889" t="s">
        <v>58</v>
      </c>
      <c r="V6889">
        <v>3</v>
      </c>
      <c r="W6889">
        <v>1</v>
      </c>
      <c r="X6889">
        <v>2</v>
      </c>
      <c r="Y6889">
        <v>0</v>
      </c>
      <c r="Z6889">
        <v>2</v>
      </c>
      <c r="AA6889">
        <v>422.77</v>
      </c>
      <c r="AB6889">
        <v>422.77</v>
      </c>
      <c r="AC6889">
        <v>372</v>
      </c>
      <c r="AD6889">
        <v>0</v>
      </c>
      <c r="AE6889">
        <v>50.77</v>
      </c>
      <c r="AF6889">
        <v>0</v>
      </c>
      <c r="AG6889">
        <v>0</v>
      </c>
      <c r="AH6889">
        <v>0</v>
      </c>
      <c r="AI6889">
        <v>76.099999999999994</v>
      </c>
      <c r="AJ6889">
        <v>422.77</v>
      </c>
      <c r="AK6889">
        <v>0</v>
      </c>
      <c r="AL6889" t="s">
        <v>53</v>
      </c>
      <c r="AM6889" t="s">
        <v>53</v>
      </c>
      <c r="AN6889" t="s">
        <v>53</v>
      </c>
      <c r="AO6889" t="s">
        <v>53</v>
      </c>
      <c r="AP6889" t="s">
        <v>53</v>
      </c>
    </row>
    <row r="6890" spans="2:42" x14ac:dyDescent="0.2">
      <c r="B6890" t="s">
        <v>44</v>
      </c>
      <c r="C6890" t="str">
        <f>HYPERLINK("https://us2.cloudbeds.com/connect/8493803454333002#/reservations/9080486847038681?display=3G9JDRK0BS&amp;reservation_id=9080486847038681", "3G9JDRK0BS")</f>
        <v>3G9JDRK0BS</v>
      </c>
      <c r="D6890" t="s">
        <v>45</v>
      </c>
      <c r="E6890" t="s">
        <v>179</v>
      </c>
      <c r="F6890" t="s">
        <v>47</v>
      </c>
      <c r="G6890" t="s">
        <v>48</v>
      </c>
      <c r="H6890" t="s">
        <v>49</v>
      </c>
      <c r="I6890" t="s">
        <v>8964</v>
      </c>
      <c r="J6890" t="s">
        <v>11495</v>
      </c>
      <c r="K6890" t="s">
        <v>11321</v>
      </c>
      <c r="L6890" t="s">
        <v>53</v>
      </c>
      <c r="N6890" t="s">
        <v>12416</v>
      </c>
      <c r="P6890" t="s">
        <v>55</v>
      </c>
      <c r="R6890" t="s">
        <v>53</v>
      </c>
      <c r="T6890" t="s">
        <v>12417</v>
      </c>
      <c r="U6890" t="s">
        <v>55</v>
      </c>
      <c r="V6890">
        <v>1</v>
      </c>
      <c r="W6890">
        <v>1</v>
      </c>
      <c r="X6890">
        <v>2</v>
      </c>
      <c r="Y6890">
        <v>0</v>
      </c>
      <c r="Z6890">
        <v>2</v>
      </c>
      <c r="AA6890">
        <v>0</v>
      </c>
      <c r="AB6890">
        <v>0</v>
      </c>
      <c r="AC6890">
        <v>88</v>
      </c>
      <c r="AD6890">
        <v>0</v>
      </c>
      <c r="AE6890">
        <v>0</v>
      </c>
      <c r="AF6890">
        <v>0</v>
      </c>
      <c r="AG6890">
        <v>0</v>
      </c>
      <c r="AH6890">
        <v>0</v>
      </c>
      <c r="AI6890">
        <v>13.2</v>
      </c>
      <c r="AJ6890">
        <v>88</v>
      </c>
      <c r="AK6890">
        <v>88</v>
      </c>
      <c r="AL6890" t="s">
        <v>53</v>
      </c>
      <c r="AM6890" t="s">
        <v>53</v>
      </c>
      <c r="AN6890" t="s">
        <v>53</v>
      </c>
      <c r="AO6890" t="s">
        <v>53</v>
      </c>
      <c r="AP6890" t="s">
        <v>53</v>
      </c>
    </row>
    <row r="6891" spans="2:42" x14ac:dyDescent="0.2">
      <c r="B6891" t="s">
        <v>44</v>
      </c>
      <c r="C6891" t="str">
        <f>HYPERLINK("https://us2.cloudbeds.com/connect/8493803454333002#/reservations/9080486847039178?display=3GAJE4SJUY&amp;reservation_id=9080486847039178", "3GAJE4SJUY")</f>
        <v>3GAJE4SJUY</v>
      </c>
      <c r="D6891" t="s">
        <v>45</v>
      </c>
      <c r="E6891" t="s">
        <v>223</v>
      </c>
      <c r="F6891" t="s">
        <v>47</v>
      </c>
      <c r="G6891" t="s">
        <v>48</v>
      </c>
      <c r="H6891" t="s">
        <v>49</v>
      </c>
      <c r="I6891" t="s">
        <v>8964</v>
      </c>
      <c r="J6891" t="s">
        <v>11495</v>
      </c>
      <c r="K6891" t="s">
        <v>11321</v>
      </c>
      <c r="L6891" t="s">
        <v>53</v>
      </c>
      <c r="N6891" t="s">
        <v>12418</v>
      </c>
      <c r="P6891" t="s">
        <v>55</v>
      </c>
      <c r="R6891" t="s">
        <v>53</v>
      </c>
      <c r="T6891" t="s">
        <v>12419</v>
      </c>
      <c r="U6891" t="s">
        <v>55</v>
      </c>
      <c r="V6891">
        <v>1</v>
      </c>
      <c r="W6891">
        <v>1</v>
      </c>
      <c r="X6891">
        <v>2</v>
      </c>
      <c r="Y6891">
        <v>0</v>
      </c>
      <c r="Z6891">
        <v>2</v>
      </c>
      <c r="AA6891">
        <v>0</v>
      </c>
      <c r="AB6891">
        <v>0</v>
      </c>
      <c r="AC6891">
        <v>88</v>
      </c>
      <c r="AD6891">
        <v>0</v>
      </c>
      <c r="AE6891">
        <v>0</v>
      </c>
      <c r="AF6891">
        <v>0</v>
      </c>
      <c r="AG6891">
        <v>0</v>
      </c>
      <c r="AH6891">
        <v>0</v>
      </c>
      <c r="AI6891">
        <v>13.2</v>
      </c>
      <c r="AJ6891">
        <v>88</v>
      </c>
      <c r="AK6891">
        <v>88</v>
      </c>
      <c r="AL6891" t="s">
        <v>53</v>
      </c>
      <c r="AM6891" t="s">
        <v>53</v>
      </c>
      <c r="AN6891" t="s">
        <v>53</v>
      </c>
      <c r="AO6891" t="s">
        <v>53</v>
      </c>
      <c r="AP6891" t="s">
        <v>53</v>
      </c>
    </row>
    <row r="6892" spans="2:42" x14ac:dyDescent="0.2">
      <c r="B6892" t="s">
        <v>44</v>
      </c>
      <c r="C6892" t="str">
        <f>HYPERLINK("https://us2.cloudbeds.com/connect/8493803454333002#/reservations/9080486847041526?display=3GE6MAY19D&amp;reservation_id=9080486847041526", "3GE6MAY19D")</f>
        <v>3GE6MAY19D</v>
      </c>
      <c r="D6892" t="s">
        <v>45</v>
      </c>
      <c r="E6892" t="s">
        <v>69</v>
      </c>
      <c r="F6892" t="s">
        <v>70</v>
      </c>
      <c r="G6892" t="s">
        <v>48</v>
      </c>
      <c r="H6892" t="s">
        <v>49</v>
      </c>
      <c r="I6892" t="s">
        <v>8964</v>
      </c>
      <c r="J6892" t="s">
        <v>12420</v>
      </c>
      <c r="K6892" t="s">
        <v>12421</v>
      </c>
      <c r="L6892" t="s">
        <v>53</v>
      </c>
      <c r="N6892" t="s">
        <v>12422</v>
      </c>
      <c r="P6892" t="s">
        <v>55</v>
      </c>
      <c r="R6892" t="s">
        <v>53</v>
      </c>
      <c r="T6892" t="s">
        <v>12423</v>
      </c>
      <c r="U6892" t="s">
        <v>55</v>
      </c>
      <c r="V6892">
        <v>3</v>
      </c>
      <c r="W6892">
        <v>1</v>
      </c>
      <c r="X6892">
        <v>2</v>
      </c>
      <c r="Y6892">
        <v>0</v>
      </c>
      <c r="Z6892">
        <v>2</v>
      </c>
      <c r="AA6892">
        <v>0</v>
      </c>
      <c r="AB6892">
        <v>0</v>
      </c>
      <c r="AC6892">
        <v>395</v>
      </c>
      <c r="AD6892">
        <v>0</v>
      </c>
      <c r="AE6892">
        <v>0</v>
      </c>
      <c r="AF6892">
        <v>0</v>
      </c>
      <c r="AG6892">
        <v>0</v>
      </c>
      <c r="AH6892">
        <v>0</v>
      </c>
      <c r="AI6892">
        <v>59.25</v>
      </c>
      <c r="AJ6892">
        <v>395</v>
      </c>
      <c r="AK6892">
        <v>395</v>
      </c>
      <c r="AL6892" t="s">
        <v>53</v>
      </c>
      <c r="AM6892" t="s">
        <v>53</v>
      </c>
      <c r="AN6892" t="s">
        <v>53</v>
      </c>
      <c r="AO6892" t="s">
        <v>53</v>
      </c>
      <c r="AP6892" t="s">
        <v>53</v>
      </c>
    </row>
    <row r="6893" spans="2:42" x14ac:dyDescent="0.2">
      <c r="B6893" t="s">
        <v>44</v>
      </c>
      <c r="C6893" t="str">
        <f>HYPERLINK("https://us2.cloudbeds.com/connect/8493803454333002#/reservations/162355267330269?display=3GEGZCTJ0N&amp;reservation_id=162355267330269", "3GEGZCTJ0N")</f>
        <v>3GEGZCTJ0N</v>
      </c>
      <c r="D6893" t="s">
        <v>45</v>
      </c>
      <c r="E6893" t="s">
        <v>92</v>
      </c>
      <c r="F6893" t="s">
        <v>86</v>
      </c>
      <c r="G6893" t="s">
        <v>3974</v>
      </c>
      <c r="H6893" t="s">
        <v>3957</v>
      </c>
      <c r="I6893" t="s">
        <v>3975</v>
      </c>
      <c r="J6893" t="s">
        <v>12424</v>
      </c>
      <c r="K6893" t="s">
        <v>12323</v>
      </c>
      <c r="L6893" t="s">
        <v>53</v>
      </c>
      <c r="P6893" t="s">
        <v>55</v>
      </c>
      <c r="R6893" t="s">
        <v>56</v>
      </c>
      <c r="T6893" t="s">
        <v>12425</v>
      </c>
      <c r="U6893" t="s">
        <v>58</v>
      </c>
      <c r="V6893">
        <v>1</v>
      </c>
      <c r="W6893">
        <v>1</v>
      </c>
      <c r="X6893">
        <v>2</v>
      </c>
      <c r="Y6893">
        <v>0</v>
      </c>
      <c r="Z6893">
        <v>2</v>
      </c>
      <c r="AA6893">
        <v>109.05</v>
      </c>
      <c r="AB6893">
        <v>109.05</v>
      </c>
      <c r="AC6893">
        <v>95.95</v>
      </c>
      <c r="AD6893">
        <v>0</v>
      </c>
      <c r="AE6893">
        <v>13.1</v>
      </c>
      <c r="AF6893">
        <v>0</v>
      </c>
      <c r="AG6893">
        <v>0</v>
      </c>
      <c r="AH6893">
        <v>0</v>
      </c>
      <c r="AI6893">
        <v>0</v>
      </c>
      <c r="AJ6893">
        <v>109.05</v>
      </c>
      <c r="AK6893">
        <v>0</v>
      </c>
      <c r="AL6893" t="s">
        <v>53</v>
      </c>
      <c r="AM6893" t="s">
        <v>53</v>
      </c>
      <c r="AN6893" t="s">
        <v>53</v>
      </c>
      <c r="AO6893" t="s">
        <v>53</v>
      </c>
      <c r="AP6893" t="s">
        <v>53</v>
      </c>
    </row>
    <row r="6894" spans="2:42" x14ac:dyDescent="0.2">
      <c r="B6894" t="s">
        <v>44</v>
      </c>
      <c r="C6894" t="str">
        <f>HYPERLINK("https://us2.cloudbeds.com/connect/8493803454333002#/reservations/9080486847042445?display=3GF425JY6K&amp;reservation_id=9080486847042445", "3GF425JY6K")</f>
        <v>3GF425JY6K</v>
      </c>
      <c r="D6894" t="s">
        <v>45</v>
      </c>
      <c r="E6894" t="s">
        <v>223</v>
      </c>
      <c r="F6894" t="s">
        <v>47</v>
      </c>
      <c r="G6894" t="s">
        <v>48</v>
      </c>
      <c r="H6894" t="s">
        <v>49</v>
      </c>
      <c r="I6894" t="s">
        <v>50</v>
      </c>
      <c r="J6894" t="s">
        <v>10881</v>
      </c>
      <c r="K6894" t="s">
        <v>10775</v>
      </c>
      <c r="L6894" t="s">
        <v>53</v>
      </c>
      <c r="N6894" t="s">
        <v>12426</v>
      </c>
      <c r="P6894" t="s">
        <v>55</v>
      </c>
      <c r="R6894" t="s">
        <v>53</v>
      </c>
      <c r="T6894" t="s">
        <v>12427</v>
      </c>
      <c r="U6894" t="s">
        <v>58</v>
      </c>
      <c r="V6894">
        <v>2</v>
      </c>
      <c r="W6894">
        <v>1</v>
      </c>
      <c r="X6894">
        <v>2</v>
      </c>
      <c r="Y6894">
        <v>0</v>
      </c>
      <c r="Z6894">
        <v>2</v>
      </c>
      <c r="AA6894">
        <v>173.9</v>
      </c>
      <c r="AB6894">
        <v>173.9</v>
      </c>
      <c r="AC6894">
        <v>153</v>
      </c>
      <c r="AD6894">
        <v>0</v>
      </c>
      <c r="AE6894">
        <v>20.9</v>
      </c>
      <c r="AF6894">
        <v>0</v>
      </c>
      <c r="AG6894">
        <v>0</v>
      </c>
      <c r="AH6894">
        <v>0</v>
      </c>
      <c r="AI6894">
        <v>31.3</v>
      </c>
      <c r="AJ6894">
        <v>173.9</v>
      </c>
      <c r="AK6894">
        <v>0</v>
      </c>
      <c r="AL6894" t="s">
        <v>53</v>
      </c>
      <c r="AM6894" t="s">
        <v>53</v>
      </c>
      <c r="AN6894" t="s">
        <v>53</v>
      </c>
      <c r="AO6894" t="s">
        <v>53</v>
      </c>
      <c r="AP6894" t="s">
        <v>53</v>
      </c>
    </row>
    <row r="6895" spans="2:42" x14ac:dyDescent="0.2">
      <c r="B6895" t="s">
        <v>44</v>
      </c>
      <c r="C6895" t="str">
        <f>HYPERLINK("https://us2.cloudbeds.com/connect/8493803454333002#/reservations/9080486847042557?display=3GF7XA0A10&amp;reservation_id=9080486847042557", "3GF7XA0A10")</f>
        <v>3GF7XA0A10</v>
      </c>
      <c r="D6895" t="s">
        <v>45</v>
      </c>
      <c r="E6895" t="s">
        <v>85</v>
      </c>
      <c r="F6895" t="s">
        <v>86</v>
      </c>
      <c r="G6895" t="s">
        <v>48</v>
      </c>
      <c r="H6895" t="s">
        <v>49</v>
      </c>
      <c r="I6895" t="s">
        <v>8964</v>
      </c>
      <c r="J6895" t="s">
        <v>11495</v>
      </c>
      <c r="K6895" t="s">
        <v>11321</v>
      </c>
      <c r="L6895" t="s">
        <v>53</v>
      </c>
      <c r="N6895" t="s">
        <v>12428</v>
      </c>
      <c r="P6895" t="s">
        <v>55</v>
      </c>
      <c r="R6895" t="s">
        <v>53</v>
      </c>
      <c r="T6895" t="s">
        <v>12429</v>
      </c>
      <c r="U6895" t="s">
        <v>55</v>
      </c>
      <c r="V6895">
        <v>1</v>
      </c>
      <c r="W6895">
        <v>1</v>
      </c>
      <c r="X6895">
        <v>2</v>
      </c>
      <c r="Y6895">
        <v>0</v>
      </c>
      <c r="Z6895">
        <v>2</v>
      </c>
      <c r="AA6895">
        <v>0</v>
      </c>
      <c r="AB6895">
        <v>0</v>
      </c>
      <c r="AC6895">
        <v>113</v>
      </c>
      <c r="AD6895">
        <v>0</v>
      </c>
      <c r="AE6895">
        <v>0</v>
      </c>
      <c r="AF6895">
        <v>0</v>
      </c>
      <c r="AG6895">
        <v>0</v>
      </c>
      <c r="AH6895">
        <v>0</v>
      </c>
      <c r="AI6895">
        <v>16.95</v>
      </c>
      <c r="AJ6895">
        <v>113</v>
      </c>
      <c r="AK6895">
        <v>113</v>
      </c>
      <c r="AL6895" t="s">
        <v>53</v>
      </c>
      <c r="AM6895" t="s">
        <v>53</v>
      </c>
      <c r="AN6895" t="s">
        <v>53</v>
      </c>
      <c r="AO6895" t="s">
        <v>53</v>
      </c>
      <c r="AP6895" t="s">
        <v>53</v>
      </c>
    </row>
    <row r="6896" spans="2:42" x14ac:dyDescent="0.2">
      <c r="B6896" t="s">
        <v>44</v>
      </c>
      <c r="C6896" t="str">
        <f>HYPERLINK("https://us2.cloudbeds.com/connect/8493803454333002#/reservations/9080486847043031?display=3GFNH903YN&amp;reservation_id=9080486847043031", "3GFNH903YN")</f>
        <v>3GFNH903YN</v>
      </c>
      <c r="D6896" t="s">
        <v>45</v>
      </c>
      <c r="E6896" t="s">
        <v>46</v>
      </c>
      <c r="F6896" t="s">
        <v>47</v>
      </c>
      <c r="G6896" t="s">
        <v>48</v>
      </c>
      <c r="H6896" t="s">
        <v>49</v>
      </c>
      <c r="I6896" t="s">
        <v>62</v>
      </c>
      <c r="J6896" t="s">
        <v>11495</v>
      </c>
      <c r="K6896" t="s">
        <v>11321</v>
      </c>
      <c r="L6896" t="s">
        <v>53</v>
      </c>
      <c r="N6896" t="s">
        <v>12430</v>
      </c>
      <c r="P6896" t="s">
        <v>55</v>
      </c>
      <c r="R6896" t="s">
        <v>56</v>
      </c>
      <c r="T6896" t="s">
        <v>12431</v>
      </c>
      <c r="U6896" t="s">
        <v>55</v>
      </c>
      <c r="V6896">
        <v>1</v>
      </c>
      <c r="W6896">
        <v>1</v>
      </c>
      <c r="X6896">
        <v>2</v>
      </c>
      <c r="Y6896">
        <v>0</v>
      </c>
      <c r="Z6896">
        <v>2</v>
      </c>
      <c r="AA6896">
        <v>85</v>
      </c>
      <c r="AB6896">
        <v>85</v>
      </c>
      <c r="AC6896">
        <v>85</v>
      </c>
      <c r="AD6896">
        <v>0</v>
      </c>
      <c r="AE6896">
        <v>0</v>
      </c>
      <c r="AF6896">
        <v>0</v>
      </c>
      <c r="AG6896">
        <v>0</v>
      </c>
      <c r="AH6896">
        <v>0</v>
      </c>
      <c r="AI6896">
        <v>15.3</v>
      </c>
      <c r="AJ6896">
        <v>85</v>
      </c>
      <c r="AK6896">
        <v>0</v>
      </c>
      <c r="AL6896" t="s">
        <v>53</v>
      </c>
      <c r="AM6896" t="s">
        <v>53</v>
      </c>
      <c r="AN6896" t="s">
        <v>53</v>
      </c>
      <c r="AO6896" t="s">
        <v>53</v>
      </c>
      <c r="AP6896" t="s">
        <v>53</v>
      </c>
    </row>
    <row r="6897" spans="2:42" x14ac:dyDescent="0.2">
      <c r="B6897" t="s">
        <v>44</v>
      </c>
      <c r="C6897" t="str">
        <f>HYPERLINK("https://us2.cloudbeds.com/connect/8493803454333002#/reservations/162417803981026?display=3GFW5BF29Y&amp;reservation_id=162417803981026", "3GFW5BF29Y")</f>
        <v>3GFW5BF29Y</v>
      </c>
      <c r="D6897" t="s">
        <v>45</v>
      </c>
      <c r="E6897" t="s">
        <v>381</v>
      </c>
      <c r="F6897" t="s">
        <v>47</v>
      </c>
      <c r="G6897" t="s">
        <v>48</v>
      </c>
      <c r="H6897" t="s">
        <v>3957</v>
      </c>
      <c r="I6897" t="s">
        <v>3975</v>
      </c>
      <c r="J6897" t="s">
        <v>11495</v>
      </c>
      <c r="K6897" t="s">
        <v>11321</v>
      </c>
      <c r="L6897" t="s">
        <v>53</v>
      </c>
      <c r="P6897" t="s">
        <v>55</v>
      </c>
      <c r="R6897" t="s">
        <v>56</v>
      </c>
      <c r="T6897" t="s">
        <v>12432</v>
      </c>
      <c r="U6897" t="s">
        <v>58</v>
      </c>
      <c r="V6897">
        <v>1</v>
      </c>
      <c r="W6897">
        <v>1</v>
      </c>
      <c r="X6897">
        <v>2</v>
      </c>
      <c r="Y6897">
        <v>0</v>
      </c>
      <c r="Z6897">
        <v>2</v>
      </c>
      <c r="AA6897">
        <v>96.61</v>
      </c>
      <c r="AB6897">
        <v>96.61</v>
      </c>
      <c r="AC6897">
        <v>85</v>
      </c>
      <c r="AD6897">
        <v>0</v>
      </c>
      <c r="AE6897">
        <v>11.61</v>
      </c>
      <c r="AF6897">
        <v>0</v>
      </c>
      <c r="AG6897">
        <v>0</v>
      </c>
      <c r="AH6897">
        <v>0</v>
      </c>
      <c r="AI6897">
        <v>0</v>
      </c>
      <c r="AJ6897">
        <v>96.61</v>
      </c>
      <c r="AK6897">
        <v>0</v>
      </c>
      <c r="AL6897" t="s">
        <v>53</v>
      </c>
      <c r="AM6897" t="s">
        <v>53</v>
      </c>
      <c r="AN6897" t="s">
        <v>53</v>
      </c>
      <c r="AO6897" t="s">
        <v>53</v>
      </c>
      <c r="AP6897" t="s">
        <v>53</v>
      </c>
    </row>
    <row r="6898" spans="2:42" x14ac:dyDescent="0.2">
      <c r="B6898" t="s">
        <v>44</v>
      </c>
      <c r="C6898" t="str">
        <f>HYPERLINK("https://us2.cloudbeds.com/connect/8493803454333002#/reservations/9080486847043619?display=3GGHFYAKAM&amp;reservation_id=9080486847043619", "3GGHFYAKAM")</f>
        <v>3GGHFYAKAM</v>
      </c>
      <c r="D6898" t="s">
        <v>45</v>
      </c>
      <c r="E6898" t="s">
        <v>92</v>
      </c>
      <c r="F6898" t="s">
        <v>86</v>
      </c>
      <c r="G6898" t="s">
        <v>48</v>
      </c>
      <c r="H6898" t="s">
        <v>49</v>
      </c>
      <c r="I6898" t="s">
        <v>50</v>
      </c>
      <c r="J6898" t="s">
        <v>11206</v>
      </c>
      <c r="K6898" t="s">
        <v>10137</v>
      </c>
      <c r="L6898" t="s">
        <v>53</v>
      </c>
      <c r="N6898" t="s">
        <v>12433</v>
      </c>
      <c r="P6898" t="s">
        <v>55</v>
      </c>
      <c r="R6898" t="s">
        <v>53</v>
      </c>
      <c r="T6898" t="s">
        <v>12434</v>
      </c>
      <c r="U6898" t="s">
        <v>58</v>
      </c>
      <c r="V6898">
        <v>1</v>
      </c>
      <c r="W6898">
        <v>1</v>
      </c>
      <c r="X6898">
        <v>2</v>
      </c>
      <c r="Y6898">
        <v>0</v>
      </c>
      <c r="Z6898">
        <v>2</v>
      </c>
      <c r="AA6898">
        <v>79.81</v>
      </c>
      <c r="AB6898">
        <v>79.81</v>
      </c>
      <c r="AC6898">
        <v>70.22</v>
      </c>
      <c r="AD6898">
        <v>0</v>
      </c>
      <c r="AE6898">
        <v>9.59</v>
      </c>
      <c r="AF6898">
        <v>0</v>
      </c>
      <c r="AG6898">
        <v>0</v>
      </c>
      <c r="AH6898">
        <v>0</v>
      </c>
      <c r="AI6898">
        <v>14.37</v>
      </c>
      <c r="AJ6898">
        <v>79.81</v>
      </c>
      <c r="AK6898">
        <v>0</v>
      </c>
      <c r="AL6898" t="s">
        <v>53</v>
      </c>
      <c r="AM6898" t="s">
        <v>53</v>
      </c>
      <c r="AN6898" t="s">
        <v>53</v>
      </c>
      <c r="AO6898" t="s">
        <v>53</v>
      </c>
      <c r="AP6898" t="s">
        <v>53</v>
      </c>
    </row>
    <row r="6899" spans="2:42" x14ac:dyDescent="0.2">
      <c r="B6899" t="s">
        <v>44</v>
      </c>
      <c r="C6899" t="str">
        <f>HYPERLINK("https://us2.cloudbeds.com/connect/8493803454333002#/reservations/9080486847043976?display=3GH4AFMJ1J&amp;reservation_id=9080486847043976", "3GH4AFMJ1J")</f>
        <v>3GH4AFMJ1J</v>
      </c>
      <c r="D6899" t="s">
        <v>45</v>
      </c>
      <c r="E6899" t="s">
        <v>121</v>
      </c>
      <c r="F6899" t="s">
        <v>86</v>
      </c>
      <c r="G6899" t="s">
        <v>48</v>
      </c>
      <c r="H6899" t="s">
        <v>49</v>
      </c>
      <c r="I6899" t="s">
        <v>8964</v>
      </c>
      <c r="J6899" t="s">
        <v>11495</v>
      </c>
      <c r="K6899" t="s">
        <v>11321</v>
      </c>
      <c r="L6899" t="s">
        <v>53</v>
      </c>
      <c r="N6899" t="s">
        <v>12435</v>
      </c>
      <c r="P6899" t="s">
        <v>55</v>
      </c>
      <c r="R6899" t="s">
        <v>53</v>
      </c>
      <c r="T6899" t="s">
        <v>12436</v>
      </c>
      <c r="U6899" t="s">
        <v>55</v>
      </c>
      <c r="V6899">
        <v>1</v>
      </c>
      <c r="W6899">
        <v>1</v>
      </c>
      <c r="X6899">
        <v>2</v>
      </c>
      <c r="Y6899">
        <v>0</v>
      </c>
      <c r="Z6899">
        <v>2</v>
      </c>
      <c r="AA6899">
        <v>0</v>
      </c>
      <c r="AB6899">
        <v>0</v>
      </c>
      <c r="AC6899">
        <v>113</v>
      </c>
      <c r="AD6899">
        <v>0</v>
      </c>
      <c r="AE6899">
        <v>0</v>
      </c>
      <c r="AF6899">
        <v>0</v>
      </c>
      <c r="AG6899">
        <v>0</v>
      </c>
      <c r="AH6899">
        <v>0</v>
      </c>
      <c r="AI6899">
        <v>16.95</v>
      </c>
      <c r="AJ6899">
        <v>113</v>
      </c>
      <c r="AK6899">
        <v>113</v>
      </c>
      <c r="AL6899" t="s">
        <v>53</v>
      </c>
      <c r="AM6899" t="s">
        <v>53</v>
      </c>
      <c r="AN6899" t="s">
        <v>53</v>
      </c>
      <c r="AO6899" t="s">
        <v>53</v>
      </c>
      <c r="AP6899" t="s">
        <v>53</v>
      </c>
    </row>
    <row r="6900" spans="2:42" x14ac:dyDescent="0.2">
      <c r="B6900" t="s">
        <v>44</v>
      </c>
      <c r="C6900" t="str">
        <f>HYPERLINK("https://us2.cloudbeds.com/connect/8493803454333002#/reservations/9080486847047212?display=3GM49CNM7D&amp;reservation_id=9080486847047212", "3GM49CNM7D")</f>
        <v>3GM49CNM7D</v>
      </c>
      <c r="D6900" t="s">
        <v>45</v>
      </c>
      <c r="E6900" t="s">
        <v>138</v>
      </c>
      <c r="F6900" t="s">
        <v>70</v>
      </c>
      <c r="G6900" t="s">
        <v>48</v>
      </c>
      <c r="H6900" t="s">
        <v>49</v>
      </c>
      <c r="I6900" t="s">
        <v>8964</v>
      </c>
      <c r="J6900" t="s">
        <v>8866</v>
      </c>
      <c r="K6900" t="s">
        <v>11378</v>
      </c>
      <c r="L6900" t="s">
        <v>53</v>
      </c>
      <c r="N6900" t="s">
        <v>12437</v>
      </c>
      <c r="P6900" t="s">
        <v>55</v>
      </c>
      <c r="R6900" t="s">
        <v>53</v>
      </c>
      <c r="T6900" t="s">
        <v>12438</v>
      </c>
      <c r="U6900" t="s">
        <v>55</v>
      </c>
      <c r="V6900">
        <v>2</v>
      </c>
      <c r="W6900">
        <v>1</v>
      </c>
      <c r="X6900">
        <v>2</v>
      </c>
      <c r="Y6900">
        <v>0</v>
      </c>
      <c r="Z6900">
        <v>2</v>
      </c>
      <c r="AA6900">
        <v>0</v>
      </c>
      <c r="AB6900">
        <v>0</v>
      </c>
      <c r="AC6900">
        <v>232</v>
      </c>
      <c r="AD6900">
        <v>0</v>
      </c>
      <c r="AE6900">
        <v>0</v>
      </c>
      <c r="AF6900">
        <v>0</v>
      </c>
      <c r="AG6900">
        <v>0</v>
      </c>
      <c r="AH6900">
        <v>0</v>
      </c>
      <c r="AI6900">
        <v>34.799999999999997</v>
      </c>
      <c r="AJ6900">
        <v>232</v>
      </c>
      <c r="AK6900">
        <v>232</v>
      </c>
      <c r="AL6900" t="s">
        <v>53</v>
      </c>
      <c r="AM6900" t="s">
        <v>53</v>
      </c>
      <c r="AN6900" t="s">
        <v>53</v>
      </c>
      <c r="AO6900" t="s">
        <v>53</v>
      </c>
      <c r="AP6900" t="s">
        <v>53</v>
      </c>
    </row>
    <row r="6901" spans="2:42" x14ac:dyDescent="0.2">
      <c r="B6901" t="s">
        <v>44</v>
      </c>
      <c r="C6901" t="str">
        <f>HYPERLINK("https://us2.cloudbeds.com/connect/8493803454333002#/reservations/9080486847047447?display=3GMASNEXQ1&amp;reservation_id=9080486847047447", "3GMASNEXQ1")</f>
        <v>3GMASNEXQ1</v>
      </c>
      <c r="D6901" t="s">
        <v>45</v>
      </c>
      <c r="E6901" t="s">
        <v>128</v>
      </c>
      <c r="F6901" t="s">
        <v>86</v>
      </c>
      <c r="G6901" t="s">
        <v>48</v>
      </c>
      <c r="H6901" t="s">
        <v>49</v>
      </c>
      <c r="I6901" t="s">
        <v>50</v>
      </c>
      <c r="J6901" t="s">
        <v>10037</v>
      </c>
      <c r="K6901" t="s">
        <v>11557</v>
      </c>
      <c r="L6901" t="s">
        <v>53</v>
      </c>
      <c r="N6901" t="s">
        <v>12439</v>
      </c>
      <c r="P6901" t="s">
        <v>55</v>
      </c>
      <c r="R6901" t="s">
        <v>53</v>
      </c>
      <c r="T6901" t="s">
        <v>12440</v>
      </c>
      <c r="U6901" t="s">
        <v>58</v>
      </c>
      <c r="V6901">
        <v>1</v>
      </c>
      <c r="W6901">
        <v>1</v>
      </c>
      <c r="X6901">
        <v>2</v>
      </c>
      <c r="Y6901">
        <v>0</v>
      </c>
      <c r="Z6901">
        <v>2</v>
      </c>
      <c r="AA6901">
        <v>80.010000000000005</v>
      </c>
      <c r="AB6901">
        <v>80.010000000000005</v>
      </c>
      <c r="AC6901">
        <v>70.400000000000006</v>
      </c>
      <c r="AD6901">
        <v>0</v>
      </c>
      <c r="AE6901">
        <v>9.61</v>
      </c>
      <c r="AF6901">
        <v>0</v>
      </c>
      <c r="AG6901">
        <v>0</v>
      </c>
      <c r="AH6901">
        <v>0</v>
      </c>
      <c r="AI6901">
        <v>14.4</v>
      </c>
      <c r="AJ6901">
        <v>80.010000000000005</v>
      </c>
      <c r="AK6901">
        <v>0</v>
      </c>
      <c r="AL6901" t="s">
        <v>53</v>
      </c>
      <c r="AM6901" t="s">
        <v>53</v>
      </c>
      <c r="AN6901" t="s">
        <v>53</v>
      </c>
      <c r="AO6901" t="s">
        <v>53</v>
      </c>
      <c r="AP6901" t="s">
        <v>53</v>
      </c>
    </row>
    <row r="6902" spans="2:42" x14ac:dyDescent="0.2">
      <c r="B6902" t="s">
        <v>44</v>
      </c>
      <c r="C6902" t="str">
        <f>HYPERLINK("https://us2.cloudbeds.com/connect/8493803454333002#/reservations/9080486847048374?display=3GN5DFV38Z&amp;reservation_id=9080486847048374", "3GN5DFV38Z")</f>
        <v>3GN5DFV38Z</v>
      </c>
      <c r="D6902" t="s">
        <v>45</v>
      </c>
      <c r="E6902" t="s">
        <v>138</v>
      </c>
      <c r="F6902" t="s">
        <v>70</v>
      </c>
      <c r="G6902" t="s">
        <v>48</v>
      </c>
      <c r="H6902" t="s">
        <v>49</v>
      </c>
      <c r="I6902" t="s">
        <v>50</v>
      </c>
      <c r="J6902" t="s">
        <v>10169</v>
      </c>
      <c r="K6902" t="s">
        <v>12441</v>
      </c>
      <c r="L6902" t="s">
        <v>53</v>
      </c>
      <c r="N6902" t="s">
        <v>12442</v>
      </c>
      <c r="P6902" t="s">
        <v>55</v>
      </c>
      <c r="R6902" t="s">
        <v>53</v>
      </c>
      <c r="T6902" t="s">
        <v>12443</v>
      </c>
      <c r="U6902" t="s">
        <v>58</v>
      </c>
      <c r="V6902">
        <v>4</v>
      </c>
      <c r="W6902">
        <v>1</v>
      </c>
      <c r="X6902">
        <v>2</v>
      </c>
      <c r="Y6902">
        <v>0</v>
      </c>
      <c r="Z6902">
        <v>2</v>
      </c>
      <c r="AA6902">
        <v>523.72</v>
      </c>
      <c r="AB6902">
        <v>523.72</v>
      </c>
      <c r="AC6902">
        <v>460.8</v>
      </c>
      <c r="AD6902">
        <v>0</v>
      </c>
      <c r="AE6902">
        <v>62.92</v>
      </c>
      <c r="AF6902">
        <v>0</v>
      </c>
      <c r="AG6902">
        <v>0</v>
      </c>
      <c r="AH6902">
        <v>0</v>
      </c>
      <c r="AI6902">
        <v>94.27</v>
      </c>
      <c r="AJ6902">
        <v>523.72</v>
      </c>
      <c r="AK6902">
        <v>0</v>
      </c>
      <c r="AL6902" t="s">
        <v>53</v>
      </c>
      <c r="AM6902" t="s">
        <v>53</v>
      </c>
      <c r="AN6902" t="s">
        <v>53</v>
      </c>
      <c r="AO6902" t="s">
        <v>53</v>
      </c>
      <c r="AP6902" t="s">
        <v>53</v>
      </c>
    </row>
    <row r="6903" spans="2:42" x14ac:dyDescent="0.2">
      <c r="B6903" t="s">
        <v>44</v>
      </c>
      <c r="C6903" t="str">
        <f>HYPERLINK("https://us2.cloudbeds.com/connect/8493803454333002#/reservations/9080486847048962?display=3GNM9RYX67&amp;reservation_id=9080486847048962", "3GNM9RYX67")</f>
        <v>3GNM9RYX67</v>
      </c>
      <c r="D6903" t="s">
        <v>45</v>
      </c>
      <c r="E6903" t="s">
        <v>69</v>
      </c>
      <c r="F6903" t="s">
        <v>70</v>
      </c>
      <c r="G6903" t="s">
        <v>48</v>
      </c>
      <c r="H6903" t="s">
        <v>49</v>
      </c>
      <c r="I6903" t="s">
        <v>50</v>
      </c>
      <c r="J6903" t="s">
        <v>11321</v>
      </c>
      <c r="K6903" t="s">
        <v>10487</v>
      </c>
      <c r="L6903" t="s">
        <v>53</v>
      </c>
      <c r="N6903" t="s">
        <v>12444</v>
      </c>
      <c r="P6903" t="s">
        <v>55</v>
      </c>
      <c r="R6903" t="s">
        <v>53</v>
      </c>
      <c r="T6903" t="s">
        <v>12445</v>
      </c>
      <c r="U6903" t="s">
        <v>58</v>
      </c>
      <c r="V6903">
        <v>1</v>
      </c>
      <c r="W6903">
        <v>1</v>
      </c>
      <c r="X6903">
        <v>1</v>
      </c>
      <c r="Y6903">
        <v>0</v>
      </c>
      <c r="Z6903">
        <v>1</v>
      </c>
      <c r="AA6903">
        <v>63.64</v>
      </c>
      <c r="AB6903">
        <v>63.64</v>
      </c>
      <c r="AC6903">
        <v>56</v>
      </c>
      <c r="AD6903">
        <v>0</v>
      </c>
      <c r="AE6903">
        <v>7.64</v>
      </c>
      <c r="AF6903">
        <v>0</v>
      </c>
      <c r="AG6903">
        <v>0</v>
      </c>
      <c r="AH6903">
        <v>0</v>
      </c>
      <c r="AI6903">
        <v>11.46</v>
      </c>
      <c r="AJ6903">
        <v>63.64</v>
      </c>
      <c r="AK6903">
        <v>0</v>
      </c>
      <c r="AL6903" t="s">
        <v>53</v>
      </c>
      <c r="AM6903" t="s">
        <v>53</v>
      </c>
      <c r="AN6903" t="s">
        <v>53</v>
      </c>
      <c r="AO6903" t="s">
        <v>53</v>
      </c>
      <c r="AP6903" t="s">
        <v>53</v>
      </c>
    </row>
    <row r="6904" spans="2:42" x14ac:dyDescent="0.2">
      <c r="B6904" t="s">
        <v>44</v>
      </c>
      <c r="C6904" t="str">
        <f>HYPERLINK("https://us2.cloudbeds.com/connect/8493803454333002#/reservations/162768489218256?display=3GZ6N5HZH8&amp;reservation_id=162768489218256", "3GZ6N5HZH8")</f>
        <v>3GZ6N5HZH8</v>
      </c>
      <c r="D6904" t="s">
        <v>45</v>
      </c>
      <c r="E6904" t="s">
        <v>105</v>
      </c>
      <c r="F6904" t="s">
        <v>47</v>
      </c>
      <c r="G6904" t="s">
        <v>48</v>
      </c>
      <c r="H6904" t="s">
        <v>3957</v>
      </c>
      <c r="I6904" t="s">
        <v>3958</v>
      </c>
      <c r="J6904" t="s">
        <v>11321</v>
      </c>
      <c r="K6904" t="s">
        <v>10487</v>
      </c>
      <c r="L6904" t="s">
        <v>53</v>
      </c>
      <c r="P6904" t="s">
        <v>55</v>
      </c>
      <c r="R6904" t="s">
        <v>56</v>
      </c>
      <c r="T6904" t="s">
        <v>12446</v>
      </c>
      <c r="U6904" t="s">
        <v>58</v>
      </c>
      <c r="V6904">
        <v>1</v>
      </c>
      <c r="W6904">
        <v>1</v>
      </c>
      <c r="X6904">
        <v>1</v>
      </c>
      <c r="Y6904">
        <v>0</v>
      </c>
      <c r="Z6904">
        <v>1</v>
      </c>
      <c r="AA6904">
        <v>85.25</v>
      </c>
      <c r="AB6904">
        <v>85.25</v>
      </c>
      <c r="AC6904">
        <v>75</v>
      </c>
      <c r="AD6904">
        <v>0</v>
      </c>
      <c r="AE6904">
        <v>10.25</v>
      </c>
      <c r="AF6904">
        <v>0</v>
      </c>
      <c r="AG6904">
        <v>0</v>
      </c>
      <c r="AH6904">
        <v>0</v>
      </c>
      <c r="AI6904">
        <v>0</v>
      </c>
      <c r="AJ6904">
        <v>85.25</v>
      </c>
      <c r="AK6904">
        <v>0</v>
      </c>
      <c r="AL6904" t="s">
        <v>53</v>
      </c>
      <c r="AM6904" t="s">
        <v>53</v>
      </c>
      <c r="AN6904" t="s">
        <v>53</v>
      </c>
      <c r="AO6904" t="s">
        <v>53</v>
      </c>
      <c r="AP6904" t="s">
        <v>53</v>
      </c>
    </row>
    <row r="6905" spans="2:42" x14ac:dyDescent="0.2">
      <c r="B6905" t="s">
        <v>44</v>
      </c>
      <c r="C6905" t="str">
        <f>HYPERLINK("https://us2.cloudbeds.com/connect/8493803454333002#/reservations/9080486847049991?display=3GZXZGUKYU&amp;reservation_id=9080486847049991", "3GZXZGUKYU")</f>
        <v>3GZXZGUKYU</v>
      </c>
      <c r="D6905" t="s">
        <v>45</v>
      </c>
      <c r="E6905" t="s">
        <v>110</v>
      </c>
      <c r="F6905" t="s">
        <v>47</v>
      </c>
      <c r="G6905" t="s">
        <v>48</v>
      </c>
      <c r="H6905" t="s">
        <v>49</v>
      </c>
      <c r="I6905" t="s">
        <v>62</v>
      </c>
      <c r="J6905" t="s">
        <v>11321</v>
      </c>
      <c r="K6905" t="s">
        <v>10487</v>
      </c>
      <c r="L6905" t="s">
        <v>53</v>
      </c>
      <c r="N6905" t="s">
        <v>12447</v>
      </c>
      <c r="P6905" t="s">
        <v>55</v>
      </c>
      <c r="R6905" t="s">
        <v>56</v>
      </c>
      <c r="T6905" t="s">
        <v>12448</v>
      </c>
      <c r="U6905" t="s">
        <v>55</v>
      </c>
      <c r="V6905">
        <v>1</v>
      </c>
      <c r="W6905">
        <v>1</v>
      </c>
      <c r="X6905">
        <v>2</v>
      </c>
      <c r="Y6905">
        <v>0</v>
      </c>
      <c r="Z6905">
        <v>2</v>
      </c>
      <c r="AA6905">
        <v>75</v>
      </c>
      <c r="AB6905">
        <v>75</v>
      </c>
      <c r="AC6905">
        <v>75</v>
      </c>
      <c r="AD6905">
        <v>0</v>
      </c>
      <c r="AE6905">
        <v>0</v>
      </c>
      <c r="AF6905">
        <v>0</v>
      </c>
      <c r="AG6905">
        <v>0</v>
      </c>
      <c r="AH6905">
        <v>0</v>
      </c>
      <c r="AI6905">
        <v>13.5</v>
      </c>
      <c r="AJ6905">
        <v>75</v>
      </c>
      <c r="AK6905">
        <v>0</v>
      </c>
      <c r="AL6905" t="s">
        <v>53</v>
      </c>
      <c r="AM6905" t="s">
        <v>53</v>
      </c>
      <c r="AN6905" t="s">
        <v>53</v>
      </c>
      <c r="AO6905" t="s">
        <v>53</v>
      </c>
      <c r="AP6905" t="s">
        <v>53</v>
      </c>
    </row>
    <row r="6906" spans="2:42" x14ac:dyDescent="0.2">
      <c r="B6906" t="s">
        <v>44</v>
      </c>
      <c r="C6906" t="str">
        <f>HYPERLINK("https://us2.cloudbeds.com/connect/8493803454333002#/reservations/9080486847050489?display=3GP789DS1U&amp;reservation_id=9080486847050489", "3GP789DS1U")</f>
        <v>3GP789DS1U</v>
      </c>
      <c r="D6906" t="s">
        <v>45</v>
      </c>
      <c r="E6906" t="s">
        <v>138</v>
      </c>
      <c r="F6906" t="s">
        <v>70</v>
      </c>
      <c r="G6906" t="s">
        <v>48</v>
      </c>
      <c r="H6906" t="s">
        <v>49</v>
      </c>
      <c r="I6906" t="s">
        <v>50</v>
      </c>
      <c r="J6906" t="s">
        <v>10487</v>
      </c>
      <c r="K6906" t="s">
        <v>10037</v>
      </c>
      <c r="L6906" t="s">
        <v>53</v>
      </c>
      <c r="N6906" t="s">
        <v>12449</v>
      </c>
      <c r="P6906" t="s">
        <v>55</v>
      </c>
      <c r="R6906" t="s">
        <v>53</v>
      </c>
      <c r="T6906" t="s">
        <v>12450</v>
      </c>
      <c r="U6906" t="s">
        <v>58</v>
      </c>
      <c r="V6906">
        <v>1</v>
      </c>
      <c r="W6906">
        <v>1</v>
      </c>
      <c r="X6906">
        <v>2</v>
      </c>
      <c r="Y6906">
        <v>0</v>
      </c>
      <c r="Z6906">
        <v>2</v>
      </c>
      <c r="AA6906">
        <v>71.61</v>
      </c>
      <c r="AB6906">
        <v>71.61</v>
      </c>
      <c r="AC6906">
        <v>63</v>
      </c>
      <c r="AD6906">
        <v>0</v>
      </c>
      <c r="AE6906">
        <v>8.61</v>
      </c>
      <c r="AF6906">
        <v>0</v>
      </c>
      <c r="AG6906">
        <v>0</v>
      </c>
      <c r="AH6906">
        <v>0</v>
      </c>
      <c r="AI6906">
        <v>12.89</v>
      </c>
      <c r="AJ6906">
        <v>71.61</v>
      </c>
      <c r="AK6906">
        <v>0</v>
      </c>
      <c r="AL6906" t="s">
        <v>53</v>
      </c>
      <c r="AM6906" t="s">
        <v>53</v>
      </c>
      <c r="AN6906" t="s">
        <v>53</v>
      </c>
      <c r="AO6906" t="s">
        <v>53</v>
      </c>
      <c r="AP6906" t="s">
        <v>53</v>
      </c>
    </row>
    <row r="6907" spans="2:42" x14ac:dyDescent="0.2">
      <c r="B6907" t="s">
        <v>44</v>
      </c>
      <c r="C6907" t="str">
        <f>HYPERLINK("https://us2.cloudbeds.com/connect/8493803454333002#/reservations/9080486847050696?display=3GPEVK8ZH2&amp;reservation_id=9080486847050696", "3GPEVK8ZH2")</f>
        <v>3GPEVK8ZH2</v>
      </c>
      <c r="D6907" t="s">
        <v>45</v>
      </c>
      <c r="E6907" t="s">
        <v>113</v>
      </c>
      <c r="F6907" t="s">
        <v>61</v>
      </c>
      <c r="G6907" t="s">
        <v>48</v>
      </c>
      <c r="H6907" t="s">
        <v>49</v>
      </c>
      <c r="I6907" t="s">
        <v>62</v>
      </c>
      <c r="J6907" t="s">
        <v>11321</v>
      </c>
      <c r="K6907" t="s">
        <v>10487</v>
      </c>
      <c r="L6907" t="s">
        <v>53</v>
      </c>
      <c r="N6907" t="s">
        <v>12451</v>
      </c>
      <c r="P6907" t="s">
        <v>55</v>
      </c>
      <c r="R6907" t="s">
        <v>6556</v>
      </c>
      <c r="T6907" t="s">
        <v>12452</v>
      </c>
      <c r="U6907" t="s">
        <v>55</v>
      </c>
      <c r="V6907">
        <v>1</v>
      </c>
      <c r="W6907">
        <v>1</v>
      </c>
      <c r="X6907">
        <v>2</v>
      </c>
      <c r="Y6907">
        <v>0</v>
      </c>
      <c r="Z6907">
        <v>2</v>
      </c>
      <c r="AA6907">
        <v>79</v>
      </c>
      <c r="AB6907">
        <v>79</v>
      </c>
      <c r="AC6907">
        <v>79</v>
      </c>
      <c r="AD6907">
        <v>0</v>
      </c>
      <c r="AE6907">
        <v>0</v>
      </c>
      <c r="AF6907">
        <v>0</v>
      </c>
      <c r="AG6907">
        <v>0</v>
      </c>
      <c r="AH6907">
        <v>0</v>
      </c>
      <c r="AI6907">
        <v>14.22</v>
      </c>
      <c r="AJ6907">
        <v>79</v>
      </c>
      <c r="AK6907">
        <v>0</v>
      </c>
      <c r="AL6907" t="s">
        <v>53</v>
      </c>
      <c r="AM6907" t="s">
        <v>53</v>
      </c>
      <c r="AN6907" t="s">
        <v>53</v>
      </c>
      <c r="AO6907" t="s">
        <v>53</v>
      </c>
      <c r="AP6907" t="s">
        <v>53</v>
      </c>
    </row>
    <row r="6908" spans="2:42" x14ac:dyDescent="0.2">
      <c r="B6908" t="s">
        <v>44</v>
      </c>
      <c r="C6908" t="str">
        <f>HYPERLINK("https://us2.cloudbeds.com/connect/8493803454333002#/reservations/9080486847051392?display=3GQCA11WHU&amp;reservation_id=9080486847051392", "3GQCA11WHU")</f>
        <v>3GQCA11WHU</v>
      </c>
      <c r="D6908" t="s">
        <v>45</v>
      </c>
      <c r="E6908" t="s">
        <v>165</v>
      </c>
      <c r="F6908" t="s">
        <v>61</v>
      </c>
      <c r="G6908" t="s">
        <v>48</v>
      </c>
      <c r="H6908" t="s">
        <v>49</v>
      </c>
      <c r="I6908" t="s">
        <v>50</v>
      </c>
      <c r="J6908" t="s">
        <v>10775</v>
      </c>
      <c r="K6908" t="s">
        <v>9658</v>
      </c>
      <c r="L6908" t="s">
        <v>53</v>
      </c>
      <c r="N6908" t="s">
        <v>12453</v>
      </c>
      <c r="P6908" t="s">
        <v>55</v>
      </c>
      <c r="R6908" t="s">
        <v>53</v>
      </c>
      <c r="T6908" t="s">
        <v>12454</v>
      </c>
      <c r="U6908" t="s">
        <v>58</v>
      </c>
      <c r="V6908">
        <v>1</v>
      </c>
      <c r="W6908">
        <v>1</v>
      </c>
      <c r="X6908">
        <v>2</v>
      </c>
      <c r="Y6908">
        <v>0</v>
      </c>
      <c r="Z6908">
        <v>2</v>
      </c>
      <c r="AA6908">
        <v>76.760000000000005</v>
      </c>
      <c r="AB6908">
        <v>76.760000000000005</v>
      </c>
      <c r="AC6908">
        <v>67.540000000000006</v>
      </c>
      <c r="AD6908">
        <v>0</v>
      </c>
      <c r="AE6908">
        <v>9.2200000000000006</v>
      </c>
      <c r="AF6908">
        <v>0</v>
      </c>
      <c r="AG6908">
        <v>0</v>
      </c>
      <c r="AH6908">
        <v>0</v>
      </c>
      <c r="AI6908">
        <v>13.82</v>
      </c>
      <c r="AJ6908">
        <v>76.760000000000005</v>
      </c>
      <c r="AK6908">
        <v>0</v>
      </c>
      <c r="AL6908" t="s">
        <v>53</v>
      </c>
      <c r="AM6908" t="s">
        <v>53</v>
      </c>
      <c r="AN6908" t="s">
        <v>53</v>
      </c>
      <c r="AO6908" t="s">
        <v>53</v>
      </c>
      <c r="AP6908" t="s">
        <v>53</v>
      </c>
    </row>
    <row r="6909" spans="2:42" x14ac:dyDescent="0.2">
      <c r="B6909" t="s">
        <v>44</v>
      </c>
      <c r="C6909" t="str">
        <f>HYPERLINK("https://us2.cloudbeds.com/connect/8493803454333002#/reservations/9080486847051748?display=3GQSG7JZJX&amp;reservation_id=9080486847051748", "3GQSG7JZJX")</f>
        <v>3GQSG7JZJX</v>
      </c>
      <c r="D6909" t="s">
        <v>45</v>
      </c>
      <c r="E6909" t="s">
        <v>78</v>
      </c>
      <c r="F6909" t="s">
        <v>61</v>
      </c>
      <c r="G6909" t="s">
        <v>48</v>
      </c>
      <c r="H6909" t="s">
        <v>49</v>
      </c>
      <c r="I6909" t="s">
        <v>50</v>
      </c>
      <c r="J6909" t="s">
        <v>11557</v>
      </c>
      <c r="K6909" t="s">
        <v>10038</v>
      </c>
      <c r="L6909" t="s">
        <v>53</v>
      </c>
      <c r="N6909" t="s">
        <v>12455</v>
      </c>
      <c r="P6909" t="s">
        <v>55</v>
      </c>
      <c r="R6909" t="s">
        <v>53</v>
      </c>
      <c r="T6909" t="s">
        <v>12456</v>
      </c>
      <c r="U6909" t="s">
        <v>58</v>
      </c>
      <c r="V6909">
        <v>1</v>
      </c>
      <c r="W6909">
        <v>1</v>
      </c>
      <c r="X6909">
        <v>1</v>
      </c>
      <c r="Y6909">
        <v>0</v>
      </c>
      <c r="Z6909">
        <v>1</v>
      </c>
      <c r="AA6909">
        <v>71.819999999999993</v>
      </c>
      <c r="AB6909">
        <v>71.819999999999993</v>
      </c>
      <c r="AC6909">
        <v>63.2</v>
      </c>
      <c r="AD6909">
        <v>0</v>
      </c>
      <c r="AE6909">
        <v>8.6199999999999992</v>
      </c>
      <c r="AF6909">
        <v>0</v>
      </c>
      <c r="AG6909">
        <v>0</v>
      </c>
      <c r="AH6909">
        <v>0</v>
      </c>
      <c r="AI6909">
        <v>12.93</v>
      </c>
      <c r="AJ6909">
        <v>71.819999999999993</v>
      </c>
      <c r="AK6909">
        <v>0</v>
      </c>
      <c r="AL6909" t="s">
        <v>53</v>
      </c>
      <c r="AM6909" t="s">
        <v>53</v>
      </c>
      <c r="AN6909" t="s">
        <v>53</v>
      </c>
      <c r="AO6909" t="s">
        <v>53</v>
      </c>
      <c r="AP6909" t="s">
        <v>53</v>
      </c>
    </row>
    <row r="6910" spans="2:42" x14ac:dyDescent="0.2">
      <c r="B6910" t="s">
        <v>44</v>
      </c>
      <c r="C6910" t="str">
        <f>HYPERLINK("https://us2.cloudbeds.com/connect/8493803454333002#/reservations/9080486847055034?display=3GUVACZY6A&amp;reservation_id=9080486847055034", "3GUVACZY6A")</f>
        <v>3GUVACZY6A</v>
      </c>
      <c r="D6910" t="s">
        <v>45</v>
      </c>
      <c r="E6910" t="s">
        <v>165</v>
      </c>
      <c r="F6910" t="s">
        <v>61</v>
      </c>
      <c r="G6910" t="s">
        <v>48</v>
      </c>
      <c r="H6910" t="s">
        <v>49</v>
      </c>
      <c r="I6910" t="s">
        <v>50</v>
      </c>
      <c r="J6910" t="s">
        <v>10487</v>
      </c>
      <c r="K6910" t="s">
        <v>10037</v>
      </c>
      <c r="L6910" t="s">
        <v>53</v>
      </c>
      <c r="N6910" t="s">
        <v>12457</v>
      </c>
      <c r="P6910" t="s">
        <v>55</v>
      </c>
      <c r="R6910" t="s">
        <v>53</v>
      </c>
      <c r="T6910" t="s">
        <v>12458</v>
      </c>
      <c r="U6910" t="s">
        <v>58</v>
      </c>
      <c r="V6910">
        <v>1</v>
      </c>
      <c r="W6910">
        <v>1</v>
      </c>
      <c r="X6910">
        <v>1</v>
      </c>
      <c r="Y6910">
        <v>0</v>
      </c>
      <c r="Z6910">
        <v>1</v>
      </c>
      <c r="AA6910">
        <v>71.819999999999993</v>
      </c>
      <c r="AB6910">
        <v>71.819999999999993</v>
      </c>
      <c r="AC6910">
        <v>63.2</v>
      </c>
      <c r="AD6910">
        <v>0</v>
      </c>
      <c r="AE6910">
        <v>8.6199999999999992</v>
      </c>
      <c r="AF6910">
        <v>0</v>
      </c>
      <c r="AG6910">
        <v>0</v>
      </c>
      <c r="AH6910">
        <v>0</v>
      </c>
      <c r="AI6910">
        <v>12.93</v>
      </c>
      <c r="AJ6910">
        <v>71.819999999999993</v>
      </c>
      <c r="AK6910">
        <v>0</v>
      </c>
      <c r="AL6910" t="s">
        <v>53</v>
      </c>
      <c r="AM6910" t="s">
        <v>53</v>
      </c>
      <c r="AN6910" t="s">
        <v>53</v>
      </c>
      <c r="AO6910" t="s">
        <v>53</v>
      </c>
      <c r="AP6910" t="s">
        <v>53</v>
      </c>
    </row>
    <row r="6911" spans="2:42" x14ac:dyDescent="0.2">
      <c r="B6911" t="s">
        <v>44</v>
      </c>
      <c r="C6911" t="str">
        <f>HYPERLINK("https://us2.cloudbeds.com/connect/8493803454333002#/reservations/9080486847055143?display=3GV1X1123N&amp;reservation_id=9080486847055143", "3GV1X1123N")</f>
        <v>3GV1X1123N</v>
      </c>
      <c r="D6911" t="s">
        <v>45</v>
      </c>
      <c r="E6911" t="s">
        <v>69</v>
      </c>
      <c r="F6911" t="s">
        <v>70</v>
      </c>
      <c r="G6911" t="s">
        <v>48</v>
      </c>
      <c r="H6911" t="s">
        <v>49</v>
      </c>
      <c r="I6911" t="s">
        <v>8964</v>
      </c>
      <c r="J6911" t="s">
        <v>10776</v>
      </c>
      <c r="K6911" t="s">
        <v>10779</v>
      </c>
      <c r="L6911" t="s">
        <v>53</v>
      </c>
      <c r="N6911" t="s">
        <v>12459</v>
      </c>
      <c r="P6911" t="s">
        <v>55</v>
      </c>
      <c r="R6911" t="s">
        <v>53</v>
      </c>
      <c r="T6911" t="s">
        <v>12460</v>
      </c>
      <c r="U6911" t="s">
        <v>55</v>
      </c>
      <c r="V6911">
        <v>1</v>
      </c>
      <c r="W6911">
        <v>1</v>
      </c>
      <c r="X6911">
        <v>2</v>
      </c>
      <c r="Y6911">
        <v>0</v>
      </c>
      <c r="Z6911">
        <v>2</v>
      </c>
      <c r="AA6911">
        <v>0</v>
      </c>
      <c r="AB6911">
        <v>0</v>
      </c>
      <c r="AC6911">
        <v>73</v>
      </c>
      <c r="AD6911">
        <v>0</v>
      </c>
      <c r="AE6911">
        <v>0</v>
      </c>
      <c r="AF6911">
        <v>0</v>
      </c>
      <c r="AG6911">
        <v>0</v>
      </c>
      <c r="AH6911">
        <v>0</v>
      </c>
      <c r="AI6911">
        <v>10.95</v>
      </c>
      <c r="AJ6911">
        <v>73</v>
      </c>
      <c r="AK6911">
        <v>73</v>
      </c>
      <c r="AL6911" t="s">
        <v>53</v>
      </c>
      <c r="AM6911" t="s">
        <v>53</v>
      </c>
      <c r="AN6911" t="s">
        <v>53</v>
      </c>
      <c r="AO6911" t="s">
        <v>53</v>
      </c>
      <c r="AP6911" t="s">
        <v>53</v>
      </c>
    </row>
    <row r="6912" spans="2:42" x14ac:dyDescent="0.2">
      <c r="B6912" t="s">
        <v>44</v>
      </c>
      <c r="C6912" t="str">
        <f>HYPERLINK("https://us2.cloudbeds.com/connect/8493803454333002#/reservations/163076607103201?display=3GVE99N2WY&amp;reservation_id=163076607103201", "3GVE99N2WY")</f>
        <v>3GVE99N2WY</v>
      </c>
      <c r="D6912" t="s">
        <v>45</v>
      </c>
      <c r="E6912" t="s">
        <v>165</v>
      </c>
      <c r="F6912" t="s">
        <v>61</v>
      </c>
      <c r="G6912" t="s">
        <v>3974</v>
      </c>
      <c r="H6912" t="s">
        <v>3957</v>
      </c>
      <c r="I6912" t="s">
        <v>3975</v>
      </c>
      <c r="J6912" t="s">
        <v>10590</v>
      </c>
      <c r="K6912" t="s">
        <v>11721</v>
      </c>
      <c r="L6912" t="s">
        <v>53</v>
      </c>
      <c r="P6912" t="s">
        <v>55</v>
      </c>
      <c r="R6912" t="s">
        <v>56</v>
      </c>
      <c r="T6912" t="s">
        <v>12461</v>
      </c>
      <c r="U6912" t="s">
        <v>58</v>
      </c>
      <c r="V6912">
        <v>1</v>
      </c>
      <c r="W6912">
        <v>1</v>
      </c>
      <c r="X6912">
        <v>2</v>
      </c>
      <c r="Y6912">
        <v>0</v>
      </c>
      <c r="Z6912">
        <v>2</v>
      </c>
      <c r="AA6912">
        <v>85.3</v>
      </c>
      <c r="AB6912">
        <v>85.3</v>
      </c>
      <c r="AC6912">
        <v>75.05</v>
      </c>
      <c r="AD6912">
        <v>0</v>
      </c>
      <c r="AE6912">
        <v>10.25</v>
      </c>
      <c r="AF6912">
        <v>0</v>
      </c>
      <c r="AG6912">
        <v>0</v>
      </c>
      <c r="AH6912">
        <v>0</v>
      </c>
      <c r="AI6912">
        <v>0</v>
      </c>
      <c r="AJ6912">
        <v>85.3</v>
      </c>
      <c r="AK6912">
        <v>0</v>
      </c>
      <c r="AL6912" t="s">
        <v>53</v>
      </c>
      <c r="AM6912" t="s">
        <v>53</v>
      </c>
      <c r="AN6912" t="s">
        <v>53</v>
      </c>
      <c r="AO6912" t="s">
        <v>53</v>
      </c>
      <c r="AP6912" t="s">
        <v>53</v>
      </c>
    </row>
    <row r="6913" spans="2:42" x14ac:dyDescent="0.2">
      <c r="B6913" t="s">
        <v>44</v>
      </c>
      <c r="C6913" t="str">
        <f>HYPERLINK("https://us2.cloudbeds.com/connect/8493803454333002#/reservations/163135405277382?display=3GWQQNSVZK&amp;reservation_id=163135405277382", "3GWQQNSVZK")</f>
        <v>3GWQQNSVZK</v>
      </c>
      <c r="D6913" t="s">
        <v>45</v>
      </c>
      <c r="E6913" t="s">
        <v>78</v>
      </c>
      <c r="F6913" t="s">
        <v>61</v>
      </c>
      <c r="G6913" t="s">
        <v>48</v>
      </c>
      <c r="H6913" t="s">
        <v>3957</v>
      </c>
      <c r="I6913" t="s">
        <v>3958</v>
      </c>
      <c r="J6913" t="s">
        <v>10487</v>
      </c>
      <c r="K6913" t="s">
        <v>11557</v>
      </c>
      <c r="L6913" t="s">
        <v>53</v>
      </c>
      <c r="P6913" t="s">
        <v>55</v>
      </c>
      <c r="R6913" t="s">
        <v>56</v>
      </c>
      <c r="T6913" t="s">
        <v>12462</v>
      </c>
      <c r="U6913" t="s">
        <v>58</v>
      </c>
      <c r="V6913">
        <v>2</v>
      </c>
      <c r="W6913">
        <v>1</v>
      </c>
      <c r="X6913">
        <v>1</v>
      </c>
      <c r="Y6913">
        <v>0</v>
      </c>
      <c r="Z6913">
        <v>1</v>
      </c>
      <c r="AA6913">
        <v>179.58</v>
      </c>
      <c r="AB6913">
        <v>179.58</v>
      </c>
      <c r="AC6913">
        <v>158</v>
      </c>
      <c r="AD6913">
        <v>0</v>
      </c>
      <c r="AE6913">
        <v>21.58</v>
      </c>
      <c r="AF6913">
        <v>0</v>
      </c>
      <c r="AG6913">
        <v>0</v>
      </c>
      <c r="AH6913">
        <v>0</v>
      </c>
      <c r="AI6913">
        <v>0</v>
      </c>
      <c r="AJ6913">
        <v>179.58</v>
      </c>
      <c r="AK6913">
        <v>0</v>
      </c>
      <c r="AL6913" t="s">
        <v>53</v>
      </c>
      <c r="AM6913" t="s">
        <v>53</v>
      </c>
      <c r="AN6913" t="s">
        <v>53</v>
      </c>
      <c r="AO6913" t="s">
        <v>53</v>
      </c>
      <c r="AP6913" t="s">
        <v>53</v>
      </c>
    </row>
    <row r="6914" spans="2:42" x14ac:dyDescent="0.2">
      <c r="B6914" t="s">
        <v>44</v>
      </c>
      <c r="C6914" t="str">
        <f>HYPERLINK("https://us2.cloudbeds.com/connect/8493803454333002#/reservations/163141921734809?display=3GWVS7NWSG&amp;reservation_id=163141921734809", "3GWVS7NWSG")</f>
        <v>3GWVS7NWSG</v>
      </c>
      <c r="D6914" t="s">
        <v>45</v>
      </c>
      <c r="E6914" t="s">
        <v>2468</v>
      </c>
      <c r="F6914" t="s">
        <v>86</v>
      </c>
      <c r="G6914" t="s">
        <v>48</v>
      </c>
      <c r="H6914" t="s">
        <v>3957</v>
      </c>
      <c r="I6914" t="s">
        <v>3958</v>
      </c>
      <c r="J6914" t="s">
        <v>10487</v>
      </c>
      <c r="K6914" t="s">
        <v>10775</v>
      </c>
      <c r="L6914" t="s">
        <v>53</v>
      </c>
      <c r="P6914" t="s">
        <v>55</v>
      </c>
      <c r="R6914" t="s">
        <v>56</v>
      </c>
      <c r="T6914" t="s">
        <v>12463</v>
      </c>
      <c r="U6914" t="s">
        <v>58</v>
      </c>
      <c r="V6914">
        <v>12</v>
      </c>
      <c r="W6914">
        <v>2</v>
      </c>
      <c r="X6914">
        <v>2</v>
      </c>
      <c r="Y6914">
        <v>0</v>
      </c>
      <c r="Z6914">
        <v>2</v>
      </c>
      <c r="AA6914">
        <v>1200.1199999999999</v>
      </c>
      <c r="AB6914">
        <v>1200.1199999999999</v>
      </c>
      <c r="AC6914">
        <v>1056</v>
      </c>
      <c r="AD6914">
        <v>0</v>
      </c>
      <c r="AE6914">
        <v>144.12</v>
      </c>
      <c r="AF6914">
        <v>0</v>
      </c>
      <c r="AG6914">
        <v>0</v>
      </c>
      <c r="AH6914">
        <v>0</v>
      </c>
      <c r="AI6914">
        <v>0</v>
      </c>
      <c r="AJ6914">
        <v>1200.1199999999999</v>
      </c>
      <c r="AK6914">
        <v>0</v>
      </c>
      <c r="AL6914" t="s">
        <v>53</v>
      </c>
      <c r="AM6914" t="s">
        <v>53</v>
      </c>
      <c r="AN6914" t="s">
        <v>53</v>
      </c>
      <c r="AO6914" t="s">
        <v>53</v>
      </c>
      <c r="AP6914" t="s">
        <v>53</v>
      </c>
    </row>
    <row r="6915" spans="2:42" x14ac:dyDescent="0.2">
      <c r="B6915" t="s">
        <v>44</v>
      </c>
      <c r="C6915" t="str">
        <f>HYPERLINK("https://us2.cloudbeds.com/connect/8493803454333002#/reservations/9080486847057395?display=3GWW7G3ES9&amp;reservation_id=9080486847057395", "3GWW7G3ES9")</f>
        <v>3GWW7G3ES9</v>
      </c>
      <c r="D6915" t="s">
        <v>45</v>
      </c>
      <c r="E6915" t="s">
        <v>110</v>
      </c>
      <c r="F6915" t="s">
        <v>47</v>
      </c>
      <c r="G6915" t="s">
        <v>48</v>
      </c>
      <c r="H6915" t="s">
        <v>49</v>
      </c>
      <c r="I6915" t="s">
        <v>8964</v>
      </c>
      <c r="J6915" t="s">
        <v>10487</v>
      </c>
      <c r="K6915" t="s">
        <v>10037</v>
      </c>
      <c r="L6915" t="s">
        <v>53</v>
      </c>
      <c r="N6915" t="s">
        <v>12464</v>
      </c>
      <c r="P6915" t="s">
        <v>55</v>
      </c>
      <c r="R6915" t="s">
        <v>53</v>
      </c>
      <c r="T6915" t="s">
        <v>12465</v>
      </c>
      <c r="U6915" t="s">
        <v>55</v>
      </c>
      <c r="V6915">
        <v>1</v>
      </c>
      <c r="W6915">
        <v>1</v>
      </c>
      <c r="X6915">
        <v>1</v>
      </c>
      <c r="Y6915">
        <v>0</v>
      </c>
      <c r="Z6915">
        <v>1</v>
      </c>
      <c r="AA6915">
        <v>0</v>
      </c>
      <c r="AB6915">
        <v>0</v>
      </c>
      <c r="AC6915">
        <v>78</v>
      </c>
      <c r="AD6915">
        <v>0</v>
      </c>
      <c r="AE6915">
        <v>0</v>
      </c>
      <c r="AF6915">
        <v>0</v>
      </c>
      <c r="AG6915">
        <v>0</v>
      </c>
      <c r="AH6915">
        <v>0</v>
      </c>
      <c r="AI6915">
        <v>11.7</v>
      </c>
      <c r="AJ6915">
        <v>78</v>
      </c>
      <c r="AK6915">
        <v>78</v>
      </c>
      <c r="AL6915" t="s">
        <v>53</v>
      </c>
      <c r="AM6915" t="s">
        <v>53</v>
      </c>
      <c r="AN6915" t="s">
        <v>53</v>
      </c>
      <c r="AO6915" t="s">
        <v>53</v>
      </c>
      <c r="AP6915" t="s">
        <v>53</v>
      </c>
    </row>
    <row r="6916" spans="2:42" x14ac:dyDescent="0.2">
      <c r="B6916" t="s">
        <v>44</v>
      </c>
      <c r="C6916" t="str">
        <f>HYPERLINK("https://us2.cloudbeds.com/connect/8493803454333002#/reservations/9080486847057702?display=3H0AGZQ13B&amp;reservation_id=9080486847057702", "3H0AGZQ13B")</f>
        <v>3H0AGZQ13B</v>
      </c>
      <c r="D6916" t="s">
        <v>45</v>
      </c>
      <c r="E6916" t="s">
        <v>185</v>
      </c>
      <c r="F6916" t="s">
        <v>47</v>
      </c>
      <c r="G6916" t="s">
        <v>48</v>
      </c>
      <c r="H6916" t="s">
        <v>49</v>
      </c>
      <c r="I6916" t="s">
        <v>50</v>
      </c>
      <c r="J6916" t="s">
        <v>11557</v>
      </c>
      <c r="K6916" t="s">
        <v>10881</v>
      </c>
      <c r="L6916" t="s">
        <v>53</v>
      </c>
      <c r="N6916" t="s">
        <v>12466</v>
      </c>
      <c r="P6916" t="s">
        <v>55</v>
      </c>
      <c r="R6916" t="s">
        <v>53</v>
      </c>
      <c r="T6916" t="s">
        <v>12467</v>
      </c>
      <c r="U6916" t="s">
        <v>58</v>
      </c>
      <c r="V6916">
        <v>2</v>
      </c>
      <c r="W6916">
        <v>1</v>
      </c>
      <c r="X6916">
        <v>2</v>
      </c>
      <c r="Y6916">
        <v>0</v>
      </c>
      <c r="Z6916">
        <v>2</v>
      </c>
      <c r="AA6916">
        <v>136.38</v>
      </c>
      <c r="AB6916">
        <v>136.38</v>
      </c>
      <c r="AC6916">
        <v>120</v>
      </c>
      <c r="AD6916">
        <v>0</v>
      </c>
      <c r="AE6916">
        <v>16.38</v>
      </c>
      <c r="AF6916">
        <v>0</v>
      </c>
      <c r="AG6916">
        <v>0</v>
      </c>
      <c r="AH6916">
        <v>0</v>
      </c>
      <c r="AI6916">
        <v>24.55</v>
      </c>
      <c r="AJ6916">
        <v>136.38</v>
      </c>
      <c r="AK6916">
        <v>0</v>
      </c>
      <c r="AL6916" t="s">
        <v>53</v>
      </c>
      <c r="AM6916" t="s">
        <v>53</v>
      </c>
      <c r="AN6916" t="s">
        <v>53</v>
      </c>
      <c r="AO6916" t="s">
        <v>53</v>
      </c>
      <c r="AP6916" t="s">
        <v>53</v>
      </c>
    </row>
    <row r="6917" spans="2:42" x14ac:dyDescent="0.2">
      <c r="B6917" t="s">
        <v>44</v>
      </c>
      <c r="C6917" t="str">
        <f>HYPERLINK("https://us2.cloudbeds.com/connect/8493803454333002#/reservations/163154585817250?display=3H08YRDP0F&amp;reservation_id=163154585817250", "3H08YRDP0F")</f>
        <v>3H08YRDP0F</v>
      </c>
      <c r="D6917" t="s">
        <v>45</v>
      </c>
      <c r="E6917" t="s">
        <v>190</v>
      </c>
      <c r="F6917" t="s">
        <v>61</v>
      </c>
      <c r="G6917" t="s">
        <v>48</v>
      </c>
      <c r="H6917" t="s">
        <v>3957</v>
      </c>
      <c r="I6917" t="s">
        <v>3975</v>
      </c>
      <c r="J6917" t="s">
        <v>10487</v>
      </c>
      <c r="K6917" t="s">
        <v>10037</v>
      </c>
      <c r="L6917" t="s">
        <v>53</v>
      </c>
      <c r="P6917" t="s">
        <v>55</v>
      </c>
      <c r="R6917" t="s">
        <v>56</v>
      </c>
      <c r="T6917" t="s">
        <v>12468</v>
      </c>
      <c r="U6917" t="s">
        <v>58</v>
      </c>
      <c r="V6917">
        <v>1</v>
      </c>
      <c r="W6917">
        <v>1</v>
      </c>
      <c r="X6917">
        <v>2</v>
      </c>
      <c r="Y6917">
        <v>0</v>
      </c>
      <c r="Z6917">
        <v>2</v>
      </c>
      <c r="AA6917">
        <v>89.79</v>
      </c>
      <c r="AB6917">
        <v>89.79</v>
      </c>
      <c r="AC6917">
        <v>79</v>
      </c>
      <c r="AD6917">
        <v>0</v>
      </c>
      <c r="AE6917">
        <v>10.79</v>
      </c>
      <c r="AF6917">
        <v>0</v>
      </c>
      <c r="AG6917">
        <v>0</v>
      </c>
      <c r="AH6917">
        <v>0</v>
      </c>
      <c r="AI6917">
        <v>0</v>
      </c>
      <c r="AJ6917">
        <v>89.79</v>
      </c>
      <c r="AK6917">
        <v>0</v>
      </c>
      <c r="AL6917" t="s">
        <v>53</v>
      </c>
      <c r="AM6917" t="s">
        <v>53</v>
      </c>
      <c r="AN6917" t="s">
        <v>53</v>
      </c>
      <c r="AO6917" t="s">
        <v>53</v>
      </c>
      <c r="AP6917" t="s">
        <v>53</v>
      </c>
    </row>
    <row r="6918" spans="2:42" x14ac:dyDescent="0.2">
      <c r="B6918" t="s">
        <v>44</v>
      </c>
      <c r="C6918" t="str">
        <f>HYPERLINK("https://us2.cloudbeds.com/connect/8493803454333002#/reservations/9080486847057737?display=3H0CCDJ0EN&amp;reservation_id=9080486847057737", "3H0CCDJ0EN")</f>
        <v>3H0CCDJ0EN</v>
      </c>
      <c r="D6918" t="s">
        <v>45</v>
      </c>
      <c r="E6918" t="s">
        <v>105</v>
      </c>
      <c r="F6918" t="s">
        <v>47</v>
      </c>
      <c r="G6918" t="s">
        <v>48</v>
      </c>
      <c r="H6918" t="s">
        <v>49</v>
      </c>
      <c r="I6918" t="s">
        <v>62</v>
      </c>
      <c r="J6918" t="s">
        <v>10487</v>
      </c>
      <c r="K6918" t="s">
        <v>10037</v>
      </c>
      <c r="L6918" t="s">
        <v>53</v>
      </c>
      <c r="N6918" t="s">
        <v>12469</v>
      </c>
      <c r="P6918" t="s">
        <v>55</v>
      </c>
      <c r="R6918" t="s">
        <v>56</v>
      </c>
      <c r="T6918" t="s">
        <v>12470</v>
      </c>
      <c r="U6918" t="s">
        <v>55</v>
      </c>
      <c r="V6918">
        <v>1</v>
      </c>
      <c r="W6918">
        <v>1</v>
      </c>
      <c r="X6918">
        <v>2</v>
      </c>
      <c r="Y6918">
        <v>0</v>
      </c>
      <c r="Z6918">
        <v>2</v>
      </c>
      <c r="AA6918">
        <v>75</v>
      </c>
      <c r="AB6918">
        <v>75</v>
      </c>
      <c r="AC6918">
        <v>75</v>
      </c>
      <c r="AD6918">
        <v>0</v>
      </c>
      <c r="AE6918">
        <v>0</v>
      </c>
      <c r="AF6918">
        <v>0</v>
      </c>
      <c r="AG6918">
        <v>0</v>
      </c>
      <c r="AH6918">
        <v>0</v>
      </c>
      <c r="AI6918">
        <v>13.5</v>
      </c>
      <c r="AJ6918">
        <v>75</v>
      </c>
      <c r="AK6918">
        <v>0</v>
      </c>
      <c r="AL6918" t="s">
        <v>53</v>
      </c>
      <c r="AM6918" t="s">
        <v>53</v>
      </c>
      <c r="AN6918" t="s">
        <v>53</v>
      </c>
      <c r="AO6918" t="s">
        <v>53</v>
      </c>
      <c r="AP6918" t="s">
        <v>53</v>
      </c>
    </row>
    <row r="6919" spans="2:42" x14ac:dyDescent="0.2">
      <c r="B6919" t="s">
        <v>44</v>
      </c>
      <c r="C6919" t="str">
        <f>HYPERLINK("https://us2.cloudbeds.com/connect/8493803454333002#/reservations/9080486847058097?display=3H0R2JD7X7&amp;reservation_id=9080486847058097", "3H0R2JD7X7")</f>
        <v>3H0R2JD7X7</v>
      </c>
      <c r="D6919" t="s">
        <v>45</v>
      </c>
      <c r="E6919" t="s">
        <v>85</v>
      </c>
      <c r="F6919" t="s">
        <v>86</v>
      </c>
      <c r="G6919" t="s">
        <v>48</v>
      </c>
      <c r="H6919" t="s">
        <v>49</v>
      </c>
      <c r="I6919" t="s">
        <v>8964</v>
      </c>
      <c r="J6919" t="s">
        <v>10487</v>
      </c>
      <c r="K6919" t="s">
        <v>10037</v>
      </c>
      <c r="L6919" t="s">
        <v>53</v>
      </c>
      <c r="N6919" t="s">
        <v>12471</v>
      </c>
      <c r="P6919" t="s">
        <v>55</v>
      </c>
      <c r="R6919" t="s">
        <v>53</v>
      </c>
      <c r="T6919" t="s">
        <v>12472</v>
      </c>
      <c r="U6919" t="s">
        <v>55</v>
      </c>
      <c r="V6919">
        <v>1</v>
      </c>
      <c r="W6919">
        <v>1</v>
      </c>
      <c r="X6919">
        <v>2</v>
      </c>
      <c r="Y6919">
        <v>0</v>
      </c>
      <c r="Z6919">
        <v>2</v>
      </c>
      <c r="AA6919">
        <v>0</v>
      </c>
      <c r="AB6919">
        <v>0</v>
      </c>
      <c r="AC6919">
        <v>90</v>
      </c>
      <c r="AD6919">
        <v>0</v>
      </c>
      <c r="AE6919">
        <v>0</v>
      </c>
      <c r="AF6919">
        <v>0</v>
      </c>
      <c r="AG6919">
        <v>0</v>
      </c>
      <c r="AH6919">
        <v>0</v>
      </c>
      <c r="AI6919">
        <v>13.5</v>
      </c>
      <c r="AJ6919">
        <v>90</v>
      </c>
      <c r="AK6919">
        <v>90</v>
      </c>
      <c r="AL6919" t="s">
        <v>53</v>
      </c>
      <c r="AM6919" t="s">
        <v>53</v>
      </c>
      <c r="AN6919" t="s">
        <v>53</v>
      </c>
      <c r="AO6919" t="s">
        <v>53</v>
      </c>
      <c r="AP6919" t="s">
        <v>53</v>
      </c>
    </row>
    <row r="6920" spans="2:42" x14ac:dyDescent="0.2">
      <c r="B6920" t="s">
        <v>44</v>
      </c>
      <c r="C6920" t="str">
        <f>HYPERLINK("https://us2.cloudbeds.com/connect/8493803454333002#/reservations/9080486847058435?display=3H18NZ257H&amp;reservation_id=9080486847058435", "3H18NZ257H")</f>
        <v>3H18NZ257H</v>
      </c>
      <c r="D6920" t="s">
        <v>45</v>
      </c>
      <c r="E6920" t="s">
        <v>179</v>
      </c>
      <c r="F6920" t="s">
        <v>47</v>
      </c>
      <c r="G6920" t="s">
        <v>48</v>
      </c>
      <c r="H6920" t="s">
        <v>49</v>
      </c>
      <c r="I6920" t="s">
        <v>50</v>
      </c>
      <c r="J6920" t="s">
        <v>10487</v>
      </c>
      <c r="K6920" t="s">
        <v>10037</v>
      </c>
      <c r="L6920" t="s">
        <v>53</v>
      </c>
      <c r="N6920" t="s">
        <v>12473</v>
      </c>
      <c r="P6920" t="s">
        <v>55</v>
      </c>
      <c r="R6920" t="s">
        <v>53</v>
      </c>
      <c r="T6920" t="s">
        <v>12474</v>
      </c>
      <c r="U6920" t="s">
        <v>58</v>
      </c>
      <c r="V6920">
        <v>1</v>
      </c>
      <c r="W6920">
        <v>1</v>
      </c>
      <c r="X6920">
        <v>2</v>
      </c>
      <c r="Y6920">
        <v>0</v>
      </c>
      <c r="Z6920">
        <v>2</v>
      </c>
      <c r="AA6920">
        <v>72.459999999999994</v>
      </c>
      <c r="AB6920">
        <v>72.459999999999994</v>
      </c>
      <c r="AC6920">
        <v>63.75</v>
      </c>
      <c r="AD6920">
        <v>0</v>
      </c>
      <c r="AE6920">
        <v>8.7100000000000009</v>
      </c>
      <c r="AF6920">
        <v>0</v>
      </c>
      <c r="AG6920">
        <v>0</v>
      </c>
      <c r="AH6920">
        <v>0</v>
      </c>
      <c r="AI6920">
        <v>13.04</v>
      </c>
      <c r="AJ6920">
        <v>72.459999999999994</v>
      </c>
      <c r="AK6920">
        <v>0</v>
      </c>
      <c r="AL6920" t="s">
        <v>53</v>
      </c>
      <c r="AM6920" t="s">
        <v>53</v>
      </c>
      <c r="AN6920" t="s">
        <v>53</v>
      </c>
      <c r="AO6920" t="s">
        <v>53</v>
      </c>
      <c r="AP6920" t="s">
        <v>53</v>
      </c>
    </row>
    <row r="6921" spans="2:42" x14ac:dyDescent="0.2">
      <c r="B6921" t="s">
        <v>44</v>
      </c>
      <c r="C6921" t="str">
        <f>HYPERLINK("https://us2.cloudbeds.com/connect/8493803454333002#/reservations/9080486847059219?display=3H29U7QXNM&amp;reservation_id=9080486847059219", "3H29U7QXNM")</f>
        <v>3H29U7QXNM</v>
      </c>
      <c r="D6921" t="s">
        <v>45</v>
      </c>
      <c r="E6921" t="s">
        <v>113</v>
      </c>
      <c r="F6921" t="s">
        <v>61</v>
      </c>
      <c r="G6921" t="s">
        <v>48</v>
      </c>
      <c r="H6921" t="s">
        <v>49</v>
      </c>
      <c r="I6921" t="s">
        <v>50</v>
      </c>
      <c r="J6921" t="s">
        <v>10775</v>
      </c>
      <c r="K6921" t="s">
        <v>9658</v>
      </c>
      <c r="L6921" t="s">
        <v>53</v>
      </c>
      <c r="N6921" t="s">
        <v>12475</v>
      </c>
      <c r="P6921" t="s">
        <v>55</v>
      </c>
      <c r="R6921" t="s">
        <v>53</v>
      </c>
      <c r="T6921" t="s">
        <v>12476</v>
      </c>
      <c r="U6921" t="s">
        <v>58</v>
      </c>
      <c r="V6921">
        <v>1</v>
      </c>
      <c r="W6921">
        <v>1</v>
      </c>
      <c r="X6921">
        <v>2</v>
      </c>
      <c r="Y6921">
        <v>0</v>
      </c>
      <c r="Z6921">
        <v>2</v>
      </c>
      <c r="AA6921">
        <v>80.8</v>
      </c>
      <c r="AB6921">
        <v>80.8</v>
      </c>
      <c r="AC6921">
        <v>71.099999999999994</v>
      </c>
      <c r="AD6921">
        <v>0</v>
      </c>
      <c r="AE6921">
        <v>9.6999999999999993</v>
      </c>
      <c r="AF6921">
        <v>0</v>
      </c>
      <c r="AG6921">
        <v>0</v>
      </c>
      <c r="AH6921">
        <v>0</v>
      </c>
      <c r="AI6921">
        <v>14.54</v>
      </c>
      <c r="AJ6921">
        <v>80.8</v>
      </c>
      <c r="AK6921">
        <v>0</v>
      </c>
      <c r="AL6921" t="s">
        <v>53</v>
      </c>
      <c r="AM6921" t="s">
        <v>53</v>
      </c>
      <c r="AN6921" t="s">
        <v>53</v>
      </c>
      <c r="AO6921" t="s">
        <v>53</v>
      </c>
      <c r="AP6921" t="s">
        <v>53</v>
      </c>
    </row>
    <row r="6922" spans="2:42" x14ac:dyDescent="0.2">
      <c r="B6922" t="s">
        <v>44</v>
      </c>
      <c r="C6922" t="str">
        <f>HYPERLINK("https://us2.cloudbeds.com/connect/8493803454333002#/reservations/9080486847063622?display=3H7B3RGKZF&amp;reservation_id=9080486847063622", "3H7B3RGKZF")</f>
        <v>3H7B3RGKZF</v>
      </c>
      <c r="D6922" t="s">
        <v>45</v>
      </c>
      <c r="E6922" t="s">
        <v>165</v>
      </c>
      <c r="F6922" t="s">
        <v>61</v>
      </c>
      <c r="G6922" t="s">
        <v>48</v>
      </c>
      <c r="H6922" t="s">
        <v>49</v>
      </c>
      <c r="I6922" t="s">
        <v>62</v>
      </c>
      <c r="J6922" t="s">
        <v>10037</v>
      </c>
      <c r="K6922" t="s">
        <v>11557</v>
      </c>
      <c r="L6922" t="s">
        <v>53</v>
      </c>
      <c r="N6922" t="s">
        <v>12477</v>
      </c>
      <c r="P6922" t="s">
        <v>55</v>
      </c>
      <c r="R6922" t="s">
        <v>329</v>
      </c>
      <c r="T6922" t="s">
        <v>12478</v>
      </c>
      <c r="U6922" t="s">
        <v>55</v>
      </c>
      <c r="V6922">
        <v>1</v>
      </c>
      <c r="W6922">
        <v>1</v>
      </c>
      <c r="X6922">
        <v>1</v>
      </c>
      <c r="Y6922">
        <v>0</v>
      </c>
      <c r="Z6922">
        <v>1</v>
      </c>
      <c r="AA6922">
        <v>79</v>
      </c>
      <c r="AB6922">
        <v>79</v>
      </c>
      <c r="AC6922">
        <v>79</v>
      </c>
      <c r="AD6922">
        <v>0</v>
      </c>
      <c r="AE6922">
        <v>0</v>
      </c>
      <c r="AF6922">
        <v>0</v>
      </c>
      <c r="AG6922">
        <v>0</v>
      </c>
      <c r="AH6922">
        <v>0</v>
      </c>
      <c r="AI6922">
        <v>14.22</v>
      </c>
      <c r="AJ6922">
        <v>79</v>
      </c>
      <c r="AK6922">
        <v>0</v>
      </c>
      <c r="AL6922" t="s">
        <v>53</v>
      </c>
      <c r="AM6922" t="s">
        <v>53</v>
      </c>
      <c r="AN6922" t="s">
        <v>53</v>
      </c>
      <c r="AO6922" t="s">
        <v>53</v>
      </c>
      <c r="AP6922" t="s">
        <v>53</v>
      </c>
    </row>
    <row r="6923" spans="2:42" x14ac:dyDescent="0.2">
      <c r="B6923" t="s">
        <v>44</v>
      </c>
      <c r="C6923" t="str">
        <f>HYPERLINK("https://us2.cloudbeds.com/connect/8493803454333002#/reservations/9080486847063894?display=3H7K1CJ7RD&amp;reservation_id=9080486847063894", "3H7K1CJ7RD")</f>
        <v>3H7K1CJ7RD</v>
      </c>
      <c r="D6923" t="s">
        <v>45</v>
      </c>
      <c r="E6923" t="s">
        <v>78</v>
      </c>
      <c r="F6923" t="s">
        <v>61</v>
      </c>
      <c r="G6923" t="s">
        <v>48</v>
      </c>
      <c r="H6923" t="s">
        <v>49</v>
      </c>
      <c r="I6923" t="s">
        <v>50</v>
      </c>
      <c r="J6923" t="s">
        <v>10775</v>
      </c>
      <c r="K6923" t="s">
        <v>10776</v>
      </c>
      <c r="L6923" t="s">
        <v>53</v>
      </c>
      <c r="N6923" t="s">
        <v>12479</v>
      </c>
      <c r="P6923" t="s">
        <v>55</v>
      </c>
      <c r="R6923" t="s">
        <v>53</v>
      </c>
      <c r="T6923" t="s">
        <v>12480</v>
      </c>
      <c r="U6923" t="s">
        <v>58</v>
      </c>
      <c r="V6923">
        <v>2</v>
      </c>
      <c r="W6923">
        <v>1</v>
      </c>
      <c r="X6923">
        <v>1</v>
      </c>
      <c r="Y6923">
        <v>0</v>
      </c>
      <c r="Z6923">
        <v>1</v>
      </c>
      <c r="AA6923">
        <v>150.82</v>
      </c>
      <c r="AB6923">
        <v>150.82</v>
      </c>
      <c r="AC6923">
        <v>132.72</v>
      </c>
      <c r="AD6923">
        <v>0</v>
      </c>
      <c r="AE6923">
        <v>18.100000000000001</v>
      </c>
      <c r="AF6923">
        <v>0</v>
      </c>
      <c r="AG6923">
        <v>0</v>
      </c>
      <c r="AH6923">
        <v>0</v>
      </c>
      <c r="AI6923">
        <v>27.15</v>
      </c>
      <c r="AJ6923">
        <v>150.82</v>
      </c>
      <c r="AK6923">
        <v>0</v>
      </c>
      <c r="AL6923" t="s">
        <v>53</v>
      </c>
      <c r="AM6923" t="s">
        <v>53</v>
      </c>
      <c r="AN6923" t="s">
        <v>53</v>
      </c>
      <c r="AO6923" t="s">
        <v>53</v>
      </c>
      <c r="AP6923" t="s">
        <v>53</v>
      </c>
    </row>
    <row r="6924" spans="2:42" x14ac:dyDescent="0.2">
      <c r="B6924" t="s">
        <v>44</v>
      </c>
      <c r="C6924" t="str">
        <f>HYPERLINK("https://us2.cloudbeds.com/connect/8493803454333002#/reservations/163479312761059?display=3H7T3BPYGU&amp;reservation_id=163479312761059", "3H7T3BPYGU")</f>
        <v>3H7T3BPYGU</v>
      </c>
      <c r="D6924" t="s">
        <v>45</v>
      </c>
      <c r="E6924" t="s">
        <v>381</v>
      </c>
      <c r="F6924" t="s">
        <v>47</v>
      </c>
      <c r="G6924" t="s">
        <v>48</v>
      </c>
      <c r="H6924" t="s">
        <v>3957</v>
      </c>
      <c r="I6924" t="s">
        <v>3958</v>
      </c>
      <c r="J6924" t="s">
        <v>11863</v>
      </c>
      <c r="K6924" t="s">
        <v>9658</v>
      </c>
      <c r="L6924" t="s">
        <v>53</v>
      </c>
      <c r="P6924" t="s">
        <v>55</v>
      </c>
      <c r="R6924" t="s">
        <v>56</v>
      </c>
      <c r="T6924" t="s">
        <v>12481</v>
      </c>
      <c r="U6924" t="s">
        <v>58</v>
      </c>
      <c r="V6924">
        <v>2</v>
      </c>
      <c r="W6924">
        <v>1</v>
      </c>
      <c r="X6924">
        <v>1</v>
      </c>
      <c r="Y6924">
        <v>0</v>
      </c>
      <c r="Z6924">
        <v>1</v>
      </c>
      <c r="AA6924">
        <v>167.08</v>
      </c>
      <c r="AB6924">
        <v>167.08</v>
      </c>
      <c r="AC6924">
        <v>147</v>
      </c>
      <c r="AD6924">
        <v>0</v>
      </c>
      <c r="AE6924">
        <v>20.079999999999998</v>
      </c>
      <c r="AF6924">
        <v>0</v>
      </c>
      <c r="AG6924">
        <v>0</v>
      </c>
      <c r="AH6924">
        <v>0</v>
      </c>
      <c r="AI6924">
        <v>0</v>
      </c>
      <c r="AJ6924">
        <v>167.08</v>
      </c>
      <c r="AK6924">
        <v>0</v>
      </c>
      <c r="AL6924" t="s">
        <v>53</v>
      </c>
      <c r="AM6924" t="s">
        <v>53</v>
      </c>
      <c r="AN6924" t="s">
        <v>53</v>
      </c>
      <c r="AO6924" t="s">
        <v>53</v>
      </c>
      <c r="AP6924" t="s">
        <v>53</v>
      </c>
    </row>
    <row r="6925" spans="2:42" x14ac:dyDescent="0.2">
      <c r="B6925" t="s">
        <v>44</v>
      </c>
      <c r="C6925" t="str">
        <f>HYPERLINK("https://us2.cloudbeds.com/connect/8493803454333002#/reservations/9080486847064857?display=3H8XH9WJQ3&amp;reservation_id=9080486847064857", "3H8XH9WJQ3")</f>
        <v>3H8XH9WJQ3</v>
      </c>
      <c r="D6925" t="s">
        <v>45</v>
      </c>
      <c r="E6925" t="s">
        <v>128</v>
      </c>
      <c r="F6925" t="s">
        <v>86</v>
      </c>
      <c r="G6925" t="s">
        <v>48</v>
      </c>
      <c r="H6925" t="s">
        <v>49</v>
      </c>
      <c r="I6925" t="s">
        <v>50</v>
      </c>
      <c r="J6925" t="s">
        <v>11557</v>
      </c>
      <c r="K6925" t="s">
        <v>10038</v>
      </c>
      <c r="L6925" t="s">
        <v>53</v>
      </c>
      <c r="N6925" t="s">
        <v>12482</v>
      </c>
      <c r="P6925" t="s">
        <v>55</v>
      </c>
      <c r="R6925" t="s">
        <v>53</v>
      </c>
      <c r="T6925" t="s">
        <v>12483</v>
      </c>
      <c r="U6925" t="s">
        <v>58</v>
      </c>
      <c r="V6925">
        <v>1</v>
      </c>
      <c r="W6925">
        <v>1</v>
      </c>
      <c r="X6925">
        <v>2</v>
      </c>
      <c r="Y6925">
        <v>0</v>
      </c>
      <c r="Z6925">
        <v>2</v>
      </c>
      <c r="AA6925">
        <v>74.55</v>
      </c>
      <c r="AB6925">
        <v>74.55</v>
      </c>
      <c r="AC6925">
        <v>65.599999999999994</v>
      </c>
      <c r="AD6925">
        <v>0</v>
      </c>
      <c r="AE6925">
        <v>8.9499999999999993</v>
      </c>
      <c r="AF6925">
        <v>0</v>
      </c>
      <c r="AG6925">
        <v>0</v>
      </c>
      <c r="AH6925">
        <v>0</v>
      </c>
      <c r="AI6925">
        <v>13.42</v>
      </c>
      <c r="AJ6925">
        <v>74.55</v>
      </c>
      <c r="AK6925">
        <v>0</v>
      </c>
      <c r="AL6925" t="s">
        <v>53</v>
      </c>
      <c r="AM6925" t="s">
        <v>53</v>
      </c>
      <c r="AN6925" t="s">
        <v>53</v>
      </c>
      <c r="AO6925" t="s">
        <v>53</v>
      </c>
      <c r="AP6925" t="s">
        <v>53</v>
      </c>
    </row>
    <row r="6926" spans="2:42" x14ac:dyDescent="0.2">
      <c r="B6926" t="s">
        <v>44</v>
      </c>
      <c r="C6926" t="str">
        <f>HYPERLINK("https://us2.cloudbeds.com/connect/8493803454333002#/reservations/9080486847064974?display=3H8MJ5NMUF&amp;reservation_id=9080486847064974", "3H8MJ5NMUF")</f>
        <v>3H8MJ5NMUF</v>
      </c>
      <c r="D6926" t="s">
        <v>45</v>
      </c>
      <c r="E6926" t="s">
        <v>185</v>
      </c>
      <c r="F6926" t="s">
        <v>47</v>
      </c>
      <c r="G6926" t="s">
        <v>48</v>
      </c>
      <c r="H6926" t="s">
        <v>49</v>
      </c>
      <c r="I6926" t="s">
        <v>50</v>
      </c>
      <c r="J6926" t="s">
        <v>12299</v>
      </c>
      <c r="K6926" t="s">
        <v>10591</v>
      </c>
      <c r="L6926" t="s">
        <v>53</v>
      </c>
      <c r="N6926" t="s">
        <v>12484</v>
      </c>
      <c r="P6926" t="s">
        <v>55</v>
      </c>
      <c r="R6926" t="s">
        <v>53</v>
      </c>
      <c r="T6926" t="s">
        <v>12485</v>
      </c>
      <c r="U6926" t="s">
        <v>58</v>
      </c>
      <c r="V6926">
        <v>4</v>
      </c>
      <c r="W6926">
        <v>1</v>
      </c>
      <c r="X6926">
        <v>2</v>
      </c>
      <c r="Y6926">
        <v>0</v>
      </c>
      <c r="Z6926">
        <v>2</v>
      </c>
      <c r="AA6926">
        <v>260.86</v>
      </c>
      <c r="AB6926">
        <v>260.86</v>
      </c>
      <c r="AC6926">
        <v>229.52</v>
      </c>
      <c r="AD6926">
        <v>0</v>
      </c>
      <c r="AE6926">
        <v>31.34</v>
      </c>
      <c r="AF6926">
        <v>0</v>
      </c>
      <c r="AG6926">
        <v>0</v>
      </c>
      <c r="AH6926">
        <v>0</v>
      </c>
      <c r="AI6926">
        <v>46.95</v>
      </c>
      <c r="AJ6926">
        <v>260.86</v>
      </c>
      <c r="AK6926">
        <v>0</v>
      </c>
      <c r="AL6926" t="s">
        <v>53</v>
      </c>
      <c r="AM6926" t="s">
        <v>53</v>
      </c>
      <c r="AN6926" t="s">
        <v>12486</v>
      </c>
      <c r="AO6926" t="s">
        <v>53</v>
      </c>
      <c r="AP6926" t="s">
        <v>53</v>
      </c>
    </row>
    <row r="6927" spans="2:42" x14ac:dyDescent="0.2">
      <c r="B6927" t="s">
        <v>44</v>
      </c>
      <c r="C6927" t="str">
        <f>HYPERLINK("https://us2.cloudbeds.com/connect/8493803454333002#/reservations/9080486847065391?display=3H95DCS7GD&amp;reservation_id=9080486847065391", "3H95DCS7GD")</f>
        <v>3H95DCS7GD</v>
      </c>
      <c r="D6927" t="s">
        <v>45</v>
      </c>
      <c r="E6927" t="s">
        <v>69</v>
      </c>
      <c r="F6927" t="s">
        <v>70</v>
      </c>
      <c r="G6927" t="s">
        <v>48</v>
      </c>
      <c r="H6927" t="s">
        <v>49</v>
      </c>
      <c r="I6927" t="s">
        <v>50</v>
      </c>
      <c r="J6927" t="s">
        <v>10037</v>
      </c>
      <c r="K6927" t="s">
        <v>11557</v>
      </c>
      <c r="L6927" t="s">
        <v>53</v>
      </c>
      <c r="N6927" t="s">
        <v>12487</v>
      </c>
      <c r="P6927" t="s">
        <v>55</v>
      </c>
      <c r="R6927" t="s">
        <v>53</v>
      </c>
      <c r="T6927" t="s">
        <v>12488</v>
      </c>
      <c r="U6927" t="s">
        <v>58</v>
      </c>
      <c r="V6927">
        <v>1</v>
      </c>
      <c r="W6927">
        <v>1</v>
      </c>
      <c r="X6927">
        <v>1</v>
      </c>
      <c r="Y6927">
        <v>0</v>
      </c>
      <c r="Z6927">
        <v>1</v>
      </c>
      <c r="AA6927">
        <v>71.61</v>
      </c>
      <c r="AB6927">
        <v>71.61</v>
      </c>
      <c r="AC6927">
        <v>63</v>
      </c>
      <c r="AD6927">
        <v>0</v>
      </c>
      <c r="AE6927">
        <v>8.61</v>
      </c>
      <c r="AF6927">
        <v>0</v>
      </c>
      <c r="AG6927">
        <v>0</v>
      </c>
      <c r="AH6927">
        <v>0</v>
      </c>
      <c r="AI6927">
        <v>12.89</v>
      </c>
      <c r="AJ6927">
        <v>71.61</v>
      </c>
      <c r="AK6927">
        <v>0</v>
      </c>
      <c r="AL6927" t="s">
        <v>53</v>
      </c>
      <c r="AM6927" t="s">
        <v>53</v>
      </c>
      <c r="AN6927" t="s">
        <v>53</v>
      </c>
      <c r="AO6927" t="s">
        <v>53</v>
      </c>
      <c r="AP6927" t="s">
        <v>53</v>
      </c>
    </row>
    <row r="6928" spans="2:42" x14ac:dyDescent="0.2">
      <c r="B6928" t="s">
        <v>44</v>
      </c>
      <c r="C6928" t="str">
        <f>HYPERLINK("https://us2.cloudbeds.com/connect/8493803454333002#/reservations/163540361670899?display=3H9AC9RXGP&amp;reservation_id=163540361670899", "3H9AC9RXGP")</f>
        <v>3H9AC9RXGP</v>
      </c>
      <c r="D6928" t="s">
        <v>45</v>
      </c>
      <c r="E6928" t="s">
        <v>113</v>
      </c>
      <c r="F6928" t="s">
        <v>61</v>
      </c>
      <c r="G6928" t="s">
        <v>3974</v>
      </c>
      <c r="H6928" t="s">
        <v>3957</v>
      </c>
      <c r="I6928" t="s">
        <v>3975</v>
      </c>
      <c r="J6928" t="s">
        <v>10680</v>
      </c>
      <c r="K6928" t="s">
        <v>10681</v>
      </c>
      <c r="L6928" t="s">
        <v>53</v>
      </c>
      <c r="P6928" t="s">
        <v>55</v>
      </c>
      <c r="R6928" t="s">
        <v>56</v>
      </c>
      <c r="T6928" t="s">
        <v>12489</v>
      </c>
      <c r="U6928" t="s">
        <v>58</v>
      </c>
      <c r="V6928">
        <v>1</v>
      </c>
      <c r="W6928">
        <v>1</v>
      </c>
      <c r="X6928">
        <v>2</v>
      </c>
      <c r="Y6928">
        <v>0</v>
      </c>
      <c r="Z6928">
        <v>2</v>
      </c>
      <c r="AA6928">
        <v>92.85</v>
      </c>
      <c r="AB6928">
        <v>100.99</v>
      </c>
      <c r="AC6928">
        <v>81.7</v>
      </c>
      <c r="AD6928">
        <v>7.5</v>
      </c>
      <c r="AE6928">
        <v>11.79</v>
      </c>
      <c r="AF6928">
        <v>0</v>
      </c>
      <c r="AG6928">
        <v>0</v>
      </c>
      <c r="AH6928">
        <v>0</v>
      </c>
      <c r="AI6928">
        <v>0</v>
      </c>
      <c r="AJ6928">
        <v>100.99</v>
      </c>
      <c r="AK6928">
        <v>0</v>
      </c>
      <c r="AL6928" t="s">
        <v>53</v>
      </c>
      <c r="AM6928" t="s">
        <v>53</v>
      </c>
      <c r="AN6928" t="s">
        <v>53</v>
      </c>
      <c r="AO6928" t="s">
        <v>53</v>
      </c>
      <c r="AP6928" t="s">
        <v>53</v>
      </c>
    </row>
    <row r="6929" spans="2:42" x14ac:dyDescent="0.2">
      <c r="B6929" t="s">
        <v>44</v>
      </c>
      <c r="C6929" t="str">
        <f>HYPERLINK("https://us2.cloudbeds.com/connect/8493803454333002#/reservations/9080486847065558?display=3H9CGUK58M&amp;reservation_id=9080486847065558", "3H9CGUK58M")</f>
        <v>3H9CGUK58M</v>
      </c>
      <c r="D6929" t="s">
        <v>45</v>
      </c>
      <c r="E6929" t="s">
        <v>69</v>
      </c>
      <c r="F6929" t="s">
        <v>70</v>
      </c>
      <c r="G6929" t="s">
        <v>48</v>
      </c>
      <c r="H6929" t="s">
        <v>49</v>
      </c>
      <c r="I6929" t="s">
        <v>50</v>
      </c>
      <c r="J6929" t="s">
        <v>11557</v>
      </c>
      <c r="K6929" t="s">
        <v>10038</v>
      </c>
      <c r="L6929" t="s">
        <v>53</v>
      </c>
      <c r="N6929" t="s">
        <v>12490</v>
      </c>
      <c r="P6929" t="s">
        <v>55</v>
      </c>
      <c r="R6929" t="s">
        <v>53</v>
      </c>
      <c r="T6929" t="s">
        <v>12491</v>
      </c>
      <c r="U6929" t="s">
        <v>58</v>
      </c>
      <c r="V6929">
        <v>1</v>
      </c>
      <c r="W6929">
        <v>1</v>
      </c>
      <c r="X6929">
        <v>1</v>
      </c>
      <c r="Y6929">
        <v>0</v>
      </c>
      <c r="Z6929">
        <v>1</v>
      </c>
      <c r="AA6929">
        <v>71.61</v>
      </c>
      <c r="AB6929">
        <v>71.61</v>
      </c>
      <c r="AC6929">
        <v>63</v>
      </c>
      <c r="AD6929">
        <v>0</v>
      </c>
      <c r="AE6929">
        <v>8.61</v>
      </c>
      <c r="AF6929">
        <v>0</v>
      </c>
      <c r="AG6929">
        <v>0</v>
      </c>
      <c r="AH6929">
        <v>0</v>
      </c>
      <c r="AI6929">
        <v>12.89</v>
      </c>
      <c r="AJ6929">
        <v>71.61</v>
      </c>
      <c r="AK6929">
        <v>0</v>
      </c>
      <c r="AL6929" t="s">
        <v>53</v>
      </c>
      <c r="AM6929" t="s">
        <v>53</v>
      </c>
      <c r="AN6929" t="s">
        <v>53</v>
      </c>
      <c r="AO6929" t="s">
        <v>53</v>
      </c>
      <c r="AP6929" t="s">
        <v>53</v>
      </c>
    </row>
    <row r="6930" spans="2:42" x14ac:dyDescent="0.2">
      <c r="B6930" t="s">
        <v>44</v>
      </c>
      <c r="C6930" t="str">
        <f>HYPERLINK("https://us2.cloudbeds.com/connect/8493803454333002#/reservations/163553233141949?display=3H9KB6D751&amp;reservation_id=163553233141949", "3H9KB6D751")</f>
        <v>3H9KB6D751</v>
      </c>
      <c r="D6930" t="s">
        <v>45</v>
      </c>
      <c r="E6930" t="s">
        <v>60</v>
      </c>
      <c r="F6930" t="s">
        <v>61</v>
      </c>
      <c r="G6930" t="s">
        <v>48</v>
      </c>
      <c r="H6930" t="s">
        <v>3957</v>
      </c>
      <c r="I6930" t="s">
        <v>3958</v>
      </c>
      <c r="J6930" t="s">
        <v>11863</v>
      </c>
      <c r="K6930" t="s">
        <v>10775</v>
      </c>
      <c r="L6930" t="s">
        <v>53</v>
      </c>
      <c r="P6930" t="s">
        <v>55</v>
      </c>
      <c r="R6930" t="s">
        <v>56</v>
      </c>
      <c r="T6930" t="s">
        <v>12492</v>
      </c>
      <c r="U6930" t="s">
        <v>58</v>
      </c>
      <c r="V6930">
        <v>2</v>
      </c>
      <c r="W6930">
        <v>2</v>
      </c>
      <c r="X6930">
        <v>2</v>
      </c>
      <c r="Y6930">
        <v>0</v>
      </c>
      <c r="Z6930">
        <v>2</v>
      </c>
      <c r="AA6930">
        <v>184.12</v>
      </c>
      <c r="AB6930">
        <v>184.12</v>
      </c>
      <c r="AC6930">
        <v>162</v>
      </c>
      <c r="AD6930">
        <v>0</v>
      </c>
      <c r="AE6930">
        <v>22.12</v>
      </c>
      <c r="AF6930">
        <v>0</v>
      </c>
      <c r="AG6930">
        <v>0</v>
      </c>
      <c r="AH6930">
        <v>0</v>
      </c>
      <c r="AI6930">
        <v>0</v>
      </c>
      <c r="AJ6930">
        <v>184.12</v>
      </c>
      <c r="AK6930">
        <v>0</v>
      </c>
      <c r="AL6930" t="s">
        <v>53</v>
      </c>
      <c r="AM6930" t="s">
        <v>53</v>
      </c>
      <c r="AN6930" t="s">
        <v>53</v>
      </c>
      <c r="AO6930" t="s">
        <v>53</v>
      </c>
      <c r="AP6930" t="s">
        <v>53</v>
      </c>
    </row>
    <row r="6931" spans="2:42" x14ac:dyDescent="0.2">
      <c r="B6931" t="s">
        <v>44</v>
      </c>
      <c r="C6931" t="str">
        <f>HYPERLINK("https://us2.cloudbeds.com/connect/8493803454333002#/reservations/9080486847066074?display=3HA1YRJ21T&amp;reservation_id=9080486847066074", "3HA1YRJ21T")</f>
        <v>3HA1YRJ21T</v>
      </c>
      <c r="D6931" t="s">
        <v>45</v>
      </c>
      <c r="E6931" t="s">
        <v>105</v>
      </c>
      <c r="F6931" t="s">
        <v>47</v>
      </c>
      <c r="G6931" t="s">
        <v>48</v>
      </c>
      <c r="H6931" t="s">
        <v>49</v>
      </c>
      <c r="I6931" t="s">
        <v>50</v>
      </c>
      <c r="J6931" t="s">
        <v>10037</v>
      </c>
      <c r="K6931" t="s">
        <v>11557</v>
      </c>
      <c r="L6931" t="s">
        <v>53</v>
      </c>
      <c r="N6931" t="s">
        <v>12493</v>
      </c>
      <c r="P6931" t="s">
        <v>55</v>
      </c>
      <c r="R6931" t="s">
        <v>53</v>
      </c>
      <c r="T6931" t="s">
        <v>12494</v>
      </c>
      <c r="U6931" t="s">
        <v>58</v>
      </c>
      <c r="V6931">
        <v>1</v>
      </c>
      <c r="W6931">
        <v>1</v>
      </c>
      <c r="X6931">
        <v>2</v>
      </c>
      <c r="Y6931">
        <v>0</v>
      </c>
      <c r="Z6931">
        <v>2</v>
      </c>
      <c r="AA6931">
        <v>76.709999999999994</v>
      </c>
      <c r="AB6931">
        <v>76.709999999999994</v>
      </c>
      <c r="AC6931">
        <v>67.5</v>
      </c>
      <c r="AD6931">
        <v>0</v>
      </c>
      <c r="AE6931">
        <v>9.2100000000000009</v>
      </c>
      <c r="AF6931">
        <v>0</v>
      </c>
      <c r="AG6931">
        <v>0</v>
      </c>
      <c r="AH6931">
        <v>0</v>
      </c>
      <c r="AI6931">
        <v>13.81</v>
      </c>
      <c r="AJ6931">
        <v>76.709999999999994</v>
      </c>
      <c r="AK6931">
        <v>0</v>
      </c>
      <c r="AL6931" t="s">
        <v>53</v>
      </c>
      <c r="AM6931" t="s">
        <v>53</v>
      </c>
      <c r="AN6931" t="s">
        <v>53</v>
      </c>
      <c r="AO6931" t="s">
        <v>53</v>
      </c>
      <c r="AP6931" t="s">
        <v>53</v>
      </c>
    </row>
    <row r="6932" spans="2:42" x14ac:dyDescent="0.2">
      <c r="B6932" t="s">
        <v>44</v>
      </c>
      <c r="C6932" t="str">
        <f>HYPERLINK("https://us2.cloudbeds.com/connect/8493803454333002#/reservations/163576387412171?display=3HA58RMU97&amp;reservation_id=163576387412171", "3HA58RMU97")</f>
        <v>3HA58RMU97</v>
      </c>
      <c r="D6932" t="s">
        <v>45</v>
      </c>
      <c r="E6932" t="s">
        <v>128</v>
      </c>
      <c r="F6932" t="s">
        <v>86</v>
      </c>
      <c r="G6932" t="s">
        <v>12370</v>
      </c>
      <c r="H6932" t="s">
        <v>3957</v>
      </c>
      <c r="I6932" t="s">
        <v>3975</v>
      </c>
      <c r="J6932" t="s">
        <v>11863</v>
      </c>
      <c r="K6932" t="s">
        <v>10775</v>
      </c>
      <c r="L6932" t="s">
        <v>53</v>
      </c>
      <c r="P6932" t="s">
        <v>55</v>
      </c>
      <c r="R6932" t="s">
        <v>56</v>
      </c>
      <c r="T6932" t="s">
        <v>12495</v>
      </c>
      <c r="U6932" t="s">
        <v>58</v>
      </c>
      <c r="V6932">
        <v>1</v>
      </c>
      <c r="W6932">
        <v>1</v>
      </c>
      <c r="X6932">
        <v>2</v>
      </c>
      <c r="Y6932">
        <v>0</v>
      </c>
      <c r="Z6932">
        <v>2</v>
      </c>
      <c r="AA6932">
        <v>90.81</v>
      </c>
      <c r="AB6932">
        <v>90.81</v>
      </c>
      <c r="AC6932">
        <v>79.900000000000006</v>
      </c>
      <c r="AD6932">
        <v>0</v>
      </c>
      <c r="AE6932">
        <v>10.91</v>
      </c>
      <c r="AF6932">
        <v>0</v>
      </c>
      <c r="AG6932">
        <v>0</v>
      </c>
      <c r="AH6932">
        <v>0</v>
      </c>
      <c r="AI6932">
        <v>0</v>
      </c>
      <c r="AJ6932">
        <v>90.81</v>
      </c>
      <c r="AK6932">
        <v>0</v>
      </c>
      <c r="AL6932" t="s">
        <v>53</v>
      </c>
      <c r="AM6932" t="s">
        <v>53</v>
      </c>
      <c r="AN6932" t="s">
        <v>53</v>
      </c>
      <c r="AO6932" t="s">
        <v>53</v>
      </c>
      <c r="AP6932" t="s">
        <v>53</v>
      </c>
    </row>
    <row r="6933" spans="2:42" x14ac:dyDescent="0.2">
      <c r="B6933" t="s">
        <v>44</v>
      </c>
      <c r="C6933" t="str">
        <f>HYPERLINK("https://us2.cloudbeds.com/connect/8493803454333002#/reservations/9080486847066357?display=3HACNQGDCG&amp;reservation_id=9080486847066357", "3HACNQGDCG")</f>
        <v>3HACNQGDCG</v>
      </c>
      <c r="D6933" t="s">
        <v>45</v>
      </c>
      <c r="E6933" t="s">
        <v>213</v>
      </c>
      <c r="F6933" t="s">
        <v>86</v>
      </c>
      <c r="G6933" t="s">
        <v>48</v>
      </c>
      <c r="H6933" t="s">
        <v>49</v>
      </c>
      <c r="I6933" t="s">
        <v>8964</v>
      </c>
      <c r="J6933" t="s">
        <v>10881</v>
      </c>
      <c r="K6933" t="s">
        <v>10775</v>
      </c>
      <c r="L6933" t="s">
        <v>53</v>
      </c>
      <c r="N6933" t="s">
        <v>12496</v>
      </c>
      <c r="P6933" t="s">
        <v>55</v>
      </c>
      <c r="R6933" t="s">
        <v>53</v>
      </c>
      <c r="T6933" t="s">
        <v>12497</v>
      </c>
      <c r="U6933" t="s">
        <v>55</v>
      </c>
      <c r="V6933">
        <v>2</v>
      </c>
      <c r="W6933">
        <v>1</v>
      </c>
      <c r="X6933">
        <v>2</v>
      </c>
      <c r="Y6933">
        <v>2</v>
      </c>
      <c r="Z6933">
        <v>4</v>
      </c>
      <c r="AA6933">
        <v>0</v>
      </c>
      <c r="AB6933">
        <v>0</v>
      </c>
      <c r="AC6933">
        <v>180</v>
      </c>
      <c r="AD6933">
        <v>0</v>
      </c>
      <c r="AE6933">
        <v>0</v>
      </c>
      <c r="AF6933">
        <v>0</v>
      </c>
      <c r="AG6933">
        <v>0</v>
      </c>
      <c r="AH6933">
        <v>0</v>
      </c>
      <c r="AI6933">
        <v>27</v>
      </c>
      <c r="AJ6933">
        <v>180</v>
      </c>
      <c r="AK6933">
        <v>180</v>
      </c>
      <c r="AL6933" t="s">
        <v>53</v>
      </c>
      <c r="AM6933" t="s">
        <v>53</v>
      </c>
      <c r="AN6933" t="s">
        <v>53</v>
      </c>
      <c r="AO6933" t="s">
        <v>53</v>
      </c>
      <c r="AP6933" t="s">
        <v>53</v>
      </c>
    </row>
    <row r="6934" spans="2:42" x14ac:dyDescent="0.2">
      <c r="B6934" t="s">
        <v>44</v>
      </c>
      <c r="C6934" t="str">
        <f>HYPERLINK("https://us2.cloudbeds.com/connect/8493803454333002#/reservations/9080486847066548?display=3HAYTCX7K9&amp;reservation_id=9080486847066548", "3HAYTCX7K9")</f>
        <v>3HAYTCX7K9</v>
      </c>
      <c r="D6934" t="s">
        <v>45</v>
      </c>
      <c r="E6934" t="s">
        <v>179</v>
      </c>
      <c r="F6934" t="s">
        <v>47</v>
      </c>
      <c r="G6934" t="s">
        <v>48</v>
      </c>
      <c r="H6934" t="s">
        <v>49</v>
      </c>
      <c r="I6934" t="s">
        <v>50</v>
      </c>
      <c r="J6934" t="s">
        <v>10038</v>
      </c>
      <c r="K6934" t="s">
        <v>10881</v>
      </c>
      <c r="L6934" t="s">
        <v>53</v>
      </c>
      <c r="N6934" t="s">
        <v>12498</v>
      </c>
      <c r="P6934" t="s">
        <v>55</v>
      </c>
      <c r="R6934" t="s">
        <v>53</v>
      </c>
      <c r="T6934" t="s">
        <v>12499</v>
      </c>
      <c r="U6934" t="s">
        <v>58</v>
      </c>
      <c r="V6934">
        <v>1</v>
      </c>
      <c r="W6934">
        <v>1</v>
      </c>
      <c r="X6934">
        <v>2</v>
      </c>
      <c r="Y6934">
        <v>0</v>
      </c>
      <c r="Z6934">
        <v>2</v>
      </c>
      <c r="AA6934">
        <v>61.1</v>
      </c>
      <c r="AB6934">
        <v>61.1</v>
      </c>
      <c r="AC6934">
        <v>53.76</v>
      </c>
      <c r="AD6934">
        <v>0</v>
      </c>
      <c r="AE6934">
        <v>7.34</v>
      </c>
      <c r="AF6934">
        <v>0</v>
      </c>
      <c r="AG6934">
        <v>0</v>
      </c>
      <c r="AH6934">
        <v>0</v>
      </c>
      <c r="AI6934">
        <v>11</v>
      </c>
      <c r="AJ6934">
        <v>61.1</v>
      </c>
      <c r="AK6934">
        <v>0</v>
      </c>
      <c r="AL6934" t="s">
        <v>53</v>
      </c>
      <c r="AM6934" t="s">
        <v>53</v>
      </c>
      <c r="AN6934" t="s">
        <v>53</v>
      </c>
      <c r="AO6934" t="s">
        <v>53</v>
      </c>
      <c r="AP6934" t="s">
        <v>53</v>
      </c>
    </row>
    <row r="6935" spans="2:42" x14ac:dyDescent="0.2">
      <c r="B6935" t="s">
        <v>44</v>
      </c>
      <c r="C6935" t="str">
        <f>HYPERLINK("https://us2.cloudbeds.com/connect/8493803454333002#/reservations/9080486847069292?display=3HE7NF9H7Z&amp;reservation_id=9080486847069292", "3HE7NF9H7Z")</f>
        <v>3HE7NF9H7Z</v>
      </c>
      <c r="D6935" t="s">
        <v>45</v>
      </c>
      <c r="E6935" t="s">
        <v>487</v>
      </c>
      <c r="F6935" t="s">
        <v>61</v>
      </c>
      <c r="G6935" t="s">
        <v>48</v>
      </c>
      <c r="H6935" t="s">
        <v>49</v>
      </c>
      <c r="I6935" t="s">
        <v>62</v>
      </c>
      <c r="J6935" t="s">
        <v>11557</v>
      </c>
      <c r="K6935" t="s">
        <v>10881</v>
      </c>
      <c r="L6935" t="s">
        <v>53</v>
      </c>
      <c r="N6935" t="s">
        <v>12500</v>
      </c>
      <c r="P6935" t="s">
        <v>55</v>
      </c>
      <c r="R6935" t="s">
        <v>56</v>
      </c>
      <c r="T6935" t="s">
        <v>12501</v>
      </c>
      <c r="U6935" t="s">
        <v>55</v>
      </c>
      <c r="V6935">
        <v>2</v>
      </c>
      <c r="W6935">
        <v>1</v>
      </c>
      <c r="X6935">
        <v>1</v>
      </c>
      <c r="Y6935">
        <v>0</v>
      </c>
      <c r="Z6935">
        <v>1</v>
      </c>
      <c r="AA6935">
        <v>142</v>
      </c>
      <c r="AB6935">
        <v>142</v>
      </c>
      <c r="AC6935">
        <v>142</v>
      </c>
      <c r="AD6935">
        <v>0</v>
      </c>
      <c r="AE6935">
        <v>0</v>
      </c>
      <c r="AF6935">
        <v>0</v>
      </c>
      <c r="AG6935">
        <v>0</v>
      </c>
      <c r="AH6935">
        <v>0</v>
      </c>
      <c r="AI6935">
        <v>25.56</v>
      </c>
      <c r="AJ6935">
        <v>142</v>
      </c>
      <c r="AK6935">
        <v>0</v>
      </c>
      <c r="AL6935" t="s">
        <v>53</v>
      </c>
      <c r="AM6935" t="s">
        <v>53</v>
      </c>
      <c r="AN6935" t="s">
        <v>53</v>
      </c>
      <c r="AO6935" t="s">
        <v>53</v>
      </c>
      <c r="AP6935" t="s">
        <v>53</v>
      </c>
    </row>
    <row r="6936" spans="2:42" x14ac:dyDescent="0.2">
      <c r="B6936" t="s">
        <v>44</v>
      </c>
      <c r="C6936" t="str">
        <f>HYPERLINK("https://us2.cloudbeds.com/connect/8493803454333002#/reservations/163785465934031?display=3HF2597WZS&amp;reservation_id=163785465934031", "3HF2597WZS")</f>
        <v>3HF2597WZS</v>
      </c>
      <c r="D6936" t="s">
        <v>45</v>
      </c>
      <c r="E6936" t="s">
        <v>381</v>
      </c>
      <c r="F6936" t="s">
        <v>47</v>
      </c>
      <c r="G6936" t="s">
        <v>48</v>
      </c>
      <c r="H6936" t="s">
        <v>3957</v>
      </c>
      <c r="I6936" t="s">
        <v>3958</v>
      </c>
      <c r="J6936" t="s">
        <v>11557</v>
      </c>
      <c r="K6936" t="s">
        <v>10038</v>
      </c>
      <c r="L6936" t="s">
        <v>53</v>
      </c>
      <c r="P6936" t="s">
        <v>55</v>
      </c>
      <c r="R6936" t="s">
        <v>56</v>
      </c>
      <c r="T6936" t="s">
        <v>12502</v>
      </c>
      <c r="U6936" t="s">
        <v>58</v>
      </c>
      <c r="V6936">
        <v>1</v>
      </c>
      <c r="W6936">
        <v>1</v>
      </c>
      <c r="X6936">
        <v>1</v>
      </c>
      <c r="Y6936">
        <v>0</v>
      </c>
      <c r="Z6936">
        <v>1</v>
      </c>
      <c r="AA6936">
        <v>72.739999999999995</v>
      </c>
      <c r="AB6936">
        <v>72.739999999999995</v>
      </c>
      <c r="AC6936">
        <v>64</v>
      </c>
      <c r="AD6936">
        <v>0</v>
      </c>
      <c r="AE6936">
        <v>8.74</v>
      </c>
      <c r="AF6936">
        <v>0</v>
      </c>
      <c r="AG6936">
        <v>0</v>
      </c>
      <c r="AH6936">
        <v>0</v>
      </c>
      <c r="AI6936">
        <v>0</v>
      </c>
      <c r="AJ6936">
        <v>72.739999999999995</v>
      </c>
      <c r="AK6936">
        <v>0</v>
      </c>
      <c r="AL6936" t="s">
        <v>53</v>
      </c>
      <c r="AM6936" t="s">
        <v>53</v>
      </c>
      <c r="AN6936" t="s">
        <v>12503</v>
      </c>
      <c r="AO6936" t="s">
        <v>53</v>
      </c>
      <c r="AP6936" t="s">
        <v>53</v>
      </c>
    </row>
    <row r="6937" spans="2:42" x14ac:dyDescent="0.2">
      <c r="B6937" t="s">
        <v>44</v>
      </c>
      <c r="C6937" t="str">
        <f>HYPERLINK("https://us2.cloudbeds.com/connect/8493803454333002#/reservations/9080486847070639?display=3HFEUNJB08&amp;reservation_id=9080486847070639", "3HFEUNJB08")</f>
        <v>3HFEUNJB08</v>
      </c>
      <c r="D6937" t="s">
        <v>45</v>
      </c>
      <c r="E6937" t="s">
        <v>190</v>
      </c>
      <c r="F6937" t="s">
        <v>61</v>
      </c>
      <c r="G6937" t="s">
        <v>48</v>
      </c>
      <c r="H6937" t="s">
        <v>49</v>
      </c>
      <c r="I6937" t="s">
        <v>50</v>
      </c>
      <c r="J6937" t="s">
        <v>11557</v>
      </c>
      <c r="K6937" t="s">
        <v>10038</v>
      </c>
      <c r="L6937" t="s">
        <v>53</v>
      </c>
      <c r="N6937" t="s">
        <v>12504</v>
      </c>
      <c r="P6937" t="s">
        <v>55</v>
      </c>
      <c r="R6937" t="s">
        <v>56</v>
      </c>
      <c r="T6937" t="s">
        <v>12505</v>
      </c>
      <c r="U6937" t="s">
        <v>58</v>
      </c>
      <c r="V6937">
        <v>1</v>
      </c>
      <c r="W6937">
        <v>1</v>
      </c>
      <c r="X6937">
        <v>2</v>
      </c>
      <c r="Y6937">
        <v>0</v>
      </c>
      <c r="Z6937">
        <v>2</v>
      </c>
      <c r="AA6937">
        <v>68.59</v>
      </c>
      <c r="AB6937">
        <v>97.22</v>
      </c>
      <c r="AC6937">
        <v>60.35</v>
      </c>
      <c r="AD6937">
        <v>0</v>
      </c>
      <c r="AE6937">
        <v>8.24</v>
      </c>
      <c r="AF6937">
        <v>0</v>
      </c>
      <c r="AG6937">
        <v>0</v>
      </c>
      <c r="AH6937">
        <v>0</v>
      </c>
      <c r="AI6937">
        <v>12.35</v>
      </c>
      <c r="AJ6937">
        <v>68.59</v>
      </c>
      <c r="AK6937">
        <v>-28.63</v>
      </c>
      <c r="AL6937" t="s">
        <v>53</v>
      </c>
      <c r="AM6937" t="s">
        <v>53</v>
      </c>
      <c r="AN6937" t="s">
        <v>53</v>
      </c>
      <c r="AO6937" t="s">
        <v>53</v>
      </c>
      <c r="AP6937" t="s">
        <v>53</v>
      </c>
    </row>
    <row r="6938" spans="2:42" x14ac:dyDescent="0.2">
      <c r="B6938" t="s">
        <v>44</v>
      </c>
      <c r="C6938" t="str">
        <f>HYPERLINK("https://us2.cloudbeds.com/connect/8493803454333002#/reservations/163840245080217?display=3HGBJ0FG0N&amp;reservation_id=163840245080217", "3HGBJ0FG0N")</f>
        <v>3HGBJ0FG0N</v>
      </c>
      <c r="D6938" t="s">
        <v>45</v>
      </c>
      <c r="E6938" t="s">
        <v>165</v>
      </c>
      <c r="F6938" t="s">
        <v>61</v>
      </c>
      <c r="G6938" t="s">
        <v>3974</v>
      </c>
      <c r="H6938" t="s">
        <v>3957</v>
      </c>
      <c r="I6938" t="s">
        <v>3975</v>
      </c>
      <c r="J6938" t="s">
        <v>12258</v>
      </c>
      <c r="K6938" t="s">
        <v>12506</v>
      </c>
      <c r="L6938" t="s">
        <v>53</v>
      </c>
      <c r="P6938" t="s">
        <v>55</v>
      </c>
      <c r="R6938" t="s">
        <v>56</v>
      </c>
      <c r="T6938" t="s">
        <v>12507</v>
      </c>
      <c r="U6938" t="s">
        <v>58</v>
      </c>
      <c r="V6938">
        <v>1</v>
      </c>
      <c r="W6938">
        <v>1</v>
      </c>
      <c r="X6938">
        <v>2</v>
      </c>
      <c r="Y6938">
        <v>0</v>
      </c>
      <c r="Z6938">
        <v>2</v>
      </c>
      <c r="AA6938">
        <v>82.05</v>
      </c>
      <c r="AB6938">
        <v>82.05</v>
      </c>
      <c r="AC6938">
        <v>72.2</v>
      </c>
      <c r="AD6938">
        <v>0</v>
      </c>
      <c r="AE6938">
        <v>9.85</v>
      </c>
      <c r="AF6938">
        <v>0</v>
      </c>
      <c r="AG6938">
        <v>0</v>
      </c>
      <c r="AH6938">
        <v>0</v>
      </c>
      <c r="AI6938">
        <v>0</v>
      </c>
      <c r="AJ6938">
        <v>82.05</v>
      </c>
      <c r="AK6938">
        <v>0</v>
      </c>
      <c r="AL6938" t="s">
        <v>53</v>
      </c>
      <c r="AM6938" t="s">
        <v>53</v>
      </c>
      <c r="AN6938" t="s">
        <v>53</v>
      </c>
      <c r="AO6938" t="s">
        <v>53</v>
      </c>
      <c r="AP6938" t="s">
        <v>53</v>
      </c>
    </row>
    <row r="6939" spans="2:42" x14ac:dyDescent="0.2">
      <c r="B6939" t="s">
        <v>44</v>
      </c>
      <c r="C6939" t="str">
        <f>HYPERLINK("https://us2.cloudbeds.com/connect/8493803454333002#/reservations/163841788866815?display=3HGCPF7KXP&amp;reservation_id=163841788866815", "3HGCPF7KXP")</f>
        <v>3HGCPF7KXP</v>
      </c>
      <c r="D6939" t="s">
        <v>45</v>
      </c>
      <c r="E6939" t="s">
        <v>46</v>
      </c>
      <c r="F6939" t="s">
        <v>47</v>
      </c>
      <c r="G6939" t="s">
        <v>3974</v>
      </c>
      <c r="H6939" t="s">
        <v>3957</v>
      </c>
      <c r="I6939" t="s">
        <v>3975</v>
      </c>
      <c r="J6939" t="s">
        <v>11721</v>
      </c>
      <c r="K6939" t="s">
        <v>10137</v>
      </c>
      <c r="L6939" t="s">
        <v>53</v>
      </c>
      <c r="P6939" t="s">
        <v>55</v>
      </c>
      <c r="R6939" t="s">
        <v>56</v>
      </c>
      <c r="T6939" t="s">
        <v>12508</v>
      </c>
      <c r="U6939" t="s">
        <v>58</v>
      </c>
      <c r="V6939">
        <v>4</v>
      </c>
      <c r="W6939">
        <v>1</v>
      </c>
      <c r="X6939">
        <v>1</v>
      </c>
      <c r="Y6939">
        <v>0</v>
      </c>
      <c r="Z6939">
        <v>1</v>
      </c>
      <c r="AA6939">
        <v>293.64</v>
      </c>
      <c r="AB6939">
        <v>293.64</v>
      </c>
      <c r="AC6939">
        <v>258.39999999999998</v>
      </c>
      <c r="AD6939">
        <v>0</v>
      </c>
      <c r="AE6939">
        <v>35.24</v>
      </c>
      <c r="AF6939">
        <v>0</v>
      </c>
      <c r="AG6939">
        <v>0</v>
      </c>
      <c r="AH6939">
        <v>0</v>
      </c>
      <c r="AI6939">
        <v>0</v>
      </c>
      <c r="AJ6939">
        <v>293.64</v>
      </c>
      <c r="AK6939">
        <v>0</v>
      </c>
      <c r="AL6939" t="s">
        <v>53</v>
      </c>
      <c r="AM6939" t="s">
        <v>53</v>
      </c>
      <c r="AN6939" t="s">
        <v>53</v>
      </c>
      <c r="AO6939" t="s">
        <v>53</v>
      </c>
      <c r="AP6939" t="s">
        <v>53</v>
      </c>
    </row>
    <row r="6940" spans="2:42" x14ac:dyDescent="0.2">
      <c r="B6940" t="s">
        <v>44</v>
      </c>
      <c r="C6940" t="str">
        <f>HYPERLINK("https://us2.cloudbeds.com/connect/8493803454333002#/reservations/9080486847071717?display=3HGFF21BB1&amp;reservation_id=9080486847071717", "3HGFF21BB1")</f>
        <v>3HGFF21BB1</v>
      </c>
      <c r="D6940" t="s">
        <v>45</v>
      </c>
      <c r="E6940" t="s">
        <v>165</v>
      </c>
      <c r="F6940" t="s">
        <v>61</v>
      </c>
      <c r="G6940" t="s">
        <v>48</v>
      </c>
      <c r="H6940" t="s">
        <v>49</v>
      </c>
      <c r="I6940" t="s">
        <v>50</v>
      </c>
      <c r="J6940" t="s">
        <v>10881</v>
      </c>
      <c r="K6940" t="s">
        <v>11863</v>
      </c>
      <c r="L6940" t="s">
        <v>53</v>
      </c>
      <c r="N6940" t="s">
        <v>12509</v>
      </c>
      <c r="P6940" t="s">
        <v>55</v>
      </c>
      <c r="R6940" t="s">
        <v>53</v>
      </c>
      <c r="T6940" t="s">
        <v>12510</v>
      </c>
      <c r="U6940" t="s">
        <v>58</v>
      </c>
      <c r="V6940">
        <v>1</v>
      </c>
      <c r="W6940">
        <v>1</v>
      </c>
      <c r="X6940">
        <v>2</v>
      </c>
      <c r="Y6940">
        <v>0</v>
      </c>
      <c r="Z6940">
        <v>2</v>
      </c>
      <c r="AA6940">
        <v>69.099999999999994</v>
      </c>
      <c r="AB6940">
        <v>69.099999999999994</v>
      </c>
      <c r="AC6940">
        <v>60.8</v>
      </c>
      <c r="AD6940">
        <v>0</v>
      </c>
      <c r="AE6940">
        <v>8.3000000000000007</v>
      </c>
      <c r="AF6940">
        <v>0</v>
      </c>
      <c r="AG6940">
        <v>0</v>
      </c>
      <c r="AH6940">
        <v>0</v>
      </c>
      <c r="AI6940">
        <v>12.44</v>
      </c>
      <c r="AJ6940">
        <v>69.099999999999994</v>
      </c>
      <c r="AK6940">
        <v>0</v>
      </c>
      <c r="AL6940" t="s">
        <v>53</v>
      </c>
      <c r="AM6940" t="s">
        <v>53</v>
      </c>
      <c r="AN6940" t="s">
        <v>53</v>
      </c>
      <c r="AO6940" t="s">
        <v>53</v>
      </c>
      <c r="AP6940" t="s">
        <v>53</v>
      </c>
    </row>
    <row r="6941" spans="2:42" x14ac:dyDescent="0.2">
      <c r="B6941" t="s">
        <v>44</v>
      </c>
      <c r="C6941" t="str">
        <f>HYPERLINK("https://us2.cloudbeds.com/connect/8493803454333002#/reservations/9080486847071722?display=3HGFZ15H9M&amp;reservation_id=9080486847071722", "3HGFZ15H9M")</f>
        <v>3HGFZ15H9M</v>
      </c>
      <c r="D6941" t="s">
        <v>45</v>
      </c>
      <c r="E6941" t="s">
        <v>179</v>
      </c>
      <c r="F6941" t="s">
        <v>47</v>
      </c>
      <c r="G6941" t="s">
        <v>48</v>
      </c>
      <c r="H6941" t="s">
        <v>49</v>
      </c>
      <c r="I6941" t="s">
        <v>50</v>
      </c>
      <c r="J6941" t="s">
        <v>11557</v>
      </c>
      <c r="K6941" t="s">
        <v>10038</v>
      </c>
      <c r="L6941" t="s">
        <v>53</v>
      </c>
      <c r="N6941" t="s">
        <v>12511</v>
      </c>
      <c r="P6941" t="s">
        <v>55</v>
      </c>
      <c r="R6941" t="s">
        <v>53</v>
      </c>
      <c r="T6941" t="s">
        <v>12512</v>
      </c>
      <c r="U6941" t="s">
        <v>58</v>
      </c>
      <c r="V6941">
        <v>1</v>
      </c>
      <c r="W6941">
        <v>1</v>
      </c>
      <c r="X6941">
        <v>1</v>
      </c>
      <c r="Y6941">
        <v>0</v>
      </c>
      <c r="Z6941">
        <v>1</v>
      </c>
      <c r="AA6941">
        <v>61.1</v>
      </c>
      <c r="AB6941">
        <v>61.1</v>
      </c>
      <c r="AC6941">
        <v>53.76</v>
      </c>
      <c r="AD6941">
        <v>0</v>
      </c>
      <c r="AE6941">
        <v>7.34</v>
      </c>
      <c r="AF6941">
        <v>0</v>
      </c>
      <c r="AG6941">
        <v>0</v>
      </c>
      <c r="AH6941">
        <v>0</v>
      </c>
      <c r="AI6941">
        <v>11</v>
      </c>
      <c r="AJ6941">
        <v>61.1</v>
      </c>
      <c r="AK6941">
        <v>0</v>
      </c>
      <c r="AL6941" t="s">
        <v>53</v>
      </c>
      <c r="AM6941" t="s">
        <v>53</v>
      </c>
      <c r="AN6941" t="s">
        <v>53</v>
      </c>
      <c r="AO6941" t="s">
        <v>53</v>
      </c>
      <c r="AP6941" t="s">
        <v>53</v>
      </c>
    </row>
    <row r="6942" spans="2:42" x14ac:dyDescent="0.2">
      <c r="B6942" t="s">
        <v>44</v>
      </c>
      <c r="C6942" t="str">
        <f>HYPERLINK("https://us2.cloudbeds.com/connect/8493803454333002#/reservations/9080486847072171?display=3HGVA9JV8H&amp;reservation_id=9080486847072171", "3HGVA9JV8H")</f>
        <v>3HGVA9JV8H</v>
      </c>
      <c r="D6942" t="s">
        <v>45</v>
      </c>
      <c r="E6942" t="s">
        <v>165</v>
      </c>
      <c r="F6942" t="s">
        <v>61</v>
      </c>
      <c r="G6942" t="s">
        <v>48</v>
      </c>
      <c r="H6942" t="s">
        <v>49</v>
      </c>
      <c r="I6942" t="s">
        <v>50</v>
      </c>
      <c r="J6942" t="s">
        <v>11998</v>
      </c>
      <c r="K6942" t="s">
        <v>11378</v>
      </c>
      <c r="L6942" t="s">
        <v>53</v>
      </c>
      <c r="N6942" t="s">
        <v>12513</v>
      </c>
      <c r="P6942" t="s">
        <v>55</v>
      </c>
      <c r="R6942" t="s">
        <v>53</v>
      </c>
      <c r="T6942" t="s">
        <v>12514</v>
      </c>
      <c r="U6942" t="s">
        <v>58</v>
      </c>
      <c r="V6942">
        <v>3</v>
      </c>
      <c r="W6942">
        <v>1</v>
      </c>
      <c r="X6942">
        <v>2</v>
      </c>
      <c r="Y6942">
        <v>0</v>
      </c>
      <c r="Z6942">
        <v>2</v>
      </c>
      <c r="AA6942">
        <v>324.89</v>
      </c>
      <c r="AB6942">
        <v>324.89</v>
      </c>
      <c r="AC6942">
        <v>285.86</v>
      </c>
      <c r="AD6942">
        <v>0</v>
      </c>
      <c r="AE6942">
        <v>39.03</v>
      </c>
      <c r="AF6942">
        <v>0</v>
      </c>
      <c r="AG6942">
        <v>0</v>
      </c>
      <c r="AH6942">
        <v>0</v>
      </c>
      <c r="AI6942">
        <v>58.48</v>
      </c>
      <c r="AJ6942">
        <v>324.89</v>
      </c>
      <c r="AK6942">
        <v>0</v>
      </c>
      <c r="AL6942" t="s">
        <v>53</v>
      </c>
      <c r="AM6942" t="s">
        <v>53</v>
      </c>
      <c r="AN6942" t="s">
        <v>53</v>
      </c>
      <c r="AO6942" t="s">
        <v>53</v>
      </c>
      <c r="AP6942" t="s">
        <v>53</v>
      </c>
    </row>
    <row r="6943" spans="2:42" x14ac:dyDescent="0.2">
      <c r="B6943" t="s">
        <v>44</v>
      </c>
      <c r="C6943" t="str">
        <f>HYPERLINK("https://us2.cloudbeds.com/connect/8493803454333002#/reservations/9080486847072314?display=3HH3DHUQ1Z&amp;reservation_id=9080486847072314", "3HH3DHUQ1Z")</f>
        <v>3HH3DHUQ1Z</v>
      </c>
      <c r="D6943" t="s">
        <v>45</v>
      </c>
      <c r="E6943" t="s">
        <v>46</v>
      </c>
      <c r="F6943" t="s">
        <v>47</v>
      </c>
      <c r="G6943" t="s">
        <v>48</v>
      </c>
      <c r="H6943" t="s">
        <v>49</v>
      </c>
      <c r="I6943" t="s">
        <v>50</v>
      </c>
      <c r="J6943" t="s">
        <v>10038</v>
      </c>
      <c r="K6943" t="s">
        <v>11863</v>
      </c>
      <c r="L6943" t="s">
        <v>53</v>
      </c>
      <c r="N6943" t="s">
        <v>12515</v>
      </c>
      <c r="P6943" t="s">
        <v>55</v>
      </c>
      <c r="R6943" t="s">
        <v>53</v>
      </c>
      <c r="T6943" t="s">
        <v>12516</v>
      </c>
      <c r="U6943" t="s">
        <v>58</v>
      </c>
      <c r="V6943">
        <v>2</v>
      </c>
      <c r="W6943">
        <v>1</v>
      </c>
      <c r="X6943">
        <v>2</v>
      </c>
      <c r="Y6943">
        <v>0</v>
      </c>
      <c r="Z6943">
        <v>2</v>
      </c>
      <c r="AA6943">
        <v>147.29</v>
      </c>
      <c r="AB6943">
        <v>147.29</v>
      </c>
      <c r="AC6943">
        <v>129.6</v>
      </c>
      <c r="AD6943">
        <v>0</v>
      </c>
      <c r="AE6943">
        <v>17.690000000000001</v>
      </c>
      <c r="AF6943">
        <v>0</v>
      </c>
      <c r="AG6943">
        <v>0</v>
      </c>
      <c r="AH6943">
        <v>0</v>
      </c>
      <c r="AI6943">
        <v>26.51</v>
      </c>
      <c r="AJ6943">
        <v>147.29</v>
      </c>
      <c r="AK6943">
        <v>0</v>
      </c>
      <c r="AL6943" t="s">
        <v>53</v>
      </c>
      <c r="AM6943" t="s">
        <v>53</v>
      </c>
      <c r="AN6943" t="s">
        <v>53</v>
      </c>
      <c r="AO6943" t="s">
        <v>53</v>
      </c>
      <c r="AP6943" t="s">
        <v>53</v>
      </c>
    </row>
    <row r="6944" spans="2:42" x14ac:dyDescent="0.2">
      <c r="B6944" t="s">
        <v>44</v>
      </c>
      <c r="C6944" t="str">
        <f>HYPERLINK("https://us2.cloudbeds.com/connect/8493803454333002#/reservations/163873541423294?display=3HH4BQRABV&amp;reservation_id=163873541423294", "3HH4BQRABV")</f>
        <v>3HH4BQRABV</v>
      </c>
      <c r="D6944" t="s">
        <v>45</v>
      </c>
      <c r="E6944" t="s">
        <v>110</v>
      </c>
      <c r="F6944" t="s">
        <v>47</v>
      </c>
      <c r="G6944" t="s">
        <v>12517</v>
      </c>
      <c r="H6944" t="s">
        <v>3957</v>
      </c>
      <c r="I6944" t="s">
        <v>3958</v>
      </c>
      <c r="J6944" t="s">
        <v>11956</v>
      </c>
      <c r="K6944" t="s">
        <v>11926</v>
      </c>
      <c r="L6944" t="s">
        <v>53</v>
      </c>
      <c r="P6944" t="s">
        <v>55</v>
      </c>
      <c r="R6944" t="s">
        <v>56</v>
      </c>
      <c r="T6944" t="s">
        <v>12518</v>
      </c>
      <c r="U6944" t="s">
        <v>58</v>
      </c>
      <c r="V6944">
        <v>1</v>
      </c>
      <c r="W6944">
        <v>1</v>
      </c>
      <c r="X6944">
        <v>1</v>
      </c>
      <c r="Y6944">
        <v>0</v>
      </c>
      <c r="Z6944">
        <v>1</v>
      </c>
      <c r="AA6944">
        <v>110.13</v>
      </c>
      <c r="AB6944">
        <v>110.13</v>
      </c>
      <c r="AC6944">
        <v>96.9</v>
      </c>
      <c r="AD6944">
        <v>0</v>
      </c>
      <c r="AE6944">
        <v>13.23</v>
      </c>
      <c r="AF6944">
        <v>0</v>
      </c>
      <c r="AG6944">
        <v>0</v>
      </c>
      <c r="AH6944">
        <v>0</v>
      </c>
      <c r="AI6944">
        <v>0</v>
      </c>
      <c r="AJ6944">
        <v>110.13</v>
      </c>
      <c r="AK6944">
        <v>0</v>
      </c>
      <c r="AL6944" t="s">
        <v>53</v>
      </c>
      <c r="AM6944" t="s">
        <v>53</v>
      </c>
      <c r="AN6944" t="s">
        <v>12519</v>
      </c>
      <c r="AO6944" t="s">
        <v>53</v>
      </c>
      <c r="AP6944" t="s">
        <v>53</v>
      </c>
    </row>
    <row r="6945" spans="2:42" x14ac:dyDescent="0.2">
      <c r="B6945" t="s">
        <v>44</v>
      </c>
      <c r="C6945" t="str">
        <f>HYPERLINK("https://us2.cloudbeds.com/connect/8493803454333002#/reservations/163890740277423?display=3HHHM9BPRQ&amp;reservation_id=163890740277423", "3HHHM9BPRQ")</f>
        <v>3HHHM9BPRQ</v>
      </c>
      <c r="D6945" t="s">
        <v>45</v>
      </c>
      <c r="E6945" t="s">
        <v>406</v>
      </c>
      <c r="F6945" t="s">
        <v>61</v>
      </c>
      <c r="G6945" t="s">
        <v>48</v>
      </c>
      <c r="H6945" t="s">
        <v>3957</v>
      </c>
      <c r="I6945" t="s">
        <v>3975</v>
      </c>
      <c r="J6945" t="s">
        <v>11557</v>
      </c>
      <c r="K6945" t="s">
        <v>10038</v>
      </c>
      <c r="L6945" t="s">
        <v>53</v>
      </c>
      <c r="P6945" t="s">
        <v>55</v>
      </c>
      <c r="R6945" t="s">
        <v>56</v>
      </c>
      <c r="T6945" t="s">
        <v>12520</v>
      </c>
      <c r="U6945" t="s">
        <v>58</v>
      </c>
      <c r="V6945">
        <v>1</v>
      </c>
      <c r="W6945">
        <v>1</v>
      </c>
      <c r="X6945">
        <v>2</v>
      </c>
      <c r="Y6945">
        <v>0</v>
      </c>
      <c r="Z6945">
        <v>2</v>
      </c>
      <c r="AA6945">
        <v>80.7</v>
      </c>
      <c r="AB6945">
        <v>80.7</v>
      </c>
      <c r="AC6945">
        <v>71</v>
      </c>
      <c r="AD6945">
        <v>0</v>
      </c>
      <c r="AE6945">
        <v>9.6999999999999993</v>
      </c>
      <c r="AF6945">
        <v>0</v>
      </c>
      <c r="AG6945">
        <v>0</v>
      </c>
      <c r="AH6945">
        <v>0</v>
      </c>
      <c r="AI6945">
        <v>0</v>
      </c>
      <c r="AJ6945">
        <v>80.7</v>
      </c>
      <c r="AK6945">
        <v>0</v>
      </c>
      <c r="AL6945" t="s">
        <v>53</v>
      </c>
      <c r="AM6945" t="s">
        <v>53</v>
      </c>
      <c r="AN6945" t="s">
        <v>53</v>
      </c>
      <c r="AO6945" t="s">
        <v>53</v>
      </c>
      <c r="AP6945" t="s">
        <v>53</v>
      </c>
    </row>
    <row r="6946" spans="2:42" x14ac:dyDescent="0.2">
      <c r="B6946" t="s">
        <v>44</v>
      </c>
      <c r="C6946" t="str">
        <f>HYPERLINK("https://us2.cloudbeds.com/connect/8493803454333002#/reservations/163897205010567?display=3HHMMFJGU5&amp;reservation_id=163897205010567", "3HHMMFJGU5")</f>
        <v>3HHMMFJGU5</v>
      </c>
      <c r="D6946" t="s">
        <v>45</v>
      </c>
      <c r="E6946" t="s">
        <v>305</v>
      </c>
      <c r="F6946" t="s">
        <v>61</v>
      </c>
      <c r="G6946" t="s">
        <v>48</v>
      </c>
      <c r="H6946" t="s">
        <v>3957</v>
      </c>
      <c r="I6946" t="s">
        <v>3975</v>
      </c>
      <c r="J6946" t="s">
        <v>11557</v>
      </c>
      <c r="K6946" t="s">
        <v>10038</v>
      </c>
      <c r="L6946" t="s">
        <v>53</v>
      </c>
      <c r="P6946" t="s">
        <v>55</v>
      </c>
      <c r="R6946" t="s">
        <v>56</v>
      </c>
      <c r="T6946" t="s">
        <v>12521</v>
      </c>
      <c r="U6946" t="s">
        <v>58</v>
      </c>
      <c r="V6946">
        <v>1</v>
      </c>
      <c r="W6946">
        <v>1</v>
      </c>
      <c r="X6946">
        <v>1</v>
      </c>
      <c r="Y6946">
        <v>0</v>
      </c>
      <c r="Z6946">
        <v>1</v>
      </c>
      <c r="AA6946">
        <v>80.7</v>
      </c>
      <c r="AB6946">
        <v>80.7</v>
      </c>
      <c r="AC6946">
        <v>71</v>
      </c>
      <c r="AD6946">
        <v>0</v>
      </c>
      <c r="AE6946">
        <v>9.6999999999999993</v>
      </c>
      <c r="AF6946">
        <v>0</v>
      </c>
      <c r="AG6946">
        <v>0</v>
      </c>
      <c r="AH6946">
        <v>0</v>
      </c>
      <c r="AI6946">
        <v>0</v>
      </c>
      <c r="AJ6946">
        <v>80.7</v>
      </c>
      <c r="AK6946">
        <v>0</v>
      </c>
      <c r="AL6946" t="s">
        <v>53</v>
      </c>
      <c r="AM6946" t="s">
        <v>53</v>
      </c>
      <c r="AN6946" t="s">
        <v>53</v>
      </c>
      <c r="AO6946" t="s">
        <v>53</v>
      </c>
      <c r="AP6946" t="s">
        <v>53</v>
      </c>
    </row>
    <row r="6947" spans="2:42" x14ac:dyDescent="0.2">
      <c r="B6947" t="s">
        <v>44</v>
      </c>
      <c r="C6947" t="str">
        <f>HYPERLINK("https://us2.cloudbeds.com/connect/8493803454333002#/reservations/9080486847073017?display=3HHUHCUQ0Y&amp;reservation_id=9080486847073017", "3HHUHCUQ0Y")</f>
        <v>3HHUHCUQ0Y</v>
      </c>
      <c r="D6947" t="s">
        <v>45</v>
      </c>
      <c r="E6947" t="s">
        <v>223</v>
      </c>
      <c r="F6947" t="s">
        <v>47</v>
      </c>
      <c r="G6947" t="s">
        <v>48</v>
      </c>
      <c r="H6947" t="s">
        <v>49</v>
      </c>
      <c r="I6947" t="s">
        <v>50</v>
      </c>
      <c r="J6947" t="s">
        <v>11557</v>
      </c>
      <c r="K6947" t="s">
        <v>10038</v>
      </c>
      <c r="L6947" t="s">
        <v>53</v>
      </c>
      <c r="N6947" t="s">
        <v>12522</v>
      </c>
      <c r="P6947" t="s">
        <v>55</v>
      </c>
      <c r="R6947" t="s">
        <v>53</v>
      </c>
      <c r="T6947" t="s">
        <v>12523</v>
      </c>
      <c r="U6947" t="s">
        <v>58</v>
      </c>
      <c r="V6947">
        <v>1</v>
      </c>
      <c r="W6947">
        <v>1</v>
      </c>
      <c r="X6947">
        <v>2</v>
      </c>
      <c r="Y6947">
        <v>0</v>
      </c>
      <c r="Z6947">
        <v>2</v>
      </c>
      <c r="AA6947">
        <v>65.459999999999994</v>
      </c>
      <c r="AB6947">
        <v>65.459999999999994</v>
      </c>
      <c r="AC6947">
        <v>57.6</v>
      </c>
      <c r="AD6947">
        <v>0</v>
      </c>
      <c r="AE6947">
        <v>7.86</v>
      </c>
      <c r="AF6947">
        <v>0</v>
      </c>
      <c r="AG6947">
        <v>0</v>
      </c>
      <c r="AH6947">
        <v>0</v>
      </c>
      <c r="AI6947">
        <v>11.78</v>
      </c>
      <c r="AJ6947">
        <v>65.459999999999994</v>
      </c>
      <c r="AK6947">
        <v>0</v>
      </c>
      <c r="AL6947" t="s">
        <v>53</v>
      </c>
      <c r="AM6947" t="s">
        <v>53</v>
      </c>
      <c r="AN6947" t="s">
        <v>53</v>
      </c>
      <c r="AO6947" t="s">
        <v>53</v>
      </c>
      <c r="AP6947" t="s">
        <v>53</v>
      </c>
    </row>
    <row r="6948" spans="2:42" x14ac:dyDescent="0.2">
      <c r="B6948" t="s">
        <v>44</v>
      </c>
      <c r="C6948" t="str">
        <f>HYPERLINK("https://us2.cloudbeds.com/connect/8493803454333002#/reservations/163908370833588?display=3HHVAPTWUH&amp;reservation_id=163908370833588", "3HHVAPTWUH")</f>
        <v>3HHVAPTWUH</v>
      </c>
      <c r="D6948" t="s">
        <v>45</v>
      </c>
      <c r="E6948" t="s">
        <v>113</v>
      </c>
      <c r="F6948" t="s">
        <v>61</v>
      </c>
      <c r="G6948" t="s">
        <v>48</v>
      </c>
      <c r="H6948" t="s">
        <v>3957</v>
      </c>
      <c r="I6948" t="s">
        <v>3975</v>
      </c>
      <c r="J6948" t="s">
        <v>10881</v>
      </c>
      <c r="K6948" t="s">
        <v>11863</v>
      </c>
      <c r="L6948" t="s">
        <v>53</v>
      </c>
      <c r="P6948" t="s">
        <v>55</v>
      </c>
      <c r="R6948" t="s">
        <v>56</v>
      </c>
      <c r="T6948" t="s">
        <v>12524</v>
      </c>
      <c r="U6948" t="s">
        <v>58</v>
      </c>
      <c r="V6948">
        <v>1</v>
      </c>
      <c r="W6948">
        <v>1</v>
      </c>
      <c r="X6948">
        <v>2</v>
      </c>
      <c r="Y6948">
        <v>0</v>
      </c>
      <c r="Z6948">
        <v>2</v>
      </c>
      <c r="AA6948">
        <v>86.37</v>
      </c>
      <c r="AB6948">
        <v>86.37</v>
      </c>
      <c r="AC6948">
        <v>76</v>
      </c>
      <c r="AD6948">
        <v>0</v>
      </c>
      <c r="AE6948">
        <v>10.37</v>
      </c>
      <c r="AF6948">
        <v>0</v>
      </c>
      <c r="AG6948">
        <v>0</v>
      </c>
      <c r="AH6948">
        <v>0</v>
      </c>
      <c r="AI6948">
        <v>0</v>
      </c>
      <c r="AJ6948">
        <v>86.37</v>
      </c>
      <c r="AK6948">
        <v>0</v>
      </c>
      <c r="AL6948" t="s">
        <v>53</v>
      </c>
      <c r="AM6948" t="s">
        <v>53</v>
      </c>
      <c r="AN6948" t="s">
        <v>53</v>
      </c>
      <c r="AO6948" t="s">
        <v>53</v>
      </c>
      <c r="AP6948" t="s">
        <v>53</v>
      </c>
    </row>
    <row r="6949" spans="2:42" x14ac:dyDescent="0.2">
      <c r="B6949" t="s">
        <v>44</v>
      </c>
      <c r="C6949" t="str">
        <f>HYPERLINK("https://us2.cloudbeds.com/connect/8493803454333002#/reservations/9080486847073335?display=3HXAFF7AK1&amp;reservation_id=9080486847073335", "3HXAFF7AK1")</f>
        <v>3HXAFF7AK1</v>
      </c>
      <c r="D6949" t="s">
        <v>45</v>
      </c>
      <c r="E6949" t="s">
        <v>46</v>
      </c>
      <c r="F6949" t="s">
        <v>47</v>
      </c>
      <c r="G6949" t="s">
        <v>48</v>
      </c>
      <c r="H6949" t="s">
        <v>49</v>
      </c>
      <c r="I6949" t="s">
        <v>50</v>
      </c>
      <c r="J6949" t="s">
        <v>11370</v>
      </c>
      <c r="K6949" t="s">
        <v>8866</v>
      </c>
      <c r="L6949" t="s">
        <v>53</v>
      </c>
      <c r="N6949" t="s">
        <v>12525</v>
      </c>
      <c r="P6949" t="s">
        <v>55</v>
      </c>
      <c r="R6949" t="s">
        <v>53</v>
      </c>
      <c r="T6949" t="s">
        <v>12526</v>
      </c>
      <c r="U6949" t="s">
        <v>58</v>
      </c>
      <c r="V6949">
        <v>2</v>
      </c>
      <c r="W6949">
        <v>1</v>
      </c>
      <c r="X6949">
        <v>1</v>
      </c>
      <c r="Y6949">
        <v>0</v>
      </c>
      <c r="Z6949">
        <v>1</v>
      </c>
      <c r="AA6949">
        <v>139.08000000000001</v>
      </c>
      <c r="AB6949">
        <v>139.08000000000001</v>
      </c>
      <c r="AC6949">
        <v>122.4</v>
      </c>
      <c r="AD6949">
        <v>0</v>
      </c>
      <c r="AE6949">
        <v>16.68</v>
      </c>
      <c r="AF6949">
        <v>0</v>
      </c>
      <c r="AG6949">
        <v>0</v>
      </c>
      <c r="AH6949">
        <v>0</v>
      </c>
      <c r="AI6949">
        <v>25.03</v>
      </c>
      <c r="AJ6949">
        <v>139.08000000000001</v>
      </c>
      <c r="AK6949">
        <v>0</v>
      </c>
      <c r="AL6949" t="s">
        <v>53</v>
      </c>
      <c r="AM6949" t="s">
        <v>53</v>
      </c>
      <c r="AN6949" t="s">
        <v>53</v>
      </c>
      <c r="AO6949" t="s">
        <v>53</v>
      </c>
      <c r="AP6949" t="s">
        <v>53</v>
      </c>
    </row>
    <row r="6950" spans="2:42" x14ac:dyDescent="0.2">
      <c r="B6950" t="s">
        <v>44</v>
      </c>
      <c r="C6950" t="str">
        <f>HYPERLINK("https://us2.cloudbeds.com/connect/8493803454333002#/reservations/9080486847073336?display=3HXAWB516W&amp;reservation_id=9080486847073336", "3HXAWB516W")</f>
        <v>3HXAWB516W</v>
      </c>
      <c r="D6950" t="s">
        <v>45</v>
      </c>
      <c r="E6950" t="s">
        <v>373</v>
      </c>
      <c r="F6950" t="s">
        <v>47</v>
      </c>
      <c r="G6950" t="s">
        <v>48</v>
      </c>
      <c r="H6950" t="s">
        <v>49</v>
      </c>
      <c r="I6950" t="s">
        <v>50</v>
      </c>
      <c r="J6950" t="s">
        <v>11370</v>
      </c>
      <c r="K6950" t="s">
        <v>8866</v>
      </c>
      <c r="L6950" t="s">
        <v>53</v>
      </c>
      <c r="N6950" t="s">
        <v>12527</v>
      </c>
      <c r="P6950" t="s">
        <v>55</v>
      </c>
      <c r="R6950" t="s">
        <v>53</v>
      </c>
      <c r="T6950" t="s">
        <v>12528</v>
      </c>
      <c r="U6950" t="s">
        <v>58</v>
      </c>
      <c r="V6950">
        <v>2</v>
      </c>
      <c r="W6950">
        <v>1</v>
      </c>
      <c r="X6950">
        <v>1</v>
      </c>
      <c r="Y6950">
        <v>0</v>
      </c>
      <c r="Z6950">
        <v>1</v>
      </c>
      <c r="AA6950">
        <v>139.08000000000001</v>
      </c>
      <c r="AB6950">
        <v>139.08000000000001</v>
      </c>
      <c r="AC6950">
        <v>122.4</v>
      </c>
      <c r="AD6950">
        <v>0</v>
      </c>
      <c r="AE6950">
        <v>16.68</v>
      </c>
      <c r="AF6950">
        <v>0</v>
      </c>
      <c r="AG6950">
        <v>0</v>
      </c>
      <c r="AH6950">
        <v>0</v>
      </c>
      <c r="AI6950">
        <v>25.03</v>
      </c>
      <c r="AJ6950">
        <v>139.08000000000001</v>
      </c>
      <c r="AK6950">
        <v>0</v>
      </c>
      <c r="AL6950" t="s">
        <v>53</v>
      </c>
      <c r="AM6950" t="s">
        <v>53</v>
      </c>
      <c r="AN6950" t="s">
        <v>53</v>
      </c>
      <c r="AO6950" t="s">
        <v>53</v>
      </c>
      <c r="AP6950" t="s">
        <v>53</v>
      </c>
    </row>
    <row r="6951" spans="2:42" x14ac:dyDescent="0.2">
      <c r="B6951" t="s">
        <v>44</v>
      </c>
      <c r="C6951" t="str">
        <f>HYPERLINK("https://us2.cloudbeds.com/connect/8493803454333002#/reservations/9080486847075348?display=3HYBJ1NF5Y&amp;reservation_id=9080486847075348", "3HYBJ1NF5Y")</f>
        <v>3HYBJ1NF5Y</v>
      </c>
      <c r="D6951" t="s">
        <v>45</v>
      </c>
      <c r="E6951" t="s">
        <v>406</v>
      </c>
      <c r="F6951" t="s">
        <v>61</v>
      </c>
      <c r="G6951" t="s">
        <v>48</v>
      </c>
      <c r="H6951" t="s">
        <v>49</v>
      </c>
      <c r="I6951" t="s">
        <v>8964</v>
      </c>
      <c r="J6951" t="s">
        <v>10881</v>
      </c>
      <c r="K6951" t="s">
        <v>10775</v>
      </c>
      <c r="L6951" t="s">
        <v>53</v>
      </c>
      <c r="N6951" t="s">
        <v>12529</v>
      </c>
      <c r="P6951" t="s">
        <v>55</v>
      </c>
      <c r="R6951" t="s">
        <v>53</v>
      </c>
      <c r="T6951" t="s">
        <v>12530</v>
      </c>
      <c r="U6951" t="s">
        <v>55</v>
      </c>
      <c r="V6951">
        <v>2</v>
      </c>
      <c r="W6951">
        <v>1</v>
      </c>
      <c r="X6951">
        <v>2</v>
      </c>
      <c r="Y6951">
        <v>0</v>
      </c>
      <c r="Z6951">
        <v>2</v>
      </c>
      <c r="AA6951">
        <v>0</v>
      </c>
      <c r="AB6951">
        <v>0</v>
      </c>
      <c r="AC6951">
        <v>158</v>
      </c>
      <c r="AD6951">
        <v>0</v>
      </c>
      <c r="AE6951">
        <v>0</v>
      </c>
      <c r="AF6951">
        <v>0</v>
      </c>
      <c r="AG6951">
        <v>0</v>
      </c>
      <c r="AH6951">
        <v>0</v>
      </c>
      <c r="AI6951">
        <v>23.7</v>
      </c>
      <c r="AJ6951">
        <v>158</v>
      </c>
      <c r="AK6951">
        <v>158</v>
      </c>
      <c r="AL6951" t="s">
        <v>53</v>
      </c>
      <c r="AM6951" t="s">
        <v>53</v>
      </c>
      <c r="AN6951" t="s">
        <v>53</v>
      </c>
      <c r="AO6951" t="s">
        <v>53</v>
      </c>
      <c r="AP6951" t="s">
        <v>53</v>
      </c>
    </row>
    <row r="6952" spans="2:42" x14ac:dyDescent="0.2">
      <c r="B6952" t="s">
        <v>44</v>
      </c>
      <c r="C6952" t="str">
        <f>HYPERLINK("https://us2.cloudbeds.com/connect/8493803454333002#/reservations/9080486847076738?display=3HMPFAG52T&amp;reservation_id=9080486847076738", "3HMPFAG52T")</f>
        <v>3HMPFAG52T</v>
      </c>
      <c r="D6952" t="s">
        <v>45</v>
      </c>
      <c r="E6952" t="s">
        <v>138</v>
      </c>
      <c r="F6952" t="s">
        <v>70</v>
      </c>
      <c r="G6952" t="s">
        <v>48</v>
      </c>
      <c r="H6952" t="s">
        <v>49</v>
      </c>
      <c r="I6952" t="s">
        <v>8964</v>
      </c>
      <c r="J6952" t="s">
        <v>12531</v>
      </c>
      <c r="K6952" t="s">
        <v>11068</v>
      </c>
      <c r="L6952" t="s">
        <v>53</v>
      </c>
      <c r="N6952" t="s">
        <v>12532</v>
      </c>
      <c r="P6952" t="s">
        <v>55</v>
      </c>
      <c r="R6952" t="s">
        <v>53</v>
      </c>
      <c r="T6952" t="s">
        <v>12533</v>
      </c>
      <c r="U6952" t="s">
        <v>55</v>
      </c>
      <c r="V6952">
        <v>2</v>
      </c>
      <c r="W6952">
        <v>1</v>
      </c>
      <c r="X6952">
        <v>2</v>
      </c>
      <c r="Y6952">
        <v>0</v>
      </c>
      <c r="Z6952">
        <v>2</v>
      </c>
      <c r="AA6952">
        <v>0</v>
      </c>
      <c r="AB6952">
        <v>0</v>
      </c>
      <c r="AC6952">
        <v>217</v>
      </c>
      <c r="AD6952">
        <v>0</v>
      </c>
      <c r="AE6952">
        <v>0</v>
      </c>
      <c r="AF6952">
        <v>0</v>
      </c>
      <c r="AG6952">
        <v>0</v>
      </c>
      <c r="AH6952">
        <v>0</v>
      </c>
      <c r="AI6952">
        <v>32.549999999999997</v>
      </c>
      <c r="AJ6952">
        <v>217</v>
      </c>
      <c r="AK6952">
        <v>217</v>
      </c>
      <c r="AL6952" t="s">
        <v>53</v>
      </c>
      <c r="AM6952" t="s">
        <v>53</v>
      </c>
      <c r="AN6952" t="s">
        <v>53</v>
      </c>
      <c r="AO6952" t="s">
        <v>53</v>
      </c>
      <c r="AP6952" t="s">
        <v>53</v>
      </c>
    </row>
    <row r="6953" spans="2:42" x14ac:dyDescent="0.2">
      <c r="B6953" t="s">
        <v>44</v>
      </c>
      <c r="C6953" t="str">
        <f>HYPERLINK("https://us2.cloudbeds.com/connect/8493803454333002#/reservations/9080486847077071?display=3HN2Z0SKTN&amp;reservation_id=9080486847077071", "3HN2Z0SKTN")</f>
        <v>3HN2Z0SKTN</v>
      </c>
      <c r="D6953" t="s">
        <v>45</v>
      </c>
      <c r="E6953" t="s">
        <v>185</v>
      </c>
      <c r="F6953" t="s">
        <v>47</v>
      </c>
      <c r="G6953" t="s">
        <v>48</v>
      </c>
      <c r="H6953" t="s">
        <v>49</v>
      </c>
      <c r="I6953" t="s">
        <v>8964</v>
      </c>
      <c r="J6953" t="s">
        <v>8865</v>
      </c>
      <c r="K6953" t="s">
        <v>10724</v>
      </c>
      <c r="L6953" t="s">
        <v>53</v>
      </c>
      <c r="N6953" t="s">
        <v>12534</v>
      </c>
      <c r="P6953" t="s">
        <v>55</v>
      </c>
      <c r="R6953" t="s">
        <v>53</v>
      </c>
      <c r="T6953" t="s">
        <v>12535</v>
      </c>
      <c r="U6953" t="s">
        <v>55</v>
      </c>
      <c r="V6953">
        <v>3</v>
      </c>
      <c r="W6953">
        <v>1</v>
      </c>
      <c r="X6953">
        <v>2</v>
      </c>
      <c r="Y6953">
        <v>0</v>
      </c>
      <c r="Z6953">
        <v>2</v>
      </c>
      <c r="AA6953">
        <v>0</v>
      </c>
      <c r="AB6953">
        <v>0</v>
      </c>
      <c r="AC6953">
        <v>234</v>
      </c>
      <c r="AD6953">
        <v>0</v>
      </c>
      <c r="AE6953">
        <v>0</v>
      </c>
      <c r="AF6953">
        <v>0</v>
      </c>
      <c r="AG6953">
        <v>0</v>
      </c>
      <c r="AH6953">
        <v>0</v>
      </c>
      <c r="AI6953">
        <v>35.1</v>
      </c>
      <c r="AJ6953">
        <v>234</v>
      </c>
      <c r="AK6953">
        <v>234</v>
      </c>
      <c r="AL6953" t="s">
        <v>53</v>
      </c>
      <c r="AM6953" t="s">
        <v>53</v>
      </c>
      <c r="AN6953" t="s">
        <v>53</v>
      </c>
      <c r="AO6953" t="s">
        <v>53</v>
      </c>
      <c r="AP6953" t="s">
        <v>53</v>
      </c>
    </row>
    <row r="6954" spans="2:42" x14ac:dyDescent="0.2">
      <c r="B6954" t="s">
        <v>44</v>
      </c>
      <c r="C6954" t="str">
        <f>HYPERLINK("https://us2.cloudbeds.com/connect/8493803454333002#/reservations/164133679313057?display=3HN7PUWXZD&amp;reservation_id=164133679313057", "3HN7PUWXZD")</f>
        <v>3HN7PUWXZD</v>
      </c>
      <c r="D6954" t="s">
        <v>45</v>
      </c>
      <c r="E6954" t="s">
        <v>373</v>
      </c>
      <c r="F6954" t="s">
        <v>47</v>
      </c>
      <c r="G6954" t="s">
        <v>48</v>
      </c>
      <c r="H6954" t="s">
        <v>3957</v>
      </c>
      <c r="I6954" t="s">
        <v>3958</v>
      </c>
      <c r="J6954" t="s">
        <v>10724</v>
      </c>
      <c r="K6954" t="s">
        <v>11370</v>
      </c>
      <c r="L6954" t="s">
        <v>53</v>
      </c>
      <c r="P6954" t="s">
        <v>55</v>
      </c>
      <c r="R6954" t="s">
        <v>56</v>
      </c>
      <c r="T6954" t="s">
        <v>12536</v>
      </c>
      <c r="U6954" t="s">
        <v>58</v>
      </c>
      <c r="V6954">
        <v>1</v>
      </c>
      <c r="W6954">
        <v>1</v>
      </c>
      <c r="X6954">
        <v>1</v>
      </c>
      <c r="Y6954">
        <v>0</v>
      </c>
      <c r="Z6954">
        <v>1</v>
      </c>
      <c r="AA6954">
        <v>77.28</v>
      </c>
      <c r="AB6954">
        <v>77.28</v>
      </c>
      <c r="AC6954">
        <v>68</v>
      </c>
      <c r="AD6954">
        <v>0</v>
      </c>
      <c r="AE6954">
        <v>9.2799999999999994</v>
      </c>
      <c r="AF6954">
        <v>0</v>
      </c>
      <c r="AG6954">
        <v>0</v>
      </c>
      <c r="AH6954">
        <v>0</v>
      </c>
      <c r="AI6954">
        <v>0</v>
      </c>
      <c r="AJ6954">
        <v>77.28</v>
      </c>
      <c r="AK6954">
        <v>0</v>
      </c>
      <c r="AL6954" t="s">
        <v>53</v>
      </c>
      <c r="AM6954" t="s">
        <v>53</v>
      </c>
      <c r="AN6954" t="s">
        <v>53</v>
      </c>
      <c r="AO6954" t="s">
        <v>53</v>
      </c>
      <c r="AP6954" t="s">
        <v>53</v>
      </c>
    </row>
    <row r="6955" spans="2:42" x14ac:dyDescent="0.2">
      <c r="B6955" t="s">
        <v>44</v>
      </c>
      <c r="C6955" t="str">
        <f>HYPERLINK("https://us2.cloudbeds.com/connect/8493803454333002#/reservations/9080486847078018?display=3HNV526HFH&amp;reservation_id=9080486847078018", "3HNV526HFH")</f>
        <v>3HNV526HFH</v>
      </c>
      <c r="D6955" t="s">
        <v>45</v>
      </c>
      <c r="E6955" t="s">
        <v>487</v>
      </c>
      <c r="F6955" t="s">
        <v>61</v>
      </c>
      <c r="G6955" t="s">
        <v>48</v>
      </c>
      <c r="H6955" t="s">
        <v>49</v>
      </c>
      <c r="I6955" t="s">
        <v>50</v>
      </c>
      <c r="J6955" t="s">
        <v>11863</v>
      </c>
      <c r="K6955" t="s">
        <v>9658</v>
      </c>
      <c r="L6955" t="s">
        <v>53</v>
      </c>
      <c r="N6955" t="s">
        <v>12537</v>
      </c>
      <c r="P6955" t="s">
        <v>55</v>
      </c>
      <c r="R6955" t="s">
        <v>53</v>
      </c>
      <c r="T6955" t="s">
        <v>12538</v>
      </c>
      <c r="U6955" t="s">
        <v>58</v>
      </c>
      <c r="V6955">
        <v>2</v>
      </c>
      <c r="W6955">
        <v>1</v>
      </c>
      <c r="X6955">
        <v>2</v>
      </c>
      <c r="Y6955">
        <v>0</v>
      </c>
      <c r="Z6955">
        <v>2</v>
      </c>
      <c r="AA6955">
        <v>152.4</v>
      </c>
      <c r="AB6955">
        <v>152.4</v>
      </c>
      <c r="AC6955">
        <v>134.1</v>
      </c>
      <c r="AD6955">
        <v>0</v>
      </c>
      <c r="AE6955">
        <v>18.3</v>
      </c>
      <c r="AF6955">
        <v>0</v>
      </c>
      <c r="AG6955">
        <v>0</v>
      </c>
      <c r="AH6955">
        <v>0</v>
      </c>
      <c r="AI6955">
        <v>27.43</v>
      </c>
      <c r="AJ6955">
        <v>152.4</v>
      </c>
      <c r="AK6955">
        <v>0</v>
      </c>
      <c r="AL6955" t="s">
        <v>53</v>
      </c>
      <c r="AM6955" t="s">
        <v>53</v>
      </c>
      <c r="AN6955" t="s">
        <v>53</v>
      </c>
      <c r="AO6955" t="s">
        <v>53</v>
      </c>
      <c r="AP6955" t="s">
        <v>53</v>
      </c>
    </row>
    <row r="6956" spans="2:42" x14ac:dyDescent="0.2">
      <c r="B6956" t="s">
        <v>44</v>
      </c>
      <c r="C6956" t="str">
        <f>HYPERLINK("https://us2.cloudbeds.com/connect/8493803454333002#/reservations/9080486847078195?display=3HZ3J5UXJH&amp;reservation_id=9080486847078195", "3HZ3J5UXJH")</f>
        <v>3HZ3J5UXJH</v>
      </c>
      <c r="D6956" t="s">
        <v>45</v>
      </c>
      <c r="E6956" t="s">
        <v>190</v>
      </c>
      <c r="F6956" t="s">
        <v>61</v>
      </c>
      <c r="G6956" t="s">
        <v>48</v>
      </c>
      <c r="H6956" t="s">
        <v>49</v>
      </c>
      <c r="I6956" t="s">
        <v>50</v>
      </c>
      <c r="J6956" t="s">
        <v>10881</v>
      </c>
      <c r="K6956" t="s">
        <v>11863</v>
      </c>
      <c r="L6956" t="s">
        <v>53</v>
      </c>
      <c r="N6956" t="s">
        <v>12539</v>
      </c>
      <c r="P6956" t="s">
        <v>55</v>
      </c>
      <c r="R6956" t="s">
        <v>53</v>
      </c>
      <c r="T6956" t="s">
        <v>12540</v>
      </c>
      <c r="U6956" t="s">
        <v>58</v>
      </c>
      <c r="V6956">
        <v>1</v>
      </c>
      <c r="W6956">
        <v>1</v>
      </c>
      <c r="X6956">
        <v>2</v>
      </c>
      <c r="Y6956">
        <v>0</v>
      </c>
      <c r="Z6956">
        <v>2</v>
      </c>
      <c r="AA6956">
        <v>77.73</v>
      </c>
      <c r="AB6956">
        <v>77.73</v>
      </c>
      <c r="AC6956">
        <v>68.400000000000006</v>
      </c>
      <c r="AD6956">
        <v>0</v>
      </c>
      <c r="AE6956">
        <v>9.33</v>
      </c>
      <c r="AF6956">
        <v>0</v>
      </c>
      <c r="AG6956">
        <v>0</v>
      </c>
      <c r="AH6956">
        <v>0</v>
      </c>
      <c r="AI6956">
        <v>13.99</v>
      </c>
      <c r="AJ6956">
        <v>77.73</v>
      </c>
      <c r="AK6956">
        <v>0</v>
      </c>
      <c r="AL6956" t="s">
        <v>53</v>
      </c>
      <c r="AM6956" t="s">
        <v>53</v>
      </c>
      <c r="AN6956" t="s">
        <v>53</v>
      </c>
      <c r="AO6956" t="s">
        <v>53</v>
      </c>
      <c r="AP6956" t="s">
        <v>53</v>
      </c>
    </row>
    <row r="6957" spans="2:42" x14ac:dyDescent="0.2">
      <c r="B6957" t="s">
        <v>44</v>
      </c>
      <c r="C6957" t="str">
        <f>HYPERLINK("https://us2.cloudbeds.com/connect/8493803454333002#/reservations/164171062104319?display=3HZ3Z54RZR&amp;reservation_id=164171062104319", "3HZ3Z54RZR")</f>
        <v>3HZ3Z54RZR</v>
      </c>
      <c r="D6957" t="s">
        <v>45</v>
      </c>
      <c r="E6957" t="s">
        <v>305</v>
      </c>
      <c r="F6957" t="s">
        <v>61</v>
      </c>
      <c r="G6957" t="s">
        <v>48</v>
      </c>
      <c r="H6957" t="s">
        <v>3957</v>
      </c>
      <c r="I6957" t="s">
        <v>3975</v>
      </c>
      <c r="J6957" t="s">
        <v>10881</v>
      </c>
      <c r="K6957" t="s">
        <v>10775</v>
      </c>
      <c r="L6957" t="s">
        <v>53</v>
      </c>
      <c r="P6957" t="s">
        <v>55</v>
      </c>
      <c r="R6957" t="s">
        <v>764</v>
      </c>
      <c r="T6957" t="s">
        <v>12541</v>
      </c>
      <c r="U6957" t="s">
        <v>58</v>
      </c>
      <c r="V6957">
        <v>2</v>
      </c>
      <c r="W6957">
        <v>1</v>
      </c>
      <c r="X6957">
        <v>2</v>
      </c>
      <c r="Y6957">
        <v>0</v>
      </c>
      <c r="Z6957">
        <v>2</v>
      </c>
      <c r="AA6957">
        <v>172.74</v>
      </c>
      <c r="AB6957">
        <v>172.74</v>
      </c>
      <c r="AC6957">
        <v>152</v>
      </c>
      <c r="AD6957">
        <v>0</v>
      </c>
      <c r="AE6957">
        <v>20.74</v>
      </c>
      <c r="AF6957">
        <v>0</v>
      </c>
      <c r="AG6957">
        <v>0</v>
      </c>
      <c r="AH6957">
        <v>0</v>
      </c>
      <c r="AI6957">
        <v>0</v>
      </c>
      <c r="AJ6957">
        <v>172.74</v>
      </c>
      <c r="AK6957">
        <v>0</v>
      </c>
      <c r="AL6957" t="s">
        <v>53</v>
      </c>
      <c r="AM6957" t="s">
        <v>53</v>
      </c>
      <c r="AN6957" t="s">
        <v>53</v>
      </c>
      <c r="AO6957" t="s">
        <v>53</v>
      </c>
      <c r="AP6957" t="s">
        <v>53</v>
      </c>
    </row>
    <row r="6958" spans="2:42" x14ac:dyDescent="0.2">
      <c r="B6958" t="s">
        <v>44</v>
      </c>
      <c r="C6958" t="str">
        <f>HYPERLINK("https://us2.cloudbeds.com/connect/8493803454333002#/reservations/9080486847078904?display=3HZPHNX4FW&amp;reservation_id=9080486847078904", "3HZPHNX4FW")</f>
        <v>3HZPHNX4FW</v>
      </c>
      <c r="D6958" t="s">
        <v>45</v>
      </c>
      <c r="E6958" t="s">
        <v>265</v>
      </c>
      <c r="F6958" t="s">
        <v>61</v>
      </c>
      <c r="G6958" t="s">
        <v>48</v>
      </c>
      <c r="H6958" t="s">
        <v>49</v>
      </c>
      <c r="I6958" t="s">
        <v>50</v>
      </c>
      <c r="J6958" t="s">
        <v>10881</v>
      </c>
      <c r="K6958" t="s">
        <v>11896</v>
      </c>
      <c r="L6958" t="s">
        <v>53</v>
      </c>
      <c r="N6958" t="s">
        <v>12542</v>
      </c>
      <c r="P6958" t="s">
        <v>55</v>
      </c>
      <c r="R6958" t="s">
        <v>53</v>
      </c>
      <c r="T6958" t="s">
        <v>12543</v>
      </c>
      <c r="U6958" t="s">
        <v>58</v>
      </c>
      <c r="V6958">
        <v>8</v>
      </c>
      <c r="W6958">
        <v>1</v>
      </c>
      <c r="X6958">
        <v>2</v>
      </c>
      <c r="Y6958">
        <v>0</v>
      </c>
      <c r="Z6958">
        <v>2</v>
      </c>
      <c r="AA6958">
        <v>578.98</v>
      </c>
      <c r="AB6958">
        <v>578.98</v>
      </c>
      <c r="AC6958">
        <v>509.45</v>
      </c>
      <c r="AD6958">
        <v>0</v>
      </c>
      <c r="AE6958">
        <v>69.53</v>
      </c>
      <c r="AF6958">
        <v>0</v>
      </c>
      <c r="AG6958">
        <v>0</v>
      </c>
      <c r="AH6958">
        <v>0</v>
      </c>
      <c r="AI6958">
        <v>104.22</v>
      </c>
      <c r="AJ6958">
        <v>578.98</v>
      </c>
      <c r="AK6958">
        <v>0</v>
      </c>
      <c r="AL6958" t="s">
        <v>53</v>
      </c>
      <c r="AM6958" t="s">
        <v>53</v>
      </c>
      <c r="AN6958" t="s">
        <v>53</v>
      </c>
      <c r="AO6958" t="s">
        <v>53</v>
      </c>
      <c r="AP6958" t="s">
        <v>53</v>
      </c>
    </row>
    <row r="6959" spans="2:42" x14ac:dyDescent="0.2">
      <c r="B6959" t="s">
        <v>44</v>
      </c>
      <c r="C6959" t="str">
        <f>HYPERLINK("https://us2.cloudbeds.com/connect/8493803454333002#/reservations/164203113144529?display=3HZSX4E99X&amp;reservation_id=164203113144529", "3HZSX4E99X")</f>
        <v>3HZSX4E99X</v>
      </c>
      <c r="D6959" t="s">
        <v>45</v>
      </c>
      <c r="E6959" t="s">
        <v>487</v>
      </c>
      <c r="F6959" t="s">
        <v>61</v>
      </c>
      <c r="G6959" t="s">
        <v>48</v>
      </c>
      <c r="H6959" t="s">
        <v>3957</v>
      </c>
      <c r="I6959" t="s">
        <v>3975</v>
      </c>
      <c r="J6959" t="s">
        <v>11206</v>
      </c>
      <c r="K6959" t="s">
        <v>10070</v>
      </c>
      <c r="L6959" t="s">
        <v>53</v>
      </c>
      <c r="P6959" t="s">
        <v>55</v>
      </c>
      <c r="R6959" t="s">
        <v>56</v>
      </c>
      <c r="T6959" t="s">
        <v>12544</v>
      </c>
      <c r="U6959" t="s">
        <v>58</v>
      </c>
      <c r="V6959">
        <v>3</v>
      </c>
      <c r="W6959">
        <v>1</v>
      </c>
      <c r="X6959">
        <v>1</v>
      </c>
      <c r="Y6959">
        <v>1</v>
      </c>
      <c r="Z6959">
        <v>2</v>
      </c>
      <c r="AA6959">
        <v>321.64999999999998</v>
      </c>
      <c r="AB6959">
        <v>321.64999999999998</v>
      </c>
      <c r="AC6959">
        <v>283</v>
      </c>
      <c r="AD6959">
        <v>0</v>
      </c>
      <c r="AE6959">
        <v>38.65</v>
      </c>
      <c r="AF6959">
        <v>0</v>
      </c>
      <c r="AG6959">
        <v>0</v>
      </c>
      <c r="AH6959">
        <v>0</v>
      </c>
      <c r="AI6959">
        <v>0</v>
      </c>
      <c r="AJ6959">
        <v>321.64999999999998</v>
      </c>
      <c r="AK6959">
        <v>0</v>
      </c>
      <c r="AL6959" t="s">
        <v>53</v>
      </c>
      <c r="AM6959" t="s">
        <v>53</v>
      </c>
      <c r="AN6959" t="s">
        <v>53</v>
      </c>
      <c r="AO6959" t="s">
        <v>53</v>
      </c>
      <c r="AP6959" t="s">
        <v>53</v>
      </c>
    </row>
    <row r="6960" spans="2:42" x14ac:dyDescent="0.2">
      <c r="B6960" t="s">
        <v>44</v>
      </c>
      <c r="C6960" t="str">
        <f>HYPERLINK("https://us2.cloudbeds.com/connect/8493803454333002#/reservations/9080486847079289?display=3HP7M6GJ91&amp;reservation_id=9080486847079289", "3HP7M6GJ91")</f>
        <v>3HP7M6GJ91</v>
      </c>
      <c r="D6960" t="s">
        <v>45</v>
      </c>
      <c r="E6960" t="s">
        <v>223</v>
      </c>
      <c r="F6960" t="s">
        <v>47</v>
      </c>
      <c r="G6960" t="s">
        <v>48</v>
      </c>
      <c r="H6960" t="s">
        <v>49</v>
      </c>
      <c r="I6960" t="s">
        <v>62</v>
      </c>
      <c r="J6960" t="s">
        <v>10038</v>
      </c>
      <c r="K6960" t="s">
        <v>10881</v>
      </c>
      <c r="L6960" t="s">
        <v>53</v>
      </c>
      <c r="N6960" t="s">
        <v>12545</v>
      </c>
      <c r="P6960" t="s">
        <v>55</v>
      </c>
      <c r="R6960" t="s">
        <v>56</v>
      </c>
      <c r="T6960" t="s">
        <v>12546</v>
      </c>
      <c r="U6960" t="s">
        <v>55</v>
      </c>
      <c r="V6960">
        <v>1</v>
      </c>
      <c r="W6960">
        <v>1</v>
      </c>
      <c r="X6960">
        <v>2</v>
      </c>
      <c r="Y6960">
        <v>0</v>
      </c>
      <c r="Z6960">
        <v>2</v>
      </c>
      <c r="AA6960">
        <v>64</v>
      </c>
      <c r="AB6960">
        <v>64</v>
      </c>
      <c r="AC6960">
        <v>64</v>
      </c>
      <c r="AD6960">
        <v>0</v>
      </c>
      <c r="AE6960">
        <v>0</v>
      </c>
      <c r="AF6960">
        <v>0</v>
      </c>
      <c r="AG6960">
        <v>0</v>
      </c>
      <c r="AH6960">
        <v>0</v>
      </c>
      <c r="AI6960">
        <v>11.52</v>
      </c>
      <c r="AJ6960">
        <v>64</v>
      </c>
      <c r="AK6960">
        <v>0</v>
      </c>
      <c r="AL6960" t="s">
        <v>53</v>
      </c>
      <c r="AM6960" t="s">
        <v>53</v>
      </c>
      <c r="AN6960" t="s">
        <v>53</v>
      </c>
      <c r="AO6960" t="s">
        <v>53</v>
      </c>
      <c r="AP6960" t="s">
        <v>53</v>
      </c>
    </row>
    <row r="6961" spans="2:42" x14ac:dyDescent="0.2">
      <c r="B6961" t="s">
        <v>44</v>
      </c>
      <c r="C6961" t="str">
        <f>HYPERLINK("https://us2.cloudbeds.com/connect/8493803454333002#/reservations/9080486847079879?display=3HQ0B7CTME&amp;reservation_id=9080486847079879", "3HQ0B7CTME")</f>
        <v>3HQ0B7CTME</v>
      </c>
      <c r="D6961" t="s">
        <v>45</v>
      </c>
      <c r="E6961" t="s">
        <v>165</v>
      </c>
      <c r="F6961" t="s">
        <v>61</v>
      </c>
      <c r="G6961" t="s">
        <v>48</v>
      </c>
      <c r="H6961" t="s">
        <v>49</v>
      </c>
      <c r="I6961" t="s">
        <v>50</v>
      </c>
      <c r="J6961" t="s">
        <v>10776</v>
      </c>
      <c r="K6961" t="s">
        <v>10779</v>
      </c>
      <c r="L6961" t="s">
        <v>53</v>
      </c>
      <c r="N6961" t="s">
        <v>12547</v>
      </c>
      <c r="P6961" t="s">
        <v>55</v>
      </c>
      <c r="R6961" t="s">
        <v>53</v>
      </c>
      <c r="T6961" t="s">
        <v>12548</v>
      </c>
      <c r="U6961" t="s">
        <v>58</v>
      </c>
      <c r="V6961">
        <v>1</v>
      </c>
      <c r="W6961">
        <v>1</v>
      </c>
      <c r="X6961">
        <v>2</v>
      </c>
      <c r="Y6961">
        <v>0</v>
      </c>
      <c r="Z6961">
        <v>2</v>
      </c>
      <c r="AA6961">
        <v>74.67</v>
      </c>
      <c r="AB6961">
        <v>74.67</v>
      </c>
      <c r="AC6961">
        <v>65.7</v>
      </c>
      <c r="AD6961">
        <v>0</v>
      </c>
      <c r="AE6961">
        <v>8.9700000000000006</v>
      </c>
      <c r="AF6961">
        <v>0</v>
      </c>
      <c r="AG6961">
        <v>0</v>
      </c>
      <c r="AH6961">
        <v>0</v>
      </c>
      <c r="AI6961">
        <v>13.44</v>
      </c>
      <c r="AJ6961">
        <v>74.67</v>
      </c>
      <c r="AK6961">
        <v>0</v>
      </c>
      <c r="AL6961" t="s">
        <v>53</v>
      </c>
      <c r="AM6961" t="s">
        <v>53</v>
      </c>
      <c r="AN6961" t="s">
        <v>53</v>
      </c>
      <c r="AO6961" t="s">
        <v>53</v>
      </c>
      <c r="AP6961" t="s">
        <v>53</v>
      </c>
    </row>
    <row r="6962" spans="2:42" x14ac:dyDescent="0.2">
      <c r="B6962" t="s">
        <v>44</v>
      </c>
      <c r="C6962" t="str">
        <f>HYPERLINK("https://us2.cloudbeds.com/connect/8493803454333002#/reservations/9080486847080107?display=3HQ8QE03QW&amp;reservation_id=9080486847080107", "3HQ8QE03QW")</f>
        <v>3HQ8QE03QW</v>
      </c>
      <c r="D6962" t="s">
        <v>45</v>
      </c>
      <c r="E6962" t="s">
        <v>179</v>
      </c>
      <c r="F6962" t="s">
        <v>47</v>
      </c>
      <c r="G6962" t="s">
        <v>48</v>
      </c>
      <c r="H6962" t="s">
        <v>49</v>
      </c>
      <c r="I6962" t="s">
        <v>8964</v>
      </c>
      <c r="J6962" t="s">
        <v>10881</v>
      </c>
      <c r="K6962" t="s">
        <v>11863</v>
      </c>
      <c r="L6962" t="s">
        <v>53</v>
      </c>
      <c r="N6962" t="s">
        <v>12549</v>
      </c>
      <c r="P6962" t="s">
        <v>55</v>
      </c>
      <c r="R6962" t="s">
        <v>53</v>
      </c>
      <c r="T6962" t="s">
        <v>12550</v>
      </c>
      <c r="U6962" t="s">
        <v>55</v>
      </c>
      <c r="V6962">
        <v>1</v>
      </c>
      <c r="W6962">
        <v>1</v>
      </c>
      <c r="X6962">
        <v>2</v>
      </c>
      <c r="Y6962">
        <v>0</v>
      </c>
      <c r="Z6962">
        <v>2</v>
      </c>
      <c r="AA6962">
        <v>0</v>
      </c>
      <c r="AB6962">
        <v>0</v>
      </c>
      <c r="AC6962">
        <v>75</v>
      </c>
      <c r="AD6962">
        <v>0</v>
      </c>
      <c r="AE6962">
        <v>0</v>
      </c>
      <c r="AF6962">
        <v>0</v>
      </c>
      <c r="AG6962">
        <v>0</v>
      </c>
      <c r="AH6962">
        <v>0</v>
      </c>
      <c r="AI6962">
        <v>11.25</v>
      </c>
      <c r="AJ6962">
        <v>75</v>
      </c>
      <c r="AK6962">
        <v>75</v>
      </c>
      <c r="AL6962" t="s">
        <v>53</v>
      </c>
      <c r="AM6962" t="s">
        <v>53</v>
      </c>
      <c r="AN6962" t="s">
        <v>53</v>
      </c>
      <c r="AO6962" t="s">
        <v>53</v>
      </c>
      <c r="AP6962" t="s">
        <v>53</v>
      </c>
    </row>
    <row r="6963" spans="2:42" x14ac:dyDescent="0.2">
      <c r="B6963" t="s">
        <v>44</v>
      </c>
      <c r="C6963" t="str">
        <f>HYPERLINK("https://us2.cloudbeds.com/connect/8493803454333002#/reservations/9080486847080126?display=3HQ9PNT1VY&amp;reservation_id=9080486847080126", "3HQ9PNT1VY")</f>
        <v>3HQ9PNT1VY</v>
      </c>
      <c r="D6963" t="s">
        <v>45</v>
      </c>
      <c r="E6963" t="s">
        <v>373</v>
      </c>
      <c r="F6963" t="s">
        <v>47</v>
      </c>
      <c r="G6963" t="s">
        <v>48</v>
      </c>
      <c r="H6963" t="s">
        <v>49</v>
      </c>
      <c r="I6963" t="s">
        <v>50</v>
      </c>
      <c r="J6963" t="s">
        <v>10038</v>
      </c>
      <c r="K6963" t="s">
        <v>10881</v>
      </c>
      <c r="L6963" t="s">
        <v>53</v>
      </c>
      <c r="N6963" t="s">
        <v>12551</v>
      </c>
      <c r="P6963" t="s">
        <v>55</v>
      </c>
      <c r="R6963" t="s">
        <v>53</v>
      </c>
      <c r="T6963" t="s">
        <v>12552</v>
      </c>
      <c r="U6963" t="s">
        <v>58</v>
      </c>
      <c r="V6963">
        <v>1</v>
      </c>
      <c r="W6963">
        <v>1</v>
      </c>
      <c r="X6963">
        <v>2</v>
      </c>
      <c r="Y6963">
        <v>0</v>
      </c>
      <c r="Z6963">
        <v>2</v>
      </c>
      <c r="AA6963">
        <v>58.18</v>
      </c>
      <c r="AB6963">
        <v>58.18</v>
      </c>
      <c r="AC6963">
        <v>51.2</v>
      </c>
      <c r="AD6963">
        <v>0</v>
      </c>
      <c r="AE6963">
        <v>6.98</v>
      </c>
      <c r="AF6963">
        <v>0</v>
      </c>
      <c r="AG6963">
        <v>0</v>
      </c>
      <c r="AH6963">
        <v>0</v>
      </c>
      <c r="AI6963">
        <v>10.47</v>
      </c>
      <c r="AJ6963">
        <v>58.18</v>
      </c>
      <c r="AK6963">
        <v>0</v>
      </c>
      <c r="AL6963" t="s">
        <v>53</v>
      </c>
      <c r="AM6963" t="s">
        <v>53</v>
      </c>
      <c r="AN6963" t="s">
        <v>53</v>
      </c>
      <c r="AO6963" t="s">
        <v>53</v>
      </c>
      <c r="AP6963" t="s">
        <v>53</v>
      </c>
    </row>
    <row r="6964" spans="2:42" x14ac:dyDescent="0.2">
      <c r="B6964" t="s">
        <v>44</v>
      </c>
      <c r="C6964" t="str">
        <f>HYPERLINK("https://us2.cloudbeds.com/connect/8493803454333002#/reservations/9080486847080541?display=3HQPRYC3DP&amp;reservation_id=9080486847080541", "3HQPRYC3DP")</f>
        <v>3HQPRYC3DP</v>
      </c>
      <c r="D6964" t="s">
        <v>45</v>
      </c>
      <c r="E6964" t="s">
        <v>381</v>
      </c>
      <c r="F6964" t="s">
        <v>47</v>
      </c>
      <c r="G6964" t="s">
        <v>48</v>
      </c>
      <c r="H6964" t="s">
        <v>49</v>
      </c>
      <c r="I6964" t="s">
        <v>50</v>
      </c>
      <c r="J6964" t="s">
        <v>10038</v>
      </c>
      <c r="K6964" t="s">
        <v>11863</v>
      </c>
      <c r="L6964" t="s">
        <v>53</v>
      </c>
      <c r="N6964" t="s">
        <v>12553</v>
      </c>
      <c r="P6964" t="s">
        <v>55</v>
      </c>
      <c r="R6964" t="s">
        <v>53</v>
      </c>
      <c r="T6964" t="s">
        <v>12554</v>
      </c>
      <c r="U6964" t="s">
        <v>58</v>
      </c>
      <c r="V6964">
        <v>2</v>
      </c>
      <c r="W6964">
        <v>1</v>
      </c>
      <c r="X6964">
        <v>2</v>
      </c>
      <c r="Y6964">
        <v>0</v>
      </c>
      <c r="Z6964">
        <v>2</v>
      </c>
      <c r="AA6964">
        <v>147.29</v>
      </c>
      <c r="AB6964">
        <v>147.29</v>
      </c>
      <c r="AC6964">
        <v>129.6</v>
      </c>
      <c r="AD6964">
        <v>0</v>
      </c>
      <c r="AE6964">
        <v>17.690000000000001</v>
      </c>
      <c r="AF6964">
        <v>0</v>
      </c>
      <c r="AG6964">
        <v>0</v>
      </c>
      <c r="AH6964">
        <v>0</v>
      </c>
      <c r="AI6964">
        <v>26.51</v>
      </c>
      <c r="AJ6964">
        <v>147.29</v>
      </c>
      <c r="AK6964">
        <v>0</v>
      </c>
      <c r="AL6964" t="s">
        <v>53</v>
      </c>
      <c r="AM6964" t="s">
        <v>53</v>
      </c>
      <c r="AN6964" t="s">
        <v>53</v>
      </c>
      <c r="AO6964" t="s">
        <v>53</v>
      </c>
      <c r="AP6964" t="s">
        <v>53</v>
      </c>
    </row>
    <row r="6965" spans="2:42" x14ac:dyDescent="0.2">
      <c r="B6965" t="s">
        <v>44</v>
      </c>
      <c r="C6965" t="str">
        <f>HYPERLINK("https://us2.cloudbeds.com/connect/8493803454333002#/reservations/9080486847080662?display=3HQVXX5B6H&amp;reservation_id=9080486847080662", "3HQVXX5B6H")</f>
        <v>3HQVXX5B6H</v>
      </c>
      <c r="D6965" t="s">
        <v>45</v>
      </c>
      <c r="E6965" t="s">
        <v>223</v>
      </c>
      <c r="F6965" t="s">
        <v>47</v>
      </c>
      <c r="G6965" t="s">
        <v>48</v>
      </c>
      <c r="H6965" t="s">
        <v>49</v>
      </c>
      <c r="I6965" t="s">
        <v>8964</v>
      </c>
      <c r="J6965" t="s">
        <v>8866</v>
      </c>
      <c r="K6965" t="s">
        <v>11887</v>
      </c>
      <c r="L6965" t="s">
        <v>53</v>
      </c>
      <c r="N6965" t="s">
        <v>12555</v>
      </c>
      <c r="P6965" t="s">
        <v>55</v>
      </c>
      <c r="R6965" t="s">
        <v>53</v>
      </c>
      <c r="T6965" t="s">
        <v>12556</v>
      </c>
      <c r="U6965" t="s">
        <v>55</v>
      </c>
      <c r="V6965">
        <v>1</v>
      </c>
      <c r="W6965">
        <v>1</v>
      </c>
      <c r="X6965">
        <v>1</v>
      </c>
      <c r="Y6965">
        <v>0</v>
      </c>
      <c r="Z6965">
        <v>1</v>
      </c>
      <c r="AA6965">
        <v>117</v>
      </c>
      <c r="AB6965">
        <v>0</v>
      </c>
      <c r="AC6965">
        <v>117</v>
      </c>
      <c r="AD6965">
        <v>0</v>
      </c>
      <c r="AE6965">
        <v>0</v>
      </c>
      <c r="AF6965">
        <v>0</v>
      </c>
      <c r="AG6965">
        <v>0</v>
      </c>
      <c r="AH6965">
        <v>0</v>
      </c>
      <c r="AI6965">
        <v>17.55</v>
      </c>
      <c r="AJ6965">
        <v>117</v>
      </c>
      <c r="AK6965">
        <v>117</v>
      </c>
      <c r="AL6965" t="s">
        <v>53</v>
      </c>
      <c r="AM6965" t="s">
        <v>53</v>
      </c>
      <c r="AN6965" t="s">
        <v>53</v>
      </c>
      <c r="AO6965" t="s">
        <v>53</v>
      </c>
      <c r="AP6965" t="s">
        <v>53</v>
      </c>
    </row>
    <row r="6966" spans="2:42" x14ac:dyDescent="0.2">
      <c r="B6966" t="s">
        <v>44</v>
      </c>
      <c r="C6966" t="str">
        <f>HYPERLINK("https://us2.cloudbeds.com/connect/8493803454333002#/reservations/9080486847080956?display=3HRAVDKGP5&amp;reservation_id=9080486847080956", "3HRAVDKGP5")</f>
        <v>3HRAVDKGP5</v>
      </c>
      <c r="D6966" t="s">
        <v>45</v>
      </c>
      <c r="E6966" t="s">
        <v>155</v>
      </c>
      <c r="F6966" t="s">
        <v>86</v>
      </c>
      <c r="G6966" t="s">
        <v>48</v>
      </c>
      <c r="H6966" t="s">
        <v>49</v>
      </c>
      <c r="I6966" t="s">
        <v>62</v>
      </c>
      <c r="J6966" t="s">
        <v>10775</v>
      </c>
      <c r="K6966" t="s">
        <v>9658</v>
      </c>
      <c r="L6966" t="s">
        <v>53</v>
      </c>
      <c r="N6966" t="s">
        <v>12557</v>
      </c>
      <c r="P6966" t="s">
        <v>55</v>
      </c>
      <c r="R6966" t="s">
        <v>56</v>
      </c>
      <c r="T6966" t="s">
        <v>12558</v>
      </c>
      <c r="U6966" t="s">
        <v>55</v>
      </c>
      <c r="V6966">
        <v>1</v>
      </c>
      <c r="W6966">
        <v>1</v>
      </c>
      <c r="X6966">
        <v>2</v>
      </c>
      <c r="Y6966">
        <v>0</v>
      </c>
      <c r="Z6966">
        <v>2</v>
      </c>
      <c r="AA6966">
        <v>77</v>
      </c>
      <c r="AB6966">
        <v>77</v>
      </c>
      <c r="AC6966">
        <v>77</v>
      </c>
      <c r="AD6966">
        <v>0</v>
      </c>
      <c r="AE6966">
        <v>0</v>
      </c>
      <c r="AF6966">
        <v>0</v>
      </c>
      <c r="AG6966">
        <v>0</v>
      </c>
      <c r="AH6966">
        <v>0</v>
      </c>
      <c r="AI6966">
        <v>13.86</v>
      </c>
      <c r="AJ6966">
        <v>77</v>
      </c>
      <c r="AK6966">
        <v>0</v>
      </c>
      <c r="AL6966" t="s">
        <v>53</v>
      </c>
      <c r="AM6966" t="s">
        <v>53</v>
      </c>
      <c r="AN6966" t="s">
        <v>53</v>
      </c>
      <c r="AO6966" t="s">
        <v>53</v>
      </c>
      <c r="AP6966" t="s">
        <v>53</v>
      </c>
    </row>
    <row r="6967" spans="2:42" x14ac:dyDescent="0.2">
      <c r="B6967" t="s">
        <v>44</v>
      </c>
      <c r="C6967" t="str">
        <f>HYPERLINK("https://us2.cloudbeds.com/connect/8493803454333002#/reservations/9080486847083404?display=3HUNT0UCTG&amp;reservation_id=9080486847083404", "3HUNT0UCTG")</f>
        <v>3HUNT0UCTG</v>
      </c>
      <c r="D6967" t="s">
        <v>45</v>
      </c>
      <c r="E6967" t="s">
        <v>373</v>
      </c>
      <c r="F6967" t="s">
        <v>47</v>
      </c>
      <c r="G6967" t="s">
        <v>48</v>
      </c>
      <c r="H6967" t="s">
        <v>49</v>
      </c>
      <c r="I6967" t="s">
        <v>50</v>
      </c>
      <c r="J6967" t="s">
        <v>10881</v>
      </c>
      <c r="K6967" t="s">
        <v>11863</v>
      </c>
      <c r="L6967" t="s">
        <v>53</v>
      </c>
      <c r="N6967" t="s">
        <v>12559</v>
      </c>
      <c r="P6967" t="s">
        <v>55</v>
      </c>
      <c r="R6967" t="s">
        <v>53</v>
      </c>
      <c r="T6967" t="s">
        <v>12560</v>
      </c>
      <c r="U6967" t="s">
        <v>58</v>
      </c>
      <c r="V6967">
        <v>1</v>
      </c>
      <c r="W6967">
        <v>1</v>
      </c>
      <c r="X6967">
        <v>2</v>
      </c>
      <c r="Y6967">
        <v>0</v>
      </c>
      <c r="Z6967">
        <v>2</v>
      </c>
      <c r="AA6967">
        <v>73.650000000000006</v>
      </c>
      <c r="AB6967">
        <v>73.650000000000006</v>
      </c>
      <c r="AC6967">
        <v>64.8</v>
      </c>
      <c r="AD6967">
        <v>0</v>
      </c>
      <c r="AE6967">
        <v>8.85</v>
      </c>
      <c r="AF6967">
        <v>0</v>
      </c>
      <c r="AG6967">
        <v>0</v>
      </c>
      <c r="AH6967">
        <v>0</v>
      </c>
      <c r="AI6967">
        <v>13.26</v>
      </c>
      <c r="AJ6967">
        <v>73.650000000000006</v>
      </c>
      <c r="AK6967">
        <v>0</v>
      </c>
      <c r="AL6967" t="s">
        <v>53</v>
      </c>
      <c r="AM6967" t="s">
        <v>53</v>
      </c>
      <c r="AN6967" t="s">
        <v>53</v>
      </c>
      <c r="AO6967" t="s">
        <v>53</v>
      </c>
      <c r="AP6967" t="s">
        <v>53</v>
      </c>
    </row>
    <row r="6968" spans="2:42" x14ac:dyDescent="0.2">
      <c r="B6968" t="s">
        <v>44</v>
      </c>
      <c r="C6968" t="str">
        <f>HYPERLINK("https://us2.cloudbeds.com/connect/8493803454333002#/reservations/9080486847083491?display=3HUQTFHN1Q&amp;reservation_id=9080486847083491", "3HUQTFHN1Q")</f>
        <v>3HUQTFHN1Q</v>
      </c>
      <c r="D6968" t="s">
        <v>45</v>
      </c>
      <c r="E6968" t="s">
        <v>373</v>
      </c>
      <c r="F6968" t="s">
        <v>47</v>
      </c>
      <c r="G6968" t="s">
        <v>48</v>
      </c>
      <c r="H6968" t="s">
        <v>49</v>
      </c>
      <c r="I6968" t="s">
        <v>8964</v>
      </c>
      <c r="J6968" t="s">
        <v>12561</v>
      </c>
      <c r="K6968" t="s">
        <v>12562</v>
      </c>
      <c r="L6968" t="s">
        <v>53</v>
      </c>
      <c r="N6968" t="s">
        <v>12563</v>
      </c>
      <c r="P6968" t="s">
        <v>55</v>
      </c>
      <c r="R6968" t="s">
        <v>53</v>
      </c>
      <c r="T6968" t="s">
        <v>12564</v>
      </c>
      <c r="U6968" t="s">
        <v>55</v>
      </c>
      <c r="V6968">
        <v>1</v>
      </c>
      <c r="W6968">
        <v>1</v>
      </c>
      <c r="X6968">
        <v>2</v>
      </c>
      <c r="Y6968">
        <v>0</v>
      </c>
      <c r="Z6968">
        <v>2</v>
      </c>
      <c r="AA6968">
        <v>0</v>
      </c>
      <c r="AB6968">
        <v>0</v>
      </c>
      <c r="AC6968">
        <v>75</v>
      </c>
      <c r="AD6968">
        <v>0</v>
      </c>
      <c r="AE6968">
        <v>0</v>
      </c>
      <c r="AF6968">
        <v>0</v>
      </c>
      <c r="AG6968">
        <v>0</v>
      </c>
      <c r="AH6968">
        <v>0</v>
      </c>
      <c r="AI6968">
        <v>11.25</v>
      </c>
      <c r="AJ6968">
        <v>75</v>
      </c>
      <c r="AK6968">
        <v>75</v>
      </c>
      <c r="AL6968" t="s">
        <v>53</v>
      </c>
      <c r="AM6968" t="s">
        <v>53</v>
      </c>
      <c r="AN6968" t="s">
        <v>53</v>
      </c>
      <c r="AO6968" t="s">
        <v>53</v>
      </c>
      <c r="AP6968" t="s">
        <v>53</v>
      </c>
    </row>
    <row r="6969" spans="2:42" x14ac:dyDescent="0.2">
      <c r="B6969" t="s">
        <v>44</v>
      </c>
      <c r="C6969" t="str">
        <f>HYPERLINK("https://us2.cloudbeds.com/connect/8493803454333002#/reservations/9080486847083958?display=3HV7BX69ZK&amp;reservation_id=9080486847083958", "3HV7BX69ZK")</f>
        <v>3HV7BX69ZK</v>
      </c>
      <c r="D6969" t="s">
        <v>45</v>
      </c>
      <c r="E6969" t="s">
        <v>110</v>
      </c>
      <c r="F6969" t="s">
        <v>47</v>
      </c>
      <c r="G6969" t="s">
        <v>48</v>
      </c>
      <c r="H6969" t="s">
        <v>49</v>
      </c>
      <c r="I6969" t="s">
        <v>8964</v>
      </c>
      <c r="J6969" t="s">
        <v>12565</v>
      </c>
      <c r="K6969" t="s">
        <v>12566</v>
      </c>
      <c r="L6969" t="s">
        <v>53</v>
      </c>
      <c r="N6969" t="s">
        <v>12567</v>
      </c>
      <c r="P6969" t="s">
        <v>55</v>
      </c>
      <c r="R6969" t="s">
        <v>53</v>
      </c>
      <c r="T6969" t="s">
        <v>12568</v>
      </c>
      <c r="U6969" t="s">
        <v>55</v>
      </c>
      <c r="V6969">
        <v>3</v>
      </c>
      <c r="W6969">
        <v>1</v>
      </c>
      <c r="X6969">
        <v>1</v>
      </c>
      <c r="Y6969">
        <v>0</v>
      </c>
      <c r="Z6969">
        <v>1</v>
      </c>
      <c r="AA6969">
        <v>219</v>
      </c>
      <c r="AB6969">
        <v>0</v>
      </c>
      <c r="AC6969">
        <v>219</v>
      </c>
      <c r="AD6969">
        <v>0</v>
      </c>
      <c r="AE6969">
        <v>0</v>
      </c>
      <c r="AF6969">
        <v>0</v>
      </c>
      <c r="AG6969">
        <v>0</v>
      </c>
      <c r="AH6969">
        <v>0</v>
      </c>
      <c r="AI6969">
        <v>32.85</v>
      </c>
      <c r="AJ6969">
        <v>219</v>
      </c>
      <c r="AK6969">
        <v>219</v>
      </c>
      <c r="AL6969" t="s">
        <v>53</v>
      </c>
      <c r="AM6969" t="s">
        <v>53</v>
      </c>
      <c r="AN6969" t="s">
        <v>53</v>
      </c>
      <c r="AO6969" t="s">
        <v>53</v>
      </c>
      <c r="AP6969" t="s">
        <v>53</v>
      </c>
    </row>
    <row r="6970" spans="2:42" x14ac:dyDescent="0.2">
      <c r="B6970" t="s">
        <v>44</v>
      </c>
      <c r="C6970" t="str">
        <f>HYPERLINK("https://us2.cloudbeds.com/connect/8493803454333002#/reservations/9080486847084042?display=3HVA6Y14CP&amp;reservation_id=9080486847084042", "3HVA6Y14CP")</f>
        <v>3HVA6Y14CP</v>
      </c>
      <c r="D6970" t="s">
        <v>45</v>
      </c>
      <c r="E6970" t="s">
        <v>85</v>
      </c>
      <c r="F6970" t="s">
        <v>86</v>
      </c>
      <c r="G6970" t="s">
        <v>48</v>
      </c>
      <c r="H6970" t="s">
        <v>49</v>
      </c>
      <c r="I6970" t="s">
        <v>62</v>
      </c>
      <c r="J6970" t="s">
        <v>10881</v>
      </c>
      <c r="K6970" t="s">
        <v>10775</v>
      </c>
      <c r="L6970" t="s">
        <v>53</v>
      </c>
      <c r="N6970" t="s">
        <v>12569</v>
      </c>
      <c r="P6970" t="s">
        <v>55</v>
      </c>
      <c r="R6970" t="s">
        <v>56</v>
      </c>
      <c r="T6970" t="s">
        <v>12570</v>
      </c>
      <c r="U6970" t="s">
        <v>55</v>
      </c>
      <c r="V6970">
        <v>2</v>
      </c>
      <c r="W6970">
        <v>1</v>
      </c>
      <c r="X6970">
        <v>2</v>
      </c>
      <c r="Y6970">
        <v>0</v>
      </c>
      <c r="Z6970">
        <v>2</v>
      </c>
      <c r="AA6970">
        <v>176</v>
      </c>
      <c r="AB6970">
        <v>176</v>
      </c>
      <c r="AC6970">
        <v>176</v>
      </c>
      <c r="AD6970">
        <v>0</v>
      </c>
      <c r="AE6970">
        <v>0</v>
      </c>
      <c r="AF6970">
        <v>0</v>
      </c>
      <c r="AG6970">
        <v>0</v>
      </c>
      <c r="AH6970">
        <v>0</v>
      </c>
      <c r="AI6970">
        <v>31.68</v>
      </c>
      <c r="AJ6970">
        <v>176</v>
      </c>
      <c r="AK6970">
        <v>0</v>
      </c>
      <c r="AL6970" t="s">
        <v>53</v>
      </c>
      <c r="AM6970" t="s">
        <v>53</v>
      </c>
      <c r="AN6970" t="s">
        <v>53</v>
      </c>
      <c r="AO6970" t="s">
        <v>53</v>
      </c>
      <c r="AP6970" t="s">
        <v>53</v>
      </c>
    </row>
    <row r="6971" spans="2:42" x14ac:dyDescent="0.2">
      <c r="B6971" t="s">
        <v>44</v>
      </c>
      <c r="C6971" t="str">
        <f>HYPERLINK("https://us2.cloudbeds.com/connect/8493803454333002#/reservations/9080486847084105?display=3HVC0RUUQH&amp;reservation_id=9080486847084105", "3HVC0RUUQH")</f>
        <v>3HVC0RUUQH</v>
      </c>
      <c r="D6971" t="s">
        <v>45</v>
      </c>
      <c r="E6971" t="s">
        <v>155</v>
      </c>
      <c r="F6971" t="s">
        <v>86</v>
      </c>
      <c r="G6971" t="s">
        <v>48</v>
      </c>
      <c r="H6971" t="s">
        <v>49</v>
      </c>
      <c r="I6971" t="s">
        <v>50</v>
      </c>
      <c r="J6971" t="s">
        <v>11863</v>
      </c>
      <c r="K6971" t="s">
        <v>10775</v>
      </c>
      <c r="L6971" t="s">
        <v>53</v>
      </c>
      <c r="N6971" t="s">
        <v>12571</v>
      </c>
      <c r="P6971" t="s">
        <v>55</v>
      </c>
      <c r="R6971" t="s">
        <v>53</v>
      </c>
      <c r="T6971" t="s">
        <v>12572</v>
      </c>
      <c r="U6971" t="s">
        <v>58</v>
      </c>
      <c r="V6971">
        <v>1</v>
      </c>
      <c r="W6971">
        <v>1</v>
      </c>
      <c r="X6971">
        <v>2</v>
      </c>
      <c r="Y6971">
        <v>1</v>
      </c>
      <c r="Z6971">
        <v>3</v>
      </c>
      <c r="AA6971">
        <v>85.02</v>
      </c>
      <c r="AB6971">
        <v>85.02</v>
      </c>
      <c r="AC6971">
        <v>74.8</v>
      </c>
      <c r="AD6971">
        <v>0</v>
      </c>
      <c r="AE6971">
        <v>10.220000000000001</v>
      </c>
      <c r="AF6971">
        <v>0</v>
      </c>
      <c r="AG6971">
        <v>0</v>
      </c>
      <c r="AH6971">
        <v>0</v>
      </c>
      <c r="AI6971">
        <v>15.3</v>
      </c>
      <c r="AJ6971">
        <v>85.02</v>
      </c>
      <c r="AK6971">
        <v>0</v>
      </c>
      <c r="AL6971" t="s">
        <v>53</v>
      </c>
      <c r="AM6971" t="s">
        <v>53</v>
      </c>
      <c r="AN6971" t="s">
        <v>53</v>
      </c>
      <c r="AO6971" t="s">
        <v>53</v>
      </c>
      <c r="AP6971" t="s">
        <v>53</v>
      </c>
    </row>
    <row r="6972" spans="2:42" x14ac:dyDescent="0.2">
      <c r="B6972" t="s">
        <v>44</v>
      </c>
      <c r="C6972" t="str">
        <f>HYPERLINK("https://us2.cloudbeds.com/connect/8493803454333002#/reservations/9080486847084138?display=3HVCZ9N0RG&amp;reservation_id=9080486847084138", "3HVCZ9N0RG")</f>
        <v>3HVCZ9N0RG</v>
      </c>
      <c r="D6972" t="s">
        <v>45</v>
      </c>
      <c r="E6972" t="s">
        <v>487</v>
      </c>
      <c r="F6972" t="s">
        <v>61</v>
      </c>
      <c r="G6972" t="s">
        <v>48</v>
      </c>
      <c r="H6972" t="s">
        <v>49</v>
      </c>
      <c r="I6972" t="s">
        <v>50</v>
      </c>
      <c r="J6972" t="s">
        <v>12299</v>
      </c>
      <c r="K6972" t="s">
        <v>10590</v>
      </c>
      <c r="L6972" t="s">
        <v>53</v>
      </c>
      <c r="N6972" t="s">
        <v>12573</v>
      </c>
      <c r="P6972" t="s">
        <v>55</v>
      </c>
      <c r="R6972" t="s">
        <v>53</v>
      </c>
      <c r="T6972" t="s">
        <v>12574</v>
      </c>
      <c r="U6972" t="s">
        <v>58</v>
      </c>
      <c r="V6972">
        <v>2</v>
      </c>
      <c r="W6972">
        <v>1</v>
      </c>
      <c r="X6972">
        <v>2</v>
      </c>
      <c r="Y6972">
        <v>0</v>
      </c>
      <c r="Z6972">
        <v>2</v>
      </c>
      <c r="AA6972">
        <v>145</v>
      </c>
      <c r="AB6972">
        <v>145</v>
      </c>
      <c r="AC6972">
        <v>127.58</v>
      </c>
      <c r="AD6972">
        <v>0</v>
      </c>
      <c r="AE6972">
        <v>17.420000000000002</v>
      </c>
      <c r="AF6972">
        <v>0</v>
      </c>
      <c r="AG6972">
        <v>0</v>
      </c>
      <c r="AH6972">
        <v>0</v>
      </c>
      <c r="AI6972">
        <v>26.1</v>
      </c>
      <c r="AJ6972">
        <v>145</v>
      </c>
      <c r="AK6972">
        <v>0</v>
      </c>
      <c r="AL6972" t="s">
        <v>53</v>
      </c>
      <c r="AM6972" t="s">
        <v>53</v>
      </c>
      <c r="AN6972" t="s">
        <v>53</v>
      </c>
      <c r="AO6972" t="s">
        <v>53</v>
      </c>
      <c r="AP6972" t="s">
        <v>53</v>
      </c>
    </row>
    <row r="6973" spans="2:42" x14ac:dyDescent="0.2">
      <c r="B6973" t="s">
        <v>44</v>
      </c>
      <c r="C6973" t="str">
        <f>HYPERLINK("https://us2.cloudbeds.com/connect/8493803454333002#/reservations/164548668399810?display=3HWW3SPY9N&amp;reservation_id=164548668399810", "3HWW3SPY9N")</f>
        <v>3HWW3SPY9N</v>
      </c>
      <c r="D6973" t="s">
        <v>45</v>
      </c>
      <c r="E6973" t="s">
        <v>98</v>
      </c>
      <c r="F6973" t="s">
        <v>86</v>
      </c>
      <c r="G6973" t="s">
        <v>48</v>
      </c>
      <c r="H6973" t="s">
        <v>3957</v>
      </c>
      <c r="I6973" t="s">
        <v>3958</v>
      </c>
      <c r="J6973" t="s">
        <v>10881</v>
      </c>
      <c r="K6973" t="s">
        <v>11863</v>
      </c>
      <c r="L6973" t="s">
        <v>53</v>
      </c>
      <c r="P6973" t="s">
        <v>55</v>
      </c>
      <c r="R6973" t="s">
        <v>56</v>
      </c>
      <c r="T6973" t="s">
        <v>12575</v>
      </c>
      <c r="U6973" t="s">
        <v>58</v>
      </c>
      <c r="V6973">
        <v>1</v>
      </c>
      <c r="W6973">
        <v>1</v>
      </c>
      <c r="X6973">
        <v>1</v>
      </c>
      <c r="Y6973">
        <v>0</v>
      </c>
      <c r="Z6973">
        <v>1</v>
      </c>
      <c r="AA6973">
        <v>100.01</v>
      </c>
      <c r="AB6973">
        <v>100.01</v>
      </c>
      <c r="AC6973">
        <v>88</v>
      </c>
      <c r="AD6973">
        <v>0</v>
      </c>
      <c r="AE6973">
        <v>12.01</v>
      </c>
      <c r="AF6973">
        <v>0</v>
      </c>
      <c r="AG6973">
        <v>0</v>
      </c>
      <c r="AH6973">
        <v>0</v>
      </c>
      <c r="AI6973">
        <v>0</v>
      </c>
      <c r="AJ6973">
        <v>100.01</v>
      </c>
      <c r="AK6973">
        <v>0</v>
      </c>
      <c r="AL6973" t="s">
        <v>53</v>
      </c>
      <c r="AM6973" t="s">
        <v>53</v>
      </c>
      <c r="AN6973" t="s">
        <v>53</v>
      </c>
      <c r="AO6973" t="s">
        <v>53</v>
      </c>
      <c r="AP6973" t="s">
        <v>53</v>
      </c>
    </row>
    <row r="6974" spans="2:42" x14ac:dyDescent="0.2">
      <c r="B6974" t="s">
        <v>44</v>
      </c>
      <c r="C6974" t="str">
        <f>HYPERLINK("https://us2.cloudbeds.com/connect/8493803454333002#/reservations/9080486847085641?display=3HWWJDGMGE&amp;reservation_id=9080486847085641", "3HWWJDGMGE")</f>
        <v>3HWWJDGMGE</v>
      </c>
      <c r="D6974" t="s">
        <v>45</v>
      </c>
      <c r="E6974" t="s">
        <v>69</v>
      </c>
      <c r="F6974" t="s">
        <v>70</v>
      </c>
      <c r="G6974" t="s">
        <v>48</v>
      </c>
      <c r="H6974" t="s">
        <v>49</v>
      </c>
      <c r="I6974" t="s">
        <v>8964</v>
      </c>
      <c r="J6974" t="s">
        <v>10680</v>
      </c>
      <c r="K6974" t="s">
        <v>10681</v>
      </c>
      <c r="L6974" t="s">
        <v>53</v>
      </c>
      <c r="N6974" t="s">
        <v>12576</v>
      </c>
      <c r="P6974" t="s">
        <v>55</v>
      </c>
      <c r="R6974" t="s">
        <v>53</v>
      </c>
      <c r="T6974" t="s">
        <v>12577</v>
      </c>
      <c r="U6974" t="s">
        <v>55</v>
      </c>
      <c r="V6974">
        <v>1</v>
      </c>
      <c r="W6974">
        <v>1</v>
      </c>
      <c r="X6974">
        <v>2</v>
      </c>
      <c r="Y6974">
        <v>0</v>
      </c>
      <c r="Z6974">
        <v>2</v>
      </c>
      <c r="AA6974">
        <v>0</v>
      </c>
      <c r="AB6974">
        <v>0</v>
      </c>
      <c r="AC6974">
        <v>73</v>
      </c>
      <c r="AD6974">
        <v>0</v>
      </c>
      <c r="AE6974">
        <v>0</v>
      </c>
      <c r="AF6974">
        <v>0</v>
      </c>
      <c r="AG6974">
        <v>0</v>
      </c>
      <c r="AH6974">
        <v>0</v>
      </c>
      <c r="AI6974">
        <v>10.95</v>
      </c>
      <c r="AJ6974">
        <v>73</v>
      </c>
      <c r="AK6974">
        <v>73</v>
      </c>
      <c r="AL6974" t="s">
        <v>53</v>
      </c>
      <c r="AM6974" t="s">
        <v>53</v>
      </c>
      <c r="AN6974" t="s">
        <v>53</v>
      </c>
      <c r="AO6974" t="s">
        <v>53</v>
      </c>
      <c r="AP6974" t="s">
        <v>53</v>
      </c>
    </row>
    <row r="6975" spans="2:42" x14ac:dyDescent="0.2">
      <c r="B6975" t="s">
        <v>44</v>
      </c>
      <c r="C6975" t="str">
        <f>HYPERLINK("https://us2.cloudbeds.com/connect/8493803454333002#/reservations/164575615975646?display=3X0JWEMYWS&amp;reservation_id=164575615975646", "3X0JWEMYWS")</f>
        <v>3X0JWEMYWS</v>
      </c>
      <c r="D6975" t="s">
        <v>45</v>
      </c>
      <c r="E6975" t="s">
        <v>128</v>
      </c>
      <c r="F6975" t="s">
        <v>86</v>
      </c>
      <c r="G6975" t="s">
        <v>48</v>
      </c>
      <c r="H6975" t="s">
        <v>3957</v>
      </c>
      <c r="I6975" t="s">
        <v>3958</v>
      </c>
      <c r="J6975" t="s">
        <v>10881</v>
      </c>
      <c r="K6975" t="s">
        <v>11863</v>
      </c>
      <c r="L6975" t="s">
        <v>53</v>
      </c>
      <c r="P6975" t="s">
        <v>55</v>
      </c>
      <c r="R6975" t="s">
        <v>56</v>
      </c>
      <c r="T6975" t="s">
        <v>12578</v>
      </c>
      <c r="U6975" t="s">
        <v>58</v>
      </c>
      <c r="V6975">
        <v>1</v>
      </c>
      <c r="W6975">
        <v>1</v>
      </c>
      <c r="X6975">
        <v>1</v>
      </c>
      <c r="Y6975">
        <v>0</v>
      </c>
      <c r="Z6975">
        <v>1</v>
      </c>
      <c r="AA6975">
        <v>100.01</v>
      </c>
      <c r="AB6975">
        <v>100.01</v>
      </c>
      <c r="AC6975">
        <v>88</v>
      </c>
      <c r="AD6975">
        <v>0</v>
      </c>
      <c r="AE6975">
        <v>12.01</v>
      </c>
      <c r="AF6975">
        <v>0</v>
      </c>
      <c r="AG6975">
        <v>0</v>
      </c>
      <c r="AH6975">
        <v>0</v>
      </c>
      <c r="AI6975">
        <v>0</v>
      </c>
      <c r="AJ6975">
        <v>100.01</v>
      </c>
      <c r="AK6975">
        <v>0</v>
      </c>
      <c r="AL6975" t="s">
        <v>53</v>
      </c>
      <c r="AM6975" t="s">
        <v>53</v>
      </c>
      <c r="AN6975" t="s">
        <v>53</v>
      </c>
      <c r="AO6975" t="s">
        <v>53</v>
      </c>
      <c r="AP6975" t="s">
        <v>53</v>
      </c>
    </row>
    <row r="6976" spans="2:42" x14ac:dyDescent="0.2">
      <c r="B6976" t="s">
        <v>44</v>
      </c>
      <c r="C6976" t="str">
        <f>HYPERLINK("https://us2.cloudbeds.com/connect/8493803454333002#/reservations/9080486847086134?display=3X0KZZQXKU&amp;reservation_id=9080486847086134", "3X0KZZQXKU")</f>
        <v>3X0KZZQXKU</v>
      </c>
      <c r="D6976" t="s">
        <v>45</v>
      </c>
      <c r="E6976" t="s">
        <v>487</v>
      </c>
      <c r="F6976" t="s">
        <v>61</v>
      </c>
      <c r="G6976" t="s">
        <v>48</v>
      </c>
      <c r="H6976" t="s">
        <v>49</v>
      </c>
      <c r="I6976" t="s">
        <v>50</v>
      </c>
      <c r="J6976" t="s">
        <v>10881</v>
      </c>
      <c r="K6976" t="s">
        <v>11863</v>
      </c>
      <c r="L6976" t="s">
        <v>53</v>
      </c>
      <c r="N6976" t="s">
        <v>12579</v>
      </c>
      <c r="P6976" t="s">
        <v>55</v>
      </c>
      <c r="R6976" t="s">
        <v>53</v>
      </c>
      <c r="T6976" t="s">
        <v>12580</v>
      </c>
      <c r="U6976" t="s">
        <v>58</v>
      </c>
      <c r="V6976">
        <v>1</v>
      </c>
      <c r="W6976">
        <v>1</v>
      </c>
      <c r="X6976">
        <v>2</v>
      </c>
      <c r="Y6976">
        <v>0</v>
      </c>
      <c r="Z6976">
        <v>2</v>
      </c>
      <c r="AA6976">
        <v>96.14</v>
      </c>
      <c r="AB6976">
        <v>96.14</v>
      </c>
      <c r="AC6976">
        <v>84.6</v>
      </c>
      <c r="AD6976">
        <v>0</v>
      </c>
      <c r="AE6976">
        <v>11.54</v>
      </c>
      <c r="AF6976">
        <v>0</v>
      </c>
      <c r="AG6976">
        <v>0</v>
      </c>
      <c r="AH6976">
        <v>0</v>
      </c>
      <c r="AI6976">
        <v>17.309999999999999</v>
      </c>
      <c r="AJ6976">
        <v>96.14</v>
      </c>
      <c r="AK6976">
        <v>0</v>
      </c>
      <c r="AL6976" t="s">
        <v>53</v>
      </c>
      <c r="AM6976" t="s">
        <v>53</v>
      </c>
      <c r="AN6976" t="s">
        <v>53</v>
      </c>
      <c r="AO6976" t="s">
        <v>53</v>
      </c>
      <c r="AP6976" t="s">
        <v>53</v>
      </c>
    </row>
    <row r="6977" spans="2:42" x14ac:dyDescent="0.2">
      <c r="B6977" t="s">
        <v>44</v>
      </c>
      <c r="C6977" t="str">
        <f>HYPERLINK("https://us2.cloudbeds.com/connect/8493803454333002#/reservations/9080486847086563?display=3X17QFY9Z6&amp;reservation_id=9080486847086563", "3X17QFY9Z6")</f>
        <v>3X17QFY9Z6</v>
      </c>
      <c r="D6977" t="s">
        <v>45</v>
      </c>
      <c r="E6977" t="s">
        <v>155</v>
      </c>
      <c r="F6977" t="s">
        <v>86</v>
      </c>
      <c r="G6977" t="s">
        <v>48</v>
      </c>
      <c r="H6977" t="s">
        <v>49</v>
      </c>
      <c r="I6977" t="s">
        <v>8964</v>
      </c>
      <c r="J6977" t="s">
        <v>10881</v>
      </c>
      <c r="K6977" t="s">
        <v>11863</v>
      </c>
      <c r="L6977" t="s">
        <v>53</v>
      </c>
      <c r="N6977" t="s">
        <v>12581</v>
      </c>
      <c r="P6977" t="s">
        <v>55</v>
      </c>
      <c r="R6977" t="s">
        <v>53</v>
      </c>
      <c r="T6977" t="s">
        <v>12582</v>
      </c>
      <c r="U6977" t="s">
        <v>55</v>
      </c>
      <c r="V6977">
        <v>1</v>
      </c>
      <c r="W6977">
        <v>1</v>
      </c>
      <c r="X6977">
        <v>2</v>
      </c>
      <c r="Y6977">
        <v>0</v>
      </c>
      <c r="Z6977">
        <v>2</v>
      </c>
      <c r="AA6977">
        <v>0</v>
      </c>
      <c r="AB6977">
        <v>0</v>
      </c>
      <c r="AC6977">
        <v>90</v>
      </c>
      <c r="AD6977">
        <v>0</v>
      </c>
      <c r="AE6977">
        <v>0</v>
      </c>
      <c r="AF6977">
        <v>0</v>
      </c>
      <c r="AG6977">
        <v>0</v>
      </c>
      <c r="AH6977">
        <v>0</v>
      </c>
      <c r="AI6977">
        <v>13.5</v>
      </c>
      <c r="AJ6977">
        <v>90</v>
      </c>
      <c r="AK6977">
        <v>90</v>
      </c>
      <c r="AL6977" t="s">
        <v>53</v>
      </c>
      <c r="AM6977" t="s">
        <v>53</v>
      </c>
      <c r="AN6977" t="s">
        <v>53</v>
      </c>
      <c r="AO6977" t="s">
        <v>53</v>
      </c>
      <c r="AP6977" t="s">
        <v>53</v>
      </c>
    </row>
    <row r="6978" spans="2:42" x14ac:dyDescent="0.2">
      <c r="B6978" t="s">
        <v>44</v>
      </c>
      <c r="C6978" t="str">
        <f>HYPERLINK("https://us2.cloudbeds.com/connect/8493803454333002#/reservations/9080486847086679?display=3X1CT5M5ZY&amp;reservation_id=9080486847086679", "3X1CT5M5ZY")</f>
        <v>3X1CT5M5ZY</v>
      </c>
      <c r="D6978" t="s">
        <v>45</v>
      </c>
      <c r="E6978" t="s">
        <v>165</v>
      </c>
      <c r="F6978" t="s">
        <v>61</v>
      </c>
      <c r="G6978" t="s">
        <v>48</v>
      </c>
      <c r="H6978" t="s">
        <v>49</v>
      </c>
      <c r="I6978" t="s">
        <v>8964</v>
      </c>
      <c r="J6978" t="s">
        <v>9658</v>
      </c>
      <c r="K6978" t="s">
        <v>10776</v>
      </c>
      <c r="L6978" t="s">
        <v>53</v>
      </c>
      <c r="N6978" t="s">
        <v>12583</v>
      </c>
      <c r="P6978" t="s">
        <v>55</v>
      </c>
      <c r="R6978" t="s">
        <v>53</v>
      </c>
      <c r="T6978" t="s">
        <v>12584</v>
      </c>
      <c r="U6978" t="s">
        <v>55</v>
      </c>
      <c r="V6978">
        <v>1</v>
      </c>
      <c r="W6978">
        <v>1</v>
      </c>
      <c r="X6978">
        <v>2</v>
      </c>
      <c r="Y6978">
        <v>0</v>
      </c>
      <c r="Z6978">
        <v>2</v>
      </c>
      <c r="AA6978">
        <v>0</v>
      </c>
      <c r="AB6978">
        <v>0</v>
      </c>
      <c r="AC6978">
        <v>76</v>
      </c>
      <c r="AD6978">
        <v>0</v>
      </c>
      <c r="AE6978">
        <v>0</v>
      </c>
      <c r="AF6978">
        <v>0</v>
      </c>
      <c r="AG6978">
        <v>0</v>
      </c>
      <c r="AH6978">
        <v>0</v>
      </c>
      <c r="AI6978">
        <v>11.4</v>
      </c>
      <c r="AJ6978">
        <v>76</v>
      </c>
      <c r="AK6978">
        <v>76</v>
      </c>
      <c r="AL6978" t="s">
        <v>53</v>
      </c>
      <c r="AM6978" t="s">
        <v>53</v>
      </c>
      <c r="AN6978" t="s">
        <v>53</v>
      </c>
      <c r="AO6978" t="s">
        <v>53</v>
      </c>
      <c r="AP6978" t="s">
        <v>53</v>
      </c>
    </row>
    <row r="6979" spans="2:42" x14ac:dyDescent="0.2">
      <c r="B6979" t="s">
        <v>44</v>
      </c>
      <c r="C6979" t="str">
        <f>HYPERLINK("https://us2.cloudbeds.com/connect/8493803454333002#/reservations/9080486847086904?display=3X1NXMJ7DU&amp;reservation_id=9080486847086904", "3X1NXMJ7DU")</f>
        <v>3X1NXMJ7DU</v>
      </c>
      <c r="D6979" t="s">
        <v>45</v>
      </c>
      <c r="E6979" t="s">
        <v>128</v>
      </c>
      <c r="F6979" t="s">
        <v>86</v>
      </c>
      <c r="G6979" t="s">
        <v>48</v>
      </c>
      <c r="H6979" t="s">
        <v>49</v>
      </c>
      <c r="I6979" t="s">
        <v>50</v>
      </c>
      <c r="J6979" t="s">
        <v>10775</v>
      </c>
      <c r="K6979" t="s">
        <v>9658</v>
      </c>
      <c r="L6979" t="s">
        <v>53</v>
      </c>
      <c r="N6979" t="s">
        <v>12585</v>
      </c>
      <c r="P6979" t="s">
        <v>55</v>
      </c>
      <c r="R6979" t="s">
        <v>53</v>
      </c>
      <c r="T6979" t="s">
        <v>12586</v>
      </c>
      <c r="U6979" t="s">
        <v>58</v>
      </c>
      <c r="V6979">
        <v>1</v>
      </c>
      <c r="W6979">
        <v>1</v>
      </c>
      <c r="X6979">
        <v>2</v>
      </c>
      <c r="Y6979">
        <v>0</v>
      </c>
      <c r="Z6979">
        <v>2</v>
      </c>
      <c r="AA6979">
        <v>70.010000000000005</v>
      </c>
      <c r="AB6979">
        <v>70.010000000000005</v>
      </c>
      <c r="AC6979">
        <v>61.6</v>
      </c>
      <c r="AD6979">
        <v>0</v>
      </c>
      <c r="AE6979">
        <v>8.41</v>
      </c>
      <c r="AF6979">
        <v>0</v>
      </c>
      <c r="AG6979">
        <v>0</v>
      </c>
      <c r="AH6979">
        <v>0</v>
      </c>
      <c r="AI6979">
        <v>12.6</v>
      </c>
      <c r="AJ6979">
        <v>70.010000000000005</v>
      </c>
      <c r="AK6979">
        <v>0</v>
      </c>
      <c r="AL6979" t="s">
        <v>53</v>
      </c>
      <c r="AM6979" t="s">
        <v>53</v>
      </c>
      <c r="AN6979" t="s">
        <v>53</v>
      </c>
      <c r="AO6979" t="s">
        <v>53</v>
      </c>
      <c r="AP6979" t="s">
        <v>53</v>
      </c>
    </row>
    <row r="6980" spans="2:42" x14ac:dyDescent="0.2">
      <c r="B6980" t="s">
        <v>44</v>
      </c>
      <c r="C6980" t="str">
        <f>HYPERLINK("https://us2.cloudbeds.com/connect/8493803454333002#/reservations/9080486847087302?display=3X2AGXNQT6&amp;reservation_id=9080486847087302", "3X2AGXNQT6")</f>
        <v>3X2AGXNQT6</v>
      </c>
      <c r="D6980" t="s">
        <v>45</v>
      </c>
      <c r="E6980" t="s">
        <v>190</v>
      </c>
      <c r="F6980" t="s">
        <v>61</v>
      </c>
      <c r="G6980" t="s">
        <v>48</v>
      </c>
      <c r="H6980" t="s">
        <v>49</v>
      </c>
      <c r="I6980" t="s">
        <v>8964</v>
      </c>
      <c r="J6980" t="s">
        <v>11863</v>
      </c>
      <c r="K6980" t="s">
        <v>10775</v>
      </c>
      <c r="L6980" t="s">
        <v>53</v>
      </c>
      <c r="N6980" t="s">
        <v>12587</v>
      </c>
      <c r="P6980" t="s">
        <v>55</v>
      </c>
      <c r="R6980" t="s">
        <v>53</v>
      </c>
      <c r="T6980" t="s">
        <v>12588</v>
      </c>
      <c r="U6980" t="s">
        <v>55</v>
      </c>
      <c r="V6980">
        <v>1</v>
      </c>
      <c r="W6980">
        <v>1</v>
      </c>
      <c r="X6980">
        <v>2</v>
      </c>
      <c r="Y6980">
        <v>0</v>
      </c>
      <c r="Z6980">
        <v>2</v>
      </c>
      <c r="AA6980">
        <v>0</v>
      </c>
      <c r="AB6980">
        <v>0</v>
      </c>
      <c r="AC6980">
        <v>87</v>
      </c>
      <c r="AD6980">
        <v>0</v>
      </c>
      <c r="AE6980">
        <v>0</v>
      </c>
      <c r="AF6980">
        <v>0</v>
      </c>
      <c r="AG6980">
        <v>0</v>
      </c>
      <c r="AH6980">
        <v>0</v>
      </c>
      <c r="AI6980">
        <v>13.05</v>
      </c>
      <c r="AJ6980">
        <v>87</v>
      </c>
      <c r="AK6980">
        <v>87</v>
      </c>
      <c r="AL6980" t="s">
        <v>53</v>
      </c>
      <c r="AM6980" t="s">
        <v>53</v>
      </c>
      <c r="AN6980" t="s">
        <v>53</v>
      </c>
      <c r="AO6980" t="s">
        <v>53</v>
      </c>
      <c r="AP6980" t="s">
        <v>53</v>
      </c>
    </row>
    <row r="6981" spans="2:42" x14ac:dyDescent="0.2">
      <c r="B6981" t="s">
        <v>44</v>
      </c>
      <c r="C6981" t="str">
        <f>HYPERLINK("https://us2.cloudbeds.com/connect/8493803454333002#/reservations/9080486847087522?display=3X2Z6V2HYV&amp;reservation_id=9080486847087522", "3X2Z6V2HYV")</f>
        <v>3X2Z6V2HYV</v>
      </c>
      <c r="D6981" t="s">
        <v>45</v>
      </c>
      <c r="E6981" t="s">
        <v>98</v>
      </c>
      <c r="F6981" t="s">
        <v>86</v>
      </c>
      <c r="G6981" t="s">
        <v>48</v>
      </c>
      <c r="H6981" t="s">
        <v>49</v>
      </c>
      <c r="I6981" t="s">
        <v>50</v>
      </c>
      <c r="J6981" t="s">
        <v>11863</v>
      </c>
      <c r="K6981" t="s">
        <v>10775</v>
      </c>
      <c r="L6981" t="s">
        <v>53</v>
      </c>
      <c r="N6981" t="s">
        <v>12589</v>
      </c>
      <c r="P6981" t="s">
        <v>55</v>
      </c>
      <c r="R6981" t="s">
        <v>53</v>
      </c>
      <c r="T6981" t="s">
        <v>12590</v>
      </c>
      <c r="U6981" t="s">
        <v>58</v>
      </c>
      <c r="V6981">
        <v>1</v>
      </c>
      <c r="W6981">
        <v>1</v>
      </c>
      <c r="X6981">
        <v>2</v>
      </c>
      <c r="Y6981">
        <v>0</v>
      </c>
      <c r="Z6981">
        <v>2</v>
      </c>
      <c r="AA6981">
        <v>84.01</v>
      </c>
      <c r="AB6981">
        <v>84.01</v>
      </c>
      <c r="AC6981">
        <v>73.92</v>
      </c>
      <c r="AD6981">
        <v>0</v>
      </c>
      <c r="AE6981">
        <v>10.09</v>
      </c>
      <c r="AF6981">
        <v>0</v>
      </c>
      <c r="AG6981">
        <v>0</v>
      </c>
      <c r="AH6981">
        <v>0</v>
      </c>
      <c r="AI6981">
        <v>15.12</v>
      </c>
      <c r="AJ6981">
        <v>84.01</v>
      </c>
      <c r="AK6981">
        <v>0</v>
      </c>
      <c r="AL6981" t="s">
        <v>53</v>
      </c>
      <c r="AM6981" t="s">
        <v>53</v>
      </c>
      <c r="AN6981" t="s">
        <v>53</v>
      </c>
      <c r="AO6981" t="s">
        <v>53</v>
      </c>
      <c r="AP6981" t="s">
        <v>53</v>
      </c>
    </row>
    <row r="6982" spans="2:42" x14ac:dyDescent="0.2">
      <c r="B6982" t="s">
        <v>44</v>
      </c>
      <c r="C6982" t="str">
        <f>HYPERLINK("https://us2.cloudbeds.com/connect/8493803454333002#/reservations/9080486847089719?display=3X638KFERB&amp;reservation_id=9080486847089719", "3X638KFERB")</f>
        <v>3X638KFERB</v>
      </c>
      <c r="D6982" t="s">
        <v>45</v>
      </c>
      <c r="E6982" t="s">
        <v>373</v>
      </c>
      <c r="F6982" t="s">
        <v>47</v>
      </c>
      <c r="G6982" t="s">
        <v>48</v>
      </c>
      <c r="H6982" t="s">
        <v>49</v>
      </c>
      <c r="I6982" t="s">
        <v>50</v>
      </c>
      <c r="J6982" t="s">
        <v>11863</v>
      </c>
      <c r="K6982" t="s">
        <v>10776</v>
      </c>
      <c r="L6982" t="s">
        <v>53</v>
      </c>
      <c r="N6982" t="s">
        <v>12591</v>
      </c>
      <c r="P6982" t="s">
        <v>55</v>
      </c>
      <c r="R6982" t="s">
        <v>53</v>
      </c>
      <c r="T6982" t="s">
        <v>12592</v>
      </c>
      <c r="U6982" t="s">
        <v>58</v>
      </c>
      <c r="V6982">
        <v>3</v>
      </c>
      <c r="W6982">
        <v>1</v>
      </c>
      <c r="X6982">
        <v>2</v>
      </c>
      <c r="Y6982">
        <v>0</v>
      </c>
      <c r="Z6982">
        <v>2</v>
      </c>
      <c r="AA6982">
        <v>194.58</v>
      </c>
      <c r="AB6982">
        <v>194.58</v>
      </c>
      <c r="AC6982">
        <v>171.2</v>
      </c>
      <c r="AD6982">
        <v>0</v>
      </c>
      <c r="AE6982">
        <v>23.38</v>
      </c>
      <c r="AF6982">
        <v>0</v>
      </c>
      <c r="AG6982">
        <v>0</v>
      </c>
      <c r="AH6982">
        <v>0</v>
      </c>
      <c r="AI6982">
        <v>35.020000000000003</v>
      </c>
      <c r="AJ6982">
        <v>194.58</v>
      </c>
      <c r="AK6982">
        <v>0</v>
      </c>
      <c r="AL6982" t="s">
        <v>53</v>
      </c>
      <c r="AM6982" t="s">
        <v>53</v>
      </c>
      <c r="AN6982" t="s">
        <v>12593</v>
      </c>
      <c r="AO6982" t="s">
        <v>53</v>
      </c>
      <c r="AP6982" t="s">
        <v>53</v>
      </c>
    </row>
    <row r="6983" spans="2:42" x14ac:dyDescent="0.2">
      <c r="B6983" t="s">
        <v>44</v>
      </c>
      <c r="C6983" t="str">
        <f>HYPERLINK("https://us2.cloudbeds.com/connect/8493803454333002#/reservations/9080486847089735?display=3X63P7FDSC&amp;reservation_id=9080486847089735", "3X63P7FDSC")</f>
        <v>3X63P7FDSC</v>
      </c>
      <c r="D6983" t="s">
        <v>45</v>
      </c>
      <c r="E6983" t="s">
        <v>190</v>
      </c>
      <c r="F6983" t="s">
        <v>61</v>
      </c>
      <c r="G6983" t="s">
        <v>48</v>
      </c>
      <c r="H6983" t="s">
        <v>49</v>
      </c>
      <c r="I6983" t="s">
        <v>50</v>
      </c>
      <c r="J6983" t="s">
        <v>11998</v>
      </c>
      <c r="K6983" t="s">
        <v>11378</v>
      </c>
      <c r="L6983" t="s">
        <v>53</v>
      </c>
      <c r="N6983" t="s">
        <v>12594</v>
      </c>
      <c r="P6983" t="s">
        <v>55</v>
      </c>
      <c r="R6983" t="s">
        <v>53</v>
      </c>
      <c r="T6983" t="s">
        <v>12595</v>
      </c>
      <c r="U6983" t="s">
        <v>58</v>
      </c>
      <c r="V6983">
        <v>3</v>
      </c>
      <c r="W6983">
        <v>1</v>
      </c>
      <c r="X6983">
        <v>2</v>
      </c>
      <c r="Y6983">
        <v>0</v>
      </c>
      <c r="Z6983">
        <v>2</v>
      </c>
      <c r="AA6983">
        <v>319.37</v>
      </c>
      <c r="AB6983">
        <v>319.37</v>
      </c>
      <c r="AC6983">
        <v>281.01</v>
      </c>
      <c r="AD6983">
        <v>0</v>
      </c>
      <c r="AE6983">
        <v>38.36</v>
      </c>
      <c r="AF6983">
        <v>0</v>
      </c>
      <c r="AG6983">
        <v>0</v>
      </c>
      <c r="AH6983">
        <v>0</v>
      </c>
      <c r="AI6983">
        <v>57.49</v>
      </c>
      <c r="AJ6983">
        <v>319.37</v>
      </c>
      <c r="AK6983">
        <v>0</v>
      </c>
      <c r="AL6983" t="s">
        <v>53</v>
      </c>
      <c r="AM6983" t="s">
        <v>53</v>
      </c>
      <c r="AN6983" t="s">
        <v>53</v>
      </c>
      <c r="AO6983" t="s">
        <v>53</v>
      </c>
      <c r="AP6983" t="s">
        <v>53</v>
      </c>
    </row>
    <row r="6984" spans="2:42" x14ac:dyDescent="0.2">
      <c r="B6984" t="s">
        <v>44</v>
      </c>
      <c r="C6984" t="str">
        <f>HYPERLINK("https://us2.cloudbeds.com/connect/8493803454333002#/reservations/164832322728080?display=3X6KZTKFCS&amp;reservation_id=164832322728080", "3X6KZTKFCS")</f>
        <v>3X6KZTKFCS</v>
      </c>
      <c r="D6984" t="s">
        <v>45</v>
      </c>
      <c r="E6984" t="s">
        <v>46</v>
      </c>
      <c r="F6984" t="s">
        <v>47</v>
      </c>
      <c r="G6984" t="s">
        <v>48</v>
      </c>
      <c r="H6984" t="s">
        <v>3957</v>
      </c>
      <c r="I6984" t="s">
        <v>3975</v>
      </c>
      <c r="J6984" t="s">
        <v>11863</v>
      </c>
      <c r="K6984" t="s">
        <v>10775</v>
      </c>
      <c r="L6984" t="s">
        <v>53</v>
      </c>
      <c r="P6984" t="s">
        <v>55</v>
      </c>
      <c r="R6984" t="s">
        <v>56</v>
      </c>
      <c r="T6984" t="s">
        <v>12596</v>
      </c>
      <c r="U6984" t="s">
        <v>58</v>
      </c>
      <c r="V6984">
        <v>1</v>
      </c>
      <c r="W6984">
        <v>1</v>
      </c>
      <c r="X6984">
        <v>2</v>
      </c>
      <c r="Y6984">
        <v>0</v>
      </c>
      <c r="Z6984">
        <v>2</v>
      </c>
      <c r="AA6984">
        <v>81.83</v>
      </c>
      <c r="AB6984">
        <v>81.83</v>
      </c>
      <c r="AC6984">
        <v>72</v>
      </c>
      <c r="AD6984">
        <v>0</v>
      </c>
      <c r="AE6984">
        <v>9.83</v>
      </c>
      <c r="AF6984">
        <v>0</v>
      </c>
      <c r="AG6984">
        <v>0</v>
      </c>
      <c r="AH6984">
        <v>0</v>
      </c>
      <c r="AI6984">
        <v>0</v>
      </c>
      <c r="AJ6984">
        <v>81.83</v>
      </c>
      <c r="AK6984">
        <v>0</v>
      </c>
      <c r="AL6984" t="s">
        <v>53</v>
      </c>
      <c r="AM6984" t="s">
        <v>53</v>
      </c>
      <c r="AN6984" t="s">
        <v>53</v>
      </c>
      <c r="AO6984" t="s">
        <v>53</v>
      </c>
      <c r="AP6984" t="s">
        <v>53</v>
      </c>
    </row>
    <row r="6985" spans="2:42" x14ac:dyDescent="0.2">
      <c r="B6985" t="s">
        <v>44</v>
      </c>
      <c r="C6985" t="str">
        <f>HYPERLINK("https://us2.cloudbeds.com/connect/8493803454333002#/reservations/164836499165406?display=3X6NWK9WNN&amp;reservation_id=164836499165406", "3X6NWK9WNN")</f>
        <v>3X6NWK9WNN</v>
      </c>
      <c r="D6985" t="s">
        <v>45</v>
      </c>
      <c r="E6985" t="s">
        <v>110</v>
      </c>
      <c r="F6985" t="s">
        <v>47</v>
      </c>
      <c r="G6985" t="s">
        <v>48</v>
      </c>
      <c r="H6985" t="s">
        <v>3957</v>
      </c>
      <c r="I6985" t="s">
        <v>3975</v>
      </c>
      <c r="J6985" t="s">
        <v>10776</v>
      </c>
      <c r="K6985" t="s">
        <v>10779</v>
      </c>
      <c r="L6985" t="s">
        <v>53</v>
      </c>
      <c r="P6985" t="s">
        <v>55</v>
      </c>
      <c r="R6985" t="s">
        <v>56</v>
      </c>
      <c r="T6985" t="s">
        <v>12597</v>
      </c>
      <c r="U6985" t="s">
        <v>58</v>
      </c>
      <c r="V6985">
        <v>1</v>
      </c>
      <c r="W6985">
        <v>1</v>
      </c>
      <c r="X6985">
        <v>1</v>
      </c>
      <c r="Y6985">
        <v>0</v>
      </c>
      <c r="Z6985">
        <v>1</v>
      </c>
      <c r="AA6985">
        <v>80.7</v>
      </c>
      <c r="AB6985">
        <v>80.7</v>
      </c>
      <c r="AC6985">
        <v>71</v>
      </c>
      <c r="AD6985">
        <v>0</v>
      </c>
      <c r="AE6985">
        <v>9.6999999999999993</v>
      </c>
      <c r="AF6985">
        <v>0</v>
      </c>
      <c r="AG6985">
        <v>0</v>
      </c>
      <c r="AH6985">
        <v>0</v>
      </c>
      <c r="AI6985">
        <v>0</v>
      </c>
      <c r="AJ6985">
        <v>80.7</v>
      </c>
      <c r="AK6985">
        <v>0</v>
      </c>
      <c r="AL6985" t="s">
        <v>53</v>
      </c>
      <c r="AM6985" t="s">
        <v>53</v>
      </c>
      <c r="AN6985" t="s">
        <v>53</v>
      </c>
      <c r="AO6985" t="s">
        <v>53</v>
      </c>
      <c r="AP6985" t="s">
        <v>53</v>
      </c>
    </row>
    <row r="6986" spans="2:42" x14ac:dyDescent="0.2">
      <c r="B6986" t="s">
        <v>44</v>
      </c>
      <c r="C6986" t="str">
        <f>HYPERLINK("https://us2.cloudbeds.com/connect/8493803454333002#/reservations/9080486847090601?display=3X70N8JUS5&amp;reservation_id=9080486847090601", "3X70N8JUS5")</f>
        <v>3X70N8JUS5</v>
      </c>
      <c r="D6986" t="s">
        <v>45</v>
      </c>
      <c r="E6986" t="s">
        <v>406</v>
      </c>
      <c r="F6986" t="s">
        <v>61</v>
      </c>
      <c r="G6986" t="s">
        <v>48</v>
      </c>
      <c r="H6986" t="s">
        <v>49</v>
      </c>
      <c r="I6986" t="s">
        <v>50</v>
      </c>
      <c r="J6986" t="s">
        <v>12299</v>
      </c>
      <c r="K6986" t="s">
        <v>10590</v>
      </c>
      <c r="L6986" t="s">
        <v>53</v>
      </c>
      <c r="N6986" t="s">
        <v>12598</v>
      </c>
      <c r="P6986" t="s">
        <v>55</v>
      </c>
      <c r="R6986" t="s">
        <v>53</v>
      </c>
      <c r="T6986" t="s">
        <v>12599</v>
      </c>
      <c r="U6986" t="s">
        <v>58</v>
      </c>
      <c r="V6986">
        <v>2</v>
      </c>
      <c r="W6986">
        <v>1</v>
      </c>
      <c r="X6986">
        <v>2</v>
      </c>
      <c r="Y6986">
        <v>0</v>
      </c>
      <c r="Z6986">
        <v>2</v>
      </c>
      <c r="AA6986">
        <v>163.66</v>
      </c>
      <c r="AB6986">
        <v>163.66</v>
      </c>
      <c r="AC6986">
        <v>144</v>
      </c>
      <c r="AD6986">
        <v>0</v>
      </c>
      <c r="AE6986">
        <v>19.66</v>
      </c>
      <c r="AF6986">
        <v>0</v>
      </c>
      <c r="AG6986">
        <v>0</v>
      </c>
      <c r="AH6986">
        <v>0</v>
      </c>
      <c r="AI6986">
        <v>29.46</v>
      </c>
      <c r="AJ6986">
        <v>163.66</v>
      </c>
      <c r="AK6986">
        <v>0</v>
      </c>
      <c r="AL6986" t="s">
        <v>53</v>
      </c>
      <c r="AM6986" t="s">
        <v>53</v>
      </c>
      <c r="AN6986" t="s">
        <v>53</v>
      </c>
      <c r="AO6986" t="s">
        <v>53</v>
      </c>
      <c r="AP6986" t="s">
        <v>53</v>
      </c>
    </row>
    <row r="6987" spans="2:42" x14ac:dyDescent="0.2">
      <c r="B6987" t="s">
        <v>44</v>
      </c>
      <c r="C6987" t="str">
        <f>HYPERLINK("https://us2.cloudbeds.com/connect/8493803454333002#/reservations/9080486847091284?display=3X7QC331NV&amp;reservation_id=9080486847091284", "3X7QC331NV")</f>
        <v>3X7QC331NV</v>
      </c>
      <c r="D6987" t="s">
        <v>45</v>
      </c>
      <c r="E6987" t="s">
        <v>265</v>
      </c>
      <c r="F6987" t="s">
        <v>61</v>
      </c>
      <c r="G6987" t="s">
        <v>48</v>
      </c>
      <c r="H6987" t="s">
        <v>49</v>
      </c>
      <c r="I6987" t="s">
        <v>50</v>
      </c>
      <c r="J6987" t="s">
        <v>11896</v>
      </c>
      <c r="K6987" t="s">
        <v>10590</v>
      </c>
      <c r="L6987" t="s">
        <v>53</v>
      </c>
      <c r="N6987" t="s">
        <v>12600</v>
      </c>
      <c r="P6987" t="s">
        <v>55</v>
      </c>
      <c r="R6987" t="s">
        <v>53</v>
      </c>
      <c r="T6987" t="s">
        <v>12601</v>
      </c>
      <c r="U6987" t="s">
        <v>58</v>
      </c>
      <c r="V6987">
        <v>1</v>
      </c>
      <c r="W6987">
        <v>1</v>
      </c>
      <c r="X6987">
        <v>1</v>
      </c>
      <c r="Y6987">
        <v>0</v>
      </c>
      <c r="Z6987">
        <v>1</v>
      </c>
      <c r="AA6987">
        <v>75.78</v>
      </c>
      <c r="AB6987">
        <v>75.78</v>
      </c>
      <c r="AC6987">
        <v>66.69</v>
      </c>
      <c r="AD6987">
        <v>0</v>
      </c>
      <c r="AE6987">
        <v>9.09</v>
      </c>
      <c r="AF6987">
        <v>0</v>
      </c>
      <c r="AG6987">
        <v>0</v>
      </c>
      <c r="AH6987">
        <v>0</v>
      </c>
      <c r="AI6987">
        <v>13.64</v>
      </c>
      <c r="AJ6987">
        <v>75.78</v>
      </c>
      <c r="AK6987">
        <v>0</v>
      </c>
      <c r="AL6987" t="s">
        <v>53</v>
      </c>
      <c r="AM6987" t="s">
        <v>53</v>
      </c>
      <c r="AN6987" t="s">
        <v>53</v>
      </c>
      <c r="AO6987" t="s">
        <v>53</v>
      </c>
      <c r="AP6987" t="s">
        <v>53</v>
      </c>
    </row>
    <row r="6988" spans="2:42" x14ac:dyDescent="0.2">
      <c r="B6988" t="s">
        <v>44</v>
      </c>
      <c r="C6988" t="str">
        <f>HYPERLINK("https://us2.cloudbeds.com/connect/8493803454333002#/reservations/9080486847092432?display=3X9B6PUS2A&amp;reservation_id=9080486847092432", "3X9B6PUS2A")</f>
        <v>3X9B6PUS2A</v>
      </c>
      <c r="D6988" t="s">
        <v>45</v>
      </c>
      <c r="E6988" t="s">
        <v>69</v>
      </c>
      <c r="F6988" t="s">
        <v>70</v>
      </c>
      <c r="G6988" t="s">
        <v>48</v>
      </c>
      <c r="H6988" t="s">
        <v>49</v>
      </c>
      <c r="I6988" t="s">
        <v>50</v>
      </c>
      <c r="J6988" t="s">
        <v>10775</v>
      </c>
      <c r="K6988" t="s">
        <v>9658</v>
      </c>
      <c r="L6988" t="s">
        <v>53</v>
      </c>
      <c r="N6988" t="s">
        <v>12602</v>
      </c>
      <c r="P6988" t="s">
        <v>55</v>
      </c>
      <c r="R6988" t="s">
        <v>53</v>
      </c>
      <c r="T6988" t="s">
        <v>12603</v>
      </c>
      <c r="U6988" t="s">
        <v>58</v>
      </c>
      <c r="V6988">
        <v>1</v>
      </c>
      <c r="W6988">
        <v>1</v>
      </c>
      <c r="X6988">
        <v>1</v>
      </c>
      <c r="Y6988">
        <v>0</v>
      </c>
      <c r="Z6988">
        <v>1</v>
      </c>
      <c r="AA6988">
        <v>70.569999999999993</v>
      </c>
      <c r="AB6988">
        <v>70.569999999999993</v>
      </c>
      <c r="AC6988">
        <v>62.1</v>
      </c>
      <c r="AD6988">
        <v>0</v>
      </c>
      <c r="AE6988">
        <v>8.4700000000000006</v>
      </c>
      <c r="AF6988">
        <v>0</v>
      </c>
      <c r="AG6988">
        <v>0</v>
      </c>
      <c r="AH6988">
        <v>0</v>
      </c>
      <c r="AI6988">
        <v>12.7</v>
      </c>
      <c r="AJ6988">
        <v>70.569999999999993</v>
      </c>
      <c r="AK6988">
        <v>0</v>
      </c>
      <c r="AL6988" t="s">
        <v>53</v>
      </c>
      <c r="AM6988" t="s">
        <v>53</v>
      </c>
      <c r="AN6988" t="s">
        <v>53</v>
      </c>
      <c r="AO6988" t="s">
        <v>53</v>
      </c>
      <c r="AP6988" t="s">
        <v>53</v>
      </c>
    </row>
    <row r="6989" spans="2:42" x14ac:dyDescent="0.2">
      <c r="B6989" t="s">
        <v>44</v>
      </c>
      <c r="C6989" t="str">
        <f>HYPERLINK("https://us2.cloudbeds.com/connect/8493803454333002#/reservations/9080486847092515?display=3X9EN8FKRJ&amp;reservation_id=9080486847092515", "3X9EN8FKRJ")</f>
        <v>3X9EN8FKRJ</v>
      </c>
      <c r="D6989" t="s">
        <v>45</v>
      </c>
      <c r="E6989" t="s">
        <v>487</v>
      </c>
      <c r="F6989" t="s">
        <v>61</v>
      </c>
      <c r="G6989" t="s">
        <v>48</v>
      </c>
      <c r="H6989" t="s">
        <v>49</v>
      </c>
      <c r="I6989" t="s">
        <v>62</v>
      </c>
      <c r="J6989" t="s">
        <v>9658</v>
      </c>
      <c r="K6989" t="s">
        <v>10776</v>
      </c>
      <c r="L6989" t="s">
        <v>53</v>
      </c>
      <c r="N6989" t="s">
        <v>12604</v>
      </c>
      <c r="P6989" t="s">
        <v>55</v>
      </c>
      <c r="R6989" t="s">
        <v>1278</v>
      </c>
      <c r="T6989" t="s">
        <v>12605</v>
      </c>
      <c r="U6989" t="s">
        <v>55</v>
      </c>
      <c r="V6989">
        <v>1</v>
      </c>
      <c r="W6989">
        <v>1</v>
      </c>
      <c r="X6989">
        <v>2</v>
      </c>
      <c r="Y6989">
        <v>0</v>
      </c>
      <c r="Z6989">
        <v>2</v>
      </c>
      <c r="AA6989">
        <v>73</v>
      </c>
      <c r="AB6989">
        <v>73</v>
      </c>
      <c r="AC6989">
        <v>73</v>
      </c>
      <c r="AD6989">
        <v>0</v>
      </c>
      <c r="AE6989">
        <v>0</v>
      </c>
      <c r="AF6989">
        <v>0</v>
      </c>
      <c r="AG6989">
        <v>0</v>
      </c>
      <c r="AH6989">
        <v>0</v>
      </c>
      <c r="AI6989">
        <v>13.14</v>
      </c>
      <c r="AJ6989">
        <v>73</v>
      </c>
      <c r="AK6989">
        <v>0</v>
      </c>
      <c r="AL6989" t="s">
        <v>53</v>
      </c>
      <c r="AM6989" t="s">
        <v>53</v>
      </c>
      <c r="AN6989" t="s">
        <v>53</v>
      </c>
      <c r="AO6989" t="s">
        <v>53</v>
      </c>
      <c r="AP6989" t="s">
        <v>53</v>
      </c>
    </row>
    <row r="6990" spans="2:42" x14ac:dyDescent="0.2">
      <c r="B6990" t="s">
        <v>44</v>
      </c>
      <c r="C6990" t="str">
        <f>HYPERLINK("https://us2.cloudbeds.com/connect/8493803454333002#/reservations/9080486847092852?display=3X9VVGVXW7&amp;reservation_id=9080486847092852", "3X9VVGVXW7")</f>
        <v>3X9VVGVXW7</v>
      </c>
      <c r="D6990" t="s">
        <v>45</v>
      </c>
      <c r="E6990" t="s">
        <v>128</v>
      </c>
      <c r="F6990" t="s">
        <v>86</v>
      </c>
      <c r="G6990" t="s">
        <v>48</v>
      </c>
      <c r="H6990" t="s">
        <v>49</v>
      </c>
      <c r="I6990" t="s">
        <v>8964</v>
      </c>
      <c r="J6990" t="s">
        <v>10776</v>
      </c>
      <c r="K6990" t="s">
        <v>9659</v>
      </c>
      <c r="L6990" t="s">
        <v>53</v>
      </c>
      <c r="N6990" t="s">
        <v>12606</v>
      </c>
      <c r="P6990" t="s">
        <v>55</v>
      </c>
      <c r="R6990" t="s">
        <v>53</v>
      </c>
      <c r="T6990" t="s">
        <v>12607</v>
      </c>
      <c r="U6990" t="s">
        <v>55</v>
      </c>
      <c r="V6990">
        <v>2</v>
      </c>
      <c r="W6990">
        <v>1</v>
      </c>
      <c r="X6990">
        <v>4</v>
      </c>
      <c r="Y6990">
        <v>0</v>
      </c>
      <c r="Z6990">
        <v>4</v>
      </c>
      <c r="AA6990">
        <v>0</v>
      </c>
      <c r="AB6990">
        <v>0</v>
      </c>
      <c r="AC6990">
        <v>158</v>
      </c>
      <c r="AD6990">
        <v>0</v>
      </c>
      <c r="AE6990">
        <v>0</v>
      </c>
      <c r="AF6990">
        <v>0</v>
      </c>
      <c r="AG6990">
        <v>0</v>
      </c>
      <c r="AH6990">
        <v>0</v>
      </c>
      <c r="AI6990">
        <v>23.7</v>
      </c>
      <c r="AJ6990">
        <v>158</v>
      </c>
      <c r="AK6990">
        <v>158</v>
      </c>
      <c r="AL6990" t="s">
        <v>53</v>
      </c>
      <c r="AM6990" t="s">
        <v>53</v>
      </c>
      <c r="AN6990" t="s">
        <v>53</v>
      </c>
      <c r="AO6990" t="s">
        <v>53</v>
      </c>
      <c r="AP6990" t="s">
        <v>53</v>
      </c>
    </row>
    <row r="6991" spans="2:42" x14ac:dyDescent="0.2">
      <c r="B6991" t="s">
        <v>44</v>
      </c>
      <c r="C6991" t="str">
        <f>HYPERLINK("https://us2.cloudbeds.com/connect/8493803454333002#/reservations/9080486847092920?display=3XA29PTGRM&amp;reservation_id=9080486847092920", "3XA29PTGRM")</f>
        <v>3XA29PTGRM</v>
      </c>
      <c r="D6991" t="s">
        <v>45</v>
      </c>
      <c r="E6991" t="s">
        <v>190</v>
      </c>
      <c r="F6991" t="s">
        <v>61</v>
      </c>
      <c r="G6991" t="s">
        <v>48</v>
      </c>
      <c r="H6991" t="s">
        <v>49</v>
      </c>
      <c r="I6991" t="s">
        <v>50</v>
      </c>
      <c r="J6991" t="s">
        <v>10775</v>
      </c>
      <c r="K6991" t="s">
        <v>9658</v>
      </c>
      <c r="L6991" t="s">
        <v>53</v>
      </c>
      <c r="N6991" t="s">
        <v>12608</v>
      </c>
      <c r="P6991" t="s">
        <v>55</v>
      </c>
      <c r="R6991" t="s">
        <v>53</v>
      </c>
      <c r="T6991" t="s">
        <v>12609</v>
      </c>
      <c r="U6991" t="s">
        <v>58</v>
      </c>
      <c r="V6991">
        <v>1</v>
      </c>
      <c r="W6991">
        <v>1</v>
      </c>
      <c r="X6991">
        <v>2</v>
      </c>
      <c r="Y6991">
        <v>0</v>
      </c>
      <c r="Z6991">
        <v>2</v>
      </c>
      <c r="AA6991">
        <v>66.37</v>
      </c>
      <c r="AB6991">
        <v>66.37</v>
      </c>
      <c r="AC6991">
        <v>58.4</v>
      </c>
      <c r="AD6991">
        <v>0</v>
      </c>
      <c r="AE6991">
        <v>7.97</v>
      </c>
      <c r="AF6991">
        <v>0</v>
      </c>
      <c r="AG6991">
        <v>0</v>
      </c>
      <c r="AH6991">
        <v>0</v>
      </c>
      <c r="AI6991">
        <v>11.95</v>
      </c>
      <c r="AJ6991">
        <v>66.37</v>
      </c>
      <c r="AK6991">
        <v>0</v>
      </c>
      <c r="AL6991" t="s">
        <v>53</v>
      </c>
      <c r="AM6991" t="s">
        <v>53</v>
      </c>
      <c r="AN6991" t="s">
        <v>53</v>
      </c>
      <c r="AO6991" t="s">
        <v>53</v>
      </c>
      <c r="AP6991" t="s">
        <v>53</v>
      </c>
    </row>
    <row r="6992" spans="2:42" x14ac:dyDescent="0.2">
      <c r="B6992" t="s">
        <v>44</v>
      </c>
      <c r="C6992" t="str">
        <f>HYPERLINK("https://us2.cloudbeds.com/connect/8493803454333002#/reservations/164981541707949?display=3XA49Q0X0K&amp;reservation_id=164981541707949", "3XA49Q0X0K")</f>
        <v>3XA49Q0X0K</v>
      </c>
      <c r="D6992" t="s">
        <v>45</v>
      </c>
      <c r="E6992" t="s">
        <v>406</v>
      </c>
      <c r="F6992" t="s">
        <v>61</v>
      </c>
      <c r="G6992" t="s">
        <v>48</v>
      </c>
      <c r="H6992" t="s">
        <v>3957</v>
      </c>
      <c r="I6992" t="s">
        <v>3975</v>
      </c>
      <c r="J6992" t="s">
        <v>10775</v>
      </c>
      <c r="K6992" t="s">
        <v>10776</v>
      </c>
      <c r="L6992" t="s">
        <v>53</v>
      </c>
      <c r="P6992" t="s">
        <v>55</v>
      </c>
      <c r="R6992" t="s">
        <v>56</v>
      </c>
      <c r="T6992" t="s">
        <v>12610</v>
      </c>
      <c r="U6992" t="s">
        <v>58</v>
      </c>
      <c r="V6992">
        <v>2</v>
      </c>
      <c r="W6992">
        <v>1</v>
      </c>
      <c r="X6992">
        <v>2</v>
      </c>
      <c r="Y6992">
        <v>0</v>
      </c>
      <c r="Z6992">
        <v>2</v>
      </c>
      <c r="AA6992">
        <v>165.94</v>
      </c>
      <c r="AB6992">
        <v>165.94</v>
      </c>
      <c r="AC6992">
        <v>146</v>
      </c>
      <c r="AD6992">
        <v>0</v>
      </c>
      <c r="AE6992">
        <v>19.940000000000001</v>
      </c>
      <c r="AF6992">
        <v>0</v>
      </c>
      <c r="AG6992">
        <v>0</v>
      </c>
      <c r="AH6992">
        <v>0</v>
      </c>
      <c r="AI6992">
        <v>0</v>
      </c>
      <c r="AJ6992">
        <v>165.94</v>
      </c>
      <c r="AK6992">
        <v>0</v>
      </c>
      <c r="AL6992" t="s">
        <v>53</v>
      </c>
      <c r="AM6992" t="s">
        <v>53</v>
      </c>
      <c r="AN6992" t="s">
        <v>53</v>
      </c>
      <c r="AO6992" t="s">
        <v>53</v>
      </c>
      <c r="AP6992" t="s">
        <v>53</v>
      </c>
    </row>
    <row r="6993" spans="2:42" x14ac:dyDescent="0.2">
      <c r="B6993" t="s">
        <v>44</v>
      </c>
      <c r="C6993" t="str">
        <f>HYPERLINK("https://us2.cloudbeds.com/connect/8493803454333002#/reservations/9080486847093456?display=3XAVYJ30PT&amp;reservation_id=9080486847093456", "3XAVYJ30PT")</f>
        <v>3XAVYJ30PT</v>
      </c>
      <c r="D6993" t="s">
        <v>45</v>
      </c>
      <c r="E6993" t="s">
        <v>110</v>
      </c>
      <c r="F6993" t="s">
        <v>47</v>
      </c>
      <c r="G6993" t="s">
        <v>48</v>
      </c>
      <c r="H6993" t="s">
        <v>49</v>
      </c>
      <c r="I6993" t="s">
        <v>50</v>
      </c>
      <c r="J6993" t="s">
        <v>9659</v>
      </c>
      <c r="K6993" t="s">
        <v>12299</v>
      </c>
      <c r="L6993" t="s">
        <v>53</v>
      </c>
      <c r="N6993" t="s">
        <v>12611</v>
      </c>
      <c r="P6993" t="s">
        <v>55</v>
      </c>
      <c r="R6993" t="s">
        <v>53</v>
      </c>
      <c r="T6993" t="s">
        <v>12612</v>
      </c>
      <c r="U6993" t="s">
        <v>58</v>
      </c>
      <c r="V6993">
        <v>1</v>
      </c>
      <c r="W6993">
        <v>1</v>
      </c>
      <c r="X6993">
        <v>2</v>
      </c>
      <c r="Y6993">
        <v>0</v>
      </c>
      <c r="Z6993">
        <v>2</v>
      </c>
      <c r="AA6993">
        <v>68.59</v>
      </c>
      <c r="AB6993">
        <v>68.59</v>
      </c>
      <c r="AC6993">
        <v>60.35</v>
      </c>
      <c r="AD6993">
        <v>0</v>
      </c>
      <c r="AE6993">
        <v>8.24</v>
      </c>
      <c r="AF6993">
        <v>0</v>
      </c>
      <c r="AG6993">
        <v>0</v>
      </c>
      <c r="AH6993">
        <v>0</v>
      </c>
      <c r="AI6993">
        <v>12.35</v>
      </c>
      <c r="AJ6993">
        <v>68.59</v>
      </c>
      <c r="AK6993">
        <v>0</v>
      </c>
      <c r="AL6993" t="s">
        <v>53</v>
      </c>
      <c r="AM6993" t="s">
        <v>53</v>
      </c>
      <c r="AN6993" t="s">
        <v>53</v>
      </c>
      <c r="AO6993" t="s">
        <v>53</v>
      </c>
      <c r="AP6993" t="s">
        <v>53</v>
      </c>
    </row>
    <row r="6994" spans="2:42" x14ac:dyDescent="0.2">
      <c r="B6994" t="s">
        <v>44</v>
      </c>
      <c r="C6994" t="str">
        <f>HYPERLINK("https://us2.cloudbeds.com/connect/8493803454333002#/reservations/9080486847094856?display=3XDA6B74PU&amp;reservation_id=9080486847094856", "3XDA6B74PU")</f>
        <v>3XDA6B74PU</v>
      </c>
      <c r="D6994" t="s">
        <v>45</v>
      </c>
      <c r="E6994" t="s">
        <v>138</v>
      </c>
      <c r="F6994" t="s">
        <v>70</v>
      </c>
      <c r="G6994" t="s">
        <v>48</v>
      </c>
      <c r="H6994" t="s">
        <v>49</v>
      </c>
      <c r="I6994" t="s">
        <v>50</v>
      </c>
      <c r="J6994" t="s">
        <v>10591</v>
      </c>
      <c r="K6994" t="s">
        <v>11818</v>
      </c>
      <c r="L6994" t="s">
        <v>53</v>
      </c>
      <c r="N6994" t="s">
        <v>12613</v>
      </c>
      <c r="P6994" t="s">
        <v>55</v>
      </c>
      <c r="R6994" t="s">
        <v>53</v>
      </c>
      <c r="T6994" t="s">
        <v>12614</v>
      </c>
      <c r="U6994" t="s">
        <v>58</v>
      </c>
      <c r="V6994">
        <v>1</v>
      </c>
      <c r="W6994">
        <v>1</v>
      </c>
      <c r="X6994">
        <v>2</v>
      </c>
      <c r="Y6994">
        <v>0</v>
      </c>
      <c r="Z6994">
        <v>2</v>
      </c>
      <c r="AA6994">
        <v>59.1</v>
      </c>
      <c r="AB6994">
        <v>59.1</v>
      </c>
      <c r="AC6994">
        <v>52</v>
      </c>
      <c r="AD6994">
        <v>0</v>
      </c>
      <c r="AE6994">
        <v>7.1</v>
      </c>
      <c r="AF6994">
        <v>0</v>
      </c>
      <c r="AG6994">
        <v>0</v>
      </c>
      <c r="AH6994">
        <v>0</v>
      </c>
      <c r="AI6994">
        <v>10.64</v>
      </c>
      <c r="AJ6994">
        <v>59.1</v>
      </c>
      <c r="AK6994">
        <v>0</v>
      </c>
      <c r="AL6994" t="s">
        <v>53</v>
      </c>
      <c r="AM6994" t="s">
        <v>53</v>
      </c>
      <c r="AN6994" t="s">
        <v>53</v>
      </c>
      <c r="AO6994" t="s">
        <v>53</v>
      </c>
      <c r="AP6994" t="s">
        <v>53</v>
      </c>
    </row>
    <row r="6995" spans="2:42" x14ac:dyDescent="0.2">
      <c r="B6995" t="s">
        <v>44</v>
      </c>
      <c r="C6995" t="str">
        <f>HYPERLINK("https://us2.cloudbeds.com/connect/8493803454333002#/reservations/9080486847095724?display=3XEA7AZEB4&amp;reservation_id=9080486847095724", "3XEA7AZEB4")</f>
        <v>3XEA7AZEB4</v>
      </c>
      <c r="D6995" t="s">
        <v>45</v>
      </c>
      <c r="E6995" t="s">
        <v>305</v>
      </c>
      <c r="F6995" t="s">
        <v>61</v>
      </c>
      <c r="G6995" t="s">
        <v>48</v>
      </c>
      <c r="H6995" t="s">
        <v>49</v>
      </c>
      <c r="I6995" t="s">
        <v>50</v>
      </c>
      <c r="J6995" t="s">
        <v>10775</v>
      </c>
      <c r="K6995" t="s">
        <v>9658</v>
      </c>
      <c r="L6995" t="s">
        <v>53</v>
      </c>
      <c r="N6995" t="s">
        <v>12615</v>
      </c>
      <c r="P6995" t="s">
        <v>55</v>
      </c>
      <c r="R6995" t="s">
        <v>53</v>
      </c>
      <c r="T6995" t="s">
        <v>12616</v>
      </c>
      <c r="U6995" t="s">
        <v>58</v>
      </c>
      <c r="V6995">
        <v>1</v>
      </c>
      <c r="W6995">
        <v>1</v>
      </c>
      <c r="X6995">
        <v>1</v>
      </c>
      <c r="Y6995">
        <v>0</v>
      </c>
      <c r="Z6995">
        <v>1</v>
      </c>
      <c r="AA6995">
        <v>66.37</v>
      </c>
      <c r="AB6995">
        <v>66.37</v>
      </c>
      <c r="AC6995">
        <v>58.4</v>
      </c>
      <c r="AD6995">
        <v>0</v>
      </c>
      <c r="AE6995">
        <v>7.97</v>
      </c>
      <c r="AF6995">
        <v>0</v>
      </c>
      <c r="AG6995">
        <v>0</v>
      </c>
      <c r="AH6995">
        <v>0</v>
      </c>
      <c r="AI6995">
        <v>11.95</v>
      </c>
      <c r="AJ6995">
        <v>66.37</v>
      </c>
      <c r="AK6995">
        <v>0</v>
      </c>
      <c r="AL6995" t="s">
        <v>53</v>
      </c>
      <c r="AM6995" t="s">
        <v>53</v>
      </c>
      <c r="AN6995" t="s">
        <v>53</v>
      </c>
      <c r="AO6995" t="s">
        <v>53</v>
      </c>
      <c r="AP6995" t="s">
        <v>53</v>
      </c>
    </row>
    <row r="6996" spans="2:42" x14ac:dyDescent="0.2">
      <c r="B6996" t="s">
        <v>44</v>
      </c>
      <c r="C6996" t="str">
        <f>HYPERLINK("https://us2.cloudbeds.com/connect/8493803454333002#/reservations/9080486847096015?display=3XEJXN4R9C&amp;reservation_id=9080486847096015", "3XEJXN4R9C")</f>
        <v>3XEJXN4R9C</v>
      </c>
      <c r="D6996" t="s">
        <v>45</v>
      </c>
      <c r="E6996" t="s">
        <v>190</v>
      </c>
      <c r="F6996" t="s">
        <v>61</v>
      </c>
      <c r="G6996" t="s">
        <v>48</v>
      </c>
      <c r="H6996" t="s">
        <v>49</v>
      </c>
      <c r="I6996" t="s">
        <v>50</v>
      </c>
      <c r="J6996" t="s">
        <v>11818</v>
      </c>
      <c r="K6996" t="s">
        <v>11206</v>
      </c>
      <c r="L6996" t="s">
        <v>53</v>
      </c>
      <c r="N6996" t="s">
        <v>12617</v>
      </c>
      <c r="P6996" t="s">
        <v>55</v>
      </c>
      <c r="R6996" t="s">
        <v>53</v>
      </c>
      <c r="T6996" t="s">
        <v>12618</v>
      </c>
      <c r="U6996" t="s">
        <v>58</v>
      </c>
      <c r="V6996">
        <v>1</v>
      </c>
      <c r="W6996">
        <v>1</v>
      </c>
      <c r="X6996">
        <v>2</v>
      </c>
      <c r="Y6996">
        <v>0</v>
      </c>
      <c r="Z6996">
        <v>2</v>
      </c>
      <c r="AA6996">
        <v>70.52</v>
      </c>
      <c r="AB6996">
        <v>70.52</v>
      </c>
      <c r="AC6996">
        <v>62.05</v>
      </c>
      <c r="AD6996">
        <v>0</v>
      </c>
      <c r="AE6996">
        <v>8.4700000000000006</v>
      </c>
      <c r="AF6996">
        <v>0</v>
      </c>
      <c r="AG6996">
        <v>0</v>
      </c>
      <c r="AH6996">
        <v>0</v>
      </c>
      <c r="AI6996">
        <v>12.69</v>
      </c>
      <c r="AJ6996">
        <v>70.52</v>
      </c>
      <c r="AK6996">
        <v>0</v>
      </c>
      <c r="AL6996" t="s">
        <v>53</v>
      </c>
      <c r="AM6996" t="s">
        <v>53</v>
      </c>
      <c r="AN6996" t="s">
        <v>53</v>
      </c>
      <c r="AO6996" t="s">
        <v>53</v>
      </c>
      <c r="AP6996" t="s">
        <v>53</v>
      </c>
    </row>
    <row r="6997" spans="2:42" x14ac:dyDescent="0.2">
      <c r="B6997" t="s">
        <v>44</v>
      </c>
      <c r="C6997" t="str">
        <f>HYPERLINK("https://us2.cloudbeds.com/connect/8493803454333002#/reservations/9080486847096266?display=3XEQSY2TZR&amp;reservation_id=9080486847096266", "3XEQSY2TZR")</f>
        <v>3XEQSY2TZR</v>
      </c>
      <c r="D6997" t="s">
        <v>45</v>
      </c>
      <c r="E6997" t="s">
        <v>85</v>
      </c>
      <c r="F6997" t="s">
        <v>86</v>
      </c>
      <c r="G6997" t="s">
        <v>48</v>
      </c>
      <c r="H6997" t="s">
        <v>49</v>
      </c>
      <c r="I6997" t="s">
        <v>62</v>
      </c>
      <c r="J6997" t="s">
        <v>10775</v>
      </c>
      <c r="K6997" t="s">
        <v>9658</v>
      </c>
      <c r="L6997" t="s">
        <v>53</v>
      </c>
      <c r="N6997" t="s">
        <v>12619</v>
      </c>
      <c r="P6997" t="s">
        <v>55</v>
      </c>
      <c r="R6997" t="s">
        <v>56</v>
      </c>
      <c r="T6997" t="s">
        <v>12620</v>
      </c>
      <c r="U6997" t="s">
        <v>55</v>
      </c>
      <c r="V6997">
        <v>1</v>
      </c>
      <c r="W6997">
        <v>1</v>
      </c>
      <c r="X6997">
        <v>3</v>
      </c>
      <c r="Y6997">
        <v>0</v>
      </c>
      <c r="Z6997">
        <v>3</v>
      </c>
      <c r="AA6997">
        <v>77</v>
      </c>
      <c r="AB6997">
        <v>77</v>
      </c>
      <c r="AC6997">
        <v>77</v>
      </c>
      <c r="AD6997">
        <v>0</v>
      </c>
      <c r="AE6997">
        <v>0</v>
      </c>
      <c r="AF6997">
        <v>0</v>
      </c>
      <c r="AG6997">
        <v>0</v>
      </c>
      <c r="AH6997">
        <v>0</v>
      </c>
      <c r="AI6997">
        <v>13.86</v>
      </c>
      <c r="AJ6997">
        <v>77</v>
      </c>
      <c r="AK6997">
        <v>0</v>
      </c>
      <c r="AL6997" t="s">
        <v>53</v>
      </c>
      <c r="AM6997" t="s">
        <v>53</v>
      </c>
      <c r="AN6997" t="s">
        <v>53</v>
      </c>
      <c r="AO6997" t="s">
        <v>53</v>
      </c>
      <c r="AP6997" t="s">
        <v>53</v>
      </c>
    </row>
    <row r="6998" spans="2:42" x14ac:dyDescent="0.2">
      <c r="B6998" t="s">
        <v>44</v>
      </c>
      <c r="C6998" t="str">
        <f>HYPERLINK("https://us2.cloudbeds.com/connect/8493803454333002#/reservations/9080486847096499?display=3XF18SKWY1&amp;reservation_id=9080486847096499", "3XF18SKWY1")</f>
        <v>3XF18SKWY1</v>
      </c>
      <c r="D6998" t="s">
        <v>45</v>
      </c>
      <c r="E6998" t="s">
        <v>128</v>
      </c>
      <c r="F6998" t="s">
        <v>86</v>
      </c>
      <c r="G6998" t="s">
        <v>48</v>
      </c>
      <c r="H6998" t="s">
        <v>49</v>
      </c>
      <c r="I6998" t="s">
        <v>8964</v>
      </c>
      <c r="J6998" t="s">
        <v>11926</v>
      </c>
      <c r="K6998" t="s">
        <v>11382</v>
      </c>
      <c r="L6998" t="s">
        <v>53</v>
      </c>
      <c r="N6998" t="s">
        <v>12621</v>
      </c>
      <c r="P6998" t="s">
        <v>55</v>
      </c>
      <c r="R6998" t="s">
        <v>53</v>
      </c>
      <c r="T6998" t="s">
        <v>12622</v>
      </c>
      <c r="U6998" t="s">
        <v>55</v>
      </c>
      <c r="V6998">
        <v>1</v>
      </c>
      <c r="W6998">
        <v>1</v>
      </c>
      <c r="X6998">
        <v>4</v>
      </c>
      <c r="Y6998">
        <v>0</v>
      </c>
      <c r="Z6998">
        <v>4</v>
      </c>
      <c r="AA6998">
        <v>0</v>
      </c>
      <c r="AB6998">
        <v>0</v>
      </c>
      <c r="AC6998">
        <v>123</v>
      </c>
      <c r="AD6998">
        <v>0</v>
      </c>
      <c r="AE6998">
        <v>0</v>
      </c>
      <c r="AF6998">
        <v>0</v>
      </c>
      <c r="AG6998">
        <v>0</v>
      </c>
      <c r="AH6998">
        <v>0</v>
      </c>
      <c r="AI6998">
        <v>18.45</v>
      </c>
      <c r="AJ6998">
        <v>123</v>
      </c>
      <c r="AK6998">
        <v>123</v>
      </c>
      <c r="AL6998" t="s">
        <v>53</v>
      </c>
      <c r="AM6998" t="s">
        <v>53</v>
      </c>
      <c r="AN6998" t="s">
        <v>53</v>
      </c>
      <c r="AO6998" t="s">
        <v>53</v>
      </c>
      <c r="AP6998" t="s">
        <v>53</v>
      </c>
    </row>
    <row r="6999" spans="2:42" x14ac:dyDescent="0.2">
      <c r="B6999" t="s">
        <v>44</v>
      </c>
      <c r="C6999" t="str">
        <f>HYPERLINK("https://us2.cloudbeds.com/connect/8493803454333002#/reservations/9080486847096691?display=3XF6EJQSH3&amp;reservation_id=9080486847096691", "3XF6EJQSH3")</f>
        <v>3XF6EJQSH3</v>
      </c>
      <c r="D6999" t="s">
        <v>45</v>
      </c>
      <c r="E6999" t="s">
        <v>185</v>
      </c>
      <c r="F6999" t="s">
        <v>47</v>
      </c>
      <c r="G6999" t="s">
        <v>48</v>
      </c>
      <c r="H6999" t="s">
        <v>49</v>
      </c>
      <c r="I6999" t="s">
        <v>50</v>
      </c>
      <c r="J6999" t="s">
        <v>10724</v>
      </c>
      <c r="K6999" t="s">
        <v>11370</v>
      </c>
      <c r="L6999" t="s">
        <v>53</v>
      </c>
      <c r="N6999" t="s">
        <v>12623</v>
      </c>
      <c r="P6999" t="s">
        <v>55</v>
      </c>
      <c r="R6999" t="s">
        <v>53</v>
      </c>
      <c r="T6999" t="s">
        <v>12624</v>
      </c>
      <c r="U6999" t="s">
        <v>58</v>
      </c>
      <c r="V6999">
        <v>1</v>
      </c>
      <c r="W6999">
        <v>1</v>
      </c>
      <c r="X6999">
        <v>2</v>
      </c>
      <c r="Y6999">
        <v>0</v>
      </c>
      <c r="Z6999">
        <v>2</v>
      </c>
      <c r="AA6999">
        <v>69.540000000000006</v>
      </c>
      <c r="AB6999">
        <v>69.540000000000006</v>
      </c>
      <c r="AC6999">
        <v>61.2</v>
      </c>
      <c r="AD6999">
        <v>0</v>
      </c>
      <c r="AE6999">
        <v>8.34</v>
      </c>
      <c r="AF6999">
        <v>0</v>
      </c>
      <c r="AG6999">
        <v>0</v>
      </c>
      <c r="AH6999">
        <v>0</v>
      </c>
      <c r="AI6999">
        <v>12.52</v>
      </c>
      <c r="AJ6999">
        <v>69.540000000000006</v>
      </c>
      <c r="AK6999">
        <v>0</v>
      </c>
      <c r="AL6999" t="s">
        <v>53</v>
      </c>
      <c r="AM6999" t="s">
        <v>53</v>
      </c>
      <c r="AN6999" t="s">
        <v>53</v>
      </c>
      <c r="AO6999" t="s">
        <v>53</v>
      </c>
      <c r="AP6999" t="s">
        <v>53</v>
      </c>
    </row>
    <row r="7000" spans="2:42" x14ac:dyDescent="0.2">
      <c r="B7000" t="s">
        <v>44</v>
      </c>
      <c r="C7000" t="str">
        <f>HYPERLINK("https://us2.cloudbeds.com/connect/8493803454333002#/reservations/165219376840946?display=3XFNF0TNKV&amp;reservation_id=165219376840946", "3XFNF0TNKV")</f>
        <v>3XFNF0TNKV</v>
      </c>
      <c r="D7000" t="s">
        <v>45</v>
      </c>
      <c r="E7000" t="s">
        <v>190</v>
      </c>
      <c r="F7000" t="s">
        <v>61</v>
      </c>
      <c r="G7000" t="s">
        <v>48</v>
      </c>
      <c r="H7000" t="s">
        <v>3957</v>
      </c>
      <c r="I7000" t="s">
        <v>3989</v>
      </c>
      <c r="J7000" t="s">
        <v>9658</v>
      </c>
      <c r="K7000" t="s">
        <v>10776</v>
      </c>
      <c r="L7000" t="s">
        <v>53</v>
      </c>
      <c r="P7000" t="s">
        <v>55</v>
      </c>
      <c r="R7000" t="s">
        <v>56</v>
      </c>
      <c r="T7000" t="s">
        <v>12625</v>
      </c>
      <c r="U7000" t="s">
        <v>58</v>
      </c>
      <c r="V7000">
        <v>1</v>
      </c>
      <c r="W7000">
        <v>1</v>
      </c>
      <c r="X7000">
        <v>1</v>
      </c>
      <c r="Y7000">
        <v>0</v>
      </c>
      <c r="Z7000">
        <v>1</v>
      </c>
      <c r="AA7000">
        <v>82.97</v>
      </c>
      <c r="AB7000">
        <v>82.97</v>
      </c>
      <c r="AC7000">
        <v>73</v>
      </c>
      <c r="AD7000">
        <v>0</v>
      </c>
      <c r="AE7000">
        <v>9.9700000000000006</v>
      </c>
      <c r="AF7000">
        <v>0</v>
      </c>
      <c r="AG7000">
        <v>0</v>
      </c>
      <c r="AH7000">
        <v>0</v>
      </c>
      <c r="AI7000">
        <v>0</v>
      </c>
      <c r="AJ7000">
        <v>82.97</v>
      </c>
      <c r="AK7000">
        <v>0</v>
      </c>
      <c r="AL7000" t="s">
        <v>53</v>
      </c>
      <c r="AM7000" t="s">
        <v>53</v>
      </c>
      <c r="AN7000" t="s">
        <v>53</v>
      </c>
      <c r="AO7000" t="s">
        <v>53</v>
      </c>
      <c r="AP7000" t="s">
        <v>53</v>
      </c>
    </row>
    <row r="7001" spans="2:42" x14ac:dyDescent="0.2">
      <c r="B7001" t="s">
        <v>44</v>
      </c>
      <c r="C7001" t="str">
        <f>HYPERLINK("https://us2.cloudbeds.com/connect/8493803454333002#/reservations/9080486847097557?display=3XFW1UUTRV&amp;reservation_id=9080486847097557", "3XFW1UUTRV")</f>
        <v>3XFW1UUTRV</v>
      </c>
      <c r="D7001" t="s">
        <v>45</v>
      </c>
      <c r="E7001" t="s">
        <v>46</v>
      </c>
      <c r="F7001" t="s">
        <v>47</v>
      </c>
      <c r="G7001" t="s">
        <v>48</v>
      </c>
      <c r="H7001" t="s">
        <v>49</v>
      </c>
      <c r="I7001" t="s">
        <v>62</v>
      </c>
      <c r="J7001" t="s">
        <v>10775</v>
      </c>
      <c r="K7001" t="s">
        <v>10779</v>
      </c>
      <c r="L7001" t="s">
        <v>53</v>
      </c>
      <c r="N7001" t="s">
        <v>12626</v>
      </c>
      <c r="P7001" t="s">
        <v>55</v>
      </c>
      <c r="R7001" t="s">
        <v>56</v>
      </c>
      <c r="T7001" t="s">
        <v>12627</v>
      </c>
      <c r="U7001" t="s">
        <v>55</v>
      </c>
      <c r="V7001">
        <v>3</v>
      </c>
      <c r="W7001">
        <v>1</v>
      </c>
      <c r="X7001">
        <v>2</v>
      </c>
      <c r="Y7001">
        <v>0</v>
      </c>
      <c r="Z7001">
        <v>2</v>
      </c>
      <c r="AA7001">
        <v>213</v>
      </c>
      <c r="AB7001">
        <v>213</v>
      </c>
      <c r="AC7001">
        <v>213</v>
      </c>
      <c r="AD7001">
        <v>0</v>
      </c>
      <c r="AE7001">
        <v>0</v>
      </c>
      <c r="AF7001">
        <v>0</v>
      </c>
      <c r="AG7001">
        <v>0</v>
      </c>
      <c r="AH7001">
        <v>0</v>
      </c>
      <c r="AI7001">
        <v>38.340000000000003</v>
      </c>
      <c r="AJ7001">
        <v>213</v>
      </c>
      <c r="AK7001">
        <v>0</v>
      </c>
      <c r="AL7001" t="s">
        <v>53</v>
      </c>
      <c r="AM7001" t="s">
        <v>53</v>
      </c>
      <c r="AN7001" t="s">
        <v>53</v>
      </c>
      <c r="AO7001" t="s">
        <v>53</v>
      </c>
      <c r="AP7001" t="s">
        <v>53</v>
      </c>
    </row>
    <row r="7002" spans="2:42" x14ac:dyDescent="0.2">
      <c r="B7002" t="s">
        <v>44</v>
      </c>
      <c r="C7002" t="str">
        <f>HYPERLINK("https://us2.cloudbeds.com/connect/8493803454333002#/reservations/9080486847098300?display=3XGKR8YX5J&amp;reservation_id=9080486847098300", "3XGKR8YX5J")</f>
        <v>3XGKR8YX5J</v>
      </c>
      <c r="D7002" t="s">
        <v>45</v>
      </c>
      <c r="E7002" t="s">
        <v>121</v>
      </c>
      <c r="F7002" t="s">
        <v>86</v>
      </c>
      <c r="G7002" t="s">
        <v>48</v>
      </c>
      <c r="H7002" t="s">
        <v>49</v>
      </c>
      <c r="I7002" t="s">
        <v>50</v>
      </c>
      <c r="J7002" t="s">
        <v>10775</v>
      </c>
      <c r="K7002" t="s">
        <v>10776</v>
      </c>
      <c r="L7002" t="s">
        <v>53</v>
      </c>
      <c r="N7002" t="s">
        <v>12628</v>
      </c>
      <c r="P7002" t="s">
        <v>55</v>
      </c>
      <c r="R7002" t="s">
        <v>53</v>
      </c>
      <c r="T7002" t="s">
        <v>12629</v>
      </c>
      <c r="U7002" t="s">
        <v>58</v>
      </c>
      <c r="V7002">
        <v>2</v>
      </c>
      <c r="W7002">
        <v>1</v>
      </c>
      <c r="X7002">
        <v>2</v>
      </c>
      <c r="Y7002">
        <v>0</v>
      </c>
      <c r="Z7002">
        <v>2</v>
      </c>
      <c r="AA7002">
        <v>148.78</v>
      </c>
      <c r="AB7002">
        <v>148.78</v>
      </c>
      <c r="AC7002">
        <v>130.9</v>
      </c>
      <c r="AD7002">
        <v>0</v>
      </c>
      <c r="AE7002">
        <v>17.88</v>
      </c>
      <c r="AF7002">
        <v>0</v>
      </c>
      <c r="AG7002">
        <v>0</v>
      </c>
      <c r="AH7002">
        <v>0</v>
      </c>
      <c r="AI7002">
        <v>26.78</v>
      </c>
      <c r="AJ7002">
        <v>148.78</v>
      </c>
      <c r="AK7002">
        <v>0</v>
      </c>
      <c r="AL7002" t="s">
        <v>53</v>
      </c>
      <c r="AM7002" t="s">
        <v>53</v>
      </c>
      <c r="AN7002" t="s">
        <v>53</v>
      </c>
      <c r="AO7002" t="s">
        <v>53</v>
      </c>
      <c r="AP7002" t="s">
        <v>53</v>
      </c>
    </row>
    <row r="7003" spans="2:42" x14ac:dyDescent="0.2">
      <c r="B7003" t="s">
        <v>44</v>
      </c>
      <c r="C7003" t="str">
        <f>HYPERLINK("https://us2.cloudbeds.com/connect/8493803454333002#/reservations/165274826748066?display=3XH0CTZ3WN&amp;reservation_id=165274826748066", "3XH0CTZ3WN")</f>
        <v>3XH0CTZ3WN</v>
      </c>
      <c r="D7003" t="s">
        <v>45</v>
      </c>
      <c r="E7003" t="s">
        <v>92</v>
      </c>
      <c r="F7003" t="s">
        <v>86</v>
      </c>
      <c r="G7003" t="s">
        <v>48</v>
      </c>
      <c r="H7003" t="s">
        <v>3957</v>
      </c>
      <c r="I7003" t="s">
        <v>3958</v>
      </c>
      <c r="J7003" t="s">
        <v>10775</v>
      </c>
      <c r="K7003" t="s">
        <v>9658</v>
      </c>
      <c r="L7003" t="s">
        <v>53</v>
      </c>
      <c r="P7003" t="s">
        <v>55</v>
      </c>
      <c r="R7003" t="s">
        <v>56</v>
      </c>
      <c r="T7003" t="s">
        <v>12630</v>
      </c>
      <c r="U7003" t="s">
        <v>58</v>
      </c>
      <c r="V7003">
        <v>1</v>
      </c>
      <c r="W7003">
        <v>1</v>
      </c>
      <c r="X7003">
        <v>1</v>
      </c>
      <c r="Y7003">
        <v>0</v>
      </c>
      <c r="Z7003">
        <v>1</v>
      </c>
      <c r="AA7003">
        <v>87.51</v>
      </c>
      <c r="AB7003">
        <v>87.51</v>
      </c>
      <c r="AC7003">
        <v>77</v>
      </c>
      <c r="AD7003">
        <v>0</v>
      </c>
      <c r="AE7003">
        <v>10.51</v>
      </c>
      <c r="AF7003">
        <v>0</v>
      </c>
      <c r="AG7003">
        <v>0</v>
      </c>
      <c r="AH7003">
        <v>0</v>
      </c>
      <c r="AI7003">
        <v>0</v>
      </c>
      <c r="AJ7003">
        <v>87.51</v>
      </c>
      <c r="AK7003">
        <v>0</v>
      </c>
      <c r="AL7003" t="s">
        <v>53</v>
      </c>
      <c r="AM7003" t="s">
        <v>53</v>
      </c>
      <c r="AN7003" t="s">
        <v>53</v>
      </c>
      <c r="AO7003" t="s">
        <v>53</v>
      </c>
      <c r="AP7003" t="s">
        <v>53</v>
      </c>
    </row>
    <row r="7004" spans="2:42" x14ac:dyDescent="0.2">
      <c r="B7004" t="s">
        <v>44</v>
      </c>
      <c r="C7004" t="str">
        <f>HYPERLINK("https://us2.cloudbeds.com/connect/8493803454333002#/reservations/9080486847098787?display=3XH44E20ZA&amp;reservation_id=9080486847098787", "3XH44E20ZA")</f>
        <v>3XH44E20ZA</v>
      </c>
      <c r="D7004" t="s">
        <v>45</v>
      </c>
      <c r="E7004" t="s">
        <v>98</v>
      </c>
      <c r="F7004" t="s">
        <v>86</v>
      </c>
      <c r="G7004" t="s">
        <v>48</v>
      </c>
      <c r="H7004" t="s">
        <v>49</v>
      </c>
      <c r="I7004" t="s">
        <v>62</v>
      </c>
      <c r="J7004" t="s">
        <v>10775</v>
      </c>
      <c r="K7004" t="s">
        <v>9658</v>
      </c>
      <c r="L7004" t="s">
        <v>53</v>
      </c>
      <c r="N7004" t="s">
        <v>12631</v>
      </c>
      <c r="P7004" t="s">
        <v>55</v>
      </c>
      <c r="R7004" t="s">
        <v>56</v>
      </c>
      <c r="T7004" t="s">
        <v>12632</v>
      </c>
      <c r="U7004" t="s">
        <v>55</v>
      </c>
      <c r="V7004">
        <v>1</v>
      </c>
      <c r="W7004">
        <v>1</v>
      </c>
      <c r="X7004">
        <v>2</v>
      </c>
      <c r="Y7004">
        <v>0</v>
      </c>
      <c r="Z7004">
        <v>2</v>
      </c>
      <c r="AA7004">
        <v>77</v>
      </c>
      <c r="AB7004">
        <v>77</v>
      </c>
      <c r="AC7004">
        <v>77</v>
      </c>
      <c r="AD7004">
        <v>0</v>
      </c>
      <c r="AE7004">
        <v>0</v>
      </c>
      <c r="AF7004">
        <v>0</v>
      </c>
      <c r="AG7004">
        <v>0</v>
      </c>
      <c r="AH7004">
        <v>0</v>
      </c>
      <c r="AI7004">
        <v>13.86</v>
      </c>
      <c r="AJ7004">
        <v>77</v>
      </c>
      <c r="AK7004">
        <v>0</v>
      </c>
      <c r="AL7004" t="s">
        <v>53</v>
      </c>
      <c r="AM7004" t="s">
        <v>53</v>
      </c>
      <c r="AN7004" t="s">
        <v>53</v>
      </c>
      <c r="AO7004" t="s">
        <v>53</v>
      </c>
      <c r="AP7004" t="s">
        <v>53</v>
      </c>
    </row>
    <row r="7005" spans="2:42" x14ac:dyDescent="0.2">
      <c r="B7005" t="s">
        <v>44</v>
      </c>
      <c r="C7005" t="str">
        <f>HYPERLINK("https://us2.cloudbeds.com/connect/8493803454333002#/reservations/9080486847098802?display=3XH4UAWUC5&amp;reservation_id=9080486847098802", "3XH4UAWUC5")</f>
        <v>3XH4UAWUC5</v>
      </c>
      <c r="D7005" t="s">
        <v>45</v>
      </c>
      <c r="E7005" t="s">
        <v>179</v>
      </c>
      <c r="F7005" t="s">
        <v>47</v>
      </c>
      <c r="G7005" t="s">
        <v>48</v>
      </c>
      <c r="H7005" t="s">
        <v>49</v>
      </c>
      <c r="I7005" t="s">
        <v>50</v>
      </c>
      <c r="J7005" t="s">
        <v>11275</v>
      </c>
      <c r="K7005" t="s">
        <v>11276</v>
      </c>
      <c r="L7005" t="s">
        <v>53</v>
      </c>
      <c r="N7005" t="s">
        <v>12633</v>
      </c>
      <c r="P7005" t="s">
        <v>55</v>
      </c>
      <c r="R7005" t="s">
        <v>53</v>
      </c>
      <c r="T7005" t="s">
        <v>12634</v>
      </c>
      <c r="U7005" t="s">
        <v>58</v>
      </c>
      <c r="V7005">
        <v>2</v>
      </c>
      <c r="W7005">
        <v>1</v>
      </c>
      <c r="X7005">
        <v>1</v>
      </c>
      <c r="Y7005">
        <v>0</v>
      </c>
      <c r="Z7005">
        <v>1</v>
      </c>
      <c r="AA7005">
        <v>183.1</v>
      </c>
      <c r="AB7005">
        <v>183.1</v>
      </c>
      <c r="AC7005">
        <v>161.1</v>
      </c>
      <c r="AD7005">
        <v>0</v>
      </c>
      <c r="AE7005">
        <v>22</v>
      </c>
      <c r="AF7005">
        <v>0</v>
      </c>
      <c r="AG7005">
        <v>0</v>
      </c>
      <c r="AH7005">
        <v>0</v>
      </c>
      <c r="AI7005">
        <v>32.96</v>
      </c>
      <c r="AJ7005">
        <v>183.1</v>
      </c>
      <c r="AK7005">
        <v>0</v>
      </c>
      <c r="AL7005" t="s">
        <v>53</v>
      </c>
      <c r="AM7005" t="s">
        <v>53</v>
      </c>
      <c r="AN7005" t="s">
        <v>53</v>
      </c>
      <c r="AO7005" t="s">
        <v>53</v>
      </c>
      <c r="AP7005" t="s">
        <v>53</v>
      </c>
    </row>
    <row r="7006" spans="2:42" x14ac:dyDescent="0.2">
      <c r="B7006" t="s">
        <v>44</v>
      </c>
      <c r="C7006" t="str">
        <f>HYPERLINK("https://us2.cloudbeds.com/connect/8493803454333002#/reservations/9080486847098828?display=3XH5VJJQF3&amp;reservation_id=9080486847098828", "3XH5VJJQF3")</f>
        <v>3XH5VJJQF3</v>
      </c>
      <c r="D7006" t="s">
        <v>45</v>
      </c>
      <c r="E7006" t="s">
        <v>113</v>
      </c>
      <c r="F7006" t="s">
        <v>61</v>
      </c>
      <c r="G7006" t="s">
        <v>48</v>
      </c>
      <c r="H7006" t="s">
        <v>49</v>
      </c>
      <c r="I7006" t="s">
        <v>8964</v>
      </c>
      <c r="J7006" t="s">
        <v>9658</v>
      </c>
      <c r="K7006" t="s">
        <v>10776</v>
      </c>
      <c r="L7006" t="s">
        <v>53</v>
      </c>
      <c r="N7006" t="s">
        <v>12635</v>
      </c>
      <c r="P7006" t="s">
        <v>55</v>
      </c>
      <c r="R7006" t="s">
        <v>53</v>
      </c>
      <c r="T7006" t="s">
        <v>12636</v>
      </c>
      <c r="U7006" t="s">
        <v>55</v>
      </c>
      <c r="V7006">
        <v>1</v>
      </c>
      <c r="W7006">
        <v>1</v>
      </c>
      <c r="X7006">
        <v>2</v>
      </c>
      <c r="Y7006">
        <v>0</v>
      </c>
      <c r="Z7006">
        <v>2</v>
      </c>
      <c r="AA7006">
        <v>0</v>
      </c>
      <c r="AB7006">
        <v>0</v>
      </c>
      <c r="AC7006">
        <v>76</v>
      </c>
      <c r="AD7006">
        <v>0</v>
      </c>
      <c r="AE7006">
        <v>0</v>
      </c>
      <c r="AF7006">
        <v>0</v>
      </c>
      <c r="AG7006">
        <v>0</v>
      </c>
      <c r="AH7006">
        <v>0</v>
      </c>
      <c r="AI7006">
        <v>11.4</v>
      </c>
      <c r="AJ7006">
        <v>76</v>
      </c>
      <c r="AK7006">
        <v>76</v>
      </c>
      <c r="AL7006" t="s">
        <v>53</v>
      </c>
      <c r="AM7006" t="s">
        <v>53</v>
      </c>
      <c r="AN7006" t="s">
        <v>53</v>
      </c>
      <c r="AO7006" t="s">
        <v>53</v>
      </c>
      <c r="AP7006" t="s">
        <v>53</v>
      </c>
    </row>
    <row r="7007" spans="2:42" x14ac:dyDescent="0.2">
      <c r="B7007" t="s">
        <v>44</v>
      </c>
      <c r="C7007" t="str">
        <f>HYPERLINK("https://us2.cloudbeds.com/connect/8493803454333002#/reservations/9080486847098942?display=3XHAT6MDSJ&amp;reservation_id=9080486847098942", "3XHAT6MDSJ")</f>
        <v>3XHAT6MDSJ</v>
      </c>
      <c r="D7007" t="s">
        <v>45</v>
      </c>
      <c r="E7007" t="s">
        <v>165</v>
      </c>
      <c r="F7007" t="s">
        <v>61</v>
      </c>
      <c r="G7007" t="s">
        <v>48</v>
      </c>
      <c r="H7007" t="s">
        <v>49</v>
      </c>
      <c r="I7007" t="s">
        <v>50</v>
      </c>
      <c r="J7007" t="s">
        <v>11268</v>
      </c>
      <c r="K7007" t="s">
        <v>11310</v>
      </c>
      <c r="L7007" t="s">
        <v>53</v>
      </c>
      <c r="N7007" t="s">
        <v>12637</v>
      </c>
      <c r="P7007" t="s">
        <v>55</v>
      </c>
      <c r="R7007" t="s">
        <v>53</v>
      </c>
      <c r="T7007" t="s">
        <v>12638</v>
      </c>
      <c r="U7007" t="s">
        <v>58</v>
      </c>
      <c r="V7007">
        <v>1</v>
      </c>
      <c r="W7007">
        <v>1</v>
      </c>
      <c r="X7007">
        <v>2</v>
      </c>
      <c r="Y7007">
        <v>0</v>
      </c>
      <c r="Z7007">
        <v>2</v>
      </c>
      <c r="AA7007">
        <v>127.29</v>
      </c>
      <c r="AB7007">
        <v>254.58</v>
      </c>
      <c r="AC7007">
        <v>112</v>
      </c>
      <c r="AD7007">
        <v>0</v>
      </c>
      <c r="AE7007">
        <v>15.29</v>
      </c>
      <c r="AF7007">
        <v>0</v>
      </c>
      <c r="AG7007">
        <v>0</v>
      </c>
      <c r="AH7007">
        <v>0</v>
      </c>
      <c r="AI7007">
        <v>22.91</v>
      </c>
      <c r="AJ7007">
        <v>127.29</v>
      </c>
      <c r="AK7007">
        <v>0</v>
      </c>
      <c r="AL7007" t="s">
        <v>53</v>
      </c>
      <c r="AM7007" t="s">
        <v>53</v>
      </c>
      <c r="AN7007" t="s">
        <v>53</v>
      </c>
      <c r="AO7007" t="s">
        <v>53</v>
      </c>
      <c r="AP7007" t="s">
        <v>53</v>
      </c>
    </row>
    <row r="7008" spans="2:42" x14ac:dyDescent="0.2">
      <c r="B7008" t="s">
        <v>44</v>
      </c>
      <c r="C7008" t="str">
        <f>HYPERLINK("https://us2.cloudbeds.com/connect/8493803454333002#/reservations/9080486847099875?display=3XXGNZUBYT&amp;reservation_id=9080486847099875", "3XXGNZUBYT")</f>
        <v>3XXGNZUBYT</v>
      </c>
      <c r="D7008" t="s">
        <v>45</v>
      </c>
      <c r="E7008" t="s">
        <v>69</v>
      </c>
      <c r="F7008" t="s">
        <v>70</v>
      </c>
      <c r="G7008" t="s">
        <v>48</v>
      </c>
      <c r="H7008" t="s">
        <v>49</v>
      </c>
      <c r="I7008" t="s">
        <v>8964</v>
      </c>
      <c r="J7008" t="s">
        <v>12299</v>
      </c>
      <c r="K7008" t="s">
        <v>11896</v>
      </c>
      <c r="L7008" t="s">
        <v>53</v>
      </c>
      <c r="N7008" t="s">
        <v>12639</v>
      </c>
      <c r="P7008" t="s">
        <v>55</v>
      </c>
      <c r="R7008" t="s">
        <v>53</v>
      </c>
      <c r="T7008" t="s">
        <v>12640</v>
      </c>
      <c r="U7008" t="s">
        <v>55</v>
      </c>
      <c r="V7008">
        <v>1</v>
      </c>
      <c r="W7008">
        <v>1</v>
      </c>
      <c r="X7008">
        <v>1</v>
      </c>
      <c r="Y7008">
        <v>0</v>
      </c>
      <c r="Z7008">
        <v>1</v>
      </c>
      <c r="AA7008">
        <v>0</v>
      </c>
      <c r="AB7008">
        <v>0</v>
      </c>
      <c r="AC7008">
        <v>73</v>
      </c>
      <c r="AD7008">
        <v>0</v>
      </c>
      <c r="AE7008">
        <v>0</v>
      </c>
      <c r="AF7008">
        <v>0</v>
      </c>
      <c r="AG7008">
        <v>0</v>
      </c>
      <c r="AH7008">
        <v>0</v>
      </c>
      <c r="AI7008">
        <v>10.95</v>
      </c>
      <c r="AJ7008">
        <v>73</v>
      </c>
      <c r="AK7008">
        <v>73</v>
      </c>
      <c r="AL7008" t="s">
        <v>53</v>
      </c>
      <c r="AM7008" t="s">
        <v>53</v>
      </c>
      <c r="AN7008" t="s">
        <v>53</v>
      </c>
      <c r="AO7008" t="s">
        <v>53</v>
      </c>
      <c r="AP7008" t="s">
        <v>53</v>
      </c>
    </row>
    <row r="7009" spans="2:42" x14ac:dyDescent="0.2">
      <c r="B7009" t="s">
        <v>44</v>
      </c>
      <c r="C7009" t="str">
        <f>HYPERLINK("https://us2.cloudbeds.com/connect/8493803454333002#/reservations/9080486847099894?display=3XXHNCC9P5&amp;reservation_id=9080486847099894", "3XXHNCC9P5")</f>
        <v>3XXHNCC9P5</v>
      </c>
      <c r="D7009" t="s">
        <v>45</v>
      </c>
      <c r="E7009" t="s">
        <v>190</v>
      </c>
      <c r="F7009" t="s">
        <v>61</v>
      </c>
      <c r="G7009" t="s">
        <v>48</v>
      </c>
      <c r="H7009" t="s">
        <v>49</v>
      </c>
      <c r="I7009" t="s">
        <v>50</v>
      </c>
      <c r="J7009" t="s">
        <v>9659</v>
      </c>
      <c r="K7009" t="s">
        <v>11721</v>
      </c>
      <c r="L7009" t="s">
        <v>53</v>
      </c>
      <c r="N7009" t="s">
        <v>12641</v>
      </c>
      <c r="P7009" t="s">
        <v>55</v>
      </c>
      <c r="R7009" t="s">
        <v>53</v>
      </c>
      <c r="T7009" t="s">
        <v>12642</v>
      </c>
      <c r="U7009" t="s">
        <v>58</v>
      </c>
      <c r="V7009">
        <v>4</v>
      </c>
      <c r="W7009">
        <v>1</v>
      </c>
      <c r="X7009">
        <v>2</v>
      </c>
      <c r="Y7009">
        <v>0</v>
      </c>
      <c r="Z7009">
        <v>2</v>
      </c>
      <c r="AA7009">
        <v>315.04000000000002</v>
      </c>
      <c r="AB7009">
        <v>315.04000000000002</v>
      </c>
      <c r="AC7009">
        <v>277.2</v>
      </c>
      <c r="AD7009">
        <v>0</v>
      </c>
      <c r="AE7009">
        <v>37.840000000000003</v>
      </c>
      <c r="AF7009">
        <v>0</v>
      </c>
      <c r="AG7009">
        <v>0</v>
      </c>
      <c r="AH7009">
        <v>0</v>
      </c>
      <c r="AI7009">
        <v>56.71</v>
      </c>
      <c r="AJ7009">
        <v>315.04000000000002</v>
      </c>
      <c r="AK7009">
        <v>0</v>
      </c>
      <c r="AL7009" t="s">
        <v>53</v>
      </c>
      <c r="AM7009" t="s">
        <v>53</v>
      </c>
      <c r="AN7009" t="s">
        <v>53</v>
      </c>
      <c r="AO7009" t="s">
        <v>53</v>
      </c>
      <c r="AP7009" t="s">
        <v>53</v>
      </c>
    </row>
    <row r="7010" spans="2:42" x14ac:dyDescent="0.2">
      <c r="B7010" t="s">
        <v>44</v>
      </c>
      <c r="C7010" t="str">
        <f>HYPERLINK("https://us2.cloudbeds.com/connect/8493803454333002#/reservations/9080486847100151?display=3XXU2TYW7S&amp;reservation_id=9080486847100151", "3XXU2TYW7S")</f>
        <v>3XXU2TYW7S</v>
      </c>
      <c r="D7010" t="s">
        <v>45</v>
      </c>
      <c r="E7010" t="s">
        <v>105</v>
      </c>
      <c r="F7010" t="s">
        <v>47</v>
      </c>
      <c r="G7010" t="s">
        <v>48</v>
      </c>
      <c r="H7010" t="s">
        <v>49</v>
      </c>
      <c r="I7010" t="s">
        <v>62</v>
      </c>
      <c r="J7010" t="s">
        <v>10776</v>
      </c>
      <c r="K7010" t="s">
        <v>10779</v>
      </c>
      <c r="L7010" t="s">
        <v>53</v>
      </c>
      <c r="N7010" t="s">
        <v>12643</v>
      </c>
      <c r="P7010" t="s">
        <v>55</v>
      </c>
      <c r="R7010" t="s">
        <v>56</v>
      </c>
      <c r="T7010" t="s">
        <v>12644</v>
      </c>
      <c r="U7010" t="s">
        <v>55</v>
      </c>
      <c r="V7010">
        <v>1</v>
      </c>
      <c r="W7010">
        <v>1</v>
      </c>
      <c r="X7010">
        <v>2</v>
      </c>
      <c r="Y7010">
        <v>0</v>
      </c>
      <c r="Z7010">
        <v>2</v>
      </c>
      <c r="AA7010">
        <v>71</v>
      </c>
      <c r="AB7010">
        <v>71</v>
      </c>
      <c r="AC7010">
        <v>71</v>
      </c>
      <c r="AD7010">
        <v>0</v>
      </c>
      <c r="AE7010">
        <v>0</v>
      </c>
      <c r="AF7010">
        <v>0</v>
      </c>
      <c r="AG7010">
        <v>0</v>
      </c>
      <c r="AH7010">
        <v>0</v>
      </c>
      <c r="AI7010">
        <v>12.78</v>
      </c>
      <c r="AJ7010">
        <v>71</v>
      </c>
      <c r="AK7010">
        <v>0</v>
      </c>
      <c r="AL7010" t="s">
        <v>53</v>
      </c>
      <c r="AM7010" t="s">
        <v>53</v>
      </c>
      <c r="AN7010" t="s">
        <v>53</v>
      </c>
      <c r="AO7010" t="s">
        <v>53</v>
      </c>
      <c r="AP7010" t="s">
        <v>53</v>
      </c>
    </row>
    <row r="7011" spans="2:42" x14ac:dyDescent="0.2">
      <c r="B7011" t="s">
        <v>44</v>
      </c>
      <c r="C7011" t="str">
        <f>HYPERLINK("https://us2.cloudbeds.com/connect/8493803454333002#/reservations/9080486847100242?display=3XJ1FF07Z5&amp;reservation_id=9080486847100242", "3XJ1FF07Z5")</f>
        <v>3XJ1FF07Z5</v>
      </c>
      <c r="D7011" t="s">
        <v>45</v>
      </c>
      <c r="E7011" t="s">
        <v>121</v>
      </c>
      <c r="F7011" t="s">
        <v>86</v>
      </c>
      <c r="G7011" t="s">
        <v>48</v>
      </c>
      <c r="H7011" t="s">
        <v>49</v>
      </c>
      <c r="I7011" t="s">
        <v>8964</v>
      </c>
      <c r="J7011" t="s">
        <v>10723</v>
      </c>
      <c r="K7011" t="s">
        <v>10724</v>
      </c>
      <c r="L7011" t="s">
        <v>53</v>
      </c>
      <c r="N7011" t="s">
        <v>12645</v>
      </c>
      <c r="P7011" t="s">
        <v>55</v>
      </c>
      <c r="R7011" t="s">
        <v>53</v>
      </c>
      <c r="T7011" t="s">
        <v>12646</v>
      </c>
      <c r="U7011" t="s">
        <v>55</v>
      </c>
      <c r="V7011">
        <v>1</v>
      </c>
      <c r="W7011">
        <v>1</v>
      </c>
      <c r="X7011">
        <v>4</v>
      </c>
      <c r="Y7011">
        <v>0</v>
      </c>
      <c r="Z7011">
        <v>4</v>
      </c>
      <c r="AA7011">
        <v>0</v>
      </c>
      <c r="AB7011">
        <v>0</v>
      </c>
      <c r="AC7011">
        <v>113</v>
      </c>
      <c r="AD7011">
        <v>0</v>
      </c>
      <c r="AE7011">
        <v>0</v>
      </c>
      <c r="AF7011">
        <v>0</v>
      </c>
      <c r="AG7011">
        <v>0</v>
      </c>
      <c r="AH7011">
        <v>0</v>
      </c>
      <c r="AI7011">
        <v>16.95</v>
      </c>
      <c r="AJ7011">
        <v>113</v>
      </c>
      <c r="AK7011">
        <v>113</v>
      </c>
      <c r="AL7011" t="s">
        <v>53</v>
      </c>
      <c r="AM7011" t="s">
        <v>53</v>
      </c>
      <c r="AN7011" t="s">
        <v>53</v>
      </c>
      <c r="AO7011" t="s">
        <v>53</v>
      </c>
      <c r="AP7011" t="s">
        <v>53</v>
      </c>
    </row>
    <row r="7012" spans="2:42" x14ac:dyDescent="0.2">
      <c r="B7012" t="s">
        <v>44</v>
      </c>
      <c r="C7012" t="str">
        <f>HYPERLINK("https://us2.cloudbeds.com/connect/8493803454333002#/reservations/9080486847100304?display=3XJ4UYPU8G&amp;reservation_id=9080486847100304", "3XJ4UYPU8G")</f>
        <v>3XJ4UYPU8G</v>
      </c>
      <c r="D7012" t="s">
        <v>45</v>
      </c>
      <c r="E7012" t="s">
        <v>110</v>
      </c>
      <c r="F7012" t="s">
        <v>47</v>
      </c>
      <c r="G7012" t="s">
        <v>48</v>
      </c>
      <c r="H7012" t="s">
        <v>49</v>
      </c>
      <c r="I7012" t="s">
        <v>8964</v>
      </c>
      <c r="J7012" t="s">
        <v>9658</v>
      </c>
      <c r="K7012" t="s">
        <v>10776</v>
      </c>
      <c r="L7012" t="s">
        <v>53</v>
      </c>
      <c r="N7012" t="s">
        <v>12647</v>
      </c>
      <c r="P7012" t="s">
        <v>55</v>
      </c>
      <c r="R7012" t="s">
        <v>53</v>
      </c>
      <c r="T7012" t="s">
        <v>12648</v>
      </c>
      <c r="U7012" t="s">
        <v>55</v>
      </c>
      <c r="V7012">
        <v>1</v>
      </c>
      <c r="W7012">
        <v>1</v>
      </c>
      <c r="X7012">
        <v>2</v>
      </c>
      <c r="Y7012">
        <v>0</v>
      </c>
      <c r="Z7012">
        <v>2</v>
      </c>
      <c r="AA7012">
        <v>0</v>
      </c>
      <c r="AB7012">
        <v>0</v>
      </c>
      <c r="AC7012">
        <v>74</v>
      </c>
      <c r="AD7012">
        <v>0</v>
      </c>
      <c r="AE7012">
        <v>0</v>
      </c>
      <c r="AF7012">
        <v>0</v>
      </c>
      <c r="AG7012">
        <v>0</v>
      </c>
      <c r="AH7012">
        <v>0</v>
      </c>
      <c r="AI7012">
        <v>11.1</v>
      </c>
      <c r="AJ7012">
        <v>74</v>
      </c>
      <c r="AK7012">
        <v>74</v>
      </c>
      <c r="AL7012" t="s">
        <v>53</v>
      </c>
      <c r="AM7012" t="s">
        <v>53</v>
      </c>
      <c r="AN7012" t="s">
        <v>53</v>
      </c>
      <c r="AO7012" t="s">
        <v>53</v>
      </c>
      <c r="AP7012" t="s">
        <v>53</v>
      </c>
    </row>
    <row r="7013" spans="2:42" x14ac:dyDescent="0.2">
      <c r="B7013" t="s">
        <v>44</v>
      </c>
      <c r="C7013" t="str">
        <f>HYPERLINK("https://us2.cloudbeds.com/connect/8493803454333002#/reservations/9080486847104448?display=3XMF5KTRDS&amp;reservation_id=9080486847104448", "3XMF5KTRDS")</f>
        <v>3XMF5KTRDS</v>
      </c>
      <c r="D7013" t="s">
        <v>45</v>
      </c>
      <c r="E7013" t="s">
        <v>373</v>
      </c>
      <c r="F7013" t="s">
        <v>47</v>
      </c>
      <c r="G7013" t="s">
        <v>48</v>
      </c>
      <c r="H7013" t="s">
        <v>49</v>
      </c>
      <c r="I7013" t="s">
        <v>62</v>
      </c>
      <c r="J7013" t="s">
        <v>10776</v>
      </c>
      <c r="K7013" t="s">
        <v>12299</v>
      </c>
      <c r="L7013" t="s">
        <v>53</v>
      </c>
      <c r="N7013" t="s">
        <v>12649</v>
      </c>
      <c r="P7013" t="s">
        <v>55</v>
      </c>
      <c r="R7013" t="s">
        <v>56</v>
      </c>
      <c r="T7013" t="s">
        <v>12650</v>
      </c>
      <c r="U7013" t="s">
        <v>55</v>
      </c>
      <c r="V7013">
        <v>3</v>
      </c>
      <c r="W7013">
        <v>1</v>
      </c>
      <c r="X7013">
        <v>1</v>
      </c>
      <c r="Y7013">
        <v>0</v>
      </c>
      <c r="Z7013">
        <v>1</v>
      </c>
      <c r="AA7013">
        <v>213</v>
      </c>
      <c r="AB7013">
        <v>218.43</v>
      </c>
      <c r="AC7013">
        <v>213</v>
      </c>
      <c r="AD7013">
        <v>5</v>
      </c>
      <c r="AE7013">
        <v>0.43</v>
      </c>
      <c r="AF7013">
        <v>0</v>
      </c>
      <c r="AG7013">
        <v>0</v>
      </c>
      <c r="AH7013">
        <v>0</v>
      </c>
      <c r="AI7013">
        <v>39.32</v>
      </c>
      <c r="AJ7013">
        <v>218.43</v>
      </c>
      <c r="AK7013">
        <v>0</v>
      </c>
      <c r="AL7013" t="s">
        <v>53</v>
      </c>
      <c r="AM7013" t="s">
        <v>53</v>
      </c>
      <c r="AN7013" t="s">
        <v>53</v>
      </c>
      <c r="AO7013" t="s">
        <v>53</v>
      </c>
      <c r="AP7013" t="s">
        <v>53</v>
      </c>
    </row>
    <row r="7014" spans="2:42" x14ac:dyDescent="0.2">
      <c r="B7014" t="s">
        <v>44</v>
      </c>
      <c r="C7014" t="str">
        <f>HYPERLINK("https://us2.cloudbeds.com/connect/8493803454333002#/reservations/9080486847104580?display=3XMXPQW5WA&amp;reservation_id=9080486847104580", "3XMXPQW5WA")</f>
        <v>3XMXPQW5WA</v>
      </c>
      <c r="D7014" t="s">
        <v>45</v>
      </c>
      <c r="E7014" t="s">
        <v>105</v>
      </c>
      <c r="F7014" t="s">
        <v>47</v>
      </c>
      <c r="G7014" t="s">
        <v>48</v>
      </c>
      <c r="H7014" t="s">
        <v>49</v>
      </c>
      <c r="I7014" t="s">
        <v>62</v>
      </c>
      <c r="J7014" t="s">
        <v>9658</v>
      </c>
      <c r="K7014" t="s">
        <v>10776</v>
      </c>
      <c r="L7014" t="s">
        <v>53</v>
      </c>
      <c r="N7014" t="s">
        <v>12651</v>
      </c>
      <c r="P7014" t="s">
        <v>55</v>
      </c>
      <c r="R7014" t="s">
        <v>56</v>
      </c>
      <c r="T7014" t="s">
        <v>12652</v>
      </c>
      <c r="U7014" t="s">
        <v>55</v>
      </c>
      <c r="V7014">
        <v>1</v>
      </c>
      <c r="W7014">
        <v>1</v>
      </c>
      <c r="X7014">
        <v>1</v>
      </c>
      <c r="Y7014">
        <v>0</v>
      </c>
      <c r="Z7014">
        <v>1</v>
      </c>
      <c r="AA7014">
        <v>71</v>
      </c>
      <c r="AB7014">
        <v>71</v>
      </c>
      <c r="AC7014">
        <v>71</v>
      </c>
      <c r="AD7014">
        <v>0</v>
      </c>
      <c r="AE7014">
        <v>0</v>
      </c>
      <c r="AF7014">
        <v>0</v>
      </c>
      <c r="AG7014">
        <v>0</v>
      </c>
      <c r="AH7014">
        <v>0</v>
      </c>
      <c r="AI7014">
        <v>12.78</v>
      </c>
      <c r="AJ7014">
        <v>71</v>
      </c>
      <c r="AK7014">
        <v>0</v>
      </c>
      <c r="AL7014" t="s">
        <v>53</v>
      </c>
      <c r="AM7014" t="s">
        <v>53</v>
      </c>
      <c r="AN7014" t="s">
        <v>53</v>
      </c>
      <c r="AO7014" t="s">
        <v>53</v>
      </c>
      <c r="AP7014" t="s">
        <v>53</v>
      </c>
    </row>
    <row r="7015" spans="2:42" x14ac:dyDescent="0.2">
      <c r="B7015" t="s">
        <v>44</v>
      </c>
      <c r="C7015" t="str">
        <f>HYPERLINK("https://us2.cloudbeds.com/connect/8493803454333002#/reservations/9080486847104868?display=3XMR8WYPUG&amp;reservation_id=9080486847104868", "3XMR8WYPUG")</f>
        <v>3XMR8WYPUG</v>
      </c>
      <c r="D7015" t="s">
        <v>45</v>
      </c>
      <c r="E7015" t="s">
        <v>213</v>
      </c>
      <c r="F7015" t="s">
        <v>86</v>
      </c>
      <c r="G7015" t="s">
        <v>48</v>
      </c>
      <c r="H7015" t="s">
        <v>49</v>
      </c>
      <c r="I7015" t="s">
        <v>62</v>
      </c>
      <c r="J7015" t="s">
        <v>11896</v>
      </c>
      <c r="K7015" t="s">
        <v>10590</v>
      </c>
      <c r="L7015" t="s">
        <v>53</v>
      </c>
      <c r="N7015" t="s">
        <v>12653</v>
      </c>
      <c r="P7015" t="s">
        <v>55</v>
      </c>
      <c r="R7015" t="s">
        <v>56</v>
      </c>
      <c r="T7015" t="s">
        <v>12654</v>
      </c>
      <c r="U7015" t="s">
        <v>55</v>
      </c>
      <c r="V7015">
        <v>1</v>
      </c>
      <c r="W7015">
        <v>1</v>
      </c>
      <c r="X7015">
        <v>2</v>
      </c>
      <c r="Y7015">
        <v>0</v>
      </c>
      <c r="Z7015">
        <v>2</v>
      </c>
      <c r="AA7015">
        <v>88</v>
      </c>
      <c r="AB7015">
        <v>88</v>
      </c>
      <c r="AC7015">
        <v>88</v>
      </c>
      <c r="AD7015">
        <v>0</v>
      </c>
      <c r="AE7015">
        <v>0</v>
      </c>
      <c r="AF7015">
        <v>0</v>
      </c>
      <c r="AG7015">
        <v>0</v>
      </c>
      <c r="AH7015">
        <v>0</v>
      </c>
      <c r="AI7015">
        <v>15.84</v>
      </c>
      <c r="AJ7015">
        <v>88</v>
      </c>
      <c r="AK7015">
        <v>0</v>
      </c>
      <c r="AL7015" t="s">
        <v>53</v>
      </c>
      <c r="AM7015" t="s">
        <v>53</v>
      </c>
      <c r="AN7015" t="s">
        <v>53</v>
      </c>
      <c r="AO7015" t="s">
        <v>53</v>
      </c>
      <c r="AP7015" t="s">
        <v>53</v>
      </c>
    </row>
    <row r="7016" spans="2:42" x14ac:dyDescent="0.2">
      <c r="B7016" t="s">
        <v>44</v>
      </c>
      <c r="C7016" t="str">
        <f>HYPERLINK("https://us2.cloudbeds.com/connect/8493803454333002#/reservations/9080486847104902?display=3XMS42DZ47&amp;reservation_id=9080486847104902", "3XMS42DZ47")</f>
        <v>3XMS42DZ47</v>
      </c>
      <c r="D7016" t="s">
        <v>45</v>
      </c>
      <c r="E7016" t="s">
        <v>165</v>
      </c>
      <c r="F7016" t="s">
        <v>61</v>
      </c>
      <c r="G7016" t="s">
        <v>48</v>
      </c>
      <c r="H7016" t="s">
        <v>49</v>
      </c>
      <c r="I7016" t="s">
        <v>50</v>
      </c>
      <c r="J7016" t="s">
        <v>10723</v>
      </c>
      <c r="K7016" t="s">
        <v>10724</v>
      </c>
      <c r="L7016" t="s">
        <v>53</v>
      </c>
      <c r="N7016" t="s">
        <v>12655</v>
      </c>
      <c r="P7016" t="s">
        <v>55</v>
      </c>
      <c r="R7016" t="s">
        <v>53</v>
      </c>
      <c r="T7016" t="s">
        <v>12656</v>
      </c>
      <c r="U7016" t="s">
        <v>58</v>
      </c>
      <c r="V7016">
        <v>1</v>
      </c>
      <c r="W7016">
        <v>1</v>
      </c>
      <c r="X7016">
        <v>1</v>
      </c>
      <c r="Y7016">
        <v>0</v>
      </c>
      <c r="Z7016">
        <v>1</v>
      </c>
      <c r="AA7016">
        <v>72.55</v>
      </c>
      <c r="AB7016">
        <v>72.55</v>
      </c>
      <c r="AC7016">
        <v>63.84</v>
      </c>
      <c r="AD7016">
        <v>0</v>
      </c>
      <c r="AE7016">
        <v>8.7100000000000009</v>
      </c>
      <c r="AF7016">
        <v>0</v>
      </c>
      <c r="AG7016">
        <v>0</v>
      </c>
      <c r="AH7016">
        <v>0</v>
      </c>
      <c r="AI7016">
        <v>13.06</v>
      </c>
      <c r="AJ7016">
        <v>72.55</v>
      </c>
      <c r="AK7016">
        <v>0</v>
      </c>
      <c r="AL7016" t="s">
        <v>53</v>
      </c>
      <c r="AM7016" t="s">
        <v>53</v>
      </c>
      <c r="AN7016" t="s">
        <v>53</v>
      </c>
      <c r="AO7016" t="s">
        <v>53</v>
      </c>
      <c r="AP7016" t="s">
        <v>53</v>
      </c>
    </row>
    <row r="7017" spans="2:42" x14ac:dyDescent="0.2">
      <c r="B7017" t="s">
        <v>44</v>
      </c>
      <c r="C7017" t="str">
        <f>HYPERLINK("https://us2.cloudbeds.com/connect/8493803454333002#/reservations/9080486847105034?display=3XMVP62F8W&amp;reservation_id=9080486847105034", "3XMVP62F8W")</f>
        <v>3XMVP62F8W</v>
      </c>
      <c r="D7017" t="s">
        <v>45</v>
      </c>
      <c r="E7017" t="s">
        <v>85</v>
      </c>
      <c r="F7017" t="s">
        <v>86</v>
      </c>
      <c r="G7017" t="s">
        <v>48</v>
      </c>
      <c r="H7017" t="s">
        <v>49</v>
      </c>
      <c r="I7017" t="s">
        <v>62</v>
      </c>
      <c r="J7017" t="s">
        <v>11382</v>
      </c>
      <c r="K7017" t="s">
        <v>11268</v>
      </c>
      <c r="L7017" t="s">
        <v>53</v>
      </c>
      <c r="N7017" t="s">
        <v>12657</v>
      </c>
      <c r="P7017" t="s">
        <v>55</v>
      </c>
      <c r="R7017" t="s">
        <v>56</v>
      </c>
      <c r="T7017" t="s">
        <v>12658</v>
      </c>
      <c r="U7017" t="s">
        <v>55</v>
      </c>
      <c r="V7017">
        <v>5</v>
      </c>
      <c r="W7017">
        <v>1</v>
      </c>
      <c r="X7017">
        <v>4</v>
      </c>
      <c r="Y7017">
        <v>0</v>
      </c>
      <c r="Z7017">
        <v>4</v>
      </c>
      <c r="AA7017">
        <v>391.4</v>
      </c>
      <c r="AB7017">
        <v>396.83</v>
      </c>
      <c r="AC7017">
        <v>391.4</v>
      </c>
      <c r="AD7017">
        <v>5</v>
      </c>
      <c r="AE7017">
        <v>0.43</v>
      </c>
      <c r="AF7017">
        <v>0</v>
      </c>
      <c r="AG7017">
        <v>0</v>
      </c>
      <c r="AH7017">
        <v>0</v>
      </c>
      <c r="AI7017">
        <v>71.430000000000007</v>
      </c>
      <c r="AJ7017">
        <v>396.83</v>
      </c>
      <c r="AK7017">
        <v>0</v>
      </c>
      <c r="AL7017" t="s">
        <v>53</v>
      </c>
      <c r="AM7017" t="s">
        <v>53</v>
      </c>
      <c r="AN7017" t="s">
        <v>53</v>
      </c>
      <c r="AO7017" t="s">
        <v>53</v>
      </c>
      <c r="AP7017" t="s">
        <v>53</v>
      </c>
    </row>
    <row r="7018" spans="2:42" x14ac:dyDescent="0.2">
      <c r="B7018" t="s">
        <v>44</v>
      </c>
      <c r="C7018" t="str">
        <f>HYPERLINK("https://us2.cloudbeds.com/connect/8493803454333002#/reservations/9080486847106929?display=3XZMJ9KNR6&amp;reservation_id=9080486847106929", "3XZMJ9KNR6")</f>
        <v>3XZMJ9KNR6</v>
      </c>
      <c r="D7018" t="s">
        <v>45</v>
      </c>
      <c r="E7018" t="s">
        <v>305</v>
      </c>
      <c r="F7018" t="s">
        <v>61</v>
      </c>
      <c r="G7018" t="s">
        <v>48</v>
      </c>
      <c r="H7018" t="s">
        <v>49</v>
      </c>
      <c r="I7018" t="s">
        <v>62</v>
      </c>
      <c r="J7018" t="s">
        <v>9658</v>
      </c>
      <c r="K7018" t="s">
        <v>10776</v>
      </c>
      <c r="L7018" t="s">
        <v>53</v>
      </c>
      <c r="N7018" t="s">
        <v>12659</v>
      </c>
      <c r="P7018" t="s">
        <v>55</v>
      </c>
      <c r="R7018" t="s">
        <v>56</v>
      </c>
      <c r="T7018" t="s">
        <v>12660</v>
      </c>
      <c r="U7018" t="s">
        <v>55</v>
      </c>
      <c r="V7018">
        <v>1</v>
      </c>
      <c r="W7018">
        <v>1</v>
      </c>
      <c r="X7018">
        <v>1</v>
      </c>
      <c r="Y7018">
        <v>0</v>
      </c>
      <c r="Z7018">
        <v>1</v>
      </c>
      <c r="AA7018">
        <v>73</v>
      </c>
      <c r="AB7018">
        <v>73</v>
      </c>
      <c r="AC7018">
        <v>73</v>
      </c>
      <c r="AD7018">
        <v>0</v>
      </c>
      <c r="AE7018">
        <v>0</v>
      </c>
      <c r="AF7018">
        <v>0</v>
      </c>
      <c r="AG7018">
        <v>0</v>
      </c>
      <c r="AH7018">
        <v>0</v>
      </c>
      <c r="AI7018">
        <v>13.14</v>
      </c>
      <c r="AJ7018">
        <v>73</v>
      </c>
      <c r="AK7018">
        <v>0</v>
      </c>
      <c r="AL7018" t="s">
        <v>53</v>
      </c>
      <c r="AM7018" t="s">
        <v>53</v>
      </c>
      <c r="AN7018" t="s">
        <v>53</v>
      </c>
      <c r="AO7018" t="s">
        <v>53</v>
      </c>
      <c r="AP7018" t="s">
        <v>53</v>
      </c>
    </row>
    <row r="7019" spans="2:42" x14ac:dyDescent="0.2">
      <c r="B7019" t="s">
        <v>44</v>
      </c>
      <c r="C7019" t="str">
        <f>HYPERLINK("https://us2.cloudbeds.com/connect/8493803454333002#/reservations/9080486847107050?display=3XZPRKB2SW&amp;reservation_id=9080486847107050", "3XZPRKB2SW")</f>
        <v>3XZPRKB2SW</v>
      </c>
      <c r="D7019" t="s">
        <v>45</v>
      </c>
      <c r="E7019" t="s">
        <v>185</v>
      </c>
      <c r="F7019" t="s">
        <v>47</v>
      </c>
      <c r="G7019" t="s">
        <v>48</v>
      </c>
      <c r="H7019" t="s">
        <v>49</v>
      </c>
      <c r="I7019" t="s">
        <v>62</v>
      </c>
      <c r="J7019" t="s">
        <v>10776</v>
      </c>
      <c r="K7019" t="s">
        <v>10779</v>
      </c>
      <c r="L7019" t="s">
        <v>53</v>
      </c>
      <c r="N7019" t="s">
        <v>12661</v>
      </c>
      <c r="P7019" t="s">
        <v>55</v>
      </c>
      <c r="R7019" t="s">
        <v>56</v>
      </c>
      <c r="T7019" t="s">
        <v>12662</v>
      </c>
      <c r="U7019" t="s">
        <v>55</v>
      </c>
      <c r="V7019">
        <v>1</v>
      </c>
      <c r="W7019">
        <v>1</v>
      </c>
      <c r="X7019">
        <v>1</v>
      </c>
      <c r="Y7019">
        <v>0</v>
      </c>
      <c r="Z7019">
        <v>1</v>
      </c>
      <c r="AA7019">
        <v>71</v>
      </c>
      <c r="AB7019">
        <v>71</v>
      </c>
      <c r="AC7019">
        <v>71</v>
      </c>
      <c r="AD7019">
        <v>0</v>
      </c>
      <c r="AE7019">
        <v>0</v>
      </c>
      <c r="AF7019">
        <v>0</v>
      </c>
      <c r="AG7019">
        <v>0</v>
      </c>
      <c r="AH7019">
        <v>0</v>
      </c>
      <c r="AI7019">
        <v>12.78</v>
      </c>
      <c r="AJ7019">
        <v>71</v>
      </c>
      <c r="AK7019">
        <v>0</v>
      </c>
      <c r="AL7019" t="s">
        <v>53</v>
      </c>
      <c r="AM7019" t="s">
        <v>53</v>
      </c>
      <c r="AN7019" t="s">
        <v>53</v>
      </c>
      <c r="AO7019" t="s">
        <v>53</v>
      </c>
      <c r="AP7019" t="s">
        <v>53</v>
      </c>
    </row>
    <row r="7020" spans="2:42" x14ac:dyDescent="0.2">
      <c r="B7020" t="s">
        <v>44</v>
      </c>
      <c r="C7020" t="str">
        <f>HYPERLINK("https://us2.cloudbeds.com/connect/8493803454333002#/reservations/9080486847107202?display=3XZUUK6F53&amp;reservation_id=9080486847107202", "3XZUUK6F53")</f>
        <v>3XZUUK6F53</v>
      </c>
      <c r="D7020" t="s">
        <v>45</v>
      </c>
      <c r="E7020" t="s">
        <v>113</v>
      </c>
      <c r="F7020" t="s">
        <v>61</v>
      </c>
      <c r="G7020" t="s">
        <v>48</v>
      </c>
      <c r="H7020" t="s">
        <v>49</v>
      </c>
      <c r="I7020" t="s">
        <v>8964</v>
      </c>
      <c r="J7020" t="s">
        <v>11268</v>
      </c>
      <c r="K7020" t="s">
        <v>11804</v>
      </c>
      <c r="L7020" t="s">
        <v>53</v>
      </c>
      <c r="N7020" t="s">
        <v>12663</v>
      </c>
      <c r="P7020" t="s">
        <v>55</v>
      </c>
      <c r="R7020" t="s">
        <v>53</v>
      </c>
      <c r="T7020" t="s">
        <v>12664</v>
      </c>
      <c r="U7020" t="s">
        <v>55</v>
      </c>
      <c r="V7020">
        <v>2</v>
      </c>
      <c r="W7020">
        <v>1</v>
      </c>
      <c r="X7020">
        <v>2</v>
      </c>
      <c r="Y7020">
        <v>0</v>
      </c>
      <c r="Z7020">
        <v>2</v>
      </c>
      <c r="AA7020">
        <v>0</v>
      </c>
      <c r="AB7020">
        <v>0</v>
      </c>
      <c r="AC7020">
        <v>264</v>
      </c>
      <c r="AD7020">
        <v>0</v>
      </c>
      <c r="AE7020">
        <v>0</v>
      </c>
      <c r="AF7020">
        <v>0</v>
      </c>
      <c r="AG7020">
        <v>0</v>
      </c>
      <c r="AH7020">
        <v>0</v>
      </c>
      <c r="AI7020">
        <v>39.6</v>
      </c>
      <c r="AJ7020">
        <v>264</v>
      </c>
      <c r="AK7020">
        <v>264</v>
      </c>
      <c r="AL7020" t="s">
        <v>53</v>
      </c>
      <c r="AM7020" t="s">
        <v>53</v>
      </c>
      <c r="AN7020" t="s">
        <v>53</v>
      </c>
      <c r="AO7020" t="s">
        <v>53</v>
      </c>
      <c r="AP7020" t="s">
        <v>53</v>
      </c>
    </row>
    <row r="7021" spans="2:42" x14ac:dyDescent="0.2">
      <c r="B7021" t="s">
        <v>44</v>
      </c>
      <c r="C7021" t="str">
        <f>HYPERLINK("https://us2.cloudbeds.com/connect/8493803454333002#/reservations/9080486847107264?display=3XZWRYERGB&amp;reservation_id=9080486847107264", "3XZWRYERGB")</f>
        <v>3XZWRYERGB</v>
      </c>
      <c r="D7021" t="s">
        <v>45</v>
      </c>
      <c r="E7021" t="s">
        <v>185</v>
      </c>
      <c r="F7021" t="s">
        <v>47</v>
      </c>
      <c r="G7021" t="s">
        <v>48</v>
      </c>
      <c r="H7021" t="s">
        <v>49</v>
      </c>
      <c r="I7021" t="s">
        <v>50</v>
      </c>
      <c r="J7021" t="s">
        <v>9658</v>
      </c>
      <c r="K7021" t="s">
        <v>10776</v>
      </c>
      <c r="L7021" t="s">
        <v>53</v>
      </c>
      <c r="N7021" t="s">
        <v>12665</v>
      </c>
      <c r="P7021" t="s">
        <v>55</v>
      </c>
      <c r="R7021" t="s">
        <v>53</v>
      </c>
      <c r="T7021" t="s">
        <v>12666</v>
      </c>
      <c r="U7021" t="s">
        <v>58</v>
      </c>
      <c r="V7021">
        <v>1</v>
      </c>
      <c r="W7021">
        <v>1</v>
      </c>
      <c r="X7021">
        <v>2</v>
      </c>
      <c r="Y7021">
        <v>0</v>
      </c>
      <c r="Z7021">
        <v>2</v>
      </c>
      <c r="AA7021">
        <v>72.62</v>
      </c>
      <c r="AB7021">
        <v>72.62</v>
      </c>
      <c r="AC7021">
        <v>63.9</v>
      </c>
      <c r="AD7021">
        <v>0</v>
      </c>
      <c r="AE7021">
        <v>8.7200000000000006</v>
      </c>
      <c r="AF7021">
        <v>0</v>
      </c>
      <c r="AG7021">
        <v>0</v>
      </c>
      <c r="AH7021">
        <v>0</v>
      </c>
      <c r="AI7021">
        <v>13.07</v>
      </c>
      <c r="AJ7021">
        <v>72.62</v>
      </c>
      <c r="AK7021">
        <v>0</v>
      </c>
      <c r="AL7021" t="s">
        <v>53</v>
      </c>
      <c r="AM7021" t="s">
        <v>53</v>
      </c>
      <c r="AN7021" t="s">
        <v>53</v>
      </c>
      <c r="AO7021" t="s">
        <v>53</v>
      </c>
      <c r="AP7021" t="s">
        <v>53</v>
      </c>
    </row>
    <row r="7022" spans="2:42" x14ac:dyDescent="0.2">
      <c r="B7022" t="s">
        <v>44</v>
      </c>
      <c r="C7022" t="str">
        <f>HYPERLINK("https://us2.cloudbeds.com/connect/8493803454333002#/reservations/9080486847107673?display=3XPEWE446R&amp;reservation_id=9080486847107673", "3XPEWE446R")</f>
        <v>3XPEWE446R</v>
      </c>
      <c r="D7022" t="s">
        <v>45</v>
      </c>
      <c r="E7022" t="s">
        <v>381</v>
      </c>
      <c r="F7022" t="s">
        <v>47</v>
      </c>
      <c r="G7022" t="s">
        <v>48</v>
      </c>
      <c r="H7022" t="s">
        <v>49</v>
      </c>
      <c r="I7022" t="s">
        <v>50</v>
      </c>
      <c r="J7022" t="s">
        <v>9658</v>
      </c>
      <c r="K7022" t="s">
        <v>10776</v>
      </c>
      <c r="L7022" t="s">
        <v>53</v>
      </c>
      <c r="N7022" t="s">
        <v>12667</v>
      </c>
      <c r="P7022" t="s">
        <v>55</v>
      </c>
      <c r="R7022" t="s">
        <v>53</v>
      </c>
      <c r="T7022" t="s">
        <v>12668</v>
      </c>
      <c r="U7022" t="s">
        <v>58</v>
      </c>
      <c r="V7022">
        <v>1</v>
      </c>
      <c r="W7022">
        <v>1</v>
      </c>
      <c r="X7022">
        <v>2</v>
      </c>
      <c r="Y7022">
        <v>0</v>
      </c>
      <c r="Z7022">
        <v>2</v>
      </c>
      <c r="AA7022">
        <v>64.56</v>
      </c>
      <c r="AB7022">
        <v>64.56</v>
      </c>
      <c r="AC7022">
        <v>56.8</v>
      </c>
      <c r="AD7022">
        <v>0</v>
      </c>
      <c r="AE7022">
        <v>7.76</v>
      </c>
      <c r="AF7022">
        <v>0</v>
      </c>
      <c r="AG7022">
        <v>0</v>
      </c>
      <c r="AH7022">
        <v>0</v>
      </c>
      <c r="AI7022">
        <v>11.62</v>
      </c>
      <c r="AJ7022">
        <v>64.56</v>
      </c>
      <c r="AK7022">
        <v>0</v>
      </c>
      <c r="AL7022" t="s">
        <v>53</v>
      </c>
      <c r="AM7022" t="s">
        <v>53</v>
      </c>
      <c r="AN7022" t="s">
        <v>53</v>
      </c>
      <c r="AO7022" t="s">
        <v>53</v>
      </c>
      <c r="AP7022" t="s">
        <v>53</v>
      </c>
    </row>
    <row r="7023" spans="2:42" x14ac:dyDescent="0.2">
      <c r="B7023" t="s">
        <v>44</v>
      </c>
      <c r="C7023" t="str">
        <f>HYPERLINK("https://us2.cloudbeds.com/connect/8493803454333002#/reservations/9080486847107710?display=3XPFSXM1M8&amp;reservation_id=9080486847107710", "3XPFSXM1M8")</f>
        <v>3XPFSXM1M8</v>
      </c>
      <c r="D7023" t="s">
        <v>45</v>
      </c>
      <c r="E7023" t="s">
        <v>85</v>
      </c>
      <c r="F7023" t="s">
        <v>86</v>
      </c>
      <c r="G7023" t="s">
        <v>48</v>
      </c>
      <c r="H7023" t="s">
        <v>49</v>
      </c>
      <c r="I7023" t="s">
        <v>50</v>
      </c>
      <c r="J7023" t="s">
        <v>11276</v>
      </c>
      <c r="K7023" t="s">
        <v>11956</v>
      </c>
      <c r="L7023" t="s">
        <v>53</v>
      </c>
      <c r="N7023" t="s">
        <v>12669</v>
      </c>
      <c r="P7023" t="s">
        <v>55</v>
      </c>
      <c r="R7023" t="s">
        <v>53</v>
      </c>
      <c r="T7023" t="s">
        <v>12670</v>
      </c>
      <c r="U7023" t="s">
        <v>58</v>
      </c>
      <c r="V7023">
        <v>5</v>
      </c>
      <c r="W7023">
        <v>1</v>
      </c>
      <c r="X7023">
        <v>2</v>
      </c>
      <c r="Y7023">
        <v>0</v>
      </c>
      <c r="Z7023">
        <v>2</v>
      </c>
      <c r="AA7023">
        <v>398.35</v>
      </c>
      <c r="AB7023">
        <v>398.35</v>
      </c>
      <c r="AC7023">
        <v>350.55</v>
      </c>
      <c r="AD7023">
        <v>0</v>
      </c>
      <c r="AE7023">
        <v>47.8</v>
      </c>
      <c r="AF7023">
        <v>0</v>
      </c>
      <c r="AG7023">
        <v>0</v>
      </c>
      <c r="AH7023">
        <v>0</v>
      </c>
      <c r="AI7023">
        <v>71.7</v>
      </c>
      <c r="AJ7023">
        <v>398.35</v>
      </c>
      <c r="AK7023">
        <v>0</v>
      </c>
      <c r="AL7023" t="s">
        <v>53</v>
      </c>
      <c r="AM7023" t="s">
        <v>53</v>
      </c>
      <c r="AN7023" t="s">
        <v>12671</v>
      </c>
      <c r="AO7023" t="s">
        <v>53</v>
      </c>
      <c r="AP7023" t="s">
        <v>53</v>
      </c>
    </row>
    <row r="7024" spans="2:42" x14ac:dyDescent="0.2">
      <c r="B7024" t="s">
        <v>44</v>
      </c>
      <c r="C7024" t="str">
        <f>HYPERLINK("https://us2.cloudbeds.com/connect/8493803454333002#/reservations/9080486847107711?display=3XPG0QR9R1&amp;reservation_id=9080486847107711", "3XPG0QR9R1")</f>
        <v>3XPG0QR9R1</v>
      </c>
      <c r="D7024" t="s">
        <v>45</v>
      </c>
      <c r="E7024" t="s">
        <v>213</v>
      </c>
      <c r="F7024" t="s">
        <v>86</v>
      </c>
      <c r="G7024" t="s">
        <v>48</v>
      </c>
      <c r="H7024" t="s">
        <v>49</v>
      </c>
      <c r="I7024" t="s">
        <v>50</v>
      </c>
      <c r="J7024" t="s">
        <v>11276</v>
      </c>
      <c r="K7024" t="s">
        <v>11956</v>
      </c>
      <c r="L7024" t="s">
        <v>53</v>
      </c>
      <c r="N7024" t="s">
        <v>12672</v>
      </c>
      <c r="P7024" t="s">
        <v>55</v>
      </c>
      <c r="R7024" t="s">
        <v>53</v>
      </c>
      <c r="T7024" t="s">
        <v>12673</v>
      </c>
      <c r="U7024" t="s">
        <v>58</v>
      </c>
      <c r="V7024">
        <v>5</v>
      </c>
      <c r="W7024">
        <v>1</v>
      </c>
      <c r="X7024">
        <v>2</v>
      </c>
      <c r="Y7024">
        <v>0</v>
      </c>
      <c r="Z7024">
        <v>2</v>
      </c>
      <c r="AA7024">
        <v>398.35</v>
      </c>
      <c r="AB7024">
        <v>398.35</v>
      </c>
      <c r="AC7024">
        <v>350.55</v>
      </c>
      <c r="AD7024">
        <v>0</v>
      </c>
      <c r="AE7024">
        <v>47.8</v>
      </c>
      <c r="AF7024">
        <v>0</v>
      </c>
      <c r="AG7024">
        <v>0</v>
      </c>
      <c r="AH7024">
        <v>0</v>
      </c>
      <c r="AI7024">
        <v>71.7</v>
      </c>
      <c r="AJ7024">
        <v>398.35</v>
      </c>
      <c r="AK7024">
        <v>0</v>
      </c>
      <c r="AL7024" t="s">
        <v>53</v>
      </c>
      <c r="AM7024" t="s">
        <v>53</v>
      </c>
      <c r="AN7024" t="s">
        <v>12674</v>
      </c>
      <c r="AO7024" t="s">
        <v>53</v>
      </c>
      <c r="AP7024" t="s">
        <v>53</v>
      </c>
    </row>
    <row r="7025" spans="2:42" x14ac:dyDescent="0.2">
      <c r="B7025" t="s">
        <v>44</v>
      </c>
      <c r="C7025" t="str">
        <f>HYPERLINK("https://us2.cloudbeds.com/connect/8493803454333002#/reservations/9080486847107805?display=3XPJE9FF06&amp;reservation_id=9080486847107805", "3XPJE9FF06")</f>
        <v>3XPJE9FF06</v>
      </c>
      <c r="D7025" t="s">
        <v>45</v>
      </c>
      <c r="E7025" t="s">
        <v>128</v>
      </c>
      <c r="F7025" t="s">
        <v>86</v>
      </c>
      <c r="G7025" t="s">
        <v>48</v>
      </c>
      <c r="H7025" t="s">
        <v>49</v>
      </c>
      <c r="I7025" t="s">
        <v>8964</v>
      </c>
      <c r="J7025" t="s">
        <v>12562</v>
      </c>
      <c r="K7025" t="s">
        <v>11310</v>
      </c>
      <c r="L7025" t="s">
        <v>53</v>
      </c>
      <c r="N7025" t="s">
        <v>12675</v>
      </c>
      <c r="P7025" t="s">
        <v>55</v>
      </c>
      <c r="R7025" t="s">
        <v>53</v>
      </c>
      <c r="T7025" t="s">
        <v>12676</v>
      </c>
      <c r="U7025" t="s">
        <v>55</v>
      </c>
      <c r="V7025">
        <v>2</v>
      </c>
      <c r="W7025">
        <v>1</v>
      </c>
      <c r="X7025">
        <v>2</v>
      </c>
      <c r="Y7025">
        <v>0</v>
      </c>
      <c r="Z7025">
        <v>2</v>
      </c>
      <c r="AA7025">
        <v>0</v>
      </c>
      <c r="AB7025">
        <v>0</v>
      </c>
      <c r="AC7025">
        <v>244</v>
      </c>
      <c r="AD7025">
        <v>0</v>
      </c>
      <c r="AE7025">
        <v>0</v>
      </c>
      <c r="AF7025">
        <v>0</v>
      </c>
      <c r="AG7025">
        <v>0</v>
      </c>
      <c r="AH7025">
        <v>0</v>
      </c>
      <c r="AI7025">
        <v>36.6</v>
      </c>
      <c r="AJ7025">
        <v>244</v>
      </c>
      <c r="AK7025">
        <v>244</v>
      </c>
      <c r="AL7025" t="s">
        <v>53</v>
      </c>
      <c r="AM7025" t="s">
        <v>53</v>
      </c>
      <c r="AN7025" t="s">
        <v>53</v>
      </c>
      <c r="AO7025" t="s">
        <v>53</v>
      </c>
      <c r="AP7025" t="s">
        <v>53</v>
      </c>
    </row>
    <row r="7026" spans="2:42" x14ac:dyDescent="0.2">
      <c r="B7026" t="s">
        <v>44</v>
      </c>
      <c r="C7026" t="str">
        <f>HYPERLINK("https://us2.cloudbeds.com/connect/8493803454333002#/reservations/9080486847107865?display=3XPM8MYV5C&amp;reservation_id=9080486847107865", "3XPM8MYV5C")</f>
        <v>3XPM8MYV5C</v>
      </c>
      <c r="D7026" t="s">
        <v>45</v>
      </c>
      <c r="E7026" t="s">
        <v>190</v>
      </c>
      <c r="F7026" t="s">
        <v>61</v>
      </c>
      <c r="G7026" t="s">
        <v>48</v>
      </c>
      <c r="H7026" t="s">
        <v>49</v>
      </c>
      <c r="I7026" t="s">
        <v>50</v>
      </c>
      <c r="J7026" t="s">
        <v>11482</v>
      </c>
      <c r="K7026" t="s">
        <v>10170</v>
      </c>
      <c r="L7026" t="s">
        <v>53</v>
      </c>
      <c r="N7026" t="s">
        <v>12677</v>
      </c>
      <c r="P7026" t="s">
        <v>55</v>
      </c>
      <c r="R7026" t="s">
        <v>53</v>
      </c>
      <c r="T7026" t="s">
        <v>12678</v>
      </c>
      <c r="U7026" t="s">
        <v>58</v>
      </c>
      <c r="V7026">
        <v>2</v>
      </c>
      <c r="W7026">
        <v>1</v>
      </c>
      <c r="X7026">
        <v>2</v>
      </c>
      <c r="Y7026">
        <v>0</v>
      </c>
      <c r="Z7026">
        <v>2</v>
      </c>
      <c r="AA7026">
        <v>351.75</v>
      </c>
      <c r="AB7026">
        <v>351.75</v>
      </c>
      <c r="AC7026">
        <v>309.5</v>
      </c>
      <c r="AD7026">
        <v>0</v>
      </c>
      <c r="AE7026">
        <v>42.25</v>
      </c>
      <c r="AF7026">
        <v>0</v>
      </c>
      <c r="AG7026">
        <v>0</v>
      </c>
      <c r="AH7026">
        <v>0</v>
      </c>
      <c r="AI7026">
        <v>63.32</v>
      </c>
      <c r="AJ7026">
        <v>351.75</v>
      </c>
      <c r="AK7026">
        <v>0</v>
      </c>
      <c r="AL7026" t="s">
        <v>53</v>
      </c>
      <c r="AM7026" t="s">
        <v>53</v>
      </c>
      <c r="AN7026" t="s">
        <v>53</v>
      </c>
      <c r="AO7026" t="s">
        <v>53</v>
      </c>
      <c r="AP7026" t="s">
        <v>53</v>
      </c>
    </row>
    <row r="7027" spans="2:42" x14ac:dyDescent="0.2">
      <c r="B7027" t="s">
        <v>44</v>
      </c>
      <c r="C7027" t="str">
        <f>HYPERLINK("https://us2.cloudbeds.com/connect/8493803454333002#/reservations/9080486847108106?display=3XQ0Y4EVU1&amp;reservation_id=9080486847108106", "3XQ0Y4EVU1")</f>
        <v>3XQ0Y4EVU1</v>
      </c>
      <c r="D7027" t="s">
        <v>45</v>
      </c>
      <c r="E7027" t="s">
        <v>190</v>
      </c>
      <c r="F7027" t="s">
        <v>61</v>
      </c>
      <c r="G7027" t="s">
        <v>48</v>
      </c>
      <c r="H7027" t="s">
        <v>49</v>
      </c>
      <c r="I7027" t="s">
        <v>50</v>
      </c>
      <c r="J7027" t="s">
        <v>11381</v>
      </c>
      <c r="K7027" t="s">
        <v>11382</v>
      </c>
      <c r="L7027" t="s">
        <v>53</v>
      </c>
      <c r="N7027" t="s">
        <v>12679</v>
      </c>
      <c r="P7027" t="s">
        <v>55</v>
      </c>
      <c r="R7027" t="s">
        <v>53</v>
      </c>
      <c r="T7027" t="s">
        <v>12680</v>
      </c>
      <c r="U7027" t="s">
        <v>58</v>
      </c>
      <c r="V7027">
        <v>3</v>
      </c>
      <c r="W7027">
        <v>1</v>
      </c>
      <c r="X7027">
        <v>2</v>
      </c>
      <c r="Y7027">
        <v>0</v>
      </c>
      <c r="Z7027">
        <v>2</v>
      </c>
      <c r="AA7027">
        <v>274.97000000000003</v>
      </c>
      <c r="AB7027">
        <v>274.97000000000003</v>
      </c>
      <c r="AC7027">
        <v>241.96</v>
      </c>
      <c r="AD7027">
        <v>0</v>
      </c>
      <c r="AE7027">
        <v>33.01</v>
      </c>
      <c r="AF7027">
        <v>0</v>
      </c>
      <c r="AG7027">
        <v>0</v>
      </c>
      <c r="AH7027">
        <v>0</v>
      </c>
      <c r="AI7027">
        <v>49.49</v>
      </c>
      <c r="AJ7027">
        <v>274.97000000000003</v>
      </c>
      <c r="AK7027">
        <v>0</v>
      </c>
      <c r="AL7027" t="s">
        <v>53</v>
      </c>
      <c r="AM7027" t="s">
        <v>53</v>
      </c>
      <c r="AN7027" t="s">
        <v>53</v>
      </c>
      <c r="AO7027" t="s">
        <v>53</v>
      </c>
      <c r="AP7027" t="s">
        <v>53</v>
      </c>
    </row>
    <row r="7028" spans="2:42" x14ac:dyDescent="0.2">
      <c r="B7028" t="s">
        <v>44</v>
      </c>
      <c r="C7028" t="str">
        <f>HYPERLINK("https://us2.cloudbeds.com/connect/8493803454333002#/reservations/165669532610790?display=3XQ90X5JFK&amp;reservation_id=165669532610790", "3XQ90X5JFK")</f>
        <v>3XQ90X5JFK</v>
      </c>
      <c r="D7028" t="s">
        <v>45</v>
      </c>
      <c r="E7028" t="s">
        <v>105</v>
      </c>
      <c r="F7028" t="s">
        <v>47</v>
      </c>
      <c r="G7028" t="s">
        <v>3974</v>
      </c>
      <c r="H7028" t="s">
        <v>3957</v>
      </c>
      <c r="I7028" t="s">
        <v>3975</v>
      </c>
      <c r="J7028" t="s">
        <v>12681</v>
      </c>
      <c r="K7028" t="s">
        <v>12682</v>
      </c>
      <c r="L7028" t="s">
        <v>53</v>
      </c>
      <c r="P7028" t="s">
        <v>55</v>
      </c>
      <c r="R7028" t="s">
        <v>56</v>
      </c>
      <c r="T7028" t="s">
        <v>12683</v>
      </c>
      <c r="U7028" t="s">
        <v>58</v>
      </c>
      <c r="V7028">
        <v>1</v>
      </c>
      <c r="W7028">
        <v>1</v>
      </c>
      <c r="X7028">
        <v>2</v>
      </c>
      <c r="Y7028">
        <v>0</v>
      </c>
      <c r="Z7028">
        <v>2</v>
      </c>
      <c r="AA7028">
        <v>75.58</v>
      </c>
      <c r="AB7028">
        <v>75.58</v>
      </c>
      <c r="AC7028">
        <v>66.5</v>
      </c>
      <c r="AD7028">
        <v>0</v>
      </c>
      <c r="AE7028">
        <v>9.08</v>
      </c>
      <c r="AF7028">
        <v>0</v>
      </c>
      <c r="AG7028">
        <v>0</v>
      </c>
      <c r="AH7028">
        <v>0</v>
      </c>
      <c r="AI7028">
        <v>0</v>
      </c>
      <c r="AJ7028">
        <v>75.58</v>
      </c>
      <c r="AK7028">
        <v>0</v>
      </c>
      <c r="AL7028" t="s">
        <v>53</v>
      </c>
      <c r="AM7028" t="s">
        <v>53</v>
      </c>
      <c r="AN7028" t="s">
        <v>53</v>
      </c>
      <c r="AO7028" t="s">
        <v>53</v>
      </c>
      <c r="AP7028" t="s">
        <v>53</v>
      </c>
    </row>
    <row r="7029" spans="2:42" x14ac:dyDescent="0.2">
      <c r="B7029" t="s">
        <v>44</v>
      </c>
      <c r="C7029" t="str">
        <f>HYPERLINK("https://us2.cloudbeds.com/connect/8493803454333002#/reservations/9080486847108475?display=3XQF25YEFV&amp;reservation_id=9080486847108475", "3XQF25YEFV")</f>
        <v>3XQF25YEFV</v>
      </c>
      <c r="D7029" t="s">
        <v>45</v>
      </c>
      <c r="E7029" t="s">
        <v>69</v>
      </c>
      <c r="F7029" t="s">
        <v>70</v>
      </c>
      <c r="G7029" t="s">
        <v>48</v>
      </c>
      <c r="H7029" t="s">
        <v>49</v>
      </c>
      <c r="I7029" t="s">
        <v>50</v>
      </c>
      <c r="J7029" t="s">
        <v>9659</v>
      </c>
      <c r="K7029" t="s">
        <v>12299</v>
      </c>
      <c r="L7029" t="s">
        <v>53</v>
      </c>
      <c r="N7029" t="s">
        <v>12684</v>
      </c>
      <c r="P7029" t="s">
        <v>55</v>
      </c>
      <c r="R7029" t="s">
        <v>53</v>
      </c>
      <c r="T7029" t="s">
        <v>12685</v>
      </c>
      <c r="U7029" t="s">
        <v>58</v>
      </c>
      <c r="V7029">
        <v>1</v>
      </c>
      <c r="W7029">
        <v>1</v>
      </c>
      <c r="X7029">
        <v>1</v>
      </c>
      <c r="Y7029">
        <v>0</v>
      </c>
      <c r="Z7029">
        <v>1</v>
      </c>
      <c r="AA7029">
        <v>66.650000000000006</v>
      </c>
      <c r="AB7029">
        <v>66.650000000000006</v>
      </c>
      <c r="AC7029">
        <v>58.65</v>
      </c>
      <c r="AD7029">
        <v>0</v>
      </c>
      <c r="AE7029">
        <v>8</v>
      </c>
      <c r="AF7029">
        <v>0</v>
      </c>
      <c r="AG7029">
        <v>0</v>
      </c>
      <c r="AH7029">
        <v>0</v>
      </c>
      <c r="AI7029">
        <v>12</v>
      </c>
      <c r="AJ7029">
        <v>66.650000000000006</v>
      </c>
      <c r="AK7029">
        <v>0</v>
      </c>
      <c r="AL7029" t="s">
        <v>53</v>
      </c>
      <c r="AM7029" t="s">
        <v>53</v>
      </c>
      <c r="AN7029" t="s">
        <v>53</v>
      </c>
      <c r="AO7029" t="s">
        <v>53</v>
      </c>
      <c r="AP7029" t="s">
        <v>53</v>
      </c>
    </row>
    <row r="7030" spans="2:42" x14ac:dyDescent="0.2">
      <c r="B7030" t="s">
        <v>44</v>
      </c>
      <c r="C7030" t="str">
        <f>HYPERLINK("https://us2.cloudbeds.com/connect/8493803454333002#/reservations/9080486847108693?display=3XQZEAC1QR&amp;reservation_id=9080486847108693", "3XQZEAC1QR")</f>
        <v>3XQZEAC1QR</v>
      </c>
      <c r="D7030" t="s">
        <v>45</v>
      </c>
      <c r="E7030" t="s">
        <v>155</v>
      </c>
      <c r="F7030" t="s">
        <v>86</v>
      </c>
      <c r="G7030" t="s">
        <v>48</v>
      </c>
      <c r="H7030" t="s">
        <v>49</v>
      </c>
      <c r="I7030" t="s">
        <v>62</v>
      </c>
      <c r="J7030" t="s">
        <v>9658</v>
      </c>
      <c r="K7030" t="s">
        <v>10779</v>
      </c>
      <c r="L7030" t="s">
        <v>53</v>
      </c>
      <c r="N7030" t="s">
        <v>12686</v>
      </c>
      <c r="P7030" t="s">
        <v>55</v>
      </c>
      <c r="R7030" t="s">
        <v>56</v>
      </c>
      <c r="T7030" t="s">
        <v>12687</v>
      </c>
      <c r="U7030" t="s">
        <v>55</v>
      </c>
      <c r="V7030">
        <v>2</v>
      </c>
      <c r="W7030">
        <v>1</v>
      </c>
      <c r="X7030">
        <v>2</v>
      </c>
      <c r="Y7030">
        <v>0</v>
      </c>
      <c r="Z7030">
        <v>2</v>
      </c>
      <c r="AA7030">
        <v>154</v>
      </c>
      <c r="AB7030">
        <v>154</v>
      </c>
      <c r="AC7030">
        <v>154</v>
      </c>
      <c r="AD7030">
        <v>0</v>
      </c>
      <c r="AE7030">
        <v>0</v>
      </c>
      <c r="AF7030">
        <v>0</v>
      </c>
      <c r="AG7030">
        <v>0</v>
      </c>
      <c r="AH7030">
        <v>0</v>
      </c>
      <c r="AI7030">
        <v>27.72</v>
      </c>
      <c r="AJ7030">
        <v>154</v>
      </c>
      <c r="AK7030">
        <v>0</v>
      </c>
      <c r="AL7030" t="s">
        <v>53</v>
      </c>
      <c r="AM7030" t="s">
        <v>53</v>
      </c>
      <c r="AN7030" t="s">
        <v>12688</v>
      </c>
      <c r="AO7030" t="s">
        <v>53</v>
      </c>
      <c r="AP7030" t="s">
        <v>53</v>
      </c>
    </row>
    <row r="7031" spans="2:42" x14ac:dyDescent="0.2">
      <c r="B7031" t="s">
        <v>44</v>
      </c>
      <c r="C7031" t="str">
        <f>HYPERLINK("https://us2.cloudbeds.com/connect/8493803454333002#/reservations/9080486847108827?display=3XQSZJZEE3&amp;reservation_id=9080486847108827", "3XQSZJZEE3")</f>
        <v>3XQSZJZEE3</v>
      </c>
      <c r="D7031" t="s">
        <v>45</v>
      </c>
      <c r="E7031" t="s">
        <v>78</v>
      </c>
      <c r="F7031" t="s">
        <v>61</v>
      </c>
      <c r="G7031" t="s">
        <v>48</v>
      </c>
      <c r="H7031" t="s">
        <v>49</v>
      </c>
      <c r="I7031" t="s">
        <v>62</v>
      </c>
      <c r="J7031" t="s">
        <v>11310</v>
      </c>
      <c r="K7031" t="s">
        <v>11521</v>
      </c>
      <c r="L7031" t="s">
        <v>53</v>
      </c>
      <c r="N7031" t="s">
        <v>12689</v>
      </c>
      <c r="P7031" t="s">
        <v>55</v>
      </c>
      <c r="R7031" t="s">
        <v>6556</v>
      </c>
      <c r="T7031" t="s">
        <v>12690</v>
      </c>
      <c r="U7031" t="s">
        <v>55</v>
      </c>
      <c r="V7031">
        <v>2</v>
      </c>
      <c r="W7031">
        <v>1</v>
      </c>
      <c r="X7031">
        <v>2</v>
      </c>
      <c r="Y7031">
        <v>0</v>
      </c>
      <c r="Z7031">
        <v>2</v>
      </c>
      <c r="AA7031">
        <v>207</v>
      </c>
      <c r="AB7031">
        <v>207</v>
      </c>
      <c r="AC7031">
        <v>207</v>
      </c>
      <c r="AD7031">
        <v>0</v>
      </c>
      <c r="AE7031">
        <v>0</v>
      </c>
      <c r="AF7031">
        <v>0</v>
      </c>
      <c r="AG7031">
        <v>0</v>
      </c>
      <c r="AH7031">
        <v>0</v>
      </c>
      <c r="AI7031">
        <v>37.26</v>
      </c>
      <c r="AJ7031">
        <v>207</v>
      </c>
      <c r="AK7031">
        <v>0</v>
      </c>
      <c r="AL7031" t="s">
        <v>53</v>
      </c>
      <c r="AM7031" t="s">
        <v>53</v>
      </c>
      <c r="AN7031" t="s">
        <v>53</v>
      </c>
      <c r="AO7031" t="s">
        <v>53</v>
      </c>
      <c r="AP7031" t="s">
        <v>53</v>
      </c>
    </row>
    <row r="7032" spans="2:42" x14ac:dyDescent="0.2">
      <c r="B7032" t="s">
        <v>44</v>
      </c>
      <c r="C7032" t="str">
        <f>HYPERLINK("https://us2.cloudbeds.com/connect/8493803454333002#/reservations/9080486847108877?display=3XQV1P199N&amp;reservation_id=9080486847108877", "3XQV1P199N")</f>
        <v>3XQV1P199N</v>
      </c>
      <c r="D7032" t="s">
        <v>45</v>
      </c>
      <c r="E7032" t="s">
        <v>69</v>
      </c>
      <c r="F7032" t="s">
        <v>70</v>
      </c>
      <c r="G7032" t="s">
        <v>48</v>
      </c>
      <c r="H7032" t="s">
        <v>49</v>
      </c>
      <c r="I7032" t="s">
        <v>50</v>
      </c>
      <c r="J7032" t="s">
        <v>10590</v>
      </c>
      <c r="K7032" t="s">
        <v>11721</v>
      </c>
      <c r="L7032" t="s">
        <v>53</v>
      </c>
      <c r="N7032" t="s">
        <v>12691</v>
      </c>
      <c r="P7032" t="s">
        <v>55</v>
      </c>
      <c r="R7032" t="s">
        <v>53</v>
      </c>
      <c r="T7032" t="s">
        <v>12692</v>
      </c>
      <c r="U7032" t="s">
        <v>58</v>
      </c>
      <c r="V7032">
        <v>1</v>
      </c>
      <c r="W7032">
        <v>1</v>
      </c>
      <c r="X7032">
        <v>1</v>
      </c>
      <c r="Y7032">
        <v>0</v>
      </c>
      <c r="Z7032">
        <v>1</v>
      </c>
      <c r="AA7032">
        <v>59.1</v>
      </c>
      <c r="AB7032">
        <v>59.1</v>
      </c>
      <c r="AC7032">
        <v>52</v>
      </c>
      <c r="AD7032">
        <v>0</v>
      </c>
      <c r="AE7032">
        <v>7.1</v>
      </c>
      <c r="AF7032">
        <v>0</v>
      </c>
      <c r="AG7032">
        <v>0</v>
      </c>
      <c r="AH7032">
        <v>0</v>
      </c>
      <c r="AI7032">
        <v>10.64</v>
      </c>
      <c r="AJ7032">
        <v>59.1</v>
      </c>
      <c r="AK7032">
        <v>0</v>
      </c>
      <c r="AL7032" t="s">
        <v>53</v>
      </c>
      <c r="AM7032" t="s">
        <v>53</v>
      </c>
      <c r="AN7032" t="s">
        <v>53</v>
      </c>
      <c r="AO7032" t="s">
        <v>53</v>
      </c>
      <c r="AP7032" t="s">
        <v>53</v>
      </c>
    </row>
    <row r="7033" spans="2:42" x14ac:dyDescent="0.2">
      <c r="B7033" t="s">
        <v>44</v>
      </c>
      <c r="C7033" t="str">
        <f>HYPERLINK("https://us2.cloudbeds.com/connect/8493803454333002#/reservations/9080486847109425?display=3XRQAMWEMS&amp;reservation_id=9080486847109425", "3XRQAMWEMS")</f>
        <v>3XRQAMWEMS</v>
      </c>
      <c r="D7033" t="s">
        <v>45</v>
      </c>
      <c r="E7033" t="s">
        <v>85</v>
      </c>
      <c r="F7033" t="s">
        <v>86</v>
      </c>
      <c r="G7033" t="s">
        <v>48</v>
      </c>
      <c r="H7033" t="s">
        <v>49</v>
      </c>
      <c r="I7033" t="s">
        <v>8964</v>
      </c>
      <c r="J7033" t="s">
        <v>10779</v>
      </c>
      <c r="K7033" t="s">
        <v>9659</v>
      </c>
      <c r="L7033" t="s">
        <v>53</v>
      </c>
      <c r="N7033" t="s">
        <v>12693</v>
      </c>
      <c r="P7033" t="s">
        <v>55</v>
      </c>
      <c r="R7033" t="s">
        <v>53</v>
      </c>
      <c r="T7033" t="s">
        <v>12694</v>
      </c>
      <c r="U7033" t="s">
        <v>55</v>
      </c>
      <c r="V7033">
        <v>1</v>
      </c>
      <c r="W7033">
        <v>1</v>
      </c>
      <c r="X7033">
        <v>1</v>
      </c>
      <c r="Y7033">
        <v>0</v>
      </c>
      <c r="Z7033">
        <v>1</v>
      </c>
      <c r="AA7033">
        <v>0</v>
      </c>
      <c r="AB7033">
        <v>0</v>
      </c>
      <c r="AC7033">
        <v>79</v>
      </c>
      <c r="AD7033">
        <v>0</v>
      </c>
      <c r="AE7033">
        <v>0</v>
      </c>
      <c r="AF7033">
        <v>0</v>
      </c>
      <c r="AG7033">
        <v>0</v>
      </c>
      <c r="AH7033">
        <v>0</v>
      </c>
      <c r="AI7033">
        <v>11.85</v>
      </c>
      <c r="AJ7033">
        <v>79</v>
      </c>
      <c r="AK7033">
        <v>79</v>
      </c>
      <c r="AL7033" t="s">
        <v>53</v>
      </c>
      <c r="AM7033" t="s">
        <v>53</v>
      </c>
      <c r="AN7033" t="s">
        <v>53</v>
      </c>
      <c r="AO7033" t="s">
        <v>53</v>
      </c>
      <c r="AP7033" t="s">
        <v>53</v>
      </c>
    </row>
    <row r="7034" spans="2:42" x14ac:dyDescent="0.2">
      <c r="B7034" t="s">
        <v>44</v>
      </c>
      <c r="C7034" t="str">
        <f>HYPERLINK("https://us2.cloudbeds.com/connect/8493803454333002#/reservations/9080486847110023?display=3XSQCBQMKX&amp;reservation_id=9080486847110023", "3XSQCBQMKX")</f>
        <v>3XSQCBQMKX</v>
      </c>
      <c r="D7034" t="s">
        <v>45</v>
      </c>
      <c r="E7034" t="s">
        <v>305</v>
      </c>
      <c r="F7034" t="s">
        <v>61</v>
      </c>
      <c r="G7034" t="s">
        <v>48</v>
      </c>
      <c r="H7034" t="s">
        <v>49</v>
      </c>
      <c r="I7034" t="s">
        <v>62</v>
      </c>
      <c r="J7034" t="s">
        <v>10776</v>
      </c>
      <c r="K7034" t="s">
        <v>9659</v>
      </c>
      <c r="L7034" t="s">
        <v>53</v>
      </c>
      <c r="N7034" t="s">
        <v>12695</v>
      </c>
      <c r="P7034" t="s">
        <v>55</v>
      </c>
      <c r="R7034" t="s">
        <v>56</v>
      </c>
      <c r="T7034" t="s">
        <v>12696</v>
      </c>
      <c r="U7034" t="s">
        <v>55</v>
      </c>
      <c r="V7034">
        <v>2</v>
      </c>
      <c r="W7034">
        <v>1</v>
      </c>
      <c r="X7034">
        <v>1</v>
      </c>
      <c r="Y7034">
        <v>0</v>
      </c>
      <c r="Z7034">
        <v>1</v>
      </c>
      <c r="AA7034">
        <v>146</v>
      </c>
      <c r="AB7034">
        <v>146</v>
      </c>
      <c r="AC7034">
        <v>146</v>
      </c>
      <c r="AD7034">
        <v>0</v>
      </c>
      <c r="AE7034">
        <v>0</v>
      </c>
      <c r="AF7034">
        <v>0</v>
      </c>
      <c r="AG7034">
        <v>0</v>
      </c>
      <c r="AH7034">
        <v>0</v>
      </c>
      <c r="AI7034">
        <v>26.28</v>
      </c>
      <c r="AJ7034">
        <v>146</v>
      </c>
      <c r="AK7034">
        <v>0</v>
      </c>
      <c r="AL7034" t="s">
        <v>53</v>
      </c>
      <c r="AM7034" t="s">
        <v>53</v>
      </c>
      <c r="AN7034" t="s">
        <v>53</v>
      </c>
      <c r="AO7034" t="s">
        <v>53</v>
      </c>
      <c r="AP7034" t="s">
        <v>53</v>
      </c>
    </row>
    <row r="7035" spans="2:42" x14ac:dyDescent="0.2">
      <c r="B7035" t="s">
        <v>44</v>
      </c>
      <c r="C7035" t="str">
        <f>HYPERLINK("https://us2.cloudbeds.com/connect/8493803454333002#/reservations/9080486847112760?display=3XVCN27EBK&amp;reservation_id=9080486847112760", "3XVCN27EBK")</f>
        <v>3XVCN27EBK</v>
      </c>
      <c r="D7035" t="s">
        <v>45</v>
      </c>
      <c r="E7035" t="s">
        <v>78</v>
      </c>
      <c r="F7035" t="s">
        <v>61</v>
      </c>
      <c r="G7035" t="s">
        <v>48</v>
      </c>
      <c r="H7035" t="s">
        <v>49</v>
      </c>
      <c r="I7035" t="s">
        <v>50</v>
      </c>
      <c r="J7035" t="s">
        <v>10776</v>
      </c>
      <c r="K7035" t="s">
        <v>10779</v>
      </c>
      <c r="L7035" t="s">
        <v>53</v>
      </c>
      <c r="N7035" t="s">
        <v>12697</v>
      </c>
      <c r="P7035" t="s">
        <v>55</v>
      </c>
      <c r="R7035" t="s">
        <v>53</v>
      </c>
      <c r="T7035" t="s">
        <v>12698</v>
      </c>
      <c r="U7035" t="s">
        <v>58</v>
      </c>
      <c r="V7035">
        <v>1</v>
      </c>
      <c r="W7035">
        <v>1</v>
      </c>
      <c r="X7035">
        <v>2</v>
      </c>
      <c r="Y7035">
        <v>0</v>
      </c>
      <c r="Z7035">
        <v>2</v>
      </c>
      <c r="AA7035">
        <v>66.37</v>
      </c>
      <c r="AB7035">
        <v>66.37</v>
      </c>
      <c r="AC7035">
        <v>58.4</v>
      </c>
      <c r="AD7035">
        <v>0</v>
      </c>
      <c r="AE7035">
        <v>7.97</v>
      </c>
      <c r="AF7035">
        <v>0</v>
      </c>
      <c r="AG7035">
        <v>0</v>
      </c>
      <c r="AH7035">
        <v>0</v>
      </c>
      <c r="AI7035">
        <v>11.95</v>
      </c>
      <c r="AJ7035">
        <v>66.37</v>
      </c>
      <c r="AK7035">
        <v>0</v>
      </c>
      <c r="AL7035" t="s">
        <v>53</v>
      </c>
      <c r="AM7035" t="s">
        <v>53</v>
      </c>
      <c r="AN7035" t="s">
        <v>53</v>
      </c>
      <c r="AO7035" t="s">
        <v>53</v>
      </c>
      <c r="AP7035" t="s">
        <v>53</v>
      </c>
    </row>
    <row r="7036" spans="2:42" x14ac:dyDescent="0.2">
      <c r="B7036" t="s">
        <v>44</v>
      </c>
      <c r="C7036" t="str">
        <f>HYPERLINK("https://us2.cloudbeds.com/connect/8493803454333002#/reservations/9080486847113781?display=3XW9TT67S1&amp;reservation_id=9080486847113781", "3XW9TT67S1")</f>
        <v>3XW9TT67S1</v>
      </c>
      <c r="D7036" t="s">
        <v>45</v>
      </c>
      <c r="E7036" t="s">
        <v>185</v>
      </c>
      <c r="F7036" t="s">
        <v>47</v>
      </c>
      <c r="G7036" t="s">
        <v>48</v>
      </c>
      <c r="H7036" t="s">
        <v>49</v>
      </c>
      <c r="I7036" t="s">
        <v>50</v>
      </c>
      <c r="J7036" t="s">
        <v>10137</v>
      </c>
      <c r="K7036" t="s">
        <v>8865</v>
      </c>
      <c r="L7036" t="s">
        <v>53</v>
      </c>
      <c r="N7036" t="s">
        <v>12699</v>
      </c>
      <c r="P7036" t="s">
        <v>55</v>
      </c>
      <c r="R7036" t="s">
        <v>53</v>
      </c>
      <c r="T7036" t="s">
        <v>12700</v>
      </c>
      <c r="U7036" t="s">
        <v>58</v>
      </c>
      <c r="V7036">
        <v>1</v>
      </c>
      <c r="W7036">
        <v>1</v>
      </c>
      <c r="X7036">
        <v>1</v>
      </c>
      <c r="Y7036">
        <v>0</v>
      </c>
      <c r="Z7036">
        <v>1</v>
      </c>
      <c r="AA7036">
        <v>119.68</v>
      </c>
      <c r="AB7036">
        <v>119.68</v>
      </c>
      <c r="AC7036">
        <v>105.3</v>
      </c>
      <c r="AD7036">
        <v>0</v>
      </c>
      <c r="AE7036">
        <v>14.38</v>
      </c>
      <c r="AF7036">
        <v>0</v>
      </c>
      <c r="AG7036">
        <v>0</v>
      </c>
      <c r="AH7036">
        <v>0</v>
      </c>
      <c r="AI7036">
        <v>21.54</v>
      </c>
      <c r="AJ7036">
        <v>119.68</v>
      </c>
      <c r="AK7036">
        <v>0</v>
      </c>
      <c r="AL7036" t="s">
        <v>53</v>
      </c>
      <c r="AM7036" t="s">
        <v>53</v>
      </c>
      <c r="AN7036" t="s">
        <v>53</v>
      </c>
      <c r="AO7036" t="s">
        <v>53</v>
      </c>
      <c r="AP7036" t="s">
        <v>53</v>
      </c>
    </row>
    <row r="7037" spans="2:42" x14ac:dyDescent="0.2">
      <c r="B7037" t="s">
        <v>44</v>
      </c>
      <c r="C7037" t="str">
        <f>HYPERLINK("https://us2.cloudbeds.com/connect/8493803454333002#/reservations/9080486847114035?display=3XWHXB60PR&amp;reservation_id=9080486847114035", "3XWHXB60PR")</f>
        <v>3XWHXB60PR</v>
      </c>
      <c r="D7037" t="s">
        <v>45</v>
      </c>
      <c r="E7037" t="s">
        <v>110</v>
      </c>
      <c r="F7037" t="s">
        <v>47</v>
      </c>
      <c r="G7037" t="s">
        <v>48</v>
      </c>
      <c r="H7037" t="s">
        <v>49</v>
      </c>
      <c r="I7037" t="s">
        <v>62</v>
      </c>
      <c r="J7037" t="s">
        <v>11413</v>
      </c>
      <c r="K7037" t="s">
        <v>11679</v>
      </c>
      <c r="L7037" t="s">
        <v>53</v>
      </c>
      <c r="N7037" t="s">
        <v>12701</v>
      </c>
      <c r="P7037" t="s">
        <v>55</v>
      </c>
      <c r="R7037" t="s">
        <v>56</v>
      </c>
      <c r="T7037" t="s">
        <v>12702</v>
      </c>
      <c r="U7037" t="s">
        <v>55</v>
      </c>
      <c r="V7037">
        <v>2</v>
      </c>
      <c r="W7037">
        <v>1</v>
      </c>
      <c r="X7037">
        <v>2</v>
      </c>
      <c r="Y7037">
        <v>0</v>
      </c>
      <c r="Z7037">
        <v>2</v>
      </c>
      <c r="AA7037">
        <v>144</v>
      </c>
      <c r="AB7037">
        <v>144</v>
      </c>
      <c r="AC7037">
        <v>144</v>
      </c>
      <c r="AD7037">
        <v>0</v>
      </c>
      <c r="AE7037">
        <v>0</v>
      </c>
      <c r="AF7037">
        <v>0</v>
      </c>
      <c r="AG7037">
        <v>0</v>
      </c>
      <c r="AH7037">
        <v>0</v>
      </c>
      <c r="AI7037">
        <v>25.92</v>
      </c>
      <c r="AJ7037">
        <v>144</v>
      </c>
      <c r="AK7037">
        <v>0</v>
      </c>
      <c r="AL7037" t="s">
        <v>53</v>
      </c>
      <c r="AM7037" t="s">
        <v>53</v>
      </c>
      <c r="AN7037" t="s">
        <v>53</v>
      </c>
      <c r="AO7037" t="s">
        <v>53</v>
      </c>
      <c r="AP7037" t="s">
        <v>53</v>
      </c>
    </row>
    <row r="7038" spans="2:42" x14ac:dyDescent="0.2">
      <c r="B7038" t="s">
        <v>44</v>
      </c>
      <c r="C7038" t="str">
        <f>HYPERLINK("https://us2.cloudbeds.com/connect/8493803454333002#/reservations/9080486847114765?display=3J05V1TTUE&amp;reservation_id=9080486847114765", "3J05V1TTUE")</f>
        <v>3J05V1TTUE</v>
      </c>
      <c r="D7038" t="s">
        <v>45</v>
      </c>
      <c r="E7038" t="s">
        <v>121</v>
      </c>
      <c r="F7038" t="s">
        <v>86</v>
      </c>
      <c r="G7038" t="s">
        <v>48</v>
      </c>
      <c r="H7038" t="s">
        <v>49</v>
      </c>
      <c r="I7038" t="s">
        <v>62</v>
      </c>
      <c r="J7038" t="s">
        <v>10776</v>
      </c>
      <c r="K7038" t="s">
        <v>9659</v>
      </c>
      <c r="L7038" t="s">
        <v>53</v>
      </c>
      <c r="N7038" t="s">
        <v>12703</v>
      </c>
      <c r="P7038" t="s">
        <v>55</v>
      </c>
      <c r="R7038" t="s">
        <v>56</v>
      </c>
      <c r="T7038" t="s">
        <v>12704</v>
      </c>
      <c r="U7038" t="s">
        <v>55</v>
      </c>
      <c r="V7038">
        <v>2</v>
      </c>
      <c r="W7038">
        <v>1</v>
      </c>
      <c r="X7038">
        <v>2</v>
      </c>
      <c r="Y7038">
        <v>0</v>
      </c>
      <c r="Z7038">
        <v>2</v>
      </c>
      <c r="AA7038">
        <v>154</v>
      </c>
      <c r="AB7038">
        <v>154</v>
      </c>
      <c r="AC7038">
        <v>154</v>
      </c>
      <c r="AD7038">
        <v>0</v>
      </c>
      <c r="AE7038">
        <v>0</v>
      </c>
      <c r="AF7038">
        <v>0</v>
      </c>
      <c r="AG7038">
        <v>0</v>
      </c>
      <c r="AH7038">
        <v>0</v>
      </c>
      <c r="AI7038">
        <v>27.72</v>
      </c>
      <c r="AJ7038">
        <v>154</v>
      </c>
      <c r="AK7038">
        <v>0</v>
      </c>
      <c r="AL7038" t="s">
        <v>53</v>
      </c>
      <c r="AM7038" t="s">
        <v>53</v>
      </c>
      <c r="AN7038" t="s">
        <v>53</v>
      </c>
      <c r="AO7038" t="s">
        <v>53</v>
      </c>
      <c r="AP7038" t="s">
        <v>53</v>
      </c>
    </row>
    <row r="7039" spans="2:42" x14ac:dyDescent="0.2">
      <c r="B7039" t="s">
        <v>44</v>
      </c>
      <c r="C7039" t="str">
        <f>HYPERLINK("https://us2.cloudbeds.com/connect/8493803454333002#/reservations/9080486847115244?display=3J0MTCK2BG&amp;reservation_id=9080486847115244", "3J0MTCK2BG")</f>
        <v>3J0MTCK2BG</v>
      </c>
      <c r="D7039" t="s">
        <v>45</v>
      </c>
      <c r="E7039" t="s">
        <v>113</v>
      </c>
      <c r="F7039" t="s">
        <v>61</v>
      </c>
      <c r="G7039" t="s">
        <v>48</v>
      </c>
      <c r="H7039" t="s">
        <v>49</v>
      </c>
      <c r="I7039" t="s">
        <v>62</v>
      </c>
      <c r="J7039" t="s">
        <v>10776</v>
      </c>
      <c r="K7039" t="s">
        <v>10779</v>
      </c>
      <c r="L7039" t="s">
        <v>53</v>
      </c>
      <c r="N7039" t="s">
        <v>12705</v>
      </c>
      <c r="P7039" t="s">
        <v>55</v>
      </c>
      <c r="R7039" t="s">
        <v>56</v>
      </c>
      <c r="T7039" t="s">
        <v>12706</v>
      </c>
      <c r="U7039" t="s">
        <v>55</v>
      </c>
      <c r="V7039">
        <v>1</v>
      </c>
      <c r="W7039">
        <v>1</v>
      </c>
      <c r="X7039">
        <v>2</v>
      </c>
      <c r="Y7039">
        <v>0</v>
      </c>
      <c r="Z7039">
        <v>2</v>
      </c>
      <c r="AA7039">
        <v>73</v>
      </c>
      <c r="AB7039">
        <v>73</v>
      </c>
      <c r="AC7039">
        <v>73</v>
      </c>
      <c r="AD7039">
        <v>0</v>
      </c>
      <c r="AE7039">
        <v>0</v>
      </c>
      <c r="AF7039">
        <v>0</v>
      </c>
      <c r="AG7039">
        <v>0</v>
      </c>
      <c r="AH7039">
        <v>0</v>
      </c>
      <c r="AI7039">
        <v>13.14</v>
      </c>
      <c r="AJ7039">
        <v>73</v>
      </c>
      <c r="AK7039">
        <v>0</v>
      </c>
      <c r="AL7039" t="s">
        <v>53</v>
      </c>
      <c r="AM7039" t="s">
        <v>53</v>
      </c>
      <c r="AN7039" t="s">
        <v>53</v>
      </c>
      <c r="AO7039" t="s">
        <v>53</v>
      </c>
      <c r="AP7039" t="s">
        <v>53</v>
      </c>
    </row>
    <row r="7040" spans="2:42" x14ac:dyDescent="0.2">
      <c r="B7040" t="s">
        <v>44</v>
      </c>
      <c r="C7040" t="str">
        <f>HYPERLINK("https://us2.cloudbeds.com/connect/8493803454333002#/reservations/9080486847115569?display=3J13D0G239&amp;reservation_id=9080486847115569", "3J13D0G239")</f>
        <v>3J13D0G239</v>
      </c>
      <c r="D7040" t="s">
        <v>45</v>
      </c>
      <c r="E7040" t="s">
        <v>190</v>
      </c>
      <c r="F7040" t="s">
        <v>61</v>
      </c>
      <c r="G7040" t="s">
        <v>48</v>
      </c>
      <c r="H7040" t="s">
        <v>49</v>
      </c>
      <c r="I7040" t="s">
        <v>50</v>
      </c>
      <c r="J7040" t="s">
        <v>10776</v>
      </c>
      <c r="K7040" t="s">
        <v>10779</v>
      </c>
      <c r="L7040" t="s">
        <v>53</v>
      </c>
      <c r="N7040" t="s">
        <v>12707</v>
      </c>
      <c r="P7040" t="s">
        <v>55</v>
      </c>
      <c r="R7040" t="s">
        <v>53</v>
      </c>
      <c r="T7040" t="s">
        <v>12708</v>
      </c>
      <c r="U7040" t="s">
        <v>58</v>
      </c>
      <c r="V7040">
        <v>1</v>
      </c>
      <c r="W7040">
        <v>1</v>
      </c>
      <c r="X7040">
        <v>2</v>
      </c>
      <c r="Y7040">
        <v>0</v>
      </c>
      <c r="Z7040">
        <v>2</v>
      </c>
      <c r="AA7040">
        <v>74.67</v>
      </c>
      <c r="AB7040">
        <v>74.67</v>
      </c>
      <c r="AC7040">
        <v>65.7</v>
      </c>
      <c r="AD7040">
        <v>0</v>
      </c>
      <c r="AE7040">
        <v>8.9700000000000006</v>
      </c>
      <c r="AF7040">
        <v>0</v>
      </c>
      <c r="AG7040">
        <v>0</v>
      </c>
      <c r="AH7040">
        <v>0</v>
      </c>
      <c r="AI7040">
        <v>13.44</v>
      </c>
      <c r="AJ7040">
        <v>74.67</v>
      </c>
      <c r="AK7040">
        <v>0</v>
      </c>
      <c r="AL7040" t="s">
        <v>53</v>
      </c>
      <c r="AM7040" t="s">
        <v>53</v>
      </c>
      <c r="AN7040" t="s">
        <v>53</v>
      </c>
      <c r="AO7040" t="s">
        <v>53</v>
      </c>
      <c r="AP7040" t="s">
        <v>53</v>
      </c>
    </row>
    <row r="7041" spans="2:42" x14ac:dyDescent="0.2">
      <c r="B7041" t="s">
        <v>44</v>
      </c>
      <c r="C7041" t="str">
        <f>HYPERLINK("https://us2.cloudbeds.com/connect/8493803454333002#/reservations/9080486847115715?display=3J19DU0FRC&amp;reservation_id=9080486847115715", "3J19DU0FRC")</f>
        <v>3J19DU0FRC</v>
      </c>
      <c r="D7041" t="s">
        <v>45</v>
      </c>
      <c r="E7041" t="s">
        <v>487</v>
      </c>
      <c r="F7041" t="s">
        <v>61</v>
      </c>
      <c r="G7041" t="s">
        <v>48</v>
      </c>
      <c r="H7041" t="s">
        <v>49</v>
      </c>
      <c r="I7041" t="s">
        <v>8964</v>
      </c>
      <c r="J7041" t="s">
        <v>12269</v>
      </c>
      <c r="K7041" t="s">
        <v>12441</v>
      </c>
      <c r="L7041" t="s">
        <v>53</v>
      </c>
      <c r="N7041" t="s">
        <v>12709</v>
      </c>
      <c r="P7041" t="s">
        <v>55</v>
      </c>
      <c r="R7041" t="s">
        <v>53</v>
      </c>
      <c r="T7041" t="s">
        <v>12710</v>
      </c>
      <c r="U7041" t="s">
        <v>55</v>
      </c>
      <c r="V7041">
        <v>2</v>
      </c>
      <c r="W7041">
        <v>1</v>
      </c>
      <c r="X7041">
        <v>2</v>
      </c>
      <c r="Y7041">
        <v>0</v>
      </c>
      <c r="Z7041">
        <v>2</v>
      </c>
      <c r="AA7041">
        <v>0</v>
      </c>
      <c r="AB7041">
        <v>0</v>
      </c>
      <c r="AC7041">
        <v>308</v>
      </c>
      <c r="AD7041">
        <v>0</v>
      </c>
      <c r="AE7041">
        <v>0</v>
      </c>
      <c r="AF7041">
        <v>0</v>
      </c>
      <c r="AG7041">
        <v>0</v>
      </c>
      <c r="AH7041">
        <v>0</v>
      </c>
      <c r="AI7041">
        <v>46.2</v>
      </c>
      <c r="AJ7041">
        <v>308</v>
      </c>
      <c r="AK7041">
        <v>308</v>
      </c>
      <c r="AL7041" t="s">
        <v>53</v>
      </c>
      <c r="AM7041" t="s">
        <v>53</v>
      </c>
      <c r="AN7041" t="s">
        <v>12711</v>
      </c>
      <c r="AO7041" t="s">
        <v>53</v>
      </c>
      <c r="AP7041" t="s">
        <v>53</v>
      </c>
    </row>
    <row r="7042" spans="2:42" x14ac:dyDescent="0.2">
      <c r="B7042" t="s">
        <v>44</v>
      </c>
      <c r="C7042" t="str">
        <f>HYPERLINK("https://us2.cloudbeds.com/connect/8493803454333002#/reservations/9080486847117213?display=3J38FRJC11&amp;reservation_id=9080486847117213", "3J38FRJC11")</f>
        <v>3J38FRJC11</v>
      </c>
      <c r="D7042" t="s">
        <v>45</v>
      </c>
      <c r="E7042" t="s">
        <v>110</v>
      </c>
      <c r="F7042" t="s">
        <v>47</v>
      </c>
      <c r="G7042" t="s">
        <v>48</v>
      </c>
      <c r="H7042" t="s">
        <v>49</v>
      </c>
      <c r="I7042" t="s">
        <v>62</v>
      </c>
      <c r="J7042" t="s">
        <v>11268</v>
      </c>
      <c r="K7042" t="s">
        <v>11310</v>
      </c>
      <c r="L7042" t="s">
        <v>53</v>
      </c>
      <c r="N7042" t="s">
        <v>12712</v>
      </c>
      <c r="P7042" t="s">
        <v>55</v>
      </c>
      <c r="R7042" t="s">
        <v>12713</v>
      </c>
      <c r="T7042" t="s">
        <v>12714</v>
      </c>
      <c r="U7042" t="s">
        <v>55</v>
      </c>
      <c r="V7042">
        <v>1</v>
      </c>
      <c r="W7042">
        <v>1</v>
      </c>
      <c r="X7042">
        <v>2</v>
      </c>
      <c r="Y7042">
        <v>0</v>
      </c>
      <c r="Z7042">
        <v>2</v>
      </c>
      <c r="AA7042">
        <v>111.15</v>
      </c>
      <c r="AB7042">
        <v>111.15</v>
      </c>
      <c r="AC7042">
        <v>111.15</v>
      </c>
      <c r="AD7042">
        <v>0</v>
      </c>
      <c r="AE7042">
        <v>0</v>
      </c>
      <c r="AF7042">
        <v>0</v>
      </c>
      <c r="AG7042">
        <v>0</v>
      </c>
      <c r="AH7042">
        <v>0</v>
      </c>
      <c r="AI7042">
        <v>20.010000000000002</v>
      </c>
      <c r="AJ7042">
        <v>111.15</v>
      </c>
      <c r="AK7042">
        <v>0</v>
      </c>
      <c r="AL7042" t="s">
        <v>53</v>
      </c>
      <c r="AM7042" t="s">
        <v>53</v>
      </c>
      <c r="AN7042" t="s">
        <v>53</v>
      </c>
      <c r="AO7042" t="s">
        <v>53</v>
      </c>
      <c r="AP7042" t="s">
        <v>53</v>
      </c>
    </row>
    <row r="7043" spans="2:42" x14ac:dyDescent="0.2">
      <c r="B7043" t="s">
        <v>44</v>
      </c>
      <c r="C7043" t="str">
        <f>HYPERLINK("https://us2.cloudbeds.com/connect/8493803454333002#/reservations/9080486847118074?display=3J4X6XKE8B&amp;reservation_id=9080486847118074", "3J4X6XKE8B")</f>
        <v>3J4X6XKE8B</v>
      </c>
      <c r="D7043" t="s">
        <v>45</v>
      </c>
      <c r="E7043" t="s">
        <v>179</v>
      </c>
      <c r="F7043" t="s">
        <v>47</v>
      </c>
      <c r="G7043" t="s">
        <v>48</v>
      </c>
      <c r="H7043" t="s">
        <v>49</v>
      </c>
      <c r="I7043" t="s">
        <v>50</v>
      </c>
      <c r="J7043" t="s">
        <v>10169</v>
      </c>
      <c r="K7043" t="s">
        <v>10170</v>
      </c>
      <c r="L7043" t="s">
        <v>53</v>
      </c>
      <c r="N7043" t="s">
        <v>12715</v>
      </c>
      <c r="P7043" t="s">
        <v>55</v>
      </c>
      <c r="R7043" t="s">
        <v>53</v>
      </c>
      <c r="T7043" t="s">
        <v>12716</v>
      </c>
      <c r="U7043" t="s">
        <v>58</v>
      </c>
      <c r="V7043">
        <v>1</v>
      </c>
      <c r="W7043">
        <v>1</v>
      </c>
      <c r="X7043">
        <v>1</v>
      </c>
      <c r="Y7043">
        <v>0</v>
      </c>
      <c r="Z7043">
        <v>1</v>
      </c>
      <c r="AA7043">
        <v>160.6</v>
      </c>
      <c r="AB7043">
        <v>160.6</v>
      </c>
      <c r="AC7043">
        <v>141.30000000000001</v>
      </c>
      <c r="AD7043">
        <v>0</v>
      </c>
      <c r="AE7043">
        <v>19.3</v>
      </c>
      <c r="AF7043">
        <v>0</v>
      </c>
      <c r="AG7043">
        <v>0</v>
      </c>
      <c r="AH7043">
        <v>0</v>
      </c>
      <c r="AI7043">
        <v>28.91</v>
      </c>
      <c r="AJ7043">
        <v>160.6</v>
      </c>
      <c r="AK7043">
        <v>0</v>
      </c>
      <c r="AL7043" t="s">
        <v>53</v>
      </c>
      <c r="AM7043" t="s">
        <v>53</v>
      </c>
      <c r="AN7043" t="s">
        <v>53</v>
      </c>
      <c r="AO7043" t="s">
        <v>53</v>
      </c>
      <c r="AP7043" t="s">
        <v>53</v>
      </c>
    </row>
    <row r="7044" spans="2:42" x14ac:dyDescent="0.2">
      <c r="B7044" t="s">
        <v>44</v>
      </c>
      <c r="C7044" t="str">
        <f>HYPERLINK("https://us2.cloudbeds.com/connect/8493803454333002#/reservations/9080486847118695?display=3J5B2XNPVS&amp;reservation_id=9080486847118695", "3J5B2XNPVS")</f>
        <v>3J5B2XNPVS</v>
      </c>
      <c r="D7044" t="s">
        <v>45</v>
      </c>
      <c r="E7044" t="s">
        <v>165</v>
      </c>
      <c r="F7044" t="s">
        <v>61</v>
      </c>
      <c r="G7044" t="s">
        <v>48</v>
      </c>
      <c r="H7044" t="s">
        <v>49</v>
      </c>
      <c r="I7044" t="s">
        <v>62</v>
      </c>
      <c r="J7044" t="s">
        <v>10779</v>
      </c>
      <c r="K7044" t="s">
        <v>9659</v>
      </c>
      <c r="L7044" t="s">
        <v>53</v>
      </c>
      <c r="N7044" t="s">
        <v>12717</v>
      </c>
      <c r="P7044" t="s">
        <v>55</v>
      </c>
      <c r="R7044" t="s">
        <v>56</v>
      </c>
      <c r="T7044" t="s">
        <v>12718</v>
      </c>
      <c r="U7044" t="s">
        <v>55</v>
      </c>
      <c r="V7044">
        <v>1</v>
      </c>
      <c r="W7044">
        <v>1</v>
      </c>
      <c r="X7044">
        <v>2</v>
      </c>
      <c r="Y7044">
        <v>0</v>
      </c>
      <c r="Z7044">
        <v>2</v>
      </c>
      <c r="AA7044">
        <v>73</v>
      </c>
      <c r="AB7044">
        <v>73</v>
      </c>
      <c r="AC7044">
        <v>73</v>
      </c>
      <c r="AD7044">
        <v>0</v>
      </c>
      <c r="AE7044">
        <v>0</v>
      </c>
      <c r="AF7044">
        <v>0</v>
      </c>
      <c r="AG7044">
        <v>0</v>
      </c>
      <c r="AH7044">
        <v>0</v>
      </c>
      <c r="AI7044">
        <v>13.14</v>
      </c>
      <c r="AJ7044">
        <v>73</v>
      </c>
      <c r="AK7044">
        <v>0</v>
      </c>
      <c r="AL7044" t="s">
        <v>53</v>
      </c>
      <c r="AM7044" t="s">
        <v>53</v>
      </c>
      <c r="AN7044" t="s">
        <v>53</v>
      </c>
      <c r="AO7044" t="s">
        <v>53</v>
      </c>
      <c r="AP7044" t="s">
        <v>53</v>
      </c>
    </row>
    <row r="7045" spans="2:42" x14ac:dyDescent="0.2">
      <c r="B7045" t="s">
        <v>44</v>
      </c>
      <c r="C7045" t="str">
        <f>HYPERLINK("https://us2.cloudbeds.com/connect/8493803454333002#/reservations/9080486847120790?display=3J7CJS7Z18&amp;reservation_id=9080486847120790", "3J7CJS7Z18")</f>
        <v>3J7CJS7Z18</v>
      </c>
      <c r="D7045" t="s">
        <v>45</v>
      </c>
      <c r="E7045" t="s">
        <v>487</v>
      </c>
      <c r="F7045" t="s">
        <v>61</v>
      </c>
      <c r="G7045" t="s">
        <v>48</v>
      </c>
      <c r="H7045" t="s">
        <v>49</v>
      </c>
      <c r="I7045" t="s">
        <v>62</v>
      </c>
      <c r="J7045" t="s">
        <v>12258</v>
      </c>
      <c r="K7045" t="s">
        <v>12506</v>
      </c>
      <c r="L7045" t="s">
        <v>53</v>
      </c>
      <c r="N7045" t="s">
        <v>12719</v>
      </c>
      <c r="P7045" t="s">
        <v>55</v>
      </c>
      <c r="R7045" t="s">
        <v>56</v>
      </c>
      <c r="T7045" t="s">
        <v>12720</v>
      </c>
      <c r="U7045" t="s">
        <v>55</v>
      </c>
      <c r="V7045">
        <v>1</v>
      </c>
      <c r="W7045">
        <v>1</v>
      </c>
      <c r="X7045">
        <v>1</v>
      </c>
      <c r="Y7045">
        <v>0</v>
      </c>
      <c r="Z7045">
        <v>1</v>
      </c>
      <c r="AA7045">
        <v>90.25</v>
      </c>
      <c r="AB7045">
        <v>90.25</v>
      </c>
      <c r="AC7045">
        <v>90.25</v>
      </c>
      <c r="AD7045">
        <v>0</v>
      </c>
      <c r="AE7045">
        <v>0</v>
      </c>
      <c r="AF7045">
        <v>0</v>
      </c>
      <c r="AG7045">
        <v>0</v>
      </c>
      <c r="AH7045">
        <v>0</v>
      </c>
      <c r="AI7045">
        <v>16.25</v>
      </c>
      <c r="AJ7045">
        <v>90.25</v>
      </c>
      <c r="AK7045">
        <v>0</v>
      </c>
      <c r="AL7045" t="s">
        <v>53</v>
      </c>
      <c r="AM7045" t="s">
        <v>53</v>
      </c>
      <c r="AN7045" t="s">
        <v>53</v>
      </c>
      <c r="AO7045" t="s">
        <v>53</v>
      </c>
      <c r="AP7045" t="s">
        <v>53</v>
      </c>
    </row>
    <row r="7046" spans="2:42" x14ac:dyDescent="0.2">
      <c r="B7046" t="s">
        <v>44</v>
      </c>
      <c r="C7046" t="str">
        <f>HYPERLINK("https://us2.cloudbeds.com/connect/8493803454333002#/reservations/166337158045848?display=3J8UVUKFJ8&amp;reservation_id=166337158045848", "3J8UVUKFJ8")</f>
        <v>3J8UVUKFJ8</v>
      </c>
      <c r="D7046" t="s">
        <v>45</v>
      </c>
      <c r="E7046" t="s">
        <v>113</v>
      </c>
      <c r="F7046" t="s">
        <v>61</v>
      </c>
      <c r="G7046" t="s">
        <v>48</v>
      </c>
      <c r="H7046" t="s">
        <v>3957</v>
      </c>
      <c r="I7046" t="s">
        <v>3975</v>
      </c>
      <c r="J7046" t="s">
        <v>10779</v>
      </c>
      <c r="K7046" t="s">
        <v>9659</v>
      </c>
      <c r="L7046" t="s">
        <v>53</v>
      </c>
      <c r="P7046" t="s">
        <v>55</v>
      </c>
      <c r="R7046" t="s">
        <v>56</v>
      </c>
      <c r="T7046" t="s">
        <v>12721</v>
      </c>
      <c r="U7046" t="s">
        <v>58</v>
      </c>
      <c r="V7046">
        <v>1</v>
      </c>
      <c r="W7046">
        <v>1</v>
      </c>
      <c r="X7046">
        <v>2</v>
      </c>
      <c r="Y7046">
        <v>0</v>
      </c>
      <c r="Z7046">
        <v>2</v>
      </c>
      <c r="AA7046">
        <v>82.97</v>
      </c>
      <c r="AB7046">
        <v>82.97</v>
      </c>
      <c r="AC7046">
        <v>73</v>
      </c>
      <c r="AD7046">
        <v>0</v>
      </c>
      <c r="AE7046">
        <v>9.9700000000000006</v>
      </c>
      <c r="AF7046">
        <v>0</v>
      </c>
      <c r="AG7046">
        <v>0</v>
      </c>
      <c r="AH7046">
        <v>0</v>
      </c>
      <c r="AI7046">
        <v>0</v>
      </c>
      <c r="AJ7046">
        <v>82.97</v>
      </c>
      <c r="AK7046">
        <v>0</v>
      </c>
      <c r="AL7046" t="s">
        <v>53</v>
      </c>
      <c r="AM7046" t="s">
        <v>53</v>
      </c>
      <c r="AN7046" t="s">
        <v>53</v>
      </c>
      <c r="AO7046" t="s">
        <v>53</v>
      </c>
      <c r="AP7046" t="s">
        <v>53</v>
      </c>
    </row>
    <row r="7047" spans="2:42" x14ac:dyDescent="0.2">
      <c r="B7047" t="s">
        <v>44</v>
      </c>
      <c r="C7047" t="str">
        <f>HYPERLINK("https://us2.cloudbeds.com/connect/8493803454333002#/reservations/9080486847122625?display=3J99U1EFMN&amp;reservation_id=9080486847122625", "3J99U1EFMN")</f>
        <v>3J99U1EFMN</v>
      </c>
      <c r="D7047" t="s">
        <v>45</v>
      </c>
      <c r="E7047" t="s">
        <v>69</v>
      </c>
      <c r="F7047" t="s">
        <v>70</v>
      </c>
      <c r="G7047" t="s">
        <v>48</v>
      </c>
      <c r="H7047" t="s">
        <v>49</v>
      </c>
      <c r="I7047" t="s">
        <v>50</v>
      </c>
      <c r="J7047" t="s">
        <v>10779</v>
      </c>
      <c r="K7047" t="s">
        <v>9659</v>
      </c>
      <c r="L7047" t="s">
        <v>53</v>
      </c>
      <c r="N7047" t="s">
        <v>12722</v>
      </c>
      <c r="P7047" t="s">
        <v>55</v>
      </c>
      <c r="R7047" t="s">
        <v>53</v>
      </c>
      <c r="T7047" t="s">
        <v>12723</v>
      </c>
      <c r="U7047" t="s">
        <v>58</v>
      </c>
      <c r="V7047">
        <v>1</v>
      </c>
      <c r="W7047">
        <v>1</v>
      </c>
      <c r="X7047">
        <v>2</v>
      </c>
      <c r="Y7047">
        <v>0</v>
      </c>
      <c r="Z7047">
        <v>2</v>
      </c>
      <c r="AA7047">
        <v>62.73</v>
      </c>
      <c r="AB7047">
        <v>62.73</v>
      </c>
      <c r="AC7047">
        <v>55.2</v>
      </c>
      <c r="AD7047">
        <v>0</v>
      </c>
      <c r="AE7047">
        <v>7.53</v>
      </c>
      <c r="AF7047">
        <v>0</v>
      </c>
      <c r="AG7047">
        <v>0</v>
      </c>
      <c r="AH7047">
        <v>0</v>
      </c>
      <c r="AI7047">
        <v>11.29</v>
      </c>
      <c r="AJ7047">
        <v>62.73</v>
      </c>
      <c r="AK7047">
        <v>0</v>
      </c>
      <c r="AL7047" t="s">
        <v>53</v>
      </c>
      <c r="AM7047" t="s">
        <v>53</v>
      </c>
      <c r="AN7047" t="s">
        <v>53</v>
      </c>
      <c r="AO7047" t="s">
        <v>53</v>
      </c>
      <c r="AP7047" t="s">
        <v>53</v>
      </c>
    </row>
    <row r="7048" spans="2:42" x14ac:dyDescent="0.2">
      <c r="B7048" t="s">
        <v>44</v>
      </c>
      <c r="C7048" t="str">
        <f>HYPERLINK("https://us2.cloudbeds.com/connect/8493803454333002#/reservations/9080486847123813?display=3JAN4EJ7AP&amp;reservation_id=9080486847123813", "3JAN4EJ7AP")</f>
        <v>3JAN4EJ7AP</v>
      </c>
      <c r="D7048" t="s">
        <v>45</v>
      </c>
      <c r="E7048" t="s">
        <v>105</v>
      </c>
      <c r="F7048" t="s">
        <v>47</v>
      </c>
      <c r="G7048" t="s">
        <v>48</v>
      </c>
      <c r="H7048" t="s">
        <v>49</v>
      </c>
      <c r="I7048" t="s">
        <v>62</v>
      </c>
      <c r="J7048" t="s">
        <v>9659</v>
      </c>
      <c r="K7048" t="s">
        <v>11896</v>
      </c>
      <c r="L7048" t="s">
        <v>53</v>
      </c>
      <c r="N7048" t="s">
        <v>12724</v>
      </c>
      <c r="P7048" t="s">
        <v>55</v>
      </c>
      <c r="R7048" t="s">
        <v>56</v>
      </c>
      <c r="T7048" t="s">
        <v>12725</v>
      </c>
      <c r="U7048" t="s">
        <v>55</v>
      </c>
      <c r="V7048">
        <v>2</v>
      </c>
      <c r="W7048">
        <v>1</v>
      </c>
      <c r="X7048">
        <v>2</v>
      </c>
      <c r="Y7048">
        <v>0</v>
      </c>
      <c r="Z7048">
        <v>2</v>
      </c>
      <c r="AA7048">
        <v>181</v>
      </c>
      <c r="AB7048">
        <v>181</v>
      </c>
      <c r="AC7048">
        <v>181</v>
      </c>
      <c r="AD7048">
        <v>0</v>
      </c>
      <c r="AE7048">
        <v>0</v>
      </c>
      <c r="AF7048">
        <v>0</v>
      </c>
      <c r="AG7048">
        <v>0</v>
      </c>
      <c r="AH7048">
        <v>0</v>
      </c>
      <c r="AI7048">
        <v>32.58</v>
      </c>
      <c r="AJ7048">
        <v>181</v>
      </c>
      <c r="AK7048">
        <v>0</v>
      </c>
      <c r="AL7048" t="s">
        <v>53</v>
      </c>
      <c r="AM7048" t="s">
        <v>53</v>
      </c>
      <c r="AN7048" t="s">
        <v>53</v>
      </c>
      <c r="AO7048" t="s">
        <v>53</v>
      </c>
      <c r="AP7048" t="s">
        <v>53</v>
      </c>
    </row>
    <row r="7049" spans="2:42" x14ac:dyDescent="0.2">
      <c r="B7049" t="s">
        <v>44</v>
      </c>
      <c r="C7049" t="str">
        <f>HYPERLINK("https://us2.cloudbeds.com/connect/8493803454333002#/reservations/9080486847124953?display=3JCBS99K6N&amp;reservation_id=9080486847124953", "3JCBS99K6N")</f>
        <v>3JCBS99K6N</v>
      </c>
      <c r="D7049" t="s">
        <v>45</v>
      </c>
      <c r="E7049" t="s">
        <v>121</v>
      </c>
      <c r="F7049" t="s">
        <v>86</v>
      </c>
      <c r="G7049" t="s">
        <v>48</v>
      </c>
      <c r="H7049" t="s">
        <v>49</v>
      </c>
      <c r="I7049" t="s">
        <v>50</v>
      </c>
      <c r="J7049" t="s">
        <v>9659</v>
      </c>
      <c r="K7049" t="s">
        <v>12299</v>
      </c>
      <c r="L7049" t="s">
        <v>53</v>
      </c>
      <c r="N7049" t="s">
        <v>12726</v>
      </c>
      <c r="P7049" t="s">
        <v>55</v>
      </c>
      <c r="R7049" t="s">
        <v>53</v>
      </c>
      <c r="T7049" t="s">
        <v>12727</v>
      </c>
      <c r="U7049" t="s">
        <v>58</v>
      </c>
      <c r="V7049">
        <v>1</v>
      </c>
      <c r="W7049">
        <v>1</v>
      </c>
      <c r="X7049">
        <v>2</v>
      </c>
      <c r="Y7049">
        <v>0</v>
      </c>
      <c r="Z7049">
        <v>2</v>
      </c>
      <c r="AA7049">
        <v>112.52</v>
      </c>
      <c r="AB7049">
        <v>112.52</v>
      </c>
      <c r="AC7049">
        <v>99</v>
      </c>
      <c r="AD7049">
        <v>0</v>
      </c>
      <c r="AE7049">
        <v>13.52</v>
      </c>
      <c r="AF7049">
        <v>0</v>
      </c>
      <c r="AG7049">
        <v>0</v>
      </c>
      <c r="AH7049">
        <v>0</v>
      </c>
      <c r="AI7049">
        <v>20.25</v>
      </c>
      <c r="AJ7049">
        <v>112.52</v>
      </c>
      <c r="AK7049">
        <v>0</v>
      </c>
      <c r="AL7049" t="s">
        <v>53</v>
      </c>
      <c r="AM7049" t="s">
        <v>53</v>
      </c>
      <c r="AN7049" t="s">
        <v>53</v>
      </c>
      <c r="AO7049" t="s">
        <v>53</v>
      </c>
      <c r="AP7049" t="s">
        <v>53</v>
      </c>
    </row>
    <row r="7050" spans="2:42" x14ac:dyDescent="0.2">
      <c r="B7050" t="s">
        <v>44</v>
      </c>
      <c r="C7050" t="str">
        <f>HYPERLINK("https://us2.cloudbeds.com/connect/8493803454333002#/reservations/9080486847130126?display=3JHR2PJX9M&amp;reservation_id=9080486847130126", "3JHR2PJX9M")</f>
        <v>3JHR2PJX9M</v>
      </c>
      <c r="D7050" t="s">
        <v>45</v>
      </c>
      <c r="E7050" t="s">
        <v>85</v>
      </c>
      <c r="F7050" t="s">
        <v>86</v>
      </c>
      <c r="G7050" t="s">
        <v>48</v>
      </c>
      <c r="H7050" t="s">
        <v>49</v>
      </c>
      <c r="I7050" t="s">
        <v>50</v>
      </c>
      <c r="J7050" t="s">
        <v>11370</v>
      </c>
      <c r="K7050" t="s">
        <v>8866</v>
      </c>
      <c r="L7050" t="s">
        <v>53</v>
      </c>
      <c r="N7050" t="s">
        <v>12728</v>
      </c>
      <c r="P7050" t="s">
        <v>55</v>
      </c>
      <c r="R7050" t="s">
        <v>53</v>
      </c>
      <c r="T7050" t="s">
        <v>12729</v>
      </c>
      <c r="U7050" t="s">
        <v>58</v>
      </c>
      <c r="V7050">
        <v>2</v>
      </c>
      <c r="W7050">
        <v>1</v>
      </c>
      <c r="X7050">
        <v>2</v>
      </c>
      <c r="Y7050">
        <v>0</v>
      </c>
      <c r="Z7050">
        <v>2</v>
      </c>
      <c r="AA7050">
        <v>299.27999999999997</v>
      </c>
      <c r="AB7050">
        <v>299.27999999999997</v>
      </c>
      <c r="AC7050">
        <v>263.33</v>
      </c>
      <c r="AD7050">
        <v>0</v>
      </c>
      <c r="AE7050">
        <v>35.950000000000003</v>
      </c>
      <c r="AF7050">
        <v>0</v>
      </c>
      <c r="AG7050">
        <v>0</v>
      </c>
      <c r="AH7050">
        <v>0</v>
      </c>
      <c r="AI7050">
        <v>53.87</v>
      </c>
      <c r="AJ7050">
        <v>299.27999999999997</v>
      </c>
      <c r="AK7050">
        <v>0</v>
      </c>
      <c r="AL7050" t="s">
        <v>53</v>
      </c>
      <c r="AM7050" t="s">
        <v>53</v>
      </c>
      <c r="AN7050" t="s">
        <v>53</v>
      </c>
      <c r="AO7050" t="s">
        <v>53</v>
      </c>
      <c r="AP7050" t="s">
        <v>53</v>
      </c>
    </row>
    <row r="7051" spans="2:42" x14ac:dyDescent="0.2">
      <c r="B7051" t="s">
        <v>44</v>
      </c>
      <c r="C7051" t="str">
        <f>HYPERLINK("https://us2.cloudbeds.com/connect/8493803454333002#/reservations/9080486847130304?display=3JX16TR6S8&amp;reservation_id=9080486847130304", "3JX16TR6S8")</f>
        <v>3JX16TR6S8</v>
      </c>
      <c r="D7051" t="s">
        <v>45</v>
      </c>
      <c r="E7051" t="s">
        <v>165</v>
      </c>
      <c r="F7051" t="s">
        <v>61</v>
      </c>
      <c r="G7051" t="s">
        <v>48</v>
      </c>
      <c r="H7051" t="s">
        <v>49</v>
      </c>
      <c r="I7051" t="s">
        <v>50</v>
      </c>
      <c r="J7051" t="s">
        <v>9659</v>
      </c>
      <c r="K7051" t="s">
        <v>12299</v>
      </c>
      <c r="L7051" t="s">
        <v>53</v>
      </c>
      <c r="N7051" t="s">
        <v>12730</v>
      </c>
      <c r="P7051" t="s">
        <v>55</v>
      </c>
      <c r="R7051" t="s">
        <v>53</v>
      </c>
      <c r="T7051" t="s">
        <v>12731</v>
      </c>
      <c r="U7051" t="s">
        <v>58</v>
      </c>
      <c r="V7051">
        <v>1</v>
      </c>
      <c r="W7051">
        <v>1</v>
      </c>
      <c r="X7051">
        <v>2</v>
      </c>
      <c r="Y7051">
        <v>0</v>
      </c>
      <c r="Z7051">
        <v>2</v>
      </c>
      <c r="AA7051">
        <v>86.37</v>
      </c>
      <c r="AB7051">
        <v>86.37</v>
      </c>
      <c r="AC7051">
        <v>76</v>
      </c>
      <c r="AD7051">
        <v>0</v>
      </c>
      <c r="AE7051">
        <v>10.37</v>
      </c>
      <c r="AF7051">
        <v>0</v>
      </c>
      <c r="AG7051">
        <v>0</v>
      </c>
      <c r="AH7051">
        <v>0</v>
      </c>
      <c r="AI7051">
        <v>15.55</v>
      </c>
      <c r="AJ7051">
        <v>86.37</v>
      </c>
      <c r="AK7051">
        <v>0</v>
      </c>
      <c r="AL7051" t="s">
        <v>53</v>
      </c>
      <c r="AM7051" t="s">
        <v>53</v>
      </c>
      <c r="AN7051" t="s">
        <v>53</v>
      </c>
      <c r="AO7051" t="s">
        <v>53</v>
      </c>
      <c r="AP7051" t="s">
        <v>53</v>
      </c>
    </row>
    <row r="7052" spans="2:42" x14ac:dyDescent="0.2">
      <c r="B7052" t="s">
        <v>44</v>
      </c>
      <c r="C7052" t="str">
        <f>HYPERLINK("https://us2.cloudbeds.com/connect/8493803454333002#/reservations/9080486847130436?display=3JX724VZ2C&amp;reservation_id=9080486847130436", "3JX724VZ2C")</f>
        <v>3JX724VZ2C</v>
      </c>
      <c r="D7052" t="s">
        <v>45</v>
      </c>
      <c r="E7052" t="s">
        <v>138</v>
      </c>
      <c r="F7052" t="s">
        <v>70</v>
      </c>
      <c r="G7052" t="s">
        <v>48</v>
      </c>
      <c r="H7052" t="s">
        <v>49</v>
      </c>
      <c r="I7052" t="s">
        <v>62</v>
      </c>
      <c r="J7052" t="s">
        <v>11721</v>
      </c>
      <c r="K7052" t="s">
        <v>10591</v>
      </c>
      <c r="L7052" t="s">
        <v>53</v>
      </c>
      <c r="N7052" t="s">
        <v>12732</v>
      </c>
      <c r="P7052" t="s">
        <v>55</v>
      </c>
      <c r="R7052" t="s">
        <v>56</v>
      </c>
      <c r="T7052" t="s">
        <v>12733</v>
      </c>
      <c r="U7052" t="s">
        <v>55</v>
      </c>
      <c r="V7052">
        <v>1</v>
      </c>
      <c r="W7052">
        <v>1</v>
      </c>
      <c r="X7052">
        <v>1</v>
      </c>
      <c r="Y7052">
        <v>0</v>
      </c>
      <c r="Z7052">
        <v>1</v>
      </c>
      <c r="AA7052">
        <v>70</v>
      </c>
      <c r="AB7052">
        <v>70</v>
      </c>
      <c r="AC7052">
        <v>70</v>
      </c>
      <c r="AD7052">
        <v>0</v>
      </c>
      <c r="AE7052">
        <v>0</v>
      </c>
      <c r="AF7052">
        <v>0</v>
      </c>
      <c r="AG7052">
        <v>0</v>
      </c>
      <c r="AH7052">
        <v>0</v>
      </c>
      <c r="AI7052">
        <v>12.6</v>
      </c>
      <c r="AJ7052">
        <v>70</v>
      </c>
      <c r="AK7052">
        <v>0</v>
      </c>
      <c r="AL7052" t="s">
        <v>53</v>
      </c>
      <c r="AM7052" t="s">
        <v>53</v>
      </c>
      <c r="AN7052" t="s">
        <v>53</v>
      </c>
      <c r="AO7052" t="s">
        <v>53</v>
      </c>
      <c r="AP7052" t="s">
        <v>53</v>
      </c>
    </row>
    <row r="7053" spans="2:42" x14ac:dyDescent="0.2">
      <c r="B7053" t="s">
        <v>44</v>
      </c>
      <c r="C7053" t="str">
        <f>HYPERLINK("https://us2.cloudbeds.com/connect/8493803454333002#/reservations/167086530412680?display=3JQH7487ZK&amp;reservation_id=167086530412680", "3JQH7487ZK")</f>
        <v>3JQH7487ZK</v>
      </c>
      <c r="D7053" t="s">
        <v>45</v>
      </c>
      <c r="E7053" t="s">
        <v>373</v>
      </c>
      <c r="F7053" t="s">
        <v>47</v>
      </c>
      <c r="G7053" t="s">
        <v>48</v>
      </c>
      <c r="H7053" t="s">
        <v>3957</v>
      </c>
      <c r="I7053" t="s">
        <v>3958</v>
      </c>
      <c r="J7053" t="s">
        <v>12299</v>
      </c>
      <c r="K7053" t="s">
        <v>11896</v>
      </c>
      <c r="L7053" t="s">
        <v>53</v>
      </c>
      <c r="P7053" t="s">
        <v>55</v>
      </c>
      <c r="R7053" t="s">
        <v>56</v>
      </c>
      <c r="T7053" t="s">
        <v>12734</v>
      </c>
      <c r="U7053" t="s">
        <v>58</v>
      </c>
      <c r="V7053">
        <v>1</v>
      </c>
      <c r="W7053">
        <v>1</v>
      </c>
      <c r="X7053">
        <v>1</v>
      </c>
      <c r="Y7053">
        <v>0</v>
      </c>
      <c r="Z7053">
        <v>1</v>
      </c>
      <c r="AA7053">
        <v>110.24</v>
      </c>
      <c r="AB7053">
        <v>110.24</v>
      </c>
      <c r="AC7053">
        <v>97</v>
      </c>
      <c r="AD7053">
        <v>0</v>
      </c>
      <c r="AE7053">
        <v>13.24</v>
      </c>
      <c r="AF7053">
        <v>0</v>
      </c>
      <c r="AG7053">
        <v>0</v>
      </c>
      <c r="AH7053">
        <v>0</v>
      </c>
      <c r="AI7053">
        <v>0</v>
      </c>
      <c r="AJ7053">
        <v>110.24</v>
      </c>
      <c r="AK7053">
        <v>0</v>
      </c>
      <c r="AL7053" t="s">
        <v>53</v>
      </c>
      <c r="AM7053" t="s">
        <v>53</v>
      </c>
      <c r="AN7053" t="s">
        <v>53</v>
      </c>
      <c r="AO7053" t="s">
        <v>53</v>
      </c>
      <c r="AP7053" t="s">
        <v>53</v>
      </c>
    </row>
    <row r="7054" spans="2:42" x14ac:dyDescent="0.2">
      <c r="B7054" t="s">
        <v>44</v>
      </c>
      <c r="C7054" t="str">
        <f>HYPERLINK("https://us2.cloudbeds.com/connect/8493803454333002#/reservations/167087286493352?display=3JQHQEQ9N4&amp;reservation_id=167087286493352", "3JQHQEQ9N4")</f>
        <v>3JQHQEQ9N4</v>
      </c>
      <c r="D7054" t="s">
        <v>45</v>
      </c>
      <c r="E7054" t="s">
        <v>381</v>
      </c>
      <c r="F7054" t="s">
        <v>47</v>
      </c>
      <c r="G7054" t="s">
        <v>48</v>
      </c>
      <c r="H7054" t="s">
        <v>3957</v>
      </c>
      <c r="I7054" t="s">
        <v>3958</v>
      </c>
      <c r="J7054" t="s">
        <v>12299</v>
      </c>
      <c r="K7054" t="s">
        <v>11896</v>
      </c>
      <c r="L7054" t="s">
        <v>53</v>
      </c>
      <c r="P7054" t="s">
        <v>55</v>
      </c>
      <c r="R7054" t="s">
        <v>56</v>
      </c>
      <c r="T7054" t="s">
        <v>12735</v>
      </c>
      <c r="U7054" t="s">
        <v>58</v>
      </c>
      <c r="V7054">
        <v>1</v>
      </c>
      <c r="W7054">
        <v>1</v>
      </c>
      <c r="X7054">
        <v>1</v>
      </c>
      <c r="Y7054">
        <v>0</v>
      </c>
      <c r="Z7054">
        <v>1</v>
      </c>
      <c r="AA7054">
        <v>110.24</v>
      </c>
      <c r="AB7054">
        <v>110.24</v>
      </c>
      <c r="AC7054">
        <v>97</v>
      </c>
      <c r="AD7054">
        <v>0</v>
      </c>
      <c r="AE7054">
        <v>13.24</v>
      </c>
      <c r="AF7054">
        <v>0</v>
      </c>
      <c r="AG7054">
        <v>0</v>
      </c>
      <c r="AH7054">
        <v>0</v>
      </c>
      <c r="AI7054">
        <v>0</v>
      </c>
      <c r="AJ7054">
        <v>110.24</v>
      </c>
      <c r="AK7054">
        <v>0</v>
      </c>
      <c r="AL7054" t="s">
        <v>53</v>
      </c>
      <c r="AM7054" t="s">
        <v>53</v>
      </c>
      <c r="AN7054" t="s">
        <v>53</v>
      </c>
      <c r="AO7054" t="s">
        <v>53</v>
      </c>
      <c r="AP7054" t="s">
        <v>53</v>
      </c>
    </row>
    <row r="7055" spans="2:42" x14ac:dyDescent="0.2">
      <c r="B7055" t="s">
        <v>44</v>
      </c>
      <c r="C7055" t="str">
        <f>HYPERLINK("https://us2.cloudbeds.com/connect/8493803454333002#/reservations/9080486847141032?display=3JVM805S2Z&amp;reservation_id=9080486847141032", "3JVM805S2Z")</f>
        <v>3JVM805S2Z</v>
      </c>
      <c r="D7055" t="s">
        <v>45</v>
      </c>
      <c r="E7055" t="s">
        <v>105</v>
      </c>
      <c r="F7055" t="s">
        <v>47</v>
      </c>
      <c r="G7055" t="s">
        <v>48</v>
      </c>
      <c r="H7055" t="s">
        <v>49</v>
      </c>
      <c r="I7055" t="s">
        <v>50</v>
      </c>
      <c r="J7055" t="s">
        <v>11896</v>
      </c>
      <c r="K7055" t="s">
        <v>10590</v>
      </c>
      <c r="L7055" t="s">
        <v>53</v>
      </c>
      <c r="N7055" t="s">
        <v>12736</v>
      </c>
      <c r="P7055" t="s">
        <v>55</v>
      </c>
      <c r="R7055" t="s">
        <v>53</v>
      </c>
      <c r="T7055" t="s">
        <v>12737</v>
      </c>
      <c r="U7055" t="s">
        <v>58</v>
      </c>
      <c r="V7055">
        <v>1</v>
      </c>
      <c r="W7055">
        <v>1</v>
      </c>
      <c r="X7055">
        <v>1</v>
      </c>
      <c r="Y7055">
        <v>0</v>
      </c>
      <c r="Z7055">
        <v>1</v>
      </c>
      <c r="AA7055">
        <v>90.92</v>
      </c>
      <c r="AB7055">
        <v>90.92</v>
      </c>
      <c r="AC7055">
        <v>80</v>
      </c>
      <c r="AD7055">
        <v>0</v>
      </c>
      <c r="AE7055">
        <v>10.92</v>
      </c>
      <c r="AF7055">
        <v>0</v>
      </c>
      <c r="AG7055">
        <v>0</v>
      </c>
      <c r="AH7055">
        <v>0</v>
      </c>
      <c r="AI7055">
        <v>16.37</v>
      </c>
      <c r="AJ7055">
        <v>90.92</v>
      </c>
      <c r="AK7055">
        <v>0</v>
      </c>
      <c r="AL7055" t="s">
        <v>53</v>
      </c>
      <c r="AM7055" t="s">
        <v>53</v>
      </c>
      <c r="AN7055" t="s">
        <v>53</v>
      </c>
      <c r="AO7055" t="s">
        <v>53</v>
      </c>
      <c r="AP7055" t="s">
        <v>53</v>
      </c>
    </row>
    <row r="7056" spans="2:42" x14ac:dyDescent="0.2">
      <c r="B7056" t="s">
        <v>44</v>
      </c>
      <c r="C7056" t="str">
        <f>HYPERLINK("https://us2.cloudbeds.com/connect/8493803454333002#/reservations/167398648529106?display=3K0RTFGUBQ&amp;reservation_id=167398648529106", "3K0RTFGUBQ")</f>
        <v>3K0RTFGUBQ</v>
      </c>
      <c r="D7056" t="s">
        <v>45</v>
      </c>
      <c r="E7056" t="s">
        <v>92</v>
      </c>
      <c r="F7056" t="s">
        <v>86</v>
      </c>
      <c r="G7056" t="s">
        <v>48</v>
      </c>
      <c r="H7056" t="s">
        <v>3957</v>
      </c>
      <c r="I7056" t="s">
        <v>3958</v>
      </c>
      <c r="J7056" t="s">
        <v>11896</v>
      </c>
      <c r="K7056" t="s">
        <v>10590</v>
      </c>
      <c r="L7056" t="s">
        <v>53</v>
      </c>
      <c r="P7056" t="s">
        <v>55</v>
      </c>
      <c r="R7056" t="s">
        <v>56</v>
      </c>
      <c r="T7056" t="s">
        <v>12738</v>
      </c>
      <c r="U7056" t="s">
        <v>58</v>
      </c>
      <c r="V7056">
        <v>1</v>
      </c>
      <c r="W7056">
        <v>1</v>
      </c>
      <c r="X7056">
        <v>1</v>
      </c>
      <c r="Y7056">
        <v>0</v>
      </c>
      <c r="Z7056">
        <v>1</v>
      </c>
      <c r="AA7056">
        <v>146.61000000000001</v>
      </c>
      <c r="AB7056">
        <v>0</v>
      </c>
      <c r="AC7056">
        <v>129</v>
      </c>
      <c r="AD7056">
        <v>0</v>
      </c>
      <c r="AE7056">
        <v>17.61</v>
      </c>
      <c r="AF7056">
        <v>0</v>
      </c>
      <c r="AG7056">
        <v>0</v>
      </c>
      <c r="AH7056">
        <v>0</v>
      </c>
      <c r="AI7056">
        <v>0</v>
      </c>
      <c r="AJ7056">
        <v>146.61000000000001</v>
      </c>
      <c r="AK7056">
        <v>146.61000000000001</v>
      </c>
      <c r="AL7056" t="s">
        <v>53</v>
      </c>
      <c r="AM7056" t="s">
        <v>53</v>
      </c>
      <c r="AN7056" t="s">
        <v>12739</v>
      </c>
      <c r="AO7056" t="s">
        <v>53</v>
      </c>
      <c r="AP7056" t="s">
        <v>53</v>
      </c>
    </row>
    <row r="7057" spans="2:42" x14ac:dyDescent="0.2">
      <c r="B7057" t="s">
        <v>44</v>
      </c>
      <c r="C7057" t="str">
        <f>HYPERLINK("https://us2.cloudbeds.com/connect/8493803454333002#/reservations/9080486847148694?display=3K7RS1UJ43&amp;reservation_id=9080486847148694", "3K7RS1UJ43")</f>
        <v>3K7RS1UJ43</v>
      </c>
      <c r="D7057" t="s">
        <v>45</v>
      </c>
      <c r="E7057" t="s">
        <v>179</v>
      </c>
      <c r="F7057" t="s">
        <v>47</v>
      </c>
      <c r="G7057" t="s">
        <v>48</v>
      </c>
      <c r="H7057" t="s">
        <v>49</v>
      </c>
      <c r="I7057" t="s">
        <v>62</v>
      </c>
      <c r="J7057" t="s">
        <v>10590</v>
      </c>
      <c r="K7057" t="s">
        <v>10591</v>
      </c>
      <c r="L7057" t="s">
        <v>53</v>
      </c>
      <c r="N7057" t="s">
        <v>12740</v>
      </c>
      <c r="P7057" t="s">
        <v>55</v>
      </c>
      <c r="R7057" t="s">
        <v>56</v>
      </c>
      <c r="T7057" t="s">
        <v>12741</v>
      </c>
      <c r="U7057" t="s">
        <v>55</v>
      </c>
      <c r="V7057">
        <v>2</v>
      </c>
      <c r="W7057">
        <v>1</v>
      </c>
      <c r="X7057">
        <v>2</v>
      </c>
      <c r="Y7057">
        <v>0</v>
      </c>
      <c r="Z7057">
        <v>2</v>
      </c>
      <c r="AA7057">
        <v>170</v>
      </c>
      <c r="AB7057">
        <v>170</v>
      </c>
      <c r="AC7057">
        <v>170</v>
      </c>
      <c r="AD7057">
        <v>0</v>
      </c>
      <c r="AE7057">
        <v>0</v>
      </c>
      <c r="AF7057">
        <v>0</v>
      </c>
      <c r="AG7057">
        <v>0</v>
      </c>
      <c r="AH7057">
        <v>0</v>
      </c>
      <c r="AI7057">
        <v>30.6</v>
      </c>
      <c r="AJ7057">
        <v>170</v>
      </c>
      <c r="AK7057">
        <v>85</v>
      </c>
      <c r="AL7057" t="s">
        <v>53</v>
      </c>
      <c r="AM7057" t="s">
        <v>53</v>
      </c>
      <c r="AN7057" t="s">
        <v>12742</v>
      </c>
      <c r="AO7057" t="s">
        <v>53</v>
      </c>
      <c r="AP7057" t="s">
        <v>53</v>
      </c>
    </row>
    <row r="7058" spans="2:42" x14ac:dyDescent="0.2">
      <c r="B7058" t="s">
        <v>44</v>
      </c>
      <c r="C7058" t="str">
        <f>HYPERLINK("https://us2.cloudbeds.com/connect/8493803454333002#/reservations/9080486847149499?display=3K8JAK2RU3&amp;reservation_id=9080486847149499", "3K8JAK2RU3")</f>
        <v>3K8JAK2RU3</v>
      </c>
      <c r="D7058" t="s">
        <v>45</v>
      </c>
      <c r="E7058" t="s">
        <v>165</v>
      </c>
      <c r="F7058" t="s">
        <v>61</v>
      </c>
      <c r="G7058" t="s">
        <v>48</v>
      </c>
      <c r="H7058" t="s">
        <v>49</v>
      </c>
      <c r="I7058" t="s">
        <v>8964</v>
      </c>
      <c r="J7058" t="s">
        <v>11309</v>
      </c>
      <c r="K7058" t="s">
        <v>12561</v>
      </c>
      <c r="L7058" t="s">
        <v>53</v>
      </c>
      <c r="N7058" t="s">
        <v>12743</v>
      </c>
      <c r="P7058" t="s">
        <v>55</v>
      </c>
      <c r="R7058" t="s">
        <v>53</v>
      </c>
      <c r="T7058" t="s">
        <v>12744</v>
      </c>
      <c r="U7058" t="s">
        <v>55</v>
      </c>
      <c r="V7058">
        <v>2</v>
      </c>
      <c r="W7058">
        <v>1</v>
      </c>
      <c r="X7058">
        <v>2</v>
      </c>
      <c r="Y7058">
        <v>0</v>
      </c>
      <c r="Z7058">
        <v>2</v>
      </c>
      <c r="AA7058">
        <v>0</v>
      </c>
      <c r="AB7058">
        <v>0</v>
      </c>
      <c r="AC7058">
        <v>197</v>
      </c>
      <c r="AD7058">
        <v>0</v>
      </c>
      <c r="AE7058">
        <v>0</v>
      </c>
      <c r="AF7058">
        <v>0</v>
      </c>
      <c r="AG7058">
        <v>0</v>
      </c>
      <c r="AH7058">
        <v>0</v>
      </c>
      <c r="AI7058">
        <v>29.55</v>
      </c>
      <c r="AJ7058">
        <v>197</v>
      </c>
      <c r="AK7058">
        <v>197</v>
      </c>
      <c r="AL7058" t="s">
        <v>53</v>
      </c>
      <c r="AM7058" t="s">
        <v>53</v>
      </c>
      <c r="AN7058" t="s">
        <v>53</v>
      </c>
      <c r="AO7058" t="s">
        <v>53</v>
      </c>
      <c r="AP7058" t="s">
        <v>53</v>
      </c>
    </row>
    <row r="7059" spans="2:42" x14ac:dyDescent="0.2">
      <c r="B7059" t="s">
        <v>44</v>
      </c>
      <c r="C7059" t="str">
        <f>HYPERLINK("https://us2.cloudbeds.com/connect/8493803454333002#/reservations/167770106298516?display=3K9XH2HUEH&amp;reservation_id=167770106298516", "3K9XH2HUEH")</f>
        <v>3K9XH2HUEH</v>
      </c>
      <c r="D7059" t="s">
        <v>45</v>
      </c>
      <c r="E7059" t="s">
        <v>46</v>
      </c>
      <c r="F7059" t="s">
        <v>47</v>
      </c>
      <c r="G7059" t="s">
        <v>48</v>
      </c>
      <c r="H7059" t="s">
        <v>3957</v>
      </c>
      <c r="I7059" t="s">
        <v>3958</v>
      </c>
      <c r="J7059" t="s">
        <v>10590</v>
      </c>
      <c r="K7059" t="s">
        <v>11721</v>
      </c>
      <c r="L7059" t="s">
        <v>53</v>
      </c>
      <c r="P7059" t="s">
        <v>55</v>
      </c>
      <c r="R7059" t="s">
        <v>56</v>
      </c>
      <c r="T7059" t="s">
        <v>12745</v>
      </c>
      <c r="U7059" t="s">
        <v>58</v>
      </c>
      <c r="V7059">
        <v>1</v>
      </c>
      <c r="W7059">
        <v>1</v>
      </c>
      <c r="X7059">
        <v>1</v>
      </c>
      <c r="Y7059">
        <v>0</v>
      </c>
      <c r="Z7059">
        <v>1</v>
      </c>
      <c r="AA7059">
        <v>96.61</v>
      </c>
      <c r="AB7059">
        <v>96.61</v>
      </c>
      <c r="AC7059">
        <v>85</v>
      </c>
      <c r="AD7059">
        <v>0</v>
      </c>
      <c r="AE7059">
        <v>11.61</v>
      </c>
      <c r="AF7059">
        <v>0</v>
      </c>
      <c r="AG7059">
        <v>0</v>
      </c>
      <c r="AH7059">
        <v>0</v>
      </c>
      <c r="AI7059">
        <v>0</v>
      </c>
      <c r="AJ7059">
        <v>96.61</v>
      </c>
      <c r="AK7059">
        <v>0</v>
      </c>
      <c r="AL7059" t="s">
        <v>53</v>
      </c>
      <c r="AM7059" t="s">
        <v>53</v>
      </c>
      <c r="AN7059" t="s">
        <v>53</v>
      </c>
      <c r="AO7059" t="s">
        <v>53</v>
      </c>
      <c r="AP7059" t="s">
        <v>53</v>
      </c>
    </row>
    <row r="7060" spans="2:42" x14ac:dyDescent="0.2">
      <c r="B7060" t="s">
        <v>44</v>
      </c>
      <c r="C7060" t="str">
        <f>HYPERLINK("https://us2.cloudbeds.com/connect/8493803454333002#/reservations/9080486847155740?display=3KFV4H97WU&amp;reservation_id=9080486847155740", "3KFV4H97WU")</f>
        <v>3KFV4H97WU</v>
      </c>
      <c r="D7060" t="s">
        <v>45</v>
      </c>
      <c r="E7060" t="s">
        <v>105</v>
      </c>
      <c r="F7060" t="s">
        <v>47</v>
      </c>
      <c r="G7060" t="s">
        <v>48</v>
      </c>
      <c r="H7060" t="s">
        <v>49</v>
      </c>
      <c r="I7060" t="s">
        <v>62</v>
      </c>
      <c r="J7060" t="s">
        <v>11721</v>
      </c>
      <c r="K7060" t="s">
        <v>11818</v>
      </c>
      <c r="L7060" t="s">
        <v>53</v>
      </c>
      <c r="N7060" t="s">
        <v>12746</v>
      </c>
      <c r="P7060" t="s">
        <v>55</v>
      </c>
      <c r="R7060" t="s">
        <v>56</v>
      </c>
      <c r="T7060" t="s">
        <v>12747</v>
      </c>
      <c r="U7060" t="s">
        <v>55</v>
      </c>
      <c r="V7060">
        <v>2</v>
      </c>
      <c r="W7060">
        <v>1</v>
      </c>
      <c r="X7060">
        <v>2</v>
      </c>
      <c r="Y7060">
        <v>0</v>
      </c>
      <c r="Z7060">
        <v>2</v>
      </c>
      <c r="AA7060">
        <v>170</v>
      </c>
      <c r="AB7060">
        <v>170</v>
      </c>
      <c r="AC7060">
        <v>170</v>
      </c>
      <c r="AD7060">
        <v>0</v>
      </c>
      <c r="AE7060">
        <v>0</v>
      </c>
      <c r="AF7060">
        <v>0</v>
      </c>
      <c r="AG7060">
        <v>0</v>
      </c>
      <c r="AH7060">
        <v>0</v>
      </c>
      <c r="AI7060">
        <v>30.6</v>
      </c>
      <c r="AJ7060">
        <v>170</v>
      </c>
      <c r="AK7060">
        <v>0</v>
      </c>
      <c r="AL7060" t="s">
        <v>53</v>
      </c>
      <c r="AM7060" t="s">
        <v>53</v>
      </c>
      <c r="AN7060" t="s">
        <v>53</v>
      </c>
      <c r="AO7060" t="s">
        <v>53</v>
      </c>
      <c r="AP7060" t="s">
        <v>53</v>
      </c>
    </row>
    <row r="7061" spans="2:42" x14ac:dyDescent="0.2">
      <c r="B7061" t="s">
        <v>44</v>
      </c>
      <c r="C7061" t="str">
        <f>HYPERLINK("https://us2.cloudbeds.com/connect/8493803454333002#/reservations/168121982099673?display=3KHQWAHQ4T&amp;reservation_id=168121982099673", "3KHQWAHQ4T")</f>
        <v>3KHQWAHQ4T</v>
      </c>
      <c r="D7061" t="s">
        <v>45</v>
      </c>
      <c r="E7061" t="s">
        <v>110</v>
      </c>
      <c r="F7061" t="s">
        <v>47</v>
      </c>
      <c r="G7061" t="s">
        <v>48</v>
      </c>
      <c r="H7061" t="s">
        <v>3957</v>
      </c>
      <c r="I7061" t="s">
        <v>3958</v>
      </c>
      <c r="J7061" t="s">
        <v>11721</v>
      </c>
      <c r="K7061" t="s">
        <v>10591</v>
      </c>
      <c r="L7061" t="s">
        <v>53</v>
      </c>
      <c r="P7061" t="s">
        <v>55</v>
      </c>
      <c r="R7061" t="s">
        <v>56</v>
      </c>
      <c r="T7061" t="s">
        <v>12748</v>
      </c>
      <c r="U7061" t="s">
        <v>58</v>
      </c>
      <c r="V7061">
        <v>1</v>
      </c>
      <c r="W7061">
        <v>1</v>
      </c>
      <c r="X7061">
        <v>1</v>
      </c>
      <c r="Y7061">
        <v>0</v>
      </c>
      <c r="Z7061">
        <v>1</v>
      </c>
      <c r="AA7061">
        <v>96.61</v>
      </c>
      <c r="AB7061">
        <v>96.61</v>
      </c>
      <c r="AC7061">
        <v>85</v>
      </c>
      <c r="AD7061">
        <v>0</v>
      </c>
      <c r="AE7061">
        <v>11.61</v>
      </c>
      <c r="AF7061">
        <v>0</v>
      </c>
      <c r="AG7061">
        <v>0</v>
      </c>
      <c r="AH7061">
        <v>0</v>
      </c>
      <c r="AI7061">
        <v>0</v>
      </c>
      <c r="AJ7061">
        <v>96.61</v>
      </c>
      <c r="AK7061">
        <v>0</v>
      </c>
      <c r="AL7061" t="s">
        <v>53</v>
      </c>
      <c r="AM7061" t="s">
        <v>53</v>
      </c>
      <c r="AN7061" t="s">
        <v>53</v>
      </c>
      <c r="AO7061" t="s">
        <v>53</v>
      </c>
      <c r="AP7061" t="s">
        <v>53</v>
      </c>
    </row>
    <row r="7062" spans="2:42" x14ac:dyDescent="0.2">
      <c r="B7062" t="s">
        <v>44</v>
      </c>
      <c r="C7062" t="str">
        <f>HYPERLINK("https://us2.cloudbeds.com/connect/8493803454333002#/reservations/168126048555232?display=3KHU47FU3U&amp;reservation_id=168126048555232", "3KHU47FU3U")</f>
        <v>3KHU47FU3U</v>
      </c>
      <c r="D7062" t="s">
        <v>45</v>
      </c>
      <c r="E7062" t="s">
        <v>223</v>
      </c>
      <c r="F7062" t="s">
        <v>47</v>
      </c>
      <c r="G7062" t="s">
        <v>48</v>
      </c>
      <c r="H7062" t="s">
        <v>3957</v>
      </c>
      <c r="I7062" t="s">
        <v>3975</v>
      </c>
      <c r="J7062" t="s">
        <v>11721</v>
      </c>
      <c r="K7062" t="s">
        <v>10591</v>
      </c>
      <c r="L7062" t="s">
        <v>53</v>
      </c>
      <c r="P7062" t="s">
        <v>55</v>
      </c>
      <c r="R7062" t="s">
        <v>56</v>
      </c>
      <c r="T7062" t="s">
        <v>12749</v>
      </c>
      <c r="U7062" t="s">
        <v>58</v>
      </c>
      <c r="V7062">
        <v>1</v>
      </c>
      <c r="W7062">
        <v>1</v>
      </c>
      <c r="X7062">
        <v>1</v>
      </c>
      <c r="Y7062">
        <v>0</v>
      </c>
      <c r="Z7062">
        <v>1</v>
      </c>
      <c r="AA7062">
        <v>96.61</v>
      </c>
      <c r="AB7062">
        <v>96.61</v>
      </c>
      <c r="AC7062">
        <v>85</v>
      </c>
      <c r="AD7062">
        <v>0</v>
      </c>
      <c r="AE7062">
        <v>11.61</v>
      </c>
      <c r="AF7062">
        <v>0</v>
      </c>
      <c r="AG7062">
        <v>0</v>
      </c>
      <c r="AH7062">
        <v>0</v>
      </c>
      <c r="AI7062">
        <v>0</v>
      </c>
      <c r="AJ7062">
        <v>96.61</v>
      </c>
      <c r="AK7062">
        <v>0</v>
      </c>
      <c r="AL7062" t="s">
        <v>53</v>
      </c>
      <c r="AM7062" t="s">
        <v>53</v>
      </c>
      <c r="AN7062" t="s">
        <v>53</v>
      </c>
      <c r="AO7062" t="s">
        <v>53</v>
      </c>
      <c r="AP7062" t="s">
        <v>53</v>
      </c>
    </row>
    <row r="7063" spans="2:42" x14ac:dyDescent="0.2">
      <c r="B7063" t="s">
        <v>44</v>
      </c>
      <c r="C7063" t="str">
        <f>HYPERLINK("https://us2.cloudbeds.com/connect/8493803454333002#/reservations/9080486847166412?display=3KR11ZTYTS&amp;reservation_id=9080486847166412", "3KR11ZTYTS")</f>
        <v>3KR11ZTYTS</v>
      </c>
      <c r="D7063" t="s">
        <v>45</v>
      </c>
      <c r="E7063" t="s">
        <v>165</v>
      </c>
      <c r="F7063" t="s">
        <v>61</v>
      </c>
      <c r="G7063" t="s">
        <v>48</v>
      </c>
      <c r="H7063" t="s">
        <v>49</v>
      </c>
      <c r="I7063" t="s">
        <v>62</v>
      </c>
      <c r="J7063" t="s">
        <v>10070</v>
      </c>
      <c r="K7063" t="s">
        <v>10723</v>
      </c>
      <c r="L7063" t="s">
        <v>53</v>
      </c>
      <c r="N7063" t="s">
        <v>12750</v>
      </c>
      <c r="P7063" t="s">
        <v>55</v>
      </c>
      <c r="R7063" t="s">
        <v>56</v>
      </c>
      <c r="T7063" t="s">
        <v>12751</v>
      </c>
      <c r="U7063" t="s">
        <v>55</v>
      </c>
      <c r="V7063">
        <v>1</v>
      </c>
      <c r="W7063">
        <v>1</v>
      </c>
      <c r="X7063">
        <v>2</v>
      </c>
      <c r="Y7063">
        <v>0</v>
      </c>
      <c r="Z7063">
        <v>2</v>
      </c>
      <c r="AA7063">
        <v>97</v>
      </c>
      <c r="AB7063">
        <v>97</v>
      </c>
      <c r="AC7063">
        <v>97</v>
      </c>
      <c r="AD7063">
        <v>0</v>
      </c>
      <c r="AE7063">
        <v>0</v>
      </c>
      <c r="AF7063">
        <v>0</v>
      </c>
      <c r="AG7063">
        <v>0</v>
      </c>
      <c r="AH7063">
        <v>0</v>
      </c>
      <c r="AI7063">
        <v>17.46</v>
      </c>
      <c r="AJ7063">
        <v>97</v>
      </c>
      <c r="AK7063">
        <v>0</v>
      </c>
      <c r="AL7063" t="s">
        <v>53</v>
      </c>
      <c r="AM7063" t="s">
        <v>53</v>
      </c>
      <c r="AN7063" t="s">
        <v>53</v>
      </c>
      <c r="AO7063" t="s">
        <v>53</v>
      </c>
      <c r="AP7063" t="s">
        <v>53</v>
      </c>
    </row>
    <row r="7064" spans="2:42" x14ac:dyDescent="0.2">
      <c r="B7064" t="s">
        <v>44</v>
      </c>
      <c r="C7064" t="str">
        <f>HYPERLINK("https://us2.cloudbeds.com/connect/8493803454333002#/reservations/168518946242689?display=3KR4BM77TU&amp;reservation_id=168518946242689", "3KR4BM77TU")</f>
        <v>3KR4BM77TU</v>
      </c>
      <c r="D7064" t="s">
        <v>45</v>
      </c>
      <c r="E7064" t="s">
        <v>78</v>
      </c>
      <c r="F7064" t="s">
        <v>61</v>
      </c>
      <c r="G7064" t="s">
        <v>48</v>
      </c>
      <c r="H7064" t="s">
        <v>3957</v>
      </c>
      <c r="I7064" t="s">
        <v>3975</v>
      </c>
      <c r="J7064" t="s">
        <v>10070</v>
      </c>
      <c r="K7064" t="s">
        <v>10723</v>
      </c>
      <c r="L7064" t="s">
        <v>53</v>
      </c>
      <c r="P7064" t="s">
        <v>55</v>
      </c>
      <c r="R7064" t="s">
        <v>56</v>
      </c>
      <c r="T7064" t="s">
        <v>12752</v>
      </c>
      <c r="U7064" t="s">
        <v>58</v>
      </c>
      <c r="V7064">
        <v>1</v>
      </c>
      <c r="W7064">
        <v>1</v>
      </c>
      <c r="X7064">
        <v>2</v>
      </c>
      <c r="Y7064">
        <v>0</v>
      </c>
      <c r="Z7064">
        <v>2</v>
      </c>
      <c r="AA7064">
        <v>110.24</v>
      </c>
      <c r="AB7064">
        <v>110.24</v>
      </c>
      <c r="AC7064">
        <v>97</v>
      </c>
      <c r="AD7064">
        <v>0</v>
      </c>
      <c r="AE7064">
        <v>13.24</v>
      </c>
      <c r="AF7064">
        <v>0</v>
      </c>
      <c r="AG7064">
        <v>0</v>
      </c>
      <c r="AH7064">
        <v>0</v>
      </c>
      <c r="AI7064">
        <v>0</v>
      </c>
      <c r="AJ7064">
        <v>110.24</v>
      </c>
      <c r="AK7064">
        <v>0</v>
      </c>
      <c r="AL7064" t="s">
        <v>53</v>
      </c>
      <c r="AM7064" t="s">
        <v>53</v>
      </c>
      <c r="AN7064" t="s">
        <v>53</v>
      </c>
      <c r="AO7064" t="s">
        <v>53</v>
      </c>
      <c r="AP7064" t="s">
        <v>53</v>
      </c>
    </row>
    <row r="7065" spans="2:42" x14ac:dyDescent="0.2">
      <c r="B7065" t="s">
        <v>44</v>
      </c>
      <c r="C7065" t="str">
        <f>HYPERLINK("https://us2.cloudbeds.com/connect/8493803454333002#/reservations/9080486847168812?display=3KUAB9CZA4&amp;reservation_id=9080486847168812", "3KUAB9CZA4")</f>
        <v>3KUAB9CZA4</v>
      </c>
      <c r="D7065" t="s">
        <v>45</v>
      </c>
      <c r="E7065" t="s">
        <v>373</v>
      </c>
      <c r="F7065" t="s">
        <v>47</v>
      </c>
      <c r="G7065" t="s">
        <v>48</v>
      </c>
      <c r="H7065" t="s">
        <v>49</v>
      </c>
      <c r="I7065" t="s">
        <v>50</v>
      </c>
      <c r="J7065" t="s">
        <v>11206</v>
      </c>
      <c r="K7065" t="s">
        <v>10137</v>
      </c>
      <c r="L7065" t="s">
        <v>53</v>
      </c>
      <c r="N7065" t="s">
        <v>12753</v>
      </c>
      <c r="P7065" t="s">
        <v>55</v>
      </c>
      <c r="R7065" t="s">
        <v>53</v>
      </c>
      <c r="T7065" t="s">
        <v>12754</v>
      </c>
      <c r="U7065" t="s">
        <v>58</v>
      </c>
      <c r="V7065">
        <v>1</v>
      </c>
      <c r="W7065">
        <v>1</v>
      </c>
      <c r="X7065">
        <v>2</v>
      </c>
      <c r="Y7065">
        <v>0</v>
      </c>
      <c r="Z7065">
        <v>2</v>
      </c>
      <c r="AA7065">
        <v>110.7</v>
      </c>
      <c r="AB7065">
        <v>130.69999999999999</v>
      </c>
      <c r="AC7065">
        <v>117.41</v>
      </c>
      <c r="AD7065">
        <v>0</v>
      </c>
      <c r="AE7065">
        <v>13.29</v>
      </c>
      <c r="AF7065">
        <v>0</v>
      </c>
      <c r="AG7065">
        <v>0</v>
      </c>
      <c r="AH7065">
        <v>0</v>
      </c>
      <c r="AI7065">
        <v>23.53</v>
      </c>
      <c r="AJ7065">
        <v>130.69999999999999</v>
      </c>
      <c r="AK7065">
        <v>0</v>
      </c>
      <c r="AL7065" t="s">
        <v>53</v>
      </c>
      <c r="AM7065" t="s">
        <v>53</v>
      </c>
      <c r="AN7065" t="s">
        <v>53</v>
      </c>
      <c r="AO7065" t="s">
        <v>53</v>
      </c>
      <c r="AP7065" t="s">
        <v>53</v>
      </c>
    </row>
    <row r="7066" spans="2:42" x14ac:dyDescent="0.2">
      <c r="B7066" t="s">
        <v>44</v>
      </c>
      <c r="C7066" t="str">
        <f>HYPERLINK("https://us2.cloudbeds.com/connect/8493803454333002#/reservations/168824688554130?display=3Y1A337ZRE&amp;reservation_id=168824688554130", "3Y1A337ZRE")</f>
        <v>3Y1A337ZRE</v>
      </c>
      <c r="D7066" t="s">
        <v>45</v>
      </c>
      <c r="E7066" t="s">
        <v>138</v>
      </c>
      <c r="F7066" t="s">
        <v>70</v>
      </c>
      <c r="G7066" t="s">
        <v>48</v>
      </c>
      <c r="H7066" t="s">
        <v>3957</v>
      </c>
      <c r="I7066" t="s">
        <v>3975</v>
      </c>
      <c r="J7066" t="s">
        <v>11818</v>
      </c>
      <c r="K7066" t="s">
        <v>11206</v>
      </c>
      <c r="L7066" t="s">
        <v>53</v>
      </c>
      <c r="P7066" t="s">
        <v>55</v>
      </c>
      <c r="R7066" t="s">
        <v>56</v>
      </c>
      <c r="T7066" t="s">
        <v>12755</v>
      </c>
      <c r="U7066" t="s">
        <v>58</v>
      </c>
      <c r="V7066">
        <v>1</v>
      </c>
      <c r="W7066">
        <v>1</v>
      </c>
      <c r="X7066">
        <v>2</v>
      </c>
      <c r="Y7066">
        <v>0</v>
      </c>
      <c r="Z7066">
        <v>2</v>
      </c>
      <c r="AA7066">
        <v>89.79</v>
      </c>
      <c r="AB7066">
        <v>89.79</v>
      </c>
      <c r="AC7066">
        <v>79</v>
      </c>
      <c r="AD7066">
        <v>0</v>
      </c>
      <c r="AE7066">
        <v>10.79</v>
      </c>
      <c r="AF7066">
        <v>0</v>
      </c>
      <c r="AG7066">
        <v>0</v>
      </c>
      <c r="AH7066">
        <v>0</v>
      </c>
      <c r="AI7066">
        <v>0</v>
      </c>
      <c r="AJ7066">
        <v>89.79</v>
      </c>
      <c r="AK7066">
        <v>0</v>
      </c>
      <c r="AL7066" t="s">
        <v>53</v>
      </c>
      <c r="AM7066" t="s">
        <v>53</v>
      </c>
      <c r="AN7066" t="s">
        <v>53</v>
      </c>
      <c r="AO7066" t="s">
        <v>53</v>
      </c>
      <c r="AP7066" t="s">
        <v>53</v>
      </c>
    </row>
    <row r="7067" spans="2:42" x14ac:dyDescent="0.2">
      <c r="B7067" t="s">
        <v>44</v>
      </c>
      <c r="C7067" t="str">
        <f>HYPERLINK("https://us2.cloudbeds.com/connect/8493803454333002#/reservations/9080486847173149?display=3Y1FSV6QFG&amp;reservation_id=9080486847173149", "3Y1FSV6QFG")</f>
        <v>3Y1FSV6QFG</v>
      </c>
      <c r="D7067" t="s">
        <v>45</v>
      </c>
      <c r="E7067" t="s">
        <v>128</v>
      </c>
      <c r="F7067" t="s">
        <v>86</v>
      </c>
      <c r="G7067" t="s">
        <v>48</v>
      </c>
      <c r="H7067" t="s">
        <v>49</v>
      </c>
      <c r="I7067" t="s">
        <v>62</v>
      </c>
      <c r="J7067" t="s">
        <v>12756</v>
      </c>
      <c r="K7067" t="s">
        <v>12681</v>
      </c>
      <c r="L7067" t="s">
        <v>53</v>
      </c>
      <c r="N7067" t="s">
        <v>12757</v>
      </c>
      <c r="P7067" t="s">
        <v>55</v>
      </c>
      <c r="R7067" t="s">
        <v>56</v>
      </c>
      <c r="T7067" t="s">
        <v>12758</v>
      </c>
      <c r="U7067" t="s">
        <v>55</v>
      </c>
      <c r="V7067">
        <v>2</v>
      </c>
      <c r="W7067">
        <v>1</v>
      </c>
      <c r="X7067">
        <v>4</v>
      </c>
      <c r="Y7067">
        <v>0</v>
      </c>
      <c r="Z7067">
        <v>4</v>
      </c>
      <c r="AA7067">
        <v>219.45</v>
      </c>
      <c r="AB7067">
        <v>219.45</v>
      </c>
      <c r="AC7067">
        <v>219.45</v>
      </c>
      <c r="AD7067">
        <v>0</v>
      </c>
      <c r="AE7067">
        <v>0</v>
      </c>
      <c r="AF7067">
        <v>0</v>
      </c>
      <c r="AG7067">
        <v>0</v>
      </c>
      <c r="AH7067">
        <v>0</v>
      </c>
      <c r="AI7067">
        <v>39.5</v>
      </c>
      <c r="AJ7067">
        <v>219.45</v>
      </c>
      <c r="AK7067">
        <v>0</v>
      </c>
      <c r="AL7067" t="s">
        <v>53</v>
      </c>
      <c r="AM7067" t="s">
        <v>53</v>
      </c>
      <c r="AN7067" t="s">
        <v>53</v>
      </c>
      <c r="AO7067" t="s">
        <v>53</v>
      </c>
      <c r="AP7067" t="s">
        <v>53</v>
      </c>
    </row>
    <row r="7068" spans="2:42" x14ac:dyDescent="0.2">
      <c r="B7068" t="s">
        <v>44</v>
      </c>
      <c r="C7068" t="str">
        <f>HYPERLINK("https://us2.cloudbeds.com/connect/8493803454333002#/reservations/9080486847174283?display=3Y2PY38PSW&amp;reservation_id=9080486847174283", "3Y2PY38PSW")</f>
        <v>3Y2PY38PSW</v>
      </c>
      <c r="D7068" t="s">
        <v>45</v>
      </c>
      <c r="E7068" t="s">
        <v>185</v>
      </c>
      <c r="F7068" t="s">
        <v>47</v>
      </c>
      <c r="G7068" t="s">
        <v>48</v>
      </c>
      <c r="H7068" t="s">
        <v>49</v>
      </c>
      <c r="I7068" t="s">
        <v>62</v>
      </c>
      <c r="J7068" t="s">
        <v>11521</v>
      </c>
      <c r="K7068" t="s">
        <v>12350</v>
      </c>
      <c r="L7068" t="s">
        <v>53</v>
      </c>
      <c r="N7068" t="s">
        <v>12759</v>
      </c>
      <c r="P7068" t="s">
        <v>55</v>
      </c>
      <c r="R7068" t="s">
        <v>56</v>
      </c>
      <c r="T7068" t="s">
        <v>12760</v>
      </c>
      <c r="U7068" t="s">
        <v>55</v>
      </c>
      <c r="V7068">
        <v>2</v>
      </c>
      <c r="W7068">
        <v>1</v>
      </c>
      <c r="X7068">
        <v>2</v>
      </c>
      <c r="Y7068">
        <v>0</v>
      </c>
      <c r="Z7068">
        <v>2</v>
      </c>
      <c r="AA7068">
        <v>201.4</v>
      </c>
      <c r="AB7068">
        <v>201.4</v>
      </c>
      <c r="AC7068">
        <v>201.4</v>
      </c>
      <c r="AD7068">
        <v>0</v>
      </c>
      <c r="AE7068">
        <v>0</v>
      </c>
      <c r="AF7068">
        <v>0</v>
      </c>
      <c r="AG7068">
        <v>0</v>
      </c>
      <c r="AH7068">
        <v>0</v>
      </c>
      <c r="AI7068">
        <v>36.25</v>
      </c>
      <c r="AJ7068">
        <v>201.4</v>
      </c>
      <c r="AK7068">
        <v>0</v>
      </c>
      <c r="AL7068" t="s">
        <v>53</v>
      </c>
      <c r="AM7068" t="s">
        <v>53</v>
      </c>
      <c r="AN7068" t="s">
        <v>53</v>
      </c>
      <c r="AO7068" t="s">
        <v>53</v>
      </c>
      <c r="AP7068" t="s">
        <v>53</v>
      </c>
    </row>
    <row r="7069" spans="2:42" x14ac:dyDescent="0.2">
      <c r="B7069" t="s">
        <v>44</v>
      </c>
      <c r="C7069" t="str">
        <f>HYPERLINK("https://us2.cloudbeds.com/connect/8493803454333002#/reservations/9080486847174886?display=3Y3KHBN70E&amp;reservation_id=9080486847174886", "3Y3KHBN70E")</f>
        <v>3Y3KHBN70E</v>
      </c>
      <c r="D7069" t="s">
        <v>45</v>
      </c>
      <c r="E7069" t="s">
        <v>113</v>
      </c>
      <c r="F7069" t="s">
        <v>61</v>
      </c>
      <c r="G7069" t="s">
        <v>48</v>
      </c>
      <c r="H7069" t="s">
        <v>49</v>
      </c>
      <c r="I7069" t="s">
        <v>62</v>
      </c>
      <c r="J7069" t="s">
        <v>10070</v>
      </c>
      <c r="K7069" t="s">
        <v>10723</v>
      </c>
      <c r="L7069" t="s">
        <v>53</v>
      </c>
      <c r="N7069" t="s">
        <v>12761</v>
      </c>
      <c r="P7069" t="s">
        <v>55</v>
      </c>
      <c r="R7069" t="s">
        <v>56</v>
      </c>
      <c r="T7069" t="s">
        <v>12762</v>
      </c>
      <c r="U7069" t="s">
        <v>55</v>
      </c>
      <c r="V7069">
        <v>1</v>
      </c>
      <c r="W7069">
        <v>1</v>
      </c>
      <c r="X7069">
        <v>2</v>
      </c>
      <c r="Y7069">
        <v>0</v>
      </c>
      <c r="Z7069">
        <v>2</v>
      </c>
      <c r="AA7069">
        <v>118</v>
      </c>
      <c r="AB7069">
        <v>118</v>
      </c>
      <c r="AC7069">
        <v>118</v>
      </c>
      <c r="AD7069">
        <v>0</v>
      </c>
      <c r="AE7069">
        <v>0</v>
      </c>
      <c r="AF7069">
        <v>0</v>
      </c>
      <c r="AG7069">
        <v>0</v>
      </c>
      <c r="AH7069">
        <v>0</v>
      </c>
      <c r="AI7069">
        <v>21.24</v>
      </c>
      <c r="AJ7069">
        <v>118</v>
      </c>
      <c r="AK7069">
        <v>0</v>
      </c>
      <c r="AL7069" t="s">
        <v>53</v>
      </c>
      <c r="AM7069" t="s">
        <v>53</v>
      </c>
      <c r="AN7069" t="s">
        <v>53</v>
      </c>
      <c r="AO7069" t="s">
        <v>53</v>
      </c>
      <c r="AP7069" t="s">
        <v>53</v>
      </c>
    </row>
    <row r="7070" spans="2:42" x14ac:dyDescent="0.2">
      <c r="B7070" t="s">
        <v>44</v>
      </c>
      <c r="C7070" t="str">
        <f>HYPERLINK("https://us2.cloudbeds.com/connect/8493803454333002#/reservations/9080486847178160?display=3Y75Q1SBWZ&amp;reservation_id=9080486847178160", "3Y75Q1SBWZ")</f>
        <v>3Y75Q1SBWZ</v>
      </c>
      <c r="D7070" t="s">
        <v>45</v>
      </c>
      <c r="E7070" t="s">
        <v>69</v>
      </c>
      <c r="F7070" t="s">
        <v>70</v>
      </c>
      <c r="G7070" t="s">
        <v>48</v>
      </c>
      <c r="H7070" t="s">
        <v>49</v>
      </c>
      <c r="I7070" t="s">
        <v>50</v>
      </c>
      <c r="J7070" t="s">
        <v>10137</v>
      </c>
      <c r="K7070" t="s">
        <v>8865</v>
      </c>
      <c r="L7070" t="s">
        <v>53</v>
      </c>
      <c r="N7070" t="s">
        <v>12763</v>
      </c>
      <c r="P7070" t="s">
        <v>55</v>
      </c>
      <c r="R7070" t="s">
        <v>53</v>
      </c>
      <c r="T7070" t="s">
        <v>12764</v>
      </c>
      <c r="U7070" t="s">
        <v>58</v>
      </c>
      <c r="V7070">
        <v>1</v>
      </c>
      <c r="W7070">
        <v>1</v>
      </c>
      <c r="X7070">
        <v>2</v>
      </c>
      <c r="Y7070">
        <v>0</v>
      </c>
      <c r="Z7070">
        <v>2</v>
      </c>
      <c r="AA7070">
        <v>87.45</v>
      </c>
      <c r="AB7070">
        <v>87.45</v>
      </c>
      <c r="AC7070">
        <v>76.95</v>
      </c>
      <c r="AD7070">
        <v>0</v>
      </c>
      <c r="AE7070">
        <v>10.5</v>
      </c>
      <c r="AF7070">
        <v>0</v>
      </c>
      <c r="AG7070">
        <v>0</v>
      </c>
      <c r="AH7070">
        <v>0</v>
      </c>
      <c r="AI7070">
        <v>15.74</v>
      </c>
      <c r="AJ7070">
        <v>87.45</v>
      </c>
      <c r="AK7070">
        <v>0</v>
      </c>
      <c r="AL7070" t="s">
        <v>53</v>
      </c>
      <c r="AM7070" t="s">
        <v>53</v>
      </c>
      <c r="AN7070" t="s">
        <v>53</v>
      </c>
      <c r="AO7070" t="s">
        <v>53</v>
      </c>
      <c r="AP7070" t="s">
        <v>53</v>
      </c>
    </row>
    <row r="7071" spans="2:42" x14ac:dyDescent="0.2">
      <c r="B7071" t="s">
        <v>44</v>
      </c>
      <c r="C7071" t="str">
        <f>HYPERLINK("https://us2.cloudbeds.com/connect/8493803454333002#/reservations/9080486847179572?display=3Y8X2CEVMT&amp;reservation_id=9080486847179572", "3Y8X2CEVMT")</f>
        <v>3Y8X2CEVMT</v>
      </c>
      <c r="D7071" t="s">
        <v>45</v>
      </c>
      <c r="E7071" t="s">
        <v>110</v>
      </c>
      <c r="F7071" t="s">
        <v>47</v>
      </c>
      <c r="G7071" t="s">
        <v>48</v>
      </c>
      <c r="H7071" t="s">
        <v>49</v>
      </c>
      <c r="I7071" t="s">
        <v>62</v>
      </c>
      <c r="J7071" t="s">
        <v>10137</v>
      </c>
      <c r="K7071" t="s">
        <v>8865</v>
      </c>
      <c r="L7071" t="s">
        <v>53</v>
      </c>
      <c r="N7071" t="s">
        <v>12765</v>
      </c>
      <c r="P7071" t="s">
        <v>55</v>
      </c>
      <c r="R7071" t="s">
        <v>56</v>
      </c>
      <c r="T7071" t="s">
        <v>12766</v>
      </c>
      <c r="U7071" t="s">
        <v>55</v>
      </c>
      <c r="V7071">
        <v>1</v>
      </c>
      <c r="W7071">
        <v>1</v>
      </c>
      <c r="X7071">
        <v>2</v>
      </c>
      <c r="Y7071">
        <v>0</v>
      </c>
      <c r="Z7071">
        <v>2</v>
      </c>
      <c r="AA7071">
        <v>100</v>
      </c>
      <c r="AB7071">
        <v>100</v>
      </c>
      <c r="AC7071">
        <v>100</v>
      </c>
      <c r="AD7071">
        <v>0</v>
      </c>
      <c r="AE7071">
        <v>0</v>
      </c>
      <c r="AF7071">
        <v>0</v>
      </c>
      <c r="AG7071">
        <v>0</v>
      </c>
      <c r="AH7071">
        <v>0</v>
      </c>
      <c r="AI7071">
        <v>18</v>
      </c>
      <c r="AJ7071">
        <v>100</v>
      </c>
      <c r="AK7071">
        <v>0</v>
      </c>
      <c r="AL7071" t="s">
        <v>53</v>
      </c>
      <c r="AM7071" t="s">
        <v>53</v>
      </c>
      <c r="AN7071" t="s">
        <v>53</v>
      </c>
      <c r="AO7071" t="s">
        <v>53</v>
      </c>
      <c r="AP7071" t="s">
        <v>53</v>
      </c>
    </row>
    <row r="7072" spans="2:42" x14ac:dyDescent="0.2">
      <c r="B7072" t="s">
        <v>44</v>
      </c>
      <c r="C7072" t="str">
        <f>HYPERLINK("https://us2.cloudbeds.com/connect/8493803454333002#/reservations/169186458755273?display=3Y9Q75ET9D&amp;reservation_id=169186458755273", "3Y9Q75ET9D")</f>
        <v>3Y9Q75ET9D</v>
      </c>
      <c r="D7072" t="s">
        <v>45</v>
      </c>
      <c r="E7072" t="s">
        <v>105</v>
      </c>
      <c r="F7072" t="s">
        <v>47</v>
      </c>
      <c r="G7072" t="s">
        <v>4520</v>
      </c>
      <c r="H7072" t="s">
        <v>3957</v>
      </c>
      <c r="I7072" t="s">
        <v>3958</v>
      </c>
      <c r="J7072" t="s">
        <v>8866</v>
      </c>
      <c r="K7072" t="s">
        <v>11887</v>
      </c>
      <c r="L7072" t="s">
        <v>53</v>
      </c>
      <c r="P7072" t="s">
        <v>55</v>
      </c>
      <c r="R7072" t="s">
        <v>56</v>
      </c>
      <c r="T7072" t="s">
        <v>12767</v>
      </c>
      <c r="U7072" t="s">
        <v>58</v>
      </c>
      <c r="V7072">
        <v>1</v>
      </c>
      <c r="W7072">
        <v>1</v>
      </c>
      <c r="X7072">
        <v>1</v>
      </c>
      <c r="Y7072">
        <v>0</v>
      </c>
      <c r="Z7072">
        <v>1</v>
      </c>
      <c r="AA7072">
        <v>120.7</v>
      </c>
      <c r="AB7072">
        <v>120.7</v>
      </c>
      <c r="AC7072">
        <v>106.2</v>
      </c>
      <c r="AD7072">
        <v>0</v>
      </c>
      <c r="AE7072">
        <v>14.5</v>
      </c>
      <c r="AF7072">
        <v>0</v>
      </c>
      <c r="AG7072">
        <v>0</v>
      </c>
      <c r="AH7072">
        <v>0</v>
      </c>
      <c r="AI7072">
        <v>0</v>
      </c>
      <c r="AJ7072">
        <v>120.7</v>
      </c>
      <c r="AK7072">
        <v>0</v>
      </c>
      <c r="AL7072" t="s">
        <v>53</v>
      </c>
      <c r="AM7072" t="s">
        <v>53</v>
      </c>
      <c r="AN7072" t="s">
        <v>53</v>
      </c>
      <c r="AO7072" t="s">
        <v>53</v>
      </c>
      <c r="AP7072" t="s">
        <v>53</v>
      </c>
    </row>
    <row r="7073" spans="2:42" x14ac:dyDescent="0.2">
      <c r="B7073" t="s">
        <v>44</v>
      </c>
      <c r="C7073" t="str">
        <f>HYPERLINK("https://us2.cloudbeds.com/connect/8493803454333002#/reservations/9080486847185832?display=3YFMW6SV6N&amp;reservation_id=9080486847185832", "3YFMW6SV6N")</f>
        <v>3YFMW6SV6N</v>
      </c>
      <c r="D7073" t="s">
        <v>45</v>
      </c>
      <c r="E7073" t="s">
        <v>46</v>
      </c>
      <c r="F7073" t="s">
        <v>47</v>
      </c>
      <c r="G7073" t="s">
        <v>48</v>
      </c>
      <c r="H7073" t="s">
        <v>49</v>
      </c>
      <c r="I7073" t="s">
        <v>8964</v>
      </c>
      <c r="J7073" t="s">
        <v>10137</v>
      </c>
      <c r="K7073" t="s">
        <v>10070</v>
      </c>
      <c r="L7073" t="s">
        <v>53</v>
      </c>
      <c r="N7073" t="s">
        <v>12768</v>
      </c>
      <c r="P7073" t="s">
        <v>55</v>
      </c>
      <c r="R7073" t="s">
        <v>53</v>
      </c>
      <c r="T7073" t="s">
        <v>12769</v>
      </c>
      <c r="U7073" t="s">
        <v>55</v>
      </c>
      <c r="V7073">
        <v>2</v>
      </c>
      <c r="W7073">
        <v>1</v>
      </c>
      <c r="X7073">
        <v>2</v>
      </c>
      <c r="Y7073">
        <v>0</v>
      </c>
      <c r="Z7073">
        <v>2</v>
      </c>
      <c r="AA7073">
        <v>0</v>
      </c>
      <c r="AB7073">
        <v>0</v>
      </c>
      <c r="AC7073">
        <v>220</v>
      </c>
      <c r="AD7073">
        <v>0</v>
      </c>
      <c r="AE7073">
        <v>0</v>
      </c>
      <c r="AF7073">
        <v>0</v>
      </c>
      <c r="AG7073">
        <v>0</v>
      </c>
      <c r="AH7073">
        <v>0</v>
      </c>
      <c r="AI7073">
        <v>33</v>
      </c>
      <c r="AJ7073">
        <v>220</v>
      </c>
      <c r="AK7073">
        <v>220</v>
      </c>
      <c r="AL7073" t="s">
        <v>53</v>
      </c>
      <c r="AM7073" t="s">
        <v>53</v>
      </c>
      <c r="AN7073" t="s">
        <v>53</v>
      </c>
      <c r="AO7073" t="s">
        <v>53</v>
      </c>
      <c r="AP7073" t="s">
        <v>53</v>
      </c>
    </row>
    <row r="7074" spans="2:42" x14ac:dyDescent="0.2">
      <c r="B7074" t="s">
        <v>44</v>
      </c>
      <c r="C7074" t="str">
        <f>HYPERLINK("https://us2.cloudbeds.com/connect/8493803454333002#/reservations/169439540777159?display=3YFZ5WU74P&amp;reservation_id=169439540777159", "3YFZ5WU74P")</f>
        <v>3YFZ5WU74P</v>
      </c>
      <c r="D7074" t="s">
        <v>45</v>
      </c>
      <c r="E7074" t="s">
        <v>85</v>
      </c>
      <c r="F7074" t="s">
        <v>86</v>
      </c>
      <c r="G7074" t="s">
        <v>48</v>
      </c>
      <c r="H7074" t="s">
        <v>3957</v>
      </c>
      <c r="I7074" t="s">
        <v>3958</v>
      </c>
      <c r="J7074" t="s">
        <v>10724</v>
      </c>
      <c r="K7074" t="s">
        <v>11370</v>
      </c>
      <c r="L7074" t="s">
        <v>53</v>
      </c>
      <c r="P7074" t="s">
        <v>55</v>
      </c>
      <c r="R7074" t="s">
        <v>56</v>
      </c>
      <c r="T7074" t="s">
        <v>12770</v>
      </c>
      <c r="U7074" t="s">
        <v>58</v>
      </c>
      <c r="V7074">
        <v>1</v>
      </c>
      <c r="W7074">
        <v>1</v>
      </c>
      <c r="X7074">
        <v>1</v>
      </c>
      <c r="Y7074">
        <v>0</v>
      </c>
      <c r="Z7074">
        <v>1</v>
      </c>
      <c r="AA7074">
        <v>113.65</v>
      </c>
      <c r="AB7074">
        <v>113.65</v>
      </c>
      <c r="AC7074">
        <v>100</v>
      </c>
      <c r="AD7074">
        <v>0</v>
      </c>
      <c r="AE7074">
        <v>13.65</v>
      </c>
      <c r="AF7074">
        <v>0</v>
      </c>
      <c r="AG7074">
        <v>0</v>
      </c>
      <c r="AH7074">
        <v>0</v>
      </c>
      <c r="AI7074">
        <v>0</v>
      </c>
      <c r="AJ7074">
        <v>113.65</v>
      </c>
      <c r="AK7074">
        <v>0</v>
      </c>
      <c r="AL7074" t="s">
        <v>53</v>
      </c>
      <c r="AM7074" t="s">
        <v>53</v>
      </c>
      <c r="AN7074" t="s">
        <v>53</v>
      </c>
      <c r="AO7074" t="s">
        <v>53</v>
      </c>
      <c r="AP7074" t="s">
        <v>53</v>
      </c>
    </row>
    <row r="7075" spans="2:42" x14ac:dyDescent="0.2">
      <c r="B7075" t="s">
        <v>44</v>
      </c>
      <c r="C7075" t="str">
        <f>HYPERLINK("https://us2.cloudbeds.com/connect/8493803454333002#/reservations/169492281716985?display=3YGW0YFK7H&amp;reservation_id=169492281716985", "3YGW0YFK7H")</f>
        <v>3YGW0YFK7H</v>
      </c>
      <c r="D7075" t="s">
        <v>45</v>
      </c>
      <c r="E7075" t="s">
        <v>406</v>
      </c>
      <c r="F7075" t="s">
        <v>61</v>
      </c>
      <c r="G7075" t="s">
        <v>48</v>
      </c>
      <c r="H7075" t="s">
        <v>3957</v>
      </c>
      <c r="I7075" t="s">
        <v>3975</v>
      </c>
      <c r="J7075" t="s">
        <v>8865</v>
      </c>
      <c r="K7075" t="s">
        <v>11370</v>
      </c>
      <c r="L7075" t="s">
        <v>53</v>
      </c>
      <c r="P7075" t="s">
        <v>55</v>
      </c>
      <c r="R7075" t="s">
        <v>56</v>
      </c>
      <c r="T7075" t="s">
        <v>12771</v>
      </c>
      <c r="U7075" t="s">
        <v>58</v>
      </c>
      <c r="V7075">
        <v>4</v>
      </c>
      <c r="W7075">
        <v>1</v>
      </c>
      <c r="X7075">
        <v>2</v>
      </c>
      <c r="Y7075">
        <v>0</v>
      </c>
      <c r="Z7075">
        <v>2</v>
      </c>
      <c r="AA7075">
        <v>464.87</v>
      </c>
      <c r="AB7075">
        <v>464.87</v>
      </c>
      <c r="AC7075">
        <v>409</v>
      </c>
      <c r="AD7075">
        <v>0</v>
      </c>
      <c r="AE7075">
        <v>55.87</v>
      </c>
      <c r="AF7075">
        <v>0</v>
      </c>
      <c r="AG7075">
        <v>0</v>
      </c>
      <c r="AH7075">
        <v>0</v>
      </c>
      <c r="AI7075">
        <v>0</v>
      </c>
      <c r="AJ7075">
        <v>464.87</v>
      </c>
      <c r="AK7075">
        <v>0</v>
      </c>
      <c r="AL7075" t="s">
        <v>53</v>
      </c>
      <c r="AM7075" t="s">
        <v>53</v>
      </c>
      <c r="AN7075" t="s">
        <v>53</v>
      </c>
      <c r="AO7075" t="s">
        <v>53</v>
      </c>
      <c r="AP7075" t="s">
        <v>53</v>
      </c>
    </row>
    <row r="7076" spans="2:42" x14ac:dyDescent="0.2">
      <c r="B7076" t="s">
        <v>44</v>
      </c>
      <c r="C7076" t="str">
        <f>HYPERLINK("https://us2.cloudbeds.com/connect/8493803454333002#/reservations/169524410491129?display=3YHNTKA3Q0&amp;reservation_id=169524410491129", "3YHNTKA3Q0")</f>
        <v>3YHNTKA3Q0</v>
      </c>
      <c r="D7076" t="s">
        <v>45</v>
      </c>
      <c r="E7076" t="s">
        <v>179</v>
      </c>
      <c r="F7076" t="s">
        <v>47</v>
      </c>
      <c r="G7076" t="s">
        <v>48</v>
      </c>
      <c r="H7076" t="s">
        <v>3957</v>
      </c>
      <c r="I7076" t="s">
        <v>3958</v>
      </c>
      <c r="J7076" t="s">
        <v>10137</v>
      </c>
      <c r="K7076" t="s">
        <v>10070</v>
      </c>
      <c r="L7076" t="s">
        <v>53</v>
      </c>
      <c r="O7076" t="s">
        <v>12772</v>
      </c>
      <c r="P7076" t="s">
        <v>55</v>
      </c>
      <c r="R7076" t="s">
        <v>56</v>
      </c>
      <c r="T7076" t="s">
        <v>12773</v>
      </c>
      <c r="U7076" t="s">
        <v>58</v>
      </c>
      <c r="V7076">
        <v>2</v>
      </c>
      <c r="W7076">
        <v>1</v>
      </c>
      <c r="X7076">
        <v>1</v>
      </c>
      <c r="Y7076">
        <v>0</v>
      </c>
      <c r="Z7076">
        <v>1</v>
      </c>
      <c r="AA7076">
        <v>243.22</v>
      </c>
      <c r="AB7076">
        <v>243.22</v>
      </c>
      <c r="AC7076">
        <v>214</v>
      </c>
      <c r="AD7076">
        <v>0</v>
      </c>
      <c r="AE7076">
        <v>29.22</v>
      </c>
      <c r="AF7076">
        <v>0</v>
      </c>
      <c r="AG7076">
        <v>0</v>
      </c>
      <c r="AH7076">
        <v>0</v>
      </c>
      <c r="AI7076">
        <v>0</v>
      </c>
      <c r="AJ7076">
        <v>243.22</v>
      </c>
      <c r="AK7076">
        <v>0</v>
      </c>
      <c r="AL7076" t="s">
        <v>53</v>
      </c>
      <c r="AM7076" t="s">
        <v>53</v>
      </c>
      <c r="AN7076" t="s">
        <v>53</v>
      </c>
      <c r="AO7076" t="s">
        <v>53</v>
      </c>
      <c r="AP7076" t="s">
        <v>53</v>
      </c>
    </row>
    <row r="7077" spans="2:42" x14ac:dyDescent="0.2">
      <c r="B7077" t="s">
        <v>44</v>
      </c>
      <c r="C7077" t="str">
        <f>HYPERLINK("https://us2.cloudbeds.com/connect/8493803454333002#/reservations/169553012007057?display=3YXD1ESF2T&amp;reservation_id=169553012007057", "3YXD1ESF2T")</f>
        <v>3YXD1ESF2T</v>
      </c>
      <c r="D7077" t="s">
        <v>45</v>
      </c>
      <c r="E7077" t="s">
        <v>381</v>
      </c>
      <c r="F7077" t="s">
        <v>47</v>
      </c>
      <c r="G7077" t="s">
        <v>48</v>
      </c>
      <c r="H7077" t="s">
        <v>3957</v>
      </c>
      <c r="I7077" t="s">
        <v>3958</v>
      </c>
      <c r="J7077" t="s">
        <v>10137</v>
      </c>
      <c r="K7077" t="s">
        <v>8865</v>
      </c>
      <c r="L7077" t="s">
        <v>53</v>
      </c>
      <c r="P7077" t="s">
        <v>55</v>
      </c>
      <c r="R7077" t="s">
        <v>56</v>
      </c>
      <c r="T7077" t="s">
        <v>12774</v>
      </c>
      <c r="U7077" t="s">
        <v>58</v>
      </c>
      <c r="V7077">
        <v>1</v>
      </c>
      <c r="W7077">
        <v>1</v>
      </c>
      <c r="X7077">
        <v>1</v>
      </c>
      <c r="Y7077">
        <v>0</v>
      </c>
      <c r="Z7077">
        <v>1</v>
      </c>
      <c r="AA7077">
        <v>121.61</v>
      </c>
      <c r="AB7077">
        <v>121.61</v>
      </c>
      <c r="AC7077">
        <v>107</v>
      </c>
      <c r="AD7077">
        <v>0</v>
      </c>
      <c r="AE7077">
        <v>14.61</v>
      </c>
      <c r="AF7077">
        <v>0</v>
      </c>
      <c r="AG7077">
        <v>0</v>
      </c>
      <c r="AH7077">
        <v>0</v>
      </c>
      <c r="AI7077">
        <v>0</v>
      </c>
      <c r="AJ7077">
        <v>121.61</v>
      </c>
      <c r="AK7077">
        <v>0</v>
      </c>
      <c r="AL7077" t="s">
        <v>53</v>
      </c>
      <c r="AM7077" t="s">
        <v>53</v>
      </c>
      <c r="AN7077" t="s">
        <v>53</v>
      </c>
      <c r="AO7077" t="s">
        <v>53</v>
      </c>
      <c r="AP7077" t="s">
        <v>53</v>
      </c>
    </row>
    <row r="7078" spans="2:42" x14ac:dyDescent="0.2">
      <c r="B7078" t="s">
        <v>44</v>
      </c>
      <c r="C7078" t="str">
        <f>HYPERLINK("https://us2.cloudbeds.com/connect/8493803454333002#/reservations/9080486847188497?display=3YXFDRT4ZM&amp;reservation_id=9080486847188497", "3YXFDRT4ZM")</f>
        <v>3YXFDRT4ZM</v>
      </c>
      <c r="D7078" t="s">
        <v>45</v>
      </c>
      <c r="E7078" t="s">
        <v>98</v>
      </c>
      <c r="F7078" t="s">
        <v>86</v>
      </c>
      <c r="G7078" t="s">
        <v>48</v>
      </c>
      <c r="H7078" t="s">
        <v>49</v>
      </c>
      <c r="I7078" t="s">
        <v>50</v>
      </c>
      <c r="J7078" t="s">
        <v>12562</v>
      </c>
      <c r="K7078" t="s">
        <v>12350</v>
      </c>
      <c r="L7078" t="s">
        <v>53</v>
      </c>
      <c r="N7078" t="s">
        <v>12775</v>
      </c>
      <c r="P7078" t="s">
        <v>55</v>
      </c>
      <c r="R7078" t="s">
        <v>53</v>
      </c>
      <c r="T7078" t="s">
        <v>12776</v>
      </c>
      <c r="U7078" t="s">
        <v>58</v>
      </c>
      <c r="V7078">
        <v>6</v>
      </c>
      <c r="W7078">
        <v>1</v>
      </c>
      <c r="X7078">
        <v>2</v>
      </c>
      <c r="Y7078">
        <v>2</v>
      </c>
      <c r="Z7078">
        <v>4</v>
      </c>
      <c r="AA7078">
        <v>869.65</v>
      </c>
      <c r="AB7078">
        <v>869.65</v>
      </c>
      <c r="AC7078">
        <v>765.18</v>
      </c>
      <c r="AD7078">
        <v>0</v>
      </c>
      <c r="AE7078">
        <v>104.47</v>
      </c>
      <c r="AF7078">
        <v>0</v>
      </c>
      <c r="AG7078">
        <v>0</v>
      </c>
      <c r="AH7078">
        <v>0</v>
      </c>
      <c r="AI7078">
        <v>156.54</v>
      </c>
      <c r="AJ7078">
        <v>869.65</v>
      </c>
      <c r="AK7078">
        <v>0</v>
      </c>
      <c r="AL7078" t="s">
        <v>53</v>
      </c>
      <c r="AM7078" t="s">
        <v>53</v>
      </c>
      <c r="AN7078" t="s">
        <v>53</v>
      </c>
      <c r="AO7078" t="s">
        <v>53</v>
      </c>
      <c r="AP7078" t="s">
        <v>53</v>
      </c>
    </row>
    <row r="7079" spans="2:42" x14ac:dyDescent="0.2">
      <c r="B7079" t="s">
        <v>44</v>
      </c>
      <c r="C7079" t="str">
        <f>HYPERLINK("https://us2.cloudbeds.com/connect/8493803454333002#/reservations/169594787283143?display=3YJCCTT351&amp;reservation_id=169594787283143", "3YJCCTT351")</f>
        <v>3YJCCTT351</v>
      </c>
      <c r="D7079" t="s">
        <v>45</v>
      </c>
      <c r="E7079" t="s">
        <v>138</v>
      </c>
      <c r="F7079" t="s">
        <v>70</v>
      </c>
      <c r="G7079" t="s">
        <v>3974</v>
      </c>
      <c r="H7079" t="s">
        <v>3957</v>
      </c>
      <c r="I7079" t="s">
        <v>3975</v>
      </c>
      <c r="J7079" t="s">
        <v>12777</v>
      </c>
      <c r="K7079" t="s">
        <v>11275</v>
      </c>
      <c r="L7079" t="s">
        <v>53</v>
      </c>
      <c r="P7079" t="s">
        <v>55</v>
      </c>
      <c r="R7079" t="s">
        <v>56</v>
      </c>
      <c r="T7079" t="s">
        <v>12778</v>
      </c>
      <c r="U7079" t="s">
        <v>58</v>
      </c>
      <c r="V7079">
        <v>1</v>
      </c>
      <c r="W7079">
        <v>1</v>
      </c>
      <c r="X7079">
        <v>2</v>
      </c>
      <c r="Y7079">
        <v>0</v>
      </c>
      <c r="Z7079">
        <v>2</v>
      </c>
      <c r="AA7079">
        <v>84.21</v>
      </c>
      <c r="AB7079">
        <v>84.21</v>
      </c>
      <c r="AC7079">
        <v>74.099999999999994</v>
      </c>
      <c r="AD7079">
        <v>0</v>
      </c>
      <c r="AE7079">
        <v>10.11</v>
      </c>
      <c r="AF7079">
        <v>0</v>
      </c>
      <c r="AG7079">
        <v>0</v>
      </c>
      <c r="AH7079">
        <v>0</v>
      </c>
      <c r="AI7079">
        <v>0</v>
      </c>
      <c r="AJ7079">
        <v>84.21</v>
      </c>
      <c r="AK7079">
        <v>0</v>
      </c>
      <c r="AL7079" t="s">
        <v>53</v>
      </c>
      <c r="AM7079" t="s">
        <v>53</v>
      </c>
      <c r="AN7079" t="s">
        <v>53</v>
      </c>
      <c r="AO7079" t="s">
        <v>53</v>
      </c>
      <c r="AP7079" t="s">
        <v>53</v>
      </c>
    </row>
    <row r="7080" spans="2:42" x14ac:dyDescent="0.2">
      <c r="B7080" t="s">
        <v>44</v>
      </c>
      <c r="C7080" t="str">
        <f>HYPERLINK("https://us2.cloudbeds.com/connect/8493803454333002#/reservations/9080486847191809?display=3YMVZC35EZ&amp;reservation_id=9080486847191809", "3YMVZC35EZ")</f>
        <v>3YMVZC35EZ</v>
      </c>
      <c r="D7080" t="s">
        <v>45</v>
      </c>
      <c r="E7080" t="s">
        <v>138</v>
      </c>
      <c r="F7080" t="s">
        <v>70</v>
      </c>
      <c r="G7080" t="s">
        <v>48</v>
      </c>
      <c r="H7080" t="s">
        <v>49</v>
      </c>
      <c r="I7080" t="s">
        <v>50</v>
      </c>
      <c r="J7080" t="s">
        <v>10723</v>
      </c>
      <c r="K7080" t="s">
        <v>10724</v>
      </c>
      <c r="L7080" t="s">
        <v>53</v>
      </c>
      <c r="N7080" t="s">
        <v>12779</v>
      </c>
      <c r="P7080" t="s">
        <v>55</v>
      </c>
      <c r="R7080" t="s">
        <v>53</v>
      </c>
      <c r="T7080" t="s">
        <v>12780</v>
      </c>
      <c r="U7080" t="s">
        <v>58</v>
      </c>
      <c r="V7080">
        <v>1</v>
      </c>
      <c r="W7080">
        <v>1</v>
      </c>
      <c r="X7080">
        <v>2</v>
      </c>
      <c r="Y7080">
        <v>0</v>
      </c>
      <c r="Z7080">
        <v>2</v>
      </c>
      <c r="AA7080">
        <v>72.39</v>
      </c>
      <c r="AB7080">
        <v>72.39</v>
      </c>
      <c r="AC7080">
        <v>63.7</v>
      </c>
      <c r="AD7080">
        <v>0</v>
      </c>
      <c r="AE7080">
        <v>8.69</v>
      </c>
      <c r="AF7080">
        <v>0</v>
      </c>
      <c r="AG7080">
        <v>0</v>
      </c>
      <c r="AH7080">
        <v>0</v>
      </c>
      <c r="AI7080">
        <v>13.03</v>
      </c>
      <c r="AJ7080">
        <v>72.39</v>
      </c>
      <c r="AK7080">
        <v>0</v>
      </c>
      <c r="AL7080" t="s">
        <v>53</v>
      </c>
      <c r="AM7080" t="s">
        <v>53</v>
      </c>
      <c r="AN7080" t="s">
        <v>53</v>
      </c>
      <c r="AO7080" t="s">
        <v>53</v>
      </c>
      <c r="AP7080" t="s">
        <v>53</v>
      </c>
    </row>
    <row r="7081" spans="2:42" x14ac:dyDescent="0.2">
      <c r="B7081" t="s">
        <v>44</v>
      </c>
      <c r="C7081" t="str">
        <f>HYPERLINK("https://us2.cloudbeds.com/connect/8493803454333002#/reservations/9080486847192771?display=3YNRS1Y0DM&amp;reservation_id=9080486847192771", "3YNRS1Y0DM")</f>
        <v>3YNRS1Y0DM</v>
      </c>
      <c r="D7081" t="s">
        <v>45</v>
      </c>
      <c r="E7081" t="s">
        <v>69</v>
      </c>
      <c r="F7081" t="s">
        <v>70</v>
      </c>
      <c r="G7081" t="s">
        <v>48</v>
      </c>
      <c r="H7081" t="s">
        <v>49</v>
      </c>
      <c r="I7081" t="s">
        <v>62</v>
      </c>
      <c r="J7081" t="s">
        <v>8865</v>
      </c>
      <c r="K7081" t="s">
        <v>10723</v>
      </c>
      <c r="L7081" t="s">
        <v>53</v>
      </c>
      <c r="N7081" t="s">
        <v>12781</v>
      </c>
      <c r="P7081" t="s">
        <v>55</v>
      </c>
      <c r="R7081" t="s">
        <v>56</v>
      </c>
      <c r="T7081" t="s">
        <v>12782</v>
      </c>
      <c r="U7081" t="s">
        <v>55</v>
      </c>
      <c r="V7081">
        <v>2</v>
      </c>
      <c r="W7081">
        <v>1</v>
      </c>
      <c r="X7081">
        <v>1</v>
      </c>
      <c r="Y7081">
        <v>0</v>
      </c>
      <c r="Z7081">
        <v>1</v>
      </c>
      <c r="AA7081">
        <v>164</v>
      </c>
      <c r="AB7081">
        <v>164</v>
      </c>
      <c r="AC7081">
        <v>164</v>
      </c>
      <c r="AD7081">
        <v>0</v>
      </c>
      <c r="AE7081">
        <v>0</v>
      </c>
      <c r="AF7081">
        <v>0</v>
      </c>
      <c r="AG7081">
        <v>0</v>
      </c>
      <c r="AH7081">
        <v>0</v>
      </c>
      <c r="AI7081">
        <v>29.52</v>
      </c>
      <c r="AJ7081">
        <v>164</v>
      </c>
      <c r="AK7081">
        <v>0</v>
      </c>
      <c r="AL7081" t="s">
        <v>53</v>
      </c>
      <c r="AM7081" t="s">
        <v>53</v>
      </c>
      <c r="AN7081" t="s">
        <v>53</v>
      </c>
      <c r="AO7081" t="s">
        <v>53</v>
      </c>
      <c r="AP7081" t="s">
        <v>53</v>
      </c>
    </row>
    <row r="7082" spans="2:42" x14ac:dyDescent="0.2">
      <c r="B7082" t="s">
        <v>44</v>
      </c>
      <c r="C7082" t="str">
        <f>HYPERLINK("https://us2.cloudbeds.com/connect/8493803454333002#/reservations/9080486847192784?display=3YNS3T3PYZ&amp;reservation_id=9080486847192784", "3YNS3T3PYZ")</f>
        <v>3YNS3T3PYZ</v>
      </c>
      <c r="D7082" t="s">
        <v>45</v>
      </c>
      <c r="E7082" t="s">
        <v>138</v>
      </c>
      <c r="F7082" t="s">
        <v>70</v>
      </c>
      <c r="G7082" t="s">
        <v>48</v>
      </c>
      <c r="H7082" t="s">
        <v>49</v>
      </c>
      <c r="I7082" t="s">
        <v>62</v>
      </c>
      <c r="J7082" t="s">
        <v>8865</v>
      </c>
      <c r="K7082" t="s">
        <v>10070</v>
      </c>
      <c r="L7082" t="s">
        <v>53</v>
      </c>
      <c r="N7082" t="s">
        <v>12783</v>
      </c>
      <c r="P7082" t="s">
        <v>55</v>
      </c>
      <c r="R7082" t="s">
        <v>56</v>
      </c>
      <c r="T7082" t="s">
        <v>12784</v>
      </c>
      <c r="U7082" t="s">
        <v>55</v>
      </c>
      <c r="V7082">
        <v>1</v>
      </c>
      <c r="W7082">
        <v>1</v>
      </c>
      <c r="X7082">
        <v>2</v>
      </c>
      <c r="Y7082">
        <v>0</v>
      </c>
      <c r="Z7082">
        <v>2</v>
      </c>
      <c r="AA7082">
        <v>94</v>
      </c>
      <c r="AB7082">
        <v>94</v>
      </c>
      <c r="AC7082">
        <v>94</v>
      </c>
      <c r="AD7082">
        <v>0</v>
      </c>
      <c r="AE7082">
        <v>0</v>
      </c>
      <c r="AF7082">
        <v>0</v>
      </c>
      <c r="AG7082">
        <v>0</v>
      </c>
      <c r="AH7082">
        <v>0</v>
      </c>
      <c r="AI7082">
        <v>16.920000000000002</v>
      </c>
      <c r="AJ7082">
        <v>94</v>
      </c>
      <c r="AK7082">
        <v>0</v>
      </c>
      <c r="AL7082" t="s">
        <v>53</v>
      </c>
      <c r="AM7082" t="s">
        <v>53</v>
      </c>
      <c r="AN7082" t="s">
        <v>53</v>
      </c>
      <c r="AO7082" t="s">
        <v>53</v>
      </c>
      <c r="AP7082" t="s">
        <v>53</v>
      </c>
    </row>
    <row r="7083" spans="2:42" x14ac:dyDescent="0.2">
      <c r="B7083" t="s">
        <v>44</v>
      </c>
      <c r="C7083" t="str">
        <f>HYPERLINK("https://us2.cloudbeds.com/connect/8493803454333002#/reservations/9080486847192788?display=3YNSFA89Z2&amp;reservation_id=9080486847192788", "3YNSFA89Z2")</f>
        <v>3YNSFA89Z2</v>
      </c>
      <c r="D7083" t="s">
        <v>45</v>
      </c>
      <c r="E7083" t="s">
        <v>105</v>
      </c>
      <c r="F7083" t="s">
        <v>47</v>
      </c>
      <c r="G7083" t="s">
        <v>48</v>
      </c>
      <c r="H7083" t="s">
        <v>49</v>
      </c>
      <c r="I7083" t="s">
        <v>50</v>
      </c>
      <c r="J7083" t="s">
        <v>10070</v>
      </c>
      <c r="K7083" t="s">
        <v>10723</v>
      </c>
      <c r="L7083" t="s">
        <v>53</v>
      </c>
      <c r="N7083" t="s">
        <v>12785</v>
      </c>
      <c r="P7083" t="s">
        <v>55</v>
      </c>
      <c r="R7083" t="s">
        <v>53</v>
      </c>
      <c r="T7083" t="s">
        <v>12786</v>
      </c>
      <c r="U7083" t="s">
        <v>58</v>
      </c>
      <c r="V7083">
        <v>1</v>
      </c>
      <c r="W7083">
        <v>1</v>
      </c>
      <c r="X7083">
        <v>1</v>
      </c>
      <c r="Y7083">
        <v>0</v>
      </c>
      <c r="Z7083">
        <v>1</v>
      </c>
      <c r="AA7083">
        <v>87.91</v>
      </c>
      <c r="AB7083">
        <v>87.91</v>
      </c>
      <c r="AC7083">
        <v>77.349999999999994</v>
      </c>
      <c r="AD7083">
        <v>0</v>
      </c>
      <c r="AE7083">
        <v>10.56</v>
      </c>
      <c r="AF7083">
        <v>0</v>
      </c>
      <c r="AG7083">
        <v>0</v>
      </c>
      <c r="AH7083">
        <v>0</v>
      </c>
      <c r="AI7083">
        <v>15.82</v>
      </c>
      <c r="AJ7083">
        <v>87.91</v>
      </c>
      <c r="AK7083">
        <v>0</v>
      </c>
      <c r="AL7083" t="s">
        <v>53</v>
      </c>
      <c r="AM7083" t="s">
        <v>53</v>
      </c>
      <c r="AN7083" t="s">
        <v>53</v>
      </c>
      <c r="AO7083" t="s">
        <v>53</v>
      </c>
      <c r="AP7083" t="s">
        <v>53</v>
      </c>
    </row>
    <row r="7084" spans="2:42" x14ac:dyDescent="0.2">
      <c r="B7084" t="s">
        <v>44</v>
      </c>
      <c r="C7084" t="str">
        <f>HYPERLINK("https://us2.cloudbeds.com/connect/8493803454333002#/reservations/9080486847193627?display=3YZNDJG8U8&amp;reservation_id=9080486847193627", "3YZNDJG8U8")</f>
        <v>3YZNDJG8U8</v>
      </c>
      <c r="D7084" t="s">
        <v>45</v>
      </c>
      <c r="E7084" t="s">
        <v>223</v>
      </c>
      <c r="F7084" t="s">
        <v>47</v>
      </c>
      <c r="G7084" t="s">
        <v>48</v>
      </c>
      <c r="H7084" t="s">
        <v>49</v>
      </c>
      <c r="I7084" t="s">
        <v>50</v>
      </c>
      <c r="J7084" t="s">
        <v>8865</v>
      </c>
      <c r="K7084" t="s">
        <v>10723</v>
      </c>
      <c r="L7084" t="s">
        <v>53</v>
      </c>
      <c r="N7084" t="s">
        <v>12787</v>
      </c>
      <c r="P7084" t="s">
        <v>55</v>
      </c>
      <c r="R7084" t="s">
        <v>53</v>
      </c>
      <c r="T7084" t="s">
        <v>12788</v>
      </c>
      <c r="U7084" t="s">
        <v>58</v>
      </c>
      <c r="V7084">
        <v>2</v>
      </c>
      <c r="W7084">
        <v>1</v>
      </c>
      <c r="X7084">
        <v>2</v>
      </c>
      <c r="Y7084">
        <v>0</v>
      </c>
      <c r="Z7084">
        <v>2</v>
      </c>
      <c r="AA7084">
        <v>167.54</v>
      </c>
      <c r="AB7084">
        <v>167.54</v>
      </c>
      <c r="AC7084">
        <v>147.41999999999999</v>
      </c>
      <c r="AD7084">
        <v>0</v>
      </c>
      <c r="AE7084">
        <v>20.12</v>
      </c>
      <c r="AF7084">
        <v>0</v>
      </c>
      <c r="AG7084">
        <v>0</v>
      </c>
      <c r="AH7084">
        <v>0</v>
      </c>
      <c r="AI7084">
        <v>30.16</v>
      </c>
      <c r="AJ7084">
        <v>167.54</v>
      </c>
      <c r="AK7084">
        <v>0</v>
      </c>
      <c r="AL7084" t="s">
        <v>53</v>
      </c>
      <c r="AM7084" t="s">
        <v>53</v>
      </c>
      <c r="AN7084" t="s">
        <v>53</v>
      </c>
      <c r="AO7084" t="s">
        <v>53</v>
      </c>
      <c r="AP7084" t="s">
        <v>53</v>
      </c>
    </row>
    <row r="7085" spans="2:42" x14ac:dyDescent="0.2">
      <c r="B7085" t="s">
        <v>44</v>
      </c>
      <c r="C7085" t="str">
        <f>HYPERLINK("https://us2.cloudbeds.com/connect/8493803454333002#/reservations/9080486847194066?display=3YP4BHN3H0&amp;reservation_id=9080486847194066", "3YP4BHN3H0")</f>
        <v>3YP4BHN3H0</v>
      </c>
      <c r="D7085" t="s">
        <v>45</v>
      </c>
      <c r="E7085" t="s">
        <v>121</v>
      </c>
      <c r="F7085" t="s">
        <v>86</v>
      </c>
      <c r="G7085" t="s">
        <v>48</v>
      </c>
      <c r="H7085" t="s">
        <v>49</v>
      </c>
      <c r="I7085" t="s">
        <v>50</v>
      </c>
      <c r="J7085" t="s">
        <v>11482</v>
      </c>
      <c r="K7085" t="s">
        <v>10169</v>
      </c>
      <c r="L7085" t="s">
        <v>53</v>
      </c>
      <c r="N7085" t="s">
        <v>12789</v>
      </c>
      <c r="P7085" t="s">
        <v>55</v>
      </c>
      <c r="R7085" t="s">
        <v>53</v>
      </c>
      <c r="T7085" t="s">
        <v>12790</v>
      </c>
      <c r="U7085" t="s">
        <v>58</v>
      </c>
      <c r="V7085">
        <v>1</v>
      </c>
      <c r="W7085">
        <v>1</v>
      </c>
      <c r="X7085">
        <v>2</v>
      </c>
      <c r="Y7085">
        <v>2</v>
      </c>
      <c r="Z7085">
        <v>4</v>
      </c>
      <c r="AA7085">
        <v>240.24</v>
      </c>
      <c r="AB7085">
        <v>240.24</v>
      </c>
      <c r="AC7085">
        <v>211.38</v>
      </c>
      <c r="AD7085">
        <v>0</v>
      </c>
      <c r="AE7085">
        <v>28.86</v>
      </c>
      <c r="AF7085">
        <v>0</v>
      </c>
      <c r="AG7085">
        <v>0</v>
      </c>
      <c r="AH7085">
        <v>0</v>
      </c>
      <c r="AI7085">
        <v>43.24</v>
      </c>
      <c r="AJ7085">
        <v>240.24</v>
      </c>
      <c r="AK7085">
        <v>0</v>
      </c>
      <c r="AL7085" t="s">
        <v>53</v>
      </c>
      <c r="AM7085" t="s">
        <v>53</v>
      </c>
      <c r="AN7085" t="s">
        <v>53</v>
      </c>
      <c r="AO7085" t="s">
        <v>53</v>
      </c>
      <c r="AP7085" t="s">
        <v>53</v>
      </c>
    </row>
    <row r="7086" spans="2:42" x14ac:dyDescent="0.2">
      <c r="B7086" t="s">
        <v>44</v>
      </c>
      <c r="C7086" t="str">
        <f>HYPERLINK("https://us2.cloudbeds.com/connect/8493803454333002#/reservations/169901501911267?display=3YQXT5PZSF&amp;reservation_id=169901501911267", "3YQXT5PZSF")</f>
        <v>3YQXT5PZSF</v>
      </c>
      <c r="D7086" t="s">
        <v>45</v>
      </c>
      <c r="E7086" t="s">
        <v>12791</v>
      </c>
      <c r="F7086" t="s">
        <v>47</v>
      </c>
      <c r="G7086" t="s">
        <v>48</v>
      </c>
      <c r="H7086" t="s">
        <v>3957</v>
      </c>
      <c r="I7086" t="s">
        <v>3958</v>
      </c>
      <c r="J7086" t="s">
        <v>8865</v>
      </c>
      <c r="K7086" t="s">
        <v>10070</v>
      </c>
      <c r="L7086" t="s">
        <v>53</v>
      </c>
      <c r="P7086" t="s">
        <v>55</v>
      </c>
      <c r="R7086" t="s">
        <v>56</v>
      </c>
      <c r="T7086" t="s">
        <v>12792</v>
      </c>
      <c r="U7086" t="s">
        <v>58</v>
      </c>
      <c r="V7086">
        <v>2</v>
      </c>
      <c r="W7086">
        <v>2</v>
      </c>
      <c r="X7086">
        <v>2</v>
      </c>
      <c r="Y7086">
        <v>0</v>
      </c>
      <c r="Z7086">
        <v>2</v>
      </c>
      <c r="AA7086">
        <v>236.4</v>
      </c>
      <c r="AB7086">
        <v>236.4</v>
      </c>
      <c r="AC7086">
        <v>208</v>
      </c>
      <c r="AD7086">
        <v>0</v>
      </c>
      <c r="AE7086">
        <v>28.4</v>
      </c>
      <c r="AF7086">
        <v>0</v>
      </c>
      <c r="AG7086">
        <v>0</v>
      </c>
      <c r="AH7086">
        <v>0</v>
      </c>
      <c r="AI7086">
        <v>0</v>
      </c>
      <c r="AJ7086">
        <v>236.4</v>
      </c>
      <c r="AK7086">
        <v>0</v>
      </c>
      <c r="AL7086" t="s">
        <v>53</v>
      </c>
      <c r="AM7086" t="s">
        <v>53</v>
      </c>
      <c r="AN7086" t="s">
        <v>53</v>
      </c>
      <c r="AO7086" t="s">
        <v>53</v>
      </c>
      <c r="AP7086" t="s">
        <v>53</v>
      </c>
    </row>
    <row r="7087" spans="2:42" x14ac:dyDescent="0.2">
      <c r="B7087" t="s">
        <v>44</v>
      </c>
      <c r="C7087" t="str">
        <f>HYPERLINK("https://us2.cloudbeds.com/connect/8493803454333002#/reservations/9080486847195469?display=3YQVKZZHVR&amp;reservation_id=9080486847195469", "3YQVKZZHVR")</f>
        <v>3YQVKZZHVR</v>
      </c>
      <c r="D7087" t="s">
        <v>45</v>
      </c>
      <c r="E7087" t="s">
        <v>110</v>
      </c>
      <c r="F7087" t="s">
        <v>47</v>
      </c>
      <c r="G7087" t="s">
        <v>48</v>
      </c>
      <c r="H7087" t="s">
        <v>49</v>
      </c>
      <c r="I7087" t="s">
        <v>50</v>
      </c>
      <c r="J7087" t="s">
        <v>12258</v>
      </c>
      <c r="K7087" t="s">
        <v>12506</v>
      </c>
      <c r="L7087" t="s">
        <v>53</v>
      </c>
      <c r="N7087" t="s">
        <v>12793</v>
      </c>
      <c r="P7087" t="s">
        <v>55</v>
      </c>
      <c r="R7087" t="s">
        <v>53</v>
      </c>
      <c r="T7087" t="s">
        <v>12794</v>
      </c>
      <c r="U7087" t="s">
        <v>58</v>
      </c>
      <c r="V7087">
        <v>1</v>
      </c>
      <c r="W7087">
        <v>1</v>
      </c>
      <c r="X7087">
        <v>2</v>
      </c>
      <c r="Y7087">
        <v>0</v>
      </c>
      <c r="Z7087">
        <v>2</v>
      </c>
      <c r="AA7087">
        <v>61.72</v>
      </c>
      <c r="AB7087">
        <v>61.72</v>
      </c>
      <c r="AC7087">
        <v>54.31</v>
      </c>
      <c r="AD7087">
        <v>0</v>
      </c>
      <c r="AE7087">
        <v>7.41</v>
      </c>
      <c r="AF7087">
        <v>0</v>
      </c>
      <c r="AG7087">
        <v>0</v>
      </c>
      <c r="AH7087">
        <v>0</v>
      </c>
      <c r="AI7087">
        <v>11.11</v>
      </c>
      <c r="AJ7087">
        <v>61.72</v>
      </c>
      <c r="AK7087">
        <v>0</v>
      </c>
      <c r="AL7087" t="s">
        <v>53</v>
      </c>
      <c r="AM7087" t="s">
        <v>53</v>
      </c>
      <c r="AN7087" t="s">
        <v>53</v>
      </c>
      <c r="AO7087" t="s">
        <v>53</v>
      </c>
      <c r="AP7087" t="s">
        <v>53</v>
      </c>
    </row>
    <row r="7088" spans="2:42" x14ac:dyDescent="0.2">
      <c r="B7088" t="s">
        <v>44</v>
      </c>
      <c r="C7088" t="str">
        <f>HYPERLINK("https://us2.cloudbeds.com/connect/8493803454333002#/reservations/9080486847195630?display=3YR72B9ECN&amp;reservation_id=9080486847195630", "3YR72B9ECN")</f>
        <v>3YR72B9ECN</v>
      </c>
      <c r="D7088" t="s">
        <v>45</v>
      </c>
      <c r="E7088" t="s">
        <v>487</v>
      </c>
      <c r="F7088" t="s">
        <v>61</v>
      </c>
      <c r="G7088" t="s">
        <v>48</v>
      </c>
      <c r="H7088" t="s">
        <v>49</v>
      </c>
      <c r="I7088" t="s">
        <v>62</v>
      </c>
      <c r="J7088" t="s">
        <v>11956</v>
      </c>
      <c r="K7088" t="s">
        <v>11382</v>
      </c>
      <c r="L7088" t="s">
        <v>53</v>
      </c>
      <c r="N7088" t="s">
        <v>12795</v>
      </c>
      <c r="P7088" t="s">
        <v>55</v>
      </c>
      <c r="R7088" t="s">
        <v>6556</v>
      </c>
      <c r="T7088" t="s">
        <v>12796</v>
      </c>
      <c r="U7088" t="s">
        <v>55</v>
      </c>
      <c r="V7088">
        <v>2</v>
      </c>
      <c r="W7088">
        <v>1</v>
      </c>
      <c r="X7088">
        <v>2</v>
      </c>
      <c r="Y7088">
        <v>0</v>
      </c>
      <c r="Z7088">
        <v>2</v>
      </c>
      <c r="AA7088">
        <v>252</v>
      </c>
      <c r="AB7088">
        <v>252</v>
      </c>
      <c r="AC7088">
        <v>252</v>
      </c>
      <c r="AD7088">
        <v>0</v>
      </c>
      <c r="AE7088">
        <v>0</v>
      </c>
      <c r="AF7088">
        <v>0</v>
      </c>
      <c r="AG7088">
        <v>0</v>
      </c>
      <c r="AH7088">
        <v>0</v>
      </c>
      <c r="AI7088">
        <v>45.36</v>
      </c>
      <c r="AJ7088">
        <v>252</v>
      </c>
      <c r="AK7088">
        <v>0</v>
      </c>
      <c r="AL7088" t="s">
        <v>53</v>
      </c>
      <c r="AM7088" t="s">
        <v>53</v>
      </c>
      <c r="AN7088" t="s">
        <v>53</v>
      </c>
      <c r="AO7088" t="s">
        <v>53</v>
      </c>
      <c r="AP7088" t="s">
        <v>53</v>
      </c>
    </row>
    <row r="7089" spans="2:42" x14ac:dyDescent="0.2">
      <c r="B7089" t="s">
        <v>44</v>
      </c>
      <c r="C7089" t="str">
        <f>HYPERLINK("https://us2.cloudbeds.com/connect/8493803454333002#/reservations/9080486847195886?display=3YRXEVKGNB&amp;reservation_id=9080486847195886", "3YRXEVKGNB")</f>
        <v>3YRXEVKGNB</v>
      </c>
      <c r="D7089" t="s">
        <v>45</v>
      </c>
      <c r="E7089" t="s">
        <v>113</v>
      </c>
      <c r="F7089" t="s">
        <v>61</v>
      </c>
      <c r="G7089" t="s">
        <v>48</v>
      </c>
      <c r="H7089" t="s">
        <v>49</v>
      </c>
      <c r="I7089" t="s">
        <v>8964</v>
      </c>
      <c r="J7089" t="s">
        <v>11267</v>
      </c>
      <c r="K7089" t="s">
        <v>11268</v>
      </c>
      <c r="L7089" t="s">
        <v>53</v>
      </c>
      <c r="N7089" t="s">
        <v>12797</v>
      </c>
      <c r="P7089" t="s">
        <v>55</v>
      </c>
      <c r="R7089" t="s">
        <v>53</v>
      </c>
      <c r="T7089" t="s">
        <v>12798</v>
      </c>
      <c r="U7089" t="s">
        <v>55</v>
      </c>
      <c r="V7089">
        <v>3</v>
      </c>
      <c r="W7089">
        <v>1</v>
      </c>
      <c r="X7089">
        <v>2</v>
      </c>
      <c r="Y7089">
        <v>0</v>
      </c>
      <c r="Z7089">
        <v>2</v>
      </c>
      <c r="AA7089">
        <v>0</v>
      </c>
      <c r="AB7089">
        <v>0</v>
      </c>
      <c r="AC7089">
        <v>299</v>
      </c>
      <c r="AD7089">
        <v>0</v>
      </c>
      <c r="AE7089">
        <v>0</v>
      </c>
      <c r="AF7089">
        <v>0</v>
      </c>
      <c r="AG7089">
        <v>0</v>
      </c>
      <c r="AH7089">
        <v>0</v>
      </c>
      <c r="AI7089">
        <v>44.85</v>
      </c>
      <c r="AJ7089">
        <v>299</v>
      </c>
      <c r="AK7089">
        <v>299</v>
      </c>
      <c r="AL7089" t="s">
        <v>53</v>
      </c>
      <c r="AM7089" t="s">
        <v>53</v>
      </c>
      <c r="AN7089" t="s">
        <v>53</v>
      </c>
      <c r="AO7089" t="s">
        <v>53</v>
      </c>
      <c r="AP7089" t="s">
        <v>53</v>
      </c>
    </row>
    <row r="7090" spans="2:42" x14ac:dyDescent="0.2">
      <c r="B7090" t="s">
        <v>44</v>
      </c>
      <c r="C7090" t="str">
        <f>HYPERLINK("https://us2.cloudbeds.com/connect/8493803454333002#/reservations/9080486847199315?display=3YW12Z18R1&amp;reservation_id=9080486847199315", "3YW12Z18R1")</f>
        <v>3YW12Z18R1</v>
      </c>
      <c r="D7090" t="s">
        <v>45</v>
      </c>
      <c r="E7090" t="s">
        <v>185</v>
      </c>
      <c r="F7090" t="s">
        <v>47</v>
      </c>
      <c r="G7090" t="s">
        <v>48</v>
      </c>
      <c r="H7090" t="s">
        <v>49</v>
      </c>
      <c r="I7090" t="s">
        <v>8964</v>
      </c>
      <c r="J7090" t="s">
        <v>8866</v>
      </c>
      <c r="K7090" t="s">
        <v>11887</v>
      </c>
      <c r="L7090" t="s">
        <v>53</v>
      </c>
      <c r="N7090" t="s">
        <v>12799</v>
      </c>
      <c r="P7090" t="s">
        <v>55</v>
      </c>
      <c r="R7090" t="s">
        <v>53</v>
      </c>
      <c r="T7090" t="s">
        <v>12800</v>
      </c>
      <c r="U7090" t="s">
        <v>55</v>
      </c>
      <c r="V7090">
        <v>1</v>
      </c>
      <c r="W7090">
        <v>1</v>
      </c>
      <c r="X7090">
        <v>2</v>
      </c>
      <c r="Y7090">
        <v>0</v>
      </c>
      <c r="Z7090">
        <v>2</v>
      </c>
      <c r="AA7090">
        <v>0</v>
      </c>
      <c r="AB7090">
        <v>0</v>
      </c>
      <c r="AC7090">
        <v>125</v>
      </c>
      <c r="AD7090">
        <v>0</v>
      </c>
      <c r="AE7090">
        <v>0</v>
      </c>
      <c r="AF7090">
        <v>0</v>
      </c>
      <c r="AG7090">
        <v>0</v>
      </c>
      <c r="AH7090">
        <v>0</v>
      </c>
      <c r="AI7090">
        <v>18.75</v>
      </c>
      <c r="AJ7090">
        <v>125</v>
      </c>
      <c r="AK7090">
        <v>125</v>
      </c>
      <c r="AL7090" t="s">
        <v>53</v>
      </c>
      <c r="AM7090" t="s">
        <v>53</v>
      </c>
      <c r="AN7090" t="s">
        <v>53</v>
      </c>
      <c r="AO7090" t="s">
        <v>53</v>
      </c>
      <c r="AP7090" t="s">
        <v>53</v>
      </c>
    </row>
    <row r="7091" spans="2:42" x14ac:dyDescent="0.2">
      <c r="B7091" t="s">
        <v>44</v>
      </c>
      <c r="C7091" t="str">
        <f>HYPERLINK("https://us2.cloudbeds.com/connect/8493803454333002#/reservations/9080486847200041?display=3YWYPFZ7GF&amp;reservation_id=9080486847200041", "3YWYPFZ7GF")</f>
        <v>3YWYPFZ7GF</v>
      </c>
      <c r="D7091" t="s">
        <v>45</v>
      </c>
      <c r="E7091" t="s">
        <v>69</v>
      </c>
      <c r="F7091" t="s">
        <v>70</v>
      </c>
      <c r="G7091" t="s">
        <v>48</v>
      </c>
      <c r="H7091" t="s">
        <v>49</v>
      </c>
      <c r="I7091" t="s">
        <v>50</v>
      </c>
      <c r="J7091" t="s">
        <v>10723</v>
      </c>
      <c r="K7091" t="s">
        <v>10724</v>
      </c>
      <c r="L7091" t="s">
        <v>53</v>
      </c>
      <c r="N7091" t="s">
        <v>12801</v>
      </c>
      <c r="P7091" t="s">
        <v>55</v>
      </c>
      <c r="R7091" t="s">
        <v>53</v>
      </c>
      <c r="T7091" t="s">
        <v>12802</v>
      </c>
      <c r="U7091" t="s">
        <v>58</v>
      </c>
      <c r="V7091">
        <v>1</v>
      </c>
      <c r="W7091">
        <v>1</v>
      </c>
      <c r="X7091">
        <v>1</v>
      </c>
      <c r="Y7091">
        <v>0</v>
      </c>
      <c r="Z7091">
        <v>1</v>
      </c>
      <c r="AA7091">
        <v>69.62</v>
      </c>
      <c r="AB7091">
        <v>69.62</v>
      </c>
      <c r="AC7091">
        <v>61.25</v>
      </c>
      <c r="AD7091">
        <v>0</v>
      </c>
      <c r="AE7091">
        <v>8.3699999999999992</v>
      </c>
      <c r="AF7091">
        <v>0</v>
      </c>
      <c r="AG7091">
        <v>0</v>
      </c>
      <c r="AH7091">
        <v>0</v>
      </c>
      <c r="AI7091">
        <v>12.53</v>
      </c>
      <c r="AJ7091">
        <v>69.62</v>
      </c>
      <c r="AK7091">
        <v>0</v>
      </c>
      <c r="AL7091" t="s">
        <v>53</v>
      </c>
      <c r="AM7091" t="s">
        <v>53</v>
      </c>
      <c r="AN7091" t="s">
        <v>53</v>
      </c>
      <c r="AO7091" t="s">
        <v>53</v>
      </c>
      <c r="AP7091" t="s">
        <v>53</v>
      </c>
    </row>
    <row r="7092" spans="2:42" x14ac:dyDescent="0.2">
      <c r="B7092" t="s">
        <v>44</v>
      </c>
      <c r="C7092" t="str">
        <f>HYPERLINK("https://us2.cloudbeds.com/connect/8493803454333002#/reservations/9080486847201342?display=3M0T89MC3R&amp;reservation_id=9080486847201342", "3M0T89MC3R")</f>
        <v>3M0T89MC3R</v>
      </c>
      <c r="D7092" t="s">
        <v>45</v>
      </c>
      <c r="E7092" t="s">
        <v>381</v>
      </c>
      <c r="F7092" t="s">
        <v>47</v>
      </c>
      <c r="G7092" t="s">
        <v>48</v>
      </c>
      <c r="H7092" t="s">
        <v>49</v>
      </c>
      <c r="I7092" t="s">
        <v>62</v>
      </c>
      <c r="J7092" t="s">
        <v>10070</v>
      </c>
      <c r="K7092" t="s">
        <v>10723</v>
      </c>
      <c r="L7092" t="s">
        <v>53</v>
      </c>
      <c r="N7092" t="s">
        <v>12803</v>
      </c>
      <c r="P7092" t="s">
        <v>55</v>
      </c>
      <c r="R7092" t="s">
        <v>56</v>
      </c>
      <c r="T7092" t="s">
        <v>12804</v>
      </c>
      <c r="U7092" t="s">
        <v>55</v>
      </c>
      <c r="V7092">
        <v>1</v>
      </c>
      <c r="W7092">
        <v>1</v>
      </c>
      <c r="X7092">
        <v>2</v>
      </c>
      <c r="Y7092">
        <v>0</v>
      </c>
      <c r="Z7092">
        <v>2</v>
      </c>
      <c r="AA7092">
        <v>85</v>
      </c>
      <c r="AB7092">
        <v>85</v>
      </c>
      <c r="AC7092">
        <v>85</v>
      </c>
      <c r="AD7092">
        <v>0</v>
      </c>
      <c r="AE7092">
        <v>0</v>
      </c>
      <c r="AF7092">
        <v>0</v>
      </c>
      <c r="AG7092">
        <v>0</v>
      </c>
      <c r="AH7092">
        <v>0</v>
      </c>
      <c r="AI7092">
        <v>15.3</v>
      </c>
      <c r="AJ7092">
        <v>85</v>
      </c>
      <c r="AK7092">
        <v>0</v>
      </c>
      <c r="AL7092" t="s">
        <v>53</v>
      </c>
      <c r="AM7092" t="s">
        <v>53</v>
      </c>
      <c r="AN7092" t="s">
        <v>53</v>
      </c>
      <c r="AO7092" t="s">
        <v>53</v>
      </c>
      <c r="AP7092" t="s">
        <v>53</v>
      </c>
    </row>
    <row r="7093" spans="2:42" x14ac:dyDescent="0.2">
      <c r="B7093" t="s">
        <v>44</v>
      </c>
      <c r="C7093" t="str">
        <f>HYPERLINK("https://us2.cloudbeds.com/connect/8493803454333002#/reservations/9080486847201695?display=3M18B3Q0HR&amp;reservation_id=9080486847201695", "3M18B3Q0HR")</f>
        <v>3M18B3Q0HR</v>
      </c>
      <c r="D7093" t="s">
        <v>45</v>
      </c>
      <c r="E7093" t="s">
        <v>190</v>
      </c>
      <c r="F7093" t="s">
        <v>61</v>
      </c>
      <c r="G7093" t="s">
        <v>48</v>
      </c>
      <c r="H7093" t="s">
        <v>49</v>
      </c>
      <c r="I7093" t="s">
        <v>50</v>
      </c>
      <c r="J7093" t="s">
        <v>10070</v>
      </c>
      <c r="K7093" t="s">
        <v>10723</v>
      </c>
      <c r="L7093" t="s">
        <v>53</v>
      </c>
      <c r="N7093" t="s">
        <v>12805</v>
      </c>
      <c r="P7093" t="s">
        <v>55</v>
      </c>
      <c r="R7093" t="s">
        <v>53</v>
      </c>
      <c r="T7093" t="s">
        <v>12806</v>
      </c>
      <c r="U7093" t="s">
        <v>58</v>
      </c>
      <c r="V7093">
        <v>1</v>
      </c>
      <c r="W7093">
        <v>1</v>
      </c>
      <c r="X7093">
        <v>2</v>
      </c>
      <c r="Y7093">
        <v>0</v>
      </c>
      <c r="Z7093">
        <v>2</v>
      </c>
      <c r="AA7093">
        <v>94.46</v>
      </c>
      <c r="AB7093">
        <v>94.46</v>
      </c>
      <c r="AC7093">
        <v>83.12</v>
      </c>
      <c r="AD7093">
        <v>0</v>
      </c>
      <c r="AE7093">
        <v>11.34</v>
      </c>
      <c r="AF7093">
        <v>0</v>
      </c>
      <c r="AG7093">
        <v>0</v>
      </c>
      <c r="AH7093">
        <v>0</v>
      </c>
      <c r="AI7093">
        <v>17</v>
      </c>
      <c r="AJ7093">
        <v>94.46</v>
      </c>
      <c r="AK7093">
        <v>0</v>
      </c>
      <c r="AL7093" t="s">
        <v>53</v>
      </c>
      <c r="AM7093" t="s">
        <v>53</v>
      </c>
      <c r="AN7093" t="s">
        <v>53</v>
      </c>
      <c r="AO7093" t="s">
        <v>53</v>
      </c>
      <c r="AP7093" t="s">
        <v>53</v>
      </c>
    </row>
    <row r="7094" spans="2:42" x14ac:dyDescent="0.2">
      <c r="B7094" t="s">
        <v>44</v>
      </c>
      <c r="C7094" t="str">
        <f>HYPERLINK("https://us2.cloudbeds.com/connect/8493803454333002#/reservations/9080486847201856?display=3M1FF7J2JX&amp;reservation_id=9080486847201856", "3M1FF7J2JX")</f>
        <v>3M1FF7J2JX</v>
      </c>
      <c r="D7094" t="s">
        <v>45</v>
      </c>
      <c r="E7094" t="s">
        <v>128</v>
      </c>
      <c r="F7094" t="s">
        <v>86</v>
      </c>
      <c r="G7094" t="s">
        <v>48</v>
      </c>
      <c r="H7094" t="s">
        <v>49</v>
      </c>
      <c r="I7094" t="s">
        <v>50</v>
      </c>
      <c r="J7094" t="s">
        <v>12807</v>
      </c>
      <c r="K7094" t="s">
        <v>12808</v>
      </c>
      <c r="L7094" t="s">
        <v>53</v>
      </c>
      <c r="N7094" t="s">
        <v>12809</v>
      </c>
      <c r="P7094" t="s">
        <v>55</v>
      </c>
      <c r="R7094" t="s">
        <v>53</v>
      </c>
      <c r="T7094" t="s">
        <v>12810</v>
      </c>
      <c r="U7094" t="s">
        <v>58</v>
      </c>
      <c r="V7094">
        <v>2</v>
      </c>
      <c r="W7094">
        <v>1</v>
      </c>
      <c r="X7094">
        <v>3</v>
      </c>
      <c r="Y7094">
        <v>0</v>
      </c>
      <c r="Z7094">
        <v>3</v>
      </c>
      <c r="AA7094">
        <v>211.4</v>
      </c>
      <c r="AB7094">
        <v>211.4</v>
      </c>
      <c r="AC7094">
        <v>186</v>
      </c>
      <c r="AD7094">
        <v>0</v>
      </c>
      <c r="AE7094">
        <v>27.25</v>
      </c>
      <c r="AF7094">
        <v>0</v>
      </c>
      <c r="AG7094">
        <v>0</v>
      </c>
      <c r="AH7094">
        <v>0</v>
      </c>
      <c r="AI7094">
        <v>38.39</v>
      </c>
      <c r="AJ7094">
        <v>213.25</v>
      </c>
      <c r="AK7094">
        <v>1.85</v>
      </c>
      <c r="AL7094" t="s">
        <v>53</v>
      </c>
      <c r="AM7094" t="s">
        <v>53</v>
      </c>
      <c r="AN7094" t="s">
        <v>53</v>
      </c>
      <c r="AO7094" t="s">
        <v>53</v>
      </c>
      <c r="AP7094" t="s">
        <v>53</v>
      </c>
    </row>
    <row r="7095" spans="2:42" x14ac:dyDescent="0.2">
      <c r="B7095" t="s">
        <v>44</v>
      </c>
      <c r="C7095" t="str">
        <f>HYPERLINK("https://us2.cloudbeds.com/connect/8493803454333002#/reservations/9080486847202345?display=3M236H04G8&amp;reservation_id=9080486847202345", "3M236H04G8")</f>
        <v>3M236H04G8</v>
      </c>
      <c r="D7095" t="s">
        <v>45</v>
      </c>
      <c r="E7095" t="s">
        <v>113</v>
      </c>
      <c r="F7095" t="s">
        <v>61</v>
      </c>
      <c r="G7095" t="s">
        <v>48</v>
      </c>
      <c r="H7095" t="s">
        <v>49</v>
      </c>
      <c r="I7095" t="s">
        <v>8964</v>
      </c>
      <c r="J7095" t="s">
        <v>11998</v>
      </c>
      <c r="K7095" t="s">
        <v>8866</v>
      </c>
      <c r="L7095" t="s">
        <v>53</v>
      </c>
      <c r="N7095" t="s">
        <v>12811</v>
      </c>
      <c r="P7095" t="s">
        <v>55</v>
      </c>
      <c r="R7095" t="s">
        <v>53</v>
      </c>
      <c r="T7095" t="s">
        <v>12812</v>
      </c>
      <c r="U7095" t="s">
        <v>55</v>
      </c>
      <c r="V7095">
        <v>1</v>
      </c>
      <c r="W7095">
        <v>1</v>
      </c>
      <c r="X7095">
        <v>1</v>
      </c>
      <c r="Y7095">
        <v>0</v>
      </c>
      <c r="Z7095">
        <v>1</v>
      </c>
      <c r="AA7095">
        <v>129</v>
      </c>
      <c r="AB7095">
        <v>10</v>
      </c>
      <c r="AC7095">
        <v>139</v>
      </c>
      <c r="AD7095">
        <v>0</v>
      </c>
      <c r="AE7095">
        <v>0</v>
      </c>
      <c r="AF7095">
        <v>0</v>
      </c>
      <c r="AG7095">
        <v>0</v>
      </c>
      <c r="AH7095">
        <v>0</v>
      </c>
      <c r="AI7095">
        <v>20.85</v>
      </c>
      <c r="AJ7095">
        <v>139</v>
      </c>
      <c r="AK7095">
        <v>129</v>
      </c>
      <c r="AL7095" t="s">
        <v>53</v>
      </c>
      <c r="AM7095" t="s">
        <v>53</v>
      </c>
      <c r="AN7095" t="s">
        <v>53</v>
      </c>
      <c r="AO7095" t="s">
        <v>53</v>
      </c>
      <c r="AP7095" t="s">
        <v>53</v>
      </c>
    </row>
    <row r="7096" spans="2:42" x14ac:dyDescent="0.2">
      <c r="B7096" t="s">
        <v>44</v>
      </c>
      <c r="C7096" t="str">
        <f>HYPERLINK("https://us2.cloudbeds.com/connect/8493803454333002#/reservations/9080486847203346?display=3M3CHSE0BN&amp;reservation_id=9080486847203346", "3M3CHSE0BN")</f>
        <v>3M3CHSE0BN</v>
      </c>
      <c r="D7096" t="s">
        <v>45</v>
      </c>
      <c r="E7096" t="s">
        <v>105</v>
      </c>
      <c r="F7096" t="s">
        <v>47</v>
      </c>
      <c r="G7096" t="s">
        <v>48</v>
      </c>
      <c r="H7096" t="s">
        <v>49</v>
      </c>
      <c r="I7096" t="s">
        <v>62</v>
      </c>
      <c r="J7096" t="s">
        <v>11370</v>
      </c>
      <c r="K7096" t="s">
        <v>11998</v>
      </c>
      <c r="L7096" t="s">
        <v>53</v>
      </c>
      <c r="N7096" t="s">
        <v>12813</v>
      </c>
      <c r="P7096" t="s">
        <v>55</v>
      </c>
      <c r="R7096" t="s">
        <v>56</v>
      </c>
      <c r="T7096" t="s">
        <v>12814</v>
      </c>
      <c r="U7096" t="s">
        <v>55</v>
      </c>
      <c r="V7096">
        <v>1</v>
      </c>
      <c r="W7096">
        <v>1</v>
      </c>
      <c r="X7096">
        <v>2</v>
      </c>
      <c r="Y7096">
        <v>0</v>
      </c>
      <c r="Z7096">
        <v>2</v>
      </c>
      <c r="AA7096">
        <v>91</v>
      </c>
      <c r="AB7096">
        <v>91</v>
      </c>
      <c r="AC7096">
        <v>91</v>
      </c>
      <c r="AD7096">
        <v>0</v>
      </c>
      <c r="AE7096">
        <v>0</v>
      </c>
      <c r="AF7096">
        <v>0</v>
      </c>
      <c r="AG7096">
        <v>0</v>
      </c>
      <c r="AH7096">
        <v>0</v>
      </c>
      <c r="AI7096">
        <v>16.38</v>
      </c>
      <c r="AJ7096">
        <v>91</v>
      </c>
      <c r="AK7096">
        <v>0</v>
      </c>
      <c r="AL7096" t="s">
        <v>53</v>
      </c>
      <c r="AM7096" t="s">
        <v>53</v>
      </c>
      <c r="AN7096" t="s">
        <v>53</v>
      </c>
      <c r="AO7096" t="s">
        <v>53</v>
      </c>
      <c r="AP7096" t="s">
        <v>53</v>
      </c>
    </row>
    <row r="7097" spans="2:42" x14ac:dyDescent="0.2">
      <c r="B7097" t="s">
        <v>44</v>
      </c>
      <c r="C7097" t="str">
        <f>HYPERLINK("https://us2.cloudbeds.com/connect/8493803454333002#/reservations/170487297323175?display=3M7AFJWK9T&amp;reservation_id=170487297323175", "3M7AFJWK9T")</f>
        <v>3M7AFJWK9T</v>
      </c>
      <c r="D7097" t="s">
        <v>45</v>
      </c>
      <c r="E7097" t="s">
        <v>78</v>
      </c>
      <c r="F7097" t="s">
        <v>61</v>
      </c>
      <c r="G7097" t="s">
        <v>48</v>
      </c>
      <c r="H7097" t="s">
        <v>3957</v>
      </c>
      <c r="I7097" t="s">
        <v>3989</v>
      </c>
      <c r="J7097" t="s">
        <v>11887</v>
      </c>
      <c r="K7097" t="s">
        <v>11378</v>
      </c>
      <c r="L7097" t="s">
        <v>53</v>
      </c>
      <c r="P7097" t="s">
        <v>55</v>
      </c>
      <c r="R7097" t="s">
        <v>56</v>
      </c>
      <c r="T7097" t="s">
        <v>12815</v>
      </c>
      <c r="U7097" t="s">
        <v>58</v>
      </c>
      <c r="V7097">
        <v>1</v>
      </c>
      <c r="W7097">
        <v>1</v>
      </c>
      <c r="X7097">
        <v>1</v>
      </c>
      <c r="Y7097">
        <v>0</v>
      </c>
      <c r="Z7097">
        <v>1</v>
      </c>
      <c r="AA7097">
        <v>146.61000000000001</v>
      </c>
      <c r="AB7097">
        <v>0</v>
      </c>
      <c r="AC7097">
        <v>129</v>
      </c>
      <c r="AD7097">
        <v>0</v>
      </c>
      <c r="AE7097">
        <v>17.61</v>
      </c>
      <c r="AF7097">
        <v>0</v>
      </c>
      <c r="AG7097">
        <v>0</v>
      </c>
      <c r="AH7097">
        <v>0</v>
      </c>
      <c r="AI7097">
        <v>0</v>
      </c>
      <c r="AJ7097">
        <v>146.61000000000001</v>
      </c>
      <c r="AK7097">
        <v>146.61000000000001</v>
      </c>
      <c r="AL7097" t="s">
        <v>53</v>
      </c>
      <c r="AM7097" t="s">
        <v>53</v>
      </c>
      <c r="AN7097" t="s">
        <v>12816</v>
      </c>
      <c r="AO7097" t="s">
        <v>53</v>
      </c>
      <c r="AP7097" t="s">
        <v>53</v>
      </c>
    </row>
    <row r="7098" spans="2:42" x14ac:dyDescent="0.2">
      <c r="B7098" t="s">
        <v>44</v>
      </c>
      <c r="C7098" t="str">
        <f>HYPERLINK("https://us2.cloudbeds.com/connect/8493803454333002#/reservations/9080486847208309?display=3M8KH2A43D&amp;reservation_id=9080486847208309", "3M8KH2A43D")</f>
        <v>3M8KH2A43D</v>
      </c>
      <c r="D7098" t="s">
        <v>45</v>
      </c>
      <c r="E7098" t="s">
        <v>179</v>
      </c>
      <c r="F7098" t="s">
        <v>47</v>
      </c>
      <c r="G7098" t="s">
        <v>48</v>
      </c>
      <c r="H7098" t="s">
        <v>49</v>
      </c>
      <c r="I7098" t="s">
        <v>50</v>
      </c>
      <c r="J7098" t="s">
        <v>10723</v>
      </c>
      <c r="K7098" t="s">
        <v>11370</v>
      </c>
      <c r="L7098" t="s">
        <v>53</v>
      </c>
      <c r="N7098" t="s">
        <v>12817</v>
      </c>
      <c r="P7098" t="s">
        <v>55</v>
      </c>
      <c r="R7098" t="s">
        <v>53</v>
      </c>
      <c r="T7098" t="s">
        <v>12818</v>
      </c>
      <c r="U7098" t="s">
        <v>58</v>
      </c>
      <c r="V7098">
        <v>2</v>
      </c>
      <c r="W7098">
        <v>1</v>
      </c>
      <c r="X7098">
        <v>1</v>
      </c>
      <c r="Y7098">
        <v>1</v>
      </c>
      <c r="Z7098">
        <v>2</v>
      </c>
      <c r="AA7098">
        <v>164.52</v>
      </c>
      <c r="AB7098">
        <v>164.52</v>
      </c>
      <c r="AC7098">
        <v>144.75</v>
      </c>
      <c r="AD7098">
        <v>0</v>
      </c>
      <c r="AE7098">
        <v>19.77</v>
      </c>
      <c r="AF7098">
        <v>0</v>
      </c>
      <c r="AG7098">
        <v>0</v>
      </c>
      <c r="AH7098">
        <v>0</v>
      </c>
      <c r="AI7098">
        <v>29.61</v>
      </c>
      <c r="AJ7098">
        <v>164.52</v>
      </c>
      <c r="AK7098">
        <v>0</v>
      </c>
      <c r="AL7098" t="s">
        <v>53</v>
      </c>
      <c r="AM7098" t="s">
        <v>53</v>
      </c>
      <c r="AN7098" t="s">
        <v>53</v>
      </c>
      <c r="AO7098" t="s">
        <v>53</v>
      </c>
      <c r="AP7098" t="s">
        <v>53</v>
      </c>
    </row>
    <row r="7099" spans="2:42" x14ac:dyDescent="0.2">
      <c r="B7099" t="s">
        <v>44</v>
      </c>
      <c r="C7099" t="str">
        <f>HYPERLINK("https://us2.cloudbeds.com/connect/8493803454333002#/reservations/170558865314010?display=3M8WTB0F4T&amp;reservation_id=170558865314010", "3M8WTB0F4T")</f>
        <v>3M8WTB0F4T</v>
      </c>
      <c r="D7099" t="s">
        <v>45</v>
      </c>
      <c r="E7099" t="s">
        <v>78</v>
      </c>
      <c r="F7099" t="s">
        <v>61</v>
      </c>
      <c r="G7099" t="s">
        <v>48</v>
      </c>
      <c r="H7099" t="s">
        <v>3957</v>
      </c>
      <c r="I7099" t="s">
        <v>3975</v>
      </c>
      <c r="J7099" t="s">
        <v>11679</v>
      </c>
      <c r="K7099" t="s">
        <v>11956</v>
      </c>
      <c r="L7099" t="s">
        <v>53</v>
      </c>
      <c r="P7099" t="s">
        <v>55</v>
      </c>
      <c r="R7099" t="s">
        <v>56</v>
      </c>
      <c r="T7099" t="s">
        <v>12819</v>
      </c>
      <c r="U7099" t="s">
        <v>58</v>
      </c>
      <c r="V7099">
        <v>2</v>
      </c>
      <c r="W7099">
        <v>1</v>
      </c>
      <c r="X7099">
        <v>1</v>
      </c>
      <c r="Y7099">
        <v>0</v>
      </c>
      <c r="Z7099">
        <v>1</v>
      </c>
      <c r="AA7099">
        <v>217.08</v>
      </c>
      <c r="AB7099">
        <v>217.08</v>
      </c>
      <c r="AC7099">
        <v>191</v>
      </c>
      <c r="AD7099">
        <v>0</v>
      </c>
      <c r="AE7099">
        <v>26.08</v>
      </c>
      <c r="AF7099">
        <v>0</v>
      </c>
      <c r="AG7099">
        <v>0</v>
      </c>
      <c r="AH7099">
        <v>0</v>
      </c>
      <c r="AI7099">
        <v>0</v>
      </c>
      <c r="AJ7099">
        <v>217.08</v>
      </c>
      <c r="AK7099">
        <v>0</v>
      </c>
      <c r="AL7099" t="s">
        <v>53</v>
      </c>
      <c r="AM7099" t="s">
        <v>53</v>
      </c>
      <c r="AN7099" t="s">
        <v>53</v>
      </c>
      <c r="AO7099" t="s">
        <v>53</v>
      </c>
      <c r="AP7099" t="s">
        <v>53</v>
      </c>
    </row>
    <row r="7100" spans="2:42" x14ac:dyDescent="0.2">
      <c r="B7100" t="s">
        <v>44</v>
      </c>
      <c r="C7100" t="str">
        <f>HYPERLINK("https://us2.cloudbeds.com/connect/8493803454333002#/reservations/9080486847209202?display=3M9D0Q0GWY&amp;reservation_id=9080486847209202", "3M9D0Q0GWY")</f>
        <v>3M9D0Q0GWY</v>
      </c>
      <c r="D7100" t="s">
        <v>45</v>
      </c>
      <c r="E7100" t="s">
        <v>110</v>
      </c>
      <c r="F7100" t="s">
        <v>47</v>
      </c>
      <c r="G7100" t="s">
        <v>48</v>
      </c>
      <c r="H7100" t="s">
        <v>49</v>
      </c>
      <c r="I7100" t="s">
        <v>50</v>
      </c>
      <c r="J7100" t="s">
        <v>10723</v>
      </c>
      <c r="K7100" t="s">
        <v>10724</v>
      </c>
      <c r="L7100" t="s">
        <v>53</v>
      </c>
      <c r="N7100" t="s">
        <v>12820</v>
      </c>
      <c r="P7100" t="s">
        <v>55</v>
      </c>
      <c r="R7100" t="s">
        <v>53</v>
      </c>
      <c r="T7100" t="s">
        <v>12821</v>
      </c>
      <c r="U7100" t="s">
        <v>58</v>
      </c>
      <c r="V7100">
        <v>1</v>
      </c>
      <c r="W7100">
        <v>1</v>
      </c>
      <c r="X7100">
        <v>2</v>
      </c>
      <c r="Y7100">
        <v>0</v>
      </c>
      <c r="Z7100">
        <v>2</v>
      </c>
      <c r="AA7100">
        <v>82.69</v>
      </c>
      <c r="AB7100">
        <v>82.69</v>
      </c>
      <c r="AC7100">
        <v>72.75</v>
      </c>
      <c r="AD7100">
        <v>0</v>
      </c>
      <c r="AE7100">
        <v>9.94</v>
      </c>
      <c r="AF7100">
        <v>0</v>
      </c>
      <c r="AG7100">
        <v>0</v>
      </c>
      <c r="AH7100">
        <v>0</v>
      </c>
      <c r="AI7100">
        <v>14.88</v>
      </c>
      <c r="AJ7100">
        <v>82.69</v>
      </c>
      <c r="AK7100">
        <v>0</v>
      </c>
      <c r="AL7100" t="s">
        <v>53</v>
      </c>
      <c r="AM7100" t="s">
        <v>53</v>
      </c>
      <c r="AN7100" t="s">
        <v>53</v>
      </c>
      <c r="AO7100" t="s">
        <v>53</v>
      </c>
      <c r="AP7100" t="s">
        <v>53</v>
      </c>
    </row>
    <row r="7101" spans="2:42" x14ac:dyDescent="0.2">
      <c r="B7101" t="s">
        <v>44</v>
      </c>
      <c r="C7101" t="str">
        <f>HYPERLINK("https://us2.cloudbeds.com/connect/8493803454333002#/reservations/9080486847209984?display=3MABE5KB5G&amp;reservation_id=9080486847209984", "3MABE5KB5G")</f>
        <v>3MABE5KB5G</v>
      </c>
      <c r="D7101" t="s">
        <v>45</v>
      </c>
      <c r="E7101" t="s">
        <v>165</v>
      </c>
      <c r="F7101" t="s">
        <v>61</v>
      </c>
      <c r="G7101" t="s">
        <v>48</v>
      </c>
      <c r="H7101" t="s">
        <v>49</v>
      </c>
      <c r="I7101" t="s">
        <v>50</v>
      </c>
      <c r="J7101" t="s">
        <v>12822</v>
      </c>
      <c r="K7101" t="s">
        <v>12823</v>
      </c>
      <c r="L7101" t="s">
        <v>53</v>
      </c>
      <c r="N7101" t="s">
        <v>12824</v>
      </c>
      <c r="P7101" t="s">
        <v>55</v>
      </c>
      <c r="R7101" t="s">
        <v>53</v>
      </c>
      <c r="T7101" t="s">
        <v>12825</v>
      </c>
      <c r="U7101" t="s">
        <v>58</v>
      </c>
      <c r="V7101">
        <v>7</v>
      </c>
      <c r="W7101">
        <v>1</v>
      </c>
      <c r="X7101">
        <v>2</v>
      </c>
      <c r="Y7101">
        <v>0</v>
      </c>
      <c r="Z7101">
        <v>2</v>
      </c>
      <c r="AA7101">
        <v>896.97</v>
      </c>
      <c r="AB7101">
        <v>904.84</v>
      </c>
      <c r="AC7101">
        <v>789.24</v>
      </c>
      <c r="AD7101">
        <v>0</v>
      </c>
      <c r="AE7101">
        <v>115.6</v>
      </c>
      <c r="AF7101">
        <v>0</v>
      </c>
      <c r="AG7101">
        <v>0</v>
      </c>
      <c r="AH7101">
        <v>0</v>
      </c>
      <c r="AI7101">
        <v>162.87</v>
      </c>
      <c r="AJ7101">
        <v>904.84</v>
      </c>
      <c r="AK7101">
        <v>0</v>
      </c>
      <c r="AL7101" t="s">
        <v>53</v>
      </c>
      <c r="AM7101" t="s">
        <v>53</v>
      </c>
      <c r="AN7101" t="s">
        <v>53</v>
      </c>
      <c r="AO7101" t="s">
        <v>53</v>
      </c>
      <c r="AP7101" t="s">
        <v>53</v>
      </c>
    </row>
    <row r="7102" spans="2:42" x14ac:dyDescent="0.2">
      <c r="B7102" t="s">
        <v>44</v>
      </c>
      <c r="C7102" t="str">
        <f>HYPERLINK("https://us2.cloudbeds.com/connect/8493803454333002#/reservations/9080486847210338?display=3MAP2Z9YAP&amp;reservation_id=9080486847210338", "3MAP2Z9YAP")</f>
        <v>3MAP2Z9YAP</v>
      </c>
      <c r="D7102" t="s">
        <v>45</v>
      </c>
      <c r="E7102" t="s">
        <v>223</v>
      </c>
      <c r="F7102" t="s">
        <v>47</v>
      </c>
      <c r="G7102" t="s">
        <v>48</v>
      </c>
      <c r="H7102" t="s">
        <v>49</v>
      </c>
      <c r="I7102" t="s">
        <v>50</v>
      </c>
      <c r="J7102" t="s">
        <v>10723</v>
      </c>
      <c r="K7102" t="s">
        <v>10724</v>
      </c>
      <c r="L7102" t="s">
        <v>53</v>
      </c>
      <c r="N7102" t="s">
        <v>12826</v>
      </c>
      <c r="P7102" t="s">
        <v>55</v>
      </c>
      <c r="R7102" t="s">
        <v>53</v>
      </c>
      <c r="T7102" t="s">
        <v>12827</v>
      </c>
      <c r="U7102" t="s">
        <v>58</v>
      </c>
      <c r="V7102">
        <v>1</v>
      </c>
      <c r="W7102">
        <v>1</v>
      </c>
      <c r="X7102">
        <v>2</v>
      </c>
      <c r="Y7102">
        <v>0</v>
      </c>
      <c r="Z7102">
        <v>2</v>
      </c>
      <c r="AA7102">
        <v>96.46</v>
      </c>
      <c r="AB7102">
        <v>96.46</v>
      </c>
      <c r="AC7102">
        <v>84.87</v>
      </c>
      <c r="AD7102">
        <v>0</v>
      </c>
      <c r="AE7102">
        <v>11.59</v>
      </c>
      <c r="AF7102">
        <v>0</v>
      </c>
      <c r="AG7102">
        <v>0</v>
      </c>
      <c r="AH7102">
        <v>0</v>
      </c>
      <c r="AI7102">
        <v>17.36</v>
      </c>
      <c r="AJ7102">
        <v>96.46</v>
      </c>
      <c r="AK7102">
        <v>0</v>
      </c>
      <c r="AL7102" t="s">
        <v>53</v>
      </c>
      <c r="AM7102" t="s">
        <v>53</v>
      </c>
      <c r="AN7102" t="s">
        <v>53</v>
      </c>
      <c r="AO7102" t="s">
        <v>53</v>
      </c>
      <c r="AP7102" t="s">
        <v>53</v>
      </c>
    </row>
    <row r="7103" spans="2:42" x14ac:dyDescent="0.2">
      <c r="B7103" t="s">
        <v>44</v>
      </c>
      <c r="C7103" t="str">
        <f>HYPERLINK("https://us2.cloudbeds.com/connect/8493803454333002#/reservations/9080486847210499?display=3MAVESEGME&amp;reservation_id=9080486847210499", "3MAVESEGME")</f>
        <v>3MAVESEGME</v>
      </c>
      <c r="D7103" t="s">
        <v>45</v>
      </c>
      <c r="E7103" t="s">
        <v>121</v>
      </c>
      <c r="F7103" t="s">
        <v>86</v>
      </c>
      <c r="G7103" t="s">
        <v>48</v>
      </c>
      <c r="H7103" t="s">
        <v>49</v>
      </c>
      <c r="I7103" t="s">
        <v>50</v>
      </c>
      <c r="J7103" t="s">
        <v>12777</v>
      </c>
      <c r="K7103" t="s">
        <v>11412</v>
      </c>
      <c r="L7103" t="s">
        <v>53</v>
      </c>
      <c r="N7103" t="s">
        <v>12828</v>
      </c>
      <c r="P7103" t="s">
        <v>55</v>
      </c>
      <c r="R7103" t="s">
        <v>53</v>
      </c>
      <c r="T7103" t="s">
        <v>12829</v>
      </c>
      <c r="U7103" t="s">
        <v>58</v>
      </c>
      <c r="V7103">
        <v>2</v>
      </c>
      <c r="W7103">
        <v>1</v>
      </c>
      <c r="X7103">
        <v>3</v>
      </c>
      <c r="Y7103">
        <v>0</v>
      </c>
      <c r="Z7103">
        <v>3</v>
      </c>
      <c r="AA7103">
        <v>175.91</v>
      </c>
      <c r="AB7103">
        <v>175.91</v>
      </c>
      <c r="AC7103">
        <v>154.79</v>
      </c>
      <c r="AD7103">
        <v>0</v>
      </c>
      <c r="AE7103">
        <v>21.12</v>
      </c>
      <c r="AF7103">
        <v>0</v>
      </c>
      <c r="AG7103">
        <v>0</v>
      </c>
      <c r="AH7103">
        <v>0</v>
      </c>
      <c r="AI7103">
        <v>31.66</v>
      </c>
      <c r="AJ7103">
        <v>175.91</v>
      </c>
      <c r="AK7103">
        <v>0</v>
      </c>
      <c r="AL7103" t="s">
        <v>53</v>
      </c>
      <c r="AM7103" t="s">
        <v>53</v>
      </c>
      <c r="AN7103" t="s">
        <v>53</v>
      </c>
      <c r="AO7103" t="s">
        <v>53</v>
      </c>
      <c r="AP7103" t="s">
        <v>53</v>
      </c>
    </row>
    <row r="7104" spans="2:42" x14ac:dyDescent="0.2">
      <c r="B7104" t="s">
        <v>44</v>
      </c>
      <c r="C7104" t="str">
        <f>HYPERLINK("https://us2.cloudbeds.com/connect/8493803454333002#/reservations/9080486847210505?display=3MAW18N8Y0&amp;reservation_id=9080486847210505", "3MAW18N8Y0")</f>
        <v>3MAW18N8Y0</v>
      </c>
      <c r="D7104" t="s">
        <v>45</v>
      </c>
      <c r="E7104" t="s">
        <v>179</v>
      </c>
      <c r="F7104" t="s">
        <v>47</v>
      </c>
      <c r="G7104" t="s">
        <v>48</v>
      </c>
      <c r="H7104" t="s">
        <v>49</v>
      </c>
      <c r="I7104" t="s">
        <v>50</v>
      </c>
      <c r="J7104" t="s">
        <v>8866</v>
      </c>
      <c r="K7104" t="s">
        <v>11887</v>
      </c>
      <c r="L7104" t="s">
        <v>53</v>
      </c>
      <c r="N7104" t="s">
        <v>12830</v>
      </c>
      <c r="P7104" t="s">
        <v>55</v>
      </c>
      <c r="R7104" t="s">
        <v>53</v>
      </c>
      <c r="T7104" t="s">
        <v>12831</v>
      </c>
      <c r="U7104" t="s">
        <v>58</v>
      </c>
      <c r="V7104">
        <v>1</v>
      </c>
      <c r="W7104">
        <v>1</v>
      </c>
      <c r="X7104">
        <v>2</v>
      </c>
      <c r="Y7104">
        <v>0</v>
      </c>
      <c r="Z7104">
        <v>2</v>
      </c>
      <c r="AA7104">
        <v>95.32</v>
      </c>
      <c r="AB7104">
        <v>95.32</v>
      </c>
      <c r="AC7104">
        <v>83.87</v>
      </c>
      <c r="AD7104">
        <v>0</v>
      </c>
      <c r="AE7104">
        <v>11.45</v>
      </c>
      <c r="AF7104">
        <v>0</v>
      </c>
      <c r="AG7104">
        <v>0</v>
      </c>
      <c r="AH7104">
        <v>0</v>
      </c>
      <c r="AI7104">
        <v>17.16</v>
      </c>
      <c r="AJ7104">
        <v>95.32</v>
      </c>
      <c r="AK7104">
        <v>0</v>
      </c>
      <c r="AL7104" t="s">
        <v>53</v>
      </c>
      <c r="AM7104" t="s">
        <v>53</v>
      </c>
      <c r="AN7104" t="s">
        <v>53</v>
      </c>
      <c r="AO7104" t="s">
        <v>53</v>
      </c>
      <c r="AP7104" t="s">
        <v>53</v>
      </c>
    </row>
    <row r="7105" spans="2:42" x14ac:dyDescent="0.2">
      <c r="B7105" t="s">
        <v>44</v>
      </c>
      <c r="C7105" t="str">
        <f>HYPERLINK("https://us2.cloudbeds.com/connect/8493803454333002#/reservations/9080486847210506?display=3MAVX64HY5&amp;reservation_id=9080486847210506", "3MAVX64HY5")</f>
        <v>3MAVX64HY5</v>
      </c>
      <c r="D7105" t="s">
        <v>45</v>
      </c>
      <c r="E7105" t="s">
        <v>46</v>
      </c>
      <c r="F7105" t="s">
        <v>47</v>
      </c>
      <c r="G7105" t="s">
        <v>48</v>
      </c>
      <c r="H7105" t="s">
        <v>49</v>
      </c>
      <c r="I7105" t="s">
        <v>50</v>
      </c>
      <c r="J7105" t="s">
        <v>8866</v>
      </c>
      <c r="K7105" t="s">
        <v>11887</v>
      </c>
      <c r="L7105" t="s">
        <v>53</v>
      </c>
      <c r="N7105" t="s">
        <v>12832</v>
      </c>
      <c r="P7105" t="s">
        <v>55</v>
      </c>
      <c r="R7105" t="s">
        <v>53</v>
      </c>
      <c r="T7105" t="s">
        <v>12833</v>
      </c>
      <c r="U7105" t="s">
        <v>58</v>
      </c>
      <c r="V7105">
        <v>1</v>
      </c>
      <c r="W7105">
        <v>1</v>
      </c>
      <c r="X7105">
        <v>2</v>
      </c>
      <c r="Y7105">
        <v>0</v>
      </c>
      <c r="Z7105">
        <v>2</v>
      </c>
      <c r="AA7105">
        <v>95.32</v>
      </c>
      <c r="AB7105">
        <v>95.32</v>
      </c>
      <c r="AC7105">
        <v>83.87</v>
      </c>
      <c r="AD7105">
        <v>0</v>
      </c>
      <c r="AE7105">
        <v>11.45</v>
      </c>
      <c r="AF7105">
        <v>0</v>
      </c>
      <c r="AG7105">
        <v>0</v>
      </c>
      <c r="AH7105">
        <v>0</v>
      </c>
      <c r="AI7105">
        <v>17.16</v>
      </c>
      <c r="AJ7105">
        <v>95.32</v>
      </c>
      <c r="AK7105">
        <v>0</v>
      </c>
      <c r="AL7105" t="s">
        <v>53</v>
      </c>
      <c r="AM7105" t="s">
        <v>53</v>
      </c>
      <c r="AN7105" t="s">
        <v>53</v>
      </c>
      <c r="AO7105" t="s">
        <v>53</v>
      </c>
      <c r="AP7105" t="s">
        <v>53</v>
      </c>
    </row>
    <row r="7106" spans="2:42" x14ac:dyDescent="0.2">
      <c r="B7106" t="s">
        <v>44</v>
      </c>
      <c r="C7106" t="str">
        <f>HYPERLINK("https://us2.cloudbeds.com/connect/8493803454333002#/reservations/170843508854994?display=3MFM9KWJ6T&amp;reservation_id=170843508854994", "3MFM9KWJ6T")</f>
        <v>3MFM9KWJ6T</v>
      </c>
      <c r="D7106" t="s">
        <v>45</v>
      </c>
      <c r="E7106" t="s">
        <v>223</v>
      </c>
      <c r="F7106" t="s">
        <v>47</v>
      </c>
      <c r="G7106" t="s">
        <v>3974</v>
      </c>
      <c r="H7106" t="s">
        <v>3957</v>
      </c>
      <c r="I7106" t="s">
        <v>3975</v>
      </c>
      <c r="J7106" t="s">
        <v>12777</v>
      </c>
      <c r="K7106" t="s">
        <v>11276</v>
      </c>
      <c r="L7106" t="s">
        <v>53</v>
      </c>
      <c r="P7106" t="s">
        <v>55</v>
      </c>
      <c r="R7106" t="s">
        <v>56</v>
      </c>
      <c r="T7106" t="s">
        <v>12834</v>
      </c>
      <c r="U7106" t="s">
        <v>58</v>
      </c>
      <c r="V7106">
        <v>3</v>
      </c>
      <c r="W7106">
        <v>1</v>
      </c>
      <c r="X7106">
        <v>1</v>
      </c>
      <c r="Y7106">
        <v>0</v>
      </c>
      <c r="Z7106">
        <v>1</v>
      </c>
      <c r="AA7106">
        <v>305.55</v>
      </c>
      <c r="AB7106">
        <v>473.99</v>
      </c>
      <c r="AC7106">
        <v>268.85000000000002</v>
      </c>
      <c r="AD7106">
        <v>4</v>
      </c>
      <c r="AE7106">
        <v>37.04</v>
      </c>
      <c r="AF7106">
        <v>0</v>
      </c>
      <c r="AG7106">
        <v>0</v>
      </c>
      <c r="AH7106">
        <v>0</v>
      </c>
      <c r="AI7106">
        <v>0</v>
      </c>
      <c r="AJ7106">
        <v>309.89</v>
      </c>
      <c r="AK7106">
        <v>0</v>
      </c>
      <c r="AL7106" t="s">
        <v>53</v>
      </c>
      <c r="AM7106" t="s">
        <v>53</v>
      </c>
      <c r="AN7106" t="s">
        <v>53</v>
      </c>
      <c r="AO7106" t="s">
        <v>53</v>
      </c>
      <c r="AP7106" t="s">
        <v>53</v>
      </c>
    </row>
    <row r="7107" spans="2:42" x14ac:dyDescent="0.2">
      <c r="B7107" t="s">
        <v>44</v>
      </c>
      <c r="C7107" t="str">
        <f>HYPERLINK("https://us2.cloudbeds.com/connect/8493803454333002#/reservations/170839899033804?display=3MFJGD2WHW&amp;reservation_id=170839899033804", "3MFJGD2WHW")</f>
        <v>3MFJGD2WHW</v>
      </c>
      <c r="D7107" t="s">
        <v>45</v>
      </c>
      <c r="E7107" t="s">
        <v>223</v>
      </c>
      <c r="F7107" t="s">
        <v>47</v>
      </c>
      <c r="G7107" t="s">
        <v>3974</v>
      </c>
      <c r="H7107" t="s">
        <v>3957</v>
      </c>
      <c r="I7107" t="s">
        <v>3975</v>
      </c>
      <c r="J7107" t="s">
        <v>12835</v>
      </c>
      <c r="K7107" t="s">
        <v>9130</v>
      </c>
      <c r="L7107" t="s">
        <v>53</v>
      </c>
      <c r="P7107" t="s">
        <v>55</v>
      </c>
      <c r="R7107" t="s">
        <v>118</v>
      </c>
      <c r="T7107" t="s">
        <v>12836</v>
      </c>
      <c r="U7107" t="s">
        <v>58</v>
      </c>
      <c r="V7107">
        <v>1</v>
      </c>
      <c r="W7107">
        <v>1</v>
      </c>
      <c r="X7107">
        <v>2</v>
      </c>
      <c r="Y7107">
        <v>0</v>
      </c>
      <c r="Z7107">
        <v>2</v>
      </c>
      <c r="AA7107">
        <v>91.78</v>
      </c>
      <c r="AB7107">
        <v>91.78</v>
      </c>
      <c r="AC7107">
        <v>80.75</v>
      </c>
      <c r="AD7107">
        <v>0</v>
      </c>
      <c r="AE7107">
        <v>11.83</v>
      </c>
      <c r="AF7107">
        <v>0</v>
      </c>
      <c r="AG7107">
        <v>0</v>
      </c>
      <c r="AH7107">
        <v>0</v>
      </c>
      <c r="AI7107">
        <v>0</v>
      </c>
      <c r="AJ7107">
        <v>92.58</v>
      </c>
      <c r="AK7107">
        <v>0.8</v>
      </c>
      <c r="AL7107" t="s">
        <v>53</v>
      </c>
      <c r="AM7107" t="s">
        <v>53</v>
      </c>
      <c r="AN7107" t="s">
        <v>53</v>
      </c>
      <c r="AO7107" t="s">
        <v>53</v>
      </c>
      <c r="AP7107" t="s">
        <v>53</v>
      </c>
    </row>
    <row r="7108" spans="2:42" x14ac:dyDescent="0.2">
      <c r="B7108" t="s">
        <v>44</v>
      </c>
      <c r="C7108" t="str">
        <f>HYPERLINK("https://us2.cloudbeds.com/connect/8493803454333002#/reservations/9080486847214851?display=3MFQ8PYV90&amp;reservation_id=9080486847214851", "3MFQ8PYV90")</f>
        <v>3MFQ8PYV90</v>
      </c>
      <c r="D7108" t="s">
        <v>45</v>
      </c>
      <c r="E7108" t="s">
        <v>138</v>
      </c>
      <c r="F7108" t="s">
        <v>70</v>
      </c>
      <c r="G7108" t="s">
        <v>48</v>
      </c>
      <c r="H7108" t="s">
        <v>49</v>
      </c>
      <c r="I7108" t="s">
        <v>50</v>
      </c>
      <c r="J7108" t="s">
        <v>10724</v>
      </c>
      <c r="K7108" t="s">
        <v>11370</v>
      </c>
      <c r="L7108" t="s">
        <v>53</v>
      </c>
      <c r="N7108" t="s">
        <v>12837</v>
      </c>
      <c r="P7108" t="s">
        <v>55</v>
      </c>
      <c r="R7108" t="s">
        <v>53</v>
      </c>
      <c r="T7108" t="s">
        <v>12838</v>
      </c>
      <c r="U7108" t="s">
        <v>58</v>
      </c>
      <c r="V7108">
        <v>1</v>
      </c>
      <c r="W7108">
        <v>1</v>
      </c>
      <c r="X7108">
        <v>2</v>
      </c>
      <c r="Y7108">
        <v>0</v>
      </c>
      <c r="Z7108">
        <v>2</v>
      </c>
      <c r="AA7108">
        <v>69.89</v>
      </c>
      <c r="AB7108">
        <v>69.89</v>
      </c>
      <c r="AC7108">
        <v>61.5</v>
      </c>
      <c r="AD7108">
        <v>0</v>
      </c>
      <c r="AE7108">
        <v>8.39</v>
      </c>
      <c r="AF7108">
        <v>0</v>
      </c>
      <c r="AG7108">
        <v>0</v>
      </c>
      <c r="AH7108">
        <v>0</v>
      </c>
      <c r="AI7108">
        <v>12.58</v>
      </c>
      <c r="AJ7108">
        <v>69.89</v>
      </c>
      <c r="AK7108">
        <v>0</v>
      </c>
      <c r="AL7108" t="s">
        <v>53</v>
      </c>
      <c r="AM7108" t="s">
        <v>53</v>
      </c>
      <c r="AN7108" t="s">
        <v>53</v>
      </c>
      <c r="AO7108" t="s">
        <v>53</v>
      </c>
      <c r="AP7108" t="s">
        <v>53</v>
      </c>
    </row>
    <row r="7109" spans="2:42" x14ac:dyDescent="0.2">
      <c r="B7109" t="s">
        <v>44</v>
      </c>
      <c r="C7109" t="str">
        <f>HYPERLINK("https://us2.cloudbeds.com/connect/8493803454333002#/reservations/9080486847217186?display=3MH14T502F&amp;reservation_id=9080486847217186", "3MH14T502F")</f>
        <v>3MH14T502F</v>
      </c>
      <c r="D7109" t="s">
        <v>45</v>
      </c>
      <c r="E7109" t="s">
        <v>155</v>
      </c>
      <c r="F7109" t="s">
        <v>86</v>
      </c>
      <c r="G7109" t="s">
        <v>48</v>
      </c>
      <c r="H7109" t="s">
        <v>49</v>
      </c>
      <c r="I7109" t="s">
        <v>50</v>
      </c>
      <c r="J7109" t="s">
        <v>11370</v>
      </c>
      <c r="K7109" t="s">
        <v>11998</v>
      </c>
      <c r="L7109" t="s">
        <v>53</v>
      </c>
      <c r="N7109" t="s">
        <v>12839</v>
      </c>
      <c r="P7109" t="s">
        <v>55</v>
      </c>
      <c r="R7109" t="s">
        <v>53</v>
      </c>
      <c r="T7109" t="s">
        <v>12840</v>
      </c>
      <c r="U7109" t="s">
        <v>58</v>
      </c>
      <c r="V7109">
        <v>1</v>
      </c>
      <c r="W7109">
        <v>1</v>
      </c>
      <c r="X7109">
        <v>2</v>
      </c>
      <c r="Y7109">
        <v>0</v>
      </c>
      <c r="Z7109">
        <v>2</v>
      </c>
      <c r="AA7109">
        <v>94.54</v>
      </c>
      <c r="AB7109">
        <v>94.54</v>
      </c>
      <c r="AC7109">
        <v>83.19</v>
      </c>
      <c r="AD7109">
        <v>0</v>
      </c>
      <c r="AE7109">
        <v>11.35</v>
      </c>
      <c r="AF7109">
        <v>0</v>
      </c>
      <c r="AG7109">
        <v>0</v>
      </c>
      <c r="AH7109">
        <v>0</v>
      </c>
      <c r="AI7109">
        <v>17.02</v>
      </c>
      <c r="AJ7109">
        <v>94.54</v>
      </c>
      <c r="AK7109">
        <v>0</v>
      </c>
      <c r="AL7109" t="s">
        <v>53</v>
      </c>
      <c r="AM7109" t="s">
        <v>53</v>
      </c>
      <c r="AN7109" t="s">
        <v>53</v>
      </c>
      <c r="AO7109" t="s">
        <v>53</v>
      </c>
      <c r="AP7109" t="s">
        <v>53</v>
      </c>
    </row>
    <row r="7110" spans="2:42" x14ac:dyDescent="0.2">
      <c r="B7110" t="s">
        <v>44</v>
      </c>
      <c r="C7110" t="str">
        <f>HYPERLINK("https://us2.cloudbeds.com/connect/8493803454333002#/reservations/9080486847217366?display=3MH5KZDDRW&amp;reservation_id=9080486847217366", "3MH5KZDDRW")</f>
        <v>3MH5KZDDRW</v>
      </c>
      <c r="D7110" t="s">
        <v>45</v>
      </c>
      <c r="E7110" t="s">
        <v>69</v>
      </c>
      <c r="F7110" t="s">
        <v>70</v>
      </c>
      <c r="G7110" t="s">
        <v>48</v>
      </c>
      <c r="H7110" t="s">
        <v>49</v>
      </c>
      <c r="I7110" t="s">
        <v>8964</v>
      </c>
      <c r="J7110" t="s">
        <v>10724</v>
      </c>
      <c r="K7110" t="s">
        <v>11370</v>
      </c>
      <c r="L7110" t="s">
        <v>53</v>
      </c>
      <c r="N7110" t="s">
        <v>12841</v>
      </c>
      <c r="P7110" t="s">
        <v>55</v>
      </c>
      <c r="R7110" t="s">
        <v>53</v>
      </c>
      <c r="T7110" t="s">
        <v>12842</v>
      </c>
      <c r="U7110" t="s">
        <v>55</v>
      </c>
      <c r="V7110">
        <v>1</v>
      </c>
      <c r="W7110">
        <v>1</v>
      </c>
      <c r="X7110">
        <v>2</v>
      </c>
      <c r="Y7110">
        <v>0</v>
      </c>
      <c r="Z7110">
        <v>2</v>
      </c>
      <c r="AA7110">
        <v>0</v>
      </c>
      <c r="AB7110">
        <v>0</v>
      </c>
      <c r="AC7110">
        <v>85</v>
      </c>
      <c r="AD7110">
        <v>0</v>
      </c>
      <c r="AE7110">
        <v>0</v>
      </c>
      <c r="AF7110">
        <v>0</v>
      </c>
      <c r="AG7110">
        <v>0</v>
      </c>
      <c r="AH7110">
        <v>0</v>
      </c>
      <c r="AI7110">
        <v>12.75</v>
      </c>
      <c r="AJ7110">
        <v>85</v>
      </c>
      <c r="AK7110">
        <v>85</v>
      </c>
      <c r="AL7110" t="s">
        <v>53</v>
      </c>
      <c r="AM7110" t="s">
        <v>53</v>
      </c>
      <c r="AN7110" t="s">
        <v>53</v>
      </c>
      <c r="AO7110" t="s">
        <v>53</v>
      </c>
      <c r="AP7110" t="s">
        <v>53</v>
      </c>
    </row>
    <row r="7111" spans="2:42" x14ac:dyDescent="0.2">
      <c r="B7111" t="s">
        <v>44</v>
      </c>
      <c r="C7111" t="str">
        <f>HYPERLINK("https://us2.cloudbeds.com/connect/8493803454333002#/reservations/9080486847217515?display=3MHA0ZRDMP&amp;reservation_id=9080486847217515", "3MHA0ZRDMP")</f>
        <v>3MHA0ZRDMP</v>
      </c>
      <c r="D7111" t="s">
        <v>45</v>
      </c>
      <c r="E7111" t="s">
        <v>78</v>
      </c>
      <c r="F7111" t="s">
        <v>61</v>
      </c>
      <c r="G7111" t="s">
        <v>48</v>
      </c>
      <c r="H7111" t="s">
        <v>49</v>
      </c>
      <c r="I7111" t="s">
        <v>50</v>
      </c>
      <c r="J7111" t="s">
        <v>11276</v>
      </c>
      <c r="K7111" t="s">
        <v>11413</v>
      </c>
      <c r="L7111" t="s">
        <v>53</v>
      </c>
      <c r="N7111" t="s">
        <v>12843</v>
      </c>
      <c r="P7111" t="s">
        <v>55</v>
      </c>
      <c r="R7111" t="s">
        <v>53</v>
      </c>
      <c r="T7111" t="s">
        <v>12844</v>
      </c>
      <c r="U7111" t="s">
        <v>58</v>
      </c>
      <c r="V7111">
        <v>1</v>
      </c>
      <c r="W7111">
        <v>1</v>
      </c>
      <c r="X7111">
        <v>2</v>
      </c>
      <c r="Y7111">
        <v>0</v>
      </c>
      <c r="Z7111">
        <v>2</v>
      </c>
      <c r="AA7111">
        <v>70.319999999999993</v>
      </c>
      <c r="AB7111">
        <v>70.319999999999993</v>
      </c>
      <c r="AC7111">
        <v>61.87</v>
      </c>
      <c r="AD7111">
        <v>0</v>
      </c>
      <c r="AE7111">
        <v>8.4499999999999993</v>
      </c>
      <c r="AF7111">
        <v>0</v>
      </c>
      <c r="AG7111">
        <v>0</v>
      </c>
      <c r="AH7111">
        <v>0</v>
      </c>
      <c r="AI7111">
        <v>12.66</v>
      </c>
      <c r="AJ7111">
        <v>70.319999999999993</v>
      </c>
      <c r="AK7111">
        <v>0</v>
      </c>
      <c r="AL7111" t="s">
        <v>53</v>
      </c>
      <c r="AM7111" t="s">
        <v>53</v>
      </c>
      <c r="AN7111" t="s">
        <v>12845</v>
      </c>
      <c r="AO7111" t="s">
        <v>53</v>
      </c>
      <c r="AP7111" t="s">
        <v>53</v>
      </c>
    </row>
    <row r="7112" spans="2:42" x14ac:dyDescent="0.2">
      <c r="B7112" t="s">
        <v>44</v>
      </c>
      <c r="C7112" t="str">
        <f>HYPERLINK("https://us2.cloudbeds.com/connect/8493803454333002#/reservations/9080486847218500?display=3MXC17ZDCZ&amp;reservation_id=9080486847218500", "3MXC17ZDCZ")</f>
        <v>3MXC17ZDCZ</v>
      </c>
      <c r="D7112" t="s">
        <v>45</v>
      </c>
      <c r="E7112" t="s">
        <v>110</v>
      </c>
      <c r="F7112" t="s">
        <v>47</v>
      </c>
      <c r="G7112" t="s">
        <v>48</v>
      </c>
      <c r="H7112" t="s">
        <v>49</v>
      </c>
      <c r="I7112" t="s">
        <v>50</v>
      </c>
      <c r="J7112" t="s">
        <v>10724</v>
      </c>
      <c r="K7112" t="s">
        <v>11370</v>
      </c>
      <c r="L7112" t="s">
        <v>53</v>
      </c>
      <c r="N7112" t="s">
        <v>12846</v>
      </c>
      <c r="P7112" t="s">
        <v>55</v>
      </c>
      <c r="R7112" t="s">
        <v>53</v>
      </c>
      <c r="T7112" t="s">
        <v>12847</v>
      </c>
      <c r="U7112" t="s">
        <v>58</v>
      </c>
      <c r="V7112">
        <v>1</v>
      </c>
      <c r="W7112">
        <v>1</v>
      </c>
      <c r="X7112">
        <v>2</v>
      </c>
      <c r="Y7112">
        <v>0</v>
      </c>
      <c r="Z7112">
        <v>2</v>
      </c>
      <c r="AA7112">
        <v>81.83</v>
      </c>
      <c r="AB7112">
        <v>81.83</v>
      </c>
      <c r="AC7112">
        <v>72</v>
      </c>
      <c r="AD7112">
        <v>0</v>
      </c>
      <c r="AE7112">
        <v>9.83</v>
      </c>
      <c r="AF7112">
        <v>0</v>
      </c>
      <c r="AG7112">
        <v>0</v>
      </c>
      <c r="AH7112">
        <v>0</v>
      </c>
      <c r="AI7112">
        <v>14.73</v>
      </c>
      <c r="AJ7112">
        <v>81.83</v>
      </c>
      <c r="AK7112">
        <v>0</v>
      </c>
      <c r="AL7112" t="s">
        <v>53</v>
      </c>
      <c r="AM7112" t="s">
        <v>53</v>
      </c>
      <c r="AN7112" t="s">
        <v>53</v>
      </c>
      <c r="AO7112" t="s">
        <v>53</v>
      </c>
      <c r="AP7112" t="s">
        <v>53</v>
      </c>
    </row>
    <row r="7113" spans="2:42" x14ac:dyDescent="0.2">
      <c r="B7113" t="s">
        <v>44</v>
      </c>
      <c r="C7113" t="str">
        <f>HYPERLINK("https://us2.cloudbeds.com/connect/8493803454333002#/reservations/9080486847218575?display=3MXFHKGPM5&amp;reservation_id=9080486847218575", "3MXFHKGPM5")</f>
        <v>3MXFHKGPM5</v>
      </c>
      <c r="D7113" t="s">
        <v>45</v>
      </c>
      <c r="E7113" t="s">
        <v>113</v>
      </c>
      <c r="F7113" t="s">
        <v>61</v>
      </c>
      <c r="G7113" t="s">
        <v>48</v>
      </c>
      <c r="H7113" t="s">
        <v>49</v>
      </c>
      <c r="I7113" t="s">
        <v>50</v>
      </c>
      <c r="J7113" t="s">
        <v>10724</v>
      </c>
      <c r="K7113" t="s">
        <v>11998</v>
      </c>
      <c r="L7113" t="s">
        <v>53</v>
      </c>
      <c r="N7113" t="s">
        <v>12848</v>
      </c>
      <c r="P7113" t="s">
        <v>55</v>
      </c>
      <c r="R7113" t="s">
        <v>53</v>
      </c>
      <c r="T7113" t="s">
        <v>12849</v>
      </c>
      <c r="U7113" t="s">
        <v>58</v>
      </c>
      <c r="V7113">
        <v>2</v>
      </c>
      <c r="W7113">
        <v>1</v>
      </c>
      <c r="X7113">
        <v>2</v>
      </c>
      <c r="Y7113">
        <v>0</v>
      </c>
      <c r="Z7113">
        <v>2</v>
      </c>
      <c r="AA7113">
        <v>188.39</v>
      </c>
      <c r="AB7113">
        <v>188.39</v>
      </c>
      <c r="AC7113">
        <v>165.75</v>
      </c>
      <c r="AD7113">
        <v>0</v>
      </c>
      <c r="AE7113">
        <v>22.64</v>
      </c>
      <c r="AF7113">
        <v>0</v>
      </c>
      <c r="AG7113">
        <v>0</v>
      </c>
      <c r="AH7113">
        <v>0</v>
      </c>
      <c r="AI7113">
        <v>33.909999999999997</v>
      </c>
      <c r="AJ7113">
        <v>188.39</v>
      </c>
      <c r="AK7113">
        <v>0</v>
      </c>
      <c r="AL7113" t="s">
        <v>53</v>
      </c>
      <c r="AM7113" t="s">
        <v>53</v>
      </c>
      <c r="AN7113" t="s">
        <v>53</v>
      </c>
      <c r="AO7113" t="s">
        <v>53</v>
      </c>
      <c r="AP7113" t="s">
        <v>53</v>
      </c>
    </row>
    <row r="7114" spans="2:42" x14ac:dyDescent="0.2">
      <c r="B7114" t="s">
        <v>44</v>
      </c>
      <c r="C7114" t="str">
        <f>HYPERLINK("https://us2.cloudbeds.com/connect/8493803454333002#/reservations/9080486847219122?display=3MJ4HZTFGX&amp;reservation_id=9080486847219122", "3MJ4HZTFGX")</f>
        <v>3MJ4HZTFGX</v>
      </c>
      <c r="D7114" t="s">
        <v>45</v>
      </c>
      <c r="E7114" t="s">
        <v>92</v>
      </c>
      <c r="F7114" t="s">
        <v>86</v>
      </c>
      <c r="G7114" t="s">
        <v>48</v>
      </c>
      <c r="H7114" t="s">
        <v>49</v>
      </c>
      <c r="I7114" t="s">
        <v>50</v>
      </c>
      <c r="J7114" t="s">
        <v>12850</v>
      </c>
      <c r="K7114" t="s">
        <v>11413</v>
      </c>
      <c r="L7114" t="s">
        <v>53</v>
      </c>
      <c r="N7114" t="s">
        <v>12851</v>
      </c>
      <c r="P7114" t="s">
        <v>55</v>
      </c>
      <c r="R7114" t="s">
        <v>53</v>
      </c>
      <c r="T7114" t="s">
        <v>12852</v>
      </c>
      <c r="U7114" t="s">
        <v>58</v>
      </c>
      <c r="V7114">
        <v>5</v>
      </c>
      <c r="W7114">
        <v>1</v>
      </c>
      <c r="X7114">
        <v>3</v>
      </c>
      <c r="Y7114">
        <v>0</v>
      </c>
      <c r="Z7114">
        <v>3</v>
      </c>
      <c r="AA7114">
        <v>450.02</v>
      </c>
      <c r="AB7114">
        <v>450.02</v>
      </c>
      <c r="AC7114">
        <v>395.99</v>
      </c>
      <c r="AD7114">
        <v>0</v>
      </c>
      <c r="AE7114">
        <v>54.03</v>
      </c>
      <c r="AF7114">
        <v>0</v>
      </c>
      <c r="AG7114">
        <v>0</v>
      </c>
      <c r="AH7114">
        <v>0</v>
      </c>
      <c r="AI7114">
        <v>81</v>
      </c>
      <c r="AJ7114">
        <v>450.02</v>
      </c>
      <c r="AK7114">
        <v>0</v>
      </c>
      <c r="AL7114" t="s">
        <v>53</v>
      </c>
      <c r="AM7114" t="s">
        <v>53</v>
      </c>
      <c r="AN7114" t="s">
        <v>53</v>
      </c>
      <c r="AO7114" t="s">
        <v>53</v>
      </c>
      <c r="AP7114" t="s">
        <v>53</v>
      </c>
    </row>
    <row r="7115" spans="2:42" x14ac:dyDescent="0.2">
      <c r="B7115" t="s">
        <v>44</v>
      </c>
      <c r="C7115" t="str">
        <f>HYPERLINK("https://us2.cloudbeds.com/connect/8493803454333002#/reservations/9080486847225215?display=3MPTK021EY&amp;reservation_id=9080486847225215", "3MPTK021EY")</f>
        <v>3MPTK021EY</v>
      </c>
      <c r="D7115" t="s">
        <v>45</v>
      </c>
      <c r="E7115" t="s">
        <v>46</v>
      </c>
      <c r="F7115" t="s">
        <v>47</v>
      </c>
      <c r="G7115" t="s">
        <v>48</v>
      </c>
      <c r="H7115" t="s">
        <v>49</v>
      </c>
      <c r="I7115" t="s">
        <v>62</v>
      </c>
      <c r="J7115" t="s">
        <v>12777</v>
      </c>
      <c r="K7115" t="s">
        <v>11276</v>
      </c>
      <c r="L7115" t="s">
        <v>53</v>
      </c>
      <c r="N7115" t="s">
        <v>12853</v>
      </c>
      <c r="P7115" t="s">
        <v>55</v>
      </c>
      <c r="R7115" t="s">
        <v>56</v>
      </c>
      <c r="T7115" t="s">
        <v>12854</v>
      </c>
      <c r="U7115" t="s">
        <v>55</v>
      </c>
      <c r="V7115">
        <v>3</v>
      </c>
      <c r="W7115">
        <v>1</v>
      </c>
      <c r="X7115">
        <v>2</v>
      </c>
      <c r="Y7115">
        <v>0</v>
      </c>
      <c r="Z7115">
        <v>2</v>
      </c>
      <c r="AA7115">
        <v>266</v>
      </c>
      <c r="AB7115">
        <v>266</v>
      </c>
      <c r="AC7115">
        <v>266</v>
      </c>
      <c r="AD7115">
        <v>0</v>
      </c>
      <c r="AE7115">
        <v>0</v>
      </c>
      <c r="AF7115">
        <v>0</v>
      </c>
      <c r="AG7115">
        <v>0</v>
      </c>
      <c r="AH7115">
        <v>0</v>
      </c>
      <c r="AI7115">
        <v>47.88</v>
      </c>
      <c r="AJ7115">
        <v>266</v>
      </c>
      <c r="AK7115">
        <v>0</v>
      </c>
      <c r="AL7115" t="s">
        <v>53</v>
      </c>
      <c r="AM7115" t="s">
        <v>53</v>
      </c>
      <c r="AN7115" t="s">
        <v>53</v>
      </c>
      <c r="AO7115" t="s">
        <v>53</v>
      </c>
      <c r="AP7115" t="s">
        <v>53</v>
      </c>
    </row>
    <row r="7116" spans="2:42" x14ac:dyDescent="0.2">
      <c r="B7116" t="s">
        <v>44</v>
      </c>
      <c r="C7116" t="str">
        <f>HYPERLINK("https://us2.cloudbeds.com/connect/8493803454333002#/reservations/9080486847225833?display=3MQM5WFYCB&amp;reservation_id=9080486847225833", "3MQM5WFYCB")</f>
        <v>3MQM5WFYCB</v>
      </c>
      <c r="D7116" t="s">
        <v>45</v>
      </c>
      <c r="E7116" t="s">
        <v>78</v>
      </c>
      <c r="F7116" t="s">
        <v>61</v>
      </c>
      <c r="G7116" t="s">
        <v>48</v>
      </c>
      <c r="H7116" t="s">
        <v>49</v>
      </c>
      <c r="I7116" t="s">
        <v>50</v>
      </c>
      <c r="J7116" t="s">
        <v>12777</v>
      </c>
      <c r="K7116" t="s">
        <v>11275</v>
      </c>
      <c r="L7116" t="s">
        <v>53</v>
      </c>
      <c r="N7116" t="s">
        <v>12855</v>
      </c>
      <c r="P7116" t="s">
        <v>55</v>
      </c>
      <c r="R7116" t="s">
        <v>53</v>
      </c>
      <c r="T7116" t="s">
        <v>12856</v>
      </c>
      <c r="U7116" t="s">
        <v>58</v>
      </c>
      <c r="V7116">
        <v>1</v>
      </c>
      <c r="W7116">
        <v>1</v>
      </c>
      <c r="X7116">
        <v>1</v>
      </c>
      <c r="Y7116">
        <v>0</v>
      </c>
      <c r="Z7116">
        <v>1</v>
      </c>
      <c r="AA7116">
        <v>65.319999999999993</v>
      </c>
      <c r="AB7116">
        <v>65.319999999999993</v>
      </c>
      <c r="AC7116">
        <v>57.47</v>
      </c>
      <c r="AD7116">
        <v>0</v>
      </c>
      <c r="AE7116">
        <v>7.85</v>
      </c>
      <c r="AF7116">
        <v>0</v>
      </c>
      <c r="AG7116">
        <v>0</v>
      </c>
      <c r="AH7116">
        <v>0</v>
      </c>
      <c r="AI7116">
        <v>11.76</v>
      </c>
      <c r="AJ7116">
        <v>65.319999999999993</v>
      </c>
      <c r="AK7116">
        <v>0</v>
      </c>
      <c r="AL7116" t="s">
        <v>53</v>
      </c>
      <c r="AM7116" t="s">
        <v>53</v>
      </c>
      <c r="AN7116" t="s">
        <v>53</v>
      </c>
      <c r="AO7116" t="s">
        <v>53</v>
      </c>
      <c r="AP7116" t="s">
        <v>53</v>
      </c>
    </row>
    <row r="7117" spans="2:42" x14ac:dyDescent="0.2">
      <c r="B7117" t="s">
        <v>44</v>
      </c>
      <c r="C7117" t="str">
        <f>HYPERLINK("https://us2.cloudbeds.com/connect/8493803454333002#/reservations/9080486847226766?display=3MRSS40DPT&amp;reservation_id=9080486847226766", "3MRSS40DPT")</f>
        <v>3MRSS40DPT</v>
      </c>
      <c r="D7117" t="s">
        <v>45</v>
      </c>
      <c r="E7117" t="s">
        <v>110</v>
      </c>
      <c r="F7117" t="s">
        <v>47</v>
      </c>
      <c r="G7117" t="s">
        <v>48</v>
      </c>
      <c r="H7117" t="s">
        <v>49</v>
      </c>
      <c r="I7117" t="s">
        <v>62</v>
      </c>
      <c r="J7117" t="s">
        <v>11370</v>
      </c>
      <c r="K7117" t="s">
        <v>8866</v>
      </c>
      <c r="L7117" t="s">
        <v>53</v>
      </c>
      <c r="N7117" t="s">
        <v>12857</v>
      </c>
      <c r="P7117" t="s">
        <v>55</v>
      </c>
      <c r="R7117" t="s">
        <v>6556</v>
      </c>
      <c r="T7117" t="s">
        <v>12858</v>
      </c>
      <c r="U7117" t="s">
        <v>55</v>
      </c>
      <c r="V7117">
        <v>2</v>
      </c>
      <c r="W7117">
        <v>1</v>
      </c>
      <c r="X7117">
        <v>1</v>
      </c>
      <c r="Y7117">
        <v>0</v>
      </c>
      <c r="Z7117">
        <v>1</v>
      </c>
      <c r="AA7117">
        <v>209</v>
      </c>
      <c r="AB7117">
        <v>209</v>
      </c>
      <c r="AC7117">
        <v>209</v>
      </c>
      <c r="AD7117">
        <v>0</v>
      </c>
      <c r="AE7117">
        <v>0</v>
      </c>
      <c r="AF7117">
        <v>0</v>
      </c>
      <c r="AG7117">
        <v>0</v>
      </c>
      <c r="AH7117">
        <v>0</v>
      </c>
      <c r="AI7117">
        <v>37.619999999999997</v>
      </c>
      <c r="AJ7117">
        <v>209</v>
      </c>
      <c r="AK7117">
        <v>0</v>
      </c>
      <c r="AL7117" t="s">
        <v>53</v>
      </c>
      <c r="AM7117" t="s">
        <v>53</v>
      </c>
      <c r="AN7117" t="s">
        <v>12859</v>
      </c>
      <c r="AO7117" t="s">
        <v>53</v>
      </c>
      <c r="AP7117" t="s">
        <v>53</v>
      </c>
    </row>
    <row r="7118" spans="2:42" x14ac:dyDescent="0.2">
      <c r="B7118" t="s">
        <v>44</v>
      </c>
      <c r="C7118" t="str">
        <f>HYPERLINK("https://us2.cloudbeds.com/connect/8493803454333002#/reservations/9080486847227463?display=3MSRJXK7T3&amp;reservation_id=9080486847227463", "3MSRJXK7T3")</f>
        <v>3MSRJXK7T3</v>
      </c>
      <c r="D7118" t="s">
        <v>45</v>
      </c>
      <c r="E7118" t="s">
        <v>69</v>
      </c>
      <c r="F7118" t="s">
        <v>70</v>
      </c>
      <c r="G7118" t="s">
        <v>48</v>
      </c>
      <c r="H7118" t="s">
        <v>49</v>
      </c>
      <c r="I7118" t="s">
        <v>50</v>
      </c>
      <c r="J7118" t="s">
        <v>9935</v>
      </c>
      <c r="K7118" t="s">
        <v>9969</v>
      </c>
      <c r="L7118" t="s">
        <v>53</v>
      </c>
      <c r="N7118" t="s">
        <v>12860</v>
      </c>
      <c r="P7118" t="s">
        <v>55</v>
      </c>
      <c r="R7118" t="s">
        <v>53</v>
      </c>
      <c r="T7118" t="s">
        <v>12861</v>
      </c>
      <c r="U7118" t="s">
        <v>58</v>
      </c>
      <c r="V7118">
        <v>2</v>
      </c>
      <c r="W7118">
        <v>1</v>
      </c>
      <c r="X7118">
        <v>2</v>
      </c>
      <c r="Y7118">
        <v>0</v>
      </c>
      <c r="Z7118">
        <v>2</v>
      </c>
      <c r="AA7118">
        <v>147.72</v>
      </c>
      <c r="AB7118">
        <v>147.72</v>
      </c>
      <c r="AC7118">
        <v>129.97</v>
      </c>
      <c r="AD7118">
        <v>0</v>
      </c>
      <c r="AE7118">
        <v>17.75</v>
      </c>
      <c r="AF7118">
        <v>0</v>
      </c>
      <c r="AG7118">
        <v>0</v>
      </c>
      <c r="AH7118">
        <v>0</v>
      </c>
      <c r="AI7118">
        <v>26.59</v>
      </c>
      <c r="AJ7118">
        <v>147.72</v>
      </c>
      <c r="AK7118">
        <v>0</v>
      </c>
      <c r="AL7118" t="s">
        <v>53</v>
      </c>
      <c r="AM7118" t="s">
        <v>53</v>
      </c>
      <c r="AN7118" t="s">
        <v>53</v>
      </c>
      <c r="AO7118" t="s">
        <v>53</v>
      </c>
      <c r="AP7118" t="s">
        <v>53</v>
      </c>
    </row>
    <row r="7119" spans="2:42" x14ac:dyDescent="0.2">
      <c r="B7119" t="s">
        <v>44</v>
      </c>
      <c r="C7119" t="str">
        <f>HYPERLINK("https://us2.cloudbeds.com/connect/8493803454333002#/reservations/9080486847232503?display=3N1841B9G5&amp;reservation_id=9080486847232503", "3N1841B9G5")</f>
        <v>3N1841B9G5</v>
      </c>
      <c r="D7119" t="s">
        <v>45</v>
      </c>
      <c r="E7119" t="s">
        <v>113</v>
      </c>
      <c r="F7119" t="s">
        <v>61</v>
      </c>
      <c r="G7119" t="s">
        <v>48</v>
      </c>
      <c r="H7119" t="s">
        <v>49</v>
      </c>
      <c r="I7119" t="s">
        <v>50</v>
      </c>
      <c r="J7119" t="s">
        <v>12862</v>
      </c>
      <c r="K7119" t="s">
        <v>12863</v>
      </c>
      <c r="L7119" t="s">
        <v>53</v>
      </c>
      <c r="N7119" t="s">
        <v>12864</v>
      </c>
      <c r="P7119" t="s">
        <v>55</v>
      </c>
      <c r="R7119" t="s">
        <v>53</v>
      </c>
      <c r="T7119" t="s">
        <v>12865</v>
      </c>
      <c r="U7119" t="s">
        <v>58</v>
      </c>
      <c r="V7119">
        <v>8</v>
      </c>
      <c r="W7119">
        <v>1</v>
      </c>
      <c r="X7119">
        <v>1</v>
      </c>
      <c r="Y7119">
        <v>0</v>
      </c>
      <c r="Z7119">
        <v>1</v>
      </c>
      <c r="AA7119">
        <v>1161.06</v>
      </c>
      <c r="AB7119">
        <v>1163.8</v>
      </c>
      <c r="AC7119">
        <v>1012.68</v>
      </c>
      <c r="AD7119">
        <v>2.5</v>
      </c>
      <c r="AE7119">
        <v>148.62</v>
      </c>
      <c r="AF7119">
        <v>0</v>
      </c>
      <c r="AG7119">
        <v>0</v>
      </c>
      <c r="AH7119">
        <v>0</v>
      </c>
      <c r="AI7119">
        <v>209.48</v>
      </c>
      <c r="AJ7119">
        <v>1163.8</v>
      </c>
      <c r="AK7119">
        <v>0</v>
      </c>
      <c r="AL7119" t="s">
        <v>53</v>
      </c>
      <c r="AM7119" t="s">
        <v>53</v>
      </c>
      <c r="AN7119" t="s">
        <v>53</v>
      </c>
      <c r="AO7119" t="s">
        <v>53</v>
      </c>
      <c r="AP7119" t="s">
        <v>53</v>
      </c>
    </row>
    <row r="7120" spans="2:42" x14ac:dyDescent="0.2">
      <c r="B7120" t="s">
        <v>44</v>
      </c>
      <c r="C7120" t="str">
        <f>HYPERLINK("https://us2.cloudbeds.com/connect/8493803454333002#/reservations/9080486847232751?display=3N1DE2KDYG&amp;reservation_id=9080486847232751", "3N1DE2KDYG")</f>
        <v>3N1DE2KDYG</v>
      </c>
      <c r="D7120" t="s">
        <v>45</v>
      </c>
      <c r="E7120" t="s">
        <v>78</v>
      </c>
      <c r="F7120" t="s">
        <v>61</v>
      </c>
      <c r="G7120" t="s">
        <v>48</v>
      </c>
      <c r="H7120" t="s">
        <v>49</v>
      </c>
      <c r="I7120" t="s">
        <v>50</v>
      </c>
      <c r="J7120" t="s">
        <v>8866</v>
      </c>
      <c r="K7120" t="s">
        <v>11887</v>
      </c>
      <c r="L7120" t="s">
        <v>53</v>
      </c>
      <c r="N7120" t="s">
        <v>12866</v>
      </c>
      <c r="P7120" t="s">
        <v>55</v>
      </c>
      <c r="R7120" t="s">
        <v>53</v>
      </c>
      <c r="T7120" t="s">
        <v>12867</v>
      </c>
      <c r="U7120" t="s">
        <v>58</v>
      </c>
      <c r="V7120">
        <v>1</v>
      </c>
      <c r="W7120">
        <v>1</v>
      </c>
      <c r="X7120">
        <v>2</v>
      </c>
      <c r="Y7120">
        <v>0</v>
      </c>
      <c r="Z7120">
        <v>2</v>
      </c>
      <c r="AA7120">
        <v>102.35</v>
      </c>
      <c r="AB7120">
        <v>102.35</v>
      </c>
      <c r="AC7120">
        <v>90.06</v>
      </c>
      <c r="AD7120">
        <v>0</v>
      </c>
      <c r="AE7120">
        <v>12.29</v>
      </c>
      <c r="AF7120">
        <v>0</v>
      </c>
      <c r="AG7120">
        <v>0</v>
      </c>
      <c r="AH7120">
        <v>0</v>
      </c>
      <c r="AI7120">
        <v>18.420000000000002</v>
      </c>
      <c r="AJ7120">
        <v>102.35</v>
      </c>
      <c r="AK7120">
        <v>0</v>
      </c>
      <c r="AL7120" t="s">
        <v>53</v>
      </c>
      <c r="AM7120" t="s">
        <v>53</v>
      </c>
      <c r="AN7120" t="s">
        <v>53</v>
      </c>
      <c r="AO7120" t="s">
        <v>53</v>
      </c>
      <c r="AP7120" t="s">
        <v>53</v>
      </c>
    </row>
    <row r="7121" spans="2:42" x14ac:dyDescent="0.2">
      <c r="B7121" t="s">
        <v>44</v>
      </c>
      <c r="C7121" t="str">
        <f>HYPERLINK("https://us2.cloudbeds.com/connect/8493803454333002#/reservations/9080486847233388?display=3N21X443WV&amp;reservation_id=9080486847233388", "3N21X443WV")</f>
        <v>3N21X443WV</v>
      </c>
      <c r="D7121" t="s">
        <v>602</v>
      </c>
      <c r="E7121" t="s">
        <v>53</v>
      </c>
      <c r="F7121" t="s">
        <v>47</v>
      </c>
      <c r="G7121" t="s">
        <v>48</v>
      </c>
      <c r="H7121" t="s">
        <v>49</v>
      </c>
      <c r="I7121" t="s">
        <v>50</v>
      </c>
      <c r="J7121" t="s">
        <v>11998</v>
      </c>
      <c r="K7121" t="s">
        <v>8866</v>
      </c>
      <c r="L7121" t="s">
        <v>53</v>
      </c>
      <c r="N7121" t="s">
        <v>12868</v>
      </c>
      <c r="P7121" t="s">
        <v>55</v>
      </c>
      <c r="R7121" t="s">
        <v>53</v>
      </c>
      <c r="T7121" t="s">
        <v>12869</v>
      </c>
      <c r="U7121" t="s">
        <v>58</v>
      </c>
      <c r="V7121">
        <v>1</v>
      </c>
      <c r="W7121">
        <v>1</v>
      </c>
      <c r="X7121">
        <v>2</v>
      </c>
      <c r="Y7121">
        <v>0</v>
      </c>
      <c r="Z7121">
        <v>2</v>
      </c>
      <c r="AA7121">
        <v>98.88</v>
      </c>
      <c r="AB7121">
        <v>0</v>
      </c>
      <c r="AC7121">
        <v>87</v>
      </c>
      <c r="AD7121">
        <v>0</v>
      </c>
      <c r="AE7121">
        <v>11.88</v>
      </c>
      <c r="AF7121">
        <v>0</v>
      </c>
      <c r="AG7121">
        <v>0</v>
      </c>
      <c r="AH7121">
        <v>0</v>
      </c>
      <c r="AI7121">
        <v>17.8</v>
      </c>
      <c r="AJ7121">
        <v>98.88</v>
      </c>
      <c r="AK7121">
        <v>98.88</v>
      </c>
      <c r="AL7121">
        <v>87</v>
      </c>
      <c r="AM7121">
        <v>98.88</v>
      </c>
      <c r="AN7121" t="s">
        <v>53</v>
      </c>
      <c r="AO7121" t="s">
        <v>53</v>
      </c>
      <c r="AP7121" t="s">
        <v>53</v>
      </c>
    </row>
    <row r="7122" spans="2:42" x14ac:dyDescent="0.2">
      <c r="B7122" t="s">
        <v>44</v>
      </c>
      <c r="C7122" t="str">
        <f>HYPERLINK("https://us2.cloudbeds.com/connect/8493803454333002#/reservations/9080486847233416?display=3N22G608UM&amp;reservation_id=9080486847233416", "3N22G608UM")</f>
        <v>3N22G608UM</v>
      </c>
      <c r="D7122" t="s">
        <v>45</v>
      </c>
      <c r="E7122" t="s">
        <v>179</v>
      </c>
      <c r="F7122" t="s">
        <v>47</v>
      </c>
      <c r="G7122" t="s">
        <v>48</v>
      </c>
      <c r="H7122" t="s">
        <v>49</v>
      </c>
      <c r="I7122" t="s">
        <v>50</v>
      </c>
      <c r="J7122" t="s">
        <v>11956</v>
      </c>
      <c r="K7122" t="s">
        <v>11309</v>
      </c>
      <c r="L7122" t="s">
        <v>53</v>
      </c>
      <c r="N7122" t="s">
        <v>12870</v>
      </c>
      <c r="P7122" t="s">
        <v>55</v>
      </c>
      <c r="R7122" t="s">
        <v>53</v>
      </c>
      <c r="T7122" t="s">
        <v>12871</v>
      </c>
      <c r="U7122" t="s">
        <v>58</v>
      </c>
      <c r="V7122">
        <v>3</v>
      </c>
      <c r="W7122">
        <v>1</v>
      </c>
      <c r="X7122">
        <v>1</v>
      </c>
      <c r="Y7122">
        <v>0</v>
      </c>
      <c r="Z7122">
        <v>1</v>
      </c>
      <c r="AA7122">
        <v>259.04000000000002</v>
      </c>
      <c r="AB7122">
        <v>259.04000000000002</v>
      </c>
      <c r="AC7122">
        <v>227.94</v>
      </c>
      <c r="AD7122">
        <v>0</v>
      </c>
      <c r="AE7122">
        <v>31.1</v>
      </c>
      <c r="AF7122">
        <v>0</v>
      </c>
      <c r="AG7122">
        <v>0</v>
      </c>
      <c r="AH7122">
        <v>0</v>
      </c>
      <c r="AI7122">
        <v>46.63</v>
      </c>
      <c r="AJ7122">
        <v>259.04000000000002</v>
      </c>
      <c r="AK7122">
        <v>0</v>
      </c>
      <c r="AL7122" t="s">
        <v>53</v>
      </c>
      <c r="AM7122" t="s">
        <v>53</v>
      </c>
      <c r="AN7122" t="s">
        <v>53</v>
      </c>
      <c r="AO7122" t="s">
        <v>53</v>
      </c>
      <c r="AP7122" t="s">
        <v>53</v>
      </c>
    </row>
    <row r="7123" spans="2:42" x14ac:dyDescent="0.2">
      <c r="B7123" t="s">
        <v>44</v>
      </c>
      <c r="C7123" t="str">
        <f>HYPERLINK("https://us2.cloudbeds.com/connect/8493803454333002#/reservations/9080486847233417?display=3N22MPRN4D&amp;reservation_id=9080486847233417", "3N22MPRN4D")</f>
        <v>3N22MPRN4D</v>
      </c>
      <c r="D7123" t="s">
        <v>45</v>
      </c>
      <c r="E7123" t="s">
        <v>223</v>
      </c>
      <c r="F7123" t="s">
        <v>47</v>
      </c>
      <c r="G7123" t="s">
        <v>48</v>
      </c>
      <c r="H7123" t="s">
        <v>49</v>
      </c>
      <c r="I7123" t="s">
        <v>50</v>
      </c>
      <c r="J7123" t="s">
        <v>11956</v>
      </c>
      <c r="K7123" t="s">
        <v>11309</v>
      </c>
      <c r="L7123" t="s">
        <v>53</v>
      </c>
      <c r="N7123" t="s">
        <v>12872</v>
      </c>
      <c r="P7123" t="s">
        <v>55</v>
      </c>
      <c r="R7123" t="s">
        <v>53</v>
      </c>
      <c r="T7123" t="s">
        <v>12873</v>
      </c>
      <c r="U7123" t="s">
        <v>58</v>
      </c>
      <c r="V7123">
        <v>3</v>
      </c>
      <c r="W7123">
        <v>1</v>
      </c>
      <c r="X7123">
        <v>2</v>
      </c>
      <c r="Y7123">
        <v>0</v>
      </c>
      <c r="Z7123">
        <v>2</v>
      </c>
      <c r="AA7123">
        <v>259.04000000000002</v>
      </c>
      <c r="AB7123">
        <v>259.04000000000002</v>
      </c>
      <c r="AC7123">
        <v>227.94</v>
      </c>
      <c r="AD7123">
        <v>0</v>
      </c>
      <c r="AE7123">
        <v>31.1</v>
      </c>
      <c r="AF7123">
        <v>0</v>
      </c>
      <c r="AG7123">
        <v>0</v>
      </c>
      <c r="AH7123">
        <v>0</v>
      </c>
      <c r="AI7123">
        <v>46.63</v>
      </c>
      <c r="AJ7123">
        <v>259.04000000000002</v>
      </c>
      <c r="AK7123">
        <v>0</v>
      </c>
      <c r="AL7123" t="s">
        <v>53</v>
      </c>
      <c r="AM7123" t="s">
        <v>53</v>
      </c>
      <c r="AN7123" t="s">
        <v>53</v>
      </c>
      <c r="AO7123" t="s">
        <v>53</v>
      </c>
      <c r="AP7123" t="s">
        <v>53</v>
      </c>
    </row>
    <row r="7124" spans="2:42" x14ac:dyDescent="0.2">
      <c r="B7124" t="s">
        <v>44</v>
      </c>
      <c r="C7124" t="str">
        <f>HYPERLINK("https://us2.cloudbeds.com/connect/8493803454333002#/reservations/9080486847237604?display=3N783MHZ67&amp;reservation_id=9080486847237604", "3N783MHZ67")</f>
        <v>3N783MHZ67</v>
      </c>
      <c r="D7124" t="s">
        <v>45</v>
      </c>
      <c r="E7124" t="s">
        <v>85</v>
      </c>
      <c r="F7124" t="s">
        <v>86</v>
      </c>
      <c r="G7124" t="s">
        <v>48</v>
      </c>
      <c r="H7124" t="s">
        <v>49</v>
      </c>
      <c r="I7124" t="s">
        <v>50</v>
      </c>
      <c r="J7124" t="s">
        <v>11887</v>
      </c>
      <c r="K7124" t="s">
        <v>11378</v>
      </c>
      <c r="L7124" t="s">
        <v>53</v>
      </c>
      <c r="N7124" t="s">
        <v>12874</v>
      </c>
      <c r="P7124" t="s">
        <v>55</v>
      </c>
      <c r="R7124" t="s">
        <v>53</v>
      </c>
      <c r="T7124" t="s">
        <v>12875</v>
      </c>
      <c r="U7124" t="s">
        <v>58</v>
      </c>
      <c r="V7124">
        <v>1</v>
      </c>
      <c r="W7124">
        <v>1</v>
      </c>
      <c r="X7124">
        <v>2</v>
      </c>
      <c r="Y7124">
        <v>0</v>
      </c>
      <c r="Z7124">
        <v>2</v>
      </c>
      <c r="AA7124">
        <v>98.44</v>
      </c>
      <c r="AB7124">
        <v>98.44</v>
      </c>
      <c r="AC7124">
        <v>86.62</v>
      </c>
      <c r="AD7124">
        <v>0</v>
      </c>
      <c r="AE7124">
        <v>11.82</v>
      </c>
      <c r="AF7124">
        <v>0</v>
      </c>
      <c r="AG7124">
        <v>0</v>
      </c>
      <c r="AH7124">
        <v>0</v>
      </c>
      <c r="AI7124">
        <v>17.72</v>
      </c>
      <c r="AJ7124">
        <v>98.44</v>
      </c>
      <c r="AK7124">
        <v>0</v>
      </c>
      <c r="AL7124" t="s">
        <v>53</v>
      </c>
      <c r="AM7124" t="s">
        <v>53</v>
      </c>
      <c r="AN7124" t="s">
        <v>53</v>
      </c>
      <c r="AO7124" t="s">
        <v>53</v>
      </c>
      <c r="AP7124" t="s">
        <v>53</v>
      </c>
    </row>
    <row r="7125" spans="2:42" x14ac:dyDescent="0.2">
      <c r="B7125" t="s">
        <v>44</v>
      </c>
      <c r="C7125" t="str">
        <f>HYPERLINK("https://us2.cloudbeds.com/connect/8493803454333002#/reservations/9080486847237631?display=3N78V1Q9DA&amp;reservation_id=9080486847237631", "3N78V1Q9DA")</f>
        <v>3N78V1Q9DA</v>
      </c>
      <c r="D7125" t="s">
        <v>45</v>
      </c>
      <c r="E7125" t="s">
        <v>128</v>
      </c>
      <c r="F7125" t="s">
        <v>86</v>
      </c>
      <c r="G7125" t="s">
        <v>48</v>
      </c>
      <c r="H7125" t="s">
        <v>49</v>
      </c>
      <c r="I7125" t="s">
        <v>50</v>
      </c>
      <c r="J7125" t="s">
        <v>8866</v>
      </c>
      <c r="K7125" t="s">
        <v>11887</v>
      </c>
      <c r="L7125" t="s">
        <v>53</v>
      </c>
      <c r="N7125" t="s">
        <v>12876</v>
      </c>
      <c r="P7125" t="s">
        <v>55</v>
      </c>
      <c r="R7125" t="s">
        <v>53</v>
      </c>
      <c r="T7125" t="s">
        <v>12877</v>
      </c>
      <c r="U7125" t="s">
        <v>58</v>
      </c>
      <c r="V7125">
        <v>1</v>
      </c>
      <c r="W7125">
        <v>1</v>
      </c>
      <c r="X7125">
        <v>2</v>
      </c>
      <c r="Y7125">
        <v>0</v>
      </c>
      <c r="Z7125">
        <v>2</v>
      </c>
      <c r="AA7125">
        <v>109.97</v>
      </c>
      <c r="AB7125">
        <v>109.97</v>
      </c>
      <c r="AC7125">
        <v>96.75</v>
      </c>
      <c r="AD7125">
        <v>0</v>
      </c>
      <c r="AE7125">
        <v>13.22</v>
      </c>
      <c r="AF7125">
        <v>0</v>
      </c>
      <c r="AG7125">
        <v>0</v>
      </c>
      <c r="AH7125">
        <v>0</v>
      </c>
      <c r="AI7125">
        <v>19.79</v>
      </c>
      <c r="AJ7125">
        <v>109.97</v>
      </c>
      <c r="AK7125">
        <v>0</v>
      </c>
      <c r="AL7125" t="s">
        <v>53</v>
      </c>
      <c r="AM7125" t="s">
        <v>53</v>
      </c>
      <c r="AN7125" t="s">
        <v>53</v>
      </c>
      <c r="AO7125" t="s">
        <v>53</v>
      </c>
      <c r="AP7125" t="s">
        <v>53</v>
      </c>
    </row>
    <row r="7126" spans="2:42" x14ac:dyDescent="0.2">
      <c r="B7126" t="s">
        <v>44</v>
      </c>
      <c r="C7126" t="str">
        <f>HYPERLINK("https://us2.cloudbeds.com/connect/8493803454333002#/reservations/9080486847238519?display=3N7WE2MJ8C&amp;reservation_id=9080486847238519", "3N7WE2MJ8C")</f>
        <v>3N7WE2MJ8C</v>
      </c>
      <c r="D7126" t="s">
        <v>45</v>
      </c>
      <c r="E7126" t="s">
        <v>373</v>
      </c>
      <c r="F7126" t="s">
        <v>47</v>
      </c>
      <c r="G7126" t="s">
        <v>48</v>
      </c>
      <c r="H7126" t="s">
        <v>49</v>
      </c>
      <c r="I7126" t="s">
        <v>50</v>
      </c>
      <c r="J7126" t="s">
        <v>11378</v>
      </c>
      <c r="K7126" t="s">
        <v>11276</v>
      </c>
      <c r="L7126" t="s">
        <v>53</v>
      </c>
      <c r="N7126" t="s">
        <v>12878</v>
      </c>
      <c r="P7126" t="s">
        <v>55</v>
      </c>
      <c r="R7126" t="s">
        <v>53</v>
      </c>
      <c r="T7126" t="s">
        <v>12879</v>
      </c>
      <c r="U7126" t="s">
        <v>58</v>
      </c>
      <c r="V7126">
        <v>7</v>
      </c>
      <c r="W7126">
        <v>1</v>
      </c>
      <c r="X7126">
        <v>1</v>
      </c>
      <c r="Y7126">
        <v>0</v>
      </c>
      <c r="Z7126">
        <v>1</v>
      </c>
      <c r="AA7126">
        <v>397.77</v>
      </c>
      <c r="AB7126">
        <v>397.77</v>
      </c>
      <c r="AC7126">
        <v>349.99</v>
      </c>
      <c r="AD7126">
        <v>0</v>
      </c>
      <c r="AE7126">
        <v>47.78</v>
      </c>
      <c r="AF7126">
        <v>0</v>
      </c>
      <c r="AG7126">
        <v>0</v>
      </c>
      <c r="AH7126">
        <v>0</v>
      </c>
      <c r="AI7126">
        <v>71.599999999999994</v>
      </c>
      <c r="AJ7126">
        <v>397.77</v>
      </c>
      <c r="AK7126">
        <v>0</v>
      </c>
      <c r="AL7126" t="s">
        <v>53</v>
      </c>
      <c r="AM7126" t="s">
        <v>53</v>
      </c>
      <c r="AN7126" t="s">
        <v>53</v>
      </c>
      <c r="AO7126" t="s">
        <v>53</v>
      </c>
      <c r="AP7126" t="s">
        <v>53</v>
      </c>
    </row>
    <row r="7127" spans="2:42" x14ac:dyDescent="0.2">
      <c r="B7127" t="s">
        <v>44</v>
      </c>
      <c r="C7127" t="str">
        <f>HYPERLINK("https://us2.cloudbeds.com/connect/8493803454333002#/reservations/9080486847239072?display=3N8F1CS94A&amp;reservation_id=9080486847239072", "3N8F1CS94A")</f>
        <v>3N8F1CS94A</v>
      </c>
      <c r="D7127" t="s">
        <v>45</v>
      </c>
      <c r="E7127" t="s">
        <v>138</v>
      </c>
      <c r="F7127" t="s">
        <v>70</v>
      </c>
      <c r="G7127" t="s">
        <v>48</v>
      </c>
      <c r="H7127" t="s">
        <v>49</v>
      </c>
      <c r="I7127" t="s">
        <v>50</v>
      </c>
      <c r="J7127" t="s">
        <v>11926</v>
      </c>
      <c r="K7127" t="s">
        <v>11382</v>
      </c>
      <c r="L7127" t="s">
        <v>53</v>
      </c>
      <c r="N7127" t="s">
        <v>12880</v>
      </c>
      <c r="P7127" t="s">
        <v>55</v>
      </c>
      <c r="R7127" t="s">
        <v>53</v>
      </c>
      <c r="T7127" t="s">
        <v>12881</v>
      </c>
      <c r="U7127" t="s">
        <v>58</v>
      </c>
      <c r="V7127">
        <v>1</v>
      </c>
      <c r="W7127">
        <v>1</v>
      </c>
      <c r="X7127">
        <v>2</v>
      </c>
      <c r="Y7127">
        <v>0</v>
      </c>
      <c r="Z7127">
        <v>2</v>
      </c>
      <c r="AA7127">
        <v>86.73</v>
      </c>
      <c r="AB7127">
        <v>86.73</v>
      </c>
      <c r="AC7127">
        <v>76.31</v>
      </c>
      <c r="AD7127">
        <v>0</v>
      </c>
      <c r="AE7127">
        <v>10.42</v>
      </c>
      <c r="AF7127">
        <v>0</v>
      </c>
      <c r="AG7127">
        <v>0</v>
      </c>
      <c r="AH7127">
        <v>0</v>
      </c>
      <c r="AI7127">
        <v>15.61</v>
      </c>
      <c r="AJ7127">
        <v>86.73</v>
      </c>
      <c r="AK7127">
        <v>0</v>
      </c>
      <c r="AL7127" t="s">
        <v>53</v>
      </c>
      <c r="AM7127" t="s">
        <v>53</v>
      </c>
      <c r="AN7127" t="s">
        <v>53</v>
      </c>
      <c r="AO7127" t="s">
        <v>53</v>
      </c>
      <c r="AP7127" t="s">
        <v>53</v>
      </c>
    </row>
    <row r="7128" spans="2:42" x14ac:dyDescent="0.2">
      <c r="B7128" t="s">
        <v>44</v>
      </c>
      <c r="C7128" t="str">
        <f>HYPERLINK("https://us2.cloudbeds.com/connect/8493803454333002#/reservations/9080486847239074?display=3N8F1UXH8S&amp;reservation_id=9080486847239074", "3N8F1UXH8S")</f>
        <v>3N8F1UXH8S</v>
      </c>
      <c r="D7128" t="s">
        <v>45</v>
      </c>
      <c r="E7128" t="s">
        <v>69</v>
      </c>
      <c r="F7128" t="s">
        <v>70</v>
      </c>
      <c r="G7128" t="s">
        <v>48</v>
      </c>
      <c r="H7128" t="s">
        <v>49</v>
      </c>
      <c r="I7128" t="s">
        <v>50</v>
      </c>
      <c r="J7128" t="s">
        <v>11926</v>
      </c>
      <c r="K7128" t="s">
        <v>11382</v>
      </c>
      <c r="L7128" t="s">
        <v>53</v>
      </c>
      <c r="N7128" t="s">
        <v>12882</v>
      </c>
      <c r="P7128" t="s">
        <v>55</v>
      </c>
      <c r="R7128" t="s">
        <v>53</v>
      </c>
      <c r="T7128" t="s">
        <v>12883</v>
      </c>
      <c r="U7128" t="s">
        <v>58</v>
      </c>
      <c r="V7128">
        <v>1</v>
      </c>
      <c r="W7128">
        <v>1</v>
      </c>
      <c r="X7128">
        <v>2</v>
      </c>
      <c r="Y7128">
        <v>0</v>
      </c>
      <c r="Z7128">
        <v>2</v>
      </c>
      <c r="AA7128">
        <v>86.73</v>
      </c>
      <c r="AB7128">
        <v>86.73</v>
      </c>
      <c r="AC7128">
        <v>76.31</v>
      </c>
      <c r="AD7128">
        <v>0</v>
      </c>
      <c r="AE7128">
        <v>10.42</v>
      </c>
      <c r="AF7128">
        <v>0</v>
      </c>
      <c r="AG7128">
        <v>0</v>
      </c>
      <c r="AH7128">
        <v>0</v>
      </c>
      <c r="AI7128">
        <v>15.61</v>
      </c>
      <c r="AJ7128">
        <v>86.73</v>
      </c>
      <c r="AK7128">
        <v>0</v>
      </c>
      <c r="AL7128" t="s">
        <v>53</v>
      </c>
      <c r="AM7128" t="s">
        <v>53</v>
      </c>
      <c r="AN7128" t="s">
        <v>53</v>
      </c>
      <c r="AO7128" t="s">
        <v>53</v>
      </c>
      <c r="AP7128" t="s">
        <v>53</v>
      </c>
    </row>
    <row r="7129" spans="2:42" x14ac:dyDescent="0.2">
      <c r="B7129" t="s">
        <v>44</v>
      </c>
      <c r="C7129" t="str">
        <f>HYPERLINK("https://us2.cloudbeds.com/connect/8493803454333002#/reservations/9080486847239181?display=3N8HXXCED8&amp;reservation_id=9080486847239181", "3N8HXXCED8")</f>
        <v>3N8HXXCED8</v>
      </c>
      <c r="D7129" t="s">
        <v>45</v>
      </c>
      <c r="E7129" t="s">
        <v>46</v>
      </c>
      <c r="F7129" t="s">
        <v>47</v>
      </c>
      <c r="G7129" t="s">
        <v>48</v>
      </c>
      <c r="H7129" t="s">
        <v>49</v>
      </c>
      <c r="I7129" t="s">
        <v>50</v>
      </c>
      <c r="J7129" t="s">
        <v>11887</v>
      </c>
      <c r="K7129" t="s">
        <v>11378</v>
      </c>
      <c r="L7129" t="s">
        <v>53</v>
      </c>
      <c r="N7129" t="s">
        <v>12884</v>
      </c>
      <c r="P7129" t="s">
        <v>55</v>
      </c>
      <c r="R7129" t="s">
        <v>53</v>
      </c>
      <c r="T7129" t="s">
        <v>12885</v>
      </c>
      <c r="U7129" t="s">
        <v>58</v>
      </c>
      <c r="V7129">
        <v>1</v>
      </c>
      <c r="W7129">
        <v>1</v>
      </c>
      <c r="X7129">
        <v>2</v>
      </c>
      <c r="Y7129">
        <v>0</v>
      </c>
      <c r="Z7129">
        <v>2</v>
      </c>
      <c r="AA7129">
        <v>87.51</v>
      </c>
      <c r="AB7129">
        <v>87.51</v>
      </c>
      <c r="AC7129">
        <v>77</v>
      </c>
      <c r="AD7129">
        <v>0</v>
      </c>
      <c r="AE7129">
        <v>10.51</v>
      </c>
      <c r="AF7129">
        <v>0</v>
      </c>
      <c r="AG7129">
        <v>0</v>
      </c>
      <c r="AH7129">
        <v>0</v>
      </c>
      <c r="AI7129">
        <v>15.75</v>
      </c>
      <c r="AJ7129">
        <v>87.51</v>
      </c>
      <c r="AK7129">
        <v>0</v>
      </c>
      <c r="AL7129" t="s">
        <v>53</v>
      </c>
      <c r="AM7129" t="s">
        <v>53</v>
      </c>
      <c r="AN7129" t="s">
        <v>53</v>
      </c>
      <c r="AO7129" t="s">
        <v>53</v>
      </c>
      <c r="AP7129" t="s">
        <v>53</v>
      </c>
    </row>
    <row r="7130" spans="2:42" x14ac:dyDescent="0.2">
      <c r="B7130" t="s">
        <v>44</v>
      </c>
      <c r="C7130" t="str">
        <f>HYPERLINK("https://us2.cloudbeds.com/connect/8493803454333002#/reservations/9080486847239709?display=3N8W9ZJUJ6&amp;reservation_id=9080486847239709", "3N8W9ZJUJ6")</f>
        <v>3N8W9ZJUJ6</v>
      </c>
      <c r="D7130" t="s">
        <v>45</v>
      </c>
      <c r="E7130" t="s">
        <v>69</v>
      </c>
      <c r="F7130" t="s">
        <v>70</v>
      </c>
      <c r="G7130" t="s">
        <v>48</v>
      </c>
      <c r="H7130" t="s">
        <v>49</v>
      </c>
      <c r="I7130" t="s">
        <v>50</v>
      </c>
      <c r="J7130" t="s">
        <v>11412</v>
      </c>
      <c r="K7130" t="s">
        <v>11276</v>
      </c>
      <c r="L7130" t="s">
        <v>53</v>
      </c>
      <c r="N7130" t="s">
        <v>12886</v>
      </c>
      <c r="P7130" t="s">
        <v>55</v>
      </c>
      <c r="R7130" t="s">
        <v>53</v>
      </c>
      <c r="T7130" t="s">
        <v>12887</v>
      </c>
      <c r="U7130" t="s">
        <v>58</v>
      </c>
      <c r="V7130">
        <v>1</v>
      </c>
      <c r="W7130">
        <v>1</v>
      </c>
      <c r="X7130">
        <v>2</v>
      </c>
      <c r="Y7130">
        <v>0</v>
      </c>
      <c r="Z7130">
        <v>2</v>
      </c>
      <c r="AA7130">
        <v>60.86</v>
      </c>
      <c r="AB7130">
        <v>60.86</v>
      </c>
      <c r="AC7130">
        <v>53.56</v>
      </c>
      <c r="AD7130">
        <v>0</v>
      </c>
      <c r="AE7130">
        <v>7.3</v>
      </c>
      <c r="AF7130">
        <v>0</v>
      </c>
      <c r="AG7130">
        <v>0</v>
      </c>
      <c r="AH7130">
        <v>0</v>
      </c>
      <c r="AI7130">
        <v>10.95</v>
      </c>
      <c r="AJ7130">
        <v>60.86</v>
      </c>
      <c r="AK7130">
        <v>0</v>
      </c>
      <c r="AL7130" t="s">
        <v>53</v>
      </c>
      <c r="AM7130" t="s">
        <v>53</v>
      </c>
      <c r="AN7130" t="s">
        <v>53</v>
      </c>
      <c r="AO7130" t="s">
        <v>53</v>
      </c>
      <c r="AP7130" t="s">
        <v>53</v>
      </c>
    </row>
    <row r="7131" spans="2:42" x14ac:dyDescent="0.2">
      <c r="B7131" t="s">
        <v>44</v>
      </c>
      <c r="C7131" t="str">
        <f>HYPERLINK("https://us2.cloudbeds.com/connect/8493803454333002#/reservations/9080486847240237?display=3N9D0E1QXE&amp;reservation_id=9080486847240237", "3N9D0E1QXE")</f>
        <v>3N9D0E1QXE</v>
      </c>
      <c r="D7131" t="s">
        <v>45</v>
      </c>
      <c r="E7131" t="s">
        <v>185</v>
      </c>
      <c r="F7131" t="s">
        <v>47</v>
      </c>
      <c r="G7131" t="s">
        <v>48</v>
      </c>
      <c r="H7131" t="s">
        <v>49</v>
      </c>
      <c r="I7131" t="s">
        <v>50</v>
      </c>
      <c r="J7131" t="s">
        <v>12777</v>
      </c>
      <c r="K7131" t="s">
        <v>11275</v>
      </c>
      <c r="L7131" t="s">
        <v>53</v>
      </c>
      <c r="N7131" t="s">
        <v>12888</v>
      </c>
      <c r="P7131" t="s">
        <v>55</v>
      </c>
      <c r="R7131" t="s">
        <v>53</v>
      </c>
      <c r="T7131" t="s">
        <v>12889</v>
      </c>
      <c r="U7131" t="s">
        <v>58</v>
      </c>
      <c r="V7131">
        <v>1</v>
      </c>
      <c r="W7131">
        <v>1</v>
      </c>
      <c r="X7131">
        <v>1</v>
      </c>
      <c r="Y7131">
        <v>0</v>
      </c>
      <c r="Z7131">
        <v>1</v>
      </c>
      <c r="AA7131">
        <v>58.6</v>
      </c>
      <c r="AB7131">
        <v>58.6</v>
      </c>
      <c r="AC7131">
        <v>51.56</v>
      </c>
      <c r="AD7131">
        <v>0</v>
      </c>
      <c r="AE7131">
        <v>7.04</v>
      </c>
      <c r="AF7131">
        <v>0</v>
      </c>
      <c r="AG7131">
        <v>0</v>
      </c>
      <c r="AH7131">
        <v>0</v>
      </c>
      <c r="AI7131">
        <v>10.55</v>
      </c>
      <c r="AJ7131">
        <v>58.6</v>
      </c>
      <c r="AK7131">
        <v>0</v>
      </c>
      <c r="AL7131" t="s">
        <v>53</v>
      </c>
      <c r="AM7131" t="s">
        <v>53</v>
      </c>
      <c r="AN7131" t="s">
        <v>53</v>
      </c>
      <c r="AO7131" t="s">
        <v>53</v>
      </c>
      <c r="AP7131" t="s">
        <v>53</v>
      </c>
    </row>
    <row r="7132" spans="2:42" x14ac:dyDescent="0.2">
      <c r="B7132" t="s">
        <v>44</v>
      </c>
      <c r="C7132" t="str">
        <f>HYPERLINK("https://us2.cloudbeds.com/connect/8493803454333002#/reservations/9080486847240607?display=3N9NHKSEHV&amp;reservation_id=9080486847240607", "3N9NHKSEHV")</f>
        <v>3N9NHKSEHV</v>
      </c>
      <c r="D7132" t="s">
        <v>45</v>
      </c>
      <c r="E7132" t="s">
        <v>113</v>
      </c>
      <c r="F7132" t="s">
        <v>61</v>
      </c>
      <c r="G7132" t="s">
        <v>48</v>
      </c>
      <c r="H7132" t="s">
        <v>49</v>
      </c>
      <c r="I7132" t="s">
        <v>50</v>
      </c>
      <c r="J7132" t="s">
        <v>8866</v>
      </c>
      <c r="K7132" t="s">
        <v>11887</v>
      </c>
      <c r="L7132" t="s">
        <v>53</v>
      </c>
      <c r="N7132" t="s">
        <v>12890</v>
      </c>
      <c r="P7132" t="s">
        <v>55</v>
      </c>
      <c r="R7132" t="s">
        <v>53</v>
      </c>
      <c r="T7132" t="s">
        <v>12891</v>
      </c>
      <c r="U7132" t="s">
        <v>58</v>
      </c>
      <c r="V7132">
        <v>1</v>
      </c>
      <c r="W7132">
        <v>1</v>
      </c>
      <c r="X7132">
        <v>1</v>
      </c>
      <c r="Y7132">
        <v>0</v>
      </c>
      <c r="Z7132">
        <v>1</v>
      </c>
      <c r="AA7132">
        <v>98.88</v>
      </c>
      <c r="AB7132">
        <v>98.88</v>
      </c>
      <c r="AC7132">
        <v>87</v>
      </c>
      <c r="AD7132">
        <v>0</v>
      </c>
      <c r="AE7132">
        <v>11.88</v>
      </c>
      <c r="AF7132">
        <v>0</v>
      </c>
      <c r="AG7132">
        <v>0</v>
      </c>
      <c r="AH7132">
        <v>0</v>
      </c>
      <c r="AI7132">
        <v>17.8</v>
      </c>
      <c r="AJ7132">
        <v>98.88</v>
      </c>
      <c r="AK7132">
        <v>0</v>
      </c>
      <c r="AL7132" t="s">
        <v>53</v>
      </c>
      <c r="AM7132" t="s">
        <v>53</v>
      </c>
      <c r="AN7132" t="s">
        <v>53</v>
      </c>
      <c r="AO7132" t="s">
        <v>53</v>
      </c>
      <c r="AP7132" t="s">
        <v>53</v>
      </c>
    </row>
    <row r="7133" spans="2:42" x14ac:dyDescent="0.2">
      <c r="B7133" t="s">
        <v>44</v>
      </c>
      <c r="C7133" t="str">
        <f>HYPERLINK("https://us2.cloudbeds.com/connect/8493803454333002#/reservations/9080486847240908?display=3NA099QZZE&amp;reservation_id=9080486847240908", "3NA099QZZE")</f>
        <v>3NA099QZZE</v>
      </c>
      <c r="D7133" t="s">
        <v>45</v>
      </c>
      <c r="E7133" t="s">
        <v>487</v>
      </c>
      <c r="F7133" t="s">
        <v>61</v>
      </c>
      <c r="G7133" t="s">
        <v>48</v>
      </c>
      <c r="H7133" t="s">
        <v>49</v>
      </c>
      <c r="I7133" t="s">
        <v>50</v>
      </c>
      <c r="J7133" t="s">
        <v>8866</v>
      </c>
      <c r="K7133" t="s">
        <v>12258</v>
      </c>
      <c r="L7133" t="s">
        <v>53</v>
      </c>
      <c r="N7133" t="s">
        <v>12892</v>
      </c>
      <c r="P7133" t="s">
        <v>55</v>
      </c>
      <c r="R7133" t="s">
        <v>53</v>
      </c>
      <c r="T7133" t="s">
        <v>12893</v>
      </c>
      <c r="U7133" t="s">
        <v>58</v>
      </c>
      <c r="V7133">
        <v>3</v>
      </c>
      <c r="W7133">
        <v>1</v>
      </c>
      <c r="X7133">
        <v>1</v>
      </c>
      <c r="Y7133">
        <v>0</v>
      </c>
      <c r="Z7133">
        <v>1</v>
      </c>
      <c r="AA7133">
        <v>268.52</v>
      </c>
      <c r="AB7133">
        <v>268.52</v>
      </c>
      <c r="AC7133">
        <v>236.25</v>
      </c>
      <c r="AD7133">
        <v>0</v>
      </c>
      <c r="AE7133">
        <v>32.270000000000003</v>
      </c>
      <c r="AF7133">
        <v>0</v>
      </c>
      <c r="AG7133">
        <v>0</v>
      </c>
      <c r="AH7133">
        <v>0</v>
      </c>
      <c r="AI7133">
        <v>48.33</v>
      </c>
      <c r="AJ7133">
        <v>268.52</v>
      </c>
      <c r="AK7133">
        <v>0</v>
      </c>
      <c r="AL7133" t="s">
        <v>53</v>
      </c>
      <c r="AM7133" t="s">
        <v>53</v>
      </c>
      <c r="AN7133" t="s">
        <v>53</v>
      </c>
      <c r="AO7133" t="s">
        <v>53</v>
      </c>
      <c r="AP7133" t="s">
        <v>53</v>
      </c>
    </row>
    <row r="7134" spans="2:42" x14ac:dyDescent="0.2">
      <c r="B7134" t="s">
        <v>44</v>
      </c>
      <c r="C7134" t="str">
        <f>HYPERLINK("https://us2.cloudbeds.com/connect/8493803454333002#/reservations/9080486847241158?display=3NA9UCATM6&amp;reservation_id=9080486847241158", "3NA9UCATM6")</f>
        <v>3NA9UCATM6</v>
      </c>
      <c r="D7134" t="s">
        <v>45</v>
      </c>
      <c r="E7134" t="s">
        <v>85</v>
      </c>
      <c r="F7134" t="s">
        <v>86</v>
      </c>
      <c r="G7134" t="s">
        <v>48</v>
      </c>
      <c r="H7134" t="s">
        <v>49</v>
      </c>
      <c r="I7134" t="s">
        <v>50</v>
      </c>
      <c r="J7134" t="s">
        <v>8866</v>
      </c>
      <c r="K7134" t="s">
        <v>11887</v>
      </c>
      <c r="L7134" t="s">
        <v>53</v>
      </c>
      <c r="N7134" t="s">
        <v>12894</v>
      </c>
      <c r="P7134" t="s">
        <v>55</v>
      </c>
      <c r="R7134" t="s">
        <v>53</v>
      </c>
      <c r="T7134" t="s">
        <v>12895</v>
      </c>
      <c r="U7134" t="s">
        <v>58</v>
      </c>
      <c r="V7134">
        <v>1</v>
      </c>
      <c r="W7134">
        <v>1</v>
      </c>
      <c r="X7134">
        <v>2</v>
      </c>
      <c r="Y7134">
        <v>0</v>
      </c>
      <c r="Z7134">
        <v>2</v>
      </c>
      <c r="AA7134">
        <v>109.97</v>
      </c>
      <c r="AB7134">
        <v>109.97</v>
      </c>
      <c r="AC7134">
        <v>96.75</v>
      </c>
      <c r="AD7134">
        <v>0</v>
      </c>
      <c r="AE7134">
        <v>13.22</v>
      </c>
      <c r="AF7134">
        <v>0</v>
      </c>
      <c r="AG7134">
        <v>0</v>
      </c>
      <c r="AH7134">
        <v>0</v>
      </c>
      <c r="AI7134">
        <v>19.79</v>
      </c>
      <c r="AJ7134">
        <v>109.97</v>
      </c>
      <c r="AK7134">
        <v>0</v>
      </c>
      <c r="AL7134" t="s">
        <v>53</v>
      </c>
      <c r="AM7134" t="s">
        <v>53</v>
      </c>
      <c r="AN7134" t="s">
        <v>53</v>
      </c>
      <c r="AO7134" t="s">
        <v>53</v>
      </c>
      <c r="AP7134" t="s">
        <v>53</v>
      </c>
    </row>
    <row r="7135" spans="2:42" x14ac:dyDescent="0.2">
      <c r="B7135" t="s">
        <v>44</v>
      </c>
      <c r="C7135" t="str">
        <f>HYPERLINK("https://us2.cloudbeds.com/connect/8493803454333002#/reservations/9080486847241246?display=3NAD1V3661&amp;reservation_id=9080486847241246", "3NAD1V3661")</f>
        <v>3NAD1V3661</v>
      </c>
      <c r="D7135" t="s">
        <v>45</v>
      </c>
      <c r="E7135" t="s">
        <v>98</v>
      </c>
      <c r="F7135" t="s">
        <v>86</v>
      </c>
      <c r="G7135" t="s">
        <v>48</v>
      </c>
      <c r="H7135" t="s">
        <v>49</v>
      </c>
      <c r="I7135" t="s">
        <v>50</v>
      </c>
      <c r="J7135" t="s">
        <v>12777</v>
      </c>
      <c r="K7135" t="s">
        <v>11412</v>
      </c>
      <c r="L7135" t="s">
        <v>53</v>
      </c>
      <c r="N7135" t="s">
        <v>12896</v>
      </c>
      <c r="P7135" t="s">
        <v>55</v>
      </c>
      <c r="R7135" t="s">
        <v>53</v>
      </c>
      <c r="T7135" t="s">
        <v>12897</v>
      </c>
      <c r="U7135" t="s">
        <v>58</v>
      </c>
      <c r="V7135">
        <v>2</v>
      </c>
      <c r="W7135">
        <v>1</v>
      </c>
      <c r="X7135">
        <v>2</v>
      </c>
      <c r="Y7135">
        <v>0</v>
      </c>
      <c r="Z7135">
        <v>2</v>
      </c>
      <c r="AA7135">
        <v>171.1</v>
      </c>
      <c r="AB7135">
        <v>171.1</v>
      </c>
      <c r="AC7135">
        <v>150.56</v>
      </c>
      <c r="AD7135">
        <v>0</v>
      </c>
      <c r="AE7135">
        <v>20.54</v>
      </c>
      <c r="AF7135">
        <v>0</v>
      </c>
      <c r="AG7135">
        <v>0</v>
      </c>
      <c r="AH7135">
        <v>0</v>
      </c>
      <c r="AI7135">
        <v>30.8</v>
      </c>
      <c r="AJ7135">
        <v>171.1</v>
      </c>
      <c r="AK7135">
        <v>0</v>
      </c>
      <c r="AL7135" t="s">
        <v>53</v>
      </c>
      <c r="AM7135" t="s">
        <v>53</v>
      </c>
      <c r="AN7135" t="s">
        <v>53</v>
      </c>
      <c r="AO7135" t="s">
        <v>53</v>
      </c>
      <c r="AP7135" t="s">
        <v>53</v>
      </c>
    </row>
    <row r="7136" spans="2:42" x14ac:dyDescent="0.2">
      <c r="B7136" t="s">
        <v>44</v>
      </c>
      <c r="C7136" t="str">
        <f>HYPERLINK("https://us2.cloudbeds.com/connect/8493803454333002#/reservations/9080486847241928?display=3NB6YUYWUA&amp;reservation_id=9080486847241928", "3NB6YUYWUA")</f>
        <v>3NB6YUYWUA</v>
      </c>
      <c r="D7136" t="s">
        <v>45</v>
      </c>
      <c r="E7136" t="s">
        <v>165</v>
      </c>
      <c r="F7136" t="s">
        <v>61</v>
      </c>
      <c r="G7136" t="s">
        <v>48</v>
      </c>
      <c r="H7136" t="s">
        <v>49</v>
      </c>
      <c r="I7136" t="s">
        <v>50</v>
      </c>
      <c r="J7136" t="s">
        <v>11378</v>
      </c>
      <c r="K7136" t="s">
        <v>12258</v>
      </c>
      <c r="L7136" t="s">
        <v>53</v>
      </c>
      <c r="N7136" t="s">
        <v>12898</v>
      </c>
      <c r="P7136" t="s">
        <v>55</v>
      </c>
      <c r="R7136" t="s">
        <v>53</v>
      </c>
      <c r="T7136" t="s">
        <v>12899</v>
      </c>
      <c r="U7136" t="s">
        <v>58</v>
      </c>
      <c r="V7136">
        <v>1</v>
      </c>
      <c r="W7136">
        <v>1</v>
      </c>
      <c r="X7136">
        <v>2</v>
      </c>
      <c r="Y7136">
        <v>0</v>
      </c>
      <c r="Z7136">
        <v>2</v>
      </c>
      <c r="AA7136">
        <v>67.180000000000007</v>
      </c>
      <c r="AB7136">
        <v>67.180000000000007</v>
      </c>
      <c r="AC7136">
        <v>59.12</v>
      </c>
      <c r="AD7136">
        <v>0</v>
      </c>
      <c r="AE7136">
        <v>8.06</v>
      </c>
      <c r="AF7136">
        <v>0</v>
      </c>
      <c r="AG7136">
        <v>0</v>
      </c>
      <c r="AH7136">
        <v>0</v>
      </c>
      <c r="AI7136">
        <v>12.09</v>
      </c>
      <c r="AJ7136">
        <v>67.180000000000007</v>
      </c>
      <c r="AK7136">
        <v>0</v>
      </c>
      <c r="AL7136" t="s">
        <v>53</v>
      </c>
      <c r="AM7136" t="s">
        <v>53</v>
      </c>
      <c r="AN7136" t="s">
        <v>53</v>
      </c>
      <c r="AO7136" t="s">
        <v>53</v>
      </c>
      <c r="AP7136" t="s">
        <v>53</v>
      </c>
    </row>
    <row r="7137" spans="2:42" x14ac:dyDescent="0.2">
      <c r="B7137" t="s">
        <v>44</v>
      </c>
      <c r="C7137" t="str">
        <f>HYPERLINK("https://us2.cloudbeds.com/connect/8493803454333002#/reservations/9080486847241930?display=3NB6Q48Q1B&amp;reservation_id=9080486847241930", "3NB6Q48Q1B")</f>
        <v>3NB6Q48Q1B</v>
      </c>
      <c r="D7137" t="s">
        <v>45</v>
      </c>
      <c r="E7137" t="s">
        <v>113</v>
      </c>
      <c r="F7137" t="s">
        <v>61</v>
      </c>
      <c r="G7137" t="s">
        <v>48</v>
      </c>
      <c r="H7137" t="s">
        <v>49</v>
      </c>
      <c r="I7137" t="s">
        <v>62</v>
      </c>
      <c r="J7137" t="s">
        <v>11887</v>
      </c>
      <c r="K7137" t="s">
        <v>12850</v>
      </c>
      <c r="L7137" t="s">
        <v>53</v>
      </c>
      <c r="N7137" t="s">
        <v>12900</v>
      </c>
      <c r="P7137" t="s">
        <v>55</v>
      </c>
      <c r="R7137" t="s">
        <v>56</v>
      </c>
      <c r="T7137" t="s">
        <v>12901</v>
      </c>
      <c r="U7137" t="s">
        <v>55</v>
      </c>
      <c r="V7137">
        <v>4</v>
      </c>
      <c r="W7137">
        <v>1</v>
      </c>
      <c r="X7137">
        <v>2</v>
      </c>
      <c r="Y7137">
        <v>0</v>
      </c>
      <c r="Z7137">
        <v>2</v>
      </c>
      <c r="AA7137">
        <v>371</v>
      </c>
      <c r="AB7137">
        <v>371</v>
      </c>
      <c r="AC7137">
        <v>371</v>
      </c>
      <c r="AD7137">
        <v>0</v>
      </c>
      <c r="AE7137">
        <v>0</v>
      </c>
      <c r="AF7137">
        <v>0</v>
      </c>
      <c r="AG7137">
        <v>0</v>
      </c>
      <c r="AH7137">
        <v>0</v>
      </c>
      <c r="AI7137">
        <v>66.78</v>
      </c>
      <c r="AJ7137">
        <v>371</v>
      </c>
      <c r="AK7137">
        <v>0</v>
      </c>
      <c r="AL7137" t="s">
        <v>53</v>
      </c>
      <c r="AM7137" t="s">
        <v>53</v>
      </c>
      <c r="AN7137" t="s">
        <v>53</v>
      </c>
      <c r="AO7137" t="s">
        <v>53</v>
      </c>
      <c r="AP7137" t="s">
        <v>53</v>
      </c>
    </row>
    <row r="7138" spans="2:42" x14ac:dyDescent="0.2">
      <c r="B7138" t="s">
        <v>44</v>
      </c>
      <c r="C7138" t="str">
        <f>HYPERLINK("https://us2.cloudbeds.com/connect/8493803454333002#/reservations/9080486847242072?display=3NBCJU4JFA&amp;reservation_id=9080486847242072", "3NBCJU4JFA")</f>
        <v>3NBCJU4JFA</v>
      </c>
      <c r="D7138" t="s">
        <v>45</v>
      </c>
      <c r="E7138" t="s">
        <v>487</v>
      </c>
      <c r="F7138" t="s">
        <v>61</v>
      </c>
      <c r="G7138" t="s">
        <v>48</v>
      </c>
      <c r="H7138" t="s">
        <v>49</v>
      </c>
      <c r="I7138" t="s">
        <v>62</v>
      </c>
      <c r="J7138" t="s">
        <v>11275</v>
      </c>
      <c r="K7138" t="s">
        <v>12902</v>
      </c>
      <c r="L7138" t="s">
        <v>53</v>
      </c>
      <c r="N7138" t="s">
        <v>12903</v>
      </c>
      <c r="P7138" t="s">
        <v>55</v>
      </c>
      <c r="R7138" t="s">
        <v>56</v>
      </c>
      <c r="T7138" t="s">
        <v>12904</v>
      </c>
      <c r="U7138" t="s">
        <v>55</v>
      </c>
      <c r="V7138">
        <v>4</v>
      </c>
      <c r="W7138">
        <v>1</v>
      </c>
      <c r="X7138">
        <v>2</v>
      </c>
      <c r="Y7138">
        <v>0</v>
      </c>
      <c r="Z7138">
        <v>2</v>
      </c>
      <c r="AA7138">
        <v>373</v>
      </c>
      <c r="AB7138">
        <v>373</v>
      </c>
      <c r="AC7138">
        <v>373</v>
      </c>
      <c r="AD7138">
        <v>0</v>
      </c>
      <c r="AE7138">
        <v>0</v>
      </c>
      <c r="AF7138">
        <v>0</v>
      </c>
      <c r="AG7138">
        <v>0</v>
      </c>
      <c r="AH7138">
        <v>0</v>
      </c>
      <c r="AI7138">
        <v>67.14</v>
      </c>
      <c r="AJ7138">
        <v>373</v>
      </c>
      <c r="AK7138">
        <v>0</v>
      </c>
      <c r="AL7138" t="s">
        <v>53</v>
      </c>
      <c r="AM7138" t="s">
        <v>53</v>
      </c>
      <c r="AN7138" t="s">
        <v>53</v>
      </c>
      <c r="AO7138" t="s">
        <v>53</v>
      </c>
      <c r="AP7138" t="s">
        <v>53</v>
      </c>
    </row>
    <row r="7139" spans="2:42" x14ac:dyDescent="0.2">
      <c r="B7139" t="s">
        <v>44</v>
      </c>
      <c r="C7139" t="str">
        <f>HYPERLINK("https://us2.cloudbeds.com/connect/8493803454333002#/reservations/9080486847242224?display=3NBXZV94T7&amp;reservation_id=9080486847242224", "3NBXZV94T7")</f>
        <v>3NBXZV94T7</v>
      </c>
      <c r="D7139" t="s">
        <v>45</v>
      </c>
      <c r="E7139" t="s">
        <v>110</v>
      </c>
      <c r="F7139" t="s">
        <v>47</v>
      </c>
      <c r="G7139" t="s">
        <v>48</v>
      </c>
      <c r="H7139" t="s">
        <v>49</v>
      </c>
      <c r="I7139" t="s">
        <v>50</v>
      </c>
      <c r="J7139" t="s">
        <v>11378</v>
      </c>
      <c r="K7139" t="s">
        <v>12258</v>
      </c>
      <c r="L7139" t="s">
        <v>53</v>
      </c>
      <c r="N7139" t="s">
        <v>12905</v>
      </c>
      <c r="P7139" t="s">
        <v>55</v>
      </c>
      <c r="R7139" t="s">
        <v>53</v>
      </c>
      <c r="T7139" t="s">
        <v>12906</v>
      </c>
      <c r="U7139" t="s">
        <v>58</v>
      </c>
      <c r="V7139">
        <v>1</v>
      </c>
      <c r="W7139">
        <v>1</v>
      </c>
      <c r="X7139">
        <v>1</v>
      </c>
      <c r="Y7139">
        <v>0</v>
      </c>
      <c r="Z7139">
        <v>1</v>
      </c>
      <c r="AA7139">
        <v>59.39</v>
      </c>
      <c r="AB7139">
        <v>59.39</v>
      </c>
      <c r="AC7139">
        <v>52.25</v>
      </c>
      <c r="AD7139">
        <v>0</v>
      </c>
      <c r="AE7139">
        <v>7.14</v>
      </c>
      <c r="AF7139">
        <v>0</v>
      </c>
      <c r="AG7139">
        <v>0</v>
      </c>
      <c r="AH7139">
        <v>0</v>
      </c>
      <c r="AI7139">
        <v>10.69</v>
      </c>
      <c r="AJ7139">
        <v>59.39</v>
      </c>
      <c r="AK7139">
        <v>0</v>
      </c>
      <c r="AL7139" t="s">
        <v>53</v>
      </c>
      <c r="AM7139" t="s">
        <v>53</v>
      </c>
      <c r="AN7139" t="s">
        <v>53</v>
      </c>
      <c r="AO7139" t="s">
        <v>53</v>
      </c>
      <c r="AP7139" t="s">
        <v>53</v>
      </c>
    </row>
    <row r="7140" spans="2:42" x14ac:dyDescent="0.2">
      <c r="B7140" t="s">
        <v>44</v>
      </c>
      <c r="C7140" t="str">
        <f>HYPERLINK("https://us2.cloudbeds.com/connect/8493803454333002#/reservations/172073704173740?display=3NBHRW8P9G&amp;reservation_id=172073704173740", "3NBHRW8P9G")</f>
        <v>3NBHRW8P9G</v>
      </c>
      <c r="D7140" t="s">
        <v>45</v>
      </c>
      <c r="E7140" t="s">
        <v>185</v>
      </c>
      <c r="F7140" t="s">
        <v>47</v>
      </c>
      <c r="G7140" t="s">
        <v>48</v>
      </c>
      <c r="H7140" t="s">
        <v>3957</v>
      </c>
      <c r="I7140" t="s">
        <v>3975</v>
      </c>
      <c r="J7140" t="s">
        <v>11887</v>
      </c>
      <c r="K7140" t="s">
        <v>11378</v>
      </c>
      <c r="L7140" t="s">
        <v>53</v>
      </c>
      <c r="P7140" t="s">
        <v>55</v>
      </c>
      <c r="R7140" t="s">
        <v>12713</v>
      </c>
      <c r="T7140" t="s">
        <v>12907</v>
      </c>
      <c r="U7140" t="s">
        <v>58</v>
      </c>
      <c r="V7140">
        <v>1</v>
      </c>
      <c r="W7140">
        <v>1</v>
      </c>
      <c r="X7140">
        <v>1</v>
      </c>
      <c r="Y7140">
        <v>0</v>
      </c>
      <c r="Z7140">
        <v>1</v>
      </c>
      <c r="AA7140">
        <v>127.29</v>
      </c>
      <c r="AB7140">
        <v>127.29</v>
      </c>
      <c r="AC7140">
        <v>112</v>
      </c>
      <c r="AD7140">
        <v>0</v>
      </c>
      <c r="AE7140">
        <v>15.29</v>
      </c>
      <c r="AF7140">
        <v>0</v>
      </c>
      <c r="AG7140">
        <v>0</v>
      </c>
      <c r="AH7140">
        <v>0</v>
      </c>
      <c r="AI7140">
        <v>0</v>
      </c>
      <c r="AJ7140">
        <v>127.29</v>
      </c>
      <c r="AK7140">
        <v>0</v>
      </c>
      <c r="AL7140" t="s">
        <v>53</v>
      </c>
      <c r="AM7140" t="s">
        <v>53</v>
      </c>
      <c r="AN7140" t="s">
        <v>53</v>
      </c>
      <c r="AO7140" t="s">
        <v>53</v>
      </c>
      <c r="AP7140" t="s">
        <v>53</v>
      </c>
    </row>
    <row r="7141" spans="2:42" x14ac:dyDescent="0.2">
      <c r="B7141" t="s">
        <v>44</v>
      </c>
      <c r="C7141" t="str">
        <f>HYPERLINK("https://us2.cloudbeds.com/connect/8493803454333002#/reservations/9080486847242440?display=3NBS7PUCU0&amp;reservation_id=9080486847242440", "3NBS7PUCU0")</f>
        <v>3NBS7PUCU0</v>
      </c>
      <c r="D7141" t="s">
        <v>45</v>
      </c>
      <c r="E7141" t="s">
        <v>138</v>
      </c>
      <c r="F7141" t="s">
        <v>70</v>
      </c>
      <c r="G7141" t="s">
        <v>48</v>
      </c>
      <c r="H7141" t="s">
        <v>49</v>
      </c>
      <c r="I7141" t="s">
        <v>50</v>
      </c>
      <c r="J7141" t="s">
        <v>12908</v>
      </c>
      <c r="K7141" t="s">
        <v>9936</v>
      </c>
      <c r="L7141" t="s">
        <v>53</v>
      </c>
      <c r="N7141" t="s">
        <v>12909</v>
      </c>
      <c r="P7141" t="s">
        <v>55</v>
      </c>
      <c r="R7141" t="s">
        <v>53</v>
      </c>
      <c r="T7141" t="s">
        <v>12910</v>
      </c>
      <c r="U7141" t="s">
        <v>58</v>
      </c>
      <c r="V7141">
        <v>2</v>
      </c>
      <c r="W7141">
        <v>1</v>
      </c>
      <c r="X7141">
        <v>2</v>
      </c>
      <c r="Y7141">
        <v>0</v>
      </c>
      <c r="Z7141">
        <v>2</v>
      </c>
      <c r="AA7141">
        <v>132.13</v>
      </c>
      <c r="AB7141">
        <v>132.13</v>
      </c>
      <c r="AC7141">
        <v>116.26</v>
      </c>
      <c r="AD7141">
        <v>0</v>
      </c>
      <c r="AE7141">
        <v>15.87</v>
      </c>
      <c r="AF7141">
        <v>0</v>
      </c>
      <c r="AG7141">
        <v>0</v>
      </c>
      <c r="AH7141">
        <v>0</v>
      </c>
      <c r="AI7141">
        <v>23.78</v>
      </c>
      <c r="AJ7141">
        <v>132.13</v>
      </c>
      <c r="AK7141">
        <v>0</v>
      </c>
      <c r="AL7141" t="s">
        <v>53</v>
      </c>
      <c r="AM7141" t="s">
        <v>53</v>
      </c>
      <c r="AN7141" t="s">
        <v>53</v>
      </c>
      <c r="AO7141" t="s">
        <v>53</v>
      </c>
      <c r="AP7141" t="s">
        <v>53</v>
      </c>
    </row>
    <row r="7142" spans="2:42" x14ac:dyDescent="0.2">
      <c r="B7142" t="s">
        <v>44</v>
      </c>
      <c r="C7142" t="str">
        <f>HYPERLINK("https://us2.cloudbeds.com/connect/8493803454333002#/reservations/9080486847244034?display=3NE60SU4ZM&amp;reservation_id=9080486847244034", "3NE60SU4ZM")</f>
        <v>3NE60SU4ZM</v>
      </c>
      <c r="D7142" t="s">
        <v>45</v>
      </c>
      <c r="E7142" t="s">
        <v>78</v>
      </c>
      <c r="F7142" t="s">
        <v>61</v>
      </c>
      <c r="G7142" t="s">
        <v>48</v>
      </c>
      <c r="H7142" t="s">
        <v>49</v>
      </c>
      <c r="I7142" t="s">
        <v>50</v>
      </c>
      <c r="J7142" t="s">
        <v>11275</v>
      </c>
      <c r="K7142" t="s">
        <v>11412</v>
      </c>
      <c r="L7142" t="s">
        <v>53</v>
      </c>
      <c r="N7142" t="s">
        <v>12911</v>
      </c>
      <c r="P7142" t="s">
        <v>55</v>
      </c>
      <c r="R7142" t="s">
        <v>53</v>
      </c>
      <c r="T7142" t="s">
        <v>12912</v>
      </c>
      <c r="U7142" t="s">
        <v>58</v>
      </c>
      <c r="V7142">
        <v>1</v>
      </c>
      <c r="W7142">
        <v>1</v>
      </c>
      <c r="X7142">
        <v>1</v>
      </c>
      <c r="Y7142">
        <v>0</v>
      </c>
      <c r="Z7142">
        <v>1</v>
      </c>
      <c r="AA7142">
        <v>83.59</v>
      </c>
      <c r="AB7142">
        <v>83.59</v>
      </c>
      <c r="AC7142">
        <v>73.56</v>
      </c>
      <c r="AD7142">
        <v>0</v>
      </c>
      <c r="AE7142">
        <v>10.029999999999999</v>
      </c>
      <c r="AF7142">
        <v>0</v>
      </c>
      <c r="AG7142">
        <v>0</v>
      </c>
      <c r="AH7142">
        <v>0</v>
      </c>
      <c r="AI7142">
        <v>15.05</v>
      </c>
      <c r="AJ7142">
        <v>83.59</v>
      </c>
      <c r="AK7142">
        <v>0</v>
      </c>
      <c r="AL7142" t="s">
        <v>53</v>
      </c>
      <c r="AM7142" t="s">
        <v>53</v>
      </c>
      <c r="AN7142" t="s">
        <v>53</v>
      </c>
      <c r="AO7142" t="s">
        <v>53</v>
      </c>
      <c r="AP7142" t="s">
        <v>53</v>
      </c>
    </row>
    <row r="7143" spans="2:42" x14ac:dyDescent="0.2">
      <c r="B7143" t="s">
        <v>44</v>
      </c>
      <c r="C7143" t="str">
        <f>HYPERLINK("https://us2.cloudbeds.com/connect/8493803454333002#/reservations/172280657658051?display=3NGD33UHPT&amp;reservation_id=172280657658051", "3NGD33UHPT")</f>
        <v>3NGD33UHPT</v>
      </c>
      <c r="D7143" t="s">
        <v>45</v>
      </c>
      <c r="E7143" t="s">
        <v>98</v>
      </c>
      <c r="F7143" t="s">
        <v>86</v>
      </c>
      <c r="G7143" t="s">
        <v>48</v>
      </c>
      <c r="H7143" t="s">
        <v>3957</v>
      </c>
      <c r="I7143" t="s">
        <v>3958</v>
      </c>
      <c r="J7143" t="s">
        <v>11887</v>
      </c>
      <c r="K7143" t="s">
        <v>11378</v>
      </c>
      <c r="L7143" t="s">
        <v>53</v>
      </c>
      <c r="P7143" t="s">
        <v>55</v>
      </c>
      <c r="R7143" t="s">
        <v>56</v>
      </c>
      <c r="T7143" t="s">
        <v>12913</v>
      </c>
      <c r="U7143" t="s">
        <v>58</v>
      </c>
      <c r="V7143">
        <v>1</v>
      </c>
      <c r="W7143">
        <v>1</v>
      </c>
      <c r="X7143">
        <v>1</v>
      </c>
      <c r="Y7143">
        <v>0</v>
      </c>
      <c r="Z7143">
        <v>1</v>
      </c>
      <c r="AA7143">
        <v>151.16</v>
      </c>
      <c r="AB7143">
        <v>151.16</v>
      </c>
      <c r="AC7143">
        <v>133</v>
      </c>
      <c r="AD7143">
        <v>0</v>
      </c>
      <c r="AE7143">
        <v>18.16</v>
      </c>
      <c r="AF7143">
        <v>0</v>
      </c>
      <c r="AG7143">
        <v>0</v>
      </c>
      <c r="AH7143">
        <v>0</v>
      </c>
      <c r="AI7143">
        <v>0</v>
      </c>
      <c r="AJ7143">
        <v>151.16</v>
      </c>
      <c r="AK7143">
        <v>0</v>
      </c>
      <c r="AL7143" t="s">
        <v>53</v>
      </c>
      <c r="AM7143" t="s">
        <v>53</v>
      </c>
      <c r="AN7143" t="s">
        <v>53</v>
      </c>
      <c r="AO7143" t="s">
        <v>53</v>
      </c>
      <c r="AP7143" t="s">
        <v>53</v>
      </c>
    </row>
    <row r="7144" spans="2:42" x14ac:dyDescent="0.2">
      <c r="B7144" t="s">
        <v>44</v>
      </c>
      <c r="C7144" t="str">
        <f>HYPERLINK("https://us2.cloudbeds.com/connect/8493803454333002#/reservations/172339778060535?display=3NHPSPQT9T&amp;reservation_id=172339778060535", "3NHPSPQT9T")</f>
        <v>3NHPSPQT9T</v>
      </c>
      <c r="D7144" t="s">
        <v>45</v>
      </c>
      <c r="E7144" t="s">
        <v>213</v>
      </c>
      <c r="F7144" t="s">
        <v>86</v>
      </c>
      <c r="G7144" t="s">
        <v>4520</v>
      </c>
      <c r="H7144" t="s">
        <v>3957</v>
      </c>
      <c r="I7144" t="s">
        <v>3958</v>
      </c>
      <c r="J7144" t="s">
        <v>11887</v>
      </c>
      <c r="K7144" t="s">
        <v>11378</v>
      </c>
      <c r="L7144" t="s">
        <v>53</v>
      </c>
      <c r="P7144" t="s">
        <v>55</v>
      </c>
      <c r="R7144" t="s">
        <v>56</v>
      </c>
      <c r="T7144" t="s">
        <v>12914</v>
      </c>
      <c r="U7144" t="s">
        <v>58</v>
      </c>
      <c r="V7144">
        <v>1</v>
      </c>
      <c r="W7144">
        <v>1</v>
      </c>
      <c r="X7144">
        <v>1</v>
      </c>
      <c r="Y7144">
        <v>0</v>
      </c>
      <c r="Z7144">
        <v>1</v>
      </c>
      <c r="AA7144">
        <v>136.03</v>
      </c>
      <c r="AB7144">
        <v>136.03</v>
      </c>
      <c r="AC7144">
        <v>119.7</v>
      </c>
      <c r="AD7144">
        <v>0</v>
      </c>
      <c r="AE7144">
        <v>16.329999999999998</v>
      </c>
      <c r="AF7144">
        <v>0</v>
      </c>
      <c r="AG7144">
        <v>0</v>
      </c>
      <c r="AH7144">
        <v>0</v>
      </c>
      <c r="AI7144">
        <v>0</v>
      </c>
      <c r="AJ7144">
        <v>136.03</v>
      </c>
      <c r="AK7144">
        <v>0</v>
      </c>
      <c r="AL7144" t="s">
        <v>53</v>
      </c>
      <c r="AM7144" t="s">
        <v>53</v>
      </c>
      <c r="AN7144" t="s">
        <v>53</v>
      </c>
      <c r="AO7144" t="s">
        <v>53</v>
      </c>
      <c r="AP7144" t="s">
        <v>53</v>
      </c>
    </row>
    <row r="7145" spans="2:42" x14ac:dyDescent="0.2">
      <c r="B7145" t="s">
        <v>44</v>
      </c>
      <c r="C7145" t="str">
        <f>HYPERLINK("https://us2.cloudbeds.com/connect/8493803454333002#/reservations/9080486847247795?display=3NX000R01Q&amp;reservation_id=9080486847247795", "3NX000R01Q")</f>
        <v>3NX000R01Q</v>
      </c>
      <c r="D7145" t="s">
        <v>45</v>
      </c>
      <c r="E7145" t="s">
        <v>190</v>
      </c>
      <c r="F7145" t="s">
        <v>61</v>
      </c>
      <c r="G7145" t="s">
        <v>48</v>
      </c>
      <c r="H7145" t="s">
        <v>49</v>
      </c>
      <c r="I7145" t="s">
        <v>50</v>
      </c>
      <c r="J7145" t="s">
        <v>11275</v>
      </c>
      <c r="K7145" t="s">
        <v>11276</v>
      </c>
      <c r="L7145" t="s">
        <v>53</v>
      </c>
      <c r="N7145" t="s">
        <v>12915</v>
      </c>
      <c r="P7145" t="s">
        <v>55</v>
      </c>
      <c r="R7145" t="s">
        <v>53</v>
      </c>
      <c r="T7145" t="s">
        <v>12916</v>
      </c>
      <c r="U7145" t="s">
        <v>58</v>
      </c>
      <c r="V7145">
        <v>2</v>
      </c>
      <c r="W7145">
        <v>1</v>
      </c>
      <c r="X7145">
        <v>1</v>
      </c>
      <c r="Y7145">
        <v>0</v>
      </c>
      <c r="Z7145">
        <v>1</v>
      </c>
      <c r="AA7145">
        <v>160.16</v>
      </c>
      <c r="AB7145">
        <v>160.16</v>
      </c>
      <c r="AC7145">
        <v>140.93</v>
      </c>
      <c r="AD7145">
        <v>0</v>
      </c>
      <c r="AE7145">
        <v>19.23</v>
      </c>
      <c r="AF7145">
        <v>0</v>
      </c>
      <c r="AG7145">
        <v>0</v>
      </c>
      <c r="AH7145">
        <v>0</v>
      </c>
      <c r="AI7145">
        <v>28.83</v>
      </c>
      <c r="AJ7145">
        <v>160.16</v>
      </c>
      <c r="AK7145">
        <v>0</v>
      </c>
      <c r="AL7145" t="s">
        <v>53</v>
      </c>
      <c r="AM7145" t="s">
        <v>53</v>
      </c>
      <c r="AN7145" t="s">
        <v>53</v>
      </c>
      <c r="AO7145" t="s">
        <v>53</v>
      </c>
      <c r="AP7145" t="s">
        <v>53</v>
      </c>
    </row>
    <row r="7146" spans="2:42" x14ac:dyDescent="0.2">
      <c r="B7146" t="s">
        <v>44</v>
      </c>
      <c r="C7146" t="str">
        <f>HYPERLINK("https://us2.cloudbeds.com/connect/8493803454333002#/reservations/9080486847247969?display=3NX76MB748&amp;reservation_id=9080486847247969", "3NX76MB748")</f>
        <v>3NX76MB748</v>
      </c>
      <c r="D7146" t="s">
        <v>45</v>
      </c>
      <c r="E7146" t="s">
        <v>213</v>
      </c>
      <c r="F7146" t="s">
        <v>86</v>
      </c>
      <c r="G7146" t="s">
        <v>48</v>
      </c>
      <c r="H7146" t="s">
        <v>49</v>
      </c>
      <c r="I7146" t="s">
        <v>50</v>
      </c>
      <c r="J7146" t="s">
        <v>11926</v>
      </c>
      <c r="K7146" t="s">
        <v>11309</v>
      </c>
      <c r="L7146" t="s">
        <v>53</v>
      </c>
      <c r="N7146" t="s">
        <v>12917</v>
      </c>
      <c r="P7146" t="s">
        <v>55</v>
      </c>
      <c r="R7146" t="s">
        <v>53</v>
      </c>
      <c r="T7146" t="s">
        <v>12918</v>
      </c>
      <c r="U7146" t="s">
        <v>58</v>
      </c>
      <c r="V7146">
        <v>2</v>
      </c>
      <c r="W7146">
        <v>1</v>
      </c>
      <c r="X7146">
        <v>2</v>
      </c>
      <c r="Y7146">
        <v>2</v>
      </c>
      <c r="Z7146">
        <v>4</v>
      </c>
      <c r="AA7146">
        <v>198.46</v>
      </c>
      <c r="AB7146">
        <v>198.46</v>
      </c>
      <c r="AC7146">
        <v>174.62</v>
      </c>
      <c r="AD7146">
        <v>0</v>
      </c>
      <c r="AE7146">
        <v>23.84</v>
      </c>
      <c r="AF7146">
        <v>0</v>
      </c>
      <c r="AG7146">
        <v>0</v>
      </c>
      <c r="AH7146">
        <v>0</v>
      </c>
      <c r="AI7146">
        <v>35.72</v>
      </c>
      <c r="AJ7146">
        <v>198.46</v>
      </c>
      <c r="AK7146">
        <v>0</v>
      </c>
      <c r="AL7146" t="s">
        <v>53</v>
      </c>
      <c r="AM7146" t="s">
        <v>53</v>
      </c>
      <c r="AN7146" t="s">
        <v>53</v>
      </c>
      <c r="AO7146" t="s">
        <v>53</v>
      </c>
      <c r="AP7146" t="s">
        <v>53</v>
      </c>
    </row>
    <row r="7147" spans="2:42" x14ac:dyDescent="0.2">
      <c r="B7147" t="s">
        <v>44</v>
      </c>
      <c r="C7147" t="str">
        <f>HYPERLINK("https://us2.cloudbeds.com/connect/8493803454333002#/reservations/9080486847248242?display=3NXXYMC8ES&amp;reservation_id=9080486847248242", "3NXXYMC8ES")</f>
        <v>3NXXYMC8ES</v>
      </c>
      <c r="D7147" t="s">
        <v>45</v>
      </c>
      <c r="E7147" t="s">
        <v>406</v>
      </c>
      <c r="F7147" t="s">
        <v>61</v>
      </c>
      <c r="G7147" t="s">
        <v>48</v>
      </c>
      <c r="H7147" t="s">
        <v>49</v>
      </c>
      <c r="I7147" t="s">
        <v>50</v>
      </c>
      <c r="J7147" t="s">
        <v>11887</v>
      </c>
      <c r="K7147" t="s">
        <v>12258</v>
      </c>
      <c r="L7147" t="s">
        <v>53</v>
      </c>
      <c r="N7147" t="s">
        <v>12919</v>
      </c>
      <c r="P7147" t="s">
        <v>55</v>
      </c>
      <c r="R7147" t="s">
        <v>53</v>
      </c>
      <c r="T7147" t="s">
        <v>12920</v>
      </c>
      <c r="U7147" t="s">
        <v>58</v>
      </c>
      <c r="V7147">
        <v>2</v>
      </c>
      <c r="W7147">
        <v>1</v>
      </c>
      <c r="X7147">
        <v>2</v>
      </c>
      <c r="Y7147">
        <v>0</v>
      </c>
      <c r="Z7147">
        <v>2</v>
      </c>
      <c r="AA7147">
        <v>207.13</v>
      </c>
      <c r="AB7147">
        <v>207.13</v>
      </c>
      <c r="AC7147">
        <v>182.25</v>
      </c>
      <c r="AD7147">
        <v>0</v>
      </c>
      <c r="AE7147">
        <v>24.88</v>
      </c>
      <c r="AF7147">
        <v>0</v>
      </c>
      <c r="AG7147">
        <v>0</v>
      </c>
      <c r="AH7147">
        <v>0</v>
      </c>
      <c r="AI7147">
        <v>37.28</v>
      </c>
      <c r="AJ7147">
        <v>207.13</v>
      </c>
      <c r="AK7147">
        <v>0</v>
      </c>
      <c r="AL7147" t="s">
        <v>53</v>
      </c>
      <c r="AM7147" t="s">
        <v>53</v>
      </c>
      <c r="AN7147" t="s">
        <v>53</v>
      </c>
      <c r="AO7147" t="s">
        <v>53</v>
      </c>
      <c r="AP7147" t="s">
        <v>53</v>
      </c>
    </row>
    <row r="7148" spans="2:42" x14ac:dyDescent="0.2">
      <c r="B7148" t="s">
        <v>44</v>
      </c>
      <c r="C7148" t="str">
        <f>HYPERLINK("https://us2.cloudbeds.com/connect/8493803454333002#/reservations/9080486847248403?display=3NXP52PPT1&amp;reservation_id=9080486847248403", "3NXP52PPT1")</f>
        <v>3NXP52PPT1</v>
      </c>
      <c r="D7148" t="s">
        <v>45</v>
      </c>
      <c r="E7148" t="s">
        <v>128</v>
      </c>
      <c r="F7148" t="s">
        <v>86</v>
      </c>
      <c r="G7148" t="s">
        <v>48</v>
      </c>
      <c r="H7148" t="s">
        <v>49</v>
      </c>
      <c r="I7148" t="s">
        <v>50</v>
      </c>
      <c r="J7148" t="s">
        <v>12144</v>
      </c>
      <c r="K7148" t="s">
        <v>10170</v>
      </c>
      <c r="L7148" t="s">
        <v>53</v>
      </c>
      <c r="N7148" t="s">
        <v>12921</v>
      </c>
      <c r="P7148" t="s">
        <v>55</v>
      </c>
      <c r="R7148" t="s">
        <v>53</v>
      </c>
      <c r="T7148" t="s">
        <v>12922</v>
      </c>
      <c r="U7148" t="s">
        <v>58</v>
      </c>
      <c r="V7148">
        <v>3</v>
      </c>
      <c r="W7148">
        <v>1</v>
      </c>
      <c r="X7148">
        <v>2</v>
      </c>
      <c r="Y7148">
        <v>0</v>
      </c>
      <c r="Z7148">
        <v>2</v>
      </c>
      <c r="AA7148">
        <v>730.58</v>
      </c>
      <c r="AB7148">
        <v>730.58</v>
      </c>
      <c r="AC7148">
        <v>642.80999999999995</v>
      </c>
      <c r="AD7148">
        <v>0</v>
      </c>
      <c r="AE7148">
        <v>87.77</v>
      </c>
      <c r="AF7148">
        <v>0</v>
      </c>
      <c r="AG7148">
        <v>0</v>
      </c>
      <c r="AH7148">
        <v>0</v>
      </c>
      <c r="AI7148">
        <v>131.5</v>
      </c>
      <c r="AJ7148">
        <v>730.58</v>
      </c>
      <c r="AK7148">
        <v>0</v>
      </c>
      <c r="AL7148" t="s">
        <v>53</v>
      </c>
      <c r="AM7148" t="s">
        <v>53</v>
      </c>
      <c r="AN7148" t="s">
        <v>53</v>
      </c>
      <c r="AO7148" t="s">
        <v>53</v>
      </c>
      <c r="AP7148" t="s">
        <v>53</v>
      </c>
    </row>
    <row r="7149" spans="2:42" x14ac:dyDescent="0.2">
      <c r="B7149" t="s">
        <v>44</v>
      </c>
      <c r="C7149" t="str">
        <f>HYPERLINK("https://us2.cloudbeds.com/connect/8493803454333002#/reservations/9080486847248884?display=3NJDMQHRPZ&amp;reservation_id=9080486847248884", "3NJDMQHRPZ")</f>
        <v>3NJDMQHRPZ</v>
      </c>
      <c r="D7149" t="s">
        <v>45</v>
      </c>
      <c r="E7149" t="s">
        <v>110</v>
      </c>
      <c r="F7149" t="s">
        <v>47</v>
      </c>
      <c r="G7149" t="s">
        <v>48</v>
      </c>
      <c r="H7149" t="s">
        <v>49</v>
      </c>
      <c r="I7149" t="s">
        <v>50</v>
      </c>
      <c r="J7149" t="s">
        <v>12424</v>
      </c>
      <c r="K7149" t="s">
        <v>12323</v>
      </c>
      <c r="L7149" t="s">
        <v>53</v>
      </c>
      <c r="N7149" t="s">
        <v>12923</v>
      </c>
      <c r="P7149" t="s">
        <v>55</v>
      </c>
      <c r="R7149" t="s">
        <v>53</v>
      </c>
      <c r="T7149" t="s">
        <v>12924</v>
      </c>
      <c r="U7149" t="s">
        <v>58</v>
      </c>
      <c r="V7149">
        <v>1</v>
      </c>
      <c r="W7149">
        <v>1</v>
      </c>
      <c r="X7149">
        <v>1</v>
      </c>
      <c r="Y7149">
        <v>0</v>
      </c>
      <c r="Z7149">
        <v>1</v>
      </c>
      <c r="AA7149">
        <v>74.23</v>
      </c>
      <c r="AB7149">
        <v>74.23</v>
      </c>
      <c r="AC7149">
        <v>65.31</v>
      </c>
      <c r="AD7149">
        <v>0</v>
      </c>
      <c r="AE7149">
        <v>8.92</v>
      </c>
      <c r="AF7149">
        <v>0</v>
      </c>
      <c r="AG7149">
        <v>0</v>
      </c>
      <c r="AH7149">
        <v>0</v>
      </c>
      <c r="AI7149">
        <v>13.36</v>
      </c>
      <c r="AJ7149">
        <v>74.23</v>
      </c>
      <c r="AK7149">
        <v>0</v>
      </c>
      <c r="AL7149" t="s">
        <v>53</v>
      </c>
      <c r="AM7149" t="s">
        <v>53</v>
      </c>
      <c r="AN7149" t="s">
        <v>53</v>
      </c>
      <c r="AO7149" t="s">
        <v>53</v>
      </c>
      <c r="AP7149" t="s">
        <v>53</v>
      </c>
    </row>
    <row r="7150" spans="2:42" x14ac:dyDescent="0.2">
      <c r="B7150" t="s">
        <v>44</v>
      </c>
      <c r="C7150" t="str">
        <f>HYPERLINK("https://us2.cloudbeds.com/connect/8493803454333002#/reservations/9080486847249134?display=3NJNTU2J8Z&amp;reservation_id=9080486847249134", "3NJNTU2J8Z")</f>
        <v>3NJNTU2J8Z</v>
      </c>
      <c r="D7150" t="s">
        <v>45</v>
      </c>
      <c r="E7150" t="s">
        <v>165</v>
      </c>
      <c r="F7150" t="s">
        <v>61</v>
      </c>
      <c r="G7150" t="s">
        <v>48</v>
      </c>
      <c r="H7150" t="s">
        <v>49</v>
      </c>
      <c r="I7150" t="s">
        <v>50</v>
      </c>
      <c r="J7150" t="s">
        <v>9579</v>
      </c>
      <c r="K7150" t="s">
        <v>9580</v>
      </c>
      <c r="L7150" t="s">
        <v>53</v>
      </c>
      <c r="N7150" t="s">
        <v>12925</v>
      </c>
      <c r="P7150" t="s">
        <v>55</v>
      </c>
      <c r="R7150" t="s">
        <v>53</v>
      </c>
      <c r="T7150" t="s">
        <v>12926</v>
      </c>
      <c r="U7150" t="s">
        <v>58</v>
      </c>
      <c r="V7150">
        <v>2</v>
      </c>
      <c r="W7150">
        <v>1</v>
      </c>
      <c r="X7150">
        <v>2</v>
      </c>
      <c r="Y7150">
        <v>0</v>
      </c>
      <c r="Z7150">
        <v>2</v>
      </c>
      <c r="AA7150">
        <v>167.21</v>
      </c>
      <c r="AB7150">
        <v>168.67</v>
      </c>
      <c r="AC7150">
        <v>147.12</v>
      </c>
      <c r="AD7150">
        <v>0</v>
      </c>
      <c r="AE7150">
        <v>21.55</v>
      </c>
      <c r="AF7150">
        <v>0</v>
      </c>
      <c r="AG7150">
        <v>0</v>
      </c>
      <c r="AH7150">
        <v>0</v>
      </c>
      <c r="AI7150">
        <v>30.36</v>
      </c>
      <c r="AJ7150">
        <v>168.67</v>
      </c>
      <c r="AK7150">
        <v>0</v>
      </c>
      <c r="AL7150" t="s">
        <v>53</v>
      </c>
      <c r="AM7150" t="s">
        <v>53</v>
      </c>
      <c r="AN7150" t="s">
        <v>53</v>
      </c>
      <c r="AO7150" t="s">
        <v>53</v>
      </c>
      <c r="AP7150" t="s">
        <v>53</v>
      </c>
    </row>
    <row r="7151" spans="2:42" x14ac:dyDescent="0.2">
      <c r="B7151" t="s">
        <v>44</v>
      </c>
      <c r="C7151" t="str">
        <f>HYPERLINK("https://us2.cloudbeds.com/connect/8493803454333002#/reservations/9080486847249345?display=3NK1YXKN2V&amp;reservation_id=9080486847249345", "3NK1YXKN2V")</f>
        <v>3NK1YXKN2V</v>
      </c>
      <c r="D7151" t="s">
        <v>45</v>
      </c>
      <c r="E7151" t="s">
        <v>406</v>
      </c>
      <c r="F7151" t="s">
        <v>61</v>
      </c>
      <c r="G7151" t="s">
        <v>48</v>
      </c>
      <c r="H7151" t="s">
        <v>49</v>
      </c>
      <c r="I7151" t="s">
        <v>50</v>
      </c>
      <c r="J7151" t="s">
        <v>12258</v>
      </c>
      <c r="K7151" t="s">
        <v>12850</v>
      </c>
      <c r="L7151" t="s">
        <v>53</v>
      </c>
      <c r="N7151" t="s">
        <v>12927</v>
      </c>
      <c r="P7151" t="s">
        <v>55</v>
      </c>
      <c r="R7151" t="s">
        <v>53</v>
      </c>
      <c r="T7151" t="s">
        <v>12928</v>
      </c>
      <c r="U7151" t="s">
        <v>58</v>
      </c>
      <c r="V7151">
        <v>2</v>
      </c>
      <c r="W7151">
        <v>1</v>
      </c>
      <c r="X7151">
        <v>2</v>
      </c>
      <c r="Y7151">
        <v>0</v>
      </c>
      <c r="Z7151">
        <v>2</v>
      </c>
      <c r="AA7151">
        <v>134.36000000000001</v>
      </c>
      <c r="AB7151">
        <v>134.36000000000001</v>
      </c>
      <c r="AC7151">
        <v>118.24</v>
      </c>
      <c r="AD7151">
        <v>0</v>
      </c>
      <c r="AE7151">
        <v>16.12</v>
      </c>
      <c r="AF7151">
        <v>0</v>
      </c>
      <c r="AG7151">
        <v>0</v>
      </c>
      <c r="AH7151">
        <v>0</v>
      </c>
      <c r="AI7151">
        <v>24.18</v>
      </c>
      <c r="AJ7151">
        <v>134.36000000000001</v>
      </c>
      <c r="AK7151">
        <v>0</v>
      </c>
      <c r="AL7151" t="s">
        <v>53</v>
      </c>
      <c r="AM7151" t="s">
        <v>53</v>
      </c>
      <c r="AN7151" t="s">
        <v>53</v>
      </c>
      <c r="AO7151" t="s">
        <v>53</v>
      </c>
      <c r="AP7151" t="s">
        <v>53</v>
      </c>
    </row>
    <row r="7152" spans="2:42" x14ac:dyDescent="0.2">
      <c r="B7152" t="s">
        <v>44</v>
      </c>
      <c r="C7152" t="str">
        <f>HYPERLINK("https://us2.cloudbeds.com/connect/8493803454333002#/reservations/9080486847253566?display=3NZUSVFB5G&amp;reservation_id=9080486847253566", "3NZUSVFB5G")</f>
        <v>3NZUSVFB5G</v>
      </c>
      <c r="D7152" t="s">
        <v>45</v>
      </c>
      <c r="E7152" t="s">
        <v>98</v>
      </c>
      <c r="F7152" t="s">
        <v>86</v>
      </c>
      <c r="G7152" t="s">
        <v>48</v>
      </c>
      <c r="H7152" t="s">
        <v>49</v>
      </c>
      <c r="I7152" t="s">
        <v>50</v>
      </c>
      <c r="J7152" t="s">
        <v>12506</v>
      </c>
      <c r="K7152" t="s">
        <v>12777</v>
      </c>
      <c r="L7152" t="s">
        <v>53</v>
      </c>
      <c r="N7152" t="s">
        <v>12929</v>
      </c>
      <c r="P7152" t="s">
        <v>55</v>
      </c>
      <c r="R7152" t="s">
        <v>53</v>
      </c>
      <c r="T7152" t="s">
        <v>12930</v>
      </c>
      <c r="U7152" t="s">
        <v>58</v>
      </c>
      <c r="V7152">
        <v>2</v>
      </c>
      <c r="W7152">
        <v>1</v>
      </c>
      <c r="X7152">
        <v>2</v>
      </c>
      <c r="Y7152">
        <v>0</v>
      </c>
      <c r="Z7152">
        <v>2</v>
      </c>
      <c r="AA7152">
        <v>154.68</v>
      </c>
      <c r="AB7152">
        <v>154.68</v>
      </c>
      <c r="AC7152">
        <v>136.12</v>
      </c>
      <c r="AD7152">
        <v>0</v>
      </c>
      <c r="AE7152">
        <v>18.559999999999999</v>
      </c>
      <c r="AF7152">
        <v>0</v>
      </c>
      <c r="AG7152">
        <v>0</v>
      </c>
      <c r="AH7152">
        <v>0</v>
      </c>
      <c r="AI7152">
        <v>27.84</v>
      </c>
      <c r="AJ7152">
        <v>154.68</v>
      </c>
      <c r="AK7152">
        <v>0</v>
      </c>
      <c r="AL7152" t="s">
        <v>53</v>
      </c>
      <c r="AM7152" t="s">
        <v>53</v>
      </c>
      <c r="AN7152" t="s">
        <v>53</v>
      </c>
      <c r="AO7152" t="s">
        <v>53</v>
      </c>
      <c r="AP7152" t="s">
        <v>53</v>
      </c>
    </row>
    <row r="7153" spans="2:42" x14ac:dyDescent="0.2">
      <c r="B7153" t="s">
        <v>44</v>
      </c>
      <c r="C7153" t="str">
        <f>HYPERLINK("https://us2.cloudbeds.com/connect/8493803454333002#/reservations/9080486847254261?display=3NPFCUX1NS&amp;reservation_id=9080486847254261", "3NPFCUX1NS")</f>
        <v>3NPFCUX1NS</v>
      </c>
      <c r="D7153" t="s">
        <v>45</v>
      </c>
      <c r="E7153" t="s">
        <v>138</v>
      </c>
      <c r="F7153" t="s">
        <v>70</v>
      </c>
      <c r="G7153" t="s">
        <v>48</v>
      </c>
      <c r="H7153" t="s">
        <v>49</v>
      </c>
      <c r="I7153" t="s">
        <v>50</v>
      </c>
      <c r="J7153" t="s">
        <v>12506</v>
      </c>
      <c r="K7153" t="s">
        <v>12777</v>
      </c>
      <c r="L7153" t="s">
        <v>53</v>
      </c>
      <c r="N7153" t="s">
        <v>12931</v>
      </c>
      <c r="P7153" t="s">
        <v>55</v>
      </c>
      <c r="R7153" t="s">
        <v>53</v>
      </c>
      <c r="T7153" t="s">
        <v>12932</v>
      </c>
      <c r="U7153" t="s">
        <v>58</v>
      </c>
      <c r="V7153">
        <v>2</v>
      </c>
      <c r="W7153">
        <v>1</v>
      </c>
      <c r="X7153">
        <v>1</v>
      </c>
      <c r="Y7153">
        <v>0</v>
      </c>
      <c r="Z7153">
        <v>1</v>
      </c>
      <c r="AA7153">
        <v>109.38</v>
      </c>
      <c r="AB7153">
        <v>109.38</v>
      </c>
      <c r="AC7153">
        <v>96.24</v>
      </c>
      <c r="AD7153">
        <v>0</v>
      </c>
      <c r="AE7153">
        <v>13.14</v>
      </c>
      <c r="AF7153">
        <v>0</v>
      </c>
      <c r="AG7153">
        <v>0</v>
      </c>
      <c r="AH7153">
        <v>0</v>
      </c>
      <c r="AI7153">
        <v>19.690000000000001</v>
      </c>
      <c r="AJ7153">
        <v>109.38</v>
      </c>
      <c r="AK7153">
        <v>0</v>
      </c>
      <c r="AL7153" t="s">
        <v>53</v>
      </c>
      <c r="AM7153" t="s">
        <v>53</v>
      </c>
      <c r="AN7153" t="s">
        <v>53</v>
      </c>
      <c r="AO7153" t="s">
        <v>53</v>
      </c>
      <c r="AP7153" t="s">
        <v>53</v>
      </c>
    </row>
    <row r="7154" spans="2:42" x14ac:dyDescent="0.2">
      <c r="B7154" t="s">
        <v>44</v>
      </c>
      <c r="C7154" t="str">
        <f>HYPERLINK("https://us2.cloudbeds.com/connect/8493803454333002#/reservations/9080486847254402?display=3NPXS6ZDE5&amp;reservation_id=9080486847254402", "3NPXS6ZDE5")</f>
        <v>3NPXS6ZDE5</v>
      </c>
      <c r="D7154" t="s">
        <v>45</v>
      </c>
      <c r="E7154" t="s">
        <v>128</v>
      </c>
      <c r="F7154" t="s">
        <v>86</v>
      </c>
      <c r="G7154" t="s">
        <v>48</v>
      </c>
      <c r="H7154" t="s">
        <v>49</v>
      </c>
      <c r="I7154" t="s">
        <v>50</v>
      </c>
      <c r="J7154" t="s">
        <v>11378</v>
      </c>
      <c r="K7154" t="s">
        <v>12258</v>
      </c>
      <c r="L7154" t="s">
        <v>53</v>
      </c>
      <c r="N7154" t="s">
        <v>12933</v>
      </c>
      <c r="P7154" t="s">
        <v>55</v>
      </c>
      <c r="R7154" t="s">
        <v>53</v>
      </c>
      <c r="T7154" t="s">
        <v>12934</v>
      </c>
      <c r="U7154" t="s">
        <v>58</v>
      </c>
      <c r="V7154">
        <v>1</v>
      </c>
      <c r="W7154">
        <v>1</v>
      </c>
      <c r="X7154">
        <v>2</v>
      </c>
      <c r="Y7154">
        <v>1</v>
      </c>
      <c r="Z7154">
        <v>3</v>
      </c>
      <c r="AA7154">
        <v>84.39</v>
      </c>
      <c r="AB7154">
        <v>84.39</v>
      </c>
      <c r="AC7154">
        <v>74.25</v>
      </c>
      <c r="AD7154">
        <v>0</v>
      </c>
      <c r="AE7154">
        <v>10.14</v>
      </c>
      <c r="AF7154">
        <v>0</v>
      </c>
      <c r="AG7154">
        <v>0</v>
      </c>
      <c r="AH7154">
        <v>0</v>
      </c>
      <c r="AI7154">
        <v>15.19</v>
      </c>
      <c r="AJ7154">
        <v>84.39</v>
      </c>
      <c r="AK7154">
        <v>0</v>
      </c>
      <c r="AL7154" t="s">
        <v>53</v>
      </c>
      <c r="AM7154" t="s">
        <v>53</v>
      </c>
      <c r="AN7154" t="s">
        <v>53</v>
      </c>
      <c r="AO7154" t="s">
        <v>53</v>
      </c>
      <c r="AP7154" t="s">
        <v>53</v>
      </c>
    </row>
    <row r="7155" spans="2:42" x14ac:dyDescent="0.2">
      <c r="B7155" t="s">
        <v>44</v>
      </c>
      <c r="C7155" t="str">
        <f>HYPERLINK("https://us2.cloudbeds.com/connect/8493803454333002#/reservations/9080486847254686?display=3NPQ54PM3K&amp;reservation_id=9080486847254686", "3NPQ54PM3K")</f>
        <v>3NPQ54PM3K</v>
      </c>
      <c r="D7155" t="s">
        <v>45</v>
      </c>
      <c r="E7155" t="s">
        <v>406</v>
      </c>
      <c r="F7155" t="s">
        <v>61</v>
      </c>
      <c r="G7155" t="s">
        <v>48</v>
      </c>
      <c r="H7155" t="s">
        <v>49</v>
      </c>
      <c r="I7155" t="s">
        <v>50</v>
      </c>
      <c r="J7155" t="s">
        <v>11381</v>
      </c>
      <c r="K7155" t="s">
        <v>11382</v>
      </c>
      <c r="L7155" t="s">
        <v>53</v>
      </c>
      <c r="N7155" t="s">
        <v>12935</v>
      </c>
      <c r="P7155" t="s">
        <v>55</v>
      </c>
      <c r="R7155" t="s">
        <v>53</v>
      </c>
      <c r="T7155" t="s">
        <v>12936</v>
      </c>
      <c r="U7155" t="s">
        <v>58</v>
      </c>
      <c r="V7155">
        <v>3</v>
      </c>
      <c r="W7155">
        <v>1</v>
      </c>
      <c r="X7155">
        <v>1</v>
      </c>
      <c r="Y7155">
        <v>0</v>
      </c>
      <c r="Z7155">
        <v>1</v>
      </c>
      <c r="AA7155">
        <v>300.61</v>
      </c>
      <c r="AB7155">
        <v>300.61</v>
      </c>
      <c r="AC7155">
        <v>264.51</v>
      </c>
      <c r="AD7155">
        <v>0</v>
      </c>
      <c r="AE7155">
        <v>36.1</v>
      </c>
      <c r="AF7155">
        <v>0</v>
      </c>
      <c r="AG7155">
        <v>0</v>
      </c>
      <c r="AH7155">
        <v>0</v>
      </c>
      <c r="AI7155">
        <v>54.11</v>
      </c>
      <c r="AJ7155">
        <v>300.61</v>
      </c>
      <c r="AK7155">
        <v>0</v>
      </c>
      <c r="AL7155" t="s">
        <v>53</v>
      </c>
      <c r="AM7155" t="s">
        <v>53</v>
      </c>
      <c r="AN7155" t="s">
        <v>53</v>
      </c>
      <c r="AO7155" t="s">
        <v>53</v>
      </c>
      <c r="AP7155" t="s">
        <v>53</v>
      </c>
    </row>
    <row r="7156" spans="2:42" x14ac:dyDescent="0.2">
      <c r="B7156" t="s">
        <v>44</v>
      </c>
      <c r="C7156" t="str">
        <f>HYPERLINK("https://us2.cloudbeds.com/connect/8493803454333002#/reservations/9080486847255472?display=3NQH6G0JD6&amp;reservation_id=9080486847255472", "3NQH6G0JD6")</f>
        <v>3NQH6G0JD6</v>
      </c>
      <c r="D7156" t="s">
        <v>45</v>
      </c>
      <c r="E7156" t="s">
        <v>85</v>
      </c>
      <c r="F7156" t="s">
        <v>86</v>
      </c>
      <c r="G7156" t="s">
        <v>48</v>
      </c>
      <c r="H7156" t="s">
        <v>49</v>
      </c>
      <c r="I7156" t="s">
        <v>8964</v>
      </c>
      <c r="J7156" t="s">
        <v>11378</v>
      </c>
      <c r="K7156" t="s">
        <v>12258</v>
      </c>
      <c r="L7156" t="s">
        <v>53</v>
      </c>
      <c r="N7156" t="s">
        <v>12937</v>
      </c>
      <c r="P7156" t="s">
        <v>55</v>
      </c>
      <c r="R7156" t="s">
        <v>53</v>
      </c>
      <c r="T7156" t="s">
        <v>12938</v>
      </c>
      <c r="U7156" t="s">
        <v>55</v>
      </c>
      <c r="V7156">
        <v>1</v>
      </c>
      <c r="W7156">
        <v>1</v>
      </c>
      <c r="X7156">
        <v>2</v>
      </c>
      <c r="Y7156">
        <v>0</v>
      </c>
      <c r="Z7156">
        <v>2</v>
      </c>
      <c r="AA7156">
        <v>0</v>
      </c>
      <c r="AB7156">
        <v>0</v>
      </c>
      <c r="AC7156">
        <v>101</v>
      </c>
      <c r="AD7156">
        <v>0</v>
      </c>
      <c r="AE7156">
        <v>0</v>
      </c>
      <c r="AF7156">
        <v>0</v>
      </c>
      <c r="AG7156">
        <v>0</v>
      </c>
      <c r="AH7156">
        <v>0</v>
      </c>
      <c r="AI7156">
        <v>15.15</v>
      </c>
      <c r="AJ7156">
        <v>101</v>
      </c>
      <c r="AK7156">
        <v>101</v>
      </c>
      <c r="AL7156" t="s">
        <v>53</v>
      </c>
      <c r="AM7156" t="s">
        <v>53</v>
      </c>
      <c r="AN7156" t="s">
        <v>53</v>
      </c>
      <c r="AO7156" t="s">
        <v>53</v>
      </c>
      <c r="AP7156" t="s">
        <v>53</v>
      </c>
    </row>
    <row r="7157" spans="2:42" x14ac:dyDescent="0.2">
      <c r="B7157" t="s">
        <v>44</v>
      </c>
      <c r="C7157" t="str">
        <f>HYPERLINK("https://us2.cloudbeds.com/connect/8493803454333002#/reservations/9080486847255483?display=3NQHHA6AFC&amp;reservation_id=9080486847255483", "3NQHHA6AFC")</f>
        <v>3NQHHA6AFC</v>
      </c>
      <c r="D7157" t="s">
        <v>45</v>
      </c>
      <c r="E7157" t="s">
        <v>110</v>
      </c>
      <c r="F7157" t="s">
        <v>47</v>
      </c>
      <c r="G7157" t="s">
        <v>48</v>
      </c>
      <c r="H7157" t="s">
        <v>49</v>
      </c>
      <c r="I7157" t="s">
        <v>50</v>
      </c>
      <c r="J7157" t="s">
        <v>12850</v>
      </c>
      <c r="K7157" t="s">
        <v>11275</v>
      </c>
      <c r="L7157" t="s">
        <v>53</v>
      </c>
      <c r="N7157" t="s">
        <v>12939</v>
      </c>
      <c r="P7157" t="s">
        <v>55</v>
      </c>
      <c r="R7157" t="s">
        <v>53</v>
      </c>
      <c r="T7157" t="s">
        <v>12940</v>
      </c>
      <c r="U7157" t="s">
        <v>58</v>
      </c>
      <c r="V7157">
        <v>2</v>
      </c>
      <c r="W7157">
        <v>1</v>
      </c>
      <c r="X7157">
        <v>1</v>
      </c>
      <c r="Y7157">
        <v>0</v>
      </c>
      <c r="Z7157">
        <v>1</v>
      </c>
      <c r="AA7157">
        <v>133.6</v>
      </c>
      <c r="AB7157">
        <v>133.6</v>
      </c>
      <c r="AC7157">
        <v>117.56</v>
      </c>
      <c r="AD7157">
        <v>0</v>
      </c>
      <c r="AE7157">
        <v>16.04</v>
      </c>
      <c r="AF7157">
        <v>0</v>
      </c>
      <c r="AG7157">
        <v>0</v>
      </c>
      <c r="AH7157">
        <v>0</v>
      </c>
      <c r="AI7157">
        <v>24.05</v>
      </c>
      <c r="AJ7157">
        <v>133.6</v>
      </c>
      <c r="AK7157">
        <v>0</v>
      </c>
      <c r="AL7157" t="s">
        <v>53</v>
      </c>
      <c r="AM7157" t="s">
        <v>53</v>
      </c>
      <c r="AN7157" t="s">
        <v>53</v>
      </c>
      <c r="AO7157" t="s">
        <v>53</v>
      </c>
      <c r="AP7157" t="s">
        <v>53</v>
      </c>
    </row>
    <row r="7158" spans="2:42" x14ac:dyDescent="0.2">
      <c r="B7158" t="s">
        <v>44</v>
      </c>
      <c r="C7158" t="str">
        <f>HYPERLINK("https://us2.cloudbeds.com/connect/8493803454333002#/reservations/172718239936670?display=3NQYUBTFWV&amp;reservation_id=172718239936670", "3NQYUBTFWV")</f>
        <v>3NQYUBTFWV</v>
      </c>
      <c r="D7158" t="s">
        <v>45</v>
      </c>
      <c r="E7158" t="s">
        <v>12941</v>
      </c>
      <c r="F7158" t="s">
        <v>511</v>
      </c>
      <c r="G7158" t="s">
        <v>48</v>
      </c>
      <c r="H7158" t="s">
        <v>3957</v>
      </c>
      <c r="I7158" t="s">
        <v>3975</v>
      </c>
      <c r="J7158" t="s">
        <v>11381</v>
      </c>
      <c r="K7158" t="s">
        <v>11267</v>
      </c>
      <c r="L7158" t="s">
        <v>53</v>
      </c>
      <c r="P7158" t="s">
        <v>55</v>
      </c>
      <c r="R7158" t="s">
        <v>56</v>
      </c>
      <c r="T7158" t="s">
        <v>12942</v>
      </c>
      <c r="U7158" t="s">
        <v>58</v>
      </c>
      <c r="V7158">
        <v>10</v>
      </c>
      <c r="W7158">
        <v>2</v>
      </c>
      <c r="X7158">
        <v>5</v>
      </c>
      <c r="Y7158">
        <v>0</v>
      </c>
      <c r="Z7158">
        <v>5</v>
      </c>
      <c r="AA7158">
        <v>1372.94</v>
      </c>
      <c r="AB7158">
        <v>1372.94</v>
      </c>
      <c r="AC7158">
        <v>1208</v>
      </c>
      <c r="AD7158">
        <v>0</v>
      </c>
      <c r="AE7158">
        <v>164.94</v>
      </c>
      <c r="AF7158">
        <v>0</v>
      </c>
      <c r="AG7158">
        <v>0</v>
      </c>
      <c r="AH7158">
        <v>0</v>
      </c>
      <c r="AI7158">
        <v>0</v>
      </c>
      <c r="AJ7158">
        <v>1372.94</v>
      </c>
      <c r="AK7158">
        <v>0</v>
      </c>
      <c r="AL7158" t="s">
        <v>53</v>
      </c>
      <c r="AM7158" t="s">
        <v>53</v>
      </c>
      <c r="AN7158" t="s">
        <v>53</v>
      </c>
      <c r="AO7158" t="s">
        <v>53</v>
      </c>
      <c r="AP7158" t="s">
        <v>53</v>
      </c>
    </row>
    <row r="7159" spans="2:42" x14ac:dyDescent="0.2">
      <c r="B7159" t="s">
        <v>44</v>
      </c>
      <c r="C7159" t="str">
        <f>HYPERLINK("https://us2.cloudbeds.com/connect/8493803454333002#/reservations/9080486847255772?display=3NQR6W4WC8&amp;reservation_id=9080486847255772", "3NQR6W4WC8")</f>
        <v>3NQR6W4WC8</v>
      </c>
      <c r="D7159" t="s">
        <v>45</v>
      </c>
      <c r="E7159" t="s">
        <v>179</v>
      </c>
      <c r="F7159" t="s">
        <v>47</v>
      </c>
      <c r="G7159" t="s">
        <v>48</v>
      </c>
      <c r="H7159" t="s">
        <v>49</v>
      </c>
      <c r="I7159" t="s">
        <v>50</v>
      </c>
      <c r="J7159" t="s">
        <v>11378</v>
      </c>
      <c r="K7159" t="s">
        <v>12258</v>
      </c>
      <c r="L7159" t="s">
        <v>53</v>
      </c>
      <c r="N7159" t="s">
        <v>12943</v>
      </c>
      <c r="P7159" t="s">
        <v>55</v>
      </c>
      <c r="R7159" t="s">
        <v>53</v>
      </c>
      <c r="T7159" t="s">
        <v>12944</v>
      </c>
      <c r="U7159" t="s">
        <v>58</v>
      </c>
      <c r="V7159">
        <v>1</v>
      </c>
      <c r="W7159">
        <v>1</v>
      </c>
      <c r="X7159">
        <v>1</v>
      </c>
      <c r="Y7159">
        <v>0</v>
      </c>
      <c r="Z7159">
        <v>1</v>
      </c>
      <c r="AA7159">
        <v>66.489999999999995</v>
      </c>
      <c r="AB7159">
        <v>66.489999999999995</v>
      </c>
      <c r="AC7159">
        <v>58.5</v>
      </c>
      <c r="AD7159">
        <v>0</v>
      </c>
      <c r="AE7159">
        <v>7.99</v>
      </c>
      <c r="AF7159">
        <v>0</v>
      </c>
      <c r="AG7159">
        <v>0</v>
      </c>
      <c r="AH7159">
        <v>0</v>
      </c>
      <c r="AI7159">
        <v>11.97</v>
      </c>
      <c r="AJ7159">
        <v>66.489999999999995</v>
      </c>
      <c r="AK7159">
        <v>0</v>
      </c>
      <c r="AL7159" t="s">
        <v>53</v>
      </c>
      <c r="AM7159" t="s">
        <v>53</v>
      </c>
      <c r="AN7159" t="s">
        <v>53</v>
      </c>
      <c r="AO7159" t="s">
        <v>53</v>
      </c>
      <c r="AP7159" t="s">
        <v>53</v>
      </c>
    </row>
    <row r="7160" spans="2:42" x14ac:dyDescent="0.2">
      <c r="B7160" t="s">
        <v>44</v>
      </c>
      <c r="C7160" t="str">
        <f>HYPERLINK("https://us2.cloudbeds.com/connect/8493803454333002#/reservations/172725640524016?display=3NQRYF8ZAX&amp;reservation_id=172725640524016", "3NQRYF8ZAX")</f>
        <v>3NQRYF8ZAX</v>
      </c>
      <c r="D7160" t="s">
        <v>45</v>
      </c>
      <c r="E7160" t="s">
        <v>223</v>
      </c>
      <c r="F7160" t="s">
        <v>47</v>
      </c>
      <c r="G7160" t="s">
        <v>48</v>
      </c>
      <c r="H7160" t="s">
        <v>3957</v>
      </c>
      <c r="I7160" t="s">
        <v>3958</v>
      </c>
      <c r="J7160" t="s">
        <v>11378</v>
      </c>
      <c r="K7160" t="s">
        <v>12258</v>
      </c>
      <c r="L7160" t="s">
        <v>53</v>
      </c>
      <c r="P7160" t="s">
        <v>55</v>
      </c>
      <c r="R7160" t="s">
        <v>56</v>
      </c>
      <c r="T7160" t="s">
        <v>12945</v>
      </c>
      <c r="U7160" t="s">
        <v>58</v>
      </c>
      <c r="V7160">
        <v>1</v>
      </c>
      <c r="W7160">
        <v>1</v>
      </c>
      <c r="X7160">
        <v>1</v>
      </c>
      <c r="Y7160">
        <v>0</v>
      </c>
      <c r="Z7160">
        <v>1</v>
      </c>
      <c r="AA7160">
        <v>88.65</v>
      </c>
      <c r="AB7160">
        <v>88.65</v>
      </c>
      <c r="AC7160">
        <v>78</v>
      </c>
      <c r="AD7160">
        <v>0</v>
      </c>
      <c r="AE7160">
        <v>10.65</v>
      </c>
      <c r="AF7160">
        <v>0</v>
      </c>
      <c r="AG7160">
        <v>0</v>
      </c>
      <c r="AH7160">
        <v>0</v>
      </c>
      <c r="AI7160">
        <v>0</v>
      </c>
      <c r="AJ7160">
        <v>88.65</v>
      </c>
      <c r="AK7160">
        <v>0</v>
      </c>
      <c r="AL7160" t="s">
        <v>53</v>
      </c>
      <c r="AM7160" t="s">
        <v>53</v>
      </c>
      <c r="AN7160" t="s">
        <v>53</v>
      </c>
      <c r="AO7160" t="s">
        <v>53</v>
      </c>
      <c r="AP7160" t="s">
        <v>53</v>
      </c>
    </row>
    <row r="7161" spans="2:42" x14ac:dyDescent="0.2">
      <c r="B7161" t="s">
        <v>44</v>
      </c>
      <c r="C7161" t="str">
        <f>HYPERLINK("https://us2.cloudbeds.com/connect/8493803454333002#/reservations/172743980347611?display=3NR8S2TBWN&amp;reservation_id=172743980347611", "3NR8S2TBWN")</f>
        <v>3NR8S2TBWN</v>
      </c>
      <c r="D7161" t="s">
        <v>45</v>
      </c>
      <c r="E7161" t="s">
        <v>381</v>
      </c>
      <c r="F7161" t="s">
        <v>47</v>
      </c>
      <c r="G7161" t="s">
        <v>48</v>
      </c>
      <c r="H7161" t="s">
        <v>3957</v>
      </c>
      <c r="I7161" t="s">
        <v>3975</v>
      </c>
      <c r="J7161" t="s">
        <v>12506</v>
      </c>
      <c r="K7161" t="s">
        <v>11412</v>
      </c>
      <c r="L7161" t="s">
        <v>53</v>
      </c>
      <c r="P7161" t="s">
        <v>55</v>
      </c>
      <c r="R7161" t="s">
        <v>56</v>
      </c>
      <c r="T7161" t="s">
        <v>12946</v>
      </c>
      <c r="U7161" t="s">
        <v>58</v>
      </c>
      <c r="V7161">
        <v>4</v>
      </c>
      <c r="W7161">
        <v>1</v>
      </c>
      <c r="X7161">
        <v>1</v>
      </c>
      <c r="Y7161">
        <v>0</v>
      </c>
      <c r="Z7161">
        <v>1</v>
      </c>
      <c r="AA7161">
        <v>410.29</v>
      </c>
      <c r="AB7161">
        <v>410.29</v>
      </c>
      <c r="AC7161">
        <v>361</v>
      </c>
      <c r="AD7161">
        <v>0</v>
      </c>
      <c r="AE7161">
        <v>49.29</v>
      </c>
      <c r="AF7161">
        <v>0</v>
      </c>
      <c r="AG7161">
        <v>0</v>
      </c>
      <c r="AH7161">
        <v>0</v>
      </c>
      <c r="AI7161">
        <v>0</v>
      </c>
      <c r="AJ7161">
        <v>410.29</v>
      </c>
      <c r="AK7161">
        <v>0</v>
      </c>
      <c r="AL7161" t="s">
        <v>53</v>
      </c>
      <c r="AM7161" t="s">
        <v>53</v>
      </c>
      <c r="AN7161" t="s">
        <v>53</v>
      </c>
      <c r="AO7161" t="s">
        <v>53</v>
      </c>
      <c r="AP7161" t="s">
        <v>53</v>
      </c>
    </row>
    <row r="7162" spans="2:42" x14ac:dyDescent="0.2">
      <c r="B7162" t="s">
        <v>44</v>
      </c>
      <c r="C7162" t="str">
        <f>HYPERLINK("https://us2.cloudbeds.com/connect/8493803454333002#/reservations/9080486847256137?display=3NR9DC5YG3&amp;reservation_id=9080486847256137", "3NR9DC5YG3")</f>
        <v>3NR9DC5YG3</v>
      </c>
      <c r="D7162" t="s">
        <v>45</v>
      </c>
      <c r="E7162" t="s">
        <v>155</v>
      </c>
      <c r="F7162" t="s">
        <v>86</v>
      </c>
      <c r="G7162" t="s">
        <v>48</v>
      </c>
      <c r="H7162" t="s">
        <v>49</v>
      </c>
      <c r="I7162" t="s">
        <v>8964</v>
      </c>
      <c r="J7162" t="s">
        <v>11926</v>
      </c>
      <c r="K7162" t="s">
        <v>11309</v>
      </c>
      <c r="L7162" t="s">
        <v>53</v>
      </c>
      <c r="N7162" t="s">
        <v>12947</v>
      </c>
      <c r="P7162" t="s">
        <v>55</v>
      </c>
      <c r="R7162" t="s">
        <v>53</v>
      </c>
      <c r="T7162" t="s">
        <v>12948</v>
      </c>
      <c r="U7162" t="s">
        <v>55</v>
      </c>
      <c r="V7162">
        <v>2</v>
      </c>
      <c r="W7162">
        <v>1</v>
      </c>
      <c r="X7162">
        <v>2</v>
      </c>
      <c r="Y7162">
        <v>0</v>
      </c>
      <c r="Z7162">
        <v>2</v>
      </c>
      <c r="AA7162">
        <v>0</v>
      </c>
      <c r="AB7162">
        <v>0</v>
      </c>
      <c r="AC7162">
        <v>276</v>
      </c>
      <c r="AD7162">
        <v>0</v>
      </c>
      <c r="AE7162">
        <v>0</v>
      </c>
      <c r="AF7162">
        <v>0</v>
      </c>
      <c r="AG7162">
        <v>0</v>
      </c>
      <c r="AH7162">
        <v>0</v>
      </c>
      <c r="AI7162">
        <v>41.4</v>
      </c>
      <c r="AJ7162">
        <v>276</v>
      </c>
      <c r="AK7162">
        <v>276</v>
      </c>
      <c r="AL7162" t="s">
        <v>53</v>
      </c>
      <c r="AM7162" t="s">
        <v>53</v>
      </c>
      <c r="AN7162" t="s">
        <v>53</v>
      </c>
      <c r="AO7162" t="s">
        <v>53</v>
      </c>
      <c r="AP7162" t="s">
        <v>53</v>
      </c>
    </row>
    <row r="7163" spans="2:42" x14ac:dyDescent="0.2">
      <c r="B7163" t="s">
        <v>44</v>
      </c>
      <c r="C7163" t="str">
        <f>HYPERLINK("https://us2.cloudbeds.com/connect/8493803454333002#/reservations/9080486847256762?display=3NRW72FJHY&amp;reservation_id=9080486847256762", "3NRW72FJHY")</f>
        <v>3NRW72FJHY</v>
      </c>
      <c r="D7163" t="s">
        <v>45</v>
      </c>
      <c r="E7163" t="s">
        <v>121</v>
      </c>
      <c r="F7163" t="s">
        <v>86</v>
      </c>
      <c r="G7163" t="s">
        <v>48</v>
      </c>
      <c r="H7163" t="s">
        <v>49</v>
      </c>
      <c r="I7163" t="s">
        <v>50</v>
      </c>
      <c r="J7163" t="s">
        <v>10169</v>
      </c>
      <c r="K7163" t="s">
        <v>12441</v>
      </c>
      <c r="L7163" t="s">
        <v>53</v>
      </c>
      <c r="N7163" t="s">
        <v>12949</v>
      </c>
      <c r="P7163" t="s">
        <v>55</v>
      </c>
      <c r="R7163" t="s">
        <v>53</v>
      </c>
      <c r="T7163" t="s">
        <v>12950</v>
      </c>
      <c r="U7163" t="s">
        <v>58</v>
      </c>
      <c r="V7163">
        <v>4</v>
      </c>
      <c r="W7163">
        <v>1</v>
      </c>
      <c r="X7163">
        <v>2</v>
      </c>
      <c r="Y7163">
        <v>0</v>
      </c>
      <c r="Z7163">
        <v>2</v>
      </c>
      <c r="AA7163">
        <v>772.73</v>
      </c>
      <c r="AB7163">
        <v>775.44</v>
      </c>
      <c r="AC7163">
        <v>679.92</v>
      </c>
      <c r="AD7163">
        <v>2.5</v>
      </c>
      <c r="AE7163">
        <v>93.02</v>
      </c>
      <c r="AF7163">
        <v>0</v>
      </c>
      <c r="AG7163">
        <v>0</v>
      </c>
      <c r="AH7163">
        <v>0</v>
      </c>
      <c r="AI7163">
        <v>139.58000000000001</v>
      </c>
      <c r="AJ7163">
        <v>775.44</v>
      </c>
      <c r="AK7163">
        <v>0</v>
      </c>
      <c r="AL7163" t="s">
        <v>53</v>
      </c>
      <c r="AM7163" t="s">
        <v>53</v>
      </c>
      <c r="AN7163" t="s">
        <v>53</v>
      </c>
      <c r="AO7163" t="s">
        <v>53</v>
      </c>
      <c r="AP7163" t="s">
        <v>53</v>
      </c>
    </row>
    <row r="7164" spans="2:42" x14ac:dyDescent="0.2">
      <c r="B7164" t="s">
        <v>44</v>
      </c>
      <c r="C7164" t="str">
        <f>HYPERLINK("https://us2.cloudbeds.com/connect/8493803454333002#/reservations/9080486847257489?display=3NSTS51URE&amp;reservation_id=9080486847257489", "3NSTS51URE")</f>
        <v>3NSTS51URE</v>
      </c>
      <c r="D7164" t="s">
        <v>45</v>
      </c>
      <c r="E7164" t="s">
        <v>373</v>
      </c>
      <c r="F7164" t="s">
        <v>47</v>
      </c>
      <c r="G7164" t="s">
        <v>48</v>
      </c>
      <c r="H7164" t="s">
        <v>49</v>
      </c>
      <c r="I7164" t="s">
        <v>62</v>
      </c>
      <c r="J7164" t="s">
        <v>11956</v>
      </c>
      <c r="K7164" t="s">
        <v>11382</v>
      </c>
      <c r="L7164" t="s">
        <v>53</v>
      </c>
      <c r="N7164" t="s">
        <v>12951</v>
      </c>
      <c r="P7164" t="s">
        <v>55</v>
      </c>
      <c r="R7164" t="s">
        <v>56</v>
      </c>
      <c r="T7164" t="s">
        <v>12952</v>
      </c>
      <c r="U7164" t="s">
        <v>55</v>
      </c>
      <c r="V7164">
        <v>2</v>
      </c>
      <c r="W7164">
        <v>1</v>
      </c>
      <c r="X7164">
        <v>2</v>
      </c>
      <c r="Y7164">
        <v>0</v>
      </c>
      <c r="Z7164">
        <v>2</v>
      </c>
      <c r="AA7164">
        <v>253.65</v>
      </c>
      <c r="AB7164">
        <v>253.65</v>
      </c>
      <c r="AC7164">
        <v>253.65</v>
      </c>
      <c r="AD7164">
        <v>0</v>
      </c>
      <c r="AE7164">
        <v>0</v>
      </c>
      <c r="AF7164">
        <v>0</v>
      </c>
      <c r="AG7164">
        <v>0</v>
      </c>
      <c r="AH7164">
        <v>0</v>
      </c>
      <c r="AI7164">
        <v>45.66</v>
      </c>
      <c r="AJ7164">
        <v>253.65</v>
      </c>
      <c r="AK7164">
        <v>0</v>
      </c>
      <c r="AL7164" t="s">
        <v>53</v>
      </c>
      <c r="AM7164" t="s">
        <v>53</v>
      </c>
      <c r="AN7164" t="s">
        <v>53</v>
      </c>
      <c r="AO7164" t="s">
        <v>53</v>
      </c>
      <c r="AP7164" t="s">
        <v>53</v>
      </c>
    </row>
    <row r="7165" spans="2:42" x14ac:dyDescent="0.2">
      <c r="B7165" t="s">
        <v>44</v>
      </c>
      <c r="C7165" t="str">
        <f>HYPERLINK("https://us2.cloudbeds.com/connect/8493803454333002#/reservations/9080486847262749?display=3Z0UK33HMM&amp;reservation_id=9080486847262749", "3Z0UK33HMM")</f>
        <v>3Z0UK33HMM</v>
      </c>
      <c r="D7165" t="s">
        <v>45</v>
      </c>
      <c r="E7165" t="s">
        <v>185</v>
      </c>
      <c r="F7165" t="s">
        <v>47</v>
      </c>
      <c r="G7165" t="s">
        <v>48</v>
      </c>
      <c r="H7165" t="s">
        <v>49</v>
      </c>
      <c r="I7165" t="s">
        <v>50</v>
      </c>
      <c r="J7165" t="s">
        <v>11413</v>
      </c>
      <c r="K7165" t="s">
        <v>11926</v>
      </c>
      <c r="L7165" t="s">
        <v>53</v>
      </c>
      <c r="N7165" t="s">
        <v>12953</v>
      </c>
      <c r="P7165" t="s">
        <v>55</v>
      </c>
      <c r="R7165" t="s">
        <v>53</v>
      </c>
      <c r="T7165" t="s">
        <v>12954</v>
      </c>
      <c r="U7165" t="s">
        <v>58</v>
      </c>
      <c r="V7165">
        <v>5</v>
      </c>
      <c r="W7165">
        <v>1</v>
      </c>
      <c r="X7165">
        <v>2</v>
      </c>
      <c r="Y7165">
        <v>0</v>
      </c>
      <c r="Z7165">
        <v>2</v>
      </c>
      <c r="AA7165">
        <v>384.43</v>
      </c>
      <c r="AB7165">
        <v>384.43</v>
      </c>
      <c r="AC7165">
        <v>338.25</v>
      </c>
      <c r="AD7165">
        <v>0</v>
      </c>
      <c r="AE7165">
        <v>46.18</v>
      </c>
      <c r="AF7165">
        <v>0</v>
      </c>
      <c r="AG7165">
        <v>0</v>
      </c>
      <c r="AH7165">
        <v>0</v>
      </c>
      <c r="AI7165">
        <v>69.2</v>
      </c>
      <c r="AJ7165">
        <v>384.43</v>
      </c>
      <c r="AK7165">
        <v>0</v>
      </c>
      <c r="AL7165" t="s">
        <v>53</v>
      </c>
      <c r="AM7165" t="s">
        <v>53</v>
      </c>
      <c r="AN7165" t="s">
        <v>53</v>
      </c>
      <c r="AO7165" t="s">
        <v>53</v>
      </c>
      <c r="AP7165" t="s">
        <v>53</v>
      </c>
    </row>
    <row r="7166" spans="2:42" x14ac:dyDescent="0.2">
      <c r="B7166" t="s">
        <v>44</v>
      </c>
      <c r="C7166" t="str">
        <f>HYPERLINK("https://us2.cloudbeds.com/connect/8493803454333002#/reservations/9080486847263008?display=3Z14D87N3P&amp;reservation_id=9080486847263008", "3Z14D87N3P")</f>
        <v>3Z14D87N3P</v>
      </c>
      <c r="D7166" t="s">
        <v>45</v>
      </c>
      <c r="E7166" t="s">
        <v>165</v>
      </c>
      <c r="F7166" t="s">
        <v>61</v>
      </c>
      <c r="G7166" t="s">
        <v>48</v>
      </c>
      <c r="H7166" t="s">
        <v>49</v>
      </c>
      <c r="I7166" t="s">
        <v>50</v>
      </c>
      <c r="J7166" t="s">
        <v>11276</v>
      </c>
      <c r="K7166" t="s">
        <v>12902</v>
      </c>
      <c r="L7166" t="s">
        <v>53</v>
      </c>
      <c r="N7166" t="s">
        <v>12955</v>
      </c>
      <c r="P7166" t="s">
        <v>55</v>
      </c>
      <c r="R7166" t="s">
        <v>53</v>
      </c>
      <c r="T7166" t="s">
        <v>12956</v>
      </c>
      <c r="U7166" t="s">
        <v>58</v>
      </c>
      <c r="V7166">
        <v>2</v>
      </c>
      <c r="W7166">
        <v>1</v>
      </c>
      <c r="X7166">
        <v>2</v>
      </c>
      <c r="Y7166">
        <v>0</v>
      </c>
      <c r="Z7166">
        <v>2</v>
      </c>
      <c r="AA7166">
        <v>155.13999999999999</v>
      </c>
      <c r="AB7166">
        <v>155.13999999999999</v>
      </c>
      <c r="AC7166">
        <v>136.5</v>
      </c>
      <c r="AD7166">
        <v>0</v>
      </c>
      <c r="AE7166">
        <v>18.64</v>
      </c>
      <c r="AF7166">
        <v>0</v>
      </c>
      <c r="AG7166">
        <v>0</v>
      </c>
      <c r="AH7166">
        <v>0</v>
      </c>
      <c r="AI7166">
        <v>27.93</v>
      </c>
      <c r="AJ7166">
        <v>155.13999999999999</v>
      </c>
      <c r="AK7166">
        <v>0</v>
      </c>
      <c r="AL7166" t="s">
        <v>53</v>
      </c>
      <c r="AM7166" t="s">
        <v>53</v>
      </c>
      <c r="AN7166" t="s">
        <v>12957</v>
      </c>
      <c r="AO7166" t="s">
        <v>53</v>
      </c>
      <c r="AP7166" t="s">
        <v>53</v>
      </c>
    </row>
    <row r="7167" spans="2:42" x14ac:dyDescent="0.2">
      <c r="B7167" t="s">
        <v>44</v>
      </c>
      <c r="C7167" t="str">
        <f>HYPERLINK("https://us2.cloudbeds.com/connect/8493803454333002#/reservations/9080486847264718?display=3Z2ZH12NST&amp;reservation_id=9080486847264718", "3Z2ZH12NST")</f>
        <v>3Z2ZH12NST</v>
      </c>
      <c r="D7167" t="s">
        <v>45</v>
      </c>
      <c r="E7167" t="s">
        <v>128</v>
      </c>
      <c r="F7167" t="s">
        <v>86</v>
      </c>
      <c r="G7167" t="s">
        <v>48</v>
      </c>
      <c r="H7167" t="s">
        <v>49</v>
      </c>
      <c r="I7167" t="s">
        <v>50</v>
      </c>
      <c r="J7167" t="s">
        <v>12823</v>
      </c>
      <c r="K7167" t="s">
        <v>12958</v>
      </c>
      <c r="L7167" t="s">
        <v>53</v>
      </c>
      <c r="N7167" t="s">
        <v>12959</v>
      </c>
      <c r="P7167" t="s">
        <v>55</v>
      </c>
      <c r="R7167" t="s">
        <v>53</v>
      </c>
      <c r="T7167" t="s">
        <v>12960</v>
      </c>
      <c r="U7167" t="s">
        <v>58</v>
      </c>
      <c r="V7167">
        <v>1</v>
      </c>
      <c r="W7167">
        <v>1</v>
      </c>
      <c r="X7167">
        <v>2</v>
      </c>
      <c r="Y7167">
        <v>0</v>
      </c>
      <c r="Z7167">
        <v>2</v>
      </c>
      <c r="AA7167">
        <v>231.85</v>
      </c>
      <c r="AB7167">
        <v>233.89</v>
      </c>
      <c r="AC7167">
        <v>204</v>
      </c>
      <c r="AD7167">
        <v>0</v>
      </c>
      <c r="AE7167">
        <v>29.89</v>
      </c>
      <c r="AF7167">
        <v>0</v>
      </c>
      <c r="AG7167">
        <v>0</v>
      </c>
      <c r="AH7167">
        <v>0</v>
      </c>
      <c r="AI7167">
        <v>42.1</v>
      </c>
      <c r="AJ7167">
        <v>233.89</v>
      </c>
      <c r="AK7167">
        <v>0</v>
      </c>
      <c r="AL7167" t="s">
        <v>53</v>
      </c>
      <c r="AM7167" t="s">
        <v>53</v>
      </c>
      <c r="AN7167" t="s">
        <v>53</v>
      </c>
      <c r="AO7167" t="s">
        <v>53</v>
      </c>
      <c r="AP7167" t="s">
        <v>53</v>
      </c>
    </row>
    <row r="7168" spans="2:42" x14ac:dyDescent="0.2">
      <c r="B7168" t="s">
        <v>44</v>
      </c>
      <c r="C7168" t="str">
        <f>HYPERLINK("https://us2.cloudbeds.com/connect/8493803454333002#/reservations/173131006640287?display=3Z3BHGNFMZ&amp;reservation_id=173131006640287", "3Z3BHGNFMZ")</f>
        <v>3Z3BHGNFMZ</v>
      </c>
      <c r="D7168" t="s">
        <v>45</v>
      </c>
      <c r="E7168" t="s">
        <v>190</v>
      </c>
      <c r="F7168" t="s">
        <v>61</v>
      </c>
      <c r="G7168" t="s">
        <v>3974</v>
      </c>
      <c r="H7168" t="s">
        <v>3957</v>
      </c>
      <c r="I7168" t="s">
        <v>3975</v>
      </c>
      <c r="J7168" t="s">
        <v>12269</v>
      </c>
      <c r="K7168" t="s">
        <v>12420</v>
      </c>
      <c r="L7168" t="s">
        <v>53</v>
      </c>
      <c r="P7168" t="s">
        <v>55</v>
      </c>
      <c r="R7168" t="s">
        <v>56</v>
      </c>
      <c r="T7168" t="s">
        <v>12961</v>
      </c>
      <c r="U7168" t="s">
        <v>58</v>
      </c>
      <c r="V7168">
        <v>1</v>
      </c>
      <c r="W7168">
        <v>1</v>
      </c>
      <c r="X7168">
        <v>2</v>
      </c>
      <c r="Y7168">
        <v>0</v>
      </c>
      <c r="Z7168">
        <v>2</v>
      </c>
      <c r="AA7168">
        <v>177.07</v>
      </c>
      <c r="AB7168">
        <v>177.07</v>
      </c>
      <c r="AC7168">
        <v>155.80000000000001</v>
      </c>
      <c r="AD7168">
        <v>0</v>
      </c>
      <c r="AE7168">
        <v>21.27</v>
      </c>
      <c r="AF7168">
        <v>0</v>
      </c>
      <c r="AG7168">
        <v>0</v>
      </c>
      <c r="AH7168">
        <v>0</v>
      </c>
      <c r="AI7168">
        <v>0</v>
      </c>
      <c r="AJ7168">
        <v>177.07</v>
      </c>
      <c r="AK7168">
        <v>0</v>
      </c>
      <c r="AL7168" t="s">
        <v>53</v>
      </c>
      <c r="AM7168" t="s">
        <v>53</v>
      </c>
      <c r="AN7168" t="s">
        <v>53</v>
      </c>
      <c r="AO7168" t="s">
        <v>53</v>
      </c>
      <c r="AP7168" t="s">
        <v>53</v>
      </c>
    </row>
    <row r="7169" spans="2:42" x14ac:dyDescent="0.2">
      <c r="B7169" t="s">
        <v>44</v>
      </c>
      <c r="C7169" t="str">
        <f>HYPERLINK("https://us2.cloudbeds.com/connect/8493803454333002#/reservations/173131601395884?display=3Z3BWN7E2K&amp;reservation_id=173131601395884", "3Z3BWN7E2K")</f>
        <v>3Z3BWN7E2K</v>
      </c>
      <c r="D7169" t="s">
        <v>45</v>
      </c>
      <c r="E7169" t="s">
        <v>381</v>
      </c>
      <c r="F7169" t="s">
        <v>47</v>
      </c>
      <c r="G7169" t="s">
        <v>3974</v>
      </c>
      <c r="H7169" t="s">
        <v>3957</v>
      </c>
      <c r="I7169" t="s">
        <v>3975</v>
      </c>
      <c r="J7169" t="s">
        <v>11926</v>
      </c>
      <c r="K7169" t="s">
        <v>11382</v>
      </c>
      <c r="L7169" t="s">
        <v>53</v>
      </c>
      <c r="P7169" t="s">
        <v>55</v>
      </c>
      <c r="R7169" t="s">
        <v>56</v>
      </c>
      <c r="T7169" t="s">
        <v>12962</v>
      </c>
      <c r="U7169" t="s">
        <v>58</v>
      </c>
      <c r="V7169">
        <v>1</v>
      </c>
      <c r="W7169">
        <v>1</v>
      </c>
      <c r="X7169">
        <v>2</v>
      </c>
      <c r="Y7169">
        <v>0</v>
      </c>
      <c r="Z7169">
        <v>2</v>
      </c>
      <c r="AA7169">
        <v>132.80000000000001</v>
      </c>
      <c r="AB7169">
        <v>132.80000000000001</v>
      </c>
      <c r="AC7169">
        <v>116.85</v>
      </c>
      <c r="AD7169">
        <v>0</v>
      </c>
      <c r="AE7169">
        <v>15.95</v>
      </c>
      <c r="AF7169">
        <v>0</v>
      </c>
      <c r="AG7169">
        <v>0</v>
      </c>
      <c r="AH7169">
        <v>0</v>
      </c>
      <c r="AI7169">
        <v>0</v>
      </c>
      <c r="AJ7169">
        <v>132.80000000000001</v>
      </c>
      <c r="AK7169">
        <v>0</v>
      </c>
      <c r="AL7169" t="s">
        <v>53</v>
      </c>
      <c r="AM7169" t="s">
        <v>53</v>
      </c>
      <c r="AN7169" t="s">
        <v>12963</v>
      </c>
      <c r="AO7169" t="s">
        <v>53</v>
      </c>
      <c r="AP7169" t="s">
        <v>53</v>
      </c>
    </row>
    <row r="7170" spans="2:42" x14ac:dyDescent="0.2">
      <c r="B7170" t="s">
        <v>44</v>
      </c>
      <c r="C7170" t="str">
        <f>HYPERLINK("https://us2.cloudbeds.com/connect/8493803454333002#/reservations/9080486847265771?display=3Z3RBSG6C0&amp;reservation_id=9080486847265771", "3Z3RBSG6C0")</f>
        <v>3Z3RBSG6C0</v>
      </c>
      <c r="D7170" t="s">
        <v>45</v>
      </c>
      <c r="E7170" t="s">
        <v>12964</v>
      </c>
      <c r="F7170" t="s">
        <v>61</v>
      </c>
      <c r="G7170" t="s">
        <v>48</v>
      </c>
      <c r="H7170" t="s">
        <v>49</v>
      </c>
      <c r="I7170" t="s">
        <v>50</v>
      </c>
      <c r="J7170" t="s">
        <v>12350</v>
      </c>
      <c r="K7170" t="s">
        <v>11482</v>
      </c>
      <c r="L7170" t="s">
        <v>53</v>
      </c>
      <c r="N7170" t="s">
        <v>12965</v>
      </c>
      <c r="P7170" t="s">
        <v>55</v>
      </c>
      <c r="R7170" t="s">
        <v>53</v>
      </c>
      <c r="T7170" t="s">
        <v>12966</v>
      </c>
      <c r="U7170" t="s">
        <v>58</v>
      </c>
      <c r="V7170">
        <v>2</v>
      </c>
      <c r="W7170">
        <v>2</v>
      </c>
      <c r="X7170">
        <v>2</v>
      </c>
      <c r="Y7170">
        <v>0</v>
      </c>
      <c r="Z7170">
        <v>2</v>
      </c>
      <c r="AA7170">
        <v>303.45</v>
      </c>
      <c r="AB7170">
        <v>303.45</v>
      </c>
      <c r="AC7170">
        <v>267</v>
      </c>
      <c r="AD7170">
        <v>0</v>
      </c>
      <c r="AE7170">
        <v>36.450000000000003</v>
      </c>
      <c r="AF7170">
        <v>0</v>
      </c>
      <c r="AG7170">
        <v>0</v>
      </c>
      <c r="AH7170">
        <v>0</v>
      </c>
      <c r="AI7170">
        <v>54.62</v>
      </c>
      <c r="AJ7170">
        <v>303.45</v>
      </c>
      <c r="AK7170">
        <v>0</v>
      </c>
      <c r="AL7170" t="s">
        <v>53</v>
      </c>
      <c r="AM7170" t="s">
        <v>53</v>
      </c>
      <c r="AN7170" t="s">
        <v>53</v>
      </c>
      <c r="AO7170" t="s">
        <v>53</v>
      </c>
      <c r="AP7170" t="s">
        <v>53</v>
      </c>
    </row>
    <row r="7171" spans="2:42" x14ac:dyDescent="0.2">
      <c r="B7171" t="s">
        <v>44</v>
      </c>
      <c r="C7171" t="str">
        <f>HYPERLINK("https://us2.cloudbeds.com/connect/8493803454333002#/reservations/9080486847265772?display=3Z3RHZX3U7&amp;reservation_id=9080486847265772", "3Z3RHZX3U7")</f>
        <v>3Z3RHZX3U7</v>
      </c>
      <c r="D7171" t="s">
        <v>45</v>
      </c>
      <c r="E7171" t="s">
        <v>487</v>
      </c>
      <c r="F7171" t="s">
        <v>61</v>
      </c>
      <c r="G7171" t="s">
        <v>48</v>
      </c>
      <c r="H7171" t="s">
        <v>49</v>
      </c>
      <c r="I7171" t="s">
        <v>50</v>
      </c>
      <c r="J7171" t="s">
        <v>12350</v>
      </c>
      <c r="K7171" t="s">
        <v>11482</v>
      </c>
      <c r="L7171" t="s">
        <v>53</v>
      </c>
      <c r="N7171" t="s">
        <v>12967</v>
      </c>
      <c r="P7171" t="s">
        <v>55</v>
      </c>
      <c r="R7171" t="s">
        <v>53</v>
      </c>
      <c r="T7171" t="s">
        <v>12968</v>
      </c>
      <c r="U7171" t="s">
        <v>58</v>
      </c>
      <c r="V7171">
        <v>2</v>
      </c>
      <c r="W7171">
        <v>1</v>
      </c>
      <c r="X7171">
        <v>2</v>
      </c>
      <c r="Y7171">
        <v>0</v>
      </c>
      <c r="Z7171">
        <v>2</v>
      </c>
      <c r="AA7171">
        <v>303.45</v>
      </c>
      <c r="AB7171">
        <v>303.45</v>
      </c>
      <c r="AC7171">
        <v>267</v>
      </c>
      <c r="AD7171">
        <v>0</v>
      </c>
      <c r="AE7171">
        <v>36.450000000000003</v>
      </c>
      <c r="AF7171">
        <v>0</v>
      </c>
      <c r="AG7171">
        <v>0</v>
      </c>
      <c r="AH7171">
        <v>0</v>
      </c>
      <c r="AI7171">
        <v>54.62</v>
      </c>
      <c r="AJ7171">
        <v>303.45</v>
      </c>
      <c r="AK7171">
        <v>0</v>
      </c>
      <c r="AL7171" t="s">
        <v>53</v>
      </c>
      <c r="AM7171" t="s">
        <v>53</v>
      </c>
      <c r="AN7171" t="s">
        <v>53</v>
      </c>
      <c r="AO7171" t="s">
        <v>53</v>
      </c>
      <c r="AP7171" t="s">
        <v>53</v>
      </c>
    </row>
    <row r="7172" spans="2:42" x14ac:dyDescent="0.2">
      <c r="B7172" t="s">
        <v>44</v>
      </c>
      <c r="C7172" t="str">
        <f>HYPERLINK("https://us2.cloudbeds.com/connect/8493803454333002#/reservations/9080486847266700?display=3Z53B5GD02&amp;reservation_id=9080486847266700", "3Z53B5GD02")</f>
        <v>3Z53B5GD02</v>
      </c>
      <c r="D7172" t="s">
        <v>45</v>
      </c>
      <c r="E7172" t="s">
        <v>128</v>
      </c>
      <c r="F7172" t="s">
        <v>86</v>
      </c>
      <c r="G7172" t="s">
        <v>48</v>
      </c>
      <c r="H7172" t="s">
        <v>49</v>
      </c>
      <c r="I7172" t="s">
        <v>50</v>
      </c>
      <c r="J7172" t="s">
        <v>12822</v>
      </c>
      <c r="K7172" t="s">
        <v>12862</v>
      </c>
      <c r="L7172" t="s">
        <v>53</v>
      </c>
      <c r="N7172" t="s">
        <v>12969</v>
      </c>
      <c r="P7172" t="s">
        <v>55</v>
      </c>
      <c r="R7172" t="s">
        <v>56</v>
      </c>
      <c r="T7172" t="s">
        <v>12970</v>
      </c>
      <c r="U7172" t="s">
        <v>58</v>
      </c>
      <c r="V7172">
        <v>1</v>
      </c>
      <c r="W7172">
        <v>1</v>
      </c>
      <c r="X7172">
        <v>2</v>
      </c>
      <c r="Y7172">
        <v>0</v>
      </c>
      <c r="Z7172">
        <v>2</v>
      </c>
      <c r="AA7172">
        <v>183.27</v>
      </c>
      <c r="AB7172">
        <v>184.88</v>
      </c>
      <c r="AC7172">
        <v>161.25</v>
      </c>
      <c r="AD7172">
        <v>0</v>
      </c>
      <c r="AE7172">
        <v>23.63</v>
      </c>
      <c r="AF7172">
        <v>0</v>
      </c>
      <c r="AG7172">
        <v>0</v>
      </c>
      <c r="AH7172">
        <v>0</v>
      </c>
      <c r="AI7172">
        <v>33.28</v>
      </c>
      <c r="AJ7172">
        <v>184.88</v>
      </c>
      <c r="AK7172">
        <v>0</v>
      </c>
      <c r="AL7172" t="s">
        <v>53</v>
      </c>
      <c r="AM7172" t="s">
        <v>53</v>
      </c>
      <c r="AN7172" t="s">
        <v>53</v>
      </c>
      <c r="AO7172" t="s">
        <v>53</v>
      </c>
      <c r="AP7172" t="s">
        <v>53</v>
      </c>
    </row>
    <row r="7173" spans="2:42" x14ac:dyDescent="0.2">
      <c r="B7173" t="s">
        <v>44</v>
      </c>
      <c r="C7173" t="str">
        <f>HYPERLINK("https://us2.cloudbeds.com/connect/8493803454333002#/reservations/9080486847266701?display=3Z53F404H8&amp;reservation_id=9080486847266701", "3Z53F404H8")</f>
        <v>3Z53F404H8</v>
      </c>
      <c r="D7173" t="s">
        <v>45</v>
      </c>
      <c r="E7173" t="s">
        <v>85</v>
      </c>
      <c r="F7173" t="s">
        <v>86</v>
      </c>
      <c r="G7173" t="s">
        <v>48</v>
      </c>
      <c r="H7173" t="s">
        <v>49</v>
      </c>
      <c r="I7173" t="s">
        <v>50</v>
      </c>
      <c r="J7173" t="s">
        <v>12822</v>
      </c>
      <c r="K7173" t="s">
        <v>12862</v>
      </c>
      <c r="L7173" t="s">
        <v>53</v>
      </c>
      <c r="N7173" t="s">
        <v>12971</v>
      </c>
      <c r="P7173" t="s">
        <v>55</v>
      </c>
      <c r="R7173" t="s">
        <v>56</v>
      </c>
      <c r="T7173" t="s">
        <v>12972</v>
      </c>
      <c r="U7173" t="s">
        <v>58</v>
      </c>
      <c r="V7173">
        <v>1</v>
      </c>
      <c r="W7173">
        <v>1</v>
      </c>
      <c r="X7173">
        <v>2</v>
      </c>
      <c r="Y7173">
        <v>0</v>
      </c>
      <c r="Z7173">
        <v>2</v>
      </c>
      <c r="AA7173">
        <v>183.27</v>
      </c>
      <c r="AB7173">
        <v>184.88</v>
      </c>
      <c r="AC7173">
        <v>161.25</v>
      </c>
      <c r="AD7173">
        <v>0</v>
      </c>
      <c r="AE7173">
        <v>23.63</v>
      </c>
      <c r="AF7173">
        <v>0</v>
      </c>
      <c r="AG7173">
        <v>0</v>
      </c>
      <c r="AH7173">
        <v>0</v>
      </c>
      <c r="AI7173">
        <v>33.28</v>
      </c>
      <c r="AJ7173">
        <v>184.88</v>
      </c>
      <c r="AK7173">
        <v>0</v>
      </c>
      <c r="AL7173" t="s">
        <v>53</v>
      </c>
      <c r="AM7173" t="s">
        <v>53</v>
      </c>
      <c r="AN7173" t="s">
        <v>53</v>
      </c>
      <c r="AO7173" t="s">
        <v>53</v>
      </c>
      <c r="AP7173" t="s">
        <v>53</v>
      </c>
    </row>
    <row r="7174" spans="2:42" x14ac:dyDescent="0.2">
      <c r="B7174" t="s">
        <v>44</v>
      </c>
      <c r="C7174" t="str">
        <f>HYPERLINK("https://us2.cloudbeds.com/connect/8493803454333002#/reservations/9080486847266702?display=3Z53G2X301&amp;reservation_id=9080486847266702", "3Z53G2X301")</f>
        <v>3Z53G2X301</v>
      </c>
      <c r="D7174" t="s">
        <v>45</v>
      </c>
      <c r="E7174" t="s">
        <v>155</v>
      </c>
      <c r="F7174" t="s">
        <v>86</v>
      </c>
      <c r="G7174" t="s">
        <v>48</v>
      </c>
      <c r="H7174" t="s">
        <v>49</v>
      </c>
      <c r="I7174" t="s">
        <v>50</v>
      </c>
      <c r="J7174" t="s">
        <v>12822</v>
      </c>
      <c r="K7174" t="s">
        <v>12862</v>
      </c>
      <c r="L7174" t="s">
        <v>53</v>
      </c>
      <c r="N7174" t="s">
        <v>12973</v>
      </c>
      <c r="P7174" t="s">
        <v>55</v>
      </c>
      <c r="R7174" t="s">
        <v>56</v>
      </c>
      <c r="T7174" t="s">
        <v>12974</v>
      </c>
      <c r="U7174" t="s">
        <v>58</v>
      </c>
      <c r="V7174">
        <v>1</v>
      </c>
      <c r="W7174">
        <v>1</v>
      </c>
      <c r="X7174">
        <v>2</v>
      </c>
      <c r="Y7174">
        <v>0</v>
      </c>
      <c r="Z7174">
        <v>2</v>
      </c>
      <c r="AA7174">
        <v>183.27</v>
      </c>
      <c r="AB7174">
        <v>184.88</v>
      </c>
      <c r="AC7174">
        <v>161.25</v>
      </c>
      <c r="AD7174">
        <v>0</v>
      </c>
      <c r="AE7174">
        <v>23.63</v>
      </c>
      <c r="AF7174">
        <v>0</v>
      </c>
      <c r="AG7174">
        <v>0</v>
      </c>
      <c r="AH7174">
        <v>0</v>
      </c>
      <c r="AI7174">
        <v>33.28</v>
      </c>
      <c r="AJ7174">
        <v>184.88</v>
      </c>
      <c r="AK7174">
        <v>0</v>
      </c>
      <c r="AL7174" t="s">
        <v>53</v>
      </c>
      <c r="AM7174" t="s">
        <v>53</v>
      </c>
      <c r="AN7174" t="s">
        <v>53</v>
      </c>
      <c r="AO7174" t="s">
        <v>53</v>
      </c>
      <c r="AP7174" t="s">
        <v>53</v>
      </c>
    </row>
    <row r="7175" spans="2:42" x14ac:dyDescent="0.2">
      <c r="B7175" t="s">
        <v>44</v>
      </c>
      <c r="C7175" t="str">
        <f>HYPERLINK("https://us2.cloudbeds.com/connect/8493803454333002#/reservations/9080486847266703?display=3Z53G2X303&amp;reservation_id=9080486847266703", "3Z53G2X303")</f>
        <v>3Z53G2X303</v>
      </c>
      <c r="D7175" t="s">
        <v>45</v>
      </c>
      <c r="E7175" t="s">
        <v>213</v>
      </c>
      <c r="F7175" t="s">
        <v>86</v>
      </c>
      <c r="G7175" t="s">
        <v>48</v>
      </c>
      <c r="H7175" t="s">
        <v>49</v>
      </c>
      <c r="I7175" t="s">
        <v>50</v>
      </c>
      <c r="J7175" t="s">
        <v>12822</v>
      </c>
      <c r="K7175" t="s">
        <v>12862</v>
      </c>
      <c r="L7175" t="s">
        <v>53</v>
      </c>
      <c r="N7175" t="s">
        <v>12975</v>
      </c>
      <c r="P7175" t="s">
        <v>55</v>
      </c>
      <c r="R7175" t="s">
        <v>56</v>
      </c>
      <c r="T7175" t="s">
        <v>12976</v>
      </c>
      <c r="U7175" t="s">
        <v>58</v>
      </c>
      <c r="V7175">
        <v>1</v>
      </c>
      <c r="W7175">
        <v>1</v>
      </c>
      <c r="X7175">
        <v>2</v>
      </c>
      <c r="Y7175">
        <v>0</v>
      </c>
      <c r="Z7175">
        <v>2</v>
      </c>
      <c r="AA7175">
        <v>183.27</v>
      </c>
      <c r="AB7175">
        <v>184.88</v>
      </c>
      <c r="AC7175">
        <v>161.25</v>
      </c>
      <c r="AD7175">
        <v>0</v>
      </c>
      <c r="AE7175">
        <v>23.63</v>
      </c>
      <c r="AF7175">
        <v>0</v>
      </c>
      <c r="AG7175">
        <v>0</v>
      </c>
      <c r="AH7175">
        <v>0</v>
      </c>
      <c r="AI7175">
        <v>33.28</v>
      </c>
      <c r="AJ7175">
        <v>184.88</v>
      </c>
      <c r="AK7175">
        <v>0</v>
      </c>
      <c r="AL7175" t="s">
        <v>53</v>
      </c>
      <c r="AM7175" t="s">
        <v>53</v>
      </c>
      <c r="AN7175" t="s">
        <v>53</v>
      </c>
      <c r="AO7175" t="s">
        <v>53</v>
      </c>
      <c r="AP7175" t="s">
        <v>53</v>
      </c>
    </row>
    <row r="7176" spans="2:42" x14ac:dyDescent="0.2">
      <c r="B7176" t="s">
        <v>44</v>
      </c>
      <c r="C7176" t="str">
        <f>HYPERLINK("https://us2.cloudbeds.com/connect/8493803454333002#/reservations/9080486847266704?display=3Z53G2X304&amp;reservation_id=9080486847266704", "3Z53G2X304")</f>
        <v>3Z53G2X304</v>
      </c>
      <c r="D7176" t="s">
        <v>45</v>
      </c>
      <c r="E7176" t="s">
        <v>98</v>
      </c>
      <c r="F7176" t="s">
        <v>86</v>
      </c>
      <c r="G7176" t="s">
        <v>48</v>
      </c>
      <c r="H7176" t="s">
        <v>49</v>
      </c>
      <c r="I7176" t="s">
        <v>50</v>
      </c>
      <c r="J7176" t="s">
        <v>12822</v>
      </c>
      <c r="K7176" t="s">
        <v>12862</v>
      </c>
      <c r="L7176" t="s">
        <v>53</v>
      </c>
      <c r="N7176" t="s">
        <v>12977</v>
      </c>
      <c r="P7176" t="s">
        <v>55</v>
      </c>
      <c r="R7176" t="s">
        <v>56</v>
      </c>
      <c r="T7176" t="s">
        <v>12978</v>
      </c>
      <c r="U7176" t="s">
        <v>58</v>
      </c>
      <c r="V7176">
        <v>1</v>
      </c>
      <c r="W7176">
        <v>1</v>
      </c>
      <c r="X7176">
        <v>2</v>
      </c>
      <c r="Y7176">
        <v>0</v>
      </c>
      <c r="Z7176">
        <v>2</v>
      </c>
      <c r="AA7176">
        <v>183.27</v>
      </c>
      <c r="AB7176">
        <v>184.88</v>
      </c>
      <c r="AC7176">
        <v>161.25</v>
      </c>
      <c r="AD7176">
        <v>0</v>
      </c>
      <c r="AE7176">
        <v>23.63</v>
      </c>
      <c r="AF7176">
        <v>0</v>
      </c>
      <c r="AG7176">
        <v>0</v>
      </c>
      <c r="AH7176">
        <v>0</v>
      </c>
      <c r="AI7176">
        <v>33.28</v>
      </c>
      <c r="AJ7176">
        <v>184.88</v>
      </c>
      <c r="AK7176">
        <v>0</v>
      </c>
      <c r="AL7176" t="s">
        <v>53</v>
      </c>
      <c r="AM7176" t="s">
        <v>53</v>
      </c>
      <c r="AN7176" t="s">
        <v>53</v>
      </c>
      <c r="AO7176" t="s">
        <v>53</v>
      </c>
      <c r="AP7176" t="s">
        <v>53</v>
      </c>
    </row>
    <row r="7177" spans="2:42" x14ac:dyDescent="0.2">
      <c r="B7177" t="s">
        <v>44</v>
      </c>
      <c r="C7177" t="str">
        <f>HYPERLINK("https://us2.cloudbeds.com/connect/8493803454333002#/reservations/9080486847266705?display=3Z52RRU427&amp;reservation_id=9080486847266705", "3Z52RRU427")</f>
        <v>3Z52RRU427</v>
      </c>
      <c r="D7177" t="s">
        <v>45</v>
      </c>
      <c r="E7177" t="s">
        <v>121</v>
      </c>
      <c r="F7177" t="s">
        <v>86</v>
      </c>
      <c r="G7177" t="s">
        <v>48</v>
      </c>
      <c r="H7177" t="s">
        <v>49</v>
      </c>
      <c r="I7177" t="s">
        <v>50</v>
      </c>
      <c r="J7177" t="s">
        <v>12822</v>
      </c>
      <c r="K7177" t="s">
        <v>12862</v>
      </c>
      <c r="L7177" t="s">
        <v>53</v>
      </c>
      <c r="N7177" t="s">
        <v>12979</v>
      </c>
      <c r="P7177" t="s">
        <v>55</v>
      </c>
      <c r="R7177" t="s">
        <v>56</v>
      </c>
      <c r="T7177" t="s">
        <v>12980</v>
      </c>
      <c r="U7177" t="s">
        <v>58</v>
      </c>
      <c r="V7177">
        <v>1</v>
      </c>
      <c r="W7177">
        <v>1</v>
      </c>
      <c r="X7177">
        <v>2</v>
      </c>
      <c r="Y7177">
        <v>0</v>
      </c>
      <c r="Z7177">
        <v>2</v>
      </c>
      <c r="AA7177">
        <v>183.27</v>
      </c>
      <c r="AB7177">
        <v>184.88</v>
      </c>
      <c r="AC7177">
        <v>161.25</v>
      </c>
      <c r="AD7177">
        <v>0</v>
      </c>
      <c r="AE7177">
        <v>23.63</v>
      </c>
      <c r="AF7177">
        <v>0</v>
      </c>
      <c r="AG7177">
        <v>0</v>
      </c>
      <c r="AH7177">
        <v>0</v>
      </c>
      <c r="AI7177">
        <v>33.28</v>
      </c>
      <c r="AJ7177">
        <v>184.88</v>
      </c>
      <c r="AK7177">
        <v>0</v>
      </c>
      <c r="AL7177" t="s">
        <v>53</v>
      </c>
      <c r="AM7177" t="s">
        <v>53</v>
      </c>
      <c r="AN7177" t="s">
        <v>53</v>
      </c>
      <c r="AO7177" t="s">
        <v>53</v>
      </c>
      <c r="AP7177" t="s">
        <v>53</v>
      </c>
    </row>
    <row r="7178" spans="2:42" x14ac:dyDescent="0.2">
      <c r="B7178" t="s">
        <v>44</v>
      </c>
      <c r="C7178" t="str">
        <f>HYPERLINK("https://us2.cloudbeds.com/connect/8493803454333002#/reservations/9080486847266724?display=3Z53PNMHXZ&amp;reservation_id=9080486847266724", "3Z53PNMHXZ")</f>
        <v>3Z53PNMHXZ</v>
      </c>
      <c r="D7178" t="s">
        <v>45</v>
      </c>
      <c r="E7178" t="s">
        <v>113</v>
      </c>
      <c r="F7178" t="s">
        <v>61</v>
      </c>
      <c r="G7178" t="s">
        <v>48</v>
      </c>
      <c r="H7178" t="s">
        <v>49</v>
      </c>
      <c r="I7178" t="s">
        <v>50</v>
      </c>
      <c r="J7178" t="s">
        <v>12822</v>
      </c>
      <c r="K7178" t="s">
        <v>12862</v>
      </c>
      <c r="L7178" t="s">
        <v>53</v>
      </c>
      <c r="N7178" t="s">
        <v>12981</v>
      </c>
      <c r="P7178" t="s">
        <v>55</v>
      </c>
      <c r="R7178" t="s">
        <v>56</v>
      </c>
      <c r="T7178" t="s">
        <v>12982</v>
      </c>
      <c r="U7178" t="s">
        <v>58</v>
      </c>
      <c r="V7178">
        <v>1</v>
      </c>
      <c r="W7178">
        <v>1</v>
      </c>
      <c r="X7178">
        <v>2</v>
      </c>
      <c r="Y7178">
        <v>0</v>
      </c>
      <c r="Z7178">
        <v>2</v>
      </c>
      <c r="AA7178">
        <v>172.17</v>
      </c>
      <c r="AB7178">
        <v>173.69</v>
      </c>
      <c r="AC7178">
        <v>151.5</v>
      </c>
      <c r="AD7178">
        <v>0</v>
      </c>
      <c r="AE7178">
        <v>22.19</v>
      </c>
      <c r="AF7178">
        <v>0</v>
      </c>
      <c r="AG7178">
        <v>0</v>
      </c>
      <c r="AH7178">
        <v>0</v>
      </c>
      <c r="AI7178">
        <v>31.26</v>
      </c>
      <c r="AJ7178">
        <v>173.69</v>
      </c>
      <c r="AK7178">
        <v>0</v>
      </c>
      <c r="AL7178" t="s">
        <v>53</v>
      </c>
      <c r="AM7178" t="s">
        <v>53</v>
      </c>
      <c r="AN7178" t="s">
        <v>53</v>
      </c>
      <c r="AO7178" t="s">
        <v>53</v>
      </c>
      <c r="AP7178" t="s">
        <v>53</v>
      </c>
    </row>
    <row r="7179" spans="2:42" x14ac:dyDescent="0.2">
      <c r="B7179" t="s">
        <v>44</v>
      </c>
      <c r="C7179" t="str">
        <f>HYPERLINK("https://us2.cloudbeds.com/connect/8493803454333002#/reservations/9080486847269074?display=3Z7GKN12DU&amp;reservation_id=9080486847269074", "3Z7GKN12DU")</f>
        <v>3Z7GKN12DU</v>
      </c>
      <c r="D7179" t="s">
        <v>45</v>
      </c>
      <c r="E7179" t="s">
        <v>138</v>
      </c>
      <c r="F7179" t="s">
        <v>70</v>
      </c>
      <c r="G7179" t="s">
        <v>48</v>
      </c>
      <c r="H7179" t="s">
        <v>49</v>
      </c>
      <c r="I7179" t="s">
        <v>50</v>
      </c>
      <c r="J7179" t="s">
        <v>11275</v>
      </c>
      <c r="K7179" t="s">
        <v>11412</v>
      </c>
      <c r="L7179" t="s">
        <v>53</v>
      </c>
      <c r="N7179" t="s">
        <v>12983</v>
      </c>
      <c r="P7179" t="s">
        <v>55</v>
      </c>
      <c r="R7179" t="s">
        <v>53</v>
      </c>
      <c r="T7179" t="s">
        <v>12984</v>
      </c>
      <c r="U7179" t="s">
        <v>58</v>
      </c>
      <c r="V7179">
        <v>1</v>
      </c>
      <c r="W7179">
        <v>1</v>
      </c>
      <c r="X7179">
        <v>2</v>
      </c>
      <c r="Y7179">
        <v>0</v>
      </c>
      <c r="Z7179">
        <v>2</v>
      </c>
      <c r="AA7179">
        <v>104.85</v>
      </c>
      <c r="AB7179">
        <v>104.85</v>
      </c>
      <c r="AC7179">
        <v>92.25</v>
      </c>
      <c r="AD7179">
        <v>0</v>
      </c>
      <c r="AE7179">
        <v>12.6</v>
      </c>
      <c r="AF7179">
        <v>0</v>
      </c>
      <c r="AG7179">
        <v>0</v>
      </c>
      <c r="AH7179">
        <v>0</v>
      </c>
      <c r="AI7179">
        <v>18.87</v>
      </c>
      <c r="AJ7179">
        <v>104.85</v>
      </c>
      <c r="AK7179">
        <v>0</v>
      </c>
      <c r="AL7179" t="s">
        <v>53</v>
      </c>
      <c r="AM7179" t="s">
        <v>53</v>
      </c>
      <c r="AN7179" t="s">
        <v>53</v>
      </c>
      <c r="AO7179" t="s">
        <v>53</v>
      </c>
      <c r="AP7179" t="s">
        <v>53</v>
      </c>
    </row>
    <row r="7180" spans="2:42" x14ac:dyDescent="0.2">
      <c r="B7180" t="s">
        <v>44</v>
      </c>
      <c r="C7180" t="str">
        <f>HYPERLINK("https://us2.cloudbeds.com/connect/8493803454333002#/reservations/9080486847269417?display=3Z7PS6A8D2&amp;reservation_id=9080486847269417", "3Z7PS6A8D2")</f>
        <v>3Z7PS6A8D2</v>
      </c>
      <c r="D7180" t="s">
        <v>45</v>
      </c>
      <c r="E7180" t="s">
        <v>190</v>
      </c>
      <c r="F7180" t="s">
        <v>61</v>
      </c>
      <c r="G7180" t="s">
        <v>48</v>
      </c>
      <c r="H7180" t="s">
        <v>49</v>
      </c>
      <c r="I7180" t="s">
        <v>50</v>
      </c>
      <c r="J7180" t="s">
        <v>12850</v>
      </c>
      <c r="K7180" t="s">
        <v>12777</v>
      </c>
      <c r="L7180" t="s">
        <v>53</v>
      </c>
      <c r="N7180" t="s">
        <v>12985</v>
      </c>
      <c r="P7180" t="s">
        <v>55</v>
      </c>
      <c r="R7180" t="s">
        <v>53</v>
      </c>
      <c r="T7180" t="s">
        <v>12986</v>
      </c>
      <c r="U7180" t="s">
        <v>58</v>
      </c>
      <c r="V7180">
        <v>1</v>
      </c>
      <c r="W7180">
        <v>1</v>
      </c>
      <c r="X7180">
        <v>2</v>
      </c>
      <c r="Y7180">
        <v>0</v>
      </c>
      <c r="Z7180">
        <v>2</v>
      </c>
      <c r="AA7180">
        <v>73.31</v>
      </c>
      <c r="AB7180">
        <v>73.31</v>
      </c>
      <c r="AC7180">
        <v>64.5</v>
      </c>
      <c r="AD7180">
        <v>0</v>
      </c>
      <c r="AE7180">
        <v>8.81</v>
      </c>
      <c r="AF7180">
        <v>0</v>
      </c>
      <c r="AG7180">
        <v>0</v>
      </c>
      <c r="AH7180">
        <v>0</v>
      </c>
      <c r="AI7180">
        <v>13.2</v>
      </c>
      <c r="AJ7180">
        <v>73.31</v>
      </c>
      <c r="AK7180">
        <v>0</v>
      </c>
      <c r="AL7180" t="s">
        <v>53</v>
      </c>
      <c r="AM7180" t="s">
        <v>53</v>
      </c>
      <c r="AN7180" t="s">
        <v>53</v>
      </c>
      <c r="AO7180" t="s">
        <v>53</v>
      </c>
      <c r="AP7180" t="s">
        <v>53</v>
      </c>
    </row>
    <row r="7181" spans="2:42" x14ac:dyDescent="0.2">
      <c r="B7181" t="s">
        <v>44</v>
      </c>
      <c r="C7181" t="str">
        <f>HYPERLINK("https://us2.cloudbeds.com/connect/8493803454333002#/reservations/9080486847269709?display=3Z803M1X2K&amp;reservation_id=9080486847269709", "3Z803M1X2K")</f>
        <v>3Z803M1X2K</v>
      </c>
      <c r="D7181" t="s">
        <v>45</v>
      </c>
      <c r="E7181" t="s">
        <v>128</v>
      </c>
      <c r="F7181" t="s">
        <v>86</v>
      </c>
      <c r="G7181" t="s">
        <v>48</v>
      </c>
      <c r="H7181" t="s">
        <v>49</v>
      </c>
      <c r="I7181" t="s">
        <v>50</v>
      </c>
      <c r="J7181" t="s">
        <v>11884</v>
      </c>
      <c r="K7181" t="s">
        <v>12350</v>
      </c>
      <c r="L7181" t="s">
        <v>53</v>
      </c>
      <c r="N7181" t="s">
        <v>12987</v>
      </c>
      <c r="P7181" t="s">
        <v>55</v>
      </c>
      <c r="R7181" t="s">
        <v>53</v>
      </c>
      <c r="T7181" t="s">
        <v>12988</v>
      </c>
      <c r="U7181" t="s">
        <v>58</v>
      </c>
      <c r="V7181">
        <v>1</v>
      </c>
      <c r="W7181">
        <v>1</v>
      </c>
      <c r="X7181">
        <v>2</v>
      </c>
      <c r="Y7181">
        <v>0</v>
      </c>
      <c r="Z7181">
        <v>2</v>
      </c>
      <c r="AA7181">
        <v>127.86</v>
      </c>
      <c r="AB7181">
        <v>127.86</v>
      </c>
      <c r="AC7181">
        <v>112.5</v>
      </c>
      <c r="AD7181">
        <v>0</v>
      </c>
      <c r="AE7181">
        <v>15.36</v>
      </c>
      <c r="AF7181">
        <v>0</v>
      </c>
      <c r="AG7181">
        <v>0</v>
      </c>
      <c r="AH7181">
        <v>0</v>
      </c>
      <c r="AI7181">
        <v>23.01</v>
      </c>
      <c r="AJ7181">
        <v>127.86</v>
      </c>
      <c r="AK7181">
        <v>0</v>
      </c>
      <c r="AL7181" t="s">
        <v>53</v>
      </c>
      <c r="AM7181" t="s">
        <v>53</v>
      </c>
      <c r="AN7181" t="s">
        <v>53</v>
      </c>
      <c r="AO7181" t="s">
        <v>53</v>
      </c>
      <c r="AP7181" t="s">
        <v>53</v>
      </c>
    </row>
    <row r="7182" spans="2:42" x14ac:dyDescent="0.2">
      <c r="B7182" t="s">
        <v>44</v>
      </c>
      <c r="C7182" t="str">
        <f>HYPERLINK("https://us2.cloudbeds.com/connect/8493803454333002#/reservations/9080486847269710?display=3Z805QTTTS&amp;reservation_id=9080486847269710", "3Z805QTTTS")</f>
        <v>3Z805QTTTS</v>
      </c>
      <c r="D7182" t="s">
        <v>45</v>
      </c>
      <c r="E7182" t="s">
        <v>85</v>
      </c>
      <c r="F7182" t="s">
        <v>86</v>
      </c>
      <c r="G7182" t="s">
        <v>48</v>
      </c>
      <c r="H7182" t="s">
        <v>49</v>
      </c>
      <c r="I7182" t="s">
        <v>50</v>
      </c>
      <c r="J7182" t="s">
        <v>11884</v>
      </c>
      <c r="K7182" t="s">
        <v>12350</v>
      </c>
      <c r="L7182" t="s">
        <v>53</v>
      </c>
      <c r="N7182" t="s">
        <v>12989</v>
      </c>
      <c r="P7182" t="s">
        <v>55</v>
      </c>
      <c r="R7182" t="s">
        <v>53</v>
      </c>
      <c r="T7182" t="s">
        <v>12990</v>
      </c>
      <c r="U7182" t="s">
        <v>58</v>
      </c>
      <c r="V7182">
        <v>1</v>
      </c>
      <c r="W7182">
        <v>1</v>
      </c>
      <c r="X7182">
        <v>3</v>
      </c>
      <c r="Y7182">
        <v>0</v>
      </c>
      <c r="Z7182">
        <v>3</v>
      </c>
      <c r="AA7182">
        <v>127.86</v>
      </c>
      <c r="AB7182">
        <v>127.86</v>
      </c>
      <c r="AC7182">
        <v>112.5</v>
      </c>
      <c r="AD7182">
        <v>0</v>
      </c>
      <c r="AE7182">
        <v>15.36</v>
      </c>
      <c r="AF7182">
        <v>0</v>
      </c>
      <c r="AG7182">
        <v>0</v>
      </c>
      <c r="AH7182">
        <v>0</v>
      </c>
      <c r="AI7182">
        <v>23.01</v>
      </c>
      <c r="AJ7182">
        <v>127.86</v>
      </c>
      <c r="AK7182">
        <v>0</v>
      </c>
      <c r="AL7182" t="s">
        <v>53</v>
      </c>
      <c r="AM7182" t="s">
        <v>53</v>
      </c>
      <c r="AN7182" t="s">
        <v>12991</v>
      </c>
      <c r="AO7182" t="s">
        <v>53</v>
      </c>
      <c r="AP7182" t="s">
        <v>53</v>
      </c>
    </row>
    <row r="7183" spans="2:42" x14ac:dyDescent="0.2">
      <c r="B7183" t="s">
        <v>44</v>
      </c>
      <c r="C7183" t="str">
        <f>HYPERLINK("https://us2.cloudbeds.com/connect/8493803454333002#/reservations/9080486847272591?display=3ZA2BH0HPY&amp;reservation_id=9080486847272591", "3ZA2BH0HPY")</f>
        <v>3ZA2BH0HPY</v>
      </c>
      <c r="D7183" t="s">
        <v>45</v>
      </c>
      <c r="E7183" t="s">
        <v>223</v>
      </c>
      <c r="F7183" t="s">
        <v>47</v>
      </c>
      <c r="G7183" t="s">
        <v>48</v>
      </c>
      <c r="H7183" t="s">
        <v>49</v>
      </c>
      <c r="I7183" t="s">
        <v>8964</v>
      </c>
      <c r="J7183" t="s">
        <v>12850</v>
      </c>
      <c r="K7183" t="s">
        <v>12777</v>
      </c>
      <c r="L7183" t="s">
        <v>53</v>
      </c>
      <c r="N7183" t="s">
        <v>12992</v>
      </c>
      <c r="P7183" t="s">
        <v>55</v>
      </c>
      <c r="R7183" t="s">
        <v>53</v>
      </c>
      <c r="T7183" t="s">
        <v>12993</v>
      </c>
      <c r="U7183" t="s">
        <v>55</v>
      </c>
      <c r="V7183">
        <v>1</v>
      </c>
      <c r="W7183">
        <v>1</v>
      </c>
      <c r="X7183">
        <v>1</v>
      </c>
      <c r="Y7183">
        <v>0</v>
      </c>
      <c r="Z7183">
        <v>1</v>
      </c>
      <c r="AA7183">
        <v>0</v>
      </c>
      <c r="AB7183">
        <v>0</v>
      </c>
      <c r="AC7183">
        <v>89</v>
      </c>
      <c r="AD7183">
        <v>0</v>
      </c>
      <c r="AE7183">
        <v>0</v>
      </c>
      <c r="AF7183">
        <v>0</v>
      </c>
      <c r="AG7183">
        <v>0</v>
      </c>
      <c r="AH7183">
        <v>0</v>
      </c>
      <c r="AI7183">
        <v>13.35</v>
      </c>
      <c r="AJ7183">
        <v>89</v>
      </c>
      <c r="AK7183">
        <v>89</v>
      </c>
      <c r="AL7183" t="s">
        <v>53</v>
      </c>
      <c r="AM7183" t="s">
        <v>53</v>
      </c>
      <c r="AN7183" t="s">
        <v>53</v>
      </c>
      <c r="AO7183" t="s">
        <v>53</v>
      </c>
      <c r="AP7183" t="s">
        <v>53</v>
      </c>
    </row>
    <row r="7184" spans="2:42" x14ac:dyDescent="0.2">
      <c r="B7184" t="s">
        <v>44</v>
      </c>
      <c r="C7184" t="str">
        <f>HYPERLINK("https://us2.cloudbeds.com/connect/8493803454333002#/reservations/173444963131561?display=3ZANKR4YFY&amp;reservation_id=173444963131561", "3ZANKR4YFY")</f>
        <v>3ZANKR4YFY</v>
      </c>
      <c r="D7184" t="s">
        <v>45</v>
      </c>
      <c r="E7184" t="s">
        <v>190</v>
      </c>
      <c r="F7184" t="s">
        <v>61</v>
      </c>
      <c r="G7184" t="s">
        <v>48</v>
      </c>
      <c r="H7184" t="s">
        <v>3957</v>
      </c>
      <c r="I7184" t="s">
        <v>3958</v>
      </c>
      <c r="J7184" t="s">
        <v>12506</v>
      </c>
      <c r="K7184" t="s">
        <v>12850</v>
      </c>
      <c r="L7184" t="s">
        <v>53</v>
      </c>
      <c r="P7184" t="s">
        <v>55</v>
      </c>
      <c r="R7184" t="s">
        <v>56</v>
      </c>
      <c r="T7184" t="s">
        <v>12994</v>
      </c>
      <c r="U7184" t="s">
        <v>58</v>
      </c>
      <c r="V7184">
        <v>1</v>
      </c>
      <c r="W7184">
        <v>1</v>
      </c>
      <c r="X7184">
        <v>1</v>
      </c>
      <c r="Y7184">
        <v>0</v>
      </c>
      <c r="Z7184">
        <v>1</v>
      </c>
      <c r="AA7184">
        <v>97.74</v>
      </c>
      <c r="AB7184">
        <v>97.74</v>
      </c>
      <c r="AC7184">
        <v>86</v>
      </c>
      <c r="AD7184">
        <v>0</v>
      </c>
      <c r="AE7184">
        <v>11.74</v>
      </c>
      <c r="AF7184">
        <v>0</v>
      </c>
      <c r="AG7184">
        <v>0</v>
      </c>
      <c r="AH7184">
        <v>0</v>
      </c>
      <c r="AI7184">
        <v>0</v>
      </c>
      <c r="AJ7184">
        <v>97.74</v>
      </c>
      <c r="AK7184">
        <v>0</v>
      </c>
      <c r="AL7184" t="s">
        <v>53</v>
      </c>
      <c r="AM7184" t="s">
        <v>53</v>
      </c>
      <c r="AN7184" t="s">
        <v>53</v>
      </c>
      <c r="AO7184" t="s">
        <v>53</v>
      </c>
      <c r="AP7184" t="s">
        <v>53</v>
      </c>
    </row>
    <row r="7185" spans="2:42" x14ac:dyDescent="0.2">
      <c r="B7185" t="s">
        <v>44</v>
      </c>
      <c r="C7185" t="str">
        <f>HYPERLINK("https://us2.cloudbeds.com/connect/8493803454333002#/reservations/9080486847273507?display=3ZB1R09SZG&amp;reservation_id=9080486847273507", "3ZB1R09SZG")</f>
        <v>3ZB1R09SZG</v>
      </c>
      <c r="D7185" t="s">
        <v>45</v>
      </c>
      <c r="E7185" t="s">
        <v>155</v>
      </c>
      <c r="F7185" t="s">
        <v>86</v>
      </c>
      <c r="G7185" t="s">
        <v>48</v>
      </c>
      <c r="H7185" t="s">
        <v>49</v>
      </c>
      <c r="I7185" t="s">
        <v>50</v>
      </c>
      <c r="J7185" t="s">
        <v>12506</v>
      </c>
      <c r="K7185" t="s">
        <v>12850</v>
      </c>
      <c r="L7185" t="s">
        <v>53</v>
      </c>
      <c r="N7185" t="s">
        <v>12995</v>
      </c>
      <c r="P7185" t="s">
        <v>55</v>
      </c>
      <c r="R7185" t="s">
        <v>53</v>
      </c>
      <c r="T7185" t="s">
        <v>12996</v>
      </c>
      <c r="U7185" t="s">
        <v>58</v>
      </c>
      <c r="V7185">
        <v>1</v>
      </c>
      <c r="W7185">
        <v>1</v>
      </c>
      <c r="X7185">
        <v>2</v>
      </c>
      <c r="Y7185">
        <v>0</v>
      </c>
      <c r="Z7185">
        <v>2</v>
      </c>
      <c r="AA7185">
        <v>84.39</v>
      </c>
      <c r="AB7185">
        <v>84.39</v>
      </c>
      <c r="AC7185">
        <v>74.25</v>
      </c>
      <c r="AD7185">
        <v>0</v>
      </c>
      <c r="AE7185">
        <v>10.14</v>
      </c>
      <c r="AF7185">
        <v>0</v>
      </c>
      <c r="AG7185">
        <v>0</v>
      </c>
      <c r="AH7185">
        <v>0</v>
      </c>
      <c r="AI7185">
        <v>15.19</v>
      </c>
      <c r="AJ7185">
        <v>84.39</v>
      </c>
      <c r="AK7185">
        <v>0</v>
      </c>
      <c r="AL7185" t="s">
        <v>53</v>
      </c>
      <c r="AM7185" t="s">
        <v>53</v>
      </c>
      <c r="AN7185" t="s">
        <v>53</v>
      </c>
      <c r="AO7185" t="s">
        <v>53</v>
      </c>
      <c r="AP7185" t="s">
        <v>53</v>
      </c>
    </row>
    <row r="7186" spans="2:42" x14ac:dyDescent="0.2">
      <c r="B7186" t="s">
        <v>44</v>
      </c>
      <c r="C7186" t="str">
        <f>HYPERLINK("https://us2.cloudbeds.com/connect/8493803454333002#/reservations/9080486847273989?display=3ZBHN9SSEN&amp;reservation_id=9080486847273989", "3ZBHN9SSEN")</f>
        <v>3ZBHN9SSEN</v>
      </c>
      <c r="D7186" t="s">
        <v>45</v>
      </c>
      <c r="E7186" t="s">
        <v>223</v>
      </c>
      <c r="F7186" t="s">
        <v>47</v>
      </c>
      <c r="G7186" t="s">
        <v>48</v>
      </c>
      <c r="H7186" t="s">
        <v>49</v>
      </c>
      <c r="I7186" t="s">
        <v>50</v>
      </c>
      <c r="J7186" t="s">
        <v>10169</v>
      </c>
      <c r="K7186" t="s">
        <v>12420</v>
      </c>
      <c r="L7186" t="s">
        <v>53</v>
      </c>
      <c r="N7186" t="s">
        <v>12997</v>
      </c>
      <c r="P7186" t="s">
        <v>55</v>
      </c>
      <c r="R7186" t="s">
        <v>53</v>
      </c>
      <c r="T7186" t="s">
        <v>12998</v>
      </c>
      <c r="U7186" t="s">
        <v>58</v>
      </c>
      <c r="V7186">
        <v>3</v>
      </c>
      <c r="W7186">
        <v>1</v>
      </c>
      <c r="X7186">
        <v>2</v>
      </c>
      <c r="Y7186">
        <v>0</v>
      </c>
      <c r="Z7186">
        <v>2</v>
      </c>
      <c r="AA7186">
        <v>493.15</v>
      </c>
      <c r="AB7186">
        <v>493.15</v>
      </c>
      <c r="AC7186">
        <v>433.91</v>
      </c>
      <c r="AD7186">
        <v>0</v>
      </c>
      <c r="AE7186">
        <v>59.24</v>
      </c>
      <c r="AF7186">
        <v>0</v>
      </c>
      <c r="AG7186">
        <v>0</v>
      </c>
      <c r="AH7186">
        <v>0</v>
      </c>
      <c r="AI7186">
        <v>88.77</v>
      </c>
      <c r="AJ7186">
        <v>493.15</v>
      </c>
      <c r="AK7186">
        <v>0</v>
      </c>
      <c r="AL7186" t="s">
        <v>53</v>
      </c>
      <c r="AM7186" t="s">
        <v>53</v>
      </c>
      <c r="AN7186" t="s">
        <v>12999</v>
      </c>
      <c r="AO7186" t="s">
        <v>53</v>
      </c>
      <c r="AP7186" t="s">
        <v>53</v>
      </c>
    </row>
    <row r="7187" spans="2:42" x14ac:dyDescent="0.2">
      <c r="B7187" t="s">
        <v>44</v>
      </c>
      <c r="C7187" t="str">
        <f>HYPERLINK("https://us2.cloudbeds.com/connect/8493803454333002#/reservations/173669564711041?display=3ZFWHU4MYZ&amp;reservation_id=173669564711041", "3ZFWHU4MYZ")</f>
        <v>3ZFWHU4MYZ</v>
      </c>
      <c r="D7187" t="s">
        <v>45</v>
      </c>
      <c r="E7187" t="s">
        <v>305</v>
      </c>
      <c r="F7187" t="s">
        <v>61</v>
      </c>
      <c r="G7187" t="s">
        <v>7801</v>
      </c>
      <c r="H7187" t="s">
        <v>3957</v>
      </c>
      <c r="I7187" t="s">
        <v>3958</v>
      </c>
      <c r="J7187" t="s">
        <v>12850</v>
      </c>
      <c r="K7187" t="s">
        <v>12777</v>
      </c>
      <c r="L7187" t="s">
        <v>53</v>
      </c>
      <c r="P7187" t="s">
        <v>55</v>
      </c>
      <c r="R7187" t="s">
        <v>56</v>
      </c>
      <c r="T7187" t="s">
        <v>13000</v>
      </c>
      <c r="U7187" t="s">
        <v>58</v>
      </c>
      <c r="V7187">
        <v>1</v>
      </c>
      <c r="W7187">
        <v>1</v>
      </c>
      <c r="X7187">
        <v>1</v>
      </c>
      <c r="Y7187">
        <v>0</v>
      </c>
      <c r="Z7187">
        <v>1</v>
      </c>
      <c r="AA7187">
        <v>87.96</v>
      </c>
      <c r="AB7187">
        <v>87.96</v>
      </c>
      <c r="AC7187">
        <v>77.400000000000006</v>
      </c>
      <c r="AD7187">
        <v>0</v>
      </c>
      <c r="AE7187">
        <v>10.56</v>
      </c>
      <c r="AF7187">
        <v>0</v>
      </c>
      <c r="AG7187">
        <v>0</v>
      </c>
      <c r="AH7187">
        <v>0</v>
      </c>
      <c r="AI7187">
        <v>0</v>
      </c>
      <c r="AJ7187">
        <v>87.96</v>
      </c>
      <c r="AK7187">
        <v>0</v>
      </c>
      <c r="AL7187" t="s">
        <v>53</v>
      </c>
      <c r="AM7187" t="s">
        <v>53</v>
      </c>
      <c r="AN7187" t="s">
        <v>53</v>
      </c>
      <c r="AO7187" t="s">
        <v>53</v>
      </c>
      <c r="AP7187" t="s">
        <v>53</v>
      </c>
    </row>
    <row r="7188" spans="2:42" x14ac:dyDescent="0.2">
      <c r="B7188" t="s">
        <v>44</v>
      </c>
      <c r="C7188" t="str">
        <f>HYPERLINK("https://us2.cloudbeds.com/connect/8493803454333002#/reservations/9080486847278050?display=3ZG4D1BFQU&amp;reservation_id=9080486847278050", "3ZG4D1BFQU")</f>
        <v>3ZG4D1BFQU</v>
      </c>
      <c r="D7188" t="s">
        <v>45</v>
      </c>
      <c r="E7188" t="s">
        <v>85</v>
      </c>
      <c r="F7188" t="s">
        <v>86</v>
      </c>
      <c r="G7188" t="s">
        <v>48</v>
      </c>
      <c r="H7188" t="s">
        <v>49</v>
      </c>
      <c r="I7188" t="s">
        <v>50</v>
      </c>
      <c r="J7188" t="s">
        <v>13001</v>
      </c>
      <c r="K7188" t="s">
        <v>9580</v>
      </c>
      <c r="L7188" t="s">
        <v>53</v>
      </c>
      <c r="N7188" t="s">
        <v>13002</v>
      </c>
      <c r="P7188" t="s">
        <v>55</v>
      </c>
      <c r="R7188" t="s">
        <v>53</v>
      </c>
      <c r="T7188" t="s">
        <v>13003</v>
      </c>
      <c r="U7188" t="s">
        <v>58</v>
      </c>
      <c r="V7188">
        <v>5</v>
      </c>
      <c r="W7188">
        <v>1</v>
      </c>
      <c r="X7188">
        <v>3</v>
      </c>
      <c r="Y7188">
        <v>0</v>
      </c>
      <c r="Z7188">
        <v>3</v>
      </c>
      <c r="AA7188">
        <v>476.48</v>
      </c>
      <c r="AB7188">
        <v>480.68</v>
      </c>
      <c r="AC7188">
        <v>419.25</v>
      </c>
      <c r="AD7188">
        <v>0</v>
      </c>
      <c r="AE7188">
        <v>61.43</v>
      </c>
      <c r="AF7188">
        <v>0</v>
      </c>
      <c r="AG7188">
        <v>0</v>
      </c>
      <c r="AH7188">
        <v>0</v>
      </c>
      <c r="AI7188">
        <v>86.52</v>
      </c>
      <c r="AJ7188">
        <v>480.68</v>
      </c>
      <c r="AK7188">
        <v>0</v>
      </c>
      <c r="AL7188" t="s">
        <v>53</v>
      </c>
      <c r="AM7188" t="s">
        <v>53</v>
      </c>
      <c r="AN7188" t="s">
        <v>13004</v>
      </c>
      <c r="AO7188" t="s">
        <v>53</v>
      </c>
      <c r="AP7188" t="s">
        <v>53</v>
      </c>
    </row>
    <row r="7189" spans="2:42" x14ac:dyDescent="0.2">
      <c r="B7189" t="s">
        <v>44</v>
      </c>
      <c r="C7189" t="str">
        <f>HYPERLINK("https://us2.cloudbeds.com/connect/8493803454333002#/reservations/9080486847278239?display=3ZG96RUS4C&amp;reservation_id=9080486847278239", "3ZG96RUS4C")</f>
        <v>3ZG96RUS4C</v>
      </c>
      <c r="D7189" t="s">
        <v>45</v>
      </c>
      <c r="E7189" t="s">
        <v>179</v>
      </c>
      <c r="F7189" t="s">
        <v>47</v>
      </c>
      <c r="G7189" t="s">
        <v>48</v>
      </c>
      <c r="H7189" t="s">
        <v>49</v>
      </c>
      <c r="I7189" t="s">
        <v>50</v>
      </c>
      <c r="J7189" t="s">
        <v>12850</v>
      </c>
      <c r="K7189" t="s">
        <v>12777</v>
      </c>
      <c r="L7189" t="s">
        <v>53</v>
      </c>
      <c r="N7189" t="s">
        <v>13005</v>
      </c>
      <c r="P7189" t="s">
        <v>55</v>
      </c>
      <c r="R7189" t="s">
        <v>53</v>
      </c>
      <c r="T7189" t="s">
        <v>13006</v>
      </c>
      <c r="U7189" t="s">
        <v>58</v>
      </c>
      <c r="V7189">
        <v>1</v>
      </c>
      <c r="W7189">
        <v>1</v>
      </c>
      <c r="X7189">
        <v>1</v>
      </c>
      <c r="Y7189">
        <v>0</v>
      </c>
      <c r="Z7189">
        <v>1</v>
      </c>
      <c r="AA7189">
        <v>67.34</v>
      </c>
      <c r="AB7189">
        <v>67.34</v>
      </c>
      <c r="AC7189">
        <v>59.25</v>
      </c>
      <c r="AD7189">
        <v>0</v>
      </c>
      <c r="AE7189">
        <v>8.09</v>
      </c>
      <c r="AF7189">
        <v>0</v>
      </c>
      <c r="AG7189">
        <v>0</v>
      </c>
      <c r="AH7189">
        <v>0</v>
      </c>
      <c r="AI7189">
        <v>12.12</v>
      </c>
      <c r="AJ7189">
        <v>67.34</v>
      </c>
      <c r="AK7189">
        <v>0</v>
      </c>
      <c r="AL7189" t="s">
        <v>53</v>
      </c>
      <c r="AM7189" t="s">
        <v>53</v>
      </c>
      <c r="AN7189" t="s">
        <v>53</v>
      </c>
      <c r="AO7189" t="s">
        <v>53</v>
      </c>
      <c r="AP7189" t="s">
        <v>53</v>
      </c>
    </row>
    <row r="7190" spans="2:42" x14ac:dyDescent="0.2">
      <c r="B7190" t="s">
        <v>44</v>
      </c>
      <c r="C7190" t="str">
        <f>HYPERLINK("https://us2.cloudbeds.com/connect/8493803454333002#/reservations/9080486847280111?display=3ZHZR8PYWD&amp;reservation_id=9080486847280111", "3ZHZR8PYWD")</f>
        <v>3ZHZR8PYWD</v>
      </c>
      <c r="D7190" t="s">
        <v>45</v>
      </c>
      <c r="E7190" t="s">
        <v>78</v>
      </c>
      <c r="F7190" t="s">
        <v>61</v>
      </c>
      <c r="G7190" t="s">
        <v>48</v>
      </c>
      <c r="H7190" t="s">
        <v>49</v>
      </c>
      <c r="I7190" t="s">
        <v>50</v>
      </c>
      <c r="J7190" t="s">
        <v>12850</v>
      </c>
      <c r="K7190" t="s">
        <v>12777</v>
      </c>
      <c r="L7190" t="s">
        <v>53</v>
      </c>
      <c r="N7190" t="s">
        <v>13007</v>
      </c>
      <c r="P7190" t="s">
        <v>55</v>
      </c>
      <c r="R7190" t="s">
        <v>53</v>
      </c>
      <c r="T7190" t="s">
        <v>13008</v>
      </c>
      <c r="U7190" t="s">
        <v>58</v>
      </c>
      <c r="V7190">
        <v>1</v>
      </c>
      <c r="W7190">
        <v>1</v>
      </c>
      <c r="X7190">
        <v>1</v>
      </c>
      <c r="Y7190">
        <v>0</v>
      </c>
      <c r="Z7190">
        <v>1</v>
      </c>
      <c r="AA7190">
        <v>85.52</v>
      </c>
      <c r="AB7190">
        <v>85.52</v>
      </c>
      <c r="AC7190">
        <v>75.25</v>
      </c>
      <c r="AD7190">
        <v>0</v>
      </c>
      <c r="AE7190">
        <v>10.27</v>
      </c>
      <c r="AF7190">
        <v>0</v>
      </c>
      <c r="AG7190">
        <v>0</v>
      </c>
      <c r="AH7190">
        <v>0</v>
      </c>
      <c r="AI7190">
        <v>15.39</v>
      </c>
      <c r="AJ7190">
        <v>85.52</v>
      </c>
      <c r="AK7190">
        <v>0</v>
      </c>
      <c r="AL7190" t="s">
        <v>53</v>
      </c>
      <c r="AM7190" t="s">
        <v>53</v>
      </c>
      <c r="AN7190" t="s">
        <v>53</v>
      </c>
      <c r="AO7190" t="s">
        <v>53</v>
      </c>
      <c r="AP7190" t="s">
        <v>53</v>
      </c>
    </row>
    <row r="7191" spans="2:42" x14ac:dyDescent="0.2">
      <c r="B7191" t="s">
        <v>44</v>
      </c>
      <c r="C7191" t="str">
        <f>HYPERLINK("https://us2.cloudbeds.com/connect/8493803454333002#/reservations/173804707127445?display=3ZJ563QY18&amp;reservation_id=173804707127445", "3ZJ563QY18")</f>
        <v>3ZJ563QY18</v>
      </c>
      <c r="D7191" t="s">
        <v>45</v>
      </c>
      <c r="E7191" t="s">
        <v>105</v>
      </c>
      <c r="F7191" t="s">
        <v>47</v>
      </c>
      <c r="G7191" t="s">
        <v>4520</v>
      </c>
      <c r="H7191" t="s">
        <v>3957</v>
      </c>
      <c r="I7191" t="s">
        <v>3958</v>
      </c>
      <c r="J7191" t="s">
        <v>12850</v>
      </c>
      <c r="K7191" t="s">
        <v>12777</v>
      </c>
      <c r="L7191" t="s">
        <v>53</v>
      </c>
      <c r="P7191" t="s">
        <v>55</v>
      </c>
      <c r="R7191" t="s">
        <v>56</v>
      </c>
      <c r="T7191" t="s">
        <v>13009</v>
      </c>
      <c r="U7191" t="s">
        <v>58</v>
      </c>
      <c r="V7191">
        <v>1</v>
      </c>
      <c r="W7191">
        <v>1</v>
      </c>
      <c r="X7191">
        <v>1</v>
      </c>
      <c r="Y7191">
        <v>0</v>
      </c>
      <c r="Z7191">
        <v>1</v>
      </c>
      <c r="AA7191">
        <v>80.8</v>
      </c>
      <c r="AB7191">
        <v>80.8</v>
      </c>
      <c r="AC7191">
        <v>71.099999999999994</v>
      </c>
      <c r="AD7191">
        <v>0</v>
      </c>
      <c r="AE7191">
        <v>9.6999999999999993</v>
      </c>
      <c r="AF7191">
        <v>0</v>
      </c>
      <c r="AG7191">
        <v>0</v>
      </c>
      <c r="AH7191">
        <v>0</v>
      </c>
      <c r="AI7191">
        <v>0</v>
      </c>
      <c r="AJ7191">
        <v>80.8</v>
      </c>
      <c r="AK7191">
        <v>0</v>
      </c>
      <c r="AL7191" t="s">
        <v>53</v>
      </c>
      <c r="AM7191" t="s">
        <v>53</v>
      </c>
      <c r="AN7191" t="s">
        <v>53</v>
      </c>
      <c r="AO7191" t="s">
        <v>53</v>
      </c>
      <c r="AP7191" t="s">
        <v>53</v>
      </c>
    </row>
    <row r="7192" spans="2:42" x14ac:dyDescent="0.2">
      <c r="B7192" t="s">
        <v>44</v>
      </c>
      <c r="C7192" t="str">
        <f>HYPERLINK("https://us2.cloudbeds.com/connect/8493803454333002#/reservations/9080486847292377?display=3ZWEUX3CX7&amp;reservation_id=9080486847292377", "3ZWEUX3CX7")</f>
        <v>3ZWEUX3CX7</v>
      </c>
      <c r="D7192" t="s">
        <v>45</v>
      </c>
      <c r="E7192" t="s">
        <v>138</v>
      </c>
      <c r="F7192" t="s">
        <v>70</v>
      </c>
      <c r="G7192" t="s">
        <v>48</v>
      </c>
      <c r="H7192" t="s">
        <v>49</v>
      </c>
      <c r="I7192" t="s">
        <v>62</v>
      </c>
      <c r="J7192" t="s">
        <v>10861</v>
      </c>
      <c r="K7192" t="s">
        <v>13010</v>
      </c>
      <c r="L7192" t="s">
        <v>53</v>
      </c>
      <c r="N7192" t="s">
        <v>13011</v>
      </c>
      <c r="P7192" t="s">
        <v>55</v>
      </c>
      <c r="R7192" t="s">
        <v>56</v>
      </c>
      <c r="T7192" t="s">
        <v>13012</v>
      </c>
      <c r="U7192" t="s">
        <v>55</v>
      </c>
      <c r="V7192">
        <v>1</v>
      </c>
      <c r="W7192">
        <v>1</v>
      </c>
      <c r="X7192">
        <v>2</v>
      </c>
      <c r="Y7192">
        <v>0</v>
      </c>
      <c r="Z7192">
        <v>2</v>
      </c>
      <c r="AA7192">
        <v>73.150000000000006</v>
      </c>
      <c r="AB7192">
        <v>73.150000000000006</v>
      </c>
      <c r="AC7192">
        <v>73.150000000000006</v>
      </c>
      <c r="AD7192">
        <v>0</v>
      </c>
      <c r="AE7192">
        <v>0</v>
      </c>
      <c r="AF7192">
        <v>0</v>
      </c>
      <c r="AG7192">
        <v>0</v>
      </c>
      <c r="AH7192">
        <v>0</v>
      </c>
      <c r="AI7192">
        <v>13.17</v>
      </c>
      <c r="AJ7192">
        <v>73.150000000000006</v>
      </c>
      <c r="AK7192">
        <v>0</v>
      </c>
      <c r="AL7192" t="s">
        <v>53</v>
      </c>
      <c r="AM7192" t="s">
        <v>53</v>
      </c>
      <c r="AN7192" t="s">
        <v>53</v>
      </c>
      <c r="AO7192" t="s">
        <v>53</v>
      </c>
      <c r="AP7192" t="s">
        <v>53</v>
      </c>
    </row>
    <row r="7193" spans="2:42" x14ac:dyDescent="0.2">
      <c r="B7193" t="s">
        <v>44</v>
      </c>
      <c r="C7193" t="str">
        <f>HYPERLINK("https://us2.cloudbeds.com/connect/8493803454333002#/reservations/9080486847293677?display=3P0MS5MTU1&amp;reservation_id=9080486847293677", "3P0MS5MTU1")</f>
        <v>3P0MS5MTU1</v>
      </c>
      <c r="D7193" t="s">
        <v>45</v>
      </c>
      <c r="E7193" t="s">
        <v>69</v>
      </c>
      <c r="F7193" t="s">
        <v>70</v>
      </c>
      <c r="G7193" t="s">
        <v>48</v>
      </c>
      <c r="H7193" t="s">
        <v>49</v>
      </c>
      <c r="I7193" t="s">
        <v>62</v>
      </c>
      <c r="J7193" t="s">
        <v>11382</v>
      </c>
      <c r="K7193" t="s">
        <v>11267</v>
      </c>
      <c r="L7193" t="s">
        <v>53</v>
      </c>
      <c r="N7193" t="s">
        <v>13013</v>
      </c>
      <c r="P7193" t="s">
        <v>55</v>
      </c>
      <c r="R7193" t="s">
        <v>6556</v>
      </c>
      <c r="T7193" t="s">
        <v>13014</v>
      </c>
      <c r="U7193" t="s">
        <v>55</v>
      </c>
      <c r="V7193">
        <v>2</v>
      </c>
      <c r="W7193">
        <v>1</v>
      </c>
      <c r="X7193">
        <v>2</v>
      </c>
      <c r="Y7193">
        <v>0</v>
      </c>
      <c r="Z7193">
        <v>2</v>
      </c>
      <c r="AA7193">
        <v>150</v>
      </c>
      <c r="AB7193">
        <v>150</v>
      </c>
      <c r="AC7193">
        <v>150</v>
      </c>
      <c r="AD7193">
        <v>0</v>
      </c>
      <c r="AE7193">
        <v>0</v>
      </c>
      <c r="AF7193">
        <v>0</v>
      </c>
      <c r="AG7193">
        <v>0</v>
      </c>
      <c r="AH7193">
        <v>0</v>
      </c>
      <c r="AI7193">
        <v>27</v>
      </c>
      <c r="AJ7193">
        <v>150</v>
      </c>
      <c r="AK7193">
        <v>0</v>
      </c>
      <c r="AL7193" t="s">
        <v>53</v>
      </c>
      <c r="AM7193" t="s">
        <v>53</v>
      </c>
      <c r="AN7193" t="s">
        <v>53</v>
      </c>
      <c r="AO7193" t="s">
        <v>53</v>
      </c>
      <c r="AP7193" t="s">
        <v>53</v>
      </c>
    </row>
    <row r="7194" spans="2:42" x14ac:dyDescent="0.2">
      <c r="B7194" t="s">
        <v>44</v>
      </c>
      <c r="C7194" t="str">
        <f>HYPERLINK("https://us2.cloudbeds.com/connect/8493803454333002#/reservations/9080486847295685?display=3P2TS4HJF1&amp;reservation_id=9080486847295685", "3P2TS4HJF1")</f>
        <v>3P2TS4HJF1</v>
      </c>
      <c r="D7194" t="s">
        <v>45</v>
      </c>
      <c r="E7194" t="s">
        <v>110</v>
      </c>
      <c r="F7194" t="s">
        <v>47</v>
      </c>
      <c r="G7194" t="s">
        <v>48</v>
      </c>
      <c r="H7194" t="s">
        <v>49</v>
      </c>
      <c r="I7194" t="s">
        <v>62</v>
      </c>
      <c r="J7194" t="s">
        <v>12420</v>
      </c>
      <c r="K7194" t="s">
        <v>12441</v>
      </c>
      <c r="L7194" t="s">
        <v>53</v>
      </c>
      <c r="N7194" t="s">
        <v>13015</v>
      </c>
      <c r="P7194" t="s">
        <v>55</v>
      </c>
      <c r="R7194" t="s">
        <v>56</v>
      </c>
      <c r="T7194" t="s">
        <v>13016</v>
      </c>
      <c r="U7194" t="s">
        <v>55</v>
      </c>
      <c r="V7194">
        <v>1</v>
      </c>
      <c r="W7194">
        <v>1</v>
      </c>
      <c r="X7194">
        <v>2</v>
      </c>
      <c r="Y7194">
        <v>0</v>
      </c>
      <c r="Z7194">
        <v>2</v>
      </c>
      <c r="AA7194">
        <v>166.25</v>
      </c>
      <c r="AB7194">
        <v>166.25</v>
      </c>
      <c r="AC7194">
        <v>166.25</v>
      </c>
      <c r="AD7194">
        <v>0</v>
      </c>
      <c r="AE7194">
        <v>0</v>
      </c>
      <c r="AF7194">
        <v>0</v>
      </c>
      <c r="AG7194">
        <v>0</v>
      </c>
      <c r="AH7194">
        <v>0</v>
      </c>
      <c r="AI7194">
        <v>29.93</v>
      </c>
      <c r="AJ7194">
        <v>166.25</v>
      </c>
      <c r="AK7194">
        <v>0</v>
      </c>
      <c r="AL7194" t="s">
        <v>53</v>
      </c>
      <c r="AM7194" t="s">
        <v>53</v>
      </c>
      <c r="AN7194" t="s">
        <v>53</v>
      </c>
      <c r="AO7194" t="s">
        <v>53</v>
      </c>
      <c r="AP7194" t="s">
        <v>53</v>
      </c>
    </row>
    <row r="7195" spans="2:42" x14ac:dyDescent="0.2">
      <c r="B7195" t="s">
        <v>44</v>
      </c>
      <c r="C7195" t="str">
        <f>HYPERLINK("https://us2.cloudbeds.com/connect/8493803454333002#/reservations/9080486847301983?display=3PB1EM0M3Z&amp;reservation_id=9080486847301983", "3PB1EM0M3Z")</f>
        <v>3PB1EM0M3Z</v>
      </c>
      <c r="D7195" t="s">
        <v>45</v>
      </c>
      <c r="E7195" t="s">
        <v>155</v>
      </c>
      <c r="F7195" t="s">
        <v>86</v>
      </c>
      <c r="G7195" t="s">
        <v>48</v>
      </c>
      <c r="H7195" t="s">
        <v>49</v>
      </c>
      <c r="I7195" t="s">
        <v>8964</v>
      </c>
      <c r="J7195" t="s">
        <v>11276</v>
      </c>
      <c r="K7195" t="s">
        <v>11413</v>
      </c>
      <c r="L7195" t="s">
        <v>53</v>
      </c>
      <c r="N7195" t="s">
        <v>13017</v>
      </c>
      <c r="P7195" t="s">
        <v>55</v>
      </c>
      <c r="R7195" t="s">
        <v>53</v>
      </c>
      <c r="T7195" t="s">
        <v>13018</v>
      </c>
      <c r="U7195" t="s">
        <v>55</v>
      </c>
      <c r="V7195">
        <v>1</v>
      </c>
      <c r="W7195">
        <v>1</v>
      </c>
      <c r="X7195">
        <v>1</v>
      </c>
      <c r="Y7195">
        <v>0</v>
      </c>
      <c r="Z7195">
        <v>1</v>
      </c>
      <c r="AA7195">
        <v>0</v>
      </c>
      <c r="AB7195">
        <v>0</v>
      </c>
      <c r="AC7195">
        <v>113</v>
      </c>
      <c r="AD7195">
        <v>0</v>
      </c>
      <c r="AE7195">
        <v>0</v>
      </c>
      <c r="AF7195">
        <v>0</v>
      </c>
      <c r="AG7195">
        <v>0</v>
      </c>
      <c r="AH7195">
        <v>0</v>
      </c>
      <c r="AI7195">
        <v>16.95</v>
      </c>
      <c r="AJ7195">
        <v>113</v>
      </c>
      <c r="AK7195">
        <v>113</v>
      </c>
      <c r="AL7195" t="s">
        <v>53</v>
      </c>
      <c r="AM7195" t="s">
        <v>53</v>
      </c>
      <c r="AN7195" t="s">
        <v>13019</v>
      </c>
      <c r="AO7195" t="s">
        <v>53</v>
      </c>
      <c r="AP7195" t="s">
        <v>53</v>
      </c>
    </row>
    <row r="7196" spans="2:42" x14ac:dyDescent="0.2">
      <c r="B7196" t="s">
        <v>44</v>
      </c>
      <c r="C7196" t="str">
        <f>HYPERLINK("https://us2.cloudbeds.com/connect/8493803454333002#/reservations/175073233182925?display=3PFUDTJ2FY&amp;reservation_id=175073233182925", "3PFUDTJ2FY")</f>
        <v>3PFUDTJ2FY</v>
      </c>
      <c r="D7196" t="s">
        <v>45</v>
      </c>
      <c r="E7196" t="s">
        <v>110</v>
      </c>
      <c r="F7196" t="s">
        <v>47</v>
      </c>
      <c r="G7196" t="s">
        <v>48</v>
      </c>
      <c r="H7196" t="s">
        <v>3957</v>
      </c>
      <c r="I7196" t="s">
        <v>3975</v>
      </c>
      <c r="J7196" t="s">
        <v>10170</v>
      </c>
      <c r="K7196" t="s">
        <v>12269</v>
      </c>
      <c r="L7196" t="s">
        <v>53</v>
      </c>
      <c r="P7196" t="s">
        <v>55</v>
      </c>
      <c r="R7196" t="s">
        <v>56</v>
      </c>
      <c r="T7196" t="s">
        <v>13020</v>
      </c>
      <c r="U7196" t="s">
        <v>58</v>
      </c>
      <c r="V7196">
        <v>1</v>
      </c>
      <c r="W7196">
        <v>1</v>
      </c>
      <c r="X7196">
        <v>2</v>
      </c>
      <c r="Y7196">
        <v>0</v>
      </c>
      <c r="Z7196">
        <v>2</v>
      </c>
      <c r="AA7196">
        <v>159.11000000000001</v>
      </c>
      <c r="AB7196">
        <v>159.11000000000001</v>
      </c>
      <c r="AC7196">
        <v>140</v>
      </c>
      <c r="AD7196">
        <v>0</v>
      </c>
      <c r="AE7196">
        <v>19.11</v>
      </c>
      <c r="AF7196">
        <v>0</v>
      </c>
      <c r="AG7196">
        <v>0</v>
      </c>
      <c r="AH7196">
        <v>0</v>
      </c>
      <c r="AI7196">
        <v>0</v>
      </c>
      <c r="AJ7196">
        <v>159.11000000000001</v>
      </c>
      <c r="AK7196">
        <v>0</v>
      </c>
      <c r="AL7196" t="s">
        <v>53</v>
      </c>
      <c r="AM7196" t="s">
        <v>53</v>
      </c>
      <c r="AN7196" t="s">
        <v>13021</v>
      </c>
      <c r="AO7196" t="s">
        <v>53</v>
      </c>
      <c r="AP7196" t="s">
        <v>53</v>
      </c>
    </row>
    <row r="7197" spans="2:42" x14ac:dyDescent="0.2">
      <c r="B7197" t="s">
        <v>44</v>
      </c>
      <c r="C7197" t="str">
        <f>HYPERLINK("https://us2.cloudbeds.com/connect/8493803454333002#/reservations/175095513759898?display=3PGEM74W3R&amp;reservation_id=175095513759898", "3PGEM74W3R")</f>
        <v>3PGEM74W3R</v>
      </c>
      <c r="D7197" t="s">
        <v>45</v>
      </c>
      <c r="E7197" t="s">
        <v>128</v>
      </c>
      <c r="F7197" t="s">
        <v>86</v>
      </c>
      <c r="G7197" t="s">
        <v>7801</v>
      </c>
      <c r="H7197" t="s">
        <v>3957</v>
      </c>
      <c r="I7197" t="s">
        <v>3989</v>
      </c>
      <c r="J7197" t="s">
        <v>11276</v>
      </c>
      <c r="K7197" t="s">
        <v>11956</v>
      </c>
      <c r="L7197" t="s">
        <v>53</v>
      </c>
      <c r="P7197" t="s">
        <v>55</v>
      </c>
      <c r="R7197" t="s">
        <v>56</v>
      </c>
      <c r="T7197" t="s">
        <v>13022</v>
      </c>
      <c r="U7197" t="s">
        <v>58</v>
      </c>
      <c r="V7197">
        <v>5</v>
      </c>
      <c r="W7197">
        <v>1</v>
      </c>
      <c r="X7197">
        <v>1</v>
      </c>
      <c r="Y7197">
        <v>0</v>
      </c>
      <c r="Z7197">
        <v>1</v>
      </c>
      <c r="AA7197">
        <v>653.62</v>
      </c>
      <c r="AB7197">
        <v>656.33</v>
      </c>
      <c r="AC7197">
        <v>575.1</v>
      </c>
      <c r="AD7197">
        <v>2.5</v>
      </c>
      <c r="AE7197">
        <v>78.73</v>
      </c>
      <c r="AF7197">
        <v>0</v>
      </c>
      <c r="AG7197">
        <v>0</v>
      </c>
      <c r="AH7197">
        <v>0</v>
      </c>
      <c r="AI7197">
        <v>0</v>
      </c>
      <c r="AJ7197">
        <v>656.33</v>
      </c>
      <c r="AK7197">
        <v>0</v>
      </c>
      <c r="AL7197" t="s">
        <v>53</v>
      </c>
      <c r="AM7197" t="s">
        <v>53</v>
      </c>
      <c r="AN7197" t="s">
        <v>13023</v>
      </c>
      <c r="AO7197" t="s">
        <v>53</v>
      </c>
      <c r="AP7197" t="s">
        <v>53</v>
      </c>
    </row>
    <row r="7198" spans="2:42" x14ac:dyDescent="0.2">
      <c r="B7198" t="s">
        <v>44</v>
      </c>
      <c r="C7198" t="str">
        <f>HYPERLINK("https://us2.cloudbeds.com/connect/8493803454333002#/reservations/9080486847309655?display=3PKCB21X4M&amp;reservation_id=9080486847309655", "3PKCB21X4M")</f>
        <v>3PKCB21X4M</v>
      </c>
      <c r="D7198" t="s">
        <v>45</v>
      </c>
      <c r="E7198" t="s">
        <v>85</v>
      </c>
      <c r="F7198" t="s">
        <v>86</v>
      </c>
      <c r="G7198" t="s">
        <v>48</v>
      </c>
      <c r="H7198" t="s">
        <v>49</v>
      </c>
      <c r="I7198" t="s">
        <v>50</v>
      </c>
      <c r="J7198" t="s">
        <v>13024</v>
      </c>
      <c r="K7198" t="s">
        <v>13025</v>
      </c>
      <c r="L7198" t="s">
        <v>53</v>
      </c>
      <c r="N7198" t="s">
        <v>13026</v>
      </c>
      <c r="P7198" t="s">
        <v>55</v>
      </c>
      <c r="R7198" t="s">
        <v>53</v>
      </c>
      <c r="T7198" t="s">
        <v>13027</v>
      </c>
      <c r="U7198" t="s">
        <v>58</v>
      </c>
      <c r="V7198">
        <v>3</v>
      </c>
      <c r="W7198">
        <v>1</v>
      </c>
      <c r="X7198">
        <v>2</v>
      </c>
      <c r="Y7198">
        <v>2</v>
      </c>
      <c r="Z7198">
        <v>4</v>
      </c>
      <c r="AA7198">
        <v>330.06</v>
      </c>
      <c r="AB7198">
        <v>330.06</v>
      </c>
      <c r="AC7198">
        <v>290.39999999999998</v>
      </c>
      <c r="AD7198">
        <v>0</v>
      </c>
      <c r="AE7198">
        <v>39.659999999999997</v>
      </c>
      <c r="AF7198">
        <v>0</v>
      </c>
      <c r="AG7198">
        <v>0</v>
      </c>
      <c r="AH7198">
        <v>0</v>
      </c>
      <c r="AI7198">
        <v>59.41</v>
      </c>
      <c r="AJ7198">
        <v>330.06</v>
      </c>
      <c r="AK7198">
        <v>0</v>
      </c>
      <c r="AL7198" t="s">
        <v>53</v>
      </c>
      <c r="AM7198" t="s">
        <v>53</v>
      </c>
      <c r="AN7198" t="s">
        <v>13028</v>
      </c>
      <c r="AO7198" t="s">
        <v>53</v>
      </c>
      <c r="AP7198" t="s">
        <v>53</v>
      </c>
    </row>
    <row r="7199" spans="2:42" x14ac:dyDescent="0.2">
      <c r="B7199" t="s">
        <v>44</v>
      </c>
      <c r="C7199" t="str">
        <f>HYPERLINK("https://us2.cloudbeds.com/connect/8493803454333002#/reservations/9080486847314886?display=3PQ025YK39&amp;reservation_id=9080486847314886", "3PQ025YK39")</f>
        <v>3PQ025YK39</v>
      </c>
      <c r="D7199" t="s">
        <v>45</v>
      </c>
      <c r="E7199" t="s">
        <v>138</v>
      </c>
      <c r="F7199" t="s">
        <v>70</v>
      </c>
      <c r="G7199" t="s">
        <v>48</v>
      </c>
      <c r="H7199" t="s">
        <v>49</v>
      </c>
      <c r="I7199" t="s">
        <v>50</v>
      </c>
      <c r="J7199" t="s">
        <v>12902</v>
      </c>
      <c r="K7199" t="s">
        <v>11679</v>
      </c>
      <c r="L7199" t="s">
        <v>53</v>
      </c>
      <c r="N7199" t="s">
        <v>13029</v>
      </c>
      <c r="P7199" t="s">
        <v>55</v>
      </c>
      <c r="R7199" t="s">
        <v>53</v>
      </c>
      <c r="T7199" t="s">
        <v>13030</v>
      </c>
      <c r="U7199" t="s">
        <v>58</v>
      </c>
      <c r="V7199">
        <v>1</v>
      </c>
      <c r="W7199">
        <v>1</v>
      </c>
      <c r="X7199">
        <v>2</v>
      </c>
      <c r="Y7199">
        <v>0</v>
      </c>
      <c r="Z7199">
        <v>2</v>
      </c>
      <c r="AA7199">
        <v>79.010000000000005</v>
      </c>
      <c r="AB7199">
        <v>79.010000000000005</v>
      </c>
      <c r="AC7199">
        <v>69.52</v>
      </c>
      <c r="AD7199">
        <v>0</v>
      </c>
      <c r="AE7199">
        <v>9.49</v>
      </c>
      <c r="AF7199">
        <v>0</v>
      </c>
      <c r="AG7199">
        <v>0</v>
      </c>
      <c r="AH7199">
        <v>0</v>
      </c>
      <c r="AI7199">
        <v>14.22</v>
      </c>
      <c r="AJ7199">
        <v>79.010000000000005</v>
      </c>
      <c r="AK7199">
        <v>0</v>
      </c>
      <c r="AL7199" t="s">
        <v>53</v>
      </c>
      <c r="AM7199" t="s">
        <v>53</v>
      </c>
      <c r="AN7199" t="s">
        <v>13031</v>
      </c>
      <c r="AO7199" t="s">
        <v>53</v>
      </c>
      <c r="AP7199" t="s">
        <v>53</v>
      </c>
    </row>
    <row r="7200" spans="2:42" x14ac:dyDescent="0.2">
      <c r="B7200" t="s">
        <v>44</v>
      </c>
      <c r="C7200" t="str">
        <f>HYPERLINK("https://us2.cloudbeds.com/connect/8493803454333002#/reservations/9080486847316174?display=3PRETV2R32&amp;reservation_id=9080486847316174", "3PRETV2R32")</f>
        <v>3PRETV2R32</v>
      </c>
      <c r="D7200" t="s">
        <v>45</v>
      </c>
      <c r="E7200" t="s">
        <v>69</v>
      </c>
      <c r="F7200" t="s">
        <v>70</v>
      </c>
      <c r="G7200" t="s">
        <v>48</v>
      </c>
      <c r="H7200" t="s">
        <v>49</v>
      </c>
      <c r="I7200" t="s">
        <v>62</v>
      </c>
      <c r="J7200" t="s">
        <v>12902</v>
      </c>
      <c r="K7200" t="s">
        <v>11679</v>
      </c>
      <c r="L7200" t="s">
        <v>53</v>
      </c>
      <c r="N7200" t="s">
        <v>13032</v>
      </c>
      <c r="P7200" t="s">
        <v>55</v>
      </c>
      <c r="R7200" t="s">
        <v>56</v>
      </c>
      <c r="T7200" t="s">
        <v>13033</v>
      </c>
      <c r="U7200" t="s">
        <v>55</v>
      </c>
      <c r="V7200">
        <v>1</v>
      </c>
      <c r="W7200">
        <v>1</v>
      </c>
      <c r="X7200">
        <v>2</v>
      </c>
      <c r="Y7200">
        <v>0</v>
      </c>
      <c r="Z7200">
        <v>2</v>
      </c>
      <c r="AA7200">
        <v>79</v>
      </c>
      <c r="AB7200">
        <v>79</v>
      </c>
      <c r="AC7200">
        <v>79</v>
      </c>
      <c r="AD7200">
        <v>0</v>
      </c>
      <c r="AE7200">
        <v>0</v>
      </c>
      <c r="AF7200">
        <v>0</v>
      </c>
      <c r="AG7200">
        <v>0</v>
      </c>
      <c r="AH7200">
        <v>0</v>
      </c>
      <c r="AI7200">
        <v>14.22</v>
      </c>
      <c r="AJ7200">
        <v>79</v>
      </c>
      <c r="AK7200">
        <v>0</v>
      </c>
      <c r="AL7200" t="s">
        <v>53</v>
      </c>
      <c r="AM7200" t="s">
        <v>53</v>
      </c>
      <c r="AN7200" t="s">
        <v>13034</v>
      </c>
      <c r="AO7200" t="s">
        <v>53</v>
      </c>
      <c r="AP7200" t="s">
        <v>53</v>
      </c>
    </row>
    <row r="7201" spans="2:42" x14ac:dyDescent="0.2">
      <c r="B7201" t="s">
        <v>44</v>
      </c>
      <c r="C7201" t="str">
        <f>HYPERLINK("https://us2.cloudbeds.com/connect/8493803454333002#/reservations/9080486847316937?display=3PSA6PPEYE&amp;reservation_id=9080486847316937", "3PSA6PPEYE")</f>
        <v>3PSA6PPEYE</v>
      </c>
      <c r="D7201" t="s">
        <v>45</v>
      </c>
      <c r="E7201" t="s">
        <v>373</v>
      </c>
      <c r="F7201" t="s">
        <v>47</v>
      </c>
      <c r="G7201" t="s">
        <v>48</v>
      </c>
      <c r="H7201" t="s">
        <v>49</v>
      </c>
      <c r="I7201" t="s">
        <v>62</v>
      </c>
      <c r="J7201" t="s">
        <v>11309</v>
      </c>
      <c r="K7201" t="s">
        <v>11267</v>
      </c>
      <c r="L7201" t="s">
        <v>53</v>
      </c>
      <c r="N7201" t="s">
        <v>13035</v>
      </c>
      <c r="P7201" t="s">
        <v>55</v>
      </c>
      <c r="R7201" t="s">
        <v>56</v>
      </c>
      <c r="T7201" t="s">
        <v>13036</v>
      </c>
      <c r="U7201" t="s">
        <v>55</v>
      </c>
      <c r="V7201">
        <v>1</v>
      </c>
      <c r="W7201">
        <v>1</v>
      </c>
      <c r="X7201">
        <v>2</v>
      </c>
      <c r="Y7201">
        <v>0</v>
      </c>
      <c r="Z7201">
        <v>2</v>
      </c>
      <c r="AA7201">
        <v>80.75</v>
      </c>
      <c r="AB7201">
        <v>80.75</v>
      </c>
      <c r="AC7201">
        <v>80.75</v>
      </c>
      <c r="AD7201">
        <v>0</v>
      </c>
      <c r="AE7201">
        <v>0</v>
      </c>
      <c r="AF7201">
        <v>0</v>
      </c>
      <c r="AG7201">
        <v>0</v>
      </c>
      <c r="AH7201">
        <v>0</v>
      </c>
      <c r="AI7201">
        <v>14.54</v>
      </c>
      <c r="AJ7201">
        <v>80.75</v>
      </c>
      <c r="AK7201">
        <v>0</v>
      </c>
      <c r="AL7201" t="s">
        <v>53</v>
      </c>
      <c r="AM7201" t="s">
        <v>53</v>
      </c>
      <c r="AN7201" t="s">
        <v>53</v>
      </c>
      <c r="AO7201" t="s">
        <v>53</v>
      </c>
      <c r="AP7201" t="s">
        <v>53</v>
      </c>
    </row>
    <row r="7202" spans="2:42" x14ac:dyDescent="0.2">
      <c r="B7202" t="s">
        <v>44</v>
      </c>
      <c r="C7202" t="str">
        <f>HYPERLINK("https://us2.cloudbeds.com/connect/8493803454333002#/reservations/9080486847320546?display=3PW2ED48R0&amp;reservation_id=9080486847320546", "3PW2ED48R0")</f>
        <v>3PW2ED48R0</v>
      </c>
      <c r="D7202" t="s">
        <v>45</v>
      </c>
      <c r="E7202" t="s">
        <v>128</v>
      </c>
      <c r="F7202" t="s">
        <v>86</v>
      </c>
      <c r="G7202" t="s">
        <v>48</v>
      </c>
      <c r="H7202" t="s">
        <v>49</v>
      </c>
      <c r="I7202" t="s">
        <v>50</v>
      </c>
      <c r="J7202" t="s">
        <v>13037</v>
      </c>
      <c r="K7202" t="s">
        <v>13038</v>
      </c>
      <c r="L7202" t="s">
        <v>53</v>
      </c>
      <c r="N7202" t="s">
        <v>13039</v>
      </c>
      <c r="P7202" t="s">
        <v>55</v>
      </c>
      <c r="R7202" t="s">
        <v>53</v>
      </c>
      <c r="T7202" t="s">
        <v>13040</v>
      </c>
      <c r="U7202" t="s">
        <v>58</v>
      </c>
      <c r="V7202">
        <v>2</v>
      </c>
      <c r="W7202">
        <v>1</v>
      </c>
      <c r="X7202">
        <v>2</v>
      </c>
      <c r="Y7202">
        <v>1</v>
      </c>
      <c r="Z7202">
        <v>3</v>
      </c>
      <c r="AA7202">
        <v>278.38</v>
      </c>
      <c r="AB7202">
        <v>280.83999999999997</v>
      </c>
      <c r="AC7202">
        <v>244.95</v>
      </c>
      <c r="AD7202">
        <v>0</v>
      </c>
      <c r="AE7202">
        <v>35.89</v>
      </c>
      <c r="AF7202">
        <v>0</v>
      </c>
      <c r="AG7202">
        <v>0</v>
      </c>
      <c r="AH7202">
        <v>0</v>
      </c>
      <c r="AI7202">
        <v>50.55</v>
      </c>
      <c r="AJ7202">
        <v>280.83999999999997</v>
      </c>
      <c r="AK7202">
        <v>0</v>
      </c>
      <c r="AL7202" t="s">
        <v>53</v>
      </c>
      <c r="AM7202" t="s">
        <v>53</v>
      </c>
      <c r="AN7202" t="s">
        <v>53</v>
      </c>
      <c r="AO7202" t="s">
        <v>53</v>
      </c>
      <c r="AP7202" t="s">
        <v>53</v>
      </c>
    </row>
    <row r="7203" spans="2:42" x14ac:dyDescent="0.2">
      <c r="B7203" t="s">
        <v>44</v>
      </c>
      <c r="C7203" t="str">
        <f>HYPERLINK("https://us2.cloudbeds.com/connect/8493803454333002#/reservations/9080486847323476?display=3Q1RCEFEFW&amp;reservation_id=9080486847323476", "3Q1RCEFEFW")</f>
        <v>3Q1RCEFEFW</v>
      </c>
      <c r="D7203" t="s">
        <v>45</v>
      </c>
      <c r="E7203" t="s">
        <v>110</v>
      </c>
      <c r="F7203" t="s">
        <v>47</v>
      </c>
      <c r="G7203" t="s">
        <v>48</v>
      </c>
      <c r="H7203" t="s">
        <v>49</v>
      </c>
      <c r="I7203" t="s">
        <v>62</v>
      </c>
      <c r="J7203" t="s">
        <v>11521</v>
      </c>
      <c r="K7203" t="s">
        <v>11884</v>
      </c>
      <c r="L7203" t="s">
        <v>53</v>
      </c>
      <c r="N7203" t="s">
        <v>13041</v>
      </c>
      <c r="P7203" t="s">
        <v>55</v>
      </c>
      <c r="R7203" t="s">
        <v>56</v>
      </c>
      <c r="T7203" t="s">
        <v>13042</v>
      </c>
      <c r="U7203" t="s">
        <v>55</v>
      </c>
      <c r="V7203">
        <v>1</v>
      </c>
      <c r="W7203">
        <v>1</v>
      </c>
      <c r="X7203">
        <v>2</v>
      </c>
      <c r="Y7203">
        <v>0</v>
      </c>
      <c r="Z7203">
        <v>2</v>
      </c>
      <c r="AA7203">
        <v>80.75</v>
      </c>
      <c r="AB7203">
        <v>80.75</v>
      </c>
      <c r="AC7203">
        <v>80.75</v>
      </c>
      <c r="AD7203">
        <v>0</v>
      </c>
      <c r="AE7203">
        <v>0</v>
      </c>
      <c r="AF7203">
        <v>0</v>
      </c>
      <c r="AG7203">
        <v>0</v>
      </c>
      <c r="AH7203">
        <v>0</v>
      </c>
      <c r="AI7203">
        <v>14.54</v>
      </c>
      <c r="AJ7203">
        <v>80.75</v>
      </c>
      <c r="AK7203">
        <v>0</v>
      </c>
      <c r="AL7203" t="s">
        <v>53</v>
      </c>
      <c r="AM7203" t="s">
        <v>53</v>
      </c>
      <c r="AN7203" t="s">
        <v>53</v>
      </c>
      <c r="AO7203" t="s">
        <v>53</v>
      </c>
      <c r="AP7203" t="s">
        <v>53</v>
      </c>
    </row>
    <row r="7204" spans="2:42" x14ac:dyDescent="0.2">
      <c r="B7204" t="s">
        <v>44</v>
      </c>
      <c r="C7204" t="str">
        <f>HYPERLINK("https://us2.cloudbeds.com/connect/8493803454333002#/reservations/9080486847330423?display=3Q9V9GV1XC&amp;reservation_id=9080486847330423", "3Q9V9GV1XC")</f>
        <v>3Q9V9GV1XC</v>
      </c>
      <c r="D7204" t="s">
        <v>45</v>
      </c>
      <c r="E7204" t="s">
        <v>110</v>
      </c>
      <c r="F7204" t="s">
        <v>47</v>
      </c>
      <c r="G7204" t="s">
        <v>48</v>
      </c>
      <c r="H7204" t="s">
        <v>49</v>
      </c>
      <c r="I7204" t="s">
        <v>62</v>
      </c>
      <c r="J7204" t="s">
        <v>11068</v>
      </c>
      <c r="K7204" t="s">
        <v>12756</v>
      </c>
      <c r="L7204" t="s">
        <v>53</v>
      </c>
      <c r="N7204" t="s">
        <v>13043</v>
      </c>
      <c r="P7204" t="s">
        <v>55</v>
      </c>
      <c r="R7204" t="s">
        <v>56</v>
      </c>
      <c r="T7204" t="s">
        <v>13044</v>
      </c>
      <c r="U7204" t="s">
        <v>55</v>
      </c>
      <c r="V7204">
        <v>1</v>
      </c>
      <c r="W7204">
        <v>1</v>
      </c>
      <c r="X7204">
        <v>2</v>
      </c>
      <c r="Y7204">
        <v>0</v>
      </c>
      <c r="Z7204">
        <v>2</v>
      </c>
      <c r="AA7204">
        <v>85</v>
      </c>
      <c r="AB7204">
        <v>85</v>
      </c>
      <c r="AC7204">
        <v>85</v>
      </c>
      <c r="AD7204">
        <v>0</v>
      </c>
      <c r="AE7204">
        <v>0</v>
      </c>
      <c r="AF7204">
        <v>0</v>
      </c>
      <c r="AG7204">
        <v>0</v>
      </c>
      <c r="AH7204">
        <v>0</v>
      </c>
      <c r="AI7204">
        <v>15.3</v>
      </c>
      <c r="AJ7204">
        <v>85</v>
      </c>
      <c r="AK7204">
        <v>0</v>
      </c>
      <c r="AL7204" t="s">
        <v>53</v>
      </c>
      <c r="AM7204" t="s">
        <v>53</v>
      </c>
      <c r="AN7204" t="s">
        <v>13045</v>
      </c>
      <c r="AO7204" t="s">
        <v>53</v>
      </c>
      <c r="AP7204" t="s">
        <v>53</v>
      </c>
    </row>
    <row r="7205" spans="2:42" x14ac:dyDescent="0.2">
      <c r="B7205" t="s">
        <v>44</v>
      </c>
      <c r="C7205" t="str">
        <f>HYPERLINK("https://us2.cloudbeds.com/connect/8493803454333002#/reservations/9080486847330475?display=3Q9WUVXNW0&amp;reservation_id=9080486847330475", "3Q9WUVXNW0")</f>
        <v>3Q9WUVXNW0</v>
      </c>
      <c r="D7205" t="s">
        <v>45</v>
      </c>
      <c r="E7205" t="s">
        <v>138</v>
      </c>
      <c r="F7205" t="s">
        <v>70</v>
      </c>
      <c r="G7205" t="s">
        <v>48</v>
      </c>
      <c r="H7205" t="s">
        <v>49</v>
      </c>
      <c r="I7205" t="s">
        <v>62</v>
      </c>
      <c r="J7205" t="s">
        <v>13046</v>
      </c>
      <c r="K7205" t="s">
        <v>13047</v>
      </c>
      <c r="L7205" t="s">
        <v>53</v>
      </c>
      <c r="N7205" t="s">
        <v>13048</v>
      </c>
      <c r="P7205" t="s">
        <v>55</v>
      </c>
      <c r="R7205" t="s">
        <v>56</v>
      </c>
      <c r="T7205" t="s">
        <v>13049</v>
      </c>
      <c r="U7205" t="s">
        <v>55</v>
      </c>
      <c r="V7205">
        <v>1</v>
      </c>
      <c r="W7205">
        <v>1</v>
      </c>
      <c r="X7205">
        <v>2</v>
      </c>
      <c r="Y7205">
        <v>0</v>
      </c>
      <c r="Z7205">
        <v>2</v>
      </c>
      <c r="AA7205">
        <v>91</v>
      </c>
      <c r="AB7205">
        <v>91</v>
      </c>
      <c r="AC7205">
        <v>91</v>
      </c>
      <c r="AD7205">
        <v>0</v>
      </c>
      <c r="AE7205">
        <v>0</v>
      </c>
      <c r="AF7205">
        <v>0</v>
      </c>
      <c r="AG7205">
        <v>0</v>
      </c>
      <c r="AH7205">
        <v>0</v>
      </c>
      <c r="AI7205">
        <v>16.38</v>
      </c>
      <c r="AJ7205">
        <v>91</v>
      </c>
      <c r="AK7205">
        <v>0</v>
      </c>
      <c r="AL7205" t="s">
        <v>53</v>
      </c>
      <c r="AM7205" t="s">
        <v>53</v>
      </c>
      <c r="AN7205" t="s">
        <v>13050</v>
      </c>
      <c r="AO7205" t="s">
        <v>53</v>
      </c>
      <c r="AP7205" t="s">
        <v>53</v>
      </c>
    </row>
    <row r="7206" spans="2:42" x14ac:dyDescent="0.2">
      <c r="B7206" t="s">
        <v>44</v>
      </c>
      <c r="C7206" t="str">
        <f>HYPERLINK("https://us2.cloudbeds.com/connect/8493803454333002#/reservations/9080486847331248?display=3QASD1ND39&amp;reservation_id=9080486847331248", "3QASD1ND39")</f>
        <v>3QASD1ND39</v>
      </c>
      <c r="D7206" t="s">
        <v>45</v>
      </c>
      <c r="E7206" t="s">
        <v>121</v>
      </c>
      <c r="F7206" t="s">
        <v>86</v>
      </c>
      <c r="G7206" t="s">
        <v>48</v>
      </c>
      <c r="H7206" t="s">
        <v>49</v>
      </c>
      <c r="I7206" t="s">
        <v>8964</v>
      </c>
      <c r="J7206" t="s">
        <v>11382</v>
      </c>
      <c r="K7206" t="s">
        <v>12562</v>
      </c>
      <c r="L7206" t="s">
        <v>53</v>
      </c>
      <c r="N7206" t="s">
        <v>13051</v>
      </c>
      <c r="P7206" t="s">
        <v>55</v>
      </c>
      <c r="R7206" t="s">
        <v>53</v>
      </c>
      <c r="T7206" t="s">
        <v>13052</v>
      </c>
      <c r="U7206" t="s">
        <v>55</v>
      </c>
      <c r="V7206">
        <v>4</v>
      </c>
      <c r="W7206">
        <v>1</v>
      </c>
      <c r="X7206">
        <v>4</v>
      </c>
      <c r="Y7206">
        <v>0</v>
      </c>
      <c r="Z7206">
        <v>4</v>
      </c>
      <c r="AA7206">
        <v>0</v>
      </c>
      <c r="AB7206">
        <v>0</v>
      </c>
      <c r="AC7206">
        <v>589</v>
      </c>
      <c r="AD7206">
        <v>0</v>
      </c>
      <c r="AE7206">
        <v>0</v>
      </c>
      <c r="AF7206">
        <v>0</v>
      </c>
      <c r="AG7206">
        <v>0</v>
      </c>
      <c r="AH7206">
        <v>0</v>
      </c>
      <c r="AI7206">
        <v>88.35</v>
      </c>
      <c r="AJ7206">
        <v>589</v>
      </c>
      <c r="AK7206">
        <v>589</v>
      </c>
      <c r="AL7206" t="s">
        <v>53</v>
      </c>
      <c r="AM7206" t="s">
        <v>53</v>
      </c>
      <c r="AN7206" t="s">
        <v>13053</v>
      </c>
      <c r="AO7206" t="s">
        <v>53</v>
      </c>
      <c r="AP7206" t="s">
        <v>53</v>
      </c>
    </row>
    <row r="7207" spans="2:42" x14ac:dyDescent="0.2">
      <c r="B7207" t="s">
        <v>44</v>
      </c>
      <c r="C7207" t="str">
        <f>HYPERLINK("https://us2.cloudbeds.com/connect/8493803454333002#/reservations/176324224016564?display=3QC92K63R7&amp;reservation_id=176324224016564", "3QC92K63R7")</f>
        <v>3QC92K63R7</v>
      </c>
      <c r="D7207" t="s">
        <v>45</v>
      </c>
      <c r="E7207" t="s">
        <v>105</v>
      </c>
      <c r="F7207" t="s">
        <v>47</v>
      </c>
      <c r="G7207" t="s">
        <v>48</v>
      </c>
      <c r="H7207" t="s">
        <v>3957</v>
      </c>
      <c r="I7207" t="s">
        <v>3975</v>
      </c>
      <c r="J7207" t="s">
        <v>11268</v>
      </c>
      <c r="K7207" t="s">
        <v>11804</v>
      </c>
      <c r="L7207" t="s">
        <v>53</v>
      </c>
      <c r="P7207" t="s">
        <v>55</v>
      </c>
      <c r="R7207" t="s">
        <v>56</v>
      </c>
      <c r="T7207" t="s">
        <v>13054</v>
      </c>
      <c r="U7207" t="s">
        <v>58</v>
      </c>
      <c r="V7207">
        <v>2</v>
      </c>
      <c r="W7207">
        <v>1</v>
      </c>
      <c r="X7207">
        <v>2</v>
      </c>
      <c r="Y7207">
        <v>0</v>
      </c>
      <c r="Z7207">
        <v>2</v>
      </c>
      <c r="AA7207">
        <v>411.42</v>
      </c>
      <c r="AB7207">
        <v>411.42</v>
      </c>
      <c r="AC7207">
        <v>362</v>
      </c>
      <c r="AD7207">
        <v>0</v>
      </c>
      <c r="AE7207">
        <v>49.42</v>
      </c>
      <c r="AF7207">
        <v>0</v>
      </c>
      <c r="AG7207">
        <v>0</v>
      </c>
      <c r="AH7207">
        <v>0</v>
      </c>
      <c r="AI7207">
        <v>0</v>
      </c>
      <c r="AJ7207">
        <v>411.42</v>
      </c>
      <c r="AK7207">
        <v>0</v>
      </c>
      <c r="AL7207" t="s">
        <v>53</v>
      </c>
      <c r="AM7207" t="s">
        <v>53</v>
      </c>
      <c r="AN7207" t="s">
        <v>13055</v>
      </c>
      <c r="AO7207" t="s">
        <v>53</v>
      </c>
      <c r="AP7207" t="s">
        <v>53</v>
      </c>
    </row>
    <row r="7208" spans="2:42" x14ac:dyDescent="0.2">
      <c r="B7208" t="s">
        <v>44</v>
      </c>
      <c r="C7208" t="str">
        <f>HYPERLINK("https://us2.cloudbeds.com/connect/8493803454333002#/reservations/176501188001926?display=3QGE3ETSQ6&amp;reservation_id=176501188001926", "3QGE3ETSQ6")</f>
        <v>3QGE3ETSQ6</v>
      </c>
      <c r="D7208" t="s">
        <v>45</v>
      </c>
      <c r="E7208" t="s">
        <v>138</v>
      </c>
      <c r="F7208" t="s">
        <v>70</v>
      </c>
      <c r="G7208" t="s">
        <v>48</v>
      </c>
      <c r="H7208" t="s">
        <v>3957</v>
      </c>
      <c r="I7208" t="s">
        <v>3975</v>
      </c>
      <c r="J7208" t="s">
        <v>11381</v>
      </c>
      <c r="K7208" t="s">
        <v>11956</v>
      </c>
      <c r="L7208" t="s">
        <v>53</v>
      </c>
      <c r="P7208" t="s">
        <v>55</v>
      </c>
      <c r="R7208" t="s">
        <v>56</v>
      </c>
      <c r="T7208" t="s">
        <v>13056</v>
      </c>
      <c r="U7208" t="s">
        <v>58</v>
      </c>
      <c r="V7208">
        <v>1</v>
      </c>
      <c r="W7208">
        <v>1</v>
      </c>
      <c r="X7208">
        <v>1</v>
      </c>
      <c r="Y7208">
        <v>0</v>
      </c>
      <c r="Z7208">
        <v>1</v>
      </c>
      <c r="AA7208">
        <v>157.97999999999999</v>
      </c>
      <c r="AB7208">
        <v>157.97999999999999</v>
      </c>
      <c r="AC7208">
        <v>139</v>
      </c>
      <c r="AD7208">
        <v>0</v>
      </c>
      <c r="AE7208">
        <v>18.98</v>
      </c>
      <c r="AF7208">
        <v>0</v>
      </c>
      <c r="AG7208">
        <v>0</v>
      </c>
      <c r="AH7208">
        <v>0</v>
      </c>
      <c r="AI7208">
        <v>0</v>
      </c>
      <c r="AJ7208">
        <v>157.97999999999999</v>
      </c>
      <c r="AK7208">
        <v>0</v>
      </c>
      <c r="AL7208" t="s">
        <v>53</v>
      </c>
      <c r="AM7208" t="s">
        <v>53</v>
      </c>
      <c r="AN7208" t="s">
        <v>53</v>
      </c>
      <c r="AO7208" t="s">
        <v>53</v>
      </c>
      <c r="AP7208" t="s">
        <v>53</v>
      </c>
    </row>
    <row r="7209" spans="2:42" x14ac:dyDescent="0.2">
      <c r="B7209" t="s">
        <v>44</v>
      </c>
      <c r="C7209" t="str">
        <f>HYPERLINK("https://us2.cloudbeds.com/connect/8493803454333002#/reservations/9080486847338275?display=3QJ919UP60&amp;reservation_id=9080486847338275", "3QJ919UP60")</f>
        <v>3QJ919UP60</v>
      </c>
      <c r="D7209" t="s">
        <v>45</v>
      </c>
      <c r="E7209" t="s">
        <v>155</v>
      </c>
      <c r="F7209" t="s">
        <v>86</v>
      </c>
      <c r="G7209" t="s">
        <v>48</v>
      </c>
      <c r="H7209" t="s">
        <v>49</v>
      </c>
      <c r="I7209" t="s">
        <v>8964</v>
      </c>
      <c r="J7209" t="s">
        <v>11381</v>
      </c>
      <c r="K7209" t="s">
        <v>11926</v>
      </c>
      <c r="L7209" t="s">
        <v>53</v>
      </c>
      <c r="N7209" t="s">
        <v>13057</v>
      </c>
      <c r="P7209" t="s">
        <v>55</v>
      </c>
      <c r="R7209" t="s">
        <v>53</v>
      </c>
      <c r="T7209" t="s">
        <v>13058</v>
      </c>
      <c r="U7209" t="s">
        <v>55</v>
      </c>
      <c r="V7209">
        <v>2</v>
      </c>
      <c r="W7209">
        <v>1</v>
      </c>
      <c r="X7209">
        <v>2</v>
      </c>
      <c r="Y7209">
        <v>2</v>
      </c>
      <c r="Z7209">
        <v>4</v>
      </c>
      <c r="AA7209">
        <v>0</v>
      </c>
      <c r="AB7209">
        <v>0</v>
      </c>
      <c r="AC7209">
        <v>462</v>
      </c>
      <c r="AD7209">
        <v>0</v>
      </c>
      <c r="AE7209">
        <v>0</v>
      </c>
      <c r="AF7209">
        <v>0</v>
      </c>
      <c r="AG7209">
        <v>0</v>
      </c>
      <c r="AH7209">
        <v>0</v>
      </c>
      <c r="AI7209">
        <v>69.3</v>
      </c>
      <c r="AJ7209">
        <v>462</v>
      </c>
      <c r="AK7209">
        <v>462</v>
      </c>
      <c r="AL7209" t="s">
        <v>53</v>
      </c>
      <c r="AM7209" t="s">
        <v>53</v>
      </c>
      <c r="AN7209" t="s">
        <v>13059</v>
      </c>
      <c r="AO7209" t="s">
        <v>53</v>
      </c>
      <c r="AP7209" t="s">
        <v>53</v>
      </c>
    </row>
    <row r="7210" spans="2:42" x14ac:dyDescent="0.2">
      <c r="B7210" t="s">
        <v>44</v>
      </c>
      <c r="C7210" t="str">
        <f>HYPERLINK("https://us2.cloudbeds.com/connect/8493803454333002#/reservations/9080486847344752?display=3QRCWCMT3H&amp;reservation_id=9080486847344752", "3QRCWCMT3H")</f>
        <v>3QRCWCMT3H</v>
      </c>
      <c r="D7210" t="s">
        <v>45</v>
      </c>
      <c r="E7210" t="s">
        <v>121</v>
      </c>
      <c r="F7210" t="s">
        <v>86</v>
      </c>
      <c r="G7210" t="s">
        <v>48</v>
      </c>
      <c r="H7210" t="s">
        <v>49</v>
      </c>
      <c r="I7210" t="s">
        <v>8964</v>
      </c>
      <c r="J7210" t="s">
        <v>13060</v>
      </c>
      <c r="K7210" t="s">
        <v>13061</v>
      </c>
      <c r="L7210" t="s">
        <v>53</v>
      </c>
      <c r="N7210" t="s">
        <v>13062</v>
      </c>
      <c r="P7210" t="s">
        <v>55</v>
      </c>
      <c r="R7210" t="s">
        <v>53</v>
      </c>
      <c r="T7210" t="s">
        <v>13063</v>
      </c>
      <c r="U7210" t="s">
        <v>55</v>
      </c>
      <c r="V7210">
        <v>1</v>
      </c>
      <c r="W7210">
        <v>1</v>
      </c>
      <c r="X7210">
        <v>3</v>
      </c>
      <c r="Y7210">
        <v>0</v>
      </c>
      <c r="Z7210">
        <v>3</v>
      </c>
      <c r="AA7210">
        <v>0</v>
      </c>
      <c r="AB7210">
        <v>0</v>
      </c>
      <c r="AC7210">
        <v>187</v>
      </c>
      <c r="AD7210">
        <v>0</v>
      </c>
      <c r="AE7210">
        <v>0</v>
      </c>
      <c r="AF7210">
        <v>0</v>
      </c>
      <c r="AG7210">
        <v>0</v>
      </c>
      <c r="AH7210">
        <v>0</v>
      </c>
      <c r="AI7210">
        <v>28.05</v>
      </c>
      <c r="AJ7210">
        <v>187</v>
      </c>
      <c r="AK7210">
        <v>187</v>
      </c>
      <c r="AL7210" t="s">
        <v>53</v>
      </c>
      <c r="AM7210" t="s">
        <v>53</v>
      </c>
      <c r="AN7210" t="s">
        <v>13064</v>
      </c>
      <c r="AO7210" t="s">
        <v>53</v>
      </c>
      <c r="AP7210" t="s">
        <v>53</v>
      </c>
    </row>
    <row r="7211" spans="2:42" x14ac:dyDescent="0.2">
      <c r="B7211" t="s">
        <v>44</v>
      </c>
      <c r="C7211" t="str">
        <f>HYPERLINK("https://us2.cloudbeds.com/connect/8493803454333002#/reservations/9080486847344908?display=3QRY1TNGQZ&amp;reservation_id=9080486847344908", "3QRY1TNGQZ")</f>
        <v>3QRY1TNGQZ</v>
      </c>
      <c r="D7211" t="s">
        <v>45</v>
      </c>
      <c r="E7211" t="s">
        <v>138</v>
      </c>
      <c r="F7211" t="s">
        <v>70</v>
      </c>
      <c r="G7211" t="s">
        <v>48</v>
      </c>
      <c r="H7211" t="s">
        <v>49</v>
      </c>
      <c r="I7211" t="s">
        <v>62</v>
      </c>
      <c r="J7211" t="s">
        <v>11956</v>
      </c>
      <c r="K7211" t="s">
        <v>11926</v>
      </c>
      <c r="L7211" t="s">
        <v>53</v>
      </c>
      <c r="N7211" t="s">
        <v>13065</v>
      </c>
      <c r="P7211" t="s">
        <v>55</v>
      </c>
      <c r="R7211" t="s">
        <v>56</v>
      </c>
      <c r="T7211" t="s">
        <v>13066</v>
      </c>
      <c r="U7211" t="s">
        <v>55</v>
      </c>
      <c r="V7211">
        <v>1</v>
      </c>
      <c r="W7211">
        <v>1</v>
      </c>
      <c r="X7211">
        <v>2</v>
      </c>
      <c r="Y7211">
        <v>0</v>
      </c>
      <c r="Z7211">
        <v>2</v>
      </c>
      <c r="AA7211">
        <v>157</v>
      </c>
      <c r="AB7211">
        <v>157</v>
      </c>
      <c r="AC7211">
        <v>157</v>
      </c>
      <c r="AD7211">
        <v>0</v>
      </c>
      <c r="AE7211">
        <v>0</v>
      </c>
      <c r="AF7211">
        <v>0</v>
      </c>
      <c r="AG7211">
        <v>0</v>
      </c>
      <c r="AH7211">
        <v>0</v>
      </c>
      <c r="AI7211">
        <v>28.26</v>
      </c>
      <c r="AJ7211">
        <v>157</v>
      </c>
      <c r="AK7211">
        <v>0</v>
      </c>
      <c r="AL7211" t="s">
        <v>53</v>
      </c>
      <c r="AM7211" t="s">
        <v>53</v>
      </c>
      <c r="AN7211" t="s">
        <v>53</v>
      </c>
      <c r="AO7211" t="s">
        <v>53</v>
      </c>
      <c r="AP7211" t="s">
        <v>53</v>
      </c>
    </row>
    <row r="7212" spans="2:42" x14ac:dyDescent="0.2">
      <c r="B7212" t="s">
        <v>44</v>
      </c>
      <c r="C7212" t="str">
        <f>HYPERLINK("https://us2.cloudbeds.com/connect/8493803454333002#/reservations/9080486847345493?display=3QSCTJGXPB&amp;reservation_id=9080486847345493", "3QSCTJGXPB")</f>
        <v>3QSCTJGXPB</v>
      </c>
      <c r="D7212" t="s">
        <v>45</v>
      </c>
      <c r="E7212" t="s">
        <v>128</v>
      </c>
      <c r="F7212" t="s">
        <v>86</v>
      </c>
      <c r="G7212" t="s">
        <v>48</v>
      </c>
      <c r="H7212" t="s">
        <v>49</v>
      </c>
      <c r="I7212" t="s">
        <v>50</v>
      </c>
      <c r="J7212" t="s">
        <v>13067</v>
      </c>
      <c r="K7212" t="s">
        <v>13068</v>
      </c>
      <c r="L7212" t="s">
        <v>53</v>
      </c>
      <c r="N7212" t="s">
        <v>13069</v>
      </c>
      <c r="P7212" t="s">
        <v>55</v>
      </c>
      <c r="R7212" t="s">
        <v>53</v>
      </c>
      <c r="T7212" t="s">
        <v>13070</v>
      </c>
      <c r="U7212" t="s">
        <v>58</v>
      </c>
      <c r="V7212">
        <v>1</v>
      </c>
      <c r="W7212">
        <v>1</v>
      </c>
      <c r="X7212">
        <v>2</v>
      </c>
      <c r="Y7212">
        <v>2</v>
      </c>
      <c r="Z7212">
        <v>4</v>
      </c>
      <c r="AA7212">
        <v>157.02000000000001</v>
      </c>
      <c r="AB7212">
        <v>158.4</v>
      </c>
      <c r="AC7212">
        <v>138.16</v>
      </c>
      <c r="AD7212">
        <v>0</v>
      </c>
      <c r="AE7212">
        <v>20.239999999999998</v>
      </c>
      <c r="AF7212">
        <v>0</v>
      </c>
      <c r="AG7212">
        <v>0</v>
      </c>
      <c r="AH7212">
        <v>0</v>
      </c>
      <c r="AI7212">
        <v>28.51</v>
      </c>
      <c r="AJ7212">
        <v>158.4</v>
      </c>
      <c r="AK7212">
        <v>0</v>
      </c>
      <c r="AL7212" t="s">
        <v>53</v>
      </c>
      <c r="AM7212" t="s">
        <v>53</v>
      </c>
      <c r="AN7212" t="s">
        <v>13071</v>
      </c>
      <c r="AO7212" t="s">
        <v>53</v>
      </c>
      <c r="AP7212" t="s">
        <v>53</v>
      </c>
    </row>
    <row r="7213" spans="2:42" x14ac:dyDescent="0.2">
      <c r="B7213" t="s">
        <v>44</v>
      </c>
      <c r="C7213" t="str">
        <f>HYPERLINK("https://us2.cloudbeds.com/connect/8493803454333002#/reservations/9080486847346318?display=3QTKN22CZK&amp;reservation_id=9080486847346318", "3QTKN22CZK")</f>
        <v>3QTKN22CZK</v>
      </c>
      <c r="D7213" t="s">
        <v>45</v>
      </c>
      <c r="E7213" t="s">
        <v>190</v>
      </c>
      <c r="F7213" t="s">
        <v>61</v>
      </c>
      <c r="G7213" t="s">
        <v>48</v>
      </c>
      <c r="H7213" t="s">
        <v>49</v>
      </c>
      <c r="I7213" t="s">
        <v>50</v>
      </c>
      <c r="J7213" t="s">
        <v>13061</v>
      </c>
      <c r="K7213" t="s">
        <v>13072</v>
      </c>
      <c r="L7213" t="s">
        <v>53</v>
      </c>
      <c r="N7213" t="s">
        <v>13073</v>
      </c>
      <c r="P7213" t="s">
        <v>55</v>
      </c>
      <c r="R7213" t="s">
        <v>53</v>
      </c>
      <c r="T7213" t="s">
        <v>13074</v>
      </c>
      <c r="U7213" t="s">
        <v>58</v>
      </c>
      <c r="V7213">
        <v>2</v>
      </c>
      <c r="W7213">
        <v>1</v>
      </c>
      <c r="X7213">
        <v>2</v>
      </c>
      <c r="Y7213">
        <v>0</v>
      </c>
      <c r="Z7213">
        <v>2</v>
      </c>
      <c r="AA7213">
        <v>228.46</v>
      </c>
      <c r="AB7213">
        <v>228.46</v>
      </c>
      <c r="AC7213">
        <v>201.02</v>
      </c>
      <c r="AD7213">
        <v>0</v>
      </c>
      <c r="AE7213">
        <v>27.44</v>
      </c>
      <c r="AF7213">
        <v>0</v>
      </c>
      <c r="AG7213">
        <v>0</v>
      </c>
      <c r="AH7213">
        <v>0</v>
      </c>
      <c r="AI7213">
        <v>41.12</v>
      </c>
      <c r="AJ7213">
        <v>228.46</v>
      </c>
      <c r="AK7213">
        <v>0</v>
      </c>
      <c r="AL7213" t="s">
        <v>53</v>
      </c>
      <c r="AM7213" t="s">
        <v>53</v>
      </c>
      <c r="AN7213" t="s">
        <v>13075</v>
      </c>
      <c r="AO7213" t="s">
        <v>53</v>
      </c>
      <c r="AP7213" t="s">
        <v>53</v>
      </c>
    </row>
    <row r="7214" spans="2:42" x14ac:dyDescent="0.2">
      <c r="B7214" t="s">
        <v>44</v>
      </c>
      <c r="C7214" t="str">
        <f>HYPERLINK("https://us2.cloudbeds.com/connect/8493803454333002#/reservations/9080486847349302?display=3R0KNJQ5W0&amp;reservation_id=9080486847349302", "3R0KNJQ5W0")</f>
        <v>3R0KNJQ5W0</v>
      </c>
      <c r="D7214" t="s">
        <v>45</v>
      </c>
      <c r="E7214" t="s">
        <v>138</v>
      </c>
      <c r="F7214" t="s">
        <v>70</v>
      </c>
      <c r="G7214" t="s">
        <v>48</v>
      </c>
      <c r="H7214" t="s">
        <v>49</v>
      </c>
      <c r="I7214" t="s">
        <v>8964</v>
      </c>
      <c r="J7214" t="s">
        <v>11382</v>
      </c>
      <c r="K7214" t="s">
        <v>11309</v>
      </c>
      <c r="L7214" t="s">
        <v>53</v>
      </c>
      <c r="N7214" t="s">
        <v>13076</v>
      </c>
      <c r="P7214" t="s">
        <v>55</v>
      </c>
      <c r="R7214" t="s">
        <v>53</v>
      </c>
      <c r="T7214" t="s">
        <v>13077</v>
      </c>
      <c r="U7214" t="s">
        <v>55</v>
      </c>
      <c r="V7214">
        <v>1</v>
      </c>
      <c r="W7214">
        <v>1</v>
      </c>
      <c r="X7214">
        <v>2</v>
      </c>
      <c r="Y7214">
        <v>0</v>
      </c>
      <c r="Z7214">
        <v>2</v>
      </c>
      <c r="AA7214">
        <v>0</v>
      </c>
      <c r="AB7214">
        <v>0</v>
      </c>
      <c r="AC7214">
        <v>97</v>
      </c>
      <c r="AD7214">
        <v>0</v>
      </c>
      <c r="AE7214">
        <v>0</v>
      </c>
      <c r="AF7214">
        <v>0</v>
      </c>
      <c r="AG7214">
        <v>0</v>
      </c>
      <c r="AH7214">
        <v>0</v>
      </c>
      <c r="AI7214">
        <v>14.55</v>
      </c>
      <c r="AJ7214">
        <v>97</v>
      </c>
      <c r="AK7214">
        <v>97</v>
      </c>
      <c r="AL7214" t="s">
        <v>53</v>
      </c>
      <c r="AM7214" t="s">
        <v>53</v>
      </c>
      <c r="AN7214" t="s">
        <v>53</v>
      </c>
      <c r="AO7214" t="s">
        <v>53</v>
      </c>
      <c r="AP7214" t="s">
        <v>53</v>
      </c>
    </row>
    <row r="7215" spans="2:42" x14ac:dyDescent="0.2">
      <c r="B7215" t="s">
        <v>44</v>
      </c>
      <c r="C7215" t="str">
        <f>HYPERLINK("https://us2.cloudbeds.com/connect/8493803454333002#/reservations/9080486847349658?display=3R10PPCT7S&amp;reservation_id=9080486847349658", "3R10PPCT7S")</f>
        <v>3R10PPCT7S</v>
      </c>
      <c r="D7215" t="s">
        <v>45</v>
      </c>
      <c r="E7215" t="s">
        <v>165</v>
      </c>
      <c r="F7215" t="s">
        <v>61</v>
      </c>
      <c r="G7215" t="s">
        <v>48</v>
      </c>
      <c r="H7215" t="s">
        <v>49</v>
      </c>
      <c r="I7215" t="s">
        <v>50</v>
      </c>
      <c r="J7215" t="s">
        <v>11884</v>
      </c>
      <c r="K7215" t="s">
        <v>12350</v>
      </c>
      <c r="L7215" t="s">
        <v>53</v>
      </c>
      <c r="N7215" t="s">
        <v>13078</v>
      </c>
      <c r="P7215" t="s">
        <v>55</v>
      </c>
      <c r="R7215" t="s">
        <v>53</v>
      </c>
      <c r="T7215" t="s">
        <v>13079</v>
      </c>
      <c r="U7215" t="s">
        <v>58</v>
      </c>
      <c r="V7215">
        <v>1</v>
      </c>
      <c r="W7215">
        <v>1</v>
      </c>
      <c r="X7215">
        <v>2</v>
      </c>
      <c r="Y7215">
        <v>0</v>
      </c>
      <c r="Z7215">
        <v>2</v>
      </c>
      <c r="AA7215">
        <v>119.02</v>
      </c>
      <c r="AB7215">
        <v>119.02</v>
      </c>
      <c r="AC7215">
        <v>104.72</v>
      </c>
      <c r="AD7215">
        <v>0</v>
      </c>
      <c r="AE7215">
        <v>14.3</v>
      </c>
      <c r="AF7215">
        <v>0</v>
      </c>
      <c r="AG7215">
        <v>0</v>
      </c>
      <c r="AH7215">
        <v>0</v>
      </c>
      <c r="AI7215">
        <v>21.42</v>
      </c>
      <c r="AJ7215">
        <v>119.02</v>
      </c>
      <c r="AK7215">
        <v>0</v>
      </c>
      <c r="AL7215" t="s">
        <v>53</v>
      </c>
      <c r="AM7215" t="s">
        <v>53</v>
      </c>
      <c r="AN7215" t="s">
        <v>13080</v>
      </c>
      <c r="AO7215" t="s">
        <v>53</v>
      </c>
      <c r="AP7215" t="s">
        <v>53</v>
      </c>
    </row>
    <row r="7216" spans="2:42" x14ac:dyDescent="0.2">
      <c r="B7216" t="s">
        <v>44</v>
      </c>
      <c r="C7216" t="str">
        <f>HYPERLINK("https://us2.cloudbeds.com/connect/8493803454333002#/reservations/9080486847350025?display=3R1ECGAMCV&amp;reservation_id=9080486847350025", "3R1ECGAMCV")</f>
        <v>3R1ECGAMCV</v>
      </c>
      <c r="D7216" t="s">
        <v>45</v>
      </c>
      <c r="E7216" t="s">
        <v>138</v>
      </c>
      <c r="F7216" t="s">
        <v>70</v>
      </c>
      <c r="G7216" t="s">
        <v>48</v>
      </c>
      <c r="H7216" t="s">
        <v>49</v>
      </c>
      <c r="I7216" t="s">
        <v>62</v>
      </c>
      <c r="J7216" t="s">
        <v>13081</v>
      </c>
      <c r="K7216" t="s">
        <v>13082</v>
      </c>
      <c r="L7216" t="s">
        <v>53</v>
      </c>
      <c r="N7216" t="s">
        <v>13083</v>
      </c>
      <c r="P7216" t="s">
        <v>55</v>
      </c>
      <c r="R7216" t="s">
        <v>56</v>
      </c>
      <c r="T7216" t="s">
        <v>13084</v>
      </c>
      <c r="U7216" t="s">
        <v>55</v>
      </c>
      <c r="V7216">
        <v>1</v>
      </c>
      <c r="W7216">
        <v>1</v>
      </c>
      <c r="X7216">
        <v>2</v>
      </c>
      <c r="Y7216">
        <v>0</v>
      </c>
      <c r="Z7216">
        <v>2</v>
      </c>
      <c r="AA7216">
        <v>153</v>
      </c>
      <c r="AB7216">
        <v>153</v>
      </c>
      <c r="AC7216">
        <v>153</v>
      </c>
      <c r="AD7216">
        <v>0</v>
      </c>
      <c r="AE7216">
        <v>0</v>
      </c>
      <c r="AF7216">
        <v>0</v>
      </c>
      <c r="AG7216">
        <v>0</v>
      </c>
      <c r="AH7216">
        <v>0</v>
      </c>
      <c r="AI7216">
        <v>27.54</v>
      </c>
      <c r="AJ7216">
        <v>153</v>
      </c>
      <c r="AK7216">
        <v>0</v>
      </c>
      <c r="AL7216" t="s">
        <v>53</v>
      </c>
      <c r="AM7216" t="s">
        <v>53</v>
      </c>
      <c r="AN7216" t="s">
        <v>53</v>
      </c>
      <c r="AO7216" t="s">
        <v>53</v>
      </c>
      <c r="AP7216" t="s">
        <v>53</v>
      </c>
    </row>
    <row r="7217" spans="2:42" x14ac:dyDescent="0.2">
      <c r="B7217" t="s">
        <v>44</v>
      </c>
      <c r="C7217" t="str">
        <f>HYPERLINK("https://us2.cloudbeds.com/connect/8493803454333002#/reservations/9080486847350570?display=3R22Z5MJW0&amp;reservation_id=9080486847350570", "3R22Z5MJW0")</f>
        <v>3R22Z5MJW0</v>
      </c>
      <c r="D7217" t="s">
        <v>45</v>
      </c>
      <c r="E7217" t="s">
        <v>165</v>
      </c>
      <c r="F7217" t="s">
        <v>61</v>
      </c>
      <c r="G7217" t="s">
        <v>48</v>
      </c>
      <c r="H7217" t="s">
        <v>49</v>
      </c>
      <c r="I7217" t="s">
        <v>62</v>
      </c>
      <c r="J7217" t="s">
        <v>13085</v>
      </c>
      <c r="K7217" t="s">
        <v>13086</v>
      </c>
      <c r="L7217" t="s">
        <v>53</v>
      </c>
      <c r="N7217" t="s">
        <v>13087</v>
      </c>
      <c r="P7217" t="s">
        <v>55</v>
      </c>
      <c r="R7217" t="s">
        <v>56</v>
      </c>
      <c r="T7217" t="s">
        <v>13088</v>
      </c>
      <c r="U7217" t="s">
        <v>55</v>
      </c>
      <c r="V7217">
        <v>3</v>
      </c>
      <c r="W7217">
        <v>1</v>
      </c>
      <c r="X7217">
        <v>2</v>
      </c>
      <c r="Y7217">
        <v>0</v>
      </c>
      <c r="Z7217">
        <v>2</v>
      </c>
      <c r="AA7217">
        <v>501</v>
      </c>
      <c r="AB7217">
        <v>501</v>
      </c>
      <c r="AC7217">
        <v>501</v>
      </c>
      <c r="AD7217">
        <v>0</v>
      </c>
      <c r="AE7217">
        <v>0</v>
      </c>
      <c r="AF7217">
        <v>0</v>
      </c>
      <c r="AG7217">
        <v>0</v>
      </c>
      <c r="AH7217">
        <v>0</v>
      </c>
      <c r="AI7217">
        <v>90.18</v>
      </c>
      <c r="AJ7217">
        <v>501</v>
      </c>
      <c r="AK7217">
        <v>0</v>
      </c>
      <c r="AL7217" t="s">
        <v>53</v>
      </c>
      <c r="AM7217" t="s">
        <v>53</v>
      </c>
      <c r="AN7217" t="s">
        <v>53</v>
      </c>
      <c r="AO7217" t="s">
        <v>53</v>
      </c>
      <c r="AP7217" t="s">
        <v>53</v>
      </c>
    </row>
    <row r="7218" spans="2:42" x14ac:dyDescent="0.2">
      <c r="B7218" t="s">
        <v>44</v>
      </c>
      <c r="C7218" t="str">
        <f>HYPERLINK("https://us2.cloudbeds.com/connect/8493803454333002#/reservations/9080486847351300?display=3R3492699Q&amp;reservation_id=9080486847351300", "3R3492699Q")</f>
        <v>3R3492699Q</v>
      </c>
      <c r="D7218" t="s">
        <v>45</v>
      </c>
      <c r="E7218" t="s">
        <v>110</v>
      </c>
      <c r="F7218" t="s">
        <v>47</v>
      </c>
      <c r="G7218" t="s">
        <v>48</v>
      </c>
      <c r="H7218" t="s">
        <v>49</v>
      </c>
      <c r="I7218" t="s">
        <v>62</v>
      </c>
      <c r="J7218" t="s">
        <v>11884</v>
      </c>
      <c r="K7218" t="s">
        <v>12350</v>
      </c>
      <c r="L7218" t="s">
        <v>53</v>
      </c>
      <c r="N7218" t="s">
        <v>13089</v>
      </c>
      <c r="P7218" t="s">
        <v>55</v>
      </c>
      <c r="R7218" t="s">
        <v>13090</v>
      </c>
      <c r="T7218" t="s">
        <v>13091</v>
      </c>
      <c r="U7218" t="s">
        <v>55</v>
      </c>
      <c r="V7218">
        <v>1</v>
      </c>
      <c r="W7218">
        <v>1</v>
      </c>
      <c r="X7218">
        <v>2</v>
      </c>
      <c r="Y7218">
        <v>0</v>
      </c>
      <c r="Z7218">
        <v>2</v>
      </c>
      <c r="AA7218">
        <v>91.2</v>
      </c>
      <c r="AB7218">
        <v>91.2</v>
      </c>
      <c r="AC7218">
        <v>91.2</v>
      </c>
      <c r="AD7218">
        <v>0</v>
      </c>
      <c r="AE7218">
        <v>0</v>
      </c>
      <c r="AF7218">
        <v>0</v>
      </c>
      <c r="AG7218">
        <v>0</v>
      </c>
      <c r="AH7218">
        <v>0</v>
      </c>
      <c r="AI7218">
        <v>16.420000000000002</v>
      </c>
      <c r="AJ7218">
        <v>91.2</v>
      </c>
      <c r="AK7218">
        <v>0</v>
      </c>
      <c r="AL7218" t="s">
        <v>53</v>
      </c>
      <c r="AM7218" t="s">
        <v>53</v>
      </c>
      <c r="AN7218" t="s">
        <v>53</v>
      </c>
      <c r="AO7218" t="s">
        <v>53</v>
      </c>
      <c r="AP7218" t="s">
        <v>53</v>
      </c>
    </row>
    <row r="7219" spans="2:42" x14ac:dyDescent="0.2">
      <c r="B7219" t="s">
        <v>44</v>
      </c>
      <c r="C7219" t="str">
        <f>HYPERLINK("https://us2.cloudbeds.com/connect/8493803454333002#/reservations/9080486847362351?display=3RG89ER6DS&amp;reservation_id=9080486847362351", "3RG89ER6DS")</f>
        <v>3RG89ER6DS</v>
      </c>
      <c r="D7219" t="s">
        <v>45</v>
      </c>
      <c r="E7219" t="s">
        <v>113</v>
      </c>
      <c r="F7219" t="s">
        <v>61</v>
      </c>
      <c r="G7219" t="s">
        <v>48</v>
      </c>
      <c r="H7219" t="s">
        <v>49</v>
      </c>
      <c r="I7219" t="s">
        <v>50</v>
      </c>
      <c r="J7219" t="s">
        <v>11309</v>
      </c>
      <c r="K7219" t="s">
        <v>11267</v>
      </c>
      <c r="L7219" t="s">
        <v>53</v>
      </c>
      <c r="N7219" t="s">
        <v>13092</v>
      </c>
      <c r="P7219" t="s">
        <v>55</v>
      </c>
      <c r="R7219" t="s">
        <v>53</v>
      </c>
      <c r="T7219" t="s">
        <v>13093</v>
      </c>
      <c r="U7219" t="s">
        <v>58</v>
      </c>
      <c r="V7219">
        <v>1</v>
      </c>
      <c r="W7219">
        <v>1</v>
      </c>
      <c r="X7219">
        <v>2</v>
      </c>
      <c r="Y7219">
        <v>0</v>
      </c>
      <c r="Z7219">
        <v>2</v>
      </c>
      <c r="AA7219">
        <v>102.01</v>
      </c>
      <c r="AB7219">
        <v>102.01</v>
      </c>
      <c r="AC7219">
        <v>89.76</v>
      </c>
      <c r="AD7219">
        <v>0</v>
      </c>
      <c r="AE7219">
        <v>12.25</v>
      </c>
      <c r="AF7219">
        <v>0</v>
      </c>
      <c r="AG7219">
        <v>0</v>
      </c>
      <c r="AH7219">
        <v>0</v>
      </c>
      <c r="AI7219">
        <v>18.36</v>
      </c>
      <c r="AJ7219">
        <v>102.01</v>
      </c>
      <c r="AK7219">
        <v>0</v>
      </c>
      <c r="AL7219" t="s">
        <v>53</v>
      </c>
      <c r="AM7219" t="s">
        <v>53</v>
      </c>
      <c r="AN7219" t="s">
        <v>53</v>
      </c>
      <c r="AO7219" t="s">
        <v>53</v>
      </c>
      <c r="AP7219" t="s">
        <v>53</v>
      </c>
    </row>
    <row r="7220" spans="2:42" x14ac:dyDescent="0.2">
      <c r="B7220" t="s">
        <v>44</v>
      </c>
      <c r="C7220" t="str">
        <f>HYPERLINK("https://us2.cloudbeds.com/connect/8493803454333002#/reservations/177943214665942?display=3RH8MXWGHY&amp;reservation_id=177943214665942", "3RH8MXWGHY")</f>
        <v>3RH8MXWGHY</v>
      </c>
      <c r="D7220" t="s">
        <v>45</v>
      </c>
      <c r="E7220" t="s">
        <v>138</v>
      </c>
      <c r="F7220" t="s">
        <v>70</v>
      </c>
      <c r="G7220" t="s">
        <v>48</v>
      </c>
      <c r="H7220" t="s">
        <v>3957</v>
      </c>
      <c r="I7220" t="s">
        <v>3975</v>
      </c>
      <c r="J7220" t="s">
        <v>11267</v>
      </c>
      <c r="K7220" t="s">
        <v>11268</v>
      </c>
      <c r="L7220" t="s">
        <v>53</v>
      </c>
      <c r="P7220" t="s">
        <v>55</v>
      </c>
      <c r="R7220" t="s">
        <v>56</v>
      </c>
      <c r="T7220" t="s">
        <v>13094</v>
      </c>
      <c r="U7220" t="s">
        <v>58</v>
      </c>
      <c r="V7220">
        <v>3</v>
      </c>
      <c r="W7220">
        <v>1</v>
      </c>
      <c r="X7220">
        <v>1</v>
      </c>
      <c r="Y7220">
        <v>0</v>
      </c>
      <c r="Z7220">
        <v>1</v>
      </c>
      <c r="AA7220">
        <v>326.18</v>
      </c>
      <c r="AB7220">
        <v>330.52</v>
      </c>
      <c r="AC7220">
        <v>287</v>
      </c>
      <c r="AD7220">
        <v>4</v>
      </c>
      <c r="AE7220">
        <v>39.520000000000003</v>
      </c>
      <c r="AF7220">
        <v>0</v>
      </c>
      <c r="AG7220">
        <v>0</v>
      </c>
      <c r="AH7220">
        <v>0</v>
      </c>
      <c r="AI7220">
        <v>0</v>
      </c>
      <c r="AJ7220">
        <v>330.52</v>
      </c>
      <c r="AK7220">
        <v>0</v>
      </c>
      <c r="AL7220" t="s">
        <v>53</v>
      </c>
      <c r="AM7220" t="s">
        <v>53</v>
      </c>
      <c r="AN7220" t="s">
        <v>53</v>
      </c>
      <c r="AO7220" t="s">
        <v>53</v>
      </c>
      <c r="AP7220" t="s">
        <v>53</v>
      </c>
    </row>
    <row r="7221" spans="2:42" x14ac:dyDescent="0.2">
      <c r="B7221" t="s">
        <v>44</v>
      </c>
      <c r="C7221" t="str">
        <f>HYPERLINK("https://us2.cloudbeds.com/connect/8493803454333002#/reservations/177986062700693?display=3RX8SEJ7K4&amp;reservation_id=177986062700693", "3RX8SEJ7K4")</f>
        <v>3RX8SEJ7K4</v>
      </c>
      <c r="D7221" t="s">
        <v>45</v>
      </c>
      <c r="E7221" t="s">
        <v>265</v>
      </c>
      <c r="F7221" t="s">
        <v>61</v>
      </c>
      <c r="G7221" t="s">
        <v>48</v>
      </c>
      <c r="H7221" t="s">
        <v>3957</v>
      </c>
      <c r="I7221" t="s">
        <v>3958</v>
      </c>
      <c r="J7221" t="s">
        <v>11521</v>
      </c>
      <c r="K7221" t="s">
        <v>10170</v>
      </c>
      <c r="L7221" t="s">
        <v>53</v>
      </c>
      <c r="P7221" t="s">
        <v>55</v>
      </c>
      <c r="R7221" t="s">
        <v>56</v>
      </c>
      <c r="T7221" t="s">
        <v>13095</v>
      </c>
      <c r="U7221" t="s">
        <v>58</v>
      </c>
      <c r="V7221">
        <v>6</v>
      </c>
      <c r="W7221">
        <v>1</v>
      </c>
      <c r="X7221">
        <v>1</v>
      </c>
      <c r="Y7221">
        <v>0</v>
      </c>
      <c r="Z7221">
        <v>1</v>
      </c>
      <c r="AA7221">
        <v>340.98</v>
      </c>
      <c r="AB7221">
        <v>0</v>
      </c>
      <c r="AC7221">
        <v>300</v>
      </c>
      <c r="AD7221">
        <v>0</v>
      </c>
      <c r="AE7221">
        <v>40.98</v>
      </c>
      <c r="AF7221">
        <v>0</v>
      </c>
      <c r="AG7221">
        <v>0</v>
      </c>
      <c r="AH7221">
        <v>0</v>
      </c>
      <c r="AI7221">
        <v>0</v>
      </c>
      <c r="AJ7221">
        <v>340.98</v>
      </c>
      <c r="AK7221">
        <v>340.98</v>
      </c>
      <c r="AL7221" t="s">
        <v>53</v>
      </c>
      <c r="AM7221" t="s">
        <v>53</v>
      </c>
      <c r="AN7221" t="s">
        <v>53</v>
      </c>
      <c r="AO7221" t="s">
        <v>53</v>
      </c>
      <c r="AP7221" t="s">
        <v>53</v>
      </c>
    </row>
    <row r="7222" spans="2:42" x14ac:dyDescent="0.2">
      <c r="B7222" t="s">
        <v>44</v>
      </c>
      <c r="C7222" t="str">
        <f>HYPERLINK("https://us2.cloudbeds.com/connect/8493803454333002#/reservations/9080486847367190?display=3RYDJF3PNQ&amp;reservation_id=9080486847367190", "3RYDJF3PNQ")</f>
        <v>3RYDJF3PNQ</v>
      </c>
      <c r="D7222" t="s">
        <v>45</v>
      </c>
      <c r="E7222" t="s">
        <v>213</v>
      </c>
      <c r="F7222" t="s">
        <v>86</v>
      </c>
      <c r="G7222" t="s">
        <v>48</v>
      </c>
      <c r="H7222" t="s">
        <v>49</v>
      </c>
      <c r="I7222" t="s">
        <v>62</v>
      </c>
      <c r="J7222" t="s">
        <v>11267</v>
      </c>
      <c r="K7222" t="s">
        <v>11268</v>
      </c>
      <c r="L7222" t="s">
        <v>53</v>
      </c>
      <c r="N7222" t="s">
        <v>13096</v>
      </c>
      <c r="P7222" t="s">
        <v>55</v>
      </c>
      <c r="R7222" t="s">
        <v>56</v>
      </c>
      <c r="T7222" t="s">
        <v>13097</v>
      </c>
      <c r="U7222" t="s">
        <v>55</v>
      </c>
      <c r="V7222">
        <v>3</v>
      </c>
      <c r="W7222">
        <v>1</v>
      </c>
      <c r="X7222">
        <v>4</v>
      </c>
      <c r="Y7222">
        <v>0</v>
      </c>
      <c r="Z7222">
        <v>4</v>
      </c>
      <c r="AA7222">
        <v>305.14999999999998</v>
      </c>
      <c r="AB7222">
        <v>305.14999999999998</v>
      </c>
      <c r="AC7222">
        <v>305.14999999999998</v>
      </c>
      <c r="AD7222">
        <v>0</v>
      </c>
      <c r="AE7222">
        <v>0</v>
      </c>
      <c r="AF7222">
        <v>0</v>
      </c>
      <c r="AG7222">
        <v>0</v>
      </c>
      <c r="AH7222">
        <v>0</v>
      </c>
      <c r="AI7222">
        <v>54.93</v>
      </c>
      <c r="AJ7222">
        <v>305.14999999999998</v>
      </c>
      <c r="AK7222">
        <v>0</v>
      </c>
      <c r="AL7222" t="s">
        <v>53</v>
      </c>
      <c r="AM7222" t="s">
        <v>53</v>
      </c>
      <c r="AN7222" t="s">
        <v>53</v>
      </c>
      <c r="AO7222" t="s">
        <v>53</v>
      </c>
      <c r="AP7222" t="s">
        <v>53</v>
      </c>
    </row>
    <row r="7223" spans="2:42" x14ac:dyDescent="0.2">
      <c r="B7223" t="s">
        <v>44</v>
      </c>
      <c r="C7223" t="str">
        <f>HYPERLINK("https://us2.cloudbeds.com/connect/8493803454333002#/reservations/9080486847368247?display=3RMWPNC3FZ&amp;reservation_id=9080486847368247", "3RMWPNC3FZ")</f>
        <v>3RMWPNC3FZ</v>
      </c>
      <c r="D7223" t="s">
        <v>10291</v>
      </c>
      <c r="E7223" t="s">
        <v>110</v>
      </c>
      <c r="F7223" t="s">
        <v>47</v>
      </c>
      <c r="G7223" t="s">
        <v>48</v>
      </c>
      <c r="H7223" t="s">
        <v>49</v>
      </c>
      <c r="I7223" t="s">
        <v>50</v>
      </c>
      <c r="J7223" t="s">
        <v>13098</v>
      </c>
      <c r="K7223" t="s">
        <v>13099</v>
      </c>
      <c r="L7223" t="s">
        <v>53</v>
      </c>
      <c r="N7223" t="s">
        <v>13100</v>
      </c>
      <c r="P7223" t="s">
        <v>55</v>
      </c>
      <c r="R7223" t="s">
        <v>53</v>
      </c>
      <c r="T7223" t="s">
        <v>13101</v>
      </c>
      <c r="U7223" t="s">
        <v>58</v>
      </c>
      <c r="V7223">
        <v>1</v>
      </c>
      <c r="W7223">
        <v>1</v>
      </c>
      <c r="X7223">
        <v>2</v>
      </c>
      <c r="Y7223">
        <v>0</v>
      </c>
      <c r="Z7223">
        <v>2</v>
      </c>
      <c r="AA7223">
        <v>218.21</v>
      </c>
      <c r="AB7223">
        <v>0</v>
      </c>
      <c r="AC7223">
        <v>192</v>
      </c>
      <c r="AD7223">
        <v>0</v>
      </c>
      <c r="AE7223">
        <v>28.13</v>
      </c>
      <c r="AF7223">
        <v>0</v>
      </c>
      <c r="AG7223">
        <v>0</v>
      </c>
      <c r="AH7223">
        <v>0</v>
      </c>
      <c r="AI7223">
        <v>39.619999999999997</v>
      </c>
      <c r="AJ7223">
        <v>220.13</v>
      </c>
      <c r="AK7223">
        <v>220.13</v>
      </c>
      <c r="AL7223" t="s">
        <v>53</v>
      </c>
      <c r="AM7223" t="s">
        <v>53</v>
      </c>
      <c r="AN7223" t="s">
        <v>53</v>
      </c>
      <c r="AO7223" t="s">
        <v>53</v>
      </c>
      <c r="AP7223" t="s">
        <v>53</v>
      </c>
    </row>
    <row r="7224" spans="2:42" x14ac:dyDescent="0.2">
      <c r="B7224" t="s">
        <v>44</v>
      </c>
      <c r="C7224" t="str">
        <f>HYPERLINK("https://us2.cloudbeds.com/connect/8493803454333002#/reservations/9080486847368249?display=3RN020K5SU&amp;reservation_id=9080486847368249", "3RN020K5SU")</f>
        <v>3RN020K5SU</v>
      </c>
      <c r="D7224" t="s">
        <v>10291</v>
      </c>
      <c r="E7224" t="s">
        <v>185</v>
      </c>
      <c r="F7224" t="s">
        <v>47</v>
      </c>
      <c r="G7224" t="s">
        <v>48</v>
      </c>
      <c r="H7224" t="s">
        <v>49</v>
      </c>
      <c r="I7224" t="s">
        <v>50</v>
      </c>
      <c r="J7224" t="s">
        <v>13098</v>
      </c>
      <c r="K7224" t="s">
        <v>13099</v>
      </c>
      <c r="L7224" t="s">
        <v>53</v>
      </c>
      <c r="N7224" t="s">
        <v>13102</v>
      </c>
      <c r="P7224" t="s">
        <v>55</v>
      </c>
      <c r="R7224" t="s">
        <v>53</v>
      </c>
      <c r="T7224" t="s">
        <v>13103</v>
      </c>
      <c r="U7224" t="s">
        <v>58</v>
      </c>
      <c r="V7224">
        <v>1</v>
      </c>
      <c r="W7224">
        <v>1</v>
      </c>
      <c r="X7224">
        <v>2</v>
      </c>
      <c r="Y7224">
        <v>0</v>
      </c>
      <c r="Z7224">
        <v>2</v>
      </c>
      <c r="AA7224">
        <v>218.21</v>
      </c>
      <c r="AB7224">
        <v>0</v>
      </c>
      <c r="AC7224">
        <v>192</v>
      </c>
      <c r="AD7224">
        <v>0</v>
      </c>
      <c r="AE7224">
        <v>28.13</v>
      </c>
      <c r="AF7224">
        <v>0</v>
      </c>
      <c r="AG7224">
        <v>0</v>
      </c>
      <c r="AH7224">
        <v>0</v>
      </c>
      <c r="AI7224">
        <v>39.619999999999997</v>
      </c>
      <c r="AJ7224">
        <v>220.13</v>
      </c>
      <c r="AK7224">
        <v>220.13</v>
      </c>
      <c r="AL7224" t="s">
        <v>53</v>
      </c>
      <c r="AM7224" t="s">
        <v>53</v>
      </c>
      <c r="AN7224" t="s">
        <v>53</v>
      </c>
      <c r="AO7224" t="s">
        <v>53</v>
      </c>
      <c r="AP7224" t="s">
        <v>53</v>
      </c>
    </row>
    <row r="7225" spans="2:42" x14ac:dyDescent="0.2">
      <c r="B7225" t="s">
        <v>44</v>
      </c>
      <c r="C7225" t="str">
        <f>HYPERLINK("https://us2.cloudbeds.com/connect/8493803454333002#/reservations/9080486847368251?display=3RN020K5SW&amp;reservation_id=9080486847368251", "3RN020K5SW")</f>
        <v>3RN020K5SW</v>
      </c>
      <c r="D7225" t="s">
        <v>10291</v>
      </c>
      <c r="E7225" t="s">
        <v>179</v>
      </c>
      <c r="F7225" t="s">
        <v>47</v>
      </c>
      <c r="G7225" t="s">
        <v>48</v>
      </c>
      <c r="H7225" t="s">
        <v>49</v>
      </c>
      <c r="I7225" t="s">
        <v>50</v>
      </c>
      <c r="J7225" t="s">
        <v>13098</v>
      </c>
      <c r="K7225" t="s">
        <v>13099</v>
      </c>
      <c r="L7225" t="s">
        <v>53</v>
      </c>
      <c r="N7225" t="s">
        <v>13104</v>
      </c>
      <c r="P7225" t="s">
        <v>55</v>
      </c>
      <c r="R7225" t="s">
        <v>53</v>
      </c>
      <c r="T7225" t="s">
        <v>13105</v>
      </c>
      <c r="U7225" t="s">
        <v>58</v>
      </c>
      <c r="V7225">
        <v>1</v>
      </c>
      <c r="W7225">
        <v>1</v>
      </c>
      <c r="X7225">
        <v>2</v>
      </c>
      <c r="Y7225">
        <v>0</v>
      </c>
      <c r="Z7225">
        <v>2</v>
      </c>
      <c r="AA7225">
        <v>218.21</v>
      </c>
      <c r="AB7225">
        <v>0</v>
      </c>
      <c r="AC7225">
        <v>192</v>
      </c>
      <c r="AD7225">
        <v>0</v>
      </c>
      <c r="AE7225">
        <v>28.13</v>
      </c>
      <c r="AF7225">
        <v>0</v>
      </c>
      <c r="AG7225">
        <v>0</v>
      </c>
      <c r="AH7225">
        <v>0</v>
      </c>
      <c r="AI7225">
        <v>39.619999999999997</v>
      </c>
      <c r="AJ7225">
        <v>220.13</v>
      </c>
      <c r="AK7225">
        <v>220.13</v>
      </c>
      <c r="AL7225" t="s">
        <v>53</v>
      </c>
      <c r="AM7225" t="s">
        <v>53</v>
      </c>
      <c r="AN7225" t="s">
        <v>53</v>
      </c>
      <c r="AO7225" t="s">
        <v>53</v>
      </c>
      <c r="AP7225" t="s">
        <v>53</v>
      </c>
    </row>
    <row r="7226" spans="2:42" x14ac:dyDescent="0.2">
      <c r="B7226" t="s">
        <v>44</v>
      </c>
      <c r="C7226" t="str">
        <f>HYPERLINK("https://us2.cloudbeds.com/connect/8493803454333002#/reservations/9080486847368250?display=3RN020K5SV&amp;reservation_id=9080486847368250", "3RN020K5SV")</f>
        <v>3RN020K5SV</v>
      </c>
      <c r="D7226" t="s">
        <v>10291</v>
      </c>
      <c r="E7226" t="s">
        <v>105</v>
      </c>
      <c r="F7226" t="s">
        <v>47</v>
      </c>
      <c r="G7226" t="s">
        <v>48</v>
      </c>
      <c r="H7226" t="s">
        <v>49</v>
      </c>
      <c r="I7226" t="s">
        <v>50</v>
      </c>
      <c r="J7226" t="s">
        <v>13098</v>
      </c>
      <c r="K7226" t="s">
        <v>13099</v>
      </c>
      <c r="L7226" t="s">
        <v>53</v>
      </c>
      <c r="N7226" t="s">
        <v>13106</v>
      </c>
      <c r="P7226" t="s">
        <v>55</v>
      </c>
      <c r="R7226" t="s">
        <v>53</v>
      </c>
      <c r="T7226" t="s">
        <v>13107</v>
      </c>
      <c r="U7226" t="s">
        <v>58</v>
      </c>
      <c r="V7226">
        <v>1</v>
      </c>
      <c r="W7226">
        <v>1</v>
      </c>
      <c r="X7226">
        <v>2</v>
      </c>
      <c r="Y7226">
        <v>0</v>
      </c>
      <c r="Z7226">
        <v>2</v>
      </c>
      <c r="AA7226">
        <v>218.21</v>
      </c>
      <c r="AB7226">
        <v>0</v>
      </c>
      <c r="AC7226">
        <v>192</v>
      </c>
      <c r="AD7226">
        <v>0</v>
      </c>
      <c r="AE7226">
        <v>28.13</v>
      </c>
      <c r="AF7226">
        <v>0</v>
      </c>
      <c r="AG7226">
        <v>0</v>
      </c>
      <c r="AH7226">
        <v>0</v>
      </c>
      <c r="AI7226">
        <v>39.619999999999997</v>
      </c>
      <c r="AJ7226">
        <v>220.13</v>
      </c>
      <c r="AK7226">
        <v>220.13</v>
      </c>
      <c r="AL7226" t="s">
        <v>53</v>
      </c>
      <c r="AM7226" t="s">
        <v>53</v>
      </c>
      <c r="AN7226" t="s">
        <v>53</v>
      </c>
      <c r="AO7226" t="s">
        <v>53</v>
      </c>
      <c r="AP7226" t="s">
        <v>53</v>
      </c>
    </row>
    <row r="7227" spans="2:42" x14ac:dyDescent="0.2">
      <c r="B7227" t="s">
        <v>44</v>
      </c>
      <c r="C7227" t="str">
        <f>HYPERLINK("https://us2.cloudbeds.com/connect/8493803454333002#/reservations/9080486847370150?display=3RZWNUD3E3&amp;reservation_id=9080486847370150", "3RZWNUD3E3")</f>
        <v>3RZWNUD3E3</v>
      </c>
      <c r="D7227" t="s">
        <v>45</v>
      </c>
      <c r="E7227" t="s">
        <v>46</v>
      </c>
      <c r="F7227" t="s">
        <v>47</v>
      </c>
      <c r="G7227" t="s">
        <v>48</v>
      </c>
      <c r="H7227" t="s">
        <v>49</v>
      </c>
      <c r="I7227" t="s">
        <v>50</v>
      </c>
      <c r="J7227" t="s">
        <v>12561</v>
      </c>
      <c r="K7227" t="s">
        <v>11268</v>
      </c>
      <c r="L7227" t="s">
        <v>53</v>
      </c>
      <c r="N7227" t="s">
        <v>13108</v>
      </c>
      <c r="P7227" t="s">
        <v>55</v>
      </c>
      <c r="R7227" t="s">
        <v>53</v>
      </c>
      <c r="T7227" t="s">
        <v>13109</v>
      </c>
      <c r="U7227" t="s">
        <v>58</v>
      </c>
      <c r="V7227">
        <v>2</v>
      </c>
      <c r="W7227">
        <v>1</v>
      </c>
      <c r="X7227">
        <v>1</v>
      </c>
      <c r="Y7227">
        <v>0</v>
      </c>
      <c r="Z7227">
        <v>1</v>
      </c>
      <c r="AA7227">
        <v>159.11000000000001</v>
      </c>
      <c r="AB7227">
        <v>159.11000000000001</v>
      </c>
      <c r="AC7227">
        <v>140</v>
      </c>
      <c r="AD7227">
        <v>0</v>
      </c>
      <c r="AE7227">
        <v>19.11</v>
      </c>
      <c r="AF7227">
        <v>0</v>
      </c>
      <c r="AG7227">
        <v>0</v>
      </c>
      <c r="AH7227">
        <v>0</v>
      </c>
      <c r="AI7227">
        <v>28.64</v>
      </c>
      <c r="AJ7227">
        <v>159.11000000000001</v>
      </c>
      <c r="AK7227">
        <v>0</v>
      </c>
      <c r="AL7227" t="s">
        <v>53</v>
      </c>
      <c r="AM7227" t="s">
        <v>53</v>
      </c>
      <c r="AN7227" t="s">
        <v>13110</v>
      </c>
      <c r="AO7227" t="s">
        <v>53</v>
      </c>
      <c r="AP7227" t="s">
        <v>53</v>
      </c>
    </row>
    <row r="7228" spans="2:42" x14ac:dyDescent="0.2">
      <c r="B7228" t="s">
        <v>44</v>
      </c>
      <c r="C7228" t="str">
        <f>HYPERLINK("https://us2.cloudbeds.com/connect/8493803454333002#/reservations/178343610212535?display=3RQYNK3QP8&amp;reservation_id=178343610212535", "3RQYNK3QP8")</f>
        <v>3RQYNK3QP8</v>
      </c>
      <c r="D7228" t="s">
        <v>45</v>
      </c>
      <c r="E7228" t="s">
        <v>78</v>
      </c>
      <c r="F7228" t="s">
        <v>61</v>
      </c>
      <c r="G7228" t="s">
        <v>7801</v>
      </c>
      <c r="H7228" t="s">
        <v>3957</v>
      </c>
      <c r="I7228" t="s">
        <v>3958</v>
      </c>
      <c r="J7228" t="s">
        <v>11267</v>
      </c>
      <c r="K7228" t="s">
        <v>12562</v>
      </c>
      <c r="L7228" t="s">
        <v>53</v>
      </c>
      <c r="P7228" t="s">
        <v>55</v>
      </c>
      <c r="R7228" t="s">
        <v>56</v>
      </c>
      <c r="T7228" t="s">
        <v>13111</v>
      </c>
      <c r="U7228" t="s">
        <v>58</v>
      </c>
      <c r="V7228">
        <v>2</v>
      </c>
      <c r="W7228">
        <v>1</v>
      </c>
      <c r="X7228">
        <v>1</v>
      </c>
      <c r="Y7228">
        <v>0</v>
      </c>
      <c r="Z7228">
        <v>1</v>
      </c>
      <c r="AA7228">
        <v>196.39</v>
      </c>
      <c r="AB7228">
        <v>196.39</v>
      </c>
      <c r="AC7228">
        <v>172.8</v>
      </c>
      <c r="AD7228">
        <v>0</v>
      </c>
      <c r="AE7228">
        <v>23.59</v>
      </c>
      <c r="AF7228">
        <v>0</v>
      </c>
      <c r="AG7228">
        <v>0</v>
      </c>
      <c r="AH7228">
        <v>0</v>
      </c>
      <c r="AI7228">
        <v>0</v>
      </c>
      <c r="AJ7228">
        <v>196.39</v>
      </c>
      <c r="AK7228">
        <v>0</v>
      </c>
      <c r="AL7228" t="s">
        <v>53</v>
      </c>
      <c r="AM7228" t="s">
        <v>53</v>
      </c>
      <c r="AN7228" t="s">
        <v>53</v>
      </c>
      <c r="AO7228" t="s">
        <v>53</v>
      </c>
      <c r="AP7228" t="s">
        <v>53</v>
      </c>
    </row>
    <row r="7229" spans="2:42" x14ac:dyDescent="0.2">
      <c r="B7229" t="s">
        <v>44</v>
      </c>
      <c r="C7229" t="str">
        <f>HYPERLINK("https://us2.cloudbeds.com/connect/8493803454333002#/reservations/178392211959937?display=3RRQBGD2HX&amp;reservation_id=178392211959937", "3RRQBGD2HX")</f>
        <v>3RRQBGD2HX</v>
      </c>
      <c r="D7229" t="s">
        <v>45</v>
      </c>
      <c r="E7229" t="s">
        <v>78</v>
      </c>
      <c r="F7229" t="s">
        <v>61</v>
      </c>
      <c r="G7229" t="s">
        <v>4520</v>
      </c>
      <c r="H7229" t="s">
        <v>3957</v>
      </c>
      <c r="I7229" t="s">
        <v>3958</v>
      </c>
      <c r="J7229" t="s">
        <v>11268</v>
      </c>
      <c r="K7229" t="s">
        <v>11310</v>
      </c>
      <c r="L7229" t="s">
        <v>53</v>
      </c>
      <c r="P7229" t="s">
        <v>55</v>
      </c>
      <c r="R7229" t="s">
        <v>56</v>
      </c>
      <c r="T7229" t="s">
        <v>13112</v>
      </c>
      <c r="U7229" t="s">
        <v>58</v>
      </c>
      <c r="V7229">
        <v>1</v>
      </c>
      <c r="W7229">
        <v>1</v>
      </c>
      <c r="X7229">
        <v>1</v>
      </c>
      <c r="Y7229">
        <v>0</v>
      </c>
      <c r="Z7229">
        <v>1</v>
      </c>
      <c r="AA7229">
        <v>155.47999999999999</v>
      </c>
      <c r="AB7229">
        <v>155.47999999999999</v>
      </c>
      <c r="AC7229">
        <v>136.80000000000001</v>
      </c>
      <c r="AD7229">
        <v>0</v>
      </c>
      <c r="AE7229">
        <v>18.68</v>
      </c>
      <c r="AF7229">
        <v>0</v>
      </c>
      <c r="AG7229">
        <v>0</v>
      </c>
      <c r="AH7229">
        <v>0</v>
      </c>
      <c r="AI7229">
        <v>0</v>
      </c>
      <c r="AJ7229">
        <v>155.47999999999999</v>
      </c>
      <c r="AK7229">
        <v>0</v>
      </c>
      <c r="AL7229" t="s">
        <v>53</v>
      </c>
      <c r="AM7229" t="s">
        <v>53</v>
      </c>
      <c r="AN7229" t="s">
        <v>53</v>
      </c>
      <c r="AO7229" t="s">
        <v>53</v>
      </c>
      <c r="AP7229" t="s">
        <v>53</v>
      </c>
    </row>
    <row r="7230" spans="2:42" x14ac:dyDescent="0.2">
      <c r="B7230" t="s">
        <v>44</v>
      </c>
      <c r="C7230" t="str">
        <f>HYPERLINK("https://us2.cloudbeds.com/connect/8493803454333002#/reservations/9080486847373174?display=3RS9TR0CT0&amp;reservation_id=9080486847373174", "3RS9TR0CT0")</f>
        <v>3RS9TR0CT0</v>
      </c>
      <c r="D7230" t="s">
        <v>45</v>
      </c>
      <c r="E7230" t="s">
        <v>155</v>
      </c>
      <c r="F7230" t="s">
        <v>86</v>
      </c>
      <c r="G7230" t="s">
        <v>48</v>
      </c>
      <c r="H7230" t="s">
        <v>49</v>
      </c>
      <c r="I7230" t="s">
        <v>8964</v>
      </c>
      <c r="J7230" t="s">
        <v>12562</v>
      </c>
      <c r="K7230" t="s">
        <v>11310</v>
      </c>
      <c r="L7230" t="s">
        <v>53</v>
      </c>
      <c r="N7230" t="s">
        <v>13113</v>
      </c>
      <c r="P7230" t="s">
        <v>55</v>
      </c>
      <c r="R7230" t="s">
        <v>53</v>
      </c>
      <c r="T7230" t="s">
        <v>13114</v>
      </c>
      <c r="U7230" t="s">
        <v>55</v>
      </c>
      <c r="V7230">
        <v>2</v>
      </c>
      <c r="W7230">
        <v>1</v>
      </c>
      <c r="X7230">
        <v>3</v>
      </c>
      <c r="Y7230">
        <v>0</v>
      </c>
      <c r="Z7230">
        <v>3</v>
      </c>
      <c r="AA7230">
        <v>0</v>
      </c>
      <c r="AB7230">
        <v>0</v>
      </c>
      <c r="AC7230">
        <v>335</v>
      </c>
      <c r="AD7230">
        <v>0</v>
      </c>
      <c r="AE7230">
        <v>0</v>
      </c>
      <c r="AF7230">
        <v>0</v>
      </c>
      <c r="AG7230">
        <v>0</v>
      </c>
      <c r="AH7230">
        <v>0</v>
      </c>
      <c r="AI7230">
        <v>50.25</v>
      </c>
      <c r="AJ7230">
        <v>335</v>
      </c>
      <c r="AK7230">
        <v>335</v>
      </c>
      <c r="AL7230" t="s">
        <v>53</v>
      </c>
      <c r="AM7230" t="s">
        <v>53</v>
      </c>
      <c r="AN7230" t="s">
        <v>53</v>
      </c>
      <c r="AO7230" t="s">
        <v>53</v>
      </c>
      <c r="AP7230" t="s">
        <v>53</v>
      </c>
    </row>
    <row r="7231" spans="2:42" x14ac:dyDescent="0.2">
      <c r="B7231" t="s">
        <v>44</v>
      </c>
      <c r="C7231" t="str">
        <f>HYPERLINK("https://us2.cloudbeds.com/connect/8493803454333002#/reservations/9080486847373310?display=3RSEZW6M19&amp;reservation_id=9080486847373310", "3RSEZW6M19")</f>
        <v>3RSEZW6M19</v>
      </c>
      <c r="D7231" t="s">
        <v>45</v>
      </c>
      <c r="E7231" t="s">
        <v>110</v>
      </c>
      <c r="F7231" t="s">
        <v>47</v>
      </c>
      <c r="G7231" t="s">
        <v>48</v>
      </c>
      <c r="H7231" t="s">
        <v>49</v>
      </c>
      <c r="I7231" t="s">
        <v>62</v>
      </c>
      <c r="J7231" t="s">
        <v>12421</v>
      </c>
      <c r="K7231" t="s">
        <v>13061</v>
      </c>
      <c r="L7231" t="s">
        <v>53</v>
      </c>
      <c r="N7231" t="s">
        <v>13115</v>
      </c>
      <c r="P7231" t="s">
        <v>55</v>
      </c>
      <c r="R7231" t="s">
        <v>56</v>
      </c>
      <c r="T7231" t="s">
        <v>13116</v>
      </c>
      <c r="U7231" t="s">
        <v>55</v>
      </c>
      <c r="V7231">
        <v>2</v>
      </c>
      <c r="W7231">
        <v>1</v>
      </c>
      <c r="X7231">
        <v>2</v>
      </c>
      <c r="Y7231">
        <v>0</v>
      </c>
      <c r="Z7231">
        <v>2</v>
      </c>
      <c r="AA7231">
        <v>158.1</v>
      </c>
      <c r="AB7231">
        <v>158.1</v>
      </c>
      <c r="AC7231">
        <v>158.1</v>
      </c>
      <c r="AD7231">
        <v>0</v>
      </c>
      <c r="AE7231">
        <v>0</v>
      </c>
      <c r="AF7231">
        <v>0</v>
      </c>
      <c r="AG7231">
        <v>0</v>
      </c>
      <c r="AH7231">
        <v>0</v>
      </c>
      <c r="AI7231">
        <v>28.46</v>
      </c>
      <c r="AJ7231">
        <v>158.1</v>
      </c>
      <c r="AK7231">
        <v>0</v>
      </c>
      <c r="AL7231" t="s">
        <v>53</v>
      </c>
      <c r="AM7231" t="s">
        <v>53</v>
      </c>
      <c r="AN7231" t="s">
        <v>53</v>
      </c>
      <c r="AO7231" t="s">
        <v>53</v>
      </c>
      <c r="AP7231" t="s">
        <v>53</v>
      </c>
    </row>
    <row r="7232" spans="2:42" x14ac:dyDescent="0.2">
      <c r="B7232" t="s">
        <v>44</v>
      </c>
      <c r="C7232" t="str">
        <f>HYPERLINK("https://us2.cloudbeds.com/connect/8493803454333002#/reservations/9080486847373466?display=3RSYD0MTFM&amp;reservation_id=9080486847373466", "3RSYD0MTFM")</f>
        <v>3RSYD0MTFM</v>
      </c>
      <c r="D7232" t="s">
        <v>45</v>
      </c>
      <c r="E7232" t="s">
        <v>138</v>
      </c>
      <c r="F7232" t="s">
        <v>70</v>
      </c>
      <c r="G7232" t="s">
        <v>48</v>
      </c>
      <c r="H7232" t="s">
        <v>49</v>
      </c>
      <c r="I7232" t="s">
        <v>62</v>
      </c>
      <c r="J7232" t="s">
        <v>12441</v>
      </c>
      <c r="K7232" t="s">
        <v>13060</v>
      </c>
      <c r="L7232" t="s">
        <v>53</v>
      </c>
      <c r="N7232" t="s">
        <v>13117</v>
      </c>
      <c r="P7232" t="s">
        <v>55</v>
      </c>
      <c r="R7232" t="s">
        <v>56</v>
      </c>
      <c r="T7232" t="s">
        <v>13118</v>
      </c>
      <c r="U7232" t="s">
        <v>55</v>
      </c>
      <c r="V7232">
        <v>3</v>
      </c>
      <c r="W7232">
        <v>1</v>
      </c>
      <c r="X7232">
        <v>2</v>
      </c>
      <c r="Y7232">
        <v>0</v>
      </c>
      <c r="Z7232">
        <v>2</v>
      </c>
      <c r="AA7232">
        <v>295.55</v>
      </c>
      <c r="AB7232">
        <v>295.55</v>
      </c>
      <c r="AC7232">
        <v>295.55</v>
      </c>
      <c r="AD7232">
        <v>0</v>
      </c>
      <c r="AE7232">
        <v>0</v>
      </c>
      <c r="AF7232">
        <v>0</v>
      </c>
      <c r="AG7232">
        <v>0</v>
      </c>
      <c r="AH7232">
        <v>0</v>
      </c>
      <c r="AI7232">
        <v>53.2</v>
      </c>
      <c r="AJ7232">
        <v>295.55</v>
      </c>
      <c r="AK7232">
        <v>0</v>
      </c>
      <c r="AL7232" t="s">
        <v>53</v>
      </c>
      <c r="AM7232" t="s">
        <v>53</v>
      </c>
      <c r="AN7232" t="s">
        <v>53</v>
      </c>
      <c r="AO7232" t="s">
        <v>53</v>
      </c>
      <c r="AP7232" t="s">
        <v>53</v>
      </c>
    </row>
    <row r="7233" spans="2:42" x14ac:dyDescent="0.2">
      <c r="B7233" t="s">
        <v>44</v>
      </c>
      <c r="C7233" t="str">
        <f>HYPERLINK("https://us2.cloudbeds.com/connect/8493803454333002#/reservations/9080486847373599?display=3RSQZW8PCH&amp;reservation_id=9080486847373599", "3RSQZW8PCH")</f>
        <v>3RSQZW8PCH</v>
      </c>
      <c r="D7233" t="s">
        <v>45</v>
      </c>
      <c r="E7233" t="s">
        <v>190</v>
      </c>
      <c r="F7233" t="s">
        <v>61</v>
      </c>
      <c r="G7233" t="s">
        <v>48</v>
      </c>
      <c r="H7233" t="s">
        <v>49</v>
      </c>
      <c r="I7233" t="s">
        <v>50</v>
      </c>
      <c r="J7233" t="s">
        <v>11268</v>
      </c>
      <c r="K7233" t="s">
        <v>11310</v>
      </c>
      <c r="L7233" t="s">
        <v>53</v>
      </c>
      <c r="N7233" t="s">
        <v>13119</v>
      </c>
      <c r="P7233" t="s">
        <v>55</v>
      </c>
      <c r="R7233" t="s">
        <v>53</v>
      </c>
      <c r="T7233" t="s">
        <v>13120</v>
      </c>
      <c r="U7233" t="s">
        <v>58</v>
      </c>
      <c r="V7233">
        <v>1</v>
      </c>
      <c r="W7233">
        <v>1</v>
      </c>
      <c r="X7233">
        <v>2</v>
      </c>
      <c r="Y7233">
        <v>0</v>
      </c>
      <c r="Z7233">
        <v>2</v>
      </c>
      <c r="AA7233">
        <v>138.19999999999999</v>
      </c>
      <c r="AB7233">
        <v>138.19999999999999</v>
      </c>
      <c r="AC7233">
        <v>121.6</v>
      </c>
      <c r="AD7233">
        <v>0</v>
      </c>
      <c r="AE7233">
        <v>16.600000000000001</v>
      </c>
      <c r="AF7233">
        <v>0</v>
      </c>
      <c r="AG7233">
        <v>0</v>
      </c>
      <c r="AH7233">
        <v>0</v>
      </c>
      <c r="AI7233">
        <v>24.88</v>
      </c>
      <c r="AJ7233">
        <v>138.19999999999999</v>
      </c>
      <c r="AK7233">
        <v>0</v>
      </c>
      <c r="AL7233" t="s">
        <v>53</v>
      </c>
      <c r="AM7233" t="s">
        <v>53</v>
      </c>
      <c r="AN7233" t="s">
        <v>53</v>
      </c>
      <c r="AO7233" t="s">
        <v>53</v>
      </c>
      <c r="AP7233" t="s">
        <v>53</v>
      </c>
    </row>
    <row r="7234" spans="2:42" x14ac:dyDescent="0.2">
      <c r="B7234" t="s">
        <v>44</v>
      </c>
      <c r="C7234" t="str">
        <f>HYPERLINK("https://us2.cloudbeds.com/connect/8493803454333002#/reservations/9080486847373787?display=3RT215R29C&amp;reservation_id=9080486847373787", "3RT215R29C")</f>
        <v>3RT215R29C</v>
      </c>
      <c r="D7234" t="s">
        <v>45</v>
      </c>
      <c r="E7234" t="s">
        <v>69</v>
      </c>
      <c r="F7234" t="s">
        <v>70</v>
      </c>
      <c r="G7234" t="s">
        <v>48</v>
      </c>
      <c r="H7234" t="s">
        <v>49</v>
      </c>
      <c r="I7234" t="s">
        <v>62</v>
      </c>
      <c r="J7234" t="s">
        <v>12421</v>
      </c>
      <c r="K7234" t="s">
        <v>13061</v>
      </c>
      <c r="L7234" t="s">
        <v>53</v>
      </c>
      <c r="N7234" t="s">
        <v>13121</v>
      </c>
      <c r="P7234" t="s">
        <v>55</v>
      </c>
      <c r="R7234" t="s">
        <v>56</v>
      </c>
      <c r="T7234" t="s">
        <v>13122</v>
      </c>
      <c r="U7234" t="s">
        <v>55</v>
      </c>
      <c r="V7234">
        <v>2</v>
      </c>
      <c r="W7234">
        <v>1</v>
      </c>
      <c r="X7234">
        <v>1</v>
      </c>
      <c r="Y7234">
        <v>0</v>
      </c>
      <c r="Z7234">
        <v>1</v>
      </c>
      <c r="AA7234">
        <v>142.93</v>
      </c>
      <c r="AB7234">
        <v>142.93</v>
      </c>
      <c r="AC7234">
        <v>142.93</v>
      </c>
      <c r="AD7234">
        <v>0</v>
      </c>
      <c r="AE7234">
        <v>0</v>
      </c>
      <c r="AF7234">
        <v>0</v>
      </c>
      <c r="AG7234">
        <v>0</v>
      </c>
      <c r="AH7234">
        <v>0</v>
      </c>
      <c r="AI7234">
        <v>25.73</v>
      </c>
      <c r="AJ7234">
        <v>142.93</v>
      </c>
      <c r="AK7234">
        <v>0</v>
      </c>
      <c r="AL7234" t="s">
        <v>53</v>
      </c>
      <c r="AM7234" t="s">
        <v>53</v>
      </c>
      <c r="AN7234" t="s">
        <v>13123</v>
      </c>
      <c r="AO7234" t="s">
        <v>53</v>
      </c>
      <c r="AP7234" t="s">
        <v>53</v>
      </c>
    </row>
    <row r="7235" spans="2:42" x14ac:dyDescent="0.2">
      <c r="B7235" t="s">
        <v>44</v>
      </c>
      <c r="C7235" t="str">
        <f>HYPERLINK("https://us2.cloudbeds.com/connect/8493803454333002#/reservations/9080486847373890?display=3RT63RMSAU&amp;reservation_id=9080486847373890", "3RT63RMSAU")</f>
        <v>3RT63RMSAU</v>
      </c>
      <c r="D7235" t="s">
        <v>45</v>
      </c>
      <c r="E7235" t="s">
        <v>165</v>
      </c>
      <c r="F7235" t="s">
        <v>61</v>
      </c>
      <c r="G7235" t="s">
        <v>48</v>
      </c>
      <c r="H7235" t="s">
        <v>49</v>
      </c>
      <c r="I7235" t="s">
        <v>62</v>
      </c>
      <c r="J7235" t="s">
        <v>11804</v>
      </c>
      <c r="K7235" t="s">
        <v>11521</v>
      </c>
      <c r="L7235" t="s">
        <v>53</v>
      </c>
      <c r="N7235" t="s">
        <v>13124</v>
      </c>
      <c r="P7235" t="s">
        <v>55</v>
      </c>
      <c r="R7235" t="s">
        <v>56</v>
      </c>
      <c r="T7235" t="s">
        <v>13125</v>
      </c>
      <c r="U7235" t="s">
        <v>55</v>
      </c>
      <c r="V7235">
        <v>1</v>
      </c>
      <c r="W7235">
        <v>1</v>
      </c>
      <c r="X7235">
        <v>2</v>
      </c>
      <c r="Y7235">
        <v>0</v>
      </c>
      <c r="Z7235">
        <v>2</v>
      </c>
      <c r="AA7235">
        <v>125.8</v>
      </c>
      <c r="AB7235">
        <v>125.8</v>
      </c>
      <c r="AC7235">
        <v>125.8</v>
      </c>
      <c r="AD7235">
        <v>0</v>
      </c>
      <c r="AE7235">
        <v>0</v>
      </c>
      <c r="AF7235">
        <v>0</v>
      </c>
      <c r="AG7235">
        <v>0</v>
      </c>
      <c r="AH7235">
        <v>0</v>
      </c>
      <c r="AI7235">
        <v>22.64</v>
      </c>
      <c r="AJ7235">
        <v>125.8</v>
      </c>
      <c r="AK7235">
        <v>0</v>
      </c>
      <c r="AL7235" t="s">
        <v>53</v>
      </c>
      <c r="AM7235" t="s">
        <v>53</v>
      </c>
      <c r="AN7235" t="s">
        <v>13126</v>
      </c>
      <c r="AO7235" t="s">
        <v>53</v>
      </c>
      <c r="AP7235" t="s">
        <v>53</v>
      </c>
    </row>
    <row r="7236" spans="2:42" x14ac:dyDescent="0.2">
      <c r="B7236" t="s">
        <v>44</v>
      </c>
      <c r="C7236" t="str">
        <f>HYPERLINK("https://us2.cloudbeds.com/connect/8493803454333002#/reservations/9080486847374238?display=3RTMSRBPK3&amp;reservation_id=9080486847374238", "3RTMSRBPK3")</f>
        <v>3RTMSRBPK3</v>
      </c>
      <c r="D7236" t="s">
        <v>45</v>
      </c>
      <c r="E7236" t="s">
        <v>155</v>
      </c>
      <c r="F7236" t="s">
        <v>86</v>
      </c>
      <c r="G7236" t="s">
        <v>48</v>
      </c>
      <c r="H7236" t="s">
        <v>49</v>
      </c>
      <c r="I7236" t="s">
        <v>62</v>
      </c>
      <c r="J7236" t="s">
        <v>12561</v>
      </c>
      <c r="K7236" t="s">
        <v>12562</v>
      </c>
      <c r="L7236" t="s">
        <v>53</v>
      </c>
      <c r="N7236" t="s">
        <v>13127</v>
      </c>
      <c r="P7236" t="s">
        <v>55</v>
      </c>
      <c r="R7236" t="s">
        <v>56</v>
      </c>
      <c r="T7236" t="s">
        <v>13128</v>
      </c>
      <c r="U7236" t="s">
        <v>55</v>
      </c>
      <c r="V7236">
        <v>1</v>
      </c>
      <c r="W7236">
        <v>1</v>
      </c>
      <c r="X7236">
        <v>2</v>
      </c>
      <c r="Y7236">
        <v>0</v>
      </c>
      <c r="Z7236">
        <v>2</v>
      </c>
      <c r="AA7236">
        <v>101.15</v>
      </c>
      <c r="AB7236">
        <v>101.15</v>
      </c>
      <c r="AC7236">
        <v>101.15</v>
      </c>
      <c r="AD7236">
        <v>0</v>
      </c>
      <c r="AE7236">
        <v>0</v>
      </c>
      <c r="AF7236">
        <v>0</v>
      </c>
      <c r="AG7236">
        <v>0</v>
      </c>
      <c r="AH7236">
        <v>0</v>
      </c>
      <c r="AI7236">
        <v>18.21</v>
      </c>
      <c r="AJ7236">
        <v>101.15</v>
      </c>
      <c r="AK7236">
        <v>0</v>
      </c>
      <c r="AL7236" t="s">
        <v>53</v>
      </c>
      <c r="AM7236" t="s">
        <v>53</v>
      </c>
      <c r="AN7236" t="s">
        <v>53</v>
      </c>
      <c r="AO7236" t="s">
        <v>53</v>
      </c>
      <c r="AP7236" t="s">
        <v>53</v>
      </c>
    </row>
    <row r="7237" spans="2:42" x14ac:dyDescent="0.2">
      <c r="B7237" t="s">
        <v>44</v>
      </c>
      <c r="C7237" t="str">
        <f>HYPERLINK("https://us2.cloudbeds.com/connect/8493803454333002#/reservations/9080486847378115?display=3S1XEEGF8X&amp;reservation_id=9080486847378115", "3S1XEEGF8X")</f>
        <v>3S1XEEGF8X</v>
      </c>
      <c r="D7237" t="s">
        <v>45</v>
      </c>
      <c r="E7237" t="s">
        <v>78</v>
      </c>
      <c r="F7237" t="s">
        <v>61</v>
      </c>
      <c r="G7237" t="s">
        <v>48</v>
      </c>
      <c r="H7237" t="s">
        <v>49</v>
      </c>
      <c r="I7237" t="s">
        <v>62</v>
      </c>
      <c r="J7237" t="s">
        <v>12421</v>
      </c>
      <c r="K7237" t="s">
        <v>13060</v>
      </c>
      <c r="L7237" t="s">
        <v>53</v>
      </c>
      <c r="N7237" t="s">
        <v>13129</v>
      </c>
      <c r="P7237" t="s">
        <v>55</v>
      </c>
      <c r="R7237" t="s">
        <v>56</v>
      </c>
      <c r="T7237" t="s">
        <v>13130</v>
      </c>
      <c r="U7237" t="s">
        <v>55</v>
      </c>
      <c r="V7237">
        <v>1</v>
      </c>
      <c r="W7237">
        <v>1</v>
      </c>
      <c r="X7237">
        <v>2</v>
      </c>
      <c r="Y7237">
        <v>0</v>
      </c>
      <c r="Z7237">
        <v>2</v>
      </c>
      <c r="AA7237">
        <v>89.63</v>
      </c>
      <c r="AB7237">
        <v>89.63</v>
      </c>
      <c r="AC7237">
        <v>89.63</v>
      </c>
      <c r="AD7237">
        <v>0</v>
      </c>
      <c r="AE7237">
        <v>0</v>
      </c>
      <c r="AF7237">
        <v>0</v>
      </c>
      <c r="AG7237">
        <v>0</v>
      </c>
      <c r="AH7237">
        <v>0</v>
      </c>
      <c r="AI7237">
        <v>16.13</v>
      </c>
      <c r="AJ7237">
        <v>89.63</v>
      </c>
      <c r="AK7237">
        <v>0</v>
      </c>
      <c r="AL7237" t="s">
        <v>53</v>
      </c>
      <c r="AM7237" t="s">
        <v>53</v>
      </c>
      <c r="AN7237" t="s">
        <v>13131</v>
      </c>
      <c r="AO7237" t="s">
        <v>53</v>
      </c>
      <c r="AP7237" t="s">
        <v>53</v>
      </c>
    </row>
    <row r="7238" spans="2:42" x14ac:dyDescent="0.2">
      <c r="B7238" t="s">
        <v>44</v>
      </c>
      <c r="C7238" t="str">
        <f>HYPERLINK("https://us2.cloudbeds.com/connect/8493803454333002#/reservations/9080486847378242?display=3S1MUQ9G39&amp;reservation_id=9080486847378242", "3S1MUQ9G39")</f>
        <v>3S1MUQ9G39</v>
      </c>
      <c r="D7238" t="s">
        <v>45</v>
      </c>
      <c r="E7238" t="s">
        <v>85</v>
      </c>
      <c r="F7238" t="s">
        <v>86</v>
      </c>
      <c r="G7238" t="s">
        <v>48</v>
      </c>
      <c r="H7238" t="s">
        <v>49</v>
      </c>
      <c r="I7238" t="s">
        <v>62</v>
      </c>
      <c r="J7238" t="s">
        <v>12421</v>
      </c>
      <c r="K7238" t="s">
        <v>13060</v>
      </c>
      <c r="L7238" t="s">
        <v>53</v>
      </c>
      <c r="N7238" t="s">
        <v>13132</v>
      </c>
      <c r="P7238" t="s">
        <v>55</v>
      </c>
      <c r="R7238" t="s">
        <v>56</v>
      </c>
      <c r="T7238" t="s">
        <v>13133</v>
      </c>
      <c r="U7238" t="s">
        <v>55</v>
      </c>
      <c r="V7238">
        <v>1</v>
      </c>
      <c r="W7238">
        <v>1</v>
      </c>
      <c r="X7238">
        <v>3</v>
      </c>
      <c r="Y7238">
        <v>0</v>
      </c>
      <c r="Z7238">
        <v>3</v>
      </c>
      <c r="AA7238">
        <v>100.13</v>
      </c>
      <c r="AB7238">
        <v>100.13</v>
      </c>
      <c r="AC7238">
        <v>100.13</v>
      </c>
      <c r="AD7238">
        <v>0</v>
      </c>
      <c r="AE7238">
        <v>0</v>
      </c>
      <c r="AF7238">
        <v>0</v>
      </c>
      <c r="AG7238">
        <v>0</v>
      </c>
      <c r="AH7238">
        <v>0</v>
      </c>
      <c r="AI7238">
        <v>18.02</v>
      </c>
      <c r="AJ7238">
        <v>100.13</v>
      </c>
      <c r="AK7238">
        <v>0</v>
      </c>
      <c r="AL7238" t="s">
        <v>53</v>
      </c>
      <c r="AM7238" t="s">
        <v>53</v>
      </c>
      <c r="AN7238" t="s">
        <v>53</v>
      </c>
      <c r="AO7238" t="s">
        <v>53</v>
      </c>
      <c r="AP7238" t="s">
        <v>53</v>
      </c>
    </row>
    <row r="7239" spans="2:42" x14ac:dyDescent="0.2">
      <c r="B7239" t="s">
        <v>44</v>
      </c>
      <c r="C7239" t="str">
        <f>HYPERLINK("https://us2.cloudbeds.com/connect/8493803454333002#/reservations/9080486847378458?display=3S1URF5KHK&amp;reservation_id=9080486847378458", "3S1URF5KHK")</f>
        <v>3S1URF5KHK</v>
      </c>
      <c r="D7239" t="s">
        <v>45</v>
      </c>
      <c r="E7239" t="s">
        <v>165</v>
      </c>
      <c r="F7239" t="s">
        <v>61</v>
      </c>
      <c r="G7239" t="s">
        <v>48</v>
      </c>
      <c r="H7239" t="s">
        <v>49</v>
      </c>
      <c r="I7239" t="s">
        <v>50</v>
      </c>
      <c r="J7239" t="s">
        <v>12561</v>
      </c>
      <c r="K7239" t="s">
        <v>12562</v>
      </c>
      <c r="L7239" t="s">
        <v>53</v>
      </c>
      <c r="N7239" t="s">
        <v>13134</v>
      </c>
      <c r="P7239" t="s">
        <v>55</v>
      </c>
      <c r="R7239" t="s">
        <v>53</v>
      </c>
      <c r="T7239" t="s">
        <v>13135</v>
      </c>
      <c r="U7239" t="s">
        <v>58</v>
      </c>
      <c r="V7239">
        <v>1</v>
      </c>
      <c r="W7239">
        <v>1</v>
      </c>
      <c r="X7239">
        <v>2</v>
      </c>
      <c r="Y7239">
        <v>0</v>
      </c>
      <c r="Z7239">
        <v>2</v>
      </c>
      <c r="AA7239">
        <v>88.19</v>
      </c>
      <c r="AB7239">
        <v>88.19</v>
      </c>
      <c r="AC7239">
        <v>77.599999999999994</v>
      </c>
      <c r="AD7239">
        <v>0</v>
      </c>
      <c r="AE7239">
        <v>10.59</v>
      </c>
      <c r="AF7239">
        <v>0</v>
      </c>
      <c r="AG7239">
        <v>0</v>
      </c>
      <c r="AH7239">
        <v>0</v>
      </c>
      <c r="AI7239">
        <v>15.87</v>
      </c>
      <c r="AJ7239">
        <v>88.19</v>
      </c>
      <c r="AK7239">
        <v>0</v>
      </c>
      <c r="AL7239" t="s">
        <v>53</v>
      </c>
      <c r="AM7239" t="s">
        <v>53</v>
      </c>
      <c r="AN7239" t="s">
        <v>53</v>
      </c>
      <c r="AO7239" t="s">
        <v>53</v>
      </c>
      <c r="AP7239" t="s">
        <v>53</v>
      </c>
    </row>
    <row r="7240" spans="2:42" x14ac:dyDescent="0.2">
      <c r="B7240" t="s">
        <v>44</v>
      </c>
      <c r="C7240" t="str">
        <f>HYPERLINK("https://us2.cloudbeds.com/connect/8493803454333002#/reservations/9080486847378459?display=3S1UFZG660&amp;reservation_id=9080486847378459", "3S1UFZG660")</f>
        <v>3S1UFZG660</v>
      </c>
      <c r="D7240" t="s">
        <v>45</v>
      </c>
      <c r="E7240" t="s">
        <v>190</v>
      </c>
      <c r="F7240" t="s">
        <v>61</v>
      </c>
      <c r="G7240" t="s">
        <v>48</v>
      </c>
      <c r="H7240" t="s">
        <v>49</v>
      </c>
      <c r="I7240" t="s">
        <v>50</v>
      </c>
      <c r="J7240" t="s">
        <v>12561</v>
      </c>
      <c r="K7240" t="s">
        <v>12562</v>
      </c>
      <c r="L7240" t="s">
        <v>53</v>
      </c>
      <c r="N7240" t="s">
        <v>13136</v>
      </c>
      <c r="P7240" t="s">
        <v>55</v>
      </c>
      <c r="R7240" t="s">
        <v>53</v>
      </c>
      <c r="T7240" t="s">
        <v>13137</v>
      </c>
      <c r="U7240" t="s">
        <v>58</v>
      </c>
      <c r="V7240">
        <v>1</v>
      </c>
      <c r="W7240">
        <v>1</v>
      </c>
      <c r="X7240">
        <v>1</v>
      </c>
      <c r="Y7240">
        <v>0</v>
      </c>
      <c r="Z7240">
        <v>1</v>
      </c>
      <c r="AA7240">
        <v>88.19</v>
      </c>
      <c r="AB7240">
        <v>91.98</v>
      </c>
      <c r="AC7240">
        <v>77.599999999999994</v>
      </c>
      <c r="AD7240">
        <v>3.5</v>
      </c>
      <c r="AE7240">
        <v>10.88</v>
      </c>
      <c r="AF7240">
        <v>0</v>
      </c>
      <c r="AG7240">
        <v>0</v>
      </c>
      <c r="AH7240">
        <v>0</v>
      </c>
      <c r="AI7240">
        <v>16.559999999999999</v>
      </c>
      <c r="AJ7240">
        <v>91.98</v>
      </c>
      <c r="AK7240">
        <v>0</v>
      </c>
      <c r="AL7240" t="s">
        <v>53</v>
      </c>
      <c r="AM7240" t="s">
        <v>53</v>
      </c>
      <c r="AN7240" t="s">
        <v>53</v>
      </c>
      <c r="AO7240" t="s">
        <v>53</v>
      </c>
      <c r="AP7240" t="s">
        <v>53</v>
      </c>
    </row>
    <row r="7241" spans="2:42" x14ac:dyDescent="0.2">
      <c r="B7241" t="s">
        <v>44</v>
      </c>
      <c r="C7241" t="str">
        <f>HYPERLINK("https://us2.cloudbeds.com/connect/8493803454333002#/reservations/9080486847378527?display=3S1WVUPFWU&amp;reservation_id=9080486847378527", "3S1WVUPFWU")</f>
        <v>3S1WVUPFWU</v>
      </c>
      <c r="D7241" t="s">
        <v>45</v>
      </c>
      <c r="E7241" t="s">
        <v>46</v>
      </c>
      <c r="F7241" t="s">
        <v>47</v>
      </c>
      <c r="G7241" t="s">
        <v>48</v>
      </c>
      <c r="H7241" t="s">
        <v>49</v>
      </c>
      <c r="I7241" t="s">
        <v>62</v>
      </c>
      <c r="J7241" t="s">
        <v>12531</v>
      </c>
      <c r="K7241" t="s">
        <v>11068</v>
      </c>
      <c r="L7241" t="s">
        <v>53</v>
      </c>
      <c r="N7241" t="s">
        <v>13138</v>
      </c>
      <c r="P7241" t="s">
        <v>55</v>
      </c>
      <c r="R7241" t="s">
        <v>56</v>
      </c>
      <c r="T7241" t="s">
        <v>13139</v>
      </c>
      <c r="U7241" t="s">
        <v>55</v>
      </c>
      <c r="V7241">
        <v>2</v>
      </c>
      <c r="W7241">
        <v>1</v>
      </c>
      <c r="X7241">
        <v>2</v>
      </c>
      <c r="Y7241">
        <v>0</v>
      </c>
      <c r="Z7241">
        <v>2</v>
      </c>
      <c r="AA7241">
        <v>130.01</v>
      </c>
      <c r="AB7241">
        <v>130.01</v>
      </c>
      <c r="AC7241">
        <v>130.01</v>
      </c>
      <c r="AD7241">
        <v>0</v>
      </c>
      <c r="AE7241">
        <v>0</v>
      </c>
      <c r="AF7241">
        <v>0</v>
      </c>
      <c r="AG7241">
        <v>0</v>
      </c>
      <c r="AH7241">
        <v>0</v>
      </c>
      <c r="AI7241">
        <v>23.4</v>
      </c>
      <c r="AJ7241">
        <v>130.01</v>
      </c>
      <c r="AK7241">
        <v>0</v>
      </c>
      <c r="AL7241" t="s">
        <v>53</v>
      </c>
      <c r="AM7241" t="s">
        <v>53</v>
      </c>
      <c r="AN7241" t="s">
        <v>53</v>
      </c>
      <c r="AO7241" t="s">
        <v>53</v>
      </c>
      <c r="AP7241" t="s">
        <v>53</v>
      </c>
    </row>
    <row r="7242" spans="2:42" x14ac:dyDescent="0.2">
      <c r="B7242" t="s">
        <v>44</v>
      </c>
      <c r="C7242" t="str">
        <f>HYPERLINK("https://us2.cloudbeds.com/connect/8493803454333002#/reservations/9080486847379841?display=3S3QTDEMZG&amp;reservation_id=9080486847379841", "3S3QTDEMZG")</f>
        <v>3S3QTDEMZG</v>
      </c>
      <c r="D7242" t="s">
        <v>45</v>
      </c>
      <c r="E7242" t="s">
        <v>110</v>
      </c>
      <c r="F7242" t="s">
        <v>47</v>
      </c>
      <c r="G7242" t="s">
        <v>48</v>
      </c>
      <c r="H7242" t="s">
        <v>49</v>
      </c>
      <c r="I7242" t="s">
        <v>62</v>
      </c>
      <c r="J7242" t="s">
        <v>12441</v>
      </c>
      <c r="K7242" t="s">
        <v>13140</v>
      </c>
      <c r="L7242" t="s">
        <v>53</v>
      </c>
      <c r="N7242" t="s">
        <v>13141</v>
      </c>
      <c r="P7242" t="s">
        <v>55</v>
      </c>
      <c r="R7242" t="s">
        <v>56</v>
      </c>
      <c r="T7242" t="s">
        <v>13142</v>
      </c>
      <c r="U7242" t="s">
        <v>55</v>
      </c>
      <c r="V7242">
        <v>1</v>
      </c>
      <c r="W7242">
        <v>1</v>
      </c>
      <c r="X7242">
        <v>2</v>
      </c>
      <c r="Y7242">
        <v>0</v>
      </c>
      <c r="Z7242">
        <v>2</v>
      </c>
      <c r="AA7242">
        <v>142.80000000000001</v>
      </c>
      <c r="AB7242">
        <v>142.80000000000001</v>
      </c>
      <c r="AC7242">
        <v>142.80000000000001</v>
      </c>
      <c r="AD7242">
        <v>0</v>
      </c>
      <c r="AE7242">
        <v>0</v>
      </c>
      <c r="AF7242">
        <v>0</v>
      </c>
      <c r="AG7242">
        <v>0</v>
      </c>
      <c r="AH7242">
        <v>0</v>
      </c>
      <c r="AI7242">
        <v>25.7</v>
      </c>
      <c r="AJ7242">
        <v>142.80000000000001</v>
      </c>
      <c r="AK7242">
        <v>0</v>
      </c>
      <c r="AL7242" t="s">
        <v>53</v>
      </c>
      <c r="AM7242" t="s">
        <v>53</v>
      </c>
      <c r="AN7242" t="s">
        <v>13143</v>
      </c>
      <c r="AO7242" t="s">
        <v>53</v>
      </c>
      <c r="AP7242" t="s">
        <v>53</v>
      </c>
    </row>
    <row r="7243" spans="2:42" x14ac:dyDescent="0.2">
      <c r="B7243" t="s">
        <v>44</v>
      </c>
      <c r="C7243" t="str">
        <f>HYPERLINK("https://us2.cloudbeds.com/connect/8493803454333002#/reservations/9080486847380218?display=3S48S14HST&amp;reservation_id=9080486847380218", "3S48S14HST")</f>
        <v>3S48S14HST</v>
      </c>
      <c r="D7243" t="s">
        <v>45</v>
      </c>
      <c r="E7243" t="s">
        <v>155</v>
      </c>
      <c r="F7243" t="s">
        <v>86</v>
      </c>
      <c r="G7243" t="s">
        <v>48</v>
      </c>
      <c r="H7243" t="s">
        <v>49</v>
      </c>
      <c r="I7243" t="s">
        <v>8964</v>
      </c>
      <c r="J7243" t="s">
        <v>10861</v>
      </c>
      <c r="K7243" t="s">
        <v>13024</v>
      </c>
      <c r="L7243" t="s">
        <v>53</v>
      </c>
      <c r="N7243" t="s">
        <v>13144</v>
      </c>
      <c r="P7243" t="s">
        <v>55</v>
      </c>
      <c r="R7243" t="s">
        <v>53</v>
      </c>
      <c r="T7243" t="s">
        <v>13145</v>
      </c>
      <c r="U7243" t="s">
        <v>55</v>
      </c>
      <c r="V7243">
        <v>3</v>
      </c>
      <c r="W7243">
        <v>1</v>
      </c>
      <c r="X7243">
        <v>2</v>
      </c>
      <c r="Y7243">
        <v>0</v>
      </c>
      <c r="Z7243">
        <v>2</v>
      </c>
      <c r="AA7243">
        <v>0</v>
      </c>
      <c r="AB7243">
        <v>0</v>
      </c>
      <c r="AC7243">
        <v>358</v>
      </c>
      <c r="AD7243">
        <v>0</v>
      </c>
      <c r="AE7243">
        <v>0</v>
      </c>
      <c r="AF7243">
        <v>0</v>
      </c>
      <c r="AG7243">
        <v>0</v>
      </c>
      <c r="AH7243">
        <v>0</v>
      </c>
      <c r="AI7243">
        <v>53.7</v>
      </c>
      <c r="AJ7243">
        <v>358</v>
      </c>
      <c r="AK7243">
        <v>358</v>
      </c>
      <c r="AL7243" t="s">
        <v>53</v>
      </c>
      <c r="AM7243" t="s">
        <v>53</v>
      </c>
      <c r="AN7243" t="s">
        <v>13146</v>
      </c>
      <c r="AO7243" t="s">
        <v>53</v>
      </c>
      <c r="AP7243" t="s">
        <v>53</v>
      </c>
    </row>
    <row r="7244" spans="2:42" x14ac:dyDescent="0.2">
      <c r="B7244" t="s">
        <v>44</v>
      </c>
      <c r="C7244" t="str">
        <f>HYPERLINK("https://us2.cloudbeds.com/connect/8493803454333002#/reservations/9080486847385628?display=3SABUPSN2W&amp;reservation_id=9080486847385628", "3SABUPSN2W")</f>
        <v>3SABUPSN2W</v>
      </c>
      <c r="D7244" t="s">
        <v>45</v>
      </c>
      <c r="E7244" t="s">
        <v>487</v>
      </c>
      <c r="F7244" t="s">
        <v>61</v>
      </c>
      <c r="G7244" t="s">
        <v>48</v>
      </c>
      <c r="H7244" t="s">
        <v>49</v>
      </c>
      <c r="I7244" t="s">
        <v>50</v>
      </c>
      <c r="J7244" t="s">
        <v>11268</v>
      </c>
      <c r="K7244" t="s">
        <v>11310</v>
      </c>
      <c r="L7244" t="s">
        <v>53</v>
      </c>
      <c r="N7244" t="s">
        <v>13147</v>
      </c>
      <c r="P7244" t="s">
        <v>55</v>
      </c>
      <c r="R7244" t="s">
        <v>53</v>
      </c>
      <c r="T7244" t="s">
        <v>13148</v>
      </c>
      <c r="U7244" t="s">
        <v>58</v>
      </c>
      <c r="V7244">
        <v>1</v>
      </c>
      <c r="W7244">
        <v>1</v>
      </c>
      <c r="X7244">
        <v>2</v>
      </c>
      <c r="Y7244">
        <v>0</v>
      </c>
      <c r="Z7244">
        <v>2</v>
      </c>
      <c r="AA7244">
        <v>155.47999999999999</v>
      </c>
      <c r="AB7244">
        <v>155.47999999999999</v>
      </c>
      <c r="AC7244">
        <v>136.80000000000001</v>
      </c>
      <c r="AD7244">
        <v>0</v>
      </c>
      <c r="AE7244">
        <v>18.68</v>
      </c>
      <c r="AF7244">
        <v>0</v>
      </c>
      <c r="AG7244">
        <v>0</v>
      </c>
      <c r="AH7244">
        <v>0</v>
      </c>
      <c r="AI7244">
        <v>27.99</v>
      </c>
      <c r="AJ7244">
        <v>155.47999999999999</v>
      </c>
      <c r="AK7244">
        <v>0</v>
      </c>
      <c r="AL7244" t="s">
        <v>53</v>
      </c>
      <c r="AM7244" t="s">
        <v>53</v>
      </c>
      <c r="AN7244" t="s">
        <v>13149</v>
      </c>
      <c r="AO7244" t="s">
        <v>53</v>
      </c>
      <c r="AP7244" t="s">
        <v>53</v>
      </c>
    </row>
    <row r="7245" spans="2:42" x14ac:dyDescent="0.2">
      <c r="B7245" t="s">
        <v>44</v>
      </c>
      <c r="C7245" t="str">
        <f>HYPERLINK("https://us2.cloudbeds.com/connect/8493803454333002#/reservations/9080486847386007?display=3SAQJXFEJ8&amp;reservation_id=9080486847386007", "3SAQJXFEJ8")</f>
        <v>3SAQJXFEJ8</v>
      </c>
      <c r="D7245" t="s">
        <v>45</v>
      </c>
      <c r="E7245" t="s">
        <v>105</v>
      </c>
      <c r="F7245" t="s">
        <v>47</v>
      </c>
      <c r="G7245" t="s">
        <v>48</v>
      </c>
      <c r="H7245" t="s">
        <v>49</v>
      </c>
      <c r="I7245" t="s">
        <v>62</v>
      </c>
      <c r="J7245" t="s">
        <v>11521</v>
      </c>
      <c r="K7245" t="s">
        <v>12350</v>
      </c>
      <c r="L7245" t="s">
        <v>53</v>
      </c>
      <c r="N7245" t="s">
        <v>13150</v>
      </c>
      <c r="P7245" t="s">
        <v>55</v>
      </c>
      <c r="R7245" t="s">
        <v>56</v>
      </c>
      <c r="T7245" t="s">
        <v>13151</v>
      </c>
      <c r="U7245" t="s">
        <v>55</v>
      </c>
      <c r="V7245">
        <v>2</v>
      </c>
      <c r="W7245">
        <v>1</v>
      </c>
      <c r="X7245">
        <v>2</v>
      </c>
      <c r="Y7245">
        <v>0</v>
      </c>
      <c r="Z7245">
        <v>2</v>
      </c>
      <c r="AA7245">
        <v>163.19999999999999</v>
      </c>
      <c r="AB7245">
        <v>163.19999999999999</v>
      </c>
      <c r="AC7245">
        <v>163.19999999999999</v>
      </c>
      <c r="AD7245">
        <v>0</v>
      </c>
      <c r="AE7245">
        <v>0</v>
      </c>
      <c r="AF7245">
        <v>0</v>
      </c>
      <c r="AG7245">
        <v>0</v>
      </c>
      <c r="AH7245">
        <v>0</v>
      </c>
      <c r="AI7245">
        <v>29.38</v>
      </c>
      <c r="AJ7245">
        <v>163.19999999999999</v>
      </c>
      <c r="AK7245">
        <v>0</v>
      </c>
      <c r="AL7245" t="s">
        <v>53</v>
      </c>
      <c r="AM7245" t="s">
        <v>53</v>
      </c>
      <c r="AN7245" t="s">
        <v>13152</v>
      </c>
      <c r="AO7245" t="s">
        <v>53</v>
      </c>
      <c r="AP7245" t="s">
        <v>53</v>
      </c>
    </row>
    <row r="7246" spans="2:42" x14ac:dyDescent="0.2">
      <c r="B7246" t="s">
        <v>44</v>
      </c>
      <c r="C7246" t="str">
        <f>HYPERLINK("https://us2.cloudbeds.com/connect/8493803454333002#/reservations/9080486847386615?display=3SBJRFPDVU&amp;reservation_id=9080486847386615", "3SBJRFPDVU")</f>
        <v>3SBJRFPDVU</v>
      </c>
      <c r="D7246" t="s">
        <v>45</v>
      </c>
      <c r="E7246" t="s">
        <v>138</v>
      </c>
      <c r="F7246" t="s">
        <v>70</v>
      </c>
      <c r="G7246" t="s">
        <v>48</v>
      </c>
      <c r="H7246" t="s">
        <v>49</v>
      </c>
      <c r="I7246" t="s">
        <v>50</v>
      </c>
      <c r="J7246" t="s">
        <v>11268</v>
      </c>
      <c r="K7246" t="s">
        <v>11310</v>
      </c>
      <c r="L7246" t="s">
        <v>53</v>
      </c>
      <c r="N7246" t="s">
        <v>13153</v>
      </c>
      <c r="P7246" t="s">
        <v>55</v>
      </c>
      <c r="R7246" t="s">
        <v>53</v>
      </c>
      <c r="T7246" t="s">
        <v>13154</v>
      </c>
      <c r="U7246" t="s">
        <v>58</v>
      </c>
      <c r="V7246">
        <v>1</v>
      </c>
      <c r="W7246">
        <v>1</v>
      </c>
      <c r="X7246">
        <v>1</v>
      </c>
      <c r="Y7246">
        <v>0</v>
      </c>
      <c r="Z7246">
        <v>1</v>
      </c>
      <c r="AA7246">
        <v>135.47</v>
      </c>
      <c r="AB7246">
        <v>135.47</v>
      </c>
      <c r="AC7246">
        <v>119.2</v>
      </c>
      <c r="AD7246">
        <v>0</v>
      </c>
      <c r="AE7246">
        <v>16.27</v>
      </c>
      <c r="AF7246">
        <v>0</v>
      </c>
      <c r="AG7246">
        <v>0</v>
      </c>
      <c r="AH7246">
        <v>0</v>
      </c>
      <c r="AI7246">
        <v>24.38</v>
      </c>
      <c r="AJ7246">
        <v>135.47</v>
      </c>
      <c r="AK7246">
        <v>0</v>
      </c>
      <c r="AL7246" t="s">
        <v>53</v>
      </c>
      <c r="AM7246" t="s">
        <v>53</v>
      </c>
      <c r="AN7246" t="s">
        <v>13155</v>
      </c>
      <c r="AO7246" t="s">
        <v>53</v>
      </c>
      <c r="AP7246" t="s">
        <v>53</v>
      </c>
    </row>
    <row r="7247" spans="2:42" x14ac:dyDescent="0.2">
      <c r="B7247" t="s">
        <v>44</v>
      </c>
      <c r="C7247" t="str">
        <f>HYPERLINK("https://us2.cloudbeds.com/connect/8493803454333002#/reservations/9080486847386666?display=3SBYRVVQ5J&amp;reservation_id=9080486847386666", "3SBYRVVQ5J")</f>
        <v>3SBYRVVQ5J</v>
      </c>
      <c r="D7247" t="s">
        <v>45</v>
      </c>
      <c r="E7247" t="s">
        <v>223</v>
      </c>
      <c r="F7247" t="s">
        <v>47</v>
      </c>
      <c r="G7247" t="s">
        <v>48</v>
      </c>
      <c r="H7247" t="s">
        <v>49</v>
      </c>
      <c r="I7247" t="s">
        <v>62</v>
      </c>
      <c r="J7247" t="s">
        <v>11268</v>
      </c>
      <c r="K7247" t="s">
        <v>11521</v>
      </c>
      <c r="L7247" t="s">
        <v>53</v>
      </c>
      <c r="N7247" t="s">
        <v>13156</v>
      </c>
      <c r="P7247" t="s">
        <v>55</v>
      </c>
      <c r="R7247" t="s">
        <v>56</v>
      </c>
      <c r="T7247" t="s">
        <v>13157</v>
      </c>
      <c r="U7247" t="s">
        <v>55</v>
      </c>
      <c r="V7247">
        <v>3</v>
      </c>
      <c r="W7247">
        <v>1</v>
      </c>
      <c r="X7247">
        <v>2</v>
      </c>
      <c r="Y7247">
        <v>0</v>
      </c>
      <c r="Z7247">
        <v>2</v>
      </c>
      <c r="AA7247">
        <v>410.55</v>
      </c>
      <c r="AB7247">
        <v>410.55</v>
      </c>
      <c r="AC7247">
        <v>410.55</v>
      </c>
      <c r="AD7247">
        <v>0</v>
      </c>
      <c r="AE7247">
        <v>0</v>
      </c>
      <c r="AF7247">
        <v>0</v>
      </c>
      <c r="AG7247">
        <v>0</v>
      </c>
      <c r="AH7247">
        <v>0</v>
      </c>
      <c r="AI7247">
        <v>73.900000000000006</v>
      </c>
      <c r="AJ7247">
        <v>410.55</v>
      </c>
      <c r="AK7247">
        <v>0</v>
      </c>
      <c r="AL7247" t="s">
        <v>53</v>
      </c>
      <c r="AM7247" t="s">
        <v>53</v>
      </c>
      <c r="AN7247" t="s">
        <v>53</v>
      </c>
      <c r="AO7247" t="s">
        <v>53</v>
      </c>
      <c r="AP7247" t="s">
        <v>53</v>
      </c>
    </row>
    <row r="7248" spans="2:42" x14ac:dyDescent="0.2">
      <c r="B7248" t="s">
        <v>44</v>
      </c>
      <c r="C7248" t="str">
        <f>HYPERLINK("https://us2.cloudbeds.com/connect/8493803454333002#/reservations/9080486847386919?display=3SC03NNYNM&amp;reservation_id=9080486847386919", "3SC03NNYNM")</f>
        <v>3SC03NNYNM</v>
      </c>
      <c r="D7248" t="s">
        <v>45</v>
      </c>
      <c r="E7248" t="s">
        <v>110</v>
      </c>
      <c r="F7248" t="s">
        <v>47</v>
      </c>
      <c r="G7248" t="s">
        <v>48</v>
      </c>
      <c r="H7248" t="s">
        <v>49</v>
      </c>
      <c r="I7248" t="s">
        <v>62</v>
      </c>
      <c r="J7248" t="s">
        <v>12562</v>
      </c>
      <c r="K7248" t="s">
        <v>11268</v>
      </c>
      <c r="L7248" t="s">
        <v>53</v>
      </c>
      <c r="N7248" t="s">
        <v>13158</v>
      </c>
      <c r="P7248" t="s">
        <v>55</v>
      </c>
      <c r="R7248" t="s">
        <v>56</v>
      </c>
      <c r="T7248" t="s">
        <v>13159</v>
      </c>
      <c r="U7248" t="s">
        <v>55</v>
      </c>
      <c r="V7248">
        <v>1</v>
      </c>
      <c r="W7248">
        <v>1</v>
      </c>
      <c r="X7248">
        <v>2</v>
      </c>
      <c r="Y7248">
        <v>0</v>
      </c>
      <c r="Z7248">
        <v>2</v>
      </c>
      <c r="AA7248">
        <v>77.349999999999994</v>
      </c>
      <c r="AB7248">
        <v>77.349999999999994</v>
      </c>
      <c r="AC7248">
        <v>77.349999999999994</v>
      </c>
      <c r="AD7248">
        <v>0</v>
      </c>
      <c r="AE7248">
        <v>0</v>
      </c>
      <c r="AF7248">
        <v>0</v>
      </c>
      <c r="AG7248">
        <v>0</v>
      </c>
      <c r="AH7248">
        <v>0</v>
      </c>
      <c r="AI7248">
        <v>13.92</v>
      </c>
      <c r="AJ7248">
        <v>77.349999999999994</v>
      </c>
      <c r="AK7248">
        <v>0</v>
      </c>
      <c r="AL7248" t="s">
        <v>53</v>
      </c>
      <c r="AM7248" t="s">
        <v>53</v>
      </c>
      <c r="AN7248" t="s">
        <v>53</v>
      </c>
      <c r="AO7248" t="s">
        <v>53</v>
      </c>
      <c r="AP7248" t="s">
        <v>53</v>
      </c>
    </row>
    <row r="7249" spans="2:42" x14ac:dyDescent="0.2">
      <c r="B7249" t="s">
        <v>44</v>
      </c>
      <c r="C7249" t="str">
        <f>HYPERLINK("https://us2.cloudbeds.com/connect/8493803454333002#/reservations/9080486847386937?display=3SC0P9BDM4&amp;reservation_id=9080486847386937", "3SC0P9BDM4")</f>
        <v>3SC0P9BDM4</v>
      </c>
      <c r="D7249" t="s">
        <v>45</v>
      </c>
      <c r="E7249" t="s">
        <v>373</v>
      </c>
      <c r="F7249" t="s">
        <v>47</v>
      </c>
      <c r="G7249" t="s">
        <v>48</v>
      </c>
      <c r="H7249" t="s">
        <v>49</v>
      </c>
      <c r="I7249" t="s">
        <v>8964</v>
      </c>
      <c r="J7249" t="s">
        <v>12562</v>
      </c>
      <c r="K7249" t="s">
        <v>11310</v>
      </c>
      <c r="L7249" t="s">
        <v>53</v>
      </c>
      <c r="N7249" t="s">
        <v>13160</v>
      </c>
      <c r="P7249" t="s">
        <v>55</v>
      </c>
      <c r="R7249" t="s">
        <v>53</v>
      </c>
      <c r="T7249" t="s">
        <v>13161</v>
      </c>
      <c r="U7249" t="s">
        <v>55</v>
      </c>
      <c r="V7249">
        <v>2</v>
      </c>
      <c r="W7249">
        <v>1</v>
      </c>
      <c r="X7249">
        <v>2</v>
      </c>
      <c r="Y7249">
        <v>0</v>
      </c>
      <c r="Z7249">
        <v>2</v>
      </c>
      <c r="AA7249">
        <v>0</v>
      </c>
      <c r="AB7249">
        <v>0</v>
      </c>
      <c r="AC7249">
        <v>249</v>
      </c>
      <c r="AD7249">
        <v>0</v>
      </c>
      <c r="AE7249">
        <v>0</v>
      </c>
      <c r="AF7249">
        <v>0</v>
      </c>
      <c r="AG7249">
        <v>0</v>
      </c>
      <c r="AH7249">
        <v>0</v>
      </c>
      <c r="AI7249">
        <v>37.35</v>
      </c>
      <c r="AJ7249">
        <v>249</v>
      </c>
      <c r="AK7249">
        <v>249</v>
      </c>
      <c r="AL7249" t="s">
        <v>53</v>
      </c>
      <c r="AM7249" t="s">
        <v>53</v>
      </c>
      <c r="AN7249" t="s">
        <v>53</v>
      </c>
      <c r="AO7249" t="s">
        <v>53</v>
      </c>
      <c r="AP7249" t="s">
        <v>53</v>
      </c>
    </row>
    <row r="7250" spans="2:42" x14ac:dyDescent="0.2">
      <c r="B7250" t="s">
        <v>44</v>
      </c>
      <c r="C7250" t="str">
        <f>HYPERLINK("https://us2.cloudbeds.com/connect/8493803454333002#/reservations/9080486847387537?display=3SCP6GUZKG&amp;reservation_id=9080486847387537", "3SCP6GUZKG")</f>
        <v>3SCP6GUZKG</v>
      </c>
      <c r="D7250" t="s">
        <v>45</v>
      </c>
      <c r="E7250" t="s">
        <v>165</v>
      </c>
      <c r="F7250" t="s">
        <v>61</v>
      </c>
      <c r="G7250" t="s">
        <v>48</v>
      </c>
      <c r="H7250" t="s">
        <v>49</v>
      </c>
      <c r="I7250" t="s">
        <v>50</v>
      </c>
      <c r="J7250" t="s">
        <v>12531</v>
      </c>
      <c r="K7250" t="s">
        <v>11067</v>
      </c>
      <c r="L7250" t="s">
        <v>53</v>
      </c>
      <c r="N7250" t="s">
        <v>13162</v>
      </c>
      <c r="P7250" t="s">
        <v>55</v>
      </c>
      <c r="R7250" t="s">
        <v>53</v>
      </c>
      <c r="T7250" t="s">
        <v>13163</v>
      </c>
      <c r="U7250" t="s">
        <v>58</v>
      </c>
      <c r="V7250">
        <v>1</v>
      </c>
      <c r="W7250">
        <v>1</v>
      </c>
      <c r="X7250">
        <v>2</v>
      </c>
      <c r="Y7250">
        <v>0</v>
      </c>
      <c r="Z7250">
        <v>2</v>
      </c>
      <c r="AA7250">
        <v>90.69</v>
      </c>
      <c r="AB7250">
        <v>90.69</v>
      </c>
      <c r="AC7250">
        <v>79.8</v>
      </c>
      <c r="AD7250">
        <v>0</v>
      </c>
      <c r="AE7250">
        <v>10.89</v>
      </c>
      <c r="AF7250">
        <v>0</v>
      </c>
      <c r="AG7250">
        <v>0</v>
      </c>
      <c r="AH7250">
        <v>0</v>
      </c>
      <c r="AI7250">
        <v>16.32</v>
      </c>
      <c r="AJ7250">
        <v>90.69</v>
      </c>
      <c r="AK7250">
        <v>0</v>
      </c>
      <c r="AL7250" t="s">
        <v>53</v>
      </c>
      <c r="AM7250" t="s">
        <v>53</v>
      </c>
      <c r="AN7250" t="s">
        <v>13164</v>
      </c>
      <c r="AO7250" t="s">
        <v>53</v>
      </c>
      <c r="AP7250" t="s">
        <v>53</v>
      </c>
    </row>
    <row r="7251" spans="2:42" x14ac:dyDescent="0.2">
      <c r="B7251" t="s">
        <v>44</v>
      </c>
      <c r="C7251" t="str">
        <f>HYPERLINK("https://us2.cloudbeds.com/connect/8493803454333002#/reservations/9080486847388018?display=3SDFZVE74G&amp;reservation_id=9080486847388018", "3SDFZVE74G")</f>
        <v>3SDFZVE74G</v>
      </c>
      <c r="D7251" t="s">
        <v>45</v>
      </c>
      <c r="E7251" t="s">
        <v>105</v>
      </c>
      <c r="F7251" t="s">
        <v>47</v>
      </c>
      <c r="G7251" t="s">
        <v>48</v>
      </c>
      <c r="H7251" t="s">
        <v>49</v>
      </c>
      <c r="I7251" t="s">
        <v>62</v>
      </c>
      <c r="J7251" t="s">
        <v>12441</v>
      </c>
      <c r="K7251" t="s">
        <v>12421</v>
      </c>
      <c r="L7251" t="s">
        <v>53</v>
      </c>
      <c r="N7251" t="s">
        <v>13165</v>
      </c>
      <c r="P7251" t="s">
        <v>55</v>
      </c>
      <c r="R7251" t="s">
        <v>56</v>
      </c>
      <c r="T7251" t="s">
        <v>13166</v>
      </c>
      <c r="U7251" t="s">
        <v>55</v>
      </c>
      <c r="V7251">
        <v>2</v>
      </c>
      <c r="W7251">
        <v>1</v>
      </c>
      <c r="X7251">
        <v>2</v>
      </c>
      <c r="Y7251">
        <v>0</v>
      </c>
      <c r="Z7251">
        <v>2</v>
      </c>
      <c r="AA7251">
        <v>203.49</v>
      </c>
      <c r="AB7251">
        <v>203.49</v>
      </c>
      <c r="AC7251">
        <v>203.49</v>
      </c>
      <c r="AD7251">
        <v>0</v>
      </c>
      <c r="AE7251">
        <v>0</v>
      </c>
      <c r="AF7251">
        <v>0</v>
      </c>
      <c r="AG7251">
        <v>0</v>
      </c>
      <c r="AH7251">
        <v>0</v>
      </c>
      <c r="AI7251">
        <v>36.630000000000003</v>
      </c>
      <c r="AJ7251">
        <v>203.49</v>
      </c>
      <c r="AK7251">
        <v>0</v>
      </c>
      <c r="AL7251" t="s">
        <v>53</v>
      </c>
      <c r="AM7251" t="s">
        <v>53</v>
      </c>
      <c r="AN7251" t="s">
        <v>53</v>
      </c>
      <c r="AO7251" t="s">
        <v>53</v>
      </c>
      <c r="AP7251" t="s">
        <v>53</v>
      </c>
    </row>
    <row r="7252" spans="2:42" x14ac:dyDescent="0.2">
      <c r="B7252" t="s">
        <v>44</v>
      </c>
      <c r="C7252" t="str">
        <f>HYPERLINK("https://us2.cloudbeds.com/connect/8493803454333002#/reservations/9080486847390374?display=3SGXZKVCE6&amp;reservation_id=9080486847390374", "3SGXZKVCE6")</f>
        <v>3SGXZKVCE6</v>
      </c>
      <c r="D7252" t="s">
        <v>45</v>
      </c>
      <c r="E7252" t="s">
        <v>138</v>
      </c>
      <c r="F7252" t="s">
        <v>70</v>
      </c>
      <c r="G7252" t="s">
        <v>48</v>
      </c>
      <c r="H7252" t="s">
        <v>49</v>
      </c>
      <c r="I7252" t="s">
        <v>62</v>
      </c>
      <c r="J7252" t="s">
        <v>11310</v>
      </c>
      <c r="K7252" t="s">
        <v>11804</v>
      </c>
      <c r="L7252" t="s">
        <v>53</v>
      </c>
      <c r="N7252" t="s">
        <v>13167</v>
      </c>
      <c r="P7252" t="s">
        <v>55</v>
      </c>
      <c r="R7252" t="s">
        <v>56</v>
      </c>
      <c r="T7252" t="s">
        <v>13168</v>
      </c>
      <c r="U7252" t="s">
        <v>55</v>
      </c>
      <c r="V7252">
        <v>1</v>
      </c>
      <c r="W7252">
        <v>1</v>
      </c>
      <c r="X7252">
        <v>2</v>
      </c>
      <c r="Y7252">
        <v>0</v>
      </c>
      <c r="Z7252">
        <v>2</v>
      </c>
      <c r="AA7252">
        <v>74.8</v>
      </c>
      <c r="AB7252">
        <v>74.8</v>
      </c>
      <c r="AC7252">
        <v>74.8</v>
      </c>
      <c r="AD7252">
        <v>0</v>
      </c>
      <c r="AE7252">
        <v>0</v>
      </c>
      <c r="AF7252">
        <v>0</v>
      </c>
      <c r="AG7252">
        <v>0</v>
      </c>
      <c r="AH7252">
        <v>0</v>
      </c>
      <c r="AI7252">
        <v>13.46</v>
      </c>
      <c r="AJ7252">
        <v>74.8</v>
      </c>
      <c r="AK7252">
        <v>0</v>
      </c>
      <c r="AL7252" t="s">
        <v>53</v>
      </c>
      <c r="AM7252" t="s">
        <v>53</v>
      </c>
      <c r="AN7252" t="s">
        <v>53</v>
      </c>
      <c r="AO7252" t="s">
        <v>53</v>
      </c>
      <c r="AP7252" t="s">
        <v>53</v>
      </c>
    </row>
    <row r="7253" spans="2:42" x14ac:dyDescent="0.2">
      <c r="B7253" t="s">
        <v>44</v>
      </c>
      <c r="C7253" t="str">
        <f>HYPERLINK("https://us2.cloudbeds.com/connect/8493803454333002#/reservations/9080486847391761?display=3SX3TJ0CWE&amp;reservation_id=9080486847391761", "3SX3TJ0CWE")</f>
        <v>3SX3TJ0CWE</v>
      </c>
      <c r="D7253" t="s">
        <v>45</v>
      </c>
      <c r="E7253" t="s">
        <v>406</v>
      </c>
      <c r="F7253" t="s">
        <v>61</v>
      </c>
      <c r="G7253" t="s">
        <v>48</v>
      </c>
      <c r="H7253" t="s">
        <v>49</v>
      </c>
      <c r="I7253" t="s">
        <v>62</v>
      </c>
      <c r="J7253" t="s">
        <v>11268</v>
      </c>
      <c r="K7253" t="s">
        <v>11310</v>
      </c>
      <c r="L7253" t="s">
        <v>53</v>
      </c>
      <c r="N7253" t="s">
        <v>13169</v>
      </c>
      <c r="P7253" t="s">
        <v>55</v>
      </c>
      <c r="R7253" t="s">
        <v>56</v>
      </c>
      <c r="T7253" t="s">
        <v>13170</v>
      </c>
      <c r="U7253" t="s">
        <v>55</v>
      </c>
      <c r="V7253">
        <v>1</v>
      </c>
      <c r="W7253">
        <v>1</v>
      </c>
      <c r="X7253">
        <v>2</v>
      </c>
      <c r="Y7253">
        <v>0</v>
      </c>
      <c r="Z7253">
        <v>2</v>
      </c>
      <c r="AA7253">
        <v>89.25</v>
      </c>
      <c r="AB7253">
        <v>89.25</v>
      </c>
      <c r="AC7253">
        <v>89.25</v>
      </c>
      <c r="AD7253">
        <v>0</v>
      </c>
      <c r="AE7253">
        <v>0</v>
      </c>
      <c r="AF7253">
        <v>0</v>
      </c>
      <c r="AG7253">
        <v>0</v>
      </c>
      <c r="AH7253">
        <v>0</v>
      </c>
      <c r="AI7253">
        <v>16.07</v>
      </c>
      <c r="AJ7253">
        <v>89.25</v>
      </c>
      <c r="AK7253">
        <v>0</v>
      </c>
      <c r="AL7253" t="s">
        <v>53</v>
      </c>
      <c r="AM7253" t="s">
        <v>53</v>
      </c>
      <c r="AN7253" t="s">
        <v>53</v>
      </c>
      <c r="AO7253" t="s">
        <v>53</v>
      </c>
      <c r="AP7253" t="s">
        <v>53</v>
      </c>
    </row>
    <row r="7254" spans="2:42" x14ac:dyDescent="0.2">
      <c r="B7254" t="s">
        <v>44</v>
      </c>
      <c r="C7254" t="str">
        <f>HYPERLINK("https://us2.cloudbeds.com/connect/8493803454333002#/reservations/9080486847392154?display=3SXXDZPN2U&amp;reservation_id=9080486847392154", "3SXXDZPN2U")</f>
        <v>3SXXDZPN2U</v>
      </c>
      <c r="D7254" t="s">
        <v>45</v>
      </c>
      <c r="E7254" t="s">
        <v>190</v>
      </c>
      <c r="F7254" t="s">
        <v>61</v>
      </c>
      <c r="G7254" t="s">
        <v>48</v>
      </c>
      <c r="H7254" t="s">
        <v>49</v>
      </c>
      <c r="I7254" t="s">
        <v>62</v>
      </c>
      <c r="J7254" t="s">
        <v>11310</v>
      </c>
      <c r="K7254" t="s">
        <v>11804</v>
      </c>
      <c r="L7254" t="s">
        <v>53</v>
      </c>
      <c r="N7254" t="s">
        <v>13171</v>
      </c>
      <c r="P7254" t="s">
        <v>55</v>
      </c>
      <c r="R7254" t="s">
        <v>56</v>
      </c>
      <c r="T7254" t="s">
        <v>13172</v>
      </c>
      <c r="U7254" t="s">
        <v>55</v>
      </c>
      <c r="V7254">
        <v>1</v>
      </c>
      <c r="W7254">
        <v>1</v>
      </c>
      <c r="X7254">
        <v>2</v>
      </c>
      <c r="Y7254">
        <v>0</v>
      </c>
      <c r="Z7254">
        <v>2</v>
      </c>
      <c r="AA7254">
        <v>90.1</v>
      </c>
      <c r="AB7254">
        <v>90.1</v>
      </c>
      <c r="AC7254">
        <v>90.1</v>
      </c>
      <c r="AD7254">
        <v>0</v>
      </c>
      <c r="AE7254">
        <v>0</v>
      </c>
      <c r="AF7254">
        <v>0</v>
      </c>
      <c r="AG7254">
        <v>0</v>
      </c>
      <c r="AH7254">
        <v>0</v>
      </c>
      <c r="AI7254">
        <v>16.22</v>
      </c>
      <c r="AJ7254">
        <v>90.1</v>
      </c>
      <c r="AK7254">
        <v>0</v>
      </c>
      <c r="AL7254" t="s">
        <v>53</v>
      </c>
      <c r="AM7254" t="s">
        <v>53</v>
      </c>
      <c r="AN7254" t="s">
        <v>13173</v>
      </c>
      <c r="AO7254" t="s">
        <v>53</v>
      </c>
      <c r="AP7254" t="s">
        <v>53</v>
      </c>
    </row>
    <row r="7255" spans="2:42" x14ac:dyDescent="0.2">
      <c r="B7255" t="s">
        <v>44</v>
      </c>
      <c r="C7255" t="str">
        <f>HYPERLINK("https://us2.cloudbeds.com/connect/8493803454333002#/reservations/9080486847392391?display=3SXR65HU79&amp;reservation_id=9080486847392391", "3SXR65HU79")</f>
        <v>3SXR65HU79</v>
      </c>
      <c r="D7255" t="s">
        <v>45</v>
      </c>
      <c r="E7255" t="s">
        <v>165</v>
      </c>
      <c r="F7255" t="s">
        <v>61</v>
      </c>
      <c r="G7255" t="s">
        <v>48</v>
      </c>
      <c r="H7255" t="s">
        <v>49</v>
      </c>
      <c r="I7255" t="s">
        <v>62</v>
      </c>
      <c r="J7255" t="s">
        <v>11310</v>
      </c>
      <c r="K7255" t="s">
        <v>11804</v>
      </c>
      <c r="L7255" t="s">
        <v>53</v>
      </c>
      <c r="N7255" t="s">
        <v>13174</v>
      </c>
      <c r="P7255" t="s">
        <v>55</v>
      </c>
      <c r="R7255" t="s">
        <v>56</v>
      </c>
      <c r="T7255" t="s">
        <v>13175</v>
      </c>
      <c r="U7255" t="s">
        <v>55</v>
      </c>
      <c r="V7255">
        <v>1</v>
      </c>
      <c r="W7255">
        <v>1</v>
      </c>
      <c r="X7255">
        <v>2</v>
      </c>
      <c r="Y7255">
        <v>0</v>
      </c>
      <c r="Z7255">
        <v>2</v>
      </c>
      <c r="AA7255">
        <v>90.1</v>
      </c>
      <c r="AB7255">
        <v>90.1</v>
      </c>
      <c r="AC7255">
        <v>90.1</v>
      </c>
      <c r="AD7255">
        <v>0</v>
      </c>
      <c r="AE7255">
        <v>0</v>
      </c>
      <c r="AF7255">
        <v>0</v>
      </c>
      <c r="AG7255">
        <v>0</v>
      </c>
      <c r="AH7255">
        <v>0</v>
      </c>
      <c r="AI7255">
        <v>16.22</v>
      </c>
      <c r="AJ7255">
        <v>90.1</v>
      </c>
      <c r="AK7255">
        <v>0</v>
      </c>
      <c r="AL7255" t="s">
        <v>53</v>
      </c>
      <c r="AM7255" t="s">
        <v>53</v>
      </c>
      <c r="AN7255" t="s">
        <v>13176</v>
      </c>
      <c r="AO7255" t="s">
        <v>53</v>
      </c>
      <c r="AP7255" t="s">
        <v>53</v>
      </c>
    </row>
    <row r="7256" spans="2:42" x14ac:dyDescent="0.2">
      <c r="B7256" t="s">
        <v>44</v>
      </c>
      <c r="C7256" t="str">
        <f>HYPERLINK("https://us2.cloudbeds.com/connect/8493803454333002#/reservations/9080486847392402?display=3SXRM67Y2F&amp;reservation_id=9080486847392402", "3SXRM67Y2F")</f>
        <v>3SXRM67Y2F</v>
      </c>
      <c r="D7256" t="s">
        <v>45</v>
      </c>
      <c r="E7256" t="s">
        <v>305</v>
      </c>
      <c r="F7256" t="s">
        <v>61</v>
      </c>
      <c r="G7256" t="s">
        <v>48</v>
      </c>
      <c r="H7256" t="s">
        <v>49</v>
      </c>
      <c r="I7256" t="s">
        <v>62</v>
      </c>
      <c r="J7256" t="s">
        <v>11268</v>
      </c>
      <c r="K7256" t="s">
        <v>11310</v>
      </c>
      <c r="L7256" t="s">
        <v>53</v>
      </c>
      <c r="N7256" t="s">
        <v>13177</v>
      </c>
      <c r="P7256" t="s">
        <v>55</v>
      </c>
      <c r="R7256" t="s">
        <v>56</v>
      </c>
      <c r="T7256" t="s">
        <v>13178</v>
      </c>
      <c r="U7256" t="s">
        <v>55</v>
      </c>
      <c r="V7256">
        <v>1</v>
      </c>
      <c r="W7256">
        <v>1</v>
      </c>
      <c r="X7256">
        <v>2</v>
      </c>
      <c r="Y7256">
        <v>0</v>
      </c>
      <c r="Z7256">
        <v>2</v>
      </c>
      <c r="AA7256">
        <v>89.25</v>
      </c>
      <c r="AB7256">
        <v>89.25</v>
      </c>
      <c r="AC7256">
        <v>89.25</v>
      </c>
      <c r="AD7256">
        <v>0</v>
      </c>
      <c r="AE7256">
        <v>0</v>
      </c>
      <c r="AF7256">
        <v>0</v>
      </c>
      <c r="AG7256">
        <v>0</v>
      </c>
      <c r="AH7256">
        <v>0</v>
      </c>
      <c r="AI7256">
        <v>16.07</v>
      </c>
      <c r="AJ7256">
        <v>89.25</v>
      </c>
      <c r="AK7256">
        <v>0</v>
      </c>
      <c r="AL7256" t="s">
        <v>53</v>
      </c>
      <c r="AM7256" t="s">
        <v>53</v>
      </c>
      <c r="AN7256" t="s">
        <v>53</v>
      </c>
      <c r="AO7256" t="s">
        <v>53</v>
      </c>
      <c r="AP7256" t="s">
        <v>53</v>
      </c>
    </row>
    <row r="7257" spans="2:42" x14ac:dyDescent="0.2">
      <c r="B7257" t="s">
        <v>44</v>
      </c>
      <c r="C7257" t="str">
        <f>HYPERLINK("https://us2.cloudbeds.com/connect/8493803454333002#/reservations/9080486847392681?display=3SJ53D71BG&amp;reservation_id=9080486847392681", "3SJ53D71BG")</f>
        <v>3SJ53D71BG</v>
      </c>
      <c r="D7257" t="s">
        <v>45</v>
      </c>
      <c r="E7257" t="s">
        <v>213</v>
      </c>
      <c r="F7257" t="s">
        <v>86</v>
      </c>
      <c r="G7257" t="s">
        <v>48</v>
      </c>
      <c r="H7257" t="s">
        <v>49</v>
      </c>
      <c r="I7257" t="s">
        <v>8964</v>
      </c>
      <c r="J7257" t="s">
        <v>11268</v>
      </c>
      <c r="K7257" t="s">
        <v>11310</v>
      </c>
      <c r="L7257" t="s">
        <v>53</v>
      </c>
      <c r="N7257" t="s">
        <v>13179</v>
      </c>
      <c r="P7257" t="s">
        <v>55</v>
      </c>
      <c r="R7257" t="s">
        <v>53</v>
      </c>
      <c r="T7257" t="s">
        <v>13180</v>
      </c>
      <c r="U7257" t="s">
        <v>55</v>
      </c>
      <c r="V7257">
        <v>1</v>
      </c>
      <c r="W7257">
        <v>1</v>
      </c>
      <c r="X7257">
        <v>3</v>
      </c>
      <c r="Y7257">
        <v>0</v>
      </c>
      <c r="Z7257">
        <v>3</v>
      </c>
      <c r="AA7257">
        <v>0</v>
      </c>
      <c r="AB7257">
        <v>0</v>
      </c>
      <c r="AC7257">
        <v>126</v>
      </c>
      <c r="AD7257">
        <v>0</v>
      </c>
      <c r="AE7257">
        <v>0</v>
      </c>
      <c r="AF7257">
        <v>0</v>
      </c>
      <c r="AG7257">
        <v>0</v>
      </c>
      <c r="AH7257">
        <v>0</v>
      </c>
      <c r="AI7257">
        <v>18.899999999999999</v>
      </c>
      <c r="AJ7257">
        <v>126</v>
      </c>
      <c r="AK7257">
        <v>126</v>
      </c>
      <c r="AL7257" t="s">
        <v>53</v>
      </c>
      <c r="AM7257" t="s">
        <v>53</v>
      </c>
      <c r="AN7257" t="s">
        <v>53</v>
      </c>
      <c r="AO7257" t="s">
        <v>53</v>
      </c>
      <c r="AP7257" t="s">
        <v>53</v>
      </c>
    </row>
    <row r="7258" spans="2:42" x14ac:dyDescent="0.2">
      <c r="B7258" t="s">
        <v>44</v>
      </c>
      <c r="C7258" t="str">
        <f>HYPERLINK("https://us2.cloudbeds.com/connect/8493803454333002#/reservations/9080486847392942?display=3SJG4UXGT0&amp;reservation_id=9080486847392942", "3SJG4UXGT0")</f>
        <v>3SJG4UXGT0</v>
      </c>
      <c r="D7258" t="s">
        <v>45</v>
      </c>
      <c r="E7258" t="s">
        <v>138</v>
      </c>
      <c r="F7258" t="s">
        <v>70</v>
      </c>
      <c r="G7258" t="s">
        <v>48</v>
      </c>
      <c r="H7258" t="s">
        <v>49</v>
      </c>
      <c r="I7258" t="s">
        <v>62</v>
      </c>
      <c r="J7258" t="s">
        <v>11884</v>
      </c>
      <c r="K7258" t="s">
        <v>10169</v>
      </c>
      <c r="L7258" t="s">
        <v>53</v>
      </c>
      <c r="N7258" t="s">
        <v>13181</v>
      </c>
      <c r="P7258" t="s">
        <v>55</v>
      </c>
      <c r="R7258" t="s">
        <v>56</v>
      </c>
      <c r="T7258" t="s">
        <v>13182</v>
      </c>
      <c r="U7258" t="s">
        <v>55</v>
      </c>
      <c r="V7258">
        <v>4</v>
      </c>
      <c r="W7258">
        <v>1</v>
      </c>
      <c r="X7258">
        <v>2</v>
      </c>
      <c r="Y7258">
        <v>0</v>
      </c>
      <c r="Z7258">
        <v>2</v>
      </c>
      <c r="AA7258">
        <v>323.85000000000002</v>
      </c>
      <c r="AB7258">
        <v>323.85000000000002</v>
      </c>
      <c r="AC7258">
        <v>323.85000000000002</v>
      </c>
      <c r="AD7258">
        <v>0</v>
      </c>
      <c r="AE7258">
        <v>0</v>
      </c>
      <c r="AF7258">
        <v>0</v>
      </c>
      <c r="AG7258">
        <v>0</v>
      </c>
      <c r="AH7258">
        <v>0</v>
      </c>
      <c r="AI7258">
        <v>58.29</v>
      </c>
      <c r="AJ7258">
        <v>323.85000000000002</v>
      </c>
      <c r="AK7258">
        <v>0</v>
      </c>
      <c r="AL7258" t="s">
        <v>53</v>
      </c>
      <c r="AM7258" t="s">
        <v>53</v>
      </c>
      <c r="AN7258" t="s">
        <v>13183</v>
      </c>
      <c r="AO7258" t="s">
        <v>53</v>
      </c>
      <c r="AP7258" t="s">
        <v>53</v>
      </c>
    </row>
    <row r="7259" spans="2:42" x14ac:dyDescent="0.2">
      <c r="B7259" t="s">
        <v>44</v>
      </c>
      <c r="C7259" t="str">
        <f>HYPERLINK("https://us2.cloudbeds.com/connect/8493803454333002#/reservations/9080486847392994?display=3SJXKJE4KV&amp;reservation_id=9080486847392994", "3SJXKJE4KV")</f>
        <v>3SJXKJE4KV</v>
      </c>
      <c r="D7259" t="s">
        <v>45</v>
      </c>
      <c r="E7259" t="s">
        <v>69</v>
      </c>
      <c r="F7259" t="s">
        <v>70</v>
      </c>
      <c r="G7259" t="s">
        <v>48</v>
      </c>
      <c r="H7259" t="s">
        <v>49</v>
      </c>
      <c r="I7259" t="s">
        <v>62</v>
      </c>
      <c r="J7259" t="s">
        <v>11268</v>
      </c>
      <c r="K7259" t="s">
        <v>11310</v>
      </c>
      <c r="L7259" t="s">
        <v>53</v>
      </c>
      <c r="N7259" t="s">
        <v>13184</v>
      </c>
      <c r="P7259" t="s">
        <v>55</v>
      </c>
      <c r="R7259" t="s">
        <v>56</v>
      </c>
      <c r="T7259" t="s">
        <v>13185</v>
      </c>
      <c r="U7259" t="s">
        <v>55</v>
      </c>
      <c r="V7259">
        <v>1</v>
      </c>
      <c r="W7259">
        <v>1</v>
      </c>
      <c r="X7259">
        <v>1</v>
      </c>
      <c r="Y7259">
        <v>0</v>
      </c>
      <c r="Z7259">
        <v>1</v>
      </c>
      <c r="AA7259">
        <v>73.95</v>
      </c>
      <c r="AB7259">
        <v>73.95</v>
      </c>
      <c r="AC7259">
        <v>73.95</v>
      </c>
      <c r="AD7259">
        <v>0</v>
      </c>
      <c r="AE7259">
        <v>0</v>
      </c>
      <c r="AF7259">
        <v>0</v>
      </c>
      <c r="AG7259">
        <v>0</v>
      </c>
      <c r="AH7259">
        <v>0</v>
      </c>
      <c r="AI7259">
        <v>13.31</v>
      </c>
      <c r="AJ7259">
        <v>73.95</v>
      </c>
      <c r="AK7259">
        <v>0</v>
      </c>
      <c r="AL7259" t="s">
        <v>53</v>
      </c>
      <c r="AM7259" t="s">
        <v>53</v>
      </c>
      <c r="AN7259" t="s">
        <v>53</v>
      </c>
      <c r="AO7259" t="s">
        <v>53</v>
      </c>
      <c r="AP7259" t="s">
        <v>53</v>
      </c>
    </row>
    <row r="7260" spans="2:42" x14ac:dyDescent="0.2">
      <c r="B7260" t="s">
        <v>44</v>
      </c>
      <c r="C7260" t="str">
        <f>HYPERLINK("https://us2.cloudbeds.com/connect/8493803454333002#/reservations/9080486847393137?display=3SJZ9EP1V4&amp;reservation_id=9080486847393137", "3SJZ9EP1V4")</f>
        <v>3SJZ9EP1V4</v>
      </c>
      <c r="D7260" t="s">
        <v>45</v>
      </c>
      <c r="E7260" t="s">
        <v>46</v>
      </c>
      <c r="F7260" t="s">
        <v>47</v>
      </c>
      <c r="G7260" t="s">
        <v>48</v>
      </c>
      <c r="H7260" t="s">
        <v>49</v>
      </c>
      <c r="I7260" t="s">
        <v>62</v>
      </c>
      <c r="J7260" t="s">
        <v>11268</v>
      </c>
      <c r="K7260" t="s">
        <v>11310</v>
      </c>
      <c r="L7260" t="s">
        <v>53</v>
      </c>
      <c r="N7260" t="s">
        <v>13186</v>
      </c>
      <c r="P7260" t="s">
        <v>55</v>
      </c>
      <c r="R7260" t="s">
        <v>56</v>
      </c>
      <c r="T7260" t="s">
        <v>13187</v>
      </c>
      <c r="U7260" t="s">
        <v>55</v>
      </c>
      <c r="V7260">
        <v>1</v>
      </c>
      <c r="W7260">
        <v>1</v>
      </c>
      <c r="X7260">
        <v>2</v>
      </c>
      <c r="Y7260">
        <v>0</v>
      </c>
      <c r="Z7260">
        <v>2</v>
      </c>
      <c r="AA7260">
        <v>79.05</v>
      </c>
      <c r="AB7260">
        <v>79.05</v>
      </c>
      <c r="AC7260">
        <v>79.05</v>
      </c>
      <c r="AD7260">
        <v>0</v>
      </c>
      <c r="AE7260">
        <v>0</v>
      </c>
      <c r="AF7260">
        <v>0</v>
      </c>
      <c r="AG7260">
        <v>0</v>
      </c>
      <c r="AH7260">
        <v>0</v>
      </c>
      <c r="AI7260">
        <v>14.23</v>
      </c>
      <c r="AJ7260">
        <v>79.05</v>
      </c>
      <c r="AK7260">
        <v>0</v>
      </c>
      <c r="AL7260" t="s">
        <v>53</v>
      </c>
      <c r="AM7260" t="s">
        <v>53</v>
      </c>
      <c r="AN7260" t="s">
        <v>53</v>
      </c>
      <c r="AO7260" t="s">
        <v>53</v>
      </c>
      <c r="AP7260" t="s">
        <v>53</v>
      </c>
    </row>
    <row r="7261" spans="2:42" x14ac:dyDescent="0.2">
      <c r="B7261" t="s">
        <v>44</v>
      </c>
      <c r="C7261" t="str">
        <f>HYPERLINK("https://us2.cloudbeds.com/connect/8493803454333002#/reservations/9080486847393633?display=3SKDAUR1E9&amp;reservation_id=9080486847393633", "3SKDAUR1E9")</f>
        <v>3SKDAUR1E9</v>
      </c>
      <c r="D7261" t="s">
        <v>45</v>
      </c>
      <c r="E7261" t="s">
        <v>179</v>
      </c>
      <c r="F7261" t="s">
        <v>47</v>
      </c>
      <c r="G7261" t="s">
        <v>48</v>
      </c>
      <c r="H7261" t="s">
        <v>49</v>
      </c>
      <c r="I7261" t="s">
        <v>8964</v>
      </c>
      <c r="J7261" t="s">
        <v>11521</v>
      </c>
      <c r="K7261" t="s">
        <v>11482</v>
      </c>
      <c r="L7261" t="s">
        <v>53</v>
      </c>
      <c r="N7261" t="s">
        <v>13188</v>
      </c>
      <c r="P7261" t="s">
        <v>55</v>
      </c>
      <c r="R7261" t="s">
        <v>53</v>
      </c>
      <c r="T7261" t="s">
        <v>13189</v>
      </c>
      <c r="U7261" t="s">
        <v>55</v>
      </c>
      <c r="V7261">
        <v>4</v>
      </c>
      <c r="W7261">
        <v>1</v>
      </c>
      <c r="X7261">
        <v>2</v>
      </c>
      <c r="Y7261">
        <v>0</v>
      </c>
      <c r="Z7261">
        <v>2</v>
      </c>
      <c r="AA7261">
        <v>293</v>
      </c>
      <c r="AB7261">
        <v>0</v>
      </c>
      <c r="AC7261">
        <v>293</v>
      </c>
      <c r="AD7261">
        <v>0</v>
      </c>
      <c r="AE7261">
        <v>0</v>
      </c>
      <c r="AF7261">
        <v>0</v>
      </c>
      <c r="AG7261">
        <v>0</v>
      </c>
      <c r="AH7261">
        <v>0</v>
      </c>
      <c r="AI7261">
        <v>43.95</v>
      </c>
      <c r="AJ7261">
        <v>293</v>
      </c>
      <c r="AK7261">
        <v>293</v>
      </c>
      <c r="AL7261" t="s">
        <v>53</v>
      </c>
      <c r="AM7261" t="s">
        <v>53</v>
      </c>
      <c r="AN7261" t="s">
        <v>13190</v>
      </c>
      <c r="AO7261" t="s">
        <v>53</v>
      </c>
      <c r="AP7261" t="s">
        <v>53</v>
      </c>
    </row>
    <row r="7262" spans="2:42" x14ac:dyDescent="0.2">
      <c r="B7262" t="s">
        <v>44</v>
      </c>
      <c r="C7262" t="str">
        <f>HYPERLINK("https://us2.cloudbeds.com/connect/8493803454333002#/reservations/9080486847393712?display=3SKGV4FHV7&amp;reservation_id=9080486847393712", "3SKGV4FHV7")</f>
        <v>3SKGV4FHV7</v>
      </c>
      <c r="D7262" t="s">
        <v>45</v>
      </c>
      <c r="E7262" t="s">
        <v>105</v>
      </c>
      <c r="F7262" t="s">
        <v>47</v>
      </c>
      <c r="G7262" t="s">
        <v>48</v>
      </c>
      <c r="H7262" t="s">
        <v>49</v>
      </c>
      <c r="I7262" t="s">
        <v>50</v>
      </c>
      <c r="J7262" t="s">
        <v>12350</v>
      </c>
      <c r="K7262" t="s">
        <v>12144</v>
      </c>
      <c r="L7262" t="s">
        <v>53</v>
      </c>
      <c r="N7262" t="s">
        <v>13191</v>
      </c>
      <c r="P7262" t="s">
        <v>55</v>
      </c>
      <c r="R7262" t="s">
        <v>53</v>
      </c>
      <c r="T7262" t="s">
        <v>13192</v>
      </c>
      <c r="U7262" t="s">
        <v>58</v>
      </c>
      <c r="V7262">
        <v>1</v>
      </c>
      <c r="W7262">
        <v>1</v>
      </c>
      <c r="X7262">
        <v>2</v>
      </c>
      <c r="Y7262">
        <v>0</v>
      </c>
      <c r="Z7262">
        <v>2</v>
      </c>
      <c r="AA7262">
        <v>86.95</v>
      </c>
      <c r="AB7262">
        <v>86.95</v>
      </c>
      <c r="AC7262">
        <v>76.5</v>
      </c>
      <c r="AD7262">
        <v>0</v>
      </c>
      <c r="AE7262">
        <v>10.45</v>
      </c>
      <c r="AF7262">
        <v>0</v>
      </c>
      <c r="AG7262">
        <v>0</v>
      </c>
      <c r="AH7262">
        <v>0</v>
      </c>
      <c r="AI7262">
        <v>15.65</v>
      </c>
      <c r="AJ7262">
        <v>86.95</v>
      </c>
      <c r="AK7262">
        <v>0</v>
      </c>
      <c r="AL7262" t="s">
        <v>53</v>
      </c>
      <c r="AM7262" t="s">
        <v>53</v>
      </c>
      <c r="AN7262" t="s">
        <v>13193</v>
      </c>
      <c r="AO7262" t="s">
        <v>53</v>
      </c>
      <c r="AP7262" t="s">
        <v>53</v>
      </c>
    </row>
    <row r="7263" spans="2:42" x14ac:dyDescent="0.2">
      <c r="B7263" t="s">
        <v>44</v>
      </c>
      <c r="C7263" t="str">
        <f>HYPERLINK("https://us2.cloudbeds.com/connect/8493803454333002#/reservations/9080486847393713?display=3SKGYP52ZM&amp;reservation_id=9080486847393713", "3SKGYP52ZM")</f>
        <v>3SKGYP52ZM</v>
      </c>
      <c r="D7263" t="s">
        <v>45</v>
      </c>
      <c r="E7263" t="s">
        <v>185</v>
      </c>
      <c r="F7263" t="s">
        <v>47</v>
      </c>
      <c r="G7263" t="s">
        <v>48</v>
      </c>
      <c r="H7263" t="s">
        <v>49</v>
      </c>
      <c r="I7263" t="s">
        <v>50</v>
      </c>
      <c r="J7263" t="s">
        <v>12350</v>
      </c>
      <c r="K7263" t="s">
        <v>12144</v>
      </c>
      <c r="L7263" t="s">
        <v>53</v>
      </c>
      <c r="N7263" t="s">
        <v>13194</v>
      </c>
      <c r="P7263" t="s">
        <v>55</v>
      </c>
      <c r="R7263" t="s">
        <v>53</v>
      </c>
      <c r="T7263" t="s">
        <v>13195</v>
      </c>
      <c r="U7263" t="s">
        <v>58</v>
      </c>
      <c r="V7263">
        <v>1</v>
      </c>
      <c r="W7263">
        <v>1</v>
      </c>
      <c r="X7263">
        <v>1</v>
      </c>
      <c r="Y7263">
        <v>0</v>
      </c>
      <c r="Z7263">
        <v>1</v>
      </c>
      <c r="AA7263">
        <v>86.95</v>
      </c>
      <c r="AB7263">
        <v>86.95</v>
      </c>
      <c r="AC7263">
        <v>76.5</v>
      </c>
      <c r="AD7263">
        <v>0</v>
      </c>
      <c r="AE7263">
        <v>10.45</v>
      </c>
      <c r="AF7263">
        <v>0</v>
      </c>
      <c r="AG7263">
        <v>0</v>
      </c>
      <c r="AH7263">
        <v>0</v>
      </c>
      <c r="AI7263">
        <v>15.65</v>
      </c>
      <c r="AJ7263">
        <v>86.95</v>
      </c>
      <c r="AK7263">
        <v>0</v>
      </c>
      <c r="AL7263" t="s">
        <v>53</v>
      </c>
      <c r="AM7263" t="s">
        <v>53</v>
      </c>
      <c r="AN7263" t="s">
        <v>13196</v>
      </c>
      <c r="AO7263" t="s">
        <v>53</v>
      </c>
      <c r="AP7263" t="s">
        <v>53</v>
      </c>
    </row>
    <row r="7264" spans="2:42" x14ac:dyDescent="0.2">
      <c r="B7264" t="s">
        <v>44</v>
      </c>
      <c r="C7264" t="str">
        <f>HYPERLINK("https://us2.cloudbeds.com/connect/8493803454333002#/reservations/9080486847394107?display=3SY4K17ABU&amp;reservation_id=9080486847394107", "3SY4K17ABU")</f>
        <v>3SY4K17ABU</v>
      </c>
      <c r="D7264" t="s">
        <v>45</v>
      </c>
      <c r="E7264" t="s">
        <v>373</v>
      </c>
      <c r="F7264" t="s">
        <v>47</v>
      </c>
      <c r="G7264" t="s">
        <v>48</v>
      </c>
      <c r="H7264" t="s">
        <v>49</v>
      </c>
      <c r="I7264" t="s">
        <v>62</v>
      </c>
      <c r="J7264" t="s">
        <v>11884</v>
      </c>
      <c r="K7264" t="s">
        <v>12144</v>
      </c>
      <c r="L7264" t="s">
        <v>53</v>
      </c>
      <c r="N7264" t="s">
        <v>13197</v>
      </c>
      <c r="P7264" t="s">
        <v>55</v>
      </c>
      <c r="R7264" t="s">
        <v>56</v>
      </c>
      <c r="T7264" t="s">
        <v>13198</v>
      </c>
      <c r="U7264" t="s">
        <v>55</v>
      </c>
      <c r="V7264">
        <v>2</v>
      </c>
      <c r="W7264">
        <v>1</v>
      </c>
      <c r="X7264">
        <v>1</v>
      </c>
      <c r="Y7264">
        <v>0</v>
      </c>
      <c r="Z7264">
        <v>1</v>
      </c>
      <c r="AA7264">
        <v>144.5</v>
      </c>
      <c r="AB7264">
        <v>144.5</v>
      </c>
      <c r="AC7264">
        <v>144.5</v>
      </c>
      <c r="AD7264">
        <v>0</v>
      </c>
      <c r="AE7264">
        <v>0</v>
      </c>
      <c r="AF7264">
        <v>0</v>
      </c>
      <c r="AG7264">
        <v>0</v>
      </c>
      <c r="AH7264">
        <v>0</v>
      </c>
      <c r="AI7264">
        <v>26.01</v>
      </c>
      <c r="AJ7264">
        <v>144.5</v>
      </c>
      <c r="AK7264">
        <v>0</v>
      </c>
      <c r="AL7264" t="s">
        <v>53</v>
      </c>
      <c r="AM7264" t="s">
        <v>53</v>
      </c>
      <c r="AN7264" t="s">
        <v>53</v>
      </c>
      <c r="AO7264" t="s">
        <v>53</v>
      </c>
      <c r="AP7264" t="s">
        <v>53</v>
      </c>
    </row>
    <row r="7265" spans="2:42" x14ac:dyDescent="0.2">
      <c r="B7265" t="s">
        <v>44</v>
      </c>
      <c r="C7265" t="str">
        <f>HYPERLINK("https://us2.cloudbeds.com/connect/8493803454333002#/reservations/9080486847394116?display=3SY5JSUNT6&amp;reservation_id=9080486847394116", "3SY5JSUNT6")</f>
        <v>3SY5JSUNT6</v>
      </c>
      <c r="D7265" t="s">
        <v>45</v>
      </c>
      <c r="E7265" t="s">
        <v>13199</v>
      </c>
      <c r="F7265" t="s">
        <v>5444</v>
      </c>
      <c r="G7265" t="s">
        <v>48</v>
      </c>
      <c r="H7265" t="s">
        <v>49</v>
      </c>
      <c r="I7265" t="s">
        <v>50</v>
      </c>
      <c r="J7265" t="s">
        <v>11884</v>
      </c>
      <c r="K7265" t="s">
        <v>10169</v>
      </c>
      <c r="L7265" t="s">
        <v>53</v>
      </c>
      <c r="N7265" t="s">
        <v>13200</v>
      </c>
      <c r="P7265" t="s">
        <v>55</v>
      </c>
      <c r="R7265" t="s">
        <v>56</v>
      </c>
      <c r="T7265" t="s">
        <v>13201</v>
      </c>
      <c r="U7265" t="s">
        <v>58</v>
      </c>
      <c r="V7265">
        <v>4</v>
      </c>
      <c r="W7265">
        <v>2</v>
      </c>
      <c r="X7265">
        <v>2</v>
      </c>
      <c r="Y7265">
        <v>0</v>
      </c>
      <c r="Z7265">
        <v>2</v>
      </c>
      <c r="AA7265">
        <v>413.48</v>
      </c>
      <c r="AB7265">
        <v>413.48</v>
      </c>
      <c r="AC7265">
        <v>363.8</v>
      </c>
      <c r="AD7265">
        <v>0</v>
      </c>
      <c r="AE7265">
        <v>49.68</v>
      </c>
      <c r="AF7265">
        <v>0</v>
      </c>
      <c r="AG7265">
        <v>0</v>
      </c>
      <c r="AH7265">
        <v>0</v>
      </c>
      <c r="AI7265">
        <v>74.430000000000007</v>
      </c>
      <c r="AJ7265">
        <v>413.48</v>
      </c>
      <c r="AK7265">
        <v>0</v>
      </c>
      <c r="AL7265" t="s">
        <v>53</v>
      </c>
      <c r="AM7265" t="s">
        <v>53</v>
      </c>
      <c r="AN7265" t="s">
        <v>13202</v>
      </c>
      <c r="AO7265" t="s">
        <v>53</v>
      </c>
      <c r="AP7265" t="s">
        <v>53</v>
      </c>
    </row>
    <row r="7266" spans="2:42" x14ac:dyDescent="0.2">
      <c r="B7266" t="s">
        <v>44</v>
      </c>
      <c r="C7266" t="str">
        <f>HYPERLINK("https://us2.cloudbeds.com/connect/8493803454333002#/reservations/9080486847394163?display=3SY7U9NRX0&amp;reservation_id=9080486847394163", "3SY7U9NRX0")</f>
        <v>3SY7U9NRX0</v>
      </c>
      <c r="D7266" t="s">
        <v>45</v>
      </c>
      <c r="E7266" t="s">
        <v>121</v>
      </c>
      <c r="F7266" t="s">
        <v>86</v>
      </c>
      <c r="G7266" t="s">
        <v>48</v>
      </c>
      <c r="H7266" t="s">
        <v>49</v>
      </c>
      <c r="I7266" t="s">
        <v>62</v>
      </c>
      <c r="J7266" t="s">
        <v>11310</v>
      </c>
      <c r="K7266" t="s">
        <v>11804</v>
      </c>
      <c r="L7266" t="s">
        <v>53</v>
      </c>
      <c r="N7266" t="s">
        <v>13203</v>
      </c>
      <c r="P7266" t="s">
        <v>55</v>
      </c>
      <c r="R7266" t="s">
        <v>66</v>
      </c>
      <c r="T7266" t="s">
        <v>13204</v>
      </c>
      <c r="U7266" t="s">
        <v>55</v>
      </c>
      <c r="V7266">
        <v>1</v>
      </c>
      <c r="W7266">
        <v>1</v>
      </c>
      <c r="X7266">
        <v>3</v>
      </c>
      <c r="Y7266">
        <v>0</v>
      </c>
      <c r="Z7266">
        <v>3</v>
      </c>
      <c r="AA7266">
        <v>111.35</v>
      </c>
      <c r="AB7266">
        <v>111.35</v>
      </c>
      <c r="AC7266">
        <v>111.35</v>
      </c>
      <c r="AD7266">
        <v>0</v>
      </c>
      <c r="AE7266">
        <v>0</v>
      </c>
      <c r="AF7266">
        <v>0</v>
      </c>
      <c r="AG7266">
        <v>0</v>
      </c>
      <c r="AH7266">
        <v>0</v>
      </c>
      <c r="AI7266">
        <v>20.04</v>
      </c>
      <c r="AJ7266">
        <v>111.35</v>
      </c>
      <c r="AK7266">
        <v>0</v>
      </c>
      <c r="AL7266" t="s">
        <v>53</v>
      </c>
      <c r="AM7266" t="s">
        <v>53</v>
      </c>
      <c r="AN7266" t="s">
        <v>53</v>
      </c>
      <c r="AO7266" t="s">
        <v>53</v>
      </c>
      <c r="AP7266" t="s">
        <v>53</v>
      </c>
    </row>
    <row r="7267" spans="2:42" x14ac:dyDescent="0.2">
      <c r="B7267" t="s">
        <v>44</v>
      </c>
      <c r="C7267" t="str">
        <f>HYPERLINK("https://us2.cloudbeds.com/connect/8493803454333002#/reservations/9080486847394301?display=3SYEQ1CDSC&amp;reservation_id=9080486847394301", "3SYEQ1CDSC")</f>
        <v>3SYEQ1CDSC</v>
      </c>
      <c r="D7267" t="s">
        <v>45</v>
      </c>
      <c r="E7267" t="s">
        <v>110</v>
      </c>
      <c r="F7267" t="s">
        <v>47</v>
      </c>
      <c r="G7267" t="s">
        <v>48</v>
      </c>
      <c r="H7267" t="s">
        <v>49</v>
      </c>
      <c r="I7267" t="s">
        <v>62</v>
      </c>
      <c r="J7267" t="s">
        <v>13140</v>
      </c>
      <c r="K7267" t="s">
        <v>12421</v>
      </c>
      <c r="L7267" t="s">
        <v>53</v>
      </c>
      <c r="N7267" t="s">
        <v>13205</v>
      </c>
      <c r="P7267" t="s">
        <v>55</v>
      </c>
      <c r="R7267" t="s">
        <v>56</v>
      </c>
      <c r="T7267" t="s">
        <v>13206</v>
      </c>
      <c r="U7267" t="s">
        <v>55</v>
      </c>
      <c r="V7267">
        <v>1</v>
      </c>
      <c r="W7267">
        <v>1</v>
      </c>
      <c r="X7267">
        <v>2</v>
      </c>
      <c r="Y7267">
        <v>0</v>
      </c>
      <c r="Z7267">
        <v>2</v>
      </c>
      <c r="AA7267">
        <v>80.75</v>
      </c>
      <c r="AB7267">
        <v>80.75</v>
      </c>
      <c r="AC7267">
        <v>80.75</v>
      </c>
      <c r="AD7267">
        <v>0</v>
      </c>
      <c r="AE7267">
        <v>0</v>
      </c>
      <c r="AF7267">
        <v>0</v>
      </c>
      <c r="AG7267">
        <v>0</v>
      </c>
      <c r="AH7267">
        <v>0</v>
      </c>
      <c r="AI7267">
        <v>14.54</v>
      </c>
      <c r="AJ7267">
        <v>80.75</v>
      </c>
      <c r="AK7267">
        <v>0</v>
      </c>
      <c r="AL7267" t="s">
        <v>53</v>
      </c>
      <c r="AM7267" t="s">
        <v>53</v>
      </c>
      <c r="AN7267" t="s">
        <v>13207</v>
      </c>
      <c r="AO7267" t="s">
        <v>53</v>
      </c>
      <c r="AP7267" t="s">
        <v>53</v>
      </c>
    </row>
    <row r="7268" spans="2:42" x14ac:dyDescent="0.2">
      <c r="B7268" t="s">
        <v>44</v>
      </c>
      <c r="C7268" t="str">
        <f>HYPERLINK("https://us2.cloudbeds.com/connect/8493803454333002#/reservations/9080486847394378?display=3SYK4Y0CRR&amp;reservation_id=9080486847394378", "3SYK4Y0CRR")</f>
        <v>3SYK4Y0CRR</v>
      </c>
      <c r="D7268" t="s">
        <v>45</v>
      </c>
      <c r="E7268" t="s">
        <v>92</v>
      </c>
      <c r="F7268" t="s">
        <v>86</v>
      </c>
      <c r="G7268" t="s">
        <v>48</v>
      </c>
      <c r="H7268" t="s">
        <v>49</v>
      </c>
      <c r="I7268" t="s">
        <v>62</v>
      </c>
      <c r="J7268" t="s">
        <v>11310</v>
      </c>
      <c r="K7268" t="s">
        <v>11804</v>
      </c>
      <c r="L7268" t="s">
        <v>53</v>
      </c>
      <c r="N7268" t="s">
        <v>13208</v>
      </c>
      <c r="P7268" t="s">
        <v>55</v>
      </c>
      <c r="R7268" t="s">
        <v>56</v>
      </c>
      <c r="T7268" t="s">
        <v>13209</v>
      </c>
      <c r="U7268" t="s">
        <v>55</v>
      </c>
      <c r="V7268">
        <v>1</v>
      </c>
      <c r="W7268">
        <v>1</v>
      </c>
      <c r="X7268">
        <v>3</v>
      </c>
      <c r="Y7268">
        <v>0</v>
      </c>
      <c r="Z7268">
        <v>3</v>
      </c>
      <c r="AA7268">
        <v>111.35</v>
      </c>
      <c r="AB7268">
        <v>111.35</v>
      </c>
      <c r="AC7268">
        <v>111.35</v>
      </c>
      <c r="AD7268">
        <v>0</v>
      </c>
      <c r="AE7268">
        <v>0</v>
      </c>
      <c r="AF7268">
        <v>0</v>
      </c>
      <c r="AG7268">
        <v>0</v>
      </c>
      <c r="AH7268">
        <v>0</v>
      </c>
      <c r="AI7268">
        <v>20.04</v>
      </c>
      <c r="AJ7268">
        <v>111.35</v>
      </c>
      <c r="AK7268">
        <v>0</v>
      </c>
      <c r="AL7268" t="s">
        <v>53</v>
      </c>
      <c r="AM7268" t="s">
        <v>53</v>
      </c>
      <c r="AN7268" t="s">
        <v>53</v>
      </c>
      <c r="AO7268" t="s">
        <v>53</v>
      </c>
      <c r="AP7268" t="s">
        <v>53</v>
      </c>
    </row>
    <row r="7269" spans="2:42" x14ac:dyDescent="0.2">
      <c r="B7269" t="s">
        <v>44</v>
      </c>
      <c r="C7269" t="str">
        <f>HYPERLINK("https://us2.cloudbeds.com/connect/8493803454333002#/reservations/9080486847394402?display=3SYYF039G0&amp;reservation_id=9080486847394402", "3SYYF039G0")</f>
        <v>3SYYF039G0</v>
      </c>
      <c r="D7269" t="s">
        <v>45</v>
      </c>
      <c r="E7269" t="s">
        <v>46</v>
      </c>
      <c r="F7269" t="s">
        <v>47</v>
      </c>
      <c r="G7269" t="s">
        <v>48</v>
      </c>
      <c r="H7269" t="s">
        <v>49</v>
      </c>
      <c r="I7269" t="s">
        <v>62</v>
      </c>
      <c r="J7269" t="s">
        <v>12350</v>
      </c>
      <c r="K7269" t="s">
        <v>12144</v>
      </c>
      <c r="L7269" t="s">
        <v>53</v>
      </c>
      <c r="N7269" t="s">
        <v>13210</v>
      </c>
      <c r="P7269" t="s">
        <v>55</v>
      </c>
      <c r="R7269" t="s">
        <v>56</v>
      </c>
      <c r="T7269" t="s">
        <v>13211</v>
      </c>
      <c r="U7269" t="s">
        <v>55</v>
      </c>
      <c r="V7269">
        <v>1</v>
      </c>
      <c r="W7269">
        <v>1</v>
      </c>
      <c r="X7269">
        <v>2</v>
      </c>
      <c r="Y7269">
        <v>0</v>
      </c>
      <c r="Z7269">
        <v>2</v>
      </c>
      <c r="AA7269">
        <v>72.25</v>
      </c>
      <c r="AB7269">
        <v>72.25</v>
      </c>
      <c r="AC7269">
        <v>72.25</v>
      </c>
      <c r="AD7269">
        <v>0</v>
      </c>
      <c r="AE7269">
        <v>0</v>
      </c>
      <c r="AF7269">
        <v>0</v>
      </c>
      <c r="AG7269">
        <v>0</v>
      </c>
      <c r="AH7269">
        <v>0</v>
      </c>
      <c r="AI7269">
        <v>13.01</v>
      </c>
      <c r="AJ7269">
        <v>72.25</v>
      </c>
      <c r="AK7269">
        <v>0</v>
      </c>
      <c r="AL7269" t="s">
        <v>53</v>
      </c>
      <c r="AM7269" t="s">
        <v>53</v>
      </c>
      <c r="AN7269" t="s">
        <v>53</v>
      </c>
      <c r="AO7269" t="s">
        <v>53</v>
      </c>
      <c r="AP7269" t="s">
        <v>53</v>
      </c>
    </row>
    <row r="7270" spans="2:42" x14ac:dyDescent="0.2">
      <c r="B7270" t="s">
        <v>44</v>
      </c>
      <c r="C7270" t="str">
        <f>HYPERLINK("https://us2.cloudbeds.com/connect/8493803454333002#/reservations/9080486847394449?display=3SYZND1S00&amp;reservation_id=9080486847394449", "3SYZND1S00")</f>
        <v>3SYZND1S00</v>
      </c>
      <c r="D7270" t="s">
        <v>45</v>
      </c>
      <c r="E7270" t="s">
        <v>223</v>
      </c>
      <c r="F7270" t="s">
        <v>47</v>
      </c>
      <c r="G7270" t="s">
        <v>48</v>
      </c>
      <c r="H7270" t="s">
        <v>49</v>
      </c>
      <c r="I7270" t="s">
        <v>62</v>
      </c>
      <c r="J7270" t="s">
        <v>12441</v>
      </c>
      <c r="K7270" t="s">
        <v>13140</v>
      </c>
      <c r="L7270" t="s">
        <v>53</v>
      </c>
      <c r="N7270" t="s">
        <v>13212</v>
      </c>
      <c r="P7270" t="s">
        <v>55</v>
      </c>
      <c r="R7270" t="s">
        <v>56</v>
      </c>
      <c r="T7270" t="s">
        <v>13213</v>
      </c>
      <c r="U7270" t="s">
        <v>55</v>
      </c>
      <c r="V7270">
        <v>1</v>
      </c>
      <c r="W7270">
        <v>1</v>
      </c>
      <c r="X7270">
        <v>2</v>
      </c>
      <c r="Y7270">
        <v>0</v>
      </c>
      <c r="Z7270">
        <v>2</v>
      </c>
      <c r="AA7270">
        <v>113.86</v>
      </c>
      <c r="AB7270">
        <v>113.86</v>
      </c>
      <c r="AC7270">
        <v>113.86</v>
      </c>
      <c r="AD7270">
        <v>0</v>
      </c>
      <c r="AE7270">
        <v>0</v>
      </c>
      <c r="AF7270">
        <v>0</v>
      </c>
      <c r="AG7270">
        <v>0</v>
      </c>
      <c r="AH7270">
        <v>0</v>
      </c>
      <c r="AI7270">
        <v>20.49</v>
      </c>
      <c r="AJ7270">
        <v>113.86</v>
      </c>
      <c r="AK7270">
        <v>0</v>
      </c>
      <c r="AL7270" t="s">
        <v>53</v>
      </c>
      <c r="AM7270" t="s">
        <v>53</v>
      </c>
      <c r="AN7270" t="s">
        <v>53</v>
      </c>
      <c r="AO7270" t="s">
        <v>53</v>
      </c>
      <c r="AP7270" t="s">
        <v>53</v>
      </c>
    </row>
    <row r="7271" spans="2:42" x14ac:dyDescent="0.2">
      <c r="B7271" t="s">
        <v>44</v>
      </c>
      <c r="C7271" t="str">
        <f>HYPERLINK("https://us2.cloudbeds.com/connect/8493803454333002#/reservations/9080486847394693?display=3SM4UA9T0U&amp;reservation_id=9080486847394693", "3SM4UA9T0U")</f>
        <v>3SM4UA9T0U</v>
      </c>
      <c r="D7271" t="s">
        <v>45</v>
      </c>
      <c r="E7271" t="s">
        <v>98</v>
      </c>
      <c r="F7271" t="s">
        <v>86</v>
      </c>
      <c r="G7271" t="s">
        <v>48</v>
      </c>
      <c r="H7271" t="s">
        <v>49</v>
      </c>
      <c r="I7271" t="s">
        <v>50</v>
      </c>
      <c r="J7271" t="s">
        <v>10170</v>
      </c>
      <c r="K7271" t="s">
        <v>12441</v>
      </c>
      <c r="L7271" t="s">
        <v>53</v>
      </c>
      <c r="N7271" t="s">
        <v>13214</v>
      </c>
      <c r="P7271" t="s">
        <v>55</v>
      </c>
      <c r="R7271" t="s">
        <v>53</v>
      </c>
      <c r="T7271" t="s">
        <v>13215</v>
      </c>
      <c r="U7271" t="s">
        <v>58</v>
      </c>
      <c r="V7271">
        <v>3</v>
      </c>
      <c r="W7271">
        <v>1</v>
      </c>
      <c r="X7271">
        <v>2</v>
      </c>
      <c r="Y7271">
        <v>1</v>
      </c>
      <c r="Z7271">
        <v>3</v>
      </c>
      <c r="AA7271">
        <v>462.96</v>
      </c>
      <c r="AB7271">
        <v>462.96</v>
      </c>
      <c r="AC7271">
        <v>407.36</v>
      </c>
      <c r="AD7271">
        <v>0</v>
      </c>
      <c r="AE7271">
        <v>55.6</v>
      </c>
      <c r="AF7271">
        <v>0</v>
      </c>
      <c r="AG7271">
        <v>0</v>
      </c>
      <c r="AH7271">
        <v>0</v>
      </c>
      <c r="AI7271">
        <v>83.33</v>
      </c>
      <c r="AJ7271">
        <v>462.96</v>
      </c>
      <c r="AK7271">
        <v>0</v>
      </c>
      <c r="AL7271" t="s">
        <v>53</v>
      </c>
      <c r="AM7271" t="s">
        <v>53</v>
      </c>
      <c r="AN7271" t="s">
        <v>13216</v>
      </c>
      <c r="AO7271" t="s">
        <v>53</v>
      </c>
      <c r="AP7271" t="s">
        <v>53</v>
      </c>
    </row>
    <row r="7272" spans="2:42" x14ac:dyDescent="0.2">
      <c r="B7272" t="s">
        <v>44</v>
      </c>
      <c r="C7272" t="str">
        <f>HYPERLINK("https://us2.cloudbeds.com/connect/8493803454333002#/reservations/9080486847395039?display=3SMPDUY8EV&amp;reservation_id=9080486847395039", "3SMPDUY8EV")</f>
        <v>3SMPDUY8EV</v>
      </c>
      <c r="D7272" t="s">
        <v>45</v>
      </c>
      <c r="E7272" t="s">
        <v>69</v>
      </c>
      <c r="F7272" t="s">
        <v>70</v>
      </c>
      <c r="G7272" t="s">
        <v>48</v>
      </c>
      <c r="H7272" t="s">
        <v>49</v>
      </c>
      <c r="I7272" t="s">
        <v>62</v>
      </c>
      <c r="J7272" t="s">
        <v>11310</v>
      </c>
      <c r="K7272" t="s">
        <v>11804</v>
      </c>
      <c r="L7272" t="s">
        <v>53</v>
      </c>
      <c r="N7272" t="s">
        <v>13217</v>
      </c>
      <c r="P7272" t="s">
        <v>55</v>
      </c>
      <c r="R7272" t="s">
        <v>56</v>
      </c>
      <c r="T7272" t="s">
        <v>13218</v>
      </c>
      <c r="U7272" t="s">
        <v>55</v>
      </c>
      <c r="V7272">
        <v>1</v>
      </c>
      <c r="W7272">
        <v>1</v>
      </c>
      <c r="X7272">
        <v>2</v>
      </c>
      <c r="Y7272">
        <v>0</v>
      </c>
      <c r="Z7272">
        <v>2</v>
      </c>
      <c r="AA7272">
        <v>67.150000000000006</v>
      </c>
      <c r="AB7272">
        <v>67.150000000000006</v>
      </c>
      <c r="AC7272">
        <v>67.150000000000006</v>
      </c>
      <c r="AD7272">
        <v>0</v>
      </c>
      <c r="AE7272">
        <v>0</v>
      </c>
      <c r="AF7272">
        <v>0</v>
      </c>
      <c r="AG7272">
        <v>0</v>
      </c>
      <c r="AH7272">
        <v>0</v>
      </c>
      <c r="AI7272">
        <v>12.09</v>
      </c>
      <c r="AJ7272">
        <v>67.150000000000006</v>
      </c>
      <c r="AK7272">
        <v>0</v>
      </c>
      <c r="AL7272" t="s">
        <v>53</v>
      </c>
      <c r="AM7272" t="s">
        <v>53</v>
      </c>
      <c r="AN7272" t="s">
        <v>13219</v>
      </c>
      <c r="AO7272" t="s">
        <v>53</v>
      </c>
      <c r="AP7272" t="s">
        <v>53</v>
      </c>
    </row>
    <row r="7273" spans="2:42" x14ac:dyDescent="0.2">
      <c r="B7273" t="s">
        <v>44</v>
      </c>
      <c r="C7273" t="str">
        <f>HYPERLINK("https://us2.cloudbeds.com/connect/8493803454333002#/reservations/9080486847396420?display=3SZYW5U74U&amp;reservation_id=9080486847396420", "3SZYW5U74U")</f>
        <v>3SZYW5U74U</v>
      </c>
      <c r="D7273" t="s">
        <v>45</v>
      </c>
      <c r="E7273" t="s">
        <v>46</v>
      </c>
      <c r="F7273" t="s">
        <v>47</v>
      </c>
      <c r="G7273" t="s">
        <v>48</v>
      </c>
      <c r="H7273" t="s">
        <v>49</v>
      </c>
      <c r="I7273" t="s">
        <v>50</v>
      </c>
      <c r="J7273" t="s">
        <v>11884</v>
      </c>
      <c r="K7273" t="s">
        <v>12350</v>
      </c>
      <c r="L7273" t="s">
        <v>53</v>
      </c>
      <c r="N7273" t="s">
        <v>13220</v>
      </c>
      <c r="P7273" t="s">
        <v>55</v>
      </c>
      <c r="R7273" t="s">
        <v>53</v>
      </c>
      <c r="T7273" t="s">
        <v>13221</v>
      </c>
      <c r="U7273" t="s">
        <v>58</v>
      </c>
      <c r="V7273">
        <v>1</v>
      </c>
      <c r="W7273">
        <v>1</v>
      </c>
      <c r="X7273">
        <v>2</v>
      </c>
      <c r="Y7273">
        <v>0</v>
      </c>
      <c r="Z7273">
        <v>2</v>
      </c>
      <c r="AA7273">
        <v>86.95</v>
      </c>
      <c r="AB7273">
        <v>86.95</v>
      </c>
      <c r="AC7273">
        <v>76.5</v>
      </c>
      <c r="AD7273">
        <v>0</v>
      </c>
      <c r="AE7273">
        <v>10.45</v>
      </c>
      <c r="AF7273">
        <v>0</v>
      </c>
      <c r="AG7273">
        <v>0</v>
      </c>
      <c r="AH7273">
        <v>0</v>
      </c>
      <c r="AI7273">
        <v>15.65</v>
      </c>
      <c r="AJ7273">
        <v>86.95</v>
      </c>
      <c r="AK7273">
        <v>0</v>
      </c>
      <c r="AL7273" t="s">
        <v>53</v>
      </c>
      <c r="AM7273" t="s">
        <v>53</v>
      </c>
      <c r="AN7273" t="s">
        <v>53</v>
      </c>
      <c r="AO7273" t="s">
        <v>53</v>
      </c>
      <c r="AP7273" t="s">
        <v>53</v>
      </c>
    </row>
    <row r="7274" spans="2:42" x14ac:dyDescent="0.2">
      <c r="B7274" t="s">
        <v>44</v>
      </c>
      <c r="C7274" t="str">
        <f>HYPERLINK("https://us2.cloudbeds.com/connect/8493803454333002#/reservations/9080486847396621?display=3SZSTEH4XR&amp;reservation_id=9080486847396621", "3SZSTEH4XR")</f>
        <v>3SZSTEH4XR</v>
      </c>
      <c r="D7274" t="s">
        <v>45</v>
      </c>
      <c r="E7274" t="s">
        <v>110</v>
      </c>
      <c r="F7274" t="s">
        <v>47</v>
      </c>
      <c r="G7274" t="s">
        <v>48</v>
      </c>
      <c r="H7274" t="s">
        <v>49</v>
      </c>
      <c r="I7274" t="s">
        <v>50</v>
      </c>
      <c r="J7274" t="s">
        <v>11310</v>
      </c>
      <c r="K7274" t="s">
        <v>11804</v>
      </c>
      <c r="L7274" t="s">
        <v>53</v>
      </c>
      <c r="N7274" t="s">
        <v>13222</v>
      </c>
      <c r="P7274" t="s">
        <v>55</v>
      </c>
      <c r="R7274" t="s">
        <v>53</v>
      </c>
      <c r="T7274" t="s">
        <v>13223</v>
      </c>
      <c r="U7274" t="s">
        <v>58</v>
      </c>
      <c r="V7274">
        <v>1</v>
      </c>
      <c r="W7274">
        <v>1</v>
      </c>
      <c r="X7274">
        <v>1</v>
      </c>
      <c r="Y7274">
        <v>0</v>
      </c>
      <c r="Z7274">
        <v>1</v>
      </c>
      <c r="AA7274">
        <v>96.14</v>
      </c>
      <c r="AB7274">
        <v>96.14</v>
      </c>
      <c r="AC7274">
        <v>84.6</v>
      </c>
      <c r="AD7274">
        <v>0</v>
      </c>
      <c r="AE7274">
        <v>11.54</v>
      </c>
      <c r="AF7274">
        <v>0</v>
      </c>
      <c r="AG7274">
        <v>0</v>
      </c>
      <c r="AH7274">
        <v>0</v>
      </c>
      <c r="AI7274">
        <v>17.309999999999999</v>
      </c>
      <c r="AJ7274">
        <v>96.14</v>
      </c>
      <c r="AK7274">
        <v>0</v>
      </c>
      <c r="AL7274" t="s">
        <v>53</v>
      </c>
      <c r="AM7274" t="s">
        <v>53</v>
      </c>
      <c r="AN7274" t="s">
        <v>53</v>
      </c>
      <c r="AO7274" t="s">
        <v>53</v>
      </c>
      <c r="AP7274" t="s">
        <v>53</v>
      </c>
    </row>
    <row r="7275" spans="2:42" x14ac:dyDescent="0.2">
      <c r="B7275" t="s">
        <v>44</v>
      </c>
      <c r="C7275" t="str">
        <f>HYPERLINK("https://us2.cloudbeds.com/connect/8493803454333002#/reservations/9080486847396661?display=3SZUN3ABN9&amp;reservation_id=9080486847396661", "3SZUN3ABN9")</f>
        <v>3SZUN3ABN9</v>
      </c>
      <c r="D7275" t="s">
        <v>45</v>
      </c>
      <c r="E7275" t="s">
        <v>128</v>
      </c>
      <c r="F7275" t="s">
        <v>86</v>
      </c>
      <c r="G7275" t="s">
        <v>48</v>
      </c>
      <c r="H7275" t="s">
        <v>49</v>
      </c>
      <c r="I7275" t="s">
        <v>62</v>
      </c>
      <c r="J7275" t="s">
        <v>10170</v>
      </c>
      <c r="K7275" t="s">
        <v>12420</v>
      </c>
      <c r="L7275" t="s">
        <v>53</v>
      </c>
      <c r="N7275" t="s">
        <v>13224</v>
      </c>
      <c r="P7275" t="s">
        <v>55</v>
      </c>
      <c r="R7275" t="s">
        <v>56</v>
      </c>
      <c r="T7275" t="s">
        <v>13225</v>
      </c>
      <c r="U7275" t="s">
        <v>55</v>
      </c>
      <c r="V7275">
        <v>2</v>
      </c>
      <c r="W7275">
        <v>1</v>
      </c>
      <c r="X7275">
        <v>2</v>
      </c>
      <c r="Y7275">
        <v>1</v>
      </c>
      <c r="Z7275">
        <v>3</v>
      </c>
      <c r="AA7275">
        <v>298.35000000000002</v>
      </c>
      <c r="AB7275">
        <v>298.35000000000002</v>
      </c>
      <c r="AC7275">
        <v>298.35000000000002</v>
      </c>
      <c r="AD7275">
        <v>0</v>
      </c>
      <c r="AE7275">
        <v>0</v>
      </c>
      <c r="AF7275">
        <v>0</v>
      </c>
      <c r="AG7275">
        <v>0</v>
      </c>
      <c r="AH7275">
        <v>0</v>
      </c>
      <c r="AI7275">
        <v>53.7</v>
      </c>
      <c r="AJ7275">
        <v>298.35000000000002</v>
      </c>
      <c r="AK7275">
        <v>0</v>
      </c>
      <c r="AL7275" t="s">
        <v>53</v>
      </c>
      <c r="AM7275" t="s">
        <v>53</v>
      </c>
      <c r="AN7275" t="s">
        <v>13226</v>
      </c>
      <c r="AO7275" t="s">
        <v>53</v>
      </c>
      <c r="AP7275" t="s">
        <v>53</v>
      </c>
    </row>
    <row r="7276" spans="2:42" x14ac:dyDescent="0.2">
      <c r="B7276" t="s">
        <v>44</v>
      </c>
      <c r="C7276" t="str">
        <f>HYPERLINK("https://us2.cloudbeds.com/connect/8493803454333002#/reservations/179685201649868?display=3SP4HCX6P1&amp;reservation_id=179685201649868", "3SP4HCX6P1")</f>
        <v>3SP4HCX6P1</v>
      </c>
      <c r="D7276" t="s">
        <v>45</v>
      </c>
      <c r="E7276" t="s">
        <v>406</v>
      </c>
      <c r="F7276" t="s">
        <v>61</v>
      </c>
      <c r="G7276" t="s">
        <v>48</v>
      </c>
      <c r="H7276" t="s">
        <v>3957</v>
      </c>
      <c r="I7276" t="s">
        <v>3989</v>
      </c>
      <c r="J7276" t="s">
        <v>11310</v>
      </c>
      <c r="K7276" t="s">
        <v>11521</v>
      </c>
      <c r="L7276" t="s">
        <v>53</v>
      </c>
      <c r="P7276" t="s">
        <v>55</v>
      </c>
      <c r="R7276" t="s">
        <v>56</v>
      </c>
      <c r="T7276" t="s">
        <v>13227</v>
      </c>
      <c r="U7276" t="s">
        <v>58</v>
      </c>
      <c r="V7276">
        <v>2</v>
      </c>
      <c r="W7276">
        <v>1</v>
      </c>
      <c r="X7276">
        <v>1</v>
      </c>
      <c r="Y7276">
        <v>0</v>
      </c>
      <c r="Z7276">
        <v>1</v>
      </c>
      <c r="AA7276">
        <v>246.63</v>
      </c>
      <c r="AB7276">
        <v>493.26</v>
      </c>
      <c r="AC7276">
        <v>217</v>
      </c>
      <c r="AD7276">
        <v>0</v>
      </c>
      <c r="AE7276">
        <v>29.63</v>
      </c>
      <c r="AF7276">
        <v>0</v>
      </c>
      <c r="AG7276">
        <v>0</v>
      </c>
      <c r="AH7276">
        <v>0</v>
      </c>
      <c r="AI7276">
        <v>0</v>
      </c>
      <c r="AJ7276">
        <v>246.63</v>
      </c>
      <c r="AK7276">
        <v>0</v>
      </c>
      <c r="AL7276" t="s">
        <v>53</v>
      </c>
      <c r="AM7276" t="s">
        <v>53</v>
      </c>
      <c r="AN7276" t="s">
        <v>13228</v>
      </c>
      <c r="AO7276" t="s">
        <v>53</v>
      </c>
      <c r="AP7276" t="s">
        <v>53</v>
      </c>
    </row>
    <row r="7277" spans="2:42" x14ac:dyDescent="0.2">
      <c r="B7277" t="s">
        <v>44</v>
      </c>
      <c r="C7277" t="str">
        <f>HYPERLINK("https://us2.cloudbeds.com/connect/8493803454333002#/reservations/9080486847396908?display=3SP682YF5H&amp;reservation_id=9080486847396908", "3SP682YF5H")</f>
        <v>3SP682YF5H</v>
      </c>
      <c r="D7277" t="s">
        <v>45</v>
      </c>
      <c r="E7277" t="s">
        <v>179</v>
      </c>
      <c r="F7277" t="s">
        <v>47</v>
      </c>
      <c r="G7277" t="s">
        <v>48</v>
      </c>
      <c r="H7277" t="s">
        <v>49</v>
      </c>
      <c r="I7277" t="s">
        <v>62</v>
      </c>
      <c r="J7277" t="s">
        <v>11310</v>
      </c>
      <c r="K7277" t="s">
        <v>11804</v>
      </c>
      <c r="L7277" t="s">
        <v>53</v>
      </c>
      <c r="N7277" t="s">
        <v>13229</v>
      </c>
      <c r="P7277" t="s">
        <v>55</v>
      </c>
      <c r="R7277" t="s">
        <v>56</v>
      </c>
      <c r="T7277" t="s">
        <v>13230</v>
      </c>
      <c r="U7277" t="s">
        <v>55</v>
      </c>
      <c r="V7277">
        <v>1</v>
      </c>
      <c r="W7277">
        <v>1</v>
      </c>
      <c r="X7277">
        <v>1</v>
      </c>
      <c r="Y7277">
        <v>0</v>
      </c>
      <c r="Z7277">
        <v>1</v>
      </c>
      <c r="AA7277">
        <v>79.900000000000006</v>
      </c>
      <c r="AB7277">
        <v>79.900000000000006</v>
      </c>
      <c r="AC7277">
        <v>79.900000000000006</v>
      </c>
      <c r="AD7277">
        <v>0</v>
      </c>
      <c r="AE7277">
        <v>0</v>
      </c>
      <c r="AF7277">
        <v>0</v>
      </c>
      <c r="AG7277">
        <v>0</v>
      </c>
      <c r="AH7277">
        <v>0</v>
      </c>
      <c r="AI7277">
        <v>14.38</v>
      </c>
      <c r="AJ7277">
        <v>79.900000000000006</v>
      </c>
      <c r="AK7277">
        <v>0</v>
      </c>
      <c r="AL7277" t="s">
        <v>53</v>
      </c>
      <c r="AM7277" t="s">
        <v>53</v>
      </c>
      <c r="AN7277" t="s">
        <v>53</v>
      </c>
      <c r="AO7277" t="s">
        <v>53</v>
      </c>
      <c r="AP7277" t="s">
        <v>53</v>
      </c>
    </row>
    <row r="7278" spans="2:42" x14ac:dyDescent="0.2">
      <c r="B7278" t="s">
        <v>44</v>
      </c>
      <c r="C7278" t="str">
        <f>HYPERLINK("https://us2.cloudbeds.com/connect/8493803454333002#/reservations/9080486847397476?display=3SPNWC09C0&amp;reservation_id=9080486847397476", "3SPNWC09C0")</f>
        <v>3SPNWC09C0</v>
      </c>
      <c r="D7278" t="s">
        <v>45</v>
      </c>
      <c r="E7278" t="s">
        <v>223</v>
      </c>
      <c r="F7278" t="s">
        <v>47</v>
      </c>
      <c r="G7278" t="s">
        <v>48</v>
      </c>
      <c r="H7278" t="s">
        <v>49</v>
      </c>
      <c r="I7278" t="s">
        <v>62</v>
      </c>
      <c r="J7278" t="s">
        <v>11521</v>
      </c>
      <c r="K7278" t="s">
        <v>11884</v>
      </c>
      <c r="L7278" t="s">
        <v>53</v>
      </c>
      <c r="N7278" t="s">
        <v>13231</v>
      </c>
      <c r="P7278" t="s">
        <v>55</v>
      </c>
      <c r="R7278" t="s">
        <v>56</v>
      </c>
      <c r="T7278" t="s">
        <v>13232</v>
      </c>
      <c r="U7278" t="s">
        <v>55</v>
      </c>
      <c r="V7278">
        <v>1</v>
      </c>
      <c r="W7278">
        <v>1</v>
      </c>
      <c r="X7278">
        <v>1</v>
      </c>
      <c r="Y7278">
        <v>0</v>
      </c>
      <c r="Z7278">
        <v>1</v>
      </c>
      <c r="AA7278">
        <v>72.25</v>
      </c>
      <c r="AB7278">
        <v>72.25</v>
      </c>
      <c r="AC7278">
        <v>72.25</v>
      </c>
      <c r="AD7278">
        <v>0</v>
      </c>
      <c r="AE7278">
        <v>0</v>
      </c>
      <c r="AF7278">
        <v>0</v>
      </c>
      <c r="AG7278">
        <v>0</v>
      </c>
      <c r="AH7278">
        <v>0</v>
      </c>
      <c r="AI7278">
        <v>13.01</v>
      </c>
      <c r="AJ7278">
        <v>72.25</v>
      </c>
      <c r="AK7278">
        <v>0</v>
      </c>
      <c r="AL7278" t="s">
        <v>53</v>
      </c>
      <c r="AM7278" t="s">
        <v>53</v>
      </c>
      <c r="AN7278" t="s">
        <v>13233</v>
      </c>
      <c r="AO7278" t="s">
        <v>53</v>
      </c>
      <c r="AP7278" t="s">
        <v>53</v>
      </c>
    </row>
    <row r="7279" spans="2:42" x14ac:dyDescent="0.2">
      <c r="B7279" t="s">
        <v>44</v>
      </c>
      <c r="C7279" t="str">
        <f>HYPERLINK("https://us2.cloudbeds.com/connect/8493803454333002#/reservations/9080486847397523?display=3SPPE3M1AK&amp;reservation_id=9080486847397523", "3SPPE3M1AK")</f>
        <v>3SPPE3M1AK</v>
      </c>
      <c r="D7279" t="s">
        <v>45</v>
      </c>
      <c r="E7279" t="s">
        <v>138</v>
      </c>
      <c r="F7279" t="s">
        <v>70</v>
      </c>
      <c r="G7279" t="s">
        <v>48</v>
      </c>
      <c r="H7279" t="s">
        <v>49</v>
      </c>
      <c r="I7279" t="s">
        <v>50</v>
      </c>
      <c r="J7279" t="s">
        <v>12756</v>
      </c>
      <c r="K7279" t="s">
        <v>12682</v>
      </c>
      <c r="L7279" t="s">
        <v>53</v>
      </c>
      <c r="N7279" t="s">
        <v>13234</v>
      </c>
      <c r="P7279" t="s">
        <v>55</v>
      </c>
      <c r="R7279" t="s">
        <v>53</v>
      </c>
      <c r="T7279" t="s">
        <v>13235</v>
      </c>
      <c r="U7279" t="s">
        <v>58</v>
      </c>
      <c r="V7279">
        <v>3</v>
      </c>
      <c r="W7279">
        <v>1</v>
      </c>
      <c r="X7279">
        <v>2</v>
      </c>
      <c r="Y7279">
        <v>0</v>
      </c>
      <c r="Z7279">
        <v>2</v>
      </c>
      <c r="AA7279">
        <v>263.67</v>
      </c>
      <c r="AB7279">
        <v>263.67</v>
      </c>
      <c r="AC7279">
        <v>232</v>
      </c>
      <c r="AD7279">
        <v>0</v>
      </c>
      <c r="AE7279">
        <v>31.67</v>
      </c>
      <c r="AF7279">
        <v>0</v>
      </c>
      <c r="AG7279">
        <v>0</v>
      </c>
      <c r="AH7279">
        <v>0</v>
      </c>
      <c r="AI7279">
        <v>47.46</v>
      </c>
      <c r="AJ7279">
        <v>263.67</v>
      </c>
      <c r="AK7279">
        <v>0</v>
      </c>
      <c r="AL7279" t="s">
        <v>53</v>
      </c>
      <c r="AM7279" t="s">
        <v>53</v>
      </c>
      <c r="AN7279" t="s">
        <v>13236</v>
      </c>
      <c r="AO7279" t="s">
        <v>53</v>
      </c>
      <c r="AP7279" t="s">
        <v>53</v>
      </c>
    </row>
    <row r="7280" spans="2:42" x14ac:dyDescent="0.2">
      <c r="B7280" t="s">
        <v>44</v>
      </c>
      <c r="C7280" t="str">
        <f>HYPERLINK("https://us2.cloudbeds.com/connect/8493803454333002#/reservations/9080486847397930?display=3SQ7TK1S91&amp;reservation_id=9080486847397930", "3SQ7TK1S91")</f>
        <v>3SQ7TK1S91</v>
      </c>
      <c r="D7280" t="s">
        <v>45</v>
      </c>
      <c r="E7280" t="s">
        <v>105</v>
      </c>
      <c r="F7280" t="s">
        <v>47</v>
      </c>
      <c r="G7280" t="s">
        <v>48</v>
      </c>
      <c r="H7280" t="s">
        <v>49</v>
      </c>
      <c r="I7280" t="s">
        <v>62</v>
      </c>
      <c r="J7280" t="s">
        <v>12144</v>
      </c>
      <c r="K7280" t="s">
        <v>10169</v>
      </c>
      <c r="L7280" t="s">
        <v>53</v>
      </c>
      <c r="N7280" t="s">
        <v>13237</v>
      </c>
      <c r="P7280" t="s">
        <v>55</v>
      </c>
      <c r="R7280" t="s">
        <v>56</v>
      </c>
      <c r="T7280" t="s">
        <v>13238</v>
      </c>
      <c r="U7280" t="s">
        <v>55</v>
      </c>
      <c r="V7280">
        <v>2</v>
      </c>
      <c r="W7280">
        <v>1</v>
      </c>
      <c r="X7280">
        <v>2</v>
      </c>
      <c r="Y7280">
        <v>0</v>
      </c>
      <c r="Z7280">
        <v>2</v>
      </c>
      <c r="AA7280">
        <v>219.3</v>
      </c>
      <c r="AB7280">
        <v>219.3</v>
      </c>
      <c r="AC7280">
        <v>219.3</v>
      </c>
      <c r="AD7280">
        <v>0</v>
      </c>
      <c r="AE7280">
        <v>0</v>
      </c>
      <c r="AF7280">
        <v>0</v>
      </c>
      <c r="AG7280">
        <v>0</v>
      </c>
      <c r="AH7280">
        <v>0</v>
      </c>
      <c r="AI7280">
        <v>39.47</v>
      </c>
      <c r="AJ7280">
        <v>219.3</v>
      </c>
      <c r="AK7280">
        <v>0</v>
      </c>
      <c r="AL7280" t="s">
        <v>53</v>
      </c>
      <c r="AM7280" t="s">
        <v>53</v>
      </c>
      <c r="AN7280" t="s">
        <v>53</v>
      </c>
      <c r="AO7280" t="s">
        <v>53</v>
      </c>
      <c r="AP7280" t="s">
        <v>53</v>
      </c>
    </row>
    <row r="7281" spans="2:42" x14ac:dyDescent="0.2">
      <c r="B7281" t="s">
        <v>44</v>
      </c>
      <c r="C7281" t="str">
        <f>HYPERLINK("https://us2.cloudbeds.com/connect/8493803454333002#/reservations/9080486847398525?display=3SQU4S2DP7&amp;reservation_id=9080486847398525", "3SQU4S2DP7")</f>
        <v>3SQU4S2DP7</v>
      </c>
      <c r="D7281" t="s">
        <v>45</v>
      </c>
      <c r="E7281" t="s">
        <v>113</v>
      </c>
      <c r="F7281" t="s">
        <v>61</v>
      </c>
      <c r="G7281" t="s">
        <v>48</v>
      </c>
      <c r="H7281" t="s">
        <v>49</v>
      </c>
      <c r="I7281" t="s">
        <v>62</v>
      </c>
      <c r="J7281" t="s">
        <v>11804</v>
      </c>
      <c r="K7281" t="s">
        <v>12350</v>
      </c>
      <c r="L7281" t="s">
        <v>53</v>
      </c>
      <c r="N7281" t="s">
        <v>13239</v>
      </c>
      <c r="P7281" t="s">
        <v>55</v>
      </c>
      <c r="R7281" t="s">
        <v>56</v>
      </c>
      <c r="T7281" t="s">
        <v>13240</v>
      </c>
      <c r="U7281" t="s">
        <v>55</v>
      </c>
      <c r="V7281">
        <v>3</v>
      </c>
      <c r="W7281">
        <v>1</v>
      </c>
      <c r="X7281">
        <v>2</v>
      </c>
      <c r="Y7281">
        <v>0</v>
      </c>
      <c r="Z7281">
        <v>2</v>
      </c>
      <c r="AA7281">
        <v>269</v>
      </c>
      <c r="AB7281">
        <v>269</v>
      </c>
      <c r="AC7281">
        <v>269</v>
      </c>
      <c r="AD7281">
        <v>0</v>
      </c>
      <c r="AE7281">
        <v>0</v>
      </c>
      <c r="AF7281">
        <v>0</v>
      </c>
      <c r="AG7281">
        <v>0</v>
      </c>
      <c r="AH7281">
        <v>0</v>
      </c>
      <c r="AI7281">
        <v>48.42</v>
      </c>
      <c r="AJ7281">
        <v>269</v>
      </c>
      <c r="AK7281">
        <v>0</v>
      </c>
      <c r="AL7281" t="s">
        <v>53</v>
      </c>
      <c r="AM7281" t="s">
        <v>53</v>
      </c>
      <c r="AN7281" t="s">
        <v>53</v>
      </c>
      <c r="AO7281" t="s">
        <v>53</v>
      </c>
      <c r="AP7281" t="s">
        <v>53</v>
      </c>
    </row>
    <row r="7282" spans="2:42" x14ac:dyDescent="0.2">
      <c r="B7282" t="s">
        <v>44</v>
      </c>
      <c r="C7282" t="str">
        <f>HYPERLINK("https://us2.cloudbeds.com/connect/8493803454333002#/reservations/9080486847398855?display=3SRASEPMG3&amp;reservation_id=9080486847398855", "3SRASEPMG3")</f>
        <v>3SRASEPMG3</v>
      </c>
      <c r="D7282" t="s">
        <v>45</v>
      </c>
      <c r="E7282" t="s">
        <v>110</v>
      </c>
      <c r="F7282" t="s">
        <v>47</v>
      </c>
      <c r="G7282" t="s">
        <v>48</v>
      </c>
      <c r="H7282" t="s">
        <v>49</v>
      </c>
      <c r="I7282" t="s">
        <v>50</v>
      </c>
      <c r="J7282" t="s">
        <v>12269</v>
      </c>
      <c r="K7282" t="s">
        <v>12420</v>
      </c>
      <c r="L7282" t="s">
        <v>53</v>
      </c>
      <c r="N7282" t="s">
        <v>13241</v>
      </c>
      <c r="P7282" t="s">
        <v>55</v>
      </c>
      <c r="R7282" t="s">
        <v>53</v>
      </c>
      <c r="T7282" t="s">
        <v>13242</v>
      </c>
      <c r="U7282" t="s">
        <v>58</v>
      </c>
      <c r="V7282">
        <v>1</v>
      </c>
      <c r="W7282">
        <v>1</v>
      </c>
      <c r="X7282">
        <v>1</v>
      </c>
      <c r="Y7282">
        <v>0</v>
      </c>
      <c r="Z7282">
        <v>1</v>
      </c>
      <c r="AA7282">
        <v>131.22999999999999</v>
      </c>
      <c r="AB7282">
        <v>131.22999999999999</v>
      </c>
      <c r="AC7282">
        <v>115.47</v>
      </c>
      <c r="AD7282">
        <v>0</v>
      </c>
      <c r="AE7282">
        <v>15.76</v>
      </c>
      <c r="AF7282">
        <v>0</v>
      </c>
      <c r="AG7282">
        <v>0</v>
      </c>
      <c r="AH7282">
        <v>0</v>
      </c>
      <c r="AI7282">
        <v>23.62</v>
      </c>
      <c r="AJ7282">
        <v>131.22999999999999</v>
      </c>
      <c r="AK7282">
        <v>0</v>
      </c>
      <c r="AL7282" t="s">
        <v>53</v>
      </c>
      <c r="AM7282" t="s">
        <v>53</v>
      </c>
      <c r="AN7282" t="s">
        <v>53</v>
      </c>
      <c r="AO7282" t="s">
        <v>53</v>
      </c>
      <c r="AP7282" t="s">
        <v>53</v>
      </c>
    </row>
    <row r="7283" spans="2:42" x14ac:dyDescent="0.2">
      <c r="B7283" t="s">
        <v>44</v>
      </c>
      <c r="C7283" t="str">
        <f>HYPERLINK("https://us2.cloudbeds.com/connect/8493803454333002#/reservations/9080486847398948?display=3SRF7NNBJS&amp;reservation_id=9080486847398948", "3SRF7NNBJS")</f>
        <v>3SRF7NNBJS</v>
      </c>
      <c r="D7283" t="s">
        <v>45</v>
      </c>
      <c r="E7283" t="s">
        <v>46</v>
      </c>
      <c r="F7283" t="s">
        <v>47</v>
      </c>
      <c r="G7283" t="s">
        <v>48</v>
      </c>
      <c r="H7283" t="s">
        <v>49</v>
      </c>
      <c r="I7283" t="s">
        <v>50</v>
      </c>
      <c r="J7283" t="s">
        <v>10169</v>
      </c>
      <c r="K7283" t="s">
        <v>12269</v>
      </c>
      <c r="L7283" t="s">
        <v>53</v>
      </c>
      <c r="N7283" t="s">
        <v>13243</v>
      </c>
      <c r="P7283" t="s">
        <v>55</v>
      </c>
      <c r="R7283" t="s">
        <v>53</v>
      </c>
      <c r="T7283" t="s">
        <v>13244</v>
      </c>
      <c r="U7283" t="s">
        <v>58</v>
      </c>
      <c r="V7283">
        <v>2</v>
      </c>
      <c r="W7283">
        <v>1</v>
      </c>
      <c r="X7283">
        <v>1</v>
      </c>
      <c r="Y7283">
        <v>0</v>
      </c>
      <c r="Z7283">
        <v>1</v>
      </c>
      <c r="AA7283">
        <v>264.3</v>
      </c>
      <c r="AB7283">
        <v>264.3</v>
      </c>
      <c r="AC7283">
        <v>232.55</v>
      </c>
      <c r="AD7283">
        <v>0</v>
      </c>
      <c r="AE7283">
        <v>31.75</v>
      </c>
      <c r="AF7283">
        <v>0</v>
      </c>
      <c r="AG7283">
        <v>0</v>
      </c>
      <c r="AH7283">
        <v>0</v>
      </c>
      <c r="AI7283">
        <v>47.57</v>
      </c>
      <c r="AJ7283">
        <v>264.3</v>
      </c>
      <c r="AK7283">
        <v>0</v>
      </c>
      <c r="AL7283" t="s">
        <v>53</v>
      </c>
      <c r="AM7283" t="s">
        <v>53</v>
      </c>
      <c r="AN7283" t="s">
        <v>13245</v>
      </c>
      <c r="AO7283" t="s">
        <v>53</v>
      </c>
      <c r="AP7283" t="s">
        <v>53</v>
      </c>
    </row>
    <row r="7284" spans="2:42" x14ac:dyDescent="0.2">
      <c r="B7284" t="s">
        <v>44</v>
      </c>
      <c r="C7284" t="str">
        <f>HYPERLINK("https://us2.cloudbeds.com/connect/8493803454333002#/reservations/9080486847398959?display=3SRFDYJBAG&amp;reservation_id=9080486847398959", "3SRFDYJBAG")</f>
        <v>3SRFDYJBAG</v>
      </c>
      <c r="D7284" t="s">
        <v>45</v>
      </c>
      <c r="E7284" t="s">
        <v>155</v>
      </c>
      <c r="F7284" t="s">
        <v>86</v>
      </c>
      <c r="G7284" t="s">
        <v>48</v>
      </c>
      <c r="H7284" t="s">
        <v>49</v>
      </c>
      <c r="I7284" t="s">
        <v>50</v>
      </c>
      <c r="J7284" t="s">
        <v>10169</v>
      </c>
      <c r="K7284" t="s">
        <v>12269</v>
      </c>
      <c r="L7284" t="s">
        <v>53</v>
      </c>
      <c r="N7284" t="s">
        <v>13246</v>
      </c>
      <c r="P7284" t="s">
        <v>55</v>
      </c>
      <c r="R7284" t="s">
        <v>53</v>
      </c>
      <c r="T7284" t="s">
        <v>13247</v>
      </c>
      <c r="U7284" t="s">
        <v>58</v>
      </c>
      <c r="V7284">
        <v>2</v>
      </c>
      <c r="W7284">
        <v>1</v>
      </c>
      <c r="X7284">
        <v>2</v>
      </c>
      <c r="Y7284">
        <v>0</v>
      </c>
      <c r="Z7284">
        <v>2</v>
      </c>
      <c r="AA7284">
        <v>350.57</v>
      </c>
      <c r="AB7284">
        <v>350.57</v>
      </c>
      <c r="AC7284">
        <v>308.45999999999998</v>
      </c>
      <c r="AD7284">
        <v>0</v>
      </c>
      <c r="AE7284">
        <v>42.11</v>
      </c>
      <c r="AF7284">
        <v>0</v>
      </c>
      <c r="AG7284">
        <v>0</v>
      </c>
      <c r="AH7284">
        <v>0</v>
      </c>
      <c r="AI7284">
        <v>63.1</v>
      </c>
      <c r="AJ7284">
        <v>350.57</v>
      </c>
      <c r="AK7284">
        <v>0</v>
      </c>
      <c r="AL7284" t="s">
        <v>53</v>
      </c>
      <c r="AM7284" t="s">
        <v>53</v>
      </c>
      <c r="AN7284" t="s">
        <v>13248</v>
      </c>
      <c r="AO7284" t="s">
        <v>53</v>
      </c>
      <c r="AP7284" t="s">
        <v>53</v>
      </c>
    </row>
    <row r="7285" spans="2:42" x14ac:dyDescent="0.2">
      <c r="B7285" t="s">
        <v>44</v>
      </c>
      <c r="C7285" t="str">
        <f>HYPERLINK("https://us2.cloudbeds.com/connect/8493803454333002#/reservations/9080486847398983?display=3SRGV916RE&amp;reservation_id=9080486847398983", "3SRGV916RE")</f>
        <v>3SRGV916RE</v>
      </c>
      <c r="D7285" t="s">
        <v>45</v>
      </c>
      <c r="E7285" t="s">
        <v>46</v>
      </c>
      <c r="F7285" t="s">
        <v>47</v>
      </c>
      <c r="G7285" t="s">
        <v>48</v>
      </c>
      <c r="H7285" t="s">
        <v>49</v>
      </c>
      <c r="I7285" t="s">
        <v>62</v>
      </c>
      <c r="J7285" t="s">
        <v>11310</v>
      </c>
      <c r="K7285" t="s">
        <v>11804</v>
      </c>
      <c r="L7285" t="s">
        <v>53</v>
      </c>
      <c r="N7285" t="s">
        <v>13249</v>
      </c>
      <c r="P7285" t="s">
        <v>55</v>
      </c>
      <c r="R7285" t="s">
        <v>56</v>
      </c>
      <c r="T7285" t="s">
        <v>13250</v>
      </c>
      <c r="U7285" t="s">
        <v>55</v>
      </c>
      <c r="V7285">
        <v>1</v>
      </c>
      <c r="W7285">
        <v>1</v>
      </c>
      <c r="X7285">
        <v>2</v>
      </c>
      <c r="Y7285">
        <v>0</v>
      </c>
      <c r="Z7285">
        <v>2</v>
      </c>
      <c r="AA7285">
        <v>79.900000000000006</v>
      </c>
      <c r="AB7285">
        <v>79.900000000000006</v>
      </c>
      <c r="AC7285">
        <v>79.900000000000006</v>
      </c>
      <c r="AD7285">
        <v>0</v>
      </c>
      <c r="AE7285">
        <v>0</v>
      </c>
      <c r="AF7285">
        <v>0</v>
      </c>
      <c r="AG7285">
        <v>0</v>
      </c>
      <c r="AH7285">
        <v>0</v>
      </c>
      <c r="AI7285">
        <v>14.38</v>
      </c>
      <c r="AJ7285">
        <v>79.900000000000006</v>
      </c>
      <c r="AK7285">
        <v>0</v>
      </c>
      <c r="AL7285" t="s">
        <v>53</v>
      </c>
      <c r="AM7285" t="s">
        <v>53</v>
      </c>
      <c r="AN7285" t="s">
        <v>13251</v>
      </c>
      <c r="AO7285" t="s">
        <v>53</v>
      </c>
      <c r="AP7285" t="s">
        <v>53</v>
      </c>
    </row>
    <row r="7286" spans="2:42" x14ac:dyDescent="0.2">
      <c r="B7286" t="s">
        <v>44</v>
      </c>
      <c r="C7286" t="str">
        <f>HYPERLINK("https://us2.cloudbeds.com/connect/8493803454333002#/reservations/9080486847399009?display=3SRHEKN4WM&amp;reservation_id=9080486847399009", "3SRHEKN4WM")</f>
        <v>3SRHEKN4WM</v>
      </c>
      <c r="D7286" t="s">
        <v>45</v>
      </c>
      <c r="E7286" t="s">
        <v>373</v>
      </c>
      <c r="F7286" t="s">
        <v>47</v>
      </c>
      <c r="G7286" t="s">
        <v>48</v>
      </c>
      <c r="H7286" t="s">
        <v>49</v>
      </c>
      <c r="I7286" t="s">
        <v>62</v>
      </c>
      <c r="J7286" t="s">
        <v>11310</v>
      </c>
      <c r="K7286" t="s">
        <v>11804</v>
      </c>
      <c r="L7286" t="s">
        <v>53</v>
      </c>
      <c r="N7286" t="s">
        <v>13252</v>
      </c>
      <c r="P7286" t="s">
        <v>55</v>
      </c>
      <c r="R7286" t="s">
        <v>56</v>
      </c>
      <c r="T7286" t="s">
        <v>13253</v>
      </c>
      <c r="U7286" t="s">
        <v>55</v>
      </c>
      <c r="V7286">
        <v>1</v>
      </c>
      <c r="W7286">
        <v>1</v>
      </c>
      <c r="X7286">
        <v>2</v>
      </c>
      <c r="Y7286">
        <v>0</v>
      </c>
      <c r="Z7286">
        <v>2</v>
      </c>
      <c r="AA7286">
        <v>79.900000000000006</v>
      </c>
      <c r="AB7286">
        <v>79.900000000000006</v>
      </c>
      <c r="AC7286">
        <v>79.900000000000006</v>
      </c>
      <c r="AD7286">
        <v>0</v>
      </c>
      <c r="AE7286">
        <v>0</v>
      </c>
      <c r="AF7286">
        <v>0</v>
      </c>
      <c r="AG7286">
        <v>0</v>
      </c>
      <c r="AH7286">
        <v>0</v>
      </c>
      <c r="AI7286">
        <v>14.38</v>
      </c>
      <c r="AJ7286">
        <v>79.900000000000006</v>
      </c>
      <c r="AK7286">
        <v>0</v>
      </c>
      <c r="AL7286" t="s">
        <v>53</v>
      </c>
      <c r="AM7286" t="s">
        <v>53</v>
      </c>
      <c r="AN7286" t="s">
        <v>13254</v>
      </c>
      <c r="AO7286" t="s">
        <v>53</v>
      </c>
      <c r="AP7286" t="s">
        <v>53</v>
      </c>
    </row>
    <row r="7287" spans="2:42" x14ac:dyDescent="0.2">
      <c r="B7287" t="s">
        <v>44</v>
      </c>
      <c r="C7287" t="str">
        <f>HYPERLINK("https://us2.cloudbeds.com/connect/8493803454333002#/reservations/179796219310325?display=3SRZG4J8X1&amp;reservation_id=179796219310325", "3SRZG4J8X1")</f>
        <v>3SRZG4J8X1</v>
      </c>
      <c r="D7287" t="s">
        <v>45</v>
      </c>
      <c r="E7287" t="s">
        <v>305</v>
      </c>
      <c r="F7287" t="s">
        <v>61</v>
      </c>
      <c r="G7287" t="s">
        <v>48</v>
      </c>
      <c r="H7287" t="s">
        <v>3957</v>
      </c>
      <c r="I7287" t="s">
        <v>3958</v>
      </c>
      <c r="J7287" t="s">
        <v>11310</v>
      </c>
      <c r="K7287" t="s">
        <v>11804</v>
      </c>
      <c r="L7287" t="s">
        <v>53</v>
      </c>
      <c r="P7287" t="s">
        <v>55</v>
      </c>
      <c r="R7287" t="s">
        <v>56</v>
      </c>
      <c r="T7287" t="s">
        <v>13255</v>
      </c>
      <c r="U7287" t="s">
        <v>58</v>
      </c>
      <c r="V7287">
        <v>1</v>
      </c>
      <c r="W7287">
        <v>1</v>
      </c>
      <c r="X7287">
        <v>1</v>
      </c>
      <c r="Y7287">
        <v>0</v>
      </c>
      <c r="Z7287">
        <v>1</v>
      </c>
      <c r="AA7287">
        <v>127.29</v>
      </c>
      <c r="AB7287">
        <v>127.29</v>
      </c>
      <c r="AC7287">
        <v>112</v>
      </c>
      <c r="AD7287">
        <v>0</v>
      </c>
      <c r="AE7287">
        <v>15.29</v>
      </c>
      <c r="AF7287">
        <v>0</v>
      </c>
      <c r="AG7287">
        <v>0</v>
      </c>
      <c r="AH7287">
        <v>0</v>
      </c>
      <c r="AI7287">
        <v>0</v>
      </c>
      <c r="AJ7287">
        <v>127.29</v>
      </c>
      <c r="AK7287">
        <v>0</v>
      </c>
      <c r="AL7287" t="s">
        <v>53</v>
      </c>
      <c r="AM7287" t="s">
        <v>53</v>
      </c>
      <c r="AN7287" t="s">
        <v>53</v>
      </c>
      <c r="AO7287" t="s">
        <v>53</v>
      </c>
      <c r="AP7287" t="s">
        <v>53</v>
      </c>
    </row>
    <row r="7288" spans="2:42" x14ac:dyDescent="0.2">
      <c r="B7288" t="s">
        <v>44</v>
      </c>
      <c r="C7288" t="str">
        <f>HYPERLINK("https://us2.cloudbeds.com/connect/8493803454333002#/reservations/9080486847399178?display=3SRR1UBCFA&amp;reservation_id=9080486847399178", "3SRR1UBCFA")</f>
        <v>3SRR1UBCFA</v>
      </c>
      <c r="D7288" t="s">
        <v>45</v>
      </c>
      <c r="E7288" t="s">
        <v>155</v>
      </c>
      <c r="F7288" t="s">
        <v>86</v>
      </c>
      <c r="G7288" t="s">
        <v>48</v>
      </c>
      <c r="H7288" t="s">
        <v>49</v>
      </c>
      <c r="I7288" t="s">
        <v>8964</v>
      </c>
      <c r="J7288" t="s">
        <v>12420</v>
      </c>
      <c r="K7288" t="s">
        <v>13060</v>
      </c>
      <c r="L7288" t="s">
        <v>53</v>
      </c>
      <c r="N7288" t="s">
        <v>13256</v>
      </c>
      <c r="P7288" t="s">
        <v>55</v>
      </c>
      <c r="R7288" t="s">
        <v>53</v>
      </c>
      <c r="T7288" t="s">
        <v>13257</v>
      </c>
      <c r="U7288" t="s">
        <v>55</v>
      </c>
      <c r="V7288">
        <v>4</v>
      </c>
      <c r="W7288">
        <v>1</v>
      </c>
      <c r="X7288">
        <v>2</v>
      </c>
      <c r="Y7288">
        <v>0</v>
      </c>
      <c r="Z7288">
        <v>2</v>
      </c>
      <c r="AA7288">
        <v>0</v>
      </c>
      <c r="AB7288">
        <v>0</v>
      </c>
      <c r="AC7288">
        <v>650</v>
      </c>
      <c r="AD7288">
        <v>0</v>
      </c>
      <c r="AE7288">
        <v>0</v>
      </c>
      <c r="AF7288">
        <v>0</v>
      </c>
      <c r="AG7288">
        <v>0</v>
      </c>
      <c r="AH7288">
        <v>0</v>
      </c>
      <c r="AI7288">
        <v>97.5</v>
      </c>
      <c r="AJ7288">
        <v>650</v>
      </c>
      <c r="AK7288">
        <v>650</v>
      </c>
      <c r="AL7288" t="s">
        <v>53</v>
      </c>
      <c r="AM7288" t="s">
        <v>53</v>
      </c>
      <c r="AN7288" t="s">
        <v>53</v>
      </c>
      <c r="AO7288" t="s">
        <v>53</v>
      </c>
      <c r="AP7288" t="s">
        <v>53</v>
      </c>
    </row>
    <row r="7289" spans="2:42" x14ac:dyDescent="0.2">
      <c r="B7289" t="s">
        <v>44</v>
      </c>
      <c r="C7289" t="str">
        <f>HYPERLINK("https://us2.cloudbeds.com/connect/8493803454333002#/reservations/9080486847399270?display=3SRUVRDTB7&amp;reservation_id=9080486847399270", "3SRUVRDTB7")</f>
        <v>3SRUVRDTB7</v>
      </c>
      <c r="D7289" t="s">
        <v>45</v>
      </c>
      <c r="E7289" t="s">
        <v>46</v>
      </c>
      <c r="F7289" t="s">
        <v>47</v>
      </c>
      <c r="G7289" t="s">
        <v>48</v>
      </c>
      <c r="H7289" t="s">
        <v>49</v>
      </c>
      <c r="I7289" t="s">
        <v>62</v>
      </c>
      <c r="J7289" t="s">
        <v>12441</v>
      </c>
      <c r="K7289" t="s">
        <v>12421</v>
      </c>
      <c r="L7289" t="s">
        <v>53</v>
      </c>
      <c r="N7289" t="s">
        <v>13258</v>
      </c>
      <c r="P7289" t="s">
        <v>55</v>
      </c>
      <c r="R7289" t="s">
        <v>56</v>
      </c>
      <c r="T7289" t="s">
        <v>13259</v>
      </c>
      <c r="U7289" t="s">
        <v>55</v>
      </c>
      <c r="V7289">
        <v>2</v>
      </c>
      <c r="W7289">
        <v>1</v>
      </c>
      <c r="X7289">
        <v>2</v>
      </c>
      <c r="Y7289">
        <v>0</v>
      </c>
      <c r="Z7289">
        <v>2</v>
      </c>
      <c r="AA7289">
        <v>194.61</v>
      </c>
      <c r="AB7289">
        <v>194.61</v>
      </c>
      <c r="AC7289">
        <v>194.61</v>
      </c>
      <c r="AD7289">
        <v>0</v>
      </c>
      <c r="AE7289">
        <v>0</v>
      </c>
      <c r="AF7289">
        <v>0</v>
      </c>
      <c r="AG7289">
        <v>0</v>
      </c>
      <c r="AH7289">
        <v>0</v>
      </c>
      <c r="AI7289">
        <v>35.03</v>
      </c>
      <c r="AJ7289">
        <v>194.61</v>
      </c>
      <c r="AK7289">
        <v>0</v>
      </c>
      <c r="AL7289" t="s">
        <v>53</v>
      </c>
      <c r="AM7289" t="s">
        <v>53</v>
      </c>
      <c r="AN7289" t="s">
        <v>13260</v>
      </c>
      <c r="AO7289" t="s">
        <v>53</v>
      </c>
      <c r="AP7289" t="s">
        <v>53</v>
      </c>
    </row>
    <row r="7290" spans="2:42" x14ac:dyDescent="0.2">
      <c r="B7290" t="s">
        <v>44</v>
      </c>
      <c r="C7290" t="str">
        <f>HYPERLINK("https://us2.cloudbeds.com/connect/8493803454333002#/reservations/9080486847399360?display=3SS1TZE9FY&amp;reservation_id=9080486847399360", "3SS1TZE9FY")</f>
        <v>3SS1TZE9FY</v>
      </c>
      <c r="D7290" t="s">
        <v>45</v>
      </c>
      <c r="E7290" t="s">
        <v>69</v>
      </c>
      <c r="F7290" t="s">
        <v>70</v>
      </c>
      <c r="G7290" t="s">
        <v>48</v>
      </c>
      <c r="H7290" t="s">
        <v>49</v>
      </c>
      <c r="I7290" t="s">
        <v>62</v>
      </c>
      <c r="J7290" t="s">
        <v>11482</v>
      </c>
      <c r="K7290" t="s">
        <v>10169</v>
      </c>
      <c r="L7290" t="s">
        <v>53</v>
      </c>
      <c r="N7290" t="s">
        <v>13261</v>
      </c>
      <c r="P7290" t="s">
        <v>55</v>
      </c>
      <c r="R7290" t="s">
        <v>56</v>
      </c>
      <c r="T7290" t="s">
        <v>13262</v>
      </c>
      <c r="U7290" t="s">
        <v>55</v>
      </c>
      <c r="V7290">
        <v>1</v>
      </c>
      <c r="W7290">
        <v>1</v>
      </c>
      <c r="X7290">
        <v>2</v>
      </c>
      <c r="Y7290">
        <v>0</v>
      </c>
      <c r="Z7290">
        <v>2</v>
      </c>
      <c r="AA7290">
        <v>122.4</v>
      </c>
      <c r="AB7290">
        <v>122.4</v>
      </c>
      <c r="AC7290">
        <v>122.4</v>
      </c>
      <c r="AD7290">
        <v>0</v>
      </c>
      <c r="AE7290">
        <v>0</v>
      </c>
      <c r="AF7290">
        <v>0</v>
      </c>
      <c r="AG7290">
        <v>0</v>
      </c>
      <c r="AH7290">
        <v>0</v>
      </c>
      <c r="AI7290">
        <v>22.03</v>
      </c>
      <c r="AJ7290">
        <v>122.4</v>
      </c>
      <c r="AK7290">
        <v>0</v>
      </c>
      <c r="AL7290" t="s">
        <v>53</v>
      </c>
      <c r="AM7290" t="s">
        <v>53</v>
      </c>
      <c r="AN7290" t="s">
        <v>13263</v>
      </c>
      <c r="AO7290" t="s">
        <v>53</v>
      </c>
      <c r="AP7290" t="s">
        <v>53</v>
      </c>
    </row>
    <row r="7291" spans="2:42" x14ac:dyDescent="0.2">
      <c r="B7291" t="s">
        <v>44</v>
      </c>
      <c r="C7291" t="str">
        <f>HYPERLINK("https://us2.cloudbeds.com/connect/8493803454333002#/reservations/9080486847399425?display=3SS5CHJNR3&amp;reservation_id=9080486847399425", "3SS5CHJNR3")</f>
        <v>3SS5CHJNR3</v>
      </c>
      <c r="D7291" t="s">
        <v>45</v>
      </c>
      <c r="E7291" t="s">
        <v>213</v>
      </c>
      <c r="F7291" t="s">
        <v>86</v>
      </c>
      <c r="G7291" t="s">
        <v>48</v>
      </c>
      <c r="H7291" t="s">
        <v>49</v>
      </c>
      <c r="I7291" t="s">
        <v>62</v>
      </c>
      <c r="J7291" t="s">
        <v>10170</v>
      </c>
      <c r="K7291" t="s">
        <v>12269</v>
      </c>
      <c r="L7291" t="s">
        <v>53</v>
      </c>
      <c r="N7291" t="s">
        <v>13264</v>
      </c>
      <c r="P7291" t="s">
        <v>55</v>
      </c>
      <c r="R7291" t="s">
        <v>56</v>
      </c>
      <c r="T7291" t="s">
        <v>13265</v>
      </c>
      <c r="U7291" t="s">
        <v>55</v>
      </c>
      <c r="V7291">
        <v>1</v>
      </c>
      <c r="W7291">
        <v>1</v>
      </c>
      <c r="X7291">
        <v>2</v>
      </c>
      <c r="Y7291">
        <v>0</v>
      </c>
      <c r="Z7291">
        <v>2</v>
      </c>
      <c r="AA7291">
        <v>130.82</v>
      </c>
      <c r="AB7291">
        <v>130.82</v>
      </c>
      <c r="AC7291">
        <v>130.82</v>
      </c>
      <c r="AD7291">
        <v>0</v>
      </c>
      <c r="AE7291">
        <v>0</v>
      </c>
      <c r="AF7291">
        <v>0</v>
      </c>
      <c r="AG7291">
        <v>0</v>
      </c>
      <c r="AH7291">
        <v>0</v>
      </c>
      <c r="AI7291">
        <v>23.55</v>
      </c>
      <c r="AJ7291">
        <v>130.82</v>
      </c>
      <c r="AK7291">
        <v>0</v>
      </c>
      <c r="AL7291" t="s">
        <v>53</v>
      </c>
      <c r="AM7291" t="s">
        <v>53</v>
      </c>
      <c r="AN7291" t="s">
        <v>53</v>
      </c>
      <c r="AO7291" t="s">
        <v>53</v>
      </c>
      <c r="AP7291" t="s">
        <v>53</v>
      </c>
    </row>
    <row r="7292" spans="2:42" x14ac:dyDescent="0.2">
      <c r="B7292" t="s">
        <v>44</v>
      </c>
      <c r="C7292" t="str">
        <f>HYPERLINK("https://us2.cloudbeds.com/connect/8493803454333002#/reservations/9080486847399709?display=3SSXRAASFB&amp;reservation_id=9080486847399709", "3SSXRAASFB")</f>
        <v>3SSXRAASFB</v>
      </c>
      <c r="D7292" t="s">
        <v>45</v>
      </c>
      <c r="E7292" t="s">
        <v>406</v>
      </c>
      <c r="F7292" t="s">
        <v>61</v>
      </c>
      <c r="G7292" t="s">
        <v>48</v>
      </c>
      <c r="H7292" t="s">
        <v>49</v>
      </c>
      <c r="I7292" t="s">
        <v>50</v>
      </c>
      <c r="J7292" t="s">
        <v>12441</v>
      </c>
      <c r="K7292" t="s">
        <v>13140</v>
      </c>
      <c r="L7292" t="s">
        <v>53</v>
      </c>
      <c r="N7292" t="s">
        <v>13266</v>
      </c>
      <c r="P7292" t="s">
        <v>55</v>
      </c>
      <c r="R7292" t="s">
        <v>53</v>
      </c>
      <c r="T7292" t="s">
        <v>13267</v>
      </c>
      <c r="U7292" t="s">
        <v>58</v>
      </c>
      <c r="V7292">
        <v>1</v>
      </c>
      <c r="W7292">
        <v>1</v>
      </c>
      <c r="X7292">
        <v>2</v>
      </c>
      <c r="Y7292">
        <v>0</v>
      </c>
      <c r="Z7292">
        <v>2</v>
      </c>
      <c r="AA7292">
        <v>145</v>
      </c>
      <c r="AB7292">
        <v>145</v>
      </c>
      <c r="AC7292">
        <v>127.58</v>
      </c>
      <c r="AD7292">
        <v>0</v>
      </c>
      <c r="AE7292">
        <v>17.420000000000002</v>
      </c>
      <c r="AF7292">
        <v>0</v>
      </c>
      <c r="AG7292">
        <v>0</v>
      </c>
      <c r="AH7292">
        <v>0</v>
      </c>
      <c r="AI7292">
        <v>26.1</v>
      </c>
      <c r="AJ7292">
        <v>145</v>
      </c>
      <c r="AK7292">
        <v>0</v>
      </c>
      <c r="AL7292" t="s">
        <v>53</v>
      </c>
      <c r="AM7292" t="s">
        <v>53</v>
      </c>
      <c r="AN7292" t="s">
        <v>53</v>
      </c>
      <c r="AO7292" t="s">
        <v>53</v>
      </c>
      <c r="AP7292" t="s">
        <v>53</v>
      </c>
    </row>
    <row r="7293" spans="2:42" x14ac:dyDescent="0.2">
      <c r="B7293" t="s">
        <v>44</v>
      </c>
      <c r="C7293" t="str">
        <f>HYPERLINK("https://us2.cloudbeds.com/connect/8493803454333002#/reservations/9080486847399850?display=3SSQZH8HEB&amp;reservation_id=9080486847399850", "3SSQZH8HEB")</f>
        <v>3SSQZH8HEB</v>
      </c>
      <c r="D7293" t="s">
        <v>45</v>
      </c>
      <c r="E7293" t="s">
        <v>373</v>
      </c>
      <c r="F7293" t="s">
        <v>47</v>
      </c>
      <c r="G7293" t="s">
        <v>48</v>
      </c>
      <c r="H7293" t="s">
        <v>49</v>
      </c>
      <c r="I7293" t="s">
        <v>62</v>
      </c>
      <c r="J7293" t="s">
        <v>12441</v>
      </c>
      <c r="K7293" t="s">
        <v>13140</v>
      </c>
      <c r="L7293" t="s">
        <v>53</v>
      </c>
      <c r="N7293" t="s">
        <v>13268</v>
      </c>
      <c r="P7293" t="s">
        <v>55</v>
      </c>
      <c r="R7293" t="s">
        <v>56</v>
      </c>
      <c r="T7293" t="s">
        <v>13269</v>
      </c>
      <c r="U7293" t="s">
        <v>55</v>
      </c>
      <c r="V7293">
        <v>1</v>
      </c>
      <c r="W7293">
        <v>1</v>
      </c>
      <c r="X7293">
        <v>2</v>
      </c>
      <c r="Y7293">
        <v>0</v>
      </c>
      <c r="Z7293">
        <v>2</v>
      </c>
      <c r="AA7293">
        <v>113.86</v>
      </c>
      <c r="AB7293">
        <v>113.86</v>
      </c>
      <c r="AC7293">
        <v>113.86</v>
      </c>
      <c r="AD7293">
        <v>0</v>
      </c>
      <c r="AE7293">
        <v>0</v>
      </c>
      <c r="AF7293">
        <v>0</v>
      </c>
      <c r="AG7293">
        <v>0</v>
      </c>
      <c r="AH7293">
        <v>0</v>
      </c>
      <c r="AI7293">
        <v>20.49</v>
      </c>
      <c r="AJ7293">
        <v>113.86</v>
      </c>
      <c r="AK7293">
        <v>0</v>
      </c>
      <c r="AL7293" t="s">
        <v>53</v>
      </c>
      <c r="AM7293" t="s">
        <v>53</v>
      </c>
      <c r="AN7293" t="s">
        <v>13270</v>
      </c>
      <c r="AO7293" t="s">
        <v>53</v>
      </c>
      <c r="AP7293" t="s">
        <v>53</v>
      </c>
    </row>
    <row r="7294" spans="2:42" x14ac:dyDescent="0.2">
      <c r="B7294" t="s">
        <v>44</v>
      </c>
      <c r="C7294" t="str">
        <f>HYPERLINK("https://us2.cloudbeds.com/connect/8493803454333002#/reservations/9080486847399877?display=3SSSBT7VPR&amp;reservation_id=9080486847399877", "3SSSBT7VPR")</f>
        <v>3SSSBT7VPR</v>
      </c>
      <c r="D7294" t="s">
        <v>45</v>
      </c>
      <c r="E7294" t="s">
        <v>381</v>
      </c>
      <c r="F7294" t="s">
        <v>47</v>
      </c>
      <c r="G7294" t="s">
        <v>48</v>
      </c>
      <c r="H7294" t="s">
        <v>49</v>
      </c>
      <c r="I7294" t="s">
        <v>50</v>
      </c>
      <c r="J7294" t="s">
        <v>11310</v>
      </c>
      <c r="K7294" t="s">
        <v>11804</v>
      </c>
      <c r="L7294" t="s">
        <v>53</v>
      </c>
      <c r="N7294" t="s">
        <v>13271</v>
      </c>
      <c r="P7294" t="s">
        <v>55</v>
      </c>
      <c r="R7294" t="s">
        <v>53</v>
      </c>
      <c r="T7294" t="s">
        <v>13272</v>
      </c>
      <c r="U7294" t="s">
        <v>58</v>
      </c>
      <c r="V7294">
        <v>1</v>
      </c>
      <c r="W7294">
        <v>1</v>
      </c>
      <c r="X7294">
        <v>2</v>
      </c>
      <c r="Y7294">
        <v>0</v>
      </c>
      <c r="Z7294">
        <v>2</v>
      </c>
      <c r="AA7294">
        <v>85.46</v>
      </c>
      <c r="AB7294">
        <v>85.46</v>
      </c>
      <c r="AC7294">
        <v>75.2</v>
      </c>
      <c r="AD7294">
        <v>0</v>
      </c>
      <c r="AE7294">
        <v>10.26</v>
      </c>
      <c r="AF7294">
        <v>0</v>
      </c>
      <c r="AG7294">
        <v>0</v>
      </c>
      <c r="AH7294">
        <v>0</v>
      </c>
      <c r="AI7294">
        <v>15.38</v>
      </c>
      <c r="AJ7294">
        <v>85.46</v>
      </c>
      <c r="AK7294">
        <v>0</v>
      </c>
      <c r="AL7294" t="s">
        <v>53</v>
      </c>
      <c r="AM7294" t="s">
        <v>53</v>
      </c>
      <c r="AN7294" t="s">
        <v>53</v>
      </c>
      <c r="AO7294" t="s">
        <v>53</v>
      </c>
      <c r="AP7294" t="s">
        <v>53</v>
      </c>
    </row>
    <row r="7295" spans="2:42" x14ac:dyDescent="0.2">
      <c r="B7295" t="s">
        <v>44</v>
      </c>
      <c r="C7295" t="str">
        <f>HYPERLINK("https://us2.cloudbeds.com/connect/8493803454333002#/reservations/9080486847399996?display=3ST0UNSUM1&amp;reservation_id=9080486847399996", "3ST0UNSUM1")</f>
        <v>3ST0UNSUM1</v>
      </c>
      <c r="D7295" t="s">
        <v>45</v>
      </c>
      <c r="E7295" t="s">
        <v>138</v>
      </c>
      <c r="F7295" t="s">
        <v>70</v>
      </c>
      <c r="G7295" t="s">
        <v>48</v>
      </c>
      <c r="H7295" t="s">
        <v>49</v>
      </c>
      <c r="I7295" t="s">
        <v>50</v>
      </c>
      <c r="J7295" t="s">
        <v>11804</v>
      </c>
      <c r="K7295" t="s">
        <v>11521</v>
      </c>
      <c r="L7295" t="s">
        <v>53</v>
      </c>
      <c r="N7295" t="s">
        <v>13273</v>
      </c>
      <c r="P7295" t="s">
        <v>55</v>
      </c>
      <c r="R7295" t="s">
        <v>53</v>
      </c>
      <c r="T7295" t="s">
        <v>13274</v>
      </c>
      <c r="U7295" t="s">
        <v>58</v>
      </c>
      <c r="V7295">
        <v>1</v>
      </c>
      <c r="W7295">
        <v>1</v>
      </c>
      <c r="X7295">
        <v>1</v>
      </c>
      <c r="Y7295">
        <v>0</v>
      </c>
      <c r="Z7295">
        <v>1</v>
      </c>
      <c r="AA7295">
        <v>63.64</v>
      </c>
      <c r="AB7295">
        <v>63.64</v>
      </c>
      <c r="AC7295">
        <v>56</v>
      </c>
      <c r="AD7295">
        <v>0</v>
      </c>
      <c r="AE7295">
        <v>7.64</v>
      </c>
      <c r="AF7295">
        <v>0</v>
      </c>
      <c r="AG7295">
        <v>0</v>
      </c>
      <c r="AH7295">
        <v>0</v>
      </c>
      <c r="AI7295">
        <v>11.46</v>
      </c>
      <c r="AJ7295">
        <v>63.64</v>
      </c>
      <c r="AK7295">
        <v>0</v>
      </c>
      <c r="AL7295" t="s">
        <v>53</v>
      </c>
      <c r="AM7295" t="s">
        <v>53</v>
      </c>
      <c r="AN7295" t="s">
        <v>53</v>
      </c>
      <c r="AO7295" t="s">
        <v>53</v>
      </c>
      <c r="AP7295" t="s">
        <v>53</v>
      </c>
    </row>
    <row r="7296" spans="2:42" x14ac:dyDescent="0.2">
      <c r="B7296" t="s">
        <v>44</v>
      </c>
      <c r="C7296" t="str">
        <f>HYPERLINK("https://us2.cloudbeds.com/connect/8493803454333002#/reservations/9080486847400266?display=3STEUFJR6M&amp;reservation_id=9080486847400266", "3STEUFJR6M")</f>
        <v>3STEUFJR6M</v>
      </c>
      <c r="D7296" t="s">
        <v>45</v>
      </c>
      <c r="E7296" t="s">
        <v>165</v>
      </c>
      <c r="F7296" t="s">
        <v>61</v>
      </c>
      <c r="G7296" t="s">
        <v>48</v>
      </c>
      <c r="H7296" t="s">
        <v>49</v>
      </c>
      <c r="I7296" t="s">
        <v>50</v>
      </c>
      <c r="J7296" t="s">
        <v>12424</v>
      </c>
      <c r="K7296" t="s">
        <v>13275</v>
      </c>
      <c r="L7296" t="s">
        <v>53</v>
      </c>
      <c r="N7296" t="s">
        <v>13276</v>
      </c>
      <c r="P7296" t="s">
        <v>55</v>
      </c>
      <c r="R7296" t="s">
        <v>53</v>
      </c>
      <c r="T7296" t="s">
        <v>13277</v>
      </c>
      <c r="U7296" t="s">
        <v>58</v>
      </c>
      <c r="V7296">
        <v>2</v>
      </c>
      <c r="W7296">
        <v>1</v>
      </c>
      <c r="X7296">
        <v>2</v>
      </c>
      <c r="Y7296">
        <v>0</v>
      </c>
      <c r="Z7296">
        <v>2</v>
      </c>
      <c r="AA7296">
        <v>199.53</v>
      </c>
      <c r="AB7296">
        <v>199.53</v>
      </c>
      <c r="AC7296">
        <v>175.56</v>
      </c>
      <c r="AD7296">
        <v>0</v>
      </c>
      <c r="AE7296">
        <v>23.97</v>
      </c>
      <c r="AF7296">
        <v>0</v>
      </c>
      <c r="AG7296">
        <v>0</v>
      </c>
      <c r="AH7296">
        <v>0</v>
      </c>
      <c r="AI7296">
        <v>35.92</v>
      </c>
      <c r="AJ7296">
        <v>199.53</v>
      </c>
      <c r="AK7296">
        <v>0</v>
      </c>
      <c r="AL7296" t="s">
        <v>53</v>
      </c>
      <c r="AM7296" t="s">
        <v>53</v>
      </c>
      <c r="AN7296" t="s">
        <v>13278</v>
      </c>
      <c r="AO7296" t="s">
        <v>53</v>
      </c>
      <c r="AP7296" t="s">
        <v>53</v>
      </c>
    </row>
    <row r="7297" spans="2:42" x14ac:dyDescent="0.2">
      <c r="B7297" t="s">
        <v>44</v>
      </c>
      <c r="C7297" t="str">
        <f>HYPERLINK("https://us2.cloudbeds.com/connect/8493803454333002#/reservations/9080486847400485?display=3STPWBTE6E&amp;reservation_id=9080486847400485", "3STPWBTE6E")</f>
        <v>3STPWBTE6E</v>
      </c>
      <c r="D7297" t="s">
        <v>45</v>
      </c>
      <c r="E7297" t="s">
        <v>46</v>
      </c>
      <c r="F7297" t="s">
        <v>47</v>
      </c>
      <c r="G7297" t="s">
        <v>48</v>
      </c>
      <c r="H7297" t="s">
        <v>49</v>
      </c>
      <c r="I7297" t="s">
        <v>62</v>
      </c>
      <c r="J7297" t="s">
        <v>11804</v>
      </c>
      <c r="K7297" t="s">
        <v>11884</v>
      </c>
      <c r="L7297" t="s">
        <v>53</v>
      </c>
      <c r="N7297" t="s">
        <v>13279</v>
      </c>
      <c r="P7297" t="s">
        <v>55</v>
      </c>
      <c r="R7297" t="s">
        <v>56</v>
      </c>
      <c r="T7297" t="s">
        <v>13280</v>
      </c>
      <c r="U7297" t="s">
        <v>55</v>
      </c>
      <c r="V7297">
        <v>2</v>
      </c>
      <c r="W7297">
        <v>1</v>
      </c>
      <c r="X7297">
        <v>2</v>
      </c>
      <c r="Y7297">
        <v>0</v>
      </c>
      <c r="Z7297">
        <v>2</v>
      </c>
      <c r="AA7297">
        <v>155.55000000000001</v>
      </c>
      <c r="AB7297">
        <v>155.55000000000001</v>
      </c>
      <c r="AC7297">
        <v>155.55000000000001</v>
      </c>
      <c r="AD7297">
        <v>0</v>
      </c>
      <c r="AE7297">
        <v>0</v>
      </c>
      <c r="AF7297">
        <v>0</v>
      </c>
      <c r="AG7297">
        <v>0</v>
      </c>
      <c r="AH7297">
        <v>0</v>
      </c>
      <c r="AI7297">
        <v>28</v>
      </c>
      <c r="AJ7297">
        <v>155.55000000000001</v>
      </c>
      <c r="AK7297">
        <v>0</v>
      </c>
      <c r="AL7297" t="s">
        <v>53</v>
      </c>
      <c r="AM7297" t="s">
        <v>53</v>
      </c>
      <c r="AN7297" t="s">
        <v>53</v>
      </c>
      <c r="AO7297" t="s">
        <v>53</v>
      </c>
      <c r="AP7297" t="s">
        <v>53</v>
      </c>
    </row>
    <row r="7298" spans="2:42" x14ac:dyDescent="0.2">
      <c r="B7298" t="s">
        <v>44</v>
      </c>
      <c r="C7298" t="str">
        <f>HYPERLINK("https://us2.cloudbeds.com/connect/8493803454333002#/reservations/9080486847400510?display=3STQJM8GG8&amp;reservation_id=9080486847400510", "3STQJM8GG8")</f>
        <v>3STQJM8GG8</v>
      </c>
      <c r="D7298" t="s">
        <v>45</v>
      </c>
      <c r="E7298" t="s">
        <v>213</v>
      </c>
      <c r="F7298" t="s">
        <v>86</v>
      </c>
      <c r="G7298" t="s">
        <v>48</v>
      </c>
      <c r="H7298" t="s">
        <v>49</v>
      </c>
      <c r="I7298" t="s">
        <v>62</v>
      </c>
      <c r="J7298" t="s">
        <v>11884</v>
      </c>
      <c r="K7298" t="s">
        <v>12350</v>
      </c>
      <c r="L7298" t="s">
        <v>53</v>
      </c>
      <c r="N7298" t="s">
        <v>13281</v>
      </c>
      <c r="P7298" t="s">
        <v>55</v>
      </c>
      <c r="R7298" t="s">
        <v>56</v>
      </c>
      <c r="T7298" t="s">
        <v>13282</v>
      </c>
      <c r="U7298" t="s">
        <v>55</v>
      </c>
      <c r="V7298">
        <v>1</v>
      </c>
      <c r="W7298">
        <v>1</v>
      </c>
      <c r="X7298">
        <v>2</v>
      </c>
      <c r="Y7298">
        <v>1</v>
      </c>
      <c r="Z7298">
        <v>3</v>
      </c>
      <c r="AA7298">
        <v>93.5</v>
      </c>
      <c r="AB7298">
        <v>93.5</v>
      </c>
      <c r="AC7298">
        <v>93.5</v>
      </c>
      <c r="AD7298">
        <v>0</v>
      </c>
      <c r="AE7298">
        <v>0</v>
      </c>
      <c r="AF7298">
        <v>0</v>
      </c>
      <c r="AG7298">
        <v>0</v>
      </c>
      <c r="AH7298">
        <v>0</v>
      </c>
      <c r="AI7298">
        <v>16.829999999999998</v>
      </c>
      <c r="AJ7298">
        <v>93.5</v>
      </c>
      <c r="AK7298">
        <v>0</v>
      </c>
      <c r="AL7298" t="s">
        <v>53</v>
      </c>
      <c r="AM7298" t="s">
        <v>53</v>
      </c>
      <c r="AN7298" t="s">
        <v>13283</v>
      </c>
      <c r="AO7298" t="s">
        <v>53</v>
      </c>
      <c r="AP7298" t="s">
        <v>53</v>
      </c>
    </row>
    <row r="7299" spans="2:42" x14ac:dyDescent="0.2">
      <c r="B7299" t="s">
        <v>44</v>
      </c>
      <c r="C7299" t="str">
        <f>HYPERLINK("https://us2.cloudbeds.com/connect/8493803454333002#/reservations/9080486847403030?display=3T06NRWA69&amp;reservation_id=9080486847403030", "3T06NRWA69")</f>
        <v>3T06NRWA69</v>
      </c>
      <c r="D7299" t="s">
        <v>45</v>
      </c>
      <c r="E7299" t="s">
        <v>78</v>
      </c>
      <c r="F7299" t="s">
        <v>61</v>
      </c>
      <c r="G7299" t="s">
        <v>48</v>
      </c>
      <c r="H7299" t="s">
        <v>49</v>
      </c>
      <c r="I7299" t="s">
        <v>62</v>
      </c>
      <c r="J7299" t="s">
        <v>11482</v>
      </c>
      <c r="K7299" t="s">
        <v>10170</v>
      </c>
      <c r="L7299" t="s">
        <v>53</v>
      </c>
      <c r="N7299" t="s">
        <v>13284</v>
      </c>
      <c r="P7299" t="s">
        <v>55</v>
      </c>
      <c r="R7299" t="s">
        <v>56</v>
      </c>
      <c r="T7299" t="s">
        <v>13285</v>
      </c>
      <c r="U7299" t="s">
        <v>55</v>
      </c>
      <c r="V7299">
        <v>2</v>
      </c>
      <c r="W7299">
        <v>1</v>
      </c>
      <c r="X7299">
        <v>1</v>
      </c>
      <c r="Y7299">
        <v>1</v>
      </c>
      <c r="Z7299">
        <v>2</v>
      </c>
      <c r="AA7299">
        <v>338.3</v>
      </c>
      <c r="AB7299">
        <v>338.3</v>
      </c>
      <c r="AC7299">
        <v>338.3</v>
      </c>
      <c r="AD7299">
        <v>0</v>
      </c>
      <c r="AE7299">
        <v>0</v>
      </c>
      <c r="AF7299">
        <v>0</v>
      </c>
      <c r="AG7299">
        <v>0</v>
      </c>
      <c r="AH7299">
        <v>0</v>
      </c>
      <c r="AI7299">
        <v>60.89</v>
      </c>
      <c r="AJ7299">
        <v>338.3</v>
      </c>
      <c r="AK7299">
        <v>0</v>
      </c>
      <c r="AL7299" t="s">
        <v>53</v>
      </c>
      <c r="AM7299" t="s">
        <v>53</v>
      </c>
      <c r="AN7299" t="s">
        <v>53</v>
      </c>
      <c r="AO7299" t="s">
        <v>53</v>
      </c>
      <c r="AP7299" t="s">
        <v>53</v>
      </c>
    </row>
    <row r="7300" spans="2:42" x14ac:dyDescent="0.2">
      <c r="B7300" t="s">
        <v>44</v>
      </c>
      <c r="C7300" t="str">
        <f>HYPERLINK("https://us2.cloudbeds.com/connect/8493803454333002#/reservations/9080486847403564?display=3T0NJ0PQY1&amp;reservation_id=9080486847403564", "3T0NJ0PQY1")</f>
        <v>3T0NJ0PQY1</v>
      </c>
      <c r="D7300" t="s">
        <v>45</v>
      </c>
      <c r="E7300" t="s">
        <v>381</v>
      </c>
      <c r="F7300" t="s">
        <v>47</v>
      </c>
      <c r="G7300" t="s">
        <v>48</v>
      </c>
      <c r="H7300" t="s">
        <v>49</v>
      </c>
      <c r="I7300" t="s">
        <v>50</v>
      </c>
      <c r="J7300" t="s">
        <v>11884</v>
      </c>
      <c r="K7300" t="s">
        <v>12144</v>
      </c>
      <c r="L7300" t="s">
        <v>53</v>
      </c>
      <c r="N7300" t="s">
        <v>13286</v>
      </c>
      <c r="P7300" t="s">
        <v>55</v>
      </c>
      <c r="R7300" t="s">
        <v>53</v>
      </c>
      <c r="T7300" t="s">
        <v>13287</v>
      </c>
      <c r="U7300" t="s">
        <v>58</v>
      </c>
      <c r="V7300">
        <v>2</v>
      </c>
      <c r="W7300">
        <v>1</v>
      </c>
      <c r="X7300">
        <v>2</v>
      </c>
      <c r="Y7300">
        <v>0</v>
      </c>
      <c r="Z7300">
        <v>2</v>
      </c>
      <c r="AA7300">
        <v>164.24</v>
      </c>
      <c r="AB7300">
        <v>737.09</v>
      </c>
      <c r="AC7300">
        <v>144.5</v>
      </c>
      <c r="AD7300">
        <v>0</v>
      </c>
      <c r="AE7300">
        <v>19.739999999999998</v>
      </c>
      <c r="AF7300">
        <v>0</v>
      </c>
      <c r="AG7300">
        <v>0</v>
      </c>
      <c r="AH7300">
        <v>0</v>
      </c>
      <c r="AI7300">
        <v>29.56</v>
      </c>
      <c r="AJ7300">
        <v>164.24</v>
      </c>
      <c r="AK7300">
        <v>0.81</v>
      </c>
      <c r="AL7300" t="s">
        <v>53</v>
      </c>
      <c r="AM7300" t="s">
        <v>53</v>
      </c>
      <c r="AN7300" t="s">
        <v>13288</v>
      </c>
      <c r="AO7300" t="s">
        <v>53</v>
      </c>
      <c r="AP7300" t="s">
        <v>53</v>
      </c>
    </row>
    <row r="7301" spans="2:42" x14ac:dyDescent="0.2">
      <c r="B7301" t="s">
        <v>44</v>
      </c>
      <c r="C7301" t="str">
        <f>HYPERLINK("https://us2.cloudbeds.com/connect/8493803454333002#/reservations/9080486847404006?display=3T15JMH2CP&amp;reservation_id=9080486847404006", "3T15JMH2CP")</f>
        <v>3T15JMH2CP</v>
      </c>
      <c r="D7301" t="s">
        <v>45</v>
      </c>
      <c r="E7301" t="s">
        <v>78</v>
      </c>
      <c r="F7301" t="s">
        <v>61</v>
      </c>
      <c r="G7301" t="s">
        <v>48</v>
      </c>
      <c r="H7301" t="s">
        <v>49</v>
      </c>
      <c r="I7301" t="s">
        <v>50</v>
      </c>
      <c r="J7301" t="s">
        <v>12269</v>
      </c>
      <c r="K7301" t="s">
        <v>13140</v>
      </c>
      <c r="L7301" t="s">
        <v>53</v>
      </c>
      <c r="N7301" t="s">
        <v>13289</v>
      </c>
      <c r="P7301" t="s">
        <v>55</v>
      </c>
      <c r="R7301" t="s">
        <v>53</v>
      </c>
      <c r="T7301" t="s">
        <v>13290</v>
      </c>
      <c r="U7301" t="s">
        <v>58</v>
      </c>
      <c r="V7301">
        <v>3</v>
      </c>
      <c r="W7301">
        <v>1</v>
      </c>
      <c r="X7301">
        <v>2</v>
      </c>
      <c r="Y7301">
        <v>0</v>
      </c>
      <c r="Z7301">
        <v>2</v>
      </c>
      <c r="AA7301">
        <v>431.31</v>
      </c>
      <c r="AB7301">
        <v>431.31</v>
      </c>
      <c r="AC7301">
        <v>379.52</v>
      </c>
      <c r="AD7301">
        <v>0</v>
      </c>
      <c r="AE7301">
        <v>51.79</v>
      </c>
      <c r="AF7301">
        <v>0</v>
      </c>
      <c r="AG7301">
        <v>0</v>
      </c>
      <c r="AH7301">
        <v>0</v>
      </c>
      <c r="AI7301">
        <v>77.64</v>
      </c>
      <c r="AJ7301">
        <v>431.31</v>
      </c>
      <c r="AK7301">
        <v>0</v>
      </c>
      <c r="AL7301" t="s">
        <v>53</v>
      </c>
      <c r="AM7301" t="s">
        <v>53</v>
      </c>
      <c r="AN7301" t="s">
        <v>13291</v>
      </c>
      <c r="AO7301" t="s">
        <v>53</v>
      </c>
      <c r="AP7301" t="s">
        <v>53</v>
      </c>
    </row>
    <row r="7302" spans="2:42" x14ac:dyDescent="0.2">
      <c r="B7302" t="s">
        <v>44</v>
      </c>
      <c r="C7302" t="str">
        <f>HYPERLINK("https://us2.cloudbeds.com/connect/8493803454333002#/reservations/9080486847404031?display=3T16DUUT6Q&amp;reservation_id=9080486847404031", "3T16DUUT6Q")</f>
        <v>3T16DUUT6Q</v>
      </c>
      <c r="D7302" t="s">
        <v>45</v>
      </c>
      <c r="E7302" t="s">
        <v>185</v>
      </c>
      <c r="F7302" t="s">
        <v>47</v>
      </c>
      <c r="G7302" t="s">
        <v>48</v>
      </c>
      <c r="H7302" t="s">
        <v>49</v>
      </c>
      <c r="I7302" t="s">
        <v>50</v>
      </c>
      <c r="J7302" t="s">
        <v>12144</v>
      </c>
      <c r="K7302" t="s">
        <v>11482</v>
      </c>
      <c r="L7302" t="s">
        <v>53</v>
      </c>
      <c r="N7302" t="s">
        <v>13292</v>
      </c>
      <c r="P7302" t="s">
        <v>55</v>
      </c>
      <c r="R7302" t="s">
        <v>53</v>
      </c>
      <c r="T7302" t="s">
        <v>13293</v>
      </c>
      <c r="U7302" t="s">
        <v>58</v>
      </c>
      <c r="V7302">
        <v>1</v>
      </c>
      <c r="W7302">
        <v>1</v>
      </c>
      <c r="X7302">
        <v>2</v>
      </c>
      <c r="Y7302">
        <v>0</v>
      </c>
      <c r="Z7302">
        <v>2</v>
      </c>
      <c r="AA7302">
        <v>87.96</v>
      </c>
      <c r="AB7302">
        <v>87.96</v>
      </c>
      <c r="AC7302">
        <v>77.400000000000006</v>
      </c>
      <c r="AD7302">
        <v>0</v>
      </c>
      <c r="AE7302">
        <v>10.56</v>
      </c>
      <c r="AF7302">
        <v>0</v>
      </c>
      <c r="AG7302">
        <v>0</v>
      </c>
      <c r="AH7302">
        <v>0</v>
      </c>
      <c r="AI7302">
        <v>15.83</v>
      </c>
      <c r="AJ7302">
        <v>87.96</v>
      </c>
      <c r="AK7302">
        <v>0</v>
      </c>
      <c r="AL7302" t="s">
        <v>53</v>
      </c>
      <c r="AM7302" t="s">
        <v>53</v>
      </c>
      <c r="AN7302" t="s">
        <v>13294</v>
      </c>
      <c r="AO7302" t="s">
        <v>53</v>
      </c>
      <c r="AP7302" t="s">
        <v>53</v>
      </c>
    </row>
    <row r="7303" spans="2:42" x14ac:dyDescent="0.2">
      <c r="B7303" t="s">
        <v>44</v>
      </c>
      <c r="C7303" t="str">
        <f>HYPERLINK("https://us2.cloudbeds.com/connect/8493803454333002#/reservations/9080486847404826?display=3T207QUSK7&amp;reservation_id=9080486847404826", "3T207QUSK7")</f>
        <v>3T207QUSK7</v>
      </c>
      <c r="D7303" t="s">
        <v>45</v>
      </c>
      <c r="E7303" t="s">
        <v>110</v>
      </c>
      <c r="F7303" t="s">
        <v>47</v>
      </c>
      <c r="G7303" t="s">
        <v>48</v>
      </c>
      <c r="H7303" t="s">
        <v>49</v>
      </c>
      <c r="I7303" t="s">
        <v>50</v>
      </c>
      <c r="J7303" t="s">
        <v>12350</v>
      </c>
      <c r="K7303" t="s">
        <v>12144</v>
      </c>
      <c r="L7303" t="s">
        <v>53</v>
      </c>
      <c r="N7303" t="s">
        <v>13295</v>
      </c>
      <c r="P7303" t="s">
        <v>55</v>
      </c>
      <c r="R7303" t="s">
        <v>53</v>
      </c>
      <c r="T7303" t="s">
        <v>13296</v>
      </c>
      <c r="U7303" t="s">
        <v>58</v>
      </c>
      <c r="V7303">
        <v>1</v>
      </c>
      <c r="W7303">
        <v>1</v>
      </c>
      <c r="X7303">
        <v>2</v>
      </c>
      <c r="Y7303">
        <v>0</v>
      </c>
      <c r="Z7303">
        <v>2</v>
      </c>
      <c r="AA7303">
        <v>82.12</v>
      </c>
      <c r="AB7303">
        <v>82.12</v>
      </c>
      <c r="AC7303">
        <v>72.25</v>
      </c>
      <c r="AD7303">
        <v>0</v>
      </c>
      <c r="AE7303">
        <v>9.8699999999999992</v>
      </c>
      <c r="AF7303">
        <v>0</v>
      </c>
      <c r="AG7303">
        <v>0</v>
      </c>
      <c r="AH7303">
        <v>0</v>
      </c>
      <c r="AI7303">
        <v>14.78</v>
      </c>
      <c r="AJ7303">
        <v>82.12</v>
      </c>
      <c r="AK7303">
        <v>0</v>
      </c>
      <c r="AL7303" t="s">
        <v>53</v>
      </c>
      <c r="AM7303" t="s">
        <v>53</v>
      </c>
      <c r="AN7303" t="s">
        <v>53</v>
      </c>
      <c r="AO7303" t="s">
        <v>53</v>
      </c>
      <c r="AP7303" t="s">
        <v>53</v>
      </c>
    </row>
    <row r="7304" spans="2:42" x14ac:dyDescent="0.2">
      <c r="B7304" t="s">
        <v>44</v>
      </c>
      <c r="C7304" t="str">
        <f>HYPERLINK("https://us2.cloudbeds.com/connect/8493803454333002#/reservations/180116458016936?display=3T28EWBB3M&amp;reservation_id=180116458016936", "3T28EWBB3M")</f>
        <v>3T28EWBB3M</v>
      </c>
      <c r="D7304" t="s">
        <v>45</v>
      </c>
      <c r="E7304" t="s">
        <v>381</v>
      </c>
      <c r="F7304" t="s">
        <v>47</v>
      </c>
      <c r="G7304" t="s">
        <v>48</v>
      </c>
      <c r="H7304" t="s">
        <v>3957</v>
      </c>
      <c r="I7304" t="s">
        <v>3975</v>
      </c>
      <c r="J7304" t="s">
        <v>11804</v>
      </c>
      <c r="K7304" t="s">
        <v>11521</v>
      </c>
      <c r="L7304" t="s">
        <v>53</v>
      </c>
      <c r="P7304" t="s">
        <v>55</v>
      </c>
      <c r="R7304" t="s">
        <v>56</v>
      </c>
      <c r="T7304" t="s">
        <v>13297</v>
      </c>
      <c r="U7304" t="s">
        <v>58</v>
      </c>
      <c r="V7304">
        <v>1</v>
      </c>
      <c r="W7304">
        <v>1</v>
      </c>
      <c r="X7304">
        <v>2</v>
      </c>
      <c r="Y7304">
        <v>0</v>
      </c>
      <c r="Z7304">
        <v>2</v>
      </c>
      <c r="AA7304">
        <v>79.56</v>
      </c>
      <c r="AB7304">
        <v>79.56</v>
      </c>
      <c r="AC7304">
        <v>70</v>
      </c>
      <c r="AD7304">
        <v>0</v>
      </c>
      <c r="AE7304">
        <v>9.56</v>
      </c>
      <c r="AF7304">
        <v>0</v>
      </c>
      <c r="AG7304">
        <v>0</v>
      </c>
      <c r="AH7304">
        <v>0</v>
      </c>
      <c r="AI7304">
        <v>0</v>
      </c>
      <c r="AJ7304">
        <v>79.56</v>
      </c>
      <c r="AK7304">
        <v>0</v>
      </c>
      <c r="AL7304" t="s">
        <v>53</v>
      </c>
      <c r="AM7304" t="s">
        <v>53</v>
      </c>
      <c r="AN7304" t="s">
        <v>53</v>
      </c>
      <c r="AO7304" t="s">
        <v>53</v>
      </c>
      <c r="AP7304" t="s">
        <v>53</v>
      </c>
    </row>
    <row r="7305" spans="2:42" x14ac:dyDescent="0.2">
      <c r="B7305" t="s">
        <v>44</v>
      </c>
      <c r="C7305" t="str">
        <f>HYPERLINK("https://us2.cloudbeds.com/connect/8493803454333002#/reservations/9080486847405222?display=3T2EQJVQR5&amp;reservation_id=9080486847405222", "3T2EQJVQR5")</f>
        <v>3T2EQJVQR5</v>
      </c>
      <c r="D7305" t="s">
        <v>45</v>
      </c>
      <c r="E7305" t="s">
        <v>487</v>
      </c>
      <c r="F7305" t="s">
        <v>61</v>
      </c>
      <c r="G7305" t="s">
        <v>48</v>
      </c>
      <c r="H7305" t="s">
        <v>49</v>
      </c>
      <c r="I7305" t="s">
        <v>8964</v>
      </c>
      <c r="J7305" t="s">
        <v>11804</v>
      </c>
      <c r="K7305" t="s">
        <v>11521</v>
      </c>
      <c r="L7305" t="s">
        <v>53</v>
      </c>
      <c r="N7305" t="s">
        <v>13298</v>
      </c>
      <c r="P7305" t="s">
        <v>55</v>
      </c>
      <c r="R7305" t="s">
        <v>53</v>
      </c>
      <c r="T7305" t="s">
        <v>13299</v>
      </c>
      <c r="U7305" t="s">
        <v>55</v>
      </c>
      <c r="V7305">
        <v>1</v>
      </c>
      <c r="W7305">
        <v>1</v>
      </c>
      <c r="X7305">
        <v>2</v>
      </c>
      <c r="Y7305">
        <v>0</v>
      </c>
      <c r="Z7305">
        <v>2</v>
      </c>
      <c r="AA7305">
        <v>0</v>
      </c>
      <c r="AB7305">
        <v>0</v>
      </c>
      <c r="AC7305">
        <v>102</v>
      </c>
      <c r="AD7305">
        <v>0</v>
      </c>
      <c r="AE7305">
        <v>0</v>
      </c>
      <c r="AF7305">
        <v>0</v>
      </c>
      <c r="AG7305">
        <v>0</v>
      </c>
      <c r="AH7305">
        <v>0</v>
      </c>
      <c r="AI7305">
        <v>15.3</v>
      </c>
      <c r="AJ7305">
        <v>102</v>
      </c>
      <c r="AK7305">
        <v>102</v>
      </c>
      <c r="AL7305" t="s">
        <v>53</v>
      </c>
      <c r="AM7305" t="s">
        <v>53</v>
      </c>
      <c r="AN7305" t="s">
        <v>53</v>
      </c>
      <c r="AO7305" t="s">
        <v>53</v>
      </c>
      <c r="AP7305" t="s">
        <v>53</v>
      </c>
    </row>
    <row r="7306" spans="2:42" x14ac:dyDescent="0.2">
      <c r="B7306" t="s">
        <v>44</v>
      </c>
      <c r="C7306" t="str">
        <f>HYPERLINK("https://us2.cloudbeds.com/connect/8493803454333002#/reservations/9080486847405246?display=3T2FP28DVT&amp;reservation_id=9080486847405246", "3T2FP28DVT")</f>
        <v>3T2FP28DVT</v>
      </c>
      <c r="D7306" t="s">
        <v>45</v>
      </c>
      <c r="E7306" t="s">
        <v>85</v>
      </c>
      <c r="F7306" t="s">
        <v>86</v>
      </c>
      <c r="G7306" t="s">
        <v>48</v>
      </c>
      <c r="H7306" t="s">
        <v>49</v>
      </c>
      <c r="I7306" t="s">
        <v>62</v>
      </c>
      <c r="J7306" t="s">
        <v>12144</v>
      </c>
      <c r="K7306" t="s">
        <v>11482</v>
      </c>
      <c r="L7306" t="s">
        <v>53</v>
      </c>
      <c r="N7306" t="s">
        <v>13300</v>
      </c>
      <c r="P7306" t="s">
        <v>55</v>
      </c>
      <c r="R7306" t="s">
        <v>56</v>
      </c>
      <c r="T7306" t="s">
        <v>13301</v>
      </c>
      <c r="U7306" t="s">
        <v>55</v>
      </c>
      <c r="V7306">
        <v>1</v>
      </c>
      <c r="W7306">
        <v>1</v>
      </c>
      <c r="X7306">
        <v>2</v>
      </c>
      <c r="Y7306">
        <v>2</v>
      </c>
      <c r="Z7306">
        <v>4</v>
      </c>
      <c r="AA7306">
        <v>93.5</v>
      </c>
      <c r="AB7306">
        <v>93.5</v>
      </c>
      <c r="AC7306">
        <v>93.5</v>
      </c>
      <c r="AD7306">
        <v>0</v>
      </c>
      <c r="AE7306">
        <v>0</v>
      </c>
      <c r="AF7306">
        <v>0</v>
      </c>
      <c r="AG7306">
        <v>0</v>
      </c>
      <c r="AH7306">
        <v>0</v>
      </c>
      <c r="AI7306">
        <v>16.829999999999998</v>
      </c>
      <c r="AJ7306">
        <v>93.5</v>
      </c>
      <c r="AK7306">
        <v>0</v>
      </c>
      <c r="AL7306" t="s">
        <v>53</v>
      </c>
      <c r="AM7306" t="s">
        <v>53</v>
      </c>
      <c r="AN7306" t="s">
        <v>53</v>
      </c>
      <c r="AO7306" t="s">
        <v>53</v>
      </c>
      <c r="AP7306" t="s">
        <v>53</v>
      </c>
    </row>
    <row r="7307" spans="2:42" x14ac:dyDescent="0.2">
      <c r="B7307" t="s">
        <v>44</v>
      </c>
      <c r="C7307" t="str">
        <f>HYPERLINK("https://us2.cloudbeds.com/connect/8493803454333002#/reservations/9080486847405332?display=3T2XWS9EUA&amp;reservation_id=9080486847405332", "3T2XWS9EUA")</f>
        <v>3T2XWS9EUA</v>
      </c>
      <c r="D7307" t="s">
        <v>45</v>
      </c>
      <c r="E7307" t="s">
        <v>305</v>
      </c>
      <c r="F7307" t="s">
        <v>61</v>
      </c>
      <c r="G7307" t="s">
        <v>48</v>
      </c>
      <c r="H7307" t="s">
        <v>49</v>
      </c>
      <c r="I7307" t="s">
        <v>8964</v>
      </c>
      <c r="J7307" t="s">
        <v>12144</v>
      </c>
      <c r="K7307" t="s">
        <v>10170</v>
      </c>
      <c r="L7307" t="s">
        <v>53</v>
      </c>
      <c r="N7307" t="s">
        <v>13302</v>
      </c>
      <c r="P7307" t="s">
        <v>55</v>
      </c>
      <c r="R7307" t="s">
        <v>53</v>
      </c>
      <c r="T7307" t="s">
        <v>13303</v>
      </c>
      <c r="U7307" t="s">
        <v>55</v>
      </c>
      <c r="V7307">
        <v>3</v>
      </c>
      <c r="W7307">
        <v>1</v>
      </c>
      <c r="X7307">
        <v>2</v>
      </c>
      <c r="Y7307">
        <v>0</v>
      </c>
      <c r="Z7307">
        <v>2</v>
      </c>
      <c r="AA7307">
        <v>0</v>
      </c>
      <c r="AB7307">
        <v>0</v>
      </c>
      <c r="AC7307">
        <v>502</v>
      </c>
      <c r="AD7307">
        <v>0</v>
      </c>
      <c r="AE7307">
        <v>0</v>
      </c>
      <c r="AF7307">
        <v>0</v>
      </c>
      <c r="AG7307">
        <v>0</v>
      </c>
      <c r="AH7307">
        <v>0</v>
      </c>
      <c r="AI7307">
        <v>75.3</v>
      </c>
      <c r="AJ7307">
        <v>502</v>
      </c>
      <c r="AK7307">
        <v>502</v>
      </c>
      <c r="AL7307" t="s">
        <v>53</v>
      </c>
      <c r="AM7307" t="s">
        <v>53</v>
      </c>
      <c r="AN7307" t="s">
        <v>53</v>
      </c>
      <c r="AO7307" t="s">
        <v>53</v>
      </c>
      <c r="AP7307" t="s">
        <v>53</v>
      </c>
    </row>
    <row r="7308" spans="2:42" x14ac:dyDescent="0.2">
      <c r="B7308" t="s">
        <v>44</v>
      </c>
      <c r="C7308" t="str">
        <f>HYPERLINK("https://us2.cloudbeds.com/connect/8493803454333002#/reservations/9080486847405721?display=3T32EMTTF5&amp;reservation_id=9080486847405721", "3T32EMTTF5")</f>
        <v>3T32EMTTF5</v>
      </c>
      <c r="D7308" t="s">
        <v>45</v>
      </c>
      <c r="E7308" t="s">
        <v>185</v>
      </c>
      <c r="F7308" t="s">
        <v>47</v>
      </c>
      <c r="G7308" t="s">
        <v>48</v>
      </c>
      <c r="H7308" t="s">
        <v>49</v>
      </c>
      <c r="I7308" t="s">
        <v>62</v>
      </c>
      <c r="J7308" t="s">
        <v>12269</v>
      </c>
      <c r="K7308" t="s">
        <v>12420</v>
      </c>
      <c r="L7308" t="s">
        <v>53</v>
      </c>
      <c r="N7308" t="s">
        <v>13304</v>
      </c>
      <c r="P7308" t="s">
        <v>55</v>
      </c>
      <c r="R7308" t="s">
        <v>56</v>
      </c>
      <c r="T7308" t="s">
        <v>13305</v>
      </c>
      <c r="U7308" t="s">
        <v>55</v>
      </c>
      <c r="V7308">
        <v>1</v>
      </c>
      <c r="W7308">
        <v>1</v>
      </c>
      <c r="X7308">
        <v>2</v>
      </c>
      <c r="Y7308">
        <v>0</v>
      </c>
      <c r="Z7308">
        <v>2</v>
      </c>
      <c r="AA7308">
        <v>110.63</v>
      </c>
      <c r="AB7308">
        <v>110.63</v>
      </c>
      <c r="AC7308">
        <v>110.63</v>
      </c>
      <c r="AD7308">
        <v>0</v>
      </c>
      <c r="AE7308">
        <v>0</v>
      </c>
      <c r="AF7308">
        <v>0</v>
      </c>
      <c r="AG7308">
        <v>0</v>
      </c>
      <c r="AH7308">
        <v>0</v>
      </c>
      <c r="AI7308">
        <v>19.91</v>
      </c>
      <c r="AJ7308">
        <v>110.63</v>
      </c>
      <c r="AK7308">
        <v>0</v>
      </c>
      <c r="AL7308" t="s">
        <v>53</v>
      </c>
      <c r="AM7308" t="s">
        <v>53</v>
      </c>
      <c r="AN7308" t="s">
        <v>13306</v>
      </c>
      <c r="AO7308" t="s">
        <v>53</v>
      </c>
      <c r="AP7308" t="s">
        <v>53</v>
      </c>
    </row>
    <row r="7309" spans="2:42" x14ac:dyDescent="0.2">
      <c r="B7309" t="s">
        <v>44</v>
      </c>
      <c r="C7309" t="str">
        <f>HYPERLINK("https://us2.cloudbeds.com/connect/8493803454333002#/reservations/9080486847406136?display=3T3KD2ANTE&amp;reservation_id=9080486847406136", "3T3KD2ANTE")</f>
        <v>3T3KD2ANTE</v>
      </c>
      <c r="D7309" t="s">
        <v>45</v>
      </c>
      <c r="E7309" t="s">
        <v>155</v>
      </c>
      <c r="F7309" t="s">
        <v>86</v>
      </c>
      <c r="G7309" t="s">
        <v>48</v>
      </c>
      <c r="H7309" t="s">
        <v>49</v>
      </c>
      <c r="I7309" t="s">
        <v>8964</v>
      </c>
      <c r="J7309" t="s">
        <v>11884</v>
      </c>
      <c r="K7309" t="s">
        <v>11482</v>
      </c>
      <c r="L7309" t="s">
        <v>53</v>
      </c>
      <c r="N7309" t="s">
        <v>13307</v>
      </c>
      <c r="P7309" t="s">
        <v>55</v>
      </c>
      <c r="R7309" t="s">
        <v>53</v>
      </c>
      <c r="T7309" t="s">
        <v>13308</v>
      </c>
      <c r="U7309" t="s">
        <v>55</v>
      </c>
      <c r="V7309">
        <v>3</v>
      </c>
      <c r="W7309">
        <v>1</v>
      </c>
      <c r="X7309">
        <v>3</v>
      </c>
      <c r="Y7309">
        <v>1</v>
      </c>
      <c r="Z7309">
        <v>4</v>
      </c>
      <c r="AA7309">
        <v>0</v>
      </c>
      <c r="AB7309">
        <v>0</v>
      </c>
      <c r="AC7309">
        <v>339</v>
      </c>
      <c r="AD7309">
        <v>0</v>
      </c>
      <c r="AE7309">
        <v>0</v>
      </c>
      <c r="AF7309">
        <v>0</v>
      </c>
      <c r="AG7309">
        <v>0</v>
      </c>
      <c r="AH7309">
        <v>0</v>
      </c>
      <c r="AI7309">
        <v>50.85</v>
      </c>
      <c r="AJ7309">
        <v>339</v>
      </c>
      <c r="AK7309">
        <v>339</v>
      </c>
      <c r="AL7309" t="s">
        <v>53</v>
      </c>
      <c r="AM7309" t="s">
        <v>53</v>
      </c>
      <c r="AN7309" t="s">
        <v>13309</v>
      </c>
      <c r="AO7309" t="s">
        <v>53</v>
      </c>
      <c r="AP7309" t="s">
        <v>53</v>
      </c>
    </row>
    <row r="7310" spans="2:42" x14ac:dyDescent="0.2">
      <c r="B7310" t="s">
        <v>44</v>
      </c>
      <c r="C7310" t="str">
        <f>HYPERLINK("https://us2.cloudbeds.com/connect/8493803454333002#/reservations/9080486847407248?display=3T55JJF5RT&amp;reservation_id=9080486847407248", "3T55JJF5RT")</f>
        <v>3T55JJF5RT</v>
      </c>
      <c r="D7310" t="s">
        <v>45</v>
      </c>
      <c r="E7310" t="s">
        <v>223</v>
      </c>
      <c r="F7310" t="s">
        <v>47</v>
      </c>
      <c r="G7310" t="s">
        <v>48</v>
      </c>
      <c r="H7310" t="s">
        <v>49</v>
      </c>
      <c r="I7310" t="s">
        <v>62</v>
      </c>
      <c r="J7310" t="s">
        <v>13140</v>
      </c>
      <c r="K7310" t="s">
        <v>13061</v>
      </c>
      <c r="L7310" t="s">
        <v>53</v>
      </c>
      <c r="N7310" t="s">
        <v>13310</v>
      </c>
      <c r="P7310" t="s">
        <v>55</v>
      </c>
      <c r="R7310" t="s">
        <v>56</v>
      </c>
      <c r="T7310" t="s">
        <v>13311</v>
      </c>
      <c r="U7310" t="s">
        <v>55</v>
      </c>
      <c r="V7310">
        <v>3</v>
      </c>
      <c r="W7310">
        <v>1</v>
      </c>
      <c r="X7310">
        <v>2</v>
      </c>
      <c r="Y7310">
        <v>0</v>
      </c>
      <c r="Z7310">
        <v>2</v>
      </c>
      <c r="AA7310">
        <v>243.1</v>
      </c>
      <c r="AB7310">
        <v>243.1</v>
      </c>
      <c r="AC7310">
        <v>243.1</v>
      </c>
      <c r="AD7310">
        <v>0</v>
      </c>
      <c r="AE7310">
        <v>0</v>
      </c>
      <c r="AF7310">
        <v>0</v>
      </c>
      <c r="AG7310">
        <v>0</v>
      </c>
      <c r="AH7310">
        <v>0</v>
      </c>
      <c r="AI7310">
        <v>43.76</v>
      </c>
      <c r="AJ7310">
        <v>243.1</v>
      </c>
      <c r="AK7310">
        <v>0</v>
      </c>
      <c r="AL7310" t="s">
        <v>53</v>
      </c>
      <c r="AM7310" t="s">
        <v>53</v>
      </c>
      <c r="AN7310" t="s">
        <v>53</v>
      </c>
      <c r="AO7310" t="s">
        <v>53</v>
      </c>
      <c r="AP7310" t="s">
        <v>53</v>
      </c>
    </row>
    <row r="7311" spans="2:42" x14ac:dyDescent="0.2">
      <c r="B7311" t="s">
        <v>44</v>
      </c>
      <c r="C7311" t="str">
        <f>HYPERLINK("https://us2.cloudbeds.com/connect/8493803454333002#/reservations/9080486847407662?display=3T5YKZZDYQ&amp;reservation_id=9080486847407662", "3T5YKZZDYQ")</f>
        <v>3T5YKZZDYQ</v>
      </c>
      <c r="D7311" t="s">
        <v>45</v>
      </c>
      <c r="E7311" t="s">
        <v>179</v>
      </c>
      <c r="F7311" t="s">
        <v>47</v>
      </c>
      <c r="G7311" t="s">
        <v>48</v>
      </c>
      <c r="H7311" t="s">
        <v>49</v>
      </c>
      <c r="I7311" t="s">
        <v>8964</v>
      </c>
      <c r="J7311" t="s">
        <v>13024</v>
      </c>
      <c r="K7311" t="s">
        <v>9710</v>
      </c>
      <c r="L7311" t="s">
        <v>53</v>
      </c>
      <c r="N7311" t="s">
        <v>13312</v>
      </c>
      <c r="P7311" t="s">
        <v>55</v>
      </c>
      <c r="R7311" t="s">
        <v>53</v>
      </c>
      <c r="T7311" t="s">
        <v>13313</v>
      </c>
      <c r="U7311" t="s">
        <v>55</v>
      </c>
      <c r="V7311">
        <v>1</v>
      </c>
      <c r="W7311">
        <v>1</v>
      </c>
      <c r="X7311">
        <v>1</v>
      </c>
      <c r="Y7311">
        <v>0</v>
      </c>
      <c r="Z7311">
        <v>1</v>
      </c>
      <c r="AA7311">
        <v>79</v>
      </c>
      <c r="AB7311">
        <v>0</v>
      </c>
      <c r="AC7311">
        <v>79</v>
      </c>
      <c r="AD7311">
        <v>0</v>
      </c>
      <c r="AE7311">
        <v>0</v>
      </c>
      <c r="AF7311">
        <v>0</v>
      </c>
      <c r="AG7311">
        <v>0</v>
      </c>
      <c r="AH7311">
        <v>0</v>
      </c>
      <c r="AI7311">
        <v>11.85</v>
      </c>
      <c r="AJ7311">
        <v>79</v>
      </c>
      <c r="AK7311">
        <v>79</v>
      </c>
      <c r="AL7311" t="s">
        <v>53</v>
      </c>
      <c r="AM7311" t="s">
        <v>53</v>
      </c>
      <c r="AN7311" t="s">
        <v>13314</v>
      </c>
      <c r="AO7311" t="s">
        <v>53</v>
      </c>
      <c r="AP7311" t="s">
        <v>53</v>
      </c>
    </row>
    <row r="7312" spans="2:42" x14ac:dyDescent="0.2">
      <c r="B7312" t="s">
        <v>44</v>
      </c>
      <c r="C7312" t="str">
        <f>HYPERLINK("https://us2.cloudbeds.com/connect/8493803454333002#/reservations/9080486847409274?display=3T7S5BJ8M9&amp;reservation_id=9080486847409274", "3T7S5BJ8M9")</f>
        <v>3T7S5BJ8M9</v>
      </c>
      <c r="D7312" t="s">
        <v>45</v>
      </c>
      <c r="E7312" t="s">
        <v>165</v>
      </c>
      <c r="F7312" t="s">
        <v>61</v>
      </c>
      <c r="G7312" t="s">
        <v>48</v>
      </c>
      <c r="H7312" t="s">
        <v>49</v>
      </c>
      <c r="I7312" t="s">
        <v>8964</v>
      </c>
      <c r="J7312" t="s">
        <v>12350</v>
      </c>
      <c r="K7312" t="s">
        <v>12144</v>
      </c>
      <c r="L7312" t="s">
        <v>53</v>
      </c>
      <c r="N7312" t="s">
        <v>13315</v>
      </c>
      <c r="P7312" t="s">
        <v>55</v>
      </c>
      <c r="R7312" t="s">
        <v>53</v>
      </c>
      <c r="T7312" t="s">
        <v>13316</v>
      </c>
      <c r="U7312" t="s">
        <v>55</v>
      </c>
      <c r="V7312">
        <v>1</v>
      </c>
      <c r="W7312">
        <v>1</v>
      </c>
      <c r="X7312">
        <v>1</v>
      </c>
      <c r="Y7312">
        <v>0</v>
      </c>
      <c r="Z7312">
        <v>1</v>
      </c>
      <c r="AA7312">
        <v>0</v>
      </c>
      <c r="AB7312">
        <v>0</v>
      </c>
      <c r="AC7312">
        <v>98</v>
      </c>
      <c r="AD7312">
        <v>0</v>
      </c>
      <c r="AE7312">
        <v>0</v>
      </c>
      <c r="AF7312">
        <v>0</v>
      </c>
      <c r="AG7312">
        <v>0</v>
      </c>
      <c r="AH7312">
        <v>0</v>
      </c>
      <c r="AI7312">
        <v>14.7</v>
      </c>
      <c r="AJ7312">
        <v>98</v>
      </c>
      <c r="AK7312">
        <v>98</v>
      </c>
      <c r="AL7312" t="s">
        <v>53</v>
      </c>
      <c r="AM7312" t="s">
        <v>53</v>
      </c>
      <c r="AN7312" t="s">
        <v>53</v>
      </c>
      <c r="AO7312" t="s">
        <v>53</v>
      </c>
      <c r="AP7312" t="s">
        <v>53</v>
      </c>
    </row>
    <row r="7313" spans="2:42" x14ac:dyDescent="0.2">
      <c r="B7313" t="s">
        <v>44</v>
      </c>
      <c r="C7313" t="str">
        <f>HYPERLINK("https://us2.cloudbeds.com/connect/8493803454333002#/reservations/9080486847410422?display=3T8WJNXSQP&amp;reservation_id=9080486847410422", "3T8WJNXSQP")</f>
        <v>3T8WJNXSQP</v>
      </c>
      <c r="D7313" t="s">
        <v>45</v>
      </c>
      <c r="E7313" t="s">
        <v>373</v>
      </c>
      <c r="F7313" t="s">
        <v>47</v>
      </c>
      <c r="G7313" t="s">
        <v>48</v>
      </c>
      <c r="H7313" t="s">
        <v>49</v>
      </c>
      <c r="I7313" t="s">
        <v>50</v>
      </c>
      <c r="J7313" t="s">
        <v>11521</v>
      </c>
      <c r="K7313" t="s">
        <v>11884</v>
      </c>
      <c r="L7313" t="s">
        <v>53</v>
      </c>
      <c r="N7313" t="s">
        <v>13317</v>
      </c>
      <c r="P7313" t="s">
        <v>55</v>
      </c>
      <c r="R7313" t="s">
        <v>53</v>
      </c>
      <c r="T7313" t="s">
        <v>13318</v>
      </c>
      <c r="U7313" t="s">
        <v>58</v>
      </c>
      <c r="V7313">
        <v>1</v>
      </c>
      <c r="W7313">
        <v>1</v>
      </c>
      <c r="X7313">
        <v>2</v>
      </c>
      <c r="Y7313">
        <v>0</v>
      </c>
      <c r="Z7313">
        <v>2</v>
      </c>
      <c r="AA7313">
        <v>92.06</v>
      </c>
      <c r="AB7313">
        <v>92.06</v>
      </c>
      <c r="AC7313">
        <v>81</v>
      </c>
      <c r="AD7313">
        <v>0</v>
      </c>
      <c r="AE7313">
        <v>11.06</v>
      </c>
      <c r="AF7313">
        <v>0</v>
      </c>
      <c r="AG7313">
        <v>0</v>
      </c>
      <c r="AH7313">
        <v>0</v>
      </c>
      <c r="AI7313">
        <v>16.57</v>
      </c>
      <c r="AJ7313">
        <v>92.06</v>
      </c>
      <c r="AK7313">
        <v>0</v>
      </c>
      <c r="AL7313" t="s">
        <v>53</v>
      </c>
      <c r="AM7313" t="s">
        <v>53</v>
      </c>
      <c r="AN7313" t="s">
        <v>53</v>
      </c>
      <c r="AO7313" t="s">
        <v>53</v>
      </c>
      <c r="AP7313" t="s">
        <v>53</v>
      </c>
    </row>
    <row r="7314" spans="2:42" x14ac:dyDescent="0.2">
      <c r="B7314" t="s">
        <v>44</v>
      </c>
      <c r="C7314" t="str">
        <f>HYPERLINK("https://us2.cloudbeds.com/connect/8493803454333002#/reservations/9080486847411381?display=3T9UQDDVE7&amp;reservation_id=9080486847411381", "3T9UQDDVE7")</f>
        <v>3T9UQDDVE7</v>
      </c>
      <c r="D7314" t="s">
        <v>45</v>
      </c>
      <c r="E7314" t="s">
        <v>381</v>
      </c>
      <c r="F7314" t="s">
        <v>47</v>
      </c>
      <c r="G7314" t="s">
        <v>48</v>
      </c>
      <c r="H7314" t="s">
        <v>49</v>
      </c>
      <c r="I7314" t="s">
        <v>62</v>
      </c>
      <c r="J7314" t="s">
        <v>12420</v>
      </c>
      <c r="K7314" t="s">
        <v>13140</v>
      </c>
      <c r="L7314" t="s">
        <v>53</v>
      </c>
      <c r="N7314" t="s">
        <v>13319</v>
      </c>
      <c r="P7314" t="s">
        <v>55</v>
      </c>
      <c r="R7314" t="s">
        <v>56</v>
      </c>
      <c r="T7314" t="s">
        <v>13320</v>
      </c>
      <c r="U7314" t="s">
        <v>55</v>
      </c>
      <c r="V7314">
        <v>2</v>
      </c>
      <c r="W7314">
        <v>1</v>
      </c>
      <c r="X7314">
        <v>2</v>
      </c>
      <c r="Y7314">
        <v>0</v>
      </c>
      <c r="Z7314">
        <v>2</v>
      </c>
      <c r="AA7314">
        <v>291.51</v>
      </c>
      <c r="AB7314">
        <v>291.51</v>
      </c>
      <c r="AC7314">
        <v>291.51</v>
      </c>
      <c r="AD7314">
        <v>0</v>
      </c>
      <c r="AE7314">
        <v>0</v>
      </c>
      <c r="AF7314">
        <v>0</v>
      </c>
      <c r="AG7314">
        <v>0</v>
      </c>
      <c r="AH7314">
        <v>0</v>
      </c>
      <c r="AI7314">
        <v>52.47</v>
      </c>
      <c r="AJ7314">
        <v>291.51</v>
      </c>
      <c r="AK7314">
        <v>0</v>
      </c>
      <c r="AL7314" t="s">
        <v>53</v>
      </c>
      <c r="AM7314" t="s">
        <v>53</v>
      </c>
      <c r="AN7314" t="s">
        <v>13321</v>
      </c>
      <c r="AO7314" t="s">
        <v>53</v>
      </c>
      <c r="AP7314" t="s">
        <v>53</v>
      </c>
    </row>
    <row r="7315" spans="2:42" x14ac:dyDescent="0.2">
      <c r="B7315" t="s">
        <v>44</v>
      </c>
      <c r="C7315" t="str">
        <f>HYPERLINK("https://us2.cloudbeds.com/connect/8493803454333002#/reservations/9080486847411679?display=3TA8W0V1BH&amp;reservation_id=9080486847411679", "3TA8W0V1BH")</f>
        <v>3TA8W0V1BH</v>
      </c>
      <c r="D7315" t="s">
        <v>45</v>
      </c>
      <c r="E7315" t="s">
        <v>190</v>
      </c>
      <c r="F7315" t="s">
        <v>61</v>
      </c>
      <c r="G7315" t="s">
        <v>48</v>
      </c>
      <c r="H7315" t="s">
        <v>49</v>
      </c>
      <c r="I7315" t="s">
        <v>62</v>
      </c>
      <c r="J7315" t="s">
        <v>11521</v>
      </c>
      <c r="K7315" t="s">
        <v>12144</v>
      </c>
      <c r="L7315" t="s">
        <v>53</v>
      </c>
      <c r="N7315" t="s">
        <v>13322</v>
      </c>
      <c r="P7315" t="s">
        <v>55</v>
      </c>
      <c r="R7315" t="s">
        <v>56</v>
      </c>
      <c r="T7315" t="s">
        <v>13323</v>
      </c>
      <c r="U7315" t="s">
        <v>55</v>
      </c>
      <c r="V7315">
        <v>3</v>
      </c>
      <c r="W7315">
        <v>1</v>
      </c>
      <c r="X7315">
        <v>1</v>
      </c>
      <c r="Y7315">
        <v>0</v>
      </c>
      <c r="Z7315">
        <v>1</v>
      </c>
      <c r="AA7315">
        <v>242.25</v>
      </c>
      <c r="AB7315">
        <v>242.25</v>
      </c>
      <c r="AC7315">
        <v>242.25</v>
      </c>
      <c r="AD7315">
        <v>0</v>
      </c>
      <c r="AE7315">
        <v>0</v>
      </c>
      <c r="AF7315">
        <v>0</v>
      </c>
      <c r="AG7315">
        <v>0</v>
      </c>
      <c r="AH7315">
        <v>0</v>
      </c>
      <c r="AI7315">
        <v>43.61</v>
      </c>
      <c r="AJ7315">
        <v>242.25</v>
      </c>
      <c r="AK7315">
        <v>0</v>
      </c>
      <c r="AL7315" t="s">
        <v>53</v>
      </c>
      <c r="AM7315" t="s">
        <v>53</v>
      </c>
      <c r="AN7315" t="s">
        <v>13324</v>
      </c>
      <c r="AO7315" t="s">
        <v>53</v>
      </c>
      <c r="AP7315" t="s">
        <v>53</v>
      </c>
    </row>
    <row r="7316" spans="2:42" x14ac:dyDescent="0.2">
      <c r="B7316" t="s">
        <v>44</v>
      </c>
      <c r="C7316" t="str">
        <f>HYPERLINK("https://us2.cloudbeds.com/connect/8493803454333002#/reservations/180479378739390?display=3TAPFENDVQ&amp;reservation_id=180479378739390", "3TAPFENDVQ")</f>
        <v>3TAPFENDVQ</v>
      </c>
      <c r="D7316" t="s">
        <v>45</v>
      </c>
      <c r="E7316" t="s">
        <v>165</v>
      </c>
      <c r="F7316" t="s">
        <v>61</v>
      </c>
      <c r="G7316" t="s">
        <v>48</v>
      </c>
      <c r="H7316" t="s">
        <v>3957</v>
      </c>
      <c r="I7316" t="s">
        <v>3975</v>
      </c>
      <c r="J7316" t="s">
        <v>11521</v>
      </c>
      <c r="K7316" t="s">
        <v>11884</v>
      </c>
      <c r="L7316" t="s">
        <v>53</v>
      </c>
      <c r="P7316" t="s">
        <v>55</v>
      </c>
      <c r="R7316" t="s">
        <v>56</v>
      </c>
      <c r="T7316" t="s">
        <v>13325</v>
      </c>
      <c r="U7316" t="s">
        <v>58</v>
      </c>
      <c r="V7316">
        <v>1</v>
      </c>
      <c r="W7316">
        <v>1</v>
      </c>
      <c r="X7316">
        <v>1</v>
      </c>
      <c r="Y7316">
        <v>0</v>
      </c>
      <c r="Z7316">
        <v>1</v>
      </c>
      <c r="AA7316">
        <v>107.98</v>
      </c>
      <c r="AB7316">
        <v>107.98</v>
      </c>
      <c r="AC7316">
        <v>95</v>
      </c>
      <c r="AD7316">
        <v>0</v>
      </c>
      <c r="AE7316">
        <v>12.98</v>
      </c>
      <c r="AF7316">
        <v>0</v>
      </c>
      <c r="AG7316">
        <v>0</v>
      </c>
      <c r="AH7316">
        <v>0</v>
      </c>
      <c r="AI7316">
        <v>0</v>
      </c>
      <c r="AJ7316">
        <v>107.98</v>
      </c>
      <c r="AK7316">
        <v>0</v>
      </c>
      <c r="AL7316" t="s">
        <v>53</v>
      </c>
      <c r="AM7316" t="s">
        <v>53</v>
      </c>
      <c r="AN7316" t="s">
        <v>53</v>
      </c>
      <c r="AO7316" t="s">
        <v>53</v>
      </c>
      <c r="AP7316" t="s">
        <v>53</v>
      </c>
    </row>
    <row r="7317" spans="2:42" x14ac:dyDescent="0.2">
      <c r="B7317" t="s">
        <v>44</v>
      </c>
      <c r="C7317" t="str">
        <f>HYPERLINK("https://us2.cloudbeds.com/connect/8493803454333002#/reservations/9080486847412342?display=3TAW2RQ3EB&amp;reservation_id=9080486847412342", "3TAW2RQ3EB")</f>
        <v>3TAW2RQ3EB</v>
      </c>
      <c r="D7317" t="s">
        <v>45</v>
      </c>
      <c r="E7317" t="s">
        <v>78</v>
      </c>
      <c r="F7317" t="s">
        <v>61</v>
      </c>
      <c r="G7317" t="s">
        <v>48</v>
      </c>
      <c r="H7317" t="s">
        <v>49</v>
      </c>
      <c r="I7317" t="s">
        <v>62</v>
      </c>
      <c r="J7317" t="s">
        <v>11521</v>
      </c>
      <c r="K7317" t="s">
        <v>12144</v>
      </c>
      <c r="L7317" t="s">
        <v>53</v>
      </c>
      <c r="N7317" t="s">
        <v>13326</v>
      </c>
      <c r="P7317" t="s">
        <v>55</v>
      </c>
      <c r="R7317" t="s">
        <v>56</v>
      </c>
      <c r="T7317" t="s">
        <v>13327</v>
      </c>
      <c r="U7317" t="s">
        <v>55</v>
      </c>
      <c r="V7317">
        <v>3</v>
      </c>
      <c r="W7317">
        <v>1</v>
      </c>
      <c r="X7317">
        <v>2</v>
      </c>
      <c r="Y7317">
        <v>0</v>
      </c>
      <c r="Z7317">
        <v>2</v>
      </c>
      <c r="AA7317">
        <v>242.25</v>
      </c>
      <c r="AB7317">
        <v>242.25</v>
      </c>
      <c r="AC7317">
        <v>242.25</v>
      </c>
      <c r="AD7317">
        <v>0</v>
      </c>
      <c r="AE7317">
        <v>0</v>
      </c>
      <c r="AF7317">
        <v>0</v>
      </c>
      <c r="AG7317">
        <v>0</v>
      </c>
      <c r="AH7317">
        <v>0</v>
      </c>
      <c r="AI7317">
        <v>43.61</v>
      </c>
      <c r="AJ7317">
        <v>242.25</v>
      </c>
      <c r="AK7317">
        <v>0</v>
      </c>
      <c r="AL7317" t="s">
        <v>53</v>
      </c>
      <c r="AM7317" t="s">
        <v>53</v>
      </c>
      <c r="AN7317" t="s">
        <v>13328</v>
      </c>
      <c r="AO7317" t="s">
        <v>53</v>
      </c>
      <c r="AP7317" t="s">
        <v>53</v>
      </c>
    </row>
    <row r="7318" spans="2:42" x14ac:dyDescent="0.2">
      <c r="B7318" t="s">
        <v>44</v>
      </c>
      <c r="C7318" t="str">
        <f>HYPERLINK("https://us2.cloudbeds.com/connect/8493803454333002#/reservations/180494165299445?display=3TB3U948C7&amp;reservation_id=180494165299445", "3TB3U948C7")</f>
        <v>3TB3U948C7</v>
      </c>
      <c r="D7318" t="s">
        <v>45</v>
      </c>
      <c r="E7318" t="s">
        <v>92</v>
      </c>
      <c r="F7318" t="s">
        <v>86</v>
      </c>
      <c r="G7318" t="s">
        <v>48</v>
      </c>
      <c r="H7318" t="s">
        <v>3957</v>
      </c>
      <c r="I7318" t="s">
        <v>3975</v>
      </c>
      <c r="J7318" t="s">
        <v>13060</v>
      </c>
      <c r="K7318" t="s">
        <v>13329</v>
      </c>
      <c r="L7318" t="s">
        <v>53</v>
      </c>
      <c r="P7318" t="s">
        <v>55</v>
      </c>
      <c r="R7318" t="s">
        <v>56</v>
      </c>
      <c r="T7318" t="s">
        <v>13330</v>
      </c>
      <c r="U7318" t="s">
        <v>58</v>
      </c>
      <c r="V7318">
        <v>2</v>
      </c>
      <c r="W7318">
        <v>1</v>
      </c>
      <c r="X7318">
        <v>2</v>
      </c>
      <c r="Y7318">
        <v>0</v>
      </c>
      <c r="Z7318">
        <v>2</v>
      </c>
      <c r="AA7318">
        <v>250.04</v>
      </c>
      <c r="AB7318">
        <v>250.04</v>
      </c>
      <c r="AC7318">
        <v>220</v>
      </c>
      <c r="AD7318">
        <v>0</v>
      </c>
      <c r="AE7318">
        <v>30.04</v>
      </c>
      <c r="AF7318">
        <v>0</v>
      </c>
      <c r="AG7318">
        <v>0</v>
      </c>
      <c r="AH7318">
        <v>0</v>
      </c>
      <c r="AI7318">
        <v>0</v>
      </c>
      <c r="AJ7318">
        <v>250.04</v>
      </c>
      <c r="AK7318">
        <v>0</v>
      </c>
      <c r="AL7318" t="s">
        <v>53</v>
      </c>
      <c r="AM7318" t="s">
        <v>53</v>
      </c>
      <c r="AN7318" t="s">
        <v>13331</v>
      </c>
      <c r="AO7318" t="s">
        <v>53</v>
      </c>
      <c r="AP7318" t="s">
        <v>53</v>
      </c>
    </row>
    <row r="7319" spans="2:42" x14ac:dyDescent="0.2">
      <c r="B7319" t="s">
        <v>44</v>
      </c>
      <c r="C7319" t="str">
        <f>HYPERLINK("https://us2.cloudbeds.com/connect/8493803454333002#/reservations/9080486847412741?display=3TBEDE658T&amp;reservation_id=9080486847412741", "3TBEDE658T")</f>
        <v>3TBEDE658T</v>
      </c>
      <c r="D7319" t="s">
        <v>45</v>
      </c>
      <c r="E7319" t="s">
        <v>487</v>
      </c>
      <c r="F7319" t="s">
        <v>61</v>
      </c>
      <c r="G7319" t="s">
        <v>48</v>
      </c>
      <c r="H7319" t="s">
        <v>49</v>
      </c>
      <c r="I7319" t="s">
        <v>62</v>
      </c>
      <c r="J7319" t="s">
        <v>11521</v>
      </c>
      <c r="K7319" t="s">
        <v>12350</v>
      </c>
      <c r="L7319" t="s">
        <v>53</v>
      </c>
      <c r="N7319" t="s">
        <v>13332</v>
      </c>
      <c r="P7319" t="s">
        <v>55</v>
      </c>
      <c r="R7319" t="s">
        <v>56</v>
      </c>
      <c r="T7319" t="s">
        <v>13333</v>
      </c>
      <c r="U7319" t="s">
        <v>55</v>
      </c>
      <c r="V7319">
        <v>2</v>
      </c>
      <c r="W7319">
        <v>1</v>
      </c>
      <c r="X7319">
        <v>2</v>
      </c>
      <c r="Y7319">
        <v>0</v>
      </c>
      <c r="Z7319">
        <v>2</v>
      </c>
      <c r="AA7319">
        <v>161.5</v>
      </c>
      <c r="AB7319">
        <v>161.5</v>
      </c>
      <c r="AC7319">
        <v>161.5</v>
      </c>
      <c r="AD7319">
        <v>0</v>
      </c>
      <c r="AE7319">
        <v>0</v>
      </c>
      <c r="AF7319">
        <v>0</v>
      </c>
      <c r="AG7319">
        <v>0</v>
      </c>
      <c r="AH7319">
        <v>0</v>
      </c>
      <c r="AI7319">
        <v>29.07</v>
      </c>
      <c r="AJ7319">
        <v>161.5</v>
      </c>
      <c r="AK7319">
        <v>0</v>
      </c>
      <c r="AL7319" t="s">
        <v>53</v>
      </c>
      <c r="AM7319" t="s">
        <v>53</v>
      </c>
      <c r="AN7319" t="s">
        <v>53</v>
      </c>
      <c r="AO7319" t="s">
        <v>53</v>
      </c>
      <c r="AP7319" t="s">
        <v>53</v>
      </c>
    </row>
    <row r="7320" spans="2:42" x14ac:dyDescent="0.2">
      <c r="B7320" t="s">
        <v>44</v>
      </c>
      <c r="C7320" t="str">
        <f>HYPERLINK("https://us2.cloudbeds.com/connect/8493803454333002#/reservations/180541726900392?display=3TC7ZJAU1W&amp;reservation_id=180541726900392", "3TC7ZJAU1W")</f>
        <v>3TC7ZJAU1W</v>
      </c>
      <c r="D7320" t="s">
        <v>45</v>
      </c>
      <c r="E7320" t="s">
        <v>98</v>
      </c>
      <c r="F7320" t="s">
        <v>86</v>
      </c>
      <c r="G7320" t="s">
        <v>4520</v>
      </c>
      <c r="H7320" t="s">
        <v>3957</v>
      </c>
      <c r="I7320" t="s">
        <v>3958</v>
      </c>
      <c r="J7320" t="s">
        <v>12421</v>
      </c>
      <c r="K7320" t="s">
        <v>13061</v>
      </c>
      <c r="L7320" t="s">
        <v>53</v>
      </c>
      <c r="P7320" t="s">
        <v>55</v>
      </c>
      <c r="R7320" t="s">
        <v>56</v>
      </c>
      <c r="T7320" t="s">
        <v>13334</v>
      </c>
      <c r="U7320" t="s">
        <v>58</v>
      </c>
      <c r="V7320">
        <v>2</v>
      </c>
      <c r="W7320">
        <v>1</v>
      </c>
      <c r="X7320">
        <v>1</v>
      </c>
      <c r="Y7320">
        <v>0</v>
      </c>
      <c r="Z7320">
        <v>1</v>
      </c>
      <c r="AA7320">
        <v>318.12</v>
      </c>
      <c r="AB7320">
        <v>318.12</v>
      </c>
      <c r="AC7320">
        <v>279.89999999999998</v>
      </c>
      <c r="AD7320">
        <v>0</v>
      </c>
      <c r="AE7320">
        <v>38.22</v>
      </c>
      <c r="AF7320">
        <v>0</v>
      </c>
      <c r="AG7320">
        <v>0</v>
      </c>
      <c r="AH7320">
        <v>0</v>
      </c>
      <c r="AI7320">
        <v>0</v>
      </c>
      <c r="AJ7320">
        <v>318.12</v>
      </c>
      <c r="AK7320">
        <v>0</v>
      </c>
      <c r="AL7320" t="s">
        <v>53</v>
      </c>
      <c r="AM7320" t="s">
        <v>53</v>
      </c>
      <c r="AN7320" t="s">
        <v>13335</v>
      </c>
      <c r="AO7320" t="s">
        <v>53</v>
      </c>
      <c r="AP7320" t="s">
        <v>53</v>
      </c>
    </row>
    <row r="7321" spans="2:42" x14ac:dyDescent="0.2">
      <c r="B7321" t="s">
        <v>44</v>
      </c>
      <c r="C7321" t="str">
        <f>HYPERLINK("https://us2.cloudbeds.com/connect/8493803454333002#/reservations/9080486847413418?display=3TC9WK4NA9&amp;reservation_id=9080486847413418", "3TC9WK4NA9")</f>
        <v>3TC9WK4NA9</v>
      </c>
      <c r="D7321" t="s">
        <v>45</v>
      </c>
      <c r="E7321" t="s">
        <v>85</v>
      </c>
      <c r="F7321" t="s">
        <v>86</v>
      </c>
      <c r="G7321" t="s">
        <v>48</v>
      </c>
      <c r="H7321" t="s">
        <v>49</v>
      </c>
      <c r="I7321" t="s">
        <v>62</v>
      </c>
      <c r="J7321" t="s">
        <v>10170</v>
      </c>
      <c r="K7321" t="s">
        <v>12420</v>
      </c>
      <c r="L7321" t="s">
        <v>53</v>
      </c>
      <c r="N7321" t="s">
        <v>13336</v>
      </c>
      <c r="P7321" t="s">
        <v>55</v>
      </c>
      <c r="R7321" t="s">
        <v>56</v>
      </c>
      <c r="T7321" t="s">
        <v>13337</v>
      </c>
      <c r="U7321" t="s">
        <v>55</v>
      </c>
      <c r="V7321">
        <v>2</v>
      </c>
      <c r="W7321">
        <v>1</v>
      </c>
      <c r="X7321">
        <v>2</v>
      </c>
      <c r="Y7321">
        <v>0</v>
      </c>
      <c r="Z7321">
        <v>2</v>
      </c>
      <c r="AA7321">
        <v>379.95</v>
      </c>
      <c r="AB7321">
        <v>379.95</v>
      </c>
      <c r="AC7321">
        <v>379.95</v>
      </c>
      <c r="AD7321">
        <v>0</v>
      </c>
      <c r="AE7321">
        <v>0</v>
      </c>
      <c r="AF7321">
        <v>0</v>
      </c>
      <c r="AG7321">
        <v>0</v>
      </c>
      <c r="AH7321">
        <v>0</v>
      </c>
      <c r="AI7321">
        <v>68.39</v>
      </c>
      <c r="AJ7321">
        <v>379.95</v>
      </c>
      <c r="AK7321">
        <v>0</v>
      </c>
      <c r="AL7321" t="s">
        <v>53</v>
      </c>
      <c r="AM7321" t="s">
        <v>53</v>
      </c>
      <c r="AN7321" t="s">
        <v>53</v>
      </c>
      <c r="AO7321" t="s">
        <v>53</v>
      </c>
      <c r="AP7321" t="s">
        <v>53</v>
      </c>
    </row>
    <row r="7322" spans="2:42" x14ac:dyDescent="0.2">
      <c r="B7322" t="s">
        <v>44</v>
      </c>
      <c r="C7322" t="str">
        <f>HYPERLINK("https://us2.cloudbeds.com/connect/8493803454333002#/reservations/9080486847413538?display=3TCF208470&amp;reservation_id=9080486847413538", "3TCF208470")</f>
        <v>3TCF208470</v>
      </c>
      <c r="D7322" t="s">
        <v>45</v>
      </c>
      <c r="E7322" t="s">
        <v>128</v>
      </c>
      <c r="F7322" t="s">
        <v>86</v>
      </c>
      <c r="G7322" t="s">
        <v>48</v>
      </c>
      <c r="H7322" t="s">
        <v>49</v>
      </c>
      <c r="I7322" t="s">
        <v>62</v>
      </c>
      <c r="J7322" t="s">
        <v>12421</v>
      </c>
      <c r="K7322" t="s">
        <v>13061</v>
      </c>
      <c r="L7322" t="s">
        <v>53</v>
      </c>
      <c r="N7322" t="s">
        <v>13338</v>
      </c>
      <c r="P7322" t="s">
        <v>55</v>
      </c>
      <c r="R7322" t="s">
        <v>56</v>
      </c>
      <c r="T7322" t="s">
        <v>13339</v>
      </c>
      <c r="U7322" t="s">
        <v>55</v>
      </c>
      <c r="V7322">
        <v>2</v>
      </c>
      <c r="W7322">
        <v>1</v>
      </c>
      <c r="X7322">
        <v>2</v>
      </c>
      <c r="Y7322">
        <v>0</v>
      </c>
      <c r="Z7322">
        <v>2</v>
      </c>
      <c r="AA7322">
        <v>251.14</v>
      </c>
      <c r="AB7322">
        <v>251.14</v>
      </c>
      <c r="AC7322">
        <v>251.14</v>
      </c>
      <c r="AD7322">
        <v>0</v>
      </c>
      <c r="AE7322">
        <v>0</v>
      </c>
      <c r="AF7322">
        <v>0</v>
      </c>
      <c r="AG7322">
        <v>0</v>
      </c>
      <c r="AH7322">
        <v>0</v>
      </c>
      <c r="AI7322">
        <v>45.21</v>
      </c>
      <c r="AJ7322">
        <v>251.14</v>
      </c>
      <c r="AK7322">
        <v>0</v>
      </c>
      <c r="AL7322" t="s">
        <v>53</v>
      </c>
      <c r="AM7322" t="s">
        <v>53</v>
      </c>
      <c r="AN7322" t="s">
        <v>13340</v>
      </c>
      <c r="AO7322" t="s">
        <v>53</v>
      </c>
      <c r="AP7322" t="s">
        <v>53</v>
      </c>
    </row>
    <row r="7323" spans="2:42" x14ac:dyDescent="0.2">
      <c r="B7323" t="s">
        <v>44</v>
      </c>
      <c r="C7323" t="str">
        <f>HYPERLINK("https://us2.cloudbeds.com/connect/8493803454333002#/reservations/9080486847413967?display=3TCWDB5UXQ&amp;reservation_id=9080486847413967", "3TCWDB5UXQ")</f>
        <v>3TCWDB5UXQ</v>
      </c>
      <c r="D7323" t="s">
        <v>45</v>
      </c>
      <c r="E7323" t="s">
        <v>406</v>
      </c>
      <c r="F7323" t="s">
        <v>61</v>
      </c>
      <c r="G7323" t="s">
        <v>48</v>
      </c>
      <c r="H7323" t="s">
        <v>49</v>
      </c>
      <c r="I7323" t="s">
        <v>62</v>
      </c>
      <c r="J7323" t="s">
        <v>12350</v>
      </c>
      <c r="K7323" t="s">
        <v>11482</v>
      </c>
      <c r="L7323" t="s">
        <v>53</v>
      </c>
      <c r="N7323" t="s">
        <v>13341</v>
      </c>
      <c r="P7323" t="s">
        <v>55</v>
      </c>
      <c r="R7323" t="s">
        <v>56</v>
      </c>
      <c r="T7323" t="s">
        <v>13342</v>
      </c>
      <c r="U7323" t="s">
        <v>55</v>
      </c>
      <c r="V7323">
        <v>2</v>
      </c>
      <c r="W7323">
        <v>1</v>
      </c>
      <c r="X7323">
        <v>2</v>
      </c>
      <c r="Y7323">
        <v>0</v>
      </c>
      <c r="Z7323">
        <v>2</v>
      </c>
      <c r="AA7323">
        <v>262.64999999999998</v>
      </c>
      <c r="AB7323">
        <v>262.64999999999998</v>
      </c>
      <c r="AC7323">
        <v>262.64999999999998</v>
      </c>
      <c r="AD7323">
        <v>0</v>
      </c>
      <c r="AE7323">
        <v>0</v>
      </c>
      <c r="AF7323">
        <v>0</v>
      </c>
      <c r="AG7323">
        <v>0</v>
      </c>
      <c r="AH7323">
        <v>0</v>
      </c>
      <c r="AI7323">
        <v>47.28</v>
      </c>
      <c r="AJ7323">
        <v>262.64999999999998</v>
      </c>
      <c r="AK7323">
        <v>0</v>
      </c>
      <c r="AL7323" t="s">
        <v>53</v>
      </c>
      <c r="AM7323" t="s">
        <v>53</v>
      </c>
      <c r="AN7323" t="s">
        <v>13343</v>
      </c>
      <c r="AO7323" t="s">
        <v>53</v>
      </c>
      <c r="AP7323" t="s">
        <v>53</v>
      </c>
    </row>
    <row r="7324" spans="2:42" x14ac:dyDescent="0.2">
      <c r="B7324" t="s">
        <v>44</v>
      </c>
      <c r="C7324" t="str">
        <f>HYPERLINK("https://us2.cloudbeds.com/connect/8493803454333002#/reservations/9080486847417269?display=3THEK1CJ33&amp;reservation_id=9080486847417269", "3THEK1CJ33")</f>
        <v>3THEK1CJ33</v>
      </c>
      <c r="D7324" t="s">
        <v>45</v>
      </c>
      <c r="E7324" t="s">
        <v>406</v>
      </c>
      <c r="F7324" t="s">
        <v>61</v>
      </c>
      <c r="G7324" t="s">
        <v>48</v>
      </c>
      <c r="H7324" t="s">
        <v>49</v>
      </c>
      <c r="I7324" t="s">
        <v>50</v>
      </c>
      <c r="J7324" t="s">
        <v>11884</v>
      </c>
      <c r="K7324" t="s">
        <v>12350</v>
      </c>
      <c r="L7324" t="s">
        <v>53</v>
      </c>
      <c r="N7324" t="s">
        <v>13344</v>
      </c>
      <c r="P7324" t="s">
        <v>55</v>
      </c>
      <c r="R7324" t="s">
        <v>53</v>
      </c>
      <c r="T7324" t="s">
        <v>13345</v>
      </c>
      <c r="U7324" t="s">
        <v>58</v>
      </c>
      <c r="V7324">
        <v>1</v>
      </c>
      <c r="W7324">
        <v>1</v>
      </c>
      <c r="X7324">
        <v>2</v>
      </c>
      <c r="Y7324">
        <v>0</v>
      </c>
      <c r="Z7324">
        <v>2</v>
      </c>
      <c r="AA7324">
        <v>101.26</v>
      </c>
      <c r="AB7324">
        <v>101.26</v>
      </c>
      <c r="AC7324">
        <v>89.1</v>
      </c>
      <c r="AD7324">
        <v>0</v>
      </c>
      <c r="AE7324">
        <v>12.16</v>
      </c>
      <c r="AF7324">
        <v>0</v>
      </c>
      <c r="AG7324">
        <v>0</v>
      </c>
      <c r="AH7324">
        <v>0</v>
      </c>
      <c r="AI7324">
        <v>18.23</v>
      </c>
      <c r="AJ7324">
        <v>101.26</v>
      </c>
      <c r="AK7324">
        <v>0</v>
      </c>
      <c r="AL7324" t="s">
        <v>53</v>
      </c>
      <c r="AM7324" t="s">
        <v>53</v>
      </c>
      <c r="AN7324" t="s">
        <v>13346</v>
      </c>
      <c r="AO7324" t="s">
        <v>53</v>
      </c>
      <c r="AP7324" t="s">
        <v>53</v>
      </c>
    </row>
    <row r="7325" spans="2:42" x14ac:dyDescent="0.2">
      <c r="B7325" t="s">
        <v>44</v>
      </c>
      <c r="C7325" t="str">
        <f>HYPERLINK("https://us2.cloudbeds.com/connect/8493803454333002#/reservations/9080486847417556?display=3THYF2WR0R&amp;reservation_id=9080486847417556", "3THYF2WR0R")</f>
        <v>3THYF2WR0R</v>
      </c>
      <c r="D7325" t="s">
        <v>45</v>
      </c>
      <c r="E7325" t="s">
        <v>305</v>
      </c>
      <c r="F7325" t="s">
        <v>61</v>
      </c>
      <c r="G7325" t="s">
        <v>48</v>
      </c>
      <c r="H7325" t="s">
        <v>49</v>
      </c>
      <c r="I7325" t="s">
        <v>62</v>
      </c>
      <c r="J7325" t="s">
        <v>11884</v>
      </c>
      <c r="K7325" t="s">
        <v>12350</v>
      </c>
      <c r="L7325" t="s">
        <v>53</v>
      </c>
      <c r="N7325" t="s">
        <v>13347</v>
      </c>
      <c r="P7325" t="s">
        <v>55</v>
      </c>
      <c r="R7325" t="s">
        <v>56</v>
      </c>
      <c r="T7325" t="s">
        <v>13348</v>
      </c>
      <c r="U7325" t="s">
        <v>55</v>
      </c>
      <c r="V7325">
        <v>1</v>
      </c>
      <c r="W7325">
        <v>1</v>
      </c>
      <c r="X7325">
        <v>1</v>
      </c>
      <c r="Y7325">
        <v>0</v>
      </c>
      <c r="Z7325">
        <v>1</v>
      </c>
      <c r="AA7325">
        <v>84.15</v>
      </c>
      <c r="AB7325">
        <v>84.15</v>
      </c>
      <c r="AC7325">
        <v>84.15</v>
      </c>
      <c r="AD7325">
        <v>0</v>
      </c>
      <c r="AE7325">
        <v>0</v>
      </c>
      <c r="AF7325">
        <v>0</v>
      </c>
      <c r="AG7325">
        <v>0</v>
      </c>
      <c r="AH7325">
        <v>0</v>
      </c>
      <c r="AI7325">
        <v>15.15</v>
      </c>
      <c r="AJ7325">
        <v>84.15</v>
      </c>
      <c r="AK7325">
        <v>0</v>
      </c>
      <c r="AL7325" t="s">
        <v>53</v>
      </c>
      <c r="AM7325" t="s">
        <v>53</v>
      </c>
      <c r="AN7325" t="s">
        <v>53</v>
      </c>
      <c r="AO7325" t="s">
        <v>53</v>
      </c>
      <c r="AP7325" t="s">
        <v>53</v>
      </c>
    </row>
    <row r="7326" spans="2:42" x14ac:dyDescent="0.2">
      <c r="B7326" t="s">
        <v>44</v>
      </c>
      <c r="C7326" t="str">
        <f>HYPERLINK("https://us2.cloudbeds.com/connect/8493803454333002#/reservations/9080486847418740?display=3TXUVYDDSC&amp;reservation_id=9080486847418740", "3TXUVYDDSC")</f>
        <v>3TXUVYDDSC</v>
      </c>
      <c r="D7326" t="s">
        <v>45</v>
      </c>
      <c r="E7326" t="s">
        <v>121</v>
      </c>
      <c r="F7326" t="s">
        <v>86</v>
      </c>
      <c r="G7326" t="s">
        <v>48</v>
      </c>
      <c r="H7326" t="s">
        <v>49</v>
      </c>
      <c r="I7326" t="s">
        <v>62</v>
      </c>
      <c r="J7326" t="s">
        <v>11884</v>
      </c>
      <c r="K7326" t="s">
        <v>12350</v>
      </c>
      <c r="L7326" t="s">
        <v>53</v>
      </c>
      <c r="N7326" t="s">
        <v>13349</v>
      </c>
      <c r="P7326" t="s">
        <v>55</v>
      </c>
      <c r="R7326" t="s">
        <v>56</v>
      </c>
      <c r="T7326" t="s">
        <v>13350</v>
      </c>
      <c r="U7326" t="s">
        <v>55</v>
      </c>
      <c r="V7326">
        <v>1</v>
      </c>
      <c r="W7326">
        <v>1</v>
      </c>
      <c r="X7326">
        <v>2</v>
      </c>
      <c r="Y7326">
        <v>0</v>
      </c>
      <c r="Z7326">
        <v>2</v>
      </c>
      <c r="AA7326">
        <v>93.5</v>
      </c>
      <c r="AB7326">
        <v>93.5</v>
      </c>
      <c r="AC7326">
        <v>93.5</v>
      </c>
      <c r="AD7326">
        <v>0</v>
      </c>
      <c r="AE7326">
        <v>0</v>
      </c>
      <c r="AF7326">
        <v>0</v>
      </c>
      <c r="AG7326">
        <v>0</v>
      </c>
      <c r="AH7326">
        <v>0</v>
      </c>
      <c r="AI7326">
        <v>16.829999999999998</v>
      </c>
      <c r="AJ7326">
        <v>93.5</v>
      </c>
      <c r="AK7326">
        <v>0</v>
      </c>
      <c r="AL7326" t="s">
        <v>53</v>
      </c>
      <c r="AM7326" t="s">
        <v>53</v>
      </c>
      <c r="AN7326" t="s">
        <v>53</v>
      </c>
      <c r="AO7326" t="s">
        <v>53</v>
      </c>
      <c r="AP7326" t="s">
        <v>53</v>
      </c>
    </row>
    <row r="7327" spans="2:42" x14ac:dyDescent="0.2">
      <c r="B7327" t="s">
        <v>44</v>
      </c>
      <c r="C7327" t="str">
        <f>HYPERLINK("https://us2.cloudbeds.com/connect/8493803454333002#/reservations/9080486847419167?display=3TJER2S2UB&amp;reservation_id=9080486847419167", "3TJER2S2UB")</f>
        <v>3TJER2S2UB</v>
      </c>
      <c r="D7327" t="s">
        <v>45</v>
      </c>
      <c r="E7327" t="s">
        <v>179</v>
      </c>
      <c r="F7327" t="s">
        <v>47</v>
      </c>
      <c r="G7327" t="s">
        <v>48</v>
      </c>
      <c r="H7327" t="s">
        <v>49</v>
      </c>
      <c r="I7327" t="s">
        <v>62</v>
      </c>
      <c r="J7327" t="s">
        <v>10170</v>
      </c>
      <c r="K7327" t="s">
        <v>12420</v>
      </c>
      <c r="L7327" t="s">
        <v>53</v>
      </c>
      <c r="N7327" t="s">
        <v>13351</v>
      </c>
      <c r="P7327" t="s">
        <v>55</v>
      </c>
      <c r="R7327" t="s">
        <v>56</v>
      </c>
      <c r="T7327" t="s">
        <v>13352</v>
      </c>
      <c r="U7327" t="s">
        <v>55</v>
      </c>
      <c r="V7327">
        <v>2</v>
      </c>
      <c r="W7327">
        <v>1</v>
      </c>
      <c r="X7327">
        <v>1</v>
      </c>
      <c r="Y7327">
        <v>0</v>
      </c>
      <c r="Z7327">
        <v>1</v>
      </c>
      <c r="AA7327">
        <v>327.25</v>
      </c>
      <c r="AB7327">
        <v>327.25</v>
      </c>
      <c r="AC7327">
        <v>327.25</v>
      </c>
      <c r="AD7327">
        <v>0</v>
      </c>
      <c r="AE7327">
        <v>0</v>
      </c>
      <c r="AF7327">
        <v>0</v>
      </c>
      <c r="AG7327">
        <v>0</v>
      </c>
      <c r="AH7327">
        <v>0</v>
      </c>
      <c r="AI7327">
        <v>58.91</v>
      </c>
      <c r="AJ7327">
        <v>327.25</v>
      </c>
      <c r="AK7327">
        <v>0</v>
      </c>
      <c r="AL7327" t="s">
        <v>53</v>
      </c>
      <c r="AM7327" t="s">
        <v>53</v>
      </c>
      <c r="AN7327" t="s">
        <v>13353</v>
      </c>
      <c r="AO7327" t="s">
        <v>53</v>
      </c>
      <c r="AP7327" t="s">
        <v>53</v>
      </c>
    </row>
    <row r="7328" spans="2:42" x14ac:dyDescent="0.2">
      <c r="B7328" t="s">
        <v>44</v>
      </c>
      <c r="C7328" t="str">
        <f>HYPERLINK("https://us2.cloudbeds.com/connect/8493803454333002#/reservations/9080486847419361?display=3TJNK9TAPW&amp;reservation_id=9080486847419361", "3TJNK9TAPW")</f>
        <v>3TJNK9TAPW</v>
      </c>
      <c r="D7328" t="s">
        <v>45</v>
      </c>
      <c r="E7328" t="s">
        <v>305</v>
      </c>
      <c r="F7328" t="s">
        <v>61</v>
      </c>
      <c r="G7328" t="s">
        <v>48</v>
      </c>
      <c r="H7328" t="s">
        <v>49</v>
      </c>
      <c r="I7328" t="s">
        <v>62</v>
      </c>
      <c r="J7328" t="s">
        <v>12350</v>
      </c>
      <c r="K7328" t="s">
        <v>12144</v>
      </c>
      <c r="L7328" t="s">
        <v>53</v>
      </c>
      <c r="N7328" t="s">
        <v>13354</v>
      </c>
      <c r="P7328" t="s">
        <v>55</v>
      </c>
      <c r="R7328" t="s">
        <v>56</v>
      </c>
      <c r="T7328" t="s">
        <v>13355</v>
      </c>
      <c r="U7328" t="s">
        <v>55</v>
      </c>
      <c r="V7328">
        <v>1</v>
      </c>
      <c r="W7328">
        <v>1</v>
      </c>
      <c r="X7328">
        <v>1</v>
      </c>
      <c r="Y7328">
        <v>0</v>
      </c>
      <c r="Z7328">
        <v>1</v>
      </c>
      <c r="AA7328">
        <v>85.85</v>
      </c>
      <c r="AB7328">
        <v>85.85</v>
      </c>
      <c r="AC7328">
        <v>85.85</v>
      </c>
      <c r="AD7328">
        <v>0</v>
      </c>
      <c r="AE7328">
        <v>0</v>
      </c>
      <c r="AF7328">
        <v>0</v>
      </c>
      <c r="AG7328">
        <v>0</v>
      </c>
      <c r="AH7328">
        <v>0</v>
      </c>
      <c r="AI7328">
        <v>15.45</v>
      </c>
      <c r="AJ7328">
        <v>85.85</v>
      </c>
      <c r="AK7328">
        <v>0</v>
      </c>
      <c r="AL7328" t="s">
        <v>53</v>
      </c>
      <c r="AM7328" t="s">
        <v>53</v>
      </c>
      <c r="AN7328" t="s">
        <v>13356</v>
      </c>
      <c r="AO7328" t="s">
        <v>53</v>
      </c>
      <c r="AP7328" t="s">
        <v>53</v>
      </c>
    </row>
    <row r="7329" spans="2:42" x14ac:dyDescent="0.2">
      <c r="B7329" t="s">
        <v>44</v>
      </c>
      <c r="C7329" t="str">
        <f>HYPERLINK("https://us2.cloudbeds.com/connect/8493803454333002#/reservations/9080486847419426?display=3TJQW99VUY&amp;reservation_id=9080486847419426", "3TJQW99VUY")</f>
        <v>3TJQW99VUY</v>
      </c>
      <c r="D7329" t="s">
        <v>45</v>
      </c>
      <c r="E7329" t="s">
        <v>305</v>
      </c>
      <c r="F7329" t="s">
        <v>61</v>
      </c>
      <c r="G7329" t="s">
        <v>48</v>
      </c>
      <c r="H7329" t="s">
        <v>49</v>
      </c>
      <c r="I7329" t="s">
        <v>62</v>
      </c>
      <c r="J7329" t="s">
        <v>12269</v>
      </c>
      <c r="K7329" t="s">
        <v>12420</v>
      </c>
      <c r="L7329" t="s">
        <v>53</v>
      </c>
      <c r="N7329" t="s">
        <v>13357</v>
      </c>
      <c r="P7329" t="s">
        <v>55</v>
      </c>
      <c r="R7329" t="s">
        <v>56</v>
      </c>
      <c r="T7329" t="s">
        <v>13358</v>
      </c>
      <c r="U7329" t="s">
        <v>55</v>
      </c>
      <c r="V7329">
        <v>1</v>
      </c>
      <c r="W7329">
        <v>1</v>
      </c>
      <c r="X7329">
        <v>1</v>
      </c>
      <c r="Y7329">
        <v>0</v>
      </c>
      <c r="Z7329">
        <v>1</v>
      </c>
      <c r="AA7329">
        <v>148.75</v>
      </c>
      <c r="AB7329">
        <v>148.75</v>
      </c>
      <c r="AC7329">
        <v>148.75</v>
      </c>
      <c r="AD7329">
        <v>0</v>
      </c>
      <c r="AE7329">
        <v>0</v>
      </c>
      <c r="AF7329">
        <v>0</v>
      </c>
      <c r="AG7329">
        <v>0</v>
      </c>
      <c r="AH7329">
        <v>0</v>
      </c>
      <c r="AI7329">
        <v>26.78</v>
      </c>
      <c r="AJ7329">
        <v>148.75</v>
      </c>
      <c r="AK7329">
        <v>0</v>
      </c>
      <c r="AL7329" t="s">
        <v>53</v>
      </c>
      <c r="AM7329" t="s">
        <v>53</v>
      </c>
      <c r="AN7329" t="s">
        <v>53</v>
      </c>
      <c r="AO7329" t="s">
        <v>53</v>
      </c>
      <c r="AP7329" t="s">
        <v>53</v>
      </c>
    </row>
    <row r="7330" spans="2:42" x14ac:dyDescent="0.2">
      <c r="B7330" t="s">
        <v>44</v>
      </c>
      <c r="C7330" t="str">
        <f>HYPERLINK("https://us2.cloudbeds.com/connect/8493803454333002#/reservations/9080486847419794?display=3TKAWDW7XG&amp;reservation_id=9080486847419794", "3TKAWDW7XG")</f>
        <v>3TKAWDW7XG</v>
      </c>
      <c r="D7330" t="s">
        <v>45</v>
      </c>
      <c r="E7330" t="s">
        <v>92</v>
      </c>
      <c r="F7330" t="s">
        <v>86</v>
      </c>
      <c r="G7330" t="s">
        <v>48</v>
      </c>
      <c r="H7330" t="s">
        <v>49</v>
      </c>
      <c r="I7330" t="s">
        <v>62</v>
      </c>
      <c r="J7330" t="s">
        <v>11884</v>
      </c>
      <c r="K7330" t="s">
        <v>12350</v>
      </c>
      <c r="L7330" t="s">
        <v>53</v>
      </c>
      <c r="N7330" t="s">
        <v>13359</v>
      </c>
      <c r="P7330" t="s">
        <v>55</v>
      </c>
      <c r="R7330" t="s">
        <v>56</v>
      </c>
      <c r="T7330" t="s">
        <v>13360</v>
      </c>
      <c r="U7330" t="s">
        <v>55</v>
      </c>
      <c r="V7330">
        <v>1</v>
      </c>
      <c r="W7330">
        <v>1</v>
      </c>
      <c r="X7330">
        <v>4</v>
      </c>
      <c r="Y7330">
        <v>0</v>
      </c>
      <c r="Z7330">
        <v>4</v>
      </c>
      <c r="AA7330">
        <v>93.5</v>
      </c>
      <c r="AB7330">
        <v>93.5</v>
      </c>
      <c r="AC7330">
        <v>93.5</v>
      </c>
      <c r="AD7330">
        <v>0</v>
      </c>
      <c r="AE7330">
        <v>0</v>
      </c>
      <c r="AF7330">
        <v>0</v>
      </c>
      <c r="AG7330">
        <v>0</v>
      </c>
      <c r="AH7330">
        <v>0</v>
      </c>
      <c r="AI7330">
        <v>16.829999999999998</v>
      </c>
      <c r="AJ7330">
        <v>93.5</v>
      </c>
      <c r="AK7330">
        <v>0</v>
      </c>
      <c r="AL7330" t="s">
        <v>53</v>
      </c>
      <c r="AM7330" t="s">
        <v>53</v>
      </c>
      <c r="AN7330" t="s">
        <v>53</v>
      </c>
      <c r="AO7330" t="s">
        <v>53</v>
      </c>
      <c r="AP7330" t="s">
        <v>53</v>
      </c>
    </row>
    <row r="7331" spans="2:42" x14ac:dyDescent="0.2">
      <c r="B7331" t="s">
        <v>44</v>
      </c>
      <c r="C7331" t="str">
        <f>HYPERLINK("https://us2.cloudbeds.com/connect/8493803454333002#/reservations/9080486847422987?display=3TP238HE6W&amp;reservation_id=9080486847422987", "3TP238HE6W")</f>
        <v>3TP238HE6W</v>
      </c>
      <c r="D7331" t="s">
        <v>45</v>
      </c>
      <c r="E7331" t="s">
        <v>165</v>
      </c>
      <c r="F7331" t="s">
        <v>61</v>
      </c>
      <c r="G7331" t="s">
        <v>48</v>
      </c>
      <c r="H7331" t="s">
        <v>49</v>
      </c>
      <c r="I7331" t="s">
        <v>50</v>
      </c>
      <c r="J7331" t="s">
        <v>13361</v>
      </c>
      <c r="K7331" t="s">
        <v>13362</v>
      </c>
      <c r="L7331" t="s">
        <v>53</v>
      </c>
      <c r="N7331" t="s">
        <v>13363</v>
      </c>
      <c r="P7331" t="s">
        <v>55</v>
      </c>
      <c r="R7331" t="s">
        <v>53</v>
      </c>
      <c r="T7331" t="s">
        <v>13364</v>
      </c>
      <c r="U7331" t="s">
        <v>58</v>
      </c>
      <c r="V7331">
        <v>5</v>
      </c>
      <c r="W7331">
        <v>1</v>
      </c>
      <c r="X7331">
        <v>2</v>
      </c>
      <c r="Y7331">
        <v>0</v>
      </c>
      <c r="Z7331">
        <v>2</v>
      </c>
      <c r="AA7331">
        <v>443.09</v>
      </c>
      <c r="AB7331">
        <v>447.01</v>
      </c>
      <c r="AC7331">
        <v>389.88</v>
      </c>
      <c r="AD7331">
        <v>0</v>
      </c>
      <c r="AE7331">
        <v>57.13</v>
      </c>
      <c r="AF7331">
        <v>0</v>
      </c>
      <c r="AG7331">
        <v>0</v>
      </c>
      <c r="AH7331">
        <v>0</v>
      </c>
      <c r="AI7331">
        <v>80.459999999999994</v>
      </c>
      <c r="AJ7331">
        <v>447.01</v>
      </c>
      <c r="AK7331">
        <v>0</v>
      </c>
      <c r="AL7331" t="s">
        <v>53</v>
      </c>
      <c r="AM7331" t="s">
        <v>53</v>
      </c>
      <c r="AN7331" t="s">
        <v>13365</v>
      </c>
      <c r="AO7331" t="s">
        <v>53</v>
      </c>
      <c r="AP7331" t="s">
        <v>53</v>
      </c>
    </row>
    <row r="7332" spans="2:42" x14ac:dyDescent="0.2">
      <c r="B7332" t="s">
        <v>44</v>
      </c>
      <c r="C7332" t="str">
        <f>HYPERLINK("https://us2.cloudbeds.com/connect/8493803454333002#/reservations/9080486847423382?display=3TPH1CGH3G&amp;reservation_id=9080486847423382", "3TPH1CGH3G")</f>
        <v>3TPH1CGH3G</v>
      </c>
      <c r="D7332" t="s">
        <v>45</v>
      </c>
      <c r="E7332" t="s">
        <v>213</v>
      </c>
      <c r="F7332" t="s">
        <v>86</v>
      </c>
      <c r="G7332" t="s">
        <v>48</v>
      </c>
      <c r="H7332" t="s">
        <v>49</v>
      </c>
      <c r="I7332" t="s">
        <v>8964</v>
      </c>
      <c r="J7332" t="s">
        <v>12420</v>
      </c>
      <c r="K7332" t="s">
        <v>12421</v>
      </c>
      <c r="L7332" t="s">
        <v>53</v>
      </c>
      <c r="N7332" t="s">
        <v>13366</v>
      </c>
      <c r="P7332" t="s">
        <v>55</v>
      </c>
      <c r="R7332" t="s">
        <v>53</v>
      </c>
      <c r="T7332" t="s">
        <v>13367</v>
      </c>
      <c r="U7332" t="s">
        <v>55</v>
      </c>
      <c r="V7332">
        <v>3</v>
      </c>
      <c r="W7332">
        <v>1</v>
      </c>
      <c r="X7332">
        <v>1</v>
      </c>
      <c r="Y7332">
        <v>0</v>
      </c>
      <c r="Z7332">
        <v>1</v>
      </c>
      <c r="AA7332">
        <v>0</v>
      </c>
      <c r="AB7332">
        <v>0</v>
      </c>
      <c r="AC7332">
        <v>894</v>
      </c>
      <c r="AD7332">
        <v>0</v>
      </c>
      <c r="AE7332">
        <v>0</v>
      </c>
      <c r="AF7332">
        <v>0</v>
      </c>
      <c r="AG7332">
        <v>0</v>
      </c>
      <c r="AH7332">
        <v>0</v>
      </c>
      <c r="AI7332">
        <v>134.1</v>
      </c>
      <c r="AJ7332">
        <v>894</v>
      </c>
      <c r="AK7332">
        <v>894</v>
      </c>
      <c r="AL7332" t="s">
        <v>53</v>
      </c>
      <c r="AM7332" t="s">
        <v>53</v>
      </c>
      <c r="AN7332" t="s">
        <v>13368</v>
      </c>
      <c r="AO7332" t="s">
        <v>53</v>
      </c>
      <c r="AP7332" t="s">
        <v>53</v>
      </c>
    </row>
    <row r="7333" spans="2:42" x14ac:dyDescent="0.2">
      <c r="B7333" t="s">
        <v>44</v>
      </c>
      <c r="C7333" t="str">
        <f>HYPERLINK("https://us2.cloudbeds.com/connect/8493803454333002#/reservations/9080486847423739?display=3TPUANWBM6&amp;reservation_id=9080486847423739", "3TPUANWBM6")</f>
        <v>3TPUANWBM6</v>
      </c>
      <c r="D7333" t="s">
        <v>45</v>
      </c>
      <c r="E7333" t="s">
        <v>110</v>
      </c>
      <c r="F7333" t="s">
        <v>47</v>
      </c>
      <c r="G7333" t="s">
        <v>48</v>
      </c>
      <c r="H7333" t="s">
        <v>49</v>
      </c>
      <c r="I7333" t="s">
        <v>50</v>
      </c>
      <c r="J7333" t="s">
        <v>12908</v>
      </c>
      <c r="K7333" t="s">
        <v>9969</v>
      </c>
      <c r="L7333" t="s">
        <v>53</v>
      </c>
      <c r="N7333" t="s">
        <v>13369</v>
      </c>
      <c r="P7333" t="s">
        <v>55</v>
      </c>
      <c r="R7333" t="s">
        <v>53</v>
      </c>
      <c r="T7333" t="s">
        <v>13370</v>
      </c>
      <c r="U7333" t="s">
        <v>58</v>
      </c>
      <c r="V7333">
        <v>1</v>
      </c>
      <c r="W7333">
        <v>1</v>
      </c>
      <c r="X7333">
        <v>2</v>
      </c>
      <c r="Y7333">
        <v>0</v>
      </c>
      <c r="Z7333">
        <v>2</v>
      </c>
      <c r="AA7333">
        <v>88.19</v>
      </c>
      <c r="AB7333">
        <v>88.19</v>
      </c>
      <c r="AC7333">
        <v>77.599999999999994</v>
      </c>
      <c r="AD7333">
        <v>0</v>
      </c>
      <c r="AE7333">
        <v>10.59</v>
      </c>
      <c r="AF7333">
        <v>0</v>
      </c>
      <c r="AG7333">
        <v>0</v>
      </c>
      <c r="AH7333">
        <v>0</v>
      </c>
      <c r="AI7333">
        <v>15.87</v>
      </c>
      <c r="AJ7333">
        <v>88.19</v>
      </c>
      <c r="AK7333">
        <v>0</v>
      </c>
      <c r="AL7333" t="s">
        <v>53</v>
      </c>
      <c r="AM7333" t="s">
        <v>53</v>
      </c>
      <c r="AN7333" t="s">
        <v>13371</v>
      </c>
      <c r="AO7333" t="s">
        <v>53</v>
      </c>
      <c r="AP7333" t="s">
        <v>53</v>
      </c>
    </row>
    <row r="7334" spans="2:42" x14ac:dyDescent="0.2">
      <c r="B7334" t="s">
        <v>44</v>
      </c>
      <c r="C7334" t="str">
        <f>HYPERLINK("https://us2.cloudbeds.com/connect/8493803454333002#/reservations/9080486847424070?display=3TQBK0BMN1&amp;reservation_id=9080486847424070", "3TQBK0BMN1")</f>
        <v>3TQBK0BMN1</v>
      </c>
      <c r="D7334" t="s">
        <v>45</v>
      </c>
      <c r="E7334" t="s">
        <v>128</v>
      </c>
      <c r="F7334" t="s">
        <v>86</v>
      </c>
      <c r="G7334" t="s">
        <v>48</v>
      </c>
      <c r="H7334" t="s">
        <v>49</v>
      </c>
      <c r="I7334" t="s">
        <v>50</v>
      </c>
      <c r="J7334" t="s">
        <v>12350</v>
      </c>
      <c r="K7334" t="s">
        <v>12144</v>
      </c>
      <c r="L7334" t="s">
        <v>53</v>
      </c>
      <c r="N7334" t="s">
        <v>13372</v>
      </c>
      <c r="P7334" t="s">
        <v>55</v>
      </c>
      <c r="R7334" t="s">
        <v>53</v>
      </c>
      <c r="T7334" t="s">
        <v>13373</v>
      </c>
      <c r="U7334" t="s">
        <v>58</v>
      </c>
      <c r="V7334">
        <v>1</v>
      </c>
      <c r="W7334">
        <v>1</v>
      </c>
      <c r="X7334">
        <v>2</v>
      </c>
      <c r="Y7334">
        <v>0</v>
      </c>
      <c r="Z7334">
        <v>2</v>
      </c>
      <c r="AA7334">
        <v>114</v>
      </c>
      <c r="AB7334">
        <v>114</v>
      </c>
      <c r="AC7334">
        <v>100.3</v>
      </c>
      <c r="AD7334">
        <v>0</v>
      </c>
      <c r="AE7334">
        <v>13.7</v>
      </c>
      <c r="AF7334">
        <v>0</v>
      </c>
      <c r="AG7334">
        <v>0</v>
      </c>
      <c r="AH7334">
        <v>0</v>
      </c>
      <c r="AI7334">
        <v>20.52</v>
      </c>
      <c r="AJ7334">
        <v>114</v>
      </c>
      <c r="AK7334">
        <v>0</v>
      </c>
      <c r="AL7334" t="s">
        <v>53</v>
      </c>
      <c r="AM7334" t="s">
        <v>53</v>
      </c>
      <c r="AN7334" t="s">
        <v>53</v>
      </c>
      <c r="AO7334" t="s">
        <v>53</v>
      </c>
      <c r="AP7334" t="s">
        <v>53</v>
      </c>
    </row>
    <row r="7335" spans="2:42" x14ac:dyDescent="0.2">
      <c r="B7335" t="s">
        <v>44</v>
      </c>
      <c r="C7335" t="str">
        <f>HYPERLINK("https://us2.cloudbeds.com/connect/8493803454333002#/reservations/9080486847424507?display=3TQWTHDPNC&amp;reservation_id=9080486847424507", "3TQWTHDPNC")</f>
        <v>3TQWTHDPNC</v>
      </c>
      <c r="D7335" t="s">
        <v>45</v>
      </c>
      <c r="E7335" t="s">
        <v>155</v>
      </c>
      <c r="F7335" t="s">
        <v>86</v>
      </c>
      <c r="G7335" t="s">
        <v>48</v>
      </c>
      <c r="H7335" t="s">
        <v>49</v>
      </c>
      <c r="I7335" t="s">
        <v>50</v>
      </c>
      <c r="J7335" t="s">
        <v>12269</v>
      </c>
      <c r="K7335" t="s">
        <v>12420</v>
      </c>
      <c r="L7335" t="s">
        <v>53</v>
      </c>
      <c r="N7335" t="s">
        <v>13374</v>
      </c>
      <c r="P7335" t="s">
        <v>55</v>
      </c>
      <c r="R7335" t="s">
        <v>53</v>
      </c>
      <c r="T7335" t="s">
        <v>13375</v>
      </c>
      <c r="U7335" t="s">
        <v>58</v>
      </c>
      <c r="V7335">
        <v>1</v>
      </c>
      <c r="W7335">
        <v>1</v>
      </c>
      <c r="X7335">
        <v>2</v>
      </c>
      <c r="Y7335">
        <v>1</v>
      </c>
      <c r="Z7335">
        <v>3</v>
      </c>
      <c r="AA7335">
        <v>213.77</v>
      </c>
      <c r="AB7335">
        <v>213.77</v>
      </c>
      <c r="AC7335">
        <v>188.1</v>
      </c>
      <c r="AD7335">
        <v>0</v>
      </c>
      <c r="AE7335">
        <v>25.67</v>
      </c>
      <c r="AF7335">
        <v>0</v>
      </c>
      <c r="AG7335">
        <v>0</v>
      </c>
      <c r="AH7335">
        <v>0</v>
      </c>
      <c r="AI7335">
        <v>38.479999999999997</v>
      </c>
      <c r="AJ7335">
        <v>213.77</v>
      </c>
      <c r="AK7335">
        <v>0</v>
      </c>
      <c r="AL7335" t="s">
        <v>53</v>
      </c>
      <c r="AM7335" t="s">
        <v>53</v>
      </c>
      <c r="AN7335" t="s">
        <v>13376</v>
      </c>
      <c r="AO7335" t="s">
        <v>53</v>
      </c>
      <c r="AP7335" t="s">
        <v>53</v>
      </c>
    </row>
    <row r="7336" spans="2:42" x14ac:dyDescent="0.2">
      <c r="B7336" t="s">
        <v>44</v>
      </c>
      <c r="C7336" t="str">
        <f>HYPERLINK("https://us2.cloudbeds.com/connect/8493803454333002#/reservations/9080486847424508?display=3TR01D4V0H&amp;reservation_id=9080486847424508", "3TR01D4V0H")</f>
        <v>3TR01D4V0H</v>
      </c>
      <c r="D7336" t="s">
        <v>45</v>
      </c>
      <c r="E7336" t="s">
        <v>213</v>
      </c>
      <c r="F7336" t="s">
        <v>86</v>
      </c>
      <c r="G7336" t="s">
        <v>48</v>
      </c>
      <c r="H7336" t="s">
        <v>49</v>
      </c>
      <c r="I7336" t="s">
        <v>50</v>
      </c>
      <c r="J7336" t="s">
        <v>12269</v>
      </c>
      <c r="K7336" t="s">
        <v>12420</v>
      </c>
      <c r="L7336" t="s">
        <v>53</v>
      </c>
      <c r="N7336" t="s">
        <v>13377</v>
      </c>
      <c r="P7336" t="s">
        <v>55</v>
      </c>
      <c r="R7336" t="s">
        <v>53</v>
      </c>
      <c r="T7336" t="s">
        <v>13378</v>
      </c>
      <c r="U7336" t="s">
        <v>58</v>
      </c>
      <c r="V7336">
        <v>1</v>
      </c>
      <c r="W7336">
        <v>1</v>
      </c>
      <c r="X7336">
        <v>1</v>
      </c>
      <c r="Y7336">
        <v>1</v>
      </c>
      <c r="Z7336">
        <v>2</v>
      </c>
      <c r="AA7336">
        <v>213.77</v>
      </c>
      <c r="AB7336">
        <v>213.77</v>
      </c>
      <c r="AC7336">
        <v>188.1</v>
      </c>
      <c r="AD7336">
        <v>0</v>
      </c>
      <c r="AE7336">
        <v>25.67</v>
      </c>
      <c r="AF7336">
        <v>0</v>
      </c>
      <c r="AG7336">
        <v>0</v>
      </c>
      <c r="AH7336">
        <v>0</v>
      </c>
      <c r="AI7336">
        <v>38.479999999999997</v>
      </c>
      <c r="AJ7336">
        <v>213.77</v>
      </c>
      <c r="AK7336">
        <v>0</v>
      </c>
      <c r="AL7336" t="s">
        <v>53</v>
      </c>
      <c r="AM7336" t="s">
        <v>53</v>
      </c>
      <c r="AN7336" t="s">
        <v>13379</v>
      </c>
      <c r="AO7336" t="s">
        <v>53</v>
      </c>
      <c r="AP7336" t="s">
        <v>53</v>
      </c>
    </row>
    <row r="7337" spans="2:42" x14ac:dyDescent="0.2">
      <c r="B7337" t="s">
        <v>44</v>
      </c>
      <c r="C7337" t="str">
        <f>HYPERLINK("https://us2.cloudbeds.com/connect/8493803454333002#/reservations/9080486847429768?display=3U29MYKA02&amp;reservation_id=9080486847429768", "3U29MYKA02")</f>
        <v>3U29MYKA02</v>
      </c>
      <c r="D7337" t="s">
        <v>45</v>
      </c>
      <c r="E7337" t="s">
        <v>213</v>
      </c>
      <c r="F7337" t="s">
        <v>86</v>
      </c>
      <c r="G7337" t="s">
        <v>48</v>
      </c>
      <c r="H7337" t="s">
        <v>49</v>
      </c>
      <c r="I7337" t="s">
        <v>62</v>
      </c>
      <c r="J7337" t="s">
        <v>12421</v>
      </c>
      <c r="K7337" t="s">
        <v>13061</v>
      </c>
      <c r="L7337" t="s">
        <v>53</v>
      </c>
      <c r="N7337" t="s">
        <v>13380</v>
      </c>
      <c r="P7337" t="s">
        <v>55</v>
      </c>
      <c r="R7337" t="s">
        <v>56</v>
      </c>
      <c r="T7337" t="s">
        <v>13381</v>
      </c>
      <c r="U7337" t="s">
        <v>55</v>
      </c>
      <c r="V7337">
        <v>2</v>
      </c>
      <c r="W7337">
        <v>1</v>
      </c>
      <c r="X7337">
        <v>4</v>
      </c>
      <c r="Y7337">
        <v>0</v>
      </c>
      <c r="Z7337">
        <v>4</v>
      </c>
      <c r="AA7337">
        <v>233.37</v>
      </c>
      <c r="AB7337">
        <v>233.37</v>
      </c>
      <c r="AC7337">
        <v>233.37</v>
      </c>
      <c r="AD7337">
        <v>0</v>
      </c>
      <c r="AE7337">
        <v>0</v>
      </c>
      <c r="AF7337">
        <v>0</v>
      </c>
      <c r="AG7337">
        <v>0</v>
      </c>
      <c r="AH7337">
        <v>0</v>
      </c>
      <c r="AI7337">
        <v>42.01</v>
      </c>
      <c r="AJ7337">
        <v>233.37</v>
      </c>
      <c r="AK7337">
        <v>0</v>
      </c>
      <c r="AL7337" t="s">
        <v>53</v>
      </c>
      <c r="AM7337" t="s">
        <v>53</v>
      </c>
      <c r="AN7337" t="s">
        <v>13382</v>
      </c>
      <c r="AO7337" t="s">
        <v>53</v>
      </c>
      <c r="AP7337" t="s">
        <v>53</v>
      </c>
    </row>
    <row r="7338" spans="2:42" x14ac:dyDescent="0.2">
      <c r="B7338" t="s">
        <v>44</v>
      </c>
      <c r="C7338" t="str">
        <f>HYPERLINK("https://us2.cloudbeds.com/connect/8493803454333002#/reservations/9080486847430447?display=3U3308XD27&amp;reservation_id=9080486847430447", "3U3308XD27")</f>
        <v>3U3308XD27</v>
      </c>
      <c r="D7338" t="s">
        <v>45</v>
      </c>
      <c r="E7338" t="s">
        <v>138</v>
      </c>
      <c r="F7338" t="s">
        <v>70</v>
      </c>
      <c r="G7338" t="s">
        <v>48</v>
      </c>
      <c r="H7338" t="s">
        <v>49</v>
      </c>
      <c r="I7338" t="s">
        <v>50</v>
      </c>
      <c r="J7338" t="s">
        <v>13383</v>
      </c>
      <c r="K7338" t="s">
        <v>13384</v>
      </c>
      <c r="L7338" t="s">
        <v>53</v>
      </c>
      <c r="N7338" t="s">
        <v>13385</v>
      </c>
      <c r="P7338" t="s">
        <v>55</v>
      </c>
      <c r="R7338" t="s">
        <v>53</v>
      </c>
      <c r="T7338" t="s">
        <v>13386</v>
      </c>
      <c r="U7338" t="s">
        <v>58</v>
      </c>
      <c r="V7338">
        <v>1</v>
      </c>
      <c r="W7338">
        <v>1</v>
      </c>
      <c r="X7338">
        <v>2</v>
      </c>
      <c r="Y7338">
        <v>0</v>
      </c>
      <c r="Z7338">
        <v>2</v>
      </c>
      <c r="AA7338">
        <v>63.64</v>
      </c>
      <c r="AB7338">
        <v>64.2</v>
      </c>
      <c r="AC7338">
        <v>56</v>
      </c>
      <c r="AD7338">
        <v>0</v>
      </c>
      <c r="AE7338">
        <v>8.1999999999999993</v>
      </c>
      <c r="AF7338">
        <v>0</v>
      </c>
      <c r="AG7338">
        <v>0</v>
      </c>
      <c r="AH7338">
        <v>0</v>
      </c>
      <c r="AI7338">
        <v>11.56</v>
      </c>
      <c r="AJ7338">
        <v>64.2</v>
      </c>
      <c r="AK7338">
        <v>0</v>
      </c>
      <c r="AL7338" t="s">
        <v>53</v>
      </c>
      <c r="AM7338" t="s">
        <v>53</v>
      </c>
      <c r="AN7338" t="s">
        <v>13387</v>
      </c>
      <c r="AO7338" t="s">
        <v>53</v>
      </c>
      <c r="AP7338" t="s">
        <v>53</v>
      </c>
    </row>
    <row r="7339" spans="2:42" x14ac:dyDescent="0.2">
      <c r="B7339" t="s">
        <v>44</v>
      </c>
      <c r="C7339" t="str">
        <f>HYPERLINK("https://us2.cloudbeds.com/connect/8493803454333002#/reservations/9080486847431130?display=3U4013SXHX&amp;reservation_id=9080486847431130", "3U4013SXHX")</f>
        <v>3U4013SXHX</v>
      </c>
      <c r="D7339" t="s">
        <v>45</v>
      </c>
      <c r="E7339" t="s">
        <v>406</v>
      </c>
      <c r="F7339" t="s">
        <v>61</v>
      </c>
      <c r="G7339" t="s">
        <v>48</v>
      </c>
      <c r="H7339" t="s">
        <v>49</v>
      </c>
      <c r="I7339" t="s">
        <v>62</v>
      </c>
      <c r="J7339" t="s">
        <v>12269</v>
      </c>
      <c r="K7339" t="s">
        <v>12420</v>
      </c>
      <c r="L7339" t="s">
        <v>53</v>
      </c>
      <c r="N7339" t="s">
        <v>13388</v>
      </c>
      <c r="P7339" t="s">
        <v>55</v>
      </c>
      <c r="R7339" t="s">
        <v>56</v>
      </c>
      <c r="T7339" t="s">
        <v>13389</v>
      </c>
      <c r="U7339" t="s">
        <v>55</v>
      </c>
      <c r="V7339">
        <v>1</v>
      </c>
      <c r="W7339">
        <v>1</v>
      </c>
      <c r="X7339">
        <v>2</v>
      </c>
      <c r="Y7339">
        <v>0</v>
      </c>
      <c r="Z7339">
        <v>2</v>
      </c>
      <c r="AA7339">
        <v>147.05000000000001</v>
      </c>
      <c r="AB7339">
        <v>147.05000000000001</v>
      </c>
      <c r="AC7339">
        <v>147.05000000000001</v>
      </c>
      <c r="AD7339">
        <v>0</v>
      </c>
      <c r="AE7339">
        <v>0</v>
      </c>
      <c r="AF7339">
        <v>0</v>
      </c>
      <c r="AG7339">
        <v>0</v>
      </c>
      <c r="AH7339">
        <v>0</v>
      </c>
      <c r="AI7339">
        <v>26.47</v>
      </c>
      <c r="AJ7339">
        <v>147.05000000000001</v>
      </c>
      <c r="AK7339">
        <v>0</v>
      </c>
      <c r="AL7339" t="s">
        <v>53</v>
      </c>
      <c r="AM7339" t="s">
        <v>53</v>
      </c>
      <c r="AN7339" t="s">
        <v>53</v>
      </c>
      <c r="AO7339" t="s">
        <v>53</v>
      </c>
      <c r="AP7339" t="s">
        <v>53</v>
      </c>
    </row>
    <row r="7340" spans="2:42" x14ac:dyDescent="0.2">
      <c r="B7340" t="s">
        <v>44</v>
      </c>
      <c r="C7340" t="str">
        <f>HYPERLINK("https://us2.cloudbeds.com/connect/8493803454333002#/reservations/9080486847431418?display=3U4DGP6PXK&amp;reservation_id=9080486847431418", "3U4DGP6PXK")</f>
        <v>3U4DGP6PXK</v>
      </c>
      <c r="D7340" t="s">
        <v>45</v>
      </c>
      <c r="E7340" t="s">
        <v>105</v>
      </c>
      <c r="F7340" t="s">
        <v>47</v>
      </c>
      <c r="G7340" t="s">
        <v>48</v>
      </c>
      <c r="H7340" t="s">
        <v>49</v>
      </c>
      <c r="I7340" t="s">
        <v>50</v>
      </c>
      <c r="J7340" t="s">
        <v>13060</v>
      </c>
      <c r="K7340" t="s">
        <v>13061</v>
      </c>
      <c r="L7340" t="s">
        <v>53</v>
      </c>
      <c r="N7340" t="s">
        <v>13390</v>
      </c>
      <c r="P7340" t="s">
        <v>55</v>
      </c>
      <c r="R7340" t="s">
        <v>53</v>
      </c>
      <c r="T7340" t="s">
        <v>13391</v>
      </c>
      <c r="U7340" t="s">
        <v>58</v>
      </c>
      <c r="V7340">
        <v>1</v>
      </c>
      <c r="W7340">
        <v>1</v>
      </c>
      <c r="X7340">
        <v>2</v>
      </c>
      <c r="Y7340">
        <v>0</v>
      </c>
      <c r="Z7340">
        <v>2</v>
      </c>
      <c r="AA7340">
        <v>82.12</v>
      </c>
      <c r="AB7340">
        <v>82.12</v>
      </c>
      <c r="AC7340">
        <v>72.25</v>
      </c>
      <c r="AD7340">
        <v>0</v>
      </c>
      <c r="AE7340">
        <v>9.8699999999999992</v>
      </c>
      <c r="AF7340">
        <v>0</v>
      </c>
      <c r="AG7340">
        <v>0</v>
      </c>
      <c r="AH7340">
        <v>0</v>
      </c>
      <c r="AI7340">
        <v>14.78</v>
      </c>
      <c r="AJ7340">
        <v>82.12</v>
      </c>
      <c r="AK7340">
        <v>0</v>
      </c>
      <c r="AL7340" t="s">
        <v>53</v>
      </c>
      <c r="AM7340" t="s">
        <v>53</v>
      </c>
      <c r="AN7340" t="s">
        <v>13392</v>
      </c>
      <c r="AO7340" t="s">
        <v>53</v>
      </c>
      <c r="AP7340" t="s">
        <v>53</v>
      </c>
    </row>
    <row r="7341" spans="2:42" x14ac:dyDescent="0.2">
      <c r="B7341" t="s">
        <v>44</v>
      </c>
      <c r="C7341" t="str">
        <f>HYPERLINK("https://us2.cloudbeds.com/connect/8493803454333002#/reservations/9080486847433602?display=3U7PCS6ASD&amp;reservation_id=9080486847433602", "3U7PCS6ASD")</f>
        <v>3U7PCS6ASD</v>
      </c>
      <c r="D7341" t="s">
        <v>45</v>
      </c>
      <c r="E7341" t="s">
        <v>190</v>
      </c>
      <c r="F7341" t="s">
        <v>61</v>
      </c>
      <c r="G7341" t="s">
        <v>48</v>
      </c>
      <c r="H7341" t="s">
        <v>49</v>
      </c>
      <c r="I7341" t="s">
        <v>50</v>
      </c>
      <c r="J7341" t="s">
        <v>13072</v>
      </c>
      <c r="K7341" t="s">
        <v>13393</v>
      </c>
      <c r="L7341" t="s">
        <v>53</v>
      </c>
      <c r="N7341" t="s">
        <v>13394</v>
      </c>
      <c r="P7341" t="s">
        <v>55</v>
      </c>
      <c r="R7341" t="s">
        <v>53</v>
      </c>
      <c r="T7341" t="s">
        <v>13395</v>
      </c>
      <c r="U7341" t="s">
        <v>58</v>
      </c>
      <c r="V7341">
        <v>2</v>
      </c>
      <c r="W7341">
        <v>1</v>
      </c>
      <c r="X7341">
        <v>1</v>
      </c>
      <c r="Y7341">
        <v>0</v>
      </c>
      <c r="Z7341">
        <v>1</v>
      </c>
      <c r="AA7341">
        <v>164.1</v>
      </c>
      <c r="AB7341">
        <v>164.1</v>
      </c>
      <c r="AC7341">
        <v>144.4</v>
      </c>
      <c r="AD7341">
        <v>0</v>
      </c>
      <c r="AE7341">
        <v>19.7</v>
      </c>
      <c r="AF7341">
        <v>0</v>
      </c>
      <c r="AG7341">
        <v>0</v>
      </c>
      <c r="AH7341">
        <v>0</v>
      </c>
      <c r="AI7341">
        <v>29.54</v>
      </c>
      <c r="AJ7341">
        <v>164.1</v>
      </c>
      <c r="AK7341">
        <v>0</v>
      </c>
      <c r="AL7341" t="s">
        <v>53</v>
      </c>
      <c r="AM7341" t="s">
        <v>53</v>
      </c>
      <c r="AN7341" t="s">
        <v>13396</v>
      </c>
      <c r="AO7341" t="s">
        <v>53</v>
      </c>
      <c r="AP7341" t="s">
        <v>53</v>
      </c>
    </row>
    <row r="7342" spans="2:42" x14ac:dyDescent="0.2">
      <c r="B7342" t="s">
        <v>44</v>
      </c>
      <c r="C7342" t="str">
        <f>HYPERLINK("https://us2.cloudbeds.com/connect/8493803454333002#/reservations/9080486847434179?display=3U8BDQEJ2C&amp;reservation_id=9080486847434179", "3U8BDQEJ2C")</f>
        <v>3U8BDQEJ2C</v>
      </c>
      <c r="D7342" t="s">
        <v>45</v>
      </c>
      <c r="E7342" t="s">
        <v>110</v>
      </c>
      <c r="F7342" t="s">
        <v>47</v>
      </c>
      <c r="G7342" t="s">
        <v>48</v>
      </c>
      <c r="H7342" t="s">
        <v>49</v>
      </c>
      <c r="I7342" t="s">
        <v>62</v>
      </c>
      <c r="J7342" t="s">
        <v>11482</v>
      </c>
      <c r="K7342" t="s">
        <v>10169</v>
      </c>
      <c r="L7342" t="s">
        <v>53</v>
      </c>
      <c r="N7342" t="s">
        <v>13397</v>
      </c>
      <c r="P7342" t="s">
        <v>55</v>
      </c>
      <c r="R7342" t="s">
        <v>56</v>
      </c>
      <c r="T7342" t="s">
        <v>13398</v>
      </c>
      <c r="U7342" t="s">
        <v>55</v>
      </c>
      <c r="V7342">
        <v>1</v>
      </c>
      <c r="W7342">
        <v>1</v>
      </c>
      <c r="X7342">
        <v>1</v>
      </c>
      <c r="Y7342">
        <v>0</v>
      </c>
      <c r="Z7342">
        <v>1</v>
      </c>
      <c r="AA7342">
        <v>178.5</v>
      </c>
      <c r="AB7342">
        <v>178.5</v>
      </c>
      <c r="AC7342">
        <v>178.5</v>
      </c>
      <c r="AD7342">
        <v>0</v>
      </c>
      <c r="AE7342">
        <v>0</v>
      </c>
      <c r="AF7342">
        <v>0</v>
      </c>
      <c r="AG7342">
        <v>0</v>
      </c>
      <c r="AH7342">
        <v>0</v>
      </c>
      <c r="AI7342">
        <v>32.130000000000003</v>
      </c>
      <c r="AJ7342">
        <v>178.5</v>
      </c>
      <c r="AK7342">
        <v>0</v>
      </c>
      <c r="AL7342" t="s">
        <v>53</v>
      </c>
      <c r="AM7342" t="s">
        <v>53</v>
      </c>
      <c r="AN7342" t="s">
        <v>13399</v>
      </c>
      <c r="AO7342" t="s">
        <v>53</v>
      </c>
      <c r="AP7342" t="s">
        <v>53</v>
      </c>
    </row>
    <row r="7343" spans="2:42" x14ac:dyDescent="0.2">
      <c r="B7343" t="s">
        <v>44</v>
      </c>
      <c r="C7343" t="str">
        <f>HYPERLINK("https://us2.cloudbeds.com/connect/8493803454333002#/reservations/9080486847435728?display=3U9KK3QE61&amp;reservation_id=9080486847435728", "3U9KK3QE61")</f>
        <v>3U9KK3QE61</v>
      </c>
      <c r="D7343" t="s">
        <v>45</v>
      </c>
      <c r="E7343" t="s">
        <v>373</v>
      </c>
      <c r="F7343" t="s">
        <v>47</v>
      </c>
      <c r="G7343" t="s">
        <v>48</v>
      </c>
      <c r="H7343" t="s">
        <v>49</v>
      </c>
      <c r="I7343" t="s">
        <v>62</v>
      </c>
      <c r="J7343" t="s">
        <v>13140</v>
      </c>
      <c r="K7343" t="s">
        <v>13061</v>
      </c>
      <c r="L7343" t="s">
        <v>53</v>
      </c>
      <c r="N7343" t="s">
        <v>13400</v>
      </c>
      <c r="P7343" t="s">
        <v>55</v>
      </c>
      <c r="R7343" t="s">
        <v>56</v>
      </c>
      <c r="T7343" t="s">
        <v>13401</v>
      </c>
      <c r="U7343" t="s">
        <v>55</v>
      </c>
      <c r="V7343">
        <v>3</v>
      </c>
      <c r="W7343">
        <v>1</v>
      </c>
      <c r="X7343">
        <v>2</v>
      </c>
      <c r="Y7343">
        <v>0</v>
      </c>
      <c r="Z7343">
        <v>2</v>
      </c>
      <c r="AA7343">
        <v>328.95</v>
      </c>
      <c r="AB7343">
        <v>328.95</v>
      </c>
      <c r="AC7343">
        <v>328.95</v>
      </c>
      <c r="AD7343">
        <v>0</v>
      </c>
      <c r="AE7343">
        <v>0</v>
      </c>
      <c r="AF7343">
        <v>0</v>
      </c>
      <c r="AG7343">
        <v>0</v>
      </c>
      <c r="AH7343">
        <v>0</v>
      </c>
      <c r="AI7343">
        <v>59.21</v>
      </c>
      <c r="AJ7343">
        <v>328.95</v>
      </c>
      <c r="AK7343">
        <v>0</v>
      </c>
      <c r="AL7343" t="s">
        <v>53</v>
      </c>
      <c r="AM7343" t="s">
        <v>53</v>
      </c>
      <c r="AN7343" t="s">
        <v>13402</v>
      </c>
      <c r="AO7343" t="s">
        <v>53</v>
      </c>
      <c r="AP7343" t="s">
        <v>53</v>
      </c>
    </row>
    <row r="7344" spans="2:42" x14ac:dyDescent="0.2">
      <c r="B7344" t="s">
        <v>44</v>
      </c>
      <c r="C7344" t="str">
        <f>HYPERLINK("https://us2.cloudbeds.com/connect/8493803454333002#/reservations/9080486847436201?display=3U9WASUJXD&amp;reservation_id=9080486847436201", "3U9WASUJXD")</f>
        <v>3U9WASUJXD</v>
      </c>
      <c r="D7344" t="s">
        <v>45</v>
      </c>
      <c r="E7344" t="s">
        <v>13403</v>
      </c>
      <c r="F7344" t="s">
        <v>5444</v>
      </c>
      <c r="G7344" t="s">
        <v>48</v>
      </c>
      <c r="H7344" t="s">
        <v>49</v>
      </c>
      <c r="I7344" t="s">
        <v>62</v>
      </c>
      <c r="J7344" t="s">
        <v>11482</v>
      </c>
      <c r="K7344" t="s">
        <v>10170</v>
      </c>
      <c r="L7344" t="s">
        <v>53</v>
      </c>
      <c r="N7344" t="s">
        <v>13404</v>
      </c>
      <c r="P7344" t="s">
        <v>55</v>
      </c>
      <c r="R7344" t="s">
        <v>56</v>
      </c>
      <c r="T7344" t="s">
        <v>13405</v>
      </c>
      <c r="U7344" t="s">
        <v>55</v>
      </c>
      <c r="V7344">
        <v>4</v>
      </c>
      <c r="W7344">
        <v>2</v>
      </c>
      <c r="X7344">
        <v>3</v>
      </c>
      <c r="Y7344">
        <v>0</v>
      </c>
      <c r="Z7344">
        <v>3</v>
      </c>
      <c r="AA7344">
        <v>738.65</v>
      </c>
      <c r="AB7344">
        <v>738.65</v>
      </c>
      <c r="AC7344">
        <v>738.65</v>
      </c>
      <c r="AD7344">
        <v>0</v>
      </c>
      <c r="AE7344">
        <v>0</v>
      </c>
      <c r="AF7344">
        <v>0</v>
      </c>
      <c r="AG7344">
        <v>0</v>
      </c>
      <c r="AH7344">
        <v>0</v>
      </c>
      <c r="AI7344">
        <v>132.96</v>
      </c>
      <c r="AJ7344">
        <v>738.65</v>
      </c>
      <c r="AK7344">
        <v>0</v>
      </c>
      <c r="AL7344" t="s">
        <v>53</v>
      </c>
      <c r="AM7344" t="s">
        <v>53</v>
      </c>
      <c r="AN7344" t="s">
        <v>53</v>
      </c>
      <c r="AO7344" t="s">
        <v>53</v>
      </c>
      <c r="AP7344" t="s">
        <v>53</v>
      </c>
    </row>
    <row r="7345" spans="2:42" x14ac:dyDescent="0.2">
      <c r="B7345" t="s">
        <v>44</v>
      </c>
      <c r="C7345" t="str">
        <f>HYPERLINK("https://us2.cloudbeds.com/connect/8493803454333002#/reservations/9080486847436486?display=3UA7Y9TE73&amp;reservation_id=9080486847436486", "3UA7Y9TE73")</f>
        <v>3UA7Y9TE73</v>
      </c>
      <c r="D7345" t="s">
        <v>45</v>
      </c>
      <c r="E7345" t="s">
        <v>46</v>
      </c>
      <c r="F7345" t="s">
        <v>47</v>
      </c>
      <c r="G7345" t="s">
        <v>48</v>
      </c>
      <c r="H7345" t="s">
        <v>49</v>
      </c>
      <c r="I7345" t="s">
        <v>50</v>
      </c>
      <c r="J7345" t="s">
        <v>12269</v>
      </c>
      <c r="K7345" t="s">
        <v>12441</v>
      </c>
      <c r="L7345" t="s">
        <v>53</v>
      </c>
      <c r="N7345" t="s">
        <v>13406</v>
      </c>
      <c r="P7345" t="s">
        <v>55</v>
      </c>
      <c r="R7345" t="s">
        <v>53</v>
      </c>
      <c r="T7345" t="s">
        <v>13407</v>
      </c>
      <c r="U7345" t="s">
        <v>58</v>
      </c>
      <c r="V7345">
        <v>2</v>
      </c>
      <c r="W7345">
        <v>1</v>
      </c>
      <c r="X7345">
        <v>2</v>
      </c>
      <c r="Y7345">
        <v>0</v>
      </c>
      <c r="Z7345">
        <v>2</v>
      </c>
      <c r="AA7345">
        <v>313.95999999999998</v>
      </c>
      <c r="AB7345">
        <v>313.95999999999998</v>
      </c>
      <c r="AC7345">
        <v>276.25</v>
      </c>
      <c r="AD7345">
        <v>0</v>
      </c>
      <c r="AE7345">
        <v>37.71</v>
      </c>
      <c r="AF7345">
        <v>0</v>
      </c>
      <c r="AG7345">
        <v>0</v>
      </c>
      <c r="AH7345">
        <v>0</v>
      </c>
      <c r="AI7345">
        <v>56.51</v>
      </c>
      <c r="AJ7345">
        <v>313.95999999999998</v>
      </c>
      <c r="AK7345">
        <v>0</v>
      </c>
      <c r="AL7345" t="s">
        <v>53</v>
      </c>
      <c r="AM7345" t="s">
        <v>53</v>
      </c>
      <c r="AN7345" t="s">
        <v>53</v>
      </c>
      <c r="AO7345" t="s">
        <v>53</v>
      </c>
      <c r="AP7345" t="s">
        <v>53</v>
      </c>
    </row>
    <row r="7346" spans="2:42" x14ac:dyDescent="0.2">
      <c r="B7346" t="s">
        <v>44</v>
      </c>
      <c r="C7346" t="str">
        <f>HYPERLINK("https://us2.cloudbeds.com/connect/8493803454333002#/reservations/9080486847436487?display=3UA7Q9R9U2&amp;reservation_id=9080486847436487", "3UA7Q9R9U2")</f>
        <v>3UA7Q9R9U2</v>
      </c>
      <c r="D7346" t="s">
        <v>45</v>
      </c>
      <c r="E7346" t="s">
        <v>373</v>
      </c>
      <c r="F7346" t="s">
        <v>47</v>
      </c>
      <c r="G7346" t="s">
        <v>48</v>
      </c>
      <c r="H7346" t="s">
        <v>49</v>
      </c>
      <c r="I7346" t="s">
        <v>50</v>
      </c>
      <c r="J7346" t="s">
        <v>12269</v>
      </c>
      <c r="K7346" t="s">
        <v>12441</v>
      </c>
      <c r="L7346" t="s">
        <v>53</v>
      </c>
      <c r="N7346" t="s">
        <v>13408</v>
      </c>
      <c r="P7346" t="s">
        <v>55</v>
      </c>
      <c r="R7346" t="s">
        <v>53</v>
      </c>
      <c r="T7346" t="s">
        <v>13409</v>
      </c>
      <c r="U7346" t="s">
        <v>58</v>
      </c>
      <c r="V7346">
        <v>2</v>
      </c>
      <c r="W7346">
        <v>1</v>
      </c>
      <c r="X7346">
        <v>2</v>
      </c>
      <c r="Y7346">
        <v>0</v>
      </c>
      <c r="Z7346">
        <v>2</v>
      </c>
      <c r="AA7346">
        <v>313.95999999999998</v>
      </c>
      <c r="AB7346">
        <v>313.95999999999998</v>
      </c>
      <c r="AC7346">
        <v>276.25</v>
      </c>
      <c r="AD7346">
        <v>0</v>
      </c>
      <c r="AE7346">
        <v>37.71</v>
      </c>
      <c r="AF7346">
        <v>0</v>
      </c>
      <c r="AG7346">
        <v>0</v>
      </c>
      <c r="AH7346">
        <v>0</v>
      </c>
      <c r="AI7346">
        <v>56.51</v>
      </c>
      <c r="AJ7346">
        <v>313.95999999999998</v>
      </c>
      <c r="AK7346">
        <v>0</v>
      </c>
      <c r="AL7346" t="s">
        <v>53</v>
      </c>
      <c r="AM7346" t="s">
        <v>53</v>
      </c>
      <c r="AN7346" t="s">
        <v>13410</v>
      </c>
      <c r="AO7346" t="s">
        <v>53</v>
      </c>
      <c r="AP7346" t="s">
        <v>53</v>
      </c>
    </row>
    <row r="7347" spans="2:42" x14ac:dyDescent="0.2">
      <c r="B7347" t="s">
        <v>44</v>
      </c>
      <c r="C7347" t="str">
        <f>HYPERLINK("https://us2.cloudbeds.com/connect/8493803454333002#/reservations/9080486847437874?display=3UBH7NHEYQ&amp;reservation_id=9080486847437874", "3UBH7NHEYQ")</f>
        <v>3UBH7NHEYQ</v>
      </c>
      <c r="D7347" t="s">
        <v>45</v>
      </c>
      <c r="E7347" t="s">
        <v>381</v>
      </c>
      <c r="F7347" t="s">
        <v>47</v>
      </c>
      <c r="G7347" t="s">
        <v>48</v>
      </c>
      <c r="H7347" t="s">
        <v>49</v>
      </c>
      <c r="I7347" t="s">
        <v>62</v>
      </c>
      <c r="J7347" t="s">
        <v>13140</v>
      </c>
      <c r="K7347" t="s">
        <v>12421</v>
      </c>
      <c r="L7347" t="s">
        <v>53</v>
      </c>
      <c r="N7347" t="s">
        <v>13411</v>
      </c>
      <c r="P7347" t="s">
        <v>55</v>
      </c>
      <c r="R7347" t="s">
        <v>56</v>
      </c>
      <c r="T7347" t="s">
        <v>13412</v>
      </c>
      <c r="U7347" t="s">
        <v>55</v>
      </c>
      <c r="V7347">
        <v>1</v>
      </c>
      <c r="W7347">
        <v>1</v>
      </c>
      <c r="X7347">
        <v>2</v>
      </c>
      <c r="Y7347">
        <v>0</v>
      </c>
      <c r="Z7347">
        <v>2</v>
      </c>
      <c r="AA7347">
        <v>143.65</v>
      </c>
      <c r="AB7347">
        <v>143.65</v>
      </c>
      <c r="AC7347">
        <v>143.65</v>
      </c>
      <c r="AD7347">
        <v>0</v>
      </c>
      <c r="AE7347">
        <v>0</v>
      </c>
      <c r="AF7347">
        <v>0</v>
      </c>
      <c r="AG7347">
        <v>0</v>
      </c>
      <c r="AH7347">
        <v>0</v>
      </c>
      <c r="AI7347">
        <v>25.86</v>
      </c>
      <c r="AJ7347">
        <v>143.65</v>
      </c>
      <c r="AK7347">
        <v>0</v>
      </c>
      <c r="AL7347" t="s">
        <v>53</v>
      </c>
      <c r="AM7347" t="s">
        <v>53</v>
      </c>
      <c r="AN7347" t="s">
        <v>53</v>
      </c>
      <c r="AO7347" t="s">
        <v>53</v>
      </c>
      <c r="AP7347" t="s">
        <v>53</v>
      </c>
    </row>
    <row r="7348" spans="2:42" x14ac:dyDescent="0.2">
      <c r="B7348" t="s">
        <v>44</v>
      </c>
      <c r="C7348" t="str">
        <f>HYPERLINK("https://us2.cloudbeds.com/connect/8493803454333002#/reservations/9080486847438057?display=3UBP3FXJBT&amp;reservation_id=9080486847438057", "3UBP3FXJBT")</f>
        <v>3UBP3FXJBT</v>
      </c>
      <c r="D7348" t="s">
        <v>45</v>
      </c>
      <c r="E7348" t="s">
        <v>92</v>
      </c>
      <c r="F7348" t="s">
        <v>86</v>
      </c>
      <c r="G7348" t="s">
        <v>48</v>
      </c>
      <c r="H7348" t="s">
        <v>49</v>
      </c>
      <c r="I7348" t="s">
        <v>62</v>
      </c>
      <c r="J7348" t="s">
        <v>12420</v>
      </c>
      <c r="K7348" t="s">
        <v>13060</v>
      </c>
      <c r="L7348" t="s">
        <v>53</v>
      </c>
      <c r="N7348" t="s">
        <v>13413</v>
      </c>
      <c r="P7348" t="s">
        <v>55</v>
      </c>
      <c r="R7348" t="s">
        <v>56</v>
      </c>
      <c r="T7348" t="s">
        <v>13414</v>
      </c>
      <c r="U7348" t="s">
        <v>55</v>
      </c>
      <c r="V7348">
        <v>4</v>
      </c>
      <c r="W7348">
        <v>1</v>
      </c>
      <c r="X7348">
        <v>2</v>
      </c>
      <c r="Y7348">
        <v>2</v>
      </c>
      <c r="Z7348">
        <v>4</v>
      </c>
      <c r="AA7348">
        <v>873.8</v>
      </c>
      <c r="AB7348">
        <v>873.8</v>
      </c>
      <c r="AC7348">
        <v>873.8</v>
      </c>
      <c r="AD7348">
        <v>0</v>
      </c>
      <c r="AE7348">
        <v>0</v>
      </c>
      <c r="AF7348">
        <v>0</v>
      </c>
      <c r="AG7348">
        <v>0</v>
      </c>
      <c r="AH7348">
        <v>0</v>
      </c>
      <c r="AI7348">
        <v>157.28</v>
      </c>
      <c r="AJ7348">
        <v>873.8</v>
      </c>
      <c r="AK7348">
        <v>0</v>
      </c>
      <c r="AL7348" t="s">
        <v>53</v>
      </c>
      <c r="AM7348" t="s">
        <v>53</v>
      </c>
      <c r="AN7348" t="s">
        <v>53</v>
      </c>
      <c r="AO7348" t="s">
        <v>53</v>
      </c>
      <c r="AP7348" t="s">
        <v>53</v>
      </c>
    </row>
    <row r="7349" spans="2:42" x14ac:dyDescent="0.2">
      <c r="B7349" t="s">
        <v>44</v>
      </c>
      <c r="C7349" t="str">
        <f>HYPERLINK("https://us2.cloudbeds.com/connect/8493803454333002#/reservations/181981639413913?display=3UD0MMN63U&amp;reservation_id=181981639413913", "3UD0MMN63U")</f>
        <v>3UD0MMN63U</v>
      </c>
      <c r="D7349" t="s">
        <v>45</v>
      </c>
      <c r="E7349" t="s">
        <v>128</v>
      </c>
      <c r="F7349" t="s">
        <v>86</v>
      </c>
      <c r="G7349" t="s">
        <v>48</v>
      </c>
      <c r="H7349" t="s">
        <v>3957</v>
      </c>
      <c r="I7349" t="s">
        <v>3975</v>
      </c>
      <c r="J7349" t="s">
        <v>12420</v>
      </c>
      <c r="K7349" t="s">
        <v>12441</v>
      </c>
      <c r="L7349" t="s">
        <v>53</v>
      </c>
      <c r="P7349" t="s">
        <v>55</v>
      </c>
      <c r="R7349" t="s">
        <v>56</v>
      </c>
      <c r="T7349" t="s">
        <v>13415</v>
      </c>
      <c r="U7349" t="s">
        <v>58</v>
      </c>
      <c r="V7349">
        <v>1</v>
      </c>
      <c r="W7349">
        <v>1</v>
      </c>
      <c r="X7349">
        <v>2</v>
      </c>
      <c r="Y7349">
        <v>2</v>
      </c>
      <c r="Z7349">
        <v>4</v>
      </c>
      <c r="AA7349">
        <v>263.67</v>
      </c>
      <c r="AB7349">
        <v>263.67</v>
      </c>
      <c r="AC7349">
        <v>232</v>
      </c>
      <c r="AD7349">
        <v>0</v>
      </c>
      <c r="AE7349">
        <v>31.67</v>
      </c>
      <c r="AF7349">
        <v>0</v>
      </c>
      <c r="AG7349">
        <v>0</v>
      </c>
      <c r="AH7349">
        <v>0</v>
      </c>
      <c r="AI7349">
        <v>0</v>
      </c>
      <c r="AJ7349">
        <v>263.67</v>
      </c>
      <c r="AK7349">
        <v>0</v>
      </c>
      <c r="AL7349" t="s">
        <v>53</v>
      </c>
      <c r="AM7349" t="s">
        <v>53</v>
      </c>
      <c r="AN7349" t="s">
        <v>13416</v>
      </c>
      <c r="AO7349" t="s">
        <v>53</v>
      </c>
      <c r="AP7349" t="s">
        <v>53</v>
      </c>
    </row>
    <row r="7350" spans="2:42" x14ac:dyDescent="0.2">
      <c r="B7350" t="s">
        <v>44</v>
      </c>
      <c r="C7350" t="str">
        <f>HYPERLINK("https://us2.cloudbeds.com/connect/8493803454333002#/reservations/9080486847439518?display=3UDHRFN0D6&amp;reservation_id=9080486847439518", "3UDHRFN0D6")</f>
        <v>3UDHRFN0D6</v>
      </c>
      <c r="D7350" t="s">
        <v>45</v>
      </c>
      <c r="E7350" t="s">
        <v>381</v>
      </c>
      <c r="F7350" t="s">
        <v>47</v>
      </c>
      <c r="G7350" t="s">
        <v>48</v>
      </c>
      <c r="H7350" t="s">
        <v>49</v>
      </c>
      <c r="I7350" t="s">
        <v>62</v>
      </c>
      <c r="J7350" t="s">
        <v>10169</v>
      </c>
      <c r="K7350" t="s">
        <v>12269</v>
      </c>
      <c r="L7350" t="s">
        <v>53</v>
      </c>
      <c r="N7350" t="s">
        <v>13417</v>
      </c>
      <c r="P7350" t="s">
        <v>55</v>
      </c>
      <c r="R7350" t="s">
        <v>56</v>
      </c>
      <c r="T7350" t="s">
        <v>13418</v>
      </c>
      <c r="U7350" t="s">
        <v>55</v>
      </c>
      <c r="V7350">
        <v>2</v>
      </c>
      <c r="W7350">
        <v>1</v>
      </c>
      <c r="X7350">
        <v>1</v>
      </c>
      <c r="Y7350">
        <v>1</v>
      </c>
      <c r="Z7350">
        <v>2</v>
      </c>
      <c r="AA7350">
        <v>328.1</v>
      </c>
      <c r="AB7350">
        <v>328.1</v>
      </c>
      <c r="AC7350">
        <v>328.1</v>
      </c>
      <c r="AD7350">
        <v>0</v>
      </c>
      <c r="AE7350">
        <v>0</v>
      </c>
      <c r="AF7350">
        <v>0</v>
      </c>
      <c r="AG7350">
        <v>0</v>
      </c>
      <c r="AH7350">
        <v>0</v>
      </c>
      <c r="AI7350">
        <v>59.06</v>
      </c>
      <c r="AJ7350">
        <v>328.1</v>
      </c>
      <c r="AK7350">
        <v>0</v>
      </c>
      <c r="AL7350" t="s">
        <v>53</v>
      </c>
      <c r="AM7350" t="s">
        <v>53</v>
      </c>
      <c r="AN7350" t="s">
        <v>53</v>
      </c>
      <c r="AO7350" t="s">
        <v>53</v>
      </c>
      <c r="AP7350" t="s">
        <v>53</v>
      </c>
    </row>
    <row r="7351" spans="2:42" x14ac:dyDescent="0.2">
      <c r="B7351" t="s">
        <v>44</v>
      </c>
      <c r="C7351" t="str">
        <f>HYPERLINK("https://us2.cloudbeds.com/connect/8493803454333002#/reservations/9080486847441920?display=3UGRFEQ75U&amp;reservation_id=9080486847441920", "3UGRFEQ75U")</f>
        <v>3UGRFEQ75U</v>
      </c>
      <c r="D7351" t="s">
        <v>45</v>
      </c>
      <c r="E7351" t="s">
        <v>487</v>
      </c>
      <c r="F7351" t="s">
        <v>61</v>
      </c>
      <c r="G7351" t="s">
        <v>48</v>
      </c>
      <c r="H7351" t="s">
        <v>49</v>
      </c>
      <c r="I7351" t="s">
        <v>50</v>
      </c>
      <c r="J7351" t="s">
        <v>12421</v>
      </c>
      <c r="K7351" t="s">
        <v>13060</v>
      </c>
      <c r="L7351" t="s">
        <v>53</v>
      </c>
      <c r="N7351" t="s">
        <v>13419</v>
      </c>
      <c r="P7351" t="s">
        <v>55</v>
      </c>
      <c r="R7351" t="s">
        <v>53</v>
      </c>
      <c r="T7351" t="s">
        <v>13420</v>
      </c>
      <c r="U7351" t="s">
        <v>58</v>
      </c>
      <c r="V7351">
        <v>1</v>
      </c>
      <c r="W7351">
        <v>1</v>
      </c>
      <c r="X7351">
        <v>2</v>
      </c>
      <c r="Y7351">
        <v>0</v>
      </c>
      <c r="Z7351">
        <v>2</v>
      </c>
      <c r="AA7351">
        <v>157.52000000000001</v>
      </c>
      <c r="AB7351">
        <v>157.52000000000001</v>
      </c>
      <c r="AC7351">
        <v>138.6</v>
      </c>
      <c r="AD7351">
        <v>0</v>
      </c>
      <c r="AE7351">
        <v>18.920000000000002</v>
      </c>
      <c r="AF7351">
        <v>0</v>
      </c>
      <c r="AG7351">
        <v>0</v>
      </c>
      <c r="AH7351">
        <v>0</v>
      </c>
      <c r="AI7351">
        <v>28.35</v>
      </c>
      <c r="AJ7351">
        <v>157.52000000000001</v>
      </c>
      <c r="AK7351">
        <v>0</v>
      </c>
      <c r="AL7351" t="s">
        <v>53</v>
      </c>
      <c r="AM7351" t="s">
        <v>53</v>
      </c>
      <c r="AN7351" t="s">
        <v>13421</v>
      </c>
      <c r="AO7351" t="s">
        <v>53</v>
      </c>
      <c r="AP7351" t="s">
        <v>53</v>
      </c>
    </row>
    <row r="7352" spans="2:42" x14ac:dyDescent="0.2">
      <c r="B7352" t="s">
        <v>44</v>
      </c>
      <c r="C7352" t="str">
        <f>HYPERLINK("https://us2.cloudbeds.com/connect/8493803454333002#/reservations/182157144506509?display=3UH4J883A6&amp;reservation_id=182157144506509", "3UH4J883A6")</f>
        <v>3UH4J883A6</v>
      </c>
      <c r="D7352" t="s">
        <v>45</v>
      </c>
      <c r="E7352" t="s">
        <v>223</v>
      </c>
      <c r="F7352" t="s">
        <v>47</v>
      </c>
      <c r="G7352" t="s">
        <v>3974</v>
      </c>
      <c r="H7352" t="s">
        <v>3957</v>
      </c>
      <c r="I7352" t="s">
        <v>3975</v>
      </c>
      <c r="J7352" t="s">
        <v>13072</v>
      </c>
      <c r="K7352" t="s">
        <v>11068</v>
      </c>
      <c r="L7352" t="s">
        <v>53</v>
      </c>
      <c r="P7352" t="s">
        <v>55</v>
      </c>
      <c r="R7352" t="s">
        <v>56</v>
      </c>
      <c r="T7352" t="s">
        <v>13422</v>
      </c>
      <c r="U7352" t="s">
        <v>58</v>
      </c>
      <c r="V7352">
        <v>5</v>
      </c>
      <c r="W7352">
        <v>1</v>
      </c>
      <c r="X7352">
        <v>2</v>
      </c>
      <c r="Y7352">
        <v>0</v>
      </c>
      <c r="Z7352">
        <v>2</v>
      </c>
      <c r="AA7352">
        <v>458.9</v>
      </c>
      <c r="AB7352">
        <v>458.9</v>
      </c>
      <c r="AC7352">
        <v>403.75</v>
      </c>
      <c r="AD7352">
        <v>0</v>
      </c>
      <c r="AE7352">
        <v>55.15</v>
      </c>
      <c r="AF7352">
        <v>0</v>
      </c>
      <c r="AG7352">
        <v>0</v>
      </c>
      <c r="AH7352">
        <v>0</v>
      </c>
      <c r="AI7352">
        <v>0</v>
      </c>
      <c r="AJ7352">
        <v>458.9</v>
      </c>
      <c r="AK7352">
        <v>0</v>
      </c>
      <c r="AL7352" t="s">
        <v>53</v>
      </c>
      <c r="AM7352" t="s">
        <v>53</v>
      </c>
      <c r="AN7352" t="s">
        <v>13423</v>
      </c>
      <c r="AO7352" t="s">
        <v>53</v>
      </c>
      <c r="AP7352" t="s">
        <v>53</v>
      </c>
    </row>
    <row r="7353" spans="2:42" x14ac:dyDescent="0.2">
      <c r="B7353" t="s">
        <v>44</v>
      </c>
      <c r="C7353" t="str">
        <f>HYPERLINK("https://us2.cloudbeds.com/connect/8493803454333002#/reservations/9080486847442274?display=3UH5PC1QUD&amp;reservation_id=9080486847442274", "3UH5PC1QUD")</f>
        <v>3UH5PC1QUD</v>
      </c>
      <c r="D7353" t="s">
        <v>45</v>
      </c>
      <c r="E7353" t="s">
        <v>190</v>
      </c>
      <c r="F7353" t="s">
        <v>61</v>
      </c>
      <c r="G7353" t="s">
        <v>48</v>
      </c>
      <c r="H7353" t="s">
        <v>49</v>
      </c>
      <c r="I7353" t="s">
        <v>50</v>
      </c>
      <c r="J7353" t="s">
        <v>12420</v>
      </c>
      <c r="K7353" t="s">
        <v>12441</v>
      </c>
      <c r="L7353" t="s">
        <v>53</v>
      </c>
      <c r="N7353" t="s">
        <v>13424</v>
      </c>
      <c r="P7353" t="s">
        <v>55</v>
      </c>
      <c r="R7353" t="s">
        <v>53</v>
      </c>
      <c r="T7353" t="s">
        <v>13425</v>
      </c>
      <c r="U7353" t="s">
        <v>58</v>
      </c>
      <c r="V7353">
        <v>1</v>
      </c>
      <c r="W7353">
        <v>1</v>
      </c>
      <c r="X7353">
        <v>2</v>
      </c>
      <c r="Y7353">
        <v>0</v>
      </c>
      <c r="Z7353">
        <v>2</v>
      </c>
      <c r="AA7353">
        <v>159.56</v>
      </c>
      <c r="AB7353">
        <v>159.56</v>
      </c>
      <c r="AC7353">
        <v>140.4</v>
      </c>
      <c r="AD7353">
        <v>0</v>
      </c>
      <c r="AE7353">
        <v>19.16</v>
      </c>
      <c r="AF7353">
        <v>0</v>
      </c>
      <c r="AG7353">
        <v>0</v>
      </c>
      <c r="AH7353">
        <v>0</v>
      </c>
      <c r="AI7353">
        <v>28.72</v>
      </c>
      <c r="AJ7353">
        <v>159.56</v>
      </c>
      <c r="AK7353">
        <v>0</v>
      </c>
      <c r="AL7353" t="s">
        <v>53</v>
      </c>
      <c r="AM7353" t="s">
        <v>53</v>
      </c>
      <c r="AN7353" t="s">
        <v>13426</v>
      </c>
      <c r="AO7353" t="s">
        <v>53</v>
      </c>
      <c r="AP7353" t="s">
        <v>53</v>
      </c>
    </row>
    <row r="7354" spans="2:42" x14ac:dyDescent="0.2">
      <c r="B7354" t="s">
        <v>44</v>
      </c>
      <c r="C7354" t="str">
        <f>HYPERLINK("https://us2.cloudbeds.com/connect/8493803454333002#/reservations/9080486847442650?display=3UHEU6Q48D&amp;reservation_id=9080486847442650", "3UHEU6Q48D")</f>
        <v>3UHEU6Q48D</v>
      </c>
      <c r="D7354" t="s">
        <v>45</v>
      </c>
      <c r="E7354" t="s">
        <v>113</v>
      </c>
      <c r="F7354" t="s">
        <v>61</v>
      </c>
      <c r="G7354" t="s">
        <v>48</v>
      </c>
      <c r="H7354" t="s">
        <v>49</v>
      </c>
      <c r="I7354" t="s">
        <v>62</v>
      </c>
      <c r="J7354" t="s">
        <v>10169</v>
      </c>
      <c r="K7354" t="s">
        <v>12269</v>
      </c>
      <c r="L7354" t="s">
        <v>53</v>
      </c>
      <c r="N7354" t="s">
        <v>13427</v>
      </c>
      <c r="P7354" t="s">
        <v>55</v>
      </c>
      <c r="R7354" t="s">
        <v>56</v>
      </c>
      <c r="T7354" t="s">
        <v>13428</v>
      </c>
      <c r="U7354" t="s">
        <v>55</v>
      </c>
      <c r="V7354">
        <v>2</v>
      </c>
      <c r="W7354">
        <v>1</v>
      </c>
      <c r="X7354">
        <v>2</v>
      </c>
      <c r="Y7354">
        <v>0</v>
      </c>
      <c r="Z7354">
        <v>2</v>
      </c>
      <c r="AA7354">
        <v>294.10000000000002</v>
      </c>
      <c r="AB7354">
        <v>294.10000000000002</v>
      </c>
      <c r="AC7354">
        <v>294.10000000000002</v>
      </c>
      <c r="AD7354">
        <v>0</v>
      </c>
      <c r="AE7354">
        <v>0</v>
      </c>
      <c r="AF7354">
        <v>0</v>
      </c>
      <c r="AG7354">
        <v>0</v>
      </c>
      <c r="AH7354">
        <v>0</v>
      </c>
      <c r="AI7354">
        <v>52.94</v>
      </c>
      <c r="AJ7354">
        <v>294.10000000000002</v>
      </c>
      <c r="AK7354">
        <v>0</v>
      </c>
      <c r="AL7354" t="s">
        <v>53</v>
      </c>
      <c r="AM7354" t="s">
        <v>53</v>
      </c>
      <c r="AN7354" t="s">
        <v>13429</v>
      </c>
      <c r="AO7354" t="s">
        <v>53</v>
      </c>
      <c r="AP7354" t="s">
        <v>53</v>
      </c>
    </row>
    <row r="7355" spans="2:42" x14ac:dyDescent="0.2">
      <c r="B7355" t="s">
        <v>44</v>
      </c>
      <c r="C7355" t="str">
        <f>HYPERLINK("https://us2.cloudbeds.com/connect/8493803454333002#/reservations/9080486847443784?display=3UXFCA0YFM&amp;reservation_id=9080486847443784", "3UXFCA0YFM")</f>
        <v>3UXFCA0YFM</v>
      </c>
      <c r="D7355" t="s">
        <v>45</v>
      </c>
      <c r="E7355" t="s">
        <v>406</v>
      </c>
      <c r="F7355" t="s">
        <v>61</v>
      </c>
      <c r="G7355" t="s">
        <v>48</v>
      </c>
      <c r="H7355" t="s">
        <v>49</v>
      </c>
      <c r="I7355" t="s">
        <v>62</v>
      </c>
      <c r="J7355" t="s">
        <v>10169</v>
      </c>
      <c r="K7355" t="s">
        <v>12269</v>
      </c>
      <c r="L7355" t="s">
        <v>53</v>
      </c>
      <c r="N7355" t="s">
        <v>13430</v>
      </c>
      <c r="P7355" t="s">
        <v>55</v>
      </c>
      <c r="R7355" t="s">
        <v>56</v>
      </c>
      <c r="T7355" t="s">
        <v>13431</v>
      </c>
      <c r="U7355" t="s">
        <v>55</v>
      </c>
      <c r="V7355">
        <v>2</v>
      </c>
      <c r="W7355">
        <v>1</v>
      </c>
      <c r="X7355">
        <v>2</v>
      </c>
      <c r="Y7355">
        <v>0</v>
      </c>
      <c r="Z7355">
        <v>2</v>
      </c>
      <c r="AA7355">
        <v>294.10000000000002</v>
      </c>
      <c r="AB7355">
        <v>294.10000000000002</v>
      </c>
      <c r="AC7355">
        <v>294.10000000000002</v>
      </c>
      <c r="AD7355">
        <v>0</v>
      </c>
      <c r="AE7355">
        <v>0</v>
      </c>
      <c r="AF7355">
        <v>0</v>
      </c>
      <c r="AG7355">
        <v>0</v>
      </c>
      <c r="AH7355">
        <v>0</v>
      </c>
      <c r="AI7355">
        <v>52.94</v>
      </c>
      <c r="AJ7355">
        <v>294.10000000000002</v>
      </c>
      <c r="AK7355">
        <v>0</v>
      </c>
      <c r="AL7355" t="s">
        <v>53</v>
      </c>
      <c r="AM7355" t="s">
        <v>53</v>
      </c>
      <c r="AN7355" t="s">
        <v>53</v>
      </c>
      <c r="AO7355" t="s">
        <v>53</v>
      </c>
      <c r="AP7355" t="s">
        <v>53</v>
      </c>
    </row>
    <row r="7356" spans="2:42" x14ac:dyDescent="0.2">
      <c r="B7356" t="s">
        <v>44</v>
      </c>
      <c r="C7356" t="str">
        <f>HYPERLINK("https://us2.cloudbeds.com/connect/8493803454333002#/reservations/9080486847444072?display=3UXZGQH2Q6&amp;reservation_id=9080486847444072", "3UXZGQH2Q6")</f>
        <v>3UXZGQH2Q6</v>
      </c>
      <c r="D7356" t="s">
        <v>45</v>
      </c>
      <c r="E7356" t="s">
        <v>85</v>
      </c>
      <c r="F7356" t="s">
        <v>86</v>
      </c>
      <c r="G7356" t="s">
        <v>48</v>
      </c>
      <c r="H7356" t="s">
        <v>49</v>
      </c>
      <c r="I7356" t="s">
        <v>62</v>
      </c>
      <c r="J7356" t="s">
        <v>10169</v>
      </c>
      <c r="K7356" t="s">
        <v>10170</v>
      </c>
      <c r="L7356" t="s">
        <v>53</v>
      </c>
      <c r="N7356" t="s">
        <v>13432</v>
      </c>
      <c r="P7356" t="s">
        <v>55</v>
      </c>
      <c r="R7356" t="s">
        <v>56</v>
      </c>
      <c r="T7356" t="s">
        <v>13433</v>
      </c>
      <c r="U7356" t="s">
        <v>55</v>
      </c>
      <c r="V7356">
        <v>1</v>
      </c>
      <c r="W7356">
        <v>1</v>
      </c>
      <c r="X7356">
        <v>2</v>
      </c>
      <c r="Y7356">
        <v>2</v>
      </c>
      <c r="Z7356">
        <v>4</v>
      </c>
      <c r="AA7356">
        <v>236.3</v>
      </c>
      <c r="AB7356">
        <v>236.3</v>
      </c>
      <c r="AC7356">
        <v>236.3</v>
      </c>
      <c r="AD7356">
        <v>0</v>
      </c>
      <c r="AE7356">
        <v>0</v>
      </c>
      <c r="AF7356">
        <v>0</v>
      </c>
      <c r="AG7356">
        <v>0</v>
      </c>
      <c r="AH7356">
        <v>0</v>
      </c>
      <c r="AI7356">
        <v>42.53</v>
      </c>
      <c r="AJ7356">
        <v>236.3</v>
      </c>
      <c r="AK7356">
        <v>0</v>
      </c>
      <c r="AL7356" t="s">
        <v>53</v>
      </c>
      <c r="AM7356" t="s">
        <v>53</v>
      </c>
      <c r="AN7356" t="s">
        <v>13434</v>
      </c>
      <c r="AO7356" t="s">
        <v>53</v>
      </c>
      <c r="AP7356" t="s">
        <v>53</v>
      </c>
    </row>
    <row r="7357" spans="2:42" x14ac:dyDescent="0.2">
      <c r="B7357" t="s">
        <v>44</v>
      </c>
      <c r="C7357" t="str">
        <f>HYPERLINK("https://us2.cloudbeds.com/connect/8493803454333002#/reservations/9080486847444701?display=3UJC1ERA7V&amp;reservation_id=9080486847444701", "3UJC1ERA7V")</f>
        <v>3UJC1ERA7V</v>
      </c>
      <c r="D7357" t="s">
        <v>45</v>
      </c>
      <c r="E7357" t="s">
        <v>78</v>
      </c>
      <c r="F7357" t="s">
        <v>61</v>
      </c>
      <c r="G7357" t="s">
        <v>48</v>
      </c>
      <c r="H7357" t="s">
        <v>49</v>
      </c>
      <c r="I7357" t="s">
        <v>50</v>
      </c>
      <c r="J7357" t="s">
        <v>10170</v>
      </c>
      <c r="K7357" t="s">
        <v>12269</v>
      </c>
      <c r="L7357" t="s">
        <v>53</v>
      </c>
      <c r="N7357" t="s">
        <v>13435</v>
      </c>
      <c r="P7357" t="s">
        <v>55</v>
      </c>
      <c r="R7357" t="s">
        <v>53</v>
      </c>
      <c r="T7357" t="s">
        <v>13436</v>
      </c>
      <c r="U7357" t="s">
        <v>58</v>
      </c>
      <c r="V7357">
        <v>1</v>
      </c>
      <c r="W7357">
        <v>1</v>
      </c>
      <c r="X7357">
        <v>1</v>
      </c>
      <c r="Y7357">
        <v>0</v>
      </c>
      <c r="Z7357">
        <v>1</v>
      </c>
      <c r="AA7357">
        <v>126.37</v>
      </c>
      <c r="AB7357">
        <v>126.37</v>
      </c>
      <c r="AC7357">
        <v>111.2</v>
      </c>
      <c r="AD7357">
        <v>0</v>
      </c>
      <c r="AE7357">
        <v>15.17</v>
      </c>
      <c r="AF7357">
        <v>0</v>
      </c>
      <c r="AG7357">
        <v>0</v>
      </c>
      <c r="AH7357">
        <v>0</v>
      </c>
      <c r="AI7357">
        <v>22.75</v>
      </c>
      <c r="AJ7357">
        <v>126.37</v>
      </c>
      <c r="AK7357">
        <v>0</v>
      </c>
      <c r="AL7357" t="s">
        <v>53</v>
      </c>
      <c r="AM7357" t="s">
        <v>53</v>
      </c>
      <c r="AN7357" t="s">
        <v>13437</v>
      </c>
      <c r="AO7357" t="s">
        <v>53</v>
      </c>
      <c r="AP7357" t="s">
        <v>53</v>
      </c>
    </row>
    <row r="7358" spans="2:42" x14ac:dyDescent="0.2">
      <c r="B7358" t="s">
        <v>44</v>
      </c>
      <c r="C7358" t="str">
        <f>HYPERLINK("https://us2.cloudbeds.com/connect/8493803454333002#/reservations/9080486847445267?display=3UK1N3PT2X&amp;reservation_id=9080486847445267", "3UK1N3PT2X")</f>
        <v>3UK1N3PT2X</v>
      </c>
      <c r="D7358" t="s">
        <v>45</v>
      </c>
      <c r="E7358" t="s">
        <v>185</v>
      </c>
      <c r="F7358" t="s">
        <v>47</v>
      </c>
      <c r="G7358" t="s">
        <v>48</v>
      </c>
      <c r="H7358" t="s">
        <v>49</v>
      </c>
      <c r="I7358" t="s">
        <v>8964</v>
      </c>
      <c r="J7358" t="s">
        <v>13060</v>
      </c>
      <c r="K7358" t="s">
        <v>13061</v>
      </c>
      <c r="L7358" t="s">
        <v>53</v>
      </c>
      <c r="N7358" t="s">
        <v>13438</v>
      </c>
      <c r="P7358" t="s">
        <v>55</v>
      </c>
      <c r="R7358" t="s">
        <v>53</v>
      </c>
      <c r="T7358" t="s">
        <v>13439</v>
      </c>
      <c r="U7358" t="s">
        <v>55</v>
      </c>
      <c r="V7358">
        <v>1</v>
      </c>
      <c r="W7358">
        <v>1</v>
      </c>
      <c r="X7358">
        <v>2</v>
      </c>
      <c r="Y7358">
        <v>0</v>
      </c>
      <c r="Z7358">
        <v>2</v>
      </c>
      <c r="AA7358">
        <v>0</v>
      </c>
      <c r="AB7358">
        <v>0</v>
      </c>
      <c r="AC7358">
        <v>107</v>
      </c>
      <c r="AD7358">
        <v>0</v>
      </c>
      <c r="AE7358">
        <v>0</v>
      </c>
      <c r="AF7358">
        <v>0</v>
      </c>
      <c r="AG7358">
        <v>0</v>
      </c>
      <c r="AH7358">
        <v>0</v>
      </c>
      <c r="AI7358">
        <v>16.05</v>
      </c>
      <c r="AJ7358">
        <v>107</v>
      </c>
      <c r="AK7358">
        <v>107</v>
      </c>
      <c r="AL7358" t="s">
        <v>53</v>
      </c>
      <c r="AM7358" t="s">
        <v>53</v>
      </c>
      <c r="AN7358" t="s">
        <v>53</v>
      </c>
      <c r="AO7358" t="s">
        <v>53</v>
      </c>
      <c r="AP7358" t="s">
        <v>53</v>
      </c>
    </row>
    <row r="7359" spans="2:42" x14ac:dyDescent="0.2">
      <c r="B7359" t="s">
        <v>44</v>
      </c>
      <c r="C7359" t="str">
        <f>HYPERLINK("https://us2.cloudbeds.com/connect/8493803454333002#/reservations/9080486847446100?display=3UY162XSAU&amp;reservation_id=9080486847446100", "3UY162XSAU")</f>
        <v>3UY162XSAU</v>
      </c>
      <c r="D7359" t="s">
        <v>45</v>
      </c>
      <c r="E7359" t="s">
        <v>113</v>
      </c>
      <c r="F7359" t="s">
        <v>61</v>
      </c>
      <c r="G7359" t="s">
        <v>48</v>
      </c>
      <c r="H7359" t="s">
        <v>49</v>
      </c>
      <c r="I7359" t="s">
        <v>8964</v>
      </c>
      <c r="J7359" t="s">
        <v>12531</v>
      </c>
      <c r="K7359" t="s">
        <v>11068</v>
      </c>
      <c r="L7359" t="s">
        <v>53</v>
      </c>
      <c r="N7359" t="s">
        <v>13440</v>
      </c>
      <c r="P7359" t="s">
        <v>55</v>
      </c>
      <c r="R7359" t="s">
        <v>53</v>
      </c>
      <c r="T7359" t="s">
        <v>13441</v>
      </c>
      <c r="U7359" t="s">
        <v>55</v>
      </c>
      <c r="V7359">
        <v>2</v>
      </c>
      <c r="W7359">
        <v>1</v>
      </c>
      <c r="X7359">
        <v>2</v>
      </c>
      <c r="Y7359">
        <v>0</v>
      </c>
      <c r="Z7359">
        <v>2</v>
      </c>
      <c r="AA7359">
        <v>0</v>
      </c>
      <c r="AB7359">
        <v>0</v>
      </c>
      <c r="AC7359">
        <v>196</v>
      </c>
      <c r="AD7359">
        <v>0</v>
      </c>
      <c r="AE7359">
        <v>0</v>
      </c>
      <c r="AF7359">
        <v>0</v>
      </c>
      <c r="AG7359">
        <v>0</v>
      </c>
      <c r="AH7359">
        <v>0</v>
      </c>
      <c r="AI7359">
        <v>29.4</v>
      </c>
      <c r="AJ7359">
        <v>196</v>
      </c>
      <c r="AK7359">
        <v>196</v>
      </c>
      <c r="AL7359" t="s">
        <v>53</v>
      </c>
      <c r="AM7359" t="s">
        <v>53</v>
      </c>
      <c r="AN7359" t="s">
        <v>53</v>
      </c>
      <c r="AO7359" t="s">
        <v>53</v>
      </c>
      <c r="AP7359" t="s">
        <v>53</v>
      </c>
    </row>
    <row r="7360" spans="2:42" x14ac:dyDescent="0.2">
      <c r="B7360" t="s">
        <v>44</v>
      </c>
      <c r="C7360" t="str">
        <f>HYPERLINK("https://us2.cloudbeds.com/connect/8493803454333002#/reservations/9080486847446166?display=3UY4NK8UKP&amp;reservation_id=9080486847446166", "3UY4NK8UKP")</f>
        <v>3UY4NK8UKP</v>
      </c>
      <c r="D7360" t="s">
        <v>45</v>
      </c>
      <c r="E7360" t="s">
        <v>185</v>
      </c>
      <c r="F7360" t="s">
        <v>47</v>
      </c>
      <c r="G7360" t="s">
        <v>48</v>
      </c>
      <c r="H7360" t="s">
        <v>49</v>
      </c>
      <c r="I7360" t="s">
        <v>62</v>
      </c>
      <c r="J7360" t="s">
        <v>13085</v>
      </c>
      <c r="K7360" t="s">
        <v>13086</v>
      </c>
      <c r="L7360" t="s">
        <v>53</v>
      </c>
      <c r="N7360" t="s">
        <v>13442</v>
      </c>
      <c r="P7360" t="s">
        <v>55</v>
      </c>
      <c r="R7360" t="s">
        <v>56</v>
      </c>
      <c r="T7360" t="s">
        <v>13443</v>
      </c>
      <c r="U7360" t="s">
        <v>55</v>
      </c>
      <c r="V7360">
        <v>3</v>
      </c>
      <c r="W7360">
        <v>1</v>
      </c>
      <c r="X7360">
        <v>2</v>
      </c>
      <c r="Y7360">
        <v>0</v>
      </c>
      <c r="Z7360">
        <v>2</v>
      </c>
      <c r="AA7360">
        <v>504</v>
      </c>
      <c r="AB7360">
        <v>504</v>
      </c>
      <c r="AC7360">
        <v>504</v>
      </c>
      <c r="AD7360">
        <v>0</v>
      </c>
      <c r="AE7360">
        <v>0</v>
      </c>
      <c r="AF7360">
        <v>0</v>
      </c>
      <c r="AG7360">
        <v>0</v>
      </c>
      <c r="AH7360">
        <v>0</v>
      </c>
      <c r="AI7360">
        <v>90.72</v>
      </c>
      <c r="AJ7360">
        <v>504</v>
      </c>
      <c r="AK7360">
        <v>0</v>
      </c>
      <c r="AL7360" t="s">
        <v>53</v>
      </c>
      <c r="AM7360" t="s">
        <v>53</v>
      </c>
      <c r="AN7360" t="s">
        <v>13444</v>
      </c>
      <c r="AO7360" t="s">
        <v>53</v>
      </c>
      <c r="AP7360" t="s">
        <v>53</v>
      </c>
    </row>
    <row r="7361" spans="2:42" x14ac:dyDescent="0.2">
      <c r="B7361" t="s">
        <v>44</v>
      </c>
      <c r="C7361" t="str">
        <f>HYPERLINK("https://us2.cloudbeds.com/connect/8493803454333002#/reservations/9080486847446276?display=3UY8Q7VKFJ&amp;reservation_id=9080486847446276", "3UY8Q7VKFJ")</f>
        <v>3UY8Q7VKFJ</v>
      </c>
      <c r="D7361" t="s">
        <v>45</v>
      </c>
      <c r="E7361" t="s">
        <v>110</v>
      </c>
      <c r="F7361" t="s">
        <v>47</v>
      </c>
      <c r="G7361" t="s">
        <v>48</v>
      </c>
      <c r="H7361" t="s">
        <v>49</v>
      </c>
      <c r="I7361" t="s">
        <v>62</v>
      </c>
      <c r="J7361" t="s">
        <v>12756</v>
      </c>
      <c r="K7361" t="s">
        <v>13445</v>
      </c>
      <c r="L7361" t="s">
        <v>53</v>
      </c>
      <c r="N7361" t="s">
        <v>13446</v>
      </c>
      <c r="P7361" t="s">
        <v>55</v>
      </c>
      <c r="R7361" t="s">
        <v>56</v>
      </c>
      <c r="T7361" t="s">
        <v>13447</v>
      </c>
      <c r="U7361" t="s">
        <v>55</v>
      </c>
      <c r="V7361">
        <v>1</v>
      </c>
      <c r="W7361">
        <v>1</v>
      </c>
      <c r="X7361">
        <v>1</v>
      </c>
      <c r="Y7361">
        <v>0</v>
      </c>
      <c r="Z7361">
        <v>1</v>
      </c>
      <c r="AA7361">
        <v>62.05</v>
      </c>
      <c r="AB7361">
        <v>62.05</v>
      </c>
      <c r="AC7361">
        <v>62.05</v>
      </c>
      <c r="AD7361">
        <v>0</v>
      </c>
      <c r="AE7361">
        <v>0</v>
      </c>
      <c r="AF7361">
        <v>0</v>
      </c>
      <c r="AG7361">
        <v>0</v>
      </c>
      <c r="AH7361">
        <v>0</v>
      </c>
      <c r="AI7361">
        <v>11.17</v>
      </c>
      <c r="AJ7361">
        <v>62.05</v>
      </c>
      <c r="AK7361">
        <v>0</v>
      </c>
      <c r="AL7361" t="s">
        <v>53</v>
      </c>
      <c r="AM7361" t="s">
        <v>53</v>
      </c>
      <c r="AN7361" t="s">
        <v>53</v>
      </c>
      <c r="AO7361" t="s">
        <v>53</v>
      </c>
      <c r="AP7361" t="s">
        <v>53</v>
      </c>
    </row>
    <row r="7362" spans="2:42" x14ac:dyDescent="0.2">
      <c r="B7362" t="s">
        <v>44</v>
      </c>
      <c r="C7362" t="str">
        <f>HYPERLINK("https://us2.cloudbeds.com/connect/8493803454333002#/reservations/9080486847446518?display=3UYJ2AWV1K&amp;reservation_id=9080486847446518", "3UYJ2AWV1K")</f>
        <v>3UYJ2AWV1K</v>
      </c>
      <c r="D7362" t="s">
        <v>45</v>
      </c>
      <c r="E7362" t="s">
        <v>190</v>
      </c>
      <c r="F7362" t="s">
        <v>61</v>
      </c>
      <c r="G7362" t="s">
        <v>48</v>
      </c>
      <c r="H7362" t="s">
        <v>49</v>
      </c>
      <c r="I7362" t="s">
        <v>50</v>
      </c>
      <c r="J7362" t="s">
        <v>10170</v>
      </c>
      <c r="K7362" t="s">
        <v>12269</v>
      </c>
      <c r="L7362" t="s">
        <v>53</v>
      </c>
      <c r="N7362" t="s">
        <v>13448</v>
      </c>
      <c r="P7362" t="s">
        <v>55</v>
      </c>
      <c r="R7362" t="s">
        <v>53</v>
      </c>
      <c r="T7362" t="s">
        <v>13449</v>
      </c>
      <c r="U7362" t="s">
        <v>58</v>
      </c>
      <c r="V7362">
        <v>1</v>
      </c>
      <c r="W7362">
        <v>1</v>
      </c>
      <c r="X7362">
        <v>2</v>
      </c>
      <c r="Y7362">
        <v>0</v>
      </c>
      <c r="Z7362">
        <v>2</v>
      </c>
      <c r="AA7362">
        <v>126.37</v>
      </c>
      <c r="AB7362">
        <v>126.37</v>
      </c>
      <c r="AC7362">
        <v>111.2</v>
      </c>
      <c r="AD7362">
        <v>0</v>
      </c>
      <c r="AE7362">
        <v>15.17</v>
      </c>
      <c r="AF7362">
        <v>0</v>
      </c>
      <c r="AG7362">
        <v>0</v>
      </c>
      <c r="AH7362">
        <v>0</v>
      </c>
      <c r="AI7362">
        <v>22.75</v>
      </c>
      <c r="AJ7362">
        <v>126.37</v>
      </c>
      <c r="AK7362">
        <v>0</v>
      </c>
      <c r="AL7362" t="s">
        <v>53</v>
      </c>
      <c r="AM7362" t="s">
        <v>53</v>
      </c>
      <c r="AN7362" t="s">
        <v>13450</v>
      </c>
      <c r="AO7362" t="s">
        <v>53</v>
      </c>
      <c r="AP7362" t="s">
        <v>53</v>
      </c>
    </row>
    <row r="7363" spans="2:42" x14ac:dyDescent="0.2">
      <c r="B7363" t="s">
        <v>44</v>
      </c>
      <c r="C7363" t="str">
        <f>HYPERLINK("https://us2.cloudbeds.com/connect/8493803454333002#/reservations/9080486847446841?display=3UM2KCNHK5&amp;reservation_id=9080486847446841", "3UM2KCNHK5")</f>
        <v>3UM2KCNHK5</v>
      </c>
      <c r="D7363" t="s">
        <v>45</v>
      </c>
      <c r="E7363" t="s">
        <v>487</v>
      </c>
      <c r="F7363" t="s">
        <v>61</v>
      </c>
      <c r="G7363" t="s">
        <v>48</v>
      </c>
      <c r="H7363" t="s">
        <v>49</v>
      </c>
      <c r="I7363" t="s">
        <v>62</v>
      </c>
      <c r="J7363" t="s">
        <v>10170</v>
      </c>
      <c r="K7363" t="s">
        <v>12269</v>
      </c>
      <c r="L7363" t="s">
        <v>53</v>
      </c>
      <c r="N7363" t="s">
        <v>13451</v>
      </c>
      <c r="P7363" t="s">
        <v>55</v>
      </c>
      <c r="R7363" t="s">
        <v>56</v>
      </c>
      <c r="T7363" t="s">
        <v>13452</v>
      </c>
      <c r="U7363" t="s">
        <v>55</v>
      </c>
      <c r="V7363">
        <v>1</v>
      </c>
      <c r="W7363">
        <v>1</v>
      </c>
      <c r="X7363">
        <v>2</v>
      </c>
      <c r="Y7363">
        <v>0</v>
      </c>
      <c r="Z7363">
        <v>2</v>
      </c>
      <c r="AA7363">
        <v>118.15</v>
      </c>
      <c r="AB7363">
        <v>118.15</v>
      </c>
      <c r="AC7363">
        <v>118.15</v>
      </c>
      <c r="AD7363">
        <v>0</v>
      </c>
      <c r="AE7363">
        <v>0</v>
      </c>
      <c r="AF7363">
        <v>0</v>
      </c>
      <c r="AG7363">
        <v>0</v>
      </c>
      <c r="AH7363">
        <v>0</v>
      </c>
      <c r="AI7363">
        <v>21.27</v>
      </c>
      <c r="AJ7363">
        <v>118.15</v>
      </c>
      <c r="AK7363">
        <v>0</v>
      </c>
      <c r="AL7363" t="s">
        <v>53</v>
      </c>
      <c r="AM7363" t="s">
        <v>53</v>
      </c>
      <c r="AN7363" t="s">
        <v>53</v>
      </c>
      <c r="AO7363" t="s">
        <v>53</v>
      </c>
      <c r="AP7363" t="s">
        <v>53</v>
      </c>
    </row>
    <row r="7364" spans="2:42" x14ac:dyDescent="0.2">
      <c r="B7364" t="s">
        <v>44</v>
      </c>
      <c r="C7364" t="str">
        <f>HYPERLINK("https://us2.cloudbeds.com/connect/8493803454333002#/reservations/9080486847449163?display=3UP68Q8C2X&amp;reservation_id=9080486847449163", "3UP68Q8C2X")</f>
        <v>3UP68Q8C2X</v>
      </c>
      <c r="D7364" t="s">
        <v>45</v>
      </c>
      <c r="E7364" t="s">
        <v>105</v>
      </c>
      <c r="F7364" t="s">
        <v>47</v>
      </c>
      <c r="G7364" t="s">
        <v>48</v>
      </c>
      <c r="H7364" t="s">
        <v>49</v>
      </c>
      <c r="I7364" t="s">
        <v>8964</v>
      </c>
      <c r="J7364" t="s">
        <v>12421</v>
      </c>
      <c r="K7364" t="s">
        <v>13060</v>
      </c>
      <c r="L7364" t="s">
        <v>53</v>
      </c>
      <c r="N7364" t="s">
        <v>13453</v>
      </c>
      <c r="P7364" t="s">
        <v>55</v>
      </c>
      <c r="R7364" t="s">
        <v>53</v>
      </c>
      <c r="T7364" t="s">
        <v>13454</v>
      </c>
      <c r="U7364" t="s">
        <v>55</v>
      </c>
      <c r="V7364">
        <v>1</v>
      </c>
      <c r="W7364">
        <v>1</v>
      </c>
      <c r="X7364">
        <v>1</v>
      </c>
      <c r="Y7364">
        <v>0</v>
      </c>
      <c r="Z7364">
        <v>1</v>
      </c>
      <c r="AA7364">
        <v>0</v>
      </c>
      <c r="AB7364">
        <v>0</v>
      </c>
      <c r="AC7364">
        <v>146</v>
      </c>
      <c r="AD7364">
        <v>0</v>
      </c>
      <c r="AE7364">
        <v>0</v>
      </c>
      <c r="AF7364">
        <v>0</v>
      </c>
      <c r="AG7364">
        <v>0</v>
      </c>
      <c r="AH7364">
        <v>0</v>
      </c>
      <c r="AI7364">
        <v>21.9</v>
      </c>
      <c r="AJ7364">
        <v>146</v>
      </c>
      <c r="AK7364">
        <v>146</v>
      </c>
      <c r="AL7364" t="s">
        <v>53</v>
      </c>
      <c r="AM7364" t="s">
        <v>53</v>
      </c>
      <c r="AN7364" t="s">
        <v>53</v>
      </c>
      <c r="AO7364" t="s">
        <v>53</v>
      </c>
      <c r="AP7364" t="s">
        <v>53</v>
      </c>
    </row>
    <row r="7365" spans="2:42" x14ac:dyDescent="0.2">
      <c r="B7365" t="s">
        <v>44</v>
      </c>
      <c r="C7365" t="str">
        <f>HYPERLINK("https://us2.cloudbeds.com/connect/8493803454333002#/reservations/9080486847449415?display=3UPG4WU0N3&amp;reservation_id=9080486847449415", "3UPG4WU0N3")</f>
        <v>3UPG4WU0N3</v>
      </c>
      <c r="D7365" t="s">
        <v>45</v>
      </c>
      <c r="E7365" t="s">
        <v>69</v>
      </c>
      <c r="F7365" t="s">
        <v>70</v>
      </c>
      <c r="G7365" t="s">
        <v>48</v>
      </c>
      <c r="H7365" t="s">
        <v>49</v>
      </c>
      <c r="I7365" t="s">
        <v>50</v>
      </c>
      <c r="J7365" t="s">
        <v>12269</v>
      </c>
      <c r="K7365" t="s">
        <v>12420</v>
      </c>
      <c r="L7365" t="s">
        <v>53</v>
      </c>
      <c r="N7365" t="s">
        <v>13455</v>
      </c>
      <c r="P7365" t="s">
        <v>55</v>
      </c>
      <c r="R7365" t="s">
        <v>53</v>
      </c>
      <c r="T7365" t="s">
        <v>13456</v>
      </c>
      <c r="U7365" t="s">
        <v>58</v>
      </c>
      <c r="V7365">
        <v>1</v>
      </c>
      <c r="W7365">
        <v>1</v>
      </c>
      <c r="X7365">
        <v>2</v>
      </c>
      <c r="Y7365">
        <v>0</v>
      </c>
      <c r="Z7365">
        <v>2</v>
      </c>
      <c r="AA7365">
        <v>102.29</v>
      </c>
      <c r="AB7365">
        <v>102.29</v>
      </c>
      <c r="AC7365">
        <v>90</v>
      </c>
      <c r="AD7365">
        <v>0</v>
      </c>
      <c r="AE7365">
        <v>12.29</v>
      </c>
      <c r="AF7365">
        <v>0</v>
      </c>
      <c r="AG7365">
        <v>0</v>
      </c>
      <c r="AH7365">
        <v>0</v>
      </c>
      <c r="AI7365">
        <v>18.41</v>
      </c>
      <c r="AJ7365">
        <v>102.29</v>
      </c>
      <c r="AK7365">
        <v>0</v>
      </c>
      <c r="AL7365" t="s">
        <v>53</v>
      </c>
      <c r="AM7365" t="s">
        <v>53</v>
      </c>
      <c r="AN7365" t="s">
        <v>13457</v>
      </c>
      <c r="AO7365" t="s">
        <v>53</v>
      </c>
      <c r="AP7365" t="s">
        <v>53</v>
      </c>
    </row>
    <row r="7366" spans="2:42" x14ac:dyDescent="0.2">
      <c r="B7366" t="s">
        <v>44</v>
      </c>
      <c r="C7366" t="str">
        <f>HYPERLINK("https://us2.cloudbeds.com/connect/8493803454333002#/reservations/9080486847449933?display=3UPTSJNFTX&amp;reservation_id=9080486847449933", "3UPTSJNFTX")</f>
        <v>3UPTSJNFTX</v>
      </c>
      <c r="D7366" t="s">
        <v>45</v>
      </c>
      <c r="E7366" t="s">
        <v>305</v>
      </c>
      <c r="F7366" t="s">
        <v>61</v>
      </c>
      <c r="G7366" t="s">
        <v>48</v>
      </c>
      <c r="H7366" t="s">
        <v>49</v>
      </c>
      <c r="I7366" t="s">
        <v>8964</v>
      </c>
      <c r="J7366" t="s">
        <v>10170</v>
      </c>
      <c r="K7366" t="s">
        <v>12269</v>
      </c>
      <c r="L7366" t="s">
        <v>53</v>
      </c>
      <c r="N7366" t="s">
        <v>13458</v>
      </c>
      <c r="P7366" t="s">
        <v>55</v>
      </c>
      <c r="R7366" t="s">
        <v>53</v>
      </c>
      <c r="T7366" t="s">
        <v>13459</v>
      </c>
      <c r="U7366" t="s">
        <v>55</v>
      </c>
      <c r="V7366">
        <v>1</v>
      </c>
      <c r="W7366">
        <v>1</v>
      </c>
      <c r="X7366">
        <v>2</v>
      </c>
      <c r="Y7366">
        <v>0</v>
      </c>
      <c r="Z7366">
        <v>2</v>
      </c>
      <c r="AA7366">
        <v>0</v>
      </c>
      <c r="AB7366">
        <v>0</v>
      </c>
      <c r="AC7366">
        <v>129</v>
      </c>
      <c r="AD7366">
        <v>0</v>
      </c>
      <c r="AE7366">
        <v>0</v>
      </c>
      <c r="AF7366">
        <v>0</v>
      </c>
      <c r="AG7366">
        <v>0</v>
      </c>
      <c r="AH7366">
        <v>0</v>
      </c>
      <c r="AI7366">
        <v>19.350000000000001</v>
      </c>
      <c r="AJ7366">
        <v>129</v>
      </c>
      <c r="AK7366">
        <v>129</v>
      </c>
      <c r="AL7366" t="s">
        <v>53</v>
      </c>
      <c r="AM7366" t="s">
        <v>53</v>
      </c>
      <c r="AN7366" t="s">
        <v>53</v>
      </c>
      <c r="AO7366" t="s">
        <v>53</v>
      </c>
      <c r="AP7366" t="s">
        <v>53</v>
      </c>
    </row>
    <row r="7367" spans="2:42" x14ac:dyDescent="0.2">
      <c r="B7367" t="s">
        <v>44</v>
      </c>
      <c r="C7367" t="str">
        <f>HYPERLINK("https://us2.cloudbeds.com/connect/8493803454333002#/reservations/182544009121985?display=3UQ74HZA34&amp;reservation_id=182544009121985", "3UQ74HZA34")</f>
        <v>3UQ74HZA34</v>
      </c>
      <c r="D7367" t="s">
        <v>45</v>
      </c>
      <c r="E7367" t="s">
        <v>105</v>
      </c>
      <c r="F7367" t="s">
        <v>47</v>
      </c>
      <c r="G7367" t="s">
        <v>48</v>
      </c>
      <c r="H7367" t="s">
        <v>3957</v>
      </c>
      <c r="I7367" t="s">
        <v>3958</v>
      </c>
      <c r="J7367" t="s">
        <v>10170</v>
      </c>
      <c r="K7367" t="s">
        <v>12269</v>
      </c>
      <c r="L7367" t="s">
        <v>53</v>
      </c>
      <c r="P7367" t="s">
        <v>55</v>
      </c>
      <c r="R7367" t="s">
        <v>56</v>
      </c>
      <c r="T7367" t="s">
        <v>13460</v>
      </c>
      <c r="U7367" t="s">
        <v>58</v>
      </c>
      <c r="V7367">
        <v>1</v>
      </c>
      <c r="W7367">
        <v>1</v>
      </c>
      <c r="X7367">
        <v>1</v>
      </c>
      <c r="Y7367">
        <v>0</v>
      </c>
      <c r="Z7367">
        <v>1</v>
      </c>
      <c r="AA7367">
        <v>134.11000000000001</v>
      </c>
      <c r="AB7367">
        <v>134.11000000000001</v>
      </c>
      <c r="AC7367">
        <v>118</v>
      </c>
      <c r="AD7367">
        <v>0</v>
      </c>
      <c r="AE7367">
        <v>16.11</v>
      </c>
      <c r="AF7367">
        <v>0</v>
      </c>
      <c r="AG7367">
        <v>0</v>
      </c>
      <c r="AH7367">
        <v>0</v>
      </c>
      <c r="AI7367">
        <v>0</v>
      </c>
      <c r="AJ7367">
        <v>134.11000000000001</v>
      </c>
      <c r="AK7367">
        <v>0</v>
      </c>
      <c r="AL7367" t="s">
        <v>53</v>
      </c>
      <c r="AM7367" t="s">
        <v>53</v>
      </c>
      <c r="AN7367" t="s">
        <v>13461</v>
      </c>
      <c r="AO7367" t="s">
        <v>53</v>
      </c>
      <c r="AP7367" t="s">
        <v>53</v>
      </c>
    </row>
    <row r="7368" spans="2:42" x14ac:dyDescent="0.2">
      <c r="B7368" t="s">
        <v>44</v>
      </c>
      <c r="C7368" t="str">
        <f>HYPERLINK("https://us2.cloudbeds.com/connect/8493803454333002#/reservations/182583559323897?display=3UR4P4GW65&amp;reservation_id=182583559323897", "3UR4P4GW65")</f>
        <v>3UR4P4GW65</v>
      </c>
      <c r="D7368" t="s">
        <v>45</v>
      </c>
      <c r="E7368" t="s">
        <v>92</v>
      </c>
      <c r="F7368" t="s">
        <v>86</v>
      </c>
      <c r="G7368" t="s">
        <v>48</v>
      </c>
      <c r="H7368" t="s">
        <v>3957</v>
      </c>
      <c r="I7368" t="s">
        <v>3989</v>
      </c>
      <c r="J7368" t="s">
        <v>12269</v>
      </c>
      <c r="K7368" t="s">
        <v>12420</v>
      </c>
      <c r="L7368" t="s">
        <v>53</v>
      </c>
      <c r="P7368" t="s">
        <v>55</v>
      </c>
      <c r="R7368" t="s">
        <v>56</v>
      </c>
      <c r="T7368" t="s">
        <v>13462</v>
      </c>
      <c r="U7368" t="s">
        <v>58</v>
      </c>
      <c r="V7368">
        <v>1</v>
      </c>
      <c r="W7368">
        <v>1</v>
      </c>
      <c r="X7368">
        <v>1</v>
      </c>
      <c r="Y7368">
        <v>0</v>
      </c>
      <c r="Z7368">
        <v>1</v>
      </c>
      <c r="AA7368">
        <v>235.26</v>
      </c>
      <c r="AB7368">
        <v>235.26</v>
      </c>
      <c r="AC7368">
        <v>207</v>
      </c>
      <c r="AD7368">
        <v>0</v>
      </c>
      <c r="AE7368">
        <v>28.26</v>
      </c>
      <c r="AF7368">
        <v>0</v>
      </c>
      <c r="AG7368">
        <v>0</v>
      </c>
      <c r="AH7368">
        <v>0</v>
      </c>
      <c r="AI7368">
        <v>0</v>
      </c>
      <c r="AJ7368">
        <v>235.26</v>
      </c>
      <c r="AK7368">
        <v>0</v>
      </c>
      <c r="AL7368" t="s">
        <v>53</v>
      </c>
      <c r="AM7368" t="s">
        <v>53</v>
      </c>
      <c r="AN7368" t="s">
        <v>53</v>
      </c>
      <c r="AO7368" t="s">
        <v>53</v>
      </c>
      <c r="AP7368" t="s">
        <v>53</v>
      </c>
    </row>
    <row r="7369" spans="2:42" x14ac:dyDescent="0.2">
      <c r="B7369" t="s">
        <v>44</v>
      </c>
      <c r="C7369" t="str">
        <f>HYPERLINK("https://us2.cloudbeds.com/connect/8493803454333002#/reservations/9080486847452065?display=3URPEH4BYY&amp;reservation_id=9080486847452065", "3URPEH4BYY")</f>
        <v>3URPEH4BYY</v>
      </c>
      <c r="D7369" t="s">
        <v>45</v>
      </c>
      <c r="E7369" t="s">
        <v>185</v>
      </c>
      <c r="F7369" t="s">
        <v>47</v>
      </c>
      <c r="G7369" t="s">
        <v>48</v>
      </c>
      <c r="H7369" t="s">
        <v>49</v>
      </c>
      <c r="I7369" t="s">
        <v>62</v>
      </c>
      <c r="J7369" t="s">
        <v>10170</v>
      </c>
      <c r="K7369" t="s">
        <v>12269</v>
      </c>
      <c r="L7369" t="s">
        <v>53</v>
      </c>
      <c r="N7369" t="s">
        <v>13463</v>
      </c>
      <c r="P7369" t="s">
        <v>55</v>
      </c>
      <c r="R7369" t="s">
        <v>56</v>
      </c>
      <c r="T7369" t="s">
        <v>13464</v>
      </c>
      <c r="U7369" t="s">
        <v>55</v>
      </c>
      <c r="V7369">
        <v>1</v>
      </c>
      <c r="W7369">
        <v>1</v>
      </c>
      <c r="X7369">
        <v>2</v>
      </c>
      <c r="Y7369">
        <v>0</v>
      </c>
      <c r="Z7369">
        <v>2</v>
      </c>
      <c r="AA7369">
        <v>100.3</v>
      </c>
      <c r="AB7369">
        <v>103.01</v>
      </c>
      <c r="AC7369">
        <v>100.3</v>
      </c>
      <c r="AD7369">
        <v>2.5</v>
      </c>
      <c r="AE7369">
        <v>0.21</v>
      </c>
      <c r="AF7369">
        <v>0</v>
      </c>
      <c r="AG7369">
        <v>0</v>
      </c>
      <c r="AH7369">
        <v>0</v>
      </c>
      <c r="AI7369">
        <v>18.54</v>
      </c>
      <c r="AJ7369">
        <v>103.01</v>
      </c>
      <c r="AK7369">
        <v>0</v>
      </c>
      <c r="AL7369" t="s">
        <v>53</v>
      </c>
      <c r="AM7369" t="s">
        <v>53</v>
      </c>
      <c r="AN7369" t="s">
        <v>53</v>
      </c>
      <c r="AO7369" t="s">
        <v>53</v>
      </c>
      <c r="AP7369" t="s">
        <v>53</v>
      </c>
    </row>
    <row r="7370" spans="2:42" x14ac:dyDescent="0.2">
      <c r="B7370" t="s">
        <v>44</v>
      </c>
      <c r="C7370" t="str">
        <f>HYPERLINK("https://us2.cloudbeds.com/connect/8493803454333002#/reservations/9080486847452371?display=3US2JUVHGC&amp;reservation_id=9080486847452371", "3US2JUVHGC")</f>
        <v>3US2JUVHGC</v>
      </c>
      <c r="D7370" t="s">
        <v>45</v>
      </c>
      <c r="E7370" t="s">
        <v>373</v>
      </c>
      <c r="F7370" t="s">
        <v>47</v>
      </c>
      <c r="G7370" t="s">
        <v>48</v>
      </c>
      <c r="H7370" t="s">
        <v>49</v>
      </c>
      <c r="I7370" t="s">
        <v>62</v>
      </c>
      <c r="J7370" t="s">
        <v>10170</v>
      </c>
      <c r="K7370" t="s">
        <v>12269</v>
      </c>
      <c r="L7370" t="s">
        <v>53</v>
      </c>
      <c r="N7370" t="s">
        <v>13465</v>
      </c>
      <c r="P7370" t="s">
        <v>55</v>
      </c>
      <c r="R7370" t="s">
        <v>56</v>
      </c>
      <c r="T7370" t="s">
        <v>13466</v>
      </c>
      <c r="U7370" t="s">
        <v>55</v>
      </c>
      <c r="V7370">
        <v>1</v>
      </c>
      <c r="W7370">
        <v>1</v>
      </c>
      <c r="X7370">
        <v>2</v>
      </c>
      <c r="Y7370">
        <v>0</v>
      </c>
      <c r="Z7370">
        <v>2</v>
      </c>
      <c r="AA7370">
        <v>100.3</v>
      </c>
      <c r="AB7370">
        <v>100.3</v>
      </c>
      <c r="AC7370">
        <v>100.3</v>
      </c>
      <c r="AD7370">
        <v>0</v>
      </c>
      <c r="AE7370">
        <v>0</v>
      </c>
      <c r="AF7370">
        <v>0</v>
      </c>
      <c r="AG7370">
        <v>0</v>
      </c>
      <c r="AH7370">
        <v>0</v>
      </c>
      <c r="AI7370">
        <v>18.05</v>
      </c>
      <c r="AJ7370">
        <v>100.3</v>
      </c>
      <c r="AK7370">
        <v>0</v>
      </c>
      <c r="AL7370" t="s">
        <v>53</v>
      </c>
      <c r="AM7370" t="s">
        <v>53</v>
      </c>
      <c r="AN7370" t="s">
        <v>53</v>
      </c>
      <c r="AO7370" t="s">
        <v>53</v>
      </c>
      <c r="AP7370" t="s">
        <v>53</v>
      </c>
    </row>
    <row r="7371" spans="2:42" x14ac:dyDescent="0.2">
      <c r="B7371" t="s">
        <v>44</v>
      </c>
      <c r="C7371" t="str">
        <f>HYPERLINK("https://us2.cloudbeds.com/connect/8493803454333002#/reservations/182625858437290?display=3US4GW8583&amp;reservation_id=182625858437290", "3US4GW8583")</f>
        <v>3US4GW8583</v>
      </c>
      <c r="D7371" t="s">
        <v>45</v>
      </c>
      <c r="E7371" t="s">
        <v>265</v>
      </c>
      <c r="F7371" t="s">
        <v>61</v>
      </c>
      <c r="G7371" t="s">
        <v>48</v>
      </c>
      <c r="H7371" t="s">
        <v>3957</v>
      </c>
      <c r="I7371" t="s">
        <v>3975</v>
      </c>
      <c r="J7371" t="s">
        <v>10170</v>
      </c>
      <c r="K7371" t="s">
        <v>12269</v>
      </c>
      <c r="L7371" t="s">
        <v>53</v>
      </c>
      <c r="P7371" t="s">
        <v>55</v>
      </c>
      <c r="R7371" t="s">
        <v>56</v>
      </c>
      <c r="T7371" t="s">
        <v>13467</v>
      </c>
      <c r="U7371" t="s">
        <v>58</v>
      </c>
      <c r="V7371">
        <v>1</v>
      </c>
      <c r="W7371">
        <v>1</v>
      </c>
      <c r="X7371">
        <v>2</v>
      </c>
      <c r="Y7371">
        <v>0</v>
      </c>
      <c r="Z7371">
        <v>2</v>
      </c>
      <c r="AA7371">
        <v>143.19999999999999</v>
      </c>
      <c r="AB7371">
        <v>143.19999999999999</v>
      </c>
      <c r="AC7371">
        <v>126</v>
      </c>
      <c r="AD7371">
        <v>0</v>
      </c>
      <c r="AE7371">
        <v>17.2</v>
      </c>
      <c r="AF7371">
        <v>0</v>
      </c>
      <c r="AG7371">
        <v>0</v>
      </c>
      <c r="AH7371">
        <v>0</v>
      </c>
      <c r="AI7371">
        <v>0</v>
      </c>
      <c r="AJ7371">
        <v>143.19999999999999</v>
      </c>
      <c r="AK7371">
        <v>0</v>
      </c>
      <c r="AL7371" t="s">
        <v>53</v>
      </c>
      <c r="AM7371" t="s">
        <v>53</v>
      </c>
      <c r="AN7371" t="s">
        <v>53</v>
      </c>
      <c r="AO7371" t="s">
        <v>53</v>
      </c>
      <c r="AP7371" t="s">
        <v>53</v>
      </c>
    </row>
    <row r="7372" spans="2:42" x14ac:dyDescent="0.2">
      <c r="B7372" t="s">
        <v>44</v>
      </c>
      <c r="C7372" t="str">
        <f>HYPERLINK("https://us2.cloudbeds.com/connect/8493803454333002#/reservations/9080486847452818?display=3USJVPTTF2&amp;reservation_id=9080486847452818", "3USJVPTTF2")</f>
        <v>3USJVPTTF2</v>
      </c>
      <c r="D7372" t="s">
        <v>45</v>
      </c>
      <c r="E7372" t="s">
        <v>110</v>
      </c>
      <c r="F7372" t="s">
        <v>47</v>
      </c>
      <c r="G7372" t="s">
        <v>48</v>
      </c>
      <c r="H7372" t="s">
        <v>49</v>
      </c>
      <c r="I7372" t="s">
        <v>50</v>
      </c>
      <c r="J7372" t="s">
        <v>13047</v>
      </c>
      <c r="K7372" t="s">
        <v>13468</v>
      </c>
      <c r="L7372" t="s">
        <v>53</v>
      </c>
      <c r="N7372" t="s">
        <v>13469</v>
      </c>
      <c r="P7372" t="s">
        <v>55</v>
      </c>
      <c r="R7372" t="s">
        <v>53</v>
      </c>
      <c r="T7372" t="s">
        <v>13470</v>
      </c>
      <c r="U7372" t="s">
        <v>58</v>
      </c>
      <c r="V7372">
        <v>1</v>
      </c>
      <c r="W7372">
        <v>1</v>
      </c>
      <c r="X7372">
        <v>2</v>
      </c>
      <c r="Y7372">
        <v>0</v>
      </c>
      <c r="Z7372">
        <v>2</v>
      </c>
      <c r="AA7372">
        <v>86.95</v>
      </c>
      <c r="AB7372">
        <v>86.95</v>
      </c>
      <c r="AC7372">
        <v>76.5</v>
      </c>
      <c r="AD7372">
        <v>0</v>
      </c>
      <c r="AE7372">
        <v>10.45</v>
      </c>
      <c r="AF7372">
        <v>0</v>
      </c>
      <c r="AG7372">
        <v>0</v>
      </c>
      <c r="AH7372">
        <v>0</v>
      </c>
      <c r="AI7372">
        <v>15.65</v>
      </c>
      <c r="AJ7372">
        <v>86.95</v>
      </c>
      <c r="AK7372">
        <v>0</v>
      </c>
      <c r="AL7372" t="s">
        <v>53</v>
      </c>
      <c r="AM7372" t="s">
        <v>53</v>
      </c>
      <c r="AN7372" t="s">
        <v>53</v>
      </c>
      <c r="AO7372" t="s">
        <v>53</v>
      </c>
      <c r="AP7372" t="s">
        <v>53</v>
      </c>
    </row>
    <row r="7373" spans="2:42" x14ac:dyDescent="0.2">
      <c r="B7373" t="s">
        <v>44</v>
      </c>
      <c r="C7373" t="str">
        <f>HYPERLINK("https://us2.cloudbeds.com/connect/8493803454333002#/reservations/9080486847453158?display=3UT0XR9BYM&amp;reservation_id=9080486847453158", "3UT0XR9BYM")</f>
        <v>3UT0XR9BYM</v>
      </c>
      <c r="D7373" t="s">
        <v>45</v>
      </c>
      <c r="E7373" t="s">
        <v>165</v>
      </c>
      <c r="F7373" t="s">
        <v>61</v>
      </c>
      <c r="G7373" t="s">
        <v>48</v>
      </c>
      <c r="H7373" t="s">
        <v>49</v>
      </c>
      <c r="I7373" t="s">
        <v>62</v>
      </c>
      <c r="J7373" t="s">
        <v>12269</v>
      </c>
      <c r="K7373" t="s">
        <v>12441</v>
      </c>
      <c r="L7373" t="s">
        <v>53</v>
      </c>
      <c r="N7373" t="s">
        <v>13471</v>
      </c>
      <c r="P7373" t="s">
        <v>55</v>
      </c>
      <c r="R7373" t="s">
        <v>56</v>
      </c>
      <c r="T7373" t="s">
        <v>13472</v>
      </c>
      <c r="U7373" t="s">
        <v>55</v>
      </c>
      <c r="V7373">
        <v>2</v>
      </c>
      <c r="W7373">
        <v>1</v>
      </c>
      <c r="X7373">
        <v>2</v>
      </c>
      <c r="Y7373">
        <v>0</v>
      </c>
      <c r="Z7373">
        <v>2</v>
      </c>
      <c r="AA7373">
        <v>240.55</v>
      </c>
      <c r="AB7373">
        <v>240.55</v>
      </c>
      <c r="AC7373">
        <v>240.55</v>
      </c>
      <c r="AD7373">
        <v>0</v>
      </c>
      <c r="AE7373">
        <v>0</v>
      </c>
      <c r="AF7373">
        <v>0</v>
      </c>
      <c r="AG7373">
        <v>0</v>
      </c>
      <c r="AH7373">
        <v>0</v>
      </c>
      <c r="AI7373">
        <v>43.3</v>
      </c>
      <c r="AJ7373">
        <v>240.55</v>
      </c>
      <c r="AK7373">
        <v>0</v>
      </c>
      <c r="AL7373" t="s">
        <v>53</v>
      </c>
      <c r="AM7373" t="s">
        <v>53</v>
      </c>
      <c r="AN7373" t="s">
        <v>53</v>
      </c>
      <c r="AO7373" t="s">
        <v>53</v>
      </c>
      <c r="AP7373" t="s">
        <v>53</v>
      </c>
    </row>
    <row r="7374" spans="2:42" x14ac:dyDescent="0.2">
      <c r="B7374" t="s">
        <v>44</v>
      </c>
      <c r="C7374" t="str">
        <f>HYPERLINK("https://us2.cloudbeds.com/connect/8493803454333002#/reservations/9080486847453552?display=3UTFR5J4JW&amp;reservation_id=9080486847453552", "3UTFR5J4JW")</f>
        <v>3UTFR5J4JW</v>
      </c>
      <c r="D7374" t="s">
        <v>45</v>
      </c>
      <c r="E7374" t="s">
        <v>113</v>
      </c>
      <c r="F7374" t="s">
        <v>61</v>
      </c>
      <c r="G7374" t="s">
        <v>48</v>
      </c>
      <c r="H7374" t="s">
        <v>49</v>
      </c>
      <c r="I7374" t="s">
        <v>62</v>
      </c>
      <c r="J7374" t="s">
        <v>12269</v>
      </c>
      <c r="K7374" t="s">
        <v>12441</v>
      </c>
      <c r="L7374" t="s">
        <v>53</v>
      </c>
      <c r="N7374" t="s">
        <v>13473</v>
      </c>
      <c r="P7374" t="s">
        <v>55</v>
      </c>
      <c r="R7374" t="s">
        <v>56</v>
      </c>
      <c r="T7374" t="s">
        <v>13474</v>
      </c>
      <c r="U7374" t="s">
        <v>55</v>
      </c>
      <c r="V7374">
        <v>2</v>
      </c>
      <c r="W7374">
        <v>1</v>
      </c>
      <c r="X7374">
        <v>2</v>
      </c>
      <c r="Y7374">
        <v>0</v>
      </c>
      <c r="Z7374">
        <v>2</v>
      </c>
      <c r="AA7374">
        <v>240.55</v>
      </c>
      <c r="AB7374">
        <v>240.55</v>
      </c>
      <c r="AC7374">
        <v>240.55</v>
      </c>
      <c r="AD7374">
        <v>0</v>
      </c>
      <c r="AE7374">
        <v>0</v>
      </c>
      <c r="AF7374">
        <v>0</v>
      </c>
      <c r="AG7374">
        <v>0</v>
      </c>
      <c r="AH7374">
        <v>0</v>
      </c>
      <c r="AI7374">
        <v>43.3</v>
      </c>
      <c r="AJ7374">
        <v>240.55</v>
      </c>
      <c r="AK7374">
        <v>0</v>
      </c>
      <c r="AL7374" t="s">
        <v>53</v>
      </c>
      <c r="AM7374" t="s">
        <v>53</v>
      </c>
      <c r="AN7374" t="s">
        <v>13475</v>
      </c>
      <c r="AO7374" t="s">
        <v>53</v>
      </c>
      <c r="AP7374" t="s">
        <v>53</v>
      </c>
    </row>
    <row r="7375" spans="2:42" x14ac:dyDescent="0.2">
      <c r="B7375" t="s">
        <v>44</v>
      </c>
      <c r="C7375" t="str">
        <f>HYPERLINK("https://us2.cloudbeds.com/connect/8493803454333002#/reservations/9080486847453696?display=3UTKTPAS82&amp;reservation_id=9080486847453696", "3UTKTPAS82")</f>
        <v>3UTKTPAS82</v>
      </c>
      <c r="D7375" t="s">
        <v>45</v>
      </c>
      <c r="E7375" t="s">
        <v>138</v>
      </c>
      <c r="F7375" t="s">
        <v>70</v>
      </c>
      <c r="G7375" t="s">
        <v>48</v>
      </c>
      <c r="H7375" t="s">
        <v>49</v>
      </c>
      <c r="I7375" t="s">
        <v>8964</v>
      </c>
      <c r="J7375" t="s">
        <v>13476</v>
      </c>
      <c r="K7375" t="s">
        <v>13362</v>
      </c>
      <c r="L7375" t="s">
        <v>53</v>
      </c>
      <c r="N7375" t="s">
        <v>13477</v>
      </c>
      <c r="P7375" t="s">
        <v>55</v>
      </c>
      <c r="R7375" t="s">
        <v>53</v>
      </c>
      <c r="T7375" t="s">
        <v>13478</v>
      </c>
      <c r="U7375" t="s">
        <v>55</v>
      </c>
      <c r="V7375">
        <v>1</v>
      </c>
      <c r="W7375">
        <v>1</v>
      </c>
      <c r="X7375">
        <v>2</v>
      </c>
      <c r="Y7375">
        <v>0</v>
      </c>
      <c r="Z7375">
        <v>2</v>
      </c>
      <c r="AA7375">
        <v>0</v>
      </c>
      <c r="AB7375">
        <v>0</v>
      </c>
      <c r="AC7375">
        <v>89</v>
      </c>
      <c r="AD7375">
        <v>0</v>
      </c>
      <c r="AE7375">
        <v>0</v>
      </c>
      <c r="AF7375">
        <v>0</v>
      </c>
      <c r="AG7375">
        <v>0</v>
      </c>
      <c r="AH7375">
        <v>0</v>
      </c>
      <c r="AI7375">
        <v>13.35</v>
      </c>
      <c r="AJ7375">
        <v>89</v>
      </c>
      <c r="AK7375">
        <v>89</v>
      </c>
      <c r="AL7375" t="s">
        <v>53</v>
      </c>
      <c r="AM7375" t="s">
        <v>53</v>
      </c>
      <c r="AN7375" t="s">
        <v>13479</v>
      </c>
      <c r="AO7375" t="s">
        <v>53</v>
      </c>
      <c r="AP7375" t="s">
        <v>53</v>
      </c>
    </row>
    <row r="7376" spans="2:42" x14ac:dyDescent="0.2">
      <c r="B7376" t="s">
        <v>44</v>
      </c>
      <c r="C7376" t="str">
        <f>HYPERLINK("https://us2.cloudbeds.com/connect/8493803454333002#/reservations/9080486847453752?display=3UTNEN4XGX&amp;reservation_id=9080486847453752", "3UTNEN4XGX")</f>
        <v>3UTNEN4XGX</v>
      </c>
      <c r="D7376" t="s">
        <v>45</v>
      </c>
      <c r="E7376" t="s">
        <v>105</v>
      </c>
      <c r="F7376" t="s">
        <v>47</v>
      </c>
      <c r="G7376" t="s">
        <v>48</v>
      </c>
      <c r="H7376" t="s">
        <v>49</v>
      </c>
      <c r="I7376" t="s">
        <v>8964</v>
      </c>
      <c r="J7376" t="s">
        <v>10587</v>
      </c>
      <c r="K7376" t="s">
        <v>13480</v>
      </c>
      <c r="L7376" t="s">
        <v>53</v>
      </c>
      <c r="N7376" t="s">
        <v>13481</v>
      </c>
      <c r="P7376" t="s">
        <v>55</v>
      </c>
      <c r="R7376" t="s">
        <v>53</v>
      </c>
      <c r="T7376" t="s">
        <v>13482</v>
      </c>
      <c r="U7376" t="s">
        <v>55</v>
      </c>
      <c r="V7376">
        <v>1</v>
      </c>
      <c r="W7376">
        <v>1</v>
      </c>
      <c r="X7376">
        <v>2</v>
      </c>
      <c r="Y7376">
        <v>0</v>
      </c>
      <c r="Z7376">
        <v>2</v>
      </c>
      <c r="AA7376">
        <v>73</v>
      </c>
      <c r="AB7376">
        <v>0</v>
      </c>
      <c r="AC7376">
        <v>73</v>
      </c>
      <c r="AD7376">
        <v>0</v>
      </c>
      <c r="AE7376">
        <v>0</v>
      </c>
      <c r="AF7376">
        <v>0</v>
      </c>
      <c r="AG7376">
        <v>0</v>
      </c>
      <c r="AH7376">
        <v>0</v>
      </c>
      <c r="AI7376">
        <v>10.95</v>
      </c>
      <c r="AJ7376">
        <v>73</v>
      </c>
      <c r="AK7376">
        <v>73</v>
      </c>
      <c r="AL7376" t="s">
        <v>53</v>
      </c>
      <c r="AM7376" t="s">
        <v>53</v>
      </c>
      <c r="AN7376" t="s">
        <v>13483</v>
      </c>
      <c r="AO7376" t="s">
        <v>53</v>
      </c>
      <c r="AP7376" t="s">
        <v>53</v>
      </c>
    </row>
    <row r="7377" spans="2:42" x14ac:dyDescent="0.2">
      <c r="B7377" t="s">
        <v>44</v>
      </c>
      <c r="C7377" t="str">
        <f>HYPERLINK("https://us2.cloudbeds.com/connect/8493803454333002#/reservations/9080486847454272?display=3UUE384DTG&amp;reservation_id=9080486847454272", "3UUE384DTG")</f>
        <v>3UUE384DTG</v>
      </c>
      <c r="D7377" t="s">
        <v>45</v>
      </c>
      <c r="E7377" t="s">
        <v>78</v>
      </c>
      <c r="F7377" t="s">
        <v>61</v>
      </c>
      <c r="G7377" t="s">
        <v>48</v>
      </c>
      <c r="H7377" t="s">
        <v>49</v>
      </c>
      <c r="I7377" t="s">
        <v>50</v>
      </c>
      <c r="J7377" t="s">
        <v>13060</v>
      </c>
      <c r="K7377" t="s">
        <v>13061</v>
      </c>
      <c r="L7377" t="s">
        <v>53</v>
      </c>
      <c r="N7377" t="s">
        <v>13484</v>
      </c>
      <c r="P7377" t="s">
        <v>55</v>
      </c>
      <c r="R7377" t="s">
        <v>53</v>
      </c>
      <c r="T7377" t="s">
        <v>13485</v>
      </c>
      <c r="U7377" t="s">
        <v>58</v>
      </c>
      <c r="V7377">
        <v>1</v>
      </c>
      <c r="W7377">
        <v>1</v>
      </c>
      <c r="X7377">
        <v>2</v>
      </c>
      <c r="Y7377">
        <v>0</v>
      </c>
      <c r="Z7377">
        <v>2</v>
      </c>
      <c r="AA7377">
        <v>97.17</v>
      </c>
      <c r="AB7377">
        <v>97.17</v>
      </c>
      <c r="AC7377">
        <v>85.5</v>
      </c>
      <c r="AD7377">
        <v>0</v>
      </c>
      <c r="AE7377">
        <v>11.67</v>
      </c>
      <c r="AF7377">
        <v>0</v>
      </c>
      <c r="AG7377">
        <v>0</v>
      </c>
      <c r="AH7377">
        <v>0</v>
      </c>
      <c r="AI7377">
        <v>17.489999999999998</v>
      </c>
      <c r="AJ7377">
        <v>97.17</v>
      </c>
      <c r="AK7377">
        <v>0</v>
      </c>
      <c r="AL7377" t="s">
        <v>53</v>
      </c>
      <c r="AM7377" t="s">
        <v>53</v>
      </c>
      <c r="AN7377" t="s">
        <v>13486</v>
      </c>
      <c r="AO7377" t="s">
        <v>53</v>
      </c>
      <c r="AP7377" t="s">
        <v>53</v>
      </c>
    </row>
    <row r="7378" spans="2:42" x14ac:dyDescent="0.2">
      <c r="B7378" t="s">
        <v>44</v>
      </c>
      <c r="C7378" t="str">
        <f>HYPERLINK("https://us2.cloudbeds.com/connect/8493803454333002#/reservations/9080486847456977?display=3V0M9BDWBY&amp;reservation_id=9080486847456977", "3V0M9BDWBY")</f>
        <v>3V0M9BDWBY</v>
      </c>
      <c r="D7378" t="s">
        <v>45</v>
      </c>
      <c r="E7378" t="s">
        <v>138</v>
      </c>
      <c r="F7378" t="s">
        <v>70</v>
      </c>
      <c r="G7378" t="s">
        <v>48</v>
      </c>
      <c r="H7378" t="s">
        <v>49</v>
      </c>
      <c r="I7378" t="s">
        <v>62</v>
      </c>
      <c r="J7378" t="s">
        <v>11068</v>
      </c>
      <c r="K7378" t="s">
        <v>12756</v>
      </c>
      <c r="L7378" t="s">
        <v>53</v>
      </c>
      <c r="N7378" t="s">
        <v>13487</v>
      </c>
      <c r="P7378" t="s">
        <v>55</v>
      </c>
      <c r="R7378" t="s">
        <v>56</v>
      </c>
      <c r="T7378" t="s">
        <v>13488</v>
      </c>
      <c r="U7378" t="s">
        <v>55</v>
      </c>
      <c r="V7378">
        <v>1</v>
      </c>
      <c r="W7378">
        <v>1</v>
      </c>
      <c r="X7378">
        <v>1</v>
      </c>
      <c r="Y7378">
        <v>0</v>
      </c>
      <c r="Z7378">
        <v>1</v>
      </c>
      <c r="AA7378">
        <v>56.53</v>
      </c>
      <c r="AB7378">
        <v>56.53</v>
      </c>
      <c r="AC7378">
        <v>56.53</v>
      </c>
      <c r="AD7378">
        <v>0</v>
      </c>
      <c r="AE7378">
        <v>0</v>
      </c>
      <c r="AF7378">
        <v>0</v>
      </c>
      <c r="AG7378">
        <v>0</v>
      </c>
      <c r="AH7378">
        <v>0</v>
      </c>
      <c r="AI7378">
        <v>10.18</v>
      </c>
      <c r="AJ7378">
        <v>56.53</v>
      </c>
      <c r="AK7378">
        <v>0</v>
      </c>
      <c r="AL7378" t="s">
        <v>53</v>
      </c>
      <c r="AM7378" t="s">
        <v>53</v>
      </c>
      <c r="AN7378" t="s">
        <v>53</v>
      </c>
      <c r="AO7378" t="s">
        <v>53</v>
      </c>
      <c r="AP7378" t="s">
        <v>53</v>
      </c>
    </row>
    <row r="7379" spans="2:42" x14ac:dyDescent="0.2">
      <c r="B7379" t="s">
        <v>44</v>
      </c>
      <c r="C7379" t="str">
        <f>HYPERLINK("https://us2.cloudbeds.com/connect/8493803454333002#/reservations/9080486847457167?display=3V0RG5RUPR&amp;reservation_id=9080486847457167", "3V0RG5RUPR")</f>
        <v>3V0RG5RUPR</v>
      </c>
      <c r="D7379" t="s">
        <v>45</v>
      </c>
      <c r="E7379" t="s">
        <v>128</v>
      </c>
      <c r="F7379" t="s">
        <v>86</v>
      </c>
      <c r="G7379" t="s">
        <v>48</v>
      </c>
      <c r="H7379" t="s">
        <v>49</v>
      </c>
      <c r="I7379" t="s">
        <v>8964</v>
      </c>
      <c r="J7379" t="s">
        <v>13047</v>
      </c>
      <c r="K7379" t="s">
        <v>13468</v>
      </c>
      <c r="L7379" t="s">
        <v>53</v>
      </c>
      <c r="N7379" t="s">
        <v>13489</v>
      </c>
      <c r="P7379" t="s">
        <v>55</v>
      </c>
      <c r="R7379" t="s">
        <v>53</v>
      </c>
      <c r="T7379" t="s">
        <v>13490</v>
      </c>
      <c r="U7379" t="s">
        <v>55</v>
      </c>
      <c r="V7379">
        <v>1</v>
      </c>
      <c r="W7379">
        <v>1</v>
      </c>
      <c r="X7379">
        <v>3</v>
      </c>
      <c r="Y7379">
        <v>0</v>
      </c>
      <c r="Z7379">
        <v>3</v>
      </c>
      <c r="AA7379">
        <v>0</v>
      </c>
      <c r="AB7379">
        <v>0</v>
      </c>
      <c r="AC7379">
        <v>113</v>
      </c>
      <c r="AD7379">
        <v>0</v>
      </c>
      <c r="AE7379">
        <v>0</v>
      </c>
      <c r="AF7379">
        <v>0</v>
      </c>
      <c r="AG7379">
        <v>0</v>
      </c>
      <c r="AH7379">
        <v>0</v>
      </c>
      <c r="AI7379">
        <v>16.95</v>
      </c>
      <c r="AJ7379">
        <v>113</v>
      </c>
      <c r="AK7379">
        <v>113</v>
      </c>
      <c r="AL7379" t="s">
        <v>53</v>
      </c>
      <c r="AM7379" t="s">
        <v>53</v>
      </c>
      <c r="AN7379" t="s">
        <v>13491</v>
      </c>
      <c r="AO7379" t="s">
        <v>53</v>
      </c>
      <c r="AP7379" t="s">
        <v>53</v>
      </c>
    </row>
    <row r="7380" spans="2:42" x14ac:dyDescent="0.2">
      <c r="B7380" t="s">
        <v>44</v>
      </c>
      <c r="C7380" t="str">
        <f>HYPERLINK("https://us2.cloudbeds.com/connect/8493803454333002#/reservations/9080486847457569?display=3V15HJBEC7&amp;reservation_id=9080486847457569", "3V15HJBEC7")</f>
        <v>3V15HJBEC7</v>
      </c>
      <c r="D7380" t="s">
        <v>45</v>
      </c>
      <c r="E7380" t="s">
        <v>265</v>
      </c>
      <c r="F7380" t="s">
        <v>61</v>
      </c>
      <c r="G7380" t="s">
        <v>48</v>
      </c>
      <c r="H7380" t="s">
        <v>49</v>
      </c>
      <c r="I7380" t="s">
        <v>62</v>
      </c>
      <c r="J7380" t="s">
        <v>12269</v>
      </c>
      <c r="K7380" t="s">
        <v>12441</v>
      </c>
      <c r="L7380" t="s">
        <v>53</v>
      </c>
      <c r="N7380" t="s">
        <v>13492</v>
      </c>
      <c r="P7380" t="s">
        <v>55</v>
      </c>
      <c r="R7380" t="s">
        <v>56</v>
      </c>
      <c r="T7380" t="s">
        <v>13493</v>
      </c>
      <c r="U7380" t="s">
        <v>55</v>
      </c>
      <c r="V7380">
        <v>2</v>
      </c>
      <c r="W7380">
        <v>1</v>
      </c>
      <c r="X7380">
        <v>2</v>
      </c>
      <c r="Y7380">
        <v>0</v>
      </c>
      <c r="Z7380">
        <v>2</v>
      </c>
      <c r="AA7380">
        <v>226.1</v>
      </c>
      <c r="AB7380">
        <v>226.1</v>
      </c>
      <c r="AC7380">
        <v>226.1</v>
      </c>
      <c r="AD7380">
        <v>0</v>
      </c>
      <c r="AE7380">
        <v>0</v>
      </c>
      <c r="AF7380">
        <v>0</v>
      </c>
      <c r="AG7380">
        <v>0</v>
      </c>
      <c r="AH7380">
        <v>0</v>
      </c>
      <c r="AI7380">
        <v>40.700000000000003</v>
      </c>
      <c r="AJ7380">
        <v>226.1</v>
      </c>
      <c r="AK7380">
        <v>0</v>
      </c>
      <c r="AL7380" t="s">
        <v>53</v>
      </c>
      <c r="AM7380" t="s">
        <v>53</v>
      </c>
      <c r="AN7380" t="s">
        <v>13494</v>
      </c>
      <c r="AO7380" t="s">
        <v>53</v>
      </c>
      <c r="AP7380" t="s">
        <v>53</v>
      </c>
    </row>
    <row r="7381" spans="2:42" x14ac:dyDescent="0.2">
      <c r="B7381" t="s">
        <v>44</v>
      </c>
      <c r="C7381" t="str">
        <f>HYPERLINK("https://us2.cloudbeds.com/connect/8493803454333002#/reservations/9080486847458487?display=3V1UU8ZSQJ&amp;reservation_id=9080486847458487", "3V1UU8ZSQJ")</f>
        <v>3V1UU8ZSQJ</v>
      </c>
      <c r="D7381" t="s">
        <v>45</v>
      </c>
      <c r="E7381" t="s">
        <v>105</v>
      </c>
      <c r="F7381" t="s">
        <v>47</v>
      </c>
      <c r="G7381" t="s">
        <v>48</v>
      </c>
      <c r="H7381" t="s">
        <v>49</v>
      </c>
      <c r="I7381" t="s">
        <v>50</v>
      </c>
      <c r="J7381" t="s">
        <v>12269</v>
      </c>
      <c r="K7381" t="s">
        <v>12420</v>
      </c>
      <c r="L7381" t="s">
        <v>53</v>
      </c>
      <c r="N7381" t="s">
        <v>13495</v>
      </c>
      <c r="P7381" t="s">
        <v>55</v>
      </c>
      <c r="R7381" t="s">
        <v>53</v>
      </c>
      <c r="T7381" t="s">
        <v>13496</v>
      </c>
      <c r="U7381" t="s">
        <v>58</v>
      </c>
      <c r="V7381">
        <v>1</v>
      </c>
      <c r="W7381">
        <v>1</v>
      </c>
      <c r="X7381">
        <v>1</v>
      </c>
      <c r="Y7381">
        <v>0</v>
      </c>
      <c r="Z7381">
        <v>1</v>
      </c>
      <c r="AA7381">
        <v>107.29</v>
      </c>
      <c r="AB7381">
        <v>107.29</v>
      </c>
      <c r="AC7381">
        <v>94.4</v>
      </c>
      <c r="AD7381">
        <v>0</v>
      </c>
      <c r="AE7381">
        <v>12.89</v>
      </c>
      <c r="AF7381">
        <v>0</v>
      </c>
      <c r="AG7381">
        <v>0</v>
      </c>
      <c r="AH7381">
        <v>0</v>
      </c>
      <c r="AI7381">
        <v>19.309999999999999</v>
      </c>
      <c r="AJ7381">
        <v>107.29</v>
      </c>
      <c r="AK7381">
        <v>0</v>
      </c>
      <c r="AL7381" t="s">
        <v>53</v>
      </c>
      <c r="AM7381" t="s">
        <v>53</v>
      </c>
      <c r="AN7381" t="s">
        <v>13497</v>
      </c>
      <c r="AO7381" t="s">
        <v>53</v>
      </c>
      <c r="AP7381" t="s">
        <v>53</v>
      </c>
    </row>
    <row r="7382" spans="2:42" x14ac:dyDescent="0.2">
      <c r="B7382" t="s">
        <v>44</v>
      </c>
      <c r="C7382" t="str">
        <f>HYPERLINK("https://us2.cloudbeds.com/connect/8493803454333002#/reservations/9080486847458576?display=3V1WVPBW57&amp;reservation_id=9080486847458576", "3V1WVPBW57")</f>
        <v>3V1WVPBW57</v>
      </c>
      <c r="D7382" t="s">
        <v>45</v>
      </c>
      <c r="E7382" t="s">
        <v>381</v>
      </c>
      <c r="F7382" t="s">
        <v>47</v>
      </c>
      <c r="G7382" t="s">
        <v>48</v>
      </c>
      <c r="H7382" t="s">
        <v>49</v>
      </c>
      <c r="I7382" t="s">
        <v>62</v>
      </c>
      <c r="J7382" t="s">
        <v>12269</v>
      </c>
      <c r="K7382" t="s">
        <v>12420</v>
      </c>
      <c r="L7382" t="s">
        <v>53</v>
      </c>
      <c r="N7382" t="s">
        <v>13498</v>
      </c>
      <c r="P7382" t="s">
        <v>55</v>
      </c>
      <c r="R7382" t="s">
        <v>56</v>
      </c>
      <c r="T7382" t="s">
        <v>13499</v>
      </c>
      <c r="U7382" t="s">
        <v>55</v>
      </c>
      <c r="V7382">
        <v>1</v>
      </c>
      <c r="W7382">
        <v>1</v>
      </c>
      <c r="X7382">
        <v>2</v>
      </c>
      <c r="Y7382">
        <v>0</v>
      </c>
      <c r="Z7382">
        <v>2</v>
      </c>
      <c r="AA7382">
        <v>100.3</v>
      </c>
      <c r="AB7382">
        <v>100.3</v>
      </c>
      <c r="AC7382">
        <v>100.3</v>
      </c>
      <c r="AD7382">
        <v>0</v>
      </c>
      <c r="AE7382">
        <v>0</v>
      </c>
      <c r="AF7382">
        <v>0</v>
      </c>
      <c r="AG7382">
        <v>0</v>
      </c>
      <c r="AH7382">
        <v>0</v>
      </c>
      <c r="AI7382">
        <v>18.05</v>
      </c>
      <c r="AJ7382">
        <v>100.3</v>
      </c>
      <c r="AK7382">
        <v>0</v>
      </c>
      <c r="AL7382" t="s">
        <v>53</v>
      </c>
      <c r="AM7382" t="s">
        <v>53</v>
      </c>
      <c r="AN7382" t="s">
        <v>13500</v>
      </c>
      <c r="AO7382" t="s">
        <v>53</v>
      </c>
      <c r="AP7382" t="s">
        <v>53</v>
      </c>
    </row>
    <row r="7383" spans="2:42" x14ac:dyDescent="0.2">
      <c r="B7383" t="s">
        <v>44</v>
      </c>
      <c r="C7383" t="str">
        <f>HYPERLINK("https://us2.cloudbeds.com/connect/8493803454333002#/reservations/182920000462986?display=3V218WJKG5&amp;reservation_id=182920000462986", "3V218WJKG5")</f>
        <v>3V218WJKG5</v>
      </c>
      <c r="D7383" t="s">
        <v>45</v>
      </c>
      <c r="E7383" t="s">
        <v>105</v>
      </c>
      <c r="F7383" t="s">
        <v>47</v>
      </c>
      <c r="G7383" t="s">
        <v>48</v>
      </c>
      <c r="H7383" t="s">
        <v>3957</v>
      </c>
      <c r="I7383" t="s">
        <v>3975</v>
      </c>
      <c r="J7383" t="s">
        <v>13047</v>
      </c>
      <c r="K7383" t="s">
        <v>10586</v>
      </c>
      <c r="L7383" t="s">
        <v>53</v>
      </c>
      <c r="P7383" t="s">
        <v>55</v>
      </c>
      <c r="R7383" t="s">
        <v>56</v>
      </c>
      <c r="T7383" t="s">
        <v>13501</v>
      </c>
      <c r="U7383" t="s">
        <v>58</v>
      </c>
      <c r="V7383">
        <v>2</v>
      </c>
      <c r="W7383">
        <v>1</v>
      </c>
      <c r="X7383">
        <v>2</v>
      </c>
      <c r="Y7383">
        <v>0</v>
      </c>
      <c r="Z7383">
        <v>2</v>
      </c>
      <c r="AA7383">
        <v>172.74</v>
      </c>
      <c r="AB7383">
        <v>172.74</v>
      </c>
      <c r="AC7383">
        <v>152</v>
      </c>
      <c r="AD7383">
        <v>0</v>
      </c>
      <c r="AE7383">
        <v>20.74</v>
      </c>
      <c r="AF7383">
        <v>0</v>
      </c>
      <c r="AG7383">
        <v>0</v>
      </c>
      <c r="AH7383">
        <v>0</v>
      </c>
      <c r="AI7383">
        <v>0</v>
      </c>
      <c r="AJ7383">
        <v>172.74</v>
      </c>
      <c r="AK7383">
        <v>0</v>
      </c>
      <c r="AL7383" t="s">
        <v>53</v>
      </c>
      <c r="AM7383" t="s">
        <v>53</v>
      </c>
      <c r="AN7383" t="s">
        <v>13502</v>
      </c>
      <c r="AO7383" t="s">
        <v>53</v>
      </c>
      <c r="AP7383" t="s">
        <v>53</v>
      </c>
    </row>
    <row r="7384" spans="2:42" x14ac:dyDescent="0.2">
      <c r="B7384" t="s">
        <v>44</v>
      </c>
      <c r="C7384" t="str">
        <f>HYPERLINK("https://us2.cloudbeds.com/connect/8493803454333002#/reservations/9080486847459734?display=3V305WCMHZ&amp;reservation_id=9080486847459734", "3V305WCMHZ")</f>
        <v>3V305WCMHZ</v>
      </c>
      <c r="D7384" t="s">
        <v>45</v>
      </c>
      <c r="E7384" t="s">
        <v>179</v>
      </c>
      <c r="F7384" t="s">
        <v>47</v>
      </c>
      <c r="G7384" t="s">
        <v>48</v>
      </c>
      <c r="H7384" t="s">
        <v>49</v>
      </c>
      <c r="I7384" t="s">
        <v>62</v>
      </c>
      <c r="J7384" t="s">
        <v>13140</v>
      </c>
      <c r="K7384" t="s">
        <v>13061</v>
      </c>
      <c r="L7384" t="s">
        <v>53</v>
      </c>
      <c r="N7384" t="s">
        <v>13503</v>
      </c>
      <c r="P7384" t="s">
        <v>55</v>
      </c>
      <c r="R7384" t="s">
        <v>56</v>
      </c>
      <c r="T7384" t="s">
        <v>13504</v>
      </c>
      <c r="U7384" t="s">
        <v>55</v>
      </c>
      <c r="V7384">
        <v>3</v>
      </c>
      <c r="W7384">
        <v>1</v>
      </c>
      <c r="X7384">
        <v>2</v>
      </c>
      <c r="Y7384">
        <v>0</v>
      </c>
      <c r="Z7384">
        <v>2</v>
      </c>
      <c r="AA7384">
        <v>356.15</v>
      </c>
      <c r="AB7384">
        <v>356.15</v>
      </c>
      <c r="AC7384">
        <v>356.15</v>
      </c>
      <c r="AD7384">
        <v>0</v>
      </c>
      <c r="AE7384">
        <v>0</v>
      </c>
      <c r="AF7384">
        <v>0</v>
      </c>
      <c r="AG7384">
        <v>0</v>
      </c>
      <c r="AH7384">
        <v>0</v>
      </c>
      <c r="AI7384">
        <v>64.11</v>
      </c>
      <c r="AJ7384">
        <v>356.15</v>
      </c>
      <c r="AK7384">
        <v>0</v>
      </c>
      <c r="AL7384" t="s">
        <v>53</v>
      </c>
      <c r="AM7384" t="s">
        <v>53</v>
      </c>
      <c r="AN7384" t="s">
        <v>13505</v>
      </c>
      <c r="AO7384" t="s">
        <v>53</v>
      </c>
      <c r="AP7384" t="s">
        <v>53</v>
      </c>
    </row>
    <row r="7385" spans="2:42" x14ac:dyDescent="0.2">
      <c r="B7385" t="s">
        <v>44</v>
      </c>
      <c r="C7385" t="str">
        <f>HYPERLINK("https://us2.cloudbeds.com/connect/8493803454333002#/reservations/182983581872272?display=3V3HGY41WF&amp;reservation_id=182983581872272", "3V3HGY41WF")</f>
        <v>3V3HGY41WF</v>
      </c>
      <c r="D7385" t="s">
        <v>45</v>
      </c>
      <c r="E7385" t="s">
        <v>105</v>
      </c>
      <c r="F7385" t="s">
        <v>47</v>
      </c>
      <c r="G7385" t="s">
        <v>48</v>
      </c>
      <c r="H7385" t="s">
        <v>3957</v>
      </c>
      <c r="I7385" t="s">
        <v>3975</v>
      </c>
      <c r="J7385" t="s">
        <v>9935</v>
      </c>
      <c r="K7385" t="s">
        <v>9936</v>
      </c>
      <c r="L7385" t="s">
        <v>53</v>
      </c>
      <c r="P7385" t="s">
        <v>55</v>
      </c>
      <c r="R7385" t="s">
        <v>56</v>
      </c>
      <c r="T7385" t="s">
        <v>13506</v>
      </c>
      <c r="U7385" t="s">
        <v>58</v>
      </c>
      <c r="V7385">
        <v>3</v>
      </c>
      <c r="W7385">
        <v>1</v>
      </c>
      <c r="X7385">
        <v>2</v>
      </c>
      <c r="Y7385">
        <v>0</v>
      </c>
      <c r="Z7385">
        <v>2</v>
      </c>
      <c r="AA7385">
        <v>321.64</v>
      </c>
      <c r="AB7385">
        <v>418.25</v>
      </c>
      <c r="AC7385">
        <v>283</v>
      </c>
      <c r="AD7385">
        <v>0</v>
      </c>
      <c r="AE7385">
        <v>38.64</v>
      </c>
      <c r="AF7385">
        <v>0</v>
      </c>
      <c r="AG7385">
        <v>0</v>
      </c>
      <c r="AH7385">
        <v>0</v>
      </c>
      <c r="AI7385">
        <v>0</v>
      </c>
      <c r="AJ7385">
        <v>321.64</v>
      </c>
      <c r="AK7385">
        <v>-96.61</v>
      </c>
      <c r="AL7385" t="s">
        <v>53</v>
      </c>
      <c r="AM7385" t="s">
        <v>53</v>
      </c>
      <c r="AN7385" t="s">
        <v>53</v>
      </c>
      <c r="AO7385" t="s">
        <v>53</v>
      </c>
      <c r="AP7385" t="s">
        <v>53</v>
      </c>
    </row>
    <row r="7386" spans="2:42" x14ac:dyDescent="0.2">
      <c r="B7386" t="s">
        <v>44</v>
      </c>
      <c r="C7386" t="str">
        <f>HYPERLINK("https://us2.cloudbeds.com/connect/8493803454333002#/reservations/9080486847460867?display=3V48E194N7&amp;reservation_id=9080486847460867", "3V48E194N7")</f>
        <v>3V48E194N7</v>
      </c>
      <c r="D7386" t="s">
        <v>45</v>
      </c>
      <c r="E7386" t="s">
        <v>98</v>
      </c>
      <c r="F7386" t="s">
        <v>86</v>
      </c>
      <c r="G7386" t="s">
        <v>48</v>
      </c>
      <c r="H7386" t="s">
        <v>49</v>
      </c>
      <c r="I7386" t="s">
        <v>62</v>
      </c>
      <c r="J7386" t="s">
        <v>12441</v>
      </c>
      <c r="K7386" t="s">
        <v>12421</v>
      </c>
      <c r="L7386" t="s">
        <v>53</v>
      </c>
      <c r="N7386" t="s">
        <v>13507</v>
      </c>
      <c r="P7386" t="s">
        <v>55</v>
      </c>
      <c r="R7386" t="s">
        <v>56</v>
      </c>
      <c r="T7386" t="s">
        <v>13508</v>
      </c>
      <c r="U7386" t="s">
        <v>55</v>
      </c>
      <c r="V7386">
        <v>2</v>
      </c>
      <c r="W7386">
        <v>1</v>
      </c>
      <c r="X7386">
        <v>4</v>
      </c>
      <c r="Y7386">
        <v>0</v>
      </c>
      <c r="Z7386">
        <v>4</v>
      </c>
      <c r="AA7386">
        <v>307</v>
      </c>
      <c r="AB7386">
        <v>307</v>
      </c>
      <c r="AC7386">
        <v>307</v>
      </c>
      <c r="AD7386">
        <v>0</v>
      </c>
      <c r="AE7386">
        <v>0</v>
      </c>
      <c r="AF7386">
        <v>0</v>
      </c>
      <c r="AG7386">
        <v>0</v>
      </c>
      <c r="AH7386">
        <v>0</v>
      </c>
      <c r="AI7386">
        <v>55.26</v>
      </c>
      <c r="AJ7386">
        <v>307</v>
      </c>
      <c r="AK7386">
        <v>0</v>
      </c>
      <c r="AL7386" t="s">
        <v>53</v>
      </c>
      <c r="AM7386" t="s">
        <v>53</v>
      </c>
      <c r="AN7386" t="s">
        <v>13509</v>
      </c>
      <c r="AO7386" t="s">
        <v>53</v>
      </c>
      <c r="AP7386" t="s">
        <v>53</v>
      </c>
    </row>
    <row r="7387" spans="2:42" x14ac:dyDescent="0.2">
      <c r="B7387" t="s">
        <v>44</v>
      </c>
      <c r="C7387" t="str">
        <f>HYPERLINK("https://us2.cloudbeds.com/connect/8493803454333002#/reservations/9080486847461576?display=3V53A6VRRW&amp;reservation_id=9080486847461576", "3V53A6VRRW")</f>
        <v>3V53A6VRRW</v>
      </c>
      <c r="D7387" t="s">
        <v>45</v>
      </c>
      <c r="E7387" t="s">
        <v>155</v>
      </c>
      <c r="F7387" t="s">
        <v>86</v>
      </c>
      <c r="G7387" t="s">
        <v>48</v>
      </c>
      <c r="H7387" t="s">
        <v>49</v>
      </c>
      <c r="I7387" t="s">
        <v>8964</v>
      </c>
      <c r="J7387" t="s">
        <v>11067</v>
      </c>
      <c r="K7387" t="s">
        <v>11068</v>
      </c>
      <c r="L7387" t="s">
        <v>53</v>
      </c>
      <c r="N7387" t="s">
        <v>13510</v>
      </c>
      <c r="P7387" t="s">
        <v>55</v>
      </c>
      <c r="R7387" t="s">
        <v>53</v>
      </c>
      <c r="T7387" t="s">
        <v>13511</v>
      </c>
      <c r="U7387" t="s">
        <v>55</v>
      </c>
      <c r="V7387">
        <v>1</v>
      </c>
      <c r="W7387">
        <v>1</v>
      </c>
      <c r="X7387">
        <v>3</v>
      </c>
      <c r="Y7387">
        <v>0</v>
      </c>
      <c r="Z7387">
        <v>3</v>
      </c>
      <c r="AA7387">
        <v>0</v>
      </c>
      <c r="AB7387">
        <v>0</v>
      </c>
      <c r="AC7387">
        <v>113</v>
      </c>
      <c r="AD7387">
        <v>0</v>
      </c>
      <c r="AE7387">
        <v>0</v>
      </c>
      <c r="AF7387">
        <v>0</v>
      </c>
      <c r="AG7387">
        <v>0</v>
      </c>
      <c r="AH7387">
        <v>0</v>
      </c>
      <c r="AI7387">
        <v>16.95</v>
      </c>
      <c r="AJ7387">
        <v>113</v>
      </c>
      <c r="AK7387">
        <v>113</v>
      </c>
      <c r="AL7387" t="s">
        <v>53</v>
      </c>
      <c r="AM7387" t="s">
        <v>53</v>
      </c>
      <c r="AN7387" t="s">
        <v>53</v>
      </c>
      <c r="AO7387" t="s">
        <v>53</v>
      </c>
      <c r="AP7387" t="s">
        <v>53</v>
      </c>
    </row>
    <row r="7388" spans="2:42" x14ac:dyDescent="0.2">
      <c r="B7388" t="s">
        <v>44</v>
      </c>
      <c r="C7388" t="str">
        <f>HYPERLINK("https://us2.cloudbeds.com/connect/8493803454333002#/reservations/9080486847461587?display=3V53KJZKPA&amp;reservation_id=9080486847461587", "3V53KJZKPA")</f>
        <v>3V53KJZKPA</v>
      </c>
      <c r="D7388" t="s">
        <v>45</v>
      </c>
      <c r="E7388" t="s">
        <v>185</v>
      </c>
      <c r="F7388" t="s">
        <v>47</v>
      </c>
      <c r="G7388" t="s">
        <v>48</v>
      </c>
      <c r="H7388" t="s">
        <v>49</v>
      </c>
      <c r="I7388" t="s">
        <v>8964</v>
      </c>
      <c r="J7388" t="s">
        <v>13140</v>
      </c>
      <c r="K7388" t="s">
        <v>12421</v>
      </c>
      <c r="L7388" t="s">
        <v>53</v>
      </c>
      <c r="N7388" t="s">
        <v>13512</v>
      </c>
      <c r="P7388" t="s">
        <v>55</v>
      </c>
      <c r="R7388" t="s">
        <v>53</v>
      </c>
      <c r="T7388" t="s">
        <v>13513</v>
      </c>
      <c r="U7388" t="s">
        <v>55</v>
      </c>
      <c r="V7388">
        <v>1</v>
      </c>
      <c r="W7388">
        <v>1</v>
      </c>
      <c r="X7388">
        <v>2</v>
      </c>
      <c r="Y7388">
        <v>0</v>
      </c>
      <c r="Z7388">
        <v>2</v>
      </c>
      <c r="AA7388">
        <v>0</v>
      </c>
      <c r="AB7388">
        <v>0</v>
      </c>
      <c r="AC7388">
        <v>138</v>
      </c>
      <c r="AD7388">
        <v>0</v>
      </c>
      <c r="AE7388">
        <v>0</v>
      </c>
      <c r="AF7388">
        <v>0</v>
      </c>
      <c r="AG7388">
        <v>0</v>
      </c>
      <c r="AH7388">
        <v>0</v>
      </c>
      <c r="AI7388">
        <v>20.7</v>
      </c>
      <c r="AJ7388">
        <v>138</v>
      </c>
      <c r="AK7388">
        <v>138</v>
      </c>
      <c r="AL7388" t="s">
        <v>53</v>
      </c>
      <c r="AM7388" t="s">
        <v>53</v>
      </c>
      <c r="AN7388" t="s">
        <v>13514</v>
      </c>
      <c r="AO7388" t="s">
        <v>53</v>
      </c>
      <c r="AP7388" t="s">
        <v>53</v>
      </c>
    </row>
    <row r="7389" spans="2:42" x14ac:dyDescent="0.2">
      <c r="B7389" t="s">
        <v>44</v>
      </c>
      <c r="C7389" t="str">
        <f>HYPERLINK("https://us2.cloudbeds.com/connect/8493803454333002#/reservations/9080486847465993?display=3VA4A6113W&amp;reservation_id=9080486847465993", "3VA4A6113W")</f>
        <v>3VA4A6113W</v>
      </c>
      <c r="D7389" t="s">
        <v>45</v>
      </c>
      <c r="E7389" t="s">
        <v>128</v>
      </c>
      <c r="F7389" t="s">
        <v>86</v>
      </c>
      <c r="G7389" t="s">
        <v>48</v>
      </c>
      <c r="H7389" t="s">
        <v>49</v>
      </c>
      <c r="I7389" t="s">
        <v>8964</v>
      </c>
      <c r="J7389" t="s">
        <v>12531</v>
      </c>
      <c r="K7389" t="s">
        <v>11067</v>
      </c>
      <c r="L7389" t="s">
        <v>53</v>
      </c>
      <c r="N7389" t="s">
        <v>13515</v>
      </c>
      <c r="P7389" t="s">
        <v>55</v>
      </c>
      <c r="R7389" t="s">
        <v>53</v>
      </c>
      <c r="T7389" t="s">
        <v>13516</v>
      </c>
      <c r="U7389" t="s">
        <v>55</v>
      </c>
      <c r="V7389">
        <v>1</v>
      </c>
      <c r="W7389">
        <v>1</v>
      </c>
      <c r="X7389">
        <v>2</v>
      </c>
      <c r="Y7389">
        <v>0</v>
      </c>
      <c r="Z7389">
        <v>2</v>
      </c>
      <c r="AA7389">
        <v>0</v>
      </c>
      <c r="AB7389">
        <v>0</v>
      </c>
      <c r="AC7389">
        <v>113</v>
      </c>
      <c r="AD7389">
        <v>0</v>
      </c>
      <c r="AE7389">
        <v>0</v>
      </c>
      <c r="AF7389">
        <v>0</v>
      </c>
      <c r="AG7389">
        <v>0</v>
      </c>
      <c r="AH7389">
        <v>0</v>
      </c>
      <c r="AI7389">
        <v>16.95</v>
      </c>
      <c r="AJ7389">
        <v>113</v>
      </c>
      <c r="AK7389">
        <v>113</v>
      </c>
      <c r="AL7389" t="s">
        <v>53</v>
      </c>
      <c r="AM7389" t="s">
        <v>53</v>
      </c>
      <c r="AN7389" t="s">
        <v>13517</v>
      </c>
      <c r="AO7389" t="s">
        <v>53</v>
      </c>
      <c r="AP7389" t="s">
        <v>53</v>
      </c>
    </row>
    <row r="7390" spans="2:42" x14ac:dyDescent="0.2">
      <c r="B7390" t="s">
        <v>44</v>
      </c>
      <c r="C7390" t="str">
        <f>HYPERLINK("https://us2.cloudbeds.com/connect/8493803454333002#/reservations/9080486847467082?display=3VB4E09YVY&amp;reservation_id=9080486847467082", "3VB4E09YVY")</f>
        <v>3VB4E09YVY</v>
      </c>
      <c r="D7390" t="s">
        <v>45</v>
      </c>
      <c r="E7390" t="s">
        <v>105</v>
      </c>
      <c r="F7390" t="s">
        <v>47</v>
      </c>
      <c r="G7390" t="s">
        <v>48</v>
      </c>
      <c r="H7390" t="s">
        <v>49</v>
      </c>
      <c r="I7390" t="s">
        <v>62</v>
      </c>
      <c r="J7390" t="s">
        <v>12420</v>
      </c>
      <c r="K7390" t="s">
        <v>12441</v>
      </c>
      <c r="L7390" t="s">
        <v>53</v>
      </c>
      <c r="N7390" t="s">
        <v>13518</v>
      </c>
      <c r="P7390" t="s">
        <v>55</v>
      </c>
      <c r="R7390" t="s">
        <v>56</v>
      </c>
      <c r="T7390" t="s">
        <v>13519</v>
      </c>
      <c r="U7390" t="s">
        <v>55</v>
      </c>
      <c r="V7390">
        <v>1</v>
      </c>
      <c r="W7390">
        <v>1</v>
      </c>
      <c r="X7390">
        <v>1</v>
      </c>
      <c r="Y7390">
        <v>0</v>
      </c>
      <c r="Z7390">
        <v>1</v>
      </c>
      <c r="AA7390">
        <v>118.15</v>
      </c>
      <c r="AB7390">
        <v>118.15</v>
      </c>
      <c r="AC7390">
        <v>118.15</v>
      </c>
      <c r="AD7390">
        <v>0</v>
      </c>
      <c r="AE7390">
        <v>0</v>
      </c>
      <c r="AF7390">
        <v>0</v>
      </c>
      <c r="AG7390">
        <v>0</v>
      </c>
      <c r="AH7390">
        <v>0</v>
      </c>
      <c r="AI7390">
        <v>21.27</v>
      </c>
      <c r="AJ7390">
        <v>118.15</v>
      </c>
      <c r="AK7390">
        <v>0</v>
      </c>
      <c r="AL7390" t="s">
        <v>53</v>
      </c>
      <c r="AM7390" t="s">
        <v>53</v>
      </c>
      <c r="AN7390" t="s">
        <v>53</v>
      </c>
      <c r="AO7390" t="s">
        <v>53</v>
      </c>
      <c r="AP7390" t="s">
        <v>53</v>
      </c>
    </row>
    <row r="7391" spans="2:42" x14ac:dyDescent="0.2">
      <c r="B7391" t="s">
        <v>44</v>
      </c>
      <c r="C7391" t="str">
        <f>HYPERLINK("https://us2.cloudbeds.com/connect/8493803454333002#/reservations/183340090011894?display=3VBTX87J0N&amp;reservation_id=183340090011894", "3VBTX87J0N")</f>
        <v>3VBTX87J0N</v>
      </c>
      <c r="D7391" t="s">
        <v>45</v>
      </c>
      <c r="E7391" t="s">
        <v>46</v>
      </c>
      <c r="F7391" t="s">
        <v>47</v>
      </c>
      <c r="G7391" t="s">
        <v>48</v>
      </c>
      <c r="H7391" t="s">
        <v>3957</v>
      </c>
      <c r="I7391" t="s">
        <v>3975</v>
      </c>
      <c r="J7391" t="s">
        <v>13520</v>
      </c>
      <c r="K7391" t="s">
        <v>12566</v>
      </c>
      <c r="L7391" t="s">
        <v>53</v>
      </c>
      <c r="P7391" t="s">
        <v>55</v>
      </c>
      <c r="R7391" t="s">
        <v>56</v>
      </c>
      <c r="T7391" t="s">
        <v>13521</v>
      </c>
      <c r="U7391" t="s">
        <v>58</v>
      </c>
      <c r="V7391">
        <v>1</v>
      </c>
      <c r="W7391">
        <v>1</v>
      </c>
      <c r="X7391">
        <v>2</v>
      </c>
      <c r="Y7391">
        <v>0</v>
      </c>
      <c r="Z7391">
        <v>2</v>
      </c>
      <c r="AA7391">
        <v>323.32</v>
      </c>
      <c r="AB7391">
        <v>320.5</v>
      </c>
      <c r="AC7391">
        <v>85</v>
      </c>
      <c r="AD7391">
        <v>0</v>
      </c>
      <c r="AE7391">
        <v>12.46</v>
      </c>
      <c r="AF7391">
        <v>0</v>
      </c>
      <c r="AG7391">
        <v>0</v>
      </c>
      <c r="AH7391">
        <v>0</v>
      </c>
      <c r="AI7391">
        <v>0</v>
      </c>
      <c r="AJ7391">
        <v>97.46</v>
      </c>
      <c r="AK7391">
        <v>0</v>
      </c>
      <c r="AL7391" t="s">
        <v>53</v>
      </c>
      <c r="AM7391" t="s">
        <v>53</v>
      </c>
      <c r="AN7391" t="s">
        <v>53</v>
      </c>
      <c r="AO7391" t="s">
        <v>53</v>
      </c>
      <c r="AP7391" t="s">
        <v>53</v>
      </c>
    </row>
    <row r="7392" spans="2:42" x14ac:dyDescent="0.2">
      <c r="B7392" t="s">
        <v>44</v>
      </c>
      <c r="C7392" t="str">
        <f>HYPERLINK("https://us2.cloudbeds.com/connect/8493803454333002#/reservations/9080486847468039?display=3VC5TS6J3G&amp;reservation_id=9080486847468039", "3VC5TS6J3G")</f>
        <v>3VC5TS6J3G</v>
      </c>
      <c r="D7392" t="s">
        <v>45</v>
      </c>
      <c r="E7392" t="s">
        <v>406</v>
      </c>
      <c r="F7392" t="s">
        <v>61</v>
      </c>
      <c r="G7392" t="s">
        <v>48</v>
      </c>
      <c r="H7392" t="s">
        <v>49</v>
      </c>
      <c r="I7392" t="s">
        <v>50</v>
      </c>
      <c r="J7392" t="s">
        <v>12420</v>
      </c>
      <c r="K7392" t="s">
        <v>12441</v>
      </c>
      <c r="L7392" t="s">
        <v>53</v>
      </c>
      <c r="N7392" t="s">
        <v>13522</v>
      </c>
      <c r="P7392" t="s">
        <v>55</v>
      </c>
      <c r="R7392" t="s">
        <v>53</v>
      </c>
      <c r="T7392" t="s">
        <v>13523</v>
      </c>
      <c r="U7392" t="s">
        <v>58</v>
      </c>
      <c r="V7392">
        <v>1</v>
      </c>
      <c r="W7392">
        <v>1</v>
      </c>
      <c r="X7392">
        <v>2</v>
      </c>
      <c r="Y7392">
        <v>0</v>
      </c>
      <c r="Z7392">
        <v>2</v>
      </c>
      <c r="AA7392">
        <v>132.97</v>
      </c>
      <c r="AB7392">
        <v>132.97</v>
      </c>
      <c r="AC7392">
        <v>117</v>
      </c>
      <c r="AD7392">
        <v>0</v>
      </c>
      <c r="AE7392">
        <v>15.97</v>
      </c>
      <c r="AF7392">
        <v>0</v>
      </c>
      <c r="AG7392">
        <v>0</v>
      </c>
      <c r="AH7392">
        <v>0</v>
      </c>
      <c r="AI7392">
        <v>23.93</v>
      </c>
      <c r="AJ7392">
        <v>132.97</v>
      </c>
      <c r="AK7392">
        <v>0</v>
      </c>
      <c r="AL7392" t="s">
        <v>53</v>
      </c>
      <c r="AM7392" t="s">
        <v>53</v>
      </c>
      <c r="AN7392" t="s">
        <v>13524</v>
      </c>
      <c r="AO7392" t="s">
        <v>53</v>
      </c>
      <c r="AP7392" t="s">
        <v>53</v>
      </c>
    </row>
    <row r="7393" spans="2:42" x14ac:dyDescent="0.2">
      <c r="B7393" t="s">
        <v>44</v>
      </c>
      <c r="C7393" t="str">
        <f>HYPERLINK("https://us2.cloudbeds.com/connect/8493803454333002#/reservations/9080486847468151?display=3VCAZ49JYD&amp;reservation_id=9080486847468151", "3VCAZ49JYD")</f>
        <v>3VCAZ49JYD</v>
      </c>
      <c r="D7393" t="s">
        <v>45</v>
      </c>
      <c r="E7393" t="s">
        <v>85</v>
      </c>
      <c r="F7393" t="s">
        <v>86</v>
      </c>
      <c r="G7393" t="s">
        <v>48</v>
      </c>
      <c r="H7393" t="s">
        <v>49</v>
      </c>
      <c r="I7393" t="s">
        <v>8964</v>
      </c>
      <c r="J7393" t="s">
        <v>13525</v>
      </c>
      <c r="K7393" t="s">
        <v>12117</v>
      </c>
      <c r="L7393" t="s">
        <v>53</v>
      </c>
      <c r="N7393" t="s">
        <v>13526</v>
      </c>
      <c r="P7393" t="s">
        <v>55</v>
      </c>
      <c r="R7393" t="s">
        <v>53</v>
      </c>
      <c r="T7393" t="s">
        <v>13527</v>
      </c>
      <c r="U7393" t="s">
        <v>55</v>
      </c>
      <c r="V7393">
        <v>3</v>
      </c>
      <c r="W7393">
        <v>1</v>
      </c>
      <c r="X7393">
        <v>2</v>
      </c>
      <c r="Y7393">
        <v>1</v>
      </c>
      <c r="Z7393">
        <v>3</v>
      </c>
      <c r="AA7393">
        <v>0</v>
      </c>
      <c r="AB7393">
        <v>0</v>
      </c>
      <c r="AC7393">
        <v>352</v>
      </c>
      <c r="AD7393">
        <v>0</v>
      </c>
      <c r="AE7393">
        <v>0</v>
      </c>
      <c r="AF7393">
        <v>0</v>
      </c>
      <c r="AG7393">
        <v>0</v>
      </c>
      <c r="AH7393">
        <v>0</v>
      </c>
      <c r="AI7393">
        <v>52.8</v>
      </c>
      <c r="AJ7393">
        <v>352</v>
      </c>
      <c r="AK7393">
        <v>352</v>
      </c>
      <c r="AL7393" t="s">
        <v>53</v>
      </c>
      <c r="AM7393" t="s">
        <v>53</v>
      </c>
      <c r="AN7393" t="s">
        <v>13528</v>
      </c>
      <c r="AO7393" t="s">
        <v>53</v>
      </c>
      <c r="AP7393" t="s">
        <v>53</v>
      </c>
    </row>
    <row r="7394" spans="2:42" x14ac:dyDescent="0.2">
      <c r="B7394" t="s">
        <v>44</v>
      </c>
      <c r="C7394" t="str">
        <f>HYPERLINK("https://us2.cloudbeds.com/connect/8493803454333002#/reservations/9080486847468243?display=3VCE4Z7PCH&amp;reservation_id=9080486847468243", "3VCE4Z7PCH")</f>
        <v>3VCE4Z7PCH</v>
      </c>
      <c r="D7394" t="s">
        <v>45</v>
      </c>
      <c r="E7394" t="s">
        <v>305</v>
      </c>
      <c r="F7394" t="s">
        <v>61</v>
      </c>
      <c r="G7394" t="s">
        <v>48</v>
      </c>
      <c r="H7394" t="s">
        <v>49</v>
      </c>
      <c r="I7394" t="s">
        <v>62</v>
      </c>
      <c r="J7394" t="s">
        <v>12420</v>
      </c>
      <c r="K7394" t="s">
        <v>12441</v>
      </c>
      <c r="L7394" t="s">
        <v>53</v>
      </c>
      <c r="N7394" t="s">
        <v>13529</v>
      </c>
      <c r="P7394" t="s">
        <v>55</v>
      </c>
      <c r="R7394" t="s">
        <v>56</v>
      </c>
      <c r="T7394" t="s">
        <v>13530</v>
      </c>
      <c r="U7394" t="s">
        <v>55</v>
      </c>
      <c r="V7394">
        <v>1</v>
      </c>
      <c r="W7394">
        <v>1</v>
      </c>
      <c r="X7394">
        <v>2</v>
      </c>
      <c r="Y7394">
        <v>0</v>
      </c>
      <c r="Z7394">
        <v>2</v>
      </c>
      <c r="AA7394">
        <v>110.5</v>
      </c>
      <c r="AB7394">
        <v>110.5</v>
      </c>
      <c r="AC7394">
        <v>110.5</v>
      </c>
      <c r="AD7394">
        <v>0</v>
      </c>
      <c r="AE7394">
        <v>0</v>
      </c>
      <c r="AF7394">
        <v>0</v>
      </c>
      <c r="AG7394">
        <v>0</v>
      </c>
      <c r="AH7394">
        <v>0</v>
      </c>
      <c r="AI7394">
        <v>19.89</v>
      </c>
      <c r="AJ7394">
        <v>110.5</v>
      </c>
      <c r="AK7394">
        <v>0</v>
      </c>
      <c r="AL7394" t="s">
        <v>53</v>
      </c>
      <c r="AM7394" t="s">
        <v>53</v>
      </c>
      <c r="AN7394" t="s">
        <v>53</v>
      </c>
      <c r="AO7394" t="s">
        <v>53</v>
      </c>
      <c r="AP7394" t="s">
        <v>53</v>
      </c>
    </row>
    <row r="7395" spans="2:42" x14ac:dyDescent="0.2">
      <c r="B7395" t="s">
        <v>44</v>
      </c>
      <c r="C7395" t="str">
        <f>HYPERLINK("https://us2.cloudbeds.com/connect/8493803454333002#/reservations/9080486847468863?display=3VD51633BF&amp;reservation_id=9080486847468863", "3VD51633BF")</f>
        <v>3VD51633BF</v>
      </c>
      <c r="D7395" t="s">
        <v>45</v>
      </c>
      <c r="E7395" t="s">
        <v>138</v>
      </c>
      <c r="F7395" t="s">
        <v>70</v>
      </c>
      <c r="G7395" t="s">
        <v>48</v>
      </c>
      <c r="H7395" t="s">
        <v>49</v>
      </c>
      <c r="I7395" t="s">
        <v>62</v>
      </c>
      <c r="J7395" t="s">
        <v>13531</v>
      </c>
      <c r="K7395" t="s">
        <v>13532</v>
      </c>
      <c r="L7395" t="s">
        <v>53</v>
      </c>
      <c r="N7395" t="s">
        <v>13533</v>
      </c>
      <c r="P7395" t="s">
        <v>55</v>
      </c>
      <c r="R7395" t="s">
        <v>56</v>
      </c>
      <c r="T7395" t="s">
        <v>13534</v>
      </c>
      <c r="U7395" t="s">
        <v>55</v>
      </c>
      <c r="V7395">
        <v>1</v>
      </c>
      <c r="W7395">
        <v>1</v>
      </c>
      <c r="X7395">
        <v>2</v>
      </c>
      <c r="Y7395">
        <v>0</v>
      </c>
      <c r="Z7395">
        <v>2</v>
      </c>
      <c r="AA7395">
        <v>68.849999999999994</v>
      </c>
      <c r="AB7395">
        <v>68.849999999999994</v>
      </c>
      <c r="AC7395">
        <v>68.849999999999994</v>
      </c>
      <c r="AD7395">
        <v>0</v>
      </c>
      <c r="AE7395">
        <v>0</v>
      </c>
      <c r="AF7395">
        <v>0</v>
      </c>
      <c r="AG7395">
        <v>0</v>
      </c>
      <c r="AH7395">
        <v>0</v>
      </c>
      <c r="AI7395">
        <v>12.39</v>
      </c>
      <c r="AJ7395">
        <v>68.849999999999994</v>
      </c>
      <c r="AK7395">
        <v>0</v>
      </c>
      <c r="AL7395" t="s">
        <v>53</v>
      </c>
      <c r="AM7395" t="s">
        <v>53</v>
      </c>
      <c r="AN7395" t="s">
        <v>53</v>
      </c>
      <c r="AO7395" t="s">
        <v>53</v>
      </c>
      <c r="AP7395" t="s">
        <v>53</v>
      </c>
    </row>
    <row r="7396" spans="2:42" x14ac:dyDescent="0.2">
      <c r="B7396" t="s">
        <v>44</v>
      </c>
      <c r="C7396" t="str">
        <f>HYPERLINK("https://us2.cloudbeds.com/connect/8493803454333002#/reservations/9080486847468871?display=3VD62W4XY6&amp;reservation_id=9080486847468871", "3VD62W4XY6")</f>
        <v>3VD62W4XY6</v>
      </c>
      <c r="D7396" t="s">
        <v>45</v>
      </c>
      <c r="E7396" t="s">
        <v>185</v>
      </c>
      <c r="F7396" t="s">
        <v>47</v>
      </c>
      <c r="G7396" t="s">
        <v>48</v>
      </c>
      <c r="H7396" t="s">
        <v>49</v>
      </c>
      <c r="I7396" t="s">
        <v>62</v>
      </c>
      <c r="J7396" t="s">
        <v>12420</v>
      </c>
      <c r="K7396" t="s">
        <v>12441</v>
      </c>
      <c r="L7396" t="s">
        <v>53</v>
      </c>
      <c r="N7396" t="s">
        <v>13535</v>
      </c>
      <c r="P7396" t="s">
        <v>55</v>
      </c>
      <c r="R7396" t="s">
        <v>56</v>
      </c>
      <c r="T7396" t="s">
        <v>13536</v>
      </c>
      <c r="U7396" t="s">
        <v>55</v>
      </c>
      <c r="V7396">
        <v>1</v>
      </c>
      <c r="W7396">
        <v>1</v>
      </c>
      <c r="X7396">
        <v>2</v>
      </c>
      <c r="Y7396">
        <v>0</v>
      </c>
      <c r="Z7396">
        <v>2</v>
      </c>
      <c r="AA7396">
        <v>118.15</v>
      </c>
      <c r="AB7396">
        <v>118.15</v>
      </c>
      <c r="AC7396">
        <v>118.15</v>
      </c>
      <c r="AD7396">
        <v>0</v>
      </c>
      <c r="AE7396">
        <v>0</v>
      </c>
      <c r="AF7396">
        <v>0</v>
      </c>
      <c r="AG7396">
        <v>0</v>
      </c>
      <c r="AH7396">
        <v>0</v>
      </c>
      <c r="AI7396">
        <v>21.27</v>
      </c>
      <c r="AJ7396">
        <v>118.15</v>
      </c>
      <c r="AK7396">
        <v>0</v>
      </c>
      <c r="AL7396" t="s">
        <v>53</v>
      </c>
      <c r="AM7396" t="s">
        <v>53</v>
      </c>
      <c r="AN7396" t="s">
        <v>53</v>
      </c>
      <c r="AO7396" t="s">
        <v>53</v>
      </c>
      <c r="AP7396" t="s">
        <v>53</v>
      </c>
    </row>
    <row r="7397" spans="2:42" x14ac:dyDescent="0.2">
      <c r="B7397" t="s">
        <v>44</v>
      </c>
      <c r="C7397" t="str">
        <f>HYPERLINK("https://us2.cloudbeds.com/connect/8493803454333002#/reservations/9080486847468877?display=3VD5P05SGQ&amp;reservation_id=9080486847468877", "3VD5P05SGQ")</f>
        <v>3VD5P05SGQ</v>
      </c>
      <c r="D7397" t="s">
        <v>45</v>
      </c>
      <c r="E7397" t="s">
        <v>138</v>
      </c>
      <c r="F7397" t="s">
        <v>70</v>
      </c>
      <c r="G7397" t="s">
        <v>48</v>
      </c>
      <c r="H7397" t="s">
        <v>49</v>
      </c>
      <c r="I7397" t="s">
        <v>62</v>
      </c>
      <c r="J7397" t="s">
        <v>13537</v>
      </c>
      <c r="K7397" t="s">
        <v>13538</v>
      </c>
      <c r="L7397" t="s">
        <v>53</v>
      </c>
      <c r="N7397" t="s">
        <v>13539</v>
      </c>
      <c r="P7397" t="s">
        <v>55</v>
      </c>
      <c r="R7397" t="s">
        <v>56</v>
      </c>
      <c r="T7397" t="s">
        <v>13540</v>
      </c>
      <c r="U7397" t="s">
        <v>55</v>
      </c>
      <c r="V7397">
        <v>1</v>
      </c>
      <c r="W7397">
        <v>1</v>
      </c>
      <c r="X7397">
        <v>2</v>
      </c>
      <c r="Y7397">
        <v>0</v>
      </c>
      <c r="Z7397">
        <v>2</v>
      </c>
      <c r="AA7397">
        <v>62.05</v>
      </c>
      <c r="AB7397">
        <v>62.05</v>
      </c>
      <c r="AC7397">
        <v>62.05</v>
      </c>
      <c r="AD7397">
        <v>0</v>
      </c>
      <c r="AE7397">
        <v>0</v>
      </c>
      <c r="AF7397">
        <v>0</v>
      </c>
      <c r="AG7397">
        <v>0</v>
      </c>
      <c r="AH7397">
        <v>0</v>
      </c>
      <c r="AI7397">
        <v>11.17</v>
      </c>
      <c r="AJ7397">
        <v>62.05</v>
      </c>
      <c r="AK7397">
        <v>0</v>
      </c>
      <c r="AL7397" t="s">
        <v>53</v>
      </c>
      <c r="AM7397" t="s">
        <v>53</v>
      </c>
      <c r="AN7397" t="s">
        <v>53</v>
      </c>
      <c r="AO7397" t="s">
        <v>53</v>
      </c>
      <c r="AP7397" t="s">
        <v>53</v>
      </c>
    </row>
    <row r="7398" spans="2:42" x14ac:dyDescent="0.2">
      <c r="B7398" t="s">
        <v>44</v>
      </c>
      <c r="C7398" t="str">
        <f>HYPERLINK("https://us2.cloudbeds.com/connect/8493803454333002#/reservations/9080486847469402?display=3VDTFTKEE5&amp;reservation_id=9080486847469402", "3VDTFTKEE5")</f>
        <v>3VDTFTKEE5</v>
      </c>
      <c r="D7398" t="s">
        <v>45</v>
      </c>
      <c r="E7398" t="s">
        <v>105</v>
      </c>
      <c r="F7398" t="s">
        <v>47</v>
      </c>
      <c r="G7398" t="s">
        <v>48</v>
      </c>
      <c r="H7398" t="s">
        <v>49</v>
      </c>
      <c r="I7398" t="s">
        <v>62</v>
      </c>
      <c r="J7398" t="s">
        <v>13538</v>
      </c>
      <c r="K7398" t="s">
        <v>9580</v>
      </c>
      <c r="L7398" t="s">
        <v>53</v>
      </c>
      <c r="N7398" t="s">
        <v>13541</v>
      </c>
      <c r="P7398" t="s">
        <v>55</v>
      </c>
      <c r="R7398" t="s">
        <v>56</v>
      </c>
      <c r="T7398" t="s">
        <v>13542</v>
      </c>
      <c r="U7398" t="s">
        <v>55</v>
      </c>
      <c r="V7398">
        <v>3</v>
      </c>
      <c r="W7398">
        <v>1</v>
      </c>
      <c r="X7398">
        <v>2</v>
      </c>
      <c r="Y7398">
        <v>0</v>
      </c>
      <c r="Z7398">
        <v>2</v>
      </c>
      <c r="AA7398">
        <v>226.1</v>
      </c>
      <c r="AB7398">
        <v>226.1</v>
      </c>
      <c r="AC7398">
        <v>226.1</v>
      </c>
      <c r="AD7398">
        <v>0</v>
      </c>
      <c r="AE7398">
        <v>0</v>
      </c>
      <c r="AF7398">
        <v>0</v>
      </c>
      <c r="AG7398">
        <v>0</v>
      </c>
      <c r="AH7398">
        <v>0</v>
      </c>
      <c r="AI7398">
        <v>40.700000000000003</v>
      </c>
      <c r="AJ7398">
        <v>226.1</v>
      </c>
      <c r="AK7398">
        <v>0</v>
      </c>
      <c r="AL7398" t="s">
        <v>53</v>
      </c>
      <c r="AM7398" t="s">
        <v>53</v>
      </c>
      <c r="AN7398" t="s">
        <v>53</v>
      </c>
      <c r="AO7398" t="s">
        <v>53</v>
      </c>
      <c r="AP7398" t="s">
        <v>53</v>
      </c>
    </row>
    <row r="7399" spans="2:42" x14ac:dyDescent="0.2">
      <c r="B7399" t="s">
        <v>44</v>
      </c>
      <c r="C7399" t="str">
        <f>HYPERLINK("https://us2.cloudbeds.com/connect/8493803454333002#/reservations/9080486847469621?display=3VE8M248B2&amp;reservation_id=9080486847469621", "3VE8M248B2")</f>
        <v>3VE8M248B2</v>
      </c>
      <c r="D7399" t="s">
        <v>45</v>
      </c>
      <c r="E7399" t="s">
        <v>155</v>
      </c>
      <c r="F7399" t="s">
        <v>86</v>
      </c>
      <c r="G7399" t="s">
        <v>48</v>
      </c>
      <c r="H7399" t="s">
        <v>49</v>
      </c>
      <c r="I7399" t="s">
        <v>8964</v>
      </c>
      <c r="J7399" t="s">
        <v>13061</v>
      </c>
      <c r="K7399" t="s">
        <v>13329</v>
      </c>
      <c r="L7399" t="s">
        <v>53</v>
      </c>
      <c r="N7399" t="s">
        <v>13543</v>
      </c>
      <c r="P7399" t="s">
        <v>55</v>
      </c>
      <c r="R7399" t="s">
        <v>53</v>
      </c>
      <c r="T7399" t="s">
        <v>13544</v>
      </c>
      <c r="U7399" t="s">
        <v>55</v>
      </c>
      <c r="V7399">
        <v>1</v>
      </c>
      <c r="W7399">
        <v>1</v>
      </c>
      <c r="X7399">
        <v>2</v>
      </c>
      <c r="Y7399">
        <v>0</v>
      </c>
      <c r="Z7399">
        <v>2</v>
      </c>
      <c r="AA7399">
        <v>0</v>
      </c>
      <c r="AB7399">
        <v>0</v>
      </c>
      <c r="AC7399">
        <v>113</v>
      </c>
      <c r="AD7399">
        <v>0</v>
      </c>
      <c r="AE7399">
        <v>0</v>
      </c>
      <c r="AF7399">
        <v>0</v>
      </c>
      <c r="AG7399">
        <v>0</v>
      </c>
      <c r="AH7399">
        <v>0</v>
      </c>
      <c r="AI7399">
        <v>16.95</v>
      </c>
      <c r="AJ7399">
        <v>113</v>
      </c>
      <c r="AK7399">
        <v>113</v>
      </c>
      <c r="AL7399" t="s">
        <v>53</v>
      </c>
      <c r="AM7399" t="s">
        <v>53</v>
      </c>
      <c r="AN7399" t="s">
        <v>13545</v>
      </c>
      <c r="AO7399" t="s">
        <v>53</v>
      </c>
      <c r="AP7399" t="s">
        <v>53</v>
      </c>
    </row>
    <row r="7400" spans="2:42" x14ac:dyDescent="0.2">
      <c r="B7400" t="s">
        <v>44</v>
      </c>
      <c r="C7400" t="str">
        <f>HYPERLINK("https://us2.cloudbeds.com/connect/8493803454333002#/reservations/183491522785481?display=3VFEQNBZ2J&amp;reservation_id=183491522785481", "3VFEQNBZ2J")</f>
        <v>3VFEQNBZ2J</v>
      </c>
      <c r="D7400" t="s">
        <v>45</v>
      </c>
      <c r="E7400" t="s">
        <v>165</v>
      </c>
      <c r="F7400" t="s">
        <v>61</v>
      </c>
      <c r="G7400" t="s">
        <v>48</v>
      </c>
      <c r="H7400" t="s">
        <v>3957</v>
      </c>
      <c r="I7400" t="s">
        <v>3975</v>
      </c>
      <c r="J7400" t="s">
        <v>12441</v>
      </c>
      <c r="K7400" t="s">
        <v>13140</v>
      </c>
      <c r="L7400" t="s">
        <v>53</v>
      </c>
      <c r="P7400" t="s">
        <v>55</v>
      </c>
      <c r="R7400" t="s">
        <v>56</v>
      </c>
      <c r="T7400" t="s">
        <v>13546</v>
      </c>
      <c r="U7400" t="s">
        <v>58</v>
      </c>
      <c r="V7400">
        <v>1</v>
      </c>
      <c r="W7400">
        <v>1</v>
      </c>
      <c r="X7400">
        <v>2</v>
      </c>
      <c r="Y7400">
        <v>0</v>
      </c>
      <c r="Z7400">
        <v>2</v>
      </c>
      <c r="AA7400">
        <v>178.43</v>
      </c>
      <c r="AB7400">
        <v>178.43</v>
      </c>
      <c r="AC7400">
        <v>157</v>
      </c>
      <c r="AD7400">
        <v>0</v>
      </c>
      <c r="AE7400">
        <v>21.43</v>
      </c>
      <c r="AF7400">
        <v>0</v>
      </c>
      <c r="AG7400">
        <v>0</v>
      </c>
      <c r="AH7400">
        <v>0</v>
      </c>
      <c r="AI7400">
        <v>0</v>
      </c>
      <c r="AJ7400">
        <v>178.43</v>
      </c>
      <c r="AK7400">
        <v>0</v>
      </c>
      <c r="AL7400" t="s">
        <v>53</v>
      </c>
      <c r="AM7400" t="s">
        <v>53</v>
      </c>
      <c r="AN7400" t="s">
        <v>13547</v>
      </c>
      <c r="AO7400" t="s">
        <v>53</v>
      </c>
      <c r="AP7400" t="s">
        <v>53</v>
      </c>
    </row>
    <row r="7401" spans="2:42" x14ac:dyDescent="0.2">
      <c r="B7401" t="s">
        <v>44</v>
      </c>
      <c r="C7401" t="str">
        <f>HYPERLINK("https://us2.cloudbeds.com/connect/8493803454333002#/reservations/9080486847471081?display=3VGJWVE8KH&amp;reservation_id=9080486847471081", "3VGJWVE8KH")</f>
        <v>3VGJWVE8KH</v>
      </c>
      <c r="D7401" t="s">
        <v>45</v>
      </c>
      <c r="E7401" t="s">
        <v>155</v>
      </c>
      <c r="F7401" t="s">
        <v>86</v>
      </c>
      <c r="G7401" t="s">
        <v>48</v>
      </c>
      <c r="H7401" t="s">
        <v>49</v>
      </c>
      <c r="I7401" t="s">
        <v>50</v>
      </c>
      <c r="J7401" t="s">
        <v>13060</v>
      </c>
      <c r="K7401" t="s">
        <v>13061</v>
      </c>
      <c r="L7401" t="s">
        <v>53</v>
      </c>
      <c r="N7401" t="s">
        <v>13548</v>
      </c>
      <c r="P7401" t="s">
        <v>55</v>
      </c>
      <c r="R7401" t="s">
        <v>53</v>
      </c>
      <c r="T7401" t="s">
        <v>13549</v>
      </c>
      <c r="U7401" t="s">
        <v>58</v>
      </c>
      <c r="V7401">
        <v>1</v>
      </c>
      <c r="W7401">
        <v>1</v>
      </c>
      <c r="X7401">
        <v>2</v>
      </c>
      <c r="Y7401">
        <v>0</v>
      </c>
      <c r="Z7401">
        <v>2</v>
      </c>
      <c r="AA7401">
        <v>112.52</v>
      </c>
      <c r="AB7401">
        <v>112.52</v>
      </c>
      <c r="AC7401">
        <v>99</v>
      </c>
      <c r="AD7401">
        <v>0</v>
      </c>
      <c r="AE7401">
        <v>13.52</v>
      </c>
      <c r="AF7401">
        <v>0</v>
      </c>
      <c r="AG7401">
        <v>0</v>
      </c>
      <c r="AH7401">
        <v>0</v>
      </c>
      <c r="AI7401">
        <v>20.25</v>
      </c>
      <c r="AJ7401">
        <v>112.52</v>
      </c>
      <c r="AK7401">
        <v>0</v>
      </c>
      <c r="AL7401" t="s">
        <v>53</v>
      </c>
      <c r="AM7401" t="s">
        <v>53</v>
      </c>
      <c r="AN7401" t="s">
        <v>53</v>
      </c>
      <c r="AO7401" t="s">
        <v>53</v>
      </c>
      <c r="AP7401" t="s">
        <v>53</v>
      </c>
    </row>
    <row r="7402" spans="2:42" x14ac:dyDescent="0.2">
      <c r="B7402" t="s">
        <v>44</v>
      </c>
      <c r="C7402" t="str">
        <f>HYPERLINK("https://us2.cloudbeds.com/connect/8493803454333002#/reservations/9080486847471900?display=3VHF5SGAFC&amp;reservation_id=9080486847471900", "3VHF5SGAFC")</f>
        <v>3VHF5SGAFC</v>
      </c>
      <c r="D7402" t="s">
        <v>45</v>
      </c>
      <c r="E7402" t="s">
        <v>128</v>
      </c>
      <c r="F7402" t="s">
        <v>86</v>
      </c>
      <c r="G7402" t="s">
        <v>48</v>
      </c>
      <c r="H7402" t="s">
        <v>49</v>
      </c>
      <c r="I7402" t="s">
        <v>62</v>
      </c>
      <c r="J7402" t="s">
        <v>12441</v>
      </c>
      <c r="K7402" t="s">
        <v>13140</v>
      </c>
      <c r="L7402" t="s">
        <v>53</v>
      </c>
      <c r="N7402" t="s">
        <v>13550</v>
      </c>
      <c r="P7402" t="s">
        <v>55</v>
      </c>
      <c r="R7402" t="s">
        <v>56</v>
      </c>
      <c r="T7402" t="s">
        <v>13551</v>
      </c>
      <c r="U7402" t="s">
        <v>55</v>
      </c>
      <c r="V7402">
        <v>1</v>
      </c>
      <c r="W7402">
        <v>1</v>
      </c>
      <c r="X7402">
        <v>2</v>
      </c>
      <c r="Y7402">
        <v>0</v>
      </c>
      <c r="Z7402">
        <v>2</v>
      </c>
      <c r="AA7402">
        <v>116.45</v>
      </c>
      <c r="AB7402">
        <v>116.45</v>
      </c>
      <c r="AC7402">
        <v>116.45</v>
      </c>
      <c r="AD7402">
        <v>0</v>
      </c>
      <c r="AE7402">
        <v>0</v>
      </c>
      <c r="AF7402">
        <v>0</v>
      </c>
      <c r="AG7402">
        <v>0</v>
      </c>
      <c r="AH7402">
        <v>0</v>
      </c>
      <c r="AI7402">
        <v>20.96</v>
      </c>
      <c r="AJ7402">
        <v>116.45</v>
      </c>
      <c r="AK7402">
        <v>0</v>
      </c>
      <c r="AL7402" t="s">
        <v>53</v>
      </c>
      <c r="AM7402" t="s">
        <v>53</v>
      </c>
      <c r="AN7402" t="s">
        <v>53</v>
      </c>
      <c r="AO7402" t="s">
        <v>53</v>
      </c>
      <c r="AP7402" t="s">
        <v>53</v>
      </c>
    </row>
    <row r="7403" spans="2:42" x14ac:dyDescent="0.2">
      <c r="B7403" t="s">
        <v>44</v>
      </c>
      <c r="C7403" t="str">
        <f>HYPERLINK("https://us2.cloudbeds.com/connect/8493803454333002#/reservations/9080486847472164?display=3VHNS70KS5&amp;reservation_id=9080486847472164", "3VHNS70KS5")</f>
        <v>3VHNS70KS5</v>
      </c>
      <c r="D7403" t="s">
        <v>45</v>
      </c>
      <c r="E7403" t="s">
        <v>113</v>
      </c>
      <c r="F7403" t="s">
        <v>61</v>
      </c>
      <c r="G7403" t="s">
        <v>48</v>
      </c>
      <c r="H7403" t="s">
        <v>49</v>
      </c>
      <c r="I7403" t="s">
        <v>50</v>
      </c>
      <c r="J7403" t="s">
        <v>12441</v>
      </c>
      <c r="K7403" t="s">
        <v>13140</v>
      </c>
      <c r="L7403" t="s">
        <v>53</v>
      </c>
      <c r="N7403" t="s">
        <v>13552</v>
      </c>
      <c r="P7403" t="s">
        <v>55</v>
      </c>
      <c r="R7403" t="s">
        <v>53</v>
      </c>
      <c r="T7403" t="s">
        <v>13553</v>
      </c>
      <c r="U7403" t="s">
        <v>58</v>
      </c>
      <c r="V7403">
        <v>1</v>
      </c>
      <c r="W7403">
        <v>1</v>
      </c>
      <c r="X7403">
        <v>2</v>
      </c>
      <c r="Y7403">
        <v>0</v>
      </c>
      <c r="Z7403">
        <v>2</v>
      </c>
      <c r="AA7403">
        <v>112.52</v>
      </c>
      <c r="AB7403">
        <v>112.52</v>
      </c>
      <c r="AC7403">
        <v>99</v>
      </c>
      <c r="AD7403">
        <v>0</v>
      </c>
      <c r="AE7403">
        <v>13.52</v>
      </c>
      <c r="AF7403">
        <v>0</v>
      </c>
      <c r="AG7403">
        <v>0</v>
      </c>
      <c r="AH7403">
        <v>0</v>
      </c>
      <c r="AI7403">
        <v>20.25</v>
      </c>
      <c r="AJ7403">
        <v>112.52</v>
      </c>
      <c r="AK7403">
        <v>0</v>
      </c>
      <c r="AL7403" t="s">
        <v>53</v>
      </c>
      <c r="AM7403" t="s">
        <v>53</v>
      </c>
      <c r="AN7403" t="s">
        <v>13554</v>
      </c>
      <c r="AO7403" t="s">
        <v>53</v>
      </c>
      <c r="AP7403" t="s">
        <v>53</v>
      </c>
    </row>
    <row r="7404" spans="2:42" x14ac:dyDescent="0.2">
      <c r="B7404" t="s">
        <v>44</v>
      </c>
      <c r="C7404" t="str">
        <f>HYPERLINK("https://us2.cloudbeds.com/connect/8493803454333002#/reservations/183590221963472?display=3VHP7N3S24&amp;reservation_id=183590221963472", "3VHP7N3S24")</f>
        <v>3VHP7N3S24</v>
      </c>
      <c r="D7404" t="s">
        <v>45</v>
      </c>
      <c r="E7404" t="s">
        <v>487</v>
      </c>
      <c r="F7404" t="s">
        <v>61</v>
      </c>
      <c r="G7404" t="s">
        <v>48</v>
      </c>
      <c r="H7404" t="s">
        <v>3957</v>
      </c>
      <c r="I7404" t="s">
        <v>3975</v>
      </c>
      <c r="J7404" t="s">
        <v>12441</v>
      </c>
      <c r="K7404" t="s">
        <v>12421</v>
      </c>
      <c r="L7404" t="s">
        <v>53</v>
      </c>
      <c r="P7404" t="s">
        <v>55</v>
      </c>
      <c r="R7404" t="s">
        <v>56</v>
      </c>
      <c r="T7404" t="s">
        <v>13555</v>
      </c>
      <c r="U7404" t="s">
        <v>58</v>
      </c>
      <c r="V7404">
        <v>2</v>
      </c>
      <c r="W7404">
        <v>2</v>
      </c>
      <c r="X7404">
        <v>3</v>
      </c>
      <c r="Y7404">
        <v>0</v>
      </c>
      <c r="Z7404">
        <v>3</v>
      </c>
      <c r="AA7404">
        <v>242.09</v>
      </c>
      <c r="AB7404">
        <v>242.09</v>
      </c>
      <c r="AC7404">
        <v>213</v>
      </c>
      <c r="AD7404">
        <v>0</v>
      </c>
      <c r="AE7404">
        <v>29.09</v>
      </c>
      <c r="AF7404">
        <v>0</v>
      </c>
      <c r="AG7404">
        <v>0</v>
      </c>
      <c r="AH7404">
        <v>0</v>
      </c>
      <c r="AI7404">
        <v>0</v>
      </c>
      <c r="AJ7404">
        <v>242.09</v>
      </c>
      <c r="AK7404">
        <v>0</v>
      </c>
      <c r="AL7404" t="s">
        <v>53</v>
      </c>
      <c r="AM7404" t="s">
        <v>53</v>
      </c>
      <c r="AN7404" t="s">
        <v>13556</v>
      </c>
      <c r="AO7404" t="s">
        <v>53</v>
      </c>
      <c r="AP7404" t="s">
        <v>53</v>
      </c>
    </row>
    <row r="7405" spans="2:42" x14ac:dyDescent="0.2">
      <c r="B7405" t="s">
        <v>44</v>
      </c>
      <c r="C7405" t="str">
        <f>HYPERLINK("https://us2.cloudbeds.com/connect/8493803454333002#/reservations/9080486847472481?display=3VX2EN8THF&amp;reservation_id=9080486847472481", "3VX2EN8THF")</f>
        <v>3VX2EN8THF</v>
      </c>
      <c r="D7405" t="s">
        <v>45</v>
      </c>
      <c r="E7405" t="s">
        <v>138</v>
      </c>
      <c r="F7405" t="s">
        <v>70</v>
      </c>
      <c r="G7405" t="s">
        <v>48</v>
      </c>
      <c r="H7405" t="s">
        <v>49</v>
      </c>
      <c r="I7405" t="s">
        <v>50</v>
      </c>
      <c r="J7405" t="s">
        <v>13072</v>
      </c>
      <c r="K7405" t="s">
        <v>13557</v>
      </c>
      <c r="L7405" t="s">
        <v>53</v>
      </c>
      <c r="N7405" t="s">
        <v>13558</v>
      </c>
      <c r="P7405" t="s">
        <v>55</v>
      </c>
      <c r="R7405" t="s">
        <v>53</v>
      </c>
      <c r="T7405" t="s">
        <v>13559</v>
      </c>
      <c r="U7405" t="s">
        <v>58</v>
      </c>
      <c r="V7405">
        <v>1</v>
      </c>
      <c r="W7405">
        <v>1</v>
      </c>
      <c r="X7405">
        <v>2</v>
      </c>
      <c r="Y7405">
        <v>0</v>
      </c>
      <c r="Z7405">
        <v>2</v>
      </c>
      <c r="AA7405">
        <v>76.709999999999994</v>
      </c>
      <c r="AB7405">
        <v>76.709999999999994</v>
      </c>
      <c r="AC7405">
        <v>67.5</v>
      </c>
      <c r="AD7405">
        <v>0</v>
      </c>
      <c r="AE7405">
        <v>9.2100000000000009</v>
      </c>
      <c r="AF7405">
        <v>0</v>
      </c>
      <c r="AG7405">
        <v>0</v>
      </c>
      <c r="AH7405">
        <v>0</v>
      </c>
      <c r="AI7405">
        <v>13.81</v>
      </c>
      <c r="AJ7405">
        <v>76.709999999999994</v>
      </c>
      <c r="AK7405">
        <v>0</v>
      </c>
      <c r="AL7405" t="s">
        <v>53</v>
      </c>
      <c r="AM7405" t="s">
        <v>53</v>
      </c>
      <c r="AN7405" t="s">
        <v>53</v>
      </c>
      <c r="AO7405" t="s">
        <v>53</v>
      </c>
      <c r="AP7405" t="s">
        <v>53</v>
      </c>
    </row>
    <row r="7406" spans="2:42" x14ac:dyDescent="0.2">
      <c r="B7406" t="s">
        <v>44</v>
      </c>
      <c r="C7406" t="str">
        <f>HYPERLINK("https://us2.cloudbeds.com/connect/8493803454333002#/reservations/9080486847472568?display=3VX562A8UQ&amp;reservation_id=9080486847472568", "3VX562A8UQ")</f>
        <v>3VX562A8UQ</v>
      </c>
      <c r="D7406" t="s">
        <v>45</v>
      </c>
      <c r="E7406" t="s">
        <v>85</v>
      </c>
      <c r="F7406" t="s">
        <v>86</v>
      </c>
      <c r="G7406" t="s">
        <v>48</v>
      </c>
      <c r="H7406" t="s">
        <v>49</v>
      </c>
      <c r="I7406" t="s">
        <v>62</v>
      </c>
      <c r="J7406" t="s">
        <v>12441</v>
      </c>
      <c r="K7406" t="s">
        <v>13140</v>
      </c>
      <c r="L7406" t="s">
        <v>53</v>
      </c>
      <c r="N7406" t="s">
        <v>13560</v>
      </c>
      <c r="P7406" t="s">
        <v>55</v>
      </c>
      <c r="R7406" t="s">
        <v>56</v>
      </c>
      <c r="T7406" t="s">
        <v>13561</v>
      </c>
      <c r="U7406" t="s">
        <v>55</v>
      </c>
      <c r="V7406">
        <v>1</v>
      </c>
      <c r="W7406">
        <v>1</v>
      </c>
      <c r="X7406">
        <v>4</v>
      </c>
      <c r="Y7406">
        <v>0</v>
      </c>
      <c r="Z7406">
        <v>4</v>
      </c>
      <c r="AA7406">
        <v>116.45</v>
      </c>
      <c r="AB7406">
        <v>116.45</v>
      </c>
      <c r="AC7406">
        <v>116.45</v>
      </c>
      <c r="AD7406">
        <v>0</v>
      </c>
      <c r="AE7406">
        <v>0</v>
      </c>
      <c r="AF7406">
        <v>0</v>
      </c>
      <c r="AG7406">
        <v>0</v>
      </c>
      <c r="AH7406">
        <v>0</v>
      </c>
      <c r="AI7406">
        <v>20.96</v>
      </c>
      <c r="AJ7406">
        <v>116.45</v>
      </c>
      <c r="AK7406">
        <v>0</v>
      </c>
      <c r="AL7406" t="s">
        <v>53</v>
      </c>
      <c r="AM7406" t="s">
        <v>53</v>
      </c>
      <c r="AN7406" t="s">
        <v>53</v>
      </c>
      <c r="AO7406" t="s">
        <v>53</v>
      </c>
      <c r="AP7406" t="s">
        <v>53</v>
      </c>
    </row>
    <row r="7407" spans="2:42" x14ac:dyDescent="0.2">
      <c r="B7407" t="s">
        <v>44</v>
      </c>
      <c r="C7407" t="str">
        <f>HYPERLINK("https://us2.cloudbeds.com/connect/8493803454333002#/reservations/183632666910946?display=3VXP38R2NY&amp;reservation_id=183632666910946", "3VXP38R2NY")</f>
        <v>3VXP38R2NY</v>
      </c>
      <c r="D7407" t="s">
        <v>45</v>
      </c>
      <c r="E7407" t="s">
        <v>165</v>
      </c>
      <c r="F7407" t="s">
        <v>61</v>
      </c>
      <c r="G7407" t="s">
        <v>48</v>
      </c>
      <c r="H7407" t="s">
        <v>3957</v>
      </c>
      <c r="I7407" t="s">
        <v>3975</v>
      </c>
      <c r="J7407" t="s">
        <v>13140</v>
      </c>
      <c r="K7407" t="s">
        <v>13060</v>
      </c>
      <c r="L7407" t="s">
        <v>53</v>
      </c>
      <c r="P7407" t="s">
        <v>55</v>
      </c>
      <c r="R7407" t="s">
        <v>56</v>
      </c>
      <c r="T7407" t="s">
        <v>13562</v>
      </c>
      <c r="U7407" t="s">
        <v>58</v>
      </c>
      <c r="V7407">
        <v>2</v>
      </c>
      <c r="W7407">
        <v>1</v>
      </c>
      <c r="X7407">
        <v>2</v>
      </c>
      <c r="Y7407">
        <v>0</v>
      </c>
      <c r="Z7407">
        <v>2</v>
      </c>
      <c r="AA7407">
        <v>236.41</v>
      </c>
      <c r="AB7407">
        <v>236.41</v>
      </c>
      <c r="AC7407">
        <v>208</v>
      </c>
      <c r="AD7407">
        <v>0</v>
      </c>
      <c r="AE7407">
        <v>28.41</v>
      </c>
      <c r="AF7407">
        <v>0</v>
      </c>
      <c r="AG7407">
        <v>0</v>
      </c>
      <c r="AH7407">
        <v>0</v>
      </c>
      <c r="AI7407">
        <v>0</v>
      </c>
      <c r="AJ7407">
        <v>236.41</v>
      </c>
      <c r="AK7407">
        <v>0</v>
      </c>
      <c r="AL7407" t="s">
        <v>53</v>
      </c>
      <c r="AM7407" t="s">
        <v>53</v>
      </c>
      <c r="AN7407" t="s">
        <v>53</v>
      </c>
      <c r="AO7407" t="s">
        <v>53</v>
      </c>
      <c r="AP7407" t="s">
        <v>53</v>
      </c>
    </row>
    <row r="7408" spans="2:42" x14ac:dyDescent="0.2">
      <c r="B7408" t="s">
        <v>44</v>
      </c>
      <c r="C7408" t="str">
        <f>HYPERLINK("https://us2.cloudbeds.com/connect/8493803454333002#/reservations/183637561131211?display=3VXSTAZW6Y&amp;reservation_id=183637561131211", "3VXSTAZW6Y")</f>
        <v>3VXSTAZW6Y</v>
      </c>
      <c r="D7408" t="s">
        <v>45</v>
      </c>
      <c r="E7408" t="s">
        <v>190</v>
      </c>
      <c r="F7408" t="s">
        <v>61</v>
      </c>
      <c r="G7408" t="s">
        <v>48</v>
      </c>
      <c r="H7408" t="s">
        <v>3957</v>
      </c>
      <c r="I7408" t="s">
        <v>3958</v>
      </c>
      <c r="J7408" t="s">
        <v>12441</v>
      </c>
      <c r="K7408" t="s">
        <v>13140</v>
      </c>
      <c r="L7408" t="s">
        <v>53</v>
      </c>
      <c r="P7408" t="s">
        <v>55</v>
      </c>
      <c r="R7408" t="s">
        <v>56</v>
      </c>
      <c r="T7408" t="s">
        <v>13563</v>
      </c>
      <c r="U7408" t="s">
        <v>58</v>
      </c>
      <c r="V7408">
        <v>1</v>
      </c>
      <c r="W7408">
        <v>1</v>
      </c>
      <c r="X7408">
        <v>1</v>
      </c>
      <c r="Y7408">
        <v>0</v>
      </c>
      <c r="Z7408">
        <v>1</v>
      </c>
      <c r="AA7408">
        <v>148.88999999999999</v>
      </c>
      <c r="AB7408">
        <v>148.88999999999999</v>
      </c>
      <c r="AC7408">
        <v>131</v>
      </c>
      <c r="AD7408">
        <v>0</v>
      </c>
      <c r="AE7408">
        <v>17.89</v>
      </c>
      <c r="AF7408">
        <v>0</v>
      </c>
      <c r="AG7408">
        <v>0</v>
      </c>
      <c r="AH7408">
        <v>0</v>
      </c>
      <c r="AI7408">
        <v>0</v>
      </c>
      <c r="AJ7408">
        <v>148.88999999999999</v>
      </c>
      <c r="AK7408">
        <v>0</v>
      </c>
      <c r="AL7408" t="s">
        <v>53</v>
      </c>
      <c r="AM7408" t="s">
        <v>53</v>
      </c>
      <c r="AN7408" t="s">
        <v>53</v>
      </c>
      <c r="AO7408" t="s">
        <v>53</v>
      </c>
      <c r="AP7408" t="s">
        <v>53</v>
      </c>
    </row>
    <row r="7409" spans="2:42" x14ac:dyDescent="0.2">
      <c r="B7409" t="s">
        <v>44</v>
      </c>
      <c r="C7409" t="str">
        <f>HYPERLINK("https://us2.cloudbeds.com/connect/8493803454333002#/reservations/183643081449668?display=3VJ05CKW54&amp;reservation_id=183643081449668", "3VJ05CKW54")</f>
        <v>3VJ05CKW54</v>
      </c>
      <c r="D7409" t="s">
        <v>45</v>
      </c>
      <c r="E7409" t="s">
        <v>13564</v>
      </c>
      <c r="F7409" t="s">
        <v>2145</v>
      </c>
      <c r="G7409" t="s">
        <v>48</v>
      </c>
      <c r="H7409" t="s">
        <v>3957</v>
      </c>
      <c r="I7409" t="s">
        <v>3975</v>
      </c>
      <c r="J7409" t="s">
        <v>12441</v>
      </c>
      <c r="K7409" t="s">
        <v>13140</v>
      </c>
      <c r="L7409" t="s">
        <v>53</v>
      </c>
      <c r="P7409" t="s">
        <v>55</v>
      </c>
      <c r="R7409" t="s">
        <v>56</v>
      </c>
      <c r="T7409" t="s">
        <v>13565</v>
      </c>
      <c r="U7409" t="s">
        <v>58</v>
      </c>
      <c r="V7409">
        <v>2</v>
      </c>
      <c r="W7409">
        <v>2</v>
      </c>
      <c r="X7409">
        <v>4</v>
      </c>
      <c r="Y7409">
        <v>0</v>
      </c>
      <c r="Z7409">
        <v>4</v>
      </c>
      <c r="AA7409">
        <v>344.37</v>
      </c>
      <c r="AB7409">
        <v>344.37</v>
      </c>
      <c r="AC7409">
        <v>303</v>
      </c>
      <c r="AD7409">
        <v>0</v>
      </c>
      <c r="AE7409">
        <v>41.37</v>
      </c>
      <c r="AF7409">
        <v>0</v>
      </c>
      <c r="AG7409">
        <v>0</v>
      </c>
      <c r="AH7409">
        <v>0</v>
      </c>
      <c r="AI7409">
        <v>0</v>
      </c>
      <c r="AJ7409">
        <v>344.37</v>
      </c>
      <c r="AK7409">
        <v>0</v>
      </c>
      <c r="AL7409" t="s">
        <v>53</v>
      </c>
      <c r="AM7409" t="s">
        <v>53</v>
      </c>
      <c r="AN7409" t="s">
        <v>13566</v>
      </c>
      <c r="AO7409" t="s">
        <v>53</v>
      </c>
      <c r="AP7409" t="s">
        <v>53</v>
      </c>
    </row>
    <row r="7410" spans="2:42" x14ac:dyDescent="0.2">
      <c r="B7410" t="s">
        <v>44</v>
      </c>
      <c r="C7410" t="str">
        <f>HYPERLINK("https://us2.cloudbeds.com/connect/8493803454333002#/reservations/9080486847473527?display=3VJBZ95YXH&amp;reservation_id=9080486847473527", "3VJBZ95YXH")</f>
        <v>3VJBZ95YXH</v>
      </c>
      <c r="D7410" t="s">
        <v>45</v>
      </c>
      <c r="E7410" t="s">
        <v>113</v>
      </c>
      <c r="F7410" t="s">
        <v>61</v>
      </c>
      <c r="G7410" t="s">
        <v>48</v>
      </c>
      <c r="H7410" t="s">
        <v>49</v>
      </c>
      <c r="I7410" t="s">
        <v>50</v>
      </c>
      <c r="J7410" t="s">
        <v>13140</v>
      </c>
      <c r="K7410" t="s">
        <v>12421</v>
      </c>
      <c r="L7410" t="s">
        <v>53</v>
      </c>
      <c r="N7410" t="s">
        <v>13567</v>
      </c>
      <c r="P7410" t="s">
        <v>55</v>
      </c>
      <c r="R7410" t="s">
        <v>53</v>
      </c>
      <c r="T7410" t="s">
        <v>13568</v>
      </c>
      <c r="U7410" t="s">
        <v>58</v>
      </c>
      <c r="V7410">
        <v>1</v>
      </c>
      <c r="W7410">
        <v>1</v>
      </c>
      <c r="X7410">
        <v>2</v>
      </c>
      <c r="Y7410">
        <v>0</v>
      </c>
      <c r="Z7410">
        <v>2</v>
      </c>
      <c r="AA7410">
        <v>93.65</v>
      </c>
      <c r="AB7410">
        <v>93.65</v>
      </c>
      <c r="AC7410">
        <v>82.4</v>
      </c>
      <c r="AD7410">
        <v>0</v>
      </c>
      <c r="AE7410">
        <v>11.25</v>
      </c>
      <c r="AF7410">
        <v>0</v>
      </c>
      <c r="AG7410">
        <v>0</v>
      </c>
      <c r="AH7410">
        <v>0</v>
      </c>
      <c r="AI7410">
        <v>16.86</v>
      </c>
      <c r="AJ7410">
        <v>93.65</v>
      </c>
      <c r="AK7410">
        <v>0</v>
      </c>
      <c r="AL7410" t="s">
        <v>53</v>
      </c>
      <c r="AM7410" t="s">
        <v>53</v>
      </c>
      <c r="AN7410" t="s">
        <v>13569</v>
      </c>
      <c r="AO7410" t="s">
        <v>53</v>
      </c>
      <c r="AP7410" t="s">
        <v>53</v>
      </c>
    </row>
    <row r="7411" spans="2:42" x14ac:dyDescent="0.2">
      <c r="B7411" t="s">
        <v>44</v>
      </c>
      <c r="C7411" t="str">
        <f>HYPERLINK("https://us2.cloudbeds.com/connect/8493803454333002#/reservations/9080486847473669?display=3VJHRDTZV2&amp;reservation_id=9080486847473669", "3VJHRDTZV2")</f>
        <v>3VJHRDTZV2</v>
      </c>
      <c r="D7411" t="s">
        <v>45</v>
      </c>
      <c r="E7411" t="s">
        <v>265</v>
      </c>
      <c r="F7411" t="s">
        <v>61</v>
      </c>
      <c r="G7411" t="s">
        <v>48</v>
      </c>
      <c r="H7411" t="s">
        <v>49</v>
      </c>
      <c r="I7411" t="s">
        <v>62</v>
      </c>
      <c r="J7411" t="s">
        <v>12441</v>
      </c>
      <c r="K7411" t="s">
        <v>13140</v>
      </c>
      <c r="L7411" t="s">
        <v>53</v>
      </c>
      <c r="N7411" t="s">
        <v>13570</v>
      </c>
      <c r="P7411" t="s">
        <v>55</v>
      </c>
      <c r="R7411" t="s">
        <v>56</v>
      </c>
      <c r="T7411" t="s">
        <v>13571</v>
      </c>
      <c r="U7411" t="s">
        <v>55</v>
      </c>
      <c r="V7411">
        <v>1</v>
      </c>
      <c r="W7411">
        <v>1</v>
      </c>
      <c r="X7411">
        <v>2</v>
      </c>
      <c r="Y7411">
        <v>0</v>
      </c>
      <c r="Z7411">
        <v>2</v>
      </c>
      <c r="AA7411">
        <v>111.35</v>
      </c>
      <c r="AB7411">
        <v>111.35</v>
      </c>
      <c r="AC7411">
        <v>111.35</v>
      </c>
      <c r="AD7411">
        <v>0</v>
      </c>
      <c r="AE7411">
        <v>0</v>
      </c>
      <c r="AF7411">
        <v>0</v>
      </c>
      <c r="AG7411">
        <v>0</v>
      </c>
      <c r="AH7411">
        <v>0</v>
      </c>
      <c r="AI7411">
        <v>20.04</v>
      </c>
      <c r="AJ7411">
        <v>111.35</v>
      </c>
      <c r="AK7411">
        <v>0</v>
      </c>
      <c r="AL7411" t="s">
        <v>53</v>
      </c>
      <c r="AM7411" t="s">
        <v>53</v>
      </c>
      <c r="AN7411" t="s">
        <v>53</v>
      </c>
      <c r="AO7411" t="s">
        <v>53</v>
      </c>
      <c r="AP7411" t="s">
        <v>53</v>
      </c>
    </row>
    <row r="7412" spans="2:42" x14ac:dyDescent="0.2">
      <c r="B7412" t="s">
        <v>44</v>
      </c>
      <c r="C7412" t="str">
        <f>HYPERLINK("https://us2.cloudbeds.com/connect/8493803454333002#/reservations/183686866772114?display=3VK126J3R1&amp;reservation_id=183686866772114", "3VK126J3R1")</f>
        <v>3VK126J3R1</v>
      </c>
      <c r="D7412" t="s">
        <v>45</v>
      </c>
      <c r="E7412" t="s">
        <v>213</v>
      </c>
      <c r="F7412" t="s">
        <v>86</v>
      </c>
      <c r="G7412" t="s">
        <v>48</v>
      </c>
      <c r="H7412" t="s">
        <v>3957</v>
      </c>
      <c r="I7412" t="s">
        <v>3975</v>
      </c>
      <c r="J7412" t="s">
        <v>13572</v>
      </c>
      <c r="K7412" t="s">
        <v>13573</v>
      </c>
      <c r="L7412" t="s">
        <v>53</v>
      </c>
      <c r="P7412" t="s">
        <v>55</v>
      </c>
      <c r="R7412" t="s">
        <v>56</v>
      </c>
      <c r="T7412" t="s">
        <v>13574</v>
      </c>
      <c r="U7412" t="s">
        <v>58</v>
      </c>
      <c r="V7412">
        <v>3</v>
      </c>
      <c r="W7412">
        <v>1</v>
      </c>
      <c r="X7412">
        <v>2</v>
      </c>
      <c r="Y7412">
        <v>2</v>
      </c>
      <c r="Z7412">
        <v>4</v>
      </c>
      <c r="AA7412">
        <v>378.36</v>
      </c>
      <c r="AB7412">
        <v>378.36</v>
      </c>
      <c r="AC7412">
        <v>330</v>
      </c>
      <c r="AD7412">
        <v>0</v>
      </c>
      <c r="AE7412">
        <v>48.36</v>
      </c>
      <c r="AF7412">
        <v>0</v>
      </c>
      <c r="AG7412">
        <v>0</v>
      </c>
      <c r="AH7412">
        <v>0</v>
      </c>
      <c r="AI7412">
        <v>0</v>
      </c>
      <c r="AJ7412">
        <v>378.36</v>
      </c>
      <c r="AK7412">
        <v>0</v>
      </c>
      <c r="AL7412" t="s">
        <v>53</v>
      </c>
      <c r="AM7412" t="s">
        <v>53</v>
      </c>
      <c r="AN7412" t="s">
        <v>53</v>
      </c>
      <c r="AO7412" t="s">
        <v>53</v>
      </c>
      <c r="AP7412" t="s">
        <v>53</v>
      </c>
    </row>
    <row r="7413" spans="2:42" x14ac:dyDescent="0.2">
      <c r="B7413" t="s">
        <v>44</v>
      </c>
      <c r="C7413" t="str">
        <f>HYPERLINK("https://us2.cloudbeds.com/connect/8493803454333002#/reservations/183708247240901?display=3VKHKH55RJ&amp;reservation_id=183708247240901", "3VKHKH55RJ")</f>
        <v>3VKHKH55RJ</v>
      </c>
      <c r="D7413" t="s">
        <v>45</v>
      </c>
      <c r="E7413" t="s">
        <v>179</v>
      </c>
      <c r="F7413" t="s">
        <v>47</v>
      </c>
      <c r="G7413" t="s">
        <v>48</v>
      </c>
      <c r="H7413" t="s">
        <v>3957</v>
      </c>
      <c r="I7413" t="s">
        <v>3958</v>
      </c>
      <c r="J7413" t="s">
        <v>12441</v>
      </c>
      <c r="K7413" t="s">
        <v>13140</v>
      </c>
      <c r="L7413" t="s">
        <v>53</v>
      </c>
      <c r="P7413" t="s">
        <v>55</v>
      </c>
      <c r="R7413" t="s">
        <v>56</v>
      </c>
      <c r="T7413" t="s">
        <v>13575</v>
      </c>
      <c r="U7413" t="s">
        <v>58</v>
      </c>
      <c r="V7413">
        <v>1</v>
      </c>
      <c r="W7413">
        <v>1</v>
      </c>
      <c r="X7413">
        <v>1</v>
      </c>
      <c r="Y7413">
        <v>0</v>
      </c>
      <c r="Z7413">
        <v>1</v>
      </c>
      <c r="AA7413">
        <v>156.84</v>
      </c>
      <c r="AB7413">
        <v>162.27000000000001</v>
      </c>
      <c r="AC7413">
        <v>138</v>
      </c>
      <c r="AD7413">
        <v>5</v>
      </c>
      <c r="AE7413">
        <v>19.27</v>
      </c>
      <c r="AF7413">
        <v>0</v>
      </c>
      <c r="AG7413">
        <v>0</v>
      </c>
      <c r="AH7413">
        <v>0</v>
      </c>
      <c r="AI7413">
        <v>0</v>
      </c>
      <c r="AJ7413">
        <v>162.27000000000001</v>
      </c>
      <c r="AK7413">
        <v>0</v>
      </c>
      <c r="AL7413" t="s">
        <v>53</v>
      </c>
      <c r="AM7413" t="s">
        <v>53</v>
      </c>
      <c r="AN7413" t="s">
        <v>53</v>
      </c>
      <c r="AO7413" t="s">
        <v>53</v>
      </c>
      <c r="AP7413" t="s">
        <v>53</v>
      </c>
    </row>
    <row r="7414" spans="2:42" x14ac:dyDescent="0.2">
      <c r="B7414" t="s">
        <v>44</v>
      </c>
      <c r="C7414" t="str">
        <f>HYPERLINK("https://us2.cloudbeds.com/connect/8493803454333002#/reservations/183761638142154?display=3VYPVPPNC5&amp;reservation_id=183761638142154", "3VYPVPPNC5")</f>
        <v>3VYPVPPNC5</v>
      </c>
      <c r="D7414" t="s">
        <v>45</v>
      </c>
      <c r="E7414" t="s">
        <v>105</v>
      </c>
      <c r="F7414" t="s">
        <v>47</v>
      </c>
      <c r="G7414" t="s">
        <v>3974</v>
      </c>
      <c r="H7414" t="s">
        <v>3957</v>
      </c>
      <c r="I7414" t="s">
        <v>3975</v>
      </c>
      <c r="J7414" t="s">
        <v>12531</v>
      </c>
      <c r="K7414" t="s">
        <v>11068</v>
      </c>
      <c r="L7414" t="s">
        <v>53</v>
      </c>
      <c r="P7414" t="s">
        <v>55</v>
      </c>
      <c r="R7414" t="s">
        <v>56</v>
      </c>
      <c r="T7414" t="s">
        <v>13576</v>
      </c>
      <c r="U7414" t="s">
        <v>58</v>
      </c>
      <c r="V7414">
        <v>2</v>
      </c>
      <c r="W7414">
        <v>1</v>
      </c>
      <c r="X7414">
        <v>2</v>
      </c>
      <c r="Y7414">
        <v>0</v>
      </c>
      <c r="Z7414">
        <v>2</v>
      </c>
      <c r="AA7414">
        <v>183.56</v>
      </c>
      <c r="AB7414">
        <v>183.56</v>
      </c>
      <c r="AC7414">
        <v>161.5</v>
      </c>
      <c r="AD7414">
        <v>0</v>
      </c>
      <c r="AE7414">
        <v>22.06</v>
      </c>
      <c r="AF7414">
        <v>0</v>
      </c>
      <c r="AG7414">
        <v>0</v>
      </c>
      <c r="AH7414">
        <v>0</v>
      </c>
      <c r="AI7414">
        <v>0</v>
      </c>
      <c r="AJ7414">
        <v>183.56</v>
      </c>
      <c r="AK7414">
        <v>0</v>
      </c>
      <c r="AL7414" t="s">
        <v>53</v>
      </c>
      <c r="AM7414" t="s">
        <v>53</v>
      </c>
      <c r="AN7414" t="s">
        <v>13577</v>
      </c>
      <c r="AO7414" t="s">
        <v>53</v>
      </c>
      <c r="AP7414" t="s">
        <v>53</v>
      </c>
    </row>
    <row r="7415" spans="2:42" x14ac:dyDescent="0.2">
      <c r="B7415" t="s">
        <v>44</v>
      </c>
      <c r="C7415" t="str">
        <f>HYPERLINK("https://us2.cloudbeds.com/connect/8493803454333002#/reservations/9080486847475533?display=3VMJH1UJ98&amp;reservation_id=9080486847475533", "3VMJH1UJ98")</f>
        <v>3VMJH1UJ98</v>
      </c>
      <c r="D7415" t="s">
        <v>45</v>
      </c>
      <c r="E7415" t="s">
        <v>78</v>
      </c>
      <c r="F7415" t="s">
        <v>61</v>
      </c>
      <c r="G7415" t="s">
        <v>48</v>
      </c>
      <c r="H7415" t="s">
        <v>49</v>
      </c>
      <c r="I7415" t="s">
        <v>50</v>
      </c>
      <c r="J7415" t="s">
        <v>13140</v>
      </c>
      <c r="K7415" t="s">
        <v>12421</v>
      </c>
      <c r="L7415" t="s">
        <v>53</v>
      </c>
      <c r="N7415" t="s">
        <v>13578</v>
      </c>
      <c r="P7415" t="s">
        <v>55</v>
      </c>
      <c r="R7415" t="s">
        <v>53</v>
      </c>
      <c r="T7415" t="s">
        <v>13579</v>
      </c>
      <c r="U7415" t="s">
        <v>58</v>
      </c>
      <c r="V7415">
        <v>1</v>
      </c>
      <c r="W7415">
        <v>1</v>
      </c>
      <c r="X7415">
        <v>2</v>
      </c>
      <c r="Y7415">
        <v>0</v>
      </c>
      <c r="Z7415">
        <v>2</v>
      </c>
      <c r="AA7415">
        <v>122.74</v>
      </c>
      <c r="AB7415">
        <v>122.74</v>
      </c>
      <c r="AC7415">
        <v>108</v>
      </c>
      <c r="AD7415">
        <v>0</v>
      </c>
      <c r="AE7415">
        <v>14.74</v>
      </c>
      <c r="AF7415">
        <v>0</v>
      </c>
      <c r="AG7415">
        <v>0</v>
      </c>
      <c r="AH7415">
        <v>0</v>
      </c>
      <c r="AI7415">
        <v>22.09</v>
      </c>
      <c r="AJ7415">
        <v>122.74</v>
      </c>
      <c r="AK7415">
        <v>0</v>
      </c>
      <c r="AL7415" t="s">
        <v>53</v>
      </c>
      <c r="AM7415" t="s">
        <v>53</v>
      </c>
      <c r="AN7415" t="s">
        <v>13580</v>
      </c>
      <c r="AO7415" t="s">
        <v>53</v>
      </c>
      <c r="AP7415" t="s">
        <v>53</v>
      </c>
    </row>
    <row r="7416" spans="2:42" x14ac:dyDescent="0.2">
      <c r="B7416" t="s">
        <v>44</v>
      </c>
      <c r="C7416" t="str">
        <f>HYPERLINK("https://us2.cloudbeds.com/connect/8493803454333002#/reservations/9080486847476580?display=3VZ91ESWUT&amp;reservation_id=9080486847476580", "3VZ91ESWUT")</f>
        <v>3VZ91ESWUT</v>
      </c>
      <c r="D7416" t="s">
        <v>45</v>
      </c>
      <c r="E7416" t="s">
        <v>406</v>
      </c>
      <c r="F7416" t="s">
        <v>61</v>
      </c>
      <c r="G7416" t="s">
        <v>48</v>
      </c>
      <c r="H7416" t="s">
        <v>49</v>
      </c>
      <c r="I7416" t="s">
        <v>62</v>
      </c>
      <c r="J7416" t="s">
        <v>13140</v>
      </c>
      <c r="K7416" t="s">
        <v>13060</v>
      </c>
      <c r="L7416" t="s">
        <v>53</v>
      </c>
      <c r="N7416" t="s">
        <v>13581</v>
      </c>
      <c r="P7416" t="s">
        <v>55</v>
      </c>
      <c r="R7416" t="s">
        <v>13582</v>
      </c>
      <c r="T7416" t="s">
        <v>13583</v>
      </c>
      <c r="U7416" t="s">
        <v>55</v>
      </c>
      <c r="V7416">
        <v>2</v>
      </c>
      <c r="W7416">
        <v>1</v>
      </c>
      <c r="X7416">
        <v>1</v>
      </c>
      <c r="Y7416">
        <v>0</v>
      </c>
      <c r="Z7416">
        <v>1</v>
      </c>
      <c r="AA7416">
        <v>242</v>
      </c>
      <c r="AB7416">
        <v>242</v>
      </c>
      <c r="AC7416">
        <v>242</v>
      </c>
      <c r="AD7416">
        <v>0</v>
      </c>
      <c r="AE7416">
        <v>0</v>
      </c>
      <c r="AF7416">
        <v>0</v>
      </c>
      <c r="AG7416">
        <v>0</v>
      </c>
      <c r="AH7416">
        <v>0</v>
      </c>
      <c r="AI7416">
        <v>43.56</v>
      </c>
      <c r="AJ7416">
        <v>242</v>
      </c>
      <c r="AK7416">
        <v>0</v>
      </c>
      <c r="AL7416" t="s">
        <v>53</v>
      </c>
      <c r="AM7416" t="s">
        <v>53</v>
      </c>
      <c r="AN7416" t="s">
        <v>53</v>
      </c>
      <c r="AO7416" t="s">
        <v>53</v>
      </c>
      <c r="AP7416" t="s">
        <v>53</v>
      </c>
    </row>
    <row r="7417" spans="2:42" x14ac:dyDescent="0.2">
      <c r="B7417" t="s">
        <v>44</v>
      </c>
      <c r="C7417" t="str">
        <f>HYPERLINK("https://us2.cloudbeds.com/connect/8493803454333002#/reservations/9080486847477705?display=3VPXAFPR42&amp;reservation_id=9080486847477705", "3VPXAFPR42")</f>
        <v>3VPXAFPR42</v>
      </c>
      <c r="D7417" t="s">
        <v>45</v>
      </c>
      <c r="E7417" t="s">
        <v>128</v>
      </c>
      <c r="F7417" t="s">
        <v>86</v>
      </c>
      <c r="G7417" t="s">
        <v>48</v>
      </c>
      <c r="H7417" t="s">
        <v>49</v>
      </c>
      <c r="I7417" t="s">
        <v>62</v>
      </c>
      <c r="J7417" t="s">
        <v>13480</v>
      </c>
      <c r="K7417" t="s">
        <v>12424</v>
      </c>
      <c r="L7417" t="s">
        <v>53</v>
      </c>
      <c r="N7417" t="s">
        <v>13584</v>
      </c>
      <c r="P7417" t="s">
        <v>55</v>
      </c>
      <c r="R7417" t="s">
        <v>56</v>
      </c>
      <c r="T7417" t="s">
        <v>13585</v>
      </c>
      <c r="U7417" t="s">
        <v>55</v>
      </c>
      <c r="V7417">
        <v>1</v>
      </c>
      <c r="W7417">
        <v>1</v>
      </c>
      <c r="X7417">
        <v>2</v>
      </c>
      <c r="Y7417">
        <v>0</v>
      </c>
      <c r="Z7417">
        <v>2</v>
      </c>
      <c r="AA7417">
        <v>88.83</v>
      </c>
      <c r="AB7417">
        <v>88.83</v>
      </c>
      <c r="AC7417">
        <v>88.83</v>
      </c>
      <c r="AD7417">
        <v>0</v>
      </c>
      <c r="AE7417">
        <v>0</v>
      </c>
      <c r="AF7417">
        <v>0</v>
      </c>
      <c r="AG7417">
        <v>0</v>
      </c>
      <c r="AH7417">
        <v>0</v>
      </c>
      <c r="AI7417">
        <v>15.99</v>
      </c>
      <c r="AJ7417">
        <v>88.83</v>
      </c>
      <c r="AK7417">
        <v>0</v>
      </c>
      <c r="AL7417" t="s">
        <v>53</v>
      </c>
      <c r="AM7417" t="s">
        <v>53</v>
      </c>
      <c r="AN7417" t="s">
        <v>13586</v>
      </c>
      <c r="AO7417" t="s">
        <v>53</v>
      </c>
      <c r="AP7417" t="s">
        <v>53</v>
      </c>
    </row>
    <row r="7418" spans="2:42" x14ac:dyDescent="0.2">
      <c r="B7418" t="s">
        <v>44</v>
      </c>
      <c r="C7418" t="str">
        <f>HYPERLINK("https://us2.cloudbeds.com/connect/8493803454333002#/reservations/9080486847478120?display=3VPUR02FW1&amp;reservation_id=9080486847478120", "3VPUR02FW1")</f>
        <v>3VPUR02FW1</v>
      </c>
      <c r="D7418" t="s">
        <v>45</v>
      </c>
      <c r="E7418" t="s">
        <v>487</v>
      </c>
      <c r="F7418" t="s">
        <v>61</v>
      </c>
      <c r="G7418" t="s">
        <v>48</v>
      </c>
      <c r="H7418" t="s">
        <v>49</v>
      </c>
      <c r="I7418" t="s">
        <v>50</v>
      </c>
      <c r="J7418" t="s">
        <v>12808</v>
      </c>
      <c r="K7418" t="s">
        <v>13587</v>
      </c>
      <c r="L7418" t="s">
        <v>53</v>
      </c>
      <c r="N7418" t="s">
        <v>13588</v>
      </c>
      <c r="P7418" t="s">
        <v>55</v>
      </c>
      <c r="R7418" t="s">
        <v>53</v>
      </c>
      <c r="T7418" t="s">
        <v>13589</v>
      </c>
      <c r="U7418" t="s">
        <v>58</v>
      </c>
      <c r="V7418">
        <v>3</v>
      </c>
      <c r="W7418">
        <v>1</v>
      </c>
      <c r="X7418">
        <v>2</v>
      </c>
      <c r="Y7418">
        <v>0</v>
      </c>
      <c r="Z7418">
        <v>2</v>
      </c>
      <c r="AA7418">
        <v>351.63</v>
      </c>
      <c r="AB7418">
        <v>354.73</v>
      </c>
      <c r="AC7418">
        <v>309.39999999999998</v>
      </c>
      <c r="AD7418">
        <v>0</v>
      </c>
      <c r="AE7418">
        <v>45.33</v>
      </c>
      <c r="AF7418">
        <v>0</v>
      </c>
      <c r="AG7418">
        <v>0</v>
      </c>
      <c r="AH7418">
        <v>0</v>
      </c>
      <c r="AI7418">
        <v>63.85</v>
      </c>
      <c r="AJ7418">
        <v>354.73</v>
      </c>
      <c r="AK7418">
        <v>0</v>
      </c>
      <c r="AL7418" t="s">
        <v>53</v>
      </c>
      <c r="AM7418" t="s">
        <v>53</v>
      </c>
      <c r="AN7418" t="s">
        <v>53</v>
      </c>
      <c r="AO7418" t="s">
        <v>53</v>
      </c>
      <c r="AP7418" t="s">
        <v>53</v>
      </c>
    </row>
    <row r="7419" spans="2:42" x14ac:dyDescent="0.2">
      <c r="B7419" t="s">
        <v>44</v>
      </c>
      <c r="C7419" t="str">
        <f>HYPERLINK("https://us2.cloudbeds.com/connect/8493803454333002#/reservations/9080486847478749?display=3VQER0C7CT&amp;reservation_id=9080486847478749", "3VQER0C7CT")</f>
        <v>3VQER0C7CT</v>
      </c>
      <c r="D7419" t="s">
        <v>45</v>
      </c>
      <c r="E7419" t="s">
        <v>373</v>
      </c>
      <c r="F7419" t="s">
        <v>47</v>
      </c>
      <c r="G7419" t="s">
        <v>48</v>
      </c>
      <c r="H7419" t="s">
        <v>49</v>
      </c>
      <c r="I7419" t="s">
        <v>62</v>
      </c>
      <c r="J7419" t="s">
        <v>13046</v>
      </c>
      <c r="K7419" t="s">
        <v>10586</v>
      </c>
      <c r="L7419" t="s">
        <v>53</v>
      </c>
      <c r="N7419" t="s">
        <v>13590</v>
      </c>
      <c r="P7419" t="s">
        <v>55</v>
      </c>
      <c r="R7419" t="s">
        <v>56</v>
      </c>
      <c r="T7419" t="s">
        <v>13591</v>
      </c>
      <c r="U7419" t="s">
        <v>55</v>
      </c>
      <c r="V7419">
        <v>3</v>
      </c>
      <c r="W7419">
        <v>1</v>
      </c>
      <c r="X7419">
        <v>2</v>
      </c>
      <c r="Y7419">
        <v>0</v>
      </c>
      <c r="Z7419">
        <v>2</v>
      </c>
      <c r="AA7419">
        <v>197.2</v>
      </c>
      <c r="AB7419">
        <v>197.2</v>
      </c>
      <c r="AC7419">
        <v>197.2</v>
      </c>
      <c r="AD7419">
        <v>0</v>
      </c>
      <c r="AE7419">
        <v>0</v>
      </c>
      <c r="AF7419">
        <v>0</v>
      </c>
      <c r="AG7419">
        <v>0</v>
      </c>
      <c r="AH7419">
        <v>0</v>
      </c>
      <c r="AI7419">
        <v>35.5</v>
      </c>
      <c r="AJ7419">
        <v>197.2</v>
      </c>
      <c r="AK7419">
        <v>0</v>
      </c>
      <c r="AL7419" t="s">
        <v>53</v>
      </c>
      <c r="AM7419" t="s">
        <v>53</v>
      </c>
      <c r="AN7419" t="s">
        <v>13592</v>
      </c>
      <c r="AO7419" t="s">
        <v>53</v>
      </c>
      <c r="AP7419" t="s">
        <v>53</v>
      </c>
    </row>
    <row r="7420" spans="2:42" x14ac:dyDescent="0.2">
      <c r="B7420" t="s">
        <v>44</v>
      </c>
      <c r="C7420" t="str">
        <f>HYPERLINK("https://us2.cloudbeds.com/connect/8493803454333002#/reservations/183961996832977?display=3VQG3DHKQY&amp;reservation_id=183961996832977", "3VQG3DHKQY")</f>
        <v>3VQG3DHKQY</v>
      </c>
      <c r="D7420" t="s">
        <v>45</v>
      </c>
      <c r="E7420" t="s">
        <v>110</v>
      </c>
      <c r="F7420" t="s">
        <v>47</v>
      </c>
      <c r="G7420" t="s">
        <v>48</v>
      </c>
      <c r="H7420" t="s">
        <v>3957</v>
      </c>
      <c r="I7420" t="s">
        <v>3975</v>
      </c>
      <c r="J7420" t="s">
        <v>13061</v>
      </c>
      <c r="K7420" t="s">
        <v>13072</v>
      </c>
      <c r="L7420" t="s">
        <v>53</v>
      </c>
      <c r="P7420" t="s">
        <v>55</v>
      </c>
      <c r="R7420" t="s">
        <v>56</v>
      </c>
      <c r="T7420" t="s">
        <v>13593</v>
      </c>
      <c r="U7420" t="s">
        <v>58</v>
      </c>
      <c r="V7420">
        <v>2</v>
      </c>
      <c r="W7420">
        <v>1</v>
      </c>
      <c r="X7420">
        <v>1</v>
      </c>
      <c r="Y7420">
        <v>0</v>
      </c>
      <c r="Z7420">
        <v>1</v>
      </c>
      <c r="AA7420">
        <v>193.22</v>
      </c>
      <c r="AB7420">
        <v>193.22</v>
      </c>
      <c r="AC7420">
        <v>170</v>
      </c>
      <c r="AD7420">
        <v>0</v>
      </c>
      <c r="AE7420">
        <v>23.22</v>
      </c>
      <c r="AF7420">
        <v>0</v>
      </c>
      <c r="AG7420">
        <v>0</v>
      </c>
      <c r="AH7420">
        <v>0</v>
      </c>
      <c r="AI7420">
        <v>0</v>
      </c>
      <c r="AJ7420">
        <v>193.22</v>
      </c>
      <c r="AK7420">
        <v>0</v>
      </c>
      <c r="AL7420" t="s">
        <v>53</v>
      </c>
      <c r="AM7420" t="s">
        <v>53</v>
      </c>
      <c r="AN7420" t="s">
        <v>13594</v>
      </c>
      <c r="AO7420" t="s">
        <v>53</v>
      </c>
      <c r="AP7420" t="s">
        <v>53</v>
      </c>
    </row>
    <row r="7421" spans="2:42" x14ac:dyDescent="0.2">
      <c r="B7421" t="s">
        <v>44</v>
      </c>
      <c r="C7421" t="str">
        <f>HYPERLINK("https://us2.cloudbeds.com/connect/8493803454333002#/reservations/9080486847478845?display=3VQHDJZ2Q7&amp;reservation_id=9080486847478845", "3VQHDJZ2Q7")</f>
        <v>3VQHDJZ2Q7</v>
      </c>
      <c r="D7421" t="s">
        <v>45</v>
      </c>
      <c r="E7421" t="s">
        <v>190</v>
      </c>
      <c r="F7421" t="s">
        <v>61</v>
      </c>
      <c r="G7421" t="s">
        <v>48</v>
      </c>
      <c r="H7421" t="s">
        <v>49</v>
      </c>
      <c r="I7421" t="s">
        <v>62</v>
      </c>
      <c r="J7421" t="s">
        <v>13140</v>
      </c>
      <c r="K7421" t="s">
        <v>12421</v>
      </c>
      <c r="L7421" t="s">
        <v>53</v>
      </c>
      <c r="N7421" t="s">
        <v>13595</v>
      </c>
      <c r="P7421" t="s">
        <v>55</v>
      </c>
      <c r="R7421" t="s">
        <v>56</v>
      </c>
      <c r="T7421" t="s">
        <v>13596</v>
      </c>
      <c r="U7421" t="s">
        <v>55</v>
      </c>
      <c r="V7421">
        <v>1</v>
      </c>
      <c r="W7421">
        <v>1</v>
      </c>
      <c r="X7421">
        <v>2</v>
      </c>
      <c r="Y7421">
        <v>0</v>
      </c>
      <c r="Z7421">
        <v>2</v>
      </c>
      <c r="AA7421">
        <v>102</v>
      </c>
      <c r="AB7421">
        <v>102</v>
      </c>
      <c r="AC7421">
        <v>102</v>
      </c>
      <c r="AD7421">
        <v>0</v>
      </c>
      <c r="AE7421">
        <v>0</v>
      </c>
      <c r="AF7421">
        <v>0</v>
      </c>
      <c r="AG7421">
        <v>0</v>
      </c>
      <c r="AH7421">
        <v>0</v>
      </c>
      <c r="AI7421">
        <v>18.36</v>
      </c>
      <c r="AJ7421">
        <v>102</v>
      </c>
      <c r="AK7421">
        <v>0</v>
      </c>
      <c r="AL7421" t="s">
        <v>53</v>
      </c>
      <c r="AM7421" t="s">
        <v>53</v>
      </c>
      <c r="AN7421" t="s">
        <v>53</v>
      </c>
      <c r="AO7421" t="s">
        <v>53</v>
      </c>
      <c r="AP7421" t="s">
        <v>53</v>
      </c>
    </row>
    <row r="7422" spans="2:42" x14ac:dyDescent="0.2">
      <c r="B7422" t="s">
        <v>44</v>
      </c>
      <c r="C7422" t="str">
        <f>HYPERLINK("https://us2.cloudbeds.com/connect/8493803454333002#/reservations/9080486847479079?display=3VQNTF8ECW&amp;reservation_id=9080486847479079", "3VQNTF8ECW")</f>
        <v>3VQNTF8ECW</v>
      </c>
      <c r="D7422" t="s">
        <v>45</v>
      </c>
      <c r="E7422" t="s">
        <v>165</v>
      </c>
      <c r="F7422" t="s">
        <v>61</v>
      </c>
      <c r="G7422" t="s">
        <v>48</v>
      </c>
      <c r="H7422" t="s">
        <v>49</v>
      </c>
      <c r="I7422" t="s">
        <v>50</v>
      </c>
      <c r="J7422" t="s">
        <v>12823</v>
      </c>
      <c r="K7422" t="s">
        <v>12958</v>
      </c>
      <c r="L7422" t="s">
        <v>53</v>
      </c>
      <c r="N7422" t="s">
        <v>13597</v>
      </c>
      <c r="P7422" t="s">
        <v>55</v>
      </c>
      <c r="R7422" t="s">
        <v>53</v>
      </c>
      <c r="T7422" t="s">
        <v>13598</v>
      </c>
      <c r="U7422" t="s">
        <v>58</v>
      </c>
      <c r="V7422">
        <v>1</v>
      </c>
      <c r="W7422">
        <v>1</v>
      </c>
      <c r="X7422">
        <v>2</v>
      </c>
      <c r="Y7422">
        <v>0</v>
      </c>
      <c r="Z7422">
        <v>2</v>
      </c>
      <c r="AA7422">
        <v>232.76</v>
      </c>
      <c r="AB7422">
        <v>234.8</v>
      </c>
      <c r="AC7422">
        <v>204.8</v>
      </c>
      <c r="AD7422">
        <v>0</v>
      </c>
      <c r="AE7422">
        <v>30</v>
      </c>
      <c r="AF7422">
        <v>0</v>
      </c>
      <c r="AG7422">
        <v>0</v>
      </c>
      <c r="AH7422">
        <v>0</v>
      </c>
      <c r="AI7422">
        <v>42.26</v>
      </c>
      <c r="AJ7422">
        <v>234.8</v>
      </c>
      <c r="AK7422">
        <v>0</v>
      </c>
      <c r="AL7422" t="s">
        <v>53</v>
      </c>
      <c r="AM7422" t="s">
        <v>53</v>
      </c>
      <c r="AN7422" t="s">
        <v>53</v>
      </c>
      <c r="AO7422" t="s">
        <v>53</v>
      </c>
      <c r="AP7422" t="s">
        <v>53</v>
      </c>
    </row>
    <row r="7423" spans="2:42" x14ac:dyDescent="0.2">
      <c r="B7423" t="s">
        <v>44</v>
      </c>
      <c r="C7423" t="str">
        <f>HYPERLINK("https://us2.cloudbeds.com/connect/8493803454333002#/reservations/9080486847479978?display=3VRFUHDGKH&amp;reservation_id=9080486847479978", "3VRFUHDGKH")</f>
        <v>3VRFUHDGKH</v>
      </c>
      <c r="D7423" t="s">
        <v>45</v>
      </c>
      <c r="E7423" t="s">
        <v>305</v>
      </c>
      <c r="F7423" t="s">
        <v>61</v>
      </c>
      <c r="G7423" t="s">
        <v>48</v>
      </c>
      <c r="H7423" t="s">
        <v>49</v>
      </c>
      <c r="I7423" t="s">
        <v>62</v>
      </c>
      <c r="J7423" t="s">
        <v>13140</v>
      </c>
      <c r="K7423" t="s">
        <v>12421</v>
      </c>
      <c r="L7423" t="s">
        <v>53</v>
      </c>
      <c r="N7423" t="s">
        <v>13599</v>
      </c>
      <c r="P7423" t="s">
        <v>55</v>
      </c>
      <c r="R7423" t="s">
        <v>56</v>
      </c>
      <c r="T7423" t="s">
        <v>13600</v>
      </c>
      <c r="U7423" t="s">
        <v>55</v>
      </c>
      <c r="V7423">
        <v>1</v>
      </c>
      <c r="W7423">
        <v>1</v>
      </c>
      <c r="X7423">
        <v>2</v>
      </c>
      <c r="Y7423">
        <v>0</v>
      </c>
      <c r="Z7423">
        <v>2</v>
      </c>
      <c r="AA7423">
        <v>102</v>
      </c>
      <c r="AB7423">
        <v>102</v>
      </c>
      <c r="AC7423">
        <v>102</v>
      </c>
      <c r="AD7423">
        <v>0</v>
      </c>
      <c r="AE7423">
        <v>0</v>
      </c>
      <c r="AF7423">
        <v>0</v>
      </c>
      <c r="AG7423">
        <v>0</v>
      </c>
      <c r="AH7423">
        <v>0</v>
      </c>
      <c r="AI7423">
        <v>18.36</v>
      </c>
      <c r="AJ7423">
        <v>102</v>
      </c>
      <c r="AK7423">
        <v>0</v>
      </c>
      <c r="AL7423" t="s">
        <v>53</v>
      </c>
      <c r="AM7423" t="s">
        <v>53</v>
      </c>
      <c r="AN7423" t="s">
        <v>53</v>
      </c>
      <c r="AO7423" t="s">
        <v>53</v>
      </c>
      <c r="AP7423" t="s">
        <v>53</v>
      </c>
    </row>
    <row r="7424" spans="2:42" x14ac:dyDescent="0.2">
      <c r="B7424" t="s">
        <v>44</v>
      </c>
      <c r="C7424" t="str">
        <f>HYPERLINK("https://us2.cloudbeds.com/connect/8493803454333002#/reservations/9080486847480317?display=3VRP3C9YYT&amp;reservation_id=9080486847480317", "3VRP3C9YYT")</f>
        <v>3VRP3C9YYT</v>
      </c>
      <c r="D7424" t="s">
        <v>45</v>
      </c>
      <c r="E7424" t="s">
        <v>13601</v>
      </c>
      <c r="F7424" t="s">
        <v>47</v>
      </c>
      <c r="G7424" t="s">
        <v>48</v>
      </c>
      <c r="H7424" t="s">
        <v>49</v>
      </c>
      <c r="I7424" t="s">
        <v>62</v>
      </c>
      <c r="J7424" t="s">
        <v>12421</v>
      </c>
      <c r="K7424" t="s">
        <v>13060</v>
      </c>
      <c r="L7424" t="s">
        <v>53</v>
      </c>
      <c r="N7424" t="s">
        <v>13602</v>
      </c>
      <c r="P7424" t="s">
        <v>55</v>
      </c>
      <c r="R7424" t="s">
        <v>56</v>
      </c>
      <c r="T7424" t="s">
        <v>13603</v>
      </c>
      <c r="U7424" t="s">
        <v>55</v>
      </c>
      <c r="V7424">
        <v>2</v>
      </c>
      <c r="W7424">
        <v>2</v>
      </c>
      <c r="X7424">
        <v>4</v>
      </c>
      <c r="Y7424">
        <v>0</v>
      </c>
      <c r="Z7424">
        <v>4</v>
      </c>
      <c r="AA7424">
        <v>193.8</v>
      </c>
      <c r="AB7424">
        <v>193.8</v>
      </c>
      <c r="AC7424">
        <v>193.8</v>
      </c>
      <c r="AD7424">
        <v>0</v>
      </c>
      <c r="AE7424">
        <v>0</v>
      </c>
      <c r="AF7424">
        <v>0</v>
      </c>
      <c r="AG7424">
        <v>0</v>
      </c>
      <c r="AH7424">
        <v>0</v>
      </c>
      <c r="AI7424">
        <v>34.880000000000003</v>
      </c>
      <c r="AJ7424">
        <v>193.8</v>
      </c>
      <c r="AK7424">
        <v>0</v>
      </c>
      <c r="AL7424" t="s">
        <v>53</v>
      </c>
      <c r="AM7424" t="s">
        <v>53</v>
      </c>
      <c r="AN7424" t="s">
        <v>13604</v>
      </c>
      <c r="AO7424" t="s">
        <v>53</v>
      </c>
      <c r="AP7424" t="s">
        <v>53</v>
      </c>
    </row>
    <row r="7425" spans="2:42" x14ac:dyDescent="0.2">
      <c r="B7425" t="s">
        <v>44</v>
      </c>
      <c r="C7425" t="str">
        <f>HYPERLINK("https://us2.cloudbeds.com/connect/8493803454333002#/reservations/9080486847480456?display=3VRSK0VSDG&amp;reservation_id=9080486847480456", "3VRSK0VSDG")</f>
        <v>3VRSK0VSDG</v>
      </c>
      <c r="D7425" t="s">
        <v>602</v>
      </c>
      <c r="E7425" t="s">
        <v>53</v>
      </c>
      <c r="F7425" t="s">
        <v>86</v>
      </c>
      <c r="G7425" t="s">
        <v>48</v>
      </c>
      <c r="H7425" t="s">
        <v>49</v>
      </c>
      <c r="I7425" t="s">
        <v>50</v>
      </c>
      <c r="J7425" t="s">
        <v>12117</v>
      </c>
      <c r="K7425" t="s">
        <v>13024</v>
      </c>
      <c r="L7425" t="s">
        <v>53</v>
      </c>
      <c r="N7425" t="s">
        <v>13605</v>
      </c>
      <c r="P7425" t="s">
        <v>55</v>
      </c>
      <c r="R7425" t="s">
        <v>53</v>
      </c>
      <c r="T7425" t="s">
        <v>13606</v>
      </c>
      <c r="U7425" t="s">
        <v>58</v>
      </c>
      <c r="V7425">
        <v>1</v>
      </c>
      <c r="W7425">
        <v>1</v>
      </c>
      <c r="X7425">
        <v>2</v>
      </c>
      <c r="Y7425">
        <v>0</v>
      </c>
      <c r="Z7425">
        <v>2</v>
      </c>
      <c r="AA7425">
        <v>125.8</v>
      </c>
      <c r="AB7425">
        <v>125.8</v>
      </c>
      <c r="AC7425">
        <v>0</v>
      </c>
      <c r="AD7425">
        <v>0</v>
      </c>
      <c r="AE7425">
        <v>0</v>
      </c>
      <c r="AF7425">
        <v>0</v>
      </c>
      <c r="AG7425">
        <v>0</v>
      </c>
      <c r="AH7425">
        <v>0</v>
      </c>
      <c r="AI7425">
        <v>22.64</v>
      </c>
      <c r="AJ7425">
        <v>0</v>
      </c>
      <c r="AK7425">
        <v>-125.8</v>
      </c>
      <c r="AL7425">
        <v>110.7</v>
      </c>
      <c r="AM7425">
        <v>125.8</v>
      </c>
      <c r="AN7425" t="s">
        <v>53</v>
      </c>
      <c r="AO7425" t="s">
        <v>53</v>
      </c>
      <c r="AP7425" t="s">
        <v>53</v>
      </c>
    </row>
    <row r="7426" spans="2:42" x14ac:dyDescent="0.2">
      <c r="B7426" t="s">
        <v>44</v>
      </c>
      <c r="C7426" t="str">
        <f>HYPERLINK("https://us2.cloudbeds.com/connect/8493803454333002#/reservations/9080486847480698?display=3VS3FKEZ58&amp;reservation_id=9080486847480698", "3VS3FKEZ58")</f>
        <v>3VS3FKEZ58</v>
      </c>
      <c r="D7426" t="s">
        <v>45</v>
      </c>
      <c r="E7426" t="s">
        <v>265</v>
      </c>
      <c r="F7426" t="s">
        <v>61</v>
      </c>
      <c r="G7426" t="s">
        <v>48</v>
      </c>
      <c r="H7426" t="s">
        <v>49</v>
      </c>
      <c r="I7426" t="s">
        <v>8964</v>
      </c>
      <c r="J7426" t="s">
        <v>13140</v>
      </c>
      <c r="K7426" t="s">
        <v>12421</v>
      </c>
      <c r="L7426" t="s">
        <v>53</v>
      </c>
      <c r="N7426" t="s">
        <v>13607</v>
      </c>
      <c r="P7426" t="s">
        <v>55</v>
      </c>
      <c r="R7426" t="s">
        <v>53</v>
      </c>
      <c r="T7426" t="s">
        <v>13608</v>
      </c>
      <c r="U7426" t="s">
        <v>55</v>
      </c>
      <c r="V7426">
        <v>1</v>
      </c>
      <c r="W7426">
        <v>1</v>
      </c>
      <c r="X7426">
        <v>1</v>
      </c>
      <c r="Y7426">
        <v>0</v>
      </c>
      <c r="Z7426">
        <v>1</v>
      </c>
      <c r="AA7426">
        <v>0</v>
      </c>
      <c r="AB7426">
        <v>0</v>
      </c>
      <c r="AC7426">
        <v>123</v>
      </c>
      <c r="AD7426">
        <v>0</v>
      </c>
      <c r="AE7426">
        <v>0</v>
      </c>
      <c r="AF7426">
        <v>0</v>
      </c>
      <c r="AG7426">
        <v>0</v>
      </c>
      <c r="AH7426">
        <v>0</v>
      </c>
      <c r="AI7426">
        <v>18.45</v>
      </c>
      <c r="AJ7426">
        <v>123</v>
      </c>
      <c r="AK7426">
        <v>123</v>
      </c>
      <c r="AL7426" t="s">
        <v>53</v>
      </c>
      <c r="AM7426" t="s">
        <v>53</v>
      </c>
      <c r="AN7426" t="s">
        <v>13609</v>
      </c>
      <c r="AO7426" t="s">
        <v>53</v>
      </c>
      <c r="AP7426" t="s">
        <v>53</v>
      </c>
    </row>
    <row r="7427" spans="2:42" x14ac:dyDescent="0.2">
      <c r="B7427" t="s">
        <v>44</v>
      </c>
      <c r="C7427" t="str">
        <f>HYPERLINK("https://us2.cloudbeds.com/connect/8493803454333002#/reservations/9080486847480728?display=3VS3W3RR5V&amp;reservation_id=9080486847480728", "3VS3W3RR5V")</f>
        <v>3VS3W3RR5V</v>
      </c>
      <c r="D7427" t="s">
        <v>45</v>
      </c>
      <c r="E7427" t="s">
        <v>128</v>
      </c>
      <c r="F7427" t="s">
        <v>86</v>
      </c>
      <c r="G7427" t="s">
        <v>48</v>
      </c>
      <c r="H7427" t="s">
        <v>49</v>
      </c>
      <c r="I7427" t="s">
        <v>62</v>
      </c>
      <c r="J7427" t="s">
        <v>13140</v>
      </c>
      <c r="K7427" t="s">
        <v>12421</v>
      </c>
      <c r="L7427" t="s">
        <v>53</v>
      </c>
      <c r="N7427" t="s">
        <v>13610</v>
      </c>
      <c r="P7427" t="s">
        <v>55</v>
      </c>
      <c r="R7427" t="s">
        <v>56</v>
      </c>
      <c r="T7427" t="s">
        <v>13611</v>
      </c>
      <c r="U7427" t="s">
        <v>55</v>
      </c>
      <c r="V7427">
        <v>1</v>
      </c>
      <c r="W7427">
        <v>1</v>
      </c>
      <c r="X7427">
        <v>4</v>
      </c>
      <c r="Y7427">
        <v>0</v>
      </c>
      <c r="Z7427">
        <v>4</v>
      </c>
      <c r="AA7427">
        <v>119.85</v>
      </c>
      <c r="AB7427">
        <v>119.85</v>
      </c>
      <c r="AC7427">
        <v>119.85</v>
      </c>
      <c r="AD7427">
        <v>0</v>
      </c>
      <c r="AE7427">
        <v>0</v>
      </c>
      <c r="AF7427">
        <v>0</v>
      </c>
      <c r="AG7427">
        <v>0</v>
      </c>
      <c r="AH7427">
        <v>0</v>
      </c>
      <c r="AI7427">
        <v>21.57</v>
      </c>
      <c r="AJ7427">
        <v>119.85</v>
      </c>
      <c r="AK7427">
        <v>0</v>
      </c>
      <c r="AL7427" t="s">
        <v>53</v>
      </c>
      <c r="AM7427" t="s">
        <v>53</v>
      </c>
      <c r="AN7427" t="s">
        <v>53</v>
      </c>
      <c r="AO7427" t="s">
        <v>53</v>
      </c>
      <c r="AP7427" t="s">
        <v>53</v>
      </c>
    </row>
    <row r="7428" spans="2:42" x14ac:dyDescent="0.2">
      <c r="B7428" t="s">
        <v>44</v>
      </c>
      <c r="C7428" t="str">
        <f>HYPERLINK("https://us2.cloudbeds.com/connect/8493803454333002#/reservations/9080486847481735?display=3VT6EHAB32&amp;reservation_id=9080486847481735", "3VT6EHAB32")</f>
        <v>3VT6EHAB32</v>
      </c>
      <c r="D7428" t="s">
        <v>45</v>
      </c>
      <c r="E7428" t="s">
        <v>113</v>
      </c>
      <c r="F7428" t="s">
        <v>61</v>
      </c>
      <c r="G7428" t="s">
        <v>48</v>
      </c>
      <c r="H7428" t="s">
        <v>49</v>
      </c>
      <c r="I7428" t="s">
        <v>50</v>
      </c>
      <c r="J7428" t="s">
        <v>13612</v>
      </c>
      <c r="K7428" t="s">
        <v>10598</v>
      </c>
      <c r="L7428" t="s">
        <v>53</v>
      </c>
      <c r="N7428" t="s">
        <v>13613</v>
      </c>
      <c r="P7428" t="s">
        <v>55</v>
      </c>
      <c r="R7428" t="s">
        <v>53</v>
      </c>
      <c r="T7428" t="s">
        <v>13614</v>
      </c>
      <c r="U7428" t="s">
        <v>58</v>
      </c>
      <c r="V7428">
        <v>1</v>
      </c>
      <c r="W7428">
        <v>1</v>
      </c>
      <c r="X7428">
        <v>2</v>
      </c>
      <c r="Y7428">
        <v>0</v>
      </c>
      <c r="Z7428">
        <v>2</v>
      </c>
      <c r="AA7428">
        <v>124.38</v>
      </c>
      <c r="AB7428">
        <v>125.47</v>
      </c>
      <c r="AC7428">
        <v>109.44</v>
      </c>
      <c r="AD7428">
        <v>0</v>
      </c>
      <c r="AE7428">
        <v>16.03</v>
      </c>
      <c r="AF7428">
        <v>0</v>
      </c>
      <c r="AG7428">
        <v>0</v>
      </c>
      <c r="AH7428">
        <v>0</v>
      </c>
      <c r="AI7428">
        <v>22.58</v>
      </c>
      <c r="AJ7428">
        <v>125.47</v>
      </c>
      <c r="AK7428">
        <v>0</v>
      </c>
      <c r="AL7428" t="s">
        <v>53</v>
      </c>
      <c r="AM7428" t="s">
        <v>53</v>
      </c>
      <c r="AN7428" t="s">
        <v>53</v>
      </c>
      <c r="AO7428" t="s">
        <v>53</v>
      </c>
      <c r="AP7428" t="s">
        <v>53</v>
      </c>
    </row>
    <row r="7429" spans="2:42" x14ac:dyDescent="0.2">
      <c r="B7429" t="s">
        <v>44</v>
      </c>
      <c r="C7429" t="str">
        <f>HYPERLINK("https://us2.cloudbeds.com/connect/8493803454333002#/reservations/9080486847481748?display=3VT6NYD9U4&amp;reservation_id=9080486847481748", "3VT6NYD9U4")</f>
        <v>3VT6NYD9U4</v>
      </c>
      <c r="D7429" t="s">
        <v>45</v>
      </c>
      <c r="E7429" t="s">
        <v>128</v>
      </c>
      <c r="F7429" t="s">
        <v>86</v>
      </c>
      <c r="G7429" t="s">
        <v>48</v>
      </c>
      <c r="H7429" t="s">
        <v>49</v>
      </c>
      <c r="I7429" t="s">
        <v>50</v>
      </c>
      <c r="J7429" t="s">
        <v>13612</v>
      </c>
      <c r="K7429" t="s">
        <v>10598</v>
      </c>
      <c r="L7429" t="s">
        <v>53</v>
      </c>
      <c r="N7429" t="s">
        <v>13615</v>
      </c>
      <c r="P7429" t="s">
        <v>55</v>
      </c>
      <c r="R7429" t="s">
        <v>53</v>
      </c>
      <c r="T7429" t="s">
        <v>13616</v>
      </c>
      <c r="U7429" t="s">
        <v>58</v>
      </c>
      <c r="V7429">
        <v>1</v>
      </c>
      <c r="W7429">
        <v>1</v>
      </c>
      <c r="X7429">
        <v>2</v>
      </c>
      <c r="Y7429">
        <v>0</v>
      </c>
      <c r="Z7429">
        <v>2</v>
      </c>
      <c r="AA7429">
        <v>139.11000000000001</v>
      </c>
      <c r="AB7429">
        <v>140.33000000000001</v>
      </c>
      <c r="AC7429">
        <v>122.4</v>
      </c>
      <c r="AD7429">
        <v>0</v>
      </c>
      <c r="AE7429">
        <v>17.93</v>
      </c>
      <c r="AF7429">
        <v>0</v>
      </c>
      <c r="AG7429">
        <v>0</v>
      </c>
      <c r="AH7429">
        <v>0</v>
      </c>
      <c r="AI7429">
        <v>25.26</v>
      </c>
      <c r="AJ7429">
        <v>140.33000000000001</v>
      </c>
      <c r="AK7429">
        <v>0</v>
      </c>
      <c r="AL7429" t="s">
        <v>53</v>
      </c>
      <c r="AM7429" t="s">
        <v>53</v>
      </c>
      <c r="AN7429" t="s">
        <v>53</v>
      </c>
      <c r="AO7429" t="s">
        <v>53</v>
      </c>
      <c r="AP7429" t="s">
        <v>53</v>
      </c>
    </row>
    <row r="7430" spans="2:42" x14ac:dyDescent="0.2">
      <c r="B7430" t="s">
        <v>44</v>
      </c>
      <c r="C7430" t="str">
        <f>HYPERLINK("https://us2.cloudbeds.com/connect/8493803454333002#/reservations/184092560449744?display=3VTX6K7Z50&amp;reservation_id=184092560449744", "3VTX6K7Z50")</f>
        <v>3VTX6K7Z50</v>
      </c>
      <c r="D7430" t="s">
        <v>45</v>
      </c>
      <c r="E7430" t="s">
        <v>121</v>
      </c>
      <c r="F7430" t="s">
        <v>86</v>
      </c>
      <c r="G7430" t="s">
        <v>48</v>
      </c>
      <c r="H7430" t="s">
        <v>3957</v>
      </c>
      <c r="I7430" t="s">
        <v>3958</v>
      </c>
      <c r="J7430" t="s">
        <v>13140</v>
      </c>
      <c r="K7430" t="s">
        <v>12421</v>
      </c>
      <c r="L7430" t="s">
        <v>53</v>
      </c>
      <c r="P7430" t="s">
        <v>55</v>
      </c>
      <c r="R7430" t="s">
        <v>56</v>
      </c>
      <c r="T7430" t="s">
        <v>13617</v>
      </c>
      <c r="U7430" t="s">
        <v>58</v>
      </c>
      <c r="V7430">
        <v>1</v>
      </c>
      <c r="W7430">
        <v>1</v>
      </c>
      <c r="X7430">
        <v>1</v>
      </c>
      <c r="Y7430">
        <v>0</v>
      </c>
      <c r="Z7430">
        <v>1</v>
      </c>
      <c r="AA7430">
        <v>160.25</v>
      </c>
      <c r="AB7430">
        <v>160.25</v>
      </c>
      <c r="AC7430">
        <v>141</v>
      </c>
      <c r="AD7430">
        <v>0</v>
      </c>
      <c r="AE7430">
        <v>19.25</v>
      </c>
      <c r="AF7430">
        <v>0</v>
      </c>
      <c r="AG7430">
        <v>0</v>
      </c>
      <c r="AH7430">
        <v>0</v>
      </c>
      <c r="AI7430">
        <v>0</v>
      </c>
      <c r="AJ7430">
        <v>160.25</v>
      </c>
      <c r="AK7430">
        <v>0</v>
      </c>
      <c r="AL7430" t="s">
        <v>53</v>
      </c>
      <c r="AM7430" t="s">
        <v>53</v>
      </c>
      <c r="AN7430" t="s">
        <v>53</v>
      </c>
      <c r="AO7430" t="s">
        <v>53</v>
      </c>
      <c r="AP7430" t="s">
        <v>53</v>
      </c>
    </row>
    <row r="7431" spans="2:42" x14ac:dyDescent="0.2">
      <c r="B7431" t="s">
        <v>44</v>
      </c>
      <c r="C7431" t="str">
        <f>HYPERLINK("https://us2.cloudbeds.com/connect/8493803454333002#/reservations/9080486847482109?display=3VTKD5C84A&amp;reservation_id=9080486847482109", "3VTKD5C84A")</f>
        <v>3VTKD5C84A</v>
      </c>
      <c r="D7431" t="s">
        <v>45</v>
      </c>
      <c r="E7431" t="s">
        <v>138</v>
      </c>
      <c r="F7431" t="s">
        <v>70</v>
      </c>
      <c r="G7431" t="s">
        <v>48</v>
      </c>
      <c r="H7431" t="s">
        <v>49</v>
      </c>
      <c r="I7431" t="s">
        <v>62</v>
      </c>
      <c r="J7431" t="s">
        <v>13060</v>
      </c>
      <c r="K7431" t="s">
        <v>13061</v>
      </c>
      <c r="L7431" t="s">
        <v>53</v>
      </c>
      <c r="N7431" t="s">
        <v>13618</v>
      </c>
      <c r="P7431" t="s">
        <v>55</v>
      </c>
      <c r="R7431" t="s">
        <v>56</v>
      </c>
      <c r="T7431" t="s">
        <v>13619</v>
      </c>
      <c r="U7431" t="s">
        <v>55</v>
      </c>
      <c r="V7431">
        <v>1</v>
      </c>
      <c r="W7431">
        <v>1</v>
      </c>
      <c r="X7431">
        <v>2</v>
      </c>
      <c r="Y7431">
        <v>0</v>
      </c>
      <c r="Z7431">
        <v>2</v>
      </c>
      <c r="AA7431">
        <v>59.5</v>
      </c>
      <c r="AB7431">
        <v>59.5</v>
      </c>
      <c r="AC7431">
        <v>59.5</v>
      </c>
      <c r="AD7431">
        <v>0</v>
      </c>
      <c r="AE7431">
        <v>0</v>
      </c>
      <c r="AF7431">
        <v>0</v>
      </c>
      <c r="AG7431">
        <v>0</v>
      </c>
      <c r="AH7431">
        <v>0</v>
      </c>
      <c r="AI7431">
        <v>10.71</v>
      </c>
      <c r="AJ7431">
        <v>59.5</v>
      </c>
      <c r="AK7431">
        <v>0</v>
      </c>
      <c r="AL7431" t="s">
        <v>53</v>
      </c>
      <c r="AM7431" t="s">
        <v>53</v>
      </c>
      <c r="AN7431" t="s">
        <v>13620</v>
      </c>
      <c r="AO7431" t="s">
        <v>53</v>
      </c>
      <c r="AP7431" t="s">
        <v>53</v>
      </c>
    </row>
    <row r="7432" spans="2:42" x14ac:dyDescent="0.2">
      <c r="B7432" t="s">
        <v>44</v>
      </c>
      <c r="C7432" t="str">
        <f>HYPERLINK("https://us2.cloudbeds.com/connect/8493803454333002#/reservations/184101984915675?display=3VTPGE6CRN&amp;reservation_id=184101984915675", "3VTPGE6CRN")</f>
        <v>3VTPGE6CRN</v>
      </c>
      <c r="D7432" t="s">
        <v>45</v>
      </c>
      <c r="E7432" t="s">
        <v>190</v>
      </c>
      <c r="F7432" t="s">
        <v>61</v>
      </c>
      <c r="G7432" t="s">
        <v>48</v>
      </c>
      <c r="H7432" t="s">
        <v>3957</v>
      </c>
      <c r="I7432" t="s">
        <v>3958</v>
      </c>
      <c r="J7432" t="s">
        <v>12421</v>
      </c>
      <c r="K7432" t="s">
        <v>13060</v>
      </c>
      <c r="L7432" t="s">
        <v>53</v>
      </c>
      <c r="P7432" t="s">
        <v>55</v>
      </c>
      <c r="R7432" t="s">
        <v>56</v>
      </c>
      <c r="T7432" t="s">
        <v>13621</v>
      </c>
      <c r="U7432" t="s">
        <v>58</v>
      </c>
      <c r="V7432">
        <v>1</v>
      </c>
      <c r="W7432">
        <v>1</v>
      </c>
      <c r="X7432">
        <v>1</v>
      </c>
      <c r="Y7432">
        <v>0</v>
      </c>
      <c r="Z7432">
        <v>1</v>
      </c>
      <c r="AA7432">
        <v>138.66</v>
      </c>
      <c r="AB7432">
        <v>138.66</v>
      </c>
      <c r="AC7432">
        <v>122</v>
      </c>
      <c r="AD7432">
        <v>0</v>
      </c>
      <c r="AE7432">
        <v>16.66</v>
      </c>
      <c r="AF7432">
        <v>0</v>
      </c>
      <c r="AG7432">
        <v>0</v>
      </c>
      <c r="AH7432">
        <v>0</v>
      </c>
      <c r="AI7432">
        <v>0</v>
      </c>
      <c r="AJ7432">
        <v>138.66</v>
      </c>
      <c r="AK7432">
        <v>0</v>
      </c>
      <c r="AL7432" t="s">
        <v>53</v>
      </c>
      <c r="AM7432" t="s">
        <v>53</v>
      </c>
      <c r="AN7432" t="s">
        <v>53</v>
      </c>
      <c r="AO7432" t="s">
        <v>53</v>
      </c>
      <c r="AP7432" t="s">
        <v>53</v>
      </c>
    </row>
    <row r="7433" spans="2:42" x14ac:dyDescent="0.2">
      <c r="B7433" t="s">
        <v>44</v>
      </c>
      <c r="C7433" t="str">
        <f>HYPERLINK("https://us2.cloudbeds.com/connect/8493803454333002#/reservations/9080486847482935?display=3VUZG45MGN&amp;reservation_id=9080486847482935", "3VUZG45MGN")</f>
        <v>3VUZG45MGN</v>
      </c>
      <c r="D7433" t="s">
        <v>45</v>
      </c>
      <c r="E7433" t="s">
        <v>185</v>
      </c>
      <c r="F7433" t="s">
        <v>47</v>
      </c>
      <c r="G7433" t="s">
        <v>48</v>
      </c>
      <c r="H7433" t="s">
        <v>49</v>
      </c>
      <c r="I7433" t="s">
        <v>62</v>
      </c>
      <c r="J7433" t="s">
        <v>12531</v>
      </c>
      <c r="K7433" t="s">
        <v>11067</v>
      </c>
      <c r="L7433" t="s">
        <v>53</v>
      </c>
      <c r="N7433" t="s">
        <v>13622</v>
      </c>
      <c r="P7433" t="s">
        <v>55</v>
      </c>
      <c r="R7433" t="s">
        <v>56</v>
      </c>
      <c r="T7433" t="s">
        <v>13623</v>
      </c>
      <c r="U7433" t="s">
        <v>55</v>
      </c>
      <c r="V7433">
        <v>1</v>
      </c>
      <c r="W7433">
        <v>1</v>
      </c>
      <c r="X7433">
        <v>2</v>
      </c>
      <c r="Y7433">
        <v>0</v>
      </c>
      <c r="Z7433">
        <v>2</v>
      </c>
      <c r="AA7433">
        <v>68.64</v>
      </c>
      <c r="AB7433">
        <v>68.64</v>
      </c>
      <c r="AC7433">
        <v>68.64</v>
      </c>
      <c r="AD7433">
        <v>0</v>
      </c>
      <c r="AE7433">
        <v>0</v>
      </c>
      <c r="AF7433">
        <v>0</v>
      </c>
      <c r="AG7433">
        <v>0</v>
      </c>
      <c r="AH7433">
        <v>0</v>
      </c>
      <c r="AI7433">
        <v>12.36</v>
      </c>
      <c r="AJ7433">
        <v>68.64</v>
      </c>
      <c r="AK7433">
        <v>0</v>
      </c>
      <c r="AL7433" t="s">
        <v>53</v>
      </c>
      <c r="AM7433" t="s">
        <v>53</v>
      </c>
      <c r="AN7433" t="s">
        <v>53</v>
      </c>
      <c r="AO7433" t="s">
        <v>53</v>
      </c>
      <c r="AP7433" t="s">
        <v>53</v>
      </c>
    </row>
    <row r="7434" spans="2:42" x14ac:dyDescent="0.2">
      <c r="B7434" t="s">
        <v>44</v>
      </c>
      <c r="C7434" t="str">
        <f>HYPERLINK("https://us2.cloudbeds.com/connect/8493803454333002#/reservations/9080486847483124?display=3VV1C8ZNRS&amp;reservation_id=9080486847483124", "3VV1C8ZNRS")</f>
        <v>3VV1C8ZNRS</v>
      </c>
      <c r="D7434" t="s">
        <v>45</v>
      </c>
      <c r="E7434" t="s">
        <v>165</v>
      </c>
      <c r="F7434" t="s">
        <v>61</v>
      </c>
      <c r="G7434" t="s">
        <v>48</v>
      </c>
      <c r="H7434" t="s">
        <v>49</v>
      </c>
      <c r="I7434" t="s">
        <v>62</v>
      </c>
      <c r="J7434" t="s">
        <v>13060</v>
      </c>
      <c r="K7434" t="s">
        <v>13061</v>
      </c>
      <c r="L7434" t="s">
        <v>53</v>
      </c>
      <c r="N7434" t="s">
        <v>13624</v>
      </c>
      <c r="P7434" t="s">
        <v>55</v>
      </c>
      <c r="R7434" t="s">
        <v>56</v>
      </c>
      <c r="T7434" t="s">
        <v>13625</v>
      </c>
      <c r="U7434" t="s">
        <v>55</v>
      </c>
      <c r="V7434">
        <v>1</v>
      </c>
      <c r="W7434">
        <v>1</v>
      </c>
      <c r="X7434">
        <v>2</v>
      </c>
      <c r="Y7434">
        <v>0</v>
      </c>
      <c r="Z7434">
        <v>2</v>
      </c>
      <c r="AA7434">
        <v>101.15</v>
      </c>
      <c r="AB7434">
        <v>101.15</v>
      </c>
      <c r="AC7434">
        <v>101.15</v>
      </c>
      <c r="AD7434">
        <v>0</v>
      </c>
      <c r="AE7434">
        <v>0</v>
      </c>
      <c r="AF7434">
        <v>0</v>
      </c>
      <c r="AG7434">
        <v>0</v>
      </c>
      <c r="AH7434">
        <v>0</v>
      </c>
      <c r="AI7434">
        <v>18.21</v>
      </c>
      <c r="AJ7434">
        <v>101.15</v>
      </c>
      <c r="AK7434">
        <v>0</v>
      </c>
      <c r="AL7434" t="s">
        <v>53</v>
      </c>
      <c r="AM7434" t="s">
        <v>53</v>
      </c>
      <c r="AN7434" t="s">
        <v>13626</v>
      </c>
      <c r="AO7434" t="s">
        <v>53</v>
      </c>
      <c r="AP7434" t="s">
        <v>53</v>
      </c>
    </row>
    <row r="7435" spans="2:42" x14ac:dyDescent="0.2">
      <c r="B7435" t="s">
        <v>44</v>
      </c>
      <c r="C7435" t="str">
        <f>HYPERLINK("https://us2.cloudbeds.com/connect/8493803454333002#/reservations/9080486847485938?display=3W0VU5QQVQ&amp;reservation_id=9080486847485938", "3W0VU5QQVQ")</f>
        <v>3W0VU5QQVQ</v>
      </c>
      <c r="D7435" t="s">
        <v>45</v>
      </c>
      <c r="E7435" t="s">
        <v>381</v>
      </c>
      <c r="F7435" t="s">
        <v>47</v>
      </c>
      <c r="G7435" t="s">
        <v>48</v>
      </c>
      <c r="H7435" t="s">
        <v>49</v>
      </c>
      <c r="I7435" t="s">
        <v>62</v>
      </c>
      <c r="J7435" t="s">
        <v>12421</v>
      </c>
      <c r="K7435" t="s">
        <v>13060</v>
      </c>
      <c r="L7435" t="s">
        <v>53</v>
      </c>
      <c r="N7435" t="s">
        <v>13627</v>
      </c>
      <c r="P7435" t="s">
        <v>55</v>
      </c>
      <c r="R7435" t="s">
        <v>56</v>
      </c>
      <c r="T7435" t="s">
        <v>13628</v>
      </c>
      <c r="U7435" t="s">
        <v>55</v>
      </c>
      <c r="V7435">
        <v>1</v>
      </c>
      <c r="W7435">
        <v>1</v>
      </c>
      <c r="X7435">
        <v>2</v>
      </c>
      <c r="Y7435">
        <v>0</v>
      </c>
      <c r="Z7435">
        <v>2</v>
      </c>
      <c r="AA7435">
        <v>90.1</v>
      </c>
      <c r="AB7435">
        <v>90.1</v>
      </c>
      <c r="AC7435">
        <v>90.1</v>
      </c>
      <c r="AD7435">
        <v>0</v>
      </c>
      <c r="AE7435">
        <v>0</v>
      </c>
      <c r="AF7435">
        <v>0</v>
      </c>
      <c r="AG7435">
        <v>0</v>
      </c>
      <c r="AH7435">
        <v>0</v>
      </c>
      <c r="AI7435">
        <v>16.22</v>
      </c>
      <c r="AJ7435">
        <v>90.1</v>
      </c>
      <c r="AK7435">
        <v>0</v>
      </c>
      <c r="AL7435" t="s">
        <v>53</v>
      </c>
      <c r="AM7435" t="s">
        <v>53</v>
      </c>
      <c r="AN7435" t="s">
        <v>13629</v>
      </c>
      <c r="AO7435" t="s">
        <v>53</v>
      </c>
      <c r="AP7435" t="s">
        <v>53</v>
      </c>
    </row>
    <row r="7436" spans="2:42" x14ac:dyDescent="0.2">
      <c r="B7436" t="s">
        <v>44</v>
      </c>
      <c r="C7436" t="str">
        <f>HYPERLINK("https://us2.cloudbeds.com/connect/8493803454333002#/reservations/9080486847486705?display=3W1X92HMV2&amp;reservation_id=9080486847486705", "3W1X92HMV2")</f>
        <v>3W1X92HMV2</v>
      </c>
      <c r="D7436" t="s">
        <v>45</v>
      </c>
      <c r="E7436" t="s">
        <v>113</v>
      </c>
      <c r="F7436" t="s">
        <v>61</v>
      </c>
      <c r="G7436" t="s">
        <v>48</v>
      </c>
      <c r="H7436" t="s">
        <v>49</v>
      </c>
      <c r="I7436" t="s">
        <v>62</v>
      </c>
      <c r="J7436" t="s">
        <v>12421</v>
      </c>
      <c r="K7436" t="s">
        <v>13060</v>
      </c>
      <c r="L7436" t="s">
        <v>53</v>
      </c>
      <c r="N7436" t="s">
        <v>13630</v>
      </c>
      <c r="P7436" t="s">
        <v>55</v>
      </c>
      <c r="R7436" t="s">
        <v>56</v>
      </c>
      <c r="T7436" t="s">
        <v>13631</v>
      </c>
      <c r="U7436" t="s">
        <v>55</v>
      </c>
      <c r="V7436">
        <v>1</v>
      </c>
      <c r="W7436">
        <v>1</v>
      </c>
      <c r="X7436">
        <v>2</v>
      </c>
      <c r="Y7436">
        <v>0</v>
      </c>
      <c r="Z7436">
        <v>2</v>
      </c>
      <c r="AA7436">
        <v>96.05</v>
      </c>
      <c r="AB7436">
        <v>96.05</v>
      </c>
      <c r="AC7436">
        <v>96.05</v>
      </c>
      <c r="AD7436">
        <v>0</v>
      </c>
      <c r="AE7436">
        <v>0</v>
      </c>
      <c r="AF7436">
        <v>0</v>
      </c>
      <c r="AG7436">
        <v>0</v>
      </c>
      <c r="AH7436">
        <v>0</v>
      </c>
      <c r="AI7436">
        <v>17.29</v>
      </c>
      <c r="AJ7436">
        <v>96.05</v>
      </c>
      <c r="AK7436">
        <v>0</v>
      </c>
      <c r="AL7436" t="s">
        <v>53</v>
      </c>
      <c r="AM7436" t="s">
        <v>53</v>
      </c>
      <c r="AN7436" t="s">
        <v>53</v>
      </c>
      <c r="AO7436" t="s">
        <v>53</v>
      </c>
      <c r="AP7436" t="s">
        <v>53</v>
      </c>
    </row>
    <row r="7437" spans="2:42" x14ac:dyDescent="0.2">
      <c r="B7437" t="s">
        <v>44</v>
      </c>
      <c r="C7437" t="str">
        <f>HYPERLINK("https://us2.cloudbeds.com/connect/8493803454333002#/reservations/9080486847486798?display=3W1KQC4QMN&amp;reservation_id=9080486847486798", "3W1KQC4QMN")</f>
        <v>3W1KQC4QMN</v>
      </c>
      <c r="D7437" t="s">
        <v>45</v>
      </c>
      <c r="E7437" t="s">
        <v>305</v>
      </c>
      <c r="F7437" t="s">
        <v>61</v>
      </c>
      <c r="G7437" t="s">
        <v>48</v>
      </c>
      <c r="H7437" t="s">
        <v>49</v>
      </c>
      <c r="I7437" t="s">
        <v>62</v>
      </c>
      <c r="J7437" t="s">
        <v>12421</v>
      </c>
      <c r="K7437" t="s">
        <v>13060</v>
      </c>
      <c r="L7437" t="s">
        <v>53</v>
      </c>
      <c r="N7437" t="s">
        <v>13632</v>
      </c>
      <c r="P7437" t="s">
        <v>55</v>
      </c>
      <c r="R7437" t="s">
        <v>56</v>
      </c>
      <c r="T7437" t="s">
        <v>13633</v>
      </c>
      <c r="U7437" t="s">
        <v>55</v>
      </c>
      <c r="V7437">
        <v>1</v>
      </c>
      <c r="W7437">
        <v>1</v>
      </c>
      <c r="X7437">
        <v>2</v>
      </c>
      <c r="Y7437">
        <v>0</v>
      </c>
      <c r="Z7437">
        <v>2</v>
      </c>
      <c r="AA7437">
        <v>96.05</v>
      </c>
      <c r="AB7437">
        <v>96.05</v>
      </c>
      <c r="AC7437">
        <v>96.05</v>
      </c>
      <c r="AD7437">
        <v>0</v>
      </c>
      <c r="AE7437">
        <v>0</v>
      </c>
      <c r="AF7437">
        <v>0</v>
      </c>
      <c r="AG7437">
        <v>0</v>
      </c>
      <c r="AH7437">
        <v>0</v>
      </c>
      <c r="AI7437">
        <v>17.29</v>
      </c>
      <c r="AJ7437">
        <v>96.05</v>
      </c>
      <c r="AK7437">
        <v>0</v>
      </c>
      <c r="AL7437" t="s">
        <v>53</v>
      </c>
      <c r="AM7437" t="s">
        <v>53</v>
      </c>
      <c r="AN7437" t="s">
        <v>53</v>
      </c>
      <c r="AO7437" t="s">
        <v>53</v>
      </c>
      <c r="AP7437" t="s">
        <v>53</v>
      </c>
    </row>
    <row r="7438" spans="2:42" x14ac:dyDescent="0.2">
      <c r="B7438" t="s">
        <v>44</v>
      </c>
      <c r="C7438" t="str">
        <f>HYPERLINK("https://us2.cloudbeds.com/connect/8493803454333002#/reservations/9080486847486908?display=3W1MS1JA0R&amp;reservation_id=9080486847486908", "3W1MS1JA0R")</f>
        <v>3W1MS1JA0R</v>
      </c>
      <c r="D7438" t="s">
        <v>45</v>
      </c>
      <c r="E7438" t="s">
        <v>265</v>
      </c>
      <c r="F7438" t="s">
        <v>61</v>
      </c>
      <c r="G7438" t="s">
        <v>48</v>
      </c>
      <c r="H7438" t="s">
        <v>49</v>
      </c>
      <c r="I7438" t="s">
        <v>62</v>
      </c>
      <c r="J7438" t="s">
        <v>12421</v>
      </c>
      <c r="K7438" t="s">
        <v>13060</v>
      </c>
      <c r="L7438" t="s">
        <v>53</v>
      </c>
      <c r="N7438" t="s">
        <v>13634</v>
      </c>
      <c r="P7438" t="s">
        <v>55</v>
      </c>
      <c r="R7438" t="s">
        <v>56</v>
      </c>
      <c r="T7438" t="s">
        <v>13635</v>
      </c>
      <c r="U7438" t="s">
        <v>55</v>
      </c>
      <c r="V7438">
        <v>1</v>
      </c>
      <c r="W7438">
        <v>1</v>
      </c>
      <c r="X7438">
        <v>2</v>
      </c>
      <c r="Y7438">
        <v>0</v>
      </c>
      <c r="Z7438">
        <v>2</v>
      </c>
      <c r="AA7438">
        <v>96.05</v>
      </c>
      <c r="AB7438">
        <v>96.05</v>
      </c>
      <c r="AC7438">
        <v>96.05</v>
      </c>
      <c r="AD7438">
        <v>0</v>
      </c>
      <c r="AE7438">
        <v>0</v>
      </c>
      <c r="AF7438">
        <v>0</v>
      </c>
      <c r="AG7438">
        <v>0</v>
      </c>
      <c r="AH7438">
        <v>0</v>
      </c>
      <c r="AI7438">
        <v>17.29</v>
      </c>
      <c r="AJ7438">
        <v>96.05</v>
      </c>
      <c r="AK7438">
        <v>0</v>
      </c>
      <c r="AL7438" t="s">
        <v>53</v>
      </c>
      <c r="AM7438" t="s">
        <v>53</v>
      </c>
      <c r="AN7438" t="s">
        <v>13636</v>
      </c>
      <c r="AO7438" t="s">
        <v>53</v>
      </c>
      <c r="AP7438" t="s">
        <v>53</v>
      </c>
    </row>
    <row r="7439" spans="2:42" x14ac:dyDescent="0.2">
      <c r="B7439" t="s">
        <v>44</v>
      </c>
      <c r="C7439" t="str">
        <f>HYPERLINK("https://us2.cloudbeds.com/connect/8493803454333002#/reservations/9080486847489300?display=3W3H4TCZFC&amp;reservation_id=9080486847489300", "3W3H4TCZFC")</f>
        <v>3W3H4TCZFC</v>
      </c>
      <c r="D7439" t="s">
        <v>45</v>
      </c>
      <c r="E7439" t="s">
        <v>165</v>
      </c>
      <c r="F7439" t="s">
        <v>61</v>
      </c>
      <c r="G7439" t="s">
        <v>48</v>
      </c>
      <c r="H7439" t="s">
        <v>49</v>
      </c>
      <c r="I7439" t="s">
        <v>50</v>
      </c>
      <c r="J7439" t="s">
        <v>13637</v>
      </c>
      <c r="K7439" t="s">
        <v>13638</v>
      </c>
      <c r="L7439" t="s">
        <v>53</v>
      </c>
      <c r="N7439" t="s">
        <v>13639</v>
      </c>
      <c r="P7439" t="s">
        <v>55</v>
      </c>
      <c r="R7439" t="s">
        <v>53</v>
      </c>
      <c r="T7439" t="s">
        <v>13640</v>
      </c>
      <c r="U7439" t="s">
        <v>58</v>
      </c>
      <c r="V7439">
        <v>1</v>
      </c>
      <c r="W7439">
        <v>1</v>
      </c>
      <c r="X7439">
        <v>2</v>
      </c>
      <c r="Y7439">
        <v>0</v>
      </c>
      <c r="Z7439">
        <v>2</v>
      </c>
      <c r="AA7439">
        <v>111.42</v>
      </c>
      <c r="AB7439">
        <v>111.42</v>
      </c>
      <c r="AC7439">
        <v>98.04</v>
      </c>
      <c r="AD7439">
        <v>0</v>
      </c>
      <c r="AE7439">
        <v>14.36</v>
      </c>
      <c r="AF7439">
        <v>0</v>
      </c>
      <c r="AG7439">
        <v>0</v>
      </c>
      <c r="AH7439">
        <v>0</v>
      </c>
      <c r="AI7439">
        <v>20.23</v>
      </c>
      <c r="AJ7439">
        <v>112.4</v>
      </c>
      <c r="AK7439">
        <v>0.98</v>
      </c>
      <c r="AL7439" t="s">
        <v>53</v>
      </c>
      <c r="AM7439" t="s">
        <v>53</v>
      </c>
      <c r="AN7439" t="s">
        <v>13641</v>
      </c>
      <c r="AO7439" t="s">
        <v>53</v>
      </c>
      <c r="AP7439" t="s">
        <v>53</v>
      </c>
    </row>
    <row r="7440" spans="2:42" x14ac:dyDescent="0.2">
      <c r="B7440" t="s">
        <v>44</v>
      </c>
      <c r="C7440" t="str">
        <f>HYPERLINK("https://us2.cloudbeds.com/connect/8493803454333002#/reservations/9080486847489321?display=3W3HHCY24C&amp;reservation_id=9080486847489321", "3W3HHCY24C")</f>
        <v>3W3HHCY24C</v>
      </c>
      <c r="D7440" t="s">
        <v>45</v>
      </c>
      <c r="E7440" t="s">
        <v>138</v>
      </c>
      <c r="F7440" t="s">
        <v>70</v>
      </c>
      <c r="G7440" t="s">
        <v>48</v>
      </c>
      <c r="H7440" t="s">
        <v>49</v>
      </c>
      <c r="I7440" t="s">
        <v>50</v>
      </c>
      <c r="J7440" t="s">
        <v>13637</v>
      </c>
      <c r="K7440" t="s">
        <v>13638</v>
      </c>
      <c r="L7440" t="s">
        <v>53</v>
      </c>
      <c r="N7440" t="s">
        <v>13642</v>
      </c>
      <c r="P7440" t="s">
        <v>55</v>
      </c>
      <c r="R7440" t="s">
        <v>53</v>
      </c>
      <c r="T7440" t="s">
        <v>13643</v>
      </c>
      <c r="U7440" t="s">
        <v>58</v>
      </c>
      <c r="V7440">
        <v>1</v>
      </c>
      <c r="W7440">
        <v>1</v>
      </c>
      <c r="X7440">
        <v>2</v>
      </c>
      <c r="Y7440">
        <v>0</v>
      </c>
      <c r="Z7440">
        <v>2</v>
      </c>
      <c r="AA7440">
        <v>99.33</v>
      </c>
      <c r="AB7440">
        <v>99.33</v>
      </c>
      <c r="AC7440">
        <v>87.4</v>
      </c>
      <c r="AD7440">
        <v>0</v>
      </c>
      <c r="AE7440">
        <v>12.8</v>
      </c>
      <c r="AF7440">
        <v>0</v>
      </c>
      <c r="AG7440">
        <v>0</v>
      </c>
      <c r="AH7440">
        <v>0</v>
      </c>
      <c r="AI7440">
        <v>18.04</v>
      </c>
      <c r="AJ7440">
        <v>100.2</v>
      </c>
      <c r="AK7440">
        <v>0.87</v>
      </c>
      <c r="AL7440" t="s">
        <v>53</v>
      </c>
      <c r="AM7440" t="s">
        <v>53</v>
      </c>
      <c r="AN7440" t="s">
        <v>53</v>
      </c>
      <c r="AO7440" t="s">
        <v>53</v>
      </c>
      <c r="AP7440" t="s">
        <v>53</v>
      </c>
    </row>
    <row r="7441" spans="2:42" x14ac:dyDescent="0.2">
      <c r="B7441" t="s">
        <v>44</v>
      </c>
      <c r="C7441" t="str">
        <f>HYPERLINK("https://us2.cloudbeds.com/connect/8493803454333002#/reservations/184419585388764?display=3W47DSAZ2W&amp;reservation_id=184419585388764", "3W47DSAZ2W")</f>
        <v>3W47DSAZ2W</v>
      </c>
      <c r="D7441" t="s">
        <v>45</v>
      </c>
      <c r="E7441" t="s">
        <v>121</v>
      </c>
      <c r="F7441" t="s">
        <v>86</v>
      </c>
      <c r="G7441" t="s">
        <v>48</v>
      </c>
      <c r="H7441" t="s">
        <v>3957</v>
      </c>
      <c r="I7441" t="s">
        <v>3958</v>
      </c>
      <c r="J7441" t="s">
        <v>12421</v>
      </c>
      <c r="K7441" t="s">
        <v>13060</v>
      </c>
      <c r="L7441" t="s">
        <v>53</v>
      </c>
      <c r="P7441" t="s">
        <v>55</v>
      </c>
      <c r="R7441" t="s">
        <v>56</v>
      </c>
      <c r="T7441" t="s">
        <v>13644</v>
      </c>
      <c r="U7441" t="s">
        <v>58</v>
      </c>
      <c r="V7441">
        <v>1</v>
      </c>
      <c r="W7441">
        <v>1</v>
      </c>
      <c r="X7441">
        <v>1</v>
      </c>
      <c r="Y7441">
        <v>0</v>
      </c>
      <c r="Z7441">
        <v>1</v>
      </c>
      <c r="AA7441">
        <v>179.57</v>
      </c>
      <c r="AB7441">
        <v>179.57</v>
      </c>
      <c r="AC7441">
        <v>158</v>
      </c>
      <c r="AD7441">
        <v>0</v>
      </c>
      <c r="AE7441">
        <v>21.57</v>
      </c>
      <c r="AF7441">
        <v>0</v>
      </c>
      <c r="AG7441">
        <v>0</v>
      </c>
      <c r="AH7441">
        <v>0</v>
      </c>
      <c r="AI7441">
        <v>0</v>
      </c>
      <c r="AJ7441">
        <v>179.57</v>
      </c>
      <c r="AK7441">
        <v>0</v>
      </c>
      <c r="AL7441" t="s">
        <v>53</v>
      </c>
      <c r="AM7441" t="s">
        <v>53</v>
      </c>
      <c r="AN7441" t="s">
        <v>53</v>
      </c>
      <c r="AO7441" t="s">
        <v>53</v>
      </c>
      <c r="AP7441" t="s">
        <v>53</v>
      </c>
    </row>
    <row r="7442" spans="2:42" x14ac:dyDescent="0.2">
      <c r="B7442" t="s">
        <v>44</v>
      </c>
      <c r="C7442" t="str">
        <f>HYPERLINK("https://us2.cloudbeds.com/connect/8493803454333002#/reservations/9080486847493763?display=3W8NN87EWG&amp;reservation_id=9080486847493763", "3W8NN87EWG")</f>
        <v>3W8NN87EWG</v>
      </c>
      <c r="D7442" t="s">
        <v>45</v>
      </c>
      <c r="E7442" t="s">
        <v>85</v>
      </c>
      <c r="F7442" t="s">
        <v>86</v>
      </c>
      <c r="G7442" t="s">
        <v>48</v>
      </c>
      <c r="H7442" t="s">
        <v>49</v>
      </c>
      <c r="I7442" t="s">
        <v>8964</v>
      </c>
      <c r="J7442" t="s">
        <v>13060</v>
      </c>
      <c r="K7442" t="s">
        <v>13061</v>
      </c>
      <c r="L7442" t="s">
        <v>53</v>
      </c>
      <c r="N7442" t="s">
        <v>13645</v>
      </c>
      <c r="P7442" t="s">
        <v>55</v>
      </c>
      <c r="R7442" t="s">
        <v>53</v>
      </c>
      <c r="T7442" t="s">
        <v>13646</v>
      </c>
      <c r="U7442" t="s">
        <v>55</v>
      </c>
      <c r="V7442">
        <v>1</v>
      </c>
      <c r="W7442">
        <v>1</v>
      </c>
      <c r="X7442">
        <v>1</v>
      </c>
      <c r="Y7442">
        <v>0</v>
      </c>
      <c r="Z7442">
        <v>1</v>
      </c>
      <c r="AA7442">
        <v>133</v>
      </c>
      <c r="AB7442">
        <v>0</v>
      </c>
      <c r="AC7442">
        <v>133</v>
      </c>
      <c r="AD7442">
        <v>0</v>
      </c>
      <c r="AE7442">
        <v>0</v>
      </c>
      <c r="AF7442">
        <v>0</v>
      </c>
      <c r="AG7442">
        <v>0</v>
      </c>
      <c r="AH7442">
        <v>0</v>
      </c>
      <c r="AI7442">
        <v>19.95</v>
      </c>
      <c r="AJ7442">
        <v>133</v>
      </c>
      <c r="AK7442">
        <v>133</v>
      </c>
      <c r="AL7442" t="s">
        <v>53</v>
      </c>
      <c r="AM7442" t="s">
        <v>53</v>
      </c>
      <c r="AN7442" t="s">
        <v>53</v>
      </c>
      <c r="AO7442" t="s">
        <v>53</v>
      </c>
      <c r="AP7442" t="s">
        <v>53</v>
      </c>
    </row>
    <row r="7443" spans="2:42" x14ac:dyDescent="0.2">
      <c r="B7443" t="s">
        <v>44</v>
      </c>
      <c r="C7443" t="str">
        <f>HYPERLINK("https://us2.cloudbeds.com/connect/8493803454333002#/reservations/184639846699245?display=3W9CW1GCY2&amp;reservation_id=184639846699245", "3W9CW1GCY2")</f>
        <v>3W9CW1GCY2</v>
      </c>
      <c r="D7443" t="s">
        <v>45</v>
      </c>
      <c r="E7443" t="s">
        <v>165</v>
      </c>
      <c r="F7443" t="s">
        <v>61</v>
      </c>
      <c r="G7443" t="s">
        <v>48</v>
      </c>
      <c r="H7443" t="s">
        <v>3957</v>
      </c>
      <c r="I7443" t="s">
        <v>3975</v>
      </c>
      <c r="J7443" t="s">
        <v>13046</v>
      </c>
      <c r="K7443" t="s">
        <v>13468</v>
      </c>
      <c r="L7443" t="s">
        <v>53</v>
      </c>
      <c r="P7443" t="s">
        <v>55</v>
      </c>
      <c r="R7443" t="s">
        <v>56</v>
      </c>
      <c r="T7443" t="s">
        <v>13647</v>
      </c>
      <c r="U7443" t="s">
        <v>58</v>
      </c>
      <c r="V7443">
        <v>2</v>
      </c>
      <c r="W7443">
        <v>1</v>
      </c>
      <c r="X7443">
        <v>2</v>
      </c>
      <c r="Y7443">
        <v>0</v>
      </c>
      <c r="Z7443">
        <v>2</v>
      </c>
      <c r="AA7443">
        <v>215.96</v>
      </c>
      <c r="AB7443">
        <v>227.33</v>
      </c>
      <c r="AC7443">
        <v>190</v>
      </c>
      <c r="AD7443">
        <v>10</v>
      </c>
      <c r="AE7443">
        <v>27.33</v>
      </c>
      <c r="AF7443">
        <v>0</v>
      </c>
      <c r="AG7443">
        <v>0</v>
      </c>
      <c r="AH7443">
        <v>0</v>
      </c>
      <c r="AI7443">
        <v>0</v>
      </c>
      <c r="AJ7443">
        <v>227.33</v>
      </c>
      <c r="AK7443">
        <v>0</v>
      </c>
      <c r="AL7443" t="s">
        <v>53</v>
      </c>
      <c r="AM7443" t="s">
        <v>53</v>
      </c>
      <c r="AN7443" t="s">
        <v>13648</v>
      </c>
      <c r="AO7443" t="s">
        <v>53</v>
      </c>
      <c r="AP7443" t="s">
        <v>53</v>
      </c>
    </row>
    <row r="7444" spans="2:42" x14ac:dyDescent="0.2">
      <c r="B7444" t="s">
        <v>44</v>
      </c>
      <c r="C7444" t="str">
        <f>HYPERLINK("https://us2.cloudbeds.com/connect/8493803454333002#/reservations/9080486847495320?display=3W9VN112HS&amp;reservation_id=9080486847495320", "3W9VN112HS")</f>
        <v>3W9VN112HS</v>
      </c>
      <c r="D7444" t="s">
        <v>45</v>
      </c>
      <c r="E7444" t="s">
        <v>138</v>
      </c>
      <c r="F7444" t="s">
        <v>70</v>
      </c>
      <c r="G7444" t="s">
        <v>48</v>
      </c>
      <c r="H7444" t="s">
        <v>49</v>
      </c>
      <c r="I7444" t="s">
        <v>50</v>
      </c>
      <c r="J7444" t="s">
        <v>13468</v>
      </c>
      <c r="K7444" t="s">
        <v>10586</v>
      </c>
      <c r="L7444" t="s">
        <v>53</v>
      </c>
      <c r="N7444" t="s">
        <v>13649</v>
      </c>
      <c r="P7444" t="s">
        <v>55</v>
      </c>
      <c r="R7444" t="s">
        <v>53</v>
      </c>
      <c r="T7444" t="s">
        <v>13650</v>
      </c>
      <c r="U7444" t="s">
        <v>58</v>
      </c>
      <c r="V7444">
        <v>1</v>
      </c>
      <c r="W7444">
        <v>1</v>
      </c>
      <c r="X7444">
        <v>2</v>
      </c>
      <c r="Y7444">
        <v>0</v>
      </c>
      <c r="Z7444">
        <v>2</v>
      </c>
      <c r="AA7444">
        <v>63.49</v>
      </c>
      <c r="AB7444">
        <v>63.49</v>
      </c>
      <c r="AC7444">
        <v>55.86</v>
      </c>
      <c r="AD7444">
        <v>0</v>
      </c>
      <c r="AE7444">
        <v>7.63</v>
      </c>
      <c r="AF7444">
        <v>0</v>
      </c>
      <c r="AG7444">
        <v>0</v>
      </c>
      <c r="AH7444">
        <v>0</v>
      </c>
      <c r="AI7444">
        <v>11.43</v>
      </c>
      <c r="AJ7444">
        <v>63.49</v>
      </c>
      <c r="AK7444">
        <v>0</v>
      </c>
      <c r="AL7444" t="s">
        <v>53</v>
      </c>
      <c r="AM7444" t="s">
        <v>53</v>
      </c>
      <c r="AN7444" t="s">
        <v>13651</v>
      </c>
      <c r="AO7444" t="s">
        <v>53</v>
      </c>
      <c r="AP7444" t="s">
        <v>53</v>
      </c>
    </row>
    <row r="7445" spans="2:42" x14ac:dyDescent="0.2">
      <c r="B7445" t="s">
        <v>44</v>
      </c>
      <c r="C7445" t="str">
        <f>HYPERLINK("https://us2.cloudbeds.com/connect/8493803454333002#/reservations/9080486847495828?display=3WACF5NHHX&amp;reservation_id=9080486847495828", "3WACF5NHHX")</f>
        <v>3WACF5NHHX</v>
      </c>
      <c r="D7445" t="s">
        <v>45</v>
      </c>
      <c r="E7445" t="s">
        <v>138</v>
      </c>
      <c r="F7445" t="s">
        <v>70</v>
      </c>
      <c r="G7445" t="s">
        <v>48</v>
      </c>
      <c r="H7445" t="s">
        <v>49</v>
      </c>
      <c r="I7445" t="s">
        <v>50</v>
      </c>
      <c r="J7445" t="s">
        <v>13652</v>
      </c>
      <c r="K7445" t="s">
        <v>13653</v>
      </c>
      <c r="L7445" t="s">
        <v>53</v>
      </c>
      <c r="N7445" t="s">
        <v>13654</v>
      </c>
      <c r="P7445" t="s">
        <v>55</v>
      </c>
      <c r="R7445" t="s">
        <v>53</v>
      </c>
      <c r="T7445" t="s">
        <v>13655</v>
      </c>
      <c r="U7445" t="s">
        <v>58</v>
      </c>
      <c r="V7445">
        <v>2</v>
      </c>
      <c r="W7445">
        <v>1</v>
      </c>
      <c r="X7445">
        <v>1</v>
      </c>
      <c r="Y7445">
        <v>0</v>
      </c>
      <c r="Z7445">
        <v>1</v>
      </c>
      <c r="AA7445">
        <v>161.84</v>
      </c>
      <c r="AB7445">
        <v>163.26</v>
      </c>
      <c r="AC7445">
        <v>142.4</v>
      </c>
      <c r="AD7445">
        <v>0</v>
      </c>
      <c r="AE7445">
        <v>20.86</v>
      </c>
      <c r="AF7445">
        <v>0</v>
      </c>
      <c r="AG7445">
        <v>0</v>
      </c>
      <c r="AH7445">
        <v>0</v>
      </c>
      <c r="AI7445">
        <v>29.39</v>
      </c>
      <c r="AJ7445">
        <v>163.26</v>
      </c>
      <c r="AK7445">
        <v>0</v>
      </c>
      <c r="AL7445" t="s">
        <v>53</v>
      </c>
      <c r="AM7445" t="s">
        <v>53</v>
      </c>
      <c r="AN7445" t="s">
        <v>13656</v>
      </c>
      <c r="AO7445" t="s">
        <v>53</v>
      </c>
      <c r="AP7445" t="s">
        <v>53</v>
      </c>
    </row>
    <row r="7446" spans="2:42" x14ac:dyDescent="0.2">
      <c r="B7446" t="s">
        <v>44</v>
      </c>
      <c r="C7446" t="str">
        <f>HYPERLINK("https://us2.cloudbeds.com/connect/8493803454333002#/reservations/9080486847497618?display=3WBU2NH0BG&amp;reservation_id=9080486847497618", "3WBU2NH0BG")</f>
        <v>3WBU2NH0BG</v>
      </c>
      <c r="D7446" t="s">
        <v>45</v>
      </c>
      <c r="E7446" t="s">
        <v>46</v>
      </c>
      <c r="F7446" t="s">
        <v>47</v>
      </c>
      <c r="G7446" t="s">
        <v>48</v>
      </c>
      <c r="H7446" t="s">
        <v>49</v>
      </c>
      <c r="I7446" t="s">
        <v>62</v>
      </c>
      <c r="J7446" t="s">
        <v>13060</v>
      </c>
      <c r="K7446" t="s">
        <v>13329</v>
      </c>
      <c r="L7446" t="s">
        <v>53</v>
      </c>
      <c r="N7446" t="s">
        <v>13657</v>
      </c>
      <c r="P7446" t="s">
        <v>55</v>
      </c>
      <c r="R7446" t="s">
        <v>1445</v>
      </c>
      <c r="T7446" t="s">
        <v>13658</v>
      </c>
      <c r="U7446" t="s">
        <v>55</v>
      </c>
      <c r="V7446">
        <v>2</v>
      </c>
      <c r="W7446">
        <v>1</v>
      </c>
      <c r="X7446">
        <v>2</v>
      </c>
      <c r="Y7446">
        <v>0</v>
      </c>
      <c r="Z7446">
        <v>2</v>
      </c>
      <c r="AA7446">
        <v>158.1</v>
      </c>
      <c r="AB7446">
        <v>158.1</v>
      </c>
      <c r="AC7446">
        <v>158.1</v>
      </c>
      <c r="AD7446">
        <v>0</v>
      </c>
      <c r="AE7446">
        <v>0</v>
      </c>
      <c r="AF7446">
        <v>0</v>
      </c>
      <c r="AG7446">
        <v>0</v>
      </c>
      <c r="AH7446">
        <v>0</v>
      </c>
      <c r="AI7446">
        <v>28.46</v>
      </c>
      <c r="AJ7446">
        <v>158.1</v>
      </c>
      <c r="AK7446">
        <v>0</v>
      </c>
      <c r="AL7446" t="s">
        <v>53</v>
      </c>
      <c r="AM7446" t="s">
        <v>53</v>
      </c>
      <c r="AN7446" t="s">
        <v>53</v>
      </c>
      <c r="AO7446" t="s">
        <v>53</v>
      </c>
      <c r="AP7446" t="s">
        <v>53</v>
      </c>
    </row>
    <row r="7447" spans="2:42" x14ac:dyDescent="0.2">
      <c r="B7447" t="s">
        <v>44</v>
      </c>
      <c r="C7447" t="str">
        <f>HYPERLINK("https://us2.cloudbeds.com/connect/8493803454333002#/reservations/184756188868739?display=3WC41S9ZZP&amp;reservation_id=184756188868739", "3WC41S9ZZP")</f>
        <v>3WC41S9ZZP</v>
      </c>
      <c r="D7447" t="s">
        <v>45</v>
      </c>
      <c r="E7447" t="s">
        <v>13659</v>
      </c>
      <c r="F7447" t="s">
        <v>5444</v>
      </c>
      <c r="G7447" t="s">
        <v>48</v>
      </c>
      <c r="H7447" t="s">
        <v>3957</v>
      </c>
      <c r="I7447" t="s">
        <v>3975</v>
      </c>
      <c r="J7447" t="s">
        <v>13060</v>
      </c>
      <c r="K7447" t="s">
        <v>13061</v>
      </c>
      <c r="L7447" t="s">
        <v>53</v>
      </c>
      <c r="P7447" t="s">
        <v>55</v>
      </c>
      <c r="R7447" t="s">
        <v>56</v>
      </c>
      <c r="T7447" t="s">
        <v>13660</v>
      </c>
      <c r="U7447" t="s">
        <v>58</v>
      </c>
      <c r="V7447">
        <v>2</v>
      </c>
      <c r="W7447">
        <v>2</v>
      </c>
      <c r="X7447">
        <v>4</v>
      </c>
      <c r="Y7447">
        <v>0</v>
      </c>
      <c r="Z7447">
        <v>4</v>
      </c>
      <c r="AA7447">
        <v>237.53</v>
      </c>
      <c r="AB7447">
        <v>237.53</v>
      </c>
      <c r="AC7447">
        <v>209</v>
      </c>
      <c r="AD7447">
        <v>0</v>
      </c>
      <c r="AE7447">
        <v>28.53</v>
      </c>
      <c r="AF7447">
        <v>0</v>
      </c>
      <c r="AG7447">
        <v>0</v>
      </c>
      <c r="AH7447">
        <v>0</v>
      </c>
      <c r="AI7447">
        <v>0</v>
      </c>
      <c r="AJ7447">
        <v>237.53</v>
      </c>
      <c r="AK7447">
        <v>0</v>
      </c>
      <c r="AL7447" t="s">
        <v>53</v>
      </c>
      <c r="AM7447" t="s">
        <v>53</v>
      </c>
      <c r="AN7447" t="s">
        <v>13661</v>
      </c>
      <c r="AO7447" t="s">
        <v>53</v>
      </c>
      <c r="AP7447" t="s">
        <v>53</v>
      </c>
    </row>
    <row r="7448" spans="2:42" x14ac:dyDescent="0.2">
      <c r="B7448" t="s">
        <v>44</v>
      </c>
      <c r="C7448" t="str">
        <f>HYPERLINK("https://us2.cloudbeds.com/connect/8493803454333002#/reservations/9080486847497918?display=3WC7YEREZ8&amp;reservation_id=9080486847497918", "3WC7YEREZ8")</f>
        <v>3WC7YEREZ8</v>
      </c>
      <c r="D7448" t="s">
        <v>45</v>
      </c>
      <c r="E7448" t="s">
        <v>190</v>
      </c>
      <c r="F7448" t="s">
        <v>61</v>
      </c>
      <c r="G7448" t="s">
        <v>48</v>
      </c>
      <c r="H7448" t="s">
        <v>49</v>
      </c>
      <c r="I7448" t="s">
        <v>50</v>
      </c>
      <c r="J7448" t="s">
        <v>13060</v>
      </c>
      <c r="K7448" t="s">
        <v>13061</v>
      </c>
      <c r="L7448" t="s">
        <v>53</v>
      </c>
      <c r="N7448" t="s">
        <v>13662</v>
      </c>
      <c r="P7448" t="s">
        <v>55</v>
      </c>
      <c r="R7448" t="s">
        <v>53</v>
      </c>
      <c r="T7448" t="s">
        <v>13663</v>
      </c>
      <c r="U7448" t="s">
        <v>58</v>
      </c>
      <c r="V7448">
        <v>1</v>
      </c>
      <c r="W7448">
        <v>1</v>
      </c>
      <c r="X7448">
        <v>2</v>
      </c>
      <c r="Y7448">
        <v>0</v>
      </c>
      <c r="Z7448">
        <v>2</v>
      </c>
      <c r="AA7448">
        <v>98.2</v>
      </c>
      <c r="AB7448">
        <v>98.2</v>
      </c>
      <c r="AC7448">
        <v>86.4</v>
      </c>
      <c r="AD7448">
        <v>0</v>
      </c>
      <c r="AE7448">
        <v>11.8</v>
      </c>
      <c r="AF7448">
        <v>0</v>
      </c>
      <c r="AG7448">
        <v>0</v>
      </c>
      <c r="AH7448">
        <v>0</v>
      </c>
      <c r="AI7448">
        <v>17.68</v>
      </c>
      <c r="AJ7448">
        <v>98.2</v>
      </c>
      <c r="AK7448">
        <v>0</v>
      </c>
      <c r="AL7448" t="s">
        <v>53</v>
      </c>
      <c r="AM7448" t="s">
        <v>53</v>
      </c>
      <c r="AN7448" t="s">
        <v>13664</v>
      </c>
      <c r="AO7448" t="s">
        <v>53</v>
      </c>
      <c r="AP7448" t="s">
        <v>53</v>
      </c>
    </row>
    <row r="7449" spans="2:42" x14ac:dyDescent="0.2">
      <c r="B7449" t="s">
        <v>44</v>
      </c>
      <c r="C7449" t="str">
        <f>HYPERLINK("https://us2.cloudbeds.com/connect/8493803454333002#/reservations/9080486847498141?display=3WCFFFFW4R&amp;reservation_id=9080486847498141", "3WCFFFFW4R")</f>
        <v>3WCFFFFW4R</v>
      </c>
      <c r="D7449" t="s">
        <v>45</v>
      </c>
      <c r="E7449" t="s">
        <v>190</v>
      </c>
      <c r="F7449" t="s">
        <v>61</v>
      </c>
      <c r="G7449" t="s">
        <v>48</v>
      </c>
      <c r="H7449" t="s">
        <v>49</v>
      </c>
      <c r="I7449" t="s">
        <v>62</v>
      </c>
      <c r="J7449" t="s">
        <v>13665</v>
      </c>
      <c r="K7449" t="s">
        <v>13525</v>
      </c>
      <c r="L7449" t="s">
        <v>53</v>
      </c>
      <c r="N7449" t="s">
        <v>13666</v>
      </c>
      <c r="P7449" t="s">
        <v>55</v>
      </c>
      <c r="R7449" t="s">
        <v>56</v>
      </c>
      <c r="T7449" t="s">
        <v>13667</v>
      </c>
      <c r="U7449" t="s">
        <v>55</v>
      </c>
      <c r="V7449">
        <v>1</v>
      </c>
      <c r="W7449">
        <v>1</v>
      </c>
      <c r="X7449">
        <v>2</v>
      </c>
      <c r="Y7449">
        <v>0</v>
      </c>
      <c r="Z7449">
        <v>2</v>
      </c>
      <c r="AA7449">
        <v>86</v>
      </c>
      <c r="AB7449">
        <v>68.64</v>
      </c>
      <c r="AC7449">
        <v>86</v>
      </c>
      <c r="AD7449">
        <v>0</v>
      </c>
      <c r="AE7449">
        <v>0</v>
      </c>
      <c r="AF7449">
        <v>0</v>
      </c>
      <c r="AG7449">
        <v>0</v>
      </c>
      <c r="AH7449">
        <v>0</v>
      </c>
      <c r="AI7449">
        <v>15.48</v>
      </c>
      <c r="AJ7449">
        <v>86</v>
      </c>
      <c r="AK7449">
        <v>17.36</v>
      </c>
      <c r="AL7449" t="s">
        <v>53</v>
      </c>
      <c r="AM7449" t="s">
        <v>53</v>
      </c>
      <c r="AN7449" t="s">
        <v>53</v>
      </c>
      <c r="AO7449" t="s">
        <v>53</v>
      </c>
      <c r="AP7449" t="s">
        <v>53</v>
      </c>
    </row>
    <row r="7450" spans="2:42" x14ac:dyDescent="0.2">
      <c r="B7450" t="s">
        <v>44</v>
      </c>
      <c r="C7450" t="str">
        <f>HYPERLINK("https://us2.cloudbeds.com/connect/8493803454333002#/reservations/9080486847498902?display=3WDA5JBSGC&amp;reservation_id=9080486847498902", "3WDA5JBSGC")</f>
        <v>3WDA5JBSGC</v>
      </c>
      <c r="D7450" t="s">
        <v>45</v>
      </c>
      <c r="E7450" t="s">
        <v>487</v>
      </c>
      <c r="F7450" t="s">
        <v>61</v>
      </c>
      <c r="G7450" t="s">
        <v>48</v>
      </c>
      <c r="H7450" t="s">
        <v>49</v>
      </c>
      <c r="I7450" t="s">
        <v>62</v>
      </c>
      <c r="J7450" t="s">
        <v>13060</v>
      </c>
      <c r="K7450" t="s">
        <v>13061</v>
      </c>
      <c r="L7450" t="s">
        <v>53</v>
      </c>
      <c r="N7450" t="s">
        <v>13668</v>
      </c>
      <c r="P7450" t="s">
        <v>55</v>
      </c>
      <c r="R7450" t="s">
        <v>13669</v>
      </c>
      <c r="T7450" t="s">
        <v>13670</v>
      </c>
      <c r="U7450" t="s">
        <v>55</v>
      </c>
      <c r="V7450">
        <v>1</v>
      </c>
      <c r="W7450">
        <v>1</v>
      </c>
      <c r="X7450">
        <v>2</v>
      </c>
      <c r="Y7450">
        <v>0</v>
      </c>
      <c r="Z7450">
        <v>2</v>
      </c>
      <c r="AA7450">
        <v>91.8</v>
      </c>
      <c r="AB7450">
        <v>91.8</v>
      </c>
      <c r="AC7450">
        <v>91.8</v>
      </c>
      <c r="AD7450">
        <v>0</v>
      </c>
      <c r="AE7450">
        <v>0</v>
      </c>
      <c r="AF7450">
        <v>0</v>
      </c>
      <c r="AG7450">
        <v>0</v>
      </c>
      <c r="AH7450">
        <v>0</v>
      </c>
      <c r="AI7450">
        <v>16.52</v>
      </c>
      <c r="AJ7450">
        <v>91.8</v>
      </c>
      <c r="AK7450">
        <v>0</v>
      </c>
      <c r="AL7450" t="s">
        <v>53</v>
      </c>
      <c r="AM7450" t="s">
        <v>53</v>
      </c>
      <c r="AN7450" t="s">
        <v>53</v>
      </c>
      <c r="AO7450" t="s">
        <v>53</v>
      </c>
      <c r="AP7450" t="s">
        <v>53</v>
      </c>
    </row>
    <row r="7451" spans="2:42" x14ac:dyDescent="0.2">
      <c r="B7451" t="s">
        <v>44</v>
      </c>
      <c r="C7451" t="str">
        <f>HYPERLINK("https://us2.cloudbeds.com/connect/8493803454333002#/reservations/9080486847499192?display=3WDKXU0V3Y&amp;reservation_id=9080486847499192", "3WDKXU0V3Y")</f>
        <v>3WDKXU0V3Y</v>
      </c>
      <c r="D7451" t="s">
        <v>45</v>
      </c>
      <c r="E7451" t="s">
        <v>138</v>
      </c>
      <c r="F7451" t="s">
        <v>70</v>
      </c>
      <c r="G7451" t="s">
        <v>48</v>
      </c>
      <c r="H7451" t="s">
        <v>49</v>
      </c>
      <c r="I7451" t="s">
        <v>62</v>
      </c>
      <c r="J7451" t="s">
        <v>13557</v>
      </c>
      <c r="K7451" t="s">
        <v>12531</v>
      </c>
      <c r="L7451" t="s">
        <v>53</v>
      </c>
      <c r="N7451" t="s">
        <v>13671</v>
      </c>
      <c r="P7451" t="s">
        <v>55</v>
      </c>
      <c r="R7451" t="s">
        <v>1475</v>
      </c>
      <c r="T7451" t="s">
        <v>13672</v>
      </c>
      <c r="U7451" t="s">
        <v>55</v>
      </c>
      <c r="V7451">
        <v>2</v>
      </c>
      <c r="W7451">
        <v>1</v>
      </c>
      <c r="X7451">
        <v>2</v>
      </c>
      <c r="Y7451">
        <v>0</v>
      </c>
      <c r="Z7451">
        <v>2</v>
      </c>
      <c r="AA7451">
        <v>119</v>
      </c>
      <c r="AB7451">
        <v>119</v>
      </c>
      <c r="AC7451">
        <v>119</v>
      </c>
      <c r="AD7451">
        <v>0</v>
      </c>
      <c r="AE7451">
        <v>0</v>
      </c>
      <c r="AF7451">
        <v>0</v>
      </c>
      <c r="AG7451">
        <v>0</v>
      </c>
      <c r="AH7451">
        <v>0</v>
      </c>
      <c r="AI7451">
        <v>21.42</v>
      </c>
      <c r="AJ7451">
        <v>119</v>
      </c>
      <c r="AK7451">
        <v>0</v>
      </c>
      <c r="AL7451" t="s">
        <v>53</v>
      </c>
      <c r="AM7451" t="s">
        <v>53</v>
      </c>
      <c r="AN7451" t="s">
        <v>53</v>
      </c>
      <c r="AO7451" t="s">
        <v>53</v>
      </c>
      <c r="AP7451" t="s">
        <v>53</v>
      </c>
    </row>
    <row r="7452" spans="2:42" x14ac:dyDescent="0.2">
      <c r="B7452" t="s">
        <v>44</v>
      </c>
      <c r="C7452" t="str">
        <f>HYPERLINK("https://us2.cloudbeds.com/connect/8493803454333002#/reservations/9080486847500308?display=3WF94NWMC0&amp;reservation_id=9080486847500308", "3WF94NWMC0")</f>
        <v>3WF94NWMC0</v>
      </c>
      <c r="D7452" t="s">
        <v>45</v>
      </c>
      <c r="E7452" t="s">
        <v>85</v>
      </c>
      <c r="F7452" t="s">
        <v>86</v>
      </c>
      <c r="G7452" t="s">
        <v>48</v>
      </c>
      <c r="H7452" t="s">
        <v>49</v>
      </c>
      <c r="I7452" t="s">
        <v>8964</v>
      </c>
      <c r="J7452" t="s">
        <v>13480</v>
      </c>
      <c r="K7452" t="s">
        <v>12323</v>
      </c>
      <c r="L7452" t="s">
        <v>53</v>
      </c>
      <c r="N7452" t="s">
        <v>13673</v>
      </c>
      <c r="P7452" t="s">
        <v>55</v>
      </c>
      <c r="R7452" t="s">
        <v>53</v>
      </c>
      <c r="T7452" t="s">
        <v>13674</v>
      </c>
      <c r="U7452" t="s">
        <v>55</v>
      </c>
      <c r="V7452">
        <v>2</v>
      </c>
      <c r="W7452">
        <v>1</v>
      </c>
      <c r="X7452">
        <v>4</v>
      </c>
      <c r="Y7452">
        <v>0</v>
      </c>
      <c r="Z7452">
        <v>4</v>
      </c>
      <c r="AA7452">
        <v>0</v>
      </c>
      <c r="AB7452">
        <v>0</v>
      </c>
      <c r="AC7452">
        <v>233</v>
      </c>
      <c r="AD7452">
        <v>0</v>
      </c>
      <c r="AE7452">
        <v>0</v>
      </c>
      <c r="AF7452">
        <v>0</v>
      </c>
      <c r="AG7452">
        <v>0</v>
      </c>
      <c r="AH7452">
        <v>0</v>
      </c>
      <c r="AI7452">
        <v>34.950000000000003</v>
      </c>
      <c r="AJ7452">
        <v>233</v>
      </c>
      <c r="AK7452">
        <v>233</v>
      </c>
      <c r="AL7452" t="s">
        <v>53</v>
      </c>
      <c r="AM7452" t="s">
        <v>53</v>
      </c>
      <c r="AN7452" t="s">
        <v>13675</v>
      </c>
      <c r="AO7452" t="s">
        <v>53</v>
      </c>
      <c r="AP7452" t="s">
        <v>53</v>
      </c>
    </row>
    <row r="7453" spans="2:42" x14ac:dyDescent="0.2">
      <c r="B7453" t="s">
        <v>44</v>
      </c>
      <c r="C7453" t="str">
        <f>HYPERLINK("https://us2.cloudbeds.com/connect/8493803454333002#/reservations/9080486847502697?display=3WHJQ335SW&amp;reservation_id=9080486847502697", "3WHJQ335SW")</f>
        <v>3WHJQ335SW</v>
      </c>
      <c r="D7453" t="s">
        <v>45</v>
      </c>
      <c r="E7453" t="s">
        <v>98</v>
      </c>
      <c r="F7453" t="s">
        <v>86</v>
      </c>
      <c r="G7453" t="s">
        <v>48</v>
      </c>
      <c r="H7453" t="s">
        <v>49</v>
      </c>
      <c r="I7453" t="s">
        <v>62</v>
      </c>
      <c r="J7453" t="s">
        <v>9580</v>
      </c>
      <c r="K7453" t="s">
        <v>13676</v>
      </c>
      <c r="L7453" t="s">
        <v>53</v>
      </c>
      <c r="N7453" t="s">
        <v>13677</v>
      </c>
      <c r="P7453" t="s">
        <v>55</v>
      </c>
      <c r="R7453" t="s">
        <v>56</v>
      </c>
      <c r="T7453" t="s">
        <v>13678</v>
      </c>
      <c r="U7453" t="s">
        <v>55</v>
      </c>
      <c r="V7453">
        <v>1</v>
      </c>
      <c r="W7453">
        <v>1</v>
      </c>
      <c r="X7453">
        <v>2</v>
      </c>
      <c r="Y7453">
        <v>1</v>
      </c>
      <c r="Z7453">
        <v>3</v>
      </c>
      <c r="AA7453">
        <v>123.25</v>
      </c>
      <c r="AB7453">
        <v>123.25</v>
      </c>
      <c r="AC7453">
        <v>123.25</v>
      </c>
      <c r="AD7453">
        <v>0</v>
      </c>
      <c r="AE7453">
        <v>0</v>
      </c>
      <c r="AF7453">
        <v>0</v>
      </c>
      <c r="AG7453">
        <v>0</v>
      </c>
      <c r="AH7453">
        <v>0</v>
      </c>
      <c r="AI7453">
        <v>22.19</v>
      </c>
      <c r="AJ7453">
        <v>123.25</v>
      </c>
      <c r="AK7453">
        <v>0</v>
      </c>
      <c r="AL7453" t="s">
        <v>53</v>
      </c>
      <c r="AM7453" t="s">
        <v>53</v>
      </c>
      <c r="AN7453" t="s">
        <v>13679</v>
      </c>
      <c r="AO7453" t="s">
        <v>53</v>
      </c>
      <c r="AP7453" t="s">
        <v>53</v>
      </c>
    </row>
    <row r="7454" spans="2:42" x14ac:dyDescent="0.2">
      <c r="B7454" t="s">
        <v>44</v>
      </c>
      <c r="C7454" t="str">
        <f>HYPERLINK("https://us2.cloudbeds.com/connect/8493803454333002#/reservations/9080486847503066?display=3WHRQ7ASPA&amp;reservation_id=9080486847503066", "3WHRQ7ASPA")</f>
        <v>3WHRQ7ASPA</v>
      </c>
      <c r="D7454" t="s">
        <v>45</v>
      </c>
      <c r="E7454" t="s">
        <v>138</v>
      </c>
      <c r="F7454" t="s">
        <v>70</v>
      </c>
      <c r="G7454" t="s">
        <v>48</v>
      </c>
      <c r="H7454" t="s">
        <v>49</v>
      </c>
      <c r="I7454" t="s">
        <v>62</v>
      </c>
      <c r="J7454" t="s">
        <v>13680</v>
      </c>
      <c r="K7454" t="s">
        <v>13681</v>
      </c>
      <c r="L7454" t="s">
        <v>53</v>
      </c>
      <c r="N7454" t="s">
        <v>13682</v>
      </c>
      <c r="P7454" t="s">
        <v>55</v>
      </c>
      <c r="R7454" t="s">
        <v>56</v>
      </c>
      <c r="T7454" t="s">
        <v>13683</v>
      </c>
      <c r="U7454" t="s">
        <v>55</v>
      </c>
      <c r="V7454">
        <v>1</v>
      </c>
      <c r="W7454">
        <v>1</v>
      </c>
      <c r="X7454">
        <v>2</v>
      </c>
      <c r="Y7454">
        <v>0</v>
      </c>
      <c r="Z7454">
        <v>2</v>
      </c>
      <c r="AA7454">
        <v>56.53</v>
      </c>
      <c r="AB7454">
        <v>56.53</v>
      </c>
      <c r="AC7454">
        <v>56.53</v>
      </c>
      <c r="AD7454">
        <v>0</v>
      </c>
      <c r="AE7454">
        <v>0</v>
      </c>
      <c r="AF7454">
        <v>0</v>
      </c>
      <c r="AG7454">
        <v>0</v>
      </c>
      <c r="AH7454">
        <v>0</v>
      </c>
      <c r="AI7454">
        <v>10.18</v>
      </c>
      <c r="AJ7454">
        <v>56.53</v>
      </c>
      <c r="AK7454">
        <v>0</v>
      </c>
      <c r="AL7454" t="s">
        <v>53</v>
      </c>
      <c r="AM7454" t="s">
        <v>53</v>
      </c>
      <c r="AN7454" t="s">
        <v>53</v>
      </c>
      <c r="AO7454" t="s">
        <v>53</v>
      </c>
      <c r="AP7454" t="s">
        <v>53</v>
      </c>
    </row>
    <row r="7455" spans="2:42" x14ac:dyDescent="0.2">
      <c r="B7455" t="s">
        <v>44</v>
      </c>
      <c r="C7455" t="str">
        <f>HYPERLINK("https://us2.cloudbeds.com/connect/8493803454333002#/reservations/185011457278176?display=3WX3NXCHMB&amp;reservation_id=185011457278176", "3WX3NXCHMB")</f>
        <v>3WX3NXCHMB</v>
      </c>
      <c r="D7455" t="s">
        <v>45</v>
      </c>
      <c r="E7455" t="s">
        <v>105</v>
      </c>
      <c r="F7455" t="s">
        <v>47</v>
      </c>
      <c r="G7455" t="s">
        <v>4520</v>
      </c>
      <c r="H7455" t="s">
        <v>3957</v>
      </c>
      <c r="I7455" t="s">
        <v>3989</v>
      </c>
      <c r="J7455" t="s">
        <v>13393</v>
      </c>
      <c r="K7455" t="s">
        <v>12531</v>
      </c>
      <c r="L7455" t="s">
        <v>53</v>
      </c>
      <c r="P7455" t="s">
        <v>55</v>
      </c>
      <c r="R7455" t="s">
        <v>56</v>
      </c>
      <c r="T7455" t="s">
        <v>13684</v>
      </c>
      <c r="U7455" t="s">
        <v>58</v>
      </c>
      <c r="V7455">
        <v>1</v>
      </c>
      <c r="W7455">
        <v>1</v>
      </c>
      <c r="X7455">
        <v>1</v>
      </c>
      <c r="Y7455">
        <v>0</v>
      </c>
      <c r="Z7455">
        <v>1</v>
      </c>
      <c r="AA7455">
        <v>86.95</v>
      </c>
      <c r="AB7455">
        <v>86.95</v>
      </c>
      <c r="AC7455">
        <v>76.5</v>
      </c>
      <c r="AD7455">
        <v>0</v>
      </c>
      <c r="AE7455">
        <v>10.45</v>
      </c>
      <c r="AF7455">
        <v>0</v>
      </c>
      <c r="AG7455">
        <v>0</v>
      </c>
      <c r="AH7455">
        <v>0</v>
      </c>
      <c r="AI7455">
        <v>0</v>
      </c>
      <c r="AJ7455">
        <v>86.95</v>
      </c>
      <c r="AK7455">
        <v>0</v>
      </c>
      <c r="AL7455" t="s">
        <v>53</v>
      </c>
      <c r="AM7455" t="s">
        <v>53</v>
      </c>
      <c r="AN7455" t="s">
        <v>53</v>
      </c>
      <c r="AO7455" t="s">
        <v>53</v>
      </c>
      <c r="AP7455" t="s">
        <v>53</v>
      </c>
    </row>
    <row r="7456" spans="2:42" x14ac:dyDescent="0.2">
      <c r="B7456" t="s">
        <v>44</v>
      </c>
      <c r="C7456" t="str">
        <f>HYPERLINK("https://us2.cloudbeds.com/connect/8493803454333002#/reservations/185015476928746?display=3WX6R8S7SC&amp;reservation_id=185015476928746", "3WX6R8S7SC")</f>
        <v>3WX6R8S7SC</v>
      </c>
      <c r="D7456" t="s">
        <v>45</v>
      </c>
      <c r="E7456" t="s">
        <v>185</v>
      </c>
      <c r="F7456" t="s">
        <v>47</v>
      </c>
      <c r="G7456" t="s">
        <v>3974</v>
      </c>
      <c r="H7456" t="s">
        <v>3957</v>
      </c>
      <c r="I7456" t="s">
        <v>3975</v>
      </c>
      <c r="J7456" t="s">
        <v>11068</v>
      </c>
      <c r="K7456" t="s">
        <v>12756</v>
      </c>
      <c r="L7456" t="s">
        <v>53</v>
      </c>
      <c r="P7456" t="s">
        <v>55</v>
      </c>
      <c r="R7456" t="s">
        <v>56</v>
      </c>
      <c r="T7456" t="s">
        <v>13685</v>
      </c>
      <c r="U7456" t="s">
        <v>58</v>
      </c>
      <c r="V7456">
        <v>1</v>
      </c>
      <c r="W7456">
        <v>1</v>
      </c>
      <c r="X7456">
        <v>2</v>
      </c>
      <c r="Y7456">
        <v>0</v>
      </c>
      <c r="Z7456">
        <v>2</v>
      </c>
      <c r="AA7456">
        <v>91.78</v>
      </c>
      <c r="AB7456">
        <v>91.78</v>
      </c>
      <c r="AC7456">
        <v>80.75</v>
      </c>
      <c r="AD7456">
        <v>0</v>
      </c>
      <c r="AE7456">
        <v>11.03</v>
      </c>
      <c r="AF7456">
        <v>0</v>
      </c>
      <c r="AG7456">
        <v>0</v>
      </c>
      <c r="AH7456">
        <v>0</v>
      </c>
      <c r="AI7456">
        <v>0</v>
      </c>
      <c r="AJ7456">
        <v>91.78</v>
      </c>
      <c r="AK7456">
        <v>0</v>
      </c>
      <c r="AL7456" t="s">
        <v>53</v>
      </c>
      <c r="AM7456" t="s">
        <v>53</v>
      </c>
      <c r="AN7456" t="s">
        <v>13686</v>
      </c>
      <c r="AO7456" t="s">
        <v>53</v>
      </c>
      <c r="AP7456" t="s">
        <v>53</v>
      </c>
    </row>
    <row r="7457" spans="2:42" x14ac:dyDescent="0.2">
      <c r="B7457" t="s">
        <v>44</v>
      </c>
      <c r="C7457" t="str">
        <f>HYPERLINK("https://us2.cloudbeds.com/connect/8493803454333002#/reservations/9080486847504886?display=3WJ2TGECW2&amp;reservation_id=9080486847504886", "3WJ2TGECW2")</f>
        <v>3WJ2TGECW2</v>
      </c>
      <c r="D7457" t="s">
        <v>45</v>
      </c>
      <c r="E7457" t="s">
        <v>69</v>
      </c>
      <c r="F7457" t="s">
        <v>70</v>
      </c>
      <c r="G7457" t="s">
        <v>48</v>
      </c>
      <c r="H7457" t="s">
        <v>49</v>
      </c>
      <c r="I7457" t="s">
        <v>62</v>
      </c>
      <c r="J7457" t="s">
        <v>13072</v>
      </c>
      <c r="K7457" t="s">
        <v>13557</v>
      </c>
      <c r="L7457" t="s">
        <v>53</v>
      </c>
      <c r="N7457" t="s">
        <v>13687</v>
      </c>
      <c r="P7457" t="s">
        <v>55</v>
      </c>
      <c r="R7457" t="s">
        <v>56</v>
      </c>
      <c r="T7457" t="s">
        <v>13688</v>
      </c>
      <c r="U7457" t="s">
        <v>55</v>
      </c>
      <c r="V7457">
        <v>1</v>
      </c>
      <c r="W7457">
        <v>1</v>
      </c>
      <c r="X7457">
        <v>2</v>
      </c>
      <c r="Y7457">
        <v>0</v>
      </c>
      <c r="Z7457">
        <v>2</v>
      </c>
      <c r="AA7457">
        <v>59.5</v>
      </c>
      <c r="AB7457">
        <v>59.5</v>
      </c>
      <c r="AC7457">
        <v>59.5</v>
      </c>
      <c r="AD7457">
        <v>0</v>
      </c>
      <c r="AE7457">
        <v>0</v>
      </c>
      <c r="AF7457">
        <v>0</v>
      </c>
      <c r="AG7457">
        <v>0</v>
      </c>
      <c r="AH7457">
        <v>0</v>
      </c>
      <c r="AI7457">
        <v>10.71</v>
      </c>
      <c r="AJ7457">
        <v>59.5</v>
      </c>
      <c r="AK7457">
        <v>0</v>
      </c>
      <c r="AL7457" t="s">
        <v>53</v>
      </c>
      <c r="AM7457" t="s">
        <v>53</v>
      </c>
      <c r="AN7457" t="s">
        <v>13689</v>
      </c>
      <c r="AO7457" t="s">
        <v>53</v>
      </c>
      <c r="AP7457" t="s">
        <v>53</v>
      </c>
    </row>
    <row r="7458" spans="2:42" x14ac:dyDescent="0.2">
      <c r="B7458" t="s">
        <v>44</v>
      </c>
      <c r="C7458" t="str">
        <f>HYPERLINK("https://us2.cloudbeds.com/connect/8493803454333002#/reservations/9080486847505473?display=3WJG78555T&amp;reservation_id=9080486847505473", "3WJG78555T")</f>
        <v>3WJG78555T</v>
      </c>
      <c r="D7458" t="s">
        <v>45</v>
      </c>
      <c r="E7458" t="s">
        <v>69</v>
      </c>
      <c r="F7458" t="s">
        <v>70</v>
      </c>
      <c r="G7458" t="s">
        <v>48</v>
      </c>
      <c r="H7458" t="s">
        <v>49</v>
      </c>
      <c r="I7458" t="s">
        <v>62</v>
      </c>
      <c r="J7458" t="s">
        <v>13061</v>
      </c>
      <c r="K7458" t="s">
        <v>13329</v>
      </c>
      <c r="L7458" t="s">
        <v>53</v>
      </c>
      <c r="N7458" t="s">
        <v>13690</v>
      </c>
      <c r="P7458" t="s">
        <v>55</v>
      </c>
      <c r="R7458" t="s">
        <v>56</v>
      </c>
      <c r="T7458" t="s">
        <v>13691</v>
      </c>
      <c r="U7458" t="s">
        <v>55</v>
      </c>
      <c r="V7458">
        <v>1</v>
      </c>
      <c r="W7458">
        <v>1</v>
      </c>
      <c r="X7458">
        <v>2</v>
      </c>
      <c r="Y7458">
        <v>0</v>
      </c>
      <c r="Z7458">
        <v>2</v>
      </c>
      <c r="AA7458">
        <v>59.5</v>
      </c>
      <c r="AB7458">
        <v>59.5</v>
      </c>
      <c r="AC7458">
        <v>59.5</v>
      </c>
      <c r="AD7458">
        <v>0</v>
      </c>
      <c r="AE7458">
        <v>0</v>
      </c>
      <c r="AF7458">
        <v>0</v>
      </c>
      <c r="AG7458">
        <v>0</v>
      </c>
      <c r="AH7458">
        <v>0</v>
      </c>
      <c r="AI7458">
        <v>10.71</v>
      </c>
      <c r="AJ7458">
        <v>59.5</v>
      </c>
      <c r="AK7458">
        <v>0</v>
      </c>
      <c r="AL7458" t="s">
        <v>53</v>
      </c>
      <c r="AM7458" t="s">
        <v>53</v>
      </c>
      <c r="AN7458" t="s">
        <v>13692</v>
      </c>
      <c r="AO7458" t="s">
        <v>53</v>
      </c>
      <c r="AP7458" t="s">
        <v>53</v>
      </c>
    </row>
    <row r="7459" spans="2:42" x14ac:dyDescent="0.2">
      <c r="B7459" t="s">
        <v>44</v>
      </c>
      <c r="C7459" t="str">
        <f>HYPERLINK("https://us2.cloudbeds.com/connect/8493803454333002#/reservations/9080486847506566?display=3WKDJNYZV7&amp;reservation_id=9080486847506566", "3WKDJNYZV7")</f>
        <v>3WKDJNYZV7</v>
      </c>
      <c r="D7459" t="s">
        <v>45</v>
      </c>
      <c r="E7459" t="s">
        <v>98</v>
      </c>
      <c r="F7459" t="s">
        <v>86</v>
      </c>
      <c r="G7459" t="s">
        <v>48</v>
      </c>
      <c r="H7459" t="s">
        <v>49</v>
      </c>
      <c r="I7459" t="s">
        <v>50</v>
      </c>
      <c r="J7459" t="s">
        <v>13061</v>
      </c>
      <c r="K7459" t="s">
        <v>13329</v>
      </c>
      <c r="L7459" t="s">
        <v>53</v>
      </c>
      <c r="N7459" t="s">
        <v>13693</v>
      </c>
      <c r="P7459" t="s">
        <v>55</v>
      </c>
      <c r="R7459" t="s">
        <v>53</v>
      </c>
      <c r="T7459" t="s">
        <v>13694</v>
      </c>
      <c r="U7459" t="s">
        <v>58</v>
      </c>
      <c r="V7459">
        <v>1</v>
      </c>
      <c r="W7459">
        <v>1</v>
      </c>
      <c r="X7459">
        <v>3</v>
      </c>
      <c r="Y7459">
        <v>0</v>
      </c>
      <c r="Z7459">
        <v>3</v>
      </c>
      <c r="AA7459">
        <v>100.01</v>
      </c>
      <c r="AB7459">
        <v>100.01</v>
      </c>
      <c r="AC7459">
        <v>88</v>
      </c>
      <c r="AD7459">
        <v>0</v>
      </c>
      <c r="AE7459">
        <v>12.01</v>
      </c>
      <c r="AF7459">
        <v>0</v>
      </c>
      <c r="AG7459">
        <v>0</v>
      </c>
      <c r="AH7459">
        <v>0</v>
      </c>
      <c r="AI7459">
        <v>18</v>
      </c>
      <c r="AJ7459">
        <v>100.01</v>
      </c>
      <c r="AK7459">
        <v>0</v>
      </c>
      <c r="AL7459" t="s">
        <v>53</v>
      </c>
      <c r="AM7459" t="s">
        <v>53</v>
      </c>
      <c r="AN7459" t="s">
        <v>53</v>
      </c>
      <c r="AO7459" t="s">
        <v>53</v>
      </c>
      <c r="AP7459" t="s">
        <v>53</v>
      </c>
    </row>
    <row r="7460" spans="2:42" x14ac:dyDescent="0.2">
      <c r="B7460" t="s">
        <v>44</v>
      </c>
      <c r="C7460" t="str">
        <f>HYPERLINK("https://us2.cloudbeds.com/connect/8493803454333002#/reservations/9080486847506622?display=3WKEJ3XPHZ&amp;reservation_id=9080486847506622", "3WKEJ3XPHZ")</f>
        <v>3WKEJ3XPHZ</v>
      </c>
      <c r="D7460" t="s">
        <v>45</v>
      </c>
      <c r="E7460" t="s">
        <v>213</v>
      </c>
      <c r="F7460" t="s">
        <v>86</v>
      </c>
      <c r="G7460" t="s">
        <v>48</v>
      </c>
      <c r="H7460" t="s">
        <v>49</v>
      </c>
      <c r="I7460" t="s">
        <v>8964</v>
      </c>
      <c r="J7460" t="s">
        <v>12531</v>
      </c>
      <c r="K7460" t="s">
        <v>11068</v>
      </c>
      <c r="L7460" t="s">
        <v>53</v>
      </c>
      <c r="N7460" t="s">
        <v>13695</v>
      </c>
      <c r="P7460" t="s">
        <v>55</v>
      </c>
      <c r="R7460" t="s">
        <v>53</v>
      </c>
      <c r="T7460" t="s">
        <v>13696</v>
      </c>
      <c r="U7460" t="s">
        <v>55</v>
      </c>
      <c r="V7460">
        <v>2</v>
      </c>
      <c r="W7460">
        <v>1</v>
      </c>
      <c r="X7460">
        <v>2</v>
      </c>
      <c r="Y7460">
        <v>0</v>
      </c>
      <c r="Z7460">
        <v>2</v>
      </c>
      <c r="AA7460">
        <v>188</v>
      </c>
      <c r="AB7460">
        <v>0</v>
      </c>
      <c r="AC7460">
        <v>188</v>
      </c>
      <c r="AD7460">
        <v>0</v>
      </c>
      <c r="AE7460">
        <v>0</v>
      </c>
      <c r="AF7460">
        <v>0</v>
      </c>
      <c r="AG7460">
        <v>0</v>
      </c>
      <c r="AH7460">
        <v>0</v>
      </c>
      <c r="AI7460">
        <v>28.2</v>
      </c>
      <c r="AJ7460">
        <v>188</v>
      </c>
      <c r="AK7460">
        <v>188</v>
      </c>
      <c r="AL7460" t="s">
        <v>53</v>
      </c>
      <c r="AM7460" t="s">
        <v>53</v>
      </c>
      <c r="AN7460" t="s">
        <v>13697</v>
      </c>
      <c r="AO7460" t="s">
        <v>53</v>
      </c>
      <c r="AP7460" t="s">
        <v>53</v>
      </c>
    </row>
    <row r="7461" spans="2:42" x14ac:dyDescent="0.2">
      <c r="B7461" t="s">
        <v>44</v>
      </c>
      <c r="C7461" t="str">
        <f>HYPERLINK("https://us2.cloudbeds.com/connect/8493803454333002#/reservations/9080486847507941?display=3WYH6K7ZZJ&amp;reservation_id=9080486847507941", "3WYH6K7ZZJ")</f>
        <v>3WYH6K7ZZJ</v>
      </c>
      <c r="D7461" t="s">
        <v>45</v>
      </c>
      <c r="E7461" t="s">
        <v>69</v>
      </c>
      <c r="F7461" t="s">
        <v>70</v>
      </c>
      <c r="G7461" t="s">
        <v>48</v>
      </c>
      <c r="H7461" t="s">
        <v>49</v>
      </c>
      <c r="I7461" t="s">
        <v>50</v>
      </c>
      <c r="J7461" t="s">
        <v>13329</v>
      </c>
      <c r="K7461" t="s">
        <v>13072</v>
      </c>
      <c r="L7461" t="s">
        <v>53</v>
      </c>
      <c r="N7461" t="s">
        <v>13698</v>
      </c>
      <c r="P7461" t="s">
        <v>55</v>
      </c>
      <c r="R7461" t="s">
        <v>53</v>
      </c>
      <c r="T7461" t="s">
        <v>13699</v>
      </c>
      <c r="U7461" t="s">
        <v>58</v>
      </c>
      <c r="V7461">
        <v>1</v>
      </c>
      <c r="W7461">
        <v>1</v>
      </c>
      <c r="X7461">
        <v>1</v>
      </c>
      <c r="Y7461">
        <v>0</v>
      </c>
      <c r="Z7461">
        <v>1</v>
      </c>
      <c r="AA7461">
        <v>71.61</v>
      </c>
      <c r="AB7461">
        <v>71.61</v>
      </c>
      <c r="AC7461">
        <v>63</v>
      </c>
      <c r="AD7461">
        <v>0</v>
      </c>
      <c r="AE7461">
        <v>8.61</v>
      </c>
      <c r="AF7461">
        <v>0</v>
      </c>
      <c r="AG7461">
        <v>0</v>
      </c>
      <c r="AH7461">
        <v>0</v>
      </c>
      <c r="AI7461">
        <v>12.89</v>
      </c>
      <c r="AJ7461">
        <v>71.61</v>
      </c>
      <c r="AK7461">
        <v>0</v>
      </c>
      <c r="AL7461" t="s">
        <v>53</v>
      </c>
      <c r="AM7461" t="s">
        <v>53</v>
      </c>
      <c r="AN7461" t="s">
        <v>13700</v>
      </c>
      <c r="AO7461" t="s">
        <v>53</v>
      </c>
      <c r="AP7461" t="s">
        <v>53</v>
      </c>
    </row>
    <row r="7462" spans="2:42" x14ac:dyDescent="0.2">
      <c r="B7462" t="s">
        <v>44</v>
      </c>
      <c r="C7462" t="str">
        <f>HYPERLINK("https://us2.cloudbeds.com/connect/8493803454333002#/reservations/185375612428498?display=3WQYMXYD3X&amp;reservation_id=185375612428498", "3WQYMXYD3X")</f>
        <v>3WQYMXYD3X</v>
      </c>
      <c r="D7462" t="s">
        <v>45</v>
      </c>
      <c r="E7462" t="s">
        <v>10091</v>
      </c>
      <c r="F7462" t="s">
        <v>47</v>
      </c>
      <c r="G7462" t="s">
        <v>48</v>
      </c>
      <c r="H7462" t="s">
        <v>3957</v>
      </c>
      <c r="I7462" t="s">
        <v>3975</v>
      </c>
      <c r="J7462" t="s">
        <v>12682</v>
      </c>
      <c r="K7462" t="s">
        <v>13046</v>
      </c>
      <c r="L7462" t="s">
        <v>53</v>
      </c>
      <c r="P7462" t="s">
        <v>58</v>
      </c>
      <c r="R7462" t="s">
        <v>56</v>
      </c>
      <c r="T7462" t="s">
        <v>13701</v>
      </c>
      <c r="U7462" t="s">
        <v>58</v>
      </c>
      <c r="V7462">
        <v>2</v>
      </c>
      <c r="W7462">
        <v>2</v>
      </c>
      <c r="X7462">
        <v>2</v>
      </c>
      <c r="Y7462">
        <v>0</v>
      </c>
      <c r="Z7462">
        <v>2</v>
      </c>
      <c r="AA7462">
        <v>193.22</v>
      </c>
      <c r="AB7462">
        <v>193.22</v>
      </c>
      <c r="AC7462">
        <v>170</v>
      </c>
      <c r="AD7462">
        <v>0</v>
      </c>
      <c r="AE7462">
        <v>23.22</v>
      </c>
      <c r="AF7462">
        <v>0</v>
      </c>
      <c r="AG7462">
        <v>0</v>
      </c>
      <c r="AH7462">
        <v>0</v>
      </c>
      <c r="AI7462">
        <v>0</v>
      </c>
      <c r="AJ7462">
        <v>193.22</v>
      </c>
      <c r="AK7462">
        <v>0</v>
      </c>
      <c r="AL7462" t="s">
        <v>53</v>
      </c>
      <c r="AM7462" t="s">
        <v>53</v>
      </c>
      <c r="AN7462" t="s">
        <v>13702</v>
      </c>
      <c r="AO7462" t="s">
        <v>53</v>
      </c>
      <c r="AP7462" t="s">
        <v>53</v>
      </c>
    </row>
    <row r="7463" spans="2:42" x14ac:dyDescent="0.2">
      <c r="B7463" t="s">
        <v>44</v>
      </c>
      <c r="C7463" t="str">
        <f>HYPERLINK("https://us2.cloudbeds.com/connect/8493803454333002#/reservations/9080486847515531?display=3WS5236B69&amp;reservation_id=9080486847515531", "3WS5236B69")</f>
        <v>3WS5236B69</v>
      </c>
      <c r="D7463" t="s">
        <v>45</v>
      </c>
      <c r="E7463" t="s">
        <v>78</v>
      </c>
      <c r="F7463" t="s">
        <v>61</v>
      </c>
      <c r="G7463" t="s">
        <v>48</v>
      </c>
      <c r="H7463" t="s">
        <v>49</v>
      </c>
      <c r="I7463" t="s">
        <v>50</v>
      </c>
      <c r="J7463" t="s">
        <v>12531</v>
      </c>
      <c r="K7463" t="s">
        <v>11067</v>
      </c>
      <c r="L7463" t="s">
        <v>53</v>
      </c>
      <c r="N7463" t="s">
        <v>13703</v>
      </c>
      <c r="P7463" t="s">
        <v>55</v>
      </c>
      <c r="R7463" t="s">
        <v>53</v>
      </c>
      <c r="T7463" t="s">
        <v>13704</v>
      </c>
      <c r="U7463" t="s">
        <v>58</v>
      </c>
      <c r="V7463">
        <v>1</v>
      </c>
      <c r="W7463">
        <v>1</v>
      </c>
      <c r="X7463">
        <v>1</v>
      </c>
      <c r="Y7463">
        <v>0</v>
      </c>
      <c r="Z7463">
        <v>1</v>
      </c>
      <c r="AA7463">
        <v>91.78</v>
      </c>
      <c r="AB7463">
        <v>91.78</v>
      </c>
      <c r="AC7463">
        <v>80.75</v>
      </c>
      <c r="AD7463">
        <v>0</v>
      </c>
      <c r="AE7463">
        <v>11.03</v>
      </c>
      <c r="AF7463">
        <v>0</v>
      </c>
      <c r="AG7463">
        <v>0</v>
      </c>
      <c r="AH7463">
        <v>0</v>
      </c>
      <c r="AI7463">
        <v>16.52</v>
      </c>
      <c r="AJ7463">
        <v>91.78</v>
      </c>
      <c r="AK7463">
        <v>0</v>
      </c>
      <c r="AL7463" t="s">
        <v>53</v>
      </c>
      <c r="AM7463" t="s">
        <v>53</v>
      </c>
      <c r="AN7463" t="s">
        <v>13705</v>
      </c>
      <c r="AO7463" t="s">
        <v>53</v>
      </c>
      <c r="AP7463" t="s">
        <v>53</v>
      </c>
    </row>
    <row r="7464" spans="2:42" x14ac:dyDescent="0.2">
      <c r="B7464" t="s">
        <v>44</v>
      </c>
      <c r="C7464" t="str">
        <f>HYPERLINK("https://us2.cloudbeds.com/connect/8493803454333002#/reservations/9080486847515655?display=3WS893UC9C&amp;reservation_id=9080486847515655", "3WS893UC9C")</f>
        <v>3WS893UC9C</v>
      </c>
      <c r="D7464" t="s">
        <v>45</v>
      </c>
      <c r="E7464" t="s">
        <v>185</v>
      </c>
      <c r="F7464" t="s">
        <v>47</v>
      </c>
      <c r="G7464" t="s">
        <v>48</v>
      </c>
      <c r="H7464" t="s">
        <v>49</v>
      </c>
      <c r="I7464" t="s">
        <v>8964</v>
      </c>
      <c r="J7464" t="s">
        <v>13393</v>
      </c>
      <c r="K7464" t="s">
        <v>12531</v>
      </c>
      <c r="L7464" t="s">
        <v>53</v>
      </c>
      <c r="N7464" t="s">
        <v>13706</v>
      </c>
      <c r="P7464" t="s">
        <v>55</v>
      </c>
      <c r="R7464" t="s">
        <v>53</v>
      </c>
      <c r="T7464" t="s">
        <v>13707</v>
      </c>
      <c r="U7464" t="s">
        <v>55</v>
      </c>
      <c r="V7464">
        <v>1</v>
      </c>
      <c r="W7464">
        <v>1</v>
      </c>
      <c r="X7464">
        <v>2</v>
      </c>
      <c r="Y7464">
        <v>0</v>
      </c>
      <c r="Z7464">
        <v>2</v>
      </c>
      <c r="AA7464">
        <v>73</v>
      </c>
      <c r="AB7464">
        <v>0</v>
      </c>
      <c r="AC7464">
        <v>73</v>
      </c>
      <c r="AD7464">
        <v>0</v>
      </c>
      <c r="AE7464">
        <v>0</v>
      </c>
      <c r="AF7464">
        <v>0</v>
      </c>
      <c r="AG7464">
        <v>0</v>
      </c>
      <c r="AH7464">
        <v>0</v>
      </c>
      <c r="AI7464">
        <v>10.95</v>
      </c>
      <c r="AJ7464">
        <v>73</v>
      </c>
      <c r="AK7464">
        <v>73</v>
      </c>
      <c r="AL7464" t="s">
        <v>53</v>
      </c>
      <c r="AM7464" t="s">
        <v>53</v>
      </c>
      <c r="AN7464" t="s">
        <v>13708</v>
      </c>
      <c r="AO7464" t="s">
        <v>53</v>
      </c>
      <c r="AP7464" t="s">
        <v>53</v>
      </c>
    </row>
    <row r="7465" spans="2:42" x14ac:dyDescent="0.2">
      <c r="B7465" t="s">
        <v>44</v>
      </c>
      <c r="C7465" t="str">
        <f>HYPERLINK("https://us2.cloudbeds.com/connect/8493803454333002#/reservations/9080486847516361?display=3WSTZYDXSY&amp;reservation_id=9080486847516361", "3WSTZYDXSY")</f>
        <v>3WSTZYDXSY</v>
      </c>
      <c r="D7465" t="s">
        <v>45</v>
      </c>
      <c r="E7465" t="s">
        <v>155</v>
      </c>
      <c r="F7465" t="s">
        <v>86</v>
      </c>
      <c r="G7465" t="s">
        <v>48</v>
      </c>
      <c r="H7465" t="s">
        <v>49</v>
      </c>
      <c r="I7465" t="s">
        <v>62</v>
      </c>
      <c r="J7465" t="s">
        <v>13329</v>
      </c>
      <c r="K7465" t="s">
        <v>13072</v>
      </c>
      <c r="L7465" t="s">
        <v>53</v>
      </c>
      <c r="N7465" t="s">
        <v>13709</v>
      </c>
      <c r="P7465" t="s">
        <v>55</v>
      </c>
      <c r="R7465" t="s">
        <v>56</v>
      </c>
      <c r="T7465" t="s">
        <v>13710</v>
      </c>
      <c r="U7465" t="s">
        <v>55</v>
      </c>
      <c r="V7465">
        <v>1</v>
      </c>
      <c r="W7465">
        <v>1</v>
      </c>
      <c r="X7465">
        <v>2</v>
      </c>
      <c r="Y7465">
        <v>0</v>
      </c>
      <c r="Z7465">
        <v>2</v>
      </c>
      <c r="AA7465">
        <v>93.5</v>
      </c>
      <c r="AB7465">
        <v>93.5</v>
      </c>
      <c r="AC7465">
        <v>93.5</v>
      </c>
      <c r="AD7465">
        <v>0</v>
      </c>
      <c r="AE7465">
        <v>0</v>
      </c>
      <c r="AF7465">
        <v>0</v>
      </c>
      <c r="AG7465">
        <v>0</v>
      </c>
      <c r="AH7465">
        <v>0</v>
      </c>
      <c r="AI7465">
        <v>16.829999999999998</v>
      </c>
      <c r="AJ7465">
        <v>93.5</v>
      </c>
      <c r="AK7465">
        <v>0</v>
      </c>
      <c r="AL7465" t="s">
        <v>53</v>
      </c>
      <c r="AM7465" t="s">
        <v>53</v>
      </c>
      <c r="AN7465" t="s">
        <v>53</v>
      </c>
      <c r="AO7465" t="s">
        <v>53</v>
      </c>
      <c r="AP7465" t="s">
        <v>53</v>
      </c>
    </row>
    <row r="7466" spans="2:42" x14ac:dyDescent="0.2">
      <c r="B7466" t="s">
        <v>44</v>
      </c>
      <c r="C7466" t="str">
        <f>HYPERLINK("https://us2.cloudbeds.com/connect/8493803454333002#/reservations/9080486847516414?display=3WSWX8FC32&amp;reservation_id=9080486847516414", "3WSWX8FC32")</f>
        <v>3WSWX8FC32</v>
      </c>
      <c r="D7466" t="s">
        <v>45</v>
      </c>
      <c r="E7466" t="s">
        <v>105</v>
      </c>
      <c r="F7466" t="s">
        <v>47</v>
      </c>
      <c r="G7466" t="s">
        <v>48</v>
      </c>
      <c r="H7466" t="s">
        <v>49</v>
      </c>
      <c r="I7466" t="s">
        <v>50</v>
      </c>
      <c r="J7466" t="s">
        <v>13329</v>
      </c>
      <c r="K7466" t="s">
        <v>13072</v>
      </c>
      <c r="L7466" t="s">
        <v>53</v>
      </c>
      <c r="N7466" t="s">
        <v>13711</v>
      </c>
      <c r="P7466" t="s">
        <v>55</v>
      </c>
      <c r="R7466" t="s">
        <v>53</v>
      </c>
      <c r="T7466" t="s">
        <v>13712</v>
      </c>
      <c r="U7466" t="s">
        <v>58</v>
      </c>
      <c r="V7466">
        <v>1</v>
      </c>
      <c r="W7466">
        <v>1</v>
      </c>
      <c r="X7466">
        <v>1</v>
      </c>
      <c r="Y7466">
        <v>0</v>
      </c>
      <c r="Z7466">
        <v>1</v>
      </c>
      <c r="AA7466">
        <v>86.95</v>
      </c>
      <c r="AB7466">
        <v>86.95</v>
      </c>
      <c r="AC7466">
        <v>76.5</v>
      </c>
      <c r="AD7466">
        <v>0</v>
      </c>
      <c r="AE7466">
        <v>10.45</v>
      </c>
      <c r="AF7466">
        <v>0</v>
      </c>
      <c r="AG7466">
        <v>0</v>
      </c>
      <c r="AH7466">
        <v>0</v>
      </c>
      <c r="AI7466">
        <v>15.65</v>
      </c>
      <c r="AJ7466">
        <v>86.95</v>
      </c>
      <c r="AK7466">
        <v>0</v>
      </c>
      <c r="AL7466" t="s">
        <v>53</v>
      </c>
      <c r="AM7466" t="s">
        <v>53</v>
      </c>
      <c r="AN7466" t="s">
        <v>53</v>
      </c>
      <c r="AO7466" t="s">
        <v>53</v>
      </c>
      <c r="AP7466" t="s">
        <v>53</v>
      </c>
    </row>
    <row r="7467" spans="2:42" x14ac:dyDescent="0.2">
      <c r="B7467" t="s">
        <v>44</v>
      </c>
      <c r="C7467" t="str">
        <f>HYPERLINK("https://us2.cloudbeds.com/connect/8493803454333002#/reservations/185498445308148?display=3WTHQ7JB9Q&amp;reservation_id=185498445308148", "3WTHQ7JB9Q")</f>
        <v>3WTHQ7JB9Q</v>
      </c>
      <c r="D7467" t="s">
        <v>45</v>
      </c>
      <c r="E7467" t="s">
        <v>78</v>
      </c>
      <c r="F7467" t="s">
        <v>61</v>
      </c>
      <c r="G7467" t="s">
        <v>48</v>
      </c>
      <c r="H7467" t="s">
        <v>3957</v>
      </c>
      <c r="I7467" t="s">
        <v>3975</v>
      </c>
      <c r="J7467" t="s">
        <v>13329</v>
      </c>
      <c r="K7467" t="s">
        <v>13072</v>
      </c>
      <c r="L7467" t="s">
        <v>53</v>
      </c>
      <c r="P7467" t="s">
        <v>55</v>
      </c>
      <c r="R7467" t="s">
        <v>56</v>
      </c>
      <c r="T7467" t="s">
        <v>13713</v>
      </c>
      <c r="U7467" t="s">
        <v>58</v>
      </c>
      <c r="V7467">
        <v>1</v>
      </c>
      <c r="W7467">
        <v>1</v>
      </c>
      <c r="X7467">
        <v>2</v>
      </c>
      <c r="Y7467">
        <v>0</v>
      </c>
      <c r="Z7467">
        <v>2</v>
      </c>
      <c r="AA7467">
        <v>107.98</v>
      </c>
      <c r="AB7467">
        <v>107.98</v>
      </c>
      <c r="AC7467">
        <v>95</v>
      </c>
      <c r="AD7467">
        <v>0</v>
      </c>
      <c r="AE7467">
        <v>12.98</v>
      </c>
      <c r="AF7467">
        <v>0</v>
      </c>
      <c r="AG7467">
        <v>0</v>
      </c>
      <c r="AH7467">
        <v>0</v>
      </c>
      <c r="AI7467">
        <v>0</v>
      </c>
      <c r="AJ7467">
        <v>107.98</v>
      </c>
      <c r="AK7467">
        <v>0</v>
      </c>
      <c r="AL7467" t="s">
        <v>53</v>
      </c>
      <c r="AM7467" t="s">
        <v>53</v>
      </c>
      <c r="AN7467" t="s">
        <v>53</v>
      </c>
      <c r="AO7467" t="s">
        <v>53</v>
      </c>
      <c r="AP7467" t="s">
        <v>53</v>
      </c>
    </row>
    <row r="7468" spans="2:42" x14ac:dyDescent="0.2">
      <c r="B7468" t="s">
        <v>44</v>
      </c>
      <c r="C7468" t="str">
        <f>HYPERLINK("https://us2.cloudbeds.com/connect/8493803454333002#/reservations/9080486847517496?display=3WTWUUGB5D&amp;reservation_id=9080486847517496", "3WTWUUGB5D")</f>
        <v>3WTWUUGB5D</v>
      </c>
      <c r="D7468" t="s">
        <v>45</v>
      </c>
      <c r="E7468" t="s">
        <v>165</v>
      </c>
      <c r="F7468" t="s">
        <v>61</v>
      </c>
      <c r="G7468" t="s">
        <v>48</v>
      </c>
      <c r="H7468" t="s">
        <v>49</v>
      </c>
      <c r="I7468" t="s">
        <v>8964</v>
      </c>
      <c r="J7468" t="s">
        <v>11067</v>
      </c>
      <c r="K7468" t="s">
        <v>11068</v>
      </c>
      <c r="L7468" t="s">
        <v>53</v>
      </c>
      <c r="N7468" t="s">
        <v>13714</v>
      </c>
      <c r="P7468" t="s">
        <v>55</v>
      </c>
      <c r="R7468" t="s">
        <v>53</v>
      </c>
      <c r="T7468" t="s">
        <v>13715</v>
      </c>
      <c r="U7468" t="s">
        <v>55</v>
      </c>
      <c r="V7468">
        <v>1</v>
      </c>
      <c r="W7468">
        <v>1</v>
      </c>
      <c r="X7468">
        <v>2</v>
      </c>
      <c r="Y7468">
        <v>0</v>
      </c>
      <c r="Z7468">
        <v>2</v>
      </c>
      <c r="AA7468">
        <v>0</v>
      </c>
      <c r="AB7468">
        <v>0</v>
      </c>
      <c r="AC7468">
        <v>98</v>
      </c>
      <c r="AD7468">
        <v>0</v>
      </c>
      <c r="AE7468">
        <v>0</v>
      </c>
      <c r="AF7468">
        <v>0</v>
      </c>
      <c r="AG7468">
        <v>0</v>
      </c>
      <c r="AH7468">
        <v>0</v>
      </c>
      <c r="AI7468">
        <v>14.7</v>
      </c>
      <c r="AJ7468">
        <v>98</v>
      </c>
      <c r="AK7468">
        <v>98</v>
      </c>
      <c r="AL7468" t="s">
        <v>53</v>
      </c>
      <c r="AM7468" t="s">
        <v>53</v>
      </c>
      <c r="AN7468" t="s">
        <v>13716</v>
      </c>
      <c r="AO7468" t="s">
        <v>53</v>
      </c>
      <c r="AP7468" t="s">
        <v>53</v>
      </c>
    </row>
    <row r="7469" spans="2:42" x14ac:dyDescent="0.2">
      <c r="B7469" t="s">
        <v>44</v>
      </c>
      <c r="C7469" t="str">
        <f>HYPERLINK("https://us2.cloudbeds.com/connect/8493803454333002#/reservations/9080486847517544?display=3WU10HVEG6&amp;reservation_id=9080486847517544", "3WU10HVEG6")</f>
        <v>3WU10HVEG6</v>
      </c>
      <c r="D7469" t="s">
        <v>45</v>
      </c>
      <c r="E7469" t="s">
        <v>185</v>
      </c>
      <c r="F7469" t="s">
        <v>47</v>
      </c>
      <c r="G7469" t="s">
        <v>48</v>
      </c>
      <c r="H7469" t="s">
        <v>49</v>
      </c>
      <c r="I7469" t="s">
        <v>62</v>
      </c>
      <c r="J7469" t="s">
        <v>13329</v>
      </c>
      <c r="K7469" t="s">
        <v>13072</v>
      </c>
      <c r="L7469" t="s">
        <v>53</v>
      </c>
      <c r="N7469" t="s">
        <v>13717</v>
      </c>
      <c r="P7469" t="s">
        <v>55</v>
      </c>
      <c r="R7469" t="s">
        <v>56</v>
      </c>
      <c r="T7469" t="s">
        <v>13718</v>
      </c>
      <c r="U7469" t="s">
        <v>55</v>
      </c>
      <c r="V7469">
        <v>1</v>
      </c>
      <c r="W7469">
        <v>1</v>
      </c>
      <c r="X7469">
        <v>2</v>
      </c>
      <c r="Y7469">
        <v>0</v>
      </c>
      <c r="Z7469">
        <v>2</v>
      </c>
      <c r="AA7469">
        <v>72.25</v>
      </c>
      <c r="AB7469">
        <v>72.25</v>
      </c>
      <c r="AC7469">
        <v>72.25</v>
      </c>
      <c r="AD7469">
        <v>0</v>
      </c>
      <c r="AE7469">
        <v>0</v>
      </c>
      <c r="AF7469">
        <v>0</v>
      </c>
      <c r="AG7469">
        <v>0</v>
      </c>
      <c r="AH7469">
        <v>0</v>
      </c>
      <c r="AI7469">
        <v>13.01</v>
      </c>
      <c r="AJ7469">
        <v>72.25</v>
      </c>
      <c r="AK7469">
        <v>0</v>
      </c>
      <c r="AL7469" t="s">
        <v>53</v>
      </c>
      <c r="AM7469" t="s">
        <v>53</v>
      </c>
      <c r="AN7469" t="s">
        <v>53</v>
      </c>
      <c r="AO7469" t="s">
        <v>53</v>
      </c>
      <c r="AP7469" t="s">
        <v>53</v>
      </c>
    </row>
    <row r="7470" spans="2:42" x14ac:dyDescent="0.2">
      <c r="B7470" t="s">
        <v>44</v>
      </c>
      <c r="C7470" t="str">
        <f>HYPERLINK("https://us2.cloudbeds.com/connect/8493803454333002#/reservations/9080486847518997?display=3WVU3ZTDNY&amp;reservation_id=9080486847518997", "3WVU3ZTDNY")</f>
        <v>3WVU3ZTDNY</v>
      </c>
      <c r="D7470" t="s">
        <v>45</v>
      </c>
      <c r="E7470" t="s">
        <v>265</v>
      </c>
      <c r="F7470" t="s">
        <v>61</v>
      </c>
      <c r="G7470" t="s">
        <v>48</v>
      </c>
      <c r="H7470" t="s">
        <v>49</v>
      </c>
      <c r="I7470" t="s">
        <v>8964</v>
      </c>
      <c r="J7470" t="s">
        <v>9131</v>
      </c>
      <c r="K7470" t="s">
        <v>13719</v>
      </c>
      <c r="L7470" t="s">
        <v>53</v>
      </c>
      <c r="N7470" t="s">
        <v>13720</v>
      </c>
      <c r="P7470" t="s">
        <v>55</v>
      </c>
      <c r="R7470" t="s">
        <v>53</v>
      </c>
      <c r="T7470" t="s">
        <v>13721</v>
      </c>
      <c r="U7470" t="s">
        <v>55</v>
      </c>
      <c r="V7470">
        <v>1</v>
      </c>
      <c r="W7470">
        <v>1</v>
      </c>
      <c r="X7470">
        <v>2</v>
      </c>
      <c r="Y7470">
        <v>0</v>
      </c>
      <c r="Z7470">
        <v>2</v>
      </c>
      <c r="AA7470">
        <v>0</v>
      </c>
      <c r="AB7470">
        <v>0</v>
      </c>
      <c r="AC7470">
        <v>102</v>
      </c>
      <c r="AD7470">
        <v>0</v>
      </c>
      <c r="AE7470">
        <v>0</v>
      </c>
      <c r="AF7470">
        <v>0</v>
      </c>
      <c r="AG7470">
        <v>0</v>
      </c>
      <c r="AH7470">
        <v>0</v>
      </c>
      <c r="AI7470">
        <v>15.3</v>
      </c>
      <c r="AJ7470">
        <v>102</v>
      </c>
      <c r="AK7470">
        <v>102</v>
      </c>
      <c r="AL7470" t="s">
        <v>53</v>
      </c>
      <c r="AM7470" t="s">
        <v>53</v>
      </c>
      <c r="AN7470" t="s">
        <v>53</v>
      </c>
      <c r="AO7470" t="s">
        <v>53</v>
      </c>
      <c r="AP7470" t="s">
        <v>53</v>
      </c>
    </row>
    <row r="7471" spans="2:42" x14ac:dyDescent="0.2">
      <c r="B7471" t="s">
        <v>44</v>
      </c>
      <c r="C7471" t="str">
        <f>HYPERLINK("https://us2.cloudbeds.com/connect/8493803454333002#/reservations/9080486847523481?display=402HVQ4B3W&amp;reservation_id=9080486847523481", "402HVQ4B3W")</f>
        <v>402HVQ4B3W</v>
      </c>
      <c r="D7471" t="s">
        <v>45</v>
      </c>
      <c r="E7471" t="s">
        <v>185</v>
      </c>
      <c r="F7471" t="s">
        <v>47</v>
      </c>
      <c r="G7471" t="s">
        <v>48</v>
      </c>
      <c r="H7471" t="s">
        <v>49</v>
      </c>
      <c r="I7471" t="s">
        <v>62</v>
      </c>
      <c r="J7471" t="s">
        <v>13557</v>
      </c>
      <c r="K7471" t="s">
        <v>13393</v>
      </c>
      <c r="L7471" t="s">
        <v>53</v>
      </c>
      <c r="N7471" t="s">
        <v>13722</v>
      </c>
      <c r="P7471" t="s">
        <v>55</v>
      </c>
      <c r="R7471" t="s">
        <v>56</v>
      </c>
      <c r="T7471" t="s">
        <v>13723</v>
      </c>
      <c r="U7471" t="s">
        <v>55</v>
      </c>
      <c r="V7471">
        <v>1</v>
      </c>
      <c r="W7471">
        <v>1</v>
      </c>
      <c r="X7471">
        <v>1</v>
      </c>
      <c r="Y7471">
        <v>0</v>
      </c>
      <c r="Z7471">
        <v>1</v>
      </c>
      <c r="AA7471">
        <v>59.5</v>
      </c>
      <c r="AB7471">
        <v>59.5</v>
      </c>
      <c r="AC7471">
        <v>59.5</v>
      </c>
      <c r="AD7471">
        <v>0</v>
      </c>
      <c r="AE7471">
        <v>0</v>
      </c>
      <c r="AF7471">
        <v>0</v>
      </c>
      <c r="AG7471">
        <v>0</v>
      </c>
      <c r="AH7471">
        <v>0</v>
      </c>
      <c r="AI7471">
        <v>10.71</v>
      </c>
      <c r="AJ7471">
        <v>59.5</v>
      </c>
      <c r="AK7471">
        <v>0</v>
      </c>
      <c r="AL7471" t="s">
        <v>53</v>
      </c>
      <c r="AM7471" t="s">
        <v>53</v>
      </c>
      <c r="AN7471" t="s">
        <v>53</v>
      </c>
      <c r="AO7471" t="s">
        <v>53</v>
      </c>
      <c r="AP7471" t="s">
        <v>53</v>
      </c>
    </row>
    <row r="7472" spans="2:42" x14ac:dyDescent="0.2">
      <c r="B7472" t="s">
        <v>44</v>
      </c>
      <c r="C7472" t="str">
        <f>HYPERLINK("https://us2.cloudbeds.com/connect/8493803454333002#/reservations/9080486847524408?display=4035SQ3HDM&amp;reservation_id=9080486847524408", "4035SQ3HDM")</f>
        <v>4035SQ3HDM</v>
      </c>
      <c r="D7472" t="s">
        <v>45</v>
      </c>
      <c r="E7472" t="s">
        <v>128</v>
      </c>
      <c r="F7472" t="s">
        <v>86</v>
      </c>
      <c r="G7472" t="s">
        <v>48</v>
      </c>
      <c r="H7472" t="s">
        <v>49</v>
      </c>
      <c r="I7472" t="s">
        <v>62</v>
      </c>
      <c r="J7472" t="s">
        <v>13072</v>
      </c>
      <c r="K7472" t="s">
        <v>13557</v>
      </c>
      <c r="L7472" t="s">
        <v>53</v>
      </c>
      <c r="N7472" t="s">
        <v>13724</v>
      </c>
      <c r="P7472" t="s">
        <v>55</v>
      </c>
      <c r="R7472" t="s">
        <v>56</v>
      </c>
      <c r="T7472" t="s">
        <v>13725</v>
      </c>
      <c r="U7472" t="s">
        <v>55</v>
      </c>
      <c r="V7472">
        <v>1</v>
      </c>
      <c r="W7472">
        <v>1</v>
      </c>
      <c r="X7472">
        <v>2</v>
      </c>
      <c r="Y7472">
        <v>0</v>
      </c>
      <c r="Z7472">
        <v>2</v>
      </c>
      <c r="AA7472">
        <v>93.5</v>
      </c>
      <c r="AB7472">
        <v>93.5</v>
      </c>
      <c r="AC7472">
        <v>93.5</v>
      </c>
      <c r="AD7472">
        <v>0</v>
      </c>
      <c r="AE7472">
        <v>0</v>
      </c>
      <c r="AF7472">
        <v>0</v>
      </c>
      <c r="AG7472">
        <v>0</v>
      </c>
      <c r="AH7472">
        <v>0</v>
      </c>
      <c r="AI7472">
        <v>16.829999999999998</v>
      </c>
      <c r="AJ7472">
        <v>93.5</v>
      </c>
      <c r="AK7472">
        <v>0</v>
      </c>
      <c r="AL7472" t="s">
        <v>53</v>
      </c>
      <c r="AM7472" t="s">
        <v>53</v>
      </c>
      <c r="AN7472" t="s">
        <v>53</v>
      </c>
      <c r="AO7472" t="s">
        <v>53</v>
      </c>
      <c r="AP7472" t="s">
        <v>53</v>
      </c>
    </row>
    <row r="7473" spans="2:42" x14ac:dyDescent="0.2">
      <c r="B7473" t="s">
        <v>44</v>
      </c>
      <c r="C7473" t="str">
        <f>HYPERLINK("https://us2.cloudbeds.com/connect/8493803454333002#/reservations/185785288196279?display=4038TZ3HT1&amp;reservation_id=185785288196279", "4038TZ3HT1")</f>
        <v>4038TZ3HT1</v>
      </c>
      <c r="D7473" t="s">
        <v>45</v>
      </c>
      <c r="E7473" t="s">
        <v>85</v>
      </c>
      <c r="F7473" t="s">
        <v>86</v>
      </c>
      <c r="G7473" t="s">
        <v>48</v>
      </c>
      <c r="H7473" t="s">
        <v>3957</v>
      </c>
      <c r="I7473" t="s">
        <v>3975</v>
      </c>
      <c r="J7473" t="s">
        <v>13726</v>
      </c>
      <c r="K7473" t="s">
        <v>13727</v>
      </c>
      <c r="L7473" t="s">
        <v>53</v>
      </c>
      <c r="P7473" t="s">
        <v>55</v>
      </c>
      <c r="R7473" t="s">
        <v>56</v>
      </c>
      <c r="T7473" t="s">
        <v>13728</v>
      </c>
      <c r="U7473" t="s">
        <v>58</v>
      </c>
      <c r="V7473">
        <v>1</v>
      </c>
      <c r="W7473">
        <v>1</v>
      </c>
      <c r="X7473">
        <v>1</v>
      </c>
      <c r="Y7473">
        <v>2</v>
      </c>
      <c r="Z7473">
        <v>3</v>
      </c>
      <c r="AA7473">
        <v>125.02</v>
      </c>
      <c r="AB7473">
        <v>125.02</v>
      </c>
      <c r="AC7473">
        <v>110</v>
      </c>
      <c r="AD7473">
        <v>0</v>
      </c>
      <c r="AE7473">
        <v>15.02</v>
      </c>
      <c r="AF7473">
        <v>0</v>
      </c>
      <c r="AG7473">
        <v>0</v>
      </c>
      <c r="AH7473">
        <v>0</v>
      </c>
      <c r="AI7473">
        <v>0</v>
      </c>
      <c r="AJ7473">
        <v>125.02</v>
      </c>
      <c r="AK7473">
        <v>0</v>
      </c>
      <c r="AL7473" t="s">
        <v>53</v>
      </c>
      <c r="AM7473" t="s">
        <v>53</v>
      </c>
      <c r="AN7473" t="s">
        <v>53</v>
      </c>
      <c r="AO7473" t="s">
        <v>53</v>
      </c>
      <c r="AP7473" t="s">
        <v>53</v>
      </c>
    </row>
    <row r="7474" spans="2:42" x14ac:dyDescent="0.2">
      <c r="B7474" t="s">
        <v>44</v>
      </c>
      <c r="C7474" t="str">
        <f>HYPERLINK("https://us2.cloudbeds.com/connect/8493803454333002#/reservations/9080486847525179?display=403RGZEQZC&amp;reservation_id=9080486847525179", "403RGZEQZC")</f>
        <v>403RGZEQZC</v>
      </c>
      <c r="D7474" t="s">
        <v>45</v>
      </c>
      <c r="E7474" t="s">
        <v>105</v>
      </c>
      <c r="F7474" t="s">
        <v>47</v>
      </c>
      <c r="G7474" t="s">
        <v>48</v>
      </c>
      <c r="H7474" t="s">
        <v>49</v>
      </c>
      <c r="I7474" t="s">
        <v>50</v>
      </c>
      <c r="J7474" t="s">
        <v>12424</v>
      </c>
      <c r="K7474" t="s">
        <v>12323</v>
      </c>
      <c r="L7474" t="s">
        <v>53</v>
      </c>
      <c r="N7474" t="s">
        <v>13729</v>
      </c>
      <c r="P7474" t="s">
        <v>55</v>
      </c>
      <c r="R7474" t="s">
        <v>53</v>
      </c>
      <c r="T7474" t="s">
        <v>13730</v>
      </c>
      <c r="U7474" t="s">
        <v>58</v>
      </c>
      <c r="V7474">
        <v>1</v>
      </c>
      <c r="W7474">
        <v>1</v>
      </c>
      <c r="X7474">
        <v>1</v>
      </c>
      <c r="Y7474">
        <v>0</v>
      </c>
      <c r="Z7474">
        <v>1</v>
      </c>
      <c r="AA7474">
        <v>77.09</v>
      </c>
      <c r="AB7474">
        <v>77.09</v>
      </c>
      <c r="AC7474">
        <v>67.83</v>
      </c>
      <c r="AD7474">
        <v>0</v>
      </c>
      <c r="AE7474">
        <v>9.26</v>
      </c>
      <c r="AF7474">
        <v>0</v>
      </c>
      <c r="AG7474">
        <v>0</v>
      </c>
      <c r="AH7474">
        <v>0</v>
      </c>
      <c r="AI7474">
        <v>13.88</v>
      </c>
      <c r="AJ7474">
        <v>77.09</v>
      </c>
      <c r="AK7474">
        <v>0</v>
      </c>
      <c r="AL7474" t="s">
        <v>53</v>
      </c>
      <c r="AM7474" t="s">
        <v>53</v>
      </c>
      <c r="AN7474" t="s">
        <v>13731</v>
      </c>
      <c r="AO7474" t="s">
        <v>53</v>
      </c>
      <c r="AP7474" t="s">
        <v>53</v>
      </c>
    </row>
    <row r="7475" spans="2:42" x14ac:dyDescent="0.2">
      <c r="B7475" t="s">
        <v>44</v>
      </c>
      <c r="C7475" t="str">
        <f>HYPERLINK("https://us2.cloudbeds.com/connect/8493803454333002#/reservations/9080486847525939?display=404XR2C11H&amp;reservation_id=9080486847525939", "404XR2C11H")</f>
        <v>404XR2C11H</v>
      </c>
      <c r="D7475" t="s">
        <v>45</v>
      </c>
      <c r="E7475" t="s">
        <v>165</v>
      </c>
      <c r="F7475" t="s">
        <v>61</v>
      </c>
      <c r="G7475" t="s">
        <v>48</v>
      </c>
      <c r="H7475" t="s">
        <v>49</v>
      </c>
      <c r="I7475" t="s">
        <v>50</v>
      </c>
      <c r="J7475" t="s">
        <v>13072</v>
      </c>
      <c r="K7475" t="s">
        <v>13557</v>
      </c>
      <c r="L7475" t="s">
        <v>53</v>
      </c>
      <c r="N7475" t="s">
        <v>13732</v>
      </c>
      <c r="P7475" t="s">
        <v>55</v>
      </c>
      <c r="R7475" t="s">
        <v>53</v>
      </c>
      <c r="T7475" t="s">
        <v>13733</v>
      </c>
      <c r="U7475" t="s">
        <v>58</v>
      </c>
      <c r="V7475">
        <v>1</v>
      </c>
      <c r="W7475">
        <v>1</v>
      </c>
      <c r="X7475">
        <v>2</v>
      </c>
      <c r="Y7475">
        <v>0</v>
      </c>
      <c r="Z7475">
        <v>2</v>
      </c>
      <c r="AA7475">
        <v>91.78</v>
      </c>
      <c r="AB7475">
        <v>91.78</v>
      </c>
      <c r="AC7475">
        <v>80.75</v>
      </c>
      <c r="AD7475">
        <v>0</v>
      </c>
      <c r="AE7475">
        <v>11.03</v>
      </c>
      <c r="AF7475">
        <v>0</v>
      </c>
      <c r="AG7475">
        <v>0</v>
      </c>
      <c r="AH7475">
        <v>0</v>
      </c>
      <c r="AI7475">
        <v>16.52</v>
      </c>
      <c r="AJ7475">
        <v>91.78</v>
      </c>
      <c r="AK7475">
        <v>0</v>
      </c>
      <c r="AL7475" t="s">
        <v>53</v>
      </c>
      <c r="AM7475" t="s">
        <v>53</v>
      </c>
      <c r="AN7475" t="s">
        <v>53</v>
      </c>
      <c r="AO7475" t="s">
        <v>53</v>
      </c>
      <c r="AP7475" t="s">
        <v>53</v>
      </c>
    </row>
    <row r="7476" spans="2:42" x14ac:dyDescent="0.2">
      <c r="B7476" t="s">
        <v>44</v>
      </c>
      <c r="C7476" t="str">
        <f>HYPERLINK("https://us2.cloudbeds.com/connect/8493803454333002#/reservations/185841094906039?display=404J3NQGN0&amp;reservation_id=185841094906039", "404J3NQGN0")</f>
        <v>404J3NQGN0</v>
      </c>
      <c r="D7476" t="s">
        <v>45</v>
      </c>
      <c r="E7476" t="s">
        <v>179</v>
      </c>
      <c r="F7476" t="s">
        <v>47</v>
      </c>
      <c r="G7476" t="s">
        <v>3974</v>
      </c>
      <c r="H7476" t="s">
        <v>3957</v>
      </c>
      <c r="I7476" t="s">
        <v>3975</v>
      </c>
      <c r="J7476" t="s">
        <v>10586</v>
      </c>
      <c r="K7476" t="s">
        <v>12159</v>
      </c>
      <c r="L7476" t="s">
        <v>53</v>
      </c>
      <c r="P7476" t="s">
        <v>55</v>
      </c>
      <c r="R7476" t="s">
        <v>56</v>
      </c>
      <c r="T7476" t="s">
        <v>13734</v>
      </c>
      <c r="U7476" t="s">
        <v>58</v>
      </c>
      <c r="V7476">
        <v>1</v>
      </c>
      <c r="W7476">
        <v>1</v>
      </c>
      <c r="X7476">
        <v>1</v>
      </c>
      <c r="Y7476">
        <v>0</v>
      </c>
      <c r="Z7476">
        <v>1</v>
      </c>
      <c r="AA7476">
        <v>91.78</v>
      </c>
      <c r="AB7476">
        <v>91.78</v>
      </c>
      <c r="AC7476">
        <v>80.75</v>
      </c>
      <c r="AD7476">
        <v>0</v>
      </c>
      <c r="AE7476">
        <v>11.03</v>
      </c>
      <c r="AF7476">
        <v>0</v>
      </c>
      <c r="AG7476">
        <v>0</v>
      </c>
      <c r="AH7476">
        <v>0</v>
      </c>
      <c r="AI7476">
        <v>0</v>
      </c>
      <c r="AJ7476">
        <v>91.78</v>
      </c>
      <c r="AK7476">
        <v>0</v>
      </c>
      <c r="AL7476" t="s">
        <v>53</v>
      </c>
      <c r="AM7476" t="s">
        <v>53</v>
      </c>
      <c r="AN7476" t="s">
        <v>53</v>
      </c>
      <c r="AO7476" t="s">
        <v>53</v>
      </c>
      <c r="AP7476" t="s">
        <v>53</v>
      </c>
    </row>
    <row r="7477" spans="2:42" x14ac:dyDescent="0.2">
      <c r="B7477" t="s">
        <v>44</v>
      </c>
      <c r="C7477" t="str">
        <f>HYPERLINK("https://us2.cloudbeds.com/connect/8493803454333002#/reservations/9080486847526152?display=404ZPZ5CFH&amp;reservation_id=9080486847526152", "404ZPZ5CFH")</f>
        <v>404ZPZ5CFH</v>
      </c>
      <c r="D7477" t="s">
        <v>45</v>
      </c>
      <c r="E7477" t="s">
        <v>78</v>
      </c>
      <c r="F7477" t="s">
        <v>61</v>
      </c>
      <c r="G7477" t="s">
        <v>48</v>
      </c>
      <c r="H7477" t="s">
        <v>49</v>
      </c>
      <c r="I7477" t="s">
        <v>8964</v>
      </c>
      <c r="J7477" t="s">
        <v>13735</v>
      </c>
      <c r="K7477" t="s">
        <v>9969</v>
      </c>
      <c r="L7477" t="s">
        <v>53</v>
      </c>
      <c r="N7477" t="s">
        <v>13736</v>
      </c>
      <c r="P7477" t="s">
        <v>55</v>
      </c>
      <c r="R7477" t="s">
        <v>53</v>
      </c>
      <c r="T7477" t="s">
        <v>13737</v>
      </c>
      <c r="U7477" t="s">
        <v>55</v>
      </c>
      <c r="V7477">
        <v>3</v>
      </c>
      <c r="W7477">
        <v>1</v>
      </c>
      <c r="X7477">
        <v>1</v>
      </c>
      <c r="Y7477">
        <v>0</v>
      </c>
      <c r="Z7477">
        <v>1</v>
      </c>
      <c r="AA7477">
        <v>0</v>
      </c>
      <c r="AB7477">
        <v>0</v>
      </c>
      <c r="AC7477">
        <v>316</v>
      </c>
      <c r="AD7477">
        <v>0</v>
      </c>
      <c r="AE7477">
        <v>0</v>
      </c>
      <c r="AF7477">
        <v>0</v>
      </c>
      <c r="AG7477">
        <v>0</v>
      </c>
      <c r="AH7477">
        <v>0</v>
      </c>
      <c r="AI7477">
        <v>47.4</v>
      </c>
      <c r="AJ7477">
        <v>316</v>
      </c>
      <c r="AK7477">
        <v>316</v>
      </c>
      <c r="AL7477" t="s">
        <v>53</v>
      </c>
      <c r="AM7477" t="s">
        <v>53</v>
      </c>
      <c r="AN7477" t="s">
        <v>13738</v>
      </c>
      <c r="AO7477" t="s">
        <v>53</v>
      </c>
      <c r="AP7477" t="s">
        <v>53</v>
      </c>
    </row>
    <row r="7478" spans="2:42" x14ac:dyDescent="0.2">
      <c r="B7478" t="s">
        <v>44</v>
      </c>
      <c r="C7478" t="str">
        <f>HYPERLINK("https://us2.cloudbeds.com/connect/8493803454333002#/reservations/9080486847526321?display=404UXKUMS6&amp;reservation_id=9080486847526321", "404UXKUMS6")</f>
        <v>404UXKUMS6</v>
      </c>
      <c r="D7478" t="s">
        <v>45</v>
      </c>
      <c r="E7478" t="s">
        <v>185</v>
      </c>
      <c r="F7478" t="s">
        <v>47</v>
      </c>
      <c r="G7478" t="s">
        <v>48</v>
      </c>
      <c r="H7478" t="s">
        <v>49</v>
      </c>
      <c r="I7478" t="s">
        <v>62</v>
      </c>
      <c r="J7478" t="s">
        <v>12682</v>
      </c>
      <c r="K7478" t="s">
        <v>13047</v>
      </c>
      <c r="L7478" t="s">
        <v>53</v>
      </c>
      <c r="N7478" t="s">
        <v>13739</v>
      </c>
      <c r="P7478" t="s">
        <v>55</v>
      </c>
      <c r="R7478" t="s">
        <v>56</v>
      </c>
      <c r="T7478" t="s">
        <v>13740</v>
      </c>
      <c r="U7478" t="s">
        <v>55</v>
      </c>
      <c r="V7478">
        <v>2</v>
      </c>
      <c r="W7478">
        <v>1</v>
      </c>
      <c r="X7478">
        <v>2</v>
      </c>
      <c r="Y7478">
        <v>0</v>
      </c>
      <c r="Z7478">
        <v>2</v>
      </c>
      <c r="AA7478">
        <v>144.5</v>
      </c>
      <c r="AB7478">
        <v>144.5</v>
      </c>
      <c r="AC7478">
        <v>144.5</v>
      </c>
      <c r="AD7478">
        <v>0</v>
      </c>
      <c r="AE7478">
        <v>0</v>
      </c>
      <c r="AF7478">
        <v>0</v>
      </c>
      <c r="AG7478">
        <v>0</v>
      </c>
      <c r="AH7478">
        <v>0</v>
      </c>
      <c r="AI7478">
        <v>26.01</v>
      </c>
      <c r="AJ7478">
        <v>144.5</v>
      </c>
      <c r="AK7478">
        <v>0</v>
      </c>
      <c r="AL7478" t="s">
        <v>53</v>
      </c>
      <c r="AM7478" t="s">
        <v>53</v>
      </c>
      <c r="AN7478" t="s">
        <v>13741</v>
      </c>
      <c r="AO7478" t="s">
        <v>53</v>
      </c>
      <c r="AP7478" t="s">
        <v>53</v>
      </c>
    </row>
    <row r="7479" spans="2:42" x14ac:dyDescent="0.2">
      <c r="B7479" t="s">
        <v>44</v>
      </c>
      <c r="C7479" t="str">
        <f>HYPERLINK("https://us2.cloudbeds.com/connect/8493803454333002#/reservations/9080486847530850?display=409H030XB6&amp;reservation_id=9080486847530850", "409H030XB6")</f>
        <v>409H030XB6</v>
      </c>
      <c r="D7479" t="s">
        <v>45</v>
      </c>
      <c r="E7479" t="s">
        <v>46</v>
      </c>
      <c r="F7479" t="s">
        <v>47</v>
      </c>
      <c r="G7479" t="s">
        <v>48</v>
      </c>
      <c r="H7479" t="s">
        <v>49</v>
      </c>
      <c r="I7479" t="s">
        <v>50</v>
      </c>
      <c r="J7479" t="s">
        <v>13557</v>
      </c>
      <c r="K7479" t="s">
        <v>13393</v>
      </c>
      <c r="L7479" t="s">
        <v>53</v>
      </c>
      <c r="N7479" t="s">
        <v>13742</v>
      </c>
      <c r="P7479" t="s">
        <v>55</v>
      </c>
      <c r="R7479" t="s">
        <v>53</v>
      </c>
      <c r="T7479" t="s">
        <v>13743</v>
      </c>
      <c r="U7479" t="s">
        <v>58</v>
      </c>
      <c r="V7479">
        <v>1</v>
      </c>
      <c r="W7479">
        <v>1</v>
      </c>
      <c r="X7479">
        <v>2</v>
      </c>
      <c r="Y7479">
        <v>0</v>
      </c>
      <c r="Z7479">
        <v>2</v>
      </c>
      <c r="AA7479">
        <v>86.95</v>
      </c>
      <c r="AB7479">
        <v>86.95</v>
      </c>
      <c r="AC7479">
        <v>76.5</v>
      </c>
      <c r="AD7479">
        <v>0</v>
      </c>
      <c r="AE7479">
        <v>10.45</v>
      </c>
      <c r="AF7479">
        <v>0</v>
      </c>
      <c r="AG7479">
        <v>0</v>
      </c>
      <c r="AH7479">
        <v>0</v>
      </c>
      <c r="AI7479">
        <v>15.65</v>
      </c>
      <c r="AJ7479">
        <v>86.95</v>
      </c>
      <c r="AK7479">
        <v>0</v>
      </c>
      <c r="AL7479" t="s">
        <v>53</v>
      </c>
      <c r="AM7479" t="s">
        <v>53</v>
      </c>
      <c r="AN7479" t="s">
        <v>53</v>
      </c>
      <c r="AO7479" t="s">
        <v>53</v>
      </c>
      <c r="AP7479" t="s">
        <v>53</v>
      </c>
    </row>
    <row r="7480" spans="2:42" x14ac:dyDescent="0.2">
      <c r="B7480" t="s">
        <v>44</v>
      </c>
      <c r="C7480" t="str">
        <f>HYPERLINK("https://us2.cloudbeds.com/connect/8493803454333002#/reservations/9080486847533919?display=40BCEJ8MXQ&amp;reservation_id=9080486847533919", "40BCEJ8MXQ")</f>
        <v>40BCEJ8MXQ</v>
      </c>
      <c r="D7480" t="s">
        <v>45</v>
      </c>
      <c r="E7480" t="s">
        <v>121</v>
      </c>
      <c r="F7480" t="s">
        <v>86</v>
      </c>
      <c r="G7480" t="s">
        <v>48</v>
      </c>
      <c r="H7480" t="s">
        <v>49</v>
      </c>
      <c r="I7480" t="s">
        <v>50</v>
      </c>
      <c r="J7480" t="s">
        <v>13468</v>
      </c>
      <c r="K7480" t="s">
        <v>12159</v>
      </c>
      <c r="L7480" t="s">
        <v>53</v>
      </c>
      <c r="N7480" t="s">
        <v>13744</v>
      </c>
      <c r="P7480" t="s">
        <v>55</v>
      </c>
      <c r="R7480" t="s">
        <v>53</v>
      </c>
      <c r="T7480" t="s">
        <v>13745</v>
      </c>
      <c r="U7480" t="s">
        <v>58</v>
      </c>
      <c r="V7480">
        <v>2</v>
      </c>
      <c r="W7480">
        <v>1</v>
      </c>
      <c r="X7480">
        <v>2</v>
      </c>
      <c r="Y7480">
        <v>2</v>
      </c>
      <c r="Z7480">
        <v>4</v>
      </c>
      <c r="AA7480">
        <v>225.04</v>
      </c>
      <c r="AB7480">
        <v>236.41</v>
      </c>
      <c r="AC7480">
        <v>198</v>
      </c>
      <c r="AD7480">
        <v>10</v>
      </c>
      <c r="AE7480">
        <v>28.41</v>
      </c>
      <c r="AF7480">
        <v>0</v>
      </c>
      <c r="AG7480">
        <v>0</v>
      </c>
      <c r="AH7480">
        <v>0</v>
      </c>
      <c r="AI7480">
        <v>42.55</v>
      </c>
      <c r="AJ7480">
        <v>236.41</v>
      </c>
      <c r="AK7480">
        <v>0</v>
      </c>
      <c r="AL7480" t="s">
        <v>53</v>
      </c>
      <c r="AM7480" t="s">
        <v>53</v>
      </c>
      <c r="AN7480" t="s">
        <v>13746</v>
      </c>
      <c r="AO7480" t="s">
        <v>53</v>
      </c>
      <c r="AP7480" t="s">
        <v>53</v>
      </c>
    </row>
    <row r="7481" spans="2:42" x14ac:dyDescent="0.2">
      <c r="B7481" t="s">
        <v>44</v>
      </c>
      <c r="C7481" t="str">
        <f>HYPERLINK("https://us2.cloudbeds.com/connect/8493803454333002#/reservations/9080486847534763?display=40BT10ZJHA&amp;reservation_id=9080486847534763", "40BT10ZJHA")</f>
        <v>40BT10ZJHA</v>
      </c>
      <c r="D7481" t="s">
        <v>45</v>
      </c>
      <c r="E7481" t="s">
        <v>213</v>
      </c>
      <c r="F7481" t="s">
        <v>86</v>
      </c>
      <c r="G7481" t="s">
        <v>48</v>
      </c>
      <c r="H7481" t="s">
        <v>49</v>
      </c>
      <c r="I7481" t="s">
        <v>50</v>
      </c>
      <c r="J7481" t="s">
        <v>13747</v>
      </c>
      <c r="K7481" t="s">
        <v>9969</v>
      </c>
      <c r="L7481" t="s">
        <v>53</v>
      </c>
      <c r="N7481" t="s">
        <v>13748</v>
      </c>
      <c r="P7481" t="s">
        <v>55</v>
      </c>
      <c r="R7481" t="s">
        <v>53</v>
      </c>
      <c r="T7481" t="s">
        <v>13749</v>
      </c>
      <c r="U7481" t="s">
        <v>58</v>
      </c>
      <c r="V7481">
        <v>4</v>
      </c>
      <c r="W7481">
        <v>1</v>
      </c>
      <c r="X7481">
        <v>2</v>
      </c>
      <c r="Y7481">
        <v>0</v>
      </c>
      <c r="Z7481">
        <v>2</v>
      </c>
      <c r="AA7481">
        <v>348.76</v>
      </c>
      <c r="AB7481">
        <v>348.76</v>
      </c>
      <c r="AC7481">
        <v>306.85000000000002</v>
      </c>
      <c r="AD7481">
        <v>0</v>
      </c>
      <c r="AE7481">
        <v>41.91</v>
      </c>
      <c r="AF7481">
        <v>0</v>
      </c>
      <c r="AG7481">
        <v>0</v>
      </c>
      <c r="AH7481">
        <v>0</v>
      </c>
      <c r="AI7481">
        <v>62.78</v>
      </c>
      <c r="AJ7481">
        <v>348.76</v>
      </c>
      <c r="AK7481">
        <v>0</v>
      </c>
      <c r="AL7481" t="s">
        <v>53</v>
      </c>
      <c r="AM7481" t="s">
        <v>53</v>
      </c>
      <c r="AN7481" t="s">
        <v>13750</v>
      </c>
      <c r="AO7481" t="s">
        <v>53</v>
      </c>
      <c r="AP7481" t="s">
        <v>53</v>
      </c>
    </row>
    <row r="7482" spans="2:42" x14ac:dyDescent="0.2">
      <c r="B7482" t="s">
        <v>44</v>
      </c>
      <c r="C7482" t="str">
        <f>HYPERLINK("https://us2.cloudbeds.com/connect/8493803454333002#/reservations/9080486847535543?display=40CJYPPMHM&amp;reservation_id=9080486847535543", "40CJYPPMHM")</f>
        <v>40CJYPPMHM</v>
      </c>
      <c r="D7482" t="s">
        <v>45</v>
      </c>
      <c r="E7482" t="s">
        <v>85</v>
      </c>
      <c r="F7482" t="s">
        <v>86</v>
      </c>
      <c r="G7482" t="s">
        <v>48</v>
      </c>
      <c r="H7482" t="s">
        <v>49</v>
      </c>
      <c r="I7482" t="s">
        <v>50</v>
      </c>
      <c r="J7482" t="s">
        <v>11067</v>
      </c>
      <c r="K7482" t="s">
        <v>11068</v>
      </c>
      <c r="L7482" t="s">
        <v>53</v>
      </c>
      <c r="N7482" t="s">
        <v>13751</v>
      </c>
      <c r="P7482" t="s">
        <v>55</v>
      </c>
      <c r="R7482" t="s">
        <v>53</v>
      </c>
      <c r="T7482" t="s">
        <v>13752</v>
      </c>
      <c r="U7482" t="s">
        <v>58</v>
      </c>
      <c r="V7482">
        <v>1</v>
      </c>
      <c r="W7482">
        <v>1</v>
      </c>
      <c r="X7482">
        <v>2</v>
      </c>
      <c r="Y7482">
        <v>0</v>
      </c>
      <c r="Z7482">
        <v>2</v>
      </c>
      <c r="AA7482">
        <v>112.52</v>
      </c>
      <c r="AB7482">
        <v>112.52</v>
      </c>
      <c r="AC7482">
        <v>99</v>
      </c>
      <c r="AD7482">
        <v>0</v>
      </c>
      <c r="AE7482">
        <v>13.52</v>
      </c>
      <c r="AF7482">
        <v>0</v>
      </c>
      <c r="AG7482">
        <v>0</v>
      </c>
      <c r="AH7482">
        <v>0</v>
      </c>
      <c r="AI7482">
        <v>20.25</v>
      </c>
      <c r="AJ7482">
        <v>112.52</v>
      </c>
      <c r="AK7482">
        <v>0</v>
      </c>
      <c r="AL7482" t="s">
        <v>53</v>
      </c>
      <c r="AM7482" t="s">
        <v>53</v>
      </c>
      <c r="AN7482" t="s">
        <v>13753</v>
      </c>
      <c r="AO7482" t="s">
        <v>53</v>
      </c>
      <c r="AP7482" t="s">
        <v>53</v>
      </c>
    </row>
    <row r="7483" spans="2:42" x14ac:dyDescent="0.2">
      <c r="B7483" t="s">
        <v>44</v>
      </c>
      <c r="C7483" t="str">
        <f>HYPERLINK("https://us2.cloudbeds.com/connect/8493803454333002#/reservations/186192531439773?display=40CR7ZD3NB&amp;reservation_id=186192531439773", "40CR7ZD3NB")</f>
        <v>40CR7ZD3NB</v>
      </c>
      <c r="D7483" t="s">
        <v>45</v>
      </c>
      <c r="E7483" t="s">
        <v>381</v>
      </c>
      <c r="F7483" t="s">
        <v>47</v>
      </c>
      <c r="G7483" t="s">
        <v>48</v>
      </c>
      <c r="H7483" t="s">
        <v>3957</v>
      </c>
      <c r="I7483" t="s">
        <v>3958</v>
      </c>
      <c r="J7483" t="s">
        <v>13557</v>
      </c>
      <c r="K7483" t="s">
        <v>13393</v>
      </c>
      <c r="L7483" t="s">
        <v>53</v>
      </c>
      <c r="P7483" t="s">
        <v>55</v>
      </c>
      <c r="R7483" t="s">
        <v>56</v>
      </c>
      <c r="T7483" t="s">
        <v>13754</v>
      </c>
      <c r="U7483" t="s">
        <v>58</v>
      </c>
      <c r="V7483">
        <v>1</v>
      </c>
      <c r="W7483">
        <v>1</v>
      </c>
      <c r="X7483">
        <v>1</v>
      </c>
      <c r="Y7483">
        <v>0</v>
      </c>
      <c r="Z7483">
        <v>1</v>
      </c>
      <c r="AA7483">
        <v>96.61</v>
      </c>
      <c r="AB7483">
        <v>96.61</v>
      </c>
      <c r="AC7483">
        <v>85</v>
      </c>
      <c r="AD7483">
        <v>0</v>
      </c>
      <c r="AE7483">
        <v>11.61</v>
      </c>
      <c r="AF7483">
        <v>0</v>
      </c>
      <c r="AG7483">
        <v>0</v>
      </c>
      <c r="AH7483">
        <v>0</v>
      </c>
      <c r="AI7483">
        <v>0</v>
      </c>
      <c r="AJ7483">
        <v>96.61</v>
      </c>
      <c r="AK7483">
        <v>0</v>
      </c>
      <c r="AL7483" t="s">
        <v>53</v>
      </c>
      <c r="AM7483" t="s">
        <v>53</v>
      </c>
      <c r="AN7483" t="s">
        <v>53</v>
      </c>
      <c r="AO7483" t="s">
        <v>53</v>
      </c>
      <c r="AP7483" t="s">
        <v>53</v>
      </c>
    </row>
    <row r="7484" spans="2:42" x14ac:dyDescent="0.2">
      <c r="B7484" t="s">
        <v>44</v>
      </c>
      <c r="C7484" t="str">
        <f>HYPERLINK("https://us2.cloudbeds.com/connect/8493803454333002#/reservations/186209057956031?display=40D710WQ1A&amp;reservation_id=186209057956031", "40D710WQ1A")</f>
        <v>40D710WQ1A</v>
      </c>
      <c r="D7484" t="s">
        <v>45</v>
      </c>
      <c r="E7484" t="s">
        <v>128</v>
      </c>
      <c r="F7484" t="s">
        <v>86</v>
      </c>
      <c r="G7484" t="s">
        <v>48</v>
      </c>
      <c r="H7484" t="s">
        <v>3957</v>
      </c>
      <c r="I7484" t="s">
        <v>3975</v>
      </c>
      <c r="J7484" t="s">
        <v>13393</v>
      </c>
      <c r="K7484" t="s">
        <v>12531</v>
      </c>
      <c r="L7484" t="s">
        <v>53</v>
      </c>
      <c r="P7484" t="s">
        <v>55</v>
      </c>
      <c r="R7484" t="s">
        <v>56</v>
      </c>
      <c r="T7484" t="s">
        <v>13755</v>
      </c>
      <c r="U7484" t="s">
        <v>58</v>
      </c>
      <c r="V7484">
        <v>1</v>
      </c>
      <c r="W7484">
        <v>1</v>
      </c>
      <c r="X7484">
        <v>3</v>
      </c>
      <c r="Y7484">
        <v>0</v>
      </c>
      <c r="Z7484">
        <v>3</v>
      </c>
      <c r="AA7484">
        <v>125.02</v>
      </c>
      <c r="AB7484">
        <v>125.02</v>
      </c>
      <c r="AC7484">
        <v>110</v>
      </c>
      <c r="AD7484">
        <v>0</v>
      </c>
      <c r="AE7484">
        <v>15.02</v>
      </c>
      <c r="AF7484">
        <v>0</v>
      </c>
      <c r="AG7484">
        <v>0</v>
      </c>
      <c r="AH7484">
        <v>0</v>
      </c>
      <c r="AI7484">
        <v>0</v>
      </c>
      <c r="AJ7484">
        <v>125.02</v>
      </c>
      <c r="AK7484">
        <v>0</v>
      </c>
      <c r="AL7484" t="s">
        <v>53</v>
      </c>
      <c r="AM7484" t="s">
        <v>53</v>
      </c>
      <c r="AN7484" t="s">
        <v>13756</v>
      </c>
      <c r="AO7484" t="s">
        <v>53</v>
      </c>
      <c r="AP7484" t="s">
        <v>53</v>
      </c>
    </row>
    <row r="7485" spans="2:42" x14ac:dyDescent="0.2">
      <c r="B7485" t="s">
        <v>44</v>
      </c>
      <c r="C7485" t="str">
        <f>HYPERLINK("https://us2.cloudbeds.com/connect/8493803454333002#/reservations/186217750671540?display=40DDP4UDJQ&amp;reservation_id=186217750671540", "40DDP4UDJQ")</f>
        <v>40DDP4UDJQ</v>
      </c>
      <c r="D7485" t="s">
        <v>45</v>
      </c>
      <c r="E7485" t="s">
        <v>373</v>
      </c>
      <c r="F7485" t="s">
        <v>47</v>
      </c>
      <c r="G7485" t="s">
        <v>13757</v>
      </c>
      <c r="H7485" t="s">
        <v>3957</v>
      </c>
      <c r="I7485" t="s">
        <v>3958</v>
      </c>
      <c r="J7485" t="s">
        <v>13557</v>
      </c>
      <c r="K7485" t="s">
        <v>12756</v>
      </c>
      <c r="L7485" t="s">
        <v>53</v>
      </c>
      <c r="P7485" t="s">
        <v>55</v>
      </c>
      <c r="R7485" t="s">
        <v>56</v>
      </c>
      <c r="T7485" t="s">
        <v>13758</v>
      </c>
      <c r="U7485" t="s">
        <v>58</v>
      </c>
      <c r="V7485">
        <v>5</v>
      </c>
      <c r="W7485">
        <v>1</v>
      </c>
      <c r="X7485">
        <v>1</v>
      </c>
      <c r="Y7485">
        <v>0</v>
      </c>
      <c r="Z7485">
        <v>1</v>
      </c>
      <c r="AA7485">
        <v>382.42</v>
      </c>
      <c r="AB7485">
        <v>764.92</v>
      </c>
      <c r="AC7485">
        <v>336.5</v>
      </c>
      <c r="AD7485">
        <v>0</v>
      </c>
      <c r="AE7485">
        <v>45.92</v>
      </c>
      <c r="AF7485">
        <v>0</v>
      </c>
      <c r="AG7485">
        <v>0</v>
      </c>
      <c r="AH7485">
        <v>0</v>
      </c>
      <c r="AI7485">
        <v>0</v>
      </c>
      <c r="AJ7485">
        <v>382.42</v>
      </c>
      <c r="AK7485">
        <v>0</v>
      </c>
      <c r="AL7485" t="s">
        <v>53</v>
      </c>
      <c r="AM7485" t="s">
        <v>53</v>
      </c>
      <c r="AN7485" t="s">
        <v>53</v>
      </c>
      <c r="AO7485" t="s">
        <v>53</v>
      </c>
      <c r="AP7485" t="s">
        <v>53</v>
      </c>
    </row>
    <row r="7486" spans="2:42" x14ac:dyDescent="0.2">
      <c r="B7486" t="s">
        <v>44</v>
      </c>
      <c r="C7486" t="str">
        <f>HYPERLINK("https://us2.cloudbeds.com/connect/8493803454333002#/reservations/9080486847536850?display=40DNJHPX7W&amp;reservation_id=9080486847536850", "40DNJHPX7W")</f>
        <v>40DNJHPX7W</v>
      </c>
      <c r="D7486" t="s">
        <v>45</v>
      </c>
      <c r="E7486" t="s">
        <v>185</v>
      </c>
      <c r="F7486" t="s">
        <v>47</v>
      </c>
      <c r="G7486" t="s">
        <v>48</v>
      </c>
      <c r="H7486" t="s">
        <v>49</v>
      </c>
      <c r="I7486" t="s">
        <v>62</v>
      </c>
      <c r="J7486" t="s">
        <v>12681</v>
      </c>
      <c r="K7486" t="s">
        <v>12682</v>
      </c>
      <c r="L7486" t="s">
        <v>53</v>
      </c>
      <c r="N7486" t="s">
        <v>13759</v>
      </c>
      <c r="P7486" t="s">
        <v>55</v>
      </c>
      <c r="R7486" t="s">
        <v>56</v>
      </c>
      <c r="T7486" t="s">
        <v>13760</v>
      </c>
      <c r="U7486" t="s">
        <v>55</v>
      </c>
      <c r="V7486">
        <v>1</v>
      </c>
      <c r="W7486">
        <v>1</v>
      </c>
      <c r="X7486">
        <v>2</v>
      </c>
      <c r="Y7486">
        <v>0</v>
      </c>
      <c r="Z7486">
        <v>2</v>
      </c>
      <c r="AA7486">
        <v>68.64</v>
      </c>
      <c r="AB7486">
        <v>68.64</v>
      </c>
      <c r="AC7486">
        <v>68.64</v>
      </c>
      <c r="AD7486">
        <v>0</v>
      </c>
      <c r="AE7486">
        <v>0</v>
      </c>
      <c r="AF7486">
        <v>0</v>
      </c>
      <c r="AG7486">
        <v>0</v>
      </c>
      <c r="AH7486">
        <v>0</v>
      </c>
      <c r="AI7486">
        <v>12.36</v>
      </c>
      <c r="AJ7486">
        <v>68.64</v>
      </c>
      <c r="AK7486">
        <v>0</v>
      </c>
      <c r="AL7486" t="s">
        <v>53</v>
      </c>
      <c r="AM7486" t="s">
        <v>53</v>
      </c>
      <c r="AN7486" t="s">
        <v>53</v>
      </c>
      <c r="AO7486" t="s">
        <v>53</v>
      </c>
      <c r="AP7486" t="s">
        <v>53</v>
      </c>
    </row>
    <row r="7487" spans="2:42" x14ac:dyDescent="0.2">
      <c r="B7487" t="s">
        <v>44</v>
      </c>
      <c r="C7487" t="str">
        <f>HYPERLINK("https://us2.cloudbeds.com/connect/8493803454333002#/reservations/9080486847539520?display=40GQNUDWTB&amp;reservation_id=9080486847539520", "40GQNUDWTB")</f>
        <v>40GQNUDWTB</v>
      </c>
      <c r="D7487" t="s">
        <v>45</v>
      </c>
      <c r="E7487" t="s">
        <v>190</v>
      </c>
      <c r="F7487" t="s">
        <v>61</v>
      </c>
      <c r="G7487" t="s">
        <v>48</v>
      </c>
      <c r="H7487" t="s">
        <v>49</v>
      </c>
      <c r="I7487" t="s">
        <v>50</v>
      </c>
      <c r="J7487" t="s">
        <v>12681</v>
      </c>
      <c r="K7487" t="s">
        <v>13047</v>
      </c>
      <c r="L7487" t="s">
        <v>53</v>
      </c>
      <c r="N7487" t="s">
        <v>13761</v>
      </c>
      <c r="P7487" t="s">
        <v>55</v>
      </c>
      <c r="R7487" t="s">
        <v>53</v>
      </c>
      <c r="T7487" t="s">
        <v>13762</v>
      </c>
      <c r="U7487" t="s">
        <v>58</v>
      </c>
      <c r="V7487">
        <v>3</v>
      </c>
      <c r="W7487">
        <v>1</v>
      </c>
      <c r="X7487">
        <v>2</v>
      </c>
      <c r="Y7487">
        <v>0</v>
      </c>
      <c r="Z7487">
        <v>2</v>
      </c>
      <c r="AA7487">
        <v>234.75</v>
      </c>
      <c r="AB7487">
        <v>234.75</v>
      </c>
      <c r="AC7487">
        <v>206.55</v>
      </c>
      <c r="AD7487">
        <v>0</v>
      </c>
      <c r="AE7487">
        <v>28.2</v>
      </c>
      <c r="AF7487">
        <v>0</v>
      </c>
      <c r="AG7487">
        <v>0</v>
      </c>
      <c r="AH7487">
        <v>0</v>
      </c>
      <c r="AI7487">
        <v>42.26</v>
      </c>
      <c r="AJ7487">
        <v>234.75</v>
      </c>
      <c r="AK7487">
        <v>0</v>
      </c>
      <c r="AL7487" t="s">
        <v>53</v>
      </c>
      <c r="AM7487" t="s">
        <v>53</v>
      </c>
      <c r="AN7487" t="s">
        <v>13763</v>
      </c>
      <c r="AO7487" t="s">
        <v>53</v>
      </c>
      <c r="AP7487" t="s">
        <v>53</v>
      </c>
    </row>
    <row r="7488" spans="2:42" x14ac:dyDescent="0.2">
      <c r="B7488" t="s">
        <v>44</v>
      </c>
      <c r="C7488" t="str">
        <f>HYPERLINK("https://us2.cloudbeds.com/connect/8493803454333002#/reservations/9080486847540457?display=40HJECU8ME&amp;reservation_id=9080486847540457", "40HJECU8ME")</f>
        <v>40HJECU8ME</v>
      </c>
      <c r="D7488" t="s">
        <v>45</v>
      </c>
      <c r="E7488" t="s">
        <v>85</v>
      </c>
      <c r="F7488" t="s">
        <v>86</v>
      </c>
      <c r="G7488" t="s">
        <v>48</v>
      </c>
      <c r="H7488" t="s">
        <v>49</v>
      </c>
      <c r="I7488" t="s">
        <v>50</v>
      </c>
      <c r="J7488" t="s">
        <v>12531</v>
      </c>
      <c r="K7488" t="s">
        <v>11067</v>
      </c>
      <c r="L7488" t="s">
        <v>53</v>
      </c>
      <c r="N7488" t="s">
        <v>13764</v>
      </c>
      <c r="P7488" t="s">
        <v>55</v>
      </c>
      <c r="R7488" t="s">
        <v>53</v>
      </c>
      <c r="T7488" t="s">
        <v>13765</v>
      </c>
      <c r="U7488" t="s">
        <v>58</v>
      </c>
      <c r="V7488">
        <v>1</v>
      </c>
      <c r="W7488">
        <v>1</v>
      </c>
      <c r="X7488">
        <v>2</v>
      </c>
      <c r="Y7488">
        <v>0</v>
      </c>
      <c r="Z7488">
        <v>2</v>
      </c>
      <c r="AA7488">
        <v>96.14</v>
      </c>
      <c r="AB7488">
        <v>96.14</v>
      </c>
      <c r="AC7488">
        <v>84.6</v>
      </c>
      <c r="AD7488">
        <v>0</v>
      </c>
      <c r="AE7488">
        <v>11.54</v>
      </c>
      <c r="AF7488">
        <v>0</v>
      </c>
      <c r="AG7488">
        <v>0</v>
      </c>
      <c r="AH7488">
        <v>0</v>
      </c>
      <c r="AI7488">
        <v>17.309999999999999</v>
      </c>
      <c r="AJ7488">
        <v>96.14</v>
      </c>
      <c r="AK7488">
        <v>0</v>
      </c>
      <c r="AL7488" t="s">
        <v>53</v>
      </c>
      <c r="AM7488" t="s">
        <v>53</v>
      </c>
      <c r="AN7488" t="s">
        <v>53</v>
      </c>
      <c r="AO7488" t="s">
        <v>53</v>
      </c>
      <c r="AP7488" t="s">
        <v>53</v>
      </c>
    </row>
    <row r="7489" spans="2:42" x14ac:dyDescent="0.2">
      <c r="B7489" t="s">
        <v>44</v>
      </c>
      <c r="C7489" t="str">
        <f>HYPERLINK("https://us2.cloudbeds.com/connect/8493803454333002#/reservations/186461568913627?display=40J4X8UDK6&amp;reservation_id=186461568913627", "40J4X8UDK6")</f>
        <v>40J4X8UDK6</v>
      </c>
      <c r="D7489" t="s">
        <v>45</v>
      </c>
      <c r="E7489" t="s">
        <v>110</v>
      </c>
      <c r="F7489" t="s">
        <v>47</v>
      </c>
      <c r="G7489" t="s">
        <v>48</v>
      </c>
      <c r="H7489" t="s">
        <v>3957</v>
      </c>
      <c r="I7489" t="s">
        <v>3975</v>
      </c>
      <c r="J7489" t="s">
        <v>13010</v>
      </c>
      <c r="K7489" t="s">
        <v>13024</v>
      </c>
      <c r="L7489" t="s">
        <v>53</v>
      </c>
      <c r="P7489" t="s">
        <v>55</v>
      </c>
      <c r="R7489" t="s">
        <v>56</v>
      </c>
      <c r="T7489" t="s">
        <v>13766</v>
      </c>
      <c r="U7489" t="s">
        <v>58</v>
      </c>
      <c r="V7489">
        <v>2</v>
      </c>
      <c r="W7489">
        <v>1</v>
      </c>
      <c r="X7489">
        <v>2</v>
      </c>
      <c r="Y7489">
        <v>0</v>
      </c>
      <c r="Z7489">
        <v>2</v>
      </c>
      <c r="AA7489">
        <v>235.27</v>
      </c>
      <c r="AB7489">
        <v>235.27</v>
      </c>
      <c r="AC7489">
        <v>207</v>
      </c>
      <c r="AD7489">
        <v>0</v>
      </c>
      <c r="AE7489">
        <v>28.27</v>
      </c>
      <c r="AF7489">
        <v>0</v>
      </c>
      <c r="AG7489">
        <v>0</v>
      </c>
      <c r="AH7489">
        <v>0</v>
      </c>
      <c r="AI7489">
        <v>0</v>
      </c>
      <c r="AJ7489">
        <v>235.27</v>
      </c>
      <c r="AK7489">
        <v>0</v>
      </c>
      <c r="AL7489" t="s">
        <v>53</v>
      </c>
      <c r="AM7489" t="s">
        <v>53</v>
      </c>
      <c r="AN7489" t="s">
        <v>13767</v>
      </c>
      <c r="AO7489" t="s">
        <v>53</v>
      </c>
      <c r="AP7489" t="s">
        <v>53</v>
      </c>
    </row>
    <row r="7490" spans="2:42" x14ac:dyDescent="0.2">
      <c r="B7490" t="s">
        <v>44</v>
      </c>
      <c r="C7490" t="str">
        <f>HYPERLINK("https://us2.cloudbeds.com/connect/8493803454333002#/reservations/9080486847543134?display=40JKB5KMEN&amp;reservation_id=9080486847543134", "40JKB5KMEN")</f>
        <v>40JKB5KMEN</v>
      </c>
      <c r="D7490" t="s">
        <v>45</v>
      </c>
      <c r="E7490" t="s">
        <v>110</v>
      </c>
      <c r="F7490" t="s">
        <v>47</v>
      </c>
      <c r="G7490" t="s">
        <v>48</v>
      </c>
      <c r="H7490" t="s">
        <v>49</v>
      </c>
      <c r="I7490" t="s">
        <v>62</v>
      </c>
      <c r="J7490" t="s">
        <v>13393</v>
      </c>
      <c r="K7490" t="s">
        <v>12531</v>
      </c>
      <c r="L7490" t="s">
        <v>53</v>
      </c>
      <c r="N7490" t="s">
        <v>13768</v>
      </c>
      <c r="P7490" t="s">
        <v>55</v>
      </c>
      <c r="R7490" t="s">
        <v>56</v>
      </c>
      <c r="T7490" t="s">
        <v>13769</v>
      </c>
      <c r="U7490" t="s">
        <v>55</v>
      </c>
      <c r="V7490">
        <v>1</v>
      </c>
      <c r="W7490">
        <v>1</v>
      </c>
      <c r="X7490">
        <v>2</v>
      </c>
      <c r="Y7490">
        <v>0</v>
      </c>
      <c r="Z7490">
        <v>2</v>
      </c>
      <c r="AA7490">
        <v>64.599999999999994</v>
      </c>
      <c r="AB7490">
        <v>64.599999999999994</v>
      </c>
      <c r="AC7490">
        <v>64.599999999999994</v>
      </c>
      <c r="AD7490">
        <v>0</v>
      </c>
      <c r="AE7490">
        <v>0</v>
      </c>
      <c r="AF7490">
        <v>0</v>
      </c>
      <c r="AG7490">
        <v>0</v>
      </c>
      <c r="AH7490">
        <v>0</v>
      </c>
      <c r="AI7490">
        <v>11.63</v>
      </c>
      <c r="AJ7490">
        <v>64.599999999999994</v>
      </c>
      <c r="AK7490">
        <v>0</v>
      </c>
      <c r="AL7490" t="s">
        <v>53</v>
      </c>
      <c r="AM7490" t="s">
        <v>53</v>
      </c>
      <c r="AN7490" t="s">
        <v>13770</v>
      </c>
      <c r="AO7490" t="s">
        <v>53</v>
      </c>
      <c r="AP7490" t="s">
        <v>53</v>
      </c>
    </row>
    <row r="7491" spans="2:42" x14ac:dyDescent="0.2">
      <c r="B7491" t="s">
        <v>44</v>
      </c>
      <c r="C7491" t="str">
        <f>HYPERLINK("https://us2.cloudbeds.com/connect/8493803454333002#/reservations/186493696446692?display=40JTE6NCH7&amp;reservation_id=186493696446692", "40JTE6NCH7")</f>
        <v>40JTE6NCH7</v>
      </c>
      <c r="D7491" t="s">
        <v>45</v>
      </c>
      <c r="E7491" t="s">
        <v>85</v>
      </c>
      <c r="F7491" t="s">
        <v>86</v>
      </c>
      <c r="G7491" t="s">
        <v>48</v>
      </c>
      <c r="H7491" t="s">
        <v>3957</v>
      </c>
      <c r="I7491" t="s">
        <v>3958</v>
      </c>
      <c r="J7491" t="s">
        <v>13393</v>
      </c>
      <c r="K7491" t="s">
        <v>12531</v>
      </c>
      <c r="L7491" t="s">
        <v>53</v>
      </c>
      <c r="P7491" t="s">
        <v>55</v>
      </c>
      <c r="R7491" t="s">
        <v>56</v>
      </c>
      <c r="T7491" t="s">
        <v>13771</v>
      </c>
      <c r="U7491" t="s">
        <v>58</v>
      </c>
      <c r="V7491">
        <v>1</v>
      </c>
      <c r="W7491">
        <v>1</v>
      </c>
      <c r="X7491">
        <v>1</v>
      </c>
      <c r="Y7491">
        <v>0</v>
      </c>
      <c r="Z7491">
        <v>1</v>
      </c>
      <c r="AA7491">
        <v>106.84</v>
      </c>
      <c r="AB7491">
        <v>106.84</v>
      </c>
      <c r="AC7491">
        <v>94</v>
      </c>
      <c r="AD7491">
        <v>0</v>
      </c>
      <c r="AE7491">
        <v>12.84</v>
      </c>
      <c r="AF7491">
        <v>0</v>
      </c>
      <c r="AG7491">
        <v>0</v>
      </c>
      <c r="AH7491">
        <v>0</v>
      </c>
      <c r="AI7491">
        <v>0</v>
      </c>
      <c r="AJ7491">
        <v>106.84</v>
      </c>
      <c r="AK7491">
        <v>0</v>
      </c>
      <c r="AL7491" t="s">
        <v>53</v>
      </c>
      <c r="AM7491" t="s">
        <v>53</v>
      </c>
      <c r="AN7491" t="s">
        <v>53</v>
      </c>
      <c r="AO7491" t="s">
        <v>53</v>
      </c>
      <c r="AP7491" t="s">
        <v>53</v>
      </c>
    </row>
    <row r="7492" spans="2:42" x14ac:dyDescent="0.2">
      <c r="B7492" t="s">
        <v>44</v>
      </c>
      <c r="C7492" t="str">
        <f>HYPERLINK("https://us2.cloudbeds.com/connect/8493803454333002#/reservations/9080486847543833?display=40K3Y340UB&amp;reservation_id=9080486847543833", "40K3Y340UB")</f>
        <v>40K3Y340UB</v>
      </c>
      <c r="D7492" t="s">
        <v>45</v>
      </c>
      <c r="E7492" t="s">
        <v>138</v>
      </c>
      <c r="F7492" t="s">
        <v>70</v>
      </c>
      <c r="G7492" t="s">
        <v>48</v>
      </c>
      <c r="H7492" t="s">
        <v>49</v>
      </c>
      <c r="I7492" t="s">
        <v>62</v>
      </c>
      <c r="J7492" t="s">
        <v>13525</v>
      </c>
      <c r="K7492" t="s">
        <v>10861</v>
      </c>
      <c r="L7492" t="s">
        <v>53</v>
      </c>
      <c r="N7492" t="s">
        <v>13772</v>
      </c>
      <c r="P7492" t="s">
        <v>55</v>
      </c>
      <c r="R7492" t="s">
        <v>56</v>
      </c>
      <c r="T7492" t="s">
        <v>13773</v>
      </c>
      <c r="U7492" t="s">
        <v>55</v>
      </c>
      <c r="V7492">
        <v>1</v>
      </c>
      <c r="W7492">
        <v>1</v>
      </c>
      <c r="X7492">
        <v>1</v>
      </c>
      <c r="Y7492">
        <v>0</v>
      </c>
      <c r="Z7492">
        <v>1</v>
      </c>
      <c r="AA7492">
        <v>62.05</v>
      </c>
      <c r="AB7492">
        <v>62.05</v>
      </c>
      <c r="AC7492">
        <v>62.05</v>
      </c>
      <c r="AD7492">
        <v>0</v>
      </c>
      <c r="AE7492">
        <v>0</v>
      </c>
      <c r="AF7492">
        <v>0</v>
      </c>
      <c r="AG7492">
        <v>0</v>
      </c>
      <c r="AH7492">
        <v>0</v>
      </c>
      <c r="AI7492">
        <v>11.17</v>
      </c>
      <c r="AJ7492">
        <v>62.05</v>
      </c>
      <c r="AK7492">
        <v>0</v>
      </c>
      <c r="AL7492" t="s">
        <v>53</v>
      </c>
      <c r="AM7492" t="s">
        <v>53</v>
      </c>
      <c r="AN7492" t="s">
        <v>13774</v>
      </c>
      <c r="AO7492" t="s">
        <v>53</v>
      </c>
      <c r="AP7492" t="s">
        <v>53</v>
      </c>
    </row>
    <row r="7493" spans="2:42" x14ac:dyDescent="0.2">
      <c r="B7493" t="s">
        <v>44</v>
      </c>
      <c r="C7493" t="str">
        <f>HYPERLINK("https://us2.cloudbeds.com/connect/8493803454333002#/reservations/186511481491607?display=40KA6YHFX7&amp;reservation_id=186511481491607", "40KA6YHFX7")</f>
        <v>40KA6YHFX7</v>
      </c>
      <c r="D7493" t="s">
        <v>45</v>
      </c>
      <c r="E7493" t="s">
        <v>179</v>
      </c>
      <c r="F7493" t="s">
        <v>47</v>
      </c>
      <c r="G7493" t="s">
        <v>48</v>
      </c>
      <c r="H7493" t="s">
        <v>3957</v>
      </c>
      <c r="I7493" t="s">
        <v>3975</v>
      </c>
      <c r="J7493" t="s">
        <v>13393</v>
      </c>
      <c r="K7493" t="s">
        <v>12531</v>
      </c>
      <c r="L7493" t="s">
        <v>53</v>
      </c>
      <c r="P7493" t="s">
        <v>55</v>
      </c>
      <c r="R7493" t="s">
        <v>56</v>
      </c>
      <c r="T7493" t="s">
        <v>13775</v>
      </c>
      <c r="U7493" t="s">
        <v>58</v>
      </c>
      <c r="V7493">
        <v>1</v>
      </c>
      <c r="W7493">
        <v>1</v>
      </c>
      <c r="X7493">
        <v>1</v>
      </c>
      <c r="Y7493">
        <v>0</v>
      </c>
      <c r="Z7493">
        <v>1</v>
      </c>
      <c r="AA7493">
        <v>86.37</v>
      </c>
      <c r="AB7493">
        <v>86.37</v>
      </c>
      <c r="AC7493">
        <v>76</v>
      </c>
      <c r="AD7493">
        <v>0</v>
      </c>
      <c r="AE7493">
        <v>10.37</v>
      </c>
      <c r="AF7493">
        <v>0</v>
      </c>
      <c r="AG7493">
        <v>0</v>
      </c>
      <c r="AH7493">
        <v>0</v>
      </c>
      <c r="AI7493">
        <v>0</v>
      </c>
      <c r="AJ7493">
        <v>86.37</v>
      </c>
      <c r="AK7493">
        <v>0</v>
      </c>
      <c r="AL7493" t="s">
        <v>53</v>
      </c>
      <c r="AM7493" t="s">
        <v>53</v>
      </c>
      <c r="AN7493" t="s">
        <v>53</v>
      </c>
      <c r="AO7493" t="s">
        <v>53</v>
      </c>
      <c r="AP7493" t="s">
        <v>53</v>
      </c>
    </row>
    <row r="7494" spans="2:42" x14ac:dyDescent="0.2">
      <c r="B7494" t="s">
        <v>44</v>
      </c>
      <c r="C7494" t="str">
        <f>HYPERLINK("https://us2.cloudbeds.com/connect/8493803454333002#/reservations/9080486847544294?display=40KXHZF6ZQ&amp;reservation_id=9080486847544294", "40KXHZF6ZQ")</f>
        <v>40KXHZF6ZQ</v>
      </c>
      <c r="D7494" t="s">
        <v>45</v>
      </c>
      <c r="E7494" t="s">
        <v>46</v>
      </c>
      <c r="F7494" t="s">
        <v>47</v>
      </c>
      <c r="G7494" t="s">
        <v>48</v>
      </c>
      <c r="H7494" t="s">
        <v>49</v>
      </c>
      <c r="I7494" t="s">
        <v>62</v>
      </c>
      <c r="J7494" t="s">
        <v>13393</v>
      </c>
      <c r="K7494" t="s">
        <v>12531</v>
      </c>
      <c r="L7494" t="s">
        <v>53</v>
      </c>
      <c r="N7494" t="s">
        <v>13776</v>
      </c>
      <c r="P7494" t="s">
        <v>55</v>
      </c>
      <c r="R7494" t="s">
        <v>56</v>
      </c>
      <c r="T7494" t="s">
        <v>13777</v>
      </c>
      <c r="U7494" t="s">
        <v>55</v>
      </c>
      <c r="V7494">
        <v>1</v>
      </c>
      <c r="W7494">
        <v>1</v>
      </c>
      <c r="X7494">
        <v>2</v>
      </c>
      <c r="Y7494">
        <v>0</v>
      </c>
      <c r="Z7494">
        <v>2</v>
      </c>
      <c r="AA7494">
        <v>64.599999999999994</v>
      </c>
      <c r="AB7494">
        <v>64.599999999999994</v>
      </c>
      <c r="AC7494">
        <v>64.599999999999994</v>
      </c>
      <c r="AD7494">
        <v>0</v>
      </c>
      <c r="AE7494">
        <v>0</v>
      </c>
      <c r="AF7494">
        <v>0</v>
      </c>
      <c r="AG7494">
        <v>0</v>
      </c>
      <c r="AH7494">
        <v>0</v>
      </c>
      <c r="AI7494">
        <v>11.63</v>
      </c>
      <c r="AJ7494">
        <v>64.599999999999994</v>
      </c>
      <c r="AK7494">
        <v>0</v>
      </c>
      <c r="AL7494" t="s">
        <v>53</v>
      </c>
      <c r="AM7494" t="s">
        <v>53</v>
      </c>
      <c r="AN7494" t="s">
        <v>13778</v>
      </c>
      <c r="AO7494" t="s">
        <v>53</v>
      </c>
      <c r="AP7494" t="s">
        <v>53</v>
      </c>
    </row>
    <row r="7495" spans="2:42" x14ac:dyDescent="0.2">
      <c r="B7495" t="s">
        <v>44</v>
      </c>
      <c r="C7495" t="str">
        <f>HYPERLINK("https://us2.cloudbeds.com/connect/8493803454333002#/reservations/186542390882447?display=40Y14F4RXG&amp;reservation_id=186542390882447", "40Y14F4RXG")</f>
        <v>40Y14F4RXG</v>
      </c>
      <c r="D7495" t="s">
        <v>45</v>
      </c>
      <c r="E7495" t="s">
        <v>381</v>
      </c>
      <c r="F7495" t="s">
        <v>47</v>
      </c>
      <c r="G7495" t="s">
        <v>48</v>
      </c>
      <c r="H7495" t="s">
        <v>3957</v>
      </c>
      <c r="I7495" t="s">
        <v>3975</v>
      </c>
      <c r="J7495" t="s">
        <v>13393</v>
      </c>
      <c r="K7495" t="s">
        <v>12531</v>
      </c>
      <c r="L7495" t="s">
        <v>53</v>
      </c>
      <c r="P7495" t="s">
        <v>55</v>
      </c>
      <c r="R7495" t="s">
        <v>56</v>
      </c>
      <c r="T7495" t="s">
        <v>13779</v>
      </c>
      <c r="U7495" t="s">
        <v>58</v>
      </c>
      <c r="V7495">
        <v>1</v>
      </c>
      <c r="W7495">
        <v>1</v>
      </c>
      <c r="X7495">
        <v>2</v>
      </c>
      <c r="Y7495">
        <v>0</v>
      </c>
      <c r="Z7495">
        <v>2</v>
      </c>
      <c r="AA7495">
        <v>86.37</v>
      </c>
      <c r="AB7495">
        <v>86.37</v>
      </c>
      <c r="AC7495">
        <v>76</v>
      </c>
      <c r="AD7495">
        <v>0</v>
      </c>
      <c r="AE7495">
        <v>10.37</v>
      </c>
      <c r="AF7495">
        <v>0</v>
      </c>
      <c r="AG7495">
        <v>0</v>
      </c>
      <c r="AH7495">
        <v>0</v>
      </c>
      <c r="AI7495">
        <v>0</v>
      </c>
      <c r="AJ7495">
        <v>86.37</v>
      </c>
      <c r="AK7495">
        <v>0</v>
      </c>
      <c r="AL7495" t="s">
        <v>53</v>
      </c>
      <c r="AM7495" t="s">
        <v>53</v>
      </c>
      <c r="AN7495" t="s">
        <v>53</v>
      </c>
      <c r="AO7495" t="s">
        <v>53</v>
      </c>
      <c r="AP7495" t="s">
        <v>53</v>
      </c>
    </row>
    <row r="7496" spans="2:42" x14ac:dyDescent="0.2">
      <c r="B7496" t="s">
        <v>44</v>
      </c>
      <c r="C7496" t="str">
        <f>HYPERLINK("https://us2.cloudbeds.com/connect/8493803454333002#/reservations/9080486847545165?display=40YCJH5SZ3&amp;reservation_id=9080486847545165", "40YCJH5SZ3")</f>
        <v>40YCJH5SZ3</v>
      </c>
      <c r="D7496" t="s">
        <v>45</v>
      </c>
      <c r="E7496" t="s">
        <v>78</v>
      </c>
      <c r="F7496" t="s">
        <v>61</v>
      </c>
      <c r="G7496" t="s">
        <v>48</v>
      </c>
      <c r="H7496" t="s">
        <v>49</v>
      </c>
      <c r="I7496" t="s">
        <v>62</v>
      </c>
      <c r="J7496" t="s">
        <v>11067</v>
      </c>
      <c r="K7496" t="s">
        <v>11068</v>
      </c>
      <c r="L7496" t="s">
        <v>53</v>
      </c>
      <c r="N7496" t="s">
        <v>13780</v>
      </c>
      <c r="P7496" t="s">
        <v>55</v>
      </c>
      <c r="R7496" t="s">
        <v>56</v>
      </c>
      <c r="T7496" t="s">
        <v>13781</v>
      </c>
      <c r="U7496" t="s">
        <v>55</v>
      </c>
      <c r="V7496">
        <v>1</v>
      </c>
      <c r="W7496">
        <v>1</v>
      </c>
      <c r="X7496">
        <v>2</v>
      </c>
      <c r="Y7496">
        <v>0</v>
      </c>
      <c r="Z7496">
        <v>2</v>
      </c>
      <c r="AA7496">
        <v>68.849999999999994</v>
      </c>
      <c r="AB7496">
        <v>68.849999999999994</v>
      </c>
      <c r="AC7496">
        <v>68.849999999999994</v>
      </c>
      <c r="AD7496">
        <v>0</v>
      </c>
      <c r="AE7496">
        <v>0</v>
      </c>
      <c r="AF7496">
        <v>0</v>
      </c>
      <c r="AG7496">
        <v>0</v>
      </c>
      <c r="AH7496">
        <v>0</v>
      </c>
      <c r="AI7496">
        <v>12.39</v>
      </c>
      <c r="AJ7496">
        <v>68.849999999999994</v>
      </c>
      <c r="AK7496">
        <v>0</v>
      </c>
      <c r="AL7496" t="s">
        <v>53</v>
      </c>
      <c r="AM7496" t="s">
        <v>53</v>
      </c>
      <c r="AN7496" t="s">
        <v>53</v>
      </c>
      <c r="AO7496" t="s">
        <v>53</v>
      </c>
      <c r="AP7496" t="s">
        <v>53</v>
      </c>
    </row>
    <row r="7497" spans="2:42" x14ac:dyDescent="0.2">
      <c r="B7497" t="s">
        <v>44</v>
      </c>
      <c r="C7497" t="str">
        <f>HYPERLINK("https://us2.cloudbeds.com/connect/8493803454333002#/reservations/9080486847545464?display=40YYHMU22T&amp;reservation_id=9080486847545464", "40YYHMU22T")</f>
        <v>40YYHMU22T</v>
      </c>
      <c r="D7497" t="s">
        <v>45</v>
      </c>
      <c r="E7497" t="s">
        <v>213</v>
      </c>
      <c r="F7497" t="s">
        <v>86</v>
      </c>
      <c r="G7497" t="s">
        <v>48</v>
      </c>
      <c r="H7497" t="s">
        <v>49</v>
      </c>
      <c r="I7497" t="s">
        <v>50</v>
      </c>
      <c r="J7497" t="s">
        <v>12863</v>
      </c>
      <c r="K7497" t="s">
        <v>13085</v>
      </c>
      <c r="L7497" t="s">
        <v>53</v>
      </c>
      <c r="N7497" t="s">
        <v>13782</v>
      </c>
      <c r="P7497" t="s">
        <v>55</v>
      </c>
      <c r="R7497" t="s">
        <v>53</v>
      </c>
      <c r="T7497" t="s">
        <v>13783</v>
      </c>
      <c r="U7497" t="s">
        <v>58</v>
      </c>
      <c r="V7497">
        <v>1</v>
      </c>
      <c r="W7497">
        <v>1</v>
      </c>
      <c r="X7497">
        <v>2</v>
      </c>
      <c r="Y7497">
        <v>0</v>
      </c>
      <c r="Z7497">
        <v>2</v>
      </c>
      <c r="AA7497">
        <v>170.93</v>
      </c>
      <c r="AB7497">
        <v>172.43</v>
      </c>
      <c r="AC7497">
        <v>150.4</v>
      </c>
      <c r="AD7497">
        <v>0</v>
      </c>
      <c r="AE7497">
        <v>22.03</v>
      </c>
      <c r="AF7497">
        <v>0</v>
      </c>
      <c r="AG7497">
        <v>0</v>
      </c>
      <c r="AH7497">
        <v>0</v>
      </c>
      <c r="AI7497">
        <v>31.04</v>
      </c>
      <c r="AJ7497">
        <v>172.43</v>
      </c>
      <c r="AK7497">
        <v>0</v>
      </c>
      <c r="AL7497" t="s">
        <v>53</v>
      </c>
      <c r="AM7497" t="s">
        <v>53</v>
      </c>
      <c r="AN7497" t="s">
        <v>13784</v>
      </c>
      <c r="AO7497" t="s">
        <v>53</v>
      </c>
      <c r="AP7497" t="s">
        <v>53</v>
      </c>
    </row>
    <row r="7498" spans="2:42" x14ac:dyDescent="0.2">
      <c r="B7498" t="s">
        <v>44</v>
      </c>
      <c r="C7498" t="str">
        <f>HYPERLINK("https://us2.cloudbeds.com/connect/8493803454333002#/reservations/9080486847545868?display=40M1DXZMWR&amp;reservation_id=9080486847545868", "40M1DXZMWR")</f>
        <v>40M1DXZMWR</v>
      </c>
      <c r="D7498" t="s">
        <v>45</v>
      </c>
      <c r="E7498" t="s">
        <v>110</v>
      </c>
      <c r="F7498" t="s">
        <v>47</v>
      </c>
      <c r="G7498" t="s">
        <v>48</v>
      </c>
      <c r="H7498" t="s">
        <v>49</v>
      </c>
      <c r="I7498" t="s">
        <v>50</v>
      </c>
      <c r="J7498" t="s">
        <v>12531</v>
      </c>
      <c r="K7498" t="s">
        <v>11067</v>
      </c>
      <c r="L7498" t="s">
        <v>53</v>
      </c>
      <c r="N7498" t="s">
        <v>13785</v>
      </c>
      <c r="P7498" t="s">
        <v>55</v>
      </c>
      <c r="R7498" t="s">
        <v>53</v>
      </c>
      <c r="T7498" t="s">
        <v>13786</v>
      </c>
      <c r="U7498" t="s">
        <v>58</v>
      </c>
      <c r="V7498">
        <v>1</v>
      </c>
      <c r="W7498">
        <v>1</v>
      </c>
      <c r="X7498">
        <v>1</v>
      </c>
      <c r="Y7498">
        <v>0</v>
      </c>
      <c r="Z7498">
        <v>1</v>
      </c>
      <c r="AA7498">
        <v>73.41</v>
      </c>
      <c r="AB7498">
        <v>73.41</v>
      </c>
      <c r="AC7498">
        <v>64.599999999999994</v>
      </c>
      <c r="AD7498">
        <v>0</v>
      </c>
      <c r="AE7498">
        <v>8.81</v>
      </c>
      <c r="AF7498">
        <v>0</v>
      </c>
      <c r="AG7498">
        <v>0</v>
      </c>
      <c r="AH7498">
        <v>0</v>
      </c>
      <c r="AI7498">
        <v>13.21</v>
      </c>
      <c r="AJ7498">
        <v>73.41</v>
      </c>
      <c r="AK7498">
        <v>0</v>
      </c>
      <c r="AL7498" t="s">
        <v>53</v>
      </c>
      <c r="AM7498" t="s">
        <v>53</v>
      </c>
      <c r="AN7498" t="s">
        <v>53</v>
      </c>
      <c r="AO7498" t="s">
        <v>53</v>
      </c>
      <c r="AP7498" t="s">
        <v>53</v>
      </c>
    </row>
    <row r="7499" spans="2:42" x14ac:dyDescent="0.2">
      <c r="B7499" t="s">
        <v>44</v>
      </c>
      <c r="C7499" t="str">
        <f>HYPERLINK("https://us2.cloudbeds.com/connect/8493803454333002#/reservations/9080486847550813?display=40QPMXNWK8&amp;reservation_id=9080486847550813", "40QPMXNWK8")</f>
        <v>40QPMXNWK8</v>
      </c>
      <c r="D7499" t="s">
        <v>45</v>
      </c>
      <c r="E7499" t="s">
        <v>190</v>
      </c>
      <c r="F7499" t="s">
        <v>61</v>
      </c>
      <c r="G7499" t="s">
        <v>48</v>
      </c>
      <c r="H7499" t="s">
        <v>49</v>
      </c>
      <c r="I7499" t="s">
        <v>8964</v>
      </c>
      <c r="J7499" t="s">
        <v>11067</v>
      </c>
      <c r="K7499" t="s">
        <v>11068</v>
      </c>
      <c r="L7499" t="s">
        <v>53</v>
      </c>
      <c r="N7499" t="s">
        <v>13787</v>
      </c>
      <c r="P7499" t="s">
        <v>55</v>
      </c>
      <c r="R7499" t="s">
        <v>53</v>
      </c>
      <c r="T7499" t="s">
        <v>13788</v>
      </c>
      <c r="U7499" t="s">
        <v>55</v>
      </c>
      <c r="V7499">
        <v>1</v>
      </c>
      <c r="W7499">
        <v>1</v>
      </c>
      <c r="X7499">
        <v>2</v>
      </c>
      <c r="Y7499">
        <v>0</v>
      </c>
      <c r="Z7499">
        <v>2</v>
      </c>
      <c r="AA7499">
        <v>0</v>
      </c>
      <c r="AB7499">
        <v>0</v>
      </c>
      <c r="AC7499">
        <v>84</v>
      </c>
      <c r="AD7499">
        <v>0</v>
      </c>
      <c r="AE7499">
        <v>0</v>
      </c>
      <c r="AF7499">
        <v>0</v>
      </c>
      <c r="AG7499">
        <v>0</v>
      </c>
      <c r="AH7499">
        <v>0</v>
      </c>
      <c r="AI7499">
        <v>12.6</v>
      </c>
      <c r="AJ7499">
        <v>84</v>
      </c>
      <c r="AK7499">
        <v>84</v>
      </c>
      <c r="AL7499" t="s">
        <v>53</v>
      </c>
      <c r="AM7499" t="s">
        <v>53</v>
      </c>
      <c r="AN7499" t="s">
        <v>13789</v>
      </c>
      <c r="AO7499" t="s">
        <v>53</v>
      </c>
      <c r="AP7499" t="s">
        <v>53</v>
      </c>
    </row>
    <row r="7500" spans="2:42" x14ac:dyDescent="0.2">
      <c r="B7500" t="s">
        <v>44</v>
      </c>
      <c r="C7500" t="str">
        <f>HYPERLINK("https://us2.cloudbeds.com/connect/8493803454333002#/reservations/9080486847550844?display=40QQDK5ZRY&amp;reservation_id=9080486847550844", "40QQDK5ZRY")</f>
        <v>40QQDK5ZRY</v>
      </c>
      <c r="D7500" t="s">
        <v>45</v>
      </c>
      <c r="E7500" t="s">
        <v>138</v>
      </c>
      <c r="F7500" t="s">
        <v>70</v>
      </c>
      <c r="G7500" t="s">
        <v>48</v>
      </c>
      <c r="H7500" t="s">
        <v>49</v>
      </c>
      <c r="I7500" t="s">
        <v>8964</v>
      </c>
      <c r="J7500" t="s">
        <v>13047</v>
      </c>
      <c r="K7500" t="s">
        <v>13468</v>
      </c>
      <c r="L7500" t="s">
        <v>53</v>
      </c>
      <c r="N7500" t="s">
        <v>13790</v>
      </c>
      <c r="P7500" t="s">
        <v>55</v>
      </c>
      <c r="R7500" t="s">
        <v>53</v>
      </c>
      <c r="T7500" t="s">
        <v>13791</v>
      </c>
      <c r="U7500" t="s">
        <v>55</v>
      </c>
      <c r="V7500">
        <v>1</v>
      </c>
      <c r="W7500">
        <v>1</v>
      </c>
      <c r="X7500">
        <v>2</v>
      </c>
      <c r="Y7500">
        <v>0</v>
      </c>
      <c r="Z7500">
        <v>2</v>
      </c>
      <c r="AA7500">
        <v>0</v>
      </c>
      <c r="AB7500">
        <v>0</v>
      </c>
      <c r="AC7500">
        <v>69</v>
      </c>
      <c r="AD7500">
        <v>0</v>
      </c>
      <c r="AE7500">
        <v>0</v>
      </c>
      <c r="AF7500">
        <v>0</v>
      </c>
      <c r="AG7500">
        <v>0</v>
      </c>
      <c r="AH7500">
        <v>0</v>
      </c>
      <c r="AI7500">
        <v>10.35</v>
      </c>
      <c r="AJ7500">
        <v>69</v>
      </c>
      <c r="AK7500">
        <v>69</v>
      </c>
      <c r="AL7500" t="s">
        <v>53</v>
      </c>
      <c r="AM7500" t="s">
        <v>53</v>
      </c>
      <c r="AN7500" t="s">
        <v>53</v>
      </c>
      <c r="AO7500" t="s">
        <v>53</v>
      </c>
      <c r="AP7500" t="s">
        <v>53</v>
      </c>
    </row>
    <row r="7501" spans="2:42" x14ac:dyDescent="0.2">
      <c r="B7501" t="s">
        <v>44</v>
      </c>
      <c r="C7501" t="str">
        <f>HYPERLINK("https://us2.cloudbeds.com/connect/8493803454333002#/reservations/9080486847551071?display=40QW09Z7D4&amp;reservation_id=9080486847551071", "40QW09Z7D4")</f>
        <v>40QW09Z7D4</v>
      </c>
      <c r="D7501" t="s">
        <v>45</v>
      </c>
      <c r="E7501" t="s">
        <v>190</v>
      </c>
      <c r="F7501" t="s">
        <v>61</v>
      </c>
      <c r="G7501" t="s">
        <v>48</v>
      </c>
      <c r="H7501" t="s">
        <v>49</v>
      </c>
      <c r="I7501" t="s">
        <v>50</v>
      </c>
      <c r="J7501" t="s">
        <v>13047</v>
      </c>
      <c r="K7501" t="s">
        <v>13468</v>
      </c>
      <c r="L7501" t="s">
        <v>53</v>
      </c>
      <c r="N7501" t="s">
        <v>13792</v>
      </c>
      <c r="P7501" t="s">
        <v>55</v>
      </c>
      <c r="R7501" t="s">
        <v>53</v>
      </c>
      <c r="T7501" t="s">
        <v>13793</v>
      </c>
      <c r="U7501" t="s">
        <v>58</v>
      </c>
      <c r="V7501">
        <v>1</v>
      </c>
      <c r="W7501">
        <v>1</v>
      </c>
      <c r="X7501">
        <v>2</v>
      </c>
      <c r="Y7501">
        <v>0</v>
      </c>
      <c r="Z7501">
        <v>2</v>
      </c>
      <c r="AA7501">
        <v>69.959999999999994</v>
      </c>
      <c r="AB7501">
        <v>69.959999999999994</v>
      </c>
      <c r="AC7501">
        <v>61.56</v>
      </c>
      <c r="AD7501">
        <v>0</v>
      </c>
      <c r="AE7501">
        <v>8.4</v>
      </c>
      <c r="AF7501">
        <v>0</v>
      </c>
      <c r="AG7501">
        <v>0</v>
      </c>
      <c r="AH7501">
        <v>0</v>
      </c>
      <c r="AI7501">
        <v>12.59</v>
      </c>
      <c r="AJ7501">
        <v>69.959999999999994</v>
      </c>
      <c r="AK7501">
        <v>0</v>
      </c>
      <c r="AL7501" t="s">
        <v>53</v>
      </c>
      <c r="AM7501" t="s">
        <v>53</v>
      </c>
      <c r="AN7501" t="s">
        <v>13794</v>
      </c>
      <c r="AO7501" t="s">
        <v>53</v>
      </c>
      <c r="AP7501" t="s">
        <v>53</v>
      </c>
    </row>
    <row r="7502" spans="2:42" x14ac:dyDescent="0.2">
      <c r="B7502" t="s">
        <v>44</v>
      </c>
      <c r="C7502" t="str">
        <f>HYPERLINK("https://us2.cloudbeds.com/connect/8493803454333002#/reservations/186817976250508?display=40RGHA0V4U&amp;reservation_id=186817976250508", "40RGHA0V4U")</f>
        <v>40RGHA0V4U</v>
      </c>
      <c r="D7502" t="s">
        <v>45</v>
      </c>
      <c r="E7502" t="s">
        <v>85</v>
      </c>
      <c r="F7502" t="s">
        <v>86</v>
      </c>
      <c r="G7502" t="s">
        <v>48</v>
      </c>
      <c r="H7502" t="s">
        <v>3957</v>
      </c>
      <c r="I7502" t="s">
        <v>3975</v>
      </c>
      <c r="J7502" t="s">
        <v>13046</v>
      </c>
      <c r="K7502" t="s">
        <v>10586</v>
      </c>
      <c r="L7502" t="s">
        <v>53</v>
      </c>
      <c r="P7502" t="s">
        <v>55</v>
      </c>
      <c r="R7502" t="s">
        <v>56</v>
      </c>
      <c r="T7502" t="s">
        <v>13795</v>
      </c>
      <c r="U7502" t="s">
        <v>58</v>
      </c>
      <c r="V7502">
        <v>3</v>
      </c>
      <c r="W7502">
        <v>1</v>
      </c>
      <c r="X7502">
        <v>2</v>
      </c>
      <c r="Y7502">
        <v>0</v>
      </c>
      <c r="Z7502">
        <v>2</v>
      </c>
      <c r="AA7502">
        <v>320.52</v>
      </c>
      <c r="AB7502">
        <v>320.52</v>
      </c>
      <c r="AC7502">
        <v>282</v>
      </c>
      <c r="AD7502">
        <v>0</v>
      </c>
      <c r="AE7502">
        <v>38.520000000000003</v>
      </c>
      <c r="AF7502">
        <v>0</v>
      </c>
      <c r="AG7502">
        <v>0</v>
      </c>
      <c r="AH7502">
        <v>0</v>
      </c>
      <c r="AI7502">
        <v>0</v>
      </c>
      <c r="AJ7502">
        <v>320.52</v>
      </c>
      <c r="AK7502">
        <v>0</v>
      </c>
      <c r="AL7502" t="s">
        <v>53</v>
      </c>
      <c r="AM7502" t="s">
        <v>53</v>
      </c>
      <c r="AN7502" t="s">
        <v>13796</v>
      </c>
      <c r="AO7502" t="s">
        <v>53</v>
      </c>
      <c r="AP7502" t="s">
        <v>53</v>
      </c>
    </row>
    <row r="7503" spans="2:42" x14ac:dyDescent="0.2">
      <c r="B7503" t="s">
        <v>44</v>
      </c>
      <c r="C7503" t="str">
        <f>HYPERLINK("https://us2.cloudbeds.com/connect/8493803454333002#/reservations/9080486847551981?display=40RKRE74CU&amp;reservation_id=9080486847551981", "40RKRE74CU")</f>
        <v>40RKRE74CU</v>
      </c>
      <c r="D7503" t="s">
        <v>45</v>
      </c>
      <c r="E7503" t="s">
        <v>190</v>
      </c>
      <c r="F7503" t="s">
        <v>61</v>
      </c>
      <c r="G7503" t="s">
        <v>48</v>
      </c>
      <c r="H7503" t="s">
        <v>49</v>
      </c>
      <c r="I7503" t="s">
        <v>50</v>
      </c>
      <c r="J7503" t="s">
        <v>12531</v>
      </c>
      <c r="K7503" t="s">
        <v>11067</v>
      </c>
      <c r="L7503" t="s">
        <v>53</v>
      </c>
      <c r="N7503" t="s">
        <v>13797</v>
      </c>
      <c r="P7503" t="s">
        <v>55</v>
      </c>
      <c r="R7503" t="s">
        <v>53</v>
      </c>
      <c r="T7503" t="s">
        <v>13798</v>
      </c>
      <c r="U7503" t="s">
        <v>58</v>
      </c>
      <c r="V7503">
        <v>1</v>
      </c>
      <c r="W7503">
        <v>1</v>
      </c>
      <c r="X7503">
        <v>1</v>
      </c>
      <c r="Y7503">
        <v>0</v>
      </c>
      <c r="Z7503">
        <v>1</v>
      </c>
      <c r="AA7503">
        <v>82.85</v>
      </c>
      <c r="AB7503">
        <v>82.85</v>
      </c>
      <c r="AC7503">
        <v>72.900000000000006</v>
      </c>
      <c r="AD7503">
        <v>0</v>
      </c>
      <c r="AE7503">
        <v>9.9499999999999993</v>
      </c>
      <c r="AF7503">
        <v>0</v>
      </c>
      <c r="AG7503">
        <v>0</v>
      </c>
      <c r="AH7503">
        <v>0</v>
      </c>
      <c r="AI7503">
        <v>14.91</v>
      </c>
      <c r="AJ7503">
        <v>82.85</v>
      </c>
      <c r="AK7503">
        <v>0</v>
      </c>
      <c r="AL7503" t="s">
        <v>53</v>
      </c>
      <c r="AM7503" t="s">
        <v>53</v>
      </c>
      <c r="AN7503" t="s">
        <v>53</v>
      </c>
      <c r="AO7503" t="s">
        <v>53</v>
      </c>
      <c r="AP7503" t="s">
        <v>53</v>
      </c>
    </row>
    <row r="7504" spans="2:42" x14ac:dyDescent="0.2">
      <c r="B7504" t="s">
        <v>44</v>
      </c>
      <c r="C7504" t="str">
        <f>HYPERLINK("https://us2.cloudbeds.com/connect/8493803454333002#/reservations/9080486847552267?display=40RS2RY219&amp;reservation_id=9080486847552267", "40RS2RY219")</f>
        <v>40RS2RY219</v>
      </c>
      <c r="D7504" t="s">
        <v>45</v>
      </c>
      <c r="E7504" t="s">
        <v>138</v>
      </c>
      <c r="F7504" t="s">
        <v>70</v>
      </c>
      <c r="G7504" t="s">
        <v>48</v>
      </c>
      <c r="H7504" t="s">
        <v>49</v>
      </c>
      <c r="I7504" t="s">
        <v>50</v>
      </c>
      <c r="J7504" t="s">
        <v>13037</v>
      </c>
      <c r="K7504" t="s">
        <v>13038</v>
      </c>
      <c r="L7504" t="s">
        <v>53</v>
      </c>
      <c r="N7504" t="s">
        <v>13799</v>
      </c>
      <c r="P7504" t="s">
        <v>55</v>
      </c>
      <c r="R7504" t="s">
        <v>53</v>
      </c>
      <c r="T7504" t="s">
        <v>13800</v>
      </c>
      <c r="U7504" t="s">
        <v>58</v>
      </c>
      <c r="V7504">
        <v>2</v>
      </c>
      <c r="W7504">
        <v>1</v>
      </c>
      <c r="X7504">
        <v>1</v>
      </c>
      <c r="Y7504">
        <v>0</v>
      </c>
      <c r="Z7504">
        <v>1</v>
      </c>
      <c r="AA7504">
        <v>188.2</v>
      </c>
      <c r="AB7504">
        <v>189.86</v>
      </c>
      <c r="AC7504">
        <v>165.6</v>
      </c>
      <c r="AD7504">
        <v>0</v>
      </c>
      <c r="AE7504">
        <v>24.26</v>
      </c>
      <c r="AF7504">
        <v>0</v>
      </c>
      <c r="AG7504">
        <v>0</v>
      </c>
      <c r="AH7504">
        <v>0</v>
      </c>
      <c r="AI7504">
        <v>34.17</v>
      </c>
      <c r="AJ7504">
        <v>189.86</v>
      </c>
      <c r="AK7504">
        <v>0</v>
      </c>
      <c r="AL7504" t="s">
        <v>53</v>
      </c>
      <c r="AM7504" t="s">
        <v>53</v>
      </c>
      <c r="AN7504" t="s">
        <v>13801</v>
      </c>
      <c r="AO7504" t="s">
        <v>53</v>
      </c>
      <c r="AP7504" t="s">
        <v>53</v>
      </c>
    </row>
    <row r="7505" spans="2:42" x14ac:dyDescent="0.2">
      <c r="B7505" t="s">
        <v>44</v>
      </c>
      <c r="C7505" t="str">
        <f>HYPERLINK("https://us2.cloudbeds.com/connect/8493803454333002#/reservations/9080486847552419?display=40RVV8P9CX&amp;reservation_id=9080486847552419", "40RVV8P9CX")</f>
        <v>40RVV8P9CX</v>
      </c>
      <c r="D7505" t="s">
        <v>45</v>
      </c>
      <c r="E7505" t="s">
        <v>110</v>
      </c>
      <c r="F7505" t="s">
        <v>47</v>
      </c>
      <c r="G7505" t="s">
        <v>48</v>
      </c>
      <c r="H7505" t="s">
        <v>49</v>
      </c>
      <c r="I7505" t="s">
        <v>50</v>
      </c>
      <c r="J7505" t="s">
        <v>9935</v>
      </c>
      <c r="K7505" t="s">
        <v>12908</v>
      </c>
      <c r="L7505" t="s">
        <v>53</v>
      </c>
      <c r="N7505" t="s">
        <v>13802</v>
      </c>
      <c r="P7505" t="s">
        <v>55</v>
      </c>
      <c r="R7505" t="s">
        <v>53</v>
      </c>
      <c r="T7505" t="s">
        <v>13803</v>
      </c>
      <c r="U7505" t="s">
        <v>58</v>
      </c>
      <c r="V7505">
        <v>1</v>
      </c>
      <c r="W7505">
        <v>1</v>
      </c>
      <c r="X7505">
        <v>2</v>
      </c>
      <c r="Y7505">
        <v>0</v>
      </c>
      <c r="Z7505">
        <v>2</v>
      </c>
      <c r="AA7505">
        <v>70.92</v>
      </c>
      <c r="AB7505">
        <v>70.92</v>
      </c>
      <c r="AC7505">
        <v>62.4</v>
      </c>
      <c r="AD7505">
        <v>0</v>
      </c>
      <c r="AE7505">
        <v>8.52</v>
      </c>
      <c r="AF7505">
        <v>0</v>
      </c>
      <c r="AG7505">
        <v>0</v>
      </c>
      <c r="AH7505">
        <v>0</v>
      </c>
      <c r="AI7505">
        <v>12.77</v>
      </c>
      <c r="AJ7505">
        <v>70.92</v>
      </c>
      <c r="AK7505">
        <v>0</v>
      </c>
      <c r="AL7505" t="s">
        <v>53</v>
      </c>
      <c r="AM7505" t="s">
        <v>53</v>
      </c>
      <c r="AN7505" t="s">
        <v>13804</v>
      </c>
      <c r="AO7505" t="s">
        <v>53</v>
      </c>
      <c r="AP7505" t="s">
        <v>53</v>
      </c>
    </row>
    <row r="7506" spans="2:42" x14ac:dyDescent="0.2">
      <c r="B7506" t="s">
        <v>44</v>
      </c>
      <c r="C7506" t="str">
        <f>HYPERLINK("https://us2.cloudbeds.com/connect/8493803454333002#/reservations/9080486847552639?display=40S5315UTD&amp;reservation_id=9080486847552639", "40S5315UTD")</f>
        <v>40S5315UTD</v>
      </c>
      <c r="D7506" t="s">
        <v>45</v>
      </c>
      <c r="E7506" t="s">
        <v>265</v>
      </c>
      <c r="F7506" t="s">
        <v>61</v>
      </c>
      <c r="G7506" t="s">
        <v>48</v>
      </c>
      <c r="H7506" t="s">
        <v>49</v>
      </c>
      <c r="I7506" t="s">
        <v>50</v>
      </c>
      <c r="J7506" t="s">
        <v>12862</v>
      </c>
      <c r="K7506" t="s">
        <v>13805</v>
      </c>
      <c r="L7506" t="s">
        <v>53</v>
      </c>
      <c r="N7506" t="s">
        <v>13806</v>
      </c>
      <c r="P7506" t="s">
        <v>55</v>
      </c>
      <c r="R7506" t="s">
        <v>53</v>
      </c>
      <c r="T7506" t="s">
        <v>13807</v>
      </c>
      <c r="U7506" t="s">
        <v>58</v>
      </c>
      <c r="V7506">
        <v>3</v>
      </c>
      <c r="W7506">
        <v>1</v>
      </c>
      <c r="X7506">
        <v>2</v>
      </c>
      <c r="Y7506">
        <v>0</v>
      </c>
      <c r="Z7506">
        <v>2</v>
      </c>
      <c r="AA7506">
        <v>420.05</v>
      </c>
      <c r="AB7506">
        <v>440.05</v>
      </c>
      <c r="AC7506">
        <v>369.6</v>
      </c>
      <c r="AD7506">
        <v>0</v>
      </c>
      <c r="AE7506">
        <v>54.15</v>
      </c>
      <c r="AF7506">
        <v>0</v>
      </c>
      <c r="AG7506">
        <v>0</v>
      </c>
      <c r="AH7506">
        <v>0</v>
      </c>
      <c r="AI7506">
        <v>76.28</v>
      </c>
      <c r="AJ7506">
        <v>423.75</v>
      </c>
      <c r="AK7506">
        <v>-16.3</v>
      </c>
      <c r="AL7506" t="s">
        <v>53</v>
      </c>
      <c r="AM7506" t="s">
        <v>53</v>
      </c>
      <c r="AN7506" t="s">
        <v>13808</v>
      </c>
      <c r="AO7506" t="s">
        <v>53</v>
      </c>
      <c r="AP7506" t="s">
        <v>53</v>
      </c>
    </row>
    <row r="7507" spans="2:42" x14ac:dyDescent="0.2">
      <c r="B7507" t="s">
        <v>44</v>
      </c>
      <c r="C7507" t="str">
        <f>HYPERLINK("https://us2.cloudbeds.com/connect/8493803454333002#/reservations/9080486847553426?display=40SR1ZV5C0&amp;reservation_id=9080486847553426", "40SR1ZV5C0")</f>
        <v>40SR1ZV5C0</v>
      </c>
      <c r="D7507" t="s">
        <v>45</v>
      </c>
      <c r="E7507" t="s">
        <v>110</v>
      </c>
      <c r="F7507" t="s">
        <v>47</v>
      </c>
      <c r="G7507" t="s">
        <v>48</v>
      </c>
      <c r="H7507" t="s">
        <v>49</v>
      </c>
      <c r="I7507" t="s">
        <v>8964</v>
      </c>
      <c r="J7507" t="s">
        <v>11067</v>
      </c>
      <c r="K7507" t="s">
        <v>11068</v>
      </c>
      <c r="L7507" t="s">
        <v>53</v>
      </c>
      <c r="N7507" t="s">
        <v>13809</v>
      </c>
      <c r="P7507" t="s">
        <v>55</v>
      </c>
      <c r="R7507" t="s">
        <v>53</v>
      </c>
      <c r="T7507" t="s">
        <v>13810</v>
      </c>
      <c r="U7507" t="s">
        <v>55</v>
      </c>
      <c r="V7507">
        <v>1</v>
      </c>
      <c r="W7507">
        <v>1</v>
      </c>
      <c r="X7507">
        <v>2</v>
      </c>
      <c r="Y7507">
        <v>0</v>
      </c>
      <c r="Z7507">
        <v>2</v>
      </c>
      <c r="AA7507">
        <v>0</v>
      </c>
      <c r="AB7507">
        <v>0</v>
      </c>
      <c r="AC7507">
        <v>80</v>
      </c>
      <c r="AD7507">
        <v>0</v>
      </c>
      <c r="AE7507">
        <v>0</v>
      </c>
      <c r="AF7507">
        <v>0</v>
      </c>
      <c r="AG7507">
        <v>0</v>
      </c>
      <c r="AH7507">
        <v>0</v>
      </c>
      <c r="AI7507">
        <v>12</v>
      </c>
      <c r="AJ7507">
        <v>80</v>
      </c>
      <c r="AK7507">
        <v>80</v>
      </c>
      <c r="AL7507" t="s">
        <v>53</v>
      </c>
      <c r="AM7507" t="s">
        <v>53</v>
      </c>
      <c r="AN7507" t="s">
        <v>13811</v>
      </c>
      <c r="AO7507" t="s">
        <v>53</v>
      </c>
      <c r="AP7507" t="s">
        <v>53</v>
      </c>
    </row>
    <row r="7508" spans="2:42" x14ac:dyDescent="0.2">
      <c r="B7508" t="s">
        <v>44</v>
      </c>
      <c r="C7508" t="str">
        <f>HYPERLINK("https://us2.cloudbeds.com/connect/8493803454333002#/reservations/186877084135651?display=40ST9YBWAX&amp;reservation_id=186877084135651", "40ST9YBWAX")</f>
        <v>40ST9YBWAX</v>
      </c>
      <c r="D7508" t="s">
        <v>45</v>
      </c>
      <c r="E7508" t="s">
        <v>487</v>
      </c>
      <c r="F7508" t="s">
        <v>61</v>
      </c>
      <c r="G7508" t="s">
        <v>48</v>
      </c>
      <c r="H7508" t="s">
        <v>3957</v>
      </c>
      <c r="I7508" t="s">
        <v>3975</v>
      </c>
      <c r="J7508" t="s">
        <v>12531</v>
      </c>
      <c r="K7508" t="s">
        <v>11067</v>
      </c>
      <c r="L7508" t="s">
        <v>53</v>
      </c>
      <c r="P7508" t="s">
        <v>55</v>
      </c>
      <c r="R7508" t="s">
        <v>56</v>
      </c>
      <c r="T7508" t="s">
        <v>13812</v>
      </c>
      <c r="U7508" t="s">
        <v>58</v>
      </c>
      <c r="V7508">
        <v>1</v>
      </c>
      <c r="W7508">
        <v>1</v>
      </c>
      <c r="X7508">
        <v>2</v>
      </c>
      <c r="Y7508">
        <v>0</v>
      </c>
      <c r="Z7508">
        <v>2</v>
      </c>
      <c r="AA7508">
        <v>92.06</v>
      </c>
      <c r="AB7508">
        <v>92.06</v>
      </c>
      <c r="AC7508">
        <v>81</v>
      </c>
      <c r="AD7508">
        <v>0</v>
      </c>
      <c r="AE7508">
        <v>11.06</v>
      </c>
      <c r="AF7508">
        <v>0</v>
      </c>
      <c r="AG7508">
        <v>0</v>
      </c>
      <c r="AH7508">
        <v>0</v>
      </c>
      <c r="AI7508">
        <v>0</v>
      </c>
      <c r="AJ7508">
        <v>92.06</v>
      </c>
      <c r="AK7508">
        <v>0</v>
      </c>
      <c r="AL7508" t="s">
        <v>53</v>
      </c>
      <c r="AM7508" t="s">
        <v>53</v>
      </c>
      <c r="AN7508" t="s">
        <v>53</v>
      </c>
      <c r="AO7508" t="s">
        <v>53</v>
      </c>
      <c r="AP7508" t="s">
        <v>53</v>
      </c>
    </row>
    <row r="7509" spans="2:42" x14ac:dyDescent="0.2">
      <c r="B7509" t="s">
        <v>44</v>
      </c>
      <c r="C7509" t="str">
        <f>HYPERLINK("https://us2.cloudbeds.com/connect/8493803454333002#/reservations/9080486847553801?display=40T5NKUWNE&amp;reservation_id=9080486847553801", "40T5NKUWNE")</f>
        <v>40T5NKUWNE</v>
      </c>
      <c r="D7509" t="s">
        <v>45</v>
      </c>
      <c r="E7509" t="s">
        <v>155</v>
      </c>
      <c r="F7509" t="s">
        <v>86</v>
      </c>
      <c r="G7509" t="s">
        <v>48</v>
      </c>
      <c r="H7509" t="s">
        <v>49</v>
      </c>
      <c r="I7509" t="s">
        <v>62</v>
      </c>
      <c r="J7509" t="s">
        <v>12531</v>
      </c>
      <c r="K7509" t="s">
        <v>11067</v>
      </c>
      <c r="L7509" t="s">
        <v>53</v>
      </c>
      <c r="N7509" t="s">
        <v>13813</v>
      </c>
      <c r="P7509" t="s">
        <v>55</v>
      </c>
      <c r="R7509" t="s">
        <v>56</v>
      </c>
      <c r="T7509" t="s">
        <v>13814</v>
      </c>
      <c r="U7509" t="s">
        <v>55</v>
      </c>
      <c r="V7509">
        <v>1</v>
      </c>
      <c r="W7509">
        <v>1</v>
      </c>
      <c r="X7509">
        <v>2</v>
      </c>
      <c r="Y7509">
        <v>0</v>
      </c>
      <c r="Z7509">
        <v>2</v>
      </c>
      <c r="AA7509">
        <v>79.900000000000006</v>
      </c>
      <c r="AB7509">
        <v>79.900000000000006</v>
      </c>
      <c r="AC7509">
        <v>79.900000000000006</v>
      </c>
      <c r="AD7509">
        <v>0</v>
      </c>
      <c r="AE7509">
        <v>0</v>
      </c>
      <c r="AF7509">
        <v>0</v>
      </c>
      <c r="AG7509">
        <v>0</v>
      </c>
      <c r="AH7509">
        <v>0</v>
      </c>
      <c r="AI7509">
        <v>14.38</v>
      </c>
      <c r="AJ7509">
        <v>79.900000000000006</v>
      </c>
      <c r="AK7509">
        <v>0</v>
      </c>
      <c r="AL7509" t="s">
        <v>53</v>
      </c>
      <c r="AM7509" t="s">
        <v>53</v>
      </c>
      <c r="AN7509" t="s">
        <v>53</v>
      </c>
      <c r="AO7509" t="s">
        <v>53</v>
      </c>
      <c r="AP7509" t="s">
        <v>53</v>
      </c>
    </row>
    <row r="7510" spans="2:42" x14ac:dyDescent="0.2">
      <c r="B7510" t="s">
        <v>44</v>
      </c>
      <c r="C7510" t="str">
        <f>HYPERLINK("https://us2.cloudbeds.com/connect/8493803454333002#/reservations/9080486847553868?display=40T7Q18ZRY&amp;reservation_id=9080486847553868", "40T7Q18ZRY")</f>
        <v>40T7Q18ZRY</v>
      </c>
      <c r="D7510" t="s">
        <v>45</v>
      </c>
      <c r="E7510" t="s">
        <v>179</v>
      </c>
      <c r="F7510" t="s">
        <v>47</v>
      </c>
      <c r="G7510" t="s">
        <v>48</v>
      </c>
      <c r="H7510" t="s">
        <v>49</v>
      </c>
      <c r="I7510" t="s">
        <v>62</v>
      </c>
      <c r="J7510" t="s">
        <v>9935</v>
      </c>
      <c r="K7510" t="s">
        <v>9936</v>
      </c>
      <c r="L7510" t="s">
        <v>53</v>
      </c>
      <c r="N7510" t="s">
        <v>13815</v>
      </c>
      <c r="P7510" t="s">
        <v>55</v>
      </c>
      <c r="R7510" t="s">
        <v>56</v>
      </c>
      <c r="T7510" t="s">
        <v>13816</v>
      </c>
      <c r="U7510" t="s">
        <v>55</v>
      </c>
      <c r="V7510">
        <v>3</v>
      </c>
      <c r="W7510">
        <v>1</v>
      </c>
      <c r="X7510">
        <v>2</v>
      </c>
      <c r="Y7510">
        <v>0</v>
      </c>
      <c r="Z7510">
        <v>2</v>
      </c>
      <c r="AA7510">
        <v>193</v>
      </c>
      <c r="AB7510">
        <v>193</v>
      </c>
      <c r="AC7510">
        <v>193</v>
      </c>
      <c r="AD7510">
        <v>0</v>
      </c>
      <c r="AE7510">
        <v>0</v>
      </c>
      <c r="AF7510">
        <v>0</v>
      </c>
      <c r="AG7510">
        <v>0</v>
      </c>
      <c r="AH7510">
        <v>0</v>
      </c>
      <c r="AI7510">
        <v>34.74</v>
      </c>
      <c r="AJ7510">
        <v>193</v>
      </c>
      <c r="AK7510">
        <v>0</v>
      </c>
      <c r="AL7510" t="s">
        <v>53</v>
      </c>
      <c r="AM7510" t="s">
        <v>53</v>
      </c>
      <c r="AN7510" t="s">
        <v>13817</v>
      </c>
      <c r="AO7510" t="s">
        <v>53</v>
      </c>
      <c r="AP7510" t="s">
        <v>53</v>
      </c>
    </row>
    <row r="7511" spans="2:42" x14ac:dyDescent="0.2">
      <c r="B7511" t="s">
        <v>44</v>
      </c>
      <c r="C7511" t="str">
        <f>HYPERLINK("https://us2.cloudbeds.com/connect/8493803454333002#/reservations/9080486847554210?display=40TJYJR1ZN&amp;reservation_id=9080486847554210", "40TJYJR1ZN")</f>
        <v>40TJYJR1ZN</v>
      </c>
      <c r="D7511" t="s">
        <v>45</v>
      </c>
      <c r="E7511" t="s">
        <v>128</v>
      </c>
      <c r="F7511" t="s">
        <v>86</v>
      </c>
      <c r="G7511" t="s">
        <v>48</v>
      </c>
      <c r="H7511" t="s">
        <v>49</v>
      </c>
      <c r="I7511" t="s">
        <v>50</v>
      </c>
      <c r="J7511" t="s">
        <v>9763</v>
      </c>
      <c r="K7511" t="s">
        <v>13612</v>
      </c>
      <c r="L7511" t="s">
        <v>53</v>
      </c>
      <c r="N7511" t="s">
        <v>13818</v>
      </c>
      <c r="P7511" t="s">
        <v>55</v>
      </c>
      <c r="R7511" t="s">
        <v>53</v>
      </c>
      <c r="T7511" t="s">
        <v>13819</v>
      </c>
      <c r="U7511" t="s">
        <v>58</v>
      </c>
      <c r="V7511">
        <v>1</v>
      </c>
      <c r="W7511">
        <v>1</v>
      </c>
      <c r="X7511">
        <v>2</v>
      </c>
      <c r="Y7511">
        <v>1</v>
      </c>
      <c r="Z7511">
        <v>3</v>
      </c>
      <c r="AA7511">
        <v>143.66</v>
      </c>
      <c r="AB7511">
        <v>144.91999999999999</v>
      </c>
      <c r="AC7511">
        <v>126.4</v>
      </c>
      <c r="AD7511">
        <v>0</v>
      </c>
      <c r="AE7511">
        <v>18.52</v>
      </c>
      <c r="AF7511">
        <v>0</v>
      </c>
      <c r="AG7511">
        <v>0</v>
      </c>
      <c r="AH7511">
        <v>0</v>
      </c>
      <c r="AI7511">
        <v>26.09</v>
      </c>
      <c r="AJ7511">
        <v>144.91999999999999</v>
      </c>
      <c r="AK7511">
        <v>0</v>
      </c>
      <c r="AL7511" t="s">
        <v>53</v>
      </c>
      <c r="AM7511" t="s">
        <v>53</v>
      </c>
      <c r="AN7511" t="s">
        <v>53</v>
      </c>
      <c r="AO7511" t="s">
        <v>53</v>
      </c>
      <c r="AP7511" t="s">
        <v>53</v>
      </c>
    </row>
    <row r="7512" spans="2:42" x14ac:dyDescent="0.2">
      <c r="B7512" t="s">
        <v>44</v>
      </c>
      <c r="C7512" t="str">
        <f>HYPERLINK("https://us2.cloudbeds.com/connect/8493803454333002#/reservations/9080486847555610?display=40V79Z3PX2&amp;reservation_id=9080486847555610", "40V79Z3PX2")</f>
        <v>40V79Z3PX2</v>
      </c>
      <c r="D7512" t="s">
        <v>45</v>
      </c>
      <c r="E7512" t="s">
        <v>487</v>
      </c>
      <c r="F7512" t="s">
        <v>61</v>
      </c>
      <c r="G7512" t="s">
        <v>48</v>
      </c>
      <c r="H7512" t="s">
        <v>49</v>
      </c>
      <c r="I7512" t="s">
        <v>62</v>
      </c>
      <c r="J7512" t="s">
        <v>11067</v>
      </c>
      <c r="K7512" t="s">
        <v>11068</v>
      </c>
      <c r="L7512" t="s">
        <v>53</v>
      </c>
      <c r="N7512" t="s">
        <v>13820</v>
      </c>
      <c r="P7512" t="s">
        <v>55</v>
      </c>
      <c r="R7512" t="s">
        <v>56</v>
      </c>
      <c r="T7512" t="s">
        <v>13821</v>
      </c>
      <c r="U7512" t="s">
        <v>55</v>
      </c>
      <c r="V7512">
        <v>1</v>
      </c>
      <c r="W7512">
        <v>1</v>
      </c>
      <c r="X7512">
        <v>2</v>
      </c>
      <c r="Y7512">
        <v>0</v>
      </c>
      <c r="Z7512">
        <v>2</v>
      </c>
      <c r="AA7512">
        <v>68.849999999999994</v>
      </c>
      <c r="AB7512">
        <v>68.849999999999994</v>
      </c>
      <c r="AC7512">
        <v>68.849999999999994</v>
      </c>
      <c r="AD7512">
        <v>0</v>
      </c>
      <c r="AE7512">
        <v>0</v>
      </c>
      <c r="AF7512">
        <v>0</v>
      </c>
      <c r="AG7512">
        <v>0</v>
      </c>
      <c r="AH7512">
        <v>0</v>
      </c>
      <c r="AI7512">
        <v>12.39</v>
      </c>
      <c r="AJ7512">
        <v>68.849999999999994</v>
      </c>
      <c r="AK7512">
        <v>0</v>
      </c>
      <c r="AL7512" t="s">
        <v>53</v>
      </c>
      <c r="AM7512" t="s">
        <v>53</v>
      </c>
      <c r="AN7512" t="s">
        <v>53</v>
      </c>
      <c r="AO7512" t="s">
        <v>53</v>
      </c>
      <c r="AP7512" t="s">
        <v>53</v>
      </c>
    </row>
    <row r="7513" spans="2:42" x14ac:dyDescent="0.2">
      <c r="B7513" t="s">
        <v>44</v>
      </c>
      <c r="C7513" t="str">
        <f>HYPERLINK("https://us2.cloudbeds.com/connect/8493803454333002#/reservations/9080486847557485?display=410FB1590S&amp;reservation_id=9080486847557485", "410FB1590S")</f>
        <v>410FB1590S</v>
      </c>
      <c r="D7513" t="s">
        <v>45</v>
      </c>
      <c r="E7513" t="s">
        <v>113</v>
      </c>
      <c r="F7513" t="s">
        <v>61</v>
      </c>
      <c r="G7513" t="s">
        <v>48</v>
      </c>
      <c r="H7513" t="s">
        <v>49</v>
      </c>
      <c r="I7513" t="s">
        <v>62</v>
      </c>
      <c r="J7513" t="s">
        <v>12323</v>
      </c>
      <c r="K7513" t="s">
        <v>13822</v>
      </c>
      <c r="L7513" t="s">
        <v>53</v>
      </c>
      <c r="N7513" t="s">
        <v>13823</v>
      </c>
      <c r="P7513" t="s">
        <v>55</v>
      </c>
      <c r="R7513" t="s">
        <v>56</v>
      </c>
      <c r="T7513" t="s">
        <v>13824</v>
      </c>
      <c r="U7513" t="s">
        <v>55</v>
      </c>
      <c r="V7513">
        <v>2</v>
      </c>
      <c r="W7513">
        <v>1</v>
      </c>
      <c r="X7513">
        <v>2</v>
      </c>
      <c r="Y7513">
        <v>0</v>
      </c>
      <c r="Z7513">
        <v>2</v>
      </c>
      <c r="AA7513">
        <v>129.82</v>
      </c>
      <c r="AB7513">
        <v>130.82</v>
      </c>
      <c r="AC7513">
        <v>129.82</v>
      </c>
      <c r="AD7513">
        <v>0</v>
      </c>
      <c r="AE7513">
        <v>0</v>
      </c>
      <c r="AF7513">
        <v>0</v>
      </c>
      <c r="AG7513">
        <v>0</v>
      </c>
      <c r="AH7513">
        <v>0</v>
      </c>
      <c r="AI7513">
        <v>23.37</v>
      </c>
      <c r="AJ7513">
        <v>129.82</v>
      </c>
      <c r="AK7513">
        <v>-1</v>
      </c>
      <c r="AL7513" t="s">
        <v>53</v>
      </c>
      <c r="AM7513" t="s">
        <v>53</v>
      </c>
      <c r="AN7513" t="s">
        <v>53</v>
      </c>
      <c r="AO7513" t="s">
        <v>53</v>
      </c>
      <c r="AP7513" t="s">
        <v>53</v>
      </c>
    </row>
    <row r="7514" spans="2:42" x14ac:dyDescent="0.2">
      <c r="B7514" t="s">
        <v>44</v>
      </c>
      <c r="C7514" t="str">
        <f>HYPERLINK("https://us2.cloudbeds.com/connect/8493803454333002#/reservations/9080486847558507?display=41198GYN4R&amp;reservation_id=9080486847558507", "41198GYN4R")</f>
        <v>41198GYN4R</v>
      </c>
      <c r="D7514" t="s">
        <v>45</v>
      </c>
      <c r="E7514" t="s">
        <v>98</v>
      </c>
      <c r="F7514" t="s">
        <v>86</v>
      </c>
      <c r="G7514" t="s">
        <v>48</v>
      </c>
      <c r="H7514" t="s">
        <v>49</v>
      </c>
      <c r="I7514" t="s">
        <v>50</v>
      </c>
      <c r="J7514" t="s">
        <v>13680</v>
      </c>
      <c r="K7514" t="s">
        <v>13825</v>
      </c>
      <c r="L7514" t="s">
        <v>53</v>
      </c>
      <c r="N7514" t="s">
        <v>13826</v>
      </c>
      <c r="P7514" t="s">
        <v>55</v>
      </c>
      <c r="R7514" t="s">
        <v>53</v>
      </c>
      <c r="T7514" t="s">
        <v>13827</v>
      </c>
      <c r="U7514" t="s">
        <v>58</v>
      </c>
      <c r="V7514">
        <v>2</v>
      </c>
      <c r="W7514">
        <v>1</v>
      </c>
      <c r="X7514">
        <v>2</v>
      </c>
      <c r="Y7514">
        <v>0</v>
      </c>
      <c r="Z7514">
        <v>2</v>
      </c>
      <c r="AA7514">
        <v>200.02</v>
      </c>
      <c r="AB7514">
        <v>201.78</v>
      </c>
      <c r="AC7514">
        <v>176</v>
      </c>
      <c r="AD7514">
        <v>0</v>
      </c>
      <c r="AE7514">
        <v>25.78</v>
      </c>
      <c r="AF7514">
        <v>0</v>
      </c>
      <c r="AG7514">
        <v>0</v>
      </c>
      <c r="AH7514">
        <v>0</v>
      </c>
      <c r="AI7514">
        <v>36.32</v>
      </c>
      <c r="AJ7514">
        <v>201.78</v>
      </c>
      <c r="AK7514">
        <v>0</v>
      </c>
      <c r="AL7514" t="s">
        <v>53</v>
      </c>
      <c r="AM7514" t="s">
        <v>53</v>
      </c>
      <c r="AN7514" t="s">
        <v>13828</v>
      </c>
      <c r="AO7514" t="s">
        <v>53</v>
      </c>
      <c r="AP7514" t="s">
        <v>53</v>
      </c>
    </row>
    <row r="7515" spans="2:42" x14ac:dyDescent="0.2">
      <c r="B7515" t="s">
        <v>44</v>
      </c>
      <c r="C7515" t="str">
        <f>HYPERLINK("https://us2.cloudbeds.com/connect/8493803454333002#/reservations/9080486847558853?display=411HT9HG0X&amp;reservation_id=9080486847558853", "411HT9HG0X")</f>
        <v>411HT9HG0X</v>
      </c>
      <c r="D7515" t="s">
        <v>45</v>
      </c>
      <c r="E7515" t="s">
        <v>406</v>
      </c>
      <c r="F7515" t="s">
        <v>61</v>
      </c>
      <c r="G7515" t="s">
        <v>48</v>
      </c>
      <c r="H7515" t="s">
        <v>49</v>
      </c>
      <c r="I7515" t="s">
        <v>50</v>
      </c>
      <c r="J7515" t="s">
        <v>11067</v>
      </c>
      <c r="K7515" t="s">
        <v>11068</v>
      </c>
      <c r="L7515" t="s">
        <v>53</v>
      </c>
      <c r="N7515" t="s">
        <v>13829</v>
      </c>
      <c r="P7515" t="s">
        <v>55</v>
      </c>
      <c r="R7515" t="s">
        <v>53</v>
      </c>
      <c r="T7515" t="s">
        <v>13830</v>
      </c>
      <c r="U7515" t="s">
        <v>58</v>
      </c>
      <c r="V7515">
        <v>1</v>
      </c>
      <c r="W7515">
        <v>1</v>
      </c>
      <c r="X7515">
        <v>2</v>
      </c>
      <c r="Y7515">
        <v>0</v>
      </c>
      <c r="Z7515">
        <v>2</v>
      </c>
      <c r="AA7515">
        <v>78.25</v>
      </c>
      <c r="AB7515">
        <v>78.25</v>
      </c>
      <c r="AC7515">
        <v>68.849999999999994</v>
      </c>
      <c r="AD7515">
        <v>0</v>
      </c>
      <c r="AE7515">
        <v>9.4</v>
      </c>
      <c r="AF7515">
        <v>0</v>
      </c>
      <c r="AG7515">
        <v>0</v>
      </c>
      <c r="AH7515">
        <v>0</v>
      </c>
      <c r="AI7515">
        <v>14.09</v>
      </c>
      <c r="AJ7515">
        <v>78.25</v>
      </c>
      <c r="AK7515">
        <v>0</v>
      </c>
      <c r="AL7515" t="s">
        <v>53</v>
      </c>
      <c r="AM7515" t="s">
        <v>53</v>
      </c>
      <c r="AN7515" t="s">
        <v>53</v>
      </c>
      <c r="AO7515" t="s">
        <v>53</v>
      </c>
      <c r="AP7515" t="s">
        <v>53</v>
      </c>
    </row>
    <row r="7516" spans="2:42" x14ac:dyDescent="0.2">
      <c r="B7516" t="s">
        <v>44</v>
      </c>
      <c r="C7516" t="str">
        <f>HYPERLINK("https://us2.cloudbeds.com/connect/8493803454333002#/reservations/9080486847560192?display=412GANU5MW&amp;reservation_id=9080486847560192", "412GANU5MW")</f>
        <v>412GANU5MW</v>
      </c>
      <c r="D7516" t="s">
        <v>45</v>
      </c>
      <c r="E7516" t="s">
        <v>98</v>
      </c>
      <c r="F7516" t="s">
        <v>86</v>
      </c>
      <c r="G7516" t="s">
        <v>48</v>
      </c>
      <c r="H7516" t="s">
        <v>49</v>
      </c>
      <c r="I7516" t="s">
        <v>62</v>
      </c>
      <c r="J7516" t="s">
        <v>11067</v>
      </c>
      <c r="K7516" t="s">
        <v>11068</v>
      </c>
      <c r="L7516" t="s">
        <v>53</v>
      </c>
      <c r="N7516" t="s">
        <v>13831</v>
      </c>
      <c r="P7516" t="s">
        <v>55</v>
      </c>
      <c r="R7516" t="s">
        <v>56</v>
      </c>
      <c r="T7516" t="s">
        <v>13832</v>
      </c>
      <c r="U7516" t="s">
        <v>55</v>
      </c>
      <c r="V7516">
        <v>1</v>
      </c>
      <c r="W7516">
        <v>1</v>
      </c>
      <c r="X7516">
        <v>2</v>
      </c>
      <c r="Y7516">
        <v>0</v>
      </c>
      <c r="Z7516">
        <v>2</v>
      </c>
      <c r="AA7516">
        <v>79.900000000000006</v>
      </c>
      <c r="AB7516">
        <v>79.900000000000006</v>
      </c>
      <c r="AC7516">
        <v>79.900000000000006</v>
      </c>
      <c r="AD7516">
        <v>0</v>
      </c>
      <c r="AE7516">
        <v>0</v>
      </c>
      <c r="AF7516">
        <v>0</v>
      </c>
      <c r="AG7516">
        <v>0</v>
      </c>
      <c r="AH7516">
        <v>0</v>
      </c>
      <c r="AI7516">
        <v>14.38</v>
      </c>
      <c r="AJ7516">
        <v>79.900000000000006</v>
      </c>
      <c r="AK7516">
        <v>0</v>
      </c>
      <c r="AL7516" t="s">
        <v>53</v>
      </c>
      <c r="AM7516" t="s">
        <v>53</v>
      </c>
      <c r="AN7516" t="s">
        <v>13833</v>
      </c>
      <c r="AO7516" t="s">
        <v>53</v>
      </c>
      <c r="AP7516" t="s">
        <v>53</v>
      </c>
    </row>
    <row r="7517" spans="2:42" x14ac:dyDescent="0.2">
      <c r="B7517" t="s">
        <v>44</v>
      </c>
      <c r="C7517" t="str">
        <f>HYPERLINK("https://us2.cloudbeds.com/connect/8493803454333002#/reservations/187191983943852?display=4139427B5T&amp;reservation_id=187191983943852", "4139427B5T")</f>
        <v>4139427B5T</v>
      </c>
      <c r="D7517" t="s">
        <v>45</v>
      </c>
      <c r="E7517" t="s">
        <v>305</v>
      </c>
      <c r="F7517" t="s">
        <v>61</v>
      </c>
      <c r="G7517" t="s">
        <v>48</v>
      </c>
      <c r="H7517" t="s">
        <v>3957</v>
      </c>
      <c r="I7517" t="s">
        <v>3975</v>
      </c>
      <c r="J7517" t="s">
        <v>11067</v>
      </c>
      <c r="K7517" t="s">
        <v>11068</v>
      </c>
      <c r="L7517" t="s">
        <v>53</v>
      </c>
      <c r="P7517" t="s">
        <v>55</v>
      </c>
      <c r="R7517" t="s">
        <v>56</v>
      </c>
      <c r="T7517" t="s">
        <v>13834</v>
      </c>
      <c r="U7517" t="s">
        <v>58</v>
      </c>
      <c r="V7517">
        <v>1</v>
      </c>
      <c r="W7517">
        <v>1</v>
      </c>
      <c r="X7517">
        <v>2</v>
      </c>
      <c r="Y7517">
        <v>0</v>
      </c>
      <c r="Z7517">
        <v>2</v>
      </c>
      <c r="AA7517">
        <v>92.06</v>
      </c>
      <c r="AB7517">
        <v>92.06</v>
      </c>
      <c r="AC7517">
        <v>81</v>
      </c>
      <c r="AD7517">
        <v>0</v>
      </c>
      <c r="AE7517">
        <v>11.06</v>
      </c>
      <c r="AF7517">
        <v>0</v>
      </c>
      <c r="AG7517">
        <v>0</v>
      </c>
      <c r="AH7517">
        <v>0</v>
      </c>
      <c r="AI7517">
        <v>0</v>
      </c>
      <c r="AJ7517">
        <v>92.06</v>
      </c>
      <c r="AK7517">
        <v>0</v>
      </c>
      <c r="AL7517" t="s">
        <v>53</v>
      </c>
      <c r="AM7517" t="s">
        <v>53</v>
      </c>
      <c r="AN7517" t="s">
        <v>53</v>
      </c>
      <c r="AO7517" t="s">
        <v>53</v>
      </c>
      <c r="AP7517" t="s">
        <v>53</v>
      </c>
    </row>
    <row r="7518" spans="2:42" x14ac:dyDescent="0.2">
      <c r="B7518" t="s">
        <v>44</v>
      </c>
      <c r="C7518" t="str">
        <f>HYPERLINK("https://us2.cloudbeds.com/connect/8493803454333002#/reservations/187204471341294?display=413XQ4UJ4W&amp;reservation_id=187204471341294", "413XQ4UJ4W")</f>
        <v>413XQ4UJ4W</v>
      </c>
      <c r="D7518" t="s">
        <v>45</v>
      </c>
      <c r="E7518" t="s">
        <v>179</v>
      </c>
      <c r="F7518" t="s">
        <v>47</v>
      </c>
      <c r="G7518" t="s">
        <v>48</v>
      </c>
      <c r="H7518" t="s">
        <v>3957</v>
      </c>
      <c r="I7518" t="s">
        <v>3958</v>
      </c>
      <c r="J7518" t="s">
        <v>11067</v>
      </c>
      <c r="K7518" t="s">
        <v>11068</v>
      </c>
      <c r="L7518" t="s">
        <v>53</v>
      </c>
      <c r="P7518" t="s">
        <v>55</v>
      </c>
      <c r="R7518" t="s">
        <v>56</v>
      </c>
      <c r="T7518" t="s">
        <v>13835</v>
      </c>
      <c r="U7518" t="s">
        <v>58</v>
      </c>
      <c r="V7518">
        <v>1</v>
      </c>
      <c r="W7518">
        <v>1</v>
      </c>
      <c r="X7518">
        <v>1</v>
      </c>
      <c r="Y7518">
        <v>0</v>
      </c>
      <c r="Z7518">
        <v>1</v>
      </c>
      <c r="AA7518">
        <v>86.37</v>
      </c>
      <c r="AB7518">
        <v>86.37</v>
      </c>
      <c r="AC7518">
        <v>76</v>
      </c>
      <c r="AD7518">
        <v>0</v>
      </c>
      <c r="AE7518">
        <v>10.37</v>
      </c>
      <c r="AF7518">
        <v>0</v>
      </c>
      <c r="AG7518">
        <v>0</v>
      </c>
      <c r="AH7518">
        <v>0</v>
      </c>
      <c r="AI7518">
        <v>0</v>
      </c>
      <c r="AJ7518">
        <v>86.37</v>
      </c>
      <c r="AK7518">
        <v>0</v>
      </c>
      <c r="AL7518" t="s">
        <v>53</v>
      </c>
      <c r="AM7518" t="s">
        <v>53</v>
      </c>
      <c r="AN7518" t="s">
        <v>53</v>
      </c>
      <c r="AO7518" t="s">
        <v>53</v>
      </c>
      <c r="AP7518" t="s">
        <v>53</v>
      </c>
    </row>
    <row r="7519" spans="2:42" x14ac:dyDescent="0.2">
      <c r="B7519" t="s">
        <v>44</v>
      </c>
      <c r="C7519" t="str">
        <f>HYPERLINK("https://us2.cloudbeds.com/connect/8493803454333002#/reservations/9080486847561647?display=413KG545G8&amp;reservation_id=9080486847561647", "413KG545G8")</f>
        <v>413KG545G8</v>
      </c>
      <c r="D7519" t="s">
        <v>45</v>
      </c>
      <c r="E7519" t="s">
        <v>105</v>
      </c>
      <c r="F7519" t="s">
        <v>47</v>
      </c>
      <c r="G7519" t="s">
        <v>48</v>
      </c>
      <c r="H7519" t="s">
        <v>49</v>
      </c>
      <c r="I7519" t="s">
        <v>62</v>
      </c>
      <c r="J7519" t="s">
        <v>13480</v>
      </c>
      <c r="K7519" t="s">
        <v>12424</v>
      </c>
      <c r="L7519" t="s">
        <v>53</v>
      </c>
      <c r="N7519" t="s">
        <v>13836</v>
      </c>
      <c r="P7519" t="s">
        <v>55</v>
      </c>
      <c r="R7519" t="s">
        <v>56</v>
      </c>
      <c r="T7519" t="s">
        <v>13837</v>
      </c>
      <c r="U7519" t="s">
        <v>55</v>
      </c>
      <c r="V7519">
        <v>1</v>
      </c>
      <c r="W7519">
        <v>1</v>
      </c>
      <c r="X7519">
        <v>2</v>
      </c>
      <c r="Y7519">
        <v>0</v>
      </c>
      <c r="Z7519">
        <v>2</v>
      </c>
      <c r="AA7519">
        <v>53.3</v>
      </c>
      <c r="AB7519">
        <v>53.3</v>
      </c>
      <c r="AC7519">
        <v>53.3</v>
      </c>
      <c r="AD7519">
        <v>0</v>
      </c>
      <c r="AE7519">
        <v>0</v>
      </c>
      <c r="AF7519">
        <v>0</v>
      </c>
      <c r="AG7519">
        <v>0</v>
      </c>
      <c r="AH7519">
        <v>0</v>
      </c>
      <c r="AI7519">
        <v>9.59</v>
      </c>
      <c r="AJ7519">
        <v>53.3</v>
      </c>
      <c r="AK7519">
        <v>0</v>
      </c>
      <c r="AL7519" t="s">
        <v>53</v>
      </c>
      <c r="AM7519" t="s">
        <v>53</v>
      </c>
      <c r="AN7519" t="s">
        <v>13838</v>
      </c>
      <c r="AO7519" t="s">
        <v>53</v>
      </c>
      <c r="AP7519" t="s">
        <v>53</v>
      </c>
    </row>
    <row r="7520" spans="2:42" x14ac:dyDescent="0.2">
      <c r="B7520" t="s">
        <v>44</v>
      </c>
      <c r="C7520" t="str">
        <f>HYPERLINK("https://us2.cloudbeds.com/connect/8493803454333002#/reservations/187213122347213?display=413PG6MXTG&amp;reservation_id=187213122347213", "413PG6MXTG")</f>
        <v>413PG6MXTG</v>
      </c>
      <c r="D7520" t="s">
        <v>45</v>
      </c>
      <c r="E7520" t="s">
        <v>265</v>
      </c>
      <c r="F7520" t="s">
        <v>61</v>
      </c>
      <c r="G7520" t="s">
        <v>48</v>
      </c>
      <c r="H7520" t="s">
        <v>3957</v>
      </c>
      <c r="I7520" t="s">
        <v>3958</v>
      </c>
      <c r="J7520" t="s">
        <v>11067</v>
      </c>
      <c r="K7520" t="s">
        <v>11068</v>
      </c>
      <c r="L7520" t="s">
        <v>53</v>
      </c>
      <c r="P7520" t="s">
        <v>55</v>
      </c>
      <c r="R7520" t="s">
        <v>56</v>
      </c>
      <c r="T7520" t="s">
        <v>13839</v>
      </c>
      <c r="U7520" t="s">
        <v>58</v>
      </c>
      <c r="V7520">
        <v>1</v>
      </c>
      <c r="W7520">
        <v>1</v>
      </c>
      <c r="X7520">
        <v>1</v>
      </c>
      <c r="Y7520">
        <v>0</v>
      </c>
      <c r="Z7520">
        <v>1</v>
      </c>
      <c r="AA7520">
        <v>92.06</v>
      </c>
      <c r="AB7520">
        <v>92.06</v>
      </c>
      <c r="AC7520">
        <v>81</v>
      </c>
      <c r="AD7520">
        <v>0</v>
      </c>
      <c r="AE7520">
        <v>11.06</v>
      </c>
      <c r="AF7520">
        <v>0</v>
      </c>
      <c r="AG7520">
        <v>0</v>
      </c>
      <c r="AH7520">
        <v>0</v>
      </c>
      <c r="AI7520">
        <v>0</v>
      </c>
      <c r="AJ7520">
        <v>92.06</v>
      </c>
      <c r="AK7520">
        <v>0</v>
      </c>
      <c r="AL7520" t="s">
        <v>53</v>
      </c>
      <c r="AM7520" t="s">
        <v>53</v>
      </c>
      <c r="AN7520" t="s">
        <v>53</v>
      </c>
      <c r="AO7520" t="s">
        <v>53</v>
      </c>
      <c r="AP7520" t="s">
        <v>53</v>
      </c>
    </row>
    <row r="7521" spans="2:42" x14ac:dyDescent="0.2">
      <c r="B7521" t="s">
        <v>44</v>
      </c>
      <c r="C7521" t="str">
        <f>HYPERLINK("https://us2.cloudbeds.com/connect/8493803454333002#/reservations/9080486847562339?display=414A5RWA54&amp;reservation_id=9080486847562339", "414A5RWA54")</f>
        <v>414A5RWA54</v>
      </c>
      <c r="D7521" t="s">
        <v>45</v>
      </c>
      <c r="E7521" t="s">
        <v>78</v>
      </c>
      <c r="F7521" t="s">
        <v>61</v>
      </c>
      <c r="G7521" t="s">
        <v>48</v>
      </c>
      <c r="H7521" t="s">
        <v>49</v>
      </c>
      <c r="I7521" t="s">
        <v>50</v>
      </c>
      <c r="J7521" t="s">
        <v>11068</v>
      </c>
      <c r="K7521" t="s">
        <v>13468</v>
      </c>
      <c r="L7521" t="s">
        <v>53</v>
      </c>
      <c r="N7521" t="s">
        <v>13840</v>
      </c>
      <c r="P7521" t="s">
        <v>55</v>
      </c>
      <c r="R7521" t="s">
        <v>53</v>
      </c>
      <c r="T7521" t="s">
        <v>13841</v>
      </c>
      <c r="U7521" t="s">
        <v>58</v>
      </c>
      <c r="V7521">
        <v>7</v>
      </c>
      <c r="W7521">
        <v>1</v>
      </c>
      <c r="X7521">
        <v>2</v>
      </c>
      <c r="Y7521">
        <v>0</v>
      </c>
      <c r="Z7521">
        <v>2</v>
      </c>
      <c r="AA7521">
        <v>541.24</v>
      </c>
      <c r="AB7521">
        <v>541.24</v>
      </c>
      <c r="AC7521">
        <v>476.28</v>
      </c>
      <c r="AD7521">
        <v>0</v>
      </c>
      <c r="AE7521">
        <v>64.959999999999994</v>
      </c>
      <c r="AF7521">
        <v>0</v>
      </c>
      <c r="AG7521">
        <v>0</v>
      </c>
      <c r="AH7521">
        <v>0</v>
      </c>
      <c r="AI7521">
        <v>97.42</v>
      </c>
      <c r="AJ7521">
        <v>541.24</v>
      </c>
      <c r="AK7521">
        <v>0</v>
      </c>
      <c r="AL7521" t="s">
        <v>53</v>
      </c>
      <c r="AM7521" t="s">
        <v>53</v>
      </c>
      <c r="AN7521" t="s">
        <v>53</v>
      </c>
      <c r="AO7521" t="s">
        <v>53</v>
      </c>
      <c r="AP7521" t="s">
        <v>53</v>
      </c>
    </row>
    <row r="7522" spans="2:42" x14ac:dyDescent="0.2">
      <c r="B7522" t="s">
        <v>44</v>
      </c>
      <c r="C7522" t="str">
        <f>HYPERLINK("https://us2.cloudbeds.com/connect/8493803454333002#/reservations/9080486847563008?display=41510PNJVA&amp;reservation_id=9080486847563008", "41510PNJVA")</f>
        <v>41510PNJVA</v>
      </c>
      <c r="D7522" t="s">
        <v>45</v>
      </c>
      <c r="E7522" t="s">
        <v>98</v>
      </c>
      <c r="F7522" t="s">
        <v>86</v>
      </c>
      <c r="G7522" t="s">
        <v>48</v>
      </c>
      <c r="H7522" t="s">
        <v>49</v>
      </c>
      <c r="I7522" t="s">
        <v>8964</v>
      </c>
      <c r="J7522" t="s">
        <v>12681</v>
      </c>
      <c r="K7522" t="s">
        <v>13047</v>
      </c>
      <c r="L7522" t="s">
        <v>53</v>
      </c>
      <c r="N7522" t="s">
        <v>13842</v>
      </c>
      <c r="P7522" t="s">
        <v>55</v>
      </c>
      <c r="R7522" t="s">
        <v>53</v>
      </c>
      <c r="T7522" t="s">
        <v>13843</v>
      </c>
      <c r="U7522" t="s">
        <v>55</v>
      </c>
      <c r="V7522">
        <v>3</v>
      </c>
      <c r="W7522">
        <v>1</v>
      </c>
      <c r="X7522">
        <v>2</v>
      </c>
      <c r="Y7522">
        <v>0</v>
      </c>
      <c r="Z7522">
        <v>2</v>
      </c>
      <c r="AA7522">
        <v>0</v>
      </c>
      <c r="AB7522">
        <v>0</v>
      </c>
      <c r="AC7522">
        <v>288</v>
      </c>
      <c r="AD7522">
        <v>0</v>
      </c>
      <c r="AE7522">
        <v>0</v>
      </c>
      <c r="AF7522">
        <v>0</v>
      </c>
      <c r="AG7522">
        <v>0</v>
      </c>
      <c r="AH7522">
        <v>0</v>
      </c>
      <c r="AI7522">
        <v>43.2</v>
      </c>
      <c r="AJ7522">
        <v>288</v>
      </c>
      <c r="AK7522">
        <v>288</v>
      </c>
      <c r="AL7522" t="s">
        <v>53</v>
      </c>
      <c r="AM7522" t="s">
        <v>53</v>
      </c>
      <c r="AN7522" t="s">
        <v>53</v>
      </c>
      <c r="AO7522" t="s">
        <v>53</v>
      </c>
      <c r="AP7522" t="s">
        <v>53</v>
      </c>
    </row>
    <row r="7523" spans="2:42" x14ac:dyDescent="0.2">
      <c r="B7523" t="s">
        <v>44</v>
      </c>
      <c r="C7523" t="str">
        <f>HYPERLINK("https://us2.cloudbeds.com/connect/8493803454333002#/reservations/9080486847563068?display=4152WY5NN9&amp;reservation_id=9080486847563068", "4152WY5NN9")</f>
        <v>4152WY5NN9</v>
      </c>
      <c r="D7523" t="s">
        <v>45</v>
      </c>
      <c r="E7523" t="s">
        <v>128</v>
      </c>
      <c r="F7523" t="s">
        <v>86</v>
      </c>
      <c r="G7523" t="s">
        <v>48</v>
      </c>
      <c r="H7523" t="s">
        <v>49</v>
      </c>
      <c r="I7523" t="s">
        <v>8964</v>
      </c>
      <c r="J7523" t="s">
        <v>12323</v>
      </c>
      <c r="K7523" t="s">
        <v>13275</v>
      </c>
      <c r="L7523" t="s">
        <v>53</v>
      </c>
      <c r="N7523" t="s">
        <v>13844</v>
      </c>
      <c r="P7523" t="s">
        <v>55</v>
      </c>
      <c r="R7523" t="s">
        <v>53</v>
      </c>
      <c r="T7523" t="s">
        <v>13845</v>
      </c>
      <c r="U7523" t="s">
        <v>55</v>
      </c>
      <c r="V7523">
        <v>1</v>
      </c>
      <c r="W7523">
        <v>1</v>
      </c>
      <c r="X7523">
        <v>2</v>
      </c>
      <c r="Y7523">
        <v>0</v>
      </c>
      <c r="Z7523">
        <v>2</v>
      </c>
      <c r="AA7523">
        <v>0</v>
      </c>
      <c r="AB7523">
        <v>0</v>
      </c>
      <c r="AC7523">
        <v>96</v>
      </c>
      <c r="AD7523">
        <v>0</v>
      </c>
      <c r="AE7523">
        <v>0</v>
      </c>
      <c r="AF7523">
        <v>0</v>
      </c>
      <c r="AG7523">
        <v>0</v>
      </c>
      <c r="AH7523">
        <v>0</v>
      </c>
      <c r="AI7523">
        <v>14.4</v>
      </c>
      <c r="AJ7523">
        <v>96</v>
      </c>
      <c r="AK7523">
        <v>96</v>
      </c>
      <c r="AL7523" t="s">
        <v>53</v>
      </c>
      <c r="AM7523" t="s">
        <v>53</v>
      </c>
      <c r="AN7523" t="s">
        <v>53</v>
      </c>
      <c r="AO7523" t="s">
        <v>53</v>
      </c>
      <c r="AP7523" t="s">
        <v>53</v>
      </c>
    </row>
    <row r="7524" spans="2:42" x14ac:dyDescent="0.2">
      <c r="B7524" t="s">
        <v>44</v>
      </c>
      <c r="C7524" t="str">
        <f>HYPERLINK("https://us2.cloudbeds.com/connect/8493803454333002#/reservations/9080486847563128?display=41552CUD7B&amp;reservation_id=9080486847563128", "41552CUD7B")</f>
        <v>41552CUD7B</v>
      </c>
      <c r="D7524" t="s">
        <v>45</v>
      </c>
      <c r="E7524" t="s">
        <v>155</v>
      </c>
      <c r="F7524" t="s">
        <v>86</v>
      </c>
      <c r="G7524" t="s">
        <v>48</v>
      </c>
      <c r="H7524" t="s">
        <v>49</v>
      </c>
      <c r="I7524" t="s">
        <v>8964</v>
      </c>
      <c r="J7524" t="s">
        <v>13468</v>
      </c>
      <c r="K7524" t="s">
        <v>10586</v>
      </c>
      <c r="L7524" t="s">
        <v>53</v>
      </c>
      <c r="N7524" t="s">
        <v>13846</v>
      </c>
      <c r="P7524" t="s">
        <v>55</v>
      </c>
      <c r="R7524" t="s">
        <v>53</v>
      </c>
      <c r="T7524" t="s">
        <v>13847</v>
      </c>
      <c r="U7524" t="s">
        <v>55</v>
      </c>
      <c r="V7524">
        <v>1</v>
      </c>
      <c r="W7524">
        <v>1</v>
      </c>
      <c r="X7524">
        <v>2</v>
      </c>
      <c r="Y7524">
        <v>0</v>
      </c>
      <c r="Z7524">
        <v>2</v>
      </c>
      <c r="AA7524">
        <v>0</v>
      </c>
      <c r="AB7524">
        <v>0</v>
      </c>
      <c r="AC7524">
        <v>96</v>
      </c>
      <c r="AD7524">
        <v>0</v>
      </c>
      <c r="AE7524">
        <v>0</v>
      </c>
      <c r="AF7524">
        <v>0</v>
      </c>
      <c r="AG7524">
        <v>0</v>
      </c>
      <c r="AH7524">
        <v>0</v>
      </c>
      <c r="AI7524">
        <v>14.4</v>
      </c>
      <c r="AJ7524">
        <v>96</v>
      </c>
      <c r="AK7524">
        <v>96</v>
      </c>
      <c r="AL7524" t="s">
        <v>53</v>
      </c>
      <c r="AM7524" t="s">
        <v>53</v>
      </c>
      <c r="AN7524" t="s">
        <v>13848</v>
      </c>
      <c r="AO7524" t="s">
        <v>53</v>
      </c>
      <c r="AP7524" t="s">
        <v>53</v>
      </c>
    </row>
    <row r="7525" spans="2:42" x14ac:dyDescent="0.2">
      <c r="B7525" t="s">
        <v>44</v>
      </c>
      <c r="C7525" t="str">
        <f>HYPERLINK("https://us2.cloudbeds.com/connect/8493803454333002#/reservations/9080486847563194?display=41576X7GF0&amp;reservation_id=9080486847563194", "41576X7GF0")</f>
        <v>41576X7GF0</v>
      </c>
      <c r="D7525" t="s">
        <v>45</v>
      </c>
      <c r="E7525" t="s">
        <v>85</v>
      </c>
      <c r="F7525" t="s">
        <v>86</v>
      </c>
      <c r="G7525" t="s">
        <v>48</v>
      </c>
      <c r="H7525" t="s">
        <v>49</v>
      </c>
      <c r="I7525" t="s">
        <v>50</v>
      </c>
      <c r="J7525" t="s">
        <v>13638</v>
      </c>
      <c r="K7525" t="s">
        <v>13849</v>
      </c>
      <c r="L7525" t="s">
        <v>53</v>
      </c>
      <c r="N7525" t="s">
        <v>13850</v>
      </c>
      <c r="P7525" t="s">
        <v>55</v>
      </c>
      <c r="R7525" t="s">
        <v>53</v>
      </c>
      <c r="T7525" t="s">
        <v>13851</v>
      </c>
      <c r="U7525" t="s">
        <v>58</v>
      </c>
      <c r="V7525">
        <v>1</v>
      </c>
      <c r="W7525">
        <v>1</v>
      </c>
      <c r="X7525">
        <v>2</v>
      </c>
      <c r="Y7525">
        <v>0</v>
      </c>
      <c r="Z7525">
        <v>2</v>
      </c>
      <c r="AA7525">
        <v>117.28</v>
      </c>
      <c r="AB7525">
        <v>118.32</v>
      </c>
      <c r="AC7525">
        <v>103.2</v>
      </c>
      <c r="AD7525">
        <v>0</v>
      </c>
      <c r="AE7525">
        <v>15.12</v>
      </c>
      <c r="AF7525">
        <v>0</v>
      </c>
      <c r="AG7525">
        <v>0</v>
      </c>
      <c r="AH7525">
        <v>0</v>
      </c>
      <c r="AI7525">
        <v>21.3</v>
      </c>
      <c r="AJ7525">
        <v>118.32</v>
      </c>
      <c r="AK7525">
        <v>0</v>
      </c>
      <c r="AL7525" t="s">
        <v>53</v>
      </c>
      <c r="AM7525" t="s">
        <v>53</v>
      </c>
      <c r="AN7525" t="s">
        <v>53</v>
      </c>
      <c r="AO7525" t="s">
        <v>53</v>
      </c>
      <c r="AP7525" t="s">
        <v>53</v>
      </c>
    </row>
    <row r="7526" spans="2:42" x14ac:dyDescent="0.2">
      <c r="B7526" t="s">
        <v>44</v>
      </c>
      <c r="C7526" t="str">
        <f>HYPERLINK("https://us2.cloudbeds.com/connect/8493803454333002#/reservations/9080486847563459?display=415HSHKMJT&amp;reservation_id=9080486847563459", "415HSHKMJT")</f>
        <v>415HSHKMJT</v>
      </c>
      <c r="D7526" t="s">
        <v>45</v>
      </c>
      <c r="E7526" t="s">
        <v>179</v>
      </c>
      <c r="F7526" t="s">
        <v>47</v>
      </c>
      <c r="G7526" t="s">
        <v>48</v>
      </c>
      <c r="H7526" t="s">
        <v>49</v>
      </c>
      <c r="I7526" t="s">
        <v>62</v>
      </c>
      <c r="J7526" t="s">
        <v>12682</v>
      </c>
      <c r="K7526" t="s">
        <v>13468</v>
      </c>
      <c r="L7526" t="s">
        <v>53</v>
      </c>
      <c r="N7526" t="s">
        <v>13852</v>
      </c>
      <c r="P7526" t="s">
        <v>55</v>
      </c>
      <c r="R7526" t="s">
        <v>56</v>
      </c>
      <c r="T7526" t="s">
        <v>13853</v>
      </c>
      <c r="U7526" t="s">
        <v>55</v>
      </c>
      <c r="V7526">
        <v>3</v>
      </c>
      <c r="W7526">
        <v>1</v>
      </c>
      <c r="X7526">
        <v>2</v>
      </c>
      <c r="Y7526">
        <v>0</v>
      </c>
      <c r="Z7526">
        <v>2</v>
      </c>
      <c r="AA7526">
        <v>193.8</v>
      </c>
      <c r="AB7526">
        <v>193.8</v>
      </c>
      <c r="AC7526">
        <v>193.8</v>
      </c>
      <c r="AD7526">
        <v>0</v>
      </c>
      <c r="AE7526">
        <v>0</v>
      </c>
      <c r="AF7526">
        <v>0</v>
      </c>
      <c r="AG7526">
        <v>0</v>
      </c>
      <c r="AH7526">
        <v>0</v>
      </c>
      <c r="AI7526">
        <v>34.880000000000003</v>
      </c>
      <c r="AJ7526">
        <v>193.8</v>
      </c>
      <c r="AK7526">
        <v>0</v>
      </c>
      <c r="AL7526" t="s">
        <v>53</v>
      </c>
      <c r="AM7526" t="s">
        <v>53</v>
      </c>
      <c r="AN7526" t="s">
        <v>13854</v>
      </c>
      <c r="AO7526" t="s">
        <v>53</v>
      </c>
      <c r="AP7526" t="s">
        <v>53</v>
      </c>
    </row>
    <row r="7527" spans="2:42" x14ac:dyDescent="0.2">
      <c r="B7527" t="s">
        <v>44</v>
      </c>
      <c r="C7527" t="str">
        <f>HYPERLINK("https://us2.cloudbeds.com/connect/8493803454333002#/reservations/187284249804962?display=415EXM7UR1&amp;reservation_id=187284249804962", "415EXM7UR1")</f>
        <v>415EXM7UR1</v>
      </c>
      <c r="D7527" t="s">
        <v>45</v>
      </c>
      <c r="E7527" t="s">
        <v>110</v>
      </c>
      <c r="F7527" t="s">
        <v>47</v>
      </c>
      <c r="G7527" t="s">
        <v>48</v>
      </c>
      <c r="H7527" t="s">
        <v>3957</v>
      </c>
      <c r="I7527" t="s">
        <v>3975</v>
      </c>
      <c r="J7527" t="s">
        <v>10587</v>
      </c>
      <c r="K7527" t="s">
        <v>13480</v>
      </c>
      <c r="L7527" t="s">
        <v>53</v>
      </c>
      <c r="P7527" t="s">
        <v>55</v>
      </c>
      <c r="R7527" t="s">
        <v>56</v>
      </c>
      <c r="T7527" t="s">
        <v>13855</v>
      </c>
      <c r="U7527" t="s">
        <v>58</v>
      </c>
      <c r="V7527">
        <v>1</v>
      </c>
      <c r="W7527">
        <v>1</v>
      </c>
      <c r="X7527">
        <v>2</v>
      </c>
      <c r="Y7527">
        <v>0</v>
      </c>
      <c r="Z7527">
        <v>2</v>
      </c>
      <c r="AA7527">
        <v>86.37</v>
      </c>
      <c r="AB7527">
        <v>86.37</v>
      </c>
      <c r="AC7527">
        <v>76</v>
      </c>
      <c r="AD7527">
        <v>0</v>
      </c>
      <c r="AE7527">
        <v>10.37</v>
      </c>
      <c r="AF7527">
        <v>0</v>
      </c>
      <c r="AG7527">
        <v>0</v>
      </c>
      <c r="AH7527">
        <v>0</v>
      </c>
      <c r="AI7527">
        <v>0</v>
      </c>
      <c r="AJ7527">
        <v>86.37</v>
      </c>
      <c r="AK7527">
        <v>0</v>
      </c>
      <c r="AL7527" t="s">
        <v>53</v>
      </c>
      <c r="AM7527" t="s">
        <v>53</v>
      </c>
      <c r="AN7527" t="s">
        <v>13856</v>
      </c>
      <c r="AO7527" t="s">
        <v>53</v>
      </c>
      <c r="AP7527" t="s">
        <v>53</v>
      </c>
    </row>
    <row r="7528" spans="2:42" x14ac:dyDescent="0.2">
      <c r="B7528" t="s">
        <v>44</v>
      </c>
      <c r="C7528" t="str">
        <f>HYPERLINK("https://us2.cloudbeds.com/connect/8493803454333002#/reservations/9080486847564088?display=416BQ1Q1JD&amp;reservation_id=9080486847564088", "416BQ1Q1JD")</f>
        <v>416BQ1Q1JD</v>
      </c>
      <c r="D7528" t="s">
        <v>45</v>
      </c>
      <c r="E7528" t="s">
        <v>165</v>
      </c>
      <c r="F7528" t="s">
        <v>61</v>
      </c>
      <c r="G7528" t="s">
        <v>48</v>
      </c>
      <c r="H7528" t="s">
        <v>49</v>
      </c>
      <c r="I7528" t="s">
        <v>62</v>
      </c>
      <c r="J7528" t="s">
        <v>10586</v>
      </c>
      <c r="K7528" t="s">
        <v>12159</v>
      </c>
      <c r="L7528" t="s">
        <v>53</v>
      </c>
      <c r="N7528" t="s">
        <v>13857</v>
      </c>
      <c r="P7528" t="s">
        <v>55</v>
      </c>
      <c r="R7528" t="s">
        <v>56</v>
      </c>
      <c r="T7528" t="s">
        <v>13858</v>
      </c>
      <c r="U7528" t="s">
        <v>55</v>
      </c>
      <c r="V7528">
        <v>1</v>
      </c>
      <c r="W7528">
        <v>1</v>
      </c>
      <c r="X7528">
        <v>2</v>
      </c>
      <c r="Y7528">
        <v>0</v>
      </c>
      <c r="Z7528">
        <v>2</v>
      </c>
      <c r="AA7528">
        <v>65.41</v>
      </c>
      <c r="AB7528">
        <v>65.41</v>
      </c>
      <c r="AC7528">
        <v>65.41</v>
      </c>
      <c r="AD7528">
        <v>0</v>
      </c>
      <c r="AE7528">
        <v>0</v>
      </c>
      <c r="AF7528">
        <v>0</v>
      </c>
      <c r="AG7528">
        <v>0</v>
      </c>
      <c r="AH7528">
        <v>0</v>
      </c>
      <c r="AI7528">
        <v>11.77</v>
      </c>
      <c r="AJ7528">
        <v>65.41</v>
      </c>
      <c r="AK7528">
        <v>0</v>
      </c>
      <c r="AL7528" t="s">
        <v>53</v>
      </c>
      <c r="AM7528" t="s">
        <v>53</v>
      </c>
      <c r="AN7528" t="s">
        <v>13859</v>
      </c>
      <c r="AO7528" t="s">
        <v>53</v>
      </c>
      <c r="AP7528" t="s">
        <v>53</v>
      </c>
    </row>
    <row r="7529" spans="2:42" x14ac:dyDescent="0.2">
      <c r="B7529" t="s">
        <v>44</v>
      </c>
      <c r="C7529" t="str">
        <f>HYPERLINK("https://us2.cloudbeds.com/connect/8493803454333002#/reservations/9080486847564449?display=416SCSENWF&amp;reservation_id=9080486847564449", "416SCSENWF")</f>
        <v>416SCSENWF</v>
      </c>
      <c r="D7529" t="s">
        <v>45</v>
      </c>
      <c r="E7529" t="s">
        <v>13860</v>
      </c>
      <c r="F7529" t="s">
        <v>1076</v>
      </c>
      <c r="G7529" t="s">
        <v>48</v>
      </c>
      <c r="H7529" t="s">
        <v>49</v>
      </c>
      <c r="I7529" t="s">
        <v>62</v>
      </c>
      <c r="J7529" t="s">
        <v>12159</v>
      </c>
      <c r="K7529" t="s">
        <v>10587</v>
      </c>
      <c r="L7529" t="s">
        <v>53</v>
      </c>
      <c r="N7529" t="s">
        <v>13861</v>
      </c>
      <c r="P7529" t="s">
        <v>55</v>
      </c>
      <c r="R7529" t="s">
        <v>56</v>
      </c>
      <c r="T7529" t="s">
        <v>13862</v>
      </c>
      <c r="U7529" t="s">
        <v>55</v>
      </c>
      <c r="V7529">
        <v>2</v>
      </c>
      <c r="W7529">
        <v>2</v>
      </c>
      <c r="X7529">
        <v>2</v>
      </c>
      <c r="Y7529">
        <v>0</v>
      </c>
      <c r="Z7529">
        <v>2</v>
      </c>
      <c r="AA7529">
        <v>106.6</v>
      </c>
      <c r="AB7529">
        <v>106.6</v>
      </c>
      <c r="AC7529">
        <v>106.6</v>
      </c>
      <c r="AD7529">
        <v>0</v>
      </c>
      <c r="AE7529">
        <v>0</v>
      </c>
      <c r="AF7529">
        <v>0</v>
      </c>
      <c r="AG7529">
        <v>0</v>
      </c>
      <c r="AH7529">
        <v>0</v>
      </c>
      <c r="AI7529">
        <v>19.190000000000001</v>
      </c>
      <c r="AJ7529">
        <v>106.6</v>
      </c>
      <c r="AK7529">
        <v>0</v>
      </c>
      <c r="AL7529" t="s">
        <v>53</v>
      </c>
      <c r="AM7529" t="s">
        <v>53</v>
      </c>
      <c r="AN7529" t="s">
        <v>53</v>
      </c>
      <c r="AO7529" t="s">
        <v>53</v>
      </c>
      <c r="AP7529" t="s">
        <v>53</v>
      </c>
    </row>
    <row r="7530" spans="2:42" x14ac:dyDescent="0.2">
      <c r="B7530" t="s">
        <v>44</v>
      </c>
      <c r="C7530" t="str">
        <f>HYPERLINK("https://us2.cloudbeds.com/connect/8493803454333002#/reservations/9080486847567484?display=419YUWGSQ0&amp;reservation_id=9080486847567484", "419YUWGSQ0")</f>
        <v>419YUWGSQ0</v>
      </c>
      <c r="D7530" t="s">
        <v>45</v>
      </c>
      <c r="E7530" t="s">
        <v>113</v>
      </c>
      <c r="F7530" t="s">
        <v>61</v>
      </c>
      <c r="G7530" t="s">
        <v>48</v>
      </c>
      <c r="H7530" t="s">
        <v>49</v>
      </c>
      <c r="I7530" t="s">
        <v>8964</v>
      </c>
      <c r="J7530" t="s">
        <v>12682</v>
      </c>
      <c r="K7530" t="s">
        <v>13468</v>
      </c>
      <c r="L7530" t="s">
        <v>53</v>
      </c>
      <c r="N7530" t="s">
        <v>13863</v>
      </c>
      <c r="P7530" t="s">
        <v>55</v>
      </c>
      <c r="R7530" t="s">
        <v>53</v>
      </c>
      <c r="T7530" t="s">
        <v>13864</v>
      </c>
      <c r="U7530" t="s">
        <v>55</v>
      </c>
      <c r="V7530">
        <v>3</v>
      </c>
      <c r="W7530">
        <v>1</v>
      </c>
      <c r="X7530">
        <v>1</v>
      </c>
      <c r="Y7530">
        <v>0</v>
      </c>
      <c r="Z7530">
        <v>1</v>
      </c>
      <c r="AA7530">
        <v>0</v>
      </c>
      <c r="AB7530">
        <v>0</v>
      </c>
      <c r="AC7530">
        <v>256</v>
      </c>
      <c r="AD7530">
        <v>0</v>
      </c>
      <c r="AE7530">
        <v>0</v>
      </c>
      <c r="AF7530">
        <v>0</v>
      </c>
      <c r="AG7530">
        <v>0</v>
      </c>
      <c r="AH7530">
        <v>0</v>
      </c>
      <c r="AI7530">
        <v>38.4</v>
      </c>
      <c r="AJ7530">
        <v>256</v>
      </c>
      <c r="AK7530">
        <v>256</v>
      </c>
      <c r="AL7530" t="s">
        <v>53</v>
      </c>
      <c r="AM7530" t="s">
        <v>53</v>
      </c>
      <c r="AN7530" t="s">
        <v>13865</v>
      </c>
      <c r="AO7530" t="s">
        <v>53</v>
      </c>
      <c r="AP7530" t="s">
        <v>53</v>
      </c>
    </row>
    <row r="7531" spans="2:42" x14ac:dyDescent="0.2">
      <c r="B7531" t="s">
        <v>44</v>
      </c>
      <c r="C7531" t="str">
        <f>HYPERLINK("https://us2.cloudbeds.com/connect/8493803454333002#/reservations/9080486847568033?display=41A0VW9XYS&amp;reservation_id=9080486847568033", "41A0VW9XYS")</f>
        <v>41A0VW9XYS</v>
      </c>
      <c r="D7531" t="s">
        <v>45</v>
      </c>
      <c r="E7531" t="s">
        <v>213</v>
      </c>
      <c r="F7531" t="s">
        <v>86</v>
      </c>
      <c r="G7531" t="s">
        <v>48</v>
      </c>
      <c r="H7531" t="s">
        <v>49</v>
      </c>
      <c r="I7531" t="s">
        <v>50</v>
      </c>
      <c r="J7531" t="s">
        <v>13480</v>
      </c>
      <c r="K7531" t="s">
        <v>12323</v>
      </c>
      <c r="L7531" t="s">
        <v>53</v>
      </c>
      <c r="N7531" t="s">
        <v>13866</v>
      </c>
      <c r="P7531" t="s">
        <v>55</v>
      </c>
      <c r="R7531" t="s">
        <v>53</v>
      </c>
      <c r="T7531" t="s">
        <v>13867</v>
      </c>
      <c r="U7531" t="s">
        <v>58</v>
      </c>
      <c r="V7531">
        <v>2</v>
      </c>
      <c r="W7531">
        <v>1</v>
      </c>
      <c r="X7531">
        <v>2</v>
      </c>
      <c r="Y7531">
        <v>0</v>
      </c>
      <c r="Z7531">
        <v>2</v>
      </c>
      <c r="AA7531">
        <v>181.62</v>
      </c>
      <c r="AB7531">
        <v>181.62</v>
      </c>
      <c r="AC7531">
        <v>159.80000000000001</v>
      </c>
      <c r="AD7531">
        <v>0</v>
      </c>
      <c r="AE7531">
        <v>21.82</v>
      </c>
      <c r="AF7531">
        <v>0</v>
      </c>
      <c r="AG7531">
        <v>0</v>
      </c>
      <c r="AH7531">
        <v>0</v>
      </c>
      <c r="AI7531">
        <v>32.69</v>
      </c>
      <c r="AJ7531">
        <v>181.62</v>
      </c>
      <c r="AK7531">
        <v>0</v>
      </c>
      <c r="AL7531" t="s">
        <v>53</v>
      </c>
      <c r="AM7531" t="s">
        <v>53</v>
      </c>
      <c r="AN7531" t="s">
        <v>13868</v>
      </c>
      <c r="AO7531" t="s">
        <v>53</v>
      </c>
      <c r="AP7531" t="s">
        <v>53</v>
      </c>
    </row>
    <row r="7532" spans="2:42" x14ac:dyDescent="0.2">
      <c r="B7532" t="s">
        <v>44</v>
      </c>
      <c r="C7532" t="str">
        <f>HYPERLINK("https://us2.cloudbeds.com/connect/8493803454333002#/reservations/9080486847568512?display=41ABHT668M&amp;reservation_id=9080486847568512", "41ABHT668M")</f>
        <v>41ABHT668M</v>
      </c>
      <c r="D7532" t="s">
        <v>45</v>
      </c>
      <c r="E7532" t="s">
        <v>138</v>
      </c>
      <c r="F7532" t="s">
        <v>70</v>
      </c>
      <c r="G7532" t="s">
        <v>48</v>
      </c>
      <c r="H7532" t="s">
        <v>49</v>
      </c>
      <c r="I7532" t="s">
        <v>50</v>
      </c>
      <c r="J7532" t="s">
        <v>13869</v>
      </c>
      <c r="K7532" t="s">
        <v>13870</v>
      </c>
      <c r="L7532" t="s">
        <v>53</v>
      </c>
      <c r="N7532" t="s">
        <v>13871</v>
      </c>
      <c r="P7532" t="s">
        <v>55</v>
      </c>
      <c r="R7532" t="s">
        <v>53</v>
      </c>
      <c r="T7532" t="s">
        <v>13872</v>
      </c>
      <c r="U7532" t="s">
        <v>58</v>
      </c>
      <c r="V7532">
        <v>1</v>
      </c>
      <c r="W7532">
        <v>1</v>
      </c>
      <c r="X7532">
        <v>2</v>
      </c>
      <c r="Y7532">
        <v>0</v>
      </c>
      <c r="Z7532">
        <v>2</v>
      </c>
      <c r="AA7532">
        <v>175.34</v>
      </c>
      <c r="AB7532">
        <v>175.34</v>
      </c>
      <c r="AC7532">
        <v>154.28</v>
      </c>
      <c r="AD7532">
        <v>0</v>
      </c>
      <c r="AE7532">
        <v>22.6</v>
      </c>
      <c r="AF7532">
        <v>0</v>
      </c>
      <c r="AG7532">
        <v>0</v>
      </c>
      <c r="AH7532">
        <v>0</v>
      </c>
      <c r="AI7532">
        <v>31.84</v>
      </c>
      <c r="AJ7532">
        <v>176.88</v>
      </c>
      <c r="AK7532">
        <v>1.54</v>
      </c>
      <c r="AL7532" t="s">
        <v>53</v>
      </c>
      <c r="AM7532" t="s">
        <v>53</v>
      </c>
      <c r="AN7532" t="s">
        <v>53</v>
      </c>
      <c r="AO7532" t="s">
        <v>53</v>
      </c>
      <c r="AP7532" t="s">
        <v>53</v>
      </c>
    </row>
    <row r="7533" spans="2:42" x14ac:dyDescent="0.2">
      <c r="B7533" t="s">
        <v>44</v>
      </c>
      <c r="C7533" t="str">
        <f>HYPERLINK("https://us2.cloudbeds.com/connect/8493803454333002#/reservations/9080486847569115?display=41AZHFGMHR&amp;reservation_id=9080486847569115", "41AZHFGMHR")</f>
        <v>41AZHFGMHR</v>
      </c>
      <c r="D7533" t="s">
        <v>45</v>
      </c>
      <c r="E7533" t="s">
        <v>223</v>
      </c>
      <c r="F7533" t="s">
        <v>47</v>
      </c>
      <c r="G7533" t="s">
        <v>48</v>
      </c>
      <c r="H7533" t="s">
        <v>49</v>
      </c>
      <c r="I7533" t="s">
        <v>50</v>
      </c>
      <c r="J7533" t="s">
        <v>13445</v>
      </c>
      <c r="K7533" t="s">
        <v>13047</v>
      </c>
      <c r="L7533" t="s">
        <v>53</v>
      </c>
      <c r="N7533" t="s">
        <v>13873</v>
      </c>
      <c r="P7533" t="s">
        <v>55</v>
      </c>
      <c r="R7533" t="s">
        <v>53</v>
      </c>
      <c r="T7533" t="s">
        <v>13874</v>
      </c>
      <c r="U7533" t="s">
        <v>58</v>
      </c>
      <c r="V7533">
        <v>4</v>
      </c>
      <c r="W7533">
        <v>1</v>
      </c>
      <c r="X7533">
        <v>2</v>
      </c>
      <c r="Y7533">
        <v>0</v>
      </c>
      <c r="Z7533">
        <v>2</v>
      </c>
      <c r="AA7533">
        <v>276.39999999999998</v>
      </c>
      <c r="AB7533">
        <v>276.39999999999998</v>
      </c>
      <c r="AC7533">
        <v>243.2</v>
      </c>
      <c r="AD7533">
        <v>0</v>
      </c>
      <c r="AE7533">
        <v>33.200000000000003</v>
      </c>
      <c r="AF7533">
        <v>0</v>
      </c>
      <c r="AG7533">
        <v>0</v>
      </c>
      <c r="AH7533">
        <v>0</v>
      </c>
      <c r="AI7533">
        <v>49.75</v>
      </c>
      <c r="AJ7533">
        <v>276.39999999999998</v>
      </c>
      <c r="AK7533">
        <v>0</v>
      </c>
      <c r="AL7533" t="s">
        <v>53</v>
      </c>
      <c r="AM7533" t="s">
        <v>53</v>
      </c>
      <c r="AN7533" t="s">
        <v>13875</v>
      </c>
      <c r="AO7533" t="s">
        <v>53</v>
      </c>
      <c r="AP7533" t="s">
        <v>53</v>
      </c>
    </row>
    <row r="7534" spans="2:42" x14ac:dyDescent="0.2">
      <c r="B7534" t="s">
        <v>44</v>
      </c>
      <c r="C7534" t="str">
        <f>HYPERLINK("https://us2.cloudbeds.com/connect/8493803454333002#/reservations/187558851768457?display=41BT6CTBU3&amp;reservation_id=187558851768457", "41BT6CTBU3")</f>
        <v>41BT6CTBU3</v>
      </c>
      <c r="D7534" t="s">
        <v>45</v>
      </c>
      <c r="E7534" t="s">
        <v>774</v>
      </c>
      <c r="F7534" t="s">
        <v>47</v>
      </c>
      <c r="G7534" t="s">
        <v>48</v>
      </c>
      <c r="H7534" t="s">
        <v>3957</v>
      </c>
      <c r="I7534" t="s">
        <v>3958</v>
      </c>
      <c r="J7534" t="s">
        <v>13876</v>
      </c>
      <c r="K7534" t="s">
        <v>12424</v>
      </c>
      <c r="L7534" t="s">
        <v>53</v>
      </c>
      <c r="P7534" t="s">
        <v>55</v>
      </c>
      <c r="R7534" t="s">
        <v>56</v>
      </c>
      <c r="T7534" t="s">
        <v>13877</v>
      </c>
      <c r="U7534" t="s">
        <v>58</v>
      </c>
      <c r="V7534">
        <v>6</v>
      </c>
      <c r="W7534">
        <v>2</v>
      </c>
      <c r="X7534">
        <v>2</v>
      </c>
      <c r="Y7534">
        <v>0</v>
      </c>
      <c r="Z7534">
        <v>2</v>
      </c>
      <c r="AA7534">
        <v>518.22</v>
      </c>
      <c r="AB7534">
        <v>518.22</v>
      </c>
      <c r="AC7534">
        <v>456</v>
      </c>
      <c r="AD7534">
        <v>0</v>
      </c>
      <c r="AE7534">
        <v>62.22</v>
      </c>
      <c r="AF7534">
        <v>0</v>
      </c>
      <c r="AG7534">
        <v>0</v>
      </c>
      <c r="AH7534">
        <v>0</v>
      </c>
      <c r="AI7534">
        <v>0</v>
      </c>
      <c r="AJ7534">
        <v>518.22</v>
      </c>
      <c r="AK7534">
        <v>0</v>
      </c>
      <c r="AL7534" t="s">
        <v>53</v>
      </c>
      <c r="AM7534" t="s">
        <v>53</v>
      </c>
      <c r="AN7534" t="s">
        <v>13878</v>
      </c>
      <c r="AO7534" t="s">
        <v>53</v>
      </c>
      <c r="AP7534" t="s">
        <v>53</v>
      </c>
    </row>
    <row r="7535" spans="2:42" x14ac:dyDescent="0.2">
      <c r="B7535" t="s">
        <v>44</v>
      </c>
      <c r="C7535" t="str">
        <f>HYPERLINK("https://us2.cloudbeds.com/connect/8493803454333002#/reservations/9080486847571105?display=41C1YTPQW4&amp;reservation_id=9080486847571105", "41C1YTPQW4")</f>
        <v>41C1YTPQW4</v>
      </c>
      <c r="D7535" t="s">
        <v>45</v>
      </c>
      <c r="E7535" t="s">
        <v>138</v>
      </c>
      <c r="F7535" t="s">
        <v>70</v>
      </c>
      <c r="G7535" t="s">
        <v>48</v>
      </c>
      <c r="H7535" t="s">
        <v>49</v>
      </c>
      <c r="I7535" t="s">
        <v>8964</v>
      </c>
      <c r="J7535" t="s">
        <v>13010</v>
      </c>
      <c r="K7535" t="s">
        <v>12118</v>
      </c>
      <c r="L7535" t="s">
        <v>53</v>
      </c>
      <c r="N7535" t="s">
        <v>13879</v>
      </c>
      <c r="P7535" t="s">
        <v>58</v>
      </c>
      <c r="R7535" t="s">
        <v>53</v>
      </c>
      <c r="T7535" t="s">
        <v>13880</v>
      </c>
      <c r="U7535" t="s">
        <v>55</v>
      </c>
      <c r="V7535">
        <v>4</v>
      </c>
      <c r="W7535">
        <v>1</v>
      </c>
      <c r="X7535">
        <v>2</v>
      </c>
      <c r="Y7535">
        <v>0</v>
      </c>
      <c r="Z7535">
        <v>2</v>
      </c>
      <c r="AA7535">
        <v>0</v>
      </c>
      <c r="AB7535">
        <v>0</v>
      </c>
      <c r="AC7535">
        <v>371</v>
      </c>
      <c r="AD7535">
        <v>0</v>
      </c>
      <c r="AE7535">
        <v>0</v>
      </c>
      <c r="AF7535">
        <v>0</v>
      </c>
      <c r="AG7535">
        <v>0</v>
      </c>
      <c r="AH7535">
        <v>0</v>
      </c>
      <c r="AI7535">
        <v>55.65</v>
      </c>
      <c r="AJ7535">
        <v>371</v>
      </c>
      <c r="AK7535">
        <v>371</v>
      </c>
      <c r="AL7535" t="s">
        <v>53</v>
      </c>
      <c r="AM7535" t="s">
        <v>53</v>
      </c>
      <c r="AN7535" t="s">
        <v>53</v>
      </c>
      <c r="AO7535" t="s">
        <v>53</v>
      </c>
      <c r="AP7535" t="s">
        <v>53</v>
      </c>
    </row>
    <row r="7536" spans="2:42" x14ac:dyDescent="0.2">
      <c r="B7536" t="s">
        <v>44</v>
      </c>
      <c r="C7536" t="str">
        <f>HYPERLINK("https://us2.cloudbeds.com/connect/8493803454333002#/reservations/9080486847571118?display=41C1S4GWHE&amp;reservation_id=9080486847571118", "41C1S4GWHE")</f>
        <v>41C1S4GWHE</v>
      </c>
      <c r="D7536" t="s">
        <v>45</v>
      </c>
      <c r="E7536" t="s">
        <v>487</v>
      </c>
      <c r="F7536" t="s">
        <v>61</v>
      </c>
      <c r="G7536" t="s">
        <v>48</v>
      </c>
      <c r="H7536" t="s">
        <v>49</v>
      </c>
      <c r="I7536" t="s">
        <v>62</v>
      </c>
      <c r="J7536" t="s">
        <v>13480</v>
      </c>
      <c r="K7536" t="s">
        <v>12323</v>
      </c>
      <c r="L7536" t="s">
        <v>53</v>
      </c>
      <c r="N7536" t="s">
        <v>13881</v>
      </c>
      <c r="P7536" t="s">
        <v>55</v>
      </c>
      <c r="R7536" t="s">
        <v>56</v>
      </c>
      <c r="T7536" t="s">
        <v>13882</v>
      </c>
      <c r="U7536" t="s">
        <v>55</v>
      </c>
      <c r="V7536">
        <v>2</v>
      </c>
      <c r="W7536">
        <v>1</v>
      </c>
      <c r="X7536">
        <v>2</v>
      </c>
      <c r="Y7536">
        <v>0</v>
      </c>
      <c r="Z7536">
        <v>2</v>
      </c>
      <c r="AA7536">
        <v>137.69999999999999</v>
      </c>
      <c r="AB7536">
        <v>137.69999999999999</v>
      </c>
      <c r="AC7536">
        <v>137.69999999999999</v>
      </c>
      <c r="AD7536">
        <v>0</v>
      </c>
      <c r="AE7536">
        <v>0</v>
      </c>
      <c r="AF7536">
        <v>0</v>
      </c>
      <c r="AG7536">
        <v>0</v>
      </c>
      <c r="AH7536">
        <v>0</v>
      </c>
      <c r="AI7536">
        <v>24.79</v>
      </c>
      <c r="AJ7536">
        <v>137.69999999999999</v>
      </c>
      <c r="AK7536">
        <v>0</v>
      </c>
      <c r="AL7536" t="s">
        <v>53</v>
      </c>
      <c r="AM7536" t="s">
        <v>53</v>
      </c>
      <c r="AN7536" t="s">
        <v>13883</v>
      </c>
      <c r="AO7536" t="s">
        <v>53</v>
      </c>
      <c r="AP7536" t="s">
        <v>53</v>
      </c>
    </row>
    <row r="7537" spans="2:42" x14ac:dyDescent="0.2">
      <c r="B7537" t="s">
        <v>44</v>
      </c>
      <c r="C7537" t="str">
        <f>HYPERLINK("https://us2.cloudbeds.com/connect/8493803454333002#/reservations/9080486847571736?display=41CJNP00PZ&amp;reservation_id=9080486847571736", "41CJNP00PZ")</f>
        <v>41CJNP00PZ</v>
      </c>
      <c r="D7537" t="s">
        <v>45</v>
      </c>
      <c r="E7537" t="s">
        <v>85</v>
      </c>
      <c r="F7537" t="s">
        <v>86</v>
      </c>
      <c r="G7537" t="s">
        <v>48</v>
      </c>
      <c r="H7537" t="s">
        <v>49</v>
      </c>
      <c r="I7537" t="s">
        <v>50</v>
      </c>
      <c r="J7537" t="s">
        <v>13735</v>
      </c>
      <c r="K7537" t="s">
        <v>9935</v>
      </c>
      <c r="L7537" t="s">
        <v>53</v>
      </c>
      <c r="N7537" t="s">
        <v>13884</v>
      </c>
      <c r="P7537" t="s">
        <v>55</v>
      </c>
      <c r="R7537" t="s">
        <v>53</v>
      </c>
      <c r="T7537" t="s">
        <v>13885</v>
      </c>
      <c r="U7537" t="s">
        <v>58</v>
      </c>
      <c r="V7537">
        <v>1</v>
      </c>
      <c r="W7537">
        <v>1</v>
      </c>
      <c r="X7537">
        <v>3</v>
      </c>
      <c r="Y7537">
        <v>0</v>
      </c>
      <c r="Z7537">
        <v>3</v>
      </c>
      <c r="AA7537">
        <v>91.34</v>
      </c>
      <c r="AB7537">
        <v>91.34</v>
      </c>
      <c r="AC7537">
        <v>80.37</v>
      </c>
      <c r="AD7537">
        <v>0</v>
      </c>
      <c r="AE7537">
        <v>10.97</v>
      </c>
      <c r="AF7537">
        <v>0</v>
      </c>
      <c r="AG7537">
        <v>0</v>
      </c>
      <c r="AH7537">
        <v>0</v>
      </c>
      <c r="AI7537">
        <v>16.440000000000001</v>
      </c>
      <c r="AJ7537">
        <v>91.34</v>
      </c>
      <c r="AK7537">
        <v>0</v>
      </c>
      <c r="AL7537" t="s">
        <v>53</v>
      </c>
      <c r="AM7537" t="s">
        <v>53</v>
      </c>
      <c r="AN7537" t="s">
        <v>13886</v>
      </c>
      <c r="AO7537" t="s">
        <v>53</v>
      </c>
      <c r="AP7537" t="s">
        <v>53</v>
      </c>
    </row>
    <row r="7538" spans="2:42" x14ac:dyDescent="0.2">
      <c r="B7538" t="s">
        <v>44</v>
      </c>
      <c r="C7538" t="str">
        <f>HYPERLINK("https://us2.cloudbeds.com/connect/8493803454333002#/reservations/9080486847571881?display=41CZ65G67B&amp;reservation_id=9080486847571881", "41CZ65G67B")</f>
        <v>41CZ65G67B</v>
      </c>
      <c r="D7538" t="s">
        <v>45</v>
      </c>
      <c r="E7538" t="s">
        <v>105</v>
      </c>
      <c r="F7538" t="s">
        <v>47</v>
      </c>
      <c r="G7538" t="s">
        <v>13887</v>
      </c>
      <c r="H7538" t="s">
        <v>49</v>
      </c>
      <c r="I7538" t="s">
        <v>50</v>
      </c>
      <c r="J7538" t="s">
        <v>11068</v>
      </c>
      <c r="K7538" t="s">
        <v>12681</v>
      </c>
      <c r="L7538" t="s">
        <v>53</v>
      </c>
      <c r="N7538" t="s">
        <v>13888</v>
      </c>
      <c r="P7538" t="s">
        <v>55</v>
      </c>
      <c r="R7538" t="s">
        <v>53</v>
      </c>
      <c r="T7538" t="s">
        <v>13889</v>
      </c>
      <c r="U7538" t="s">
        <v>58</v>
      </c>
      <c r="V7538">
        <v>3</v>
      </c>
      <c r="W7538">
        <v>2</v>
      </c>
      <c r="X7538">
        <v>2</v>
      </c>
      <c r="Y7538">
        <v>0</v>
      </c>
      <c r="Z7538">
        <v>2</v>
      </c>
      <c r="AA7538">
        <v>233.19</v>
      </c>
      <c r="AB7538">
        <v>233.19</v>
      </c>
      <c r="AC7538">
        <v>205.2</v>
      </c>
      <c r="AD7538">
        <v>0</v>
      </c>
      <c r="AE7538">
        <v>27.99</v>
      </c>
      <c r="AF7538">
        <v>0</v>
      </c>
      <c r="AG7538">
        <v>0</v>
      </c>
      <c r="AH7538">
        <v>0</v>
      </c>
      <c r="AI7538">
        <v>41.97</v>
      </c>
      <c r="AJ7538">
        <v>233.19</v>
      </c>
      <c r="AK7538">
        <v>0</v>
      </c>
      <c r="AL7538" t="s">
        <v>53</v>
      </c>
      <c r="AM7538" t="s">
        <v>53</v>
      </c>
      <c r="AN7538" t="s">
        <v>53</v>
      </c>
      <c r="AO7538" t="s">
        <v>53</v>
      </c>
      <c r="AP7538" t="s">
        <v>53</v>
      </c>
    </row>
    <row r="7539" spans="2:42" x14ac:dyDescent="0.2">
      <c r="B7539" t="s">
        <v>44</v>
      </c>
      <c r="C7539" t="str">
        <f>HYPERLINK("https://us2.cloudbeds.com/connect/8493803454333002#/reservations/187604049469654?display=41CV69Q0P3&amp;reservation_id=187604049469654", "41CV69Q0P3")</f>
        <v>41CV69Q0P3</v>
      </c>
      <c r="D7539" t="s">
        <v>45</v>
      </c>
      <c r="E7539" t="s">
        <v>487</v>
      </c>
      <c r="F7539" t="s">
        <v>61</v>
      </c>
      <c r="G7539" t="s">
        <v>48</v>
      </c>
      <c r="H7539" t="s">
        <v>3957</v>
      </c>
      <c r="I7539" t="s">
        <v>3958</v>
      </c>
      <c r="J7539" t="s">
        <v>11068</v>
      </c>
      <c r="K7539" t="s">
        <v>12756</v>
      </c>
      <c r="L7539" t="s">
        <v>53</v>
      </c>
      <c r="P7539" t="s">
        <v>55</v>
      </c>
      <c r="R7539" t="s">
        <v>56</v>
      </c>
      <c r="T7539" t="s">
        <v>13890</v>
      </c>
      <c r="U7539" t="s">
        <v>58</v>
      </c>
      <c r="V7539">
        <v>1</v>
      </c>
      <c r="W7539">
        <v>1</v>
      </c>
      <c r="X7539">
        <v>1</v>
      </c>
      <c r="Y7539">
        <v>0</v>
      </c>
      <c r="Z7539">
        <v>1</v>
      </c>
      <c r="AA7539">
        <v>92.06</v>
      </c>
      <c r="AB7539">
        <v>92.06</v>
      </c>
      <c r="AC7539">
        <v>81</v>
      </c>
      <c r="AD7539">
        <v>0</v>
      </c>
      <c r="AE7539">
        <v>11.06</v>
      </c>
      <c r="AF7539">
        <v>0</v>
      </c>
      <c r="AG7539">
        <v>0</v>
      </c>
      <c r="AH7539">
        <v>0</v>
      </c>
      <c r="AI7539">
        <v>0</v>
      </c>
      <c r="AJ7539">
        <v>92.06</v>
      </c>
      <c r="AK7539">
        <v>0</v>
      </c>
      <c r="AL7539" t="s">
        <v>53</v>
      </c>
      <c r="AM7539" t="s">
        <v>53</v>
      </c>
      <c r="AN7539" t="s">
        <v>53</v>
      </c>
      <c r="AO7539" t="s">
        <v>53</v>
      </c>
      <c r="AP7539" t="s">
        <v>53</v>
      </c>
    </row>
    <row r="7540" spans="2:42" x14ac:dyDescent="0.2">
      <c r="B7540" t="s">
        <v>44</v>
      </c>
      <c r="C7540" t="str">
        <f>HYPERLINK("https://us2.cloudbeds.com/connect/8493803454333002#/reservations/9080486847572391?display=41D5XG0SBP&amp;reservation_id=9080486847572391", "41D5XG0SBP")</f>
        <v>41D5XG0SBP</v>
      </c>
      <c r="D7540" t="s">
        <v>45</v>
      </c>
      <c r="E7540" t="s">
        <v>179</v>
      </c>
      <c r="F7540" t="s">
        <v>47</v>
      </c>
      <c r="G7540" t="s">
        <v>48</v>
      </c>
      <c r="H7540" t="s">
        <v>49</v>
      </c>
      <c r="I7540" t="s">
        <v>62</v>
      </c>
      <c r="J7540" t="s">
        <v>11068</v>
      </c>
      <c r="K7540" t="s">
        <v>12756</v>
      </c>
      <c r="L7540" t="s">
        <v>53</v>
      </c>
      <c r="N7540" t="s">
        <v>13891</v>
      </c>
      <c r="P7540" t="s">
        <v>55</v>
      </c>
      <c r="R7540" t="s">
        <v>56</v>
      </c>
      <c r="T7540" t="s">
        <v>13892</v>
      </c>
      <c r="U7540" t="s">
        <v>55</v>
      </c>
      <c r="V7540">
        <v>1</v>
      </c>
      <c r="W7540">
        <v>1</v>
      </c>
      <c r="X7540">
        <v>2</v>
      </c>
      <c r="Y7540">
        <v>0</v>
      </c>
      <c r="Z7540">
        <v>2</v>
      </c>
      <c r="AA7540">
        <v>64.599999999999994</v>
      </c>
      <c r="AB7540">
        <v>64.599999999999994</v>
      </c>
      <c r="AC7540">
        <v>64.599999999999994</v>
      </c>
      <c r="AD7540">
        <v>0</v>
      </c>
      <c r="AE7540">
        <v>0</v>
      </c>
      <c r="AF7540">
        <v>0</v>
      </c>
      <c r="AG7540">
        <v>0</v>
      </c>
      <c r="AH7540">
        <v>0</v>
      </c>
      <c r="AI7540">
        <v>11.63</v>
      </c>
      <c r="AJ7540">
        <v>64.599999999999994</v>
      </c>
      <c r="AK7540">
        <v>0</v>
      </c>
      <c r="AL7540" t="s">
        <v>53</v>
      </c>
      <c r="AM7540" t="s">
        <v>53</v>
      </c>
      <c r="AN7540" t="s">
        <v>53</v>
      </c>
      <c r="AO7540" t="s">
        <v>53</v>
      </c>
      <c r="AP7540" t="s">
        <v>53</v>
      </c>
    </row>
    <row r="7541" spans="2:42" x14ac:dyDescent="0.2">
      <c r="B7541" t="s">
        <v>44</v>
      </c>
      <c r="C7541" t="str">
        <f>HYPERLINK("https://us2.cloudbeds.com/connect/8493803454333002#/reservations/9080486847578207?display=41XJSS9BZ7&amp;reservation_id=9080486847578207", "41XJSS9BZ7")</f>
        <v>41XJSS9BZ7</v>
      </c>
      <c r="D7541" t="s">
        <v>45</v>
      </c>
      <c r="E7541" t="s">
        <v>46</v>
      </c>
      <c r="F7541" t="s">
        <v>47</v>
      </c>
      <c r="G7541" t="s">
        <v>48</v>
      </c>
      <c r="H7541" t="s">
        <v>49</v>
      </c>
      <c r="I7541" t="s">
        <v>62</v>
      </c>
      <c r="J7541" t="s">
        <v>13046</v>
      </c>
      <c r="K7541" t="s">
        <v>13468</v>
      </c>
      <c r="L7541" t="s">
        <v>53</v>
      </c>
      <c r="N7541" t="s">
        <v>13893</v>
      </c>
      <c r="P7541" t="s">
        <v>55</v>
      </c>
      <c r="R7541" t="s">
        <v>56</v>
      </c>
      <c r="T7541" t="s">
        <v>13894</v>
      </c>
      <c r="U7541" t="s">
        <v>55</v>
      </c>
      <c r="V7541">
        <v>2</v>
      </c>
      <c r="W7541">
        <v>1</v>
      </c>
      <c r="X7541">
        <v>2</v>
      </c>
      <c r="Y7541">
        <v>0</v>
      </c>
      <c r="Z7541">
        <v>2</v>
      </c>
      <c r="AA7541">
        <v>129.19999999999999</v>
      </c>
      <c r="AB7541">
        <v>129.19999999999999</v>
      </c>
      <c r="AC7541">
        <v>129.19999999999999</v>
      </c>
      <c r="AD7541">
        <v>0</v>
      </c>
      <c r="AE7541">
        <v>0</v>
      </c>
      <c r="AF7541">
        <v>0</v>
      </c>
      <c r="AG7541">
        <v>0</v>
      </c>
      <c r="AH7541">
        <v>0</v>
      </c>
      <c r="AI7541">
        <v>23.26</v>
      </c>
      <c r="AJ7541">
        <v>129.19999999999999</v>
      </c>
      <c r="AK7541">
        <v>0</v>
      </c>
      <c r="AL7541" t="s">
        <v>53</v>
      </c>
      <c r="AM7541" t="s">
        <v>53</v>
      </c>
      <c r="AN7541" t="s">
        <v>13895</v>
      </c>
      <c r="AO7541" t="s">
        <v>53</v>
      </c>
      <c r="AP7541" t="s">
        <v>53</v>
      </c>
    </row>
    <row r="7542" spans="2:42" x14ac:dyDescent="0.2">
      <c r="B7542" t="s">
        <v>44</v>
      </c>
      <c r="C7542" t="str">
        <f>HYPERLINK("https://us2.cloudbeds.com/connect/8493803454333002#/reservations/9080486847578568?display=41XSRFKAQQ&amp;reservation_id=9080486847578568", "41XSRFKAQQ")</f>
        <v>41XSRFKAQQ</v>
      </c>
      <c r="D7542" t="s">
        <v>45</v>
      </c>
      <c r="E7542" t="s">
        <v>185</v>
      </c>
      <c r="F7542" t="s">
        <v>47</v>
      </c>
      <c r="G7542" t="s">
        <v>48</v>
      </c>
      <c r="H7542" t="s">
        <v>49</v>
      </c>
      <c r="I7542" t="s">
        <v>62</v>
      </c>
      <c r="J7542" t="s">
        <v>13047</v>
      </c>
      <c r="K7542" t="s">
        <v>13468</v>
      </c>
      <c r="L7542" t="s">
        <v>53</v>
      </c>
      <c r="N7542" t="s">
        <v>13896</v>
      </c>
      <c r="P7542" t="s">
        <v>55</v>
      </c>
      <c r="R7542" t="s">
        <v>56</v>
      </c>
      <c r="T7542" t="s">
        <v>13897</v>
      </c>
      <c r="U7542" t="s">
        <v>55</v>
      </c>
      <c r="V7542">
        <v>1</v>
      </c>
      <c r="W7542">
        <v>1</v>
      </c>
      <c r="X7542">
        <v>1</v>
      </c>
      <c r="Y7542">
        <v>0</v>
      </c>
      <c r="Z7542">
        <v>1</v>
      </c>
      <c r="AA7542">
        <v>64.599999999999994</v>
      </c>
      <c r="AB7542">
        <v>64.599999999999994</v>
      </c>
      <c r="AC7542">
        <v>64.599999999999994</v>
      </c>
      <c r="AD7542">
        <v>0</v>
      </c>
      <c r="AE7542">
        <v>0</v>
      </c>
      <c r="AF7542">
        <v>0</v>
      </c>
      <c r="AG7542">
        <v>0</v>
      </c>
      <c r="AH7542">
        <v>0</v>
      </c>
      <c r="AI7542">
        <v>11.63</v>
      </c>
      <c r="AJ7542">
        <v>64.599999999999994</v>
      </c>
      <c r="AK7542">
        <v>0</v>
      </c>
      <c r="AL7542" t="s">
        <v>53</v>
      </c>
      <c r="AM7542" t="s">
        <v>53</v>
      </c>
      <c r="AN7542" t="s">
        <v>53</v>
      </c>
      <c r="AO7542" t="s">
        <v>53</v>
      </c>
      <c r="AP7542" t="s">
        <v>53</v>
      </c>
    </row>
    <row r="7543" spans="2:42" x14ac:dyDescent="0.2">
      <c r="B7543" t="s">
        <v>44</v>
      </c>
      <c r="C7543" t="str">
        <f>HYPERLINK("https://us2.cloudbeds.com/connect/8493803454333002#/reservations/9080486847579107?display=41J7VJQ578&amp;reservation_id=9080486847579107", "41J7VJQ578")</f>
        <v>41J7VJQ578</v>
      </c>
      <c r="D7543" t="s">
        <v>45</v>
      </c>
      <c r="E7543" t="s">
        <v>128</v>
      </c>
      <c r="F7543" t="s">
        <v>86</v>
      </c>
      <c r="G7543" t="s">
        <v>48</v>
      </c>
      <c r="H7543" t="s">
        <v>49</v>
      </c>
      <c r="I7543" t="s">
        <v>8964</v>
      </c>
      <c r="J7543" t="s">
        <v>13898</v>
      </c>
      <c r="K7543" t="s">
        <v>13037</v>
      </c>
      <c r="L7543" t="s">
        <v>53</v>
      </c>
      <c r="N7543" t="s">
        <v>13899</v>
      </c>
      <c r="P7543" t="s">
        <v>55</v>
      </c>
      <c r="R7543" t="s">
        <v>53</v>
      </c>
      <c r="T7543" t="s">
        <v>13900</v>
      </c>
      <c r="U7543" t="s">
        <v>55</v>
      </c>
      <c r="V7543">
        <v>1</v>
      </c>
      <c r="W7543">
        <v>1</v>
      </c>
      <c r="X7543">
        <v>1</v>
      </c>
      <c r="Y7543">
        <v>1</v>
      </c>
      <c r="Z7543">
        <v>2</v>
      </c>
      <c r="AA7543">
        <v>0</v>
      </c>
      <c r="AB7543">
        <v>0</v>
      </c>
      <c r="AC7543">
        <v>113</v>
      </c>
      <c r="AD7543">
        <v>0</v>
      </c>
      <c r="AE7543">
        <v>0</v>
      </c>
      <c r="AF7543">
        <v>0</v>
      </c>
      <c r="AG7543">
        <v>0</v>
      </c>
      <c r="AH7543">
        <v>0</v>
      </c>
      <c r="AI7543">
        <v>16.95</v>
      </c>
      <c r="AJ7543">
        <v>113</v>
      </c>
      <c r="AK7543">
        <v>113</v>
      </c>
      <c r="AL7543" t="s">
        <v>53</v>
      </c>
      <c r="AM7543" t="s">
        <v>53</v>
      </c>
      <c r="AN7543" t="s">
        <v>13901</v>
      </c>
      <c r="AO7543" t="s">
        <v>53</v>
      </c>
      <c r="AP7543" t="s">
        <v>53</v>
      </c>
    </row>
    <row r="7544" spans="2:42" x14ac:dyDescent="0.2">
      <c r="B7544" t="s">
        <v>44</v>
      </c>
      <c r="C7544" t="str">
        <f>HYPERLINK("https://us2.cloudbeds.com/connect/8493803454333002#/reservations/9080486847579886?display=41JZ0224BN&amp;reservation_id=9080486847579886", "41JZ0224BN")</f>
        <v>41JZ0224BN</v>
      </c>
      <c r="D7544" t="s">
        <v>45</v>
      </c>
      <c r="E7544" t="s">
        <v>13902</v>
      </c>
      <c r="F7544" t="s">
        <v>2145</v>
      </c>
      <c r="G7544" t="s">
        <v>48</v>
      </c>
      <c r="H7544" t="s">
        <v>49</v>
      </c>
      <c r="I7544" t="s">
        <v>62</v>
      </c>
      <c r="J7544" t="s">
        <v>12756</v>
      </c>
      <c r="K7544" t="s">
        <v>12681</v>
      </c>
      <c r="L7544" t="s">
        <v>53</v>
      </c>
      <c r="N7544" t="s">
        <v>13903</v>
      </c>
      <c r="P7544" t="s">
        <v>55</v>
      </c>
      <c r="R7544" t="s">
        <v>56</v>
      </c>
      <c r="T7544" t="s">
        <v>13904</v>
      </c>
      <c r="U7544" t="s">
        <v>55</v>
      </c>
      <c r="V7544">
        <v>4</v>
      </c>
      <c r="W7544">
        <v>2</v>
      </c>
      <c r="X7544">
        <v>4</v>
      </c>
      <c r="Y7544">
        <v>0</v>
      </c>
      <c r="Z7544">
        <v>4</v>
      </c>
      <c r="AA7544">
        <v>297.5</v>
      </c>
      <c r="AB7544">
        <v>297.5</v>
      </c>
      <c r="AC7544">
        <v>297.5</v>
      </c>
      <c r="AD7544">
        <v>0</v>
      </c>
      <c r="AE7544">
        <v>0</v>
      </c>
      <c r="AF7544">
        <v>0</v>
      </c>
      <c r="AG7544">
        <v>0</v>
      </c>
      <c r="AH7544">
        <v>0</v>
      </c>
      <c r="AI7544">
        <v>53.55</v>
      </c>
      <c r="AJ7544">
        <v>297.5</v>
      </c>
      <c r="AK7544">
        <v>0</v>
      </c>
      <c r="AL7544" t="s">
        <v>53</v>
      </c>
      <c r="AM7544" t="s">
        <v>53</v>
      </c>
      <c r="AN7544" t="s">
        <v>53</v>
      </c>
      <c r="AO7544" t="s">
        <v>53</v>
      </c>
      <c r="AP7544" t="s">
        <v>53</v>
      </c>
    </row>
    <row r="7545" spans="2:42" x14ac:dyDescent="0.2">
      <c r="B7545" t="s">
        <v>44</v>
      </c>
      <c r="C7545" t="str">
        <f>HYPERLINK("https://us2.cloudbeds.com/connect/8493803454333002#/reservations/9080486847581520?display=41KWQ25JC2&amp;reservation_id=9080486847581520", "41KWQ25JC2")</f>
        <v>41KWQ25JC2</v>
      </c>
      <c r="D7545" t="s">
        <v>45</v>
      </c>
      <c r="E7545" t="s">
        <v>155</v>
      </c>
      <c r="F7545" t="s">
        <v>86</v>
      </c>
      <c r="G7545" t="s">
        <v>48</v>
      </c>
      <c r="H7545" t="s">
        <v>49</v>
      </c>
      <c r="I7545" t="s">
        <v>50</v>
      </c>
      <c r="J7545" t="s">
        <v>13001</v>
      </c>
      <c r="K7545" t="s">
        <v>13676</v>
      </c>
      <c r="L7545" t="s">
        <v>53</v>
      </c>
      <c r="N7545" t="s">
        <v>13905</v>
      </c>
      <c r="P7545" t="s">
        <v>55</v>
      </c>
      <c r="R7545" t="s">
        <v>53</v>
      </c>
      <c r="T7545" t="s">
        <v>13906</v>
      </c>
      <c r="U7545" t="s">
        <v>58</v>
      </c>
      <c r="V7545">
        <v>6</v>
      </c>
      <c r="W7545">
        <v>1</v>
      </c>
      <c r="X7545">
        <v>3</v>
      </c>
      <c r="Y7545">
        <v>0</v>
      </c>
      <c r="Z7545">
        <v>3</v>
      </c>
      <c r="AA7545">
        <v>669.2</v>
      </c>
      <c r="AB7545">
        <v>675.08</v>
      </c>
      <c r="AC7545">
        <v>588.84</v>
      </c>
      <c r="AD7545">
        <v>0</v>
      </c>
      <c r="AE7545">
        <v>86.24</v>
      </c>
      <c r="AF7545">
        <v>0</v>
      </c>
      <c r="AG7545">
        <v>0</v>
      </c>
      <c r="AH7545">
        <v>0</v>
      </c>
      <c r="AI7545">
        <v>121.51</v>
      </c>
      <c r="AJ7545">
        <v>675.08</v>
      </c>
      <c r="AK7545">
        <v>0</v>
      </c>
      <c r="AL7545" t="s">
        <v>53</v>
      </c>
      <c r="AM7545" t="s">
        <v>53</v>
      </c>
      <c r="AN7545" t="s">
        <v>53</v>
      </c>
      <c r="AO7545" t="s">
        <v>53</v>
      </c>
      <c r="AP7545" t="s">
        <v>53</v>
      </c>
    </row>
    <row r="7546" spans="2:42" x14ac:dyDescent="0.2">
      <c r="B7546" t="s">
        <v>44</v>
      </c>
      <c r="C7546" t="str">
        <f>HYPERLINK("https://us2.cloudbeds.com/connect/8493803454333002#/reservations/9080486847581884?display=41YCHXPHGC&amp;reservation_id=9080486847581884", "41YCHXPHGC")</f>
        <v>41YCHXPHGC</v>
      </c>
      <c r="D7546" t="s">
        <v>45</v>
      </c>
      <c r="E7546" t="s">
        <v>113</v>
      </c>
      <c r="F7546" t="s">
        <v>61</v>
      </c>
      <c r="G7546" t="s">
        <v>48</v>
      </c>
      <c r="H7546" t="s">
        <v>49</v>
      </c>
      <c r="I7546" t="s">
        <v>50</v>
      </c>
      <c r="J7546" t="s">
        <v>13445</v>
      </c>
      <c r="K7546" t="s">
        <v>12681</v>
      </c>
      <c r="L7546" t="s">
        <v>53</v>
      </c>
      <c r="N7546" t="s">
        <v>13907</v>
      </c>
      <c r="P7546" t="s">
        <v>55</v>
      </c>
      <c r="R7546" t="s">
        <v>56</v>
      </c>
      <c r="T7546" t="s">
        <v>13908</v>
      </c>
      <c r="U7546" t="s">
        <v>58</v>
      </c>
      <c r="V7546">
        <v>1</v>
      </c>
      <c r="W7546">
        <v>1</v>
      </c>
      <c r="X7546">
        <v>1</v>
      </c>
      <c r="Y7546">
        <v>0</v>
      </c>
      <c r="Z7546">
        <v>1</v>
      </c>
      <c r="AA7546">
        <v>82.85</v>
      </c>
      <c r="AB7546">
        <v>82.85</v>
      </c>
      <c r="AC7546">
        <v>72.900000000000006</v>
      </c>
      <c r="AD7546">
        <v>0</v>
      </c>
      <c r="AE7546">
        <v>9.9499999999999993</v>
      </c>
      <c r="AF7546">
        <v>0</v>
      </c>
      <c r="AG7546">
        <v>0</v>
      </c>
      <c r="AH7546">
        <v>0</v>
      </c>
      <c r="AI7546">
        <v>14.91</v>
      </c>
      <c r="AJ7546">
        <v>82.85</v>
      </c>
      <c r="AK7546">
        <v>0</v>
      </c>
      <c r="AL7546" t="s">
        <v>53</v>
      </c>
      <c r="AM7546" t="s">
        <v>53</v>
      </c>
      <c r="AN7546" t="s">
        <v>13909</v>
      </c>
      <c r="AO7546" t="s">
        <v>53</v>
      </c>
      <c r="AP7546" t="s">
        <v>53</v>
      </c>
    </row>
    <row r="7547" spans="2:42" x14ac:dyDescent="0.2">
      <c r="B7547" t="s">
        <v>44</v>
      </c>
      <c r="C7547" t="str">
        <f>HYPERLINK("https://us2.cloudbeds.com/connect/8493803454333002#/reservations/9080486847582371?display=41YS6YC12Y&amp;reservation_id=9080486847582371", "41YS6YC12Y")</f>
        <v>41YS6YC12Y</v>
      </c>
      <c r="D7547" t="s">
        <v>45</v>
      </c>
      <c r="E7547" t="s">
        <v>98</v>
      </c>
      <c r="F7547" t="s">
        <v>86</v>
      </c>
      <c r="G7547" t="s">
        <v>48</v>
      </c>
      <c r="H7547" t="s">
        <v>49</v>
      </c>
      <c r="I7547" t="s">
        <v>8964</v>
      </c>
      <c r="J7547" t="s">
        <v>10681</v>
      </c>
      <c r="K7547" t="s">
        <v>11296</v>
      </c>
      <c r="L7547" t="s">
        <v>53</v>
      </c>
      <c r="N7547" t="s">
        <v>13910</v>
      </c>
      <c r="P7547" t="s">
        <v>55</v>
      </c>
      <c r="R7547" t="s">
        <v>53</v>
      </c>
      <c r="T7547" t="s">
        <v>13911</v>
      </c>
      <c r="U7547" t="s">
        <v>55</v>
      </c>
      <c r="V7547">
        <v>2</v>
      </c>
      <c r="W7547">
        <v>1</v>
      </c>
      <c r="X7547">
        <v>2</v>
      </c>
      <c r="Y7547">
        <v>0</v>
      </c>
      <c r="Z7547">
        <v>2</v>
      </c>
      <c r="AA7547">
        <v>0</v>
      </c>
      <c r="AB7547">
        <v>0</v>
      </c>
      <c r="AC7547">
        <v>227</v>
      </c>
      <c r="AD7547">
        <v>0</v>
      </c>
      <c r="AE7547">
        <v>0</v>
      </c>
      <c r="AF7547">
        <v>0</v>
      </c>
      <c r="AG7547">
        <v>0</v>
      </c>
      <c r="AH7547">
        <v>0</v>
      </c>
      <c r="AI7547">
        <v>34.049999999999997</v>
      </c>
      <c r="AJ7547">
        <v>227</v>
      </c>
      <c r="AK7547">
        <v>227</v>
      </c>
      <c r="AL7547" t="s">
        <v>53</v>
      </c>
      <c r="AM7547" t="s">
        <v>53</v>
      </c>
      <c r="AN7547" t="s">
        <v>53</v>
      </c>
      <c r="AO7547" t="s">
        <v>53</v>
      </c>
      <c r="AP7547" t="s">
        <v>53</v>
      </c>
    </row>
    <row r="7548" spans="2:42" x14ac:dyDescent="0.2">
      <c r="B7548" t="s">
        <v>44</v>
      </c>
      <c r="C7548" t="str">
        <f>HYPERLINK("https://us2.cloudbeds.com/connect/8493803454333002#/reservations/9080486847582739?display=41M66J6R61&amp;reservation_id=9080486847582739", "41M66J6R61")</f>
        <v>41M66J6R61</v>
      </c>
      <c r="D7548" t="s">
        <v>45</v>
      </c>
      <c r="E7548" t="s">
        <v>138</v>
      </c>
      <c r="F7548" t="s">
        <v>70</v>
      </c>
      <c r="G7548" t="s">
        <v>48</v>
      </c>
      <c r="H7548" t="s">
        <v>49</v>
      </c>
      <c r="I7548" t="s">
        <v>50</v>
      </c>
      <c r="J7548" t="s">
        <v>13735</v>
      </c>
      <c r="K7548" t="s">
        <v>12908</v>
      </c>
      <c r="L7548" t="s">
        <v>53</v>
      </c>
      <c r="N7548" t="s">
        <v>13912</v>
      </c>
      <c r="P7548" t="s">
        <v>55</v>
      </c>
      <c r="R7548" t="s">
        <v>53</v>
      </c>
      <c r="T7548" t="s">
        <v>13913</v>
      </c>
      <c r="U7548" t="s">
        <v>58</v>
      </c>
      <c r="V7548">
        <v>2</v>
      </c>
      <c r="W7548">
        <v>1</v>
      </c>
      <c r="X7548">
        <v>2</v>
      </c>
      <c r="Y7548">
        <v>0</v>
      </c>
      <c r="Z7548">
        <v>2</v>
      </c>
      <c r="AA7548">
        <v>146.25</v>
      </c>
      <c r="AB7548">
        <v>146.25</v>
      </c>
      <c r="AC7548">
        <v>128.69999999999999</v>
      </c>
      <c r="AD7548">
        <v>0</v>
      </c>
      <c r="AE7548">
        <v>17.55</v>
      </c>
      <c r="AF7548">
        <v>0</v>
      </c>
      <c r="AG7548">
        <v>0</v>
      </c>
      <c r="AH7548">
        <v>0</v>
      </c>
      <c r="AI7548">
        <v>26.33</v>
      </c>
      <c r="AJ7548">
        <v>146.25</v>
      </c>
      <c r="AK7548">
        <v>0</v>
      </c>
      <c r="AL7548" t="s">
        <v>53</v>
      </c>
      <c r="AM7548" t="s">
        <v>53</v>
      </c>
      <c r="AN7548" t="s">
        <v>13914</v>
      </c>
      <c r="AO7548" t="s">
        <v>53</v>
      </c>
      <c r="AP7548" t="s">
        <v>53</v>
      </c>
    </row>
    <row r="7549" spans="2:42" x14ac:dyDescent="0.2">
      <c r="B7549" t="s">
        <v>44</v>
      </c>
      <c r="C7549" t="str">
        <f>HYPERLINK("https://us2.cloudbeds.com/connect/8493803454333002#/reservations/9080486847582839?display=41M96WFU07&amp;reservation_id=9080486847582839", "41M96WFU07")</f>
        <v>41M96WFU07</v>
      </c>
      <c r="D7549" t="s">
        <v>45</v>
      </c>
      <c r="E7549" t="s">
        <v>165</v>
      </c>
      <c r="F7549" t="s">
        <v>61</v>
      </c>
      <c r="G7549" t="s">
        <v>48</v>
      </c>
      <c r="H7549" t="s">
        <v>49</v>
      </c>
      <c r="I7549" t="s">
        <v>8964</v>
      </c>
      <c r="J7549" t="s">
        <v>12159</v>
      </c>
      <c r="K7549" t="s">
        <v>10587</v>
      </c>
      <c r="L7549" t="s">
        <v>53</v>
      </c>
      <c r="N7549" t="s">
        <v>13915</v>
      </c>
      <c r="P7549" t="s">
        <v>55</v>
      </c>
      <c r="R7549" t="s">
        <v>53</v>
      </c>
      <c r="T7549" t="s">
        <v>13916</v>
      </c>
      <c r="U7549" t="s">
        <v>55</v>
      </c>
      <c r="V7549">
        <v>2</v>
      </c>
      <c r="W7549">
        <v>1</v>
      </c>
      <c r="X7549">
        <v>1</v>
      </c>
      <c r="Y7549">
        <v>0</v>
      </c>
      <c r="Z7549">
        <v>1</v>
      </c>
      <c r="AA7549">
        <v>0</v>
      </c>
      <c r="AB7549">
        <v>0</v>
      </c>
      <c r="AC7549">
        <v>168</v>
      </c>
      <c r="AD7549">
        <v>0</v>
      </c>
      <c r="AE7549">
        <v>0</v>
      </c>
      <c r="AF7549">
        <v>0</v>
      </c>
      <c r="AG7549">
        <v>0</v>
      </c>
      <c r="AH7549">
        <v>0</v>
      </c>
      <c r="AI7549">
        <v>25.2</v>
      </c>
      <c r="AJ7549">
        <v>168</v>
      </c>
      <c r="AK7549">
        <v>168</v>
      </c>
      <c r="AL7549" t="s">
        <v>53</v>
      </c>
      <c r="AM7549" t="s">
        <v>53</v>
      </c>
      <c r="AN7549" t="s">
        <v>13917</v>
      </c>
      <c r="AO7549" t="s">
        <v>53</v>
      </c>
      <c r="AP7549" t="s">
        <v>53</v>
      </c>
    </row>
    <row r="7550" spans="2:42" x14ac:dyDescent="0.2">
      <c r="B7550" t="s">
        <v>44</v>
      </c>
      <c r="C7550" t="str">
        <f>HYPERLINK("https://us2.cloudbeds.com/connect/8493803454333002#/reservations/9080486847582848?display=41M9EMXY91&amp;reservation_id=9080486847582848", "41M9EMXY91")</f>
        <v>41M9EMXY91</v>
      </c>
      <c r="D7550" t="s">
        <v>45</v>
      </c>
      <c r="E7550" t="s">
        <v>190</v>
      </c>
      <c r="F7550" t="s">
        <v>61</v>
      </c>
      <c r="G7550" t="s">
        <v>48</v>
      </c>
      <c r="H7550" t="s">
        <v>49</v>
      </c>
      <c r="I7550" t="s">
        <v>50</v>
      </c>
      <c r="J7550" t="s">
        <v>10587</v>
      </c>
      <c r="K7550" t="s">
        <v>12323</v>
      </c>
      <c r="L7550" t="s">
        <v>53</v>
      </c>
      <c r="N7550" t="s">
        <v>13918</v>
      </c>
      <c r="P7550" t="s">
        <v>55</v>
      </c>
      <c r="R7550" t="s">
        <v>53</v>
      </c>
      <c r="T7550" t="s">
        <v>13919</v>
      </c>
      <c r="U7550" t="s">
        <v>58</v>
      </c>
      <c r="V7550">
        <v>3</v>
      </c>
      <c r="W7550">
        <v>1</v>
      </c>
      <c r="X7550">
        <v>2</v>
      </c>
      <c r="Y7550">
        <v>0</v>
      </c>
      <c r="Z7550">
        <v>2</v>
      </c>
      <c r="AA7550">
        <v>234.75</v>
      </c>
      <c r="AB7550">
        <v>234.75</v>
      </c>
      <c r="AC7550">
        <v>206.55</v>
      </c>
      <c r="AD7550">
        <v>0</v>
      </c>
      <c r="AE7550">
        <v>28.2</v>
      </c>
      <c r="AF7550">
        <v>0</v>
      </c>
      <c r="AG7550">
        <v>0</v>
      </c>
      <c r="AH7550">
        <v>0</v>
      </c>
      <c r="AI7550">
        <v>42.26</v>
      </c>
      <c r="AJ7550">
        <v>234.75</v>
      </c>
      <c r="AK7550">
        <v>0</v>
      </c>
      <c r="AL7550" t="s">
        <v>53</v>
      </c>
      <c r="AM7550" t="s">
        <v>53</v>
      </c>
      <c r="AN7550" t="s">
        <v>13920</v>
      </c>
      <c r="AO7550" t="s">
        <v>53</v>
      </c>
      <c r="AP7550" t="s">
        <v>53</v>
      </c>
    </row>
    <row r="7551" spans="2:42" x14ac:dyDescent="0.2">
      <c r="B7551" t="s">
        <v>44</v>
      </c>
      <c r="C7551" t="str">
        <f>HYPERLINK("https://us2.cloudbeds.com/connect/8493803454333002#/reservations/9080486847583760?display=41N72VHVKR&amp;reservation_id=9080486847583760", "41N72VHVKR")</f>
        <v>41N72VHVKR</v>
      </c>
      <c r="D7551" t="s">
        <v>45</v>
      </c>
      <c r="E7551" t="s">
        <v>223</v>
      </c>
      <c r="F7551" t="s">
        <v>47</v>
      </c>
      <c r="G7551" t="s">
        <v>48</v>
      </c>
      <c r="H7551" t="s">
        <v>49</v>
      </c>
      <c r="I7551" t="s">
        <v>62</v>
      </c>
      <c r="J7551" t="s">
        <v>9935</v>
      </c>
      <c r="K7551" t="s">
        <v>12908</v>
      </c>
      <c r="L7551" t="s">
        <v>53</v>
      </c>
      <c r="N7551" t="s">
        <v>13921</v>
      </c>
      <c r="P7551" t="s">
        <v>55</v>
      </c>
      <c r="R7551" t="s">
        <v>56</v>
      </c>
      <c r="T7551" t="s">
        <v>13922</v>
      </c>
      <c r="U7551" t="s">
        <v>55</v>
      </c>
      <c r="V7551">
        <v>1</v>
      </c>
      <c r="W7551">
        <v>1</v>
      </c>
      <c r="X7551">
        <v>2</v>
      </c>
      <c r="Y7551">
        <v>0</v>
      </c>
      <c r="Z7551">
        <v>2</v>
      </c>
      <c r="AA7551">
        <v>68.849999999999994</v>
      </c>
      <c r="AB7551">
        <v>68.849999999999994</v>
      </c>
      <c r="AC7551">
        <v>68.849999999999994</v>
      </c>
      <c r="AD7551">
        <v>0</v>
      </c>
      <c r="AE7551">
        <v>0</v>
      </c>
      <c r="AF7551">
        <v>0</v>
      </c>
      <c r="AG7551">
        <v>0</v>
      </c>
      <c r="AH7551">
        <v>0</v>
      </c>
      <c r="AI7551">
        <v>12.39</v>
      </c>
      <c r="AJ7551">
        <v>68.849999999999994</v>
      </c>
      <c r="AK7551">
        <v>0</v>
      </c>
      <c r="AL7551" t="s">
        <v>53</v>
      </c>
      <c r="AM7551" t="s">
        <v>53</v>
      </c>
      <c r="AN7551" t="s">
        <v>53</v>
      </c>
      <c r="AO7551" t="s">
        <v>53</v>
      </c>
      <c r="AP7551" t="s">
        <v>53</v>
      </c>
    </row>
    <row r="7552" spans="2:42" x14ac:dyDescent="0.2">
      <c r="B7552" t="s">
        <v>44</v>
      </c>
      <c r="C7552" t="str">
        <f>HYPERLINK("https://us2.cloudbeds.com/connect/8493803454333002#/reservations/188150694695134?display=41PPFBH7PR&amp;reservation_id=188150694695134", "41PPFBH7PR")</f>
        <v>41PPFBH7PR</v>
      </c>
      <c r="D7552" t="s">
        <v>45</v>
      </c>
      <c r="E7552" t="s">
        <v>223</v>
      </c>
      <c r="F7552" t="s">
        <v>47</v>
      </c>
      <c r="G7552" t="s">
        <v>48</v>
      </c>
      <c r="H7552" t="s">
        <v>3957</v>
      </c>
      <c r="I7552" t="s">
        <v>3975</v>
      </c>
      <c r="J7552" t="s">
        <v>10586</v>
      </c>
      <c r="K7552" t="s">
        <v>13480</v>
      </c>
      <c r="L7552" t="s">
        <v>53</v>
      </c>
      <c r="P7552" t="s">
        <v>55</v>
      </c>
      <c r="R7552" t="s">
        <v>56</v>
      </c>
      <c r="T7552" t="s">
        <v>13923</v>
      </c>
      <c r="U7552" t="s">
        <v>58</v>
      </c>
      <c r="V7552">
        <v>4</v>
      </c>
      <c r="W7552">
        <v>1</v>
      </c>
      <c r="X7552">
        <v>2</v>
      </c>
      <c r="Y7552">
        <v>0</v>
      </c>
      <c r="Z7552">
        <v>2</v>
      </c>
      <c r="AA7552">
        <v>345.48</v>
      </c>
      <c r="AB7552">
        <v>345.48</v>
      </c>
      <c r="AC7552">
        <v>304</v>
      </c>
      <c r="AD7552">
        <v>0</v>
      </c>
      <c r="AE7552">
        <v>41.48</v>
      </c>
      <c r="AF7552">
        <v>0</v>
      </c>
      <c r="AG7552">
        <v>0</v>
      </c>
      <c r="AH7552">
        <v>0</v>
      </c>
      <c r="AI7552">
        <v>0</v>
      </c>
      <c r="AJ7552">
        <v>345.48</v>
      </c>
      <c r="AK7552">
        <v>0</v>
      </c>
      <c r="AL7552" t="s">
        <v>53</v>
      </c>
      <c r="AM7552" t="s">
        <v>53</v>
      </c>
      <c r="AN7552" t="s">
        <v>13924</v>
      </c>
      <c r="AO7552" t="s">
        <v>53</v>
      </c>
      <c r="AP7552" t="s">
        <v>53</v>
      </c>
    </row>
    <row r="7553" spans="2:42" x14ac:dyDescent="0.2">
      <c r="B7553" t="s">
        <v>44</v>
      </c>
      <c r="C7553" t="str">
        <f>HYPERLINK("https://us2.cloudbeds.com/connect/8493803454333002#/reservations/9080486847587084?display=41Q9YPSGAF&amp;reservation_id=9080486847587084", "41Q9YPSGAF")</f>
        <v>41Q9YPSGAF</v>
      </c>
      <c r="D7553" t="s">
        <v>45</v>
      </c>
      <c r="E7553" t="s">
        <v>155</v>
      </c>
      <c r="F7553" t="s">
        <v>86</v>
      </c>
      <c r="G7553" t="s">
        <v>48</v>
      </c>
      <c r="H7553" t="s">
        <v>49</v>
      </c>
      <c r="I7553" t="s">
        <v>8964</v>
      </c>
      <c r="J7553" t="s">
        <v>13445</v>
      </c>
      <c r="K7553" t="s">
        <v>12681</v>
      </c>
      <c r="L7553" t="s">
        <v>53</v>
      </c>
      <c r="N7553" t="s">
        <v>13925</v>
      </c>
      <c r="P7553" t="s">
        <v>55</v>
      </c>
      <c r="R7553" t="s">
        <v>53</v>
      </c>
      <c r="T7553" t="s">
        <v>13926</v>
      </c>
      <c r="U7553" t="s">
        <v>55</v>
      </c>
      <c r="V7553">
        <v>1</v>
      </c>
      <c r="W7553">
        <v>1</v>
      </c>
      <c r="X7553">
        <v>1</v>
      </c>
      <c r="Y7553">
        <v>0</v>
      </c>
      <c r="Z7553">
        <v>1</v>
      </c>
      <c r="AA7553">
        <v>0</v>
      </c>
      <c r="AB7553">
        <v>0</v>
      </c>
      <c r="AC7553">
        <v>96</v>
      </c>
      <c r="AD7553">
        <v>0</v>
      </c>
      <c r="AE7553">
        <v>0</v>
      </c>
      <c r="AF7553">
        <v>0</v>
      </c>
      <c r="AG7553">
        <v>0</v>
      </c>
      <c r="AH7553">
        <v>0</v>
      </c>
      <c r="AI7553">
        <v>14.4</v>
      </c>
      <c r="AJ7553">
        <v>96</v>
      </c>
      <c r="AK7553">
        <v>96</v>
      </c>
      <c r="AL7553" t="s">
        <v>53</v>
      </c>
      <c r="AM7553" t="s">
        <v>53</v>
      </c>
      <c r="AN7553" t="s">
        <v>53</v>
      </c>
      <c r="AO7553" t="s">
        <v>53</v>
      </c>
      <c r="AP7553" t="s">
        <v>53</v>
      </c>
    </row>
    <row r="7554" spans="2:42" x14ac:dyDescent="0.2">
      <c r="B7554" t="s">
        <v>44</v>
      </c>
      <c r="C7554" t="str">
        <f>HYPERLINK("https://us2.cloudbeds.com/connect/8493803454333002#/reservations/9080486847588438?display=41R4H0AZ0T&amp;reservation_id=9080486847588438", "41R4H0AZ0T")</f>
        <v>41R4H0AZ0T</v>
      </c>
      <c r="D7554" t="s">
        <v>45</v>
      </c>
      <c r="E7554" t="s">
        <v>179</v>
      </c>
      <c r="F7554" t="s">
        <v>47</v>
      </c>
      <c r="G7554" t="s">
        <v>48</v>
      </c>
      <c r="H7554" t="s">
        <v>49</v>
      </c>
      <c r="I7554" t="s">
        <v>50</v>
      </c>
      <c r="J7554" t="s">
        <v>13445</v>
      </c>
      <c r="K7554" t="s">
        <v>12682</v>
      </c>
      <c r="L7554" t="s">
        <v>53</v>
      </c>
      <c r="N7554" t="s">
        <v>13927</v>
      </c>
      <c r="P7554" t="s">
        <v>55</v>
      </c>
      <c r="R7554" t="s">
        <v>53</v>
      </c>
      <c r="T7554" t="s">
        <v>13928</v>
      </c>
      <c r="U7554" t="s">
        <v>58</v>
      </c>
      <c r="V7554">
        <v>2</v>
      </c>
      <c r="W7554">
        <v>1</v>
      </c>
      <c r="X7554">
        <v>1</v>
      </c>
      <c r="Y7554">
        <v>0</v>
      </c>
      <c r="Z7554">
        <v>1</v>
      </c>
      <c r="AA7554">
        <v>155.46</v>
      </c>
      <c r="AB7554">
        <v>155.46</v>
      </c>
      <c r="AC7554">
        <v>136.80000000000001</v>
      </c>
      <c r="AD7554">
        <v>0</v>
      </c>
      <c r="AE7554">
        <v>18.66</v>
      </c>
      <c r="AF7554">
        <v>0</v>
      </c>
      <c r="AG7554">
        <v>0</v>
      </c>
      <c r="AH7554">
        <v>0</v>
      </c>
      <c r="AI7554">
        <v>27.98</v>
      </c>
      <c r="AJ7554">
        <v>155.46</v>
      </c>
      <c r="AK7554">
        <v>0</v>
      </c>
      <c r="AL7554" t="s">
        <v>53</v>
      </c>
      <c r="AM7554" t="s">
        <v>53</v>
      </c>
      <c r="AN7554" t="s">
        <v>53</v>
      </c>
      <c r="AO7554" t="s">
        <v>53</v>
      </c>
      <c r="AP7554" t="s">
        <v>53</v>
      </c>
    </row>
    <row r="7555" spans="2:42" x14ac:dyDescent="0.2">
      <c r="B7555" t="s">
        <v>44</v>
      </c>
      <c r="C7555" t="str">
        <f>HYPERLINK("https://us2.cloudbeds.com/connect/8493803454333002#/reservations/9080486847588836?display=41RD0ZNKUJ&amp;reservation_id=9080486847588836", "41RD0ZNKUJ")</f>
        <v>41RD0ZNKUJ</v>
      </c>
      <c r="D7555" t="s">
        <v>45</v>
      </c>
      <c r="E7555" t="s">
        <v>98</v>
      </c>
      <c r="F7555" t="s">
        <v>86</v>
      </c>
      <c r="G7555" t="s">
        <v>48</v>
      </c>
      <c r="H7555" t="s">
        <v>49</v>
      </c>
      <c r="I7555" t="s">
        <v>62</v>
      </c>
      <c r="J7555" t="s">
        <v>13047</v>
      </c>
      <c r="K7555" t="s">
        <v>10586</v>
      </c>
      <c r="L7555" t="s">
        <v>53</v>
      </c>
      <c r="N7555" t="s">
        <v>13929</v>
      </c>
      <c r="P7555" t="s">
        <v>55</v>
      </c>
      <c r="R7555" t="s">
        <v>56</v>
      </c>
      <c r="T7555" t="s">
        <v>13930</v>
      </c>
      <c r="U7555" t="s">
        <v>55</v>
      </c>
      <c r="V7555">
        <v>2</v>
      </c>
      <c r="W7555">
        <v>1</v>
      </c>
      <c r="X7555">
        <v>2</v>
      </c>
      <c r="Y7555">
        <v>0</v>
      </c>
      <c r="Z7555">
        <v>2</v>
      </c>
      <c r="AA7555">
        <v>173.4</v>
      </c>
      <c r="AB7555">
        <v>173.4</v>
      </c>
      <c r="AC7555">
        <v>173.4</v>
      </c>
      <c r="AD7555">
        <v>0</v>
      </c>
      <c r="AE7555">
        <v>0</v>
      </c>
      <c r="AF7555">
        <v>0</v>
      </c>
      <c r="AG7555">
        <v>0</v>
      </c>
      <c r="AH7555">
        <v>0</v>
      </c>
      <c r="AI7555">
        <v>31.21</v>
      </c>
      <c r="AJ7555">
        <v>173.4</v>
      </c>
      <c r="AK7555">
        <v>0</v>
      </c>
      <c r="AL7555" t="s">
        <v>53</v>
      </c>
      <c r="AM7555" t="s">
        <v>53</v>
      </c>
      <c r="AN7555" t="s">
        <v>13931</v>
      </c>
      <c r="AO7555" t="s">
        <v>53</v>
      </c>
      <c r="AP7555" t="s">
        <v>53</v>
      </c>
    </row>
    <row r="7556" spans="2:42" x14ac:dyDescent="0.2">
      <c r="B7556" t="s">
        <v>44</v>
      </c>
      <c r="C7556" t="str">
        <f>HYPERLINK("https://us2.cloudbeds.com/connect/8493803454333002#/reservations/9080486847588844?display=41RD58Q03T&amp;reservation_id=9080486847588844", "41RD58Q03T")</f>
        <v>41RD58Q03T</v>
      </c>
      <c r="D7556" t="s">
        <v>45</v>
      </c>
      <c r="E7556" t="s">
        <v>128</v>
      </c>
      <c r="F7556" t="s">
        <v>86</v>
      </c>
      <c r="G7556" t="s">
        <v>48</v>
      </c>
      <c r="H7556" t="s">
        <v>49</v>
      </c>
      <c r="I7556" t="s">
        <v>8964</v>
      </c>
      <c r="J7556" t="s">
        <v>12424</v>
      </c>
      <c r="K7556" t="s">
        <v>12323</v>
      </c>
      <c r="L7556" t="s">
        <v>53</v>
      </c>
      <c r="N7556" t="s">
        <v>13932</v>
      </c>
      <c r="P7556" t="s">
        <v>55</v>
      </c>
      <c r="R7556" t="s">
        <v>53</v>
      </c>
      <c r="T7556" t="s">
        <v>13933</v>
      </c>
      <c r="U7556" t="s">
        <v>55</v>
      </c>
      <c r="V7556">
        <v>1</v>
      </c>
      <c r="W7556">
        <v>1</v>
      </c>
      <c r="X7556">
        <v>2</v>
      </c>
      <c r="Y7556">
        <v>2</v>
      </c>
      <c r="Z7556">
        <v>4</v>
      </c>
      <c r="AA7556">
        <v>0</v>
      </c>
      <c r="AB7556">
        <v>0</v>
      </c>
      <c r="AC7556">
        <v>113</v>
      </c>
      <c r="AD7556">
        <v>0</v>
      </c>
      <c r="AE7556">
        <v>0</v>
      </c>
      <c r="AF7556">
        <v>0</v>
      </c>
      <c r="AG7556">
        <v>0</v>
      </c>
      <c r="AH7556">
        <v>0</v>
      </c>
      <c r="AI7556">
        <v>16.95</v>
      </c>
      <c r="AJ7556">
        <v>113</v>
      </c>
      <c r="AK7556">
        <v>113</v>
      </c>
      <c r="AL7556" t="s">
        <v>53</v>
      </c>
      <c r="AM7556" t="s">
        <v>53</v>
      </c>
      <c r="AN7556" t="s">
        <v>13934</v>
      </c>
      <c r="AO7556" t="s">
        <v>53</v>
      </c>
      <c r="AP7556" t="s">
        <v>53</v>
      </c>
    </row>
    <row r="7557" spans="2:42" x14ac:dyDescent="0.2">
      <c r="B7557" t="s">
        <v>44</v>
      </c>
      <c r="C7557" t="str">
        <f>HYPERLINK("https://us2.cloudbeds.com/connect/8493803454333002#/reservations/9080486847590009?display=41S4N97GFG&amp;reservation_id=9080486847590009", "41S4N97GFG")</f>
        <v>41S4N97GFG</v>
      </c>
      <c r="D7557" t="s">
        <v>45</v>
      </c>
      <c r="E7557" t="s">
        <v>487</v>
      </c>
      <c r="F7557" t="s">
        <v>61</v>
      </c>
      <c r="G7557" t="s">
        <v>48</v>
      </c>
      <c r="H7557" t="s">
        <v>49</v>
      </c>
      <c r="I7557" t="s">
        <v>50</v>
      </c>
      <c r="J7557" t="s">
        <v>13046</v>
      </c>
      <c r="K7557" t="s">
        <v>13468</v>
      </c>
      <c r="L7557" t="s">
        <v>53</v>
      </c>
      <c r="N7557" t="s">
        <v>13935</v>
      </c>
      <c r="P7557" t="s">
        <v>55</v>
      </c>
      <c r="R7557" t="s">
        <v>53</v>
      </c>
      <c r="T7557" t="s">
        <v>13936</v>
      </c>
      <c r="U7557" t="s">
        <v>58</v>
      </c>
      <c r="V7557">
        <v>2</v>
      </c>
      <c r="W7557">
        <v>1</v>
      </c>
      <c r="X7557">
        <v>2</v>
      </c>
      <c r="Y7557">
        <v>0</v>
      </c>
      <c r="Z7557">
        <v>2</v>
      </c>
      <c r="AA7557">
        <v>183.56</v>
      </c>
      <c r="AB7557">
        <v>183.56</v>
      </c>
      <c r="AC7557">
        <v>161.5</v>
      </c>
      <c r="AD7557">
        <v>0</v>
      </c>
      <c r="AE7557">
        <v>22.06</v>
      </c>
      <c r="AF7557">
        <v>0</v>
      </c>
      <c r="AG7557">
        <v>0</v>
      </c>
      <c r="AH7557">
        <v>0</v>
      </c>
      <c r="AI7557">
        <v>33.04</v>
      </c>
      <c r="AJ7557">
        <v>183.56</v>
      </c>
      <c r="AK7557">
        <v>0</v>
      </c>
      <c r="AL7557" t="s">
        <v>53</v>
      </c>
      <c r="AM7557" t="s">
        <v>53</v>
      </c>
      <c r="AN7557" t="s">
        <v>13937</v>
      </c>
      <c r="AO7557" t="s">
        <v>53</v>
      </c>
      <c r="AP7557" t="s">
        <v>53</v>
      </c>
    </row>
    <row r="7558" spans="2:42" x14ac:dyDescent="0.2">
      <c r="B7558" t="s">
        <v>44</v>
      </c>
      <c r="C7558" t="str">
        <f>HYPERLINK("https://us2.cloudbeds.com/connect/8493803454333002#/reservations/9080486847590655?display=41SJVZ2B9B&amp;reservation_id=9080486847590655", "41SJVZ2B9B")</f>
        <v>41SJVZ2B9B</v>
      </c>
      <c r="D7558" t="s">
        <v>45</v>
      </c>
      <c r="E7558" t="s">
        <v>11723</v>
      </c>
      <c r="F7558" t="s">
        <v>86</v>
      </c>
      <c r="G7558" t="s">
        <v>48</v>
      </c>
      <c r="H7558" t="s">
        <v>49</v>
      </c>
      <c r="I7558" t="s">
        <v>62</v>
      </c>
      <c r="J7558" t="s">
        <v>13445</v>
      </c>
      <c r="K7558" t="s">
        <v>12682</v>
      </c>
      <c r="L7558" t="s">
        <v>53</v>
      </c>
      <c r="N7558" t="s">
        <v>13938</v>
      </c>
      <c r="P7558" t="s">
        <v>55</v>
      </c>
      <c r="R7558" t="s">
        <v>56</v>
      </c>
      <c r="T7558" t="s">
        <v>13939</v>
      </c>
      <c r="U7558" t="s">
        <v>55</v>
      </c>
      <c r="V7558">
        <v>4</v>
      </c>
      <c r="W7558">
        <v>2</v>
      </c>
      <c r="X7558">
        <v>4</v>
      </c>
      <c r="Y7558">
        <v>0</v>
      </c>
      <c r="Z7558">
        <v>4</v>
      </c>
      <c r="AA7558">
        <v>319.60000000000002</v>
      </c>
      <c r="AB7558">
        <v>319.60000000000002</v>
      </c>
      <c r="AC7558">
        <v>319.60000000000002</v>
      </c>
      <c r="AD7558">
        <v>0</v>
      </c>
      <c r="AE7558">
        <v>0</v>
      </c>
      <c r="AF7558">
        <v>0</v>
      </c>
      <c r="AG7558">
        <v>0</v>
      </c>
      <c r="AH7558">
        <v>0</v>
      </c>
      <c r="AI7558">
        <v>57.53</v>
      </c>
      <c r="AJ7558">
        <v>319.60000000000002</v>
      </c>
      <c r="AK7558">
        <v>0</v>
      </c>
      <c r="AL7558" t="s">
        <v>53</v>
      </c>
      <c r="AM7558" t="s">
        <v>53</v>
      </c>
      <c r="AN7558" t="s">
        <v>53</v>
      </c>
      <c r="AO7558" t="s">
        <v>53</v>
      </c>
      <c r="AP7558" t="s">
        <v>53</v>
      </c>
    </row>
    <row r="7559" spans="2:42" x14ac:dyDescent="0.2">
      <c r="B7559" t="s">
        <v>44</v>
      </c>
      <c r="C7559" t="str">
        <f>HYPERLINK("https://us2.cloudbeds.com/connect/8493803454333002#/reservations/9080486847591916?display=41TPE8HQ79&amp;reservation_id=9080486847591916", "41TPE8HQ79")</f>
        <v>41TPE8HQ79</v>
      </c>
      <c r="D7559" t="s">
        <v>45</v>
      </c>
      <c r="E7559" t="s">
        <v>110</v>
      </c>
      <c r="F7559" t="s">
        <v>47</v>
      </c>
      <c r="G7559" t="s">
        <v>48</v>
      </c>
      <c r="H7559" t="s">
        <v>49</v>
      </c>
      <c r="I7559" t="s">
        <v>50</v>
      </c>
      <c r="J7559" t="s">
        <v>13940</v>
      </c>
      <c r="K7559" t="s">
        <v>13941</v>
      </c>
      <c r="L7559" t="s">
        <v>53</v>
      </c>
      <c r="N7559" t="s">
        <v>13942</v>
      </c>
      <c r="P7559" t="s">
        <v>55</v>
      </c>
      <c r="R7559" t="s">
        <v>53</v>
      </c>
      <c r="T7559" t="s">
        <v>13943</v>
      </c>
      <c r="U7559" t="s">
        <v>58</v>
      </c>
      <c r="V7559">
        <v>2</v>
      </c>
      <c r="W7559">
        <v>1</v>
      </c>
      <c r="X7559">
        <v>2</v>
      </c>
      <c r="Y7559">
        <v>0</v>
      </c>
      <c r="Z7559">
        <v>2</v>
      </c>
      <c r="AA7559">
        <v>165.18</v>
      </c>
      <c r="AB7559">
        <v>165.18</v>
      </c>
      <c r="AC7559">
        <v>145.34</v>
      </c>
      <c r="AD7559">
        <v>0</v>
      </c>
      <c r="AE7559">
        <v>19.84</v>
      </c>
      <c r="AF7559">
        <v>0</v>
      </c>
      <c r="AG7559">
        <v>0</v>
      </c>
      <c r="AH7559">
        <v>0</v>
      </c>
      <c r="AI7559">
        <v>29.73</v>
      </c>
      <c r="AJ7559">
        <v>165.18</v>
      </c>
      <c r="AK7559">
        <v>0</v>
      </c>
      <c r="AL7559" t="s">
        <v>53</v>
      </c>
      <c r="AM7559" t="s">
        <v>53</v>
      </c>
      <c r="AN7559" t="s">
        <v>13944</v>
      </c>
      <c r="AO7559" t="s">
        <v>53</v>
      </c>
      <c r="AP7559" t="s">
        <v>53</v>
      </c>
    </row>
    <row r="7560" spans="2:42" x14ac:dyDescent="0.2">
      <c r="B7560" t="s">
        <v>44</v>
      </c>
      <c r="C7560" t="str">
        <f>HYPERLINK("https://us2.cloudbeds.com/connect/8493803454333002#/reservations/9080486847593044?display=41UYVXVSD4&amp;reservation_id=9080486847593044", "41UYVXVSD4")</f>
        <v>41UYVXVSD4</v>
      </c>
      <c r="D7560" t="s">
        <v>45</v>
      </c>
      <c r="E7560" t="s">
        <v>213</v>
      </c>
      <c r="F7560" t="s">
        <v>86</v>
      </c>
      <c r="G7560" t="s">
        <v>48</v>
      </c>
      <c r="H7560" t="s">
        <v>49</v>
      </c>
      <c r="I7560" t="s">
        <v>8964</v>
      </c>
      <c r="J7560" t="s">
        <v>10861</v>
      </c>
      <c r="K7560" t="s">
        <v>13024</v>
      </c>
      <c r="L7560" t="s">
        <v>53</v>
      </c>
      <c r="N7560" t="s">
        <v>13945</v>
      </c>
      <c r="P7560" t="s">
        <v>55</v>
      </c>
      <c r="R7560" t="s">
        <v>53</v>
      </c>
      <c r="T7560" t="s">
        <v>13946</v>
      </c>
      <c r="U7560" t="s">
        <v>55</v>
      </c>
      <c r="V7560">
        <v>3</v>
      </c>
      <c r="W7560">
        <v>1</v>
      </c>
      <c r="X7560">
        <v>2</v>
      </c>
      <c r="Y7560">
        <v>0</v>
      </c>
      <c r="Z7560">
        <v>2</v>
      </c>
      <c r="AA7560">
        <v>0</v>
      </c>
      <c r="AB7560">
        <v>0</v>
      </c>
      <c r="AC7560">
        <v>344</v>
      </c>
      <c r="AD7560">
        <v>0</v>
      </c>
      <c r="AE7560">
        <v>0</v>
      </c>
      <c r="AF7560">
        <v>0</v>
      </c>
      <c r="AG7560">
        <v>0</v>
      </c>
      <c r="AH7560">
        <v>0</v>
      </c>
      <c r="AI7560">
        <v>51.6</v>
      </c>
      <c r="AJ7560">
        <v>344</v>
      </c>
      <c r="AK7560">
        <v>344</v>
      </c>
      <c r="AL7560" t="s">
        <v>53</v>
      </c>
      <c r="AM7560" t="s">
        <v>53</v>
      </c>
      <c r="AN7560" t="s">
        <v>13947</v>
      </c>
      <c r="AO7560" t="s">
        <v>53</v>
      </c>
      <c r="AP7560" t="s">
        <v>53</v>
      </c>
    </row>
    <row r="7561" spans="2:42" x14ac:dyDescent="0.2">
      <c r="B7561" t="s">
        <v>44</v>
      </c>
      <c r="C7561" t="str">
        <f>HYPERLINK("https://us2.cloudbeds.com/connect/8493803454333002#/reservations/9080486847593944?display=41VMJ7WB8J&amp;reservation_id=9080486847593944", "41VMJ7WB8J")</f>
        <v>41VMJ7WB8J</v>
      </c>
      <c r="D7561" t="s">
        <v>45</v>
      </c>
      <c r="E7561" t="s">
        <v>138</v>
      </c>
      <c r="F7561" t="s">
        <v>70</v>
      </c>
      <c r="G7561" t="s">
        <v>48</v>
      </c>
      <c r="H7561" t="s">
        <v>49</v>
      </c>
      <c r="I7561" t="s">
        <v>8964</v>
      </c>
      <c r="J7561" t="s">
        <v>12682</v>
      </c>
      <c r="K7561" t="s">
        <v>13046</v>
      </c>
      <c r="L7561" t="s">
        <v>53</v>
      </c>
      <c r="N7561" t="s">
        <v>13948</v>
      </c>
      <c r="P7561" t="s">
        <v>55</v>
      </c>
      <c r="R7561" t="s">
        <v>53</v>
      </c>
      <c r="T7561" t="s">
        <v>13949</v>
      </c>
      <c r="U7561" t="s">
        <v>55</v>
      </c>
      <c r="V7561">
        <v>1</v>
      </c>
      <c r="W7561">
        <v>1</v>
      </c>
      <c r="X7561">
        <v>2</v>
      </c>
      <c r="Y7561">
        <v>0</v>
      </c>
      <c r="Z7561">
        <v>2</v>
      </c>
      <c r="AA7561">
        <v>0</v>
      </c>
      <c r="AB7561">
        <v>0</v>
      </c>
      <c r="AC7561">
        <v>69</v>
      </c>
      <c r="AD7561">
        <v>0</v>
      </c>
      <c r="AE7561">
        <v>0</v>
      </c>
      <c r="AF7561">
        <v>0</v>
      </c>
      <c r="AG7561">
        <v>0</v>
      </c>
      <c r="AH7561">
        <v>0</v>
      </c>
      <c r="AI7561">
        <v>10.35</v>
      </c>
      <c r="AJ7561">
        <v>69</v>
      </c>
      <c r="AK7561">
        <v>69</v>
      </c>
      <c r="AL7561" t="s">
        <v>53</v>
      </c>
      <c r="AM7561" t="s">
        <v>53</v>
      </c>
      <c r="AN7561" t="s">
        <v>53</v>
      </c>
      <c r="AO7561" t="s">
        <v>53</v>
      </c>
      <c r="AP7561" t="s">
        <v>53</v>
      </c>
    </row>
    <row r="7562" spans="2:42" x14ac:dyDescent="0.2">
      <c r="B7562" t="s">
        <v>44</v>
      </c>
      <c r="C7562" t="str">
        <f>HYPERLINK("https://us2.cloudbeds.com/connect/8493803454333002#/reservations/9080486847594292?display=41W3P1KBJA&amp;reservation_id=9080486847594292", "41W3P1KBJA")</f>
        <v>41W3P1KBJA</v>
      </c>
      <c r="D7562" t="s">
        <v>45</v>
      </c>
      <c r="E7562" t="s">
        <v>487</v>
      </c>
      <c r="F7562" t="s">
        <v>61</v>
      </c>
      <c r="G7562" t="s">
        <v>48</v>
      </c>
      <c r="H7562" t="s">
        <v>49</v>
      </c>
      <c r="I7562" t="s">
        <v>8964</v>
      </c>
      <c r="J7562" t="s">
        <v>13010</v>
      </c>
      <c r="K7562" t="s">
        <v>13024</v>
      </c>
      <c r="L7562" t="s">
        <v>53</v>
      </c>
      <c r="N7562" t="s">
        <v>13950</v>
      </c>
      <c r="P7562" t="s">
        <v>55</v>
      </c>
      <c r="R7562" t="s">
        <v>53</v>
      </c>
      <c r="T7562" t="s">
        <v>13951</v>
      </c>
      <c r="U7562" t="s">
        <v>55</v>
      </c>
      <c r="V7562">
        <v>2</v>
      </c>
      <c r="W7562">
        <v>1</v>
      </c>
      <c r="X7562">
        <v>2</v>
      </c>
      <c r="Y7562">
        <v>0</v>
      </c>
      <c r="Z7562">
        <v>2</v>
      </c>
      <c r="AA7562">
        <v>197</v>
      </c>
      <c r="AB7562">
        <v>3.79</v>
      </c>
      <c r="AC7562">
        <v>197</v>
      </c>
      <c r="AD7562">
        <v>3.5</v>
      </c>
      <c r="AE7562">
        <v>0.28999999999999998</v>
      </c>
      <c r="AF7562">
        <v>0</v>
      </c>
      <c r="AG7562">
        <v>0</v>
      </c>
      <c r="AH7562">
        <v>0</v>
      </c>
      <c r="AI7562">
        <v>30.12</v>
      </c>
      <c r="AJ7562">
        <v>200.79</v>
      </c>
      <c r="AK7562">
        <v>197</v>
      </c>
      <c r="AL7562" t="s">
        <v>53</v>
      </c>
      <c r="AM7562" t="s">
        <v>53</v>
      </c>
      <c r="AN7562" t="s">
        <v>13952</v>
      </c>
      <c r="AO7562" t="s">
        <v>53</v>
      </c>
      <c r="AP7562" t="s">
        <v>53</v>
      </c>
    </row>
    <row r="7563" spans="2:42" x14ac:dyDescent="0.2">
      <c r="B7563" t="s">
        <v>44</v>
      </c>
      <c r="C7563" t="str">
        <f>HYPERLINK("https://us2.cloudbeds.com/connect/8493803454333002#/reservations/9080486847597728?display=421VMG6SYP&amp;reservation_id=9080486847597728", "421VMG6SYP")</f>
        <v>421VMG6SYP</v>
      </c>
      <c r="D7563" t="s">
        <v>45</v>
      </c>
      <c r="E7563" t="s">
        <v>155</v>
      </c>
      <c r="F7563" t="s">
        <v>86</v>
      </c>
      <c r="G7563" t="s">
        <v>48</v>
      </c>
      <c r="H7563" t="s">
        <v>49</v>
      </c>
      <c r="I7563" t="s">
        <v>62</v>
      </c>
      <c r="J7563" t="s">
        <v>12681</v>
      </c>
      <c r="K7563" t="s">
        <v>13468</v>
      </c>
      <c r="L7563" t="s">
        <v>53</v>
      </c>
      <c r="N7563" t="s">
        <v>13953</v>
      </c>
      <c r="P7563" t="s">
        <v>55</v>
      </c>
      <c r="R7563" t="s">
        <v>56</v>
      </c>
      <c r="T7563" t="s">
        <v>13954</v>
      </c>
      <c r="U7563" t="s">
        <v>55</v>
      </c>
      <c r="V7563">
        <v>4</v>
      </c>
      <c r="W7563">
        <v>1</v>
      </c>
      <c r="X7563">
        <v>2</v>
      </c>
      <c r="Y7563">
        <v>0</v>
      </c>
      <c r="Z7563">
        <v>2</v>
      </c>
      <c r="AA7563">
        <v>360.4</v>
      </c>
      <c r="AB7563">
        <v>360.4</v>
      </c>
      <c r="AC7563">
        <v>360.4</v>
      </c>
      <c r="AD7563">
        <v>0</v>
      </c>
      <c r="AE7563">
        <v>0</v>
      </c>
      <c r="AF7563">
        <v>0</v>
      </c>
      <c r="AG7563">
        <v>0</v>
      </c>
      <c r="AH7563">
        <v>0</v>
      </c>
      <c r="AI7563">
        <v>64.87</v>
      </c>
      <c r="AJ7563">
        <v>360.4</v>
      </c>
      <c r="AK7563">
        <v>0</v>
      </c>
      <c r="AL7563" t="s">
        <v>53</v>
      </c>
      <c r="AM7563" t="s">
        <v>53</v>
      </c>
      <c r="AN7563" t="s">
        <v>13955</v>
      </c>
      <c r="AO7563" t="s">
        <v>53</v>
      </c>
      <c r="AP7563" t="s">
        <v>53</v>
      </c>
    </row>
    <row r="7564" spans="2:42" x14ac:dyDescent="0.2">
      <c r="B7564" t="s">
        <v>44</v>
      </c>
      <c r="C7564" t="str">
        <f>HYPERLINK("https://us2.cloudbeds.com/connect/8493803454333002#/reservations/9080486847597802?display=4220052YU4&amp;reservation_id=9080486847597802", "4220052YU4")</f>
        <v>4220052YU4</v>
      </c>
      <c r="D7564" t="s">
        <v>45</v>
      </c>
      <c r="E7564" t="s">
        <v>185</v>
      </c>
      <c r="F7564" t="s">
        <v>47</v>
      </c>
      <c r="G7564" t="s">
        <v>48</v>
      </c>
      <c r="H7564" t="s">
        <v>49</v>
      </c>
      <c r="I7564" t="s">
        <v>62</v>
      </c>
      <c r="J7564" t="s">
        <v>13735</v>
      </c>
      <c r="K7564" t="s">
        <v>9969</v>
      </c>
      <c r="L7564" t="s">
        <v>53</v>
      </c>
      <c r="N7564" t="s">
        <v>13956</v>
      </c>
      <c r="P7564" t="s">
        <v>55</v>
      </c>
      <c r="R7564" t="s">
        <v>56</v>
      </c>
      <c r="T7564" t="s">
        <v>13957</v>
      </c>
      <c r="U7564" t="s">
        <v>55</v>
      </c>
      <c r="V7564">
        <v>3</v>
      </c>
      <c r="W7564">
        <v>1</v>
      </c>
      <c r="X7564">
        <v>2</v>
      </c>
      <c r="Y7564">
        <v>0</v>
      </c>
      <c r="Z7564">
        <v>2</v>
      </c>
      <c r="AA7564">
        <v>198.65</v>
      </c>
      <c r="AB7564">
        <v>198.65</v>
      </c>
      <c r="AC7564">
        <v>198.65</v>
      </c>
      <c r="AD7564">
        <v>0</v>
      </c>
      <c r="AE7564">
        <v>0</v>
      </c>
      <c r="AF7564">
        <v>0</v>
      </c>
      <c r="AG7564">
        <v>0</v>
      </c>
      <c r="AH7564">
        <v>0</v>
      </c>
      <c r="AI7564">
        <v>35.76</v>
      </c>
      <c r="AJ7564">
        <v>198.65</v>
      </c>
      <c r="AK7564">
        <v>0</v>
      </c>
      <c r="AL7564" t="s">
        <v>53</v>
      </c>
      <c r="AM7564" t="s">
        <v>53</v>
      </c>
      <c r="AN7564" t="s">
        <v>13958</v>
      </c>
      <c r="AO7564" t="s">
        <v>53</v>
      </c>
      <c r="AP7564" t="s">
        <v>53</v>
      </c>
    </row>
    <row r="7565" spans="2:42" x14ac:dyDescent="0.2">
      <c r="B7565" t="s">
        <v>44</v>
      </c>
      <c r="C7565" t="str">
        <f>HYPERLINK("https://us2.cloudbeds.com/connect/8493803454333002#/reservations/9080486847598267?display=422CGTYBTW&amp;reservation_id=9080486847598267", "422CGTYBTW")</f>
        <v>422CGTYBTW</v>
      </c>
      <c r="D7565" t="s">
        <v>45</v>
      </c>
      <c r="E7565" t="s">
        <v>85</v>
      </c>
      <c r="F7565" t="s">
        <v>86</v>
      </c>
      <c r="G7565" t="s">
        <v>48</v>
      </c>
      <c r="H7565" t="s">
        <v>49</v>
      </c>
      <c r="I7565" t="s">
        <v>8964</v>
      </c>
      <c r="J7565" t="s">
        <v>13959</v>
      </c>
      <c r="K7565" t="s">
        <v>13960</v>
      </c>
      <c r="L7565" t="s">
        <v>53</v>
      </c>
      <c r="N7565" t="s">
        <v>13961</v>
      </c>
      <c r="P7565" t="s">
        <v>55</v>
      </c>
      <c r="R7565" t="s">
        <v>53</v>
      </c>
      <c r="T7565" t="s">
        <v>13962</v>
      </c>
      <c r="U7565" t="s">
        <v>55</v>
      </c>
      <c r="V7565">
        <v>1</v>
      </c>
      <c r="W7565">
        <v>1</v>
      </c>
      <c r="X7565">
        <v>2</v>
      </c>
      <c r="Y7565">
        <v>2</v>
      </c>
      <c r="Z7565">
        <v>4</v>
      </c>
      <c r="AA7565">
        <v>0</v>
      </c>
      <c r="AB7565">
        <v>0</v>
      </c>
      <c r="AC7565">
        <v>113</v>
      </c>
      <c r="AD7565">
        <v>0</v>
      </c>
      <c r="AE7565">
        <v>0</v>
      </c>
      <c r="AF7565">
        <v>0</v>
      </c>
      <c r="AG7565">
        <v>0</v>
      </c>
      <c r="AH7565">
        <v>0</v>
      </c>
      <c r="AI7565">
        <v>16.95</v>
      </c>
      <c r="AJ7565">
        <v>113</v>
      </c>
      <c r="AK7565">
        <v>113</v>
      </c>
      <c r="AL7565" t="s">
        <v>53</v>
      </c>
      <c r="AM7565" t="s">
        <v>53</v>
      </c>
      <c r="AN7565" t="s">
        <v>13963</v>
      </c>
      <c r="AO7565" t="s">
        <v>53</v>
      </c>
      <c r="AP7565" t="s">
        <v>53</v>
      </c>
    </row>
    <row r="7566" spans="2:42" x14ac:dyDescent="0.2">
      <c r="B7566" t="s">
        <v>44</v>
      </c>
      <c r="C7566" t="str">
        <f>HYPERLINK("https://us2.cloudbeds.com/connect/8493803454333002#/reservations/188571263086831?display=422Y3RUN0U&amp;reservation_id=188571263086831", "422Y3RUN0U")</f>
        <v>422Y3RUN0U</v>
      </c>
      <c r="D7566" t="s">
        <v>45</v>
      </c>
      <c r="E7566" t="s">
        <v>10615</v>
      </c>
      <c r="F7566" t="s">
        <v>5257</v>
      </c>
      <c r="G7566" t="s">
        <v>3974</v>
      </c>
      <c r="H7566" t="s">
        <v>3957</v>
      </c>
      <c r="I7566" t="s">
        <v>3975</v>
      </c>
      <c r="J7566" t="s">
        <v>13964</v>
      </c>
      <c r="K7566" t="s">
        <v>13001</v>
      </c>
      <c r="L7566" t="s">
        <v>53</v>
      </c>
      <c r="P7566" t="s">
        <v>55</v>
      </c>
      <c r="R7566" t="s">
        <v>56</v>
      </c>
      <c r="T7566" t="s">
        <v>13965</v>
      </c>
      <c r="U7566" t="s">
        <v>58</v>
      </c>
      <c r="V7566">
        <v>2</v>
      </c>
      <c r="W7566">
        <v>2</v>
      </c>
      <c r="X7566">
        <v>4</v>
      </c>
      <c r="Y7566">
        <v>0</v>
      </c>
      <c r="Z7566">
        <v>4</v>
      </c>
      <c r="AA7566">
        <v>295.82</v>
      </c>
      <c r="AB7566">
        <v>298.43</v>
      </c>
      <c r="AC7566">
        <v>260.3</v>
      </c>
      <c r="AD7566">
        <v>0</v>
      </c>
      <c r="AE7566">
        <v>38.130000000000003</v>
      </c>
      <c r="AF7566">
        <v>0</v>
      </c>
      <c r="AG7566">
        <v>0</v>
      </c>
      <c r="AH7566">
        <v>0</v>
      </c>
      <c r="AI7566">
        <v>0</v>
      </c>
      <c r="AJ7566">
        <v>298.43</v>
      </c>
      <c r="AK7566">
        <v>0</v>
      </c>
      <c r="AL7566" t="s">
        <v>53</v>
      </c>
      <c r="AM7566" t="s">
        <v>53</v>
      </c>
      <c r="AN7566" t="s">
        <v>53</v>
      </c>
      <c r="AO7566" t="s">
        <v>53</v>
      </c>
      <c r="AP7566" t="s">
        <v>53</v>
      </c>
    </row>
    <row r="7567" spans="2:42" x14ac:dyDescent="0.2">
      <c r="B7567" t="s">
        <v>44</v>
      </c>
      <c r="C7567" t="str">
        <f>HYPERLINK("https://us2.cloudbeds.com/connect/8493803454333002#/reservations/188594215948432?display=4235TBCTUX&amp;reservation_id=188594215948432", "4235TBCTUX")</f>
        <v>4235TBCTUX</v>
      </c>
      <c r="D7567" t="s">
        <v>45</v>
      </c>
      <c r="E7567" t="s">
        <v>165</v>
      </c>
      <c r="F7567" t="s">
        <v>61</v>
      </c>
      <c r="G7567" t="s">
        <v>48</v>
      </c>
      <c r="H7567" t="s">
        <v>3957</v>
      </c>
      <c r="I7567" t="s">
        <v>3958</v>
      </c>
      <c r="J7567" t="s">
        <v>13735</v>
      </c>
      <c r="K7567" t="s">
        <v>9969</v>
      </c>
      <c r="L7567" t="s">
        <v>53</v>
      </c>
      <c r="P7567" t="s">
        <v>55</v>
      </c>
      <c r="R7567" t="s">
        <v>56</v>
      </c>
      <c r="T7567" t="s">
        <v>13966</v>
      </c>
      <c r="U7567" t="s">
        <v>58</v>
      </c>
      <c r="V7567">
        <v>3</v>
      </c>
      <c r="W7567">
        <v>1</v>
      </c>
      <c r="X7567">
        <v>1</v>
      </c>
      <c r="Y7567">
        <v>0</v>
      </c>
      <c r="Z7567">
        <v>1</v>
      </c>
      <c r="AA7567">
        <v>308.02</v>
      </c>
      <c r="AB7567">
        <v>0</v>
      </c>
      <c r="AC7567">
        <v>271</v>
      </c>
      <c r="AD7567">
        <v>0</v>
      </c>
      <c r="AE7567">
        <v>37.020000000000003</v>
      </c>
      <c r="AF7567">
        <v>0</v>
      </c>
      <c r="AG7567">
        <v>0</v>
      </c>
      <c r="AH7567">
        <v>0</v>
      </c>
      <c r="AI7567">
        <v>0</v>
      </c>
      <c r="AJ7567">
        <v>308.02</v>
      </c>
      <c r="AK7567">
        <v>308.02</v>
      </c>
      <c r="AL7567" t="s">
        <v>53</v>
      </c>
      <c r="AM7567" t="s">
        <v>53</v>
      </c>
      <c r="AN7567" t="s">
        <v>13967</v>
      </c>
      <c r="AO7567" t="s">
        <v>53</v>
      </c>
      <c r="AP7567" t="s">
        <v>53</v>
      </c>
    </row>
    <row r="7568" spans="2:42" x14ac:dyDescent="0.2">
      <c r="B7568" t="s">
        <v>44</v>
      </c>
      <c r="C7568" t="str">
        <f>HYPERLINK("https://us2.cloudbeds.com/connect/8493803454333002#/reservations/188594962936024?display=4236FE8UV6&amp;reservation_id=188594962936024", "4236FE8UV6")</f>
        <v>4236FE8UV6</v>
      </c>
      <c r="D7568" t="s">
        <v>45</v>
      </c>
      <c r="E7568" t="s">
        <v>113</v>
      </c>
      <c r="F7568" t="s">
        <v>61</v>
      </c>
      <c r="G7568" t="s">
        <v>48</v>
      </c>
      <c r="H7568" t="s">
        <v>3957</v>
      </c>
      <c r="I7568" t="s">
        <v>3958</v>
      </c>
      <c r="J7568" t="s">
        <v>13735</v>
      </c>
      <c r="K7568" t="s">
        <v>9969</v>
      </c>
      <c r="L7568" t="s">
        <v>53</v>
      </c>
      <c r="P7568" t="s">
        <v>55</v>
      </c>
      <c r="R7568" t="s">
        <v>56</v>
      </c>
      <c r="T7568" t="s">
        <v>13968</v>
      </c>
      <c r="U7568" t="s">
        <v>58</v>
      </c>
      <c r="V7568">
        <v>3</v>
      </c>
      <c r="W7568">
        <v>1</v>
      </c>
      <c r="X7568">
        <v>1</v>
      </c>
      <c r="Y7568">
        <v>0</v>
      </c>
      <c r="Z7568">
        <v>1</v>
      </c>
      <c r="AA7568">
        <v>308.02</v>
      </c>
      <c r="AB7568">
        <v>0</v>
      </c>
      <c r="AC7568">
        <v>271</v>
      </c>
      <c r="AD7568">
        <v>0</v>
      </c>
      <c r="AE7568">
        <v>37.020000000000003</v>
      </c>
      <c r="AF7568">
        <v>0</v>
      </c>
      <c r="AG7568">
        <v>0</v>
      </c>
      <c r="AH7568">
        <v>0</v>
      </c>
      <c r="AI7568">
        <v>0</v>
      </c>
      <c r="AJ7568">
        <v>308.02</v>
      </c>
      <c r="AK7568">
        <v>308.02</v>
      </c>
      <c r="AL7568" t="s">
        <v>53</v>
      </c>
      <c r="AM7568" t="s">
        <v>53</v>
      </c>
      <c r="AN7568" t="s">
        <v>13969</v>
      </c>
      <c r="AO7568" t="s">
        <v>53</v>
      </c>
      <c r="AP7568" t="s">
        <v>53</v>
      </c>
    </row>
    <row r="7569" spans="2:42" x14ac:dyDescent="0.2">
      <c r="B7569" t="s">
        <v>44</v>
      </c>
      <c r="C7569" t="str">
        <f>HYPERLINK("https://us2.cloudbeds.com/connect/8493803454333002#/reservations/9080486847599930?display=4239MM32G9&amp;reservation_id=9080486847599930", "4239MM32G9")</f>
        <v>4239MM32G9</v>
      </c>
      <c r="D7569" t="s">
        <v>45</v>
      </c>
      <c r="E7569" t="s">
        <v>113</v>
      </c>
      <c r="F7569" t="s">
        <v>61</v>
      </c>
      <c r="G7569" t="s">
        <v>48</v>
      </c>
      <c r="H7569" t="s">
        <v>49</v>
      </c>
      <c r="I7569" t="s">
        <v>50</v>
      </c>
      <c r="J7569" t="s">
        <v>10681</v>
      </c>
      <c r="K7569" t="s">
        <v>13941</v>
      </c>
      <c r="L7569" t="s">
        <v>53</v>
      </c>
      <c r="N7569" t="s">
        <v>13970</v>
      </c>
      <c r="P7569" t="s">
        <v>55</v>
      </c>
      <c r="R7569" t="s">
        <v>53</v>
      </c>
      <c r="T7569" t="s">
        <v>13971</v>
      </c>
      <c r="U7569" t="s">
        <v>58</v>
      </c>
      <c r="V7569">
        <v>3</v>
      </c>
      <c r="W7569">
        <v>1</v>
      </c>
      <c r="X7569">
        <v>2</v>
      </c>
      <c r="Y7569">
        <v>0</v>
      </c>
      <c r="Z7569">
        <v>2</v>
      </c>
      <c r="AA7569">
        <v>261.51</v>
      </c>
      <c r="AB7569">
        <v>261.51</v>
      </c>
      <c r="AC7569">
        <v>230.13</v>
      </c>
      <c r="AD7569">
        <v>0</v>
      </c>
      <c r="AE7569">
        <v>31.38</v>
      </c>
      <c r="AF7569">
        <v>0</v>
      </c>
      <c r="AG7569">
        <v>0</v>
      </c>
      <c r="AH7569">
        <v>0</v>
      </c>
      <c r="AI7569">
        <v>47.07</v>
      </c>
      <c r="AJ7569">
        <v>261.51</v>
      </c>
      <c r="AK7569">
        <v>0</v>
      </c>
      <c r="AL7569" t="s">
        <v>53</v>
      </c>
      <c r="AM7569" t="s">
        <v>53</v>
      </c>
      <c r="AN7569" t="s">
        <v>13972</v>
      </c>
      <c r="AO7569" t="s">
        <v>53</v>
      </c>
      <c r="AP7569" t="s">
        <v>53</v>
      </c>
    </row>
    <row r="7570" spans="2:42" x14ac:dyDescent="0.2">
      <c r="B7570" t="s">
        <v>44</v>
      </c>
      <c r="C7570" t="str">
        <f>HYPERLINK("https://us2.cloudbeds.com/connect/8493803454333002#/reservations/9080486847599968?display=423A9MWKGJ&amp;reservation_id=9080486847599968", "423A9MWKGJ")</f>
        <v>423A9MWKGJ</v>
      </c>
      <c r="D7570" t="s">
        <v>45</v>
      </c>
      <c r="E7570" t="s">
        <v>128</v>
      </c>
      <c r="F7570" t="s">
        <v>86</v>
      </c>
      <c r="G7570" t="s">
        <v>48</v>
      </c>
      <c r="H7570" t="s">
        <v>49</v>
      </c>
      <c r="I7570" t="s">
        <v>8964</v>
      </c>
      <c r="J7570" t="s">
        <v>12681</v>
      </c>
      <c r="K7570" t="s">
        <v>12682</v>
      </c>
      <c r="L7570" t="s">
        <v>53</v>
      </c>
      <c r="N7570" t="s">
        <v>13973</v>
      </c>
      <c r="P7570" t="s">
        <v>55</v>
      </c>
      <c r="R7570" t="s">
        <v>53</v>
      </c>
      <c r="T7570" t="s">
        <v>13974</v>
      </c>
      <c r="U7570" t="s">
        <v>55</v>
      </c>
      <c r="V7570">
        <v>1</v>
      </c>
      <c r="W7570">
        <v>1</v>
      </c>
      <c r="X7570">
        <v>2</v>
      </c>
      <c r="Y7570">
        <v>0</v>
      </c>
      <c r="Z7570">
        <v>2</v>
      </c>
      <c r="AA7570">
        <v>0</v>
      </c>
      <c r="AB7570">
        <v>0</v>
      </c>
      <c r="AC7570">
        <v>96</v>
      </c>
      <c r="AD7570">
        <v>0</v>
      </c>
      <c r="AE7570">
        <v>0</v>
      </c>
      <c r="AF7570">
        <v>0</v>
      </c>
      <c r="AG7570">
        <v>0</v>
      </c>
      <c r="AH7570">
        <v>0</v>
      </c>
      <c r="AI7570">
        <v>14.4</v>
      </c>
      <c r="AJ7570">
        <v>96</v>
      </c>
      <c r="AK7570">
        <v>96</v>
      </c>
      <c r="AL7570" t="s">
        <v>53</v>
      </c>
      <c r="AM7570" t="s">
        <v>53</v>
      </c>
      <c r="AN7570" t="s">
        <v>53</v>
      </c>
      <c r="AO7570" t="s">
        <v>53</v>
      </c>
      <c r="AP7570" t="s">
        <v>53</v>
      </c>
    </row>
    <row r="7571" spans="2:42" x14ac:dyDescent="0.2">
      <c r="B7571" t="s">
        <v>44</v>
      </c>
      <c r="C7571" t="str">
        <f>HYPERLINK("https://us2.cloudbeds.com/connect/8493803454333002#/reservations/9080486847600435?display=423YENTHV0&amp;reservation_id=9080486847600435", "423YENTHV0")</f>
        <v>423YENTHV0</v>
      </c>
      <c r="D7571" t="s">
        <v>45</v>
      </c>
      <c r="E7571" t="s">
        <v>110</v>
      </c>
      <c r="F7571" t="s">
        <v>47</v>
      </c>
      <c r="G7571" t="s">
        <v>48</v>
      </c>
      <c r="H7571" t="s">
        <v>49</v>
      </c>
      <c r="I7571" t="s">
        <v>62</v>
      </c>
      <c r="J7571" t="s">
        <v>13876</v>
      </c>
      <c r="K7571" t="s">
        <v>10587</v>
      </c>
      <c r="L7571" t="s">
        <v>53</v>
      </c>
      <c r="N7571" t="s">
        <v>13975</v>
      </c>
      <c r="P7571" t="s">
        <v>55</v>
      </c>
      <c r="R7571" t="s">
        <v>56</v>
      </c>
      <c r="T7571" t="s">
        <v>13976</v>
      </c>
      <c r="U7571" t="s">
        <v>55</v>
      </c>
      <c r="V7571">
        <v>1</v>
      </c>
      <c r="W7571">
        <v>1</v>
      </c>
      <c r="X7571">
        <v>2</v>
      </c>
      <c r="Y7571">
        <v>0</v>
      </c>
      <c r="Z7571">
        <v>2</v>
      </c>
      <c r="AA7571">
        <v>53.3</v>
      </c>
      <c r="AB7571">
        <v>53.3</v>
      </c>
      <c r="AC7571">
        <v>53.3</v>
      </c>
      <c r="AD7571">
        <v>0</v>
      </c>
      <c r="AE7571">
        <v>0</v>
      </c>
      <c r="AF7571">
        <v>0</v>
      </c>
      <c r="AG7571">
        <v>0</v>
      </c>
      <c r="AH7571">
        <v>0</v>
      </c>
      <c r="AI7571">
        <v>9.59</v>
      </c>
      <c r="AJ7571">
        <v>53.3</v>
      </c>
      <c r="AK7571">
        <v>0</v>
      </c>
      <c r="AL7571" t="s">
        <v>53</v>
      </c>
      <c r="AM7571" t="s">
        <v>53</v>
      </c>
      <c r="AN7571" t="s">
        <v>53</v>
      </c>
      <c r="AO7571" t="s">
        <v>53</v>
      </c>
      <c r="AP7571" t="s">
        <v>53</v>
      </c>
    </row>
    <row r="7572" spans="2:42" x14ac:dyDescent="0.2">
      <c r="B7572" t="s">
        <v>44</v>
      </c>
      <c r="C7572" t="str">
        <f>HYPERLINK("https://us2.cloudbeds.com/connect/8493803454333002#/reservations/188662900609163?display=424Q2D3RZ1&amp;reservation_id=188662900609163", "424Q2D3RZ1")</f>
        <v>424Q2D3RZ1</v>
      </c>
      <c r="D7572" t="s">
        <v>45</v>
      </c>
      <c r="E7572" t="s">
        <v>190</v>
      </c>
      <c r="F7572" t="s">
        <v>61</v>
      </c>
      <c r="G7572" t="s">
        <v>3974</v>
      </c>
      <c r="H7572" t="s">
        <v>3957</v>
      </c>
      <c r="I7572" t="s">
        <v>3975</v>
      </c>
      <c r="J7572" t="s">
        <v>13977</v>
      </c>
      <c r="K7572" t="s">
        <v>12958</v>
      </c>
      <c r="L7572" t="s">
        <v>53</v>
      </c>
      <c r="P7572" t="s">
        <v>55</v>
      </c>
      <c r="R7572" t="s">
        <v>56</v>
      </c>
      <c r="T7572" t="s">
        <v>13978</v>
      </c>
      <c r="U7572" t="s">
        <v>58</v>
      </c>
      <c r="V7572">
        <v>3</v>
      </c>
      <c r="W7572">
        <v>1</v>
      </c>
      <c r="X7572">
        <v>2</v>
      </c>
      <c r="Y7572">
        <v>0</v>
      </c>
      <c r="Z7572">
        <v>2</v>
      </c>
      <c r="AA7572">
        <v>0</v>
      </c>
      <c r="AB7572">
        <v>669.86</v>
      </c>
      <c r="AC7572">
        <v>584.25</v>
      </c>
      <c r="AD7572">
        <v>0</v>
      </c>
      <c r="AE7572">
        <v>85.61</v>
      </c>
      <c r="AF7572">
        <v>0</v>
      </c>
      <c r="AG7572">
        <v>0</v>
      </c>
      <c r="AH7572">
        <v>0</v>
      </c>
      <c r="AI7572">
        <v>0</v>
      </c>
      <c r="AJ7572">
        <v>669.86</v>
      </c>
      <c r="AK7572">
        <v>0</v>
      </c>
      <c r="AL7572" t="s">
        <v>53</v>
      </c>
      <c r="AM7572" t="s">
        <v>53</v>
      </c>
      <c r="AN7572" t="s">
        <v>13979</v>
      </c>
      <c r="AO7572" t="s">
        <v>53</v>
      </c>
      <c r="AP7572" t="s">
        <v>53</v>
      </c>
    </row>
    <row r="7573" spans="2:42" x14ac:dyDescent="0.2">
      <c r="B7573" t="s">
        <v>44</v>
      </c>
      <c r="C7573" t="str">
        <f>HYPERLINK("https://us2.cloudbeds.com/connect/8493803454333002#/reservations/188677880598688?display=4254M5Y4AX&amp;reservation_id=188677880598688", "4254M5Y4AX")</f>
        <v>4254M5Y4AX</v>
      </c>
      <c r="D7573" t="s">
        <v>45</v>
      </c>
      <c r="E7573" t="s">
        <v>46</v>
      </c>
      <c r="F7573" t="s">
        <v>47</v>
      </c>
      <c r="G7573" t="s">
        <v>48</v>
      </c>
      <c r="H7573" t="s">
        <v>3957</v>
      </c>
      <c r="I7573" t="s">
        <v>3975</v>
      </c>
      <c r="J7573" t="s">
        <v>12682</v>
      </c>
      <c r="K7573" t="s">
        <v>13046</v>
      </c>
      <c r="L7573" t="s">
        <v>53</v>
      </c>
      <c r="P7573" t="s">
        <v>55</v>
      </c>
      <c r="R7573" t="s">
        <v>56</v>
      </c>
      <c r="T7573" t="s">
        <v>13980</v>
      </c>
      <c r="U7573" t="s">
        <v>58</v>
      </c>
      <c r="V7573">
        <v>1</v>
      </c>
      <c r="W7573">
        <v>1</v>
      </c>
      <c r="X7573">
        <v>2</v>
      </c>
      <c r="Y7573">
        <v>0</v>
      </c>
      <c r="Z7573">
        <v>2</v>
      </c>
      <c r="AA7573">
        <v>96.61</v>
      </c>
      <c r="AB7573">
        <v>96.61</v>
      </c>
      <c r="AC7573">
        <v>85</v>
      </c>
      <c r="AD7573">
        <v>0</v>
      </c>
      <c r="AE7573">
        <v>11.61</v>
      </c>
      <c r="AF7573">
        <v>0</v>
      </c>
      <c r="AG7573">
        <v>0</v>
      </c>
      <c r="AH7573">
        <v>0</v>
      </c>
      <c r="AI7573">
        <v>0</v>
      </c>
      <c r="AJ7573">
        <v>96.61</v>
      </c>
      <c r="AK7573">
        <v>0</v>
      </c>
      <c r="AL7573" t="s">
        <v>53</v>
      </c>
      <c r="AM7573" t="s">
        <v>53</v>
      </c>
      <c r="AN7573" t="s">
        <v>13981</v>
      </c>
      <c r="AO7573" t="s">
        <v>53</v>
      </c>
      <c r="AP7573" t="s">
        <v>53</v>
      </c>
    </row>
    <row r="7574" spans="2:42" x14ac:dyDescent="0.2">
      <c r="B7574" t="s">
        <v>44</v>
      </c>
      <c r="C7574" t="str">
        <f>HYPERLINK("https://us2.cloudbeds.com/connect/8493803454333002#/reservations/9080486847602364?display=4259UFX703&amp;reservation_id=9080486847602364", "4259UFX703")</f>
        <v>4259UFX703</v>
      </c>
      <c r="D7574" t="s">
        <v>45</v>
      </c>
      <c r="E7574" t="s">
        <v>373</v>
      </c>
      <c r="F7574" t="s">
        <v>47</v>
      </c>
      <c r="G7574" t="s">
        <v>48</v>
      </c>
      <c r="H7574" t="s">
        <v>49</v>
      </c>
      <c r="I7574" t="s">
        <v>8964</v>
      </c>
      <c r="J7574" t="s">
        <v>10586</v>
      </c>
      <c r="K7574" t="s">
        <v>12159</v>
      </c>
      <c r="L7574" t="s">
        <v>53</v>
      </c>
      <c r="N7574" t="s">
        <v>13982</v>
      </c>
      <c r="P7574" t="s">
        <v>55</v>
      </c>
      <c r="R7574" t="s">
        <v>53</v>
      </c>
      <c r="T7574" t="s">
        <v>13983</v>
      </c>
      <c r="U7574" t="s">
        <v>55</v>
      </c>
      <c r="V7574">
        <v>1</v>
      </c>
      <c r="W7574">
        <v>1</v>
      </c>
      <c r="X7574">
        <v>1</v>
      </c>
      <c r="Y7574">
        <v>0</v>
      </c>
      <c r="Z7574">
        <v>1</v>
      </c>
      <c r="AA7574">
        <v>69</v>
      </c>
      <c r="AB7574">
        <v>0</v>
      </c>
      <c r="AC7574">
        <v>69</v>
      </c>
      <c r="AD7574">
        <v>0</v>
      </c>
      <c r="AE7574">
        <v>0</v>
      </c>
      <c r="AF7574">
        <v>0</v>
      </c>
      <c r="AG7574">
        <v>0</v>
      </c>
      <c r="AH7574">
        <v>0</v>
      </c>
      <c r="AI7574">
        <v>10.35</v>
      </c>
      <c r="AJ7574">
        <v>69</v>
      </c>
      <c r="AK7574">
        <v>69</v>
      </c>
      <c r="AL7574" t="s">
        <v>53</v>
      </c>
      <c r="AM7574" t="s">
        <v>53</v>
      </c>
      <c r="AN7574" t="s">
        <v>13984</v>
      </c>
      <c r="AO7574" t="s">
        <v>53</v>
      </c>
      <c r="AP7574" t="s">
        <v>53</v>
      </c>
    </row>
    <row r="7575" spans="2:42" x14ac:dyDescent="0.2">
      <c r="B7575" t="s">
        <v>44</v>
      </c>
      <c r="C7575" t="str">
        <f>HYPERLINK("https://us2.cloudbeds.com/connect/8493803454333002#/reservations/9080486847603189?display=425QANHZST&amp;reservation_id=9080486847603189", "425QANHZST")</f>
        <v>425QANHZST</v>
      </c>
      <c r="D7575" t="s">
        <v>45</v>
      </c>
      <c r="E7575" t="s">
        <v>190</v>
      </c>
      <c r="F7575" t="s">
        <v>61</v>
      </c>
      <c r="G7575" t="s">
        <v>48</v>
      </c>
      <c r="H7575" t="s">
        <v>49</v>
      </c>
      <c r="I7575" t="s">
        <v>50</v>
      </c>
      <c r="J7575" t="s">
        <v>13985</v>
      </c>
      <c r="K7575" t="s">
        <v>13587</v>
      </c>
      <c r="L7575" t="s">
        <v>53</v>
      </c>
      <c r="N7575" t="s">
        <v>13986</v>
      </c>
      <c r="P7575" t="s">
        <v>55</v>
      </c>
      <c r="R7575" t="s">
        <v>53</v>
      </c>
      <c r="T7575" t="s">
        <v>13987</v>
      </c>
      <c r="U7575" t="s">
        <v>58</v>
      </c>
      <c r="V7575">
        <v>1</v>
      </c>
      <c r="W7575">
        <v>1</v>
      </c>
      <c r="X7575">
        <v>2</v>
      </c>
      <c r="Y7575">
        <v>0</v>
      </c>
      <c r="Z7575">
        <v>2</v>
      </c>
      <c r="AA7575">
        <v>86.37</v>
      </c>
      <c r="AB7575">
        <v>87.13</v>
      </c>
      <c r="AC7575">
        <v>76</v>
      </c>
      <c r="AD7575">
        <v>0</v>
      </c>
      <c r="AE7575">
        <v>11.13</v>
      </c>
      <c r="AF7575">
        <v>0</v>
      </c>
      <c r="AG7575">
        <v>0</v>
      </c>
      <c r="AH7575">
        <v>0</v>
      </c>
      <c r="AI7575">
        <v>15.68</v>
      </c>
      <c r="AJ7575">
        <v>87.13</v>
      </c>
      <c r="AK7575">
        <v>0</v>
      </c>
      <c r="AL7575" t="s">
        <v>53</v>
      </c>
      <c r="AM7575" t="s">
        <v>53</v>
      </c>
      <c r="AN7575" t="s">
        <v>13988</v>
      </c>
      <c r="AO7575" t="s">
        <v>53</v>
      </c>
      <c r="AP7575" t="s">
        <v>53</v>
      </c>
    </row>
    <row r="7576" spans="2:42" x14ac:dyDescent="0.2">
      <c r="B7576" t="s">
        <v>44</v>
      </c>
      <c r="C7576" t="str">
        <f>HYPERLINK("https://us2.cloudbeds.com/connect/8493803454333002#/reservations/9080486847603309?display=425UDN8X04&amp;reservation_id=9080486847603309", "425UDN8X04")</f>
        <v>425UDN8X04</v>
      </c>
      <c r="D7576" t="s">
        <v>45</v>
      </c>
      <c r="E7576" t="s">
        <v>165</v>
      </c>
      <c r="F7576" t="s">
        <v>61</v>
      </c>
      <c r="G7576" t="s">
        <v>48</v>
      </c>
      <c r="H7576" t="s">
        <v>49</v>
      </c>
      <c r="I7576" t="s">
        <v>50</v>
      </c>
      <c r="J7576" t="s">
        <v>12863</v>
      </c>
      <c r="K7576" t="s">
        <v>13085</v>
      </c>
      <c r="L7576" t="s">
        <v>53</v>
      </c>
      <c r="N7576" t="s">
        <v>13989</v>
      </c>
      <c r="P7576" t="s">
        <v>55</v>
      </c>
      <c r="R7576" t="s">
        <v>53</v>
      </c>
      <c r="T7576" t="s">
        <v>13990</v>
      </c>
      <c r="U7576" t="s">
        <v>58</v>
      </c>
      <c r="V7576">
        <v>1</v>
      </c>
      <c r="W7576">
        <v>1</v>
      </c>
      <c r="X7576">
        <v>2</v>
      </c>
      <c r="Y7576">
        <v>0</v>
      </c>
      <c r="Z7576">
        <v>2</v>
      </c>
      <c r="AA7576">
        <v>161.84</v>
      </c>
      <c r="AB7576">
        <v>163.26</v>
      </c>
      <c r="AC7576">
        <v>142.4</v>
      </c>
      <c r="AD7576">
        <v>0</v>
      </c>
      <c r="AE7576">
        <v>20.86</v>
      </c>
      <c r="AF7576">
        <v>0</v>
      </c>
      <c r="AG7576">
        <v>0</v>
      </c>
      <c r="AH7576">
        <v>0</v>
      </c>
      <c r="AI7576">
        <v>29.39</v>
      </c>
      <c r="AJ7576">
        <v>163.26</v>
      </c>
      <c r="AK7576">
        <v>0</v>
      </c>
      <c r="AL7576" t="s">
        <v>53</v>
      </c>
      <c r="AM7576" t="s">
        <v>53</v>
      </c>
      <c r="AN7576" t="s">
        <v>53</v>
      </c>
      <c r="AO7576" t="s">
        <v>53</v>
      </c>
      <c r="AP7576" t="s">
        <v>53</v>
      </c>
    </row>
    <row r="7577" spans="2:42" x14ac:dyDescent="0.2">
      <c r="B7577" t="s">
        <v>44</v>
      </c>
      <c r="C7577" t="str">
        <f>HYPERLINK("https://us2.cloudbeds.com/connect/8493803454333002#/reservations/9080486847608266?display=42A2C52RHN&amp;reservation_id=9080486847608266", "42A2C52RHN")</f>
        <v>42A2C52RHN</v>
      </c>
      <c r="D7577" t="s">
        <v>45</v>
      </c>
      <c r="E7577" t="s">
        <v>46</v>
      </c>
      <c r="F7577" t="s">
        <v>47</v>
      </c>
      <c r="G7577" t="s">
        <v>48</v>
      </c>
      <c r="H7577" t="s">
        <v>49</v>
      </c>
      <c r="I7577" t="s">
        <v>62</v>
      </c>
      <c r="J7577" t="s">
        <v>13735</v>
      </c>
      <c r="K7577" t="s">
        <v>9969</v>
      </c>
      <c r="L7577" t="s">
        <v>53</v>
      </c>
      <c r="N7577" t="s">
        <v>13991</v>
      </c>
      <c r="P7577" t="s">
        <v>55</v>
      </c>
      <c r="R7577" t="s">
        <v>56</v>
      </c>
      <c r="T7577" t="s">
        <v>13992</v>
      </c>
      <c r="U7577" t="s">
        <v>55</v>
      </c>
      <c r="V7577">
        <v>3</v>
      </c>
      <c r="W7577">
        <v>1</v>
      </c>
      <c r="X7577">
        <v>2</v>
      </c>
      <c r="Y7577">
        <v>0</v>
      </c>
      <c r="Z7577">
        <v>2</v>
      </c>
      <c r="AA7577">
        <v>209.1</v>
      </c>
      <c r="AB7577">
        <v>209.1</v>
      </c>
      <c r="AC7577">
        <v>209.1</v>
      </c>
      <c r="AD7577">
        <v>0</v>
      </c>
      <c r="AE7577">
        <v>0</v>
      </c>
      <c r="AF7577">
        <v>0</v>
      </c>
      <c r="AG7577">
        <v>0</v>
      </c>
      <c r="AH7577">
        <v>0</v>
      </c>
      <c r="AI7577">
        <v>37.64</v>
      </c>
      <c r="AJ7577">
        <v>209.1</v>
      </c>
      <c r="AK7577">
        <v>0</v>
      </c>
      <c r="AL7577" t="s">
        <v>53</v>
      </c>
      <c r="AM7577" t="s">
        <v>53</v>
      </c>
      <c r="AN7577" t="s">
        <v>53</v>
      </c>
      <c r="AO7577" t="s">
        <v>53</v>
      </c>
      <c r="AP7577" t="s">
        <v>53</v>
      </c>
    </row>
    <row r="7578" spans="2:42" x14ac:dyDescent="0.2">
      <c r="B7578" t="s">
        <v>44</v>
      </c>
      <c r="C7578" t="str">
        <f>HYPERLINK("https://us2.cloudbeds.com/connect/8493803454333002#/reservations/9080486847608739?display=42ACMB40S6&amp;reservation_id=9080486847608739", "42ACMB40S6")</f>
        <v>42ACMB40S6</v>
      </c>
      <c r="D7578" t="s">
        <v>45</v>
      </c>
      <c r="E7578" t="s">
        <v>98</v>
      </c>
      <c r="F7578" t="s">
        <v>86</v>
      </c>
      <c r="G7578" t="s">
        <v>48</v>
      </c>
      <c r="H7578" t="s">
        <v>49</v>
      </c>
      <c r="I7578" t="s">
        <v>62</v>
      </c>
      <c r="J7578" t="s">
        <v>12424</v>
      </c>
      <c r="K7578" t="s">
        <v>12323</v>
      </c>
      <c r="L7578" t="s">
        <v>53</v>
      </c>
      <c r="N7578" t="s">
        <v>13993</v>
      </c>
      <c r="P7578" t="s">
        <v>55</v>
      </c>
      <c r="R7578" t="s">
        <v>56</v>
      </c>
      <c r="T7578" t="s">
        <v>13994</v>
      </c>
      <c r="U7578" t="s">
        <v>55</v>
      </c>
      <c r="V7578">
        <v>1</v>
      </c>
      <c r="W7578">
        <v>1</v>
      </c>
      <c r="X7578">
        <v>3</v>
      </c>
      <c r="Y7578">
        <v>0</v>
      </c>
      <c r="Z7578">
        <v>3</v>
      </c>
      <c r="AA7578">
        <v>88.83</v>
      </c>
      <c r="AB7578">
        <v>88.83</v>
      </c>
      <c r="AC7578">
        <v>88.83</v>
      </c>
      <c r="AD7578">
        <v>0</v>
      </c>
      <c r="AE7578">
        <v>0</v>
      </c>
      <c r="AF7578">
        <v>0</v>
      </c>
      <c r="AG7578">
        <v>0</v>
      </c>
      <c r="AH7578">
        <v>0</v>
      </c>
      <c r="AI7578">
        <v>15.99</v>
      </c>
      <c r="AJ7578">
        <v>88.83</v>
      </c>
      <c r="AK7578">
        <v>0</v>
      </c>
      <c r="AL7578" t="s">
        <v>53</v>
      </c>
      <c r="AM7578" t="s">
        <v>53</v>
      </c>
      <c r="AN7578" t="s">
        <v>53</v>
      </c>
      <c r="AO7578" t="s">
        <v>53</v>
      </c>
      <c r="AP7578" t="s">
        <v>53</v>
      </c>
    </row>
    <row r="7579" spans="2:42" x14ac:dyDescent="0.2">
      <c r="B7579" t="s">
        <v>44</v>
      </c>
      <c r="C7579" t="str">
        <f>HYPERLINK("https://us2.cloudbeds.com/connect/8493803454333002#/reservations/9080486847609600?display=42AW4HA0HS&amp;reservation_id=9080486847609600", "42AW4HA0HS")</f>
        <v>42AW4HA0HS</v>
      </c>
      <c r="D7579" t="s">
        <v>45</v>
      </c>
      <c r="E7579" t="s">
        <v>46</v>
      </c>
      <c r="F7579" t="s">
        <v>47</v>
      </c>
      <c r="G7579" t="s">
        <v>48</v>
      </c>
      <c r="H7579" t="s">
        <v>49</v>
      </c>
      <c r="I7579" t="s">
        <v>62</v>
      </c>
      <c r="J7579" t="s">
        <v>13468</v>
      </c>
      <c r="K7579" t="s">
        <v>12159</v>
      </c>
      <c r="L7579" t="s">
        <v>53</v>
      </c>
      <c r="N7579" t="s">
        <v>13995</v>
      </c>
      <c r="P7579" t="s">
        <v>55</v>
      </c>
      <c r="R7579" t="s">
        <v>56</v>
      </c>
      <c r="T7579" t="s">
        <v>13996</v>
      </c>
      <c r="U7579" t="s">
        <v>55</v>
      </c>
      <c r="V7579">
        <v>2</v>
      </c>
      <c r="W7579">
        <v>1</v>
      </c>
      <c r="X7579">
        <v>2</v>
      </c>
      <c r="Y7579">
        <v>0</v>
      </c>
      <c r="Z7579">
        <v>2</v>
      </c>
      <c r="AA7579">
        <v>129.19999999999999</v>
      </c>
      <c r="AB7579">
        <v>129.19999999999999</v>
      </c>
      <c r="AC7579">
        <v>129.19999999999999</v>
      </c>
      <c r="AD7579">
        <v>0</v>
      </c>
      <c r="AE7579">
        <v>0</v>
      </c>
      <c r="AF7579">
        <v>0</v>
      </c>
      <c r="AG7579">
        <v>0</v>
      </c>
      <c r="AH7579">
        <v>0</v>
      </c>
      <c r="AI7579">
        <v>23.26</v>
      </c>
      <c r="AJ7579">
        <v>129.19999999999999</v>
      </c>
      <c r="AK7579">
        <v>0</v>
      </c>
      <c r="AL7579" t="s">
        <v>53</v>
      </c>
      <c r="AM7579" t="s">
        <v>53</v>
      </c>
      <c r="AN7579" t="s">
        <v>13997</v>
      </c>
      <c r="AO7579" t="s">
        <v>53</v>
      </c>
      <c r="AP7579" t="s">
        <v>53</v>
      </c>
    </row>
    <row r="7580" spans="2:42" x14ac:dyDescent="0.2">
      <c r="B7580" t="s">
        <v>44</v>
      </c>
      <c r="C7580" t="str">
        <f>HYPERLINK("https://us2.cloudbeds.com/connect/8493803454333002#/reservations/9080486847609756?display=42B28HWY0M&amp;reservation_id=9080486847609756", "42B28HWY0M")</f>
        <v>42B28HWY0M</v>
      </c>
      <c r="D7580" t="s">
        <v>45</v>
      </c>
      <c r="E7580" t="s">
        <v>138</v>
      </c>
      <c r="F7580" t="s">
        <v>70</v>
      </c>
      <c r="G7580" t="s">
        <v>48</v>
      </c>
      <c r="H7580" t="s">
        <v>49</v>
      </c>
      <c r="I7580" t="s">
        <v>50</v>
      </c>
      <c r="J7580" t="s">
        <v>13681</v>
      </c>
      <c r="K7580" t="s">
        <v>13998</v>
      </c>
      <c r="L7580" t="s">
        <v>53</v>
      </c>
      <c r="N7580" t="s">
        <v>13999</v>
      </c>
      <c r="P7580" t="s">
        <v>55</v>
      </c>
      <c r="R7580" t="s">
        <v>53</v>
      </c>
      <c r="T7580" t="s">
        <v>14000</v>
      </c>
      <c r="U7580" t="s">
        <v>58</v>
      </c>
      <c r="V7580">
        <v>2</v>
      </c>
      <c r="W7580">
        <v>1</v>
      </c>
      <c r="X7580">
        <v>1</v>
      </c>
      <c r="Y7580">
        <v>0</v>
      </c>
      <c r="Z7580">
        <v>1</v>
      </c>
      <c r="AA7580">
        <v>140.01</v>
      </c>
      <c r="AB7580">
        <v>141.25</v>
      </c>
      <c r="AC7580">
        <v>123.2</v>
      </c>
      <c r="AD7580">
        <v>0</v>
      </c>
      <c r="AE7580">
        <v>18.05</v>
      </c>
      <c r="AF7580">
        <v>0</v>
      </c>
      <c r="AG7580">
        <v>0</v>
      </c>
      <c r="AH7580">
        <v>0</v>
      </c>
      <c r="AI7580">
        <v>25.43</v>
      </c>
      <c r="AJ7580">
        <v>141.25</v>
      </c>
      <c r="AK7580">
        <v>0</v>
      </c>
      <c r="AL7580" t="s">
        <v>53</v>
      </c>
      <c r="AM7580" t="s">
        <v>53</v>
      </c>
      <c r="AN7580" t="s">
        <v>14001</v>
      </c>
      <c r="AO7580" t="s">
        <v>53</v>
      </c>
      <c r="AP7580" t="s">
        <v>53</v>
      </c>
    </row>
    <row r="7581" spans="2:42" x14ac:dyDescent="0.2">
      <c r="B7581" t="s">
        <v>44</v>
      </c>
      <c r="C7581" t="str">
        <f>HYPERLINK("https://us2.cloudbeds.com/connect/8493803454333002#/reservations/9080486847610285?display=42BD6TG3A2&amp;reservation_id=9080486847610285", "42BD6TG3A2")</f>
        <v>42BD6TG3A2</v>
      </c>
      <c r="D7581" t="s">
        <v>45</v>
      </c>
      <c r="E7581" t="s">
        <v>110</v>
      </c>
      <c r="F7581" t="s">
        <v>47</v>
      </c>
      <c r="G7581" t="s">
        <v>48</v>
      </c>
      <c r="H7581" t="s">
        <v>49</v>
      </c>
      <c r="I7581" t="s">
        <v>50</v>
      </c>
      <c r="J7581" t="s">
        <v>13468</v>
      </c>
      <c r="K7581" t="s">
        <v>10586</v>
      </c>
      <c r="L7581" t="s">
        <v>53</v>
      </c>
      <c r="N7581" t="s">
        <v>14002</v>
      </c>
      <c r="P7581" t="s">
        <v>55</v>
      </c>
      <c r="R7581" t="s">
        <v>53</v>
      </c>
      <c r="T7581" t="s">
        <v>14003</v>
      </c>
      <c r="U7581" t="s">
        <v>58</v>
      </c>
      <c r="V7581">
        <v>1</v>
      </c>
      <c r="W7581">
        <v>1</v>
      </c>
      <c r="X7581">
        <v>1</v>
      </c>
      <c r="Y7581">
        <v>0</v>
      </c>
      <c r="Z7581">
        <v>1</v>
      </c>
      <c r="AA7581">
        <v>69.099999999999994</v>
      </c>
      <c r="AB7581">
        <v>69.099999999999994</v>
      </c>
      <c r="AC7581">
        <v>60.8</v>
      </c>
      <c r="AD7581">
        <v>0</v>
      </c>
      <c r="AE7581">
        <v>8.3000000000000007</v>
      </c>
      <c r="AF7581">
        <v>0</v>
      </c>
      <c r="AG7581">
        <v>0</v>
      </c>
      <c r="AH7581">
        <v>0</v>
      </c>
      <c r="AI7581">
        <v>12.44</v>
      </c>
      <c r="AJ7581">
        <v>69.099999999999994</v>
      </c>
      <c r="AK7581">
        <v>0</v>
      </c>
      <c r="AL7581" t="s">
        <v>53</v>
      </c>
      <c r="AM7581" t="s">
        <v>53</v>
      </c>
      <c r="AN7581" t="s">
        <v>53</v>
      </c>
      <c r="AO7581" t="s">
        <v>53</v>
      </c>
      <c r="AP7581" t="s">
        <v>53</v>
      </c>
    </row>
    <row r="7582" spans="2:42" x14ac:dyDescent="0.2">
      <c r="B7582" t="s">
        <v>44</v>
      </c>
      <c r="C7582" t="str">
        <f>HYPERLINK("https://us2.cloudbeds.com/connect/8493803454333002#/reservations/9080486847610286?display=42BD4JAMBZ&amp;reservation_id=9080486847610286", "42BD4JAMBZ")</f>
        <v>42BD4JAMBZ</v>
      </c>
      <c r="D7582" t="s">
        <v>45</v>
      </c>
      <c r="E7582" t="s">
        <v>179</v>
      </c>
      <c r="F7582" t="s">
        <v>47</v>
      </c>
      <c r="G7582" t="s">
        <v>48</v>
      </c>
      <c r="H7582" t="s">
        <v>49</v>
      </c>
      <c r="I7582" t="s">
        <v>50</v>
      </c>
      <c r="J7582" t="s">
        <v>13468</v>
      </c>
      <c r="K7582" t="s">
        <v>10586</v>
      </c>
      <c r="L7582" t="s">
        <v>53</v>
      </c>
      <c r="N7582" t="s">
        <v>14004</v>
      </c>
      <c r="P7582" t="s">
        <v>55</v>
      </c>
      <c r="R7582" t="s">
        <v>53</v>
      </c>
      <c r="T7582" t="s">
        <v>14005</v>
      </c>
      <c r="U7582" t="s">
        <v>58</v>
      </c>
      <c r="V7582">
        <v>1</v>
      </c>
      <c r="W7582">
        <v>1</v>
      </c>
      <c r="X7582">
        <v>1</v>
      </c>
      <c r="Y7582">
        <v>0</v>
      </c>
      <c r="Z7582">
        <v>1</v>
      </c>
      <c r="AA7582">
        <v>69.099999999999994</v>
      </c>
      <c r="AB7582">
        <v>69.099999999999994</v>
      </c>
      <c r="AC7582">
        <v>60.8</v>
      </c>
      <c r="AD7582">
        <v>0</v>
      </c>
      <c r="AE7582">
        <v>8.3000000000000007</v>
      </c>
      <c r="AF7582">
        <v>0</v>
      </c>
      <c r="AG7582">
        <v>0</v>
      </c>
      <c r="AH7582">
        <v>0</v>
      </c>
      <c r="AI7582">
        <v>12.44</v>
      </c>
      <c r="AJ7582">
        <v>69.099999999999994</v>
      </c>
      <c r="AK7582">
        <v>0</v>
      </c>
      <c r="AL7582" t="s">
        <v>53</v>
      </c>
      <c r="AM7582" t="s">
        <v>53</v>
      </c>
      <c r="AN7582" t="s">
        <v>53</v>
      </c>
      <c r="AO7582" t="s">
        <v>53</v>
      </c>
      <c r="AP7582" t="s">
        <v>53</v>
      </c>
    </row>
    <row r="7583" spans="2:42" x14ac:dyDescent="0.2">
      <c r="B7583" t="s">
        <v>44</v>
      </c>
      <c r="C7583" t="str">
        <f>HYPERLINK("https://us2.cloudbeds.com/connect/8493803454333002#/reservations/9080486847611098?display=42BVX4EPUY&amp;reservation_id=9080486847611098", "42BVX4EPUY")</f>
        <v>42BVX4EPUY</v>
      </c>
      <c r="D7583" t="s">
        <v>10291</v>
      </c>
      <c r="E7583" t="s">
        <v>138</v>
      </c>
      <c r="F7583" t="s">
        <v>70</v>
      </c>
      <c r="G7583" t="s">
        <v>48</v>
      </c>
      <c r="H7583" t="s">
        <v>49</v>
      </c>
      <c r="I7583" t="s">
        <v>50</v>
      </c>
      <c r="J7583" t="s">
        <v>14006</v>
      </c>
      <c r="K7583" t="s">
        <v>13099</v>
      </c>
      <c r="L7583" t="s">
        <v>53</v>
      </c>
      <c r="N7583" t="s">
        <v>14007</v>
      </c>
      <c r="P7583" t="s">
        <v>55</v>
      </c>
      <c r="R7583" t="s">
        <v>53</v>
      </c>
      <c r="T7583" t="s">
        <v>14008</v>
      </c>
      <c r="U7583" t="s">
        <v>58</v>
      </c>
      <c r="V7583">
        <v>2</v>
      </c>
      <c r="W7583">
        <v>1</v>
      </c>
      <c r="X7583">
        <v>2</v>
      </c>
      <c r="Y7583">
        <v>0</v>
      </c>
      <c r="Z7583">
        <v>2</v>
      </c>
      <c r="AA7583">
        <v>356.07</v>
      </c>
      <c r="AB7583">
        <v>0</v>
      </c>
      <c r="AC7583">
        <v>313.32</v>
      </c>
      <c r="AD7583">
        <v>0</v>
      </c>
      <c r="AE7583">
        <v>45.89</v>
      </c>
      <c r="AF7583">
        <v>0</v>
      </c>
      <c r="AG7583">
        <v>0</v>
      </c>
      <c r="AH7583">
        <v>0</v>
      </c>
      <c r="AI7583">
        <v>64.66</v>
      </c>
      <c r="AJ7583">
        <v>359.21</v>
      </c>
      <c r="AK7583">
        <v>359.21</v>
      </c>
      <c r="AL7583" t="s">
        <v>53</v>
      </c>
      <c r="AM7583" t="s">
        <v>53</v>
      </c>
      <c r="AN7583" t="s">
        <v>53</v>
      </c>
      <c r="AO7583" t="s">
        <v>53</v>
      </c>
      <c r="AP7583" t="s">
        <v>53</v>
      </c>
    </row>
    <row r="7584" spans="2:42" x14ac:dyDescent="0.2">
      <c r="B7584" t="s">
        <v>44</v>
      </c>
      <c r="C7584" t="str">
        <f>HYPERLINK("https://us2.cloudbeds.com/connect/8493803454333002#/reservations/9080486847611318?display=42C3HH6YYE&amp;reservation_id=9080486847611318", "42C3HH6YYE")</f>
        <v>42C3HH6YYE</v>
      </c>
      <c r="D7584" t="s">
        <v>45</v>
      </c>
      <c r="E7584" t="s">
        <v>487</v>
      </c>
      <c r="F7584" t="s">
        <v>61</v>
      </c>
      <c r="G7584" t="s">
        <v>48</v>
      </c>
      <c r="H7584" t="s">
        <v>49</v>
      </c>
      <c r="I7584" t="s">
        <v>62</v>
      </c>
      <c r="J7584" t="s">
        <v>12682</v>
      </c>
      <c r="K7584" t="s">
        <v>13046</v>
      </c>
      <c r="L7584" t="s">
        <v>53</v>
      </c>
      <c r="N7584" t="s">
        <v>14009</v>
      </c>
      <c r="P7584" t="s">
        <v>55</v>
      </c>
      <c r="R7584" t="s">
        <v>56</v>
      </c>
      <c r="T7584" t="s">
        <v>14010</v>
      </c>
      <c r="U7584" t="s">
        <v>55</v>
      </c>
      <c r="V7584">
        <v>1</v>
      </c>
      <c r="W7584">
        <v>1</v>
      </c>
      <c r="X7584">
        <v>2</v>
      </c>
      <c r="Y7584">
        <v>0</v>
      </c>
      <c r="Z7584">
        <v>2</v>
      </c>
      <c r="AA7584">
        <v>80.75</v>
      </c>
      <c r="AB7584">
        <v>80.75</v>
      </c>
      <c r="AC7584">
        <v>80.75</v>
      </c>
      <c r="AD7584">
        <v>0</v>
      </c>
      <c r="AE7584">
        <v>0</v>
      </c>
      <c r="AF7584">
        <v>0</v>
      </c>
      <c r="AG7584">
        <v>0</v>
      </c>
      <c r="AH7584">
        <v>0</v>
      </c>
      <c r="AI7584">
        <v>14.54</v>
      </c>
      <c r="AJ7584">
        <v>80.75</v>
      </c>
      <c r="AK7584">
        <v>0</v>
      </c>
      <c r="AL7584" t="s">
        <v>53</v>
      </c>
      <c r="AM7584" t="s">
        <v>53</v>
      </c>
      <c r="AN7584" t="s">
        <v>53</v>
      </c>
      <c r="AO7584" t="s">
        <v>53</v>
      </c>
      <c r="AP7584" t="s">
        <v>53</v>
      </c>
    </row>
    <row r="7585" spans="2:42" x14ac:dyDescent="0.2">
      <c r="B7585" t="s">
        <v>44</v>
      </c>
      <c r="C7585" t="str">
        <f>HYPERLINK("https://us2.cloudbeds.com/connect/8493803454333002#/reservations/9080486847611398?display=42C5GEWJDN&amp;reservation_id=9080486847611398", "42C5GEWJDN")</f>
        <v>42C5GEWJDN</v>
      </c>
      <c r="D7585" t="s">
        <v>45</v>
      </c>
      <c r="E7585" t="s">
        <v>265</v>
      </c>
      <c r="F7585" t="s">
        <v>61</v>
      </c>
      <c r="G7585" t="s">
        <v>48</v>
      </c>
      <c r="H7585" t="s">
        <v>49</v>
      </c>
      <c r="I7585" t="s">
        <v>50</v>
      </c>
      <c r="J7585" t="s">
        <v>13747</v>
      </c>
      <c r="K7585" t="s">
        <v>12908</v>
      </c>
      <c r="L7585" t="s">
        <v>53</v>
      </c>
      <c r="N7585" t="s">
        <v>14011</v>
      </c>
      <c r="P7585" t="s">
        <v>55</v>
      </c>
      <c r="R7585" t="s">
        <v>56</v>
      </c>
      <c r="T7585" t="s">
        <v>14012</v>
      </c>
      <c r="U7585" t="s">
        <v>58</v>
      </c>
      <c r="V7585">
        <v>3</v>
      </c>
      <c r="W7585">
        <v>1</v>
      </c>
      <c r="X7585">
        <v>2</v>
      </c>
      <c r="Y7585">
        <v>0</v>
      </c>
      <c r="Z7585">
        <v>2</v>
      </c>
      <c r="AA7585">
        <v>249.24</v>
      </c>
      <c r="AB7585">
        <v>249.24</v>
      </c>
      <c r="AC7585">
        <v>219.3</v>
      </c>
      <c r="AD7585">
        <v>0</v>
      </c>
      <c r="AE7585">
        <v>29.94</v>
      </c>
      <c r="AF7585">
        <v>0</v>
      </c>
      <c r="AG7585">
        <v>0</v>
      </c>
      <c r="AH7585">
        <v>0</v>
      </c>
      <c r="AI7585">
        <v>44.86</v>
      </c>
      <c r="AJ7585">
        <v>249.24</v>
      </c>
      <c r="AK7585">
        <v>0</v>
      </c>
      <c r="AL7585" t="s">
        <v>53</v>
      </c>
      <c r="AM7585" t="s">
        <v>53</v>
      </c>
      <c r="AN7585" t="s">
        <v>14013</v>
      </c>
      <c r="AO7585" t="s">
        <v>53</v>
      </c>
      <c r="AP7585" t="s">
        <v>53</v>
      </c>
    </row>
    <row r="7586" spans="2:42" x14ac:dyDescent="0.2">
      <c r="B7586" t="s">
        <v>44</v>
      </c>
      <c r="C7586" t="str">
        <f>HYPERLINK("https://us2.cloudbeds.com/connect/8493803454333002#/reservations/9080486847611798?display=42CFEUGFYM&amp;reservation_id=9080486847611798", "42CFEUGFYM")</f>
        <v>42CFEUGFYM</v>
      </c>
      <c r="D7586" t="s">
        <v>45</v>
      </c>
      <c r="E7586" t="s">
        <v>373</v>
      </c>
      <c r="F7586" t="s">
        <v>47</v>
      </c>
      <c r="G7586" t="s">
        <v>48</v>
      </c>
      <c r="H7586" t="s">
        <v>49</v>
      </c>
      <c r="I7586" t="s">
        <v>62</v>
      </c>
      <c r="J7586" t="s">
        <v>12682</v>
      </c>
      <c r="K7586" t="s">
        <v>13046</v>
      </c>
      <c r="L7586" t="s">
        <v>53</v>
      </c>
      <c r="N7586" t="s">
        <v>14014</v>
      </c>
      <c r="P7586" t="s">
        <v>55</v>
      </c>
      <c r="R7586" t="s">
        <v>56</v>
      </c>
      <c r="T7586" t="s">
        <v>14015</v>
      </c>
      <c r="U7586" t="s">
        <v>55</v>
      </c>
      <c r="V7586">
        <v>1</v>
      </c>
      <c r="W7586">
        <v>1</v>
      </c>
      <c r="X7586">
        <v>1</v>
      </c>
      <c r="Y7586">
        <v>0</v>
      </c>
      <c r="Z7586">
        <v>1</v>
      </c>
      <c r="AA7586">
        <v>72.25</v>
      </c>
      <c r="AB7586">
        <v>72.25</v>
      </c>
      <c r="AC7586">
        <v>72.25</v>
      </c>
      <c r="AD7586">
        <v>0</v>
      </c>
      <c r="AE7586">
        <v>0</v>
      </c>
      <c r="AF7586">
        <v>0</v>
      </c>
      <c r="AG7586">
        <v>0</v>
      </c>
      <c r="AH7586">
        <v>0</v>
      </c>
      <c r="AI7586">
        <v>13.01</v>
      </c>
      <c r="AJ7586">
        <v>72.25</v>
      </c>
      <c r="AK7586">
        <v>0</v>
      </c>
      <c r="AL7586" t="s">
        <v>53</v>
      </c>
      <c r="AM7586" t="s">
        <v>53</v>
      </c>
      <c r="AN7586" t="s">
        <v>53</v>
      </c>
      <c r="AO7586" t="s">
        <v>53</v>
      </c>
      <c r="AP7586" t="s">
        <v>53</v>
      </c>
    </row>
    <row r="7587" spans="2:42" x14ac:dyDescent="0.2">
      <c r="B7587" t="s">
        <v>44</v>
      </c>
      <c r="C7587" t="str">
        <f>HYPERLINK("https://us2.cloudbeds.com/connect/8493803454333002#/reservations/9080486847612098?display=42CPZYUE2D&amp;reservation_id=9080486847612098", "42CPZYUE2D")</f>
        <v>42CPZYUE2D</v>
      </c>
      <c r="D7587" t="s">
        <v>45</v>
      </c>
      <c r="E7587" t="s">
        <v>98</v>
      </c>
      <c r="F7587" t="s">
        <v>86</v>
      </c>
      <c r="G7587" t="s">
        <v>48</v>
      </c>
      <c r="H7587" t="s">
        <v>49</v>
      </c>
      <c r="I7587" t="s">
        <v>8964</v>
      </c>
      <c r="J7587" t="s">
        <v>9710</v>
      </c>
      <c r="K7587" t="s">
        <v>12118</v>
      </c>
      <c r="L7587" t="s">
        <v>53</v>
      </c>
      <c r="N7587" t="s">
        <v>14016</v>
      </c>
      <c r="P7587" t="s">
        <v>55</v>
      </c>
      <c r="R7587" t="s">
        <v>53</v>
      </c>
      <c r="T7587" t="s">
        <v>14017</v>
      </c>
      <c r="U7587" t="s">
        <v>55</v>
      </c>
      <c r="V7587">
        <v>1</v>
      </c>
      <c r="W7587">
        <v>1</v>
      </c>
      <c r="X7587">
        <v>2</v>
      </c>
      <c r="Y7587">
        <v>0</v>
      </c>
      <c r="Z7587">
        <v>2</v>
      </c>
      <c r="AA7587">
        <v>0</v>
      </c>
      <c r="AB7587">
        <v>0</v>
      </c>
      <c r="AC7587">
        <v>113</v>
      </c>
      <c r="AD7587">
        <v>0</v>
      </c>
      <c r="AE7587">
        <v>0</v>
      </c>
      <c r="AF7587">
        <v>0</v>
      </c>
      <c r="AG7587">
        <v>0</v>
      </c>
      <c r="AH7587">
        <v>0</v>
      </c>
      <c r="AI7587">
        <v>16.95</v>
      </c>
      <c r="AJ7587">
        <v>113</v>
      </c>
      <c r="AK7587">
        <v>113</v>
      </c>
      <c r="AL7587" t="s">
        <v>53</v>
      </c>
      <c r="AM7587" t="s">
        <v>53</v>
      </c>
      <c r="AN7587" t="s">
        <v>14018</v>
      </c>
      <c r="AO7587" t="s">
        <v>53</v>
      </c>
      <c r="AP7587" t="s">
        <v>53</v>
      </c>
    </row>
    <row r="7588" spans="2:42" x14ac:dyDescent="0.2">
      <c r="B7588" t="s">
        <v>44</v>
      </c>
      <c r="C7588" t="str">
        <f>HYPERLINK("https://us2.cloudbeds.com/connect/8493803454333002#/reservations/9080486847612803?display=42DDK2Z733&amp;reservation_id=9080486847612803", "42DDK2Z733")</f>
        <v>42DDK2Z733</v>
      </c>
      <c r="D7588" t="s">
        <v>45</v>
      </c>
      <c r="E7588" t="s">
        <v>223</v>
      </c>
      <c r="F7588" t="s">
        <v>47</v>
      </c>
      <c r="G7588" t="s">
        <v>48</v>
      </c>
      <c r="H7588" t="s">
        <v>49</v>
      </c>
      <c r="I7588" t="s">
        <v>62</v>
      </c>
      <c r="J7588" t="s">
        <v>13047</v>
      </c>
      <c r="K7588" t="s">
        <v>13468</v>
      </c>
      <c r="L7588" t="s">
        <v>53</v>
      </c>
      <c r="N7588" t="s">
        <v>14019</v>
      </c>
      <c r="P7588" t="s">
        <v>55</v>
      </c>
      <c r="R7588" t="s">
        <v>56</v>
      </c>
      <c r="T7588" t="s">
        <v>14020</v>
      </c>
      <c r="U7588" t="s">
        <v>55</v>
      </c>
      <c r="V7588">
        <v>1</v>
      </c>
      <c r="W7588">
        <v>1</v>
      </c>
      <c r="X7588">
        <v>2</v>
      </c>
      <c r="Y7588">
        <v>0</v>
      </c>
      <c r="Z7588">
        <v>2</v>
      </c>
      <c r="AA7588">
        <v>74.8</v>
      </c>
      <c r="AB7588">
        <v>74.8</v>
      </c>
      <c r="AC7588">
        <v>74.8</v>
      </c>
      <c r="AD7588">
        <v>0</v>
      </c>
      <c r="AE7588">
        <v>0</v>
      </c>
      <c r="AF7588">
        <v>0</v>
      </c>
      <c r="AG7588">
        <v>0</v>
      </c>
      <c r="AH7588">
        <v>0</v>
      </c>
      <c r="AI7588">
        <v>13.46</v>
      </c>
      <c r="AJ7588">
        <v>74.8</v>
      </c>
      <c r="AK7588">
        <v>0</v>
      </c>
      <c r="AL7588" t="s">
        <v>53</v>
      </c>
      <c r="AM7588" t="s">
        <v>53</v>
      </c>
      <c r="AN7588" t="s">
        <v>53</v>
      </c>
      <c r="AO7588" t="s">
        <v>53</v>
      </c>
      <c r="AP7588" t="s">
        <v>53</v>
      </c>
    </row>
    <row r="7589" spans="2:42" x14ac:dyDescent="0.2">
      <c r="B7589" t="s">
        <v>44</v>
      </c>
      <c r="C7589" t="str">
        <f>HYPERLINK("https://us2.cloudbeds.com/connect/8493803454333002#/reservations/9080486847612805?display=42DDK7DAC1&amp;reservation_id=9080486847612805", "42DDK7DAC1")</f>
        <v>42DDK7DAC1</v>
      </c>
      <c r="D7589" t="s">
        <v>45</v>
      </c>
      <c r="E7589" t="s">
        <v>381</v>
      </c>
      <c r="F7589" t="s">
        <v>47</v>
      </c>
      <c r="G7589" t="s">
        <v>48</v>
      </c>
      <c r="H7589" t="s">
        <v>49</v>
      </c>
      <c r="I7589" t="s">
        <v>62</v>
      </c>
      <c r="J7589" t="s">
        <v>13047</v>
      </c>
      <c r="K7589" t="s">
        <v>13468</v>
      </c>
      <c r="L7589" t="s">
        <v>53</v>
      </c>
      <c r="N7589" t="s">
        <v>14021</v>
      </c>
      <c r="P7589" t="s">
        <v>55</v>
      </c>
      <c r="R7589" t="s">
        <v>56</v>
      </c>
      <c r="T7589" t="s">
        <v>14022</v>
      </c>
      <c r="U7589" t="s">
        <v>55</v>
      </c>
      <c r="V7589">
        <v>1</v>
      </c>
      <c r="W7589">
        <v>1</v>
      </c>
      <c r="X7589">
        <v>2</v>
      </c>
      <c r="Y7589">
        <v>0</v>
      </c>
      <c r="Z7589">
        <v>2</v>
      </c>
      <c r="AA7589">
        <v>74.8</v>
      </c>
      <c r="AB7589">
        <v>74.8</v>
      </c>
      <c r="AC7589">
        <v>74.8</v>
      </c>
      <c r="AD7589">
        <v>0</v>
      </c>
      <c r="AE7589">
        <v>0</v>
      </c>
      <c r="AF7589">
        <v>0</v>
      </c>
      <c r="AG7589">
        <v>0</v>
      </c>
      <c r="AH7589">
        <v>0</v>
      </c>
      <c r="AI7589">
        <v>13.46</v>
      </c>
      <c r="AJ7589">
        <v>74.8</v>
      </c>
      <c r="AK7589">
        <v>0</v>
      </c>
      <c r="AL7589" t="s">
        <v>53</v>
      </c>
      <c r="AM7589" t="s">
        <v>53</v>
      </c>
      <c r="AN7589" t="s">
        <v>14023</v>
      </c>
      <c r="AO7589" t="s">
        <v>53</v>
      </c>
      <c r="AP7589" t="s">
        <v>53</v>
      </c>
    </row>
    <row r="7590" spans="2:42" x14ac:dyDescent="0.2">
      <c r="B7590" t="s">
        <v>44</v>
      </c>
      <c r="C7590" t="str">
        <f>HYPERLINK("https://us2.cloudbeds.com/connect/8493803454333002#/reservations/189041181122794?display=42DYWB8P0Y&amp;reservation_id=189041181122794", "42DYWB8P0Y")</f>
        <v>42DYWB8P0Y</v>
      </c>
      <c r="D7590" t="s">
        <v>45</v>
      </c>
      <c r="E7590" t="s">
        <v>128</v>
      </c>
      <c r="F7590" t="s">
        <v>86</v>
      </c>
      <c r="G7590" t="s">
        <v>48</v>
      </c>
      <c r="H7590" t="s">
        <v>3957</v>
      </c>
      <c r="I7590" t="s">
        <v>3975</v>
      </c>
      <c r="J7590" t="s">
        <v>13046</v>
      </c>
      <c r="K7590" t="s">
        <v>13047</v>
      </c>
      <c r="L7590" t="s">
        <v>53</v>
      </c>
      <c r="P7590" t="s">
        <v>55</v>
      </c>
      <c r="R7590" t="s">
        <v>56</v>
      </c>
      <c r="T7590" t="s">
        <v>14024</v>
      </c>
      <c r="U7590" t="s">
        <v>58</v>
      </c>
      <c r="V7590">
        <v>1</v>
      </c>
      <c r="W7590">
        <v>1</v>
      </c>
      <c r="X7590">
        <v>2</v>
      </c>
      <c r="Y7590">
        <v>2</v>
      </c>
      <c r="Z7590">
        <v>4</v>
      </c>
      <c r="AA7590">
        <v>125.02</v>
      </c>
      <c r="AB7590">
        <v>125.02</v>
      </c>
      <c r="AC7590">
        <v>110</v>
      </c>
      <c r="AD7590">
        <v>0</v>
      </c>
      <c r="AE7590">
        <v>15.02</v>
      </c>
      <c r="AF7590">
        <v>0</v>
      </c>
      <c r="AG7590">
        <v>0</v>
      </c>
      <c r="AH7590">
        <v>0</v>
      </c>
      <c r="AI7590">
        <v>0</v>
      </c>
      <c r="AJ7590">
        <v>125.02</v>
      </c>
      <c r="AK7590">
        <v>0</v>
      </c>
      <c r="AL7590" t="s">
        <v>53</v>
      </c>
      <c r="AM7590" t="s">
        <v>53</v>
      </c>
      <c r="AN7590" t="s">
        <v>53</v>
      </c>
      <c r="AO7590" t="s">
        <v>53</v>
      </c>
      <c r="AP7590" t="s">
        <v>53</v>
      </c>
    </row>
    <row r="7591" spans="2:42" x14ac:dyDescent="0.2">
      <c r="B7591" t="s">
        <v>44</v>
      </c>
      <c r="C7591" t="str">
        <f>HYPERLINK("https://us2.cloudbeds.com/connect/8493803454333002#/reservations/9080486847614159?display=42ERHZ7D85&amp;reservation_id=9080486847614159", "42ERHZ7D85")</f>
        <v>42ERHZ7D85</v>
      </c>
      <c r="D7591" t="s">
        <v>45</v>
      </c>
      <c r="E7591" t="s">
        <v>185</v>
      </c>
      <c r="F7591" t="s">
        <v>47</v>
      </c>
      <c r="G7591" t="s">
        <v>48</v>
      </c>
      <c r="H7591" t="s">
        <v>49</v>
      </c>
      <c r="I7591" t="s">
        <v>62</v>
      </c>
      <c r="J7591" t="s">
        <v>13010</v>
      </c>
      <c r="K7591" t="s">
        <v>13024</v>
      </c>
      <c r="L7591" t="s">
        <v>53</v>
      </c>
      <c r="N7591" t="s">
        <v>14025</v>
      </c>
      <c r="P7591" t="s">
        <v>55</v>
      </c>
      <c r="R7591" t="s">
        <v>56</v>
      </c>
      <c r="T7591" t="s">
        <v>14026</v>
      </c>
      <c r="U7591" t="s">
        <v>55</v>
      </c>
      <c r="V7591">
        <v>2</v>
      </c>
      <c r="W7591">
        <v>1</v>
      </c>
      <c r="X7591">
        <v>2</v>
      </c>
      <c r="Y7591">
        <v>0</v>
      </c>
      <c r="Z7591">
        <v>2</v>
      </c>
      <c r="AA7591">
        <v>144.5</v>
      </c>
      <c r="AB7591">
        <v>144.5</v>
      </c>
      <c r="AC7591">
        <v>144.5</v>
      </c>
      <c r="AD7591">
        <v>0</v>
      </c>
      <c r="AE7591">
        <v>0</v>
      </c>
      <c r="AF7591">
        <v>0</v>
      </c>
      <c r="AG7591">
        <v>0</v>
      </c>
      <c r="AH7591">
        <v>0</v>
      </c>
      <c r="AI7591">
        <v>26.01</v>
      </c>
      <c r="AJ7591">
        <v>144.5</v>
      </c>
      <c r="AK7591">
        <v>0</v>
      </c>
      <c r="AL7591" t="s">
        <v>53</v>
      </c>
      <c r="AM7591" t="s">
        <v>53</v>
      </c>
      <c r="AN7591" t="s">
        <v>14027</v>
      </c>
      <c r="AO7591" t="s">
        <v>53</v>
      </c>
      <c r="AP7591" t="s">
        <v>53</v>
      </c>
    </row>
    <row r="7592" spans="2:42" x14ac:dyDescent="0.2">
      <c r="B7592" t="s">
        <v>44</v>
      </c>
      <c r="C7592" t="str">
        <f>HYPERLINK("https://us2.cloudbeds.com/connect/8493803454333002#/reservations/9080486847614822?display=42FZCP72S8&amp;reservation_id=9080486847614822", "42FZCP72S8")</f>
        <v>42FZCP72S8</v>
      </c>
      <c r="D7592" t="s">
        <v>45</v>
      </c>
      <c r="E7592" t="s">
        <v>155</v>
      </c>
      <c r="F7592" t="s">
        <v>86</v>
      </c>
      <c r="G7592" t="s">
        <v>48</v>
      </c>
      <c r="H7592" t="s">
        <v>49</v>
      </c>
      <c r="I7592" t="s">
        <v>8964</v>
      </c>
      <c r="J7592" t="s">
        <v>9935</v>
      </c>
      <c r="K7592" t="s">
        <v>9969</v>
      </c>
      <c r="L7592" t="s">
        <v>53</v>
      </c>
      <c r="N7592" t="s">
        <v>14028</v>
      </c>
      <c r="P7592" t="s">
        <v>55</v>
      </c>
      <c r="R7592" t="s">
        <v>53</v>
      </c>
      <c r="T7592" t="s">
        <v>14029</v>
      </c>
      <c r="U7592" t="s">
        <v>55</v>
      </c>
      <c r="V7592">
        <v>2</v>
      </c>
      <c r="W7592">
        <v>1</v>
      </c>
      <c r="X7592">
        <v>2</v>
      </c>
      <c r="Y7592">
        <v>0</v>
      </c>
      <c r="Z7592">
        <v>2</v>
      </c>
      <c r="AA7592">
        <v>0</v>
      </c>
      <c r="AB7592">
        <v>0</v>
      </c>
      <c r="AC7592">
        <v>226</v>
      </c>
      <c r="AD7592">
        <v>0</v>
      </c>
      <c r="AE7592">
        <v>0</v>
      </c>
      <c r="AF7592">
        <v>0</v>
      </c>
      <c r="AG7592">
        <v>0</v>
      </c>
      <c r="AH7592">
        <v>0</v>
      </c>
      <c r="AI7592">
        <v>33.9</v>
      </c>
      <c r="AJ7592">
        <v>226</v>
      </c>
      <c r="AK7592">
        <v>226</v>
      </c>
      <c r="AL7592" t="s">
        <v>53</v>
      </c>
      <c r="AM7592" t="s">
        <v>53</v>
      </c>
      <c r="AN7592" t="s">
        <v>14030</v>
      </c>
      <c r="AO7592" t="s">
        <v>53</v>
      </c>
      <c r="AP7592" t="s">
        <v>53</v>
      </c>
    </row>
    <row r="7593" spans="2:42" x14ac:dyDescent="0.2">
      <c r="B7593" t="s">
        <v>44</v>
      </c>
      <c r="C7593" t="str">
        <f>HYPERLINK("https://us2.cloudbeds.com/connect/8493803454333002#/reservations/9080486847614892?display=42FR1STA20&amp;reservation_id=9080486847614892", "42FR1STA20")</f>
        <v>42FR1STA20</v>
      </c>
      <c r="D7593" t="s">
        <v>45</v>
      </c>
      <c r="E7593" t="s">
        <v>373</v>
      </c>
      <c r="F7593" t="s">
        <v>47</v>
      </c>
      <c r="G7593" t="s">
        <v>48</v>
      </c>
      <c r="H7593" t="s">
        <v>49</v>
      </c>
      <c r="I7593" t="s">
        <v>62</v>
      </c>
      <c r="J7593" t="s">
        <v>9935</v>
      </c>
      <c r="K7593" t="s">
        <v>12908</v>
      </c>
      <c r="L7593" t="s">
        <v>53</v>
      </c>
      <c r="N7593" t="s">
        <v>14031</v>
      </c>
      <c r="P7593" t="s">
        <v>55</v>
      </c>
      <c r="R7593" t="s">
        <v>56</v>
      </c>
      <c r="T7593" t="s">
        <v>14032</v>
      </c>
      <c r="U7593" t="s">
        <v>55</v>
      </c>
      <c r="V7593">
        <v>1</v>
      </c>
      <c r="W7593">
        <v>1</v>
      </c>
      <c r="X7593">
        <v>1</v>
      </c>
      <c r="Y7593">
        <v>0</v>
      </c>
      <c r="Z7593">
        <v>1</v>
      </c>
      <c r="AA7593">
        <v>68.64</v>
      </c>
      <c r="AB7593">
        <v>68.64</v>
      </c>
      <c r="AC7593">
        <v>68.64</v>
      </c>
      <c r="AD7593">
        <v>0</v>
      </c>
      <c r="AE7593">
        <v>0</v>
      </c>
      <c r="AF7593">
        <v>0</v>
      </c>
      <c r="AG7593">
        <v>0</v>
      </c>
      <c r="AH7593">
        <v>0</v>
      </c>
      <c r="AI7593">
        <v>12.36</v>
      </c>
      <c r="AJ7593">
        <v>68.64</v>
      </c>
      <c r="AK7593">
        <v>0</v>
      </c>
      <c r="AL7593" t="s">
        <v>53</v>
      </c>
      <c r="AM7593" t="s">
        <v>53</v>
      </c>
      <c r="AN7593" t="s">
        <v>14033</v>
      </c>
      <c r="AO7593" t="s">
        <v>53</v>
      </c>
      <c r="AP7593" t="s">
        <v>53</v>
      </c>
    </row>
    <row r="7594" spans="2:42" x14ac:dyDescent="0.2">
      <c r="B7594" t="s">
        <v>44</v>
      </c>
      <c r="C7594" t="str">
        <f>HYPERLINK("https://us2.cloudbeds.com/connect/8493803454333002#/reservations/9080486847618172?display=42XDH0MY1W&amp;reservation_id=9080486847618172", "42XDH0MY1W")</f>
        <v>42XDH0MY1W</v>
      </c>
      <c r="D7594" t="s">
        <v>45</v>
      </c>
      <c r="E7594" t="s">
        <v>179</v>
      </c>
      <c r="F7594" t="s">
        <v>47</v>
      </c>
      <c r="G7594" t="s">
        <v>48</v>
      </c>
      <c r="H7594" t="s">
        <v>49</v>
      </c>
      <c r="I7594" t="s">
        <v>62</v>
      </c>
      <c r="J7594" t="s">
        <v>12117</v>
      </c>
      <c r="K7594" t="s">
        <v>13024</v>
      </c>
      <c r="L7594" t="s">
        <v>53</v>
      </c>
      <c r="N7594" t="s">
        <v>14034</v>
      </c>
      <c r="P7594" t="s">
        <v>55</v>
      </c>
      <c r="R7594" t="s">
        <v>2595</v>
      </c>
      <c r="T7594" t="s">
        <v>14035</v>
      </c>
      <c r="U7594" t="s">
        <v>55</v>
      </c>
      <c r="V7594">
        <v>1</v>
      </c>
      <c r="W7594">
        <v>1</v>
      </c>
      <c r="X7594">
        <v>1</v>
      </c>
      <c r="Y7594">
        <v>0</v>
      </c>
      <c r="Z7594">
        <v>1</v>
      </c>
      <c r="AA7594">
        <v>72.25</v>
      </c>
      <c r="AB7594">
        <v>72.25</v>
      </c>
      <c r="AC7594">
        <v>72.25</v>
      </c>
      <c r="AD7594">
        <v>0</v>
      </c>
      <c r="AE7594">
        <v>0</v>
      </c>
      <c r="AF7594">
        <v>0</v>
      </c>
      <c r="AG7594">
        <v>0</v>
      </c>
      <c r="AH7594">
        <v>0</v>
      </c>
      <c r="AI7594">
        <v>13.01</v>
      </c>
      <c r="AJ7594">
        <v>72.25</v>
      </c>
      <c r="AK7594">
        <v>0</v>
      </c>
      <c r="AL7594" t="s">
        <v>53</v>
      </c>
      <c r="AM7594" t="s">
        <v>53</v>
      </c>
      <c r="AN7594" t="s">
        <v>53</v>
      </c>
      <c r="AO7594" t="s">
        <v>53</v>
      </c>
      <c r="AP7594" t="s">
        <v>53</v>
      </c>
    </row>
    <row r="7595" spans="2:42" x14ac:dyDescent="0.2">
      <c r="B7595" t="s">
        <v>44</v>
      </c>
      <c r="C7595" t="str">
        <f>HYPERLINK("https://us2.cloudbeds.com/connect/8493803454333002#/reservations/189270512668858?display=42J1X9N2SF&amp;reservation_id=189270512668858", "42J1X9N2SF")</f>
        <v>42J1X9N2SF</v>
      </c>
      <c r="D7595" t="s">
        <v>45</v>
      </c>
      <c r="E7595" t="s">
        <v>406</v>
      </c>
      <c r="F7595" t="s">
        <v>61</v>
      </c>
      <c r="G7595" t="s">
        <v>48</v>
      </c>
      <c r="H7595" t="s">
        <v>3957</v>
      </c>
      <c r="I7595" t="s">
        <v>3975</v>
      </c>
      <c r="J7595" t="s">
        <v>13046</v>
      </c>
      <c r="K7595" t="s">
        <v>13468</v>
      </c>
      <c r="L7595" t="s">
        <v>53</v>
      </c>
      <c r="P7595" t="s">
        <v>55</v>
      </c>
      <c r="R7595" t="s">
        <v>56</v>
      </c>
      <c r="T7595" t="s">
        <v>14036</v>
      </c>
      <c r="U7595" t="s">
        <v>58</v>
      </c>
      <c r="V7595">
        <v>2</v>
      </c>
      <c r="W7595">
        <v>2</v>
      </c>
      <c r="X7595">
        <v>3</v>
      </c>
      <c r="Y7595">
        <v>0</v>
      </c>
      <c r="Z7595">
        <v>3</v>
      </c>
      <c r="AA7595">
        <v>219.36</v>
      </c>
      <c r="AB7595">
        <v>219.36</v>
      </c>
      <c r="AC7595">
        <v>193</v>
      </c>
      <c r="AD7595">
        <v>0</v>
      </c>
      <c r="AE7595">
        <v>26.36</v>
      </c>
      <c r="AF7595">
        <v>0</v>
      </c>
      <c r="AG7595">
        <v>0</v>
      </c>
      <c r="AH7595">
        <v>0</v>
      </c>
      <c r="AI7595">
        <v>0</v>
      </c>
      <c r="AJ7595">
        <v>219.36</v>
      </c>
      <c r="AK7595">
        <v>0</v>
      </c>
      <c r="AL7595" t="s">
        <v>53</v>
      </c>
      <c r="AM7595" t="s">
        <v>53</v>
      </c>
      <c r="AN7595" t="s">
        <v>53</v>
      </c>
      <c r="AO7595" t="s">
        <v>53</v>
      </c>
      <c r="AP7595" t="s">
        <v>53</v>
      </c>
    </row>
    <row r="7596" spans="2:42" x14ac:dyDescent="0.2">
      <c r="B7596" t="s">
        <v>44</v>
      </c>
      <c r="C7596" t="str">
        <f>HYPERLINK("https://us2.cloudbeds.com/connect/8493803454333002#/reservations/189282064969936?display=42JAGFTTG3&amp;reservation_id=189282064969936", "42JAGFTTG3")</f>
        <v>42JAGFTTG3</v>
      </c>
      <c r="D7596" t="s">
        <v>45</v>
      </c>
      <c r="E7596" t="s">
        <v>128</v>
      </c>
      <c r="F7596" t="s">
        <v>86</v>
      </c>
      <c r="G7596" t="s">
        <v>3974</v>
      </c>
      <c r="H7596" t="s">
        <v>3957</v>
      </c>
      <c r="I7596" t="s">
        <v>3975</v>
      </c>
      <c r="J7596" t="s">
        <v>11296</v>
      </c>
      <c r="K7596" t="s">
        <v>13941</v>
      </c>
      <c r="L7596" t="s">
        <v>53</v>
      </c>
      <c r="P7596" t="s">
        <v>55</v>
      </c>
      <c r="R7596" t="s">
        <v>56</v>
      </c>
      <c r="T7596" t="s">
        <v>14037</v>
      </c>
      <c r="U7596" t="s">
        <v>58</v>
      </c>
      <c r="V7596">
        <v>1</v>
      </c>
      <c r="W7596">
        <v>1</v>
      </c>
      <c r="X7596">
        <v>2</v>
      </c>
      <c r="Y7596">
        <v>0</v>
      </c>
      <c r="Z7596">
        <v>2</v>
      </c>
      <c r="AA7596">
        <v>118.77</v>
      </c>
      <c r="AB7596">
        <v>118.77</v>
      </c>
      <c r="AC7596">
        <v>104.5</v>
      </c>
      <c r="AD7596">
        <v>0</v>
      </c>
      <c r="AE7596">
        <v>14.27</v>
      </c>
      <c r="AF7596">
        <v>0</v>
      </c>
      <c r="AG7596">
        <v>0</v>
      </c>
      <c r="AH7596">
        <v>0</v>
      </c>
      <c r="AI7596">
        <v>0</v>
      </c>
      <c r="AJ7596">
        <v>118.77</v>
      </c>
      <c r="AK7596">
        <v>0</v>
      </c>
      <c r="AL7596" t="s">
        <v>53</v>
      </c>
      <c r="AM7596" t="s">
        <v>53</v>
      </c>
      <c r="AN7596" t="s">
        <v>14038</v>
      </c>
      <c r="AO7596" t="s">
        <v>53</v>
      </c>
      <c r="AP7596" t="s">
        <v>53</v>
      </c>
    </row>
    <row r="7597" spans="2:42" x14ac:dyDescent="0.2">
      <c r="B7597" t="s">
        <v>44</v>
      </c>
      <c r="C7597" t="str">
        <f>HYPERLINK("https://us2.cloudbeds.com/connect/8493803454333002#/reservations/9080486847619653?display=42JGM9ZXA0&amp;reservation_id=9080486847619653", "42JGM9ZXA0")</f>
        <v>42JGM9ZXA0</v>
      </c>
      <c r="D7597" t="s">
        <v>45</v>
      </c>
      <c r="E7597" t="s">
        <v>110</v>
      </c>
      <c r="F7597" t="s">
        <v>47</v>
      </c>
      <c r="G7597" t="s">
        <v>48</v>
      </c>
      <c r="H7597" t="s">
        <v>49</v>
      </c>
      <c r="I7597" t="s">
        <v>62</v>
      </c>
      <c r="J7597" t="s">
        <v>13383</v>
      </c>
      <c r="K7597" t="s">
        <v>13959</v>
      </c>
      <c r="L7597" t="s">
        <v>53</v>
      </c>
      <c r="N7597" t="s">
        <v>14039</v>
      </c>
      <c r="P7597" t="s">
        <v>55</v>
      </c>
      <c r="R7597" t="s">
        <v>201</v>
      </c>
      <c r="T7597" t="s">
        <v>14040</v>
      </c>
      <c r="U7597" t="s">
        <v>55</v>
      </c>
      <c r="V7597">
        <v>2</v>
      </c>
      <c r="W7597">
        <v>1</v>
      </c>
      <c r="X7597">
        <v>2</v>
      </c>
      <c r="Y7597">
        <v>0</v>
      </c>
      <c r="Z7597">
        <v>2</v>
      </c>
      <c r="AA7597">
        <v>145.36000000000001</v>
      </c>
      <c r="AB7597">
        <v>145.36000000000001</v>
      </c>
      <c r="AC7597">
        <v>145.36000000000001</v>
      </c>
      <c r="AD7597">
        <v>0</v>
      </c>
      <c r="AE7597">
        <v>0</v>
      </c>
      <c r="AF7597">
        <v>0</v>
      </c>
      <c r="AG7597">
        <v>0</v>
      </c>
      <c r="AH7597">
        <v>0</v>
      </c>
      <c r="AI7597">
        <v>26.16</v>
      </c>
      <c r="AJ7597">
        <v>145.36000000000001</v>
      </c>
      <c r="AK7597">
        <v>0</v>
      </c>
      <c r="AL7597" t="s">
        <v>53</v>
      </c>
      <c r="AM7597" t="s">
        <v>53</v>
      </c>
      <c r="AN7597" t="s">
        <v>53</v>
      </c>
      <c r="AO7597" t="s">
        <v>53</v>
      </c>
      <c r="AP7597" t="s">
        <v>53</v>
      </c>
    </row>
    <row r="7598" spans="2:42" x14ac:dyDescent="0.2">
      <c r="B7598" t="s">
        <v>44</v>
      </c>
      <c r="C7598" t="str">
        <f>HYPERLINK("https://us2.cloudbeds.com/connect/8493803454333002#/reservations/9080486847619871?display=42JME1DBTB&amp;reservation_id=9080486847619871", "42JME1DBTB")</f>
        <v>42JME1DBTB</v>
      </c>
      <c r="D7598" t="s">
        <v>45</v>
      </c>
      <c r="E7598" t="s">
        <v>305</v>
      </c>
      <c r="F7598" t="s">
        <v>61</v>
      </c>
      <c r="G7598" t="s">
        <v>48</v>
      </c>
      <c r="H7598" t="s">
        <v>49</v>
      </c>
      <c r="I7598" t="s">
        <v>8964</v>
      </c>
      <c r="J7598" t="s">
        <v>13046</v>
      </c>
      <c r="K7598" t="s">
        <v>10586</v>
      </c>
      <c r="L7598" t="s">
        <v>53</v>
      </c>
      <c r="N7598" t="s">
        <v>14041</v>
      </c>
      <c r="P7598" t="s">
        <v>55</v>
      </c>
      <c r="R7598" t="s">
        <v>53</v>
      </c>
      <c r="T7598" t="s">
        <v>14042</v>
      </c>
      <c r="U7598" t="s">
        <v>55</v>
      </c>
      <c r="V7598">
        <v>3</v>
      </c>
      <c r="W7598">
        <v>1</v>
      </c>
      <c r="X7598">
        <v>2</v>
      </c>
      <c r="Y7598">
        <v>0</v>
      </c>
      <c r="Z7598">
        <v>2</v>
      </c>
      <c r="AA7598">
        <v>0</v>
      </c>
      <c r="AB7598">
        <v>0</v>
      </c>
      <c r="AC7598">
        <v>280</v>
      </c>
      <c r="AD7598">
        <v>0</v>
      </c>
      <c r="AE7598">
        <v>0</v>
      </c>
      <c r="AF7598">
        <v>0</v>
      </c>
      <c r="AG7598">
        <v>0</v>
      </c>
      <c r="AH7598">
        <v>0</v>
      </c>
      <c r="AI7598">
        <v>42</v>
      </c>
      <c r="AJ7598">
        <v>280</v>
      </c>
      <c r="AK7598">
        <v>280</v>
      </c>
      <c r="AL7598" t="s">
        <v>53</v>
      </c>
      <c r="AM7598" t="s">
        <v>53</v>
      </c>
      <c r="AN7598" t="s">
        <v>14043</v>
      </c>
      <c r="AO7598" t="s">
        <v>53</v>
      </c>
      <c r="AP7598" t="s">
        <v>53</v>
      </c>
    </row>
    <row r="7599" spans="2:42" x14ac:dyDescent="0.2">
      <c r="B7599" t="s">
        <v>44</v>
      </c>
      <c r="C7599" t="str">
        <f>HYPERLINK("https://us2.cloudbeds.com/connect/8493803454333002#/reservations/9080486847620038?display=42JR7GT9RA&amp;reservation_id=9080486847620038", "42JR7GT9RA")</f>
        <v>42JR7GT9RA</v>
      </c>
      <c r="D7599" t="s">
        <v>45</v>
      </c>
      <c r="E7599" t="s">
        <v>265</v>
      </c>
      <c r="F7599" t="s">
        <v>61</v>
      </c>
      <c r="G7599" t="s">
        <v>48</v>
      </c>
      <c r="H7599" t="s">
        <v>49</v>
      </c>
      <c r="I7599" t="s">
        <v>62</v>
      </c>
      <c r="J7599" t="s">
        <v>13047</v>
      </c>
      <c r="K7599" t="s">
        <v>13468</v>
      </c>
      <c r="L7599" t="s">
        <v>53</v>
      </c>
      <c r="N7599" t="s">
        <v>14044</v>
      </c>
      <c r="P7599" t="s">
        <v>55</v>
      </c>
      <c r="R7599" t="s">
        <v>56</v>
      </c>
      <c r="T7599" t="s">
        <v>14045</v>
      </c>
      <c r="U7599" t="s">
        <v>55</v>
      </c>
      <c r="V7599">
        <v>1</v>
      </c>
      <c r="W7599">
        <v>1</v>
      </c>
      <c r="X7599">
        <v>1</v>
      </c>
      <c r="Y7599">
        <v>0</v>
      </c>
      <c r="Z7599">
        <v>1</v>
      </c>
      <c r="AA7599">
        <v>80.75</v>
      </c>
      <c r="AB7599">
        <v>80.75</v>
      </c>
      <c r="AC7599">
        <v>80.75</v>
      </c>
      <c r="AD7599">
        <v>0</v>
      </c>
      <c r="AE7599">
        <v>0</v>
      </c>
      <c r="AF7599">
        <v>0</v>
      </c>
      <c r="AG7599">
        <v>0</v>
      </c>
      <c r="AH7599">
        <v>0</v>
      </c>
      <c r="AI7599">
        <v>14.54</v>
      </c>
      <c r="AJ7599">
        <v>80.75</v>
      </c>
      <c r="AK7599">
        <v>0</v>
      </c>
      <c r="AL7599" t="s">
        <v>53</v>
      </c>
      <c r="AM7599" t="s">
        <v>53</v>
      </c>
      <c r="AN7599" t="s">
        <v>14046</v>
      </c>
      <c r="AO7599" t="s">
        <v>53</v>
      </c>
      <c r="AP7599" t="s">
        <v>53</v>
      </c>
    </row>
    <row r="7600" spans="2:42" x14ac:dyDescent="0.2">
      <c r="B7600" t="s">
        <v>44</v>
      </c>
      <c r="C7600" t="str">
        <f>HYPERLINK("https://us2.cloudbeds.com/connect/8493803454333002#/reservations/189327004868768?display=42KC9QDR77&amp;reservation_id=189327004868768", "42KC9QDR77")</f>
        <v>42KC9QDR77</v>
      </c>
      <c r="D7600" t="s">
        <v>45</v>
      </c>
      <c r="E7600" t="s">
        <v>165</v>
      </c>
      <c r="F7600" t="s">
        <v>61</v>
      </c>
      <c r="G7600" t="s">
        <v>4520</v>
      </c>
      <c r="H7600" t="s">
        <v>3957</v>
      </c>
      <c r="I7600" t="s">
        <v>3958</v>
      </c>
      <c r="J7600" t="s">
        <v>13822</v>
      </c>
      <c r="K7600" t="s">
        <v>13747</v>
      </c>
      <c r="L7600" t="s">
        <v>53</v>
      </c>
      <c r="P7600" t="s">
        <v>55</v>
      </c>
      <c r="R7600" t="s">
        <v>56</v>
      </c>
      <c r="T7600" t="s">
        <v>14047</v>
      </c>
      <c r="U7600" t="s">
        <v>58</v>
      </c>
      <c r="V7600">
        <v>1</v>
      </c>
      <c r="W7600">
        <v>1</v>
      </c>
      <c r="X7600">
        <v>1</v>
      </c>
      <c r="Y7600">
        <v>0</v>
      </c>
      <c r="Z7600">
        <v>1</v>
      </c>
      <c r="AA7600">
        <v>82.85</v>
      </c>
      <c r="AB7600">
        <v>82.85</v>
      </c>
      <c r="AC7600">
        <v>72.900000000000006</v>
      </c>
      <c r="AD7600">
        <v>0</v>
      </c>
      <c r="AE7600">
        <v>9.9499999999999993</v>
      </c>
      <c r="AF7600">
        <v>0</v>
      </c>
      <c r="AG7600">
        <v>0</v>
      </c>
      <c r="AH7600">
        <v>0</v>
      </c>
      <c r="AI7600">
        <v>0</v>
      </c>
      <c r="AJ7600">
        <v>82.85</v>
      </c>
      <c r="AK7600">
        <v>0</v>
      </c>
      <c r="AL7600" t="s">
        <v>53</v>
      </c>
      <c r="AM7600" t="s">
        <v>53</v>
      </c>
      <c r="AN7600" t="s">
        <v>14048</v>
      </c>
      <c r="AO7600" t="s">
        <v>53</v>
      </c>
      <c r="AP7600" t="s">
        <v>53</v>
      </c>
    </row>
    <row r="7601" spans="2:42" x14ac:dyDescent="0.2">
      <c r="B7601" t="s">
        <v>44</v>
      </c>
      <c r="C7601" t="str">
        <f>HYPERLINK("https://us2.cloudbeds.com/connect/8493803454333002#/reservations/9080486847621210?display=42KNUCVDZZ&amp;reservation_id=9080486847621210", "42KNUCVDZZ")</f>
        <v>42KNUCVDZZ</v>
      </c>
      <c r="D7601" t="s">
        <v>45</v>
      </c>
      <c r="E7601" t="s">
        <v>113</v>
      </c>
      <c r="F7601" t="s">
        <v>61</v>
      </c>
      <c r="G7601" t="s">
        <v>48</v>
      </c>
      <c r="H7601" t="s">
        <v>49</v>
      </c>
      <c r="I7601" t="s">
        <v>8964</v>
      </c>
      <c r="J7601" t="s">
        <v>13468</v>
      </c>
      <c r="K7601" t="s">
        <v>13876</v>
      </c>
      <c r="L7601" t="s">
        <v>53</v>
      </c>
      <c r="N7601" t="s">
        <v>14049</v>
      </c>
      <c r="P7601" t="s">
        <v>55</v>
      </c>
      <c r="R7601" t="s">
        <v>53</v>
      </c>
      <c r="T7601" t="s">
        <v>14050</v>
      </c>
      <c r="U7601" t="s">
        <v>55</v>
      </c>
      <c r="V7601">
        <v>3</v>
      </c>
      <c r="W7601">
        <v>1</v>
      </c>
      <c r="X7601">
        <v>1</v>
      </c>
      <c r="Y7601">
        <v>0</v>
      </c>
      <c r="Z7601">
        <v>1</v>
      </c>
      <c r="AA7601">
        <v>252</v>
      </c>
      <c r="AB7601">
        <v>10.84</v>
      </c>
      <c r="AC7601">
        <v>252</v>
      </c>
      <c r="AD7601">
        <v>5</v>
      </c>
      <c r="AE7601">
        <v>0.42</v>
      </c>
      <c r="AF7601">
        <v>0</v>
      </c>
      <c r="AG7601">
        <v>0</v>
      </c>
      <c r="AH7601">
        <v>0</v>
      </c>
      <c r="AI7601">
        <v>38.61</v>
      </c>
      <c r="AJ7601">
        <v>257.42</v>
      </c>
      <c r="AK7601">
        <v>246.58</v>
      </c>
      <c r="AL7601" t="s">
        <v>53</v>
      </c>
      <c r="AM7601" t="s">
        <v>53</v>
      </c>
      <c r="AN7601" t="s">
        <v>14051</v>
      </c>
      <c r="AO7601" t="s">
        <v>53</v>
      </c>
      <c r="AP7601" t="s">
        <v>53</v>
      </c>
    </row>
    <row r="7602" spans="2:42" x14ac:dyDescent="0.2">
      <c r="B7602" t="s">
        <v>44</v>
      </c>
      <c r="C7602" t="str">
        <f>HYPERLINK("https://us2.cloudbeds.com/connect/8493803454333002#/reservations/9080486847621326?display=42KR3JGM8G&amp;reservation_id=9080486847621326", "42KR3JGM8G")</f>
        <v>42KR3JGM8G</v>
      </c>
      <c r="D7602" t="s">
        <v>45</v>
      </c>
      <c r="E7602" t="s">
        <v>213</v>
      </c>
      <c r="F7602" t="s">
        <v>86</v>
      </c>
      <c r="G7602" t="s">
        <v>48</v>
      </c>
      <c r="H7602" t="s">
        <v>49</v>
      </c>
      <c r="I7602" t="s">
        <v>62</v>
      </c>
      <c r="J7602" t="s">
        <v>13046</v>
      </c>
      <c r="K7602" t="s">
        <v>10586</v>
      </c>
      <c r="L7602" t="s">
        <v>53</v>
      </c>
      <c r="N7602" t="s">
        <v>14052</v>
      </c>
      <c r="P7602" t="s">
        <v>55</v>
      </c>
      <c r="R7602" t="s">
        <v>56</v>
      </c>
      <c r="T7602" t="s">
        <v>14053</v>
      </c>
      <c r="U7602" t="s">
        <v>55</v>
      </c>
      <c r="V7602">
        <v>3</v>
      </c>
      <c r="W7602">
        <v>1</v>
      </c>
      <c r="X7602">
        <v>2</v>
      </c>
      <c r="Y7602">
        <v>0</v>
      </c>
      <c r="Z7602">
        <v>2</v>
      </c>
      <c r="AA7602">
        <v>280.5</v>
      </c>
      <c r="AB7602">
        <v>280.5</v>
      </c>
      <c r="AC7602">
        <v>280.5</v>
      </c>
      <c r="AD7602">
        <v>0</v>
      </c>
      <c r="AE7602">
        <v>0</v>
      </c>
      <c r="AF7602">
        <v>0</v>
      </c>
      <c r="AG7602">
        <v>0</v>
      </c>
      <c r="AH7602">
        <v>0</v>
      </c>
      <c r="AI7602">
        <v>50.49</v>
      </c>
      <c r="AJ7602">
        <v>280.5</v>
      </c>
      <c r="AK7602">
        <v>0</v>
      </c>
      <c r="AL7602" t="s">
        <v>53</v>
      </c>
      <c r="AM7602" t="s">
        <v>53</v>
      </c>
      <c r="AN7602" t="s">
        <v>53</v>
      </c>
      <c r="AO7602" t="s">
        <v>53</v>
      </c>
      <c r="AP7602" t="s">
        <v>53</v>
      </c>
    </row>
    <row r="7603" spans="2:42" x14ac:dyDescent="0.2">
      <c r="B7603" t="s">
        <v>44</v>
      </c>
      <c r="C7603" t="str">
        <f>HYPERLINK("https://us2.cloudbeds.com/connect/8493803454333002#/reservations/9080486847621769?display=42Y8AD4Z82&amp;reservation_id=9080486847621769", "42Y8AD4Z82")</f>
        <v>42Y8AD4Z82</v>
      </c>
      <c r="D7603" t="s">
        <v>45</v>
      </c>
      <c r="E7603" t="s">
        <v>85</v>
      </c>
      <c r="F7603" t="s">
        <v>86</v>
      </c>
      <c r="G7603" t="s">
        <v>48</v>
      </c>
      <c r="H7603" t="s">
        <v>49</v>
      </c>
      <c r="I7603" t="s">
        <v>62</v>
      </c>
      <c r="J7603" t="s">
        <v>12323</v>
      </c>
      <c r="K7603" t="s">
        <v>13747</v>
      </c>
      <c r="L7603" t="s">
        <v>53</v>
      </c>
      <c r="N7603" t="s">
        <v>14054</v>
      </c>
      <c r="P7603" t="s">
        <v>55</v>
      </c>
      <c r="R7603" t="s">
        <v>56</v>
      </c>
      <c r="T7603" t="s">
        <v>14055</v>
      </c>
      <c r="U7603" t="s">
        <v>55</v>
      </c>
      <c r="V7603">
        <v>3</v>
      </c>
      <c r="W7603">
        <v>1</v>
      </c>
      <c r="X7603">
        <v>4</v>
      </c>
      <c r="Y7603">
        <v>0</v>
      </c>
      <c r="Z7603">
        <v>4</v>
      </c>
      <c r="AA7603">
        <v>227.73</v>
      </c>
      <c r="AB7603">
        <v>227.73</v>
      </c>
      <c r="AC7603">
        <v>227.73</v>
      </c>
      <c r="AD7603">
        <v>0</v>
      </c>
      <c r="AE7603">
        <v>0</v>
      </c>
      <c r="AF7603">
        <v>0</v>
      </c>
      <c r="AG7603">
        <v>0</v>
      </c>
      <c r="AH7603">
        <v>0</v>
      </c>
      <c r="AI7603">
        <v>40.99</v>
      </c>
      <c r="AJ7603">
        <v>227.73</v>
      </c>
      <c r="AK7603">
        <v>0</v>
      </c>
      <c r="AL7603" t="s">
        <v>53</v>
      </c>
      <c r="AM7603" t="s">
        <v>53</v>
      </c>
      <c r="AN7603" t="s">
        <v>53</v>
      </c>
      <c r="AO7603" t="s">
        <v>53</v>
      </c>
      <c r="AP7603" t="s">
        <v>53</v>
      </c>
    </row>
    <row r="7604" spans="2:42" x14ac:dyDescent="0.2">
      <c r="B7604" t="s">
        <v>44</v>
      </c>
      <c r="C7604" t="str">
        <f>HYPERLINK("https://us2.cloudbeds.com/connect/8493803454333002#/reservations/9080486847622037?display=42YGF8CPR2&amp;reservation_id=9080486847622037", "42YGF8CPR2")</f>
        <v>42YGF8CPR2</v>
      </c>
      <c r="D7604" t="s">
        <v>45</v>
      </c>
      <c r="E7604" t="s">
        <v>381</v>
      </c>
      <c r="F7604" t="s">
        <v>47</v>
      </c>
      <c r="G7604" t="s">
        <v>48</v>
      </c>
      <c r="H7604" t="s">
        <v>49</v>
      </c>
      <c r="I7604" t="s">
        <v>62</v>
      </c>
      <c r="J7604" t="s">
        <v>13747</v>
      </c>
      <c r="K7604" t="s">
        <v>9969</v>
      </c>
      <c r="L7604" t="s">
        <v>53</v>
      </c>
      <c r="N7604" t="s">
        <v>14056</v>
      </c>
      <c r="P7604" t="s">
        <v>55</v>
      </c>
      <c r="R7604" t="s">
        <v>56</v>
      </c>
      <c r="T7604" t="s">
        <v>14057</v>
      </c>
      <c r="U7604" t="s">
        <v>55</v>
      </c>
      <c r="V7604">
        <v>4</v>
      </c>
      <c r="W7604">
        <v>1</v>
      </c>
      <c r="X7604">
        <v>2</v>
      </c>
      <c r="Y7604">
        <v>0</v>
      </c>
      <c r="Z7604">
        <v>2</v>
      </c>
      <c r="AA7604">
        <v>260.83</v>
      </c>
      <c r="AB7604">
        <v>266.25</v>
      </c>
      <c r="AC7604">
        <v>260.83</v>
      </c>
      <c r="AD7604">
        <v>5</v>
      </c>
      <c r="AE7604">
        <v>0.42</v>
      </c>
      <c r="AF7604">
        <v>0</v>
      </c>
      <c r="AG7604">
        <v>0</v>
      </c>
      <c r="AH7604">
        <v>0</v>
      </c>
      <c r="AI7604">
        <v>47.93</v>
      </c>
      <c r="AJ7604">
        <v>266.25</v>
      </c>
      <c r="AK7604">
        <v>0</v>
      </c>
      <c r="AL7604" t="s">
        <v>53</v>
      </c>
      <c r="AM7604" t="s">
        <v>53</v>
      </c>
      <c r="AN7604" t="s">
        <v>14058</v>
      </c>
      <c r="AO7604" t="s">
        <v>53</v>
      </c>
      <c r="AP7604" t="s">
        <v>53</v>
      </c>
    </row>
    <row r="7605" spans="2:42" x14ac:dyDescent="0.2">
      <c r="B7605" t="s">
        <v>44</v>
      </c>
      <c r="C7605" t="str">
        <f>HYPERLINK("https://us2.cloudbeds.com/connect/8493803454333002#/reservations/9080486847622587?display=42M0VNNN9H&amp;reservation_id=9080486847622587", "42M0VNNN9H")</f>
        <v>42M0VNNN9H</v>
      </c>
      <c r="D7605" t="s">
        <v>45</v>
      </c>
      <c r="E7605" t="s">
        <v>190</v>
      </c>
      <c r="F7605" t="s">
        <v>61</v>
      </c>
      <c r="G7605" t="s">
        <v>48</v>
      </c>
      <c r="H7605" t="s">
        <v>49</v>
      </c>
      <c r="I7605" t="s">
        <v>62</v>
      </c>
      <c r="J7605" t="s">
        <v>13468</v>
      </c>
      <c r="K7605" t="s">
        <v>12159</v>
      </c>
      <c r="L7605" t="s">
        <v>53</v>
      </c>
      <c r="N7605" t="s">
        <v>14059</v>
      </c>
      <c r="P7605" t="s">
        <v>55</v>
      </c>
      <c r="R7605" t="s">
        <v>201</v>
      </c>
      <c r="T7605" t="s">
        <v>14060</v>
      </c>
      <c r="U7605" t="s">
        <v>55</v>
      </c>
      <c r="V7605">
        <v>2</v>
      </c>
      <c r="W7605">
        <v>1</v>
      </c>
      <c r="X7605">
        <v>2</v>
      </c>
      <c r="Y7605">
        <v>0</v>
      </c>
      <c r="Z7605">
        <v>2</v>
      </c>
      <c r="AA7605">
        <v>137.69999999999999</v>
      </c>
      <c r="AB7605">
        <v>137.69999999999999</v>
      </c>
      <c r="AC7605">
        <v>137.69999999999999</v>
      </c>
      <c r="AD7605">
        <v>0</v>
      </c>
      <c r="AE7605">
        <v>0</v>
      </c>
      <c r="AF7605">
        <v>0</v>
      </c>
      <c r="AG7605">
        <v>0</v>
      </c>
      <c r="AH7605">
        <v>0</v>
      </c>
      <c r="AI7605">
        <v>24.79</v>
      </c>
      <c r="AJ7605">
        <v>137.69999999999999</v>
      </c>
      <c r="AK7605">
        <v>0</v>
      </c>
      <c r="AL7605" t="s">
        <v>53</v>
      </c>
      <c r="AM7605" t="s">
        <v>53</v>
      </c>
      <c r="AN7605" t="s">
        <v>53</v>
      </c>
      <c r="AO7605" t="s">
        <v>53</v>
      </c>
      <c r="AP7605" t="s">
        <v>53</v>
      </c>
    </row>
    <row r="7606" spans="2:42" x14ac:dyDescent="0.2">
      <c r="B7606" t="s">
        <v>44</v>
      </c>
      <c r="C7606" t="str">
        <f>HYPERLINK("https://us2.cloudbeds.com/connect/8493803454333002#/reservations/9080486847622813?display=42M8GCATBB&amp;reservation_id=9080486847622813", "42M8GCATBB")</f>
        <v>42M8GCATBB</v>
      </c>
      <c r="D7606" t="s">
        <v>45</v>
      </c>
      <c r="E7606" t="s">
        <v>265</v>
      </c>
      <c r="F7606" t="s">
        <v>61</v>
      </c>
      <c r="G7606" t="s">
        <v>48</v>
      </c>
      <c r="H7606" t="s">
        <v>49</v>
      </c>
      <c r="I7606" t="s">
        <v>50</v>
      </c>
      <c r="J7606" t="s">
        <v>13046</v>
      </c>
      <c r="K7606" t="s">
        <v>13047</v>
      </c>
      <c r="L7606" t="s">
        <v>53</v>
      </c>
      <c r="N7606" t="s">
        <v>14061</v>
      </c>
      <c r="P7606" t="s">
        <v>55</v>
      </c>
      <c r="R7606" t="s">
        <v>53</v>
      </c>
      <c r="T7606" t="s">
        <v>14062</v>
      </c>
      <c r="U7606" t="s">
        <v>58</v>
      </c>
      <c r="V7606">
        <v>1</v>
      </c>
      <c r="W7606">
        <v>1</v>
      </c>
      <c r="X7606">
        <v>1</v>
      </c>
      <c r="Y7606">
        <v>0</v>
      </c>
      <c r="Z7606">
        <v>1</v>
      </c>
      <c r="AA7606">
        <v>86.37</v>
      </c>
      <c r="AB7606">
        <v>86.37</v>
      </c>
      <c r="AC7606">
        <v>76</v>
      </c>
      <c r="AD7606">
        <v>0</v>
      </c>
      <c r="AE7606">
        <v>10.37</v>
      </c>
      <c r="AF7606">
        <v>0</v>
      </c>
      <c r="AG7606">
        <v>0</v>
      </c>
      <c r="AH7606">
        <v>0</v>
      </c>
      <c r="AI7606">
        <v>15.55</v>
      </c>
      <c r="AJ7606">
        <v>86.37</v>
      </c>
      <c r="AK7606">
        <v>0</v>
      </c>
      <c r="AL7606" t="s">
        <v>53</v>
      </c>
      <c r="AM7606" t="s">
        <v>53</v>
      </c>
      <c r="AN7606" t="s">
        <v>14063</v>
      </c>
      <c r="AO7606" t="s">
        <v>53</v>
      </c>
      <c r="AP7606" t="s">
        <v>53</v>
      </c>
    </row>
    <row r="7607" spans="2:42" x14ac:dyDescent="0.2">
      <c r="B7607" t="s">
        <v>44</v>
      </c>
      <c r="C7607" t="str">
        <f>HYPERLINK("https://us2.cloudbeds.com/connect/8493803454333002#/reservations/9080486847622997?display=42ME9K5Z5V&amp;reservation_id=9080486847622997", "42ME9K5Z5V")</f>
        <v>42ME9K5Z5V</v>
      </c>
      <c r="D7607" t="s">
        <v>45</v>
      </c>
      <c r="E7607" t="s">
        <v>98</v>
      </c>
      <c r="F7607" t="s">
        <v>86</v>
      </c>
      <c r="G7607" t="s">
        <v>48</v>
      </c>
      <c r="H7607" t="s">
        <v>49</v>
      </c>
      <c r="I7607" t="s">
        <v>62</v>
      </c>
      <c r="J7607" t="s">
        <v>9935</v>
      </c>
      <c r="K7607" t="s">
        <v>9969</v>
      </c>
      <c r="L7607" t="s">
        <v>53</v>
      </c>
      <c r="N7607" t="s">
        <v>14064</v>
      </c>
      <c r="P7607" t="s">
        <v>55</v>
      </c>
      <c r="R7607" t="s">
        <v>56</v>
      </c>
      <c r="T7607" t="s">
        <v>14065</v>
      </c>
      <c r="U7607" t="s">
        <v>55</v>
      </c>
      <c r="V7607">
        <v>2</v>
      </c>
      <c r="W7607">
        <v>1</v>
      </c>
      <c r="X7607">
        <v>2</v>
      </c>
      <c r="Y7607">
        <v>0</v>
      </c>
      <c r="Z7607">
        <v>2</v>
      </c>
      <c r="AA7607">
        <v>187</v>
      </c>
      <c r="AB7607">
        <v>187</v>
      </c>
      <c r="AC7607">
        <v>187</v>
      </c>
      <c r="AD7607">
        <v>0</v>
      </c>
      <c r="AE7607">
        <v>0</v>
      </c>
      <c r="AF7607">
        <v>0</v>
      </c>
      <c r="AG7607">
        <v>0</v>
      </c>
      <c r="AH7607">
        <v>0</v>
      </c>
      <c r="AI7607">
        <v>33.659999999999997</v>
      </c>
      <c r="AJ7607">
        <v>187</v>
      </c>
      <c r="AK7607">
        <v>0</v>
      </c>
      <c r="AL7607" t="s">
        <v>53</v>
      </c>
      <c r="AM7607" t="s">
        <v>53</v>
      </c>
      <c r="AN7607" t="s">
        <v>53</v>
      </c>
      <c r="AO7607" t="s">
        <v>53</v>
      </c>
      <c r="AP7607" t="s">
        <v>53</v>
      </c>
    </row>
    <row r="7608" spans="2:42" x14ac:dyDescent="0.2">
      <c r="B7608" t="s">
        <v>44</v>
      </c>
      <c r="C7608" t="str">
        <f>HYPERLINK("https://us2.cloudbeds.com/connect/8493803454333002#/reservations/9080486847627874?display=42R77UMQNA&amp;reservation_id=9080486847627874", "42R77UMQNA")</f>
        <v>42R77UMQNA</v>
      </c>
      <c r="D7608" t="s">
        <v>45</v>
      </c>
      <c r="E7608" t="s">
        <v>128</v>
      </c>
      <c r="F7608" t="s">
        <v>86</v>
      </c>
      <c r="G7608" t="s">
        <v>48</v>
      </c>
      <c r="H7608" t="s">
        <v>49</v>
      </c>
      <c r="I7608" t="s">
        <v>8964</v>
      </c>
      <c r="J7608" t="s">
        <v>13468</v>
      </c>
      <c r="K7608" t="s">
        <v>10586</v>
      </c>
      <c r="L7608" t="s">
        <v>53</v>
      </c>
      <c r="N7608" t="s">
        <v>14066</v>
      </c>
      <c r="P7608" t="s">
        <v>55</v>
      </c>
      <c r="R7608" t="s">
        <v>53</v>
      </c>
      <c r="T7608" t="s">
        <v>14067</v>
      </c>
      <c r="U7608" t="s">
        <v>55</v>
      </c>
      <c r="V7608">
        <v>1</v>
      </c>
      <c r="W7608">
        <v>1</v>
      </c>
      <c r="X7608">
        <v>1</v>
      </c>
      <c r="Y7608">
        <v>0</v>
      </c>
      <c r="Z7608">
        <v>1</v>
      </c>
      <c r="AA7608">
        <v>0</v>
      </c>
      <c r="AB7608">
        <v>0</v>
      </c>
      <c r="AC7608">
        <v>113</v>
      </c>
      <c r="AD7608">
        <v>0</v>
      </c>
      <c r="AE7608">
        <v>0</v>
      </c>
      <c r="AF7608">
        <v>0</v>
      </c>
      <c r="AG7608">
        <v>0</v>
      </c>
      <c r="AH7608">
        <v>0</v>
      </c>
      <c r="AI7608">
        <v>16.95</v>
      </c>
      <c r="AJ7608">
        <v>113</v>
      </c>
      <c r="AK7608">
        <v>113</v>
      </c>
      <c r="AL7608" t="s">
        <v>53</v>
      </c>
      <c r="AM7608" t="s">
        <v>53</v>
      </c>
      <c r="AN7608" t="s">
        <v>14068</v>
      </c>
      <c r="AO7608" t="s">
        <v>53</v>
      </c>
      <c r="AP7608" t="s">
        <v>53</v>
      </c>
    </row>
    <row r="7609" spans="2:42" x14ac:dyDescent="0.2">
      <c r="B7609" t="s">
        <v>44</v>
      </c>
      <c r="C7609" t="str">
        <f>HYPERLINK("https://us2.cloudbeds.com/connect/8493803454333002#/reservations/9080486847628467?display=42RJVXVU25&amp;reservation_id=9080486847628467", "42RJVXVU25")</f>
        <v>42RJVXVU25</v>
      </c>
      <c r="D7609" t="s">
        <v>45</v>
      </c>
      <c r="E7609" t="s">
        <v>185</v>
      </c>
      <c r="F7609" t="s">
        <v>47</v>
      </c>
      <c r="G7609" t="s">
        <v>48</v>
      </c>
      <c r="H7609" t="s">
        <v>49</v>
      </c>
      <c r="I7609" t="s">
        <v>62</v>
      </c>
      <c r="J7609" t="s">
        <v>13468</v>
      </c>
      <c r="K7609" t="s">
        <v>10586</v>
      </c>
      <c r="L7609" t="s">
        <v>53</v>
      </c>
      <c r="N7609" t="s">
        <v>14069</v>
      </c>
      <c r="P7609" t="s">
        <v>55</v>
      </c>
      <c r="R7609" t="s">
        <v>56</v>
      </c>
      <c r="T7609" t="s">
        <v>14070</v>
      </c>
      <c r="U7609" t="s">
        <v>55</v>
      </c>
      <c r="V7609">
        <v>1</v>
      </c>
      <c r="W7609">
        <v>1</v>
      </c>
      <c r="X7609">
        <v>1</v>
      </c>
      <c r="Y7609">
        <v>0</v>
      </c>
      <c r="Z7609">
        <v>1</v>
      </c>
      <c r="AA7609">
        <v>65.45</v>
      </c>
      <c r="AB7609">
        <v>65.45</v>
      </c>
      <c r="AC7609">
        <v>65.45</v>
      </c>
      <c r="AD7609">
        <v>0</v>
      </c>
      <c r="AE7609">
        <v>0</v>
      </c>
      <c r="AF7609">
        <v>0</v>
      </c>
      <c r="AG7609">
        <v>0</v>
      </c>
      <c r="AH7609">
        <v>0</v>
      </c>
      <c r="AI7609">
        <v>11.78</v>
      </c>
      <c r="AJ7609">
        <v>65.45</v>
      </c>
      <c r="AK7609">
        <v>0</v>
      </c>
      <c r="AL7609" t="s">
        <v>53</v>
      </c>
      <c r="AM7609" t="s">
        <v>53</v>
      </c>
      <c r="AN7609" t="s">
        <v>14071</v>
      </c>
      <c r="AO7609" t="s">
        <v>53</v>
      </c>
      <c r="AP7609" t="s">
        <v>53</v>
      </c>
    </row>
    <row r="7610" spans="2:42" x14ac:dyDescent="0.2">
      <c r="B7610" t="s">
        <v>44</v>
      </c>
      <c r="C7610" t="str">
        <f>HYPERLINK("https://us2.cloudbeds.com/connect/8493803454333002#/reservations/189675579510957?display=42SX6MQ2YB&amp;reservation_id=189675579510957", "42SX6MQ2YB")</f>
        <v>42SX6MQ2YB</v>
      </c>
      <c r="D7610" t="s">
        <v>45</v>
      </c>
      <c r="E7610" t="s">
        <v>121</v>
      </c>
      <c r="F7610" t="s">
        <v>86</v>
      </c>
      <c r="G7610" t="s">
        <v>48</v>
      </c>
      <c r="H7610" t="s">
        <v>3957</v>
      </c>
      <c r="I7610" t="s">
        <v>3975</v>
      </c>
      <c r="J7610" t="s">
        <v>9935</v>
      </c>
      <c r="K7610" t="s">
        <v>9969</v>
      </c>
      <c r="L7610" t="s">
        <v>53</v>
      </c>
      <c r="P7610" t="s">
        <v>55</v>
      </c>
      <c r="R7610" t="s">
        <v>56</v>
      </c>
      <c r="T7610" t="s">
        <v>14072</v>
      </c>
      <c r="U7610" t="s">
        <v>58</v>
      </c>
      <c r="V7610">
        <v>2</v>
      </c>
      <c r="W7610">
        <v>1</v>
      </c>
      <c r="X7610">
        <v>2</v>
      </c>
      <c r="Y7610">
        <v>0</v>
      </c>
      <c r="Z7610">
        <v>2</v>
      </c>
      <c r="AA7610">
        <v>0</v>
      </c>
      <c r="AB7610">
        <v>254.59</v>
      </c>
      <c r="AC7610">
        <v>224</v>
      </c>
      <c r="AD7610">
        <v>0</v>
      </c>
      <c r="AE7610">
        <v>30.59</v>
      </c>
      <c r="AF7610">
        <v>0</v>
      </c>
      <c r="AG7610">
        <v>0</v>
      </c>
      <c r="AH7610">
        <v>0</v>
      </c>
      <c r="AI7610">
        <v>0</v>
      </c>
      <c r="AJ7610">
        <v>254.59</v>
      </c>
      <c r="AK7610">
        <v>0</v>
      </c>
      <c r="AL7610" t="s">
        <v>53</v>
      </c>
      <c r="AM7610" t="s">
        <v>53</v>
      </c>
      <c r="AN7610" t="s">
        <v>14073</v>
      </c>
      <c r="AO7610" t="s">
        <v>53</v>
      </c>
      <c r="AP7610" t="s">
        <v>53</v>
      </c>
    </row>
    <row r="7611" spans="2:42" x14ac:dyDescent="0.2">
      <c r="B7611" t="s">
        <v>44</v>
      </c>
      <c r="C7611" t="str">
        <f>HYPERLINK("https://us2.cloudbeds.com/connect/8493803454333002#/reservations/9080486847629932?display=42SR86UTJS&amp;reservation_id=9080486847629932", "42SR86UTJS")</f>
        <v>42SR86UTJS</v>
      </c>
      <c r="D7611" t="s">
        <v>45</v>
      </c>
      <c r="E7611" t="s">
        <v>406</v>
      </c>
      <c r="F7611" t="s">
        <v>61</v>
      </c>
      <c r="G7611" t="s">
        <v>48</v>
      </c>
      <c r="H7611" t="s">
        <v>49</v>
      </c>
      <c r="I7611" t="s">
        <v>62</v>
      </c>
      <c r="J7611" t="s">
        <v>9935</v>
      </c>
      <c r="K7611" t="s">
        <v>9969</v>
      </c>
      <c r="L7611" t="s">
        <v>53</v>
      </c>
      <c r="N7611" t="s">
        <v>14074</v>
      </c>
      <c r="P7611" t="s">
        <v>55</v>
      </c>
      <c r="R7611" t="s">
        <v>56</v>
      </c>
      <c r="T7611" t="s">
        <v>14075</v>
      </c>
      <c r="U7611" t="s">
        <v>55</v>
      </c>
      <c r="V7611">
        <v>2</v>
      </c>
      <c r="W7611">
        <v>1</v>
      </c>
      <c r="X7611">
        <v>2</v>
      </c>
      <c r="Y7611">
        <v>0</v>
      </c>
      <c r="Z7611">
        <v>2</v>
      </c>
      <c r="AA7611">
        <v>155.04</v>
      </c>
      <c r="AB7611">
        <v>155.04</v>
      </c>
      <c r="AC7611">
        <v>155.04</v>
      </c>
      <c r="AD7611">
        <v>0</v>
      </c>
      <c r="AE7611">
        <v>0</v>
      </c>
      <c r="AF7611">
        <v>0</v>
      </c>
      <c r="AG7611">
        <v>0</v>
      </c>
      <c r="AH7611">
        <v>0</v>
      </c>
      <c r="AI7611">
        <v>27.91</v>
      </c>
      <c r="AJ7611">
        <v>155.04</v>
      </c>
      <c r="AK7611">
        <v>0</v>
      </c>
      <c r="AL7611" t="s">
        <v>53</v>
      </c>
      <c r="AM7611" t="s">
        <v>53</v>
      </c>
      <c r="AN7611" t="s">
        <v>53</v>
      </c>
      <c r="AO7611" t="s">
        <v>53</v>
      </c>
      <c r="AP7611" t="s">
        <v>53</v>
      </c>
    </row>
    <row r="7612" spans="2:42" x14ac:dyDescent="0.2">
      <c r="B7612" t="s">
        <v>44</v>
      </c>
      <c r="C7612" t="str">
        <f>HYPERLINK("https://us2.cloudbeds.com/connect/8493803454333002#/reservations/9080486847629988?display=42SSUHZXRH&amp;reservation_id=9080486847629988", "42SSUHZXRH")</f>
        <v>42SSUHZXRH</v>
      </c>
      <c r="D7612" t="s">
        <v>45</v>
      </c>
      <c r="E7612" t="s">
        <v>185</v>
      </c>
      <c r="F7612" t="s">
        <v>47</v>
      </c>
      <c r="G7612" t="s">
        <v>48</v>
      </c>
      <c r="H7612" t="s">
        <v>49</v>
      </c>
      <c r="I7612" t="s">
        <v>62</v>
      </c>
      <c r="J7612" t="s">
        <v>10680</v>
      </c>
      <c r="K7612" t="s">
        <v>10681</v>
      </c>
      <c r="L7612" t="s">
        <v>53</v>
      </c>
      <c r="N7612" t="s">
        <v>14076</v>
      </c>
      <c r="P7612" t="s">
        <v>55</v>
      </c>
      <c r="R7612" t="s">
        <v>56</v>
      </c>
      <c r="T7612" t="s">
        <v>14077</v>
      </c>
      <c r="U7612" t="s">
        <v>55</v>
      </c>
      <c r="V7612">
        <v>1</v>
      </c>
      <c r="W7612">
        <v>1</v>
      </c>
      <c r="X7612">
        <v>2</v>
      </c>
      <c r="Y7612">
        <v>0</v>
      </c>
      <c r="Z7612">
        <v>2</v>
      </c>
      <c r="AA7612">
        <v>68.64</v>
      </c>
      <c r="AB7612">
        <v>71.349999999999994</v>
      </c>
      <c r="AC7612">
        <v>68.64</v>
      </c>
      <c r="AD7612">
        <v>2.5</v>
      </c>
      <c r="AE7612">
        <v>0.21</v>
      </c>
      <c r="AF7612">
        <v>0</v>
      </c>
      <c r="AG7612">
        <v>0</v>
      </c>
      <c r="AH7612">
        <v>0</v>
      </c>
      <c r="AI7612">
        <v>12.84</v>
      </c>
      <c r="AJ7612">
        <v>71.349999999999994</v>
      </c>
      <c r="AK7612">
        <v>0</v>
      </c>
      <c r="AL7612" t="s">
        <v>53</v>
      </c>
      <c r="AM7612" t="s">
        <v>53</v>
      </c>
      <c r="AN7612" t="s">
        <v>14078</v>
      </c>
      <c r="AO7612" t="s">
        <v>53</v>
      </c>
      <c r="AP7612" t="s">
        <v>53</v>
      </c>
    </row>
    <row r="7613" spans="2:42" x14ac:dyDescent="0.2">
      <c r="B7613" t="s">
        <v>44</v>
      </c>
      <c r="C7613" t="str">
        <f>HYPERLINK("https://us2.cloudbeds.com/connect/8493803454333002#/reservations/9080486847630260?display=42T45SV3TN&amp;reservation_id=9080486847630260", "42T45SV3TN")</f>
        <v>42T45SV3TN</v>
      </c>
      <c r="D7613" t="s">
        <v>45</v>
      </c>
      <c r="E7613" t="s">
        <v>223</v>
      </c>
      <c r="F7613" t="s">
        <v>47</v>
      </c>
      <c r="G7613" t="s">
        <v>48</v>
      </c>
      <c r="H7613" t="s">
        <v>49</v>
      </c>
      <c r="I7613" t="s">
        <v>50</v>
      </c>
      <c r="J7613" t="s">
        <v>12908</v>
      </c>
      <c r="K7613" t="s">
        <v>9969</v>
      </c>
      <c r="L7613" t="s">
        <v>53</v>
      </c>
      <c r="N7613" t="s">
        <v>14079</v>
      </c>
      <c r="P7613" t="s">
        <v>55</v>
      </c>
      <c r="R7613" t="s">
        <v>53</v>
      </c>
      <c r="T7613" t="s">
        <v>14080</v>
      </c>
      <c r="U7613" t="s">
        <v>58</v>
      </c>
      <c r="V7613">
        <v>1</v>
      </c>
      <c r="W7613">
        <v>1</v>
      </c>
      <c r="X7613">
        <v>2</v>
      </c>
      <c r="Y7613">
        <v>0</v>
      </c>
      <c r="Z7613">
        <v>2</v>
      </c>
      <c r="AA7613">
        <v>77.28</v>
      </c>
      <c r="AB7613">
        <v>77.28</v>
      </c>
      <c r="AC7613">
        <v>68</v>
      </c>
      <c r="AD7613">
        <v>0</v>
      </c>
      <c r="AE7613">
        <v>9.2799999999999994</v>
      </c>
      <c r="AF7613">
        <v>0</v>
      </c>
      <c r="AG7613">
        <v>0</v>
      </c>
      <c r="AH7613">
        <v>0</v>
      </c>
      <c r="AI7613">
        <v>13.91</v>
      </c>
      <c r="AJ7613">
        <v>77.28</v>
      </c>
      <c r="AK7613">
        <v>0</v>
      </c>
      <c r="AL7613" t="s">
        <v>53</v>
      </c>
      <c r="AM7613" t="s">
        <v>53</v>
      </c>
      <c r="AN7613" t="s">
        <v>53</v>
      </c>
      <c r="AO7613" t="s">
        <v>53</v>
      </c>
      <c r="AP7613" t="s">
        <v>53</v>
      </c>
    </row>
    <row r="7614" spans="2:42" x14ac:dyDescent="0.2">
      <c r="B7614" t="s">
        <v>44</v>
      </c>
      <c r="C7614" t="str">
        <f>HYPERLINK("https://us2.cloudbeds.com/connect/8493803454333002#/reservations/9080486847630515?display=42TCQ5SATR&amp;reservation_id=9080486847630515", "42TCQ5SATR")</f>
        <v>42TCQ5SATR</v>
      </c>
      <c r="D7614" t="s">
        <v>45</v>
      </c>
      <c r="E7614" t="s">
        <v>381</v>
      </c>
      <c r="F7614" t="s">
        <v>47</v>
      </c>
      <c r="G7614" t="s">
        <v>48</v>
      </c>
      <c r="H7614" t="s">
        <v>49</v>
      </c>
      <c r="I7614" t="s">
        <v>62</v>
      </c>
      <c r="J7614" t="s">
        <v>14081</v>
      </c>
      <c r="K7614" t="s">
        <v>13531</v>
      </c>
      <c r="L7614" t="s">
        <v>53</v>
      </c>
      <c r="N7614" t="s">
        <v>14082</v>
      </c>
      <c r="P7614" t="s">
        <v>55</v>
      </c>
      <c r="R7614" t="s">
        <v>56</v>
      </c>
      <c r="T7614" t="s">
        <v>14083</v>
      </c>
      <c r="U7614" t="s">
        <v>55</v>
      </c>
      <c r="V7614">
        <v>1</v>
      </c>
      <c r="W7614">
        <v>1</v>
      </c>
      <c r="X7614">
        <v>2</v>
      </c>
      <c r="Y7614">
        <v>0</v>
      </c>
      <c r="Z7614">
        <v>2</v>
      </c>
      <c r="AA7614">
        <v>66.22</v>
      </c>
      <c r="AB7614">
        <v>66.22</v>
      </c>
      <c r="AC7614">
        <v>66.22</v>
      </c>
      <c r="AD7614">
        <v>0</v>
      </c>
      <c r="AE7614">
        <v>0</v>
      </c>
      <c r="AF7614">
        <v>0</v>
      </c>
      <c r="AG7614">
        <v>0</v>
      </c>
      <c r="AH7614">
        <v>0</v>
      </c>
      <c r="AI7614">
        <v>11.92</v>
      </c>
      <c r="AJ7614">
        <v>66.22</v>
      </c>
      <c r="AK7614">
        <v>0</v>
      </c>
      <c r="AL7614" t="s">
        <v>53</v>
      </c>
      <c r="AM7614" t="s">
        <v>53</v>
      </c>
      <c r="AN7614" t="s">
        <v>53</v>
      </c>
      <c r="AO7614" t="s">
        <v>53</v>
      </c>
      <c r="AP7614" t="s">
        <v>53</v>
      </c>
    </row>
    <row r="7615" spans="2:42" x14ac:dyDescent="0.2">
      <c r="B7615" t="s">
        <v>44</v>
      </c>
      <c r="C7615" t="str">
        <f>HYPERLINK("https://us2.cloudbeds.com/connect/8493803454333002#/reservations/9080486847631182?display=42U47ECAGQ&amp;reservation_id=9080486847631182", "42U47ECAGQ")</f>
        <v>42U47ECAGQ</v>
      </c>
      <c r="D7615" t="s">
        <v>45</v>
      </c>
      <c r="E7615" t="s">
        <v>105</v>
      </c>
      <c r="F7615" t="s">
        <v>47</v>
      </c>
      <c r="G7615" t="s">
        <v>48</v>
      </c>
      <c r="H7615" t="s">
        <v>49</v>
      </c>
      <c r="I7615" t="s">
        <v>62</v>
      </c>
      <c r="J7615" t="s">
        <v>13747</v>
      </c>
      <c r="K7615" t="s">
        <v>13735</v>
      </c>
      <c r="L7615" t="s">
        <v>53</v>
      </c>
      <c r="N7615" t="s">
        <v>14084</v>
      </c>
      <c r="P7615" t="s">
        <v>55</v>
      </c>
      <c r="R7615" t="s">
        <v>56</v>
      </c>
      <c r="T7615" t="s">
        <v>14085</v>
      </c>
      <c r="U7615" t="s">
        <v>55</v>
      </c>
      <c r="V7615">
        <v>1</v>
      </c>
      <c r="W7615">
        <v>1</v>
      </c>
      <c r="X7615">
        <v>2</v>
      </c>
      <c r="Y7615">
        <v>0</v>
      </c>
      <c r="Z7615">
        <v>2</v>
      </c>
      <c r="AA7615">
        <v>53.3</v>
      </c>
      <c r="AB7615">
        <v>53.3</v>
      </c>
      <c r="AC7615">
        <v>53.3</v>
      </c>
      <c r="AD7615">
        <v>0</v>
      </c>
      <c r="AE7615">
        <v>0</v>
      </c>
      <c r="AF7615">
        <v>0</v>
      </c>
      <c r="AG7615">
        <v>0</v>
      </c>
      <c r="AH7615">
        <v>0</v>
      </c>
      <c r="AI7615">
        <v>9.59</v>
      </c>
      <c r="AJ7615">
        <v>53.3</v>
      </c>
      <c r="AK7615">
        <v>0</v>
      </c>
      <c r="AL7615" t="s">
        <v>53</v>
      </c>
      <c r="AM7615" t="s">
        <v>53</v>
      </c>
      <c r="AN7615" t="s">
        <v>14086</v>
      </c>
      <c r="AO7615" t="s">
        <v>53</v>
      </c>
      <c r="AP7615" t="s">
        <v>53</v>
      </c>
    </row>
    <row r="7616" spans="2:42" x14ac:dyDescent="0.2">
      <c r="B7616" t="s">
        <v>44</v>
      </c>
      <c r="C7616" t="str">
        <f>HYPERLINK("https://us2.cloudbeds.com/connect/8493803454333002#/reservations/9080486847631640?display=42UKEAJXPQ&amp;reservation_id=9080486847631640", "42UKEAJXPQ")</f>
        <v>42UKEAJXPQ</v>
      </c>
      <c r="D7616" t="s">
        <v>45</v>
      </c>
      <c r="E7616" t="s">
        <v>128</v>
      </c>
      <c r="F7616" t="s">
        <v>86</v>
      </c>
      <c r="G7616" t="s">
        <v>48</v>
      </c>
      <c r="H7616" t="s">
        <v>49</v>
      </c>
      <c r="I7616" t="s">
        <v>8964</v>
      </c>
      <c r="J7616" t="s">
        <v>10586</v>
      </c>
      <c r="K7616" t="s">
        <v>12159</v>
      </c>
      <c r="L7616" t="s">
        <v>53</v>
      </c>
      <c r="N7616" t="s">
        <v>14087</v>
      </c>
      <c r="P7616" t="s">
        <v>55</v>
      </c>
      <c r="R7616" t="s">
        <v>53</v>
      </c>
      <c r="T7616" t="s">
        <v>14088</v>
      </c>
      <c r="U7616" t="s">
        <v>55</v>
      </c>
      <c r="V7616">
        <v>1</v>
      </c>
      <c r="W7616">
        <v>1</v>
      </c>
      <c r="X7616">
        <v>3</v>
      </c>
      <c r="Y7616">
        <v>0</v>
      </c>
      <c r="Z7616">
        <v>3</v>
      </c>
      <c r="AA7616">
        <v>0</v>
      </c>
      <c r="AB7616">
        <v>0</v>
      </c>
      <c r="AC7616">
        <v>96</v>
      </c>
      <c r="AD7616">
        <v>0</v>
      </c>
      <c r="AE7616">
        <v>0</v>
      </c>
      <c r="AF7616">
        <v>0</v>
      </c>
      <c r="AG7616">
        <v>0</v>
      </c>
      <c r="AH7616">
        <v>0</v>
      </c>
      <c r="AI7616">
        <v>14.4</v>
      </c>
      <c r="AJ7616">
        <v>96</v>
      </c>
      <c r="AK7616">
        <v>96</v>
      </c>
      <c r="AL7616" t="s">
        <v>53</v>
      </c>
      <c r="AM7616" t="s">
        <v>53</v>
      </c>
      <c r="AN7616" t="s">
        <v>14089</v>
      </c>
      <c r="AO7616" t="s">
        <v>53</v>
      </c>
      <c r="AP7616" t="s">
        <v>53</v>
      </c>
    </row>
    <row r="7617" spans="2:42" x14ac:dyDescent="0.2">
      <c r="B7617" t="s">
        <v>44</v>
      </c>
      <c r="C7617" t="str">
        <f>HYPERLINK("https://us2.cloudbeds.com/connect/8493803454333002#/reservations/9080486847631826?display=42URQHFCEV&amp;reservation_id=9080486847631826", "42URQHFCEV")</f>
        <v>42URQHFCEV</v>
      </c>
      <c r="D7617" t="s">
        <v>45</v>
      </c>
      <c r="E7617" t="s">
        <v>165</v>
      </c>
      <c r="F7617" t="s">
        <v>61</v>
      </c>
      <c r="G7617" t="s">
        <v>48</v>
      </c>
      <c r="H7617" t="s">
        <v>49</v>
      </c>
      <c r="I7617" t="s">
        <v>8964</v>
      </c>
      <c r="J7617" t="s">
        <v>10861</v>
      </c>
      <c r="K7617" t="s">
        <v>13024</v>
      </c>
      <c r="L7617" t="s">
        <v>53</v>
      </c>
      <c r="N7617" t="s">
        <v>14090</v>
      </c>
      <c r="P7617" t="s">
        <v>55</v>
      </c>
      <c r="R7617" t="s">
        <v>53</v>
      </c>
      <c r="T7617" t="s">
        <v>14091</v>
      </c>
      <c r="U7617" t="s">
        <v>55</v>
      </c>
      <c r="V7617">
        <v>3</v>
      </c>
      <c r="W7617">
        <v>1</v>
      </c>
      <c r="X7617">
        <v>2</v>
      </c>
      <c r="Y7617">
        <v>0</v>
      </c>
      <c r="Z7617">
        <v>2</v>
      </c>
      <c r="AA7617">
        <v>0</v>
      </c>
      <c r="AB7617">
        <v>0</v>
      </c>
      <c r="AC7617">
        <v>351</v>
      </c>
      <c r="AD7617">
        <v>0</v>
      </c>
      <c r="AE7617">
        <v>0</v>
      </c>
      <c r="AF7617">
        <v>0</v>
      </c>
      <c r="AG7617">
        <v>0</v>
      </c>
      <c r="AH7617">
        <v>0</v>
      </c>
      <c r="AI7617">
        <v>52.65</v>
      </c>
      <c r="AJ7617">
        <v>351</v>
      </c>
      <c r="AK7617">
        <v>351</v>
      </c>
      <c r="AL7617" t="s">
        <v>53</v>
      </c>
      <c r="AM7617" t="s">
        <v>53</v>
      </c>
      <c r="AN7617" t="s">
        <v>14092</v>
      </c>
      <c r="AO7617" t="s">
        <v>53</v>
      </c>
      <c r="AP7617" t="s">
        <v>53</v>
      </c>
    </row>
    <row r="7618" spans="2:42" x14ac:dyDescent="0.2">
      <c r="B7618" t="s">
        <v>44</v>
      </c>
      <c r="C7618" t="str">
        <f>HYPERLINK("https://us2.cloudbeds.com/connect/8493803454333002#/reservations/189905769595025?display=430VEJ5GAA&amp;reservation_id=189905769595025", "430VEJ5GAA")</f>
        <v>430VEJ5GAA</v>
      </c>
      <c r="D7618" t="s">
        <v>45</v>
      </c>
      <c r="E7618" t="s">
        <v>223</v>
      </c>
      <c r="F7618" t="s">
        <v>47</v>
      </c>
      <c r="G7618" t="s">
        <v>48</v>
      </c>
      <c r="H7618" t="s">
        <v>3957</v>
      </c>
      <c r="I7618" t="s">
        <v>3975</v>
      </c>
      <c r="J7618" t="s">
        <v>13468</v>
      </c>
      <c r="K7618" t="s">
        <v>10586</v>
      </c>
      <c r="L7618" t="s">
        <v>53</v>
      </c>
      <c r="P7618" t="s">
        <v>55</v>
      </c>
      <c r="R7618" t="s">
        <v>56</v>
      </c>
      <c r="T7618" t="s">
        <v>14093</v>
      </c>
      <c r="U7618" t="s">
        <v>58</v>
      </c>
      <c r="V7618">
        <v>1</v>
      </c>
      <c r="W7618">
        <v>1</v>
      </c>
      <c r="X7618">
        <v>2</v>
      </c>
      <c r="Y7618">
        <v>0</v>
      </c>
      <c r="Z7618">
        <v>2</v>
      </c>
      <c r="AA7618">
        <v>86.37</v>
      </c>
      <c r="AB7618">
        <v>86.37</v>
      </c>
      <c r="AC7618">
        <v>76</v>
      </c>
      <c r="AD7618">
        <v>0</v>
      </c>
      <c r="AE7618">
        <v>10.37</v>
      </c>
      <c r="AF7618">
        <v>0</v>
      </c>
      <c r="AG7618">
        <v>0</v>
      </c>
      <c r="AH7618">
        <v>0</v>
      </c>
      <c r="AI7618">
        <v>0</v>
      </c>
      <c r="AJ7618">
        <v>86.37</v>
      </c>
      <c r="AK7618">
        <v>0</v>
      </c>
      <c r="AL7618" t="s">
        <v>53</v>
      </c>
      <c r="AM7618" t="s">
        <v>53</v>
      </c>
      <c r="AN7618" t="s">
        <v>14094</v>
      </c>
      <c r="AO7618" t="s">
        <v>53</v>
      </c>
      <c r="AP7618" t="s">
        <v>53</v>
      </c>
    </row>
    <row r="7619" spans="2:42" x14ac:dyDescent="0.2">
      <c r="B7619" t="s">
        <v>44</v>
      </c>
      <c r="C7619" t="str">
        <f>HYPERLINK("https://us2.cloudbeds.com/connect/8493803454333002#/reservations/9080486847634764?display=4315PRRH4C&amp;reservation_id=9080486847634764", "4315PRRH4C")</f>
        <v>4315PRRH4C</v>
      </c>
      <c r="D7619" t="s">
        <v>45</v>
      </c>
      <c r="E7619" t="s">
        <v>128</v>
      </c>
      <c r="F7619" t="s">
        <v>86</v>
      </c>
      <c r="G7619" t="s">
        <v>48</v>
      </c>
      <c r="H7619" t="s">
        <v>49</v>
      </c>
      <c r="I7619" t="s">
        <v>50</v>
      </c>
      <c r="J7619" t="s">
        <v>14095</v>
      </c>
      <c r="K7619" t="s">
        <v>13805</v>
      </c>
      <c r="L7619" t="s">
        <v>53</v>
      </c>
      <c r="N7619" t="s">
        <v>14096</v>
      </c>
      <c r="P7619" t="s">
        <v>55</v>
      </c>
      <c r="R7619" t="s">
        <v>53</v>
      </c>
      <c r="T7619" t="s">
        <v>14097</v>
      </c>
      <c r="U7619" t="s">
        <v>58</v>
      </c>
      <c r="V7619">
        <v>1</v>
      </c>
      <c r="W7619">
        <v>1</v>
      </c>
      <c r="X7619">
        <v>2</v>
      </c>
      <c r="Y7619">
        <v>0</v>
      </c>
      <c r="Z7619">
        <v>2</v>
      </c>
      <c r="AA7619">
        <v>136.38</v>
      </c>
      <c r="AB7619">
        <v>136.38</v>
      </c>
      <c r="AC7619">
        <v>120</v>
      </c>
      <c r="AD7619">
        <v>0</v>
      </c>
      <c r="AE7619">
        <v>17.579999999999998</v>
      </c>
      <c r="AF7619">
        <v>0</v>
      </c>
      <c r="AG7619">
        <v>0</v>
      </c>
      <c r="AH7619">
        <v>0</v>
      </c>
      <c r="AI7619">
        <v>24.76</v>
      </c>
      <c r="AJ7619">
        <v>137.58000000000001</v>
      </c>
      <c r="AK7619">
        <v>1.2</v>
      </c>
      <c r="AL7619" t="s">
        <v>53</v>
      </c>
      <c r="AM7619" t="s">
        <v>53</v>
      </c>
      <c r="AN7619" t="s">
        <v>14098</v>
      </c>
      <c r="AO7619" t="s">
        <v>53</v>
      </c>
      <c r="AP7619" t="s">
        <v>53</v>
      </c>
    </row>
    <row r="7620" spans="2:42" x14ac:dyDescent="0.2">
      <c r="B7620" t="s">
        <v>44</v>
      </c>
      <c r="C7620" t="str">
        <f>HYPERLINK("https://us2.cloudbeds.com/connect/8493803454333002#/reservations/9080486847635945?display=43208QTRSZ&amp;reservation_id=9080486847635945", "43208QTRSZ")</f>
        <v>43208QTRSZ</v>
      </c>
      <c r="D7620" t="s">
        <v>45</v>
      </c>
      <c r="E7620" t="s">
        <v>78</v>
      </c>
      <c r="F7620" t="s">
        <v>61</v>
      </c>
      <c r="G7620" t="s">
        <v>48</v>
      </c>
      <c r="H7620" t="s">
        <v>49</v>
      </c>
      <c r="I7620" t="s">
        <v>8964</v>
      </c>
      <c r="J7620" t="s">
        <v>13525</v>
      </c>
      <c r="K7620" t="s">
        <v>12117</v>
      </c>
      <c r="L7620" t="s">
        <v>53</v>
      </c>
      <c r="N7620" t="s">
        <v>14099</v>
      </c>
      <c r="P7620" t="s">
        <v>55</v>
      </c>
      <c r="R7620" t="s">
        <v>53</v>
      </c>
      <c r="T7620" t="s">
        <v>14100</v>
      </c>
      <c r="U7620" t="s">
        <v>55</v>
      </c>
      <c r="V7620">
        <v>3</v>
      </c>
      <c r="W7620">
        <v>1</v>
      </c>
      <c r="X7620">
        <v>2</v>
      </c>
      <c r="Y7620">
        <v>0</v>
      </c>
      <c r="Z7620">
        <v>2</v>
      </c>
      <c r="AA7620">
        <v>0</v>
      </c>
      <c r="AB7620">
        <v>0</v>
      </c>
      <c r="AC7620">
        <v>295</v>
      </c>
      <c r="AD7620">
        <v>0</v>
      </c>
      <c r="AE7620">
        <v>0</v>
      </c>
      <c r="AF7620">
        <v>0</v>
      </c>
      <c r="AG7620">
        <v>0</v>
      </c>
      <c r="AH7620">
        <v>0</v>
      </c>
      <c r="AI7620">
        <v>44.25</v>
      </c>
      <c r="AJ7620">
        <v>295</v>
      </c>
      <c r="AK7620">
        <v>295</v>
      </c>
      <c r="AL7620" t="s">
        <v>53</v>
      </c>
      <c r="AM7620" t="s">
        <v>53</v>
      </c>
      <c r="AN7620" t="s">
        <v>14101</v>
      </c>
      <c r="AO7620" t="s">
        <v>53</v>
      </c>
      <c r="AP7620" t="s">
        <v>53</v>
      </c>
    </row>
    <row r="7621" spans="2:42" x14ac:dyDescent="0.2">
      <c r="B7621" t="s">
        <v>44</v>
      </c>
      <c r="C7621" t="str">
        <f>HYPERLINK("https://us2.cloudbeds.com/connect/8493803454333002#/reservations/9080486847637269?display=432QH7KAR8&amp;reservation_id=9080486847637269", "432QH7KAR8")</f>
        <v>432QH7KAR8</v>
      </c>
      <c r="D7621" t="s">
        <v>45</v>
      </c>
      <c r="E7621" t="s">
        <v>185</v>
      </c>
      <c r="F7621" t="s">
        <v>47</v>
      </c>
      <c r="G7621" t="s">
        <v>48</v>
      </c>
      <c r="H7621" t="s">
        <v>49</v>
      </c>
      <c r="I7621" t="s">
        <v>62</v>
      </c>
      <c r="J7621" t="s">
        <v>10586</v>
      </c>
      <c r="K7621" t="s">
        <v>12159</v>
      </c>
      <c r="L7621" t="s">
        <v>53</v>
      </c>
      <c r="N7621" t="s">
        <v>14102</v>
      </c>
      <c r="P7621" t="s">
        <v>55</v>
      </c>
      <c r="R7621" t="s">
        <v>56</v>
      </c>
      <c r="T7621" t="s">
        <v>14103</v>
      </c>
      <c r="U7621" t="s">
        <v>55</v>
      </c>
      <c r="V7621">
        <v>1</v>
      </c>
      <c r="W7621">
        <v>1</v>
      </c>
      <c r="X7621">
        <v>2</v>
      </c>
      <c r="Y7621">
        <v>0</v>
      </c>
      <c r="Z7621">
        <v>2</v>
      </c>
      <c r="AA7621">
        <v>64.599999999999994</v>
      </c>
      <c r="AB7621">
        <v>64.599999999999994</v>
      </c>
      <c r="AC7621">
        <v>64.599999999999994</v>
      </c>
      <c r="AD7621">
        <v>0</v>
      </c>
      <c r="AE7621">
        <v>0</v>
      </c>
      <c r="AF7621">
        <v>0</v>
      </c>
      <c r="AG7621">
        <v>0</v>
      </c>
      <c r="AH7621">
        <v>0</v>
      </c>
      <c r="AI7621">
        <v>11.63</v>
      </c>
      <c r="AJ7621">
        <v>64.599999999999994</v>
      </c>
      <c r="AK7621">
        <v>0</v>
      </c>
      <c r="AL7621" t="s">
        <v>53</v>
      </c>
      <c r="AM7621" t="s">
        <v>53</v>
      </c>
      <c r="AN7621" t="s">
        <v>53</v>
      </c>
      <c r="AO7621" t="s">
        <v>53</v>
      </c>
      <c r="AP7621" t="s">
        <v>53</v>
      </c>
    </row>
    <row r="7622" spans="2:42" x14ac:dyDescent="0.2">
      <c r="B7622" t="s">
        <v>44</v>
      </c>
      <c r="C7622" t="str">
        <f>HYPERLINK("https://us2.cloudbeds.com/connect/8493803454333002#/reservations/190012250263685?display=433ETDG23D&amp;reservation_id=190012250263685", "433ETDG23D")</f>
        <v>433ETDG23D</v>
      </c>
      <c r="D7622" t="s">
        <v>45</v>
      </c>
      <c r="E7622" t="s">
        <v>381</v>
      </c>
      <c r="F7622" t="s">
        <v>47</v>
      </c>
      <c r="G7622" t="s">
        <v>48</v>
      </c>
      <c r="H7622" t="s">
        <v>3957</v>
      </c>
      <c r="I7622" t="s">
        <v>3958</v>
      </c>
      <c r="J7622" t="s">
        <v>13468</v>
      </c>
      <c r="K7622" t="s">
        <v>10586</v>
      </c>
      <c r="L7622" t="s">
        <v>53</v>
      </c>
      <c r="P7622" t="s">
        <v>55</v>
      </c>
      <c r="R7622" t="s">
        <v>56</v>
      </c>
      <c r="T7622" t="s">
        <v>14104</v>
      </c>
      <c r="U7622" t="s">
        <v>58</v>
      </c>
      <c r="V7622">
        <v>1</v>
      </c>
      <c r="W7622">
        <v>1</v>
      </c>
      <c r="X7622">
        <v>1</v>
      </c>
      <c r="Y7622">
        <v>0</v>
      </c>
      <c r="Z7622">
        <v>1</v>
      </c>
      <c r="AA7622">
        <v>86.37</v>
      </c>
      <c r="AB7622">
        <v>86.37</v>
      </c>
      <c r="AC7622">
        <v>76</v>
      </c>
      <c r="AD7622">
        <v>0</v>
      </c>
      <c r="AE7622">
        <v>10.37</v>
      </c>
      <c r="AF7622">
        <v>0</v>
      </c>
      <c r="AG7622">
        <v>0</v>
      </c>
      <c r="AH7622">
        <v>0</v>
      </c>
      <c r="AI7622">
        <v>0</v>
      </c>
      <c r="AJ7622">
        <v>86.37</v>
      </c>
      <c r="AK7622">
        <v>0</v>
      </c>
      <c r="AL7622" t="s">
        <v>53</v>
      </c>
      <c r="AM7622" t="s">
        <v>53</v>
      </c>
      <c r="AN7622" t="s">
        <v>53</v>
      </c>
      <c r="AO7622" t="s">
        <v>53</v>
      </c>
      <c r="AP7622" t="s">
        <v>53</v>
      </c>
    </row>
    <row r="7623" spans="2:42" x14ac:dyDescent="0.2">
      <c r="B7623" t="s">
        <v>44</v>
      </c>
      <c r="C7623" t="str">
        <f>HYPERLINK("https://us2.cloudbeds.com/connect/8493803454333002#/reservations/9080486847638721?display=433YMCTNFK&amp;reservation_id=9080486847638721", "433YMCTNFK")</f>
        <v>433YMCTNFK</v>
      </c>
      <c r="D7623" t="s">
        <v>45</v>
      </c>
      <c r="E7623" t="s">
        <v>105</v>
      </c>
      <c r="F7623" t="s">
        <v>47</v>
      </c>
      <c r="G7623" t="s">
        <v>48</v>
      </c>
      <c r="H7623" t="s">
        <v>49</v>
      </c>
      <c r="I7623" t="s">
        <v>62</v>
      </c>
      <c r="J7623" t="s">
        <v>13940</v>
      </c>
      <c r="K7623" t="s">
        <v>13941</v>
      </c>
      <c r="L7623" t="s">
        <v>53</v>
      </c>
      <c r="N7623" t="s">
        <v>14105</v>
      </c>
      <c r="P7623" t="s">
        <v>55</v>
      </c>
      <c r="R7623" t="s">
        <v>56</v>
      </c>
      <c r="T7623" t="s">
        <v>14106</v>
      </c>
      <c r="U7623" t="s">
        <v>55</v>
      </c>
      <c r="V7623">
        <v>2</v>
      </c>
      <c r="W7623">
        <v>1</v>
      </c>
      <c r="X7623">
        <v>2</v>
      </c>
      <c r="Y7623">
        <v>0</v>
      </c>
      <c r="Z7623">
        <v>2</v>
      </c>
      <c r="AA7623">
        <v>137.28</v>
      </c>
      <c r="AB7623">
        <v>137.28</v>
      </c>
      <c r="AC7623">
        <v>137.28</v>
      </c>
      <c r="AD7623">
        <v>0</v>
      </c>
      <c r="AE7623">
        <v>0</v>
      </c>
      <c r="AF7623">
        <v>0</v>
      </c>
      <c r="AG7623">
        <v>0</v>
      </c>
      <c r="AH7623">
        <v>0</v>
      </c>
      <c r="AI7623">
        <v>24.71</v>
      </c>
      <c r="AJ7623">
        <v>137.28</v>
      </c>
      <c r="AK7623">
        <v>0</v>
      </c>
      <c r="AL7623" t="s">
        <v>53</v>
      </c>
      <c r="AM7623" t="s">
        <v>53</v>
      </c>
      <c r="AN7623" t="s">
        <v>14107</v>
      </c>
      <c r="AO7623" t="s">
        <v>53</v>
      </c>
      <c r="AP7623" t="s">
        <v>53</v>
      </c>
    </row>
    <row r="7624" spans="2:42" x14ac:dyDescent="0.2">
      <c r="B7624" t="s">
        <v>44</v>
      </c>
      <c r="C7624" t="str">
        <f>HYPERLINK("https://us2.cloudbeds.com/connect/8493803454333002#/reservations/9080486847639783?display=434EEKYYYG&amp;reservation_id=9080486847639783", "434EEKYYYG")</f>
        <v>434EEKYYYG</v>
      </c>
      <c r="D7624" t="s">
        <v>45</v>
      </c>
      <c r="E7624" t="s">
        <v>85</v>
      </c>
      <c r="F7624" t="s">
        <v>86</v>
      </c>
      <c r="G7624" t="s">
        <v>48</v>
      </c>
      <c r="H7624" t="s">
        <v>49</v>
      </c>
      <c r="I7624" t="s">
        <v>62</v>
      </c>
      <c r="J7624" t="s">
        <v>13940</v>
      </c>
      <c r="K7624" t="s">
        <v>13941</v>
      </c>
      <c r="L7624" t="s">
        <v>53</v>
      </c>
      <c r="N7624" t="s">
        <v>14108</v>
      </c>
      <c r="P7624" t="s">
        <v>55</v>
      </c>
      <c r="R7624" t="s">
        <v>56</v>
      </c>
      <c r="T7624" t="s">
        <v>14109</v>
      </c>
      <c r="U7624" t="s">
        <v>55</v>
      </c>
      <c r="V7624">
        <v>2</v>
      </c>
      <c r="W7624">
        <v>1</v>
      </c>
      <c r="X7624">
        <v>2</v>
      </c>
      <c r="Y7624">
        <v>0</v>
      </c>
      <c r="Z7624">
        <v>2</v>
      </c>
      <c r="AA7624">
        <v>187</v>
      </c>
      <c r="AB7624">
        <v>187</v>
      </c>
      <c r="AC7624">
        <v>187</v>
      </c>
      <c r="AD7624">
        <v>0</v>
      </c>
      <c r="AE7624">
        <v>0</v>
      </c>
      <c r="AF7624">
        <v>0</v>
      </c>
      <c r="AG7624">
        <v>0</v>
      </c>
      <c r="AH7624">
        <v>0</v>
      </c>
      <c r="AI7624">
        <v>33.659999999999997</v>
      </c>
      <c r="AJ7624">
        <v>187</v>
      </c>
      <c r="AK7624">
        <v>0</v>
      </c>
      <c r="AL7624" t="s">
        <v>53</v>
      </c>
      <c r="AM7624" t="s">
        <v>53</v>
      </c>
      <c r="AN7624" t="s">
        <v>53</v>
      </c>
      <c r="AO7624" t="s">
        <v>53</v>
      </c>
      <c r="AP7624" t="s">
        <v>53</v>
      </c>
    </row>
    <row r="7625" spans="2:42" x14ac:dyDescent="0.2">
      <c r="B7625" t="s">
        <v>44</v>
      </c>
      <c r="C7625" t="str">
        <f>HYPERLINK("https://us2.cloudbeds.com/connect/8493803454333002#/reservations/9080486847640035?display=434YKMHXMU&amp;reservation_id=9080486847640035", "434YKMHXMU")</f>
        <v>434YKMHXMU</v>
      </c>
      <c r="D7625" t="s">
        <v>45</v>
      </c>
      <c r="E7625" t="s">
        <v>381</v>
      </c>
      <c r="F7625" t="s">
        <v>47</v>
      </c>
      <c r="G7625" t="s">
        <v>48</v>
      </c>
      <c r="H7625" t="s">
        <v>49</v>
      </c>
      <c r="I7625" t="s">
        <v>62</v>
      </c>
      <c r="J7625" t="s">
        <v>10586</v>
      </c>
      <c r="K7625" t="s">
        <v>12159</v>
      </c>
      <c r="L7625" t="s">
        <v>53</v>
      </c>
      <c r="N7625" t="s">
        <v>14110</v>
      </c>
      <c r="P7625" t="s">
        <v>55</v>
      </c>
      <c r="R7625" t="s">
        <v>1445</v>
      </c>
      <c r="T7625" t="s">
        <v>14111</v>
      </c>
      <c r="U7625" t="s">
        <v>55</v>
      </c>
      <c r="V7625">
        <v>1</v>
      </c>
      <c r="W7625">
        <v>1</v>
      </c>
      <c r="X7625">
        <v>2</v>
      </c>
      <c r="Y7625">
        <v>0</v>
      </c>
      <c r="Z7625">
        <v>2</v>
      </c>
      <c r="AA7625">
        <v>64.599999999999994</v>
      </c>
      <c r="AB7625">
        <v>64.599999999999994</v>
      </c>
      <c r="AC7625">
        <v>64.599999999999994</v>
      </c>
      <c r="AD7625">
        <v>0</v>
      </c>
      <c r="AE7625">
        <v>0</v>
      </c>
      <c r="AF7625">
        <v>0</v>
      </c>
      <c r="AG7625">
        <v>0</v>
      </c>
      <c r="AH7625">
        <v>0</v>
      </c>
      <c r="AI7625">
        <v>11.63</v>
      </c>
      <c r="AJ7625">
        <v>64.599999999999994</v>
      </c>
      <c r="AK7625">
        <v>0</v>
      </c>
      <c r="AL7625" t="s">
        <v>53</v>
      </c>
      <c r="AM7625" t="s">
        <v>53</v>
      </c>
      <c r="AN7625" t="s">
        <v>14112</v>
      </c>
      <c r="AO7625" t="s">
        <v>53</v>
      </c>
      <c r="AP7625" t="s">
        <v>53</v>
      </c>
    </row>
    <row r="7626" spans="2:42" x14ac:dyDescent="0.2">
      <c r="B7626" t="s">
        <v>44</v>
      </c>
      <c r="C7626" t="str">
        <f>HYPERLINK("https://us2.cloudbeds.com/connect/8493803454333002#/reservations/9080486847640118?display=434NJXX124&amp;reservation_id=9080486847640118", "434NJXX124")</f>
        <v>434NJXX124</v>
      </c>
      <c r="D7626" t="s">
        <v>45</v>
      </c>
      <c r="E7626" t="s">
        <v>373</v>
      </c>
      <c r="F7626" t="s">
        <v>47</v>
      </c>
      <c r="G7626" t="s">
        <v>48</v>
      </c>
      <c r="H7626" t="s">
        <v>49</v>
      </c>
      <c r="I7626" t="s">
        <v>62</v>
      </c>
      <c r="J7626" t="s">
        <v>13652</v>
      </c>
      <c r="K7626" t="s">
        <v>14113</v>
      </c>
      <c r="L7626" t="s">
        <v>53</v>
      </c>
      <c r="N7626" t="s">
        <v>14114</v>
      </c>
      <c r="P7626" t="s">
        <v>55</v>
      </c>
      <c r="R7626" t="s">
        <v>56</v>
      </c>
      <c r="T7626" t="s">
        <v>14115</v>
      </c>
      <c r="U7626" t="s">
        <v>55</v>
      </c>
      <c r="V7626">
        <v>3</v>
      </c>
      <c r="W7626">
        <v>1</v>
      </c>
      <c r="X7626">
        <v>2</v>
      </c>
      <c r="Y7626">
        <v>0</v>
      </c>
      <c r="Z7626">
        <v>2</v>
      </c>
      <c r="AA7626">
        <v>226.1</v>
      </c>
      <c r="AB7626">
        <v>226.1</v>
      </c>
      <c r="AC7626">
        <v>226.1</v>
      </c>
      <c r="AD7626">
        <v>0</v>
      </c>
      <c r="AE7626">
        <v>0</v>
      </c>
      <c r="AF7626">
        <v>0</v>
      </c>
      <c r="AG7626">
        <v>0</v>
      </c>
      <c r="AH7626">
        <v>0</v>
      </c>
      <c r="AI7626">
        <v>40.700000000000003</v>
      </c>
      <c r="AJ7626">
        <v>226.1</v>
      </c>
      <c r="AK7626">
        <v>0</v>
      </c>
      <c r="AL7626" t="s">
        <v>53</v>
      </c>
      <c r="AM7626" t="s">
        <v>53</v>
      </c>
      <c r="AN7626" t="s">
        <v>53</v>
      </c>
      <c r="AO7626" t="s">
        <v>53</v>
      </c>
      <c r="AP7626" t="s">
        <v>53</v>
      </c>
    </row>
    <row r="7627" spans="2:42" x14ac:dyDescent="0.2">
      <c r="B7627" t="s">
        <v>44</v>
      </c>
      <c r="C7627" t="str">
        <f>HYPERLINK("https://us2.cloudbeds.com/connect/8493803454333002#/reservations/9080486847640574?display=43563KV7KB&amp;reservation_id=9080486847640574", "43563KV7KB")</f>
        <v>43563KV7KB</v>
      </c>
      <c r="D7627" t="s">
        <v>45</v>
      </c>
      <c r="E7627" t="s">
        <v>113</v>
      </c>
      <c r="F7627" t="s">
        <v>61</v>
      </c>
      <c r="G7627" t="s">
        <v>48</v>
      </c>
      <c r="H7627" t="s">
        <v>49</v>
      </c>
      <c r="I7627" t="s">
        <v>62</v>
      </c>
      <c r="J7627" t="s">
        <v>10587</v>
      </c>
      <c r="K7627" t="s">
        <v>13480</v>
      </c>
      <c r="L7627" t="s">
        <v>53</v>
      </c>
      <c r="N7627" t="s">
        <v>14116</v>
      </c>
      <c r="P7627" t="s">
        <v>55</v>
      </c>
      <c r="R7627" t="s">
        <v>56</v>
      </c>
      <c r="T7627" t="s">
        <v>14117</v>
      </c>
      <c r="U7627" t="s">
        <v>55</v>
      </c>
      <c r="V7627">
        <v>1</v>
      </c>
      <c r="W7627">
        <v>1</v>
      </c>
      <c r="X7627">
        <v>2</v>
      </c>
      <c r="Y7627">
        <v>0</v>
      </c>
      <c r="Z7627">
        <v>2</v>
      </c>
      <c r="AA7627">
        <v>68.849999999999994</v>
      </c>
      <c r="AB7627">
        <v>68.849999999999994</v>
      </c>
      <c r="AC7627">
        <v>68.849999999999994</v>
      </c>
      <c r="AD7627">
        <v>0</v>
      </c>
      <c r="AE7627">
        <v>0</v>
      </c>
      <c r="AF7627">
        <v>0</v>
      </c>
      <c r="AG7627">
        <v>0</v>
      </c>
      <c r="AH7627">
        <v>0</v>
      </c>
      <c r="AI7627">
        <v>12.39</v>
      </c>
      <c r="AJ7627">
        <v>68.849999999999994</v>
      </c>
      <c r="AK7627">
        <v>0</v>
      </c>
      <c r="AL7627" t="s">
        <v>53</v>
      </c>
      <c r="AM7627" t="s">
        <v>53</v>
      </c>
      <c r="AN7627" t="s">
        <v>14118</v>
      </c>
      <c r="AO7627" t="s">
        <v>53</v>
      </c>
      <c r="AP7627" t="s">
        <v>53</v>
      </c>
    </row>
    <row r="7628" spans="2:42" x14ac:dyDescent="0.2">
      <c r="B7628" t="s">
        <v>44</v>
      </c>
      <c r="C7628" t="str">
        <f>HYPERLINK("https://us2.cloudbeds.com/connect/8493803454333002#/reservations/9080486847641792?display=436CAEBPZ6&amp;reservation_id=9080486847641792", "436CAEBPZ6")</f>
        <v>436CAEBPZ6</v>
      </c>
      <c r="D7628" t="s">
        <v>45</v>
      </c>
      <c r="E7628" t="s">
        <v>85</v>
      </c>
      <c r="F7628" t="s">
        <v>86</v>
      </c>
      <c r="G7628" t="s">
        <v>48</v>
      </c>
      <c r="H7628" t="s">
        <v>49</v>
      </c>
      <c r="I7628" t="s">
        <v>50</v>
      </c>
      <c r="J7628" t="s">
        <v>9580</v>
      </c>
      <c r="K7628" t="s">
        <v>14119</v>
      </c>
      <c r="L7628" t="s">
        <v>53</v>
      </c>
      <c r="N7628" t="s">
        <v>14120</v>
      </c>
      <c r="P7628" t="s">
        <v>55</v>
      </c>
      <c r="R7628" t="s">
        <v>53</v>
      </c>
      <c r="T7628" t="s">
        <v>14121</v>
      </c>
      <c r="U7628" t="s">
        <v>58</v>
      </c>
      <c r="V7628">
        <v>5</v>
      </c>
      <c r="W7628">
        <v>1</v>
      </c>
      <c r="X7628">
        <v>2</v>
      </c>
      <c r="Y7628">
        <v>0</v>
      </c>
      <c r="Z7628">
        <v>2</v>
      </c>
      <c r="AA7628">
        <v>561.32000000000005</v>
      </c>
      <c r="AB7628">
        <v>565.70000000000005</v>
      </c>
      <c r="AC7628">
        <v>489.6</v>
      </c>
      <c r="AD7628">
        <v>4</v>
      </c>
      <c r="AE7628">
        <v>72.099999999999994</v>
      </c>
      <c r="AF7628">
        <v>0</v>
      </c>
      <c r="AG7628">
        <v>0</v>
      </c>
      <c r="AH7628">
        <v>0</v>
      </c>
      <c r="AI7628">
        <v>101.83</v>
      </c>
      <c r="AJ7628">
        <v>565.70000000000005</v>
      </c>
      <c r="AK7628">
        <v>0</v>
      </c>
      <c r="AL7628" t="s">
        <v>53</v>
      </c>
      <c r="AM7628" t="s">
        <v>53</v>
      </c>
      <c r="AN7628" t="s">
        <v>14122</v>
      </c>
      <c r="AO7628" t="s">
        <v>53</v>
      </c>
      <c r="AP7628" t="s">
        <v>53</v>
      </c>
    </row>
    <row r="7629" spans="2:42" x14ac:dyDescent="0.2">
      <c r="B7629" t="s">
        <v>44</v>
      </c>
      <c r="C7629" t="str">
        <f>HYPERLINK("https://us2.cloudbeds.com/connect/8493803454333002#/reservations/9080486847641795?display=436CMQ1WP1&amp;reservation_id=9080486847641795", "436CMQ1WP1")</f>
        <v>436CMQ1WP1</v>
      </c>
      <c r="D7629" t="s">
        <v>45</v>
      </c>
      <c r="E7629" t="s">
        <v>213</v>
      </c>
      <c r="F7629" t="s">
        <v>86</v>
      </c>
      <c r="G7629" t="s">
        <v>48</v>
      </c>
      <c r="H7629" t="s">
        <v>49</v>
      </c>
      <c r="I7629" t="s">
        <v>50</v>
      </c>
      <c r="J7629" t="s">
        <v>9580</v>
      </c>
      <c r="K7629" t="s">
        <v>14119</v>
      </c>
      <c r="L7629" t="s">
        <v>53</v>
      </c>
      <c r="N7629" t="s">
        <v>14123</v>
      </c>
      <c r="P7629" t="s">
        <v>55</v>
      </c>
      <c r="R7629" t="s">
        <v>53</v>
      </c>
      <c r="T7629" t="s">
        <v>14124</v>
      </c>
      <c r="U7629" t="s">
        <v>58</v>
      </c>
      <c r="V7629">
        <v>5</v>
      </c>
      <c r="W7629">
        <v>1</v>
      </c>
      <c r="X7629">
        <v>3</v>
      </c>
      <c r="Y7629">
        <v>0</v>
      </c>
      <c r="Z7629">
        <v>3</v>
      </c>
      <c r="AA7629">
        <v>556.41999999999996</v>
      </c>
      <c r="AB7629">
        <v>556.41999999999996</v>
      </c>
      <c r="AC7629">
        <v>489.6</v>
      </c>
      <c r="AD7629">
        <v>0</v>
      </c>
      <c r="AE7629">
        <v>71.72</v>
      </c>
      <c r="AF7629">
        <v>0</v>
      </c>
      <c r="AG7629">
        <v>0</v>
      </c>
      <c r="AH7629">
        <v>0</v>
      </c>
      <c r="AI7629">
        <v>101.04</v>
      </c>
      <c r="AJ7629">
        <v>561.32000000000005</v>
      </c>
      <c r="AK7629">
        <v>4.9000000000000004</v>
      </c>
      <c r="AL7629" t="s">
        <v>53</v>
      </c>
      <c r="AM7629" t="s">
        <v>53</v>
      </c>
      <c r="AN7629" t="s">
        <v>14125</v>
      </c>
      <c r="AO7629" t="s">
        <v>53</v>
      </c>
      <c r="AP7629" t="s">
        <v>53</v>
      </c>
    </row>
    <row r="7630" spans="2:42" x14ac:dyDescent="0.2">
      <c r="B7630" t="s">
        <v>44</v>
      </c>
      <c r="C7630" t="str">
        <f>HYPERLINK("https://us2.cloudbeds.com/connect/8493803454333002#/reservations/190332020039906?display=43AVG8RF87&amp;reservation_id=190332020039906", "43AVG8RF87")</f>
        <v>43AVG8RF87</v>
      </c>
      <c r="D7630" t="s">
        <v>45</v>
      </c>
      <c r="E7630" t="s">
        <v>78</v>
      </c>
      <c r="F7630" t="s">
        <v>61</v>
      </c>
      <c r="G7630" t="s">
        <v>4520</v>
      </c>
      <c r="H7630" t="s">
        <v>3957</v>
      </c>
      <c r="I7630" t="s">
        <v>3989</v>
      </c>
      <c r="J7630" t="s">
        <v>12117</v>
      </c>
      <c r="K7630" t="s">
        <v>9710</v>
      </c>
      <c r="L7630" t="s">
        <v>53</v>
      </c>
      <c r="P7630" t="s">
        <v>55</v>
      </c>
      <c r="R7630" t="s">
        <v>56</v>
      </c>
      <c r="T7630" t="s">
        <v>14126</v>
      </c>
      <c r="U7630" t="s">
        <v>58</v>
      </c>
      <c r="V7630">
        <v>2</v>
      </c>
      <c r="W7630">
        <v>1</v>
      </c>
      <c r="X7630">
        <v>1</v>
      </c>
      <c r="Y7630">
        <v>0</v>
      </c>
      <c r="Z7630">
        <v>1</v>
      </c>
      <c r="AA7630">
        <v>196.39</v>
      </c>
      <c r="AB7630">
        <v>196.39</v>
      </c>
      <c r="AC7630">
        <v>172.8</v>
      </c>
      <c r="AD7630">
        <v>0</v>
      </c>
      <c r="AE7630">
        <v>23.59</v>
      </c>
      <c r="AF7630">
        <v>0</v>
      </c>
      <c r="AG7630">
        <v>0</v>
      </c>
      <c r="AH7630">
        <v>0</v>
      </c>
      <c r="AI7630">
        <v>0</v>
      </c>
      <c r="AJ7630">
        <v>196.39</v>
      </c>
      <c r="AK7630">
        <v>0</v>
      </c>
      <c r="AL7630" t="s">
        <v>53</v>
      </c>
      <c r="AM7630" t="s">
        <v>53</v>
      </c>
      <c r="AN7630" t="s">
        <v>14127</v>
      </c>
      <c r="AO7630" t="s">
        <v>53</v>
      </c>
      <c r="AP7630" t="s">
        <v>53</v>
      </c>
    </row>
    <row r="7631" spans="2:42" x14ac:dyDescent="0.2">
      <c r="B7631" t="s">
        <v>44</v>
      </c>
      <c r="C7631" t="str">
        <f>HYPERLINK("https://us2.cloudbeds.com/connect/8493803454333002#/reservations/9080486847647019?display=43B3BVYJDF&amp;reservation_id=9080486847647019", "43B3BVYJDF")</f>
        <v>43B3BVYJDF</v>
      </c>
      <c r="D7631" t="s">
        <v>45</v>
      </c>
      <c r="E7631" t="s">
        <v>128</v>
      </c>
      <c r="F7631" t="s">
        <v>86</v>
      </c>
      <c r="G7631" t="s">
        <v>48</v>
      </c>
      <c r="H7631" t="s">
        <v>49</v>
      </c>
      <c r="I7631" t="s">
        <v>62</v>
      </c>
      <c r="J7631" t="s">
        <v>13985</v>
      </c>
      <c r="K7631" t="s">
        <v>13587</v>
      </c>
      <c r="L7631" t="s">
        <v>53</v>
      </c>
      <c r="N7631" t="s">
        <v>14128</v>
      </c>
      <c r="P7631" t="s">
        <v>55</v>
      </c>
      <c r="R7631" t="s">
        <v>205</v>
      </c>
      <c r="T7631" t="s">
        <v>14129</v>
      </c>
      <c r="U7631" t="s">
        <v>55</v>
      </c>
      <c r="V7631">
        <v>1</v>
      </c>
      <c r="W7631">
        <v>1</v>
      </c>
      <c r="X7631">
        <v>4</v>
      </c>
      <c r="Y7631">
        <v>0</v>
      </c>
      <c r="Z7631">
        <v>4</v>
      </c>
      <c r="AA7631">
        <v>93.5</v>
      </c>
      <c r="AB7631">
        <v>93.5</v>
      </c>
      <c r="AC7631">
        <v>93.5</v>
      </c>
      <c r="AD7631">
        <v>0</v>
      </c>
      <c r="AE7631">
        <v>0</v>
      </c>
      <c r="AF7631">
        <v>0</v>
      </c>
      <c r="AG7631">
        <v>0</v>
      </c>
      <c r="AH7631">
        <v>0</v>
      </c>
      <c r="AI7631">
        <v>16.829999999999998</v>
      </c>
      <c r="AJ7631">
        <v>93.5</v>
      </c>
      <c r="AK7631">
        <v>0</v>
      </c>
      <c r="AL7631" t="s">
        <v>53</v>
      </c>
      <c r="AM7631" t="s">
        <v>53</v>
      </c>
      <c r="AN7631" t="s">
        <v>53</v>
      </c>
      <c r="AO7631" t="s">
        <v>53</v>
      </c>
      <c r="AP7631" t="s">
        <v>53</v>
      </c>
    </row>
    <row r="7632" spans="2:42" x14ac:dyDescent="0.2">
      <c r="B7632" t="s">
        <v>44</v>
      </c>
      <c r="C7632" t="str">
        <f>HYPERLINK("https://us2.cloudbeds.com/connect/8493803454333002#/reservations/9080486847648231?display=43BNXPB1G4&amp;reservation_id=9080486847648231", "43BNXPB1G4")</f>
        <v>43BNXPB1G4</v>
      </c>
      <c r="D7632" t="s">
        <v>45</v>
      </c>
      <c r="E7632" t="s">
        <v>121</v>
      </c>
      <c r="F7632" t="s">
        <v>86</v>
      </c>
      <c r="G7632" t="s">
        <v>48</v>
      </c>
      <c r="H7632" t="s">
        <v>49</v>
      </c>
      <c r="I7632" t="s">
        <v>50</v>
      </c>
      <c r="J7632" t="s">
        <v>14130</v>
      </c>
      <c r="K7632" t="s">
        <v>14131</v>
      </c>
      <c r="L7632" t="s">
        <v>53</v>
      </c>
      <c r="N7632" t="s">
        <v>14132</v>
      </c>
      <c r="P7632" t="s">
        <v>55</v>
      </c>
      <c r="R7632" t="s">
        <v>53</v>
      </c>
      <c r="T7632" t="s">
        <v>14133</v>
      </c>
      <c r="U7632" t="s">
        <v>58</v>
      </c>
      <c r="V7632">
        <v>1</v>
      </c>
      <c r="W7632">
        <v>1</v>
      </c>
      <c r="X7632">
        <v>2</v>
      </c>
      <c r="Y7632">
        <v>2</v>
      </c>
      <c r="Z7632">
        <v>4</v>
      </c>
      <c r="AA7632">
        <v>308.18</v>
      </c>
      <c r="AB7632">
        <v>316.42</v>
      </c>
      <c r="AC7632">
        <v>277.04000000000002</v>
      </c>
      <c r="AD7632">
        <v>0</v>
      </c>
      <c r="AE7632">
        <v>39.380000000000003</v>
      </c>
      <c r="AF7632">
        <v>0</v>
      </c>
      <c r="AG7632">
        <v>0</v>
      </c>
      <c r="AH7632">
        <v>0</v>
      </c>
      <c r="AI7632">
        <v>56.96</v>
      </c>
      <c r="AJ7632">
        <v>316.42</v>
      </c>
      <c r="AK7632">
        <v>0</v>
      </c>
      <c r="AL7632" t="s">
        <v>53</v>
      </c>
      <c r="AM7632" t="s">
        <v>53</v>
      </c>
      <c r="AN7632" t="s">
        <v>14134</v>
      </c>
      <c r="AO7632" t="s">
        <v>53</v>
      </c>
      <c r="AP7632" t="s">
        <v>53</v>
      </c>
    </row>
    <row r="7633" spans="2:42" x14ac:dyDescent="0.2">
      <c r="B7633" t="s">
        <v>44</v>
      </c>
      <c r="C7633" t="str">
        <f>HYPERLINK("https://us2.cloudbeds.com/connect/8493803454333002#/reservations/9080486847648319?display=43BP8MQBV1&amp;reservation_id=9080486847648319", "43BP8MQBV1")</f>
        <v>43BP8MQBV1</v>
      </c>
      <c r="D7633" t="s">
        <v>45</v>
      </c>
      <c r="E7633" t="s">
        <v>381</v>
      </c>
      <c r="F7633" t="s">
        <v>47</v>
      </c>
      <c r="G7633" t="s">
        <v>48</v>
      </c>
      <c r="H7633" t="s">
        <v>49</v>
      </c>
      <c r="I7633" t="s">
        <v>62</v>
      </c>
      <c r="J7633" t="s">
        <v>14135</v>
      </c>
      <c r="K7633" t="s">
        <v>14081</v>
      </c>
      <c r="L7633" t="s">
        <v>53</v>
      </c>
      <c r="N7633" t="s">
        <v>14136</v>
      </c>
      <c r="P7633" t="s">
        <v>55</v>
      </c>
      <c r="R7633" t="s">
        <v>56</v>
      </c>
      <c r="T7633" t="s">
        <v>14137</v>
      </c>
      <c r="U7633" t="s">
        <v>55</v>
      </c>
      <c r="V7633">
        <v>6</v>
      </c>
      <c r="W7633">
        <v>1</v>
      </c>
      <c r="X7633">
        <v>1</v>
      </c>
      <c r="Y7633">
        <v>0</v>
      </c>
      <c r="Z7633">
        <v>1</v>
      </c>
      <c r="AA7633">
        <v>406.17</v>
      </c>
      <c r="AB7633">
        <v>406.17</v>
      </c>
      <c r="AC7633">
        <v>406.17</v>
      </c>
      <c r="AD7633">
        <v>0</v>
      </c>
      <c r="AE7633">
        <v>0</v>
      </c>
      <c r="AF7633">
        <v>0</v>
      </c>
      <c r="AG7633">
        <v>0</v>
      </c>
      <c r="AH7633">
        <v>0</v>
      </c>
      <c r="AI7633">
        <v>73.11</v>
      </c>
      <c r="AJ7633">
        <v>406.17</v>
      </c>
      <c r="AK7633">
        <v>0</v>
      </c>
      <c r="AL7633" t="s">
        <v>53</v>
      </c>
      <c r="AM7633" t="s">
        <v>53</v>
      </c>
      <c r="AN7633" t="s">
        <v>14138</v>
      </c>
      <c r="AO7633" t="s">
        <v>53</v>
      </c>
      <c r="AP7633" t="s">
        <v>53</v>
      </c>
    </row>
    <row r="7634" spans="2:42" x14ac:dyDescent="0.2">
      <c r="B7634" t="s">
        <v>44</v>
      </c>
      <c r="C7634" t="str">
        <f>HYPERLINK("https://us2.cloudbeds.com/connect/8493803454333002#/reservations/9080486847650460?display=43DFE2FVN0&amp;reservation_id=9080486847650460", "43DFE2FVN0")</f>
        <v>43DFE2FVN0</v>
      </c>
      <c r="D7634" t="s">
        <v>45</v>
      </c>
      <c r="E7634" t="s">
        <v>487</v>
      </c>
      <c r="F7634" t="s">
        <v>61</v>
      </c>
      <c r="G7634" t="s">
        <v>48</v>
      </c>
      <c r="H7634" t="s">
        <v>49</v>
      </c>
      <c r="I7634" t="s">
        <v>62</v>
      </c>
      <c r="J7634" t="s">
        <v>13735</v>
      </c>
      <c r="K7634" t="s">
        <v>9935</v>
      </c>
      <c r="L7634" t="s">
        <v>53</v>
      </c>
      <c r="N7634" t="s">
        <v>14139</v>
      </c>
      <c r="P7634" t="s">
        <v>55</v>
      </c>
      <c r="R7634" t="s">
        <v>56</v>
      </c>
      <c r="T7634" t="s">
        <v>14140</v>
      </c>
      <c r="U7634" t="s">
        <v>55</v>
      </c>
      <c r="V7634">
        <v>1</v>
      </c>
      <c r="W7634">
        <v>1</v>
      </c>
      <c r="X7634">
        <v>2</v>
      </c>
      <c r="Y7634">
        <v>0</v>
      </c>
      <c r="Z7634">
        <v>2</v>
      </c>
      <c r="AA7634">
        <v>65.41</v>
      </c>
      <c r="AB7634">
        <v>65.41</v>
      </c>
      <c r="AC7634">
        <v>65.41</v>
      </c>
      <c r="AD7634">
        <v>0</v>
      </c>
      <c r="AE7634">
        <v>0</v>
      </c>
      <c r="AF7634">
        <v>0</v>
      </c>
      <c r="AG7634">
        <v>0</v>
      </c>
      <c r="AH7634">
        <v>0</v>
      </c>
      <c r="AI7634">
        <v>11.77</v>
      </c>
      <c r="AJ7634">
        <v>65.41</v>
      </c>
      <c r="AK7634">
        <v>0</v>
      </c>
      <c r="AL7634" t="s">
        <v>53</v>
      </c>
      <c r="AM7634" t="s">
        <v>53</v>
      </c>
      <c r="AN7634" t="s">
        <v>14141</v>
      </c>
      <c r="AO7634" t="s">
        <v>53</v>
      </c>
      <c r="AP7634" t="s">
        <v>53</v>
      </c>
    </row>
    <row r="7635" spans="2:42" x14ac:dyDescent="0.2">
      <c r="B7635" t="s">
        <v>44</v>
      </c>
      <c r="C7635" t="str">
        <f>HYPERLINK("https://us2.cloudbeds.com/connect/8493803454333002#/reservations/9080486847650773?display=43DPUZA7X7&amp;reservation_id=9080486847650773", "43DPUZA7X7")</f>
        <v>43DPUZA7X7</v>
      </c>
      <c r="D7635" t="s">
        <v>45</v>
      </c>
      <c r="E7635" t="s">
        <v>110</v>
      </c>
      <c r="F7635" t="s">
        <v>47</v>
      </c>
      <c r="G7635" t="s">
        <v>48</v>
      </c>
      <c r="H7635" t="s">
        <v>49</v>
      </c>
      <c r="I7635" t="s">
        <v>8964</v>
      </c>
      <c r="J7635" t="s">
        <v>13735</v>
      </c>
      <c r="K7635" t="s">
        <v>9935</v>
      </c>
      <c r="L7635" t="s">
        <v>53</v>
      </c>
      <c r="N7635" t="s">
        <v>14142</v>
      </c>
      <c r="P7635" t="s">
        <v>55</v>
      </c>
      <c r="R7635" t="s">
        <v>53</v>
      </c>
      <c r="T7635" t="s">
        <v>14143</v>
      </c>
      <c r="U7635" t="s">
        <v>55</v>
      </c>
      <c r="V7635">
        <v>1</v>
      </c>
      <c r="W7635">
        <v>1</v>
      </c>
      <c r="X7635">
        <v>2</v>
      </c>
      <c r="Y7635">
        <v>0</v>
      </c>
      <c r="Z7635">
        <v>2</v>
      </c>
      <c r="AA7635">
        <v>69</v>
      </c>
      <c r="AB7635">
        <v>0</v>
      </c>
      <c r="AC7635">
        <v>69</v>
      </c>
      <c r="AD7635">
        <v>0</v>
      </c>
      <c r="AE7635">
        <v>0</v>
      </c>
      <c r="AF7635">
        <v>0</v>
      </c>
      <c r="AG7635">
        <v>0</v>
      </c>
      <c r="AH7635">
        <v>0</v>
      </c>
      <c r="AI7635">
        <v>10.35</v>
      </c>
      <c r="AJ7635">
        <v>69</v>
      </c>
      <c r="AK7635">
        <v>69</v>
      </c>
      <c r="AL7635" t="s">
        <v>53</v>
      </c>
      <c r="AM7635" t="s">
        <v>53</v>
      </c>
      <c r="AN7635" t="s">
        <v>14144</v>
      </c>
      <c r="AO7635" t="s">
        <v>53</v>
      </c>
      <c r="AP7635" t="s">
        <v>53</v>
      </c>
    </row>
    <row r="7636" spans="2:42" x14ac:dyDescent="0.2">
      <c r="B7636" t="s">
        <v>44</v>
      </c>
      <c r="C7636" t="str">
        <f>HYPERLINK("https://us2.cloudbeds.com/connect/8493803454333002#/reservations/190474113229034?display=43E9H2XU17&amp;reservation_id=190474113229034", "43E9H2XU17")</f>
        <v>43E9H2XU17</v>
      </c>
      <c r="D7636" t="s">
        <v>45</v>
      </c>
      <c r="E7636" t="s">
        <v>92</v>
      </c>
      <c r="F7636" t="s">
        <v>86</v>
      </c>
      <c r="G7636" t="s">
        <v>48</v>
      </c>
      <c r="H7636" t="s">
        <v>3957</v>
      </c>
      <c r="I7636" t="s">
        <v>3975</v>
      </c>
      <c r="J7636" t="s">
        <v>9935</v>
      </c>
      <c r="K7636" t="s">
        <v>9969</v>
      </c>
      <c r="L7636" t="s">
        <v>53</v>
      </c>
      <c r="P7636" t="s">
        <v>55</v>
      </c>
      <c r="R7636" t="s">
        <v>56</v>
      </c>
      <c r="T7636" t="s">
        <v>14145</v>
      </c>
      <c r="U7636" t="s">
        <v>58</v>
      </c>
      <c r="V7636">
        <v>2</v>
      </c>
      <c r="W7636">
        <v>1</v>
      </c>
      <c r="X7636">
        <v>2</v>
      </c>
      <c r="Y7636">
        <v>0</v>
      </c>
      <c r="Z7636">
        <v>2</v>
      </c>
      <c r="AA7636">
        <v>254.59</v>
      </c>
      <c r="AB7636">
        <v>727.4</v>
      </c>
      <c r="AC7636">
        <v>224</v>
      </c>
      <c r="AD7636">
        <v>0</v>
      </c>
      <c r="AE7636">
        <v>30.59</v>
      </c>
      <c r="AF7636">
        <v>0</v>
      </c>
      <c r="AG7636">
        <v>0</v>
      </c>
      <c r="AH7636">
        <v>0</v>
      </c>
      <c r="AI7636">
        <v>0</v>
      </c>
      <c r="AJ7636">
        <v>254.59</v>
      </c>
      <c r="AK7636">
        <v>0</v>
      </c>
      <c r="AL7636" t="s">
        <v>53</v>
      </c>
      <c r="AM7636" t="s">
        <v>53</v>
      </c>
      <c r="AN7636" t="s">
        <v>14146</v>
      </c>
      <c r="AO7636" t="s">
        <v>53</v>
      </c>
      <c r="AP7636" t="s">
        <v>53</v>
      </c>
    </row>
    <row r="7637" spans="2:42" x14ac:dyDescent="0.2">
      <c r="B7637" t="s">
        <v>44</v>
      </c>
      <c r="C7637" t="str">
        <f>HYPERLINK("https://us2.cloudbeds.com/connect/8493803454333002#/reservations/9080486847655148?display=43XBTZTGUB&amp;reservation_id=9080486847655148", "43XBTZTGUB")</f>
        <v>43XBTZTGUB</v>
      </c>
      <c r="D7637" t="s">
        <v>45</v>
      </c>
      <c r="E7637" t="s">
        <v>179</v>
      </c>
      <c r="F7637" t="s">
        <v>47</v>
      </c>
      <c r="G7637" t="s">
        <v>48</v>
      </c>
      <c r="H7637" t="s">
        <v>49</v>
      </c>
      <c r="I7637" t="s">
        <v>62</v>
      </c>
      <c r="J7637" t="s">
        <v>10587</v>
      </c>
      <c r="K7637" t="s">
        <v>12323</v>
      </c>
      <c r="L7637" t="s">
        <v>53</v>
      </c>
      <c r="N7637" t="s">
        <v>14147</v>
      </c>
      <c r="P7637" t="s">
        <v>55</v>
      </c>
      <c r="R7637" t="s">
        <v>56</v>
      </c>
      <c r="T7637" t="s">
        <v>14148</v>
      </c>
      <c r="U7637" t="s">
        <v>55</v>
      </c>
      <c r="V7637">
        <v>3</v>
      </c>
      <c r="W7637">
        <v>1</v>
      </c>
      <c r="X7637">
        <v>2</v>
      </c>
      <c r="Y7637">
        <v>0</v>
      </c>
      <c r="Z7637">
        <v>2</v>
      </c>
      <c r="AA7637">
        <v>205.7</v>
      </c>
      <c r="AB7637">
        <v>205.7</v>
      </c>
      <c r="AC7637">
        <v>205.7</v>
      </c>
      <c r="AD7637">
        <v>0</v>
      </c>
      <c r="AE7637">
        <v>0</v>
      </c>
      <c r="AF7637">
        <v>0</v>
      </c>
      <c r="AG7637">
        <v>0</v>
      </c>
      <c r="AH7637">
        <v>0</v>
      </c>
      <c r="AI7637">
        <v>37.03</v>
      </c>
      <c r="AJ7637">
        <v>205.7</v>
      </c>
      <c r="AK7637">
        <v>0</v>
      </c>
      <c r="AL7637" t="s">
        <v>53</v>
      </c>
      <c r="AM7637" t="s">
        <v>53</v>
      </c>
      <c r="AN7637" t="s">
        <v>14149</v>
      </c>
      <c r="AO7637" t="s">
        <v>53</v>
      </c>
      <c r="AP7637" t="s">
        <v>53</v>
      </c>
    </row>
    <row r="7638" spans="2:42" x14ac:dyDescent="0.2">
      <c r="B7638" t="s">
        <v>44</v>
      </c>
      <c r="C7638" t="str">
        <f>HYPERLINK("https://us2.cloudbeds.com/connect/8493803454333002#/reservations/9080486847655361?display=43XH9M0XPX&amp;reservation_id=9080486847655361", "43XH9M0XPX")</f>
        <v>43XH9M0XPX</v>
      </c>
      <c r="D7638" t="s">
        <v>45</v>
      </c>
      <c r="E7638" t="s">
        <v>85</v>
      </c>
      <c r="F7638" t="s">
        <v>86</v>
      </c>
      <c r="G7638" t="s">
        <v>48</v>
      </c>
      <c r="H7638" t="s">
        <v>49</v>
      </c>
      <c r="I7638" t="s">
        <v>8964</v>
      </c>
      <c r="J7638" t="s">
        <v>11295</v>
      </c>
      <c r="K7638" t="s">
        <v>10680</v>
      </c>
      <c r="L7638" t="s">
        <v>53</v>
      </c>
      <c r="N7638" t="s">
        <v>14150</v>
      </c>
      <c r="P7638" t="s">
        <v>55</v>
      </c>
      <c r="R7638" t="s">
        <v>53</v>
      </c>
      <c r="T7638" t="s">
        <v>14151</v>
      </c>
      <c r="U7638" t="s">
        <v>55</v>
      </c>
      <c r="V7638">
        <v>1</v>
      </c>
      <c r="W7638">
        <v>1</v>
      </c>
      <c r="X7638">
        <v>1</v>
      </c>
      <c r="Y7638">
        <v>0</v>
      </c>
      <c r="Z7638">
        <v>1</v>
      </c>
      <c r="AA7638">
        <v>0</v>
      </c>
      <c r="AB7638">
        <v>0</v>
      </c>
      <c r="AC7638">
        <v>113</v>
      </c>
      <c r="AD7638">
        <v>0</v>
      </c>
      <c r="AE7638">
        <v>0</v>
      </c>
      <c r="AF7638">
        <v>0</v>
      </c>
      <c r="AG7638">
        <v>0</v>
      </c>
      <c r="AH7638">
        <v>0</v>
      </c>
      <c r="AI7638">
        <v>16.95</v>
      </c>
      <c r="AJ7638">
        <v>113</v>
      </c>
      <c r="AK7638">
        <v>113</v>
      </c>
      <c r="AL7638" t="s">
        <v>53</v>
      </c>
      <c r="AM7638" t="s">
        <v>53</v>
      </c>
      <c r="AN7638" t="s">
        <v>14152</v>
      </c>
      <c r="AO7638" t="s">
        <v>53</v>
      </c>
      <c r="AP7638" t="s">
        <v>53</v>
      </c>
    </row>
    <row r="7639" spans="2:42" x14ac:dyDescent="0.2">
      <c r="B7639" t="s">
        <v>44</v>
      </c>
      <c r="C7639" t="str">
        <f>HYPERLINK("https://us2.cloudbeds.com/connect/8493803454333002#/reservations/190701308883083?display=43JKEEVTHJ&amp;reservation_id=190701308883083", "43JKEEVTHJ")</f>
        <v>43JKEEVTHJ</v>
      </c>
      <c r="D7639" t="s">
        <v>45</v>
      </c>
      <c r="E7639" t="s">
        <v>128</v>
      </c>
      <c r="F7639" t="s">
        <v>86</v>
      </c>
      <c r="G7639" t="s">
        <v>13757</v>
      </c>
      <c r="H7639" t="s">
        <v>3957</v>
      </c>
      <c r="I7639" t="s">
        <v>3989</v>
      </c>
      <c r="J7639" t="s">
        <v>14153</v>
      </c>
      <c r="K7639" t="s">
        <v>14154</v>
      </c>
      <c r="L7639" t="s">
        <v>53</v>
      </c>
      <c r="P7639" t="s">
        <v>55</v>
      </c>
      <c r="R7639" t="s">
        <v>56</v>
      </c>
      <c r="T7639" t="s">
        <v>14155</v>
      </c>
      <c r="U7639" t="s">
        <v>58</v>
      </c>
      <c r="V7639">
        <v>2</v>
      </c>
      <c r="W7639">
        <v>1</v>
      </c>
      <c r="X7639">
        <v>1</v>
      </c>
      <c r="Y7639">
        <v>0</v>
      </c>
      <c r="Z7639">
        <v>1</v>
      </c>
      <c r="AA7639">
        <v>442.9</v>
      </c>
      <c r="AB7639">
        <v>446.79</v>
      </c>
      <c r="AC7639">
        <v>389.7</v>
      </c>
      <c r="AD7639">
        <v>0</v>
      </c>
      <c r="AE7639">
        <v>57.09</v>
      </c>
      <c r="AF7639">
        <v>0</v>
      </c>
      <c r="AG7639">
        <v>0</v>
      </c>
      <c r="AH7639">
        <v>0</v>
      </c>
      <c r="AI7639">
        <v>0</v>
      </c>
      <c r="AJ7639">
        <v>446.79</v>
      </c>
      <c r="AK7639">
        <v>0</v>
      </c>
      <c r="AL7639" t="s">
        <v>53</v>
      </c>
      <c r="AM7639" t="s">
        <v>53</v>
      </c>
      <c r="AN7639" t="s">
        <v>14156</v>
      </c>
      <c r="AO7639" t="s">
        <v>53</v>
      </c>
      <c r="AP7639" t="s">
        <v>53</v>
      </c>
    </row>
    <row r="7640" spans="2:42" x14ac:dyDescent="0.2">
      <c r="B7640" t="s">
        <v>44</v>
      </c>
      <c r="C7640" t="str">
        <f>HYPERLINK("https://us2.cloudbeds.com/connect/8493803454333002#/reservations/9080486847657468?display=43JVP8ADJE&amp;reservation_id=9080486847657468", "43JVP8ADJE")</f>
        <v>43JVP8ADJE</v>
      </c>
      <c r="D7640" t="s">
        <v>45</v>
      </c>
      <c r="E7640" t="s">
        <v>190</v>
      </c>
      <c r="F7640" t="s">
        <v>61</v>
      </c>
      <c r="G7640" t="s">
        <v>48</v>
      </c>
      <c r="H7640" t="s">
        <v>49</v>
      </c>
      <c r="I7640" t="s">
        <v>8964</v>
      </c>
      <c r="J7640" t="s">
        <v>12117</v>
      </c>
      <c r="K7640" t="s">
        <v>9710</v>
      </c>
      <c r="L7640" t="s">
        <v>53</v>
      </c>
      <c r="N7640" t="s">
        <v>14157</v>
      </c>
      <c r="P7640" t="s">
        <v>58</v>
      </c>
      <c r="R7640" t="s">
        <v>53</v>
      </c>
      <c r="T7640" t="s">
        <v>14158</v>
      </c>
      <c r="U7640" t="s">
        <v>55</v>
      </c>
      <c r="V7640">
        <v>2</v>
      </c>
      <c r="W7640">
        <v>1</v>
      </c>
      <c r="X7640">
        <v>2</v>
      </c>
      <c r="Y7640">
        <v>0</v>
      </c>
      <c r="Z7640">
        <v>2</v>
      </c>
      <c r="AA7640">
        <v>0</v>
      </c>
      <c r="AB7640">
        <v>0</v>
      </c>
      <c r="AC7640">
        <v>197</v>
      </c>
      <c r="AD7640">
        <v>0</v>
      </c>
      <c r="AE7640">
        <v>0</v>
      </c>
      <c r="AF7640">
        <v>0</v>
      </c>
      <c r="AG7640">
        <v>0</v>
      </c>
      <c r="AH7640">
        <v>0</v>
      </c>
      <c r="AI7640">
        <v>29.55</v>
      </c>
      <c r="AJ7640">
        <v>197</v>
      </c>
      <c r="AK7640">
        <v>197</v>
      </c>
      <c r="AL7640" t="s">
        <v>53</v>
      </c>
      <c r="AM7640" t="s">
        <v>53</v>
      </c>
      <c r="AN7640" t="s">
        <v>14159</v>
      </c>
      <c r="AO7640" t="s">
        <v>53</v>
      </c>
      <c r="AP7640" t="s">
        <v>53</v>
      </c>
    </row>
    <row r="7641" spans="2:42" x14ac:dyDescent="0.2">
      <c r="B7641" t="s">
        <v>44</v>
      </c>
      <c r="C7641" t="str">
        <f>HYPERLINK("https://us2.cloudbeds.com/connect/8493803454333002#/reservations/9080486847658186?display=43KERNVKT1&amp;reservation_id=9080486847658186", "43KERNVKT1")</f>
        <v>43KERNVKT1</v>
      </c>
      <c r="D7641" t="s">
        <v>45</v>
      </c>
      <c r="E7641" t="s">
        <v>138</v>
      </c>
      <c r="F7641" t="s">
        <v>70</v>
      </c>
      <c r="G7641" t="s">
        <v>48</v>
      </c>
      <c r="H7641" t="s">
        <v>49</v>
      </c>
      <c r="I7641" t="s">
        <v>50</v>
      </c>
      <c r="J7641" t="s">
        <v>13960</v>
      </c>
      <c r="K7641" t="s">
        <v>14160</v>
      </c>
      <c r="L7641" t="s">
        <v>53</v>
      </c>
      <c r="N7641" t="s">
        <v>14161</v>
      </c>
      <c r="P7641" t="s">
        <v>55</v>
      </c>
      <c r="R7641" t="s">
        <v>53</v>
      </c>
      <c r="T7641" t="s">
        <v>14162</v>
      </c>
      <c r="U7641" t="s">
        <v>58</v>
      </c>
      <c r="V7641">
        <v>1</v>
      </c>
      <c r="W7641">
        <v>1</v>
      </c>
      <c r="X7641">
        <v>2</v>
      </c>
      <c r="Y7641">
        <v>0</v>
      </c>
      <c r="Z7641">
        <v>2</v>
      </c>
      <c r="AA7641">
        <v>63.64</v>
      </c>
      <c r="AB7641">
        <v>63.64</v>
      </c>
      <c r="AC7641">
        <v>56</v>
      </c>
      <c r="AD7641">
        <v>0</v>
      </c>
      <c r="AE7641">
        <v>8.1999999999999993</v>
      </c>
      <c r="AF7641">
        <v>0</v>
      </c>
      <c r="AG7641">
        <v>0</v>
      </c>
      <c r="AH7641">
        <v>0</v>
      </c>
      <c r="AI7641">
        <v>11.56</v>
      </c>
      <c r="AJ7641">
        <v>64.2</v>
      </c>
      <c r="AK7641">
        <v>0.56000000000000005</v>
      </c>
      <c r="AL7641" t="s">
        <v>53</v>
      </c>
      <c r="AM7641" t="s">
        <v>53</v>
      </c>
      <c r="AN7641" t="s">
        <v>14163</v>
      </c>
      <c r="AO7641" t="s">
        <v>53</v>
      </c>
      <c r="AP7641" t="s">
        <v>53</v>
      </c>
    </row>
    <row r="7642" spans="2:42" x14ac:dyDescent="0.2">
      <c r="B7642" t="s">
        <v>44</v>
      </c>
      <c r="C7642" t="str">
        <f>HYPERLINK("https://us2.cloudbeds.com/connect/8493803454333002#/reservations/9080486847658187?display=43KEMVP2D7&amp;reservation_id=9080486847658187", "43KEMVP2D7")</f>
        <v>43KEMVP2D7</v>
      </c>
      <c r="D7642" t="s">
        <v>45</v>
      </c>
      <c r="E7642" t="s">
        <v>69</v>
      </c>
      <c r="F7642" t="s">
        <v>70</v>
      </c>
      <c r="G7642" t="s">
        <v>48</v>
      </c>
      <c r="H7642" t="s">
        <v>49</v>
      </c>
      <c r="I7642" t="s">
        <v>50</v>
      </c>
      <c r="J7642" t="s">
        <v>13960</v>
      </c>
      <c r="K7642" t="s">
        <v>14160</v>
      </c>
      <c r="L7642" t="s">
        <v>53</v>
      </c>
      <c r="N7642" t="s">
        <v>14164</v>
      </c>
      <c r="P7642" t="s">
        <v>55</v>
      </c>
      <c r="R7642" t="s">
        <v>53</v>
      </c>
      <c r="T7642" t="s">
        <v>14165</v>
      </c>
      <c r="U7642" t="s">
        <v>58</v>
      </c>
      <c r="V7642">
        <v>1</v>
      </c>
      <c r="W7642">
        <v>1</v>
      </c>
      <c r="X7642">
        <v>1</v>
      </c>
      <c r="Y7642">
        <v>0</v>
      </c>
      <c r="Z7642">
        <v>1</v>
      </c>
      <c r="AA7642">
        <v>63.64</v>
      </c>
      <c r="AB7642">
        <v>63.64</v>
      </c>
      <c r="AC7642">
        <v>56</v>
      </c>
      <c r="AD7642">
        <v>0</v>
      </c>
      <c r="AE7642">
        <v>8.1999999999999993</v>
      </c>
      <c r="AF7642">
        <v>0</v>
      </c>
      <c r="AG7642">
        <v>0</v>
      </c>
      <c r="AH7642">
        <v>0</v>
      </c>
      <c r="AI7642">
        <v>11.56</v>
      </c>
      <c r="AJ7642">
        <v>64.2</v>
      </c>
      <c r="AK7642">
        <v>0.56000000000000005</v>
      </c>
      <c r="AL7642" t="s">
        <v>53</v>
      </c>
      <c r="AM7642" t="s">
        <v>53</v>
      </c>
      <c r="AN7642" t="s">
        <v>14166</v>
      </c>
      <c r="AO7642" t="s">
        <v>53</v>
      </c>
      <c r="AP7642" t="s">
        <v>53</v>
      </c>
    </row>
    <row r="7643" spans="2:42" x14ac:dyDescent="0.2">
      <c r="B7643" t="s">
        <v>44</v>
      </c>
      <c r="C7643" t="str">
        <f>HYPERLINK("https://us2.cloudbeds.com/connect/8493803454333002#/reservations/9080486847659794?display=43YRPZYJFG&amp;reservation_id=9080486847659794", "43YRPZYJFG")</f>
        <v>43YRPZYJFG</v>
      </c>
      <c r="D7643" t="s">
        <v>45</v>
      </c>
      <c r="E7643" t="s">
        <v>78</v>
      </c>
      <c r="F7643" t="s">
        <v>61</v>
      </c>
      <c r="G7643" t="s">
        <v>48</v>
      </c>
      <c r="H7643" t="s">
        <v>49</v>
      </c>
      <c r="I7643" t="s">
        <v>62</v>
      </c>
      <c r="J7643" t="s">
        <v>12159</v>
      </c>
      <c r="K7643" t="s">
        <v>13876</v>
      </c>
      <c r="L7643" t="s">
        <v>53</v>
      </c>
      <c r="N7643" t="s">
        <v>14167</v>
      </c>
      <c r="P7643" t="s">
        <v>55</v>
      </c>
      <c r="R7643" t="s">
        <v>56</v>
      </c>
      <c r="T7643" t="s">
        <v>14168</v>
      </c>
      <c r="U7643" t="s">
        <v>55</v>
      </c>
      <c r="V7643">
        <v>1</v>
      </c>
      <c r="W7643">
        <v>1</v>
      </c>
      <c r="X7643">
        <v>2</v>
      </c>
      <c r="Y7643">
        <v>0</v>
      </c>
      <c r="Z7643">
        <v>2</v>
      </c>
      <c r="AA7643">
        <v>64.599999999999994</v>
      </c>
      <c r="AB7643">
        <v>64.599999999999994</v>
      </c>
      <c r="AC7643">
        <v>64.599999999999994</v>
      </c>
      <c r="AD7643">
        <v>0</v>
      </c>
      <c r="AE7643">
        <v>0</v>
      </c>
      <c r="AF7643">
        <v>0</v>
      </c>
      <c r="AG7643">
        <v>0</v>
      </c>
      <c r="AH7643">
        <v>0</v>
      </c>
      <c r="AI7643">
        <v>11.63</v>
      </c>
      <c r="AJ7643">
        <v>64.599999999999994</v>
      </c>
      <c r="AK7643">
        <v>0</v>
      </c>
      <c r="AL7643" t="s">
        <v>53</v>
      </c>
      <c r="AM7643" t="s">
        <v>53</v>
      </c>
      <c r="AN7643" t="s">
        <v>53</v>
      </c>
      <c r="AO7643" t="s">
        <v>53</v>
      </c>
      <c r="AP7643" t="s">
        <v>53</v>
      </c>
    </row>
    <row r="7644" spans="2:42" x14ac:dyDescent="0.2">
      <c r="B7644" t="s">
        <v>44</v>
      </c>
      <c r="C7644" t="str">
        <f>HYPERLINK("https://us2.cloudbeds.com/connect/8493803454333002#/reservations/190802074321051?display=43YWF81ZJR&amp;reservation_id=190802074321051", "43YWF81ZJR")</f>
        <v>43YWF81ZJR</v>
      </c>
      <c r="D7644" t="s">
        <v>45</v>
      </c>
      <c r="E7644" t="s">
        <v>381</v>
      </c>
      <c r="F7644" t="s">
        <v>47</v>
      </c>
      <c r="G7644" t="s">
        <v>48</v>
      </c>
      <c r="H7644" t="s">
        <v>3957</v>
      </c>
      <c r="I7644" t="s">
        <v>3975</v>
      </c>
      <c r="J7644" t="s">
        <v>10587</v>
      </c>
      <c r="K7644" t="s">
        <v>12424</v>
      </c>
      <c r="L7644" t="s">
        <v>53</v>
      </c>
      <c r="P7644" t="s">
        <v>55</v>
      </c>
      <c r="R7644" t="s">
        <v>56</v>
      </c>
      <c r="T7644" t="s">
        <v>14169</v>
      </c>
      <c r="U7644" t="s">
        <v>58</v>
      </c>
      <c r="V7644">
        <v>2</v>
      </c>
      <c r="W7644">
        <v>1</v>
      </c>
      <c r="X7644">
        <v>1</v>
      </c>
      <c r="Y7644">
        <v>0</v>
      </c>
      <c r="Z7644">
        <v>1</v>
      </c>
      <c r="AA7644">
        <v>0</v>
      </c>
      <c r="AB7644">
        <v>178.44</v>
      </c>
      <c r="AC7644">
        <v>157</v>
      </c>
      <c r="AD7644">
        <v>0</v>
      </c>
      <c r="AE7644">
        <v>21.44</v>
      </c>
      <c r="AF7644">
        <v>0</v>
      </c>
      <c r="AG7644">
        <v>0</v>
      </c>
      <c r="AH7644">
        <v>0</v>
      </c>
      <c r="AI7644">
        <v>0</v>
      </c>
      <c r="AJ7644">
        <v>178.44</v>
      </c>
      <c r="AK7644">
        <v>0</v>
      </c>
      <c r="AL7644" t="s">
        <v>53</v>
      </c>
      <c r="AM7644" t="s">
        <v>53</v>
      </c>
      <c r="AN7644" t="s">
        <v>53</v>
      </c>
      <c r="AO7644" t="s">
        <v>53</v>
      </c>
      <c r="AP7644" t="s">
        <v>53</v>
      </c>
    </row>
    <row r="7645" spans="2:42" x14ac:dyDescent="0.2">
      <c r="B7645" t="s">
        <v>44</v>
      </c>
      <c r="C7645" t="str">
        <f>HYPERLINK("https://us2.cloudbeds.com/connect/8493803454333002#/reservations/9080486847660261?display=43M6J7224Q&amp;reservation_id=9080486847660261", "43M6J7224Q")</f>
        <v>43M6J7224Q</v>
      </c>
      <c r="D7645" t="s">
        <v>45</v>
      </c>
      <c r="E7645" t="s">
        <v>110</v>
      </c>
      <c r="F7645" t="s">
        <v>47</v>
      </c>
      <c r="G7645" t="s">
        <v>48</v>
      </c>
      <c r="H7645" t="s">
        <v>49</v>
      </c>
      <c r="I7645" t="s">
        <v>50</v>
      </c>
      <c r="J7645" t="s">
        <v>12159</v>
      </c>
      <c r="K7645" t="s">
        <v>13876</v>
      </c>
      <c r="L7645" t="s">
        <v>53</v>
      </c>
      <c r="N7645" t="s">
        <v>14170</v>
      </c>
      <c r="P7645" t="s">
        <v>55</v>
      </c>
      <c r="R7645" t="s">
        <v>53</v>
      </c>
      <c r="T7645" t="s">
        <v>14171</v>
      </c>
      <c r="U7645" t="s">
        <v>58</v>
      </c>
      <c r="V7645">
        <v>1</v>
      </c>
      <c r="W7645">
        <v>1</v>
      </c>
      <c r="X7645">
        <v>1</v>
      </c>
      <c r="Y7645">
        <v>0</v>
      </c>
      <c r="Z7645">
        <v>1</v>
      </c>
      <c r="AA7645">
        <v>65.459999999999994</v>
      </c>
      <c r="AB7645">
        <v>65.459999999999994</v>
      </c>
      <c r="AC7645">
        <v>57.6</v>
      </c>
      <c r="AD7645">
        <v>0</v>
      </c>
      <c r="AE7645">
        <v>7.86</v>
      </c>
      <c r="AF7645">
        <v>0</v>
      </c>
      <c r="AG7645">
        <v>0</v>
      </c>
      <c r="AH7645">
        <v>0</v>
      </c>
      <c r="AI7645">
        <v>11.78</v>
      </c>
      <c r="AJ7645">
        <v>65.459999999999994</v>
      </c>
      <c r="AK7645">
        <v>0</v>
      </c>
      <c r="AL7645" t="s">
        <v>53</v>
      </c>
      <c r="AM7645" t="s">
        <v>53</v>
      </c>
      <c r="AN7645" t="s">
        <v>53</v>
      </c>
      <c r="AO7645" t="s">
        <v>53</v>
      </c>
      <c r="AP7645" t="s">
        <v>53</v>
      </c>
    </row>
    <row r="7646" spans="2:42" x14ac:dyDescent="0.2">
      <c r="B7646" t="s">
        <v>44</v>
      </c>
      <c r="C7646" t="str">
        <f>HYPERLINK("https://us2.cloudbeds.com/connect/8493803454333002#/reservations/190840872136918?display=43MTGKD5DZ&amp;reservation_id=190840872136918", "43MTGKD5DZ")</f>
        <v>43MTGKD5DZ</v>
      </c>
      <c r="D7646" t="s">
        <v>45</v>
      </c>
      <c r="E7646" t="s">
        <v>305</v>
      </c>
      <c r="F7646" t="s">
        <v>61</v>
      </c>
      <c r="G7646" t="s">
        <v>3974</v>
      </c>
      <c r="H7646" t="s">
        <v>3957</v>
      </c>
      <c r="I7646" t="s">
        <v>3975</v>
      </c>
      <c r="J7646" t="s">
        <v>13735</v>
      </c>
      <c r="K7646" t="s">
        <v>12908</v>
      </c>
      <c r="L7646" t="s">
        <v>53</v>
      </c>
      <c r="P7646" t="s">
        <v>55</v>
      </c>
      <c r="R7646" t="s">
        <v>56</v>
      </c>
      <c r="T7646" t="s">
        <v>14172</v>
      </c>
      <c r="U7646" t="s">
        <v>58</v>
      </c>
      <c r="V7646">
        <v>2</v>
      </c>
      <c r="W7646">
        <v>1</v>
      </c>
      <c r="X7646">
        <v>1</v>
      </c>
      <c r="Y7646">
        <v>0</v>
      </c>
      <c r="Z7646">
        <v>1</v>
      </c>
      <c r="AA7646">
        <v>209.46</v>
      </c>
      <c r="AB7646">
        <v>209.46</v>
      </c>
      <c r="AC7646">
        <v>184.3</v>
      </c>
      <c r="AD7646">
        <v>0</v>
      </c>
      <c r="AE7646">
        <v>25.16</v>
      </c>
      <c r="AF7646">
        <v>0</v>
      </c>
      <c r="AG7646">
        <v>0</v>
      </c>
      <c r="AH7646">
        <v>0</v>
      </c>
      <c r="AI7646">
        <v>0</v>
      </c>
      <c r="AJ7646">
        <v>209.46</v>
      </c>
      <c r="AK7646">
        <v>0</v>
      </c>
      <c r="AL7646" t="s">
        <v>53</v>
      </c>
      <c r="AM7646" t="s">
        <v>53</v>
      </c>
      <c r="AN7646" t="s">
        <v>53</v>
      </c>
      <c r="AO7646" t="s">
        <v>53</v>
      </c>
      <c r="AP7646" t="s">
        <v>53</v>
      </c>
    </row>
    <row r="7647" spans="2:42" x14ac:dyDescent="0.2">
      <c r="B7647" t="s">
        <v>44</v>
      </c>
      <c r="C7647" t="str">
        <f>HYPERLINK("https://us2.cloudbeds.com/connect/8493803454333002#/reservations/9080486847665630?display=43R8XKVZVQ&amp;reservation_id=9080486847665630", "43R8XKVZVQ")</f>
        <v>43R8XKVZVQ</v>
      </c>
      <c r="D7647" t="s">
        <v>45</v>
      </c>
      <c r="E7647" t="s">
        <v>406</v>
      </c>
      <c r="F7647" t="s">
        <v>61</v>
      </c>
      <c r="G7647" t="s">
        <v>48</v>
      </c>
      <c r="H7647" t="s">
        <v>49</v>
      </c>
      <c r="I7647" t="s">
        <v>62</v>
      </c>
      <c r="J7647" t="s">
        <v>13735</v>
      </c>
      <c r="K7647" t="s">
        <v>9935</v>
      </c>
      <c r="L7647" t="s">
        <v>53</v>
      </c>
      <c r="N7647" t="s">
        <v>14173</v>
      </c>
      <c r="P7647" t="s">
        <v>55</v>
      </c>
      <c r="R7647" t="s">
        <v>56</v>
      </c>
      <c r="T7647" t="s">
        <v>14174</v>
      </c>
      <c r="U7647" t="s">
        <v>55</v>
      </c>
      <c r="V7647">
        <v>1</v>
      </c>
      <c r="W7647">
        <v>1</v>
      </c>
      <c r="X7647">
        <v>2</v>
      </c>
      <c r="Y7647">
        <v>0</v>
      </c>
      <c r="Z7647">
        <v>2</v>
      </c>
      <c r="AA7647">
        <v>65.41</v>
      </c>
      <c r="AB7647">
        <v>65.41</v>
      </c>
      <c r="AC7647">
        <v>65.41</v>
      </c>
      <c r="AD7647">
        <v>0</v>
      </c>
      <c r="AE7647">
        <v>0</v>
      </c>
      <c r="AF7647">
        <v>0</v>
      </c>
      <c r="AG7647">
        <v>0</v>
      </c>
      <c r="AH7647">
        <v>0</v>
      </c>
      <c r="AI7647">
        <v>11.77</v>
      </c>
      <c r="AJ7647">
        <v>65.41</v>
      </c>
      <c r="AK7647">
        <v>0</v>
      </c>
      <c r="AL7647" t="s">
        <v>53</v>
      </c>
      <c r="AM7647" t="s">
        <v>53</v>
      </c>
      <c r="AN7647" t="s">
        <v>14175</v>
      </c>
      <c r="AO7647" t="s">
        <v>53</v>
      </c>
      <c r="AP7647" t="s">
        <v>53</v>
      </c>
    </row>
    <row r="7648" spans="2:42" x14ac:dyDescent="0.2">
      <c r="B7648" t="s">
        <v>44</v>
      </c>
      <c r="C7648" t="str">
        <f>HYPERLINK("https://us2.cloudbeds.com/connect/8493803454333002#/reservations/9080486847666028?display=43RX185CHE&amp;reservation_id=9080486847666028", "43RX185CHE")</f>
        <v>43RX185CHE</v>
      </c>
      <c r="D7648" t="s">
        <v>45</v>
      </c>
      <c r="E7648" t="s">
        <v>69</v>
      </c>
      <c r="F7648" t="s">
        <v>70</v>
      </c>
      <c r="G7648" t="s">
        <v>48</v>
      </c>
      <c r="H7648" t="s">
        <v>49</v>
      </c>
      <c r="I7648" t="s">
        <v>50</v>
      </c>
      <c r="J7648" t="s">
        <v>13037</v>
      </c>
      <c r="K7648" t="s">
        <v>14176</v>
      </c>
      <c r="L7648" t="s">
        <v>53</v>
      </c>
      <c r="N7648" t="s">
        <v>14177</v>
      </c>
      <c r="P7648" t="s">
        <v>55</v>
      </c>
      <c r="R7648" t="s">
        <v>53</v>
      </c>
      <c r="T7648" t="s">
        <v>14178</v>
      </c>
      <c r="U7648" t="s">
        <v>58</v>
      </c>
      <c r="V7648">
        <v>1</v>
      </c>
      <c r="W7648">
        <v>1</v>
      </c>
      <c r="X7648">
        <v>2</v>
      </c>
      <c r="Y7648">
        <v>0</v>
      </c>
      <c r="Z7648">
        <v>2</v>
      </c>
      <c r="AA7648">
        <v>97.28</v>
      </c>
      <c r="AB7648">
        <v>98.14</v>
      </c>
      <c r="AC7648">
        <v>85.6</v>
      </c>
      <c r="AD7648">
        <v>0</v>
      </c>
      <c r="AE7648">
        <v>12.54</v>
      </c>
      <c r="AF7648">
        <v>0</v>
      </c>
      <c r="AG7648">
        <v>0</v>
      </c>
      <c r="AH7648">
        <v>0</v>
      </c>
      <c r="AI7648">
        <v>17.670000000000002</v>
      </c>
      <c r="AJ7648">
        <v>98.14</v>
      </c>
      <c r="AK7648">
        <v>0</v>
      </c>
      <c r="AL7648" t="s">
        <v>53</v>
      </c>
      <c r="AM7648" t="s">
        <v>53</v>
      </c>
      <c r="AN7648" t="s">
        <v>53</v>
      </c>
      <c r="AO7648" t="s">
        <v>53</v>
      </c>
      <c r="AP7648" t="s">
        <v>53</v>
      </c>
    </row>
    <row r="7649" spans="2:42" x14ac:dyDescent="0.2">
      <c r="B7649" t="s">
        <v>44</v>
      </c>
      <c r="C7649" t="str">
        <f>HYPERLINK("https://us2.cloudbeds.com/connect/8493803454333002#/reservations/9080486847667774?display=43SPK283WG&amp;reservation_id=9080486847667774", "43SPK283WG")</f>
        <v>43SPK283WG</v>
      </c>
      <c r="D7649" t="s">
        <v>45</v>
      </c>
      <c r="E7649" t="s">
        <v>113</v>
      </c>
      <c r="F7649" t="s">
        <v>61</v>
      </c>
      <c r="G7649" t="s">
        <v>48</v>
      </c>
      <c r="H7649" t="s">
        <v>49</v>
      </c>
      <c r="I7649" t="s">
        <v>62</v>
      </c>
      <c r="J7649" t="s">
        <v>13876</v>
      </c>
      <c r="K7649" t="s">
        <v>10587</v>
      </c>
      <c r="L7649" t="s">
        <v>53</v>
      </c>
      <c r="N7649" t="s">
        <v>14179</v>
      </c>
      <c r="P7649" t="s">
        <v>55</v>
      </c>
      <c r="R7649" t="s">
        <v>56</v>
      </c>
      <c r="T7649" t="s">
        <v>14180</v>
      </c>
      <c r="U7649" t="s">
        <v>55</v>
      </c>
      <c r="V7649">
        <v>1</v>
      </c>
      <c r="W7649">
        <v>1</v>
      </c>
      <c r="X7649">
        <v>2</v>
      </c>
      <c r="Y7649">
        <v>0</v>
      </c>
      <c r="Z7649">
        <v>2</v>
      </c>
      <c r="AA7649">
        <v>64.599999999999994</v>
      </c>
      <c r="AB7649">
        <v>64.599999999999994</v>
      </c>
      <c r="AC7649">
        <v>64.599999999999994</v>
      </c>
      <c r="AD7649">
        <v>0</v>
      </c>
      <c r="AE7649">
        <v>0</v>
      </c>
      <c r="AF7649">
        <v>0</v>
      </c>
      <c r="AG7649">
        <v>0</v>
      </c>
      <c r="AH7649">
        <v>0</v>
      </c>
      <c r="AI7649">
        <v>11.63</v>
      </c>
      <c r="AJ7649">
        <v>64.599999999999994</v>
      </c>
      <c r="AK7649">
        <v>0</v>
      </c>
      <c r="AL7649" t="s">
        <v>53</v>
      </c>
      <c r="AM7649" t="s">
        <v>53</v>
      </c>
      <c r="AN7649" t="s">
        <v>53</v>
      </c>
      <c r="AO7649" t="s">
        <v>53</v>
      </c>
      <c r="AP7649" t="s">
        <v>53</v>
      </c>
    </row>
    <row r="7650" spans="2:42" x14ac:dyDescent="0.2">
      <c r="B7650" t="s">
        <v>44</v>
      </c>
      <c r="C7650" t="str">
        <f>HYPERLINK("https://us2.cloudbeds.com/connect/8493803454333002#/reservations/9080486847668149?display=43T10CVKWH&amp;reservation_id=9080486847668149", "43T10CVKWH")</f>
        <v>43T10CVKWH</v>
      </c>
      <c r="D7650" t="s">
        <v>45</v>
      </c>
      <c r="E7650" t="s">
        <v>78</v>
      </c>
      <c r="F7650" t="s">
        <v>61</v>
      </c>
      <c r="G7650" t="s">
        <v>48</v>
      </c>
      <c r="H7650" t="s">
        <v>49</v>
      </c>
      <c r="I7650" t="s">
        <v>8964</v>
      </c>
      <c r="J7650" t="s">
        <v>13876</v>
      </c>
      <c r="K7650" t="s">
        <v>13480</v>
      </c>
      <c r="L7650" t="s">
        <v>53</v>
      </c>
      <c r="N7650" t="s">
        <v>14181</v>
      </c>
      <c r="P7650" t="s">
        <v>55</v>
      </c>
      <c r="R7650" t="s">
        <v>53</v>
      </c>
      <c r="T7650" t="s">
        <v>14182</v>
      </c>
      <c r="U7650" t="s">
        <v>55</v>
      </c>
      <c r="V7650">
        <v>2</v>
      </c>
      <c r="W7650">
        <v>1</v>
      </c>
      <c r="X7650">
        <v>2</v>
      </c>
      <c r="Y7650">
        <v>0</v>
      </c>
      <c r="Z7650">
        <v>2</v>
      </c>
      <c r="AA7650">
        <v>0</v>
      </c>
      <c r="AB7650">
        <v>0</v>
      </c>
      <c r="AC7650">
        <v>158</v>
      </c>
      <c r="AD7650">
        <v>0</v>
      </c>
      <c r="AE7650">
        <v>0</v>
      </c>
      <c r="AF7650">
        <v>0</v>
      </c>
      <c r="AG7650">
        <v>0</v>
      </c>
      <c r="AH7650">
        <v>0</v>
      </c>
      <c r="AI7650">
        <v>23.7</v>
      </c>
      <c r="AJ7650">
        <v>158</v>
      </c>
      <c r="AK7650">
        <v>158</v>
      </c>
      <c r="AL7650" t="s">
        <v>53</v>
      </c>
      <c r="AM7650" t="s">
        <v>53</v>
      </c>
      <c r="AN7650" t="s">
        <v>14183</v>
      </c>
      <c r="AO7650" t="s">
        <v>53</v>
      </c>
      <c r="AP7650" t="s">
        <v>53</v>
      </c>
    </row>
    <row r="7651" spans="2:42" x14ac:dyDescent="0.2">
      <c r="B7651" t="s">
        <v>44</v>
      </c>
      <c r="C7651" t="str">
        <f>HYPERLINK("https://us2.cloudbeds.com/connect/8493803454333002#/reservations/191121403887820?display=43TFNS6M09&amp;reservation_id=191121403887820", "43TFNS6M09")</f>
        <v>43TFNS6M09</v>
      </c>
      <c r="D7651" t="s">
        <v>45</v>
      </c>
      <c r="E7651" t="s">
        <v>381</v>
      </c>
      <c r="F7651" t="s">
        <v>47</v>
      </c>
      <c r="G7651" t="s">
        <v>48</v>
      </c>
      <c r="H7651" t="s">
        <v>3957</v>
      </c>
      <c r="I7651" t="s">
        <v>3958</v>
      </c>
      <c r="J7651" t="s">
        <v>13876</v>
      </c>
      <c r="K7651" t="s">
        <v>10587</v>
      </c>
      <c r="L7651" t="s">
        <v>53</v>
      </c>
      <c r="P7651" t="s">
        <v>55</v>
      </c>
      <c r="R7651" t="s">
        <v>56</v>
      </c>
      <c r="T7651" t="s">
        <v>14184</v>
      </c>
      <c r="U7651" t="s">
        <v>58</v>
      </c>
      <c r="V7651">
        <v>1</v>
      </c>
      <c r="W7651">
        <v>1</v>
      </c>
      <c r="X7651">
        <v>1</v>
      </c>
      <c r="Y7651">
        <v>0</v>
      </c>
      <c r="Z7651">
        <v>1</v>
      </c>
      <c r="AA7651">
        <v>81.83</v>
      </c>
      <c r="AB7651">
        <v>81.83</v>
      </c>
      <c r="AC7651">
        <v>72</v>
      </c>
      <c r="AD7651">
        <v>0</v>
      </c>
      <c r="AE7651">
        <v>9.83</v>
      </c>
      <c r="AF7651">
        <v>0</v>
      </c>
      <c r="AG7651">
        <v>0</v>
      </c>
      <c r="AH7651">
        <v>0</v>
      </c>
      <c r="AI7651">
        <v>0</v>
      </c>
      <c r="AJ7651">
        <v>81.83</v>
      </c>
      <c r="AK7651">
        <v>0</v>
      </c>
      <c r="AL7651" t="s">
        <v>53</v>
      </c>
      <c r="AM7651" t="s">
        <v>53</v>
      </c>
      <c r="AN7651" t="s">
        <v>53</v>
      </c>
      <c r="AO7651" t="s">
        <v>53</v>
      </c>
      <c r="AP7651" t="s">
        <v>53</v>
      </c>
    </row>
    <row r="7652" spans="2:42" x14ac:dyDescent="0.2">
      <c r="B7652" t="s">
        <v>44</v>
      </c>
      <c r="C7652" t="str">
        <f>HYPERLINK("https://us2.cloudbeds.com/connect/8493803454333002#/reservations/9080486847668720?display=43TX9G8TG9&amp;reservation_id=9080486847668720", "43TX9G8TG9")</f>
        <v>43TX9G8TG9</v>
      </c>
      <c r="D7652" t="s">
        <v>45</v>
      </c>
      <c r="E7652" t="s">
        <v>138</v>
      </c>
      <c r="F7652" t="s">
        <v>70</v>
      </c>
      <c r="G7652" t="s">
        <v>48</v>
      </c>
      <c r="H7652" t="s">
        <v>49</v>
      </c>
      <c r="I7652" t="s">
        <v>62</v>
      </c>
      <c r="J7652" t="s">
        <v>13876</v>
      </c>
      <c r="K7652" t="s">
        <v>10587</v>
      </c>
      <c r="L7652" t="s">
        <v>53</v>
      </c>
      <c r="N7652" t="s">
        <v>14185</v>
      </c>
      <c r="P7652" t="s">
        <v>55</v>
      </c>
      <c r="R7652" t="s">
        <v>56</v>
      </c>
      <c r="T7652" t="s">
        <v>14186</v>
      </c>
      <c r="U7652" t="s">
        <v>55</v>
      </c>
      <c r="V7652">
        <v>1</v>
      </c>
      <c r="W7652">
        <v>1</v>
      </c>
      <c r="X7652">
        <v>1</v>
      </c>
      <c r="Y7652">
        <v>0</v>
      </c>
      <c r="Z7652">
        <v>1</v>
      </c>
      <c r="AA7652">
        <v>59.5</v>
      </c>
      <c r="AB7652">
        <v>59.5</v>
      </c>
      <c r="AC7652">
        <v>59.5</v>
      </c>
      <c r="AD7652">
        <v>0</v>
      </c>
      <c r="AE7652">
        <v>0</v>
      </c>
      <c r="AF7652">
        <v>0</v>
      </c>
      <c r="AG7652">
        <v>0</v>
      </c>
      <c r="AH7652">
        <v>0</v>
      </c>
      <c r="AI7652">
        <v>10.71</v>
      </c>
      <c r="AJ7652">
        <v>59.5</v>
      </c>
      <c r="AK7652">
        <v>0</v>
      </c>
      <c r="AL7652" t="s">
        <v>53</v>
      </c>
      <c r="AM7652" t="s">
        <v>53</v>
      </c>
      <c r="AN7652" t="s">
        <v>53</v>
      </c>
      <c r="AO7652" t="s">
        <v>53</v>
      </c>
      <c r="AP7652" t="s">
        <v>53</v>
      </c>
    </row>
    <row r="7653" spans="2:42" x14ac:dyDescent="0.2">
      <c r="B7653" t="s">
        <v>44</v>
      </c>
      <c r="C7653" t="str">
        <f>HYPERLINK("https://us2.cloudbeds.com/connect/8493803454333002#/reservations/9080486847669128?display=43TW85GTKN&amp;reservation_id=9080486847669128", "43TW85GTKN")</f>
        <v>43TW85GTKN</v>
      </c>
      <c r="D7653" t="s">
        <v>45</v>
      </c>
      <c r="E7653" t="s">
        <v>185</v>
      </c>
      <c r="F7653" t="s">
        <v>47</v>
      </c>
      <c r="G7653" t="s">
        <v>48</v>
      </c>
      <c r="H7653" t="s">
        <v>49</v>
      </c>
      <c r="I7653" t="s">
        <v>62</v>
      </c>
      <c r="J7653" t="s">
        <v>10587</v>
      </c>
      <c r="K7653" t="s">
        <v>12424</v>
      </c>
      <c r="L7653" t="s">
        <v>53</v>
      </c>
      <c r="N7653" t="s">
        <v>14187</v>
      </c>
      <c r="P7653" t="s">
        <v>55</v>
      </c>
      <c r="R7653" t="s">
        <v>56</v>
      </c>
      <c r="T7653" t="s">
        <v>14188</v>
      </c>
      <c r="U7653" t="s">
        <v>55</v>
      </c>
      <c r="V7653">
        <v>2</v>
      </c>
      <c r="W7653">
        <v>1</v>
      </c>
      <c r="X7653">
        <v>2</v>
      </c>
      <c r="Y7653">
        <v>0</v>
      </c>
      <c r="Z7653">
        <v>2</v>
      </c>
      <c r="AA7653">
        <v>133.44999999999999</v>
      </c>
      <c r="AB7653">
        <v>133.44999999999999</v>
      </c>
      <c r="AC7653">
        <v>133.44999999999999</v>
      </c>
      <c r="AD7653">
        <v>0</v>
      </c>
      <c r="AE7653">
        <v>0</v>
      </c>
      <c r="AF7653">
        <v>0</v>
      </c>
      <c r="AG7653">
        <v>0</v>
      </c>
      <c r="AH7653">
        <v>0</v>
      </c>
      <c r="AI7653">
        <v>24.02</v>
      </c>
      <c r="AJ7653">
        <v>133.44999999999999</v>
      </c>
      <c r="AK7653">
        <v>0</v>
      </c>
      <c r="AL7653" t="s">
        <v>53</v>
      </c>
      <c r="AM7653" t="s">
        <v>53</v>
      </c>
      <c r="AN7653" t="s">
        <v>53</v>
      </c>
      <c r="AO7653" t="s">
        <v>53</v>
      </c>
      <c r="AP7653" t="s">
        <v>53</v>
      </c>
    </row>
    <row r="7654" spans="2:42" x14ac:dyDescent="0.2">
      <c r="B7654" t="s">
        <v>44</v>
      </c>
      <c r="C7654" t="str">
        <f>HYPERLINK("https://us2.cloudbeds.com/connect/8493803454333002#/reservations/9080486847669281?display=43U2PNH7EY&amp;reservation_id=9080486847669281", "43U2PNH7EY")</f>
        <v>43U2PNH7EY</v>
      </c>
      <c r="D7654" t="s">
        <v>45</v>
      </c>
      <c r="E7654" t="s">
        <v>69</v>
      </c>
      <c r="F7654" t="s">
        <v>70</v>
      </c>
      <c r="G7654" t="s">
        <v>48</v>
      </c>
      <c r="H7654" t="s">
        <v>49</v>
      </c>
      <c r="I7654" t="s">
        <v>8964</v>
      </c>
      <c r="J7654" t="s">
        <v>14189</v>
      </c>
      <c r="K7654" t="s">
        <v>13653</v>
      </c>
      <c r="L7654" t="s">
        <v>53</v>
      </c>
      <c r="N7654" t="s">
        <v>14190</v>
      </c>
      <c r="P7654" t="s">
        <v>55</v>
      </c>
      <c r="R7654" t="s">
        <v>53</v>
      </c>
      <c r="T7654" t="s">
        <v>14191</v>
      </c>
      <c r="U7654" t="s">
        <v>55</v>
      </c>
      <c r="V7654">
        <v>1</v>
      </c>
      <c r="W7654">
        <v>1</v>
      </c>
      <c r="X7654">
        <v>1</v>
      </c>
      <c r="Y7654">
        <v>0</v>
      </c>
      <c r="Z7654">
        <v>1</v>
      </c>
      <c r="AA7654">
        <v>0</v>
      </c>
      <c r="AB7654">
        <v>0</v>
      </c>
      <c r="AC7654">
        <v>85</v>
      </c>
      <c r="AD7654">
        <v>0</v>
      </c>
      <c r="AE7654">
        <v>0</v>
      </c>
      <c r="AF7654">
        <v>0</v>
      </c>
      <c r="AG7654">
        <v>0</v>
      </c>
      <c r="AH7654">
        <v>0</v>
      </c>
      <c r="AI7654">
        <v>12.75</v>
      </c>
      <c r="AJ7654">
        <v>85</v>
      </c>
      <c r="AK7654">
        <v>85</v>
      </c>
      <c r="AL7654" t="s">
        <v>53</v>
      </c>
      <c r="AM7654" t="s">
        <v>53</v>
      </c>
      <c r="AN7654" t="s">
        <v>53</v>
      </c>
      <c r="AO7654" t="s">
        <v>53</v>
      </c>
      <c r="AP7654" t="s">
        <v>53</v>
      </c>
    </row>
    <row r="7655" spans="2:42" x14ac:dyDescent="0.2">
      <c r="B7655" t="s">
        <v>44</v>
      </c>
      <c r="C7655" t="str">
        <f>HYPERLINK("https://us2.cloudbeds.com/connect/8493803454333002#/reservations/9080486847670212?display=43UV8B05R6&amp;reservation_id=9080486847670212", "43UV8B05R6")</f>
        <v>43UV8B05R6</v>
      </c>
      <c r="D7655" t="s">
        <v>45</v>
      </c>
      <c r="E7655" t="s">
        <v>98</v>
      </c>
      <c r="F7655" t="s">
        <v>86</v>
      </c>
      <c r="G7655" t="s">
        <v>48</v>
      </c>
      <c r="H7655" t="s">
        <v>49</v>
      </c>
      <c r="I7655" t="s">
        <v>50</v>
      </c>
      <c r="J7655" t="s">
        <v>13480</v>
      </c>
      <c r="K7655" t="s">
        <v>12424</v>
      </c>
      <c r="L7655" t="s">
        <v>53</v>
      </c>
      <c r="N7655" t="s">
        <v>14192</v>
      </c>
      <c r="P7655" t="s">
        <v>55</v>
      </c>
      <c r="R7655" t="s">
        <v>53</v>
      </c>
      <c r="T7655" t="s">
        <v>14193</v>
      </c>
      <c r="U7655" t="s">
        <v>58</v>
      </c>
      <c r="V7655">
        <v>1</v>
      </c>
      <c r="W7655">
        <v>1</v>
      </c>
      <c r="X7655">
        <v>2</v>
      </c>
      <c r="Y7655">
        <v>2</v>
      </c>
      <c r="Z7655">
        <v>4</v>
      </c>
      <c r="AA7655">
        <v>112.52</v>
      </c>
      <c r="AB7655">
        <v>112.52</v>
      </c>
      <c r="AC7655">
        <v>99</v>
      </c>
      <c r="AD7655">
        <v>0</v>
      </c>
      <c r="AE7655">
        <v>13.52</v>
      </c>
      <c r="AF7655">
        <v>0</v>
      </c>
      <c r="AG7655">
        <v>0</v>
      </c>
      <c r="AH7655">
        <v>0</v>
      </c>
      <c r="AI7655">
        <v>20.25</v>
      </c>
      <c r="AJ7655">
        <v>112.52</v>
      </c>
      <c r="AK7655">
        <v>0</v>
      </c>
      <c r="AL7655" t="s">
        <v>53</v>
      </c>
      <c r="AM7655" t="s">
        <v>53</v>
      </c>
      <c r="AN7655" t="s">
        <v>53</v>
      </c>
      <c r="AO7655" t="s">
        <v>53</v>
      </c>
      <c r="AP7655" t="s">
        <v>53</v>
      </c>
    </row>
    <row r="7656" spans="2:42" x14ac:dyDescent="0.2">
      <c r="B7656" t="s">
        <v>44</v>
      </c>
      <c r="C7656" t="str">
        <f>HYPERLINK("https://us2.cloudbeds.com/connect/8493803454333002#/reservations/9080486847670555?display=43VAR86YCW&amp;reservation_id=9080486847670555", "43VAR86YCW")</f>
        <v>43VAR86YCW</v>
      </c>
      <c r="D7656" t="s">
        <v>45</v>
      </c>
      <c r="E7656" t="s">
        <v>2468</v>
      </c>
      <c r="F7656" t="s">
        <v>86</v>
      </c>
      <c r="G7656" t="s">
        <v>48</v>
      </c>
      <c r="H7656" t="s">
        <v>49</v>
      </c>
      <c r="I7656" t="s">
        <v>62</v>
      </c>
      <c r="J7656" t="s">
        <v>13480</v>
      </c>
      <c r="K7656" t="s">
        <v>12424</v>
      </c>
      <c r="L7656" t="s">
        <v>53</v>
      </c>
      <c r="N7656" t="s">
        <v>14194</v>
      </c>
      <c r="P7656" t="s">
        <v>55</v>
      </c>
      <c r="R7656" t="s">
        <v>56</v>
      </c>
      <c r="T7656" t="s">
        <v>14195</v>
      </c>
      <c r="U7656" t="s">
        <v>55</v>
      </c>
      <c r="V7656">
        <v>2</v>
      </c>
      <c r="W7656">
        <v>2</v>
      </c>
      <c r="X7656">
        <v>7</v>
      </c>
      <c r="Y7656">
        <v>0</v>
      </c>
      <c r="Z7656">
        <v>7</v>
      </c>
      <c r="AA7656">
        <v>187</v>
      </c>
      <c r="AB7656">
        <v>187</v>
      </c>
      <c r="AC7656">
        <v>187</v>
      </c>
      <c r="AD7656">
        <v>0</v>
      </c>
      <c r="AE7656">
        <v>0</v>
      </c>
      <c r="AF7656">
        <v>0</v>
      </c>
      <c r="AG7656">
        <v>0</v>
      </c>
      <c r="AH7656">
        <v>0</v>
      </c>
      <c r="AI7656">
        <v>33.659999999999997</v>
      </c>
      <c r="AJ7656">
        <v>187</v>
      </c>
      <c r="AK7656">
        <v>0</v>
      </c>
      <c r="AL7656" t="s">
        <v>53</v>
      </c>
      <c r="AM7656" t="s">
        <v>53</v>
      </c>
      <c r="AN7656" t="s">
        <v>14196</v>
      </c>
      <c r="AO7656" t="s">
        <v>53</v>
      </c>
      <c r="AP7656" t="s">
        <v>53</v>
      </c>
    </row>
    <row r="7657" spans="2:42" x14ac:dyDescent="0.2">
      <c r="B7657" t="s">
        <v>44</v>
      </c>
      <c r="C7657" t="str">
        <f>HYPERLINK("https://us2.cloudbeds.com/connect/8493803454333002#/reservations/191438885318866?display=443UX7VG2U&amp;reservation_id=191438885318866", "443UX7VG2U")</f>
        <v>443UX7VG2U</v>
      </c>
      <c r="D7657" t="s">
        <v>45</v>
      </c>
      <c r="E7657" t="s">
        <v>213</v>
      </c>
      <c r="F7657" t="s">
        <v>86</v>
      </c>
      <c r="G7657" t="s">
        <v>3974</v>
      </c>
      <c r="H7657" t="s">
        <v>3957</v>
      </c>
      <c r="I7657" t="s">
        <v>3975</v>
      </c>
      <c r="J7657" t="s">
        <v>13726</v>
      </c>
      <c r="K7657" t="s">
        <v>9711</v>
      </c>
      <c r="L7657" t="s">
        <v>53</v>
      </c>
      <c r="P7657" t="s">
        <v>55</v>
      </c>
      <c r="R7657" t="s">
        <v>56</v>
      </c>
      <c r="T7657" t="s">
        <v>14197</v>
      </c>
      <c r="U7657" t="s">
        <v>58</v>
      </c>
      <c r="V7657">
        <v>3</v>
      </c>
      <c r="W7657">
        <v>1</v>
      </c>
      <c r="X7657">
        <v>4</v>
      </c>
      <c r="Y7657">
        <v>0</v>
      </c>
      <c r="Z7657">
        <v>4</v>
      </c>
      <c r="AA7657">
        <v>364.94</v>
      </c>
      <c r="AB7657">
        <v>364.94</v>
      </c>
      <c r="AC7657">
        <v>321.10000000000002</v>
      </c>
      <c r="AD7657">
        <v>0</v>
      </c>
      <c r="AE7657">
        <v>43.84</v>
      </c>
      <c r="AF7657">
        <v>0</v>
      </c>
      <c r="AG7657">
        <v>0</v>
      </c>
      <c r="AH7657">
        <v>0</v>
      </c>
      <c r="AI7657">
        <v>0</v>
      </c>
      <c r="AJ7657">
        <v>364.94</v>
      </c>
      <c r="AK7657">
        <v>0</v>
      </c>
      <c r="AL7657" t="s">
        <v>53</v>
      </c>
      <c r="AM7657" t="s">
        <v>53</v>
      </c>
      <c r="AN7657" t="s">
        <v>14198</v>
      </c>
      <c r="AO7657" t="s">
        <v>53</v>
      </c>
      <c r="AP7657" t="s">
        <v>53</v>
      </c>
    </row>
    <row r="7658" spans="2:42" x14ac:dyDescent="0.2">
      <c r="B7658" t="s">
        <v>44</v>
      </c>
      <c r="C7658" t="str">
        <f>HYPERLINK("https://us2.cloudbeds.com/connect/8493803454333002#/reservations/9080486847677197?display=4441S8SGS7&amp;reservation_id=9080486847677197", "4441S8SGS7")</f>
        <v>4441S8SGS7</v>
      </c>
      <c r="D7658" t="s">
        <v>45</v>
      </c>
      <c r="E7658" t="s">
        <v>190</v>
      </c>
      <c r="F7658" t="s">
        <v>61</v>
      </c>
      <c r="G7658" t="s">
        <v>48</v>
      </c>
      <c r="H7658" t="s">
        <v>49</v>
      </c>
      <c r="I7658" t="s">
        <v>50</v>
      </c>
      <c r="J7658" t="s">
        <v>13525</v>
      </c>
      <c r="K7658" t="s">
        <v>13010</v>
      </c>
      <c r="L7658" t="s">
        <v>53</v>
      </c>
      <c r="N7658" t="s">
        <v>14199</v>
      </c>
      <c r="P7658" t="s">
        <v>55</v>
      </c>
      <c r="R7658" t="s">
        <v>53</v>
      </c>
      <c r="T7658" t="s">
        <v>14200</v>
      </c>
      <c r="U7658" t="s">
        <v>58</v>
      </c>
      <c r="V7658">
        <v>2</v>
      </c>
      <c r="W7658">
        <v>1</v>
      </c>
      <c r="X7658">
        <v>2</v>
      </c>
      <c r="Y7658">
        <v>0</v>
      </c>
      <c r="Z7658">
        <v>2</v>
      </c>
      <c r="AA7658">
        <v>156.5</v>
      </c>
      <c r="AB7658">
        <v>156.5</v>
      </c>
      <c r="AC7658">
        <v>137.69999999999999</v>
      </c>
      <c r="AD7658">
        <v>0</v>
      </c>
      <c r="AE7658">
        <v>18.8</v>
      </c>
      <c r="AF7658">
        <v>0</v>
      </c>
      <c r="AG7658">
        <v>0</v>
      </c>
      <c r="AH7658">
        <v>0</v>
      </c>
      <c r="AI7658">
        <v>28.17</v>
      </c>
      <c r="AJ7658">
        <v>156.5</v>
      </c>
      <c r="AK7658">
        <v>0</v>
      </c>
      <c r="AL7658" t="s">
        <v>53</v>
      </c>
      <c r="AM7658" t="s">
        <v>53</v>
      </c>
      <c r="AN7658" t="s">
        <v>14201</v>
      </c>
      <c r="AO7658" t="s">
        <v>53</v>
      </c>
      <c r="AP7658" t="s">
        <v>53</v>
      </c>
    </row>
    <row r="7659" spans="2:42" x14ac:dyDescent="0.2">
      <c r="B7659" t="s">
        <v>44</v>
      </c>
      <c r="C7659" t="str">
        <f>HYPERLINK("https://us2.cloudbeds.com/connect/8493803454333002#/reservations/9080486847677597?display=444C9J575R&amp;reservation_id=9080486847677597", "444C9J575R")</f>
        <v>444C9J575R</v>
      </c>
      <c r="D7659" t="s">
        <v>45</v>
      </c>
      <c r="E7659" t="s">
        <v>121</v>
      </c>
      <c r="F7659" t="s">
        <v>86</v>
      </c>
      <c r="G7659" t="s">
        <v>48</v>
      </c>
      <c r="H7659" t="s">
        <v>49</v>
      </c>
      <c r="I7659" t="s">
        <v>50</v>
      </c>
      <c r="J7659" t="s">
        <v>12424</v>
      </c>
      <c r="K7659" t="s">
        <v>12323</v>
      </c>
      <c r="L7659" t="s">
        <v>53</v>
      </c>
      <c r="N7659" t="s">
        <v>14202</v>
      </c>
      <c r="P7659" t="s">
        <v>55</v>
      </c>
      <c r="R7659" t="s">
        <v>53</v>
      </c>
      <c r="T7659" t="s">
        <v>14203</v>
      </c>
      <c r="U7659" t="s">
        <v>58</v>
      </c>
      <c r="V7659">
        <v>1</v>
      </c>
      <c r="W7659">
        <v>1</v>
      </c>
      <c r="X7659">
        <v>2</v>
      </c>
      <c r="Y7659">
        <v>0</v>
      </c>
      <c r="Z7659">
        <v>2</v>
      </c>
      <c r="AA7659">
        <v>100.01</v>
      </c>
      <c r="AB7659">
        <v>100.01</v>
      </c>
      <c r="AC7659">
        <v>88</v>
      </c>
      <c r="AD7659">
        <v>0</v>
      </c>
      <c r="AE7659">
        <v>12.01</v>
      </c>
      <c r="AF7659">
        <v>0</v>
      </c>
      <c r="AG7659">
        <v>0</v>
      </c>
      <c r="AH7659">
        <v>0</v>
      </c>
      <c r="AI7659">
        <v>18</v>
      </c>
      <c r="AJ7659">
        <v>100.01</v>
      </c>
      <c r="AK7659">
        <v>0</v>
      </c>
      <c r="AL7659" t="s">
        <v>53</v>
      </c>
      <c r="AM7659" t="s">
        <v>53</v>
      </c>
      <c r="AN7659" t="s">
        <v>14204</v>
      </c>
      <c r="AO7659" t="s">
        <v>53</v>
      </c>
      <c r="AP7659" t="s">
        <v>53</v>
      </c>
    </row>
    <row r="7660" spans="2:42" x14ac:dyDescent="0.2">
      <c r="B7660" t="s">
        <v>44</v>
      </c>
      <c r="C7660" t="str">
        <f>HYPERLINK("https://us2.cloudbeds.com/connect/8493803454333002#/reservations/9080486847678206?display=444UCFRU7C&amp;reservation_id=9080486847678206", "444UCFRU7C")</f>
        <v>444UCFRU7C</v>
      </c>
      <c r="D7660" t="s">
        <v>45</v>
      </c>
      <c r="E7660" t="s">
        <v>138</v>
      </c>
      <c r="F7660" t="s">
        <v>70</v>
      </c>
      <c r="G7660" t="s">
        <v>48</v>
      </c>
      <c r="H7660" t="s">
        <v>49</v>
      </c>
      <c r="I7660" t="s">
        <v>50</v>
      </c>
      <c r="J7660" t="s">
        <v>14205</v>
      </c>
      <c r="K7660" t="s">
        <v>14206</v>
      </c>
      <c r="L7660" t="s">
        <v>53</v>
      </c>
      <c r="N7660" t="s">
        <v>14207</v>
      </c>
      <c r="P7660" t="s">
        <v>55</v>
      </c>
      <c r="R7660" t="s">
        <v>53</v>
      </c>
      <c r="T7660" t="s">
        <v>14208</v>
      </c>
      <c r="U7660" t="s">
        <v>58</v>
      </c>
      <c r="V7660">
        <v>1</v>
      </c>
      <c r="W7660">
        <v>1</v>
      </c>
      <c r="X7660">
        <v>2</v>
      </c>
      <c r="Y7660">
        <v>0</v>
      </c>
      <c r="Z7660">
        <v>2</v>
      </c>
      <c r="AA7660">
        <v>133.65</v>
      </c>
      <c r="AB7660">
        <v>134.83000000000001</v>
      </c>
      <c r="AC7660">
        <v>117.6</v>
      </c>
      <c r="AD7660">
        <v>0</v>
      </c>
      <c r="AE7660">
        <v>17.23</v>
      </c>
      <c r="AF7660">
        <v>0</v>
      </c>
      <c r="AG7660">
        <v>0</v>
      </c>
      <c r="AH7660">
        <v>0</v>
      </c>
      <c r="AI7660">
        <v>24.27</v>
      </c>
      <c r="AJ7660">
        <v>134.83000000000001</v>
      </c>
      <c r="AK7660">
        <v>0</v>
      </c>
      <c r="AL7660" t="s">
        <v>53</v>
      </c>
      <c r="AM7660" t="s">
        <v>53</v>
      </c>
      <c r="AN7660" t="s">
        <v>14209</v>
      </c>
      <c r="AO7660" t="s">
        <v>53</v>
      </c>
      <c r="AP7660" t="s">
        <v>53</v>
      </c>
    </row>
    <row r="7661" spans="2:42" x14ac:dyDescent="0.2">
      <c r="B7661" t="s">
        <v>44</v>
      </c>
      <c r="C7661" t="str">
        <f>HYPERLINK("https://us2.cloudbeds.com/connect/8493803454333002#/reservations/9080486847678702?display=445EQ333A6&amp;reservation_id=9080486847678702", "445EQ333A6")</f>
        <v>445EQ333A6</v>
      </c>
      <c r="D7661" t="s">
        <v>45</v>
      </c>
      <c r="E7661" t="s">
        <v>155</v>
      </c>
      <c r="F7661" t="s">
        <v>86</v>
      </c>
      <c r="G7661" t="s">
        <v>48</v>
      </c>
      <c r="H7661" t="s">
        <v>49</v>
      </c>
      <c r="I7661" t="s">
        <v>8964</v>
      </c>
      <c r="J7661" t="s">
        <v>13480</v>
      </c>
      <c r="K7661" t="s">
        <v>12424</v>
      </c>
      <c r="L7661" t="s">
        <v>53</v>
      </c>
      <c r="N7661" t="s">
        <v>14210</v>
      </c>
      <c r="P7661" t="s">
        <v>55</v>
      </c>
      <c r="R7661" t="s">
        <v>53</v>
      </c>
      <c r="T7661" t="s">
        <v>14211</v>
      </c>
      <c r="U7661" t="s">
        <v>55</v>
      </c>
      <c r="V7661">
        <v>1</v>
      </c>
      <c r="W7661">
        <v>1</v>
      </c>
      <c r="X7661">
        <v>2</v>
      </c>
      <c r="Y7661">
        <v>0</v>
      </c>
      <c r="Z7661">
        <v>2</v>
      </c>
      <c r="AA7661">
        <v>0</v>
      </c>
      <c r="AB7661">
        <v>0</v>
      </c>
      <c r="AC7661">
        <v>113</v>
      </c>
      <c r="AD7661">
        <v>0</v>
      </c>
      <c r="AE7661">
        <v>0</v>
      </c>
      <c r="AF7661">
        <v>0</v>
      </c>
      <c r="AG7661">
        <v>0</v>
      </c>
      <c r="AH7661">
        <v>0</v>
      </c>
      <c r="AI7661">
        <v>16.95</v>
      </c>
      <c r="AJ7661">
        <v>113</v>
      </c>
      <c r="AK7661">
        <v>113</v>
      </c>
      <c r="AL7661" t="s">
        <v>53</v>
      </c>
      <c r="AM7661" t="s">
        <v>53</v>
      </c>
      <c r="AN7661" t="s">
        <v>14212</v>
      </c>
      <c r="AO7661" t="s">
        <v>53</v>
      </c>
      <c r="AP7661" t="s">
        <v>53</v>
      </c>
    </row>
    <row r="7662" spans="2:42" x14ac:dyDescent="0.2">
      <c r="B7662" t="s">
        <v>44</v>
      </c>
      <c r="C7662" t="str">
        <f>HYPERLINK("https://us2.cloudbeds.com/connect/8493803454333002#/reservations/191510768808133?display=445K710HRF&amp;reservation_id=191510768808133", "445K710HRF")</f>
        <v>445K710HRF</v>
      </c>
      <c r="D7662" t="s">
        <v>45</v>
      </c>
      <c r="E7662" t="s">
        <v>78</v>
      </c>
      <c r="F7662" t="s">
        <v>61</v>
      </c>
      <c r="G7662" t="s">
        <v>48</v>
      </c>
      <c r="H7662" t="s">
        <v>3957</v>
      </c>
      <c r="I7662" t="s">
        <v>3958</v>
      </c>
      <c r="J7662" t="s">
        <v>13480</v>
      </c>
      <c r="K7662" t="s">
        <v>12424</v>
      </c>
      <c r="L7662" t="s">
        <v>53</v>
      </c>
      <c r="P7662" t="s">
        <v>55</v>
      </c>
      <c r="R7662" t="s">
        <v>56</v>
      </c>
      <c r="T7662" t="s">
        <v>14213</v>
      </c>
      <c r="U7662" t="s">
        <v>58</v>
      </c>
      <c r="V7662">
        <v>1</v>
      </c>
      <c r="W7662">
        <v>1</v>
      </c>
      <c r="X7662">
        <v>1</v>
      </c>
      <c r="Y7662">
        <v>0</v>
      </c>
      <c r="Z7662">
        <v>1</v>
      </c>
      <c r="AA7662">
        <v>107.98</v>
      </c>
      <c r="AB7662">
        <v>107.98</v>
      </c>
      <c r="AC7662">
        <v>95</v>
      </c>
      <c r="AD7662">
        <v>0</v>
      </c>
      <c r="AE7662">
        <v>12.98</v>
      </c>
      <c r="AF7662">
        <v>0</v>
      </c>
      <c r="AG7662">
        <v>0</v>
      </c>
      <c r="AH7662">
        <v>0</v>
      </c>
      <c r="AI7662">
        <v>0</v>
      </c>
      <c r="AJ7662">
        <v>107.98</v>
      </c>
      <c r="AK7662">
        <v>0</v>
      </c>
      <c r="AL7662" t="s">
        <v>53</v>
      </c>
      <c r="AM7662" t="s">
        <v>53</v>
      </c>
      <c r="AN7662" t="s">
        <v>53</v>
      </c>
      <c r="AO7662" t="s">
        <v>53</v>
      </c>
      <c r="AP7662" t="s">
        <v>53</v>
      </c>
    </row>
    <row r="7663" spans="2:42" x14ac:dyDescent="0.2">
      <c r="B7663" t="s">
        <v>44</v>
      </c>
      <c r="C7663" t="str">
        <f>HYPERLINK("https://us2.cloudbeds.com/connect/8493803454333002#/reservations/9080486847680035?display=446JETVWAW&amp;reservation_id=9080486847680035", "446JETVWAW")</f>
        <v>446JETVWAW</v>
      </c>
      <c r="D7663" t="s">
        <v>45</v>
      </c>
      <c r="E7663" t="s">
        <v>14214</v>
      </c>
      <c r="F7663" t="s">
        <v>5444</v>
      </c>
      <c r="G7663" t="s">
        <v>48</v>
      </c>
      <c r="H7663" t="s">
        <v>49</v>
      </c>
      <c r="I7663" t="s">
        <v>62</v>
      </c>
      <c r="J7663" t="s">
        <v>13480</v>
      </c>
      <c r="K7663" t="s">
        <v>12424</v>
      </c>
      <c r="L7663" t="s">
        <v>53</v>
      </c>
      <c r="N7663" t="s">
        <v>14215</v>
      </c>
      <c r="P7663" t="s">
        <v>55</v>
      </c>
      <c r="R7663" t="s">
        <v>56</v>
      </c>
      <c r="T7663" t="s">
        <v>14216</v>
      </c>
      <c r="U7663" t="s">
        <v>55</v>
      </c>
      <c r="V7663">
        <v>2</v>
      </c>
      <c r="W7663">
        <v>2</v>
      </c>
      <c r="X7663">
        <v>2</v>
      </c>
      <c r="Y7663">
        <v>0</v>
      </c>
      <c r="Z7663">
        <v>2</v>
      </c>
      <c r="AA7663">
        <v>153</v>
      </c>
      <c r="AB7663">
        <v>153</v>
      </c>
      <c r="AC7663">
        <v>153</v>
      </c>
      <c r="AD7663">
        <v>0</v>
      </c>
      <c r="AE7663">
        <v>0</v>
      </c>
      <c r="AF7663">
        <v>0</v>
      </c>
      <c r="AG7663">
        <v>0</v>
      </c>
      <c r="AH7663">
        <v>0</v>
      </c>
      <c r="AI7663">
        <v>27.54</v>
      </c>
      <c r="AJ7663">
        <v>153</v>
      </c>
      <c r="AK7663">
        <v>0</v>
      </c>
      <c r="AL7663" t="s">
        <v>53</v>
      </c>
      <c r="AM7663" t="s">
        <v>53</v>
      </c>
      <c r="AN7663" t="s">
        <v>53</v>
      </c>
      <c r="AO7663" t="s">
        <v>53</v>
      </c>
      <c r="AP7663" t="s">
        <v>53</v>
      </c>
    </row>
    <row r="7664" spans="2:42" x14ac:dyDescent="0.2">
      <c r="B7664" t="s">
        <v>44</v>
      </c>
      <c r="C7664" t="str">
        <f>HYPERLINK("https://us2.cloudbeds.com/connect/8493803454333002#/reservations/9080486847680066?display=446K1T1QCJ&amp;reservation_id=9080486847680066", "446K1T1QCJ")</f>
        <v>446K1T1QCJ</v>
      </c>
      <c r="D7664" t="s">
        <v>45</v>
      </c>
      <c r="E7664" t="s">
        <v>185</v>
      </c>
      <c r="F7664" t="s">
        <v>47</v>
      </c>
      <c r="G7664" t="s">
        <v>48</v>
      </c>
      <c r="H7664" t="s">
        <v>49</v>
      </c>
      <c r="I7664" t="s">
        <v>50</v>
      </c>
      <c r="J7664" t="s">
        <v>13531</v>
      </c>
      <c r="K7664" t="s">
        <v>13532</v>
      </c>
      <c r="L7664" t="s">
        <v>53</v>
      </c>
      <c r="N7664" t="s">
        <v>14217</v>
      </c>
      <c r="P7664" t="s">
        <v>55</v>
      </c>
      <c r="R7664" t="s">
        <v>53</v>
      </c>
      <c r="T7664" t="s">
        <v>14218</v>
      </c>
      <c r="U7664" t="s">
        <v>58</v>
      </c>
      <c r="V7664">
        <v>1</v>
      </c>
      <c r="W7664">
        <v>1</v>
      </c>
      <c r="X7664">
        <v>2</v>
      </c>
      <c r="Y7664">
        <v>0</v>
      </c>
      <c r="Z7664">
        <v>2</v>
      </c>
      <c r="AA7664">
        <v>69.34</v>
      </c>
      <c r="AB7664">
        <v>69.34</v>
      </c>
      <c r="AC7664">
        <v>60.48</v>
      </c>
      <c r="AD7664">
        <v>0</v>
      </c>
      <c r="AE7664">
        <v>8.86</v>
      </c>
      <c r="AF7664">
        <v>0</v>
      </c>
      <c r="AG7664">
        <v>0</v>
      </c>
      <c r="AH7664">
        <v>0</v>
      </c>
      <c r="AI7664">
        <v>12.48</v>
      </c>
      <c r="AJ7664">
        <v>69.34</v>
      </c>
      <c r="AK7664">
        <v>0</v>
      </c>
      <c r="AL7664" t="s">
        <v>53</v>
      </c>
      <c r="AM7664" t="s">
        <v>53</v>
      </c>
      <c r="AN7664" t="s">
        <v>53</v>
      </c>
      <c r="AO7664" t="s">
        <v>53</v>
      </c>
      <c r="AP7664" t="s">
        <v>53</v>
      </c>
    </row>
    <row r="7665" spans="2:42" x14ac:dyDescent="0.2">
      <c r="B7665" t="s">
        <v>44</v>
      </c>
      <c r="C7665" t="str">
        <f>HYPERLINK("https://us2.cloudbeds.com/connect/8493803454333002#/reservations/9080486847683678?display=44A9XF3JVE&amp;reservation_id=9080486847683678", "44A9XF3JVE")</f>
        <v>44A9XF3JVE</v>
      </c>
      <c r="D7665" t="s">
        <v>45</v>
      </c>
      <c r="E7665" t="s">
        <v>190</v>
      </c>
      <c r="F7665" t="s">
        <v>61</v>
      </c>
      <c r="G7665" t="s">
        <v>48</v>
      </c>
      <c r="H7665" t="s">
        <v>49</v>
      </c>
      <c r="I7665" t="s">
        <v>62</v>
      </c>
      <c r="J7665" t="s">
        <v>9935</v>
      </c>
      <c r="K7665" t="s">
        <v>9969</v>
      </c>
      <c r="L7665" t="s">
        <v>53</v>
      </c>
      <c r="N7665" t="s">
        <v>14219</v>
      </c>
      <c r="P7665" t="s">
        <v>55</v>
      </c>
      <c r="R7665" t="s">
        <v>56</v>
      </c>
      <c r="T7665" t="s">
        <v>14220</v>
      </c>
      <c r="U7665" t="s">
        <v>55</v>
      </c>
      <c r="V7665">
        <v>2</v>
      </c>
      <c r="W7665">
        <v>1</v>
      </c>
      <c r="X7665">
        <v>2</v>
      </c>
      <c r="Y7665">
        <v>0</v>
      </c>
      <c r="Z7665">
        <v>2</v>
      </c>
      <c r="AA7665">
        <v>209.1</v>
      </c>
      <c r="AB7665">
        <v>209.1</v>
      </c>
      <c r="AC7665">
        <v>209.1</v>
      </c>
      <c r="AD7665">
        <v>0</v>
      </c>
      <c r="AE7665">
        <v>0</v>
      </c>
      <c r="AF7665">
        <v>0</v>
      </c>
      <c r="AG7665">
        <v>0</v>
      </c>
      <c r="AH7665">
        <v>0</v>
      </c>
      <c r="AI7665">
        <v>37.64</v>
      </c>
      <c r="AJ7665">
        <v>209.1</v>
      </c>
      <c r="AK7665">
        <v>0</v>
      </c>
      <c r="AL7665" t="s">
        <v>53</v>
      </c>
      <c r="AM7665" t="s">
        <v>53</v>
      </c>
      <c r="AN7665" t="s">
        <v>53</v>
      </c>
      <c r="AO7665" t="s">
        <v>53</v>
      </c>
      <c r="AP7665" t="s">
        <v>53</v>
      </c>
    </row>
    <row r="7666" spans="2:42" x14ac:dyDescent="0.2">
      <c r="B7666" t="s">
        <v>44</v>
      </c>
      <c r="C7666" t="str">
        <f>HYPERLINK("https://us2.cloudbeds.com/connect/8493803454333002#/reservations/9080486847684348?display=44AZP4DSSK&amp;reservation_id=9080486847684348", "44AZP4DSSK")</f>
        <v>44AZP4DSSK</v>
      </c>
      <c r="D7666" t="s">
        <v>45</v>
      </c>
      <c r="E7666" t="s">
        <v>14221</v>
      </c>
      <c r="F7666" t="s">
        <v>47</v>
      </c>
      <c r="G7666" t="s">
        <v>48</v>
      </c>
      <c r="H7666" t="s">
        <v>49</v>
      </c>
      <c r="I7666" t="s">
        <v>62</v>
      </c>
      <c r="J7666" t="s">
        <v>14119</v>
      </c>
      <c r="K7666" t="s">
        <v>13587</v>
      </c>
      <c r="L7666" t="s">
        <v>53</v>
      </c>
      <c r="N7666" t="s">
        <v>14222</v>
      </c>
      <c r="P7666" t="s">
        <v>55</v>
      </c>
      <c r="R7666" t="s">
        <v>125</v>
      </c>
      <c r="T7666" t="s">
        <v>14223</v>
      </c>
      <c r="U7666" t="s">
        <v>55</v>
      </c>
      <c r="V7666">
        <v>6</v>
      </c>
      <c r="W7666">
        <v>3</v>
      </c>
      <c r="X7666">
        <v>6</v>
      </c>
      <c r="Y7666">
        <v>0</v>
      </c>
      <c r="Z7666">
        <v>6</v>
      </c>
      <c r="AA7666">
        <v>436.05</v>
      </c>
      <c r="AB7666">
        <v>436.05</v>
      </c>
      <c r="AC7666">
        <v>436.05</v>
      </c>
      <c r="AD7666">
        <v>5</v>
      </c>
      <c r="AE7666">
        <v>0.48</v>
      </c>
      <c r="AF7666">
        <v>0</v>
      </c>
      <c r="AG7666">
        <v>0</v>
      </c>
      <c r="AH7666">
        <v>0</v>
      </c>
      <c r="AI7666">
        <v>79.48</v>
      </c>
      <c r="AJ7666">
        <v>441.53</v>
      </c>
      <c r="AK7666">
        <v>5.48</v>
      </c>
      <c r="AL7666" t="s">
        <v>53</v>
      </c>
      <c r="AM7666" t="s">
        <v>53</v>
      </c>
      <c r="AN7666" t="s">
        <v>53</v>
      </c>
      <c r="AO7666" t="s">
        <v>53</v>
      </c>
      <c r="AP7666" t="s">
        <v>53</v>
      </c>
    </row>
    <row r="7667" spans="2:42" x14ac:dyDescent="0.2">
      <c r="B7667" t="s">
        <v>44</v>
      </c>
      <c r="C7667" t="str">
        <f>HYPERLINK("https://us2.cloudbeds.com/connect/8493803454333002#/reservations/9080486847685265?display=44BCXATJ8U&amp;reservation_id=9080486847685265", "44BCXATJ8U")</f>
        <v>44BCXATJ8U</v>
      </c>
      <c r="D7667" t="s">
        <v>45</v>
      </c>
      <c r="E7667" t="s">
        <v>138</v>
      </c>
      <c r="F7667" t="s">
        <v>70</v>
      </c>
      <c r="G7667" t="s">
        <v>48</v>
      </c>
      <c r="H7667" t="s">
        <v>49</v>
      </c>
      <c r="I7667" t="s">
        <v>8964</v>
      </c>
      <c r="J7667" t="s">
        <v>12323</v>
      </c>
      <c r="K7667" t="s">
        <v>13275</v>
      </c>
      <c r="L7667" t="s">
        <v>53</v>
      </c>
      <c r="N7667" t="s">
        <v>14224</v>
      </c>
      <c r="P7667" t="s">
        <v>55</v>
      </c>
      <c r="R7667" t="s">
        <v>53</v>
      </c>
      <c r="T7667" t="s">
        <v>14225</v>
      </c>
      <c r="U7667" t="s">
        <v>55</v>
      </c>
      <c r="V7667">
        <v>1</v>
      </c>
      <c r="W7667">
        <v>1</v>
      </c>
      <c r="X7667">
        <v>2</v>
      </c>
      <c r="Y7667">
        <v>0</v>
      </c>
      <c r="Z7667">
        <v>2</v>
      </c>
      <c r="AA7667">
        <v>0</v>
      </c>
      <c r="AB7667">
        <v>0</v>
      </c>
      <c r="AC7667">
        <v>73</v>
      </c>
      <c r="AD7667">
        <v>0</v>
      </c>
      <c r="AE7667">
        <v>0</v>
      </c>
      <c r="AF7667">
        <v>0</v>
      </c>
      <c r="AG7667">
        <v>0</v>
      </c>
      <c r="AH7667">
        <v>0</v>
      </c>
      <c r="AI7667">
        <v>10.95</v>
      </c>
      <c r="AJ7667">
        <v>73</v>
      </c>
      <c r="AK7667">
        <v>73</v>
      </c>
      <c r="AL7667" t="s">
        <v>53</v>
      </c>
      <c r="AM7667" t="s">
        <v>53</v>
      </c>
      <c r="AN7667" t="s">
        <v>14226</v>
      </c>
      <c r="AO7667" t="s">
        <v>53</v>
      </c>
      <c r="AP7667" t="s">
        <v>53</v>
      </c>
    </row>
    <row r="7668" spans="2:42" x14ac:dyDescent="0.2">
      <c r="B7668" t="s">
        <v>44</v>
      </c>
      <c r="C7668" t="str">
        <f>HYPERLINK("https://us2.cloudbeds.com/connect/8493803454333002#/reservations/191781291929833?display=44BVMH9600&amp;reservation_id=191781291929833", "44BVMH9600")</f>
        <v>44BVMH9600</v>
      </c>
      <c r="D7668" t="s">
        <v>45</v>
      </c>
      <c r="E7668" t="s">
        <v>165</v>
      </c>
      <c r="F7668" t="s">
        <v>61</v>
      </c>
      <c r="G7668" t="s">
        <v>13757</v>
      </c>
      <c r="H7668" t="s">
        <v>3957</v>
      </c>
      <c r="I7668" t="s">
        <v>3958</v>
      </c>
      <c r="J7668" t="s">
        <v>13480</v>
      </c>
      <c r="K7668" t="s">
        <v>12424</v>
      </c>
      <c r="L7668" t="s">
        <v>53</v>
      </c>
      <c r="P7668" t="s">
        <v>55</v>
      </c>
      <c r="R7668" t="s">
        <v>56</v>
      </c>
      <c r="T7668" t="s">
        <v>14227</v>
      </c>
      <c r="U7668" t="s">
        <v>58</v>
      </c>
      <c r="V7668">
        <v>1</v>
      </c>
      <c r="W7668">
        <v>1</v>
      </c>
      <c r="X7668">
        <v>1</v>
      </c>
      <c r="Y7668">
        <v>0</v>
      </c>
      <c r="Z7668">
        <v>1</v>
      </c>
      <c r="AA7668">
        <v>97.17</v>
      </c>
      <c r="AB7668">
        <v>102.59</v>
      </c>
      <c r="AC7668">
        <v>85.5</v>
      </c>
      <c r="AD7668">
        <v>5</v>
      </c>
      <c r="AE7668">
        <v>12.09</v>
      </c>
      <c r="AF7668">
        <v>0</v>
      </c>
      <c r="AG7668">
        <v>0</v>
      </c>
      <c r="AH7668">
        <v>0</v>
      </c>
      <c r="AI7668">
        <v>0</v>
      </c>
      <c r="AJ7668">
        <v>102.59</v>
      </c>
      <c r="AK7668">
        <v>0</v>
      </c>
      <c r="AL7668" t="s">
        <v>53</v>
      </c>
      <c r="AM7668" t="s">
        <v>53</v>
      </c>
      <c r="AN7668" t="s">
        <v>53</v>
      </c>
      <c r="AO7668" t="s">
        <v>53</v>
      </c>
      <c r="AP7668" t="s">
        <v>53</v>
      </c>
    </row>
    <row r="7669" spans="2:42" x14ac:dyDescent="0.2">
      <c r="B7669" t="s">
        <v>44</v>
      </c>
      <c r="C7669" t="str">
        <f>HYPERLINK("https://us2.cloudbeds.com/connect/8493803454333002#/reservations/9080486847686579?display=44CCV0FXY1&amp;reservation_id=9080486847686579", "44CCV0FXY1")</f>
        <v>44CCV0FXY1</v>
      </c>
      <c r="D7669" t="s">
        <v>45</v>
      </c>
      <c r="E7669" t="s">
        <v>85</v>
      </c>
      <c r="F7669" t="s">
        <v>86</v>
      </c>
      <c r="G7669" t="s">
        <v>48</v>
      </c>
      <c r="H7669" t="s">
        <v>49</v>
      </c>
      <c r="I7669" t="s">
        <v>50</v>
      </c>
      <c r="J7669" t="s">
        <v>13637</v>
      </c>
      <c r="K7669" t="s">
        <v>13638</v>
      </c>
      <c r="L7669" t="s">
        <v>53</v>
      </c>
      <c r="N7669" t="s">
        <v>14228</v>
      </c>
      <c r="P7669" t="s">
        <v>55</v>
      </c>
      <c r="R7669" t="s">
        <v>53</v>
      </c>
      <c r="T7669" t="s">
        <v>14229</v>
      </c>
      <c r="U7669" t="s">
        <v>58</v>
      </c>
      <c r="V7669">
        <v>1</v>
      </c>
      <c r="W7669">
        <v>1</v>
      </c>
      <c r="X7669">
        <v>2</v>
      </c>
      <c r="Y7669">
        <v>0</v>
      </c>
      <c r="Z7669">
        <v>2</v>
      </c>
      <c r="AA7669">
        <v>116.38</v>
      </c>
      <c r="AB7669">
        <v>117.4</v>
      </c>
      <c r="AC7669">
        <v>102.4</v>
      </c>
      <c r="AD7669">
        <v>0</v>
      </c>
      <c r="AE7669">
        <v>15</v>
      </c>
      <c r="AF7669">
        <v>0</v>
      </c>
      <c r="AG7669">
        <v>0</v>
      </c>
      <c r="AH7669">
        <v>0</v>
      </c>
      <c r="AI7669">
        <v>21.13</v>
      </c>
      <c r="AJ7669">
        <v>117.4</v>
      </c>
      <c r="AK7669">
        <v>0</v>
      </c>
      <c r="AL7669" t="s">
        <v>53</v>
      </c>
      <c r="AM7669" t="s">
        <v>53</v>
      </c>
      <c r="AN7669" t="s">
        <v>14230</v>
      </c>
      <c r="AO7669" t="s">
        <v>53</v>
      </c>
      <c r="AP7669" t="s">
        <v>53</v>
      </c>
    </row>
    <row r="7670" spans="2:42" x14ac:dyDescent="0.2">
      <c r="B7670" t="s">
        <v>44</v>
      </c>
      <c r="C7670" t="str">
        <f>HYPERLINK("https://us2.cloudbeds.com/connect/8493803454333002#/reservations/9080486847686943?display=44CM77S84V&amp;reservation_id=9080486847686943", "44CM77S84V")</f>
        <v>44CM77S84V</v>
      </c>
      <c r="D7670" t="s">
        <v>45</v>
      </c>
      <c r="E7670" t="s">
        <v>138</v>
      </c>
      <c r="F7670" t="s">
        <v>70</v>
      </c>
      <c r="G7670" t="s">
        <v>48</v>
      </c>
      <c r="H7670" t="s">
        <v>49</v>
      </c>
      <c r="I7670" t="s">
        <v>62</v>
      </c>
      <c r="J7670" t="s">
        <v>14160</v>
      </c>
      <c r="K7670" t="s">
        <v>13652</v>
      </c>
      <c r="L7670" t="s">
        <v>53</v>
      </c>
      <c r="N7670" t="s">
        <v>14231</v>
      </c>
      <c r="P7670" t="s">
        <v>55</v>
      </c>
      <c r="R7670" t="s">
        <v>56</v>
      </c>
      <c r="T7670" t="s">
        <v>14232</v>
      </c>
      <c r="U7670" t="s">
        <v>55</v>
      </c>
      <c r="V7670">
        <v>1</v>
      </c>
      <c r="W7670">
        <v>1</v>
      </c>
      <c r="X7670">
        <v>2</v>
      </c>
      <c r="Y7670">
        <v>0</v>
      </c>
      <c r="Z7670">
        <v>2</v>
      </c>
      <c r="AA7670">
        <v>70</v>
      </c>
      <c r="AB7670">
        <v>70</v>
      </c>
      <c r="AC7670">
        <v>70</v>
      </c>
      <c r="AD7670">
        <v>0</v>
      </c>
      <c r="AE7670">
        <v>0</v>
      </c>
      <c r="AF7670">
        <v>0</v>
      </c>
      <c r="AG7670">
        <v>0</v>
      </c>
      <c r="AH7670">
        <v>0</v>
      </c>
      <c r="AI7670">
        <v>12.6</v>
      </c>
      <c r="AJ7670">
        <v>70</v>
      </c>
      <c r="AK7670">
        <v>0</v>
      </c>
      <c r="AL7670" t="s">
        <v>53</v>
      </c>
      <c r="AM7670" t="s">
        <v>53</v>
      </c>
      <c r="AN7670" t="s">
        <v>14233</v>
      </c>
      <c r="AO7670" t="s">
        <v>53</v>
      </c>
      <c r="AP7670" t="s">
        <v>53</v>
      </c>
    </row>
    <row r="7671" spans="2:42" x14ac:dyDescent="0.2">
      <c r="B7671" t="s">
        <v>44</v>
      </c>
      <c r="C7671" t="str">
        <f>HYPERLINK("https://us2.cloudbeds.com/connect/8493803454333002#/reservations/9080486847688487?display=44E7G3RZYA&amp;reservation_id=9080486847688487", "44E7G3RZYA")</f>
        <v>44E7G3RZYA</v>
      </c>
      <c r="D7671" t="s">
        <v>45</v>
      </c>
      <c r="E7671" t="s">
        <v>128</v>
      </c>
      <c r="F7671" t="s">
        <v>86</v>
      </c>
      <c r="G7671" t="s">
        <v>48</v>
      </c>
      <c r="H7671" t="s">
        <v>49</v>
      </c>
      <c r="I7671" t="s">
        <v>50</v>
      </c>
      <c r="J7671" t="s">
        <v>12808</v>
      </c>
      <c r="K7671" t="s">
        <v>14119</v>
      </c>
      <c r="L7671" t="s">
        <v>53</v>
      </c>
      <c r="N7671" t="s">
        <v>14234</v>
      </c>
      <c r="P7671" t="s">
        <v>55</v>
      </c>
      <c r="R7671" t="s">
        <v>53</v>
      </c>
      <c r="T7671" t="s">
        <v>14235</v>
      </c>
      <c r="U7671" t="s">
        <v>58</v>
      </c>
      <c r="V7671">
        <v>1</v>
      </c>
      <c r="W7671">
        <v>1</v>
      </c>
      <c r="X7671">
        <v>2</v>
      </c>
      <c r="Y7671">
        <v>0</v>
      </c>
      <c r="Z7671">
        <v>2</v>
      </c>
      <c r="AA7671">
        <v>106.26</v>
      </c>
      <c r="AB7671">
        <v>107.2</v>
      </c>
      <c r="AC7671">
        <v>93.5</v>
      </c>
      <c r="AD7671">
        <v>0</v>
      </c>
      <c r="AE7671">
        <v>13.7</v>
      </c>
      <c r="AF7671">
        <v>0</v>
      </c>
      <c r="AG7671">
        <v>0</v>
      </c>
      <c r="AH7671">
        <v>0</v>
      </c>
      <c r="AI7671">
        <v>19.3</v>
      </c>
      <c r="AJ7671">
        <v>107.2</v>
      </c>
      <c r="AK7671">
        <v>0</v>
      </c>
      <c r="AL7671" t="s">
        <v>53</v>
      </c>
      <c r="AM7671" t="s">
        <v>53</v>
      </c>
      <c r="AN7671" t="s">
        <v>14236</v>
      </c>
      <c r="AO7671" t="s">
        <v>53</v>
      </c>
      <c r="AP7671" t="s">
        <v>53</v>
      </c>
    </row>
    <row r="7672" spans="2:42" x14ac:dyDescent="0.2">
      <c r="B7672" t="s">
        <v>44</v>
      </c>
      <c r="C7672" t="str">
        <f>HYPERLINK("https://us2.cloudbeds.com/connect/8493803454333002#/reservations/9080486847689125?display=44ETQMDK4R&amp;reservation_id=9080486847689125", "44ETQMDK4R")</f>
        <v>44ETQMDK4R</v>
      </c>
      <c r="D7672" t="s">
        <v>45</v>
      </c>
      <c r="E7672" t="s">
        <v>138</v>
      </c>
      <c r="F7672" t="s">
        <v>70</v>
      </c>
      <c r="G7672" t="s">
        <v>48</v>
      </c>
      <c r="H7672" t="s">
        <v>49</v>
      </c>
      <c r="I7672" t="s">
        <v>8964</v>
      </c>
      <c r="J7672" t="s">
        <v>10860</v>
      </c>
      <c r="K7672" t="s">
        <v>13665</v>
      </c>
      <c r="L7672" t="s">
        <v>53</v>
      </c>
      <c r="N7672" t="s">
        <v>14237</v>
      </c>
      <c r="P7672" t="s">
        <v>55</v>
      </c>
      <c r="R7672" t="s">
        <v>53</v>
      </c>
      <c r="T7672" t="s">
        <v>14238</v>
      </c>
      <c r="U7672" t="s">
        <v>55</v>
      </c>
      <c r="V7672">
        <v>1</v>
      </c>
      <c r="W7672">
        <v>1</v>
      </c>
      <c r="X7672">
        <v>2</v>
      </c>
      <c r="Y7672">
        <v>0</v>
      </c>
      <c r="Z7672">
        <v>2</v>
      </c>
      <c r="AA7672">
        <v>0</v>
      </c>
      <c r="AB7672">
        <v>0</v>
      </c>
      <c r="AC7672">
        <v>73</v>
      </c>
      <c r="AD7672">
        <v>0</v>
      </c>
      <c r="AE7672">
        <v>0</v>
      </c>
      <c r="AF7672">
        <v>0</v>
      </c>
      <c r="AG7672">
        <v>0</v>
      </c>
      <c r="AH7672">
        <v>0</v>
      </c>
      <c r="AI7672">
        <v>10.95</v>
      </c>
      <c r="AJ7672">
        <v>73</v>
      </c>
      <c r="AK7672">
        <v>73</v>
      </c>
      <c r="AL7672" t="s">
        <v>53</v>
      </c>
      <c r="AM7672" t="s">
        <v>53</v>
      </c>
      <c r="AN7672" t="s">
        <v>14239</v>
      </c>
      <c r="AO7672" t="s">
        <v>53</v>
      </c>
      <c r="AP7672" t="s">
        <v>53</v>
      </c>
    </row>
    <row r="7673" spans="2:42" x14ac:dyDescent="0.2">
      <c r="B7673" t="s">
        <v>44</v>
      </c>
      <c r="C7673" t="str">
        <f>HYPERLINK("https://us2.cloudbeds.com/connect/8493803454333002#/reservations/192088875622562?display=44J5RWWRRG&amp;reservation_id=192088875622562", "44J5RWWRRG")</f>
        <v>44J5RWWRRG</v>
      </c>
      <c r="D7673" t="s">
        <v>45</v>
      </c>
      <c r="E7673" t="s">
        <v>185</v>
      </c>
      <c r="F7673" t="s">
        <v>47</v>
      </c>
      <c r="G7673" t="s">
        <v>48</v>
      </c>
      <c r="H7673" t="s">
        <v>3957</v>
      </c>
      <c r="I7673" t="s">
        <v>3975</v>
      </c>
      <c r="J7673" t="s">
        <v>12424</v>
      </c>
      <c r="K7673" t="s">
        <v>12323</v>
      </c>
      <c r="L7673" t="s">
        <v>53</v>
      </c>
      <c r="P7673" t="s">
        <v>55</v>
      </c>
      <c r="R7673" t="s">
        <v>56</v>
      </c>
      <c r="T7673" t="s">
        <v>14240</v>
      </c>
      <c r="U7673" t="s">
        <v>58</v>
      </c>
      <c r="V7673">
        <v>1</v>
      </c>
      <c r="W7673">
        <v>1</v>
      </c>
      <c r="X7673">
        <v>2</v>
      </c>
      <c r="Y7673">
        <v>0</v>
      </c>
      <c r="Z7673">
        <v>2</v>
      </c>
      <c r="AA7673">
        <v>96.61</v>
      </c>
      <c r="AB7673">
        <v>96.61</v>
      </c>
      <c r="AC7673">
        <v>85</v>
      </c>
      <c r="AD7673">
        <v>0</v>
      </c>
      <c r="AE7673">
        <v>11.61</v>
      </c>
      <c r="AF7673">
        <v>0</v>
      </c>
      <c r="AG7673">
        <v>0</v>
      </c>
      <c r="AH7673">
        <v>0</v>
      </c>
      <c r="AI7673">
        <v>0</v>
      </c>
      <c r="AJ7673">
        <v>96.61</v>
      </c>
      <c r="AK7673">
        <v>0</v>
      </c>
      <c r="AL7673" t="s">
        <v>53</v>
      </c>
      <c r="AM7673" t="s">
        <v>53</v>
      </c>
      <c r="AN7673" t="s">
        <v>53</v>
      </c>
      <c r="AO7673" t="s">
        <v>53</v>
      </c>
      <c r="AP7673" t="s">
        <v>53</v>
      </c>
    </row>
    <row r="7674" spans="2:42" x14ac:dyDescent="0.2">
      <c r="B7674" t="s">
        <v>44</v>
      </c>
      <c r="C7674" t="str">
        <f>HYPERLINK("https://us2.cloudbeds.com/connect/8493803454333002#/reservations/9080486847693950?display=44JX93AJGW&amp;reservation_id=9080486847693950", "44JX93AJGW")</f>
        <v>44JX93AJGW</v>
      </c>
      <c r="D7674" t="s">
        <v>45</v>
      </c>
      <c r="E7674" t="s">
        <v>46</v>
      </c>
      <c r="F7674" t="s">
        <v>47</v>
      </c>
      <c r="G7674" t="s">
        <v>48</v>
      </c>
      <c r="H7674" t="s">
        <v>49</v>
      </c>
      <c r="I7674" t="s">
        <v>8964</v>
      </c>
      <c r="J7674" t="s">
        <v>13010</v>
      </c>
      <c r="K7674" t="s">
        <v>13024</v>
      </c>
      <c r="L7674" t="s">
        <v>53</v>
      </c>
      <c r="N7674" t="s">
        <v>14241</v>
      </c>
      <c r="P7674" t="s">
        <v>55</v>
      </c>
      <c r="R7674" t="s">
        <v>53</v>
      </c>
      <c r="T7674" t="s">
        <v>14242</v>
      </c>
      <c r="U7674" t="s">
        <v>55</v>
      </c>
      <c r="V7674">
        <v>2</v>
      </c>
      <c r="W7674">
        <v>1</v>
      </c>
      <c r="X7674">
        <v>2</v>
      </c>
      <c r="Y7674">
        <v>0</v>
      </c>
      <c r="Z7674">
        <v>2</v>
      </c>
      <c r="AA7674">
        <v>0</v>
      </c>
      <c r="AB7674">
        <v>0</v>
      </c>
      <c r="AC7674">
        <v>233</v>
      </c>
      <c r="AD7674">
        <v>0</v>
      </c>
      <c r="AE7674">
        <v>0</v>
      </c>
      <c r="AF7674">
        <v>0</v>
      </c>
      <c r="AG7674">
        <v>0</v>
      </c>
      <c r="AH7674">
        <v>0</v>
      </c>
      <c r="AI7674">
        <v>34.950000000000003</v>
      </c>
      <c r="AJ7674">
        <v>233</v>
      </c>
      <c r="AK7674">
        <v>233</v>
      </c>
      <c r="AL7674" t="s">
        <v>53</v>
      </c>
      <c r="AM7674" t="s">
        <v>53</v>
      </c>
      <c r="AN7674" t="s">
        <v>14243</v>
      </c>
      <c r="AO7674" t="s">
        <v>53</v>
      </c>
      <c r="AP7674" t="s">
        <v>53</v>
      </c>
    </row>
    <row r="7675" spans="2:42" x14ac:dyDescent="0.2">
      <c r="B7675" t="s">
        <v>44</v>
      </c>
      <c r="C7675" t="str">
        <f>HYPERLINK("https://us2.cloudbeds.com/connect/8493803454333002#/reservations/192125650182300?display=44K1AM95SK&amp;reservation_id=192125650182300", "44K1AM95SK")</f>
        <v>44K1AM95SK</v>
      </c>
      <c r="D7675" t="s">
        <v>45</v>
      </c>
      <c r="E7675" t="s">
        <v>373</v>
      </c>
      <c r="F7675" t="s">
        <v>47</v>
      </c>
      <c r="G7675" t="s">
        <v>48</v>
      </c>
      <c r="H7675" t="s">
        <v>3957</v>
      </c>
      <c r="I7675" t="s">
        <v>3989</v>
      </c>
      <c r="J7675" t="s">
        <v>12424</v>
      </c>
      <c r="K7675" t="s">
        <v>12323</v>
      </c>
      <c r="L7675" t="s">
        <v>53</v>
      </c>
      <c r="P7675" t="s">
        <v>55</v>
      </c>
      <c r="R7675" t="s">
        <v>56</v>
      </c>
      <c r="T7675" t="s">
        <v>14244</v>
      </c>
      <c r="U7675" t="s">
        <v>58</v>
      </c>
      <c r="V7675">
        <v>1</v>
      </c>
      <c r="W7675">
        <v>1</v>
      </c>
      <c r="X7675">
        <v>1</v>
      </c>
      <c r="Y7675">
        <v>0</v>
      </c>
      <c r="Z7675">
        <v>1</v>
      </c>
      <c r="AA7675">
        <v>96.61</v>
      </c>
      <c r="AB7675">
        <v>96.61</v>
      </c>
      <c r="AC7675">
        <v>85</v>
      </c>
      <c r="AD7675">
        <v>0</v>
      </c>
      <c r="AE7675">
        <v>11.61</v>
      </c>
      <c r="AF7675">
        <v>0</v>
      </c>
      <c r="AG7675">
        <v>0</v>
      </c>
      <c r="AH7675">
        <v>0</v>
      </c>
      <c r="AI7675">
        <v>0</v>
      </c>
      <c r="AJ7675">
        <v>96.61</v>
      </c>
      <c r="AK7675">
        <v>0</v>
      </c>
      <c r="AL7675" t="s">
        <v>53</v>
      </c>
      <c r="AM7675" t="s">
        <v>53</v>
      </c>
      <c r="AN7675" t="s">
        <v>53</v>
      </c>
      <c r="AO7675" t="s">
        <v>53</v>
      </c>
      <c r="AP7675" t="s">
        <v>53</v>
      </c>
    </row>
    <row r="7676" spans="2:42" x14ac:dyDescent="0.2">
      <c r="B7676" t="s">
        <v>44</v>
      </c>
      <c r="C7676" t="str">
        <f>HYPERLINK("https://us2.cloudbeds.com/connect/8493803454333002#/reservations/9080486847695562?display=44KQGT5AG5&amp;reservation_id=9080486847695562", "44KQGT5AG5")</f>
        <v>44KQGT5AG5</v>
      </c>
      <c r="D7676" t="s">
        <v>45</v>
      </c>
      <c r="E7676" t="s">
        <v>113</v>
      </c>
      <c r="F7676" t="s">
        <v>61</v>
      </c>
      <c r="G7676" t="s">
        <v>48</v>
      </c>
      <c r="H7676" t="s">
        <v>49</v>
      </c>
      <c r="I7676" t="s">
        <v>50</v>
      </c>
      <c r="J7676" t="s">
        <v>12424</v>
      </c>
      <c r="K7676" t="s">
        <v>12323</v>
      </c>
      <c r="L7676" t="s">
        <v>53</v>
      </c>
      <c r="N7676" t="s">
        <v>14245</v>
      </c>
      <c r="P7676" t="s">
        <v>55</v>
      </c>
      <c r="R7676" t="s">
        <v>53</v>
      </c>
      <c r="T7676" t="s">
        <v>14246</v>
      </c>
      <c r="U7676" t="s">
        <v>58</v>
      </c>
      <c r="V7676">
        <v>1</v>
      </c>
      <c r="W7676">
        <v>1</v>
      </c>
      <c r="X7676">
        <v>2</v>
      </c>
      <c r="Y7676">
        <v>0</v>
      </c>
      <c r="Z7676">
        <v>2</v>
      </c>
      <c r="AA7676">
        <v>91.78</v>
      </c>
      <c r="AB7676">
        <v>91.78</v>
      </c>
      <c r="AC7676">
        <v>80.75</v>
      </c>
      <c r="AD7676">
        <v>0</v>
      </c>
      <c r="AE7676">
        <v>11.03</v>
      </c>
      <c r="AF7676">
        <v>0</v>
      </c>
      <c r="AG7676">
        <v>0</v>
      </c>
      <c r="AH7676">
        <v>0</v>
      </c>
      <c r="AI7676">
        <v>16.52</v>
      </c>
      <c r="AJ7676">
        <v>91.78</v>
      </c>
      <c r="AK7676">
        <v>0</v>
      </c>
      <c r="AL7676" t="s">
        <v>53</v>
      </c>
      <c r="AM7676" t="s">
        <v>53</v>
      </c>
      <c r="AN7676" t="s">
        <v>53</v>
      </c>
      <c r="AO7676" t="s">
        <v>53</v>
      </c>
      <c r="AP7676" t="s">
        <v>53</v>
      </c>
    </row>
    <row r="7677" spans="2:42" x14ac:dyDescent="0.2">
      <c r="B7677" t="s">
        <v>44</v>
      </c>
      <c r="C7677" t="str">
        <f>HYPERLINK("https://us2.cloudbeds.com/connect/8493803454333002#/reservations/9080486847696408?display=44YY1AKQGV&amp;reservation_id=9080486847696408", "44YY1AKQGV")</f>
        <v>44YY1AKQGV</v>
      </c>
      <c r="D7677" t="s">
        <v>45</v>
      </c>
      <c r="E7677" t="s">
        <v>110</v>
      </c>
      <c r="F7677" t="s">
        <v>47</v>
      </c>
      <c r="G7677" t="s">
        <v>48</v>
      </c>
      <c r="H7677" t="s">
        <v>49</v>
      </c>
      <c r="I7677" t="s">
        <v>8964</v>
      </c>
      <c r="J7677" t="s">
        <v>11295</v>
      </c>
      <c r="K7677" t="s">
        <v>10680</v>
      </c>
      <c r="L7677" t="s">
        <v>53</v>
      </c>
      <c r="N7677" t="s">
        <v>14247</v>
      </c>
      <c r="P7677" t="s">
        <v>55</v>
      </c>
      <c r="R7677" t="s">
        <v>53</v>
      </c>
      <c r="T7677" t="s">
        <v>14248</v>
      </c>
      <c r="U7677" t="s">
        <v>55</v>
      </c>
      <c r="V7677">
        <v>1</v>
      </c>
      <c r="W7677">
        <v>1</v>
      </c>
      <c r="X7677">
        <v>1</v>
      </c>
      <c r="Y7677">
        <v>0</v>
      </c>
      <c r="Z7677">
        <v>1</v>
      </c>
      <c r="AA7677">
        <v>0</v>
      </c>
      <c r="AB7677">
        <v>0</v>
      </c>
      <c r="AC7677">
        <v>79</v>
      </c>
      <c r="AD7677">
        <v>0</v>
      </c>
      <c r="AE7677">
        <v>0</v>
      </c>
      <c r="AF7677">
        <v>0</v>
      </c>
      <c r="AG7677">
        <v>0</v>
      </c>
      <c r="AH7677">
        <v>0</v>
      </c>
      <c r="AI7677">
        <v>11.85</v>
      </c>
      <c r="AJ7677">
        <v>79</v>
      </c>
      <c r="AK7677">
        <v>79</v>
      </c>
      <c r="AL7677" t="s">
        <v>53</v>
      </c>
      <c r="AM7677" t="s">
        <v>53</v>
      </c>
      <c r="AN7677" t="s">
        <v>14249</v>
      </c>
      <c r="AO7677" t="s">
        <v>53</v>
      </c>
      <c r="AP7677" t="s">
        <v>53</v>
      </c>
    </row>
    <row r="7678" spans="2:42" x14ac:dyDescent="0.2">
      <c r="B7678" t="s">
        <v>44</v>
      </c>
      <c r="C7678" t="str">
        <f>HYPERLINK("https://us2.cloudbeds.com/connect/8493803454333002#/reservations/192403210907795?display=44QX7WRH47&amp;reservation_id=192403210907795", "44QX7WRH47")</f>
        <v>44QX7WRH47</v>
      </c>
      <c r="D7678" t="s">
        <v>45</v>
      </c>
      <c r="E7678" t="s">
        <v>110</v>
      </c>
      <c r="F7678" t="s">
        <v>47</v>
      </c>
      <c r="G7678" t="s">
        <v>48</v>
      </c>
      <c r="H7678" t="s">
        <v>3957</v>
      </c>
      <c r="I7678" t="s">
        <v>3975</v>
      </c>
      <c r="J7678" t="s">
        <v>12323</v>
      </c>
      <c r="K7678" t="s">
        <v>13822</v>
      </c>
      <c r="L7678" t="s">
        <v>53</v>
      </c>
      <c r="P7678" t="s">
        <v>55</v>
      </c>
      <c r="R7678" t="s">
        <v>56</v>
      </c>
      <c r="T7678" t="s">
        <v>14250</v>
      </c>
      <c r="U7678" t="s">
        <v>58</v>
      </c>
      <c r="V7678">
        <v>2</v>
      </c>
      <c r="W7678">
        <v>1</v>
      </c>
      <c r="X7678">
        <v>2</v>
      </c>
      <c r="Y7678">
        <v>0</v>
      </c>
      <c r="Z7678">
        <v>2</v>
      </c>
      <c r="AA7678">
        <v>168.2</v>
      </c>
      <c r="AB7678">
        <v>168.2</v>
      </c>
      <c r="AC7678">
        <v>148</v>
      </c>
      <c r="AD7678">
        <v>0</v>
      </c>
      <c r="AE7678">
        <v>20.2</v>
      </c>
      <c r="AF7678">
        <v>0</v>
      </c>
      <c r="AG7678">
        <v>0</v>
      </c>
      <c r="AH7678">
        <v>0</v>
      </c>
      <c r="AI7678">
        <v>0</v>
      </c>
      <c r="AJ7678">
        <v>168.2</v>
      </c>
      <c r="AK7678">
        <v>0</v>
      </c>
      <c r="AL7678" t="s">
        <v>53</v>
      </c>
      <c r="AM7678" t="s">
        <v>53</v>
      </c>
      <c r="AN7678" t="s">
        <v>14251</v>
      </c>
      <c r="AO7678" t="s">
        <v>53</v>
      </c>
      <c r="AP7678" t="s">
        <v>53</v>
      </c>
    </row>
    <row r="7679" spans="2:42" x14ac:dyDescent="0.2">
      <c r="B7679" t="s">
        <v>44</v>
      </c>
      <c r="C7679" t="str">
        <f>HYPERLINK("https://us2.cloudbeds.com/connect/8493803454333002#/reservations/9080486847704675?display=44SR81YVEA&amp;reservation_id=9080486847704675", "44SR81YVEA")</f>
        <v>44SR81YVEA</v>
      </c>
      <c r="D7679" t="s">
        <v>45</v>
      </c>
      <c r="E7679" t="s">
        <v>138</v>
      </c>
      <c r="F7679" t="s">
        <v>70</v>
      </c>
      <c r="G7679" t="s">
        <v>48</v>
      </c>
      <c r="H7679" t="s">
        <v>49</v>
      </c>
      <c r="I7679" t="s">
        <v>50</v>
      </c>
      <c r="J7679" t="s">
        <v>13822</v>
      </c>
      <c r="K7679" t="s">
        <v>13735</v>
      </c>
      <c r="L7679" t="s">
        <v>53</v>
      </c>
      <c r="N7679" t="s">
        <v>14252</v>
      </c>
      <c r="P7679" t="s">
        <v>55</v>
      </c>
      <c r="R7679" t="s">
        <v>53</v>
      </c>
      <c r="T7679" t="s">
        <v>14253</v>
      </c>
      <c r="U7679" t="s">
        <v>58</v>
      </c>
      <c r="V7679">
        <v>2</v>
      </c>
      <c r="W7679">
        <v>1</v>
      </c>
      <c r="X7679">
        <v>1</v>
      </c>
      <c r="Y7679">
        <v>0</v>
      </c>
      <c r="Z7679">
        <v>1</v>
      </c>
      <c r="AA7679">
        <v>147.18</v>
      </c>
      <c r="AB7679">
        <v>67.62</v>
      </c>
      <c r="AC7679">
        <v>129.5</v>
      </c>
      <c r="AD7679">
        <v>0</v>
      </c>
      <c r="AE7679">
        <v>17.68</v>
      </c>
      <c r="AF7679">
        <v>0</v>
      </c>
      <c r="AG7679">
        <v>0</v>
      </c>
      <c r="AH7679">
        <v>0</v>
      </c>
      <c r="AI7679">
        <v>26.49</v>
      </c>
      <c r="AJ7679">
        <v>147.18</v>
      </c>
      <c r="AK7679">
        <v>79.56</v>
      </c>
      <c r="AL7679" t="s">
        <v>53</v>
      </c>
      <c r="AM7679" t="s">
        <v>53</v>
      </c>
      <c r="AN7679" t="s">
        <v>14254</v>
      </c>
      <c r="AO7679" t="s">
        <v>53</v>
      </c>
      <c r="AP7679" t="s">
        <v>53</v>
      </c>
    </row>
    <row r="7680" spans="2:42" x14ac:dyDescent="0.2">
      <c r="B7680" t="s">
        <v>44</v>
      </c>
      <c r="C7680" t="str">
        <f>HYPERLINK("https://us2.cloudbeds.com/connect/8493803454333002#/reservations/9080486847706328?display=44U7G6W8B0&amp;reservation_id=9080486847706328", "44U7G6W8B0")</f>
        <v>44U7G6W8B0</v>
      </c>
      <c r="D7680" t="s">
        <v>45</v>
      </c>
      <c r="E7680" t="s">
        <v>78</v>
      </c>
      <c r="F7680" t="s">
        <v>61</v>
      </c>
      <c r="G7680" t="s">
        <v>48</v>
      </c>
      <c r="H7680" t="s">
        <v>49</v>
      </c>
      <c r="I7680" t="s">
        <v>50</v>
      </c>
      <c r="J7680" t="s">
        <v>10681</v>
      </c>
      <c r="K7680" t="s">
        <v>13941</v>
      </c>
      <c r="L7680" t="s">
        <v>53</v>
      </c>
      <c r="N7680" t="s">
        <v>14255</v>
      </c>
      <c r="P7680" t="s">
        <v>55</v>
      </c>
      <c r="R7680" t="s">
        <v>53</v>
      </c>
      <c r="T7680" t="s">
        <v>14256</v>
      </c>
      <c r="U7680" t="s">
        <v>58</v>
      </c>
      <c r="V7680">
        <v>3</v>
      </c>
      <c r="W7680">
        <v>1</v>
      </c>
      <c r="X7680">
        <v>1</v>
      </c>
      <c r="Y7680">
        <v>0</v>
      </c>
      <c r="Z7680">
        <v>1</v>
      </c>
      <c r="AA7680">
        <v>275.89</v>
      </c>
      <c r="AB7680">
        <v>275.89</v>
      </c>
      <c r="AC7680">
        <v>242.76</v>
      </c>
      <c r="AD7680">
        <v>0</v>
      </c>
      <c r="AE7680">
        <v>33.130000000000003</v>
      </c>
      <c r="AF7680">
        <v>0</v>
      </c>
      <c r="AG7680">
        <v>0</v>
      </c>
      <c r="AH7680">
        <v>0</v>
      </c>
      <c r="AI7680">
        <v>49.66</v>
      </c>
      <c r="AJ7680">
        <v>275.89</v>
      </c>
      <c r="AK7680">
        <v>0</v>
      </c>
      <c r="AL7680" t="s">
        <v>53</v>
      </c>
      <c r="AM7680" t="s">
        <v>53</v>
      </c>
      <c r="AN7680" t="s">
        <v>14257</v>
      </c>
      <c r="AO7680" t="s">
        <v>53</v>
      </c>
      <c r="AP7680" t="s">
        <v>53</v>
      </c>
    </row>
    <row r="7681" spans="2:42" x14ac:dyDescent="0.2">
      <c r="B7681" t="s">
        <v>44</v>
      </c>
      <c r="C7681" t="str">
        <f>HYPERLINK("https://us2.cloudbeds.com/connect/8493803454333002#/reservations/9080486847706853?display=44UNVGPS1M&amp;reservation_id=9080486847706853", "44UNVGPS1M")</f>
        <v>44UNVGPS1M</v>
      </c>
      <c r="D7681" t="s">
        <v>45</v>
      </c>
      <c r="E7681" t="s">
        <v>138</v>
      </c>
      <c r="F7681" t="s">
        <v>70</v>
      </c>
      <c r="G7681" t="s">
        <v>48</v>
      </c>
      <c r="H7681" t="s">
        <v>49</v>
      </c>
      <c r="I7681" t="s">
        <v>62</v>
      </c>
      <c r="J7681" t="s">
        <v>13275</v>
      </c>
      <c r="K7681" t="s">
        <v>13822</v>
      </c>
      <c r="L7681" t="s">
        <v>53</v>
      </c>
      <c r="N7681" t="s">
        <v>14258</v>
      </c>
      <c r="P7681" t="s">
        <v>55</v>
      </c>
      <c r="R7681" t="s">
        <v>3018</v>
      </c>
      <c r="T7681" t="s">
        <v>14259</v>
      </c>
      <c r="U7681" t="s">
        <v>55</v>
      </c>
      <c r="V7681">
        <v>1</v>
      </c>
      <c r="W7681">
        <v>1</v>
      </c>
      <c r="X7681">
        <v>1</v>
      </c>
      <c r="Y7681">
        <v>0</v>
      </c>
      <c r="Z7681">
        <v>1</v>
      </c>
      <c r="AA7681">
        <v>59.5</v>
      </c>
      <c r="AB7681">
        <v>59.5</v>
      </c>
      <c r="AC7681">
        <v>59.5</v>
      </c>
      <c r="AD7681">
        <v>0</v>
      </c>
      <c r="AE7681">
        <v>0</v>
      </c>
      <c r="AF7681">
        <v>0</v>
      </c>
      <c r="AG7681">
        <v>0</v>
      </c>
      <c r="AH7681">
        <v>0</v>
      </c>
      <c r="AI7681">
        <v>10.71</v>
      </c>
      <c r="AJ7681">
        <v>59.5</v>
      </c>
      <c r="AK7681">
        <v>0</v>
      </c>
      <c r="AL7681" t="s">
        <v>53</v>
      </c>
      <c r="AM7681" t="s">
        <v>53</v>
      </c>
      <c r="AN7681" t="s">
        <v>14260</v>
      </c>
      <c r="AO7681" t="s">
        <v>53</v>
      </c>
      <c r="AP7681" t="s">
        <v>53</v>
      </c>
    </row>
    <row r="7682" spans="2:42" x14ac:dyDescent="0.2">
      <c r="B7682" t="s">
        <v>44</v>
      </c>
      <c r="C7682" t="str">
        <f>HYPERLINK("https://us2.cloudbeds.com/connect/8493803454333002#/reservations/9080486847707020?display=44USWV2T7R&amp;reservation_id=9080486847707020", "44USWV2T7R")</f>
        <v>44USWV2T7R</v>
      </c>
      <c r="D7682" t="s">
        <v>45</v>
      </c>
      <c r="E7682" t="s">
        <v>213</v>
      </c>
      <c r="F7682" t="s">
        <v>86</v>
      </c>
      <c r="G7682" t="s">
        <v>48</v>
      </c>
      <c r="H7682" t="s">
        <v>49</v>
      </c>
      <c r="I7682" t="s">
        <v>8964</v>
      </c>
      <c r="J7682" t="s">
        <v>13024</v>
      </c>
      <c r="K7682" t="s">
        <v>13726</v>
      </c>
      <c r="L7682" t="s">
        <v>53</v>
      </c>
      <c r="N7682" t="s">
        <v>14261</v>
      </c>
      <c r="P7682" t="s">
        <v>55</v>
      </c>
      <c r="R7682" t="s">
        <v>53</v>
      </c>
      <c r="T7682" t="s">
        <v>14262</v>
      </c>
      <c r="U7682" t="s">
        <v>55</v>
      </c>
      <c r="V7682">
        <v>4</v>
      </c>
      <c r="W7682">
        <v>1</v>
      </c>
      <c r="X7682">
        <v>2</v>
      </c>
      <c r="Y7682">
        <v>0</v>
      </c>
      <c r="Z7682">
        <v>2</v>
      </c>
      <c r="AA7682">
        <v>0</v>
      </c>
      <c r="AB7682">
        <v>0</v>
      </c>
      <c r="AC7682">
        <v>384</v>
      </c>
      <c r="AD7682">
        <v>0</v>
      </c>
      <c r="AE7682">
        <v>0</v>
      </c>
      <c r="AF7682">
        <v>0</v>
      </c>
      <c r="AG7682">
        <v>0</v>
      </c>
      <c r="AH7682">
        <v>0</v>
      </c>
      <c r="AI7682">
        <v>57.6</v>
      </c>
      <c r="AJ7682">
        <v>384</v>
      </c>
      <c r="AK7682">
        <v>384</v>
      </c>
      <c r="AL7682" t="s">
        <v>53</v>
      </c>
      <c r="AM7682" t="s">
        <v>53</v>
      </c>
      <c r="AN7682" t="s">
        <v>14263</v>
      </c>
      <c r="AO7682" t="s">
        <v>53</v>
      </c>
      <c r="AP7682" t="s">
        <v>53</v>
      </c>
    </row>
    <row r="7683" spans="2:42" x14ac:dyDescent="0.2">
      <c r="B7683" t="s">
        <v>44</v>
      </c>
      <c r="C7683" t="str">
        <f>HYPERLINK("https://us2.cloudbeds.com/connect/8493803454333002#/reservations/9080486847707059?display=44UUG438VV&amp;reservation_id=9080486847707059", "44UUG438VV")</f>
        <v>44UUG438VV</v>
      </c>
      <c r="D7683" t="s">
        <v>45</v>
      </c>
      <c r="E7683" t="s">
        <v>165</v>
      </c>
      <c r="F7683" t="s">
        <v>61</v>
      </c>
      <c r="G7683" t="s">
        <v>48</v>
      </c>
      <c r="H7683" t="s">
        <v>49</v>
      </c>
      <c r="I7683" t="s">
        <v>50</v>
      </c>
      <c r="J7683" t="s">
        <v>13747</v>
      </c>
      <c r="K7683" t="s">
        <v>13735</v>
      </c>
      <c r="L7683" t="s">
        <v>53</v>
      </c>
      <c r="N7683" t="s">
        <v>14264</v>
      </c>
      <c r="P7683" t="s">
        <v>55</v>
      </c>
      <c r="R7683" t="s">
        <v>53</v>
      </c>
      <c r="T7683" t="s">
        <v>14265</v>
      </c>
      <c r="U7683" t="s">
        <v>58</v>
      </c>
      <c r="V7683">
        <v>1</v>
      </c>
      <c r="W7683">
        <v>1</v>
      </c>
      <c r="X7683">
        <v>2</v>
      </c>
      <c r="Y7683">
        <v>0</v>
      </c>
      <c r="Z7683">
        <v>2</v>
      </c>
      <c r="AA7683">
        <v>78.25</v>
      </c>
      <c r="AB7683">
        <v>78.25</v>
      </c>
      <c r="AC7683">
        <v>68.849999999999994</v>
      </c>
      <c r="AD7683">
        <v>0</v>
      </c>
      <c r="AE7683">
        <v>9.4</v>
      </c>
      <c r="AF7683">
        <v>0</v>
      </c>
      <c r="AG7683">
        <v>0</v>
      </c>
      <c r="AH7683">
        <v>0</v>
      </c>
      <c r="AI7683">
        <v>14.09</v>
      </c>
      <c r="AJ7683">
        <v>78.25</v>
      </c>
      <c r="AK7683">
        <v>0</v>
      </c>
      <c r="AL7683" t="s">
        <v>53</v>
      </c>
      <c r="AM7683" t="s">
        <v>53</v>
      </c>
      <c r="AN7683" t="s">
        <v>53</v>
      </c>
      <c r="AO7683" t="s">
        <v>53</v>
      </c>
      <c r="AP7683" t="s">
        <v>53</v>
      </c>
    </row>
    <row r="7684" spans="2:42" x14ac:dyDescent="0.2">
      <c r="B7684" t="s">
        <v>44</v>
      </c>
      <c r="C7684" t="str">
        <f>HYPERLINK("https://us2.cloudbeds.com/connect/8493803454333002#/reservations/9080486847707700?display=44VHEF0B6M&amp;reservation_id=9080486847707700", "44VHEF0B6M")</f>
        <v>44VHEF0B6M</v>
      </c>
      <c r="D7684" t="s">
        <v>45</v>
      </c>
      <c r="E7684" t="s">
        <v>110</v>
      </c>
      <c r="F7684" t="s">
        <v>47</v>
      </c>
      <c r="G7684" t="s">
        <v>48</v>
      </c>
      <c r="H7684" t="s">
        <v>49</v>
      </c>
      <c r="I7684" t="s">
        <v>62</v>
      </c>
      <c r="J7684" t="s">
        <v>13538</v>
      </c>
      <c r="K7684" t="s">
        <v>9579</v>
      </c>
      <c r="L7684" t="s">
        <v>53</v>
      </c>
      <c r="N7684" t="s">
        <v>14266</v>
      </c>
      <c r="P7684" t="s">
        <v>55</v>
      </c>
      <c r="R7684" t="s">
        <v>56</v>
      </c>
      <c r="T7684" t="s">
        <v>14267</v>
      </c>
      <c r="U7684" t="s">
        <v>55</v>
      </c>
      <c r="V7684">
        <v>1</v>
      </c>
      <c r="W7684">
        <v>1</v>
      </c>
      <c r="X7684">
        <v>1</v>
      </c>
      <c r="Y7684">
        <v>0</v>
      </c>
      <c r="Z7684">
        <v>1</v>
      </c>
      <c r="AA7684">
        <v>72.25</v>
      </c>
      <c r="AB7684">
        <v>72.25</v>
      </c>
      <c r="AC7684">
        <v>72.25</v>
      </c>
      <c r="AD7684">
        <v>0</v>
      </c>
      <c r="AE7684">
        <v>0</v>
      </c>
      <c r="AF7684">
        <v>0</v>
      </c>
      <c r="AG7684">
        <v>0</v>
      </c>
      <c r="AH7684">
        <v>0</v>
      </c>
      <c r="AI7684">
        <v>13.01</v>
      </c>
      <c r="AJ7684">
        <v>72.25</v>
      </c>
      <c r="AK7684">
        <v>0</v>
      </c>
      <c r="AL7684" t="s">
        <v>53</v>
      </c>
      <c r="AM7684" t="s">
        <v>53</v>
      </c>
      <c r="AN7684" t="s">
        <v>14268</v>
      </c>
      <c r="AO7684" t="s">
        <v>53</v>
      </c>
      <c r="AP7684" t="s">
        <v>53</v>
      </c>
    </row>
    <row r="7685" spans="2:42" x14ac:dyDescent="0.2">
      <c r="B7685" t="s">
        <v>44</v>
      </c>
      <c r="C7685" t="str">
        <f>HYPERLINK("https://us2.cloudbeds.com/connect/8493803454333002#/reservations/9080486847707718?display=44VX0ZHX10&amp;reservation_id=9080486847707718", "44VX0ZHX10")</f>
        <v>44VX0ZHX10</v>
      </c>
      <c r="D7685" t="s">
        <v>45</v>
      </c>
      <c r="E7685" t="s">
        <v>373</v>
      </c>
      <c r="F7685" t="s">
        <v>47</v>
      </c>
      <c r="G7685" t="s">
        <v>48</v>
      </c>
      <c r="H7685" t="s">
        <v>49</v>
      </c>
      <c r="I7685" t="s">
        <v>62</v>
      </c>
      <c r="J7685" t="s">
        <v>13275</v>
      </c>
      <c r="K7685" t="s">
        <v>13822</v>
      </c>
      <c r="L7685" t="s">
        <v>53</v>
      </c>
      <c r="N7685" t="s">
        <v>14269</v>
      </c>
      <c r="P7685" t="s">
        <v>55</v>
      </c>
      <c r="R7685" t="s">
        <v>56</v>
      </c>
      <c r="T7685" t="s">
        <v>14270</v>
      </c>
      <c r="U7685" t="s">
        <v>55</v>
      </c>
      <c r="V7685">
        <v>1</v>
      </c>
      <c r="W7685">
        <v>1</v>
      </c>
      <c r="X7685">
        <v>1</v>
      </c>
      <c r="Y7685">
        <v>0</v>
      </c>
      <c r="Z7685">
        <v>1</v>
      </c>
      <c r="AA7685">
        <v>61.2</v>
      </c>
      <c r="AB7685">
        <v>61.2</v>
      </c>
      <c r="AC7685">
        <v>61.2</v>
      </c>
      <c r="AD7685">
        <v>0</v>
      </c>
      <c r="AE7685">
        <v>0</v>
      </c>
      <c r="AF7685">
        <v>0</v>
      </c>
      <c r="AG7685">
        <v>0</v>
      </c>
      <c r="AH7685">
        <v>0</v>
      </c>
      <c r="AI7685">
        <v>11.02</v>
      </c>
      <c r="AJ7685">
        <v>61.2</v>
      </c>
      <c r="AK7685">
        <v>0</v>
      </c>
      <c r="AL7685" t="s">
        <v>53</v>
      </c>
      <c r="AM7685" t="s">
        <v>53</v>
      </c>
      <c r="AN7685" t="s">
        <v>53</v>
      </c>
      <c r="AO7685" t="s">
        <v>53</v>
      </c>
      <c r="AP7685" t="s">
        <v>53</v>
      </c>
    </row>
    <row r="7686" spans="2:42" x14ac:dyDescent="0.2">
      <c r="B7686" t="s">
        <v>44</v>
      </c>
      <c r="C7686" t="str">
        <f>HYPERLINK("https://us2.cloudbeds.com/connect/8493803454333002#/reservations/192729872347358?display=45175VDK34&amp;reservation_id=192729872347358", "45175VDK34")</f>
        <v>45175VDK34</v>
      </c>
      <c r="D7686" t="s">
        <v>45</v>
      </c>
      <c r="E7686" t="s">
        <v>69</v>
      </c>
      <c r="F7686" t="s">
        <v>70</v>
      </c>
      <c r="G7686" t="s">
        <v>48</v>
      </c>
      <c r="H7686" t="s">
        <v>3957</v>
      </c>
      <c r="I7686" t="s">
        <v>3975</v>
      </c>
      <c r="J7686" t="s">
        <v>11295</v>
      </c>
      <c r="K7686" t="s">
        <v>10680</v>
      </c>
      <c r="L7686" t="s">
        <v>53</v>
      </c>
      <c r="P7686" t="s">
        <v>55</v>
      </c>
      <c r="R7686" t="s">
        <v>56</v>
      </c>
      <c r="T7686" t="s">
        <v>14271</v>
      </c>
      <c r="U7686" t="s">
        <v>58</v>
      </c>
      <c r="V7686">
        <v>1</v>
      </c>
      <c r="W7686">
        <v>1</v>
      </c>
      <c r="X7686">
        <v>1</v>
      </c>
      <c r="Y7686">
        <v>0</v>
      </c>
      <c r="Z7686">
        <v>1</v>
      </c>
      <c r="AA7686">
        <v>0</v>
      </c>
      <c r="AB7686">
        <v>79.56</v>
      </c>
      <c r="AC7686">
        <v>70</v>
      </c>
      <c r="AD7686">
        <v>0</v>
      </c>
      <c r="AE7686">
        <v>9.56</v>
      </c>
      <c r="AF7686">
        <v>0</v>
      </c>
      <c r="AG7686">
        <v>0</v>
      </c>
      <c r="AH7686">
        <v>0</v>
      </c>
      <c r="AI7686">
        <v>0</v>
      </c>
      <c r="AJ7686">
        <v>79.56</v>
      </c>
      <c r="AK7686">
        <v>0</v>
      </c>
      <c r="AL7686" t="s">
        <v>53</v>
      </c>
      <c r="AM7686" t="s">
        <v>53</v>
      </c>
      <c r="AN7686" t="s">
        <v>53</v>
      </c>
      <c r="AO7686" t="s">
        <v>53</v>
      </c>
      <c r="AP7686" t="s">
        <v>53</v>
      </c>
    </row>
    <row r="7687" spans="2:42" x14ac:dyDescent="0.2">
      <c r="B7687" t="s">
        <v>44</v>
      </c>
      <c r="C7687" t="str">
        <f>HYPERLINK("https://us2.cloudbeds.com/connect/8493803454333002#/reservations/9080486847711036?display=451TR7VYKJ&amp;reservation_id=9080486847711036", "451TR7VYKJ")</f>
        <v>451TR7VYKJ</v>
      </c>
      <c r="D7687" t="s">
        <v>45</v>
      </c>
      <c r="E7687" t="s">
        <v>110</v>
      </c>
      <c r="F7687" t="s">
        <v>47</v>
      </c>
      <c r="G7687" t="s">
        <v>48</v>
      </c>
      <c r="H7687" t="s">
        <v>49</v>
      </c>
      <c r="I7687" t="s">
        <v>62</v>
      </c>
      <c r="J7687" t="s">
        <v>13822</v>
      </c>
      <c r="K7687" t="s">
        <v>13735</v>
      </c>
      <c r="L7687" t="s">
        <v>53</v>
      </c>
      <c r="N7687" t="s">
        <v>14272</v>
      </c>
      <c r="P7687" t="s">
        <v>55</v>
      </c>
      <c r="R7687" t="s">
        <v>56</v>
      </c>
      <c r="T7687" t="s">
        <v>14273</v>
      </c>
      <c r="U7687" t="s">
        <v>55</v>
      </c>
      <c r="V7687">
        <v>2</v>
      </c>
      <c r="W7687">
        <v>1</v>
      </c>
      <c r="X7687">
        <v>2</v>
      </c>
      <c r="Y7687">
        <v>0</v>
      </c>
      <c r="Z7687">
        <v>2</v>
      </c>
      <c r="AA7687">
        <v>136.19999999999999</v>
      </c>
      <c r="AB7687">
        <v>136.19999999999999</v>
      </c>
      <c r="AC7687">
        <v>136.19999999999999</v>
      </c>
      <c r="AD7687">
        <v>0</v>
      </c>
      <c r="AE7687">
        <v>0</v>
      </c>
      <c r="AF7687">
        <v>0</v>
      </c>
      <c r="AG7687">
        <v>0</v>
      </c>
      <c r="AH7687">
        <v>0</v>
      </c>
      <c r="AI7687">
        <v>24.52</v>
      </c>
      <c r="AJ7687">
        <v>136.19999999999999</v>
      </c>
      <c r="AK7687">
        <v>0</v>
      </c>
      <c r="AL7687" t="s">
        <v>53</v>
      </c>
      <c r="AM7687" t="s">
        <v>53</v>
      </c>
      <c r="AN7687" t="s">
        <v>53</v>
      </c>
      <c r="AO7687" t="s">
        <v>53</v>
      </c>
      <c r="AP7687" t="s">
        <v>53</v>
      </c>
    </row>
    <row r="7688" spans="2:42" x14ac:dyDescent="0.2">
      <c r="B7688" t="s">
        <v>44</v>
      </c>
      <c r="C7688" t="str">
        <f>HYPERLINK("https://us2.cloudbeds.com/connect/8493803454333002#/reservations/9080486847712770?display=452K9MYFEZ&amp;reservation_id=9080486847712770", "452K9MYFEZ")</f>
        <v>452K9MYFEZ</v>
      </c>
      <c r="D7688" t="s">
        <v>45</v>
      </c>
      <c r="E7688" t="s">
        <v>105</v>
      </c>
      <c r="F7688" t="s">
        <v>47</v>
      </c>
      <c r="G7688" t="s">
        <v>48</v>
      </c>
      <c r="H7688" t="s">
        <v>49</v>
      </c>
      <c r="I7688" t="s">
        <v>50</v>
      </c>
      <c r="J7688" t="s">
        <v>13822</v>
      </c>
      <c r="K7688" t="s">
        <v>13747</v>
      </c>
      <c r="L7688" t="s">
        <v>53</v>
      </c>
      <c r="N7688" t="s">
        <v>14274</v>
      </c>
      <c r="P7688" t="s">
        <v>55</v>
      </c>
      <c r="R7688" t="s">
        <v>53</v>
      </c>
      <c r="T7688" t="s">
        <v>14275</v>
      </c>
      <c r="U7688" t="s">
        <v>58</v>
      </c>
      <c r="V7688">
        <v>1</v>
      </c>
      <c r="W7688">
        <v>1</v>
      </c>
      <c r="X7688">
        <v>1</v>
      </c>
      <c r="Y7688">
        <v>0</v>
      </c>
      <c r="Z7688">
        <v>1</v>
      </c>
      <c r="AA7688">
        <v>69.540000000000006</v>
      </c>
      <c r="AB7688">
        <v>69.540000000000006</v>
      </c>
      <c r="AC7688">
        <v>61.2</v>
      </c>
      <c r="AD7688">
        <v>0</v>
      </c>
      <c r="AE7688">
        <v>8.34</v>
      </c>
      <c r="AF7688">
        <v>0</v>
      </c>
      <c r="AG7688">
        <v>0</v>
      </c>
      <c r="AH7688">
        <v>0</v>
      </c>
      <c r="AI7688">
        <v>12.52</v>
      </c>
      <c r="AJ7688">
        <v>69.540000000000006</v>
      </c>
      <c r="AK7688">
        <v>0</v>
      </c>
      <c r="AL7688" t="s">
        <v>53</v>
      </c>
      <c r="AM7688" t="s">
        <v>53</v>
      </c>
      <c r="AN7688" t="s">
        <v>53</v>
      </c>
      <c r="AO7688" t="s">
        <v>53</v>
      </c>
      <c r="AP7688" t="s">
        <v>53</v>
      </c>
    </row>
    <row r="7689" spans="2:42" x14ac:dyDescent="0.2">
      <c r="B7689" t="s">
        <v>44</v>
      </c>
      <c r="C7689" t="str">
        <f>HYPERLINK("https://us2.cloudbeds.com/connect/8493803454333002#/reservations/192829552230596?display=453XC049SG&amp;reservation_id=192829552230596", "453XC049SG")</f>
        <v>453XC049SG</v>
      </c>
      <c r="D7689" t="s">
        <v>45</v>
      </c>
      <c r="E7689" t="s">
        <v>213</v>
      </c>
      <c r="F7689" t="s">
        <v>86</v>
      </c>
      <c r="G7689" t="s">
        <v>48</v>
      </c>
      <c r="H7689" t="s">
        <v>3957</v>
      </c>
      <c r="I7689" t="s">
        <v>3958</v>
      </c>
      <c r="J7689" t="s">
        <v>13275</v>
      </c>
      <c r="K7689" t="s">
        <v>13822</v>
      </c>
      <c r="L7689" t="s">
        <v>53</v>
      </c>
      <c r="P7689" t="s">
        <v>55</v>
      </c>
      <c r="R7689" t="s">
        <v>56</v>
      </c>
      <c r="T7689" t="s">
        <v>14276</v>
      </c>
      <c r="U7689" t="s">
        <v>58</v>
      </c>
      <c r="V7689">
        <v>1</v>
      </c>
      <c r="W7689">
        <v>1</v>
      </c>
      <c r="X7689">
        <v>1</v>
      </c>
      <c r="Y7689">
        <v>0</v>
      </c>
      <c r="Z7689">
        <v>1</v>
      </c>
      <c r="AA7689">
        <v>93.2</v>
      </c>
      <c r="AB7689">
        <v>101.33</v>
      </c>
      <c r="AC7689">
        <v>82</v>
      </c>
      <c r="AD7689">
        <v>7.5</v>
      </c>
      <c r="AE7689">
        <v>11.83</v>
      </c>
      <c r="AF7689">
        <v>0</v>
      </c>
      <c r="AG7689">
        <v>0</v>
      </c>
      <c r="AH7689">
        <v>0</v>
      </c>
      <c r="AI7689">
        <v>0</v>
      </c>
      <c r="AJ7689">
        <v>101.33</v>
      </c>
      <c r="AK7689">
        <v>0</v>
      </c>
      <c r="AL7689" t="s">
        <v>53</v>
      </c>
      <c r="AM7689" t="s">
        <v>53</v>
      </c>
      <c r="AN7689" t="s">
        <v>53</v>
      </c>
      <c r="AO7689" t="s">
        <v>53</v>
      </c>
      <c r="AP7689" t="s">
        <v>53</v>
      </c>
    </row>
    <row r="7690" spans="2:42" x14ac:dyDescent="0.2">
      <c r="B7690" t="s">
        <v>44</v>
      </c>
      <c r="C7690" t="str">
        <f>HYPERLINK("https://us2.cloudbeds.com/connect/8493803454333002#/reservations/9080486847715674?display=453WYTMNHE&amp;reservation_id=9080486847715674", "453WYTMNHE")</f>
        <v>453WYTMNHE</v>
      </c>
      <c r="D7690" t="s">
        <v>45</v>
      </c>
      <c r="E7690" t="s">
        <v>185</v>
      </c>
      <c r="F7690" t="s">
        <v>47</v>
      </c>
      <c r="G7690" t="s">
        <v>48</v>
      </c>
      <c r="H7690" t="s">
        <v>49</v>
      </c>
      <c r="I7690" t="s">
        <v>50</v>
      </c>
      <c r="J7690" t="s">
        <v>13275</v>
      </c>
      <c r="K7690" t="s">
        <v>13822</v>
      </c>
      <c r="L7690" t="s">
        <v>53</v>
      </c>
      <c r="N7690" t="s">
        <v>14277</v>
      </c>
      <c r="P7690" t="s">
        <v>55</v>
      </c>
      <c r="R7690" t="s">
        <v>53</v>
      </c>
      <c r="T7690" t="s">
        <v>14278</v>
      </c>
      <c r="U7690" t="s">
        <v>58</v>
      </c>
      <c r="V7690">
        <v>1</v>
      </c>
      <c r="W7690">
        <v>1</v>
      </c>
      <c r="X7690">
        <v>2</v>
      </c>
      <c r="Y7690">
        <v>0</v>
      </c>
      <c r="Z7690">
        <v>2</v>
      </c>
      <c r="AA7690">
        <v>65.459999999999994</v>
      </c>
      <c r="AB7690">
        <v>65.459999999999994</v>
      </c>
      <c r="AC7690">
        <v>57.6</v>
      </c>
      <c r="AD7690">
        <v>0</v>
      </c>
      <c r="AE7690">
        <v>7.86</v>
      </c>
      <c r="AF7690">
        <v>0</v>
      </c>
      <c r="AG7690">
        <v>0</v>
      </c>
      <c r="AH7690">
        <v>0</v>
      </c>
      <c r="AI7690">
        <v>11.78</v>
      </c>
      <c r="AJ7690">
        <v>65.459999999999994</v>
      </c>
      <c r="AK7690">
        <v>0</v>
      </c>
      <c r="AL7690" t="s">
        <v>53</v>
      </c>
      <c r="AM7690" t="s">
        <v>53</v>
      </c>
      <c r="AN7690" t="s">
        <v>53</v>
      </c>
      <c r="AO7690" t="s">
        <v>53</v>
      </c>
      <c r="AP7690" t="s">
        <v>53</v>
      </c>
    </row>
    <row r="7691" spans="2:42" x14ac:dyDescent="0.2">
      <c r="B7691" t="s">
        <v>44</v>
      </c>
      <c r="C7691" t="str">
        <f>HYPERLINK("https://us2.cloudbeds.com/connect/8493803454333002#/reservations/9080486847715698?display=453WSVTU35&amp;reservation_id=9080486847715698", "453WSVTU35")</f>
        <v>453WSVTU35</v>
      </c>
      <c r="D7691" t="s">
        <v>45</v>
      </c>
      <c r="E7691" t="s">
        <v>165</v>
      </c>
      <c r="F7691" t="s">
        <v>61</v>
      </c>
      <c r="G7691" t="s">
        <v>48</v>
      </c>
      <c r="H7691" t="s">
        <v>49</v>
      </c>
      <c r="I7691" t="s">
        <v>62</v>
      </c>
      <c r="J7691" t="s">
        <v>13275</v>
      </c>
      <c r="K7691" t="s">
        <v>13822</v>
      </c>
      <c r="L7691" t="s">
        <v>53</v>
      </c>
      <c r="N7691" t="s">
        <v>14279</v>
      </c>
      <c r="P7691" t="s">
        <v>55</v>
      </c>
      <c r="R7691" t="s">
        <v>56</v>
      </c>
      <c r="T7691" t="s">
        <v>14280</v>
      </c>
      <c r="U7691" t="s">
        <v>55</v>
      </c>
      <c r="V7691">
        <v>1</v>
      </c>
      <c r="W7691">
        <v>1</v>
      </c>
      <c r="X7691">
        <v>2</v>
      </c>
      <c r="Y7691">
        <v>0</v>
      </c>
      <c r="Z7691">
        <v>2</v>
      </c>
      <c r="AA7691">
        <v>64.599999999999994</v>
      </c>
      <c r="AB7691">
        <v>64.599999999999994</v>
      </c>
      <c r="AC7691">
        <v>64.599999999999994</v>
      </c>
      <c r="AD7691">
        <v>0</v>
      </c>
      <c r="AE7691">
        <v>0</v>
      </c>
      <c r="AF7691">
        <v>0</v>
      </c>
      <c r="AG7691">
        <v>0</v>
      </c>
      <c r="AH7691">
        <v>0</v>
      </c>
      <c r="AI7691">
        <v>11.63</v>
      </c>
      <c r="AJ7691">
        <v>64.599999999999994</v>
      </c>
      <c r="AK7691">
        <v>0</v>
      </c>
      <c r="AL7691" t="s">
        <v>53</v>
      </c>
      <c r="AM7691" t="s">
        <v>53</v>
      </c>
      <c r="AN7691" t="s">
        <v>53</v>
      </c>
      <c r="AO7691" t="s">
        <v>53</v>
      </c>
      <c r="AP7691" t="s">
        <v>53</v>
      </c>
    </row>
    <row r="7692" spans="2:42" x14ac:dyDescent="0.2">
      <c r="B7692" t="s">
        <v>44</v>
      </c>
      <c r="C7692" t="str">
        <f>HYPERLINK("https://us2.cloudbeds.com/connect/8493803454333002#/reservations/9080486847715923?display=4544CNM181&amp;reservation_id=9080486847715923", "4544CNM181")</f>
        <v>4544CNM181</v>
      </c>
      <c r="D7692" t="s">
        <v>45</v>
      </c>
      <c r="E7692" t="s">
        <v>128</v>
      </c>
      <c r="F7692" t="s">
        <v>86</v>
      </c>
      <c r="G7692" t="s">
        <v>48</v>
      </c>
      <c r="H7692" t="s">
        <v>49</v>
      </c>
      <c r="I7692" t="s">
        <v>62</v>
      </c>
      <c r="J7692" t="s">
        <v>13275</v>
      </c>
      <c r="K7692" t="s">
        <v>13822</v>
      </c>
      <c r="L7692" t="s">
        <v>53</v>
      </c>
      <c r="N7692" t="s">
        <v>14281</v>
      </c>
      <c r="P7692" t="s">
        <v>55</v>
      </c>
      <c r="R7692" t="s">
        <v>56</v>
      </c>
      <c r="T7692" t="s">
        <v>14282</v>
      </c>
      <c r="U7692" t="s">
        <v>55</v>
      </c>
      <c r="V7692">
        <v>1</v>
      </c>
      <c r="W7692">
        <v>1</v>
      </c>
      <c r="X7692">
        <v>2</v>
      </c>
      <c r="Y7692">
        <v>0</v>
      </c>
      <c r="Z7692">
        <v>2</v>
      </c>
      <c r="AA7692">
        <v>69.7</v>
      </c>
      <c r="AB7692">
        <v>69.7</v>
      </c>
      <c r="AC7692">
        <v>69.7</v>
      </c>
      <c r="AD7692">
        <v>0</v>
      </c>
      <c r="AE7692">
        <v>0</v>
      </c>
      <c r="AF7692">
        <v>0</v>
      </c>
      <c r="AG7692">
        <v>0</v>
      </c>
      <c r="AH7692">
        <v>0</v>
      </c>
      <c r="AI7692">
        <v>12.55</v>
      </c>
      <c r="AJ7692">
        <v>69.7</v>
      </c>
      <c r="AK7692">
        <v>0</v>
      </c>
      <c r="AL7692" t="s">
        <v>53</v>
      </c>
      <c r="AM7692" t="s">
        <v>53</v>
      </c>
      <c r="AN7692" t="s">
        <v>53</v>
      </c>
      <c r="AO7692" t="s">
        <v>53</v>
      </c>
      <c r="AP7692" t="s">
        <v>53</v>
      </c>
    </row>
    <row r="7693" spans="2:42" x14ac:dyDescent="0.2">
      <c r="B7693" t="s">
        <v>44</v>
      </c>
      <c r="C7693" t="str">
        <f>HYPERLINK("https://us2.cloudbeds.com/connect/8493803454333002#/reservations/9080486847716481?display=454GUBJYKD&amp;reservation_id=9080486847716481", "454GUBJYKD")</f>
        <v>454GUBJYKD</v>
      </c>
      <c r="D7693" t="s">
        <v>45</v>
      </c>
      <c r="E7693" t="s">
        <v>165</v>
      </c>
      <c r="F7693" t="s">
        <v>61</v>
      </c>
      <c r="G7693" t="s">
        <v>48</v>
      </c>
      <c r="H7693" t="s">
        <v>49</v>
      </c>
      <c r="I7693" t="s">
        <v>62</v>
      </c>
      <c r="J7693" t="s">
        <v>11295</v>
      </c>
      <c r="K7693" t="s">
        <v>10680</v>
      </c>
      <c r="L7693" t="s">
        <v>53</v>
      </c>
      <c r="N7693" t="s">
        <v>14283</v>
      </c>
      <c r="P7693" t="s">
        <v>55</v>
      </c>
      <c r="R7693" t="s">
        <v>56</v>
      </c>
      <c r="T7693" t="s">
        <v>14284</v>
      </c>
      <c r="U7693" t="s">
        <v>55</v>
      </c>
      <c r="V7693">
        <v>1</v>
      </c>
      <c r="W7693">
        <v>1</v>
      </c>
      <c r="X7693">
        <v>2</v>
      </c>
      <c r="Y7693">
        <v>0</v>
      </c>
      <c r="Z7693">
        <v>2</v>
      </c>
      <c r="AA7693">
        <v>68.849999999999994</v>
      </c>
      <c r="AB7693">
        <v>68.849999999999994</v>
      </c>
      <c r="AC7693">
        <v>68.849999999999994</v>
      </c>
      <c r="AD7693">
        <v>0</v>
      </c>
      <c r="AE7693">
        <v>0</v>
      </c>
      <c r="AF7693">
        <v>0</v>
      </c>
      <c r="AG7693">
        <v>0</v>
      </c>
      <c r="AH7693">
        <v>0</v>
      </c>
      <c r="AI7693">
        <v>12.39</v>
      </c>
      <c r="AJ7693">
        <v>68.849999999999994</v>
      </c>
      <c r="AK7693">
        <v>0</v>
      </c>
      <c r="AL7693" t="s">
        <v>53</v>
      </c>
      <c r="AM7693" t="s">
        <v>53</v>
      </c>
      <c r="AN7693" t="s">
        <v>53</v>
      </c>
      <c r="AO7693" t="s">
        <v>53</v>
      </c>
      <c r="AP7693" t="s">
        <v>53</v>
      </c>
    </row>
    <row r="7694" spans="2:42" x14ac:dyDescent="0.2">
      <c r="B7694" t="s">
        <v>44</v>
      </c>
      <c r="C7694" t="str">
        <f>HYPERLINK("https://us2.cloudbeds.com/connect/8493803454333002#/reservations/9080486847716905?display=454RNSHCB6&amp;reservation_id=9080486847716905", "454RNSHCB6")</f>
        <v>454RNSHCB6</v>
      </c>
      <c r="D7694" t="s">
        <v>45</v>
      </c>
      <c r="E7694" t="s">
        <v>78</v>
      </c>
      <c r="F7694" t="s">
        <v>61</v>
      </c>
      <c r="G7694" t="s">
        <v>48</v>
      </c>
      <c r="H7694" t="s">
        <v>49</v>
      </c>
      <c r="I7694" t="s">
        <v>8964</v>
      </c>
      <c r="J7694" t="s">
        <v>13275</v>
      </c>
      <c r="K7694" t="s">
        <v>13822</v>
      </c>
      <c r="L7694" t="s">
        <v>53</v>
      </c>
      <c r="N7694" t="s">
        <v>14285</v>
      </c>
      <c r="P7694" t="s">
        <v>55</v>
      </c>
      <c r="R7694" t="s">
        <v>53</v>
      </c>
      <c r="T7694" t="s">
        <v>14286</v>
      </c>
      <c r="U7694" t="s">
        <v>55</v>
      </c>
      <c r="V7694">
        <v>1</v>
      </c>
      <c r="W7694">
        <v>1</v>
      </c>
      <c r="X7694">
        <v>1</v>
      </c>
      <c r="Y7694">
        <v>0</v>
      </c>
      <c r="Z7694">
        <v>1</v>
      </c>
      <c r="AA7694">
        <v>0</v>
      </c>
      <c r="AB7694">
        <v>0</v>
      </c>
      <c r="AC7694">
        <v>79</v>
      </c>
      <c r="AD7694">
        <v>0</v>
      </c>
      <c r="AE7694">
        <v>0</v>
      </c>
      <c r="AF7694">
        <v>0</v>
      </c>
      <c r="AG7694">
        <v>0</v>
      </c>
      <c r="AH7694">
        <v>0</v>
      </c>
      <c r="AI7694">
        <v>11.85</v>
      </c>
      <c r="AJ7694">
        <v>79</v>
      </c>
      <c r="AK7694">
        <v>79</v>
      </c>
      <c r="AL7694" t="s">
        <v>53</v>
      </c>
      <c r="AM7694" t="s">
        <v>53</v>
      </c>
      <c r="AN7694" t="s">
        <v>14287</v>
      </c>
      <c r="AO7694" t="s">
        <v>53</v>
      </c>
      <c r="AP7694" t="s">
        <v>53</v>
      </c>
    </row>
    <row r="7695" spans="2:42" x14ac:dyDescent="0.2">
      <c r="B7695" t="s">
        <v>44</v>
      </c>
      <c r="C7695" t="str">
        <f>HYPERLINK("https://us2.cloudbeds.com/connect/8493803454333002#/reservations/9080486847717159?display=45539176XG&amp;reservation_id=9080486847717159", "45539176XG")</f>
        <v>45539176XG</v>
      </c>
      <c r="D7695" t="s">
        <v>45</v>
      </c>
      <c r="E7695" t="s">
        <v>213</v>
      </c>
      <c r="F7695" t="s">
        <v>86</v>
      </c>
      <c r="G7695" t="s">
        <v>48</v>
      </c>
      <c r="H7695" t="s">
        <v>49</v>
      </c>
      <c r="I7695" t="s">
        <v>62</v>
      </c>
      <c r="J7695" t="s">
        <v>13362</v>
      </c>
      <c r="K7695" t="s">
        <v>14288</v>
      </c>
      <c r="L7695" t="s">
        <v>53</v>
      </c>
      <c r="N7695" t="s">
        <v>14289</v>
      </c>
      <c r="P7695" t="s">
        <v>55</v>
      </c>
      <c r="R7695" t="s">
        <v>56</v>
      </c>
      <c r="T7695" t="s">
        <v>14290</v>
      </c>
      <c r="U7695" t="s">
        <v>55</v>
      </c>
      <c r="V7695">
        <v>1</v>
      </c>
      <c r="W7695">
        <v>1</v>
      </c>
      <c r="X7695">
        <v>4</v>
      </c>
      <c r="Y7695">
        <v>0</v>
      </c>
      <c r="Z7695">
        <v>4</v>
      </c>
      <c r="AA7695">
        <v>93.5</v>
      </c>
      <c r="AB7695">
        <v>93.5</v>
      </c>
      <c r="AC7695">
        <v>93.5</v>
      </c>
      <c r="AD7695">
        <v>0</v>
      </c>
      <c r="AE7695">
        <v>0</v>
      </c>
      <c r="AF7695">
        <v>0</v>
      </c>
      <c r="AG7695">
        <v>0</v>
      </c>
      <c r="AH7695">
        <v>0</v>
      </c>
      <c r="AI7695">
        <v>16.829999999999998</v>
      </c>
      <c r="AJ7695">
        <v>93.5</v>
      </c>
      <c r="AK7695">
        <v>0</v>
      </c>
      <c r="AL7695" t="s">
        <v>53</v>
      </c>
      <c r="AM7695" t="s">
        <v>53</v>
      </c>
      <c r="AN7695" t="s">
        <v>53</v>
      </c>
      <c r="AO7695" t="s">
        <v>53</v>
      </c>
      <c r="AP7695" t="s">
        <v>53</v>
      </c>
    </row>
    <row r="7696" spans="2:42" x14ac:dyDescent="0.2">
      <c r="B7696" t="s">
        <v>44</v>
      </c>
      <c r="C7696" t="str">
        <f>HYPERLINK("https://us2.cloudbeds.com/connect/8493803454333002#/reservations/9080486847717309?display=4557QXJ7Q4&amp;reservation_id=9080486847717309", "4557QXJ7Q4")</f>
        <v>4557QXJ7Q4</v>
      </c>
      <c r="D7696" t="s">
        <v>45</v>
      </c>
      <c r="E7696" t="s">
        <v>110</v>
      </c>
      <c r="F7696" t="s">
        <v>47</v>
      </c>
      <c r="G7696" t="s">
        <v>48</v>
      </c>
      <c r="H7696" t="s">
        <v>49</v>
      </c>
      <c r="I7696" t="s">
        <v>62</v>
      </c>
      <c r="J7696" t="s">
        <v>9710</v>
      </c>
      <c r="K7696" t="s">
        <v>13727</v>
      </c>
      <c r="L7696" t="s">
        <v>53</v>
      </c>
      <c r="N7696" t="s">
        <v>14291</v>
      </c>
      <c r="P7696" t="s">
        <v>55</v>
      </c>
      <c r="R7696" t="s">
        <v>56</v>
      </c>
      <c r="T7696" t="s">
        <v>14292</v>
      </c>
      <c r="U7696" t="s">
        <v>55</v>
      </c>
      <c r="V7696">
        <v>4</v>
      </c>
      <c r="W7696">
        <v>1</v>
      </c>
      <c r="X7696">
        <v>2</v>
      </c>
      <c r="Y7696">
        <v>0</v>
      </c>
      <c r="Z7696">
        <v>2</v>
      </c>
      <c r="AA7696">
        <v>245.48</v>
      </c>
      <c r="AB7696">
        <v>245.48</v>
      </c>
      <c r="AC7696">
        <v>245.48</v>
      </c>
      <c r="AD7696">
        <v>0</v>
      </c>
      <c r="AE7696">
        <v>0</v>
      </c>
      <c r="AF7696">
        <v>0</v>
      </c>
      <c r="AG7696">
        <v>0</v>
      </c>
      <c r="AH7696">
        <v>0</v>
      </c>
      <c r="AI7696">
        <v>44.19</v>
      </c>
      <c r="AJ7696">
        <v>245.48</v>
      </c>
      <c r="AK7696">
        <v>0</v>
      </c>
      <c r="AL7696" t="s">
        <v>53</v>
      </c>
      <c r="AM7696" t="s">
        <v>53</v>
      </c>
      <c r="AN7696" t="s">
        <v>14293</v>
      </c>
      <c r="AO7696" t="s">
        <v>53</v>
      </c>
      <c r="AP7696" t="s">
        <v>53</v>
      </c>
    </row>
    <row r="7697" spans="2:42" x14ac:dyDescent="0.2">
      <c r="B7697" t="s">
        <v>44</v>
      </c>
      <c r="C7697" t="str">
        <f>HYPERLINK("https://us2.cloudbeds.com/connect/8493803454333002#/reservations/9080486847717756?display=455YS6DPMX&amp;reservation_id=9080486847717756", "455YS6DPMX")</f>
        <v>455YS6DPMX</v>
      </c>
      <c r="D7697" t="s">
        <v>45</v>
      </c>
      <c r="E7697" t="s">
        <v>113</v>
      </c>
      <c r="F7697" t="s">
        <v>61</v>
      </c>
      <c r="G7697" t="s">
        <v>48</v>
      </c>
      <c r="H7697" t="s">
        <v>49</v>
      </c>
      <c r="I7697" t="s">
        <v>62</v>
      </c>
      <c r="J7697" t="s">
        <v>13747</v>
      </c>
      <c r="K7697" t="s">
        <v>13735</v>
      </c>
      <c r="L7697" t="s">
        <v>53</v>
      </c>
      <c r="N7697" t="s">
        <v>14294</v>
      </c>
      <c r="P7697" t="s">
        <v>55</v>
      </c>
      <c r="R7697" t="s">
        <v>56</v>
      </c>
      <c r="T7697" t="s">
        <v>14295</v>
      </c>
      <c r="U7697" t="s">
        <v>55</v>
      </c>
      <c r="V7697">
        <v>1</v>
      </c>
      <c r="W7697">
        <v>1</v>
      </c>
      <c r="X7697">
        <v>2</v>
      </c>
      <c r="Y7697">
        <v>0</v>
      </c>
      <c r="Z7697">
        <v>2</v>
      </c>
      <c r="AA7697">
        <v>68.849999999999994</v>
      </c>
      <c r="AB7697">
        <v>68.849999999999994</v>
      </c>
      <c r="AC7697">
        <v>68.849999999999994</v>
      </c>
      <c r="AD7697">
        <v>0</v>
      </c>
      <c r="AE7697">
        <v>0</v>
      </c>
      <c r="AF7697">
        <v>0</v>
      </c>
      <c r="AG7697">
        <v>0</v>
      </c>
      <c r="AH7697">
        <v>0</v>
      </c>
      <c r="AI7697">
        <v>12.39</v>
      </c>
      <c r="AJ7697">
        <v>68.849999999999994</v>
      </c>
      <c r="AK7697">
        <v>0</v>
      </c>
      <c r="AL7697" t="s">
        <v>53</v>
      </c>
      <c r="AM7697" t="s">
        <v>53</v>
      </c>
      <c r="AN7697" t="s">
        <v>14296</v>
      </c>
      <c r="AO7697" t="s">
        <v>53</v>
      </c>
      <c r="AP7697" t="s">
        <v>53</v>
      </c>
    </row>
    <row r="7698" spans="2:42" x14ac:dyDescent="0.2">
      <c r="B7698" t="s">
        <v>44</v>
      </c>
      <c r="C7698" t="str">
        <f>HYPERLINK("https://us2.cloudbeds.com/connect/8493803454333002#/reservations/192922484461806?display=455ZAY1KJW&amp;reservation_id=192922484461806", "455ZAY1KJW")</f>
        <v>455ZAY1KJW</v>
      </c>
      <c r="D7698" t="s">
        <v>45</v>
      </c>
      <c r="E7698" t="s">
        <v>381</v>
      </c>
      <c r="F7698" t="s">
        <v>47</v>
      </c>
      <c r="G7698" t="s">
        <v>48</v>
      </c>
      <c r="H7698" t="s">
        <v>3957</v>
      </c>
      <c r="I7698" t="s">
        <v>3958</v>
      </c>
      <c r="J7698" t="s">
        <v>13275</v>
      </c>
      <c r="K7698" t="s">
        <v>13822</v>
      </c>
      <c r="L7698" t="s">
        <v>53</v>
      </c>
      <c r="P7698" t="s">
        <v>55</v>
      </c>
      <c r="R7698" t="s">
        <v>56</v>
      </c>
      <c r="T7698" t="s">
        <v>14297</v>
      </c>
      <c r="U7698" t="s">
        <v>58</v>
      </c>
      <c r="V7698">
        <v>1</v>
      </c>
      <c r="W7698">
        <v>1</v>
      </c>
      <c r="X7698">
        <v>1</v>
      </c>
      <c r="Y7698">
        <v>0</v>
      </c>
      <c r="Z7698">
        <v>1</v>
      </c>
      <c r="AA7698">
        <v>81.83</v>
      </c>
      <c r="AB7698">
        <v>81.83</v>
      </c>
      <c r="AC7698">
        <v>72</v>
      </c>
      <c r="AD7698">
        <v>0</v>
      </c>
      <c r="AE7698">
        <v>9.83</v>
      </c>
      <c r="AF7698">
        <v>0</v>
      </c>
      <c r="AG7698">
        <v>0</v>
      </c>
      <c r="AH7698">
        <v>0</v>
      </c>
      <c r="AI7698">
        <v>0</v>
      </c>
      <c r="AJ7698">
        <v>81.83</v>
      </c>
      <c r="AK7698">
        <v>0</v>
      </c>
      <c r="AL7698" t="s">
        <v>53</v>
      </c>
      <c r="AM7698" t="s">
        <v>53</v>
      </c>
      <c r="AN7698" t="s">
        <v>53</v>
      </c>
      <c r="AO7698" t="s">
        <v>53</v>
      </c>
      <c r="AP7698" t="s">
        <v>53</v>
      </c>
    </row>
    <row r="7699" spans="2:42" x14ac:dyDescent="0.2">
      <c r="B7699" t="s">
        <v>44</v>
      </c>
      <c r="C7699" t="str">
        <f>HYPERLINK("https://us2.cloudbeds.com/connect/8493803454333002#/reservations/192926821200094?display=455RMETP2Z&amp;reservation_id=192926821200094", "455RMETP2Z")</f>
        <v>455RMETP2Z</v>
      </c>
      <c r="D7699" t="s">
        <v>45</v>
      </c>
      <c r="E7699" t="s">
        <v>373</v>
      </c>
      <c r="F7699" t="s">
        <v>47</v>
      </c>
      <c r="G7699" t="s">
        <v>48</v>
      </c>
      <c r="H7699" t="s">
        <v>3957</v>
      </c>
      <c r="I7699" t="s">
        <v>3975</v>
      </c>
      <c r="J7699" t="s">
        <v>12908</v>
      </c>
      <c r="K7699" t="s">
        <v>9969</v>
      </c>
      <c r="L7699" t="s">
        <v>53</v>
      </c>
      <c r="P7699" t="s">
        <v>55</v>
      </c>
      <c r="R7699" t="s">
        <v>56</v>
      </c>
      <c r="T7699" t="s">
        <v>14298</v>
      </c>
      <c r="U7699" t="s">
        <v>58</v>
      </c>
      <c r="V7699">
        <v>1</v>
      </c>
      <c r="W7699">
        <v>1</v>
      </c>
      <c r="X7699">
        <v>2</v>
      </c>
      <c r="Y7699">
        <v>0</v>
      </c>
      <c r="Z7699">
        <v>2</v>
      </c>
      <c r="AA7699">
        <v>0</v>
      </c>
      <c r="AB7699">
        <v>126.16</v>
      </c>
      <c r="AC7699">
        <v>111</v>
      </c>
      <c r="AD7699">
        <v>0</v>
      </c>
      <c r="AE7699">
        <v>15.16</v>
      </c>
      <c r="AF7699">
        <v>0</v>
      </c>
      <c r="AG7699">
        <v>0</v>
      </c>
      <c r="AH7699">
        <v>0</v>
      </c>
      <c r="AI7699">
        <v>0</v>
      </c>
      <c r="AJ7699">
        <v>126.16</v>
      </c>
      <c r="AK7699">
        <v>0</v>
      </c>
      <c r="AL7699" t="s">
        <v>53</v>
      </c>
      <c r="AM7699" t="s">
        <v>53</v>
      </c>
      <c r="AN7699" t="s">
        <v>14299</v>
      </c>
      <c r="AO7699" t="s">
        <v>53</v>
      </c>
      <c r="AP7699" t="s">
        <v>53</v>
      </c>
    </row>
    <row r="7700" spans="2:42" x14ac:dyDescent="0.2">
      <c r="B7700" t="s">
        <v>44</v>
      </c>
      <c r="C7700" t="str">
        <f>HYPERLINK("https://us2.cloudbeds.com/connect/8493803454333002#/reservations/9080486847718135?display=4560HJ0RK0&amp;reservation_id=9080486847718135", "4560HJ0RK0")</f>
        <v>4560HJ0RK0</v>
      </c>
      <c r="D7700" t="s">
        <v>45</v>
      </c>
      <c r="E7700" t="s">
        <v>305</v>
      </c>
      <c r="F7700" t="s">
        <v>61</v>
      </c>
      <c r="G7700" t="s">
        <v>48</v>
      </c>
      <c r="H7700" t="s">
        <v>49</v>
      </c>
      <c r="I7700" t="s">
        <v>8964</v>
      </c>
      <c r="J7700" t="s">
        <v>13024</v>
      </c>
      <c r="K7700" t="s">
        <v>9710</v>
      </c>
      <c r="L7700" t="s">
        <v>53</v>
      </c>
      <c r="N7700" t="s">
        <v>14300</v>
      </c>
      <c r="P7700" t="s">
        <v>55</v>
      </c>
      <c r="R7700" t="s">
        <v>53</v>
      </c>
      <c r="T7700" t="s">
        <v>14301</v>
      </c>
      <c r="U7700" t="s">
        <v>55</v>
      </c>
      <c r="V7700">
        <v>1</v>
      </c>
      <c r="W7700">
        <v>1</v>
      </c>
      <c r="X7700">
        <v>2</v>
      </c>
      <c r="Y7700">
        <v>0</v>
      </c>
      <c r="Z7700">
        <v>2</v>
      </c>
      <c r="AA7700">
        <v>0</v>
      </c>
      <c r="AB7700">
        <v>0</v>
      </c>
      <c r="AC7700">
        <v>84</v>
      </c>
      <c r="AD7700">
        <v>0</v>
      </c>
      <c r="AE7700">
        <v>0</v>
      </c>
      <c r="AF7700">
        <v>0</v>
      </c>
      <c r="AG7700">
        <v>0</v>
      </c>
      <c r="AH7700">
        <v>0</v>
      </c>
      <c r="AI7700">
        <v>12.6</v>
      </c>
      <c r="AJ7700">
        <v>84</v>
      </c>
      <c r="AK7700">
        <v>84</v>
      </c>
      <c r="AL7700" t="s">
        <v>53</v>
      </c>
      <c r="AM7700" t="s">
        <v>53</v>
      </c>
      <c r="AN7700" t="s">
        <v>14302</v>
      </c>
      <c r="AO7700" t="s">
        <v>53</v>
      </c>
      <c r="AP7700" t="s">
        <v>53</v>
      </c>
    </row>
    <row r="7701" spans="2:42" x14ac:dyDescent="0.2">
      <c r="B7701" t="s">
        <v>44</v>
      </c>
      <c r="C7701" t="str">
        <f>HYPERLINK("https://us2.cloudbeds.com/connect/8493803454333002#/reservations/9080486847718231?display=4563E7E81W&amp;reservation_id=9080486847718231", "4563E7E81W")</f>
        <v>4563E7E81W</v>
      </c>
      <c r="D7701" t="s">
        <v>45</v>
      </c>
      <c r="E7701" t="s">
        <v>138</v>
      </c>
      <c r="F7701" t="s">
        <v>70</v>
      </c>
      <c r="G7701" t="s">
        <v>48</v>
      </c>
      <c r="H7701" t="s">
        <v>49</v>
      </c>
      <c r="I7701" t="s">
        <v>62</v>
      </c>
      <c r="J7701" t="s">
        <v>12823</v>
      </c>
      <c r="K7701" t="s">
        <v>12863</v>
      </c>
      <c r="L7701" t="s">
        <v>53</v>
      </c>
      <c r="N7701" t="s">
        <v>14303</v>
      </c>
      <c r="P7701" t="s">
        <v>55</v>
      </c>
      <c r="R7701" t="s">
        <v>56</v>
      </c>
      <c r="T7701" t="s">
        <v>14304</v>
      </c>
      <c r="U7701" t="s">
        <v>55</v>
      </c>
      <c r="V7701">
        <v>2</v>
      </c>
      <c r="W7701">
        <v>1</v>
      </c>
      <c r="X7701">
        <v>2</v>
      </c>
      <c r="Y7701">
        <v>0</v>
      </c>
      <c r="Z7701">
        <v>2</v>
      </c>
      <c r="AA7701">
        <v>260</v>
      </c>
      <c r="AB7701">
        <v>260</v>
      </c>
      <c r="AC7701">
        <v>260</v>
      </c>
      <c r="AD7701">
        <v>0</v>
      </c>
      <c r="AE7701">
        <v>0</v>
      </c>
      <c r="AF7701">
        <v>0</v>
      </c>
      <c r="AG7701">
        <v>0</v>
      </c>
      <c r="AH7701">
        <v>0</v>
      </c>
      <c r="AI7701">
        <v>46.8</v>
      </c>
      <c r="AJ7701">
        <v>260</v>
      </c>
      <c r="AK7701">
        <v>0</v>
      </c>
      <c r="AL7701" t="s">
        <v>53</v>
      </c>
      <c r="AM7701" t="s">
        <v>53</v>
      </c>
      <c r="AN7701" t="s">
        <v>14305</v>
      </c>
      <c r="AO7701" t="s">
        <v>53</v>
      </c>
      <c r="AP7701" t="s">
        <v>53</v>
      </c>
    </row>
    <row r="7702" spans="2:42" x14ac:dyDescent="0.2">
      <c r="B7702" t="s">
        <v>44</v>
      </c>
      <c r="C7702" t="str">
        <f>HYPERLINK("https://us2.cloudbeds.com/connect/8493803454333002#/reservations/9080486847718458?display=456AHWSYT5&amp;reservation_id=9080486847718458", "456AHWSYT5")</f>
        <v>456AHWSYT5</v>
      </c>
      <c r="D7702" t="s">
        <v>45</v>
      </c>
      <c r="E7702" t="s">
        <v>213</v>
      </c>
      <c r="F7702" t="s">
        <v>86</v>
      </c>
      <c r="G7702" t="s">
        <v>48</v>
      </c>
      <c r="H7702" t="s">
        <v>49</v>
      </c>
      <c r="I7702" t="s">
        <v>50</v>
      </c>
      <c r="J7702" t="s">
        <v>13940</v>
      </c>
      <c r="K7702" t="s">
        <v>10860</v>
      </c>
      <c r="L7702" t="s">
        <v>53</v>
      </c>
      <c r="N7702" t="s">
        <v>14306</v>
      </c>
      <c r="P7702" t="s">
        <v>55</v>
      </c>
      <c r="R7702" t="s">
        <v>53</v>
      </c>
      <c r="T7702" t="s">
        <v>14307</v>
      </c>
      <c r="U7702" t="s">
        <v>58</v>
      </c>
      <c r="V7702">
        <v>3</v>
      </c>
      <c r="W7702">
        <v>1</v>
      </c>
      <c r="X7702">
        <v>2</v>
      </c>
      <c r="Y7702">
        <v>0</v>
      </c>
      <c r="Z7702">
        <v>2</v>
      </c>
      <c r="AA7702">
        <v>310.10000000000002</v>
      </c>
      <c r="AB7702">
        <v>310.10000000000002</v>
      </c>
      <c r="AC7702">
        <v>272.85000000000002</v>
      </c>
      <c r="AD7702">
        <v>0</v>
      </c>
      <c r="AE7702">
        <v>37.25</v>
      </c>
      <c r="AF7702">
        <v>0</v>
      </c>
      <c r="AG7702">
        <v>0</v>
      </c>
      <c r="AH7702">
        <v>0</v>
      </c>
      <c r="AI7702">
        <v>55.82</v>
      </c>
      <c r="AJ7702">
        <v>310.10000000000002</v>
      </c>
      <c r="AK7702">
        <v>0</v>
      </c>
      <c r="AL7702" t="s">
        <v>53</v>
      </c>
      <c r="AM7702" t="s">
        <v>53</v>
      </c>
      <c r="AN7702" t="s">
        <v>14308</v>
      </c>
      <c r="AO7702" t="s">
        <v>53</v>
      </c>
      <c r="AP7702" t="s">
        <v>53</v>
      </c>
    </row>
    <row r="7703" spans="2:42" x14ac:dyDescent="0.2">
      <c r="B7703" t="s">
        <v>44</v>
      </c>
      <c r="C7703" t="str">
        <f>HYPERLINK("https://us2.cloudbeds.com/connect/8493803454333002#/reservations/9080486847719099?display=456WU101GR&amp;reservation_id=9080486847719099", "456WU101GR")</f>
        <v>456WU101GR</v>
      </c>
      <c r="D7703" t="s">
        <v>45</v>
      </c>
      <c r="E7703" t="s">
        <v>128</v>
      </c>
      <c r="F7703" t="s">
        <v>86</v>
      </c>
      <c r="G7703" t="s">
        <v>48</v>
      </c>
      <c r="H7703" t="s">
        <v>49</v>
      </c>
      <c r="I7703" t="s">
        <v>62</v>
      </c>
      <c r="J7703" t="s">
        <v>10681</v>
      </c>
      <c r="K7703" t="s">
        <v>13940</v>
      </c>
      <c r="L7703" t="s">
        <v>53</v>
      </c>
      <c r="N7703" t="s">
        <v>14309</v>
      </c>
      <c r="P7703" t="s">
        <v>55</v>
      </c>
      <c r="R7703" t="s">
        <v>56</v>
      </c>
      <c r="T7703" t="s">
        <v>14310</v>
      </c>
      <c r="U7703" t="s">
        <v>55</v>
      </c>
      <c r="V7703">
        <v>1</v>
      </c>
      <c r="W7703">
        <v>1</v>
      </c>
      <c r="X7703">
        <v>1</v>
      </c>
      <c r="Y7703">
        <v>0</v>
      </c>
      <c r="Z7703">
        <v>1</v>
      </c>
      <c r="AA7703">
        <v>79.900000000000006</v>
      </c>
      <c r="AB7703">
        <v>79.900000000000006</v>
      </c>
      <c r="AC7703">
        <v>79.900000000000006</v>
      </c>
      <c r="AD7703">
        <v>0</v>
      </c>
      <c r="AE7703">
        <v>0</v>
      </c>
      <c r="AF7703">
        <v>0</v>
      </c>
      <c r="AG7703">
        <v>0</v>
      </c>
      <c r="AH7703">
        <v>0</v>
      </c>
      <c r="AI7703">
        <v>14.38</v>
      </c>
      <c r="AJ7703">
        <v>79.900000000000006</v>
      </c>
      <c r="AK7703">
        <v>0</v>
      </c>
      <c r="AL7703" t="s">
        <v>53</v>
      </c>
      <c r="AM7703" t="s">
        <v>53</v>
      </c>
      <c r="AN7703" t="s">
        <v>14311</v>
      </c>
      <c r="AO7703" t="s">
        <v>53</v>
      </c>
      <c r="AP7703" t="s">
        <v>53</v>
      </c>
    </row>
    <row r="7704" spans="2:42" x14ac:dyDescent="0.2">
      <c r="B7704" t="s">
        <v>44</v>
      </c>
      <c r="C7704" t="str">
        <f>HYPERLINK("https://us2.cloudbeds.com/connect/8493803454333002#/reservations/9080486847723327?display=45ASK287Y8&amp;reservation_id=9080486847723327", "45ASK287Y8")</f>
        <v>45ASK287Y8</v>
      </c>
      <c r="D7704" t="s">
        <v>45</v>
      </c>
      <c r="E7704" t="s">
        <v>165</v>
      </c>
      <c r="F7704" t="s">
        <v>61</v>
      </c>
      <c r="G7704" t="s">
        <v>48</v>
      </c>
      <c r="H7704" t="s">
        <v>49</v>
      </c>
      <c r="I7704" t="s">
        <v>8964</v>
      </c>
      <c r="J7704" t="s">
        <v>14312</v>
      </c>
      <c r="K7704" t="s">
        <v>14313</v>
      </c>
      <c r="L7704" t="s">
        <v>53</v>
      </c>
      <c r="N7704" t="s">
        <v>14314</v>
      </c>
      <c r="P7704" t="s">
        <v>55</v>
      </c>
      <c r="R7704" t="s">
        <v>53</v>
      </c>
      <c r="T7704" t="s">
        <v>14315</v>
      </c>
      <c r="U7704" t="s">
        <v>55</v>
      </c>
      <c r="V7704">
        <v>1</v>
      </c>
      <c r="W7704">
        <v>1</v>
      </c>
      <c r="X7704">
        <v>1</v>
      </c>
      <c r="Y7704">
        <v>0</v>
      </c>
      <c r="Z7704">
        <v>1</v>
      </c>
      <c r="AA7704">
        <v>0</v>
      </c>
      <c r="AB7704">
        <v>0</v>
      </c>
      <c r="AC7704">
        <v>108</v>
      </c>
      <c r="AD7704">
        <v>0</v>
      </c>
      <c r="AE7704">
        <v>0</v>
      </c>
      <c r="AF7704">
        <v>0</v>
      </c>
      <c r="AG7704">
        <v>0</v>
      </c>
      <c r="AH7704">
        <v>0</v>
      </c>
      <c r="AI7704">
        <v>16.2</v>
      </c>
      <c r="AJ7704">
        <v>108</v>
      </c>
      <c r="AK7704">
        <v>108</v>
      </c>
      <c r="AL7704" t="s">
        <v>53</v>
      </c>
      <c r="AM7704" t="s">
        <v>53</v>
      </c>
      <c r="AN7704" t="s">
        <v>14316</v>
      </c>
      <c r="AO7704" t="s">
        <v>53</v>
      </c>
      <c r="AP7704" t="s">
        <v>53</v>
      </c>
    </row>
    <row r="7705" spans="2:42" x14ac:dyDescent="0.2">
      <c r="B7705" t="s">
        <v>44</v>
      </c>
      <c r="C7705" t="str">
        <f>HYPERLINK("https://us2.cloudbeds.com/connect/8493803454333002#/reservations/9080486847723393?display=45AUDUP88X&amp;reservation_id=9080486847723393", "45AUDUP88X")</f>
        <v>45AUDUP88X</v>
      </c>
      <c r="D7705" t="s">
        <v>45</v>
      </c>
      <c r="E7705" t="s">
        <v>113</v>
      </c>
      <c r="F7705" t="s">
        <v>61</v>
      </c>
      <c r="G7705" t="s">
        <v>48</v>
      </c>
      <c r="H7705" t="s">
        <v>49</v>
      </c>
      <c r="I7705" t="s">
        <v>62</v>
      </c>
      <c r="J7705" t="s">
        <v>13726</v>
      </c>
      <c r="K7705" t="s">
        <v>9711</v>
      </c>
      <c r="L7705" t="s">
        <v>53</v>
      </c>
      <c r="N7705" t="s">
        <v>14317</v>
      </c>
      <c r="P7705" t="s">
        <v>55</v>
      </c>
      <c r="R7705" t="s">
        <v>56</v>
      </c>
      <c r="T7705" t="s">
        <v>14318</v>
      </c>
      <c r="U7705" t="s">
        <v>55</v>
      </c>
      <c r="V7705">
        <v>3</v>
      </c>
      <c r="W7705">
        <v>1</v>
      </c>
      <c r="X7705">
        <v>1</v>
      </c>
      <c r="Y7705">
        <v>0</v>
      </c>
      <c r="Z7705">
        <v>1</v>
      </c>
      <c r="AA7705">
        <v>267.27999999999997</v>
      </c>
      <c r="AB7705">
        <v>267.27999999999997</v>
      </c>
      <c r="AC7705">
        <v>267.27999999999997</v>
      </c>
      <c r="AD7705">
        <v>0</v>
      </c>
      <c r="AE7705">
        <v>0</v>
      </c>
      <c r="AF7705">
        <v>0</v>
      </c>
      <c r="AG7705">
        <v>0</v>
      </c>
      <c r="AH7705">
        <v>0</v>
      </c>
      <c r="AI7705">
        <v>48.11</v>
      </c>
      <c r="AJ7705">
        <v>267.27999999999997</v>
      </c>
      <c r="AK7705">
        <v>0</v>
      </c>
      <c r="AL7705" t="s">
        <v>53</v>
      </c>
      <c r="AM7705" t="s">
        <v>53</v>
      </c>
      <c r="AN7705" t="s">
        <v>14319</v>
      </c>
      <c r="AO7705" t="s">
        <v>53</v>
      </c>
      <c r="AP7705" t="s">
        <v>53</v>
      </c>
    </row>
    <row r="7706" spans="2:42" x14ac:dyDescent="0.2">
      <c r="B7706" t="s">
        <v>44</v>
      </c>
      <c r="C7706" t="str">
        <f>HYPERLINK("https://us2.cloudbeds.com/connect/8493803454333002#/reservations/9080486847726772?display=45D8YX0NEG&amp;reservation_id=9080486847726772", "45D8YX0NEG")</f>
        <v>45D8YX0NEG</v>
      </c>
      <c r="D7706" t="s">
        <v>45</v>
      </c>
      <c r="E7706" t="s">
        <v>78</v>
      </c>
      <c r="F7706" t="s">
        <v>61</v>
      </c>
      <c r="G7706" t="s">
        <v>48</v>
      </c>
      <c r="H7706" t="s">
        <v>49</v>
      </c>
      <c r="I7706" t="s">
        <v>62</v>
      </c>
      <c r="J7706" t="s">
        <v>13822</v>
      </c>
      <c r="K7706" t="s">
        <v>13735</v>
      </c>
      <c r="L7706" t="s">
        <v>53</v>
      </c>
      <c r="N7706" t="s">
        <v>14320</v>
      </c>
      <c r="P7706" t="s">
        <v>55</v>
      </c>
      <c r="R7706" t="s">
        <v>56</v>
      </c>
      <c r="T7706" t="s">
        <v>14321</v>
      </c>
      <c r="U7706" t="s">
        <v>55</v>
      </c>
      <c r="V7706">
        <v>2</v>
      </c>
      <c r="W7706">
        <v>1</v>
      </c>
      <c r="X7706">
        <v>2</v>
      </c>
      <c r="Y7706">
        <v>0</v>
      </c>
      <c r="Z7706">
        <v>2</v>
      </c>
      <c r="AA7706">
        <v>179.35</v>
      </c>
      <c r="AB7706">
        <v>179.35</v>
      </c>
      <c r="AC7706">
        <v>179.35</v>
      </c>
      <c r="AD7706">
        <v>0</v>
      </c>
      <c r="AE7706">
        <v>0</v>
      </c>
      <c r="AF7706">
        <v>0</v>
      </c>
      <c r="AG7706">
        <v>0</v>
      </c>
      <c r="AH7706">
        <v>0</v>
      </c>
      <c r="AI7706">
        <v>32.28</v>
      </c>
      <c r="AJ7706">
        <v>179.35</v>
      </c>
      <c r="AK7706">
        <v>0</v>
      </c>
      <c r="AL7706" t="s">
        <v>53</v>
      </c>
      <c r="AM7706" t="s">
        <v>53</v>
      </c>
      <c r="AN7706" t="s">
        <v>53</v>
      </c>
      <c r="AO7706" t="s">
        <v>53</v>
      </c>
      <c r="AP7706" t="s">
        <v>53</v>
      </c>
    </row>
    <row r="7707" spans="2:42" x14ac:dyDescent="0.2">
      <c r="B7707" t="s">
        <v>44</v>
      </c>
      <c r="C7707" t="str">
        <f>HYPERLINK("https://us2.cloudbeds.com/connect/8493803454333002#/reservations/193252884652241?display=45DG547VVS&amp;reservation_id=193252884652241", "45DG547VVS")</f>
        <v>45DG547VVS</v>
      </c>
      <c r="D7707" t="s">
        <v>45</v>
      </c>
      <c r="E7707" t="s">
        <v>223</v>
      </c>
      <c r="F7707" t="s">
        <v>47</v>
      </c>
      <c r="G7707" t="s">
        <v>48</v>
      </c>
      <c r="H7707" t="s">
        <v>3957</v>
      </c>
      <c r="I7707" t="s">
        <v>3958</v>
      </c>
      <c r="J7707" t="s">
        <v>13822</v>
      </c>
      <c r="K7707" t="s">
        <v>13747</v>
      </c>
      <c r="L7707" t="s">
        <v>53</v>
      </c>
      <c r="P7707" t="s">
        <v>55</v>
      </c>
      <c r="R7707" t="s">
        <v>56</v>
      </c>
      <c r="T7707" t="s">
        <v>14322</v>
      </c>
      <c r="U7707" t="s">
        <v>58</v>
      </c>
      <c r="V7707">
        <v>1</v>
      </c>
      <c r="W7707">
        <v>1</v>
      </c>
      <c r="X7707">
        <v>1</v>
      </c>
      <c r="Y7707">
        <v>0</v>
      </c>
      <c r="Z7707">
        <v>1</v>
      </c>
      <c r="AA7707">
        <v>106.84</v>
      </c>
      <c r="AB7707">
        <v>106.84</v>
      </c>
      <c r="AC7707">
        <v>94</v>
      </c>
      <c r="AD7707">
        <v>0</v>
      </c>
      <c r="AE7707">
        <v>12.84</v>
      </c>
      <c r="AF7707">
        <v>0</v>
      </c>
      <c r="AG7707">
        <v>0</v>
      </c>
      <c r="AH7707">
        <v>0</v>
      </c>
      <c r="AI7707">
        <v>0</v>
      </c>
      <c r="AJ7707">
        <v>106.84</v>
      </c>
      <c r="AK7707">
        <v>0</v>
      </c>
      <c r="AL7707" t="s">
        <v>53</v>
      </c>
      <c r="AM7707" t="s">
        <v>53</v>
      </c>
      <c r="AN7707" t="s">
        <v>53</v>
      </c>
      <c r="AO7707" t="s">
        <v>53</v>
      </c>
      <c r="AP7707" t="s">
        <v>53</v>
      </c>
    </row>
    <row r="7708" spans="2:42" x14ac:dyDescent="0.2">
      <c r="B7708" t="s">
        <v>44</v>
      </c>
      <c r="C7708" t="str">
        <f>HYPERLINK("https://us2.cloudbeds.com/connect/8493803454333002#/reservations/193268671594698?display=45DSCH6U5H&amp;reservation_id=193268671594698", "45DSCH6U5H")</f>
        <v>45DSCH6U5H</v>
      </c>
      <c r="D7708" t="s">
        <v>45</v>
      </c>
      <c r="E7708" t="s">
        <v>105</v>
      </c>
      <c r="F7708" t="s">
        <v>47</v>
      </c>
      <c r="G7708" t="s">
        <v>3974</v>
      </c>
      <c r="H7708" t="s">
        <v>3957</v>
      </c>
      <c r="I7708" t="s">
        <v>3975</v>
      </c>
      <c r="J7708" t="s">
        <v>13941</v>
      </c>
      <c r="K7708" t="s">
        <v>10860</v>
      </c>
      <c r="L7708" t="s">
        <v>53</v>
      </c>
      <c r="P7708" t="s">
        <v>55</v>
      </c>
      <c r="R7708" t="s">
        <v>56</v>
      </c>
      <c r="T7708" t="s">
        <v>14323</v>
      </c>
      <c r="U7708" t="s">
        <v>58</v>
      </c>
      <c r="V7708">
        <v>1</v>
      </c>
      <c r="W7708">
        <v>1</v>
      </c>
      <c r="X7708">
        <v>1</v>
      </c>
      <c r="Y7708">
        <v>0</v>
      </c>
      <c r="Z7708">
        <v>1</v>
      </c>
      <c r="AA7708">
        <v>93.93</v>
      </c>
      <c r="AB7708">
        <v>185.71</v>
      </c>
      <c r="AC7708">
        <v>82.65</v>
      </c>
      <c r="AD7708">
        <v>0</v>
      </c>
      <c r="AE7708">
        <v>11.28</v>
      </c>
      <c r="AF7708">
        <v>0</v>
      </c>
      <c r="AG7708">
        <v>0</v>
      </c>
      <c r="AH7708">
        <v>0</v>
      </c>
      <c r="AI7708">
        <v>0</v>
      </c>
      <c r="AJ7708">
        <v>93.93</v>
      </c>
      <c r="AK7708">
        <v>0</v>
      </c>
      <c r="AL7708" t="s">
        <v>53</v>
      </c>
      <c r="AM7708" t="s">
        <v>53</v>
      </c>
      <c r="AN7708" t="s">
        <v>14324</v>
      </c>
      <c r="AO7708" t="s">
        <v>53</v>
      </c>
      <c r="AP7708" t="s">
        <v>53</v>
      </c>
    </row>
    <row r="7709" spans="2:42" x14ac:dyDescent="0.2">
      <c r="B7709" t="s">
        <v>44</v>
      </c>
      <c r="C7709" t="str">
        <f>HYPERLINK("https://us2.cloudbeds.com/connect/8493803454333002#/reservations/9080486847732770?display=45J2HQY32P&amp;reservation_id=9080486847732770", "45J2HQY32P")</f>
        <v>45J2HQY32P</v>
      </c>
      <c r="D7709" t="s">
        <v>45</v>
      </c>
      <c r="E7709" t="s">
        <v>69</v>
      </c>
      <c r="F7709" t="s">
        <v>70</v>
      </c>
      <c r="G7709" t="s">
        <v>48</v>
      </c>
      <c r="H7709" t="s">
        <v>49</v>
      </c>
      <c r="I7709" t="s">
        <v>8964</v>
      </c>
      <c r="J7709" t="s">
        <v>13941</v>
      </c>
      <c r="K7709" t="s">
        <v>13665</v>
      </c>
      <c r="L7709" t="s">
        <v>53</v>
      </c>
      <c r="N7709" t="s">
        <v>14325</v>
      </c>
      <c r="P7709" t="s">
        <v>55</v>
      </c>
      <c r="R7709" t="s">
        <v>53</v>
      </c>
      <c r="T7709" t="s">
        <v>14326</v>
      </c>
      <c r="U7709" t="s">
        <v>55</v>
      </c>
      <c r="V7709">
        <v>2</v>
      </c>
      <c r="W7709">
        <v>1</v>
      </c>
      <c r="X7709">
        <v>1</v>
      </c>
      <c r="Y7709">
        <v>0</v>
      </c>
      <c r="Z7709">
        <v>1</v>
      </c>
      <c r="AA7709">
        <v>0</v>
      </c>
      <c r="AB7709">
        <v>0</v>
      </c>
      <c r="AC7709">
        <v>156</v>
      </c>
      <c r="AD7709">
        <v>0</v>
      </c>
      <c r="AE7709">
        <v>0</v>
      </c>
      <c r="AF7709">
        <v>0</v>
      </c>
      <c r="AG7709">
        <v>0</v>
      </c>
      <c r="AH7709">
        <v>0</v>
      </c>
      <c r="AI7709">
        <v>23.4</v>
      </c>
      <c r="AJ7709">
        <v>156</v>
      </c>
      <c r="AK7709">
        <v>156</v>
      </c>
      <c r="AL7709" t="s">
        <v>53</v>
      </c>
      <c r="AM7709" t="s">
        <v>53</v>
      </c>
      <c r="AN7709" t="s">
        <v>14327</v>
      </c>
      <c r="AO7709" t="s">
        <v>53</v>
      </c>
      <c r="AP7709" t="s">
        <v>53</v>
      </c>
    </row>
    <row r="7710" spans="2:42" x14ac:dyDescent="0.2">
      <c r="B7710" t="s">
        <v>44</v>
      </c>
      <c r="C7710" t="str">
        <f>HYPERLINK("https://us2.cloudbeds.com/connect/8493803454333002#/reservations/9080486847734751?display=45KED6VQCM&amp;reservation_id=9080486847734751", "45KED6VQCM")</f>
        <v>45KED6VQCM</v>
      </c>
      <c r="D7710" t="s">
        <v>45</v>
      </c>
      <c r="E7710" t="s">
        <v>128</v>
      </c>
      <c r="F7710" t="s">
        <v>86</v>
      </c>
      <c r="G7710" t="s">
        <v>48</v>
      </c>
      <c r="H7710" t="s">
        <v>49</v>
      </c>
      <c r="I7710" t="s">
        <v>50</v>
      </c>
      <c r="J7710" t="s">
        <v>13001</v>
      </c>
      <c r="K7710" t="s">
        <v>13538</v>
      </c>
      <c r="L7710" t="s">
        <v>53</v>
      </c>
      <c r="N7710" t="s">
        <v>14328</v>
      </c>
      <c r="P7710" t="s">
        <v>55</v>
      </c>
      <c r="R7710" t="s">
        <v>53</v>
      </c>
      <c r="T7710" t="s">
        <v>14329</v>
      </c>
      <c r="U7710" t="s">
        <v>58</v>
      </c>
      <c r="V7710">
        <v>2</v>
      </c>
      <c r="W7710">
        <v>1</v>
      </c>
      <c r="X7710">
        <v>2</v>
      </c>
      <c r="Y7710">
        <v>0</v>
      </c>
      <c r="Z7710">
        <v>2</v>
      </c>
      <c r="AA7710">
        <v>289.8</v>
      </c>
      <c r="AB7710">
        <v>292.35000000000002</v>
      </c>
      <c r="AC7710">
        <v>255</v>
      </c>
      <c r="AD7710">
        <v>0</v>
      </c>
      <c r="AE7710">
        <v>37.35</v>
      </c>
      <c r="AF7710">
        <v>0</v>
      </c>
      <c r="AG7710">
        <v>0</v>
      </c>
      <c r="AH7710">
        <v>0</v>
      </c>
      <c r="AI7710">
        <v>52.62</v>
      </c>
      <c r="AJ7710">
        <v>292.35000000000002</v>
      </c>
      <c r="AK7710">
        <v>0</v>
      </c>
      <c r="AL7710" t="s">
        <v>53</v>
      </c>
      <c r="AM7710" t="s">
        <v>53</v>
      </c>
      <c r="AN7710" t="s">
        <v>14330</v>
      </c>
      <c r="AO7710" t="s">
        <v>53</v>
      </c>
      <c r="AP7710" t="s">
        <v>53</v>
      </c>
    </row>
    <row r="7711" spans="2:42" x14ac:dyDescent="0.2">
      <c r="B7711" t="s">
        <v>44</v>
      </c>
      <c r="C7711" t="str">
        <f>HYPERLINK("https://us2.cloudbeds.com/connect/8493803454333002#/reservations/9080486847736142?display=45YB5HY8MF&amp;reservation_id=9080486847736142", "45YB5HY8MF")</f>
        <v>45YB5HY8MF</v>
      </c>
      <c r="D7711" t="s">
        <v>45</v>
      </c>
      <c r="E7711" t="s">
        <v>185</v>
      </c>
      <c r="F7711" t="s">
        <v>47</v>
      </c>
      <c r="G7711" t="s">
        <v>48</v>
      </c>
      <c r="H7711" t="s">
        <v>49</v>
      </c>
      <c r="I7711" t="s">
        <v>62</v>
      </c>
      <c r="J7711" t="s">
        <v>13747</v>
      </c>
      <c r="K7711" t="s">
        <v>13735</v>
      </c>
      <c r="L7711" t="s">
        <v>53</v>
      </c>
      <c r="N7711" t="s">
        <v>14331</v>
      </c>
      <c r="P7711" t="s">
        <v>55</v>
      </c>
      <c r="R7711" t="s">
        <v>56</v>
      </c>
      <c r="T7711" t="s">
        <v>14332</v>
      </c>
      <c r="U7711" t="s">
        <v>55</v>
      </c>
      <c r="V7711">
        <v>1</v>
      </c>
      <c r="W7711">
        <v>1</v>
      </c>
      <c r="X7711">
        <v>2</v>
      </c>
      <c r="Y7711">
        <v>0</v>
      </c>
      <c r="Z7711">
        <v>2</v>
      </c>
      <c r="AA7711">
        <v>80.75</v>
      </c>
      <c r="AB7711">
        <v>80.75</v>
      </c>
      <c r="AC7711">
        <v>80.75</v>
      </c>
      <c r="AD7711">
        <v>0</v>
      </c>
      <c r="AE7711">
        <v>0</v>
      </c>
      <c r="AF7711">
        <v>0</v>
      </c>
      <c r="AG7711">
        <v>0</v>
      </c>
      <c r="AH7711">
        <v>0</v>
      </c>
      <c r="AI7711">
        <v>14.54</v>
      </c>
      <c r="AJ7711">
        <v>80.75</v>
      </c>
      <c r="AK7711">
        <v>0</v>
      </c>
      <c r="AL7711" t="s">
        <v>53</v>
      </c>
      <c r="AM7711" t="s">
        <v>53</v>
      </c>
      <c r="AN7711" t="s">
        <v>53</v>
      </c>
      <c r="AO7711" t="s">
        <v>53</v>
      </c>
      <c r="AP7711" t="s">
        <v>53</v>
      </c>
    </row>
    <row r="7712" spans="2:42" x14ac:dyDescent="0.2">
      <c r="B7712" t="s">
        <v>44</v>
      </c>
      <c r="C7712" t="str">
        <f>HYPERLINK("https://us2.cloudbeds.com/connect/8493803454333002#/reservations/193595063558313?display=45YH3JXEFK&amp;reservation_id=193595063558313", "45YH3JXEFK")</f>
        <v>45YH3JXEFK</v>
      </c>
      <c r="D7712" t="s">
        <v>45</v>
      </c>
      <c r="E7712" t="s">
        <v>190</v>
      </c>
      <c r="F7712" t="s">
        <v>61</v>
      </c>
      <c r="G7712" t="s">
        <v>13757</v>
      </c>
      <c r="H7712" t="s">
        <v>3957</v>
      </c>
      <c r="I7712" t="s">
        <v>3958</v>
      </c>
      <c r="J7712" t="s">
        <v>13747</v>
      </c>
      <c r="K7712" t="s">
        <v>9935</v>
      </c>
      <c r="L7712" t="s">
        <v>53</v>
      </c>
      <c r="P7712" t="s">
        <v>55</v>
      </c>
      <c r="R7712" t="s">
        <v>56</v>
      </c>
      <c r="T7712" t="s">
        <v>14333</v>
      </c>
      <c r="U7712" t="s">
        <v>58</v>
      </c>
      <c r="V7712">
        <v>2</v>
      </c>
      <c r="W7712">
        <v>1</v>
      </c>
      <c r="X7712">
        <v>1</v>
      </c>
      <c r="Y7712">
        <v>0</v>
      </c>
      <c r="Z7712">
        <v>1</v>
      </c>
      <c r="AA7712">
        <v>283.33999999999997</v>
      </c>
      <c r="AB7712">
        <v>283.33999999999997</v>
      </c>
      <c r="AC7712">
        <v>249.3</v>
      </c>
      <c r="AD7712">
        <v>0</v>
      </c>
      <c r="AE7712">
        <v>34.04</v>
      </c>
      <c r="AF7712">
        <v>0</v>
      </c>
      <c r="AG7712">
        <v>0</v>
      </c>
      <c r="AH7712">
        <v>0</v>
      </c>
      <c r="AI7712">
        <v>0</v>
      </c>
      <c r="AJ7712">
        <v>283.33999999999997</v>
      </c>
      <c r="AK7712">
        <v>0</v>
      </c>
      <c r="AL7712" t="s">
        <v>53</v>
      </c>
      <c r="AM7712" t="s">
        <v>53</v>
      </c>
      <c r="AN7712" t="s">
        <v>53</v>
      </c>
      <c r="AO7712" t="s">
        <v>53</v>
      </c>
      <c r="AP7712" t="s">
        <v>53</v>
      </c>
    </row>
    <row r="7713" spans="2:42" x14ac:dyDescent="0.2">
      <c r="B7713" t="s">
        <v>44</v>
      </c>
      <c r="C7713" t="str">
        <f>HYPERLINK("https://us2.cloudbeds.com/connect/8493803454333002#/reservations/193595849085064?display=45YHNYUSWX&amp;reservation_id=193595849085064", "45YHNYUSWX")</f>
        <v>45YHNYUSWX</v>
      </c>
      <c r="D7713" t="s">
        <v>45</v>
      </c>
      <c r="E7713" t="s">
        <v>223</v>
      </c>
      <c r="F7713" t="s">
        <v>47</v>
      </c>
      <c r="G7713" t="s">
        <v>48</v>
      </c>
      <c r="H7713" t="s">
        <v>3957</v>
      </c>
      <c r="I7713" t="s">
        <v>3958</v>
      </c>
      <c r="J7713" t="s">
        <v>13747</v>
      </c>
      <c r="K7713" t="s">
        <v>9935</v>
      </c>
      <c r="L7713" t="s">
        <v>53</v>
      </c>
      <c r="P7713" t="s">
        <v>55</v>
      </c>
      <c r="R7713" t="s">
        <v>56</v>
      </c>
      <c r="T7713" t="s">
        <v>14334</v>
      </c>
      <c r="U7713" t="s">
        <v>58</v>
      </c>
      <c r="V7713">
        <v>2</v>
      </c>
      <c r="W7713">
        <v>1</v>
      </c>
      <c r="X7713">
        <v>1</v>
      </c>
      <c r="Y7713">
        <v>0</v>
      </c>
      <c r="Z7713">
        <v>1</v>
      </c>
      <c r="AA7713">
        <v>223.91</v>
      </c>
      <c r="AB7713">
        <v>223.91</v>
      </c>
      <c r="AC7713">
        <v>197</v>
      </c>
      <c r="AD7713">
        <v>0</v>
      </c>
      <c r="AE7713">
        <v>26.91</v>
      </c>
      <c r="AF7713">
        <v>0</v>
      </c>
      <c r="AG7713">
        <v>0</v>
      </c>
      <c r="AH7713">
        <v>0</v>
      </c>
      <c r="AI7713">
        <v>0</v>
      </c>
      <c r="AJ7713">
        <v>223.91</v>
      </c>
      <c r="AK7713">
        <v>0</v>
      </c>
      <c r="AL7713" t="s">
        <v>53</v>
      </c>
      <c r="AM7713" t="s">
        <v>53</v>
      </c>
      <c r="AN7713" t="s">
        <v>53</v>
      </c>
      <c r="AO7713" t="s">
        <v>53</v>
      </c>
      <c r="AP7713" t="s">
        <v>53</v>
      </c>
    </row>
    <row r="7714" spans="2:42" x14ac:dyDescent="0.2">
      <c r="B7714" t="s">
        <v>44</v>
      </c>
      <c r="C7714" t="str">
        <f>HYPERLINK("https://us2.cloudbeds.com/connect/8493803454333002#/reservations/9080486847737056?display=45M8K6HFUC&amp;reservation_id=9080486847737056", "45M8K6HFUC")</f>
        <v>45M8K6HFUC</v>
      </c>
      <c r="D7714" t="s">
        <v>45</v>
      </c>
      <c r="E7714" t="s">
        <v>179</v>
      </c>
      <c r="F7714" t="s">
        <v>47</v>
      </c>
      <c r="G7714" t="s">
        <v>48</v>
      </c>
      <c r="H7714" t="s">
        <v>49</v>
      </c>
      <c r="I7714" t="s">
        <v>62</v>
      </c>
      <c r="J7714" t="s">
        <v>13747</v>
      </c>
      <c r="K7714" t="s">
        <v>9935</v>
      </c>
      <c r="L7714" t="s">
        <v>53</v>
      </c>
      <c r="N7714" t="s">
        <v>14335</v>
      </c>
      <c r="P7714" t="s">
        <v>55</v>
      </c>
      <c r="R7714" t="s">
        <v>56</v>
      </c>
      <c r="T7714" t="s">
        <v>14336</v>
      </c>
      <c r="U7714" t="s">
        <v>55</v>
      </c>
      <c r="V7714">
        <v>2</v>
      </c>
      <c r="W7714">
        <v>1</v>
      </c>
      <c r="X7714">
        <v>2</v>
      </c>
      <c r="Y7714">
        <v>0</v>
      </c>
      <c r="Z7714">
        <v>2</v>
      </c>
      <c r="AA7714">
        <v>167.45</v>
      </c>
      <c r="AB7714">
        <v>167.45</v>
      </c>
      <c r="AC7714">
        <v>167.45</v>
      </c>
      <c r="AD7714">
        <v>0</v>
      </c>
      <c r="AE7714">
        <v>0</v>
      </c>
      <c r="AF7714">
        <v>0</v>
      </c>
      <c r="AG7714">
        <v>0</v>
      </c>
      <c r="AH7714">
        <v>0</v>
      </c>
      <c r="AI7714">
        <v>30.14</v>
      </c>
      <c r="AJ7714">
        <v>167.45</v>
      </c>
      <c r="AK7714">
        <v>0</v>
      </c>
      <c r="AL7714" t="s">
        <v>53</v>
      </c>
      <c r="AM7714" t="s">
        <v>53</v>
      </c>
      <c r="AN7714" t="s">
        <v>53</v>
      </c>
      <c r="AO7714" t="s">
        <v>53</v>
      </c>
      <c r="AP7714" t="s">
        <v>53</v>
      </c>
    </row>
    <row r="7715" spans="2:42" x14ac:dyDescent="0.2">
      <c r="B7715" t="s">
        <v>44</v>
      </c>
      <c r="C7715" t="str">
        <f>HYPERLINK("https://us2.cloudbeds.com/connect/8493803454333002#/reservations/9080486847742738?display=45RYTU7S4N&amp;reservation_id=9080486847742738", "45RYTU7S4N")</f>
        <v>45RYTU7S4N</v>
      </c>
      <c r="D7715" t="s">
        <v>45</v>
      </c>
      <c r="E7715" t="s">
        <v>138</v>
      </c>
      <c r="F7715" t="s">
        <v>70</v>
      </c>
      <c r="G7715" t="s">
        <v>48</v>
      </c>
      <c r="H7715" t="s">
        <v>49</v>
      </c>
      <c r="I7715" t="s">
        <v>8964</v>
      </c>
      <c r="J7715" t="s">
        <v>14337</v>
      </c>
      <c r="K7715" t="s">
        <v>9711</v>
      </c>
      <c r="L7715" t="s">
        <v>53</v>
      </c>
      <c r="N7715" t="s">
        <v>14338</v>
      </c>
      <c r="P7715" t="s">
        <v>55</v>
      </c>
      <c r="R7715" t="s">
        <v>53</v>
      </c>
      <c r="T7715" t="s">
        <v>14339</v>
      </c>
      <c r="U7715" t="s">
        <v>55</v>
      </c>
      <c r="V7715">
        <v>1</v>
      </c>
      <c r="W7715">
        <v>1</v>
      </c>
      <c r="X7715">
        <v>2</v>
      </c>
      <c r="Y7715">
        <v>0</v>
      </c>
      <c r="Z7715">
        <v>2</v>
      </c>
      <c r="AA7715">
        <v>0</v>
      </c>
      <c r="AB7715">
        <v>0</v>
      </c>
      <c r="AC7715">
        <v>84</v>
      </c>
      <c r="AD7715">
        <v>0</v>
      </c>
      <c r="AE7715">
        <v>0</v>
      </c>
      <c r="AF7715">
        <v>0</v>
      </c>
      <c r="AG7715">
        <v>0</v>
      </c>
      <c r="AH7715">
        <v>0</v>
      </c>
      <c r="AI7715">
        <v>12.6</v>
      </c>
      <c r="AJ7715">
        <v>84</v>
      </c>
      <c r="AK7715">
        <v>84</v>
      </c>
      <c r="AL7715" t="s">
        <v>53</v>
      </c>
      <c r="AM7715" t="s">
        <v>53</v>
      </c>
      <c r="AN7715" t="s">
        <v>14340</v>
      </c>
      <c r="AO7715" t="s">
        <v>53</v>
      </c>
      <c r="AP7715" t="s">
        <v>53</v>
      </c>
    </row>
    <row r="7716" spans="2:42" x14ac:dyDescent="0.2">
      <c r="B7716" t="s">
        <v>44</v>
      </c>
      <c r="C7716" t="str">
        <f>HYPERLINK("https://us2.cloudbeds.com/connect/8493803454333002#/reservations/193949583327429?display=45TRKD0K95&amp;reservation_id=193949583327429", "45TRKD0K95")</f>
        <v>45TRKD0K95</v>
      </c>
      <c r="D7716" t="s">
        <v>45</v>
      </c>
      <c r="E7716" t="s">
        <v>105</v>
      </c>
      <c r="F7716" t="s">
        <v>47</v>
      </c>
      <c r="G7716" t="s">
        <v>48</v>
      </c>
      <c r="H7716" t="s">
        <v>3957</v>
      </c>
      <c r="I7716" t="s">
        <v>3975</v>
      </c>
      <c r="J7716" t="s">
        <v>13735</v>
      </c>
      <c r="K7716" t="s">
        <v>9935</v>
      </c>
      <c r="L7716" t="s">
        <v>53</v>
      </c>
      <c r="P7716" t="s">
        <v>55</v>
      </c>
      <c r="R7716" t="s">
        <v>56</v>
      </c>
      <c r="T7716" t="s">
        <v>14341</v>
      </c>
      <c r="U7716" t="s">
        <v>58</v>
      </c>
      <c r="V7716">
        <v>1</v>
      </c>
      <c r="W7716">
        <v>1</v>
      </c>
      <c r="X7716">
        <v>1</v>
      </c>
      <c r="Y7716">
        <v>0</v>
      </c>
      <c r="Z7716">
        <v>1</v>
      </c>
      <c r="AA7716">
        <v>114.79</v>
      </c>
      <c r="AB7716">
        <v>114.79</v>
      </c>
      <c r="AC7716">
        <v>101</v>
      </c>
      <c r="AD7716">
        <v>0</v>
      </c>
      <c r="AE7716">
        <v>13.79</v>
      </c>
      <c r="AF7716">
        <v>0</v>
      </c>
      <c r="AG7716">
        <v>0</v>
      </c>
      <c r="AH7716">
        <v>0</v>
      </c>
      <c r="AI7716">
        <v>0</v>
      </c>
      <c r="AJ7716">
        <v>114.79</v>
      </c>
      <c r="AK7716">
        <v>0</v>
      </c>
      <c r="AL7716" t="s">
        <v>53</v>
      </c>
      <c r="AM7716" t="s">
        <v>53</v>
      </c>
      <c r="AN7716" t="s">
        <v>53</v>
      </c>
      <c r="AO7716" t="s">
        <v>53</v>
      </c>
      <c r="AP7716" t="s">
        <v>53</v>
      </c>
    </row>
    <row r="7717" spans="2:42" x14ac:dyDescent="0.2">
      <c r="B7717" t="s">
        <v>44</v>
      </c>
      <c r="C7717" t="str">
        <f>HYPERLINK("https://us2.cloudbeds.com/connect/8493803454333002#/reservations/9080486847747608?display=45V6VPNRS2&amp;reservation_id=9080486847747608", "45V6VPNRS2")</f>
        <v>45V6VPNRS2</v>
      </c>
      <c r="D7717" t="s">
        <v>45</v>
      </c>
      <c r="E7717" t="s">
        <v>155</v>
      </c>
      <c r="F7717" t="s">
        <v>86</v>
      </c>
      <c r="G7717" t="s">
        <v>48</v>
      </c>
      <c r="H7717" t="s">
        <v>49</v>
      </c>
      <c r="I7717" t="s">
        <v>50</v>
      </c>
      <c r="J7717" t="s">
        <v>13940</v>
      </c>
      <c r="K7717" t="s">
        <v>13941</v>
      </c>
      <c r="L7717" t="s">
        <v>53</v>
      </c>
      <c r="N7717" t="s">
        <v>14342</v>
      </c>
      <c r="P7717" t="s">
        <v>55</v>
      </c>
      <c r="R7717" t="s">
        <v>53</v>
      </c>
      <c r="T7717" t="s">
        <v>14343</v>
      </c>
      <c r="U7717" t="s">
        <v>58</v>
      </c>
      <c r="V7717">
        <v>2</v>
      </c>
      <c r="W7717">
        <v>1</v>
      </c>
      <c r="X7717">
        <v>2</v>
      </c>
      <c r="Y7717">
        <v>1</v>
      </c>
      <c r="Z7717">
        <v>3</v>
      </c>
      <c r="AA7717">
        <v>237.62</v>
      </c>
      <c r="AB7717">
        <v>237.62</v>
      </c>
      <c r="AC7717">
        <v>209.08</v>
      </c>
      <c r="AD7717">
        <v>0</v>
      </c>
      <c r="AE7717">
        <v>28.54</v>
      </c>
      <c r="AF7717">
        <v>0</v>
      </c>
      <c r="AG7717">
        <v>0</v>
      </c>
      <c r="AH7717">
        <v>0</v>
      </c>
      <c r="AI7717">
        <v>42.77</v>
      </c>
      <c r="AJ7717">
        <v>237.62</v>
      </c>
      <c r="AK7717">
        <v>0</v>
      </c>
      <c r="AL7717" t="s">
        <v>53</v>
      </c>
      <c r="AM7717" t="s">
        <v>53</v>
      </c>
      <c r="AN7717" t="s">
        <v>53</v>
      </c>
      <c r="AO7717" t="s">
        <v>53</v>
      </c>
      <c r="AP7717" t="s">
        <v>53</v>
      </c>
    </row>
    <row r="7718" spans="2:42" x14ac:dyDescent="0.2">
      <c r="B7718" t="s">
        <v>44</v>
      </c>
      <c r="C7718" t="str">
        <f>HYPERLINK("https://us2.cloudbeds.com/connect/8493803454333002#/reservations/9080486847751353?display=46280GN0BR&amp;reservation_id=9080486847751353", "46280GN0BR")</f>
        <v>46280GN0BR</v>
      </c>
      <c r="D7718" t="s">
        <v>45</v>
      </c>
      <c r="E7718" t="s">
        <v>138</v>
      </c>
      <c r="F7718" t="s">
        <v>70</v>
      </c>
      <c r="G7718" t="s">
        <v>48</v>
      </c>
      <c r="H7718" t="s">
        <v>49</v>
      </c>
      <c r="I7718" t="s">
        <v>50</v>
      </c>
      <c r="J7718" t="s">
        <v>14153</v>
      </c>
      <c r="K7718" t="s">
        <v>14344</v>
      </c>
      <c r="L7718" t="s">
        <v>53</v>
      </c>
      <c r="N7718" t="s">
        <v>14345</v>
      </c>
      <c r="P7718" t="s">
        <v>55</v>
      </c>
      <c r="R7718" t="s">
        <v>53</v>
      </c>
      <c r="T7718" t="s">
        <v>14346</v>
      </c>
      <c r="U7718" t="s">
        <v>58</v>
      </c>
      <c r="V7718">
        <v>1</v>
      </c>
      <c r="W7718">
        <v>1</v>
      </c>
      <c r="X7718">
        <v>2</v>
      </c>
      <c r="Y7718">
        <v>0</v>
      </c>
      <c r="Z7718">
        <v>2</v>
      </c>
      <c r="AA7718">
        <v>121.83</v>
      </c>
      <c r="AB7718">
        <v>121.83</v>
      </c>
      <c r="AC7718">
        <v>107.2</v>
      </c>
      <c r="AD7718">
        <v>0</v>
      </c>
      <c r="AE7718">
        <v>15.71</v>
      </c>
      <c r="AF7718">
        <v>0</v>
      </c>
      <c r="AG7718">
        <v>0</v>
      </c>
      <c r="AH7718">
        <v>0</v>
      </c>
      <c r="AI7718">
        <v>22.12</v>
      </c>
      <c r="AJ7718">
        <v>122.91</v>
      </c>
      <c r="AK7718">
        <v>1.08</v>
      </c>
      <c r="AL7718" t="s">
        <v>53</v>
      </c>
      <c r="AM7718" t="s">
        <v>53</v>
      </c>
      <c r="AN7718" t="s">
        <v>14347</v>
      </c>
      <c r="AO7718" t="s">
        <v>53</v>
      </c>
      <c r="AP7718" t="s">
        <v>53</v>
      </c>
    </row>
    <row r="7719" spans="2:42" x14ac:dyDescent="0.2">
      <c r="B7719" t="s">
        <v>44</v>
      </c>
      <c r="C7719" t="str">
        <f>HYPERLINK("https://us2.cloudbeds.com/connect/8493803454333002#/reservations/9080486847753385?display=463MW4Z7DV&amp;reservation_id=9080486847753385", "463MW4Z7DV")</f>
        <v>463MW4Z7DV</v>
      </c>
      <c r="D7719" t="s">
        <v>45</v>
      </c>
      <c r="E7719" t="s">
        <v>138</v>
      </c>
      <c r="F7719" t="s">
        <v>70</v>
      </c>
      <c r="G7719" t="s">
        <v>48</v>
      </c>
      <c r="H7719" t="s">
        <v>49</v>
      </c>
      <c r="I7719" t="s">
        <v>62</v>
      </c>
      <c r="J7719" t="s">
        <v>14348</v>
      </c>
      <c r="K7719" t="s">
        <v>14349</v>
      </c>
      <c r="L7719" t="s">
        <v>53</v>
      </c>
      <c r="N7719" t="s">
        <v>14350</v>
      </c>
      <c r="P7719" t="s">
        <v>55</v>
      </c>
      <c r="R7719" t="s">
        <v>118</v>
      </c>
      <c r="T7719" t="s">
        <v>14351</v>
      </c>
      <c r="U7719" t="s">
        <v>55</v>
      </c>
      <c r="V7719">
        <v>2</v>
      </c>
      <c r="W7719">
        <v>1</v>
      </c>
      <c r="X7719">
        <v>2</v>
      </c>
      <c r="Y7719">
        <v>0</v>
      </c>
      <c r="Z7719">
        <v>2</v>
      </c>
      <c r="AA7719">
        <v>210.38</v>
      </c>
      <c r="AB7719">
        <v>210.38</v>
      </c>
      <c r="AC7719">
        <v>210.38</v>
      </c>
      <c r="AD7719">
        <v>0</v>
      </c>
      <c r="AE7719">
        <v>0</v>
      </c>
      <c r="AF7719">
        <v>0</v>
      </c>
      <c r="AG7719">
        <v>0</v>
      </c>
      <c r="AH7719">
        <v>0</v>
      </c>
      <c r="AI7719">
        <v>37.869999999999997</v>
      </c>
      <c r="AJ7719">
        <v>210.38</v>
      </c>
      <c r="AK7719">
        <v>0</v>
      </c>
      <c r="AL7719" t="s">
        <v>53</v>
      </c>
      <c r="AM7719" t="s">
        <v>53</v>
      </c>
      <c r="AN7719" t="s">
        <v>53</v>
      </c>
      <c r="AO7719" t="s">
        <v>53</v>
      </c>
      <c r="AP7719" t="s">
        <v>53</v>
      </c>
    </row>
    <row r="7720" spans="2:42" x14ac:dyDescent="0.2">
      <c r="B7720" t="s">
        <v>44</v>
      </c>
      <c r="C7720" t="str">
        <f>HYPERLINK("https://us2.cloudbeds.com/connect/8493803454333002#/reservations/9080486847760343?display=46ANS2G5G3&amp;reservation_id=9080486847760343", "46ANS2G5G3")</f>
        <v>46ANS2G5G3</v>
      </c>
      <c r="D7720" t="s">
        <v>45</v>
      </c>
      <c r="E7720" t="s">
        <v>69</v>
      </c>
      <c r="F7720" t="s">
        <v>70</v>
      </c>
      <c r="G7720" t="s">
        <v>48</v>
      </c>
      <c r="H7720" t="s">
        <v>49</v>
      </c>
      <c r="I7720" t="s">
        <v>62</v>
      </c>
      <c r="J7720" t="s">
        <v>13940</v>
      </c>
      <c r="K7720" t="s">
        <v>11296</v>
      </c>
      <c r="L7720" t="s">
        <v>53</v>
      </c>
      <c r="N7720" t="s">
        <v>14352</v>
      </c>
      <c r="P7720" t="s">
        <v>55</v>
      </c>
      <c r="R7720" t="s">
        <v>56</v>
      </c>
      <c r="T7720" t="s">
        <v>14353</v>
      </c>
      <c r="U7720" t="s">
        <v>55</v>
      </c>
      <c r="V7720">
        <v>1</v>
      </c>
      <c r="W7720">
        <v>1</v>
      </c>
      <c r="X7720">
        <v>2</v>
      </c>
      <c r="Y7720">
        <v>0</v>
      </c>
      <c r="Z7720">
        <v>2</v>
      </c>
      <c r="AA7720">
        <v>67.150000000000006</v>
      </c>
      <c r="AB7720">
        <v>67.150000000000006</v>
      </c>
      <c r="AC7720">
        <v>67.150000000000006</v>
      </c>
      <c r="AD7720">
        <v>0</v>
      </c>
      <c r="AE7720">
        <v>0</v>
      </c>
      <c r="AF7720">
        <v>0</v>
      </c>
      <c r="AG7720">
        <v>0</v>
      </c>
      <c r="AH7720">
        <v>0</v>
      </c>
      <c r="AI7720">
        <v>12.09</v>
      </c>
      <c r="AJ7720">
        <v>67.150000000000006</v>
      </c>
      <c r="AK7720">
        <v>0</v>
      </c>
      <c r="AL7720" t="s">
        <v>53</v>
      </c>
      <c r="AM7720" t="s">
        <v>53</v>
      </c>
      <c r="AN7720" t="s">
        <v>53</v>
      </c>
      <c r="AO7720" t="s">
        <v>53</v>
      </c>
      <c r="AP7720" t="s">
        <v>53</v>
      </c>
    </row>
    <row r="7721" spans="2:42" x14ac:dyDescent="0.2">
      <c r="B7721" t="s">
        <v>44</v>
      </c>
      <c r="C7721" t="str">
        <f>HYPERLINK("https://us2.cloudbeds.com/connect/8493803454333002#/reservations/9080486847762392?display=46C7BTEQ7D&amp;reservation_id=9080486847762392", "46C7BTEQ7D")</f>
        <v>46C7BTEQ7D</v>
      </c>
      <c r="D7721" t="s">
        <v>45</v>
      </c>
      <c r="E7721" t="s">
        <v>213</v>
      </c>
      <c r="F7721" t="s">
        <v>86</v>
      </c>
      <c r="G7721" t="s">
        <v>48</v>
      </c>
      <c r="H7721" t="s">
        <v>49</v>
      </c>
      <c r="I7721" t="s">
        <v>50</v>
      </c>
      <c r="J7721" t="s">
        <v>9579</v>
      </c>
      <c r="K7721" t="s">
        <v>14354</v>
      </c>
      <c r="L7721" t="s">
        <v>53</v>
      </c>
      <c r="N7721" t="s">
        <v>14355</v>
      </c>
      <c r="P7721" t="s">
        <v>55</v>
      </c>
      <c r="R7721" t="s">
        <v>53</v>
      </c>
      <c r="T7721" t="s">
        <v>14356</v>
      </c>
      <c r="U7721" t="s">
        <v>58</v>
      </c>
      <c r="V7721">
        <v>1</v>
      </c>
      <c r="W7721">
        <v>1</v>
      </c>
      <c r="X7721">
        <v>2</v>
      </c>
      <c r="Y7721">
        <v>1</v>
      </c>
      <c r="Z7721">
        <v>3</v>
      </c>
      <c r="AA7721">
        <v>135.47</v>
      </c>
      <c r="AB7721">
        <v>136.66999999999999</v>
      </c>
      <c r="AC7721">
        <v>119.2</v>
      </c>
      <c r="AD7721">
        <v>0</v>
      </c>
      <c r="AE7721">
        <v>17.47</v>
      </c>
      <c r="AF7721">
        <v>0</v>
      </c>
      <c r="AG7721">
        <v>0</v>
      </c>
      <c r="AH7721">
        <v>0</v>
      </c>
      <c r="AI7721">
        <v>24.6</v>
      </c>
      <c r="AJ7721">
        <v>136.66999999999999</v>
      </c>
      <c r="AK7721">
        <v>0</v>
      </c>
      <c r="AL7721" t="s">
        <v>53</v>
      </c>
      <c r="AM7721" t="s">
        <v>53</v>
      </c>
      <c r="AN7721" t="s">
        <v>53</v>
      </c>
      <c r="AO7721" t="s">
        <v>53</v>
      </c>
      <c r="AP7721" t="s">
        <v>53</v>
      </c>
    </row>
    <row r="7722" spans="2:42" x14ac:dyDescent="0.2">
      <c r="B7722" t="s">
        <v>44</v>
      </c>
      <c r="C7722" t="str">
        <f>HYPERLINK("https://us2.cloudbeds.com/connect/8493803454333002#/reservations/9080486847762395?display=46C789CPDX&amp;reservation_id=9080486847762395", "46C789CPDX")</f>
        <v>46C789CPDX</v>
      </c>
      <c r="D7722" t="s">
        <v>45</v>
      </c>
      <c r="E7722" t="s">
        <v>98</v>
      </c>
      <c r="F7722" t="s">
        <v>86</v>
      </c>
      <c r="G7722" t="s">
        <v>48</v>
      </c>
      <c r="H7722" t="s">
        <v>49</v>
      </c>
      <c r="I7722" t="s">
        <v>50</v>
      </c>
      <c r="J7722" t="s">
        <v>9579</v>
      </c>
      <c r="K7722" t="s">
        <v>14354</v>
      </c>
      <c r="L7722" t="s">
        <v>53</v>
      </c>
      <c r="N7722" t="s">
        <v>14357</v>
      </c>
      <c r="P7722" t="s">
        <v>55</v>
      </c>
      <c r="R7722" t="s">
        <v>53</v>
      </c>
      <c r="T7722" t="s">
        <v>14358</v>
      </c>
      <c r="U7722" t="s">
        <v>58</v>
      </c>
      <c r="V7722">
        <v>1</v>
      </c>
      <c r="W7722">
        <v>1</v>
      </c>
      <c r="X7722">
        <v>1</v>
      </c>
      <c r="Y7722">
        <v>0</v>
      </c>
      <c r="Z7722">
        <v>1</v>
      </c>
      <c r="AA7722">
        <v>135.47</v>
      </c>
      <c r="AB7722">
        <v>136.66999999999999</v>
      </c>
      <c r="AC7722">
        <v>119.2</v>
      </c>
      <c r="AD7722">
        <v>0</v>
      </c>
      <c r="AE7722">
        <v>17.47</v>
      </c>
      <c r="AF7722">
        <v>0</v>
      </c>
      <c r="AG7722">
        <v>0</v>
      </c>
      <c r="AH7722">
        <v>0</v>
      </c>
      <c r="AI7722">
        <v>24.6</v>
      </c>
      <c r="AJ7722">
        <v>136.66999999999999</v>
      </c>
      <c r="AK7722">
        <v>0</v>
      </c>
      <c r="AL7722" t="s">
        <v>53</v>
      </c>
      <c r="AM7722" t="s">
        <v>53</v>
      </c>
      <c r="AN7722" t="s">
        <v>53</v>
      </c>
      <c r="AO7722" t="s">
        <v>53</v>
      </c>
      <c r="AP7722" t="s">
        <v>53</v>
      </c>
    </row>
    <row r="7723" spans="2:42" x14ac:dyDescent="0.2">
      <c r="B7723" t="s">
        <v>44</v>
      </c>
      <c r="C7723" t="str">
        <f>HYPERLINK("https://us2.cloudbeds.com/connect/8493803454333002#/reservations/9080486847763194?display=46CR3AQJDS&amp;reservation_id=9080486847763194", "46CR3AQJDS")</f>
        <v>46CR3AQJDS</v>
      </c>
      <c r="D7723" t="s">
        <v>45</v>
      </c>
      <c r="E7723" t="s">
        <v>165</v>
      </c>
      <c r="F7723" t="s">
        <v>61</v>
      </c>
      <c r="G7723" t="s">
        <v>48</v>
      </c>
      <c r="H7723" t="s">
        <v>49</v>
      </c>
      <c r="I7723" t="s">
        <v>50</v>
      </c>
      <c r="J7723" t="s">
        <v>13525</v>
      </c>
      <c r="K7723" t="s">
        <v>10861</v>
      </c>
      <c r="L7723" t="s">
        <v>53</v>
      </c>
      <c r="N7723" t="s">
        <v>14359</v>
      </c>
      <c r="P7723" t="s">
        <v>55</v>
      </c>
      <c r="R7723" t="s">
        <v>53</v>
      </c>
      <c r="T7723" t="s">
        <v>14360</v>
      </c>
      <c r="U7723" t="s">
        <v>58</v>
      </c>
      <c r="V7723">
        <v>1</v>
      </c>
      <c r="W7723">
        <v>1</v>
      </c>
      <c r="X7723">
        <v>2</v>
      </c>
      <c r="Y7723">
        <v>0</v>
      </c>
      <c r="Z7723">
        <v>2</v>
      </c>
      <c r="AA7723">
        <v>93.56</v>
      </c>
      <c r="AB7723">
        <v>93.56</v>
      </c>
      <c r="AC7723">
        <v>82.32</v>
      </c>
      <c r="AD7723">
        <v>0</v>
      </c>
      <c r="AE7723">
        <v>11.24</v>
      </c>
      <c r="AF7723">
        <v>0</v>
      </c>
      <c r="AG7723">
        <v>0</v>
      </c>
      <c r="AH7723">
        <v>0</v>
      </c>
      <c r="AI7723">
        <v>16.84</v>
      </c>
      <c r="AJ7723">
        <v>93.56</v>
      </c>
      <c r="AK7723">
        <v>0</v>
      </c>
      <c r="AL7723" t="s">
        <v>53</v>
      </c>
      <c r="AM7723" t="s">
        <v>53</v>
      </c>
      <c r="AN7723" t="s">
        <v>53</v>
      </c>
      <c r="AO7723" t="s">
        <v>53</v>
      </c>
      <c r="AP7723" t="s">
        <v>53</v>
      </c>
    </row>
    <row r="7724" spans="2:42" x14ac:dyDescent="0.2">
      <c r="B7724" t="s">
        <v>44</v>
      </c>
      <c r="C7724" t="str">
        <f>HYPERLINK("https://us2.cloudbeds.com/connect/8493803454333002#/reservations/194643465621691?display=46D3TMVA6U&amp;reservation_id=194643465621691", "46D3TMVA6U")</f>
        <v>46D3TMVA6U</v>
      </c>
      <c r="D7724" t="s">
        <v>45</v>
      </c>
      <c r="E7724" t="s">
        <v>78</v>
      </c>
      <c r="F7724" t="s">
        <v>61</v>
      </c>
      <c r="G7724" t="s">
        <v>13757</v>
      </c>
      <c r="H7724" t="s">
        <v>3957</v>
      </c>
      <c r="I7724" t="s">
        <v>3975</v>
      </c>
      <c r="J7724" t="s">
        <v>10680</v>
      </c>
      <c r="K7724" t="s">
        <v>10681</v>
      </c>
      <c r="L7724" t="s">
        <v>53</v>
      </c>
      <c r="P7724" t="s">
        <v>55</v>
      </c>
      <c r="R7724" t="s">
        <v>56</v>
      </c>
      <c r="T7724" t="s">
        <v>14361</v>
      </c>
      <c r="U7724" t="s">
        <v>58</v>
      </c>
      <c r="V7724">
        <v>1</v>
      </c>
      <c r="W7724">
        <v>1</v>
      </c>
      <c r="X7724">
        <v>2</v>
      </c>
      <c r="Y7724">
        <v>0</v>
      </c>
      <c r="Z7724">
        <v>2</v>
      </c>
      <c r="AA7724">
        <v>0</v>
      </c>
      <c r="AB7724">
        <v>99.22</v>
      </c>
      <c r="AC7724">
        <v>87.3</v>
      </c>
      <c r="AD7724">
        <v>0</v>
      </c>
      <c r="AE7724">
        <v>11.92</v>
      </c>
      <c r="AF7724">
        <v>0</v>
      </c>
      <c r="AG7724">
        <v>0</v>
      </c>
      <c r="AH7724">
        <v>0</v>
      </c>
      <c r="AI7724">
        <v>0</v>
      </c>
      <c r="AJ7724">
        <v>99.22</v>
      </c>
      <c r="AK7724">
        <v>0</v>
      </c>
      <c r="AL7724" t="s">
        <v>53</v>
      </c>
      <c r="AM7724" t="s">
        <v>53</v>
      </c>
      <c r="AN7724" t="s">
        <v>53</v>
      </c>
      <c r="AO7724" t="s">
        <v>53</v>
      </c>
      <c r="AP7724" t="s">
        <v>53</v>
      </c>
    </row>
    <row r="7725" spans="2:42" x14ac:dyDescent="0.2">
      <c r="B7725" t="s">
        <v>44</v>
      </c>
      <c r="C7725" t="str">
        <f>HYPERLINK("https://us2.cloudbeds.com/connect/8493803454333002#/reservations/9080486847764630?display=46E632MY5B&amp;reservation_id=9080486847764630", "46E632MY5B")</f>
        <v>46E632MY5B</v>
      </c>
      <c r="D7725" t="s">
        <v>45</v>
      </c>
      <c r="E7725" t="s">
        <v>138</v>
      </c>
      <c r="F7725" t="s">
        <v>70</v>
      </c>
      <c r="G7725" t="s">
        <v>48</v>
      </c>
      <c r="H7725" t="s">
        <v>49</v>
      </c>
      <c r="I7725" t="s">
        <v>62</v>
      </c>
      <c r="J7725" t="s">
        <v>13082</v>
      </c>
      <c r="K7725" t="s">
        <v>14362</v>
      </c>
      <c r="L7725" t="s">
        <v>53</v>
      </c>
      <c r="N7725" t="s">
        <v>14363</v>
      </c>
      <c r="P7725" t="s">
        <v>55</v>
      </c>
      <c r="R7725" t="s">
        <v>56</v>
      </c>
      <c r="T7725" t="s">
        <v>14364</v>
      </c>
      <c r="U7725" t="s">
        <v>55</v>
      </c>
      <c r="V7725">
        <v>1</v>
      </c>
      <c r="W7725">
        <v>1</v>
      </c>
      <c r="X7725">
        <v>1</v>
      </c>
      <c r="Y7725">
        <v>0</v>
      </c>
      <c r="Z7725">
        <v>1</v>
      </c>
      <c r="AA7725">
        <v>120</v>
      </c>
      <c r="AB7725">
        <v>120</v>
      </c>
      <c r="AC7725">
        <v>120</v>
      </c>
      <c r="AD7725">
        <v>0</v>
      </c>
      <c r="AE7725">
        <v>0</v>
      </c>
      <c r="AF7725">
        <v>0</v>
      </c>
      <c r="AG7725">
        <v>0</v>
      </c>
      <c r="AH7725">
        <v>0</v>
      </c>
      <c r="AI7725">
        <v>21.6</v>
      </c>
      <c r="AJ7725">
        <v>120</v>
      </c>
      <c r="AK7725">
        <v>0</v>
      </c>
      <c r="AL7725" t="s">
        <v>53</v>
      </c>
      <c r="AM7725" t="s">
        <v>53</v>
      </c>
      <c r="AN7725" t="s">
        <v>14365</v>
      </c>
      <c r="AO7725" t="s">
        <v>53</v>
      </c>
      <c r="AP7725" t="s">
        <v>53</v>
      </c>
    </row>
    <row r="7726" spans="2:42" x14ac:dyDescent="0.2">
      <c r="B7726" t="s">
        <v>44</v>
      </c>
      <c r="C7726" t="str">
        <f>HYPERLINK("https://us2.cloudbeds.com/connect/8493803454333002#/reservations/194903358025925?display=46J74X3XMV&amp;reservation_id=194903358025925", "46J74X3XMV")</f>
        <v>46J74X3XMV</v>
      </c>
      <c r="D7726" t="s">
        <v>45</v>
      </c>
      <c r="E7726" t="s">
        <v>223</v>
      </c>
      <c r="F7726" t="s">
        <v>47</v>
      </c>
      <c r="G7726" t="s">
        <v>48</v>
      </c>
      <c r="H7726" t="s">
        <v>3957</v>
      </c>
      <c r="I7726" t="s">
        <v>3975</v>
      </c>
      <c r="J7726" t="s">
        <v>9969</v>
      </c>
      <c r="K7726" t="s">
        <v>11296</v>
      </c>
      <c r="L7726" t="s">
        <v>53</v>
      </c>
      <c r="P7726" t="s">
        <v>55</v>
      </c>
      <c r="R7726" t="s">
        <v>56</v>
      </c>
      <c r="T7726" t="s">
        <v>14366</v>
      </c>
      <c r="U7726" t="s">
        <v>58</v>
      </c>
      <c r="V7726">
        <v>6</v>
      </c>
      <c r="W7726">
        <v>1</v>
      </c>
      <c r="X7726">
        <v>1</v>
      </c>
      <c r="Y7726">
        <v>0</v>
      </c>
      <c r="Z7726">
        <v>1</v>
      </c>
      <c r="AA7726">
        <v>595.57000000000005</v>
      </c>
      <c r="AB7726">
        <v>601</v>
      </c>
      <c r="AC7726">
        <v>524</v>
      </c>
      <c r="AD7726">
        <v>5</v>
      </c>
      <c r="AE7726">
        <v>72</v>
      </c>
      <c r="AF7726">
        <v>0</v>
      </c>
      <c r="AG7726">
        <v>0</v>
      </c>
      <c r="AH7726">
        <v>0</v>
      </c>
      <c r="AI7726">
        <v>0</v>
      </c>
      <c r="AJ7726">
        <v>601</v>
      </c>
      <c r="AK7726">
        <v>0</v>
      </c>
      <c r="AL7726" t="s">
        <v>53</v>
      </c>
      <c r="AM7726" t="s">
        <v>53</v>
      </c>
      <c r="AN7726" t="s">
        <v>53</v>
      </c>
      <c r="AO7726" t="s">
        <v>53</v>
      </c>
      <c r="AP7726" t="s">
        <v>53</v>
      </c>
    </row>
    <row r="7727" spans="2:42" x14ac:dyDescent="0.2">
      <c r="B7727" t="s">
        <v>44</v>
      </c>
      <c r="C7727" t="str">
        <f>HYPERLINK("https://us2.cloudbeds.com/connect/8493803454333002#/reservations/194922800685210?display=46JM6BM7AE&amp;reservation_id=194922800685210", "46JM6BM7AE")</f>
        <v>46JM6BM7AE</v>
      </c>
      <c r="D7727" t="s">
        <v>45</v>
      </c>
      <c r="E7727" t="s">
        <v>138</v>
      </c>
      <c r="F7727" t="s">
        <v>70</v>
      </c>
      <c r="G7727" t="s">
        <v>48</v>
      </c>
      <c r="H7727" t="s">
        <v>3957</v>
      </c>
      <c r="I7727" t="s">
        <v>3989</v>
      </c>
      <c r="J7727" t="s">
        <v>9936</v>
      </c>
      <c r="K7727" t="s">
        <v>11295</v>
      </c>
      <c r="L7727" t="s">
        <v>53</v>
      </c>
      <c r="P7727" t="s">
        <v>55</v>
      </c>
      <c r="R7727" t="s">
        <v>56</v>
      </c>
      <c r="T7727" t="s">
        <v>14367</v>
      </c>
      <c r="U7727" t="s">
        <v>58</v>
      </c>
      <c r="V7727">
        <v>1</v>
      </c>
      <c r="W7727">
        <v>1</v>
      </c>
      <c r="X7727">
        <v>1</v>
      </c>
      <c r="Y7727">
        <v>0</v>
      </c>
      <c r="Z7727">
        <v>1</v>
      </c>
      <c r="AA7727">
        <v>69.33</v>
      </c>
      <c r="AB7727">
        <v>69.33</v>
      </c>
      <c r="AC7727">
        <v>61</v>
      </c>
      <c r="AD7727">
        <v>0</v>
      </c>
      <c r="AE7727">
        <v>8.33</v>
      </c>
      <c r="AF7727">
        <v>0</v>
      </c>
      <c r="AG7727">
        <v>0</v>
      </c>
      <c r="AH7727">
        <v>0</v>
      </c>
      <c r="AI7727">
        <v>0</v>
      </c>
      <c r="AJ7727">
        <v>69.33</v>
      </c>
      <c r="AK7727">
        <v>0</v>
      </c>
      <c r="AL7727" t="s">
        <v>53</v>
      </c>
      <c r="AM7727" t="s">
        <v>53</v>
      </c>
      <c r="AN7727" t="s">
        <v>53</v>
      </c>
      <c r="AO7727" t="s">
        <v>53</v>
      </c>
      <c r="AP7727" t="s">
        <v>53</v>
      </c>
    </row>
    <row r="7728" spans="2:42" x14ac:dyDescent="0.2">
      <c r="B7728" t="s">
        <v>44</v>
      </c>
      <c r="C7728" t="str">
        <f>HYPERLINK("https://us2.cloudbeds.com/connect/8493803454333002#/reservations/9080486847771096?display=46K15E8BSG&amp;reservation_id=9080486847771096", "46K15E8BSG")</f>
        <v>46K15E8BSG</v>
      </c>
      <c r="D7728" t="s">
        <v>45</v>
      </c>
      <c r="E7728" t="s">
        <v>138</v>
      </c>
      <c r="F7728" t="s">
        <v>70</v>
      </c>
      <c r="G7728" t="s">
        <v>48</v>
      </c>
      <c r="H7728" t="s">
        <v>49</v>
      </c>
      <c r="I7728" t="s">
        <v>50</v>
      </c>
      <c r="J7728" t="s">
        <v>14344</v>
      </c>
      <c r="K7728" t="s">
        <v>13869</v>
      </c>
      <c r="L7728" t="s">
        <v>53</v>
      </c>
      <c r="N7728" t="s">
        <v>14368</v>
      </c>
      <c r="P7728" t="s">
        <v>55</v>
      </c>
      <c r="R7728" t="s">
        <v>53</v>
      </c>
      <c r="T7728" t="s">
        <v>14369</v>
      </c>
      <c r="U7728" t="s">
        <v>58</v>
      </c>
      <c r="V7728">
        <v>3</v>
      </c>
      <c r="W7728">
        <v>1</v>
      </c>
      <c r="X7728">
        <v>2</v>
      </c>
      <c r="Y7728">
        <v>0</v>
      </c>
      <c r="Z7728">
        <v>2</v>
      </c>
      <c r="AA7728">
        <v>389.13</v>
      </c>
      <c r="AB7728">
        <v>392.57</v>
      </c>
      <c r="AC7728">
        <v>342.4</v>
      </c>
      <c r="AD7728">
        <v>0</v>
      </c>
      <c r="AE7728">
        <v>50.17</v>
      </c>
      <c r="AF7728">
        <v>0</v>
      </c>
      <c r="AG7728">
        <v>0</v>
      </c>
      <c r="AH7728">
        <v>0</v>
      </c>
      <c r="AI7728">
        <v>70.66</v>
      </c>
      <c r="AJ7728">
        <v>392.57</v>
      </c>
      <c r="AK7728">
        <v>0</v>
      </c>
      <c r="AL7728" t="s">
        <v>53</v>
      </c>
      <c r="AM7728" t="s">
        <v>53</v>
      </c>
      <c r="AN7728" t="s">
        <v>14370</v>
      </c>
      <c r="AO7728" t="s">
        <v>53</v>
      </c>
      <c r="AP7728" t="s">
        <v>53</v>
      </c>
    </row>
    <row r="7729" spans="2:42" x14ac:dyDescent="0.2">
      <c r="B7729" t="s">
        <v>44</v>
      </c>
      <c r="C7729" t="str">
        <f>HYPERLINK("https://us2.cloudbeds.com/connect/8493803454333002#/reservations/9080486847771522?display=46K9Q0E8FN&amp;reservation_id=9080486847771522", "46K9Q0E8FN")</f>
        <v>46K9Q0E8FN</v>
      </c>
      <c r="D7729" t="s">
        <v>9111</v>
      </c>
      <c r="E7729" t="s">
        <v>138</v>
      </c>
      <c r="F7729" t="s">
        <v>70</v>
      </c>
      <c r="G7729" t="s">
        <v>48</v>
      </c>
      <c r="H7729" t="s">
        <v>49</v>
      </c>
      <c r="I7729" t="s">
        <v>62</v>
      </c>
      <c r="J7729" t="s">
        <v>14371</v>
      </c>
      <c r="K7729" t="s">
        <v>14372</v>
      </c>
      <c r="L7729" t="s">
        <v>53</v>
      </c>
      <c r="N7729" t="s">
        <v>14373</v>
      </c>
      <c r="P7729" t="s">
        <v>55</v>
      </c>
      <c r="R7729" t="s">
        <v>1475</v>
      </c>
      <c r="T7729" t="s">
        <v>14374</v>
      </c>
      <c r="U7729" t="s">
        <v>55</v>
      </c>
      <c r="V7729">
        <v>3</v>
      </c>
      <c r="W7729">
        <v>1</v>
      </c>
      <c r="X7729">
        <v>2</v>
      </c>
      <c r="Y7729">
        <v>0</v>
      </c>
      <c r="Z7729">
        <v>2</v>
      </c>
      <c r="AA7729">
        <v>550.04</v>
      </c>
      <c r="AB7729">
        <v>550.04</v>
      </c>
      <c r="AC7729">
        <v>550.04</v>
      </c>
      <c r="AD7729">
        <v>0</v>
      </c>
      <c r="AE7729">
        <v>0</v>
      </c>
      <c r="AF7729">
        <v>0</v>
      </c>
      <c r="AG7729">
        <v>0</v>
      </c>
      <c r="AH7729">
        <v>0</v>
      </c>
      <c r="AI7729">
        <v>99.01</v>
      </c>
      <c r="AJ7729">
        <v>550.04</v>
      </c>
      <c r="AK7729">
        <v>0</v>
      </c>
      <c r="AL7729" t="s">
        <v>53</v>
      </c>
      <c r="AM7729" t="s">
        <v>53</v>
      </c>
      <c r="AN7729" t="s">
        <v>53</v>
      </c>
      <c r="AO7729" t="s">
        <v>53</v>
      </c>
      <c r="AP7729" t="s">
        <v>53</v>
      </c>
    </row>
    <row r="7730" spans="2:42" x14ac:dyDescent="0.2">
      <c r="B7730" t="s">
        <v>44</v>
      </c>
      <c r="C7730" t="str">
        <f>HYPERLINK("https://us2.cloudbeds.com/connect/8493803454333002#/reservations/9080486847771641?display=46KC3NUSSF&amp;reservation_id=9080486847771641", "46KC3NUSSF")</f>
        <v>46KC3NUSSF</v>
      </c>
      <c r="D7730" t="s">
        <v>45</v>
      </c>
      <c r="E7730" t="s">
        <v>138</v>
      </c>
      <c r="F7730" t="s">
        <v>70</v>
      </c>
      <c r="G7730" t="s">
        <v>48</v>
      </c>
      <c r="H7730" t="s">
        <v>49</v>
      </c>
      <c r="I7730" t="s">
        <v>50</v>
      </c>
      <c r="J7730" t="s">
        <v>13727</v>
      </c>
      <c r="K7730" t="s">
        <v>14337</v>
      </c>
      <c r="L7730" t="s">
        <v>53</v>
      </c>
      <c r="N7730" t="s">
        <v>14375</v>
      </c>
      <c r="P7730" t="s">
        <v>55</v>
      </c>
      <c r="R7730" t="s">
        <v>53</v>
      </c>
      <c r="T7730" t="s">
        <v>14376</v>
      </c>
      <c r="U7730" t="s">
        <v>58</v>
      </c>
      <c r="V7730">
        <v>1</v>
      </c>
      <c r="W7730">
        <v>1</v>
      </c>
      <c r="X7730">
        <v>1</v>
      </c>
      <c r="Y7730">
        <v>0</v>
      </c>
      <c r="Z7730">
        <v>1</v>
      </c>
      <c r="AA7730">
        <v>73.650000000000006</v>
      </c>
      <c r="AB7730">
        <v>73.650000000000006</v>
      </c>
      <c r="AC7730">
        <v>64.8</v>
      </c>
      <c r="AD7730">
        <v>0</v>
      </c>
      <c r="AE7730">
        <v>8.85</v>
      </c>
      <c r="AF7730">
        <v>0</v>
      </c>
      <c r="AG7730">
        <v>0</v>
      </c>
      <c r="AH7730">
        <v>0</v>
      </c>
      <c r="AI7730">
        <v>13.26</v>
      </c>
      <c r="AJ7730">
        <v>73.650000000000006</v>
      </c>
      <c r="AK7730">
        <v>0</v>
      </c>
      <c r="AL7730" t="s">
        <v>53</v>
      </c>
      <c r="AM7730" t="s">
        <v>53</v>
      </c>
      <c r="AN7730" t="s">
        <v>14377</v>
      </c>
      <c r="AO7730" t="s">
        <v>53</v>
      </c>
      <c r="AP7730" t="s">
        <v>53</v>
      </c>
    </row>
    <row r="7731" spans="2:42" x14ac:dyDescent="0.2">
      <c r="B7731" t="s">
        <v>44</v>
      </c>
      <c r="C7731" t="str">
        <f>HYPERLINK("https://us2.cloudbeds.com/connect/8493803454333002#/reservations/9080486847772315?display=46KPJX8NTE&amp;reservation_id=9080486847772315", "46KPJX8NTE")</f>
        <v>46KPJX8NTE</v>
      </c>
      <c r="D7731" t="s">
        <v>45</v>
      </c>
      <c r="E7731" t="s">
        <v>110</v>
      </c>
      <c r="F7731" t="s">
        <v>47</v>
      </c>
      <c r="G7731" t="s">
        <v>48</v>
      </c>
      <c r="H7731" t="s">
        <v>49</v>
      </c>
      <c r="I7731" t="s">
        <v>50</v>
      </c>
      <c r="J7731" t="s">
        <v>14205</v>
      </c>
      <c r="K7731" t="s">
        <v>14206</v>
      </c>
      <c r="L7731" t="s">
        <v>53</v>
      </c>
      <c r="N7731" t="s">
        <v>14378</v>
      </c>
      <c r="P7731" t="s">
        <v>55</v>
      </c>
      <c r="R7731" t="s">
        <v>53</v>
      </c>
      <c r="T7731" t="s">
        <v>14379</v>
      </c>
      <c r="U7731" t="s">
        <v>58</v>
      </c>
      <c r="V7731">
        <v>1</v>
      </c>
      <c r="W7731">
        <v>1</v>
      </c>
      <c r="X7731">
        <v>2</v>
      </c>
      <c r="Y7731">
        <v>0</v>
      </c>
      <c r="Z7731">
        <v>2</v>
      </c>
      <c r="AA7731">
        <v>124.74</v>
      </c>
      <c r="AB7731">
        <v>124.74</v>
      </c>
      <c r="AC7731">
        <v>108.8</v>
      </c>
      <c r="AD7731">
        <v>0</v>
      </c>
      <c r="AE7731">
        <v>15.94</v>
      </c>
      <c r="AF7731">
        <v>0</v>
      </c>
      <c r="AG7731">
        <v>0</v>
      </c>
      <c r="AH7731">
        <v>0</v>
      </c>
      <c r="AI7731">
        <v>22.45</v>
      </c>
      <c r="AJ7731">
        <v>124.74</v>
      </c>
      <c r="AK7731">
        <v>0</v>
      </c>
      <c r="AL7731" t="s">
        <v>53</v>
      </c>
      <c r="AM7731" t="s">
        <v>53</v>
      </c>
      <c r="AN7731" t="s">
        <v>53</v>
      </c>
      <c r="AO7731" t="s">
        <v>53</v>
      </c>
      <c r="AP7731" t="s">
        <v>53</v>
      </c>
    </row>
    <row r="7732" spans="2:42" x14ac:dyDescent="0.2">
      <c r="B7732" t="s">
        <v>44</v>
      </c>
      <c r="C7732" t="str">
        <f>HYPERLINK("https://us2.cloudbeds.com/connect/8493803454333002#/reservations/9080486847772941?display=46Y5DZ2HY4&amp;reservation_id=9080486847772941", "46Y5DZ2HY4")</f>
        <v>46Y5DZ2HY4</v>
      </c>
      <c r="D7732" t="s">
        <v>45</v>
      </c>
      <c r="E7732" t="s">
        <v>92</v>
      </c>
      <c r="F7732" t="s">
        <v>86</v>
      </c>
      <c r="G7732" t="s">
        <v>48</v>
      </c>
      <c r="H7732" t="s">
        <v>49</v>
      </c>
      <c r="I7732" t="s">
        <v>50</v>
      </c>
      <c r="J7732" t="s">
        <v>14153</v>
      </c>
      <c r="K7732" t="s">
        <v>14154</v>
      </c>
      <c r="L7732" t="s">
        <v>53</v>
      </c>
      <c r="N7732" t="s">
        <v>14380</v>
      </c>
      <c r="P7732" t="s">
        <v>55</v>
      </c>
      <c r="R7732" t="s">
        <v>53</v>
      </c>
      <c r="T7732" t="s">
        <v>14381</v>
      </c>
      <c r="U7732" t="s">
        <v>58</v>
      </c>
      <c r="V7732">
        <v>2</v>
      </c>
      <c r="W7732">
        <v>1</v>
      </c>
      <c r="X7732">
        <v>2</v>
      </c>
      <c r="Y7732">
        <v>0</v>
      </c>
      <c r="Z7732">
        <v>2</v>
      </c>
      <c r="AA7732">
        <v>252.23</v>
      </c>
      <c r="AB7732">
        <v>1646.38</v>
      </c>
      <c r="AC7732">
        <v>220</v>
      </c>
      <c r="AD7732">
        <v>0</v>
      </c>
      <c r="AE7732">
        <v>32.229999999999997</v>
      </c>
      <c r="AF7732">
        <v>0</v>
      </c>
      <c r="AG7732">
        <v>0</v>
      </c>
      <c r="AH7732">
        <v>0</v>
      </c>
      <c r="AI7732">
        <v>45.4</v>
      </c>
      <c r="AJ7732">
        <v>252.23</v>
      </c>
      <c r="AK7732">
        <v>0</v>
      </c>
      <c r="AL7732" t="s">
        <v>53</v>
      </c>
      <c r="AM7732" t="s">
        <v>53</v>
      </c>
      <c r="AN7732" t="s">
        <v>14382</v>
      </c>
      <c r="AO7732" t="s">
        <v>53</v>
      </c>
      <c r="AP7732" t="s">
        <v>53</v>
      </c>
    </row>
    <row r="7733" spans="2:42" x14ac:dyDescent="0.2">
      <c r="B7733" t="s">
        <v>44</v>
      </c>
      <c r="C7733" t="str">
        <f>HYPERLINK("https://us2.cloudbeds.com/connect/8493803454333002#/reservations/9080486847774282?display=46MAFSCGMV&amp;reservation_id=9080486847774282", "46MAFSCGMV")</f>
        <v>46MAFSCGMV</v>
      </c>
      <c r="D7733" t="s">
        <v>45</v>
      </c>
      <c r="E7733" t="s">
        <v>69</v>
      </c>
      <c r="F7733" t="s">
        <v>70</v>
      </c>
      <c r="G7733" t="s">
        <v>48</v>
      </c>
      <c r="H7733" t="s">
        <v>49</v>
      </c>
      <c r="I7733" t="s">
        <v>50</v>
      </c>
      <c r="J7733" t="s">
        <v>9936</v>
      </c>
      <c r="K7733" t="s">
        <v>11295</v>
      </c>
      <c r="L7733" t="s">
        <v>53</v>
      </c>
      <c r="N7733" t="s">
        <v>14383</v>
      </c>
      <c r="P7733" t="s">
        <v>55</v>
      </c>
      <c r="R7733" t="s">
        <v>53</v>
      </c>
      <c r="T7733" t="s">
        <v>14384</v>
      </c>
      <c r="U7733" t="s">
        <v>58</v>
      </c>
      <c r="V7733">
        <v>1</v>
      </c>
      <c r="W7733">
        <v>1</v>
      </c>
      <c r="X7733">
        <v>2</v>
      </c>
      <c r="Y7733">
        <v>0</v>
      </c>
      <c r="Z7733">
        <v>2</v>
      </c>
      <c r="AA7733">
        <v>72.459999999999994</v>
      </c>
      <c r="AB7733">
        <v>72.459999999999994</v>
      </c>
      <c r="AC7733">
        <v>63.75</v>
      </c>
      <c r="AD7733">
        <v>0</v>
      </c>
      <c r="AE7733">
        <v>8.7100000000000009</v>
      </c>
      <c r="AF7733">
        <v>0</v>
      </c>
      <c r="AG7733">
        <v>0</v>
      </c>
      <c r="AH7733">
        <v>0</v>
      </c>
      <c r="AI7733">
        <v>13.04</v>
      </c>
      <c r="AJ7733">
        <v>72.459999999999994</v>
      </c>
      <c r="AK7733">
        <v>0</v>
      </c>
      <c r="AL7733" t="s">
        <v>53</v>
      </c>
      <c r="AM7733" t="s">
        <v>53</v>
      </c>
      <c r="AN7733" t="s">
        <v>14385</v>
      </c>
      <c r="AO7733" t="s">
        <v>53</v>
      </c>
      <c r="AP7733" t="s">
        <v>53</v>
      </c>
    </row>
    <row r="7734" spans="2:42" x14ac:dyDescent="0.2">
      <c r="B7734" t="s">
        <v>44</v>
      </c>
      <c r="C7734" t="str">
        <f>HYPERLINK("https://us2.cloudbeds.com/connect/8493803454333002#/reservations/9080486847774986?display=46MVWAZYT8&amp;reservation_id=9080486847774986", "46MVWAZYT8")</f>
        <v>46MVWAZYT8</v>
      </c>
      <c r="D7734" t="s">
        <v>45</v>
      </c>
      <c r="E7734" t="s">
        <v>69</v>
      </c>
      <c r="F7734" t="s">
        <v>70</v>
      </c>
      <c r="G7734" t="s">
        <v>48</v>
      </c>
      <c r="H7734" t="s">
        <v>49</v>
      </c>
      <c r="I7734" t="s">
        <v>8964</v>
      </c>
      <c r="J7734" t="s">
        <v>9969</v>
      </c>
      <c r="K7734" t="s">
        <v>9936</v>
      </c>
      <c r="L7734" t="s">
        <v>53</v>
      </c>
      <c r="N7734" t="s">
        <v>14386</v>
      </c>
      <c r="P7734" t="s">
        <v>55</v>
      </c>
      <c r="R7734" t="s">
        <v>53</v>
      </c>
      <c r="T7734" t="s">
        <v>14387</v>
      </c>
      <c r="U7734" t="s">
        <v>55</v>
      </c>
      <c r="V7734">
        <v>1</v>
      </c>
      <c r="W7734">
        <v>1</v>
      </c>
      <c r="X7734">
        <v>2</v>
      </c>
      <c r="Y7734">
        <v>0</v>
      </c>
      <c r="Z7734">
        <v>2</v>
      </c>
      <c r="AA7734">
        <v>78</v>
      </c>
      <c r="AB7734">
        <v>0</v>
      </c>
      <c r="AC7734">
        <v>78</v>
      </c>
      <c r="AD7734">
        <v>0</v>
      </c>
      <c r="AE7734">
        <v>0</v>
      </c>
      <c r="AF7734">
        <v>0</v>
      </c>
      <c r="AG7734">
        <v>0</v>
      </c>
      <c r="AH7734">
        <v>0</v>
      </c>
      <c r="AI7734">
        <v>11.7</v>
      </c>
      <c r="AJ7734">
        <v>78</v>
      </c>
      <c r="AK7734">
        <v>78</v>
      </c>
      <c r="AL7734" t="s">
        <v>53</v>
      </c>
      <c r="AM7734" t="s">
        <v>53</v>
      </c>
      <c r="AN7734" t="s">
        <v>53</v>
      </c>
      <c r="AO7734" t="s">
        <v>53</v>
      </c>
      <c r="AP7734" t="s">
        <v>53</v>
      </c>
    </row>
    <row r="7735" spans="2:42" x14ac:dyDescent="0.2">
      <c r="B7735" t="s">
        <v>44</v>
      </c>
      <c r="C7735" t="str">
        <f>HYPERLINK("https://us2.cloudbeds.com/connect/8493803454333002#/reservations/9080486847775516?display=46NGZV3M3A&amp;reservation_id=9080486847775516", "46NGZV3M3A")</f>
        <v>46NGZV3M3A</v>
      </c>
      <c r="D7735" t="s">
        <v>45</v>
      </c>
      <c r="E7735" t="s">
        <v>98</v>
      </c>
      <c r="F7735" t="s">
        <v>86</v>
      </c>
      <c r="G7735" t="s">
        <v>48</v>
      </c>
      <c r="H7735" t="s">
        <v>49</v>
      </c>
      <c r="I7735" t="s">
        <v>50</v>
      </c>
      <c r="J7735" t="s">
        <v>11296</v>
      </c>
      <c r="K7735" t="s">
        <v>13941</v>
      </c>
      <c r="L7735" t="s">
        <v>53</v>
      </c>
      <c r="N7735" t="s">
        <v>14388</v>
      </c>
      <c r="P7735" t="s">
        <v>55</v>
      </c>
      <c r="R7735" t="s">
        <v>53</v>
      </c>
      <c r="T7735" t="s">
        <v>14389</v>
      </c>
      <c r="U7735" t="s">
        <v>58</v>
      </c>
      <c r="V7735">
        <v>1</v>
      </c>
      <c r="W7735">
        <v>1</v>
      </c>
      <c r="X7735">
        <v>3</v>
      </c>
      <c r="Y7735">
        <v>1</v>
      </c>
      <c r="Z7735">
        <v>4</v>
      </c>
      <c r="AA7735">
        <v>119.11</v>
      </c>
      <c r="AB7735">
        <v>119.11</v>
      </c>
      <c r="AC7735">
        <v>104.8</v>
      </c>
      <c r="AD7735">
        <v>0</v>
      </c>
      <c r="AE7735">
        <v>14.31</v>
      </c>
      <c r="AF7735">
        <v>0</v>
      </c>
      <c r="AG7735">
        <v>0</v>
      </c>
      <c r="AH7735">
        <v>0</v>
      </c>
      <c r="AI7735">
        <v>21.44</v>
      </c>
      <c r="AJ7735">
        <v>119.11</v>
      </c>
      <c r="AK7735">
        <v>0</v>
      </c>
      <c r="AL7735" t="s">
        <v>53</v>
      </c>
      <c r="AM7735" t="s">
        <v>53</v>
      </c>
      <c r="AN7735" t="s">
        <v>53</v>
      </c>
      <c r="AO7735" t="s">
        <v>53</v>
      </c>
      <c r="AP7735" t="s">
        <v>53</v>
      </c>
    </row>
    <row r="7736" spans="2:42" x14ac:dyDescent="0.2">
      <c r="B7736" t="s">
        <v>44</v>
      </c>
      <c r="C7736" t="str">
        <f>HYPERLINK("https://us2.cloudbeds.com/connect/8493803454333002#/reservations/9080486847778811?display=46QVBF64FE&amp;reservation_id=9080486847778811", "46QVBF64FE")</f>
        <v>46QVBF64FE</v>
      </c>
      <c r="D7736" t="s">
        <v>45</v>
      </c>
      <c r="E7736" t="s">
        <v>138</v>
      </c>
      <c r="F7736" t="s">
        <v>70</v>
      </c>
      <c r="G7736" t="s">
        <v>48</v>
      </c>
      <c r="H7736" t="s">
        <v>49</v>
      </c>
      <c r="I7736" t="s">
        <v>50</v>
      </c>
      <c r="J7736" t="s">
        <v>14390</v>
      </c>
      <c r="K7736" t="s">
        <v>14391</v>
      </c>
      <c r="L7736" t="s">
        <v>53</v>
      </c>
      <c r="N7736" t="s">
        <v>14392</v>
      </c>
      <c r="P7736" t="s">
        <v>55</v>
      </c>
      <c r="R7736" t="s">
        <v>53</v>
      </c>
      <c r="T7736" t="s">
        <v>14393</v>
      </c>
      <c r="U7736" t="s">
        <v>58</v>
      </c>
      <c r="V7736">
        <v>1</v>
      </c>
      <c r="W7736">
        <v>1</v>
      </c>
      <c r="X7736">
        <v>2</v>
      </c>
      <c r="Y7736">
        <v>0</v>
      </c>
      <c r="Z7736">
        <v>2</v>
      </c>
      <c r="AA7736">
        <v>168.2</v>
      </c>
      <c r="AB7736">
        <v>169.68</v>
      </c>
      <c r="AC7736">
        <v>148</v>
      </c>
      <c r="AD7736">
        <v>0</v>
      </c>
      <c r="AE7736">
        <v>21.68</v>
      </c>
      <c r="AF7736">
        <v>0</v>
      </c>
      <c r="AG7736">
        <v>0</v>
      </c>
      <c r="AH7736">
        <v>0</v>
      </c>
      <c r="AI7736">
        <v>30.54</v>
      </c>
      <c r="AJ7736">
        <v>169.68</v>
      </c>
      <c r="AK7736">
        <v>0</v>
      </c>
      <c r="AL7736" t="s">
        <v>53</v>
      </c>
      <c r="AM7736" t="s">
        <v>53</v>
      </c>
      <c r="AN7736" t="s">
        <v>53</v>
      </c>
      <c r="AO7736" t="s">
        <v>53</v>
      </c>
      <c r="AP7736" t="s">
        <v>53</v>
      </c>
    </row>
    <row r="7737" spans="2:42" x14ac:dyDescent="0.2">
      <c r="B7737" t="s">
        <v>44</v>
      </c>
      <c r="C7737" t="str">
        <f>HYPERLINK("https://us2.cloudbeds.com/connect/8493803454333002#/reservations/9080486847783079?display=46TMVPXQK7&amp;reservation_id=9080486847783079", "46TMVPXQK7")</f>
        <v>46TMVPXQK7</v>
      </c>
      <c r="D7737" t="s">
        <v>45</v>
      </c>
      <c r="E7737" t="s">
        <v>190</v>
      </c>
      <c r="F7737" t="s">
        <v>61</v>
      </c>
      <c r="G7737" t="s">
        <v>48</v>
      </c>
      <c r="H7737" t="s">
        <v>49</v>
      </c>
      <c r="I7737" t="s">
        <v>62</v>
      </c>
      <c r="J7737" t="s">
        <v>10681</v>
      </c>
      <c r="K7737" t="s">
        <v>11296</v>
      </c>
      <c r="L7737" t="s">
        <v>53</v>
      </c>
      <c r="N7737" t="s">
        <v>14394</v>
      </c>
      <c r="P7737" t="s">
        <v>55</v>
      </c>
      <c r="R7737" t="s">
        <v>56</v>
      </c>
      <c r="T7737" t="s">
        <v>14395</v>
      </c>
      <c r="U7737" t="s">
        <v>55</v>
      </c>
      <c r="V7737">
        <v>2</v>
      </c>
      <c r="W7737">
        <v>1</v>
      </c>
      <c r="X7737">
        <v>2</v>
      </c>
      <c r="Y7737">
        <v>0</v>
      </c>
      <c r="Z7737">
        <v>2</v>
      </c>
      <c r="AA7737">
        <v>174.25</v>
      </c>
      <c r="AB7737">
        <v>174.25</v>
      </c>
      <c r="AC7737">
        <v>174.25</v>
      </c>
      <c r="AD7737">
        <v>0</v>
      </c>
      <c r="AE7737">
        <v>0</v>
      </c>
      <c r="AF7737">
        <v>0</v>
      </c>
      <c r="AG7737">
        <v>0</v>
      </c>
      <c r="AH7737">
        <v>0</v>
      </c>
      <c r="AI7737">
        <v>31.37</v>
      </c>
      <c r="AJ7737">
        <v>174.25</v>
      </c>
      <c r="AK7737">
        <v>0</v>
      </c>
      <c r="AL7737" t="s">
        <v>53</v>
      </c>
      <c r="AM7737" t="s">
        <v>53</v>
      </c>
      <c r="AN7737" t="s">
        <v>53</v>
      </c>
      <c r="AO7737" t="s">
        <v>53</v>
      </c>
      <c r="AP7737" t="s">
        <v>53</v>
      </c>
    </row>
    <row r="7738" spans="2:42" x14ac:dyDescent="0.2">
      <c r="B7738" t="s">
        <v>44</v>
      </c>
      <c r="C7738" t="str">
        <f>HYPERLINK("https://us2.cloudbeds.com/connect/8493803454333002#/reservations/195396653617338?display=46UQ3D0XZT&amp;reservation_id=195396653617338", "46UQ3D0XZT")</f>
        <v>46UQ3D0XZT</v>
      </c>
      <c r="D7738" t="s">
        <v>45</v>
      </c>
      <c r="E7738" t="s">
        <v>373</v>
      </c>
      <c r="F7738" t="s">
        <v>47</v>
      </c>
      <c r="G7738" t="s">
        <v>48</v>
      </c>
      <c r="H7738" t="s">
        <v>3957</v>
      </c>
      <c r="I7738" t="s">
        <v>3958</v>
      </c>
      <c r="J7738" t="s">
        <v>9936</v>
      </c>
      <c r="K7738" t="s">
        <v>11295</v>
      </c>
      <c r="L7738" t="s">
        <v>53</v>
      </c>
      <c r="P7738" t="s">
        <v>55</v>
      </c>
      <c r="R7738" t="s">
        <v>56</v>
      </c>
      <c r="T7738" t="s">
        <v>14396</v>
      </c>
      <c r="U7738" t="s">
        <v>58</v>
      </c>
      <c r="V7738">
        <v>1</v>
      </c>
      <c r="W7738">
        <v>1</v>
      </c>
      <c r="X7738">
        <v>1</v>
      </c>
      <c r="Y7738">
        <v>0</v>
      </c>
      <c r="Z7738">
        <v>1</v>
      </c>
      <c r="AA7738">
        <v>96.61</v>
      </c>
      <c r="AB7738">
        <v>96.61</v>
      </c>
      <c r="AC7738">
        <v>85</v>
      </c>
      <c r="AD7738">
        <v>0</v>
      </c>
      <c r="AE7738">
        <v>11.61</v>
      </c>
      <c r="AF7738">
        <v>0</v>
      </c>
      <c r="AG7738">
        <v>0</v>
      </c>
      <c r="AH7738">
        <v>0</v>
      </c>
      <c r="AI7738">
        <v>0</v>
      </c>
      <c r="AJ7738">
        <v>96.61</v>
      </c>
      <c r="AK7738">
        <v>0</v>
      </c>
      <c r="AL7738" t="s">
        <v>53</v>
      </c>
      <c r="AM7738" t="s">
        <v>53</v>
      </c>
      <c r="AN7738" t="s">
        <v>53</v>
      </c>
      <c r="AO7738" t="s">
        <v>53</v>
      </c>
      <c r="AP7738" t="s">
        <v>53</v>
      </c>
    </row>
    <row r="7739" spans="2:42" x14ac:dyDescent="0.2">
      <c r="B7739" t="s">
        <v>44</v>
      </c>
      <c r="C7739" t="str">
        <f>HYPERLINK("https://us2.cloudbeds.com/connect/8493803454333002#/reservations/9080486847784612?display=46V2F327VX&amp;reservation_id=9080486847784612", "46V2F327VX")</f>
        <v>46V2F327VX</v>
      </c>
      <c r="D7739" t="s">
        <v>45</v>
      </c>
      <c r="E7739" t="s">
        <v>105</v>
      </c>
      <c r="F7739" t="s">
        <v>47</v>
      </c>
      <c r="G7739" t="s">
        <v>48</v>
      </c>
      <c r="H7739" t="s">
        <v>49</v>
      </c>
      <c r="I7739" t="s">
        <v>62</v>
      </c>
      <c r="J7739" t="s">
        <v>12566</v>
      </c>
      <c r="K7739" t="s">
        <v>14312</v>
      </c>
      <c r="L7739" t="s">
        <v>53</v>
      </c>
      <c r="N7739" t="s">
        <v>14397</v>
      </c>
      <c r="P7739" t="s">
        <v>55</v>
      </c>
      <c r="R7739" t="s">
        <v>56</v>
      </c>
      <c r="T7739" t="s">
        <v>14398</v>
      </c>
      <c r="U7739" t="s">
        <v>55</v>
      </c>
      <c r="V7739">
        <v>2</v>
      </c>
      <c r="W7739">
        <v>1</v>
      </c>
      <c r="X7739">
        <v>2</v>
      </c>
      <c r="Y7739">
        <v>0</v>
      </c>
      <c r="Z7739">
        <v>2</v>
      </c>
      <c r="AA7739">
        <v>164.9</v>
      </c>
      <c r="AB7739">
        <v>164.9</v>
      </c>
      <c r="AC7739">
        <v>164.9</v>
      </c>
      <c r="AD7739">
        <v>0</v>
      </c>
      <c r="AE7739">
        <v>0</v>
      </c>
      <c r="AF7739">
        <v>0</v>
      </c>
      <c r="AG7739">
        <v>0</v>
      </c>
      <c r="AH7739">
        <v>0</v>
      </c>
      <c r="AI7739">
        <v>29.68</v>
      </c>
      <c r="AJ7739">
        <v>164.9</v>
      </c>
      <c r="AK7739">
        <v>0</v>
      </c>
      <c r="AL7739" t="s">
        <v>53</v>
      </c>
      <c r="AM7739" t="s">
        <v>53</v>
      </c>
      <c r="AN7739" t="s">
        <v>53</v>
      </c>
      <c r="AO7739" t="s">
        <v>53</v>
      </c>
      <c r="AP7739" t="s">
        <v>53</v>
      </c>
    </row>
    <row r="7740" spans="2:42" x14ac:dyDescent="0.2">
      <c r="B7740" t="s">
        <v>44</v>
      </c>
      <c r="C7740" t="str">
        <f>HYPERLINK("https://us2.cloudbeds.com/connect/8493803454333002#/reservations/9080486847785570?display=46W023GZQA&amp;reservation_id=9080486847785570", "46W023GZQA")</f>
        <v>46W023GZQA</v>
      </c>
      <c r="D7740" t="s">
        <v>45</v>
      </c>
      <c r="E7740" t="s">
        <v>185</v>
      </c>
      <c r="F7740" t="s">
        <v>47</v>
      </c>
      <c r="G7740" t="s">
        <v>48</v>
      </c>
      <c r="H7740" t="s">
        <v>49</v>
      </c>
      <c r="I7740" t="s">
        <v>62</v>
      </c>
      <c r="J7740" t="s">
        <v>14399</v>
      </c>
      <c r="K7740" t="s">
        <v>14312</v>
      </c>
      <c r="L7740" t="s">
        <v>53</v>
      </c>
      <c r="N7740" t="s">
        <v>14400</v>
      </c>
      <c r="P7740" t="s">
        <v>55</v>
      </c>
      <c r="R7740" t="s">
        <v>56</v>
      </c>
      <c r="T7740" t="s">
        <v>14401</v>
      </c>
      <c r="U7740" t="s">
        <v>55</v>
      </c>
      <c r="V7740">
        <v>1</v>
      </c>
      <c r="W7740">
        <v>1</v>
      </c>
      <c r="X7740">
        <v>2</v>
      </c>
      <c r="Y7740">
        <v>0</v>
      </c>
      <c r="Z7740">
        <v>2</v>
      </c>
      <c r="AA7740">
        <v>82.45</v>
      </c>
      <c r="AB7740">
        <v>82.45</v>
      </c>
      <c r="AC7740">
        <v>82.45</v>
      </c>
      <c r="AD7740">
        <v>0</v>
      </c>
      <c r="AE7740">
        <v>0</v>
      </c>
      <c r="AF7740">
        <v>0</v>
      </c>
      <c r="AG7740">
        <v>0</v>
      </c>
      <c r="AH7740">
        <v>0</v>
      </c>
      <c r="AI7740">
        <v>14.84</v>
      </c>
      <c r="AJ7740">
        <v>82.45</v>
      </c>
      <c r="AK7740">
        <v>0</v>
      </c>
      <c r="AL7740" t="s">
        <v>53</v>
      </c>
      <c r="AM7740" t="s">
        <v>53</v>
      </c>
      <c r="AN7740" t="s">
        <v>53</v>
      </c>
      <c r="AO7740" t="s">
        <v>53</v>
      </c>
      <c r="AP7740" t="s">
        <v>53</v>
      </c>
    </row>
    <row r="7741" spans="2:42" x14ac:dyDescent="0.2">
      <c r="B7741" t="s">
        <v>44</v>
      </c>
      <c r="C7741" t="str">
        <f>HYPERLINK("https://us2.cloudbeds.com/connect/8493803454333002#/reservations/195705522680017?display=47518NJHUU&amp;reservation_id=195705522680017", "47518NJHUU")</f>
        <v>47518NJHUU</v>
      </c>
      <c r="D7741" t="s">
        <v>45</v>
      </c>
      <c r="E7741" t="s">
        <v>14402</v>
      </c>
      <c r="F7741" t="s">
        <v>14403</v>
      </c>
      <c r="G7741" t="s">
        <v>3974</v>
      </c>
      <c r="H7741" t="s">
        <v>3957</v>
      </c>
      <c r="I7741" t="s">
        <v>3975</v>
      </c>
      <c r="J7741" t="s">
        <v>14354</v>
      </c>
      <c r="K7741" t="s">
        <v>13676</v>
      </c>
      <c r="L7741" t="s">
        <v>53</v>
      </c>
      <c r="P7741" t="s">
        <v>55</v>
      </c>
      <c r="R7741" t="s">
        <v>56</v>
      </c>
      <c r="T7741" t="s">
        <v>14404</v>
      </c>
      <c r="U7741" t="s">
        <v>58</v>
      </c>
      <c r="V7741">
        <v>2</v>
      </c>
      <c r="W7741">
        <v>1</v>
      </c>
      <c r="X7741">
        <v>2</v>
      </c>
      <c r="Y7741">
        <v>0</v>
      </c>
      <c r="Z7741">
        <v>2</v>
      </c>
      <c r="AA7741">
        <v>268.83999999999997</v>
      </c>
      <c r="AB7741">
        <v>271.20999999999998</v>
      </c>
      <c r="AC7741">
        <v>236.55</v>
      </c>
      <c r="AD7741">
        <v>0</v>
      </c>
      <c r="AE7741">
        <v>34.659999999999997</v>
      </c>
      <c r="AF7741">
        <v>0</v>
      </c>
      <c r="AG7741">
        <v>0</v>
      </c>
      <c r="AH7741">
        <v>0</v>
      </c>
      <c r="AI7741">
        <v>0</v>
      </c>
      <c r="AJ7741">
        <v>271.20999999999998</v>
      </c>
      <c r="AK7741">
        <v>0</v>
      </c>
      <c r="AL7741" t="s">
        <v>53</v>
      </c>
      <c r="AM7741" t="s">
        <v>53</v>
      </c>
      <c r="AN7741" t="s">
        <v>53</v>
      </c>
      <c r="AO7741" t="s">
        <v>53</v>
      </c>
      <c r="AP7741" t="s">
        <v>53</v>
      </c>
    </row>
    <row r="7742" spans="2:42" x14ac:dyDescent="0.2">
      <c r="B7742" t="s">
        <v>44</v>
      </c>
      <c r="C7742" t="str">
        <f>HYPERLINK("https://us2.cloudbeds.com/connect/8493803454333002#/reservations/9080486847793745?display=475XC9RK03&amp;reservation_id=9080486847793745", "475XC9RK03")</f>
        <v>475XC9RK03</v>
      </c>
      <c r="D7742" t="s">
        <v>45</v>
      </c>
      <c r="E7742" t="s">
        <v>105</v>
      </c>
      <c r="F7742" t="s">
        <v>47</v>
      </c>
      <c r="G7742" t="s">
        <v>48</v>
      </c>
      <c r="H7742" t="s">
        <v>49</v>
      </c>
      <c r="I7742" t="s">
        <v>50</v>
      </c>
      <c r="J7742" t="s">
        <v>11295</v>
      </c>
      <c r="K7742" t="s">
        <v>10681</v>
      </c>
      <c r="L7742" t="s">
        <v>53</v>
      </c>
      <c r="N7742" t="s">
        <v>14405</v>
      </c>
      <c r="P7742" t="s">
        <v>55</v>
      </c>
      <c r="R7742" t="s">
        <v>53</v>
      </c>
      <c r="T7742" t="s">
        <v>14406</v>
      </c>
      <c r="U7742" t="s">
        <v>58</v>
      </c>
      <c r="V7742">
        <v>2</v>
      </c>
      <c r="W7742">
        <v>1</v>
      </c>
      <c r="X7742">
        <v>1</v>
      </c>
      <c r="Y7742">
        <v>0</v>
      </c>
      <c r="Z7742">
        <v>1</v>
      </c>
      <c r="AA7742">
        <v>167.91</v>
      </c>
      <c r="AB7742">
        <v>167.91</v>
      </c>
      <c r="AC7742">
        <v>147.74</v>
      </c>
      <c r="AD7742">
        <v>0</v>
      </c>
      <c r="AE7742">
        <v>20.170000000000002</v>
      </c>
      <c r="AF7742">
        <v>0</v>
      </c>
      <c r="AG7742">
        <v>0</v>
      </c>
      <c r="AH7742">
        <v>0</v>
      </c>
      <c r="AI7742">
        <v>30.22</v>
      </c>
      <c r="AJ7742">
        <v>167.91</v>
      </c>
      <c r="AK7742">
        <v>0</v>
      </c>
      <c r="AL7742" t="s">
        <v>53</v>
      </c>
      <c r="AM7742" t="s">
        <v>53</v>
      </c>
      <c r="AN7742" t="s">
        <v>53</v>
      </c>
      <c r="AO7742" t="s">
        <v>53</v>
      </c>
      <c r="AP7742" t="s">
        <v>53</v>
      </c>
    </row>
    <row r="7743" spans="2:42" x14ac:dyDescent="0.2">
      <c r="B7743" t="s">
        <v>44</v>
      </c>
      <c r="C7743" t="str">
        <f>HYPERLINK("https://us2.cloudbeds.com/connect/8493803454333002#/reservations/9080486847804200?display=47EFE8X54T&amp;reservation_id=9080486847804200", "47EFE8X54T")</f>
        <v>47EFE8X54T</v>
      </c>
      <c r="D7743" t="s">
        <v>45</v>
      </c>
      <c r="E7743" t="s">
        <v>138</v>
      </c>
      <c r="F7743" t="s">
        <v>70</v>
      </c>
      <c r="G7743" t="s">
        <v>48</v>
      </c>
      <c r="H7743" t="s">
        <v>49</v>
      </c>
      <c r="I7743" t="s">
        <v>62</v>
      </c>
      <c r="J7743" t="s">
        <v>11296</v>
      </c>
      <c r="K7743" t="s">
        <v>13941</v>
      </c>
      <c r="L7743" t="s">
        <v>53</v>
      </c>
      <c r="N7743" t="s">
        <v>14407</v>
      </c>
      <c r="P7743" t="s">
        <v>55</v>
      </c>
      <c r="R7743" t="s">
        <v>56</v>
      </c>
      <c r="T7743" t="s">
        <v>14408</v>
      </c>
      <c r="U7743" t="s">
        <v>55</v>
      </c>
      <c r="V7743">
        <v>1</v>
      </c>
      <c r="W7743">
        <v>1</v>
      </c>
      <c r="X7743">
        <v>2</v>
      </c>
      <c r="Y7743">
        <v>0</v>
      </c>
      <c r="Z7743">
        <v>2</v>
      </c>
      <c r="AA7743">
        <v>68.849999999999994</v>
      </c>
      <c r="AB7743">
        <v>68.849999999999994</v>
      </c>
      <c r="AC7743">
        <v>68.849999999999994</v>
      </c>
      <c r="AD7743">
        <v>0</v>
      </c>
      <c r="AE7743">
        <v>0</v>
      </c>
      <c r="AF7743">
        <v>0</v>
      </c>
      <c r="AG7743">
        <v>0</v>
      </c>
      <c r="AH7743">
        <v>0</v>
      </c>
      <c r="AI7743">
        <v>12.39</v>
      </c>
      <c r="AJ7743">
        <v>68.849999999999994</v>
      </c>
      <c r="AK7743">
        <v>0</v>
      </c>
      <c r="AL7743" t="s">
        <v>53</v>
      </c>
      <c r="AM7743" t="s">
        <v>53</v>
      </c>
      <c r="AN7743" t="s">
        <v>14409</v>
      </c>
      <c r="AO7743" t="s">
        <v>53</v>
      </c>
      <c r="AP7743" t="s">
        <v>53</v>
      </c>
    </row>
    <row r="7744" spans="2:42" x14ac:dyDescent="0.2">
      <c r="B7744" t="s">
        <v>44</v>
      </c>
      <c r="C7744" t="str">
        <f>HYPERLINK("https://us2.cloudbeds.com/connect/8493803454333002#/reservations/9080486847811943?display=47Y2EG7M0F&amp;reservation_id=9080486847811943", "47Y2EG7M0F")</f>
        <v>47Y2EG7M0F</v>
      </c>
      <c r="D7744" t="s">
        <v>45</v>
      </c>
      <c r="E7744" t="s">
        <v>105</v>
      </c>
      <c r="F7744" t="s">
        <v>47</v>
      </c>
      <c r="G7744" t="s">
        <v>48</v>
      </c>
      <c r="H7744" t="s">
        <v>49</v>
      </c>
      <c r="I7744" t="s">
        <v>62</v>
      </c>
      <c r="J7744" t="s">
        <v>13024</v>
      </c>
      <c r="K7744" t="s">
        <v>13726</v>
      </c>
      <c r="L7744" t="s">
        <v>53</v>
      </c>
      <c r="N7744" t="s">
        <v>14410</v>
      </c>
      <c r="P7744" t="s">
        <v>55</v>
      </c>
      <c r="R7744" t="s">
        <v>56</v>
      </c>
      <c r="T7744" t="s">
        <v>14411</v>
      </c>
      <c r="U7744" t="s">
        <v>55</v>
      </c>
      <c r="V7744">
        <v>4</v>
      </c>
      <c r="W7744">
        <v>1</v>
      </c>
      <c r="X7744">
        <v>2</v>
      </c>
      <c r="Y7744">
        <v>0</v>
      </c>
      <c r="Z7744">
        <v>2</v>
      </c>
      <c r="AA7744">
        <v>303.49</v>
      </c>
      <c r="AB7744">
        <v>303.49</v>
      </c>
      <c r="AC7744">
        <v>303.49</v>
      </c>
      <c r="AD7744">
        <v>0</v>
      </c>
      <c r="AE7744">
        <v>0</v>
      </c>
      <c r="AF7744">
        <v>0</v>
      </c>
      <c r="AG7744">
        <v>0</v>
      </c>
      <c r="AH7744">
        <v>0</v>
      </c>
      <c r="AI7744">
        <v>54.63</v>
      </c>
      <c r="AJ7744">
        <v>303.49</v>
      </c>
      <c r="AK7744">
        <v>0</v>
      </c>
      <c r="AL7744" t="s">
        <v>53</v>
      </c>
      <c r="AM7744" t="s">
        <v>53</v>
      </c>
      <c r="AN7744" t="s">
        <v>14412</v>
      </c>
      <c r="AO7744" t="s">
        <v>53</v>
      </c>
      <c r="AP7744" t="s">
        <v>53</v>
      </c>
    </row>
    <row r="7745" spans="2:42" x14ac:dyDescent="0.2">
      <c r="B7745" t="s">
        <v>44</v>
      </c>
      <c r="C7745" t="str">
        <f>HYPERLINK("https://us2.cloudbeds.com/connect/8493803454333002#/reservations/9080486847818167?display=47R3KV41B0&amp;reservation_id=9080486847818167", "47R3KV41B0")</f>
        <v>47R3KV41B0</v>
      </c>
      <c r="D7745" t="s">
        <v>45</v>
      </c>
      <c r="E7745" t="s">
        <v>381</v>
      </c>
      <c r="F7745" t="s">
        <v>47</v>
      </c>
      <c r="G7745" t="s">
        <v>48</v>
      </c>
      <c r="H7745" t="s">
        <v>49</v>
      </c>
      <c r="I7745" t="s">
        <v>50</v>
      </c>
      <c r="J7745" t="s">
        <v>13025</v>
      </c>
      <c r="K7745" t="s">
        <v>9711</v>
      </c>
      <c r="L7745" t="s">
        <v>53</v>
      </c>
      <c r="N7745" t="s">
        <v>14413</v>
      </c>
      <c r="P7745" t="s">
        <v>55</v>
      </c>
      <c r="R7745" t="s">
        <v>53</v>
      </c>
      <c r="T7745" t="s">
        <v>14414</v>
      </c>
      <c r="U7745" t="s">
        <v>58</v>
      </c>
      <c r="V7745">
        <v>4</v>
      </c>
      <c r="W7745">
        <v>1</v>
      </c>
      <c r="X7745">
        <v>1</v>
      </c>
      <c r="Y7745">
        <v>0</v>
      </c>
      <c r="Z7745">
        <v>1</v>
      </c>
      <c r="AA7745">
        <v>338.75</v>
      </c>
      <c r="AB7745">
        <v>338.75</v>
      </c>
      <c r="AC7745">
        <v>298.08</v>
      </c>
      <c r="AD7745">
        <v>0</v>
      </c>
      <c r="AE7745">
        <v>40.67</v>
      </c>
      <c r="AF7745">
        <v>0</v>
      </c>
      <c r="AG7745">
        <v>0</v>
      </c>
      <c r="AH7745">
        <v>0</v>
      </c>
      <c r="AI7745">
        <v>60.98</v>
      </c>
      <c r="AJ7745">
        <v>338.75</v>
      </c>
      <c r="AK7745">
        <v>0</v>
      </c>
      <c r="AL7745" t="s">
        <v>53</v>
      </c>
      <c r="AM7745" t="s">
        <v>53</v>
      </c>
      <c r="AN7745" t="s">
        <v>14415</v>
      </c>
      <c r="AO7745" t="s">
        <v>53</v>
      </c>
      <c r="AP7745" t="s">
        <v>53</v>
      </c>
    </row>
    <row r="7746" spans="2:42" x14ac:dyDescent="0.2">
      <c r="B7746" t="s">
        <v>44</v>
      </c>
      <c r="C7746" t="str">
        <f>HYPERLINK("https://us2.cloudbeds.com/connect/8493803454333002#/reservations/9080486847820973?display=47T1SYQV86&amp;reservation_id=9080486847820973", "47T1SYQV86")</f>
        <v>47T1SYQV86</v>
      </c>
      <c r="D7746" t="s">
        <v>45</v>
      </c>
      <c r="E7746" t="s">
        <v>128</v>
      </c>
      <c r="F7746" t="s">
        <v>86</v>
      </c>
      <c r="G7746" t="s">
        <v>48</v>
      </c>
      <c r="H7746" t="s">
        <v>49</v>
      </c>
      <c r="I7746" t="s">
        <v>62</v>
      </c>
      <c r="J7746" t="s">
        <v>13940</v>
      </c>
      <c r="K7746" t="s">
        <v>11296</v>
      </c>
      <c r="L7746" t="s">
        <v>53</v>
      </c>
      <c r="N7746" t="s">
        <v>14416</v>
      </c>
      <c r="P7746" t="s">
        <v>55</v>
      </c>
      <c r="R7746" t="s">
        <v>56</v>
      </c>
      <c r="T7746" t="s">
        <v>14417</v>
      </c>
      <c r="U7746" t="s">
        <v>55</v>
      </c>
      <c r="V7746">
        <v>1</v>
      </c>
      <c r="W7746">
        <v>1</v>
      </c>
      <c r="X7746">
        <v>2</v>
      </c>
      <c r="Y7746">
        <v>0</v>
      </c>
      <c r="Z7746">
        <v>2</v>
      </c>
      <c r="AA7746">
        <v>117.5</v>
      </c>
      <c r="AB7746">
        <v>117.5</v>
      </c>
      <c r="AC7746">
        <v>117.5</v>
      </c>
      <c r="AD7746">
        <v>0</v>
      </c>
      <c r="AE7746">
        <v>0</v>
      </c>
      <c r="AF7746">
        <v>0</v>
      </c>
      <c r="AG7746">
        <v>0</v>
      </c>
      <c r="AH7746">
        <v>0</v>
      </c>
      <c r="AI7746">
        <v>21.15</v>
      </c>
      <c r="AJ7746">
        <v>117.5</v>
      </c>
      <c r="AK7746">
        <v>0</v>
      </c>
      <c r="AL7746" t="s">
        <v>53</v>
      </c>
      <c r="AM7746" t="s">
        <v>53</v>
      </c>
      <c r="AN7746" t="s">
        <v>53</v>
      </c>
      <c r="AO7746" t="s">
        <v>53</v>
      </c>
      <c r="AP7746" t="s">
        <v>53</v>
      </c>
    </row>
    <row r="7747" spans="2:42" x14ac:dyDescent="0.2">
      <c r="B7747" t="s">
        <v>44</v>
      </c>
      <c r="C7747" t="str">
        <f>HYPERLINK("https://us2.cloudbeds.com/connect/8493803454333002#/reservations/9080486847822775?display=47UEW1EGXN&amp;reservation_id=9080486847822775", "47UEW1EGXN")</f>
        <v>47UEW1EGXN</v>
      </c>
      <c r="D7747" t="s">
        <v>45</v>
      </c>
      <c r="E7747" t="s">
        <v>138</v>
      </c>
      <c r="F7747" t="s">
        <v>70</v>
      </c>
      <c r="G7747" t="s">
        <v>48</v>
      </c>
      <c r="H7747" t="s">
        <v>49</v>
      </c>
      <c r="I7747" t="s">
        <v>62</v>
      </c>
      <c r="J7747" t="s">
        <v>13025</v>
      </c>
      <c r="K7747" t="s">
        <v>13727</v>
      </c>
      <c r="L7747" t="s">
        <v>53</v>
      </c>
      <c r="N7747" t="s">
        <v>14418</v>
      </c>
      <c r="P7747" t="s">
        <v>55</v>
      </c>
      <c r="R7747" t="s">
        <v>56</v>
      </c>
      <c r="T7747" t="s">
        <v>14419</v>
      </c>
      <c r="U7747" t="s">
        <v>55</v>
      </c>
      <c r="V7747">
        <v>2</v>
      </c>
      <c r="W7747">
        <v>1</v>
      </c>
      <c r="X7747">
        <v>2</v>
      </c>
      <c r="Y7747">
        <v>0</v>
      </c>
      <c r="Z7747">
        <v>2</v>
      </c>
      <c r="AA7747">
        <v>130.82</v>
      </c>
      <c r="AB7747">
        <v>130.82</v>
      </c>
      <c r="AC7747">
        <v>130.82</v>
      </c>
      <c r="AD7747">
        <v>0</v>
      </c>
      <c r="AE7747">
        <v>0</v>
      </c>
      <c r="AF7747">
        <v>0</v>
      </c>
      <c r="AG7747">
        <v>0</v>
      </c>
      <c r="AH7747">
        <v>0</v>
      </c>
      <c r="AI7747">
        <v>23.55</v>
      </c>
      <c r="AJ7747">
        <v>130.82</v>
      </c>
      <c r="AK7747">
        <v>0</v>
      </c>
      <c r="AL7747" t="s">
        <v>53</v>
      </c>
      <c r="AM7747" t="s">
        <v>53</v>
      </c>
      <c r="AN7747" t="s">
        <v>53</v>
      </c>
      <c r="AO7747" t="s">
        <v>53</v>
      </c>
      <c r="AP7747" t="s">
        <v>53</v>
      </c>
    </row>
    <row r="7748" spans="2:42" x14ac:dyDescent="0.2">
      <c r="B7748" t="s">
        <v>44</v>
      </c>
      <c r="C7748" t="str">
        <f>HYPERLINK("https://us2.cloudbeds.com/connect/8493803454333002#/reservations/196795907879137?display=47UKXJ91PQ&amp;reservation_id=196795907879137", "47UKXJ91PQ")</f>
        <v>47UKXJ91PQ</v>
      </c>
      <c r="D7748" t="s">
        <v>45</v>
      </c>
      <c r="E7748" t="s">
        <v>185</v>
      </c>
      <c r="F7748" t="s">
        <v>47</v>
      </c>
      <c r="G7748" t="s">
        <v>48</v>
      </c>
      <c r="H7748" t="s">
        <v>3957</v>
      </c>
      <c r="I7748" t="s">
        <v>3975</v>
      </c>
      <c r="J7748" t="s">
        <v>13940</v>
      </c>
      <c r="K7748" t="s">
        <v>11296</v>
      </c>
      <c r="L7748" t="s">
        <v>53</v>
      </c>
      <c r="P7748" t="s">
        <v>55</v>
      </c>
      <c r="R7748" t="s">
        <v>56</v>
      </c>
      <c r="T7748" t="s">
        <v>14420</v>
      </c>
      <c r="U7748" t="s">
        <v>58</v>
      </c>
      <c r="V7748">
        <v>1</v>
      </c>
      <c r="W7748">
        <v>1</v>
      </c>
      <c r="X7748">
        <v>2</v>
      </c>
      <c r="Y7748">
        <v>0</v>
      </c>
      <c r="Z7748">
        <v>2</v>
      </c>
      <c r="AA7748">
        <v>111.38</v>
      </c>
      <c r="AB7748">
        <v>111.38</v>
      </c>
      <c r="AC7748">
        <v>98</v>
      </c>
      <c r="AD7748">
        <v>0</v>
      </c>
      <c r="AE7748">
        <v>13.38</v>
      </c>
      <c r="AF7748">
        <v>0</v>
      </c>
      <c r="AG7748">
        <v>0</v>
      </c>
      <c r="AH7748">
        <v>0</v>
      </c>
      <c r="AI7748">
        <v>0</v>
      </c>
      <c r="AJ7748">
        <v>111.38</v>
      </c>
      <c r="AK7748">
        <v>0</v>
      </c>
      <c r="AL7748" t="s">
        <v>53</v>
      </c>
      <c r="AM7748" t="s">
        <v>53</v>
      </c>
      <c r="AN7748" t="s">
        <v>14421</v>
      </c>
      <c r="AO7748" t="s">
        <v>53</v>
      </c>
      <c r="AP7748" t="s">
        <v>53</v>
      </c>
    </row>
    <row r="7749" spans="2:42" x14ac:dyDescent="0.2">
      <c r="B7749" t="s">
        <v>44</v>
      </c>
      <c r="C7749" t="str">
        <f>HYPERLINK("https://us2.cloudbeds.com/connect/8493803454333002#/reservations/9080486847823962?display=47VN1F5FKA&amp;reservation_id=9080486847823962", "47VN1F5FKA")</f>
        <v>47VN1F5FKA</v>
      </c>
      <c r="D7749" t="s">
        <v>45</v>
      </c>
      <c r="E7749" t="s">
        <v>105</v>
      </c>
      <c r="F7749" t="s">
        <v>47</v>
      </c>
      <c r="G7749" t="s">
        <v>48</v>
      </c>
      <c r="H7749" t="s">
        <v>49</v>
      </c>
      <c r="I7749" t="s">
        <v>62</v>
      </c>
      <c r="J7749" t="s">
        <v>13010</v>
      </c>
      <c r="K7749" t="s">
        <v>13024</v>
      </c>
      <c r="L7749" t="s">
        <v>53</v>
      </c>
      <c r="N7749" t="s">
        <v>14422</v>
      </c>
      <c r="P7749" t="s">
        <v>55</v>
      </c>
      <c r="R7749" t="s">
        <v>56</v>
      </c>
      <c r="T7749" t="s">
        <v>14423</v>
      </c>
      <c r="U7749" t="s">
        <v>55</v>
      </c>
      <c r="V7749">
        <v>2</v>
      </c>
      <c r="W7749">
        <v>1</v>
      </c>
      <c r="X7749">
        <v>2</v>
      </c>
      <c r="Y7749">
        <v>0</v>
      </c>
      <c r="Z7749">
        <v>2</v>
      </c>
      <c r="AA7749">
        <v>230.24</v>
      </c>
      <c r="AB7749">
        <v>230.24</v>
      </c>
      <c r="AC7749">
        <v>230.24</v>
      </c>
      <c r="AD7749">
        <v>0</v>
      </c>
      <c r="AE7749">
        <v>0</v>
      </c>
      <c r="AF7749">
        <v>0</v>
      </c>
      <c r="AG7749">
        <v>0</v>
      </c>
      <c r="AH7749">
        <v>0</v>
      </c>
      <c r="AI7749">
        <v>41.44</v>
      </c>
      <c r="AJ7749">
        <v>230.24</v>
      </c>
      <c r="AK7749">
        <v>0</v>
      </c>
      <c r="AL7749" t="s">
        <v>53</v>
      </c>
      <c r="AM7749" t="s">
        <v>53</v>
      </c>
      <c r="AN7749" t="s">
        <v>14424</v>
      </c>
      <c r="AO7749" t="s">
        <v>53</v>
      </c>
      <c r="AP7749" t="s">
        <v>53</v>
      </c>
    </row>
    <row r="7750" spans="2:42" x14ac:dyDescent="0.2">
      <c r="B7750" t="s">
        <v>44</v>
      </c>
      <c r="C7750" t="str">
        <f>HYPERLINK("https://us2.cloudbeds.com/connect/8493803454333002#/reservations/9080486847823966?display=47VN1F5JCC&amp;reservation_id=9080486847823966", "47VN1F5JCC")</f>
        <v>47VN1F5JCC</v>
      </c>
      <c r="D7750" t="s">
        <v>45</v>
      </c>
      <c r="E7750" t="s">
        <v>85</v>
      </c>
      <c r="F7750" t="s">
        <v>86</v>
      </c>
      <c r="G7750" t="s">
        <v>48</v>
      </c>
      <c r="H7750" t="s">
        <v>49</v>
      </c>
      <c r="I7750" t="s">
        <v>62</v>
      </c>
      <c r="J7750" t="s">
        <v>9711</v>
      </c>
      <c r="K7750" t="s">
        <v>12566</v>
      </c>
      <c r="L7750" t="s">
        <v>53</v>
      </c>
      <c r="N7750" t="s">
        <v>14425</v>
      </c>
      <c r="P7750" t="s">
        <v>55</v>
      </c>
      <c r="R7750" t="s">
        <v>56</v>
      </c>
      <c r="T7750" t="s">
        <v>14426</v>
      </c>
      <c r="U7750" t="s">
        <v>55</v>
      </c>
      <c r="V7750">
        <v>5</v>
      </c>
      <c r="W7750">
        <v>1</v>
      </c>
      <c r="X7750">
        <v>2</v>
      </c>
      <c r="Y7750">
        <v>1</v>
      </c>
      <c r="Z7750">
        <v>3</v>
      </c>
      <c r="AA7750">
        <v>454.4</v>
      </c>
      <c r="AB7750">
        <v>454.4</v>
      </c>
      <c r="AC7750">
        <v>454.4</v>
      </c>
      <c r="AD7750">
        <v>0</v>
      </c>
      <c r="AE7750">
        <v>0</v>
      </c>
      <c r="AF7750">
        <v>0</v>
      </c>
      <c r="AG7750">
        <v>0</v>
      </c>
      <c r="AH7750">
        <v>0</v>
      </c>
      <c r="AI7750">
        <v>81.790000000000006</v>
      </c>
      <c r="AJ7750">
        <v>454.4</v>
      </c>
      <c r="AK7750">
        <v>0</v>
      </c>
      <c r="AL7750" t="s">
        <v>53</v>
      </c>
      <c r="AM7750" t="s">
        <v>53</v>
      </c>
      <c r="AN7750" t="s">
        <v>53</v>
      </c>
      <c r="AO7750" t="s">
        <v>53</v>
      </c>
      <c r="AP7750" t="s">
        <v>53</v>
      </c>
    </row>
    <row r="7751" spans="2:42" x14ac:dyDescent="0.2">
      <c r="B7751" t="s">
        <v>44</v>
      </c>
      <c r="C7751" t="str">
        <f>HYPERLINK("https://us2.cloudbeds.com/connect/8493803454333002#/reservations/9080486847824585?display=47WFBD7RMG&amp;reservation_id=9080486847824585", "47WFBD7RMG")</f>
        <v>47WFBD7RMG</v>
      </c>
      <c r="D7751" t="s">
        <v>45</v>
      </c>
      <c r="E7751" t="s">
        <v>105</v>
      </c>
      <c r="F7751" t="s">
        <v>47</v>
      </c>
      <c r="G7751" t="s">
        <v>48</v>
      </c>
      <c r="H7751" t="s">
        <v>49</v>
      </c>
      <c r="I7751" t="s">
        <v>50</v>
      </c>
      <c r="J7751" t="s">
        <v>13525</v>
      </c>
      <c r="K7751" t="s">
        <v>10861</v>
      </c>
      <c r="L7751" t="s">
        <v>53</v>
      </c>
      <c r="N7751" t="s">
        <v>14427</v>
      </c>
      <c r="P7751" t="s">
        <v>55</v>
      </c>
      <c r="R7751" t="s">
        <v>56</v>
      </c>
      <c r="T7751" t="s">
        <v>14428</v>
      </c>
      <c r="U7751" t="s">
        <v>58</v>
      </c>
      <c r="V7751">
        <v>1</v>
      </c>
      <c r="W7751">
        <v>1</v>
      </c>
      <c r="X7751">
        <v>2</v>
      </c>
      <c r="Y7751">
        <v>0</v>
      </c>
      <c r="Z7751">
        <v>2</v>
      </c>
      <c r="AA7751">
        <v>88.68</v>
      </c>
      <c r="AB7751">
        <v>88.68</v>
      </c>
      <c r="AC7751">
        <v>78.03</v>
      </c>
      <c r="AD7751">
        <v>0</v>
      </c>
      <c r="AE7751">
        <v>10.65</v>
      </c>
      <c r="AF7751">
        <v>0</v>
      </c>
      <c r="AG7751">
        <v>0</v>
      </c>
      <c r="AH7751">
        <v>0</v>
      </c>
      <c r="AI7751">
        <v>15.96</v>
      </c>
      <c r="AJ7751">
        <v>88.68</v>
      </c>
      <c r="AK7751">
        <v>0</v>
      </c>
      <c r="AL7751" t="s">
        <v>53</v>
      </c>
      <c r="AM7751" t="s">
        <v>53</v>
      </c>
      <c r="AN7751" t="s">
        <v>14429</v>
      </c>
      <c r="AO7751" t="s">
        <v>53</v>
      </c>
      <c r="AP7751" t="s">
        <v>53</v>
      </c>
    </row>
    <row r="7752" spans="2:42" x14ac:dyDescent="0.2">
      <c r="B7752" t="s">
        <v>44</v>
      </c>
      <c r="C7752" t="str">
        <f>HYPERLINK("https://us2.cloudbeds.com/connect/8493803454333002#/reservations/9080486847829229?display=483P2HN1T4&amp;reservation_id=9080486847829229", "483P2HN1T4")</f>
        <v>483P2HN1T4</v>
      </c>
      <c r="D7752" t="s">
        <v>45</v>
      </c>
      <c r="E7752" t="s">
        <v>69</v>
      </c>
      <c r="F7752" t="s">
        <v>70</v>
      </c>
      <c r="G7752" t="s">
        <v>48</v>
      </c>
      <c r="H7752" t="s">
        <v>49</v>
      </c>
      <c r="I7752" t="s">
        <v>62</v>
      </c>
      <c r="J7752" t="s">
        <v>11296</v>
      </c>
      <c r="K7752" t="s">
        <v>13941</v>
      </c>
      <c r="L7752" t="s">
        <v>53</v>
      </c>
      <c r="N7752" t="s">
        <v>14430</v>
      </c>
      <c r="P7752" t="s">
        <v>55</v>
      </c>
      <c r="R7752" t="s">
        <v>56</v>
      </c>
      <c r="T7752" t="s">
        <v>14431</v>
      </c>
      <c r="U7752" t="s">
        <v>55</v>
      </c>
      <c r="V7752">
        <v>1</v>
      </c>
      <c r="W7752">
        <v>1</v>
      </c>
      <c r="X7752">
        <v>2</v>
      </c>
      <c r="Y7752">
        <v>0</v>
      </c>
      <c r="Z7752">
        <v>2</v>
      </c>
      <c r="AA7752">
        <v>68.849999999999994</v>
      </c>
      <c r="AB7752">
        <v>76.989999999999995</v>
      </c>
      <c r="AC7752">
        <v>68.849999999999994</v>
      </c>
      <c r="AD7752">
        <v>7.5</v>
      </c>
      <c r="AE7752">
        <v>0.64</v>
      </c>
      <c r="AF7752">
        <v>0</v>
      </c>
      <c r="AG7752">
        <v>0</v>
      </c>
      <c r="AH7752">
        <v>0</v>
      </c>
      <c r="AI7752">
        <v>13.86</v>
      </c>
      <c r="AJ7752">
        <v>76.989999999999995</v>
      </c>
      <c r="AK7752">
        <v>0</v>
      </c>
      <c r="AL7752" t="s">
        <v>53</v>
      </c>
      <c r="AM7752" t="s">
        <v>53</v>
      </c>
      <c r="AN7752" t="s">
        <v>53</v>
      </c>
      <c r="AO7752" t="s">
        <v>53</v>
      </c>
      <c r="AP7752" t="s">
        <v>53</v>
      </c>
    </row>
    <row r="7753" spans="2:42" x14ac:dyDescent="0.2">
      <c r="B7753" t="s">
        <v>44</v>
      </c>
      <c r="C7753" t="str">
        <f>HYPERLINK("https://us2.cloudbeds.com/connect/8493803454333002#/reservations/197155297464517?display=4861RR31H6&amp;reservation_id=197155297464517", "4861RR31H6")</f>
        <v>4861RR31H6</v>
      </c>
      <c r="D7753" t="s">
        <v>45</v>
      </c>
      <c r="E7753" t="s">
        <v>179</v>
      </c>
      <c r="F7753" t="s">
        <v>47</v>
      </c>
      <c r="G7753" t="s">
        <v>48</v>
      </c>
      <c r="H7753" t="s">
        <v>3957</v>
      </c>
      <c r="I7753" t="s">
        <v>3975</v>
      </c>
      <c r="J7753" t="s">
        <v>13010</v>
      </c>
      <c r="K7753" t="s">
        <v>12117</v>
      </c>
      <c r="L7753" t="s">
        <v>53</v>
      </c>
      <c r="P7753" t="s">
        <v>55</v>
      </c>
      <c r="R7753" t="s">
        <v>56</v>
      </c>
      <c r="T7753" t="s">
        <v>14432</v>
      </c>
      <c r="U7753" t="s">
        <v>58</v>
      </c>
      <c r="V7753">
        <v>1</v>
      </c>
      <c r="W7753">
        <v>1</v>
      </c>
      <c r="X7753">
        <v>1</v>
      </c>
      <c r="Y7753">
        <v>0</v>
      </c>
      <c r="Z7753">
        <v>1</v>
      </c>
      <c r="AA7753">
        <v>111.38</v>
      </c>
      <c r="AB7753">
        <v>111.38</v>
      </c>
      <c r="AC7753">
        <v>98</v>
      </c>
      <c r="AD7753">
        <v>0</v>
      </c>
      <c r="AE7753">
        <v>13.38</v>
      </c>
      <c r="AF7753">
        <v>0</v>
      </c>
      <c r="AG7753">
        <v>0</v>
      </c>
      <c r="AH7753">
        <v>0</v>
      </c>
      <c r="AI7753">
        <v>0</v>
      </c>
      <c r="AJ7753">
        <v>111.38</v>
      </c>
      <c r="AK7753">
        <v>0</v>
      </c>
      <c r="AL7753" t="s">
        <v>53</v>
      </c>
      <c r="AM7753" t="s">
        <v>53</v>
      </c>
      <c r="AN7753" t="s">
        <v>14433</v>
      </c>
      <c r="AO7753" t="s">
        <v>53</v>
      </c>
      <c r="AP7753" t="s">
        <v>53</v>
      </c>
    </row>
    <row r="7754" spans="2:42" x14ac:dyDescent="0.2">
      <c r="B7754" t="s">
        <v>44</v>
      </c>
      <c r="C7754" t="str">
        <f>HYPERLINK("https://us2.cloudbeds.com/connect/8493803454333002#/reservations/9080486847832925?display=4871QAT242&amp;reservation_id=9080486847832925", "4871QAT242")</f>
        <v>4871QAT242</v>
      </c>
      <c r="D7754" t="s">
        <v>45</v>
      </c>
      <c r="E7754" t="s">
        <v>165</v>
      </c>
      <c r="F7754" t="s">
        <v>61</v>
      </c>
      <c r="G7754" t="s">
        <v>48</v>
      </c>
      <c r="H7754" t="s">
        <v>49</v>
      </c>
      <c r="I7754" t="s">
        <v>8964</v>
      </c>
      <c r="J7754" t="s">
        <v>10860</v>
      </c>
      <c r="K7754" t="s">
        <v>13665</v>
      </c>
      <c r="L7754" t="s">
        <v>53</v>
      </c>
      <c r="N7754" t="s">
        <v>14434</v>
      </c>
      <c r="P7754" t="s">
        <v>55</v>
      </c>
      <c r="R7754" t="s">
        <v>53</v>
      </c>
      <c r="T7754" t="s">
        <v>14435</v>
      </c>
      <c r="U7754" t="s">
        <v>55</v>
      </c>
      <c r="V7754">
        <v>1</v>
      </c>
      <c r="W7754">
        <v>1</v>
      </c>
      <c r="X7754">
        <v>1</v>
      </c>
      <c r="Y7754">
        <v>0</v>
      </c>
      <c r="Z7754">
        <v>1</v>
      </c>
      <c r="AA7754">
        <v>0</v>
      </c>
      <c r="AB7754">
        <v>0</v>
      </c>
      <c r="AC7754">
        <v>92</v>
      </c>
      <c r="AD7754">
        <v>0</v>
      </c>
      <c r="AE7754">
        <v>0</v>
      </c>
      <c r="AF7754">
        <v>0</v>
      </c>
      <c r="AG7754">
        <v>0</v>
      </c>
      <c r="AH7754">
        <v>0</v>
      </c>
      <c r="AI7754">
        <v>13.8</v>
      </c>
      <c r="AJ7754">
        <v>92</v>
      </c>
      <c r="AK7754">
        <v>92</v>
      </c>
      <c r="AL7754" t="s">
        <v>53</v>
      </c>
      <c r="AM7754" t="s">
        <v>53</v>
      </c>
      <c r="AN7754" t="s">
        <v>53</v>
      </c>
      <c r="AO7754" t="s">
        <v>53</v>
      </c>
      <c r="AP7754" t="s">
        <v>53</v>
      </c>
    </row>
    <row r="7755" spans="2:42" x14ac:dyDescent="0.2">
      <c r="B7755" t="s">
        <v>44</v>
      </c>
      <c r="C7755" t="str">
        <f>HYPERLINK("https://us2.cloudbeds.com/connect/8493803454333002#/reservations/9080486847840867?display=48DG6ZVSGZ&amp;reservation_id=9080486847840867", "48DG6ZVSGZ")</f>
        <v>48DG6ZVSGZ</v>
      </c>
      <c r="D7755" t="s">
        <v>45</v>
      </c>
      <c r="E7755" t="s">
        <v>165</v>
      </c>
      <c r="F7755" t="s">
        <v>61</v>
      </c>
      <c r="G7755" t="s">
        <v>48</v>
      </c>
      <c r="H7755" t="s">
        <v>49</v>
      </c>
      <c r="I7755" t="s">
        <v>62</v>
      </c>
      <c r="J7755" t="s">
        <v>13727</v>
      </c>
      <c r="K7755" t="s">
        <v>9711</v>
      </c>
      <c r="L7755" t="s">
        <v>53</v>
      </c>
      <c r="N7755" t="s">
        <v>14436</v>
      </c>
      <c r="P7755" t="s">
        <v>55</v>
      </c>
      <c r="R7755" t="s">
        <v>56</v>
      </c>
      <c r="T7755" t="s">
        <v>14437</v>
      </c>
      <c r="U7755" t="s">
        <v>55</v>
      </c>
      <c r="V7755">
        <v>2</v>
      </c>
      <c r="W7755">
        <v>1</v>
      </c>
      <c r="X7755">
        <v>2</v>
      </c>
      <c r="Y7755">
        <v>0</v>
      </c>
      <c r="Z7755">
        <v>2</v>
      </c>
      <c r="AA7755">
        <v>184.02</v>
      </c>
      <c r="AB7755">
        <v>184.02</v>
      </c>
      <c r="AC7755">
        <v>184.02</v>
      </c>
      <c r="AD7755">
        <v>0</v>
      </c>
      <c r="AE7755">
        <v>0</v>
      </c>
      <c r="AF7755">
        <v>0</v>
      </c>
      <c r="AG7755">
        <v>0</v>
      </c>
      <c r="AH7755">
        <v>0</v>
      </c>
      <c r="AI7755">
        <v>33.119999999999997</v>
      </c>
      <c r="AJ7755">
        <v>184.02</v>
      </c>
      <c r="AK7755">
        <v>0</v>
      </c>
      <c r="AL7755" t="s">
        <v>53</v>
      </c>
      <c r="AM7755" t="s">
        <v>53</v>
      </c>
      <c r="AN7755" t="s">
        <v>53</v>
      </c>
      <c r="AO7755" t="s">
        <v>53</v>
      </c>
      <c r="AP7755" t="s">
        <v>53</v>
      </c>
    </row>
    <row r="7756" spans="2:42" x14ac:dyDescent="0.2">
      <c r="B7756" t="s">
        <v>44</v>
      </c>
      <c r="C7756" t="str">
        <f>HYPERLINK("https://us2.cloudbeds.com/connect/8493803454333002#/reservations/197729747812480?display=48JHYBPVK4&amp;reservation_id=197729747812480", "48JHYBPVK4")</f>
        <v>48JHYBPVK4</v>
      </c>
      <c r="D7756" t="s">
        <v>45</v>
      </c>
      <c r="E7756" t="s">
        <v>110</v>
      </c>
      <c r="F7756" t="s">
        <v>47</v>
      </c>
      <c r="G7756" t="s">
        <v>48</v>
      </c>
      <c r="H7756" t="s">
        <v>3957</v>
      </c>
      <c r="I7756" t="s">
        <v>3975</v>
      </c>
      <c r="J7756" t="s">
        <v>13665</v>
      </c>
      <c r="K7756" t="s">
        <v>10861</v>
      </c>
      <c r="L7756" t="s">
        <v>53</v>
      </c>
      <c r="P7756" t="s">
        <v>55</v>
      </c>
      <c r="R7756" t="s">
        <v>56</v>
      </c>
      <c r="T7756" t="s">
        <v>14438</v>
      </c>
      <c r="U7756" t="s">
        <v>58</v>
      </c>
      <c r="V7756">
        <v>2</v>
      </c>
      <c r="W7756">
        <v>1</v>
      </c>
      <c r="X7756">
        <v>1</v>
      </c>
      <c r="Y7756">
        <v>0</v>
      </c>
      <c r="Z7756">
        <v>1</v>
      </c>
      <c r="AA7756">
        <v>170.5</v>
      </c>
      <c r="AB7756">
        <v>170.5</v>
      </c>
      <c r="AC7756">
        <v>150</v>
      </c>
      <c r="AD7756">
        <v>0</v>
      </c>
      <c r="AE7756">
        <v>20.5</v>
      </c>
      <c r="AF7756">
        <v>0</v>
      </c>
      <c r="AG7756">
        <v>0</v>
      </c>
      <c r="AH7756">
        <v>0</v>
      </c>
      <c r="AI7756">
        <v>0</v>
      </c>
      <c r="AJ7756">
        <v>170.5</v>
      </c>
      <c r="AK7756">
        <v>0</v>
      </c>
      <c r="AL7756" t="s">
        <v>53</v>
      </c>
      <c r="AM7756" t="s">
        <v>53</v>
      </c>
      <c r="AN7756" t="s">
        <v>53</v>
      </c>
      <c r="AO7756" t="s">
        <v>53</v>
      </c>
      <c r="AP7756" t="s">
        <v>53</v>
      </c>
    </row>
    <row r="7757" spans="2:42" x14ac:dyDescent="0.2">
      <c r="B7757" t="s">
        <v>44</v>
      </c>
      <c r="C7757" t="str">
        <f>HYPERLINK("https://us2.cloudbeds.com/connect/8493803454333002#/reservations/197852798025856?display=48MDUXWDSZ&amp;reservation_id=197852798025856", "48MDUXWDSZ")</f>
        <v>48MDUXWDSZ</v>
      </c>
      <c r="D7757" t="s">
        <v>45</v>
      </c>
      <c r="E7757" t="s">
        <v>46</v>
      </c>
      <c r="F7757" t="s">
        <v>47</v>
      </c>
      <c r="G7757" t="s">
        <v>48</v>
      </c>
      <c r="H7757" t="s">
        <v>3957</v>
      </c>
      <c r="I7757" t="s">
        <v>3958</v>
      </c>
      <c r="J7757" t="s">
        <v>10860</v>
      </c>
      <c r="K7757" t="s">
        <v>13665</v>
      </c>
      <c r="L7757" t="s">
        <v>53</v>
      </c>
      <c r="P7757" t="s">
        <v>55</v>
      </c>
      <c r="R7757" t="s">
        <v>56</v>
      </c>
      <c r="T7757" t="s">
        <v>14439</v>
      </c>
      <c r="U7757" t="s">
        <v>58</v>
      </c>
      <c r="V7757">
        <v>1</v>
      </c>
      <c r="W7757">
        <v>1</v>
      </c>
      <c r="X7757">
        <v>1</v>
      </c>
      <c r="Y7757">
        <v>0</v>
      </c>
      <c r="Z7757">
        <v>1</v>
      </c>
      <c r="AA7757">
        <v>96.61</v>
      </c>
      <c r="AB7757">
        <v>96.61</v>
      </c>
      <c r="AC7757">
        <v>85</v>
      </c>
      <c r="AD7757">
        <v>0</v>
      </c>
      <c r="AE7757">
        <v>11.61</v>
      </c>
      <c r="AF7757">
        <v>0</v>
      </c>
      <c r="AG7757">
        <v>0</v>
      </c>
      <c r="AH7757">
        <v>0</v>
      </c>
      <c r="AI7757">
        <v>0</v>
      </c>
      <c r="AJ7757">
        <v>96.61</v>
      </c>
      <c r="AK7757">
        <v>0</v>
      </c>
      <c r="AL7757" t="s">
        <v>53</v>
      </c>
      <c r="AM7757" t="s">
        <v>53</v>
      </c>
      <c r="AN7757" t="s">
        <v>53</v>
      </c>
      <c r="AO7757" t="s">
        <v>53</v>
      </c>
      <c r="AP7757" t="s">
        <v>53</v>
      </c>
    </row>
    <row r="7758" spans="2:42" x14ac:dyDescent="0.2">
      <c r="B7758" t="s">
        <v>44</v>
      </c>
      <c r="C7758" t="str">
        <f>HYPERLINK("https://us2.cloudbeds.com/connect/8493803454333002#/reservations/9080486847851889?display=48MUMU6BUT&amp;reservation_id=9080486847851889", "48MUMU6BUT")</f>
        <v>48MUMU6BUT</v>
      </c>
      <c r="D7758" t="s">
        <v>45</v>
      </c>
      <c r="E7758" t="s">
        <v>138</v>
      </c>
      <c r="F7758" t="s">
        <v>70</v>
      </c>
      <c r="G7758" t="s">
        <v>48</v>
      </c>
      <c r="H7758" t="s">
        <v>49</v>
      </c>
      <c r="I7758" t="s">
        <v>50</v>
      </c>
      <c r="J7758" t="s">
        <v>13665</v>
      </c>
      <c r="K7758" t="s">
        <v>13525</v>
      </c>
      <c r="L7758" t="s">
        <v>53</v>
      </c>
      <c r="N7758" t="s">
        <v>14440</v>
      </c>
      <c r="P7758" t="s">
        <v>55</v>
      </c>
      <c r="R7758" t="s">
        <v>53</v>
      </c>
      <c r="T7758" t="s">
        <v>14441</v>
      </c>
      <c r="U7758" t="s">
        <v>58</v>
      </c>
      <c r="V7758">
        <v>1</v>
      </c>
      <c r="W7758">
        <v>1</v>
      </c>
      <c r="X7758">
        <v>1</v>
      </c>
      <c r="Y7758">
        <v>0</v>
      </c>
      <c r="Z7758">
        <v>1</v>
      </c>
      <c r="AA7758">
        <v>73.650000000000006</v>
      </c>
      <c r="AB7758">
        <v>73.650000000000006</v>
      </c>
      <c r="AC7758">
        <v>64.8</v>
      </c>
      <c r="AD7758">
        <v>0</v>
      </c>
      <c r="AE7758">
        <v>8.85</v>
      </c>
      <c r="AF7758">
        <v>0</v>
      </c>
      <c r="AG7758">
        <v>0</v>
      </c>
      <c r="AH7758">
        <v>0</v>
      </c>
      <c r="AI7758">
        <v>13.26</v>
      </c>
      <c r="AJ7758">
        <v>73.650000000000006</v>
      </c>
      <c r="AK7758">
        <v>0</v>
      </c>
      <c r="AL7758" t="s">
        <v>53</v>
      </c>
      <c r="AM7758" t="s">
        <v>53</v>
      </c>
      <c r="AN7758" t="s">
        <v>14442</v>
      </c>
      <c r="AO7758" t="s">
        <v>53</v>
      </c>
      <c r="AP7758" t="s">
        <v>53</v>
      </c>
    </row>
    <row r="7759" spans="2:42" x14ac:dyDescent="0.2">
      <c r="B7759" t="s">
        <v>44</v>
      </c>
      <c r="C7759" t="str">
        <f>HYPERLINK("https://us2.cloudbeds.com/connect/8493803454333002#/reservations/9080486847852122?display=48N4U9B9M8&amp;reservation_id=9080486847852122", "48N4U9B9M8")</f>
        <v>48N4U9B9M8</v>
      </c>
      <c r="D7759" t="s">
        <v>45</v>
      </c>
      <c r="E7759" t="s">
        <v>165</v>
      </c>
      <c r="F7759" t="s">
        <v>61</v>
      </c>
      <c r="G7759" t="s">
        <v>48</v>
      </c>
      <c r="H7759" t="s">
        <v>49</v>
      </c>
      <c r="I7759" t="s">
        <v>8964</v>
      </c>
      <c r="J7759" t="s">
        <v>13587</v>
      </c>
      <c r="K7759" t="s">
        <v>14443</v>
      </c>
      <c r="L7759" t="s">
        <v>53</v>
      </c>
      <c r="N7759" t="s">
        <v>14444</v>
      </c>
      <c r="P7759" t="s">
        <v>55</v>
      </c>
      <c r="R7759" t="s">
        <v>53</v>
      </c>
      <c r="T7759" t="s">
        <v>14445</v>
      </c>
      <c r="U7759" t="s">
        <v>55</v>
      </c>
      <c r="V7759">
        <v>1</v>
      </c>
      <c r="W7759">
        <v>1</v>
      </c>
      <c r="X7759">
        <v>2</v>
      </c>
      <c r="Y7759">
        <v>0</v>
      </c>
      <c r="Z7759">
        <v>2</v>
      </c>
      <c r="AA7759">
        <v>0</v>
      </c>
      <c r="AB7759">
        <v>0</v>
      </c>
      <c r="AC7759">
        <v>139</v>
      </c>
      <c r="AD7759">
        <v>0</v>
      </c>
      <c r="AE7759">
        <v>0</v>
      </c>
      <c r="AF7759">
        <v>0</v>
      </c>
      <c r="AG7759">
        <v>0</v>
      </c>
      <c r="AH7759">
        <v>0</v>
      </c>
      <c r="AI7759">
        <v>20.85</v>
      </c>
      <c r="AJ7759">
        <v>139</v>
      </c>
      <c r="AK7759">
        <v>139</v>
      </c>
      <c r="AL7759" t="s">
        <v>53</v>
      </c>
      <c r="AM7759" t="s">
        <v>53</v>
      </c>
      <c r="AN7759" t="s">
        <v>14446</v>
      </c>
      <c r="AO7759" t="s">
        <v>53</v>
      </c>
      <c r="AP7759" t="s">
        <v>53</v>
      </c>
    </row>
    <row r="7760" spans="2:42" x14ac:dyDescent="0.2">
      <c r="B7760" t="s">
        <v>44</v>
      </c>
      <c r="C7760" t="str">
        <f>HYPERLINK("https://us2.cloudbeds.com/connect/8493803454333002#/reservations/9080486847852221?display=48N7T53MN4&amp;reservation_id=9080486847852221", "48N7T53MN4")</f>
        <v>48N7T53MN4</v>
      </c>
      <c r="D7760" t="s">
        <v>45</v>
      </c>
      <c r="E7760" t="s">
        <v>305</v>
      </c>
      <c r="F7760" t="s">
        <v>61</v>
      </c>
      <c r="G7760" t="s">
        <v>48</v>
      </c>
      <c r="H7760" t="s">
        <v>49</v>
      </c>
      <c r="I7760" t="s">
        <v>62</v>
      </c>
      <c r="J7760" t="s">
        <v>12117</v>
      </c>
      <c r="K7760" t="s">
        <v>13024</v>
      </c>
      <c r="L7760" t="s">
        <v>53</v>
      </c>
      <c r="N7760" t="s">
        <v>14447</v>
      </c>
      <c r="P7760" t="s">
        <v>55</v>
      </c>
      <c r="R7760" t="s">
        <v>56</v>
      </c>
      <c r="T7760" t="s">
        <v>14448</v>
      </c>
      <c r="U7760" t="s">
        <v>55</v>
      </c>
      <c r="V7760">
        <v>1</v>
      </c>
      <c r="W7760">
        <v>1</v>
      </c>
      <c r="X7760">
        <v>2</v>
      </c>
      <c r="Y7760">
        <v>0</v>
      </c>
      <c r="Z7760">
        <v>2</v>
      </c>
      <c r="AA7760">
        <v>109.24</v>
      </c>
      <c r="AB7760">
        <v>109.24</v>
      </c>
      <c r="AC7760">
        <v>109.24</v>
      </c>
      <c r="AD7760">
        <v>0</v>
      </c>
      <c r="AE7760">
        <v>0</v>
      </c>
      <c r="AF7760">
        <v>0</v>
      </c>
      <c r="AG7760">
        <v>0</v>
      </c>
      <c r="AH7760">
        <v>0</v>
      </c>
      <c r="AI7760">
        <v>19.66</v>
      </c>
      <c r="AJ7760">
        <v>109.24</v>
      </c>
      <c r="AK7760">
        <v>0</v>
      </c>
      <c r="AL7760" t="s">
        <v>53</v>
      </c>
      <c r="AM7760" t="s">
        <v>53</v>
      </c>
      <c r="AN7760" t="s">
        <v>14449</v>
      </c>
      <c r="AO7760" t="s">
        <v>53</v>
      </c>
      <c r="AP7760" t="s">
        <v>53</v>
      </c>
    </row>
    <row r="7761" spans="2:42" x14ac:dyDescent="0.2">
      <c r="B7761" t="s">
        <v>44</v>
      </c>
      <c r="C7761" t="str">
        <f>HYPERLINK("https://us2.cloudbeds.com/connect/8493803454333002#/reservations/9080486847852417?display=48NE6EA683&amp;reservation_id=9080486847852417", "48NE6EA683")</f>
        <v>48NE6EA683</v>
      </c>
      <c r="D7761" t="s">
        <v>45</v>
      </c>
      <c r="E7761" t="s">
        <v>179</v>
      </c>
      <c r="F7761" t="s">
        <v>47</v>
      </c>
      <c r="G7761" t="s">
        <v>48</v>
      </c>
      <c r="H7761" t="s">
        <v>49</v>
      </c>
      <c r="I7761" t="s">
        <v>62</v>
      </c>
      <c r="J7761" t="s">
        <v>13025</v>
      </c>
      <c r="K7761" t="s">
        <v>14337</v>
      </c>
      <c r="L7761" t="s">
        <v>53</v>
      </c>
      <c r="N7761" t="s">
        <v>14450</v>
      </c>
      <c r="P7761" t="s">
        <v>55</v>
      </c>
      <c r="R7761" t="s">
        <v>56</v>
      </c>
      <c r="T7761" t="s">
        <v>14451</v>
      </c>
      <c r="U7761" t="s">
        <v>55</v>
      </c>
      <c r="V7761">
        <v>3</v>
      </c>
      <c r="W7761">
        <v>1</v>
      </c>
      <c r="X7761">
        <v>1</v>
      </c>
      <c r="Y7761">
        <v>0</v>
      </c>
      <c r="Z7761">
        <v>1</v>
      </c>
      <c r="AA7761">
        <v>231.11</v>
      </c>
      <c r="AB7761">
        <v>231.11</v>
      </c>
      <c r="AC7761">
        <v>231.11</v>
      </c>
      <c r="AD7761">
        <v>0</v>
      </c>
      <c r="AE7761">
        <v>0</v>
      </c>
      <c r="AF7761">
        <v>0</v>
      </c>
      <c r="AG7761">
        <v>0</v>
      </c>
      <c r="AH7761">
        <v>0</v>
      </c>
      <c r="AI7761">
        <v>41.6</v>
      </c>
      <c r="AJ7761">
        <v>231.11</v>
      </c>
      <c r="AK7761">
        <v>0</v>
      </c>
      <c r="AL7761" t="s">
        <v>53</v>
      </c>
      <c r="AM7761" t="s">
        <v>53</v>
      </c>
      <c r="AN7761" t="s">
        <v>14452</v>
      </c>
      <c r="AO7761" t="s">
        <v>53</v>
      </c>
      <c r="AP7761" t="s">
        <v>53</v>
      </c>
    </row>
    <row r="7762" spans="2:42" x14ac:dyDescent="0.2">
      <c r="B7762" t="s">
        <v>44</v>
      </c>
      <c r="C7762" t="str">
        <f>HYPERLINK("https://us2.cloudbeds.com/connect/8493803454333002#/reservations/9080486847853038?display=48Z0DZ0JFY&amp;reservation_id=9080486847853038", "48Z0DZ0JFY")</f>
        <v>48Z0DZ0JFY</v>
      </c>
      <c r="D7762" t="s">
        <v>45</v>
      </c>
      <c r="E7762" t="s">
        <v>155</v>
      </c>
      <c r="F7762" t="s">
        <v>86</v>
      </c>
      <c r="G7762" t="s">
        <v>48</v>
      </c>
      <c r="H7762" t="s">
        <v>49</v>
      </c>
      <c r="I7762" t="s">
        <v>8964</v>
      </c>
      <c r="J7762" t="s">
        <v>13726</v>
      </c>
      <c r="K7762" t="s">
        <v>9711</v>
      </c>
      <c r="L7762" t="s">
        <v>53</v>
      </c>
      <c r="N7762" t="s">
        <v>14453</v>
      </c>
      <c r="P7762" t="s">
        <v>55</v>
      </c>
      <c r="R7762" t="s">
        <v>53</v>
      </c>
      <c r="T7762" t="s">
        <v>14454</v>
      </c>
      <c r="U7762" t="s">
        <v>55</v>
      </c>
      <c r="V7762">
        <v>3</v>
      </c>
      <c r="W7762">
        <v>1</v>
      </c>
      <c r="X7762">
        <v>3</v>
      </c>
      <c r="Y7762">
        <v>0</v>
      </c>
      <c r="Z7762">
        <v>3</v>
      </c>
      <c r="AA7762">
        <v>0</v>
      </c>
      <c r="AB7762">
        <v>0</v>
      </c>
      <c r="AC7762">
        <v>378</v>
      </c>
      <c r="AD7762">
        <v>0</v>
      </c>
      <c r="AE7762">
        <v>0</v>
      </c>
      <c r="AF7762">
        <v>0</v>
      </c>
      <c r="AG7762">
        <v>0</v>
      </c>
      <c r="AH7762">
        <v>0</v>
      </c>
      <c r="AI7762">
        <v>56.7</v>
      </c>
      <c r="AJ7762">
        <v>378</v>
      </c>
      <c r="AK7762">
        <v>378</v>
      </c>
      <c r="AL7762" t="s">
        <v>53</v>
      </c>
      <c r="AM7762" t="s">
        <v>53</v>
      </c>
      <c r="AN7762" t="s">
        <v>14455</v>
      </c>
      <c r="AO7762" t="s">
        <v>53</v>
      </c>
      <c r="AP7762" t="s">
        <v>53</v>
      </c>
    </row>
    <row r="7763" spans="2:42" x14ac:dyDescent="0.2">
      <c r="B7763" t="s">
        <v>44</v>
      </c>
      <c r="C7763" t="str">
        <f>HYPERLINK("https://us2.cloudbeds.com/connect/8493803454333002#/reservations/198090335666368?display=48RWS70DSD&amp;reservation_id=198090335666368", "48RWS70DSD")</f>
        <v>48RWS70DSD</v>
      </c>
      <c r="D7763" t="s">
        <v>45</v>
      </c>
      <c r="E7763" t="s">
        <v>406</v>
      </c>
      <c r="F7763" t="s">
        <v>61</v>
      </c>
      <c r="G7763" t="s">
        <v>48</v>
      </c>
      <c r="H7763" t="s">
        <v>3957</v>
      </c>
      <c r="I7763" t="s">
        <v>3975</v>
      </c>
      <c r="J7763" t="s">
        <v>13010</v>
      </c>
      <c r="K7763" t="s">
        <v>13024</v>
      </c>
      <c r="L7763" t="s">
        <v>53</v>
      </c>
      <c r="P7763" t="s">
        <v>55</v>
      </c>
      <c r="R7763" t="s">
        <v>56</v>
      </c>
      <c r="T7763" t="s">
        <v>14456</v>
      </c>
      <c r="U7763" t="s">
        <v>58</v>
      </c>
      <c r="V7763">
        <v>2</v>
      </c>
      <c r="W7763">
        <v>1</v>
      </c>
      <c r="X7763">
        <v>1</v>
      </c>
      <c r="Y7763">
        <v>0</v>
      </c>
      <c r="Z7763">
        <v>1</v>
      </c>
      <c r="AA7763">
        <v>0</v>
      </c>
      <c r="AB7763">
        <v>0</v>
      </c>
      <c r="AC7763">
        <v>0</v>
      </c>
      <c r="AD7763">
        <v>0</v>
      </c>
      <c r="AE7763">
        <v>0</v>
      </c>
      <c r="AF7763">
        <v>0</v>
      </c>
      <c r="AG7763">
        <v>0</v>
      </c>
      <c r="AH7763">
        <v>0</v>
      </c>
      <c r="AI7763">
        <v>0</v>
      </c>
      <c r="AJ7763">
        <v>0</v>
      </c>
      <c r="AK7763">
        <v>0</v>
      </c>
      <c r="AL7763" t="s">
        <v>53</v>
      </c>
      <c r="AM7763" t="s">
        <v>53</v>
      </c>
      <c r="AN7763" t="s">
        <v>14457</v>
      </c>
      <c r="AO7763" t="s">
        <v>53</v>
      </c>
      <c r="AP7763" t="s">
        <v>53</v>
      </c>
    </row>
    <row r="7764" spans="2:42" x14ac:dyDescent="0.2">
      <c r="B7764" t="s">
        <v>44</v>
      </c>
      <c r="C7764" t="str">
        <f>HYPERLINK("https://us2.cloudbeds.com/connect/8493803454333002#/reservations/198096367386752?display=48S4HB41JW&amp;reservation_id=198096367386752", "48S4HB41JW")</f>
        <v>48S4HB41JW</v>
      </c>
      <c r="D7764" t="s">
        <v>45</v>
      </c>
      <c r="E7764" t="s">
        <v>113</v>
      </c>
      <c r="F7764" t="s">
        <v>61</v>
      </c>
      <c r="G7764" t="s">
        <v>48</v>
      </c>
      <c r="H7764" t="s">
        <v>3957</v>
      </c>
      <c r="I7764" t="s">
        <v>3975</v>
      </c>
      <c r="J7764" t="s">
        <v>14458</v>
      </c>
      <c r="K7764" t="s">
        <v>14119</v>
      </c>
      <c r="L7764" t="s">
        <v>53</v>
      </c>
      <c r="P7764" t="s">
        <v>55</v>
      </c>
      <c r="R7764" t="s">
        <v>56</v>
      </c>
      <c r="T7764" t="s">
        <v>14459</v>
      </c>
      <c r="U7764" t="s">
        <v>58</v>
      </c>
      <c r="V7764">
        <v>2</v>
      </c>
      <c r="W7764">
        <v>1</v>
      </c>
      <c r="X7764">
        <v>1</v>
      </c>
      <c r="Y7764">
        <v>0</v>
      </c>
      <c r="Z7764">
        <v>1</v>
      </c>
      <c r="AA7764">
        <v>0</v>
      </c>
      <c r="AB7764">
        <v>0</v>
      </c>
      <c r="AC7764">
        <v>0</v>
      </c>
      <c r="AD7764">
        <v>0</v>
      </c>
      <c r="AE7764">
        <v>0</v>
      </c>
      <c r="AF7764">
        <v>0</v>
      </c>
      <c r="AG7764">
        <v>0</v>
      </c>
      <c r="AH7764">
        <v>0</v>
      </c>
      <c r="AI7764">
        <v>0</v>
      </c>
      <c r="AJ7764">
        <v>0</v>
      </c>
      <c r="AK7764">
        <v>0</v>
      </c>
      <c r="AL7764" t="s">
        <v>53</v>
      </c>
      <c r="AM7764" t="s">
        <v>53</v>
      </c>
      <c r="AN7764" t="s">
        <v>14460</v>
      </c>
      <c r="AO7764" t="s">
        <v>53</v>
      </c>
      <c r="AP7764" t="s">
        <v>53</v>
      </c>
    </row>
    <row r="7765" spans="2:42" x14ac:dyDescent="0.2">
      <c r="B7765" t="s">
        <v>44</v>
      </c>
      <c r="C7765" t="str">
        <f>HYPERLINK("https://us2.cloudbeds.com/connect/8493803454333002#/reservations/198182164676800?display=48U4VYM3QB&amp;reservation_id=198182164676800", "48U4VYM3QB")</f>
        <v>48U4VYM3QB</v>
      </c>
      <c r="D7765" t="s">
        <v>45</v>
      </c>
      <c r="E7765" t="s">
        <v>113</v>
      </c>
      <c r="F7765" t="s">
        <v>61</v>
      </c>
      <c r="G7765" t="s">
        <v>48</v>
      </c>
      <c r="H7765" t="s">
        <v>3957</v>
      </c>
      <c r="I7765" t="s">
        <v>3958</v>
      </c>
      <c r="J7765" t="s">
        <v>13665</v>
      </c>
      <c r="K7765" t="s">
        <v>13525</v>
      </c>
      <c r="L7765" t="s">
        <v>53</v>
      </c>
      <c r="P7765" t="s">
        <v>55</v>
      </c>
      <c r="R7765" t="s">
        <v>56</v>
      </c>
      <c r="T7765" t="s">
        <v>14461</v>
      </c>
      <c r="U7765" t="s">
        <v>58</v>
      </c>
      <c r="V7765">
        <v>1</v>
      </c>
      <c r="W7765">
        <v>1</v>
      </c>
      <c r="X7765">
        <v>1</v>
      </c>
      <c r="Y7765">
        <v>0</v>
      </c>
      <c r="Z7765">
        <v>1</v>
      </c>
      <c r="AA7765">
        <v>97.74</v>
      </c>
      <c r="AB7765">
        <v>97.74</v>
      </c>
      <c r="AC7765">
        <v>86</v>
      </c>
      <c r="AD7765">
        <v>0</v>
      </c>
      <c r="AE7765">
        <v>11.74</v>
      </c>
      <c r="AF7765">
        <v>0</v>
      </c>
      <c r="AG7765">
        <v>0</v>
      </c>
      <c r="AH7765">
        <v>0</v>
      </c>
      <c r="AI7765">
        <v>0</v>
      </c>
      <c r="AJ7765">
        <v>97.74</v>
      </c>
      <c r="AK7765">
        <v>0</v>
      </c>
      <c r="AL7765" t="s">
        <v>53</v>
      </c>
      <c r="AM7765" t="s">
        <v>53</v>
      </c>
      <c r="AN7765" t="s">
        <v>53</v>
      </c>
      <c r="AO7765" t="s">
        <v>53</v>
      </c>
      <c r="AP7765" t="s">
        <v>53</v>
      </c>
    </row>
    <row r="7766" spans="2:42" x14ac:dyDescent="0.2">
      <c r="B7766" t="s">
        <v>44</v>
      </c>
      <c r="C7766" t="str">
        <f>HYPERLINK("https://us2.cloudbeds.com/connect/8493803454333002#/reservations/198219553681600?display=48V0U129HQ&amp;reservation_id=198219553681600", "48V0U129HQ")</f>
        <v>48V0U129HQ</v>
      </c>
      <c r="D7766" t="s">
        <v>45</v>
      </c>
      <c r="E7766" t="s">
        <v>305</v>
      </c>
      <c r="F7766" t="s">
        <v>61</v>
      </c>
      <c r="G7766" t="s">
        <v>48</v>
      </c>
      <c r="H7766" t="s">
        <v>3957</v>
      </c>
      <c r="I7766" t="s">
        <v>3975</v>
      </c>
      <c r="J7766" t="s">
        <v>12565</v>
      </c>
      <c r="K7766" t="s">
        <v>13520</v>
      </c>
      <c r="L7766" t="s">
        <v>53</v>
      </c>
      <c r="P7766" t="s">
        <v>55</v>
      </c>
      <c r="R7766" t="s">
        <v>56</v>
      </c>
      <c r="T7766" t="s">
        <v>14462</v>
      </c>
      <c r="U7766" t="s">
        <v>58</v>
      </c>
      <c r="V7766">
        <v>2</v>
      </c>
      <c r="W7766">
        <v>1</v>
      </c>
      <c r="X7766">
        <v>1</v>
      </c>
      <c r="Y7766">
        <v>0</v>
      </c>
      <c r="Z7766">
        <v>1</v>
      </c>
      <c r="AA7766">
        <v>0</v>
      </c>
      <c r="AB7766">
        <v>0</v>
      </c>
      <c r="AC7766">
        <v>0</v>
      </c>
      <c r="AD7766">
        <v>0</v>
      </c>
      <c r="AE7766">
        <v>0</v>
      </c>
      <c r="AF7766">
        <v>0</v>
      </c>
      <c r="AG7766">
        <v>0</v>
      </c>
      <c r="AH7766">
        <v>0</v>
      </c>
      <c r="AI7766">
        <v>0</v>
      </c>
      <c r="AJ7766">
        <v>0</v>
      </c>
      <c r="AK7766">
        <v>0</v>
      </c>
      <c r="AL7766" t="s">
        <v>53</v>
      </c>
      <c r="AM7766" t="s">
        <v>53</v>
      </c>
      <c r="AN7766" t="s">
        <v>14463</v>
      </c>
      <c r="AO7766" t="s">
        <v>53</v>
      </c>
      <c r="AP7766" t="s">
        <v>53</v>
      </c>
    </row>
    <row r="7767" spans="2:42" x14ac:dyDescent="0.2">
      <c r="B7767" t="s">
        <v>44</v>
      </c>
      <c r="C7767" t="str">
        <f>HYPERLINK("https://us2.cloudbeds.com/connect/8493803454333002#/reservations/9080486847863401?display=48WP041DRE&amp;reservation_id=9080486847863401", "48WP041DRE")</f>
        <v>48WP041DRE</v>
      </c>
      <c r="D7767" t="s">
        <v>45</v>
      </c>
      <c r="E7767" t="s">
        <v>78</v>
      </c>
      <c r="F7767" t="s">
        <v>61</v>
      </c>
      <c r="G7767" t="s">
        <v>48</v>
      </c>
      <c r="H7767" t="s">
        <v>49</v>
      </c>
      <c r="I7767" t="s">
        <v>50</v>
      </c>
      <c r="J7767" t="s">
        <v>14337</v>
      </c>
      <c r="K7767" t="s">
        <v>9711</v>
      </c>
      <c r="L7767" t="s">
        <v>53</v>
      </c>
      <c r="N7767" t="s">
        <v>14464</v>
      </c>
      <c r="P7767" t="s">
        <v>55</v>
      </c>
      <c r="R7767" t="s">
        <v>53</v>
      </c>
      <c r="T7767" t="s">
        <v>14465</v>
      </c>
      <c r="U7767" t="s">
        <v>58</v>
      </c>
      <c r="V7767">
        <v>1</v>
      </c>
      <c r="W7767">
        <v>1</v>
      </c>
      <c r="X7767">
        <v>2</v>
      </c>
      <c r="Y7767">
        <v>0</v>
      </c>
      <c r="Z7767">
        <v>2</v>
      </c>
      <c r="AA7767">
        <v>95.15</v>
      </c>
      <c r="AB7767">
        <v>95.15</v>
      </c>
      <c r="AC7767">
        <v>83.72</v>
      </c>
      <c r="AD7767">
        <v>0</v>
      </c>
      <c r="AE7767">
        <v>11.43</v>
      </c>
      <c r="AF7767">
        <v>0</v>
      </c>
      <c r="AG7767">
        <v>0</v>
      </c>
      <c r="AH7767">
        <v>0</v>
      </c>
      <c r="AI7767">
        <v>17.13</v>
      </c>
      <c r="AJ7767">
        <v>95.15</v>
      </c>
      <c r="AK7767">
        <v>0</v>
      </c>
      <c r="AL7767" t="s">
        <v>53</v>
      </c>
      <c r="AM7767" t="s">
        <v>53</v>
      </c>
      <c r="AN7767" t="s">
        <v>53</v>
      </c>
      <c r="AO7767" t="s">
        <v>53</v>
      </c>
      <c r="AP7767" t="s">
        <v>53</v>
      </c>
    </row>
    <row r="7768" spans="2:42" x14ac:dyDescent="0.2">
      <c r="B7768" t="s">
        <v>44</v>
      </c>
      <c r="C7768" t="str">
        <f>HYPERLINK("https://us2.cloudbeds.com/connect/8493803454333002#/reservations/9080486847877894?display=49C6G4E83K&amp;reservation_id=9080486847877894", "49C6G4E83K")</f>
        <v>49C6G4E83K</v>
      </c>
      <c r="D7768" t="s">
        <v>45</v>
      </c>
      <c r="E7768" t="s">
        <v>381</v>
      </c>
      <c r="F7768" t="s">
        <v>47</v>
      </c>
      <c r="G7768" t="s">
        <v>48</v>
      </c>
      <c r="H7768" t="s">
        <v>49</v>
      </c>
      <c r="I7768" t="s">
        <v>62</v>
      </c>
      <c r="J7768" t="s">
        <v>12117</v>
      </c>
      <c r="K7768" t="s">
        <v>9710</v>
      </c>
      <c r="L7768" t="s">
        <v>53</v>
      </c>
      <c r="N7768" t="s">
        <v>14466</v>
      </c>
      <c r="P7768" t="s">
        <v>55</v>
      </c>
      <c r="R7768" t="s">
        <v>56</v>
      </c>
      <c r="T7768" t="s">
        <v>14467</v>
      </c>
      <c r="U7768" t="s">
        <v>55</v>
      </c>
      <c r="V7768">
        <v>2</v>
      </c>
      <c r="W7768">
        <v>1</v>
      </c>
      <c r="X7768">
        <v>2</v>
      </c>
      <c r="Y7768">
        <v>0</v>
      </c>
      <c r="Z7768">
        <v>2</v>
      </c>
      <c r="AA7768">
        <v>210.23</v>
      </c>
      <c r="AB7768">
        <v>210.23</v>
      </c>
      <c r="AC7768">
        <v>210.23</v>
      </c>
      <c r="AD7768">
        <v>0</v>
      </c>
      <c r="AE7768">
        <v>0</v>
      </c>
      <c r="AF7768">
        <v>0</v>
      </c>
      <c r="AG7768">
        <v>0</v>
      </c>
      <c r="AH7768">
        <v>0</v>
      </c>
      <c r="AI7768">
        <v>37.840000000000003</v>
      </c>
      <c r="AJ7768">
        <v>210.23</v>
      </c>
      <c r="AK7768">
        <v>0</v>
      </c>
      <c r="AL7768" t="s">
        <v>53</v>
      </c>
      <c r="AM7768" t="s">
        <v>53</v>
      </c>
      <c r="AN7768" t="s">
        <v>14468</v>
      </c>
      <c r="AO7768" t="s">
        <v>53</v>
      </c>
      <c r="AP7768" t="s">
        <v>53</v>
      </c>
    </row>
    <row r="7769" spans="2:42" x14ac:dyDescent="0.2">
      <c r="B7769" t="s">
        <v>44</v>
      </c>
      <c r="C7769" t="str">
        <f>HYPERLINK("https://us2.cloudbeds.com/connect/8493803454333002#/reservations/198872596357312?display=49DBXPVKJA&amp;reservation_id=198872596357312", "49DBXPVKJA")</f>
        <v>49DBXPVKJA</v>
      </c>
      <c r="D7769" t="s">
        <v>45</v>
      </c>
      <c r="E7769" t="s">
        <v>487</v>
      </c>
      <c r="F7769" t="s">
        <v>61</v>
      </c>
      <c r="G7769" t="s">
        <v>48</v>
      </c>
      <c r="H7769" t="s">
        <v>3957</v>
      </c>
      <c r="I7769" t="s">
        <v>3975</v>
      </c>
      <c r="J7769" t="s">
        <v>12823</v>
      </c>
      <c r="K7769" t="s">
        <v>12958</v>
      </c>
      <c r="L7769" t="s">
        <v>53</v>
      </c>
      <c r="P7769" t="s">
        <v>55</v>
      </c>
      <c r="R7769" t="s">
        <v>56</v>
      </c>
      <c r="T7769" t="s">
        <v>14469</v>
      </c>
      <c r="U7769" t="s">
        <v>58</v>
      </c>
      <c r="V7769">
        <v>1</v>
      </c>
      <c r="W7769">
        <v>1</v>
      </c>
      <c r="X7769">
        <v>2</v>
      </c>
      <c r="Y7769">
        <v>0</v>
      </c>
      <c r="Z7769">
        <v>2</v>
      </c>
      <c r="AA7769">
        <v>0</v>
      </c>
      <c r="AB7769">
        <v>393.26</v>
      </c>
      <c r="AC7769">
        <v>343</v>
      </c>
      <c r="AD7769">
        <v>0</v>
      </c>
      <c r="AE7769">
        <v>50.26</v>
      </c>
      <c r="AF7769">
        <v>0</v>
      </c>
      <c r="AG7769">
        <v>0</v>
      </c>
      <c r="AH7769">
        <v>0</v>
      </c>
      <c r="AI7769">
        <v>0</v>
      </c>
      <c r="AJ7769">
        <v>393.26</v>
      </c>
      <c r="AK7769">
        <v>0</v>
      </c>
      <c r="AL7769" t="s">
        <v>53</v>
      </c>
      <c r="AM7769" t="s">
        <v>53</v>
      </c>
      <c r="AN7769" t="s">
        <v>14470</v>
      </c>
      <c r="AO7769" t="s">
        <v>53</v>
      </c>
      <c r="AP7769" t="s">
        <v>53</v>
      </c>
    </row>
    <row r="7770" spans="2:42" x14ac:dyDescent="0.2">
      <c r="B7770" t="s">
        <v>44</v>
      </c>
      <c r="C7770" t="str">
        <f>HYPERLINK("https://us2.cloudbeds.com/connect/8493803454333002#/reservations/9080486847879885?display=49DHWM285H&amp;reservation_id=9080486847879885", "49DHWM285H")</f>
        <v>49DHWM285H</v>
      </c>
      <c r="D7770" t="s">
        <v>45</v>
      </c>
      <c r="E7770" t="s">
        <v>128</v>
      </c>
      <c r="F7770" t="s">
        <v>86</v>
      </c>
      <c r="G7770" t="s">
        <v>48</v>
      </c>
      <c r="H7770" t="s">
        <v>49</v>
      </c>
      <c r="I7770" t="s">
        <v>50</v>
      </c>
      <c r="J7770" t="s">
        <v>13010</v>
      </c>
      <c r="K7770" t="s">
        <v>12117</v>
      </c>
      <c r="L7770" t="s">
        <v>53</v>
      </c>
      <c r="N7770" t="s">
        <v>14471</v>
      </c>
      <c r="P7770" t="s">
        <v>55</v>
      </c>
      <c r="R7770" t="s">
        <v>53</v>
      </c>
      <c r="T7770" t="s">
        <v>14472</v>
      </c>
      <c r="U7770" t="s">
        <v>58</v>
      </c>
      <c r="V7770">
        <v>1</v>
      </c>
      <c r="W7770">
        <v>1</v>
      </c>
      <c r="X7770">
        <v>2</v>
      </c>
      <c r="Y7770">
        <v>0</v>
      </c>
      <c r="Z7770">
        <v>2</v>
      </c>
      <c r="AA7770">
        <v>137.71</v>
      </c>
      <c r="AB7770">
        <v>137.71</v>
      </c>
      <c r="AC7770">
        <v>121.18</v>
      </c>
      <c r="AD7770">
        <v>0</v>
      </c>
      <c r="AE7770">
        <v>16.53</v>
      </c>
      <c r="AF7770">
        <v>0</v>
      </c>
      <c r="AG7770">
        <v>0</v>
      </c>
      <c r="AH7770">
        <v>0</v>
      </c>
      <c r="AI7770">
        <v>24.79</v>
      </c>
      <c r="AJ7770">
        <v>137.71</v>
      </c>
      <c r="AK7770">
        <v>0</v>
      </c>
      <c r="AL7770" t="s">
        <v>53</v>
      </c>
      <c r="AM7770" t="s">
        <v>53</v>
      </c>
      <c r="AN7770" t="s">
        <v>53</v>
      </c>
      <c r="AO7770" t="s">
        <v>53</v>
      </c>
      <c r="AP7770" t="s">
        <v>53</v>
      </c>
    </row>
    <row r="7771" spans="2:42" x14ac:dyDescent="0.2">
      <c r="B7771" t="s">
        <v>44</v>
      </c>
      <c r="C7771" t="str">
        <f>HYPERLINK("https://us2.cloudbeds.com/connect/8493803454333002#/reservations/9080486847882166?display=49FXFQZE9Q&amp;reservation_id=9080486847882166", "49FXFQZE9Q")</f>
        <v>49FXFQZE9Q</v>
      </c>
      <c r="D7771" t="s">
        <v>45</v>
      </c>
      <c r="E7771" t="s">
        <v>110</v>
      </c>
      <c r="F7771" t="s">
        <v>47</v>
      </c>
      <c r="G7771" t="s">
        <v>48</v>
      </c>
      <c r="H7771" t="s">
        <v>49</v>
      </c>
      <c r="I7771" t="s">
        <v>50</v>
      </c>
      <c r="J7771" t="s">
        <v>10861</v>
      </c>
      <c r="K7771" t="s">
        <v>13010</v>
      </c>
      <c r="L7771" t="s">
        <v>53</v>
      </c>
      <c r="N7771" t="s">
        <v>14473</v>
      </c>
      <c r="P7771" t="s">
        <v>55</v>
      </c>
      <c r="R7771" t="s">
        <v>53</v>
      </c>
      <c r="T7771" t="s">
        <v>14474</v>
      </c>
      <c r="U7771" t="s">
        <v>58</v>
      </c>
      <c r="V7771">
        <v>1</v>
      </c>
      <c r="W7771">
        <v>1</v>
      </c>
      <c r="X7771">
        <v>2</v>
      </c>
      <c r="Y7771">
        <v>0</v>
      </c>
      <c r="Z7771">
        <v>2</v>
      </c>
      <c r="AA7771">
        <v>103.29</v>
      </c>
      <c r="AB7771">
        <v>103.29</v>
      </c>
      <c r="AC7771">
        <v>90.88</v>
      </c>
      <c r="AD7771">
        <v>0</v>
      </c>
      <c r="AE7771">
        <v>12.41</v>
      </c>
      <c r="AF7771">
        <v>0</v>
      </c>
      <c r="AG7771">
        <v>0</v>
      </c>
      <c r="AH7771">
        <v>0</v>
      </c>
      <c r="AI7771">
        <v>18.59</v>
      </c>
      <c r="AJ7771">
        <v>103.29</v>
      </c>
      <c r="AK7771">
        <v>0</v>
      </c>
      <c r="AL7771" t="s">
        <v>53</v>
      </c>
      <c r="AM7771" t="s">
        <v>53</v>
      </c>
      <c r="AN7771" t="s">
        <v>53</v>
      </c>
      <c r="AO7771" t="s">
        <v>53</v>
      </c>
      <c r="AP7771" t="s">
        <v>53</v>
      </c>
    </row>
    <row r="7772" spans="2:42" x14ac:dyDescent="0.2">
      <c r="B7772" t="s">
        <v>44</v>
      </c>
      <c r="C7772" t="str">
        <f>HYPERLINK("https://us2.cloudbeds.com/connect/8493803454333002#/reservations/9080486847886703?display=49JSAE1S4B&amp;reservation_id=9080486847886703", "49JSAE1S4B")</f>
        <v>49JSAE1S4B</v>
      </c>
      <c r="D7772" t="s">
        <v>45</v>
      </c>
      <c r="E7772" t="s">
        <v>78</v>
      </c>
      <c r="F7772" t="s">
        <v>61</v>
      </c>
      <c r="G7772" t="s">
        <v>48</v>
      </c>
      <c r="H7772" t="s">
        <v>49</v>
      </c>
      <c r="I7772" t="s">
        <v>50</v>
      </c>
      <c r="J7772" t="s">
        <v>13726</v>
      </c>
      <c r="K7772" t="s">
        <v>14337</v>
      </c>
      <c r="L7772" t="s">
        <v>53</v>
      </c>
      <c r="N7772" t="s">
        <v>14475</v>
      </c>
      <c r="P7772" t="s">
        <v>55</v>
      </c>
      <c r="R7772" t="s">
        <v>53</v>
      </c>
      <c r="T7772" t="s">
        <v>14476</v>
      </c>
      <c r="U7772" t="s">
        <v>58</v>
      </c>
      <c r="V7772">
        <v>2</v>
      </c>
      <c r="W7772">
        <v>1</v>
      </c>
      <c r="X7772">
        <v>2</v>
      </c>
      <c r="Y7772">
        <v>0</v>
      </c>
      <c r="Z7772">
        <v>2</v>
      </c>
      <c r="AA7772">
        <v>184.6</v>
      </c>
      <c r="AB7772">
        <v>184.6</v>
      </c>
      <c r="AC7772">
        <v>162.43</v>
      </c>
      <c r="AD7772">
        <v>0</v>
      </c>
      <c r="AE7772">
        <v>22.17</v>
      </c>
      <c r="AF7772">
        <v>0</v>
      </c>
      <c r="AG7772">
        <v>0</v>
      </c>
      <c r="AH7772">
        <v>0</v>
      </c>
      <c r="AI7772">
        <v>33.229999999999997</v>
      </c>
      <c r="AJ7772">
        <v>184.6</v>
      </c>
      <c r="AK7772">
        <v>0</v>
      </c>
      <c r="AL7772" t="s">
        <v>53</v>
      </c>
      <c r="AM7772" t="s">
        <v>53</v>
      </c>
      <c r="AN7772" t="s">
        <v>53</v>
      </c>
      <c r="AO7772" t="s">
        <v>53</v>
      </c>
      <c r="AP7772" t="s">
        <v>53</v>
      </c>
    </row>
    <row r="7773" spans="2:42" x14ac:dyDescent="0.2">
      <c r="B7773" t="s">
        <v>44</v>
      </c>
      <c r="C7773" t="str">
        <f>HYPERLINK("https://us2.cloudbeds.com/connect/8493803454333002#/reservations/9080486847887106?display=49K4JMX3T0&amp;reservation_id=9080486847887106", "49K4JMX3T0")</f>
        <v>49K4JMX3T0</v>
      </c>
      <c r="D7773" t="s">
        <v>45</v>
      </c>
      <c r="E7773" t="s">
        <v>165</v>
      </c>
      <c r="F7773" t="s">
        <v>61</v>
      </c>
      <c r="G7773" t="s">
        <v>48</v>
      </c>
      <c r="H7773" t="s">
        <v>49</v>
      </c>
      <c r="I7773" t="s">
        <v>50</v>
      </c>
      <c r="J7773" t="s">
        <v>13898</v>
      </c>
      <c r="K7773" t="s">
        <v>13037</v>
      </c>
      <c r="L7773" t="s">
        <v>53</v>
      </c>
      <c r="N7773" t="s">
        <v>14477</v>
      </c>
      <c r="P7773" t="s">
        <v>55</v>
      </c>
      <c r="R7773" t="s">
        <v>53</v>
      </c>
      <c r="T7773" t="s">
        <v>14478</v>
      </c>
      <c r="U7773" t="s">
        <v>58</v>
      </c>
      <c r="V7773">
        <v>1</v>
      </c>
      <c r="W7773">
        <v>1</v>
      </c>
      <c r="X7773">
        <v>2</v>
      </c>
      <c r="Y7773">
        <v>0</v>
      </c>
      <c r="Z7773">
        <v>2</v>
      </c>
      <c r="AA7773">
        <v>116.86</v>
      </c>
      <c r="AB7773">
        <v>117.88</v>
      </c>
      <c r="AC7773">
        <v>102.82</v>
      </c>
      <c r="AD7773">
        <v>0</v>
      </c>
      <c r="AE7773">
        <v>15.06</v>
      </c>
      <c r="AF7773">
        <v>0</v>
      </c>
      <c r="AG7773">
        <v>0</v>
      </c>
      <c r="AH7773">
        <v>0</v>
      </c>
      <c r="AI7773">
        <v>21.22</v>
      </c>
      <c r="AJ7773">
        <v>117.88</v>
      </c>
      <c r="AK7773">
        <v>0</v>
      </c>
      <c r="AL7773" t="s">
        <v>53</v>
      </c>
      <c r="AM7773" t="s">
        <v>53</v>
      </c>
      <c r="AN7773" t="s">
        <v>14479</v>
      </c>
      <c r="AO7773" t="s">
        <v>53</v>
      </c>
      <c r="AP7773" t="s">
        <v>53</v>
      </c>
    </row>
    <row r="7774" spans="2:42" x14ac:dyDescent="0.2">
      <c r="B7774" t="s">
        <v>44</v>
      </c>
      <c r="C7774" t="str">
        <f>HYPERLINK("https://us2.cloudbeds.com/connect/8493803454333002#/reservations/9080486847887305?display=49K99J6NP4&amp;reservation_id=9080486847887305", "49K99J6NP4")</f>
        <v>49K99J6NP4</v>
      </c>
      <c r="D7774" t="s">
        <v>45</v>
      </c>
      <c r="E7774" t="s">
        <v>165</v>
      </c>
      <c r="F7774" t="s">
        <v>61</v>
      </c>
      <c r="G7774" t="s">
        <v>48</v>
      </c>
      <c r="H7774" t="s">
        <v>49</v>
      </c>
      <c r="I7774" t="s">
        <v>50</v>
      </c>
      <c r="J7774" t="s">
        <v>13531</v>
      </c>
      <c r="K7774" t="s">
        <v>14480</v>
      </c>
      <c r="L7774" t="s">
        <v>53</v>
      </c>
      <c r="N7774" t="s">
        <v>14481</v>
      </c>
      <c r="P7774" t="s">
        <v>55</v>
      </c>
      <c r="R7774" t="s">
        <v>53</v>
      </c>
      <c r="T7774" t="s">
        <v>14482</v>
      </c>
      <c r="U7774" t="s">
        <v>58</v>
      </c>
      <c r="V7774">
        <v>2</v>
      </c>
      <c r="W7774">
        <v>1</v>
      </c>
      <c r="X7774">
        <v>2</v>
      </c>
      <c r="Y7774">
        <v>0</v>
      </c>
      <c r="Z7774">
        <v>2</v>
      </c>
      <c r="AA7774">
        <v>179.44</v>
      </c>
      <c r="AB7774">
        <v>181.02</v>
      </c>
      <c r="AC7774">
        <v>157.9</v>
      </c>
      <c r="AD7774">
        <v>0</v>
      </c>
      <c r="AE7774">
        <v>23.12</v>
      </c>
      <c r="AF7774">
        <v>0</v>
      </c>
      <c r="AG7774">
        <v>0</v>
      </c>
      <c r="AH7774">
        <v>0</v>
      </c>
      <c r="AI7774">
        <v>32.58</v>
      </c>
      <c r="AJ7774">
        <v>181.02</v>
      </c>
      <c r="AK7774">
        <v>0</v>
      </c>
      <c r="AL7774" t="s">
        <v>53</v>
      </c>
      <c r="AM7774" t="s">
        <v>53</v>
      </c>
      <c r="AN7774" t="s">
        <v>14483</v>
      </c>
      <c r="AO7774" t="s">
        <v>53</v>
      </c>
      <c r="AP7774" t="s">
        <v>53</v>
      </c>
    </row>
    <row r="7775" spans="2:42" x14ac:dyDescent="0.2">
      <c r="B7775" t="s">
        <v>44</v>
      </c>
      <c r="C7775" t="str">
        <f>HYPERLINK("https://us2.cloudbeds.com/connect/8493803454333002#/reservations/9080486847888751?display=49YBZ3HGAD&amp;reservation_id=9080486847888751", "49YBZ3HGAD")</f>
        <v>49YBZ3HGAD</v>
      </c>
      <c r="D7775" t="s">
        <v>45</v>
      </c>
      <c r="E7775" t="s">
        <v>98</v>
      </c>
      <c r="F7775" t="s">
        <v>86</v>
      </c>
      <c r="G7775" t="s">
        <v>48</v>
      </c>
      <c r="H7775" t="s">
        <v>49</v>
      </c>
      <c r="I7775" t="s">
        <v>62</v>
      </c>
      <c r="J7775" t="s">
        <v>13010</v>
      </c>
      <c r="K7775" t="s">
        <v>12117</v>
      </c>
      <c r="L7775" t="s">
        <v>53</v>
      </c>
      <c r="N7775" t="s">
        <v>14484</v>
      </c>
      <c r="P7775" t="s">
        <v>55</v>
      </c>
      <c r="R7775" t="s">
        <v>56</v>
      </c>
      <c r="T7775" t="s">
        <v>14485</v>
      </c>
      <c r="U7775" t="s">
        <v>55</v>
      </c>
      <c r="V7775">
        <v>1</v>
      </c>
      <c r="W7775">
        <v>1</v>
      </c>
      <c r="X7775">
        <v>2</v>
      </c>
      <c r="Y7775">
        <v>0</v>
      </c>
      <c r="Z7775">
        <v>2</v>
      </c>
      <c r="AA7775">
        <v>95.01</v>
      </c>
      <c r="AB7775">
        <v>95.01</v>
      </c>
      <c r="AC7775">
        <v>95.01</v>
      </c>
      <c r="AD7775">
        <v>0</v>
      </c>
      <c r="AE7775">
        <v>0</v>
      </c>
      <c r="AF7775">
        <v>0</v>
      </c>
      <c r="AG7775">
        <v>0</v>
      </c>
      <c r="AH7775">
        <v>0</v>
      </c>
      <c r="AI7775">
        <v>17.100000000000001</v>
      </c>
      <c r="AJ7775">
        <v>95.01</v>
      </c>
      <c r="AK7775">
        <v>0</v>
      </c>
      <c r="AL7775" t="s">
        <v>53</v>
      </c>
      <c r="AM7775" t="s">
        <v>53</v>
      </c>
      <c r="AN7775" t="s">
        <v>53</v>
      </c>
      <c r="AO7775" t="s">
        <v>53</v>
      </c>
      <c r="AP7775" t="s">
        <v>53</v>
      </c>
    </row>
    <row r="7776" spans="2:42" x14ac:dyDescent="0.2">
      <c r="B7776" t="s">
        <v>44</v>
      </c>
      <c r="C7776" t="str">
        <f>HYPERLINK("https://us2.cloudbeds.com/connect/8493803454333002#/reservations/9080486847889045?display=49YJQZUWHA&amp;reservation_id=9080486847889045", "49YJQZUWHA")</f>
        <v>49YJQZUWHA</v>
      </c>
      <c r="D7776" t="s">
        <v>45</v>
      </c>
      <c r="E7776" t="s">
        <v>98</v>
      </c>
      <c r="F7776" t="s">
        <v>86</v>
      </c>
      <c r="G7776" t="s">
        <v>48</v>
      </c>
      <c r="H7776" t="s">
        <v>49</v>
      </c>
      <c r="I7776" t="s">
        <v>62</v>
      </c>
      <c r="J7776" t="s">
        <v>12117</v>
      </c>
      <c r="K7776" t="s">
        <v>13024</v>
      </c>
      <c r="L7776" t="s">
        <v>53</v>
      </c>
      <c r="N7776" t="s">
        <v>14486</v>
      </c>
      <c r="P7776" t="s">
        <v>55</v>
      </c>
      <c r="R7776" t="s">
        <v>56</v>
      </c>
      <c r="T7776" t="s">
        <v>14487</v>
      </c>
      <c r="U7776" t="s">
        <v>55</v>
      </c>
      <c r="V7776">
        <v>1</v>
      </c>
      <c r="W7776">
        <v>1</v>
      </c>
      <c r="X7776">
        <v>2</v>
      </c>
      <c r="Y7776">
        <v>0</v>
      </c>
      <c r="Z7776">
        <v>2</v>
      </c>
      <c r="AA7776">
        <v>109.24</v>
      </c>
      <c r="AB7776">
        <v>109.24</v>
      </c>
      <c r="AC7776">
        <v>109.24</v>
      </c>
      <c r="AD7776">
        <v>0</v>
      </c>
      <c r="AE7776">
        <v>0</v>
      </c>
      <c r="AF7776">
        <v>0</v>
      </c>
      <c r="AG7776">
        <v>0</v>
      </c>
      <c r="AH7776">
        <v>0</v>
      </c>
      <c r="AI7776">
        <v>19.66</v>
      </c>
      <c r="AJ7776">
        <v>109.24</v>
      </c>
      <c r="AK7776">
        <v>0</v>
      </c>
      <c r="AL7776" t="s">
        <v>53</v>
      </c>
      <c r="AM7776" t="s">
        <v>53</v>
      </c>
      <c r="AN7776" t="s">
        <v>53</v>
      </c>
      <c r="AO7776" t="s">
        <v>53</v>
      </c>
      <c r="AP7776" t="s">
        <v>53</v>
      </c>
    </row>
    <row r="7777" spans="2:42" x14ac:dyDescent="0.2">
      <c r="B7777" t="s">
        <v>44</v>
      </c>
      <c r="C7777" t="str">
        <f>HYPERLINK("https://us2.cloudbeds.com/connect/8493803454333002#/reservations/9080486847889240?display=49YPDHVYVK&amp;reservation_id=9080486847889240", "49YPDHVYVK")</f>
        <v>49YPDHVYVK</v>
      </c>
      <c r="D7777" t="s">
        <v>45</v>
      </c>
      <c r="E7777" t="s">
        <v>121</v>
      </c>
      <c r="F7777" t="s">
        <v>86</v>
      </c>
      <c r="G7777" t="s">
        <v>48</v>
      </c>
      <c r="H7777" t="s">
        <v>49</v>
      </c>
      <c r="I7777" t="s">
        <v>8964</v>
      </c>
      <c r="J7777" t="s">
        <v>12117</v>
      </c>
      <c r="K7777" t="s">
        <v>9710</v>
      </c>
      <c r="L7777" t="s">
        <v>53</v>
      </c>
      <c r="N7777" t="s">
        <v>14488</v>
      </c>
      <c r="P7777" t="s">
        <v>55</v>
      </c>
      <c r="R7777" t="s">
        <v>53</v>
      </c>
      <c r="T7777" t="s">
        <v>14489</v>
      </c>
      <c r="U7777" t="s">
        <v>55</v>
      </c>
      <c r="V7777">
        <v>2</v>
      </c>
      <c r="W7777">
        <v>1</v>
      </c>
      <c r="X7777">
        <v>2</v>
      </c>
      <c r="Y7777">
        <v>2</v>
      </c>
      <c r="Z7777">
        <v>4</v>
      </c>
      <c r="AA7777">
        <v>0</v>
      </c>
      <c r="AB7777">
        <v>0</v>
      </c>
      <c r="AC7777">
        <v>246</v>
      </c>
      <c r="AD7777">
        <v>0</v>
      </c>
      <c r="AE7777">
        <v>0</v>
      </c>
      <c r="AF7777">
        <v>0</v>
      </c>
      <c r="AG7777">
        <v>0</v>
      </c>
      <c r="AH7777">
        <v>0</v>
      </c>
      <c r="AI7777">
        <v>36.9</v>
      </c>
      <c r="AJ7777">
        <v>246</v>
      </c>
      <c r="AK7777">
        <v>246</v>
      </c>
      <c r="AL7777" t="s">
        <v>53</v>
      </c>
      <c r="AM7777" t="s">
        <v>53</v>
      </c>
      <c r="AN7777" t="s">
        <v>53</v>
      </c>
      <c r="AO7777" t="s">
        <v>53</v>
      </c>
      <c r="AP7777" t="s">
        <v>53</v>
      </c>
    </row>
    <row r="7778" spans="2:42" x14ac:dyDescent="0.2">
      <c r="B7778" t="s">
        <v>44</v>
      </c>
      <c r="C7778" t="str">
        <f>HYPERLINK("https://us2.cloudbeds.com/connect/8493803454333002#/reservations/9080486847889467?display=49YVP82E86&amp;reservation_id=9080486847889467", "49YVP82E86")</f>
        <v>49YVP82E86</v>
      </c>
      <c r="D7778" t="s">
        <v>45</v>
      </c>
      <c r="E7778" t="s">
        <v>113</v>
      </c>
      <c r="F7778" t="s">
        <v>61</v>
      </c>
      <c r="G7778" t="s">
        <v>48</v>
      </c>
      <c r="H7778" t="s">
        <v>49</v>
      </c>
      <c r="I7778" t="s">
        <v>62</v>
      </c>
      <c r="J7778" t="s">
        <v>13010</v>
      </c>
      <c r="K7778" t="s">
        <v>12117</v>
      </c>
      <c r="L7778" t="s">
        <v>53</v>
      </c>
      <c r="N7778" t="s">
        <v>14490</v>
      </c>
      <c r="P7778" t="s">
        <v>55</v>
      </c>
      <c r="R7778" t="s">
        <v>56</v>
      </c>
      <c r="T7778" t="s">
        <v>14491</v>
      </c>
      <c r="U7778" t="s">
        <v>55</v>
      </c>
      <c r="V7778">
        <v>1</v>
      </c>
      <c r="W7778">
        <v>1</v>
      </c>
      <c r="X7778">
        <v>2</v>
      </c>
      <c r="Y7778">
        <v>0</v>
      </c>
      <c r="Z7778">
        <v>2</v>
      </c>
      <c r="AA7778">
        <v>95.84</v>
      </c>
      <c r="AB7778">
        <v>95.84</v>
      </c>
      <c r="AC7778">
        <v>95.84</v>
      </c>
      <c r="AD7778">
        <v>0</v>
      </c>
      <c r="AE7778">
        <v>0</v>
      </c>
      <c r="AF7778">
        <v>0</v>
      </c>
      <c r="AG7778">
        <v>0</v>
      </c>
      <c r="AH7778">
        <v>0</v>
      </c>
      <c r="AI7778">
        <v>17.25</v>
      </c>
      <c r="AJ7778">
        <v>95.84</v>
      </c>
      <c r="AK7778">
        <v>0</v>
      </c>
      <c r="AL7778" t="s">
        <v>53</v>
      </c>
      <c r="AM7778" t="s">
        <v>53</v>
      </c>
      <c r="AN7778" t="s">
        <v>53</v>
      </c>
      <c r="AO7778" t="s">
        <v>53</v>
      </c>
      <c r="AP7778" t="s">
        <v>53</v>
      </c>
    </row>
    <row r="7779" spans="2:42" x14ac:dyDescent="0.2">
      <c r="B7779" t="s">
        <v>44</v>
      </c>
      <c r="C7779" t="str">
        <f>HYPERLINK("https://us2.cloudbeds.com/connect/8493803454333002#/reservations/9080486847889580?display=49M21XM6JP&amp;reservation_id=9080486847889580", "49M21XM6JP")</f>
        <v>49M21XM6JP</v>
      </c>
      <c r="D7779" t="s">
        <v>45</v>
      </c>
      <c r="E7779" t="s">
        <v>92</v>
      </c>
      <c r="F7779" t="s">
        <v>86</v>
      </c>
      <c r="G7779" t="s">
        <v>48</v>
      </c>
      <c r="H7779" t="s">
        <v>49</v>
      </c>
      <c r="I7779" t="s">
        <v>62</v>
      </c>
      <c r="J7779" t="s">
        <v>12117</v>
      </c>
      <c r="K7779" t="s">
        <v>13024</v>
      </c>
      <c r="L7779" t="s">
        <v>53</v>
      </c>
      <c r="N7779" t="s">
        <v>14492</v>
      </c>
      <c r="P7779" t="s">
        <v>55</v>
      </c>
      <c r="R7779" t="s">
        <v>56</v>
      </c>
      <c r="T7779" t="s">
        <v>14493</v>
      </c>
      <c r="U7779" t="s">
        <v>55</v>
      </c>
      <c r="V7779">
        <v>1</v>
      </c>
      <c r="W7779">
        <v>1</v>
      </c>
      <c r="X7779">
        <v>2</v>
      </c>
      <c r="Y7779">
        <v>0</v>
      </c>
      <c r="Z7779">
        <v>2</v>
      </c>
      <c r="AA7779">
        <v>98.32</v>
      </c>
      <c r="AB7779">
        <v>98.32</v>
      </c>
      <c r="AC7779">
        <v>98.32</v>
      </c>
      <c r="AD7779">
        <v>0</v>
      </c>
      <c r="AE7779">
        <v>0</v>
      </c>
      <c r="AF7779">
        <v>0</v>
      </c>
      <c r="AG7779">
        <v>0</v>
      </c>
      <c r="AH7779">
        <v>0</v>
      </c>
      <c r="AI7779">
        <v>17.7</v>
      </c>
      <c r="AJ7779">
        <v>98.32</v>
      </c>
      <c r="AK7779">
        <v>0</v>
      </c>
      <c r="AL7779" t="s">
        <v>53</v>
      </c>
      <c r="AM7779" t="s">
        <v>53</v>
      </c>
      <c r="AN7779" t="s">
        <v>14494</v>
      </c>
      <c r="AO7779" t="s">
        <v>53</v>
      </c>
      <c r="AP7779" t="s">
        <v>53</v>
      </c>
    </row>
    <row r="7780" spans="2:42" x14ac:dyDescent="0.2">
      <c r="B7780" t="s">
        <v>44</v>
      </c>
      <c r="C7780" t="str">
        <f>HYPERLINK("https://us2.cloudbeds.com/connect/8493803454333002#/reservations/9080486847889599?display=49M2H8NP2G&amp;reservation_id=9080486847889599", "49M2H8NP2G")</f>
        <v>49M2H8NP2G</v>
      </c>
      <c r="D7780" t="s">
        <v>45</v>
      </c>
      <c r="E7780" t="s">
        <v>265</v>
      </c>
      <c r="F7780" t="s">
        <v>61</v>
      </c>
      <c r="G7780" t="s">
        <v>48</v>
      </c>
      <c r="H7780" t="s">
        <v>49</v>
      </c>
      <c r="I7780" t="s">
        <v>62</v>
      </c>
      <c r="J7780" t="s">
        <v>12117</v>
      </c>
      <c r="K7780" t="s">
        <v>13024</v>
      </c>
      <c r="L7780" t="s">
        <v>53</v>
      </c>
      <c r="N7780" t="s">
        <v>14495</v>
      </c>
      <c r="P7780" t="s">
        <v>55</v>
      </c>
      <c r="R7780" t="s">
        <v>56</v>
      </c>
      <c r="T7780" t="s">
        <v>14496</v>
      </c>
      <c r="U7780" t="s">
        <v>55</v>
      </c>
      <c r="V7780">
        <v>1</v>
      </c>
      <c r="W7780">
        <v>1</v>
      </c>
      <c r="X7780">
        <v>2</v>
      </c>
      <c r="Y7780">
        <v>0</v>
      </c>
      <c r="Z7780">
        <v>2</v>
      </c>
      <c r="AA7780">
        <v>114.02</v>
      </c>
      <c r="AB7780">
        <v>114.02</v>
      </c>
      <c r="AC7780">
        <v>114.02</v>
      </c>
      <c r="AD7780">
        <v>0</v>
      </c>
      <c r="AE7780">
        <v>0</v>
      </c>
      <c r="AF7780">
        <v>0</v>
      </c>
      <c r="AG7780">
        <v>0</v>
      </c>
      <c r="AH7780">
        <v>0</v>
      </c>
      <c r="AI7780">
        <v>20.52</v>
      </c>
      <c r="AJ7780">
        <v>114.02</v>
      </c>
      <c r="AK7780">
        <v>0</v>
      </c>
      <c r="AL7780" t="s">
        <v>53</v>
      </c>
      <c r="AM7780" t="s">
        <v>53</v>
      </c>
      <c r="AN7780" t="s">
        <v>14497</v>
      </c>
      <c r="AO7780" t="s">
        <v>53</v>
      </c>
      <c r="AP7780" t="s">
        <v>53</v>
      </c>
    </row>
    <row r="7781" spans="2:42" x14ac:dyDescent="0.2">
      <c r="B7781" t="s">
        <v>44</v>
      </c>
      <c r="C7781" t="str">
        <f>HYPERLINK("https://us2.cloudbeds.com/connect/8493803454333002#/reservations/9080486847889900?display=49MAEXDCJ7&amp;reservation_id=9080486847889900", "49MAEXDCJ7")</f>
        <v>49MAEXDCJ7</v>
      </c>
      <c r="D7781" t="s">
        <v>45</v>
      </c>
      <c r="E7781" t="s">
        <v>113</v>
      </c>
      <c r="F7781" t="s">
        <v>61</v>
      </c>
      <c r="G7781" t="s">
        <v>48</v>
      </c>
      <c r="H7781" t="s">
        <v>49</v>
      </c>
      <c r="I7781" t="s">
        <v>50</v>
      </c>
      <c r="J7781" t="s">
        <v>11627</v>
      </c>
      <c r="K7781" t="s">
        <v>14498</v>
      </c>
      <c r="L7781" t="s">
        <v>53</v>
      </c>
      <c r="N7781" t="s">
        <v>14499</v>
      </c>
      <c r="P7781" t="s">
        <v>55</v>
      </c>
      <c r="R7781" t="s">
        <v>53</v>
      </c>
      <c r="T7781" t="s">
        <v>14500</v>
      </c>
      <c r="U7781" t="s">
        <v>58</v>
      </c>
      <c r="V7781">
        <v>4</v>
      </c>
      <c r="W7781">
        <v>1</v>
      </c>
      <c r="X7781">
        <v>2</v>
      </c>
      <c r="Y7781">
        <v>0</v>
      </c>
      <c r="Z7781">
        <v>2</v>
      </c>
      <c r="AA7781">
        <v>812.74</v>
      </c>
      <c r="AB7781">
        <v>819.89</v>
      </c>
      <c r="AC7781">
        <v>715.12</v>
      </c>
      <c r="AD7781">
        <v>0</v>
      </c>
      <c r="AE7781">
        <v>104.77</v>
      </c>
      <c r="AF7781">
        <v>0</v>
      </c>
      <c r="AG7781">
        <v>0</v>
      </c>
      <c r="AH7781">
        <v>0</v>
      </c>
      <c r="AI7781">
        <v>147.58000000000001</v>
      </c>
      <c r="AJ7781">
        <v>819.89</v>
      </c>
      <c r="AK7781">
        <v>0</v>
      </c>
      <c r="AL7781" t="s">
        <v>53</v>
      </c>
      <c r="AM7781" t="s">
        <v>53</v>
      </c>
      <c r="AN7781" t="s">
        <v>14501</v>
      </c>
      <c r="AO7781" t="s">
        <v>53</v>
      </c>
      <c r="AP7781" t="s">
        <v>53</v>
      </c>
    </row>
    <row r="7782" spans="2:42" x14ac:dyDescent="0.2">
      <c r="B7782" t="s">
        <v>44</v>
      </c>
      <c r="C7782" t="str">
        <f>HYPERLINK("https://us2.cloudbeds.com/connect/8493803454333002#/reservations/199264557015168?display=49MX29HQQR&amp;reservation_id=199264557015168", "49MX29HQQR")</f>
        <v>49MX29HQQR</v>
      </c>
      <c r="D7782" t="s">
        <v>45</v>
      </c>
      <c r="E7782" t="s">
        <v>155</v>
      </c>
      <c r="F7782" t="s">
        <v>86</v>
      </c>
      <c r="G7782" t="s">
        <v>48</v>
      </c>
      <c r="H7782" t="s">
        <v>3957</v>
      </c>
      <c r="I7782" t="s">
        <v>3975</v>
      </c>
      <c r="J7782" t="s">
        <v>14502</v>
      </c>
      <c r="K7782" t="s">
        <v>13362</v>
      </c>
      <c r="L7782" t="s">
        <v>53</v>
      </c>
      <c r="P7782" t="s">
        <v>55</v>
      </c>
      <c r="R7782" t="s">
        <v>56</v>
      </c>
      <c r="T7782" t="s">
        <v>14503</v>
      </c>
      <c r="U7782" t="s">
        <v>58</v>
      </c>
      <c r="V7782">
        <v>3</v>
      </c>
      <c r="W7782">
        <v>1</v>
      </c>
      <c r="X7782">
        <v>2</v>
      </c>
      <c r="Y7782">
        <v>0</v>
      </c>
      <c r="Z7782">
        <v>2</v>
      </c>
      <c r="AA7782">
        <v>321.04000000000002</v>
      </c>
      <c r="AB7782">
        <v>321.04000000000002</v>
      </c>
      <c r="AC7782">
        <v>280</v>
      </c>
      <c r="AD7782">
        <v>0</v>
      </c>
      <c r="AE7782">
        <v>41.04</v>
      </c>
      <c r="AF7782">
        <v>0</v>
      </c>
      <c r="AG7782">
        <v>0</v>
      </c>
      <c r="AH7782">
        <v>0</v>
      </c>
      <c r="AI7782">
        <v>0</v>
      </c>
      <c r="AJ7782">
        <v>321.04000000000002</v>
      </c>
      <c r="AK7782">
        <v>0</v>
      </c>
      <c r="AL7782" t="s">
        <v>53</v>
      </c>
      <c r="AM7782" t="s">
        <v>53</v>
      </c>
      <c r="AN7782" t="s">
        <v>14504</v>
      </c>
      <c r="AO7782" t="s">
        <v>53</v>
      </c>
      <c r="AP7782" t="s">
        <v>53</v>
      </c>
    </row>
    <row r="7783" spans="2:42" x14ac:dyDescent="0.2">
      <c r="B7783" t="s">
        <v>44</v>
      </c>
      <c r="C7783" t="str">
        <f>HYPERLINK("https://us2.cloudbeds.com/connect/8493803454333002#/reservations/9080486847890857?display=49NA8CZTSD&amp;reservation_id=9080486847890857", "49NA8CZTSD")</f>
        <v>49NA8CZTSD</v>
      </c>
      <c r="D7783" t="s">
        <v>45</v>
      </c>
      <c r="E7783" t="s">
        <v>190</v>
      </c>
      <c r="F7783" t="s">
        <v>61</v>
      </c>
      <c r="G7783" t="s">
        <v>48</v>
      </c>
      <c r="H7783" t="s">
        <v>49</v>
      </c>
      <c r="I7783" t="s">
        <v>62</v>
      </c>
      <c r="J7783" t="s">
        <v>13573</v>
      </c>
      <c r="K7783" t="s">
        <v>13362</v>
      </c>
      <c r="L7783" t="s">
        <v>53</v>
      </c>
      <c r="N7783" t="s">
        <v>14505</v>
      </c>
      <c r="P7783" t="s">
        <v>55</v>
      </c>
      <c r="R7783" t="s">
        <v>56</v>
      </c>
      <c r="T7783" t="s">
        <v>14506</v>
      </c>
      <c r="U7783" t="s">
        <v>55</v>
      </c>
      <c r="V7783">
        <v>4</v>
      </c>
      <c r="W7783">
        <v>1</v>
      </c>
      <c r="X7783">
        <v>2</v>
      </c>
      <c r="Y7783">
        <v>0</v>
      </c>
      <c r="Z7783">
        <v>2</v>
      </c>
      <c r="AA7783">
        <v>361.93</v>
      </c>
      <c r="AB7783">
        <v>361.93</v>
      </c>
      <c r="AC7783">
        <v>361.93</v>
      </c>
      <c r="AD7783">
        <v>0</v>
      </c>
      <c r="AE7783">
        <v>0</v>
      </c>
      <c r="AF7783">
        <v>0</v>
      </c>
      <c r="AG7783">
        <v>0</v>
      </c>
      <c r="AH7783">
        <v>0</v>
      </c>
      <c r="AI7783">
        <v>65.150000000000006</v>
      </c>
      <c r="AJ7783">
        <v>361.93</v>
      </c>
      <c r="AK7783">
        <v>0</v>
      </c>
      <c r="AL7783" t="s">
        <v>53</v>
      </c>
      <c r="AM7783" t="s">
        <v>53</v>
      </c>
      <c r="AN7783" t="s">
        <v>14507</v>
      </c>
      <c r="AO7783" t="s">
        <v>53</v>
      </c>
      <c r="AP7783" t="s">
        <v>53</v>
      </c>
    </row>
    <row r="7784" spans="2:42" x14ac:dyDescent="0.2">
      <c r="B7784" t="s">
        <v>44</v>
      </c>
      <c r="C7784" t="str">
        <f>HYPERLINK("https://us2.cloudbeds.com/connect/8493803454333002#/reservations/9080486847890921?display=49NCC7PBK5&amp;reservation_id=9080486847890921", "49NCC7PBK5")</f>
        <v>49NCC7PBK5</v>
      </c>
      <c r="D7784" t="s">
        <v>45</v>
      </c>
      <c r="E7784" t="s">
        <v>138</v>
      </c>
      <c r="F7784" t="s">
        <v>70</v>
      </c>
      <c r="G7784" t="s">
        <v>48</v>
      </c>
      <c r="H7784" t="s">
        <v>49</v>
      </c>
      <c r="I7784" t="s">
        <v>62</v>
      </c>
      <c r="J7784" t="s">
        <v>9711</v>
      </c>
      <c r="K7784" t="s">
        <v>12565</v>
      </c>
      <c r="L7784" t="s">
        <v>53</v>
      </c>
      <c r="N7784" t="s">
        <v>14508</v>
      </c>
      <c r="P7784" t="s">
        <v>55</v>
      </c>
      <c r="R7784" t="s">
        <v>56</v>
      </c>
      <c r="T7784" t="s">
        <v>14509</v>
      </c>
      <c r="U7784" t="s">
        <v>55</v>
      </c>
      <c r="V7784">
        <v>2</v>
      </c>
      <c r="W7784">
        <v>1</v>
      </c>
      <c r="X7784">
        <v>2</v>
      </c>
      <c r="Y7784">
        <v>0</v>
      </c>
      <c r="Z7784">
        <v>2</v>
      </c>
      <c r="AA7784">
        <v>137.69999999999999</v>
      </c>
      <c r="AB7784">
        <v>137.69999999999999</v>
      </c>
      <c r="AC7784">
        <v>137.69999999999999</v>
      </c>
      <c r="AD7784">
        <v>0</v>
      </c>
      <c r="AE7784">
        <v>0</v>
      </c>
      <c r="AF7784">
        <v>0</v>
      </c>
      <c r="AG7784">
        <v>0</v>
      </c>
      <c r="AH7784">
        <v>0</v>
      </c>
      <c r="AI7784">
        <v>24.79</v>
      </c>
      <c r="AJ7784">
        <v>137.69999999999999</v>
      </c>
      <c r="AK7784">
        <v>0</v>
      </c>
      <c r="AL7784" t="s">
        <v>53</v>
      </c>
      <c r="AM7784" t="s">
        <v>53</v>
      </c>
      <c r="AN7784" t="s">
        <v>53</v>
      </c>
      <c r="AO7784" t="s">
        <v>53</v>
      </c>
      <c r="AP7784" t="s">
        <v>53</v>
      </c>
    </row>
    <row r="7785" spans="2:42" x14ac:dyDescent="0.2">
      <c r="B7785" t="s">
        <v>44</v>
      </c>
      <c r="C7785" t="str">
        <f>HYPERLINK("https://us2.cloudbeds.com/connect/8493803454333002#/reservations/9080486847890933?display=49ND16NV7B&amp;reservation_id=9080486847890933", "49ND16NV7B")</f>
        <v>49ND16NV7B</v>
      </c>
      <c r="D7785" t="s">
        <v>45</v>
      </c>
      <c r="E7785" t="s">
        <v>223</v>
      </c>
      <c r="F7785" t="s">
        <v>47</v>
      </c>
      <c r="G7785" t="s">
        <v>48</v>
      </c>
      <c r="H7785" t="s">
        <v>49</v>
      </c>
      <c r="I7785" t="s">
        <v>62</v>
      </c>
      <c r="J7785" t="s">
        <v>13573</v>
      </c>
      <c r="K7785" t="s">
        <v>13362</v>
      </c>
      <c r="L7785" t="s">
        <v>53</v>
      </c>
      <c r="N7785" t="s">
        <v>14510</v>
      </c>
      <c r="P7785" t="s">
        <v>55</v>
      </c>
      <c r="R7785" t="s">
        <v>56</v>
      </c>
      <c r="T7785" t="s">
        <v>14511</v>
      </c>
      <c r="U7785" t="s">
        <v>55</v>
      </c>
      <c r="V7785">
        <v>4</v>
      </c>
      <c r="W7785">
        <v>1</v>
      </c>
      <c r="X7785">
        <v>2</v>
      </c>
      <c r="Y7785">
        <v>0</v>
      </c>
      <c r="Z7785">
        <v>2</v>
      </c>
      <c r="AA7785">
        <v>333.14</v>
      </c>
      <c r="AB7785">
        <v>333.14</v>
      </c>
      <c r="AC7785">
        <v>333.14</v>
      </c>
      <c r="AD7785">
        <v>0</v>
      </c>
      <c r="AE7785">
        <v>0</v>
      </c>
      <c r="AF7785">
        <v>0</v>
      </c>
      <c r="AG7785">
        <v>0</v>
      </c>
      <c r="AH7785">
        <v>0</v>
      </c>
      <c r="AI7785">
        <v>59.97</v>
      </c>
      <c r="AJ7785">
        <v>333.14</v>
      </c>
      <c r="AK7785">
        <v>0</v>
      </c>
      <c r="AL7785" t="s">
        <v>53</v>
      </c>
      <c r="AM7785" t="s">
        <v>53</v>
      </c>
      <c r="AN7785" t="s">
        <v>53</v>
      </c>
      <c r="AO7785" t="s">
        <v>53</v>
      </c>
      <c r="AP7785" t="s">
        <v>53</v>
      </c>
    </row>
    <row r="7786" spans="2:42" x14ac:dyDescent="0.2">
      <c r="B7786" t="s">
        <v>44</v>
      </c>
      <c r="C7786" t="str">
        <f>HYPERLINK("https://us2.cloudbeds.com/connect/8493803454333002#/reservations/199312526078080?display=49NM70B1C7&amp;reservation_id=199312526078080", "49NM70B1C7")</f>
        <v>49NM70B1C7</v>
      </c>
      <c r="D7786" t="s">
        <v>45</v>
      </c>
      <c r="E7786" t="s">
        <v>46</v>
      </c>
      <c r="F7786" t="s">
        <v>47</v>
      </c>
      <c r="G7786" t="s">
        <v>48</v>
      </c>
      <c r="H7786" t="s">
        <v>3957</v>
      </c>
      <c r="I7786" t="s">
        <v>3975</v>
      </c>
      <c r="J7786" t="s">
        <v>13024</v>
      </c>
      <c r="K7786" t="s">
        <v>14337</v>
      </c>
      <c r="L7786" t="s">
        <v>53</v>
      </c>
      <c r="P7786" t="s">
        <v>55</v>
      </c>
      <c r="R7786" t="s">
        <v>56</v>
      </c>
      <c r="T7786" t="s">
        <v>14512</v>
      </c>
      <c r="U7786" t="s">
        <v>58</v>
      </c>
      <c r="V7786">
        <v>6</v>
      </c>
      <c r="W7786">
        <v>1</v>
      </c>
      <c r="X7786">
        <v>1</v>
      </c>
      <c r="Y7786">
        <v>0</v>
      </c>
      <c r="Z7786">
        <v>1</v>
      </c>
      <c r="AA7786">
        <v>618.29999999999995</v>
      </c>
      <c r="AB7786">
        <v>622.29999999999995</v>
      </c>
      <c r="AC7786">
        <v>544</v>
      </c>
      <c r="AD7786">
        <v>2.5</v>
      </c>
      <c r="AE7786">
        <v>74.510000000000005</v>
      </c>
      <c r="AF7786">
        <v>0</v>
      </c>
      <c r="AG7786">
        <v>0</v>
      </c>
      <c r="AH7786">
        <v>0</v>
      </c>
      <c r="AI7786">
        <v>0</v>
      </c>
      <c r="AJ7786">
        <v>621.01</v>
      </c>
      <c r="AK7786">
        <v>-1.29</v>
      </c>
      <c r="AL7786" t="s">
        <v>53</v>
      </c>
      <c r="AM7786" t="s">
        <v>53</v>
      </c>
      <c r="AN7786" t="s">
        <v>53</v>
      </c>
      <c r="AO7786" t="s">
        <v>53</v>
      </c>
      <c r="AP7786" t="s">
        <v>53</v>
      </c>
    </row>
    <row r="7787" spans="2:42" x14ac:dyDescent="0.2">
      <c r="B7787" t="s">
        <v>44</v>
      </c>
      <c r="C7787" t="str">
        <f>HYPERLINK("https://us2.cloudbeds.com/connect/8493803454333002#/reservations/9080486847891384?display=49NRMZPWZ2&amp;reservation_id=9080486847891384", "49NRMZPWZ2")</f>
        <v>49NRMZPWZ2</v>
      </c>
      <c r="D7787" t="s">
        <v>45</v>
      </c>
      <c r="E7787" t="s">
        <v>373</v>
      </c>
      <c r="F7787" t="s">
        <v>47</v>
      </c>
      <c r="G7787" t="s">
        <v>48</v>
      </c>
      <c r="H7787" t="s">
        <v>49</v>
      </c>
      <c r="I7787" t="s">
        <v>62</v>
      </c>
      <c r="J7787" t="s">
        <v>12117</v>
      </c>
      <c r="K7787" t="s">
        <v>13024</v>
      </c>
      <c r="L7787" t="s">
        <v>53</v>
      </c>
      <c r="N7787" t="s">
        <v>14513</v>
      </c>
      <c r="P7787" t="s">
        <v>55</v>
      </c>
      <c r="R7787" t="s">
        <v>56</v>
      </c>
      <c r="T7787" t="s">
        <v>14514</v>
      </c>
      <c r="U7787" t="s">
        <v>55</v>
      </c>
      <c r="V7787">
        <v>1</v>
      </c>
      <c r="W7787">
        <v>1</v>
      </c>
      <c r="X7787">
        <v>2</v>
      </c>
      <c r="Y7787">
        <v>0</v>
      </c>
      <c r="Z7787">
        <v>2</v>
      </c>
      <c r="AA7787">
        <v>113.19</v>
      </c>
      <c r="AB7787">
        <v>113.19</v>
      </c>
      <c r="AC7787">
        <v>113.19</v>
      </c>
      <c r="AD7787">
        <v>0</v>
      </c>
      <c r="AE7787">
        <v>0</v>
      </c>
      <c r="AF7787">
        <v>0</v>
      </c>
      <c r="AG7787">
        <v>0</v>
      </c>
      <c r="AH7787">
        <v>0</v>
      </c>
      <c r="AI7787">
        <v>20.37</v>
      </c>
      <c r="AJ7787">
        <v>113.19</v>
      </c>
      <c r="AK7787">
        <v>0</v>
      </c>
      <c r="AL7787" t="s">
        <v>53</v>
      </c>
      <c r="AM7787" t="s">
        <v>53</v>
      </c>
      <c r="AN7787" t="s">
        <v>14515</v>
      </c>
      <c r="AO7787" t="s">
        <v>53</v>
      </c>
      <c r="AP7787" t="s">
        <v>53</v>
      </c>
    </row>
    <row r="7788" spans="2:42" x14ac:dyDescent="0.2">
      <c r="B7788" t="s">
        <v>44</v>
      </c>
      <c r="C7788" t="str">
        <f>HYPERLINK("https://us2.cloudbeds.com/connect/8493803454333002#/reservations/9080486847894654?display=49RXSC4F74&amp;reservation_id=9080486847894654", "49RXSC4F74")</f>
        <v>49RXSC4F74</v>
      </c>
      <c r="D7788" t="s">
        <v>45</v>
      </c>
      <c r="E7788" t="s">
        <v>165</v>
      </c>
      <c r="F7788" t="s">
        <v>61</v>
      </c>
      <c r="G7788" t="s">
        <v>48</v>
      </c>
      <c r="H7788" t="s">
        <v>49</v>
      </c>
      <c r="I7788" t="s">
        <v>50</v>
      </c>
      <c r="J7788" t="s">
        <v>9710</v>
      </c>
      <c r="K7788" t="s">
        <v>12118</v>
      </c>
      <c r="L7788" t="s">
        <v>53</v>
      </c>
      <c r="N7788" t="s">
        <v>14516</v>
      </c>
      <c r="P7788" t="s">
        <v>55</v>
      </c>
      <c r="R7788" t="s">
        <v>53</v>
      </c>
      <c r="T7788" t="s">
        <v>14517</v>
      </c>
      <c r="U7788" t="s">
        <v>58</v>
      </c>
      <c r="V7788">
        <v>1</v>
      </c>
      <c r="W7788">
        <v>1</v>
      </c>
      <c r="X7788">
        <v>2</v>
      </c>
      <c r="Y7788">
        <v>0</v>
      </c>
      <c r="Z7788">
        <v>2</v>
      </c>
      <c r="AA7788">
        <v>89.72</v>
      </c>
      <c r="AB7788">
        <v>89.72</v>
      </c>
      <c r="AC7788">
        <v>78.95</v>
      </c>
      <c r="AD7788">
        <v>0</v>
      </c>
      <c r="AE7788">
        <v>10.77</v>
      </c>
      <c r="AF7788">
        <v>0</v>
      </c>
      <c r="AG7788">
        <v>0</v>
      </c>
      <c r="AH7788">
        <v>0</v>
      </c>
      <c r="AI7788">
        <v>16.149999999999999</v>
      </c>
      <c r="AJ7788">
        <v>89.72</v>
      </c>
      <c r="AK7788">
        <v>0</v>
      </c>
      <c r="AL7788" t="s">
        <v>53</v>
      </c>
      <c r="AM7788" t="s">
        <v>53</v>
      </c>
      <c r="AN7788" t="s">
        <v>53</v>
      </c>
      <c r="AO7788" t="s">
        <v>53</v>
      </c>
      <c r="AP7788" t="s">
        <v>53</v>
      </c>
    </row>
    <row r="7789" spans="2:42" x14ac:dyDescent="0.2">
      <c r="B7789" t="s">
        <v>44</v>
      </c>
      <c r="C7789" t="str">
        <f>HYPERLINK("https://us2.cloudbeds.com/connect/8493803454333002#/reservations/9080486847898882?display=49V3Y1WAA7&amp;reservation_id=9080486847898882", "49V3Y1WAA7")</f>
        <v>49V3Y1WAA7</v>
      </c>
      <c r="D7789" t="s">
        <v>45</v>
      </c>
      <c r="E7789" t="s">
        <v>190</v>
      </c>
      <c r="F7789" t="s">
        <v>61</v>
      </c>
      <c r="G7789" t="s">
        <v>48</v>
      </c>
      <c r="H7789" t="s">
        <v>49</v>
      </c>
      <c r="I7789" t="s">
        <v>50</v>
      </c>
      <c r="J7789" t="s">
        <v>13726</v>
      </c>
      <c r="K7789" t="s">
        <v>9711</v>
      </c>
      <c r="L7789" t="s">
        <v>53</v>
      </c>
      <c r="N7789" t="s">
        <v>14518</v>
      </c>
      <c r="P7789" t="s">
        <v>55</v>
      </c>
      <c r="R7789" t="s">
        <v>53</v>
      </c>
      <c r="T7789" t="s">
        <v>14519</v>
      </c>
      <c r="U7789" t="s">
        <v>58</v>
      </c>
      <c r="V7789">
        <v>3</v>
      </c>
      <c r="W7789">
        <v>1</v>
      </c>
      <c r="X7789">
        <v>2</v>
      </c>
      <c r="Y7789">
        <v>0</v>
      </c>
      <c r="Z7789">
        <v>2</v>
      </c>
      <c r="AA7789">
        <v>310.29000000000002</v>
      </c>
      <c r="AB7789">
        <v>310.29000000000002</v>
      </c>
      <c r="AC7789">
        <v>273.02</v>
      </c>
      <c r="AD7789">
        <v>0</v>
      </c>
      <c r="AE7789">
        <v>37.270000000000003</v>
      </c>
      <c r="AF7789">
        <v>0</v>
      </c>
      <c r="AG7789">
        <v>0</v>
      </c>
      <c r="AH7789">
        <v>0</v>
      </c>
      <c r="AI7789">
        <v>55.85</v>
      </c>
      <c r="AJ7789">
        <v>310.29000000000002</v>
      </c>
      <c r="AK7789">
        <v>0</v>
      </c>
      <c r="AL7789" t="s">
        <v>53</v>
      </c>
      <c r="AM7789" t="s">
        <v>53</v>
      </c>
      <c r="AN7789" t="s">
        <v>14520</v>
      </c>
      <c r="AO7789" t="s">
        <v>53</v>
      </c>
      <c r="AP7789" t="s">
        <v>53</v>
      </c>
    </row>
    <row r="7790" spans="2:42" x14ac:dyDescent="0.2">
      <c r="B7790" t="s">
        <v>44</v>
      </c>
      <c r="C7790" t="str">
        <f>HYPERLINK("https://us2.cloudbeds.com/connect/8493803454333002#/reservations/199860214948032?display=4A3H9Z36G4&amp;reservation_id=199860214948032", "4A3H9Z36G4")</f>
        <v>4A3H9Z36G4</v>
      </c>
      <c r="D7790" t="s">
        <v>45</v>
      </c>
      <c r="E7790" t="s">
        <v>165</v>
      </c>
      <c r="F7790" t="s">
        <v>61</v>
      </c>
      <c r="G7790" t="s">
        <v>3974</v>
      </c>
      <c r="H7790" t="s">
        <v>3957</v>
      </c>
      <c r="I7790" t="s">
        <v>3975</v>
      </c>
      <c r="J7790" t="s">
        <v>14480</v>
      </c>
      <c r="K7790" t="s">
        <v>13001</v>
      </c>
      <c r="L7790" t="s">
        <v>53</v>
      </c>
      <c r="P7790" t="s">
        <v>55</v>
      </c>
      <c r="R7790" t="s">
        <v>56</v>
      </c>
      <c r="T7790" t="s">
        <v>14521</v>
      </c>
      <c r="U7790" t="s">
        <v>58</v>
      </c>
      <c r="V7790">
        <v>2</v>
      </c>
      <c r="W7790">
        <v>1</v>
      </c>
      <c r="X7790">
        <v>2</v>
      </c>
      <c r="Y7790">
        <v>0</v>
      </c>
      <c r="Z7790">
        <v>2</v>
      </c>
      <c r="AA7790">
        <v>241.86</v>
      </c>
      <c r="AB7790">
        <v>243.98</v>
      </c>
      <c r="AC7790">
        <v>212.8</v>
      </c>
      <c r="AD7790">
        <v>0</v>
      </c>
      <c r="AE7790">
        <v>31.18</v>
      </c>
      <c r="AF7790">
        <v>0</v>
      </c>
      <c r="AG7790">
        <v>0</v>
      </c>
      <c r="AH7790">
        <v>0</v>
      </c>
      <c r="AI7790">
        <v>0</v>
      </c>
      <c r="AJ7790">
        <v>243.98</v>
      </c>
      <c r="AK7790">
        <v>0</v>
      </c>
      <c r="AL7790" t="s">
        <v>53</v>
      </c>
      <c r="AM7790" t="s">
        <v>53</v>
      </c>
      <c r="AN7790" t="s">
        <v>53</v>
      </c>
      <c r="AO7790" t="s">
        <v>53</v>
      </c>
      <c r="AP7790" t="s">
        <v>53</v>
      </c>
    </row>
    <row r="7791" spans="2:42" x14ac:dyDescent="0.2">
      <c r="B7791" t="s">
        <v>44</v>
      </c>
      <c r="C7791" t="str">
        <f>HYPERLINK("https://us2.cloudbeds.com/connect/8493803454333002#/reservations/9080486847904301?display=4A3XA82DS0&amp;reservation_id=9080486847904301", "4A3XA82DS0")</f>
        <v>4A3XA82DS0</v>
      </c>
      <c r="D7791" t="s">
        <v>45</v>
      </c>
      <c r="E7791" t="s">
        <v>373</v>
      </c>
      <c r="F7791" t="s">
        <v>47</v>
      </c>
      <c r="G7791" t="s">
        <v>48</v>
      </c>
      <c r="H7791" t="s">
        <v>49</v>
      </c>
      <c r="I7791" t="s">
        <v>62</v>
      </c>
      <c r="J7791" t="s">
        <v>13024</v>
      </c>
      <c r="K7791" t="s">
        <v>9710</v>
      </c>
      <c r="L7791" t="s">
        <v>53</v>
      </c>
      <c r="N7791" t="s">
        <v>14522</v>
      </c>
      <c r="P7791" t="s">
        <v>55</v>
      </c>
      <c r="R7791" t="s">
        <v>56</v>
      </c>
      <c r="T7791" t="s">
        <v>14523</v>
      </c>
      <c r="U7791" t="s">
        <v>55</v>
      </c>
      <c r="V7791">
        <v>1</v>
      </c>
      <c r="W7791">
        <v>1</v>
      </c>
      <c r="X7791">
        <v>2</v>
      </c>
      <c r="Y7791">
        <v>0</v>
      </c>
      <c r="Z7791">
        <v>2</v>
      </c>
      <c r="AA7791">
        <v>76.010000000000005</v>
      </c>
      <c r="AB7791">
        <v>76.010000000000005</v>
      </c>
      <c r="AC7791">
        <v>76.010000000000005</v>
      </c>
      <c r="AD7791">
        <v>0</v>
      </c>
      <c r="AE7791">
        <v>0</v>
      </c>
      <c r="AF7791">
        <v>0</v>
      </c>
      <c r="AG7791">
        <v>0</v>
      </c>
      <c r="AH7791">
        <v>0</v>
      </c>
      <c r="AI7791">
        <v>13.68</v>
      </c>
      <c r="AJ7791">
        <v>76.010000000000005</v>
      </c>
      <c r="AK7791">
        <v>0</v>
      </c>
      <c r="AL7791" t="s">
        <v>53</v>
      </c>
      <c r="AM7791" t="s">
        <v>53</v>
      </c>
      <c r="AN7791" t="s">
        <v>53</v>
      </c>
      <c r="AO7791" t="s">
        <v>53</v>
      </c>
      <c r="AP7791" t="s">
        <v>53</v>
      </c>
    </row>
    <row r="7792" spans="2:42" x14ac:dyDescent="0.2">
      <c r="B7792" t="s">
        <v>44</v>
      </c>
      <c r="C7792" t="str">
        <f>HYPERLINK("https://us2.cloudbeds.com/connect/8493803454333002#/reservations/9080486847904815?display=4A3SY5F163&amp;reservation_id=9080486847904815", "4A3SY5F163")</f>
        <v>4A3SY5F163</v>
      </c>
      <c r="D7792" t="s">
        <v>45</v>
      </c>
      <c r="E7792" t="s">
        <v>185</v>
      </c>
      <c r="F7792" t="s">
        <v>47</v>
      </c>
      <c r="G7792" t="s">
        <v>48</v>
      </c>
      <c r="H7792" t="s">
        <v>49</v>
      </c>
      <c r="I7792" t="s">
        <v>62</v>
      </c>
      <c r="J7792" t="s">
        <v>13024</v>
      </c>
      <c r="K7792" t="s">
        <v>13726</v>
      </c>
      <c r="L7792" t="s">
        <v>53</v>
      </c>
      <c r="N7792" t="s">
        <v>14524</v>
      </c>
      <c r="P7792" t="s">
        <v>55</v>
      </c>
      <c r="R7792" t="s">
        <v>56</v>
      </c>
      <c r="T7792" t="s">
        <v>14525</v>
      </c>
      <c r="U7792" t="s">
        <v>55</v>
      </c>
      <c r="V7792">
        <v>4</v>
      </c>
      <c r="W7792">
        <v>1</v>
      </c>
      <c r="X7792">
        <v>2</v>
      </c>
      <c r="Y7792">
        <v>0</v>
      </c>
      <c r="Z7792">
        <v>2</v>
      </c>
      <c r="AA7792">
        <v>286.7</v>
      </c>
      <c r="AB7792">
        <v>286.7</v>
      </c>
      <c r="AC7792">
        <v>286.7</v>
      </c>
      <c r="AD7792">
        <v>0</v>
      </c>
      <c r="AE7792">
        <v>0</v>
      </c>
      <c r="AF7792">
        <v>0</v>
      </c>
      <c r="AG7792">
        <v>0</v>
      </c>
      <c r="AH7792">
        <v>0</v>
      </c>
      <c r="AI7792">
        <v>51.61</v>
      </c>
      <c r="AJ7792">
        <v>286.7</v>
      </c>
      <c r="AK7792">
        <v>0</v>
      </c>
      <c r="AL7792" t="s">
        <v>53</v>
      </c>
      <c r="AM7792" t="s">
        <v>53</v>
      </c>
      <c r="AN7792" t="s">
        <v>53</v>
      </c>
      <c r="AO7792" t="s">
        <v>53</v>
      </c>
      <c r="AP7792" t="s">
        <v>53</v>
      </c>
    </row>
    <row r="7793" spans="2:42" x14ac:dyDescent="0.2">
      <c r="B7793" t="s">
        <v>44</v>
      </c>
      <c r="C7793" t="str">
        <f>HYPERLINK("https://us2.cloudbeds.com/connect/8493803454333002#/reservations/9080486847908018?display=4A64144K38&amp;reservation_id=9080486847908018", "4A64144K38")</f>
        <v>4A64144K38</v>
      </c>
      <c r="D7793" t="s">
        <v>45</v>
      </c>
      <c r="E7793" t="s">
        <v>78</v>
      </c>
      <c r="F7793" t="s">
        <v>61</v>
      </c>
      <c r="G7793" t="s">
        <v>48</v>
      </c>
      <c r="H7793" t="s">
        <v>49</v>
      </c>
      <c r="I7793" t="s">
        <v>62</v>
      </c>
      <c r="J7793" t="s">
        <v>9710</v>
      </c>
      <c r="K7793" t="s">
        <v>12118</v>
      </c>
      <c r="L7793" t="s">
        <v>53</v>
      </c>
      <c r="N7793" t="s">
        <v>14526</v>
      </c>
      <c r="P7793" t="s">
        <v>55</v>
      </c>
      <c r="R7793" t="s">
        <v>56</v>
      </c>
      <c r="T7793" t="s">
        <v>14527</v>
      </c>
      <c r="U7793" t="s">
        <v>55</v>
      </c>
      <c r="V7793">
        <v>1</v>
      </c>
      <c r="W7793">
        <v>1</v>
      </c>
      <c r="X7793">
        <v>2</v>
      </c>
      <c r="Y7793">
        <v>0</v>
      </c>
      <c r="Z7793">
        <v>2</v>
      </c>
      <c r="AA7793">
        <v>71.05</v>
      </c>
      <c r="AB7793">
        <v>71.05</v>
      </c>
      <c r="AC7793">
        <v>71.05</v>
      </c>
      <c r="AD7793">
        <v>0</v>
      </c>
      <c r="AE7793">
        <v>0</v>
      </c>
      <c r="AF7793">
        <v>0</v>
      </c>
      <c r="AG7793">
        <v>0</v>
      </c>
      <c r="AH7793">
        <v>0</v>
      </c>
      <c r="AI7793">
        <v>12.79</v>
      </c>
      <c r="AJ7793">
        <v>71.05</v>
      </c>
      <c r="AK7793">
        <v>0</v>
      </c>
      <c r="AL7793" t="s">
        <v>53</v>
      </c>
      <c r="AM7793" t="s">
        <v>53</v>
      </c>
      <c r="AN7793" t="s">
        <v>53</v>
      </c>
      <c r="AO7793" t="s">
        <v>53</v>
      </c>
      <c r="AP7793" t="s">
        <v>53</v>
      </c>
    </row>
    <row r="7794" spans="2:42" x14ac:dyDescent="0.2">
      <c r="B7794" t="s">
        <v>44</v>
      </c>
      <c r="C7794" t="str">
        <f>HYPERLINK("https://us2.cloudbeds.com/connect/8493803454333002#/reservations/9080486847908103?display=4A66AFR4PY&amp;reservation_id=9080486847908103", "4A66AFR4PY")</f>
        <v>4A66AFR4PY</v>
      </c>
      <c r="D7794" t="s">
        <v>45</v>
      </c>
      <c r="E7794" t="s">
        <v>78</v>
      </c>
      <c r="F7794" t="s">
        <v>61</v>
      </c>
      <c r="G7794" t="s">
        <v>48</v>
      </c>
      <c r="H7794" t="s">
        <v>49</v>
      </c>
      <c r="I7794" t="s">
        <v>8964</v>
      </c>
      <c r="J7794" t="s">
        <v>13532</v>
      </c>
      <c r="K7794" t="s">
        <v>13001</v>
      </c>
      <c r="L7794" t="s">
        <v>53</v>
      </c>
      <c r="N7794" t="s">
        <v>14528</v>
      </c>
      <c r="P7794" t="s">
        <v>55</v>
      </c>
      <c r="R7794" t="s">
        <v>53</v>
      </c>
      <c r="T7794" t="s">
        <v>14529</v>
      </c>
      <c r="U7794" t="s">
        <v>55</v>
      </c>
      <c r="V7794">
        <v>3</v>
      </c>
      <c r="W7794">
        <v>1</v>
      </c>
      <c r="X7794">
        <v>2</v>
      </c>
      <c r="Y7794">
        <v>0</v>
      </c>
      <c r="Z7794">
        <v>2</v>
      </c>
      <c r="AA7794">
        <v>0</v>
      </c>
      <c r="AB7794">
        <v>0</v>
      </c>
      <c r="AC7794">
        <v>333</v>
      </c>
      <c r="AD7794">
        <v>0</v>
      </c>
      <c r="AE7794">
        <v>0</v>
      </c>
      <c r="AF7794">
        <v>0</v>
      </c>
      <c r="AG7794">
        <v>0</v>
      </c>
      <c r="AH7794">
        <v>0</v>
      </c>
      <c r="AI7794">
        <v>49.95</v>
      </c>
      <c r="AJ7794">
        <v>333</v>
      </c>
      <c r="AK7794">
        <v>333</v>
      </c>
      <c r="AL7794" t="s">
        <v>53</v>
      </c>
      <c r="AM7794" t="s">
        <v>53</v>
      </c>
      <c r="AN7794" t="s">
        <v>14530</v>
      </c>
      <c r="AO7794" t="s">
        <v>53</v>
      </c>
      <c r="AP7794" t="s">
        <v>53</v>
      </c>
    </row>
    <row r="7795" spans="2:42" x14ac:dyDescent="0.2">
      <c r="B7795" t="s">
        <v>44</v>
      </c>
      <c r="C7795" t="str">
        <f>HYPERLINK("https://us2.cloudbeds.com/connect/8493803454333002#/reservations/9080486847909884?display=4A7PEF2B9W&amp;reservation_id=9080486847909884", "4A7PEF2B9W")</f>
        <v>4A7PEF2B9W</v>
      </c>
      <c r="D7795" t="s">
        <v>45</v>
      </c>
      <c r="E7795" t="s">
        <v>105</v>
      </c>
      <c r="F7795" t="s">
        <v>47</v>
      </c>
      <c r="G7795" t="s">
        <v>48</v>
      </c>
      <c r="H7795" t="s">
        <v>49</v>
      </c>
      <c r="I7795" t="s">
        <v>62</v>
      </c>
      <c r="J7795" t="s">
        <v>13531</v>
      </c>
      <c r="K7795" t="s">
        <v>13532</v>
      </c>
      <c r="L7795" t="s">
        <v>53</v>
      </c>
      <c r="N7795" t="s">
        <v>14531</v>
      </c>
      <c r="P7795" t="s">
        <v>55</v>
      </c>
      <c r="R7795" t="s">
        <v>56</v>
      </c>
      <c r="T7795" t="s">
        <v>14532</v>
      </c>
      <c r="U7795" t="s">
        <v>55</v>
      </c>
      <c r="V7795">
        <v>1</v>
      </c>
      <c r="W7795">
        <v>1</v>
      </c>
      <c r="X7795">
        <v>2</v>
      </c>
      <c r="Y7795">
        <v>0</v>
      </c>
      <c r="Z7795">
        <v>2</v>
      </c>
      <c r="AA7795">
        <v>74.13</v>
      </c>
      <c r="AB7795">
        <v>74.13</v>
      </c>
      <c r="AC7795">
        <v>74.13</v>
      </c>
      <c r="AD7795">
        <v>0</v>
      </c>
      <c r="AE7795">
        <v>0</v>
      </c>
      <c r="AF7795">
        <v>0</v>
      </c>
      <c r="AG7795">
        <v>0</v>
      </c>
      <c r="AH7795">
        <v>0</v>
      </c>
      <c r="AI7795">
        <v>13.34</v>
      </c>
      <c r="AJ7795">
        <v>74.13</v>
      </c>
      <c r="AK7795">
        <v>0</v>
      </c>
      <c r="AL7795" t="s">
        <v>53</v>
      </c>
      <c r="AM7795" t="s">
        <v>53</v>
      </c>
      <c r="AN7795" t="s">
        <v>53</v>
      </c>
      <c r="AO7795" t="s">
        <v>53</v>
      </c>
      <c r="AP7795" t="s">
        <v>53</v>
      </c>
    </row>
    <row r="7796" spans="2:42" x14ac:dyDescent="0.2">
      <c r="B7796" t="s">
        <v>44</v>
      </c>
      <c r="C7796" t="str">
        <f>HYPERLINK("https://us2.cloudbeds.com/connect/8493803454333002#/reservations/9080486847916645?display=4ADH9NZ3M3&amp;reservation_id=9080486847916645", "4ADH9NZ3M3")</f>
        <v>4ADH9NZ3M3</v>
      </c>
      <c r="D7796" t="s">
        <v>45</v>
      </c>
      <c r="E7796" t="s">
        <v>190</v>
      </c>
      <c r="F7796" t="s">
        <v>61</v>
      </c>
      <c r="G7796" t="s">
        <v>48</v>
      </c>
      <c r="H7796" t="s">
        <v>49</v>
      </c>
      <c r="I7796" t="s">
        <v>62</v>
      </c>
      <c r="J7796" t="s">
        <v>9710</v>
      </c>
      <c r="K7796" t="s">
        <v>12118</v>
      </c>
      <c r="L7796" t="s">
        <v>53</v>
      </c>
      <c r="N7796" t="s">
        <v>14533</v>
      </c>
      <c r="P7796" t="s">
        <v>55</v>
      </c>
      <c r="R7796" t="s">
        <v>56</v>
      </c>
      <c r="T7796" t="s">
        <v>14534</v>
      </c>
      <c r="U7796" t="s">
        <v>55</v>
      </c>
      <c r="V7796">
        <v>1</v>
      </c>
      <c r="W7796">
        <v>1</v>
      </c>
      <c r="X7796">
        <v>2</v>
      </c>
      <c r="Y7796">
        <v>0</v>
      </c>
      <c r="Z7796">
        <v>2</v>
      </c>
      <c r="AA7796">
        <v>69.08</v>
      </c>
      <c r="AB7796">
        <v>69.08</v>
      </c>
      <c r="AC7796">
        <v>69.08</v>
      </c>
      <c r="AD7796">
        <v>0</v>
      </c>
      <c r="AE7796">
        <v>0</v>
      </c>
      <c r="AF7796">
        <v>0</v>
      </c>
      <c r="AG7796">
        <v>0</v>
      </c>
      <c r="AH7796">
        <v>0</v>
      </c>
      <c r="AI7796">
        <v>12.43</v>
      </c>
      <c r="AJ7796">
        <v>69.08</v>
      </c>
      <c r="AK7796">
        <v>0</v>
      </c>
      <c r="AL7796" t="s">
        <v>53</v>
      </c>
      <c r="AM7796" t="s">
        <v>53</v>
      </c>
      <c r="AN7796" t="s">
        <v>14535</v>
      </c>
      <c r="AO7796" t="s">
        <v>53</v>
      </c>
      <c r="AP7796" t="s">
        <v>53</v>
      </c>
    </row>
    <row r="7797" spans="2:42" x14ac:dyDescent="0.2">
      <c r="B7797" t="s">
        <v>44</v>
      </c>
      <c r="C7797" t="str">
        <f>HYPERLINK("https://us2.cloudbeds.com/connect/8493803454333002#/reservations/200299369218176?display=4ADRB4K7W0&amp;reservation_id=200299369218176", "4ADRB4K7W0")</f>
        <v>4ADRB4K7W0</v>
      </c>
      <c r="D7797" t="s">
        <v>45</v>
      </c>
      <c r="E7797" t="s">
        <v>265</v>
      </c>
      <c r="F7797" t="s">
        <v>61</v>
      </c>
      <c r="G7797" t="s">
        <v>48</v>
      </c>
      <c r="H7797" t="s">
        <v>3957</v>
      </c>
      <c r="I7797" t="s">
        <v>3958</v>
      </c>
      <c r="J7797" t="s">
        <v>9710</v>
      </c>
      <c r="K7797" t="s">
        <v>13727</v>
      </c>
      <c r="L7797" t="s">
        <v>53</v>
      </c>
      <c r="P7797" t="s">
        <v>55</v>
      </c>
      <c r="R7797" t="s">
        <v>56</v>
      </c>
      <c r="T7797" t="s">
        <v>14536</v>
      </c>
      <c r="U7797" t="s">
        <v>58</v>
      </c>
      <c r="V7797">
        <v>4</v>
      </c>
      <c r="W7797">
        <v>1</v>
      </c>
      <c r="X7797">
        <v>1</v>
      </c>
      <c r="Y7797">
        <v>0</v>
      </c>
      <c r="Z7797">
        <v>1</v>
      </c>
      <c r="AA7797">
        <v>390.96</v>
      </c>
      <c r="AB7797">
        <v>479.39</v>
      </c>
      <c r="AC7797">
        <v>344</v>
      </c>
      <c r="AD7797">
        <v>5</v>
      </c>
      <c r="AE7797">
        <v>47.39</v>
      </c>
      <c r="AF7797">
        <v>0</v>
      </c>
      <c r="AG7797">
        <v>0</v>
      </c>
      <c r="AH7797">
        <v>0</v>
      </c>
      <c r="AI7797">
        <v>0</v>
      </c>
      <c r="AJ7797">
        <v>396.39</v>
      </c>
      <c r="AK7797">
        <v>0</v>
      </c>
      <c r="AL7797" t="s">
        <v>53</v>
      </c>
      <c r="AM7797" t="s">
        <v>53</v>
      </c>
      <c r="AN7797" t="s">
        <v>53</v>
      </c>
      <c r="AO7797" t="s">
        <v>53</v>
      </c>
      <c r="AP7797" t="s">
        <v>53</v>
      </c>
    </row>
    <row r="7798" spans="2:42" x14ac:dyDescent="0.2">
      <c r="B7798" t="s">
        <v>44</v>
      </c>
      <c r="C7798" t="str">
        <f>HYPERLINK("https://us2.cloudbeds.com/connect/8493803454333002#/reservations/9080486847917290?display=4ADVG1VNP6&amp;reservation_id=9080486847917290", "4ADVG1VNP6")</f>
        <v>4ADVG1VNP6</v>
      </c>
      <c r="D7798" t="s">
        <v>45</v>
      </c>
      <c r="E7798" t="s">
        <v>487</v>
      </c>
      <c r="F7798" t="s">
        <v>61</v>
      </c>
      <c r="G7798" t="s">
        <v>48</v>
      </c>
      <c r="H7798" t="s">
        <v>49</v>
      </c>
      <c r="I7798" t="s">
        <v>62</v>
      </c>
      <c r="J7798" t="s">
        <v>9710</v>
      </c>
      <c r="K7798" t="s">
        <v>12118</v>
      </c>
      <c r="L7798" t="s">
        <v>53</v>
      </c>
      <c r="N7798" t="s">
        <v>14537</v>
      </c>
      <c r="P7798" t="s">
        <v>55</v>
      </c>
      <c r="R7798" t="s">
        <v>56</v>
      </c>
      <c r="T7798" t="s">
        <v>14538</v>
      </c>
      <c r="U7798" t="s">
        <v>55</v>
      </c>
      <c r="V7798">
        <v>1</v>
      </c>
      <c r="W7798">
        <v>1</v>
      </c>
      <c r="X7798">
        <v>1</v>
      </c>
      <c r="Y7798">
        <v>0</v>
      </c>
      <c r="Z7798">
        <v>1</v>
      </c>
      <c r="AA7798">
        <v>69.08</v>
      </c>
      <c r="AB7798">
        <v>69.08</v>
      </c>
      <c r="AC7798">
        <v>69.08</v>
      </c>
      <c r="AD7798">
        <v>0</v>
      </c>
      <c r="AE7798">
        <v>0</v>
      </c>
      <c r="AF7798">
        <v>0</v>
      </c>
      <c r="AG7798">
        <v>0</v>
      </c>
      <c r="AH7798">
        <v>0</v>
      </c>
      <c r="AI7798">
        <v>12.43</v>
      </c>
      <c r="AJ7798">
        <v>69.08</v>
      </c>
      <c r="AK7798">
        <v>0</v>
      </c>
      <c r="AL7798" t="s">
        <v>53</v>
      </c>
      <c r="AM7798" t="s">
        <v>53</v>
      </c>
      <c r="AN7798" t="s">
        <v>53</v>
      </c>
      <c r="AO7798" t="s">
        <v>53</v>
      </c>
      <c r="AP7798" t="s">
        <v>53</v>
      </c>
    </row>
    <row r="7799" spans="2:42" x14ac:dyDescent="0.2">
      <c r="B7799" t="s">
        <v>44</v>
      </c>
      <c r="C7799" t="str">
        <f>HYPERLINK("https://us2.cloudbeds.com/connect/8493803454333002#/reservations/9080486847919144?display=4AFFNAGD6G&amp;reservation_id=9080486847919144", "4AFFNAGD6G")</f>
        <v>4AFFNAGD6G</v>
      </c>
      <c r="D7799" t="s">
        <v>45</v>
      </c>
      <c r="E7799" t="s">
        <v>487</v>
      </c>
      <c r="F7799" t="s">
        <v>61</v>
      </c>
      <c r="G7799" t="s">
        <v>48</v>
      </c>
      <c r="H7799" t="s">
        <v>49</v>
      </c>
      <c r="I7799" t="s">
        <v>62</v>
      </c>
      <c r="J7799" t="s">
        <v>13727</v>
      </c>
      <c r="K7799" t="s">
        <v>14337</v>
      </c>
      <c r="L7799" t="s">
        <v>53</v>
      </c>
      <c r="N7799" t="s">
        <v>14539</v>
      </c>
      <c r="P7799" t="s">
        <v>55</v>
      </c>
      <c r="R7799" t="s">
        <v>56</v>
      </c>
      <c r="T7799" t="s">
        <v>14540</v>
      </c>
      <c r="U7799" t="s">
        <v>55</v>
      </c>
      <c r="V7799">
        <v>1</v>
      </c>
      <c r="W7799">
        <v>1</v>
      </c>
      <c r="X7799">
        <v>2</v>
      </c>
      <c r="Y7799">
        <v>0</v>
      </c>
      <c r="Z7799">
        <v>2</v>
      </c>
      <c r="AA7799">
        <v>92.82</v>
      </c>
      <c r="AB7799">
        <v>92.82</v>
      </c>
      <c r="AC7799">
        <v>92.82</v>
      </c>
      <c r="AD7799">
        <v>0</v>
      </c>
      <c r="AE7799">
        <v>0</v>
      </c>
      <c r="AF7799">
        <v>0</v>
      </c>
      <c r="AG7799">
        <v>0</v>
      </c>
      <c r="AH7799">
        <v>0</v>
      </c>
      <c r="AI7799">
        <v>16.71</v>
      </c>
      <c r="AJ7799">
        <v>92.82</v>
      </c>
      <c r="AK7799">
        <v>0</v>
      </c>
      <c r="AL7799" t="s">
        <v>53</v>
      </c>
      <c r="AM7799" t="s">
        <v>53</v>
      </c>
      <c r="AN7799" t="s">
        <v>14541</v>
      </c>
      <c r="AO7799" t="s">
        <v>53</v>
      </c>
      <c r="AP7799" t="s">
        <v>53</v>
      </c>
    </row>
    <row r="7800" spans="2:42" x14ac:dyDescent="0.2">
      <c r="B7800" t="s">
        <v>44</v>
      </c>
      <c r="C7800" t="str">
        <f>HYPERLINK("https://us2.cloudbeds.com/connect/8493803454333002#/reservations/9080486847924014?display=4AK52T2F18&amp;reservation_id=9080486847924014", "4AK52T2F18")</f>
        <v>4AK52T2F18</v>
      </c>
      <c r="D7800" t="s">
        <v>45</v>
      </c>
      <c r="E7800" t="s">
        <v>179</v>
      </c>
      <c r="F7800" t="s">
        <v>47</v>
      </c>
      <c r="G7800" t="s">
        <v>48</v>
      </c>
      <c r="H7800" t="s">
        <v>49</v>
      </c>
      <c r="I7800" t="s">
        <v>62</v>
      </c>
      <c r="J7800" t="s">
        <v>13520</v>
      </c>
      <c r="K7800" t="s">
        <v>14312</v>
      </c>
      <c r="L7800" t="s">
        <v>53</v>
      </c>
      <c r="N7800" t="s">
        <v>14542</v>
      </c>
      <c r="P7800" t="s">
        <v>55</v>
      </c>
      <c r="R7800" t="s">
        <v>56</v>
      </c>
      <c r="T7800" t="s">
        <v>14543</v>
      </c>
      <c r="U7800" t="s">
        <v>55</v>
      </c>
      <c r="V7800">
        <v>3</v>
      </c>
      <c r="W7800">
        <v>1</v>
      </c>
      <c r="X7800">
        <v>2</v>
      </c>
      <c r="Y7800">
        <v>0</v>
      </c>
      <c r="Z7800">
        <v>2</v>
      </c>
      <c r="AA7800">
        <v>253.53</v>
      </c>
      <c r="AB7800">
        <v>253.53</v>
      </c>
      <c r="AC7800">
        <v>253.53</v>
      </c>
      <c r="AD7800">
        <v>0</v>
      </c>
      <c r="AE7800">
        <v>0</v>
      </c>
      <c r="AF7800">
        <v>0</v>
      </c>
      <c r="AG7800">
        <v>0</v>
      </c>
      <c r="AH7800">
        <v>0</v>
      </c>
      <c r="AI7800">
        <v>45.64</v>
      </c>
      <c r="AJ7800">
        <v>253.53</v>
      </c>
      <c r="AK7800">
        <v>0</v>
      </c>
      <c r="AL7800" t="s">
        <v>53</v>
      </c>
      <c r="AM7800" t="s">
        <v>53</v>
      </c>
      <c r="AN7800" t="s">
        <v>53</v>
      </c>
      <c r="AO7800" t="s">
        <v>53</v>
      </c>
      <c r="AP7800" t="s">
        <v>53</v>
      </c>
    </row>
    <row r="7801" spans="2:42" x14ac:dyDescent="0.2">
      <c r="B7801" t="s">
        <v>44</v>
      </c>
      <c r="C7801" t="str">
        <f>HYPERLINK("https://us2.cloudbeds.com/connect/8493803454333002#/reservations/200664043061440?display=4AMCND8NSH&amp;reservation_id=200664043061440", "4AMCND8NSH")</f>
        <v>4AMCND8NSH</v>
      </c>
      <c r="D7801" t="s">
        <v>45</v>
      </c>
      <c r="E7801" t="s">
        <v>85</v>
      </c>
      <c r="F7801" t="s">
        <v>86</v>
      </c>
      <c r="G7801" t="s">
        <v>48</v>
      </c>
      <c r="H7801" t="s">
        <v>3957</v>
      </c>
      <c r="I7801" t="s">
        <v>3975</v>
      </c>
      <c r="J7801" t="s">
        <v>14337</v>
      </c>
      <c r="K7801" t="s">
        <v>9711</v>
      </c>
      <c r="L7801" t="s">
        <v>53</v>
      </c>
      <c r="P7801" t="s">
        <v>55</v>
      </c>
      <c r="R7801" t="s">
        <v>56</v>
      </c>
      <c r="T7801" t="s">
        <v>14544</v>
      </c>
      <c r="U7801" t="s">
        <v>58</v>
      </c>
      <c r="V7801">
        <v>1</v>
      </c>
      <c r="W7801">
        <v>1</v>
      </c>
      <c r="X7801">
        <v>3</v>
      </c>
      <c r="Y7801">
        <v>0</v>
      </c>
      <c r="Z7801">
        <v>3</v>
      </c>
      <c r="AA7801">
        <v>0</v>
      </c>
      <c r="AB7801">
        <v>125.02</v>
      </c>
      <c r="AC7801">
        <v>110</v>
      </c>
      <c r="AD7801">
        <v>0</v>
      </c>
      <c r="AE7801">
        <v>15.02</v>
      </c>
      <c r="AF7801">
        <v>0</v>
      </c>
      <c r="AG7801">
        <v>0</v>
      </c>
      <c r="AH7801">
        <v>0</v>
      </c>
      <c r="AI7801">
        <v>0</v>
      </c>
      <c r="AJ7801">
        <v>125.02</v>
      </c>
      <c r="AK7801">
        <v>0</v>
      </c>
      <c r="AL7801" t="s">
        <v>53</v>
      </c>
      <c r="AM7801" t="s">
        <v>53</v>
      </c>
      <c r="AN7801" t="s">
        <v>14545</v>
      </c>
      <c r="AO7801" t="s">
        <v>53</v>
      </c>
      <c r="AP7801" t="s">
        <v>53</v>
      </c>
    </row>
    <row r="7802" spans="2:42" x14ac:dyDescent="0.2">
      <c r="B7802" t="s">
        <v>44</v>
      </c>
      <c r="C7802" t="str">
        <f>HYPERLINK("https://us2.cloudbeds.com/connect/8493803454333002#/reservations/9080486847927714?display=4AMQJ0TXT3&amp;reservation_id=9080486847927714", "4AMQJ0TXT3")</f>
        <v>4AMQJ0TXT3</v>
      </c>
      <c r="D7802" t="s">
        <v>45</v>
      </c>
      <c r="E7802" t="s">
        <v>138</v>
      </c>
      <c r="F7802" t="s">
        <v>70</v>
      </c>
      <c r="G7802" t="s">
        <v>48</v>
      </c>
      <c r="H7802" t="s">
        <v>49</v>
      </c>
      <c r="I7802" t="s">
        <v>62</v>
      </c>
      <c r="J7802" t="s">
        <v>12118</v>
      </c>
      <c r="K7802" t="s">
        <v>13025</v>
      </c>
      <c r="L7802" t="s">
        <v>53</v>
      </c>
      <c r="N7802" t="s">
        <v>14546</v>
      </c>
      <c r="P7802" t="s">
        <v>55</v>
      </c>
      <c r="R7802" t="s">
        <v>56</v>
      </c>
      <c r="T7802" t="s">
        <v>14547</v>
      </c>
      <c r="U7802" t="s">
        <v>55</v>
      </c>
      <c r="V7802">
        <v>1</v>
      </c>
      <c r="W7802">
        <v>1</v>
      </c>
      <c r="X7802">
        <v>1</v>
      </c>
      <c r="Y7802">
        <v>0</v>
      </c>
      <c r="Z7802">
        <v>1</v>
      </c>
      <c r="AA7802">
        <v>60.24</v>
      </c>
      <c r="AB7802">
        <v>60.24</v>
      </c>
      <c r="AC7802">
        <v>60.24</v>
      </c>
      <c r="AD7802">
        <v>0</v>
      </c>
      <c r="AE7802">
        <v>0</v>
      </c>
      <c r="AF7802">
        <v>0</v>
      </c>
      <c r="AG7802">
        <v>0</v>
      </c>
      <c r="AH7802">
        <v>0</v>
      </c>
      <c r="AI7802">
        <v>10.84</v>
      </c>
      <c r="AJ7802">
        <v>60.24</v>
      </c>
      <c r="AK7802">
        <v>0</v>
      </c>
      <c r="AL7802" t="s">
        <v>53</v>
      </c>
      <c r="AM7802" t="s">
        <v>53</v>
      </c>
      <c r="AN7802" t="s">
        <v>14548</v>
      </c>
      <c r="AO7802" t="s">
        <v>53</v>
      </c>
      <c r="AP7802" t="s">
        <v>53</v>
      </c>
    </row>
    <row r="7803" spans="2:42" x14ac:dyDescent="0.2">
      <c r="B7803" t="s">
        <v>44</v>
      </c>
      <c r="C7803" t="str">
        <f>HYPERLINK("https://us2.cloudbeds.com/connect/8493803454333002#/reservations/9080486847927724?display=4AMQS0E6JV&amp;reservation_id=9080486847927724", "4AMQS0E6JV")</f>
        <v>4AMQS0E6JV</v>
      </c>
      <c r="D7803" t="s">
        <v>45</v>
      </c>
      <c r="E7803" t="s">
        <v>85</v>
      </c>
      <c r="F7803" t="s">
        <v>86</v>
      </c>
      <c r="G7803" t="s">
        <v>48</v>
      </c>
      <c r="H7803" t="s">
        <v>49</v>
      </c>
      <c r="I7803" t="s">
        <v>62</v>
      </c>
      <c r="J7803" t="s">
        <v>13025</v>
      </c>
      <c r="K7803" t="s">
        <v>13726</v>
      </c>
      <c r="L7803" t="s">
        <v>53</v>
      </c>
      <c r="N7803" t="s">
        <v>14549</v>
      </c>
      <c r="P7803" t="s">
        <v>55</v>
      </c>
      <c r="R7803" t="s">
        <v>56</v>
      </c>
      <c r="T7803" t="s">
        <v>14550</v>
      </c>
      <c r="U7803" t="s">
        <v>55</v>
      </c>
      <c r="V7803">
        <v>1</v>
      </c>
      <c r="W7803">
        <v>1</v>
      </c>
      <c r="X7803">
        <v>2</v>
      </c>
      <c r="Y7803">
        <v>2</v>
      </c>
      <c r="Z7803">
        <v>4</v>
      </c>
      <c r="AA7803">
        <v>79.52</v>
      </c>
      <c r="AB7803">
        <v>79.52</v>
      </c>
      <c r="AC7803">
        <v>79.52</v>
      </c>
      <c r="AD7803">
        <v>0</v>
      </c>
      <c r="AE7803">
        <v>0</v>
      </c>
      <c r="AF7803">
        <v>0</v>
      </c>
      <c r="AG7803">
        <v>0</v>
      </c>
      <c r="AH7803">
        <v>0</v>
      </c>
      <c r="AI7803">
        <v>14.31</v>
      </c>
      <c r="AJ7803">
        <v>79.52</v>
      </c>
      <c r="AK7803">
        <v>0</v>
      </c>
      <c r="AL7803" t="s">
        <v>53</v>
      </c>
      <c r="AM7803" t="s">
        <v>53</v>
      </c>
      <c r="AN7803" t="s">
        <v>14551</v>
      </c>
      <c r="AO7803" t="s">
        <v>53</v>
      </c>
      <c r="AP7803" t="s">
        <v>53</v>
      </c>
    </row>
    <row r="7804" spans="2:42" x14ac:dyDescent="0.2">
      <c r="B7804" t="s">
        <v>44</v>
      </c>
      <c r="C7804" t="str">
        <f>HYPERLINK("https://us2.cloudbeds.com/connect/8493803454333002#/reservations/9080486847928241?display=4AN9UVBPH0&amp;reservation_id=9080486847928241", "4AN9UVBPH0")</f>
        <v>4AN9UVBPH0</v>
      </c>
      <c r="D7804" t="s">
        <v>45</v>
      </c>
      <c r="E7804" t="s">
        <v>98</v>
      </c>
      <c r="F7804" t="s">
        <v>86</v>
      </c>
      <c r="G7804" t="s">
        <v>48</v>
      </c>
      <c r="H7804" t="s">
        <v>49</v>
      </c>
      <c r="I7804" t="s">
        <v>8964</v>
      </c>
      <c r="J7804" t="s">
        <v>13025</v>
      </c>
      <c r="K7804" t="s">
        <v>13726</v>
      </c>
      <c r="L7804" t="s">
        <v>53</v>
      </c>
      <c r="N7804" t="s">
        <v>14552</v>
      </c>
      <c r="P7804" t="s">
        <v>55</v>
      </c>
      <c r="R7804" t="s">
        <v>53</v>
      </c>
      <c r="T7804" t="s">
        <v>14553</v>
      </c>
      <c r="U7804" t="s">
        <v>55</v>
      </c>
      <c r="V7804">
        <v>1</v>
      </c>
      <c r="W7804">
        <v>1</v>
      </c>
      <c r="X7804">
        <v>2</v>
      </c>
      <c r="Y7804">
        <v>0</v>
      </c>
      <c r="Z7804">
        <v>2</v>
      </c>
      <c r="AA7804">
        <v>0</v>
      </c>
      <c r="AB7804">
        <v>0</v>
      </c>
      <c r="AC7804">
        <v>106</v>
      </c>
      <c r="AD7804">
        <v>0</v>
      </c>
      <c r="AE7804">
        <v>0</v>
      </c>
      <c r="AF7804">
        <v>0</v>
      </c>
      <c r="AG7804">
        <v>0</v>
      </c>
      <c r="AH7804">
        <v>0</v>
      </c>
      <c r="AI7804">
        <v>15.9</v>
      </c>
      <c r="AJ7804">
        <v>106</v>
      </c>
      <c r="AK7804">
        <v>106</v>
      </c>
      <c r="AL7804" t="s">
        <v>53</v>
      </c>
      <c r="AM7804" t="s">
        <v>53</v>
      </c>
      <c r="AN7804" t="s">
        <v>14554</v>
      </c>
      <c r="AO7804" t="s">
        <v>53</v>
      </c>
      <c r="AP7804" t="s">
        <v>53</v>
      </c>
    </row>
    <row r="7805" spans="2:42" x14ac:dyDescent="0.2">
      <c r="B7805" t="s">
        <v>44</v>
      </c>
      <c r="C7805" t="str">
        <f>HYPERLINK("https://us2.cloudbeds.com/connect/8493803454333002#/reservations/9080486847928614?display=4ANK1NKM9S&amp;reservation_id=9080486847928614", "4ANK1NKM9S")</f>
        <v>4ANK1NKM9S</v>
      </c>
      <c r="D7805" t="s">
        <v>45</v>
      </c>
      <c r="E7805" t="s">
        <v>165</v>
      </c>
      <c r="F7805" t="s">
        <v>61</v>
      </c>
      <c r="G7805" t="s">
        <v>48</v>
      </c>
      <c r="H7805" t="s">
        <v>49</v>
      </c>
      <c r="I7805" t="s">
        <v>62</v>
      </c>
      <c r="J7805" t="s">
        <v>12118</v>
      </c>
      <c r="K7805" t="s">
        <v>13025</v>
      </c>
      <c r="L7805" t="s">
        <v>53</v>
      </c>
      <c r="N7805" t="s">
        <v>14555</v>
      </c>
      <c r="P7805" t="s">
        <v>55</v>
      </c>
      <c r="R7805" t="s">
        <v>56</v>
      </c>
      <c r="T7805" t="s">
        <v>14556</v>
      </c>
      <c r="U7805" t="s">
        <v>55</v>
      </c>
      <c r="V7805">
        <v>1</v>
      </c>
      <c r="W7805">
        <v>1</v>
      </c>
      <c r="X7805">
        <v>2</v>
      </c>
      <c r="Y7805">
        <v>0</v>
      </c>
      <c r="Z7805">
        <v>2</v>
      </c>
      <c r="AA7805">
        <v>69.08</v>
      </c>
      <c r="AB7805">
        <v>69.08</v>
      </c>
      <c r="AC7805">
        <v>69.08</v>
      </c>
      <c r="AD7805">
        <v>0</v>
      </c>
      <c r="AE7805">
        <v>0</v>
      </c>
      <c r="AF7805">
        <v>0</v>
      </c>
      <c r="AG7805">
        <v>0</v>
      </c>
      <c r="AH7805">
        <v>0</v>
      </c>
      <c r="AI7805">
        <v>12.43</v>
      </c>
      <c r="AJ7805">
        <v>69.08</v>
      </c>
      <c r="AK7805">
        <v>0</v>
      </c>
      <c r="AL7805" t="s">
        <v>53</v>
      </c>
      <c r="AM7805" t="s">
        <v>53</v>
      </c>
      <c r="AN7805" t="s">
        <v>14557</v>
      </c>
      <c r="AO7805" t="s">
        <v>53</v>
      </c>
      <c r="AP7805" t="s">
        <v>53</v>
      </c>
    </row>
    <row r="7806" spans="2:42" x14ac:dyDescent="0.2">
      <c r="B7806" t="s">
        <v>44</v>
      </c>
      <c r="C7806" t="str">
        <f>HYPERLINK("https://us2.cloudbeds.com/connect/8493803454333002#/reservations/200732260405440?display=4ANWHGTS5T&amp;reservation_id=200732260405440", "4ANWHGTS5T")</f>
        <v>4ANWHGTS5T</v>
      </c>
      <c r="D7806" t="s">
        <v>45</v>
      </c>
      <c r="E7806" t="s">
        <v>165</v>
      </c>
      <c r="F7806" t="s">
        <v>61</v>
      </c>
      <c r="G7806" t="s">
        <v>48</v>
      </c>
      <c r="H7806" t="s">
        <v>3957</v>
      </c>
      <c r="I7806" t="s">
        <v>3975</v>
      </c>
      <c r="J7806" t="s">
        <v>13025</v>
      </c>
      <c r="K7806" t="s">
        <v>13726</v>
      </c>
      <c r="L7806" t="s">
        <v>53</v>
      </c>
      <c r="P7806" t="s">
        <v>55</v>
      </c>
      <c r="R7806" t="s">
        <v>56</v>
      </c>
      <c r="T7806" t="s">
        <v>14558</v>
      </c>
      <c r="U7806" t="s">
        <v>58</v>
      </c>
      <c r="V7806">
        <v>1</v>
      </c>
      <c r="W7806">
        <v>1</v>
      </c>
      <c r="X7806">
        <v>1</v>
      </c>
      <c r="Y7806">
        <v>0</v>
      </c>
      <c r="Z7806">
        <v>1</v>
      </c>
      <c r="AA7806">
        <v>97.74</v>
      </c>
      <c r="AB7806">
        <v>97.74</v>
      </c>
      <c r="AC7806">
        <v>86</v>
      </c>
      <c r="AD7806">
        <v>0</v>
      </c>
      <c r="AE7806">
        <v>11.74</v>
      </c>
      <c r="AF7806">
        <v>0</v>
      </c>
      <c r="AG7806">
        <v>0</v>
      </c>
      <c r="AH7806">
        <v>0</v>
      </c>
      <c r="AI7806">
        <v>0</v>
      </c>
      <c r="AJ7806">
        <v>97.74</v>
      </c>
      <c r="AK7806">
        <v>0</v>
      </c>
      <c r="AL7806" t="s">
        <v>53</v>
      </c>
      <c r="AM7806" t="s">
        <v>53</v>
      </c>
      <c r="AN7806" t="s">
        <v>14559</v>
      </c>
      <c r="AO7806" t="s">
        <v>53</v>
      </c>
      <c r="AP7806" t="s">
        <v>53</v>
      </c>
    </row>
    <row r="7807" spans="2:42" x14ac:dyDescent="0.2">
      <c r="B7807" t="s">
        <v>44</v>
      </c>
      <c r="C7807" t="str">
        <f>HYPERLINK("https://us2.cloudbeds.com/connect/8493803454333002#/reservations/9080486847934485?display=4AT3FQ1FST&amp;reservation_id=9080486847934485", "4AT3FQ1FST")</f>
        <v>4AT3FQ1FST</v>
      </c>
      <c r="D7807" t="s">
        <v>45</v>
      </c>
      <c r="E7807" t="s">
        <v>85</v>
      </c>
      <c r="F7807" t="s">
        <v>86</v>
      </c>
      <c r="G7807" t="s">
        <v>48</v>
      </c>
      <c r="H7807" t="s">
        <v>49</v>
      </c>
      <c r="I7807" t="s">
        <v>8964</v>
      </c>
      <c r="J7807" t="s">
        <v>14119</v>
      </c>
      <c r="K7807" t="s">
        <v>13985</v>
      </c>
      <c r="L7807" t="s">
        <v>53</v>
      </c>
      <c r="N7807" t="s">
        <v>14560</v>
      </c>
      <c r="P7807" t="s">
        <v>55</v>
      </c>
      <c r="R7807" t="s">
        <v>53</v>
      </c>
      <c r="T7807" t="s">
        <v>14561</v>
      </c>
      <c r="U7807" t="s">
        <v>55</v>
      </c>
      <c r="V7807">
        <v>1</v>
      </c>
      <c r="W7807">
        <v>1</v>
      </c>
      <c r="X7807">
        <v>2</v>
      </c>
      <c r="Y7807">
        <v>0</v>
      </c>
      <c r="Z7807">
        <v>2</v>
      </c>
      <c r="AA7807">
        <v>0</v>
      </c>
      <c r="AB7807">
        <v>0</v>
      </c>
      <c r="AC7807">
        <v>177</v>
      </c>
      <c r="AD7807">
        <v>0</v>
      </c>
      <c r="AE7807">
        <v>0</v>
      </c>
      <c r="AF7807">
        <v>0</v>
      </c>
      <c r="AG7807">
        <v>0</v>
      </c>
      <c r="AH7807">
        <v>0</v>
      </c>
      <c r="AI7807">
        <v>26.55</v>
      </c>
      <c r="AJ7807">
        <v>177</v>
      </c>
      <c r="AK7807">
        <v>177</v>
      </c>
      <c r="AL7807" t="s">
        <v>53</v>
      </c>
      <c r="AM7807" t="s">
        <v>53</v>
      </c>
      <c r="AN7807" t="s">
        <v>53</v>
      </c>
      <c r="AO7807" t="s">
        <v>53</v>
      </c>
      <c r="AP7807" t="s">
        <v>53</v>
      </c>
    </row>
    <row r="7808" spans="2:42" x14ac:dyDescent="0.2">
      <c r="B7808" t="s">
        <v>44</v>
      </c>
      <c r="C7808" t="str">
        <f>HYPERLINK("https://us2.cloudbeds.com/connect/8493803454333002#/reservations/200950785712320?display=4AT3ZB8XF6&amp;reservation_id=200950785712320", "4AT3ZB8XF6")</f>
        <v>4AT3ZB8XF6</v>
      </c>
      <c r="D7808" t="s">
        <v>45</v>
      </c>
      <c r="E7808" t="s">
        <v>14562</v>
      </c>
      <c r="F7808" t="s">
        <v>2145</v>
      </c>
      <c r="G7808" t="s">
        <v>3974</v>
      </c>
      <c r="H7808" t="s">
        <v>3957</v>
      </c>
      <c r="I7808" t="s">
        <v>3975</v>
      </c>
      <c r="J7808" t="s">
        <v>13587</v>
      </c>
      <c r="K7808" t="s">
        <v>13572</v>
      </c>
      <c r="L7808" t="s">
        <v>53</v>
      </c>
      <c r="P7808" t="s">
        <v>55</v>
      </c>
      <c r="R7808" t="s">
        <v>56</v>
      </c>
      <c r="T7808" t="s">
        <v>14563</v>
      </c>
      <c r="U7808" t="s">
        <v>58</v>
      </c>
      <c r="V7808">
        <v>4</v>
      </c>
      <c r="W7808">
        <v>2</v>
      </c>
      <c r="X7808">
        <v>4</v>
      </c>
      <c r="Y7808">
        <v>0</v>
      </c>
      <c r="Z7808">
        <v>4</v>
      </c>
      <c r="AA7808">
        <v>556.54999999999995</v>
      </c>
      <c r="AB7808">
        <v>559.04999999999995</v>
      </c>
      <c r="AC7808">
        <v>485.45</v>
      </c>
      <c r="AD7808">
        <v>2.5</v>
      </c>
      <c r="AE7808">
        <v>71.34</v>
      </c>
      <c r="AF7808">
        <v>0</v>
      </c>
      <c r="AG7808">
        <v>0</v>
      </c>
      <c r="AH7808">
        <v>0</v>
      </c>
      <c r="AI7808">
        <v>0</v>
      </c>
      <c r="AJ7808">
        <v>559.29</v>
      </c>
      <c r="AK7808">
        <v>0.24</v>
      </c>
      <c r="AL7808" t="s">
        <v>53</v>
      </c>
      <c r="AM7808" t="s">
        <v>53</v>
      </c>
      <c r="AN7808" t="s">
        <v>14564</v>
      </c>
      <c r="AO7808" t="s">
        <v>53</v>
      </c>
      <c r="AP7808" t="s">
        <v>53</v>
      </c>
    </row>
    <row r="7809" spans="2:42" x14ac:dyDescent="0.2">
      <c r="B7809" t="s">
        <v>44</v>
      </c>
      <c r="C7809" t="str">
        <f>HYPERLINK("https://us2.cloudbeds.com/connect/8493803454333002#/reservations/9080486847935573?display=4ATRR4R4EE&amp;reservation_id=9080486847935573", "4ATRR4R4EE")</f>
        <v>4ATRR4R4EE</v>
      </c>
      <c r="D7809" t="s">
        <v>45</v>
      </c>
      <c r="E7809" t="s">
        <v>113</v>
      </c>
      <c r="F7809" t="s">
        <v>61</v>
      </c>
      <c r="G7809" t="s">
        <v>48</v>
      </c>
      <c r="H7809" t="s">
        <v>49</v>
      </c>
      <c r="I7809" t="s">
        <v>50</v>
      </c>
      <c r="J7809" t="s">
        <v>13025</v>
      </c>
      <c r="K7809" t="s">
        <v>13726</v>
      </c>
      <c r="L7809" t="s">
        <v>53</v>
      </c>
      <c r="N7809" t="s">
        <v>14565</v>
      </c>
      <c r="P7809" t="s">
        <v>55</v>
      </c>
      <c r="R7809" t="s">
        <v>53</v>
      </c>
      <c r="T7809" t="s">
        <v>14566</v>
      </c>
      <c r="U7809" t="s">
        <v>58</v>
      </c>
      <c r="V7809">
        <v>1</v>
      </c>
      <c r="W7809">
        <v>1</v>
      </c>
      <c r="X7809">
        <v>1</v>
      </c>
      <c r="Y7809">
        <v>0</v>
      </c>
      <c r="Z7809">
        <v>1</v>
      </c>
      <c r="AA7809">
        <v>97.49</v>
      </c>
      <c r="AB7809">
        <v>97.49</v>
      </c>
      <c r="AC7809">
        <v>85.78</v>
      </c>
      <c r="AD7809">
        <v>0</v>
      </c>
      <c r="AE7809">
        <v>11.71</v>
      </c>
      <c r="AF7809">
        <v>0</v>
      </c>
      <c r="AG7809">
        <v>0</v>
      </c>
      <c r="AH7809">
        <v>0</v>
      </c>
      <c r="AI7809">
        <v>17.55</v>
      </c>
      <c r="AJ7809">
        <v>97.49</v>
      </c>
      <c r="AK7809">
        <v>0</v>
      </c>
      <c r="AL7809" t="s">
        <v>53</v>
      </c>
      <c r="AM7809" t="s">
        <v>53</v>
      </c>
      <c r="AN7809" t="s">
        <v>53</v>
      </c>
      <c r="AO7809" t="s">
        <v>53</v>
      </c>
      <c r="AP7809" t="s">
        <v>53</v>
      </c>
    </row>
    <row r="7810" spans="2:42" x14ac:dyDescent="0.2">
      <c r="B7810" t="s">
        <v>44</v>
      </c>
      <c r="C7810" t="str">
        <f>HYPERLINK("https://us2.cloudbeds.com/connect/8493803454333002#/reservations/9080486847935574?display=4ATRS6BB3V&amp;reservation_id=9080486847935574", "4ATRS6BB3V")</f>
        <v>4ATRS6BB3V</v>
      </c>
      <c r="D7810" t="s">
        <v>45</v>
      </c>
      <c r="E7810" t="s">
        <v>78</v>
      </c>
      <c r="F7810" t="s">
        <v>61</v>
      </c>
      <c r="G7810" t="s">
        <v>48</v>
      </c>
      <c r="H7810" t="s">
        <v>49</v>
      </c>
      <c r="I7810" t="s">
        <v>50</v>
      </c>
      <c r="J7810" t="s">
        <v>13025</v>
      </c>
      <c r="K7810" t="s">
        <v>13726</v>
      </c>
      <c r="L7810" t="s">
        <v>53</v>
      </c>
      <c r="N7810" t="s">
        <v>14567</v>
      </c>
      <c r="P7810" t="s">
        <v>55</v>
      </c>
      <c r="R7810" t="s">
        <v>53</v>
      </c>
      <c r="T7810" t="s">
        <v>14568</v>
      </c>
      <c r="U7810" t="s">
        <v>58</v>
      </c>
      <c r="V7810">
        <v>1</v>
      </c>
      <c r="W7810">
        <v>1</v>
      </c>
      <c r="X7810">
        <v>1</v>
      </c>
      <c r="Y7810">
        <v>0</v>
      </c>
      <c r="Z7810">
        <v>1</v>
      </c>
      <c r="AA7810">
        <v>97.49</v>
      </c>
      <c r="AB7810">
        <v>97.49</v>
      </c>
      <c r="AC7810">
        <v>85.78</v>
      </c>
      <c r="AD7810">
        <v>0</v>
      </c>
      <c r="AE7810">
        <v>11.71</v>
      </c>
      <c r="AF7810">
        <v>0</v>
      </c>
      <c r="AG7810">
        <v>0</v>
      </c>
      <c r="AH7810">
        <v>0</v>
      </c>
      <c r="AI7810">
        <v>17.55</v>
      </c>
      <c r="AJ7810">
        <v>97.49</v>
      </c>
      <c r="AK7810">
        <v>0</v>
      </c>
      <c r="AL7810" t="s">
        <v>53</v>
      </c>
      <c r="AM7810" t="s">
        <v>53</v>
      </c>
      <c r="AN7810" t="s">
        <v>53</v>
      </c>
      <c r="AO7810" t="s">
        <v>53</v>
      </c>
      <c r="AP7810" t="s">
        <v>53</v>
      </c>
    </row>
    <row r="7811" spans="2:42" x14ac:dyDescent="0.2">
      <c r="B7811" t="s">
        <v>44</v>
      </c>
      <c r="C7811" t="str">
        <f>HYPERLINK("https://us2.cloudbeds.com/connect/8493803454333002#/reservations/9080486847937063?display=4AURGDEUD3&amp;reservation_id=9080486847937063", "4AURGDEUD3")</f>
        <v>4AURGDEUD3</v>
      </c>
      <c r="D7811" t="s">
        <v>45</v>
      </c>
      <c r="E7811" t="s">
        <v>165</v>
      </c>
      <c r="F7811" t="s">
        <v>61</v>
      </c>
      <c r="G7811" t="s">
        <v>48</v>
      </c>
      <c r="H7811" t="s">
        <v>49</v>
      </c>
      <c r="I7811" t="s">
        <v>62</v>
      </c>
      <c r="J7811" t="s">
        <v>13726</v>
      </c>
      <c r="K7811" t="s">
        <v>13727</v>
      </c>
      <c r="L7811" t="s">
        <v>53</v>
      </c>
      <c r="N7811" t="s">
        <v>14569</v>
      </c>
      <c r="P7811" t="s">
        <v>55</v>
      </c>
      <c r="R7811" t="s">
        <v>56</v>
      </c>
      <c r="T7811" t="s">
        <v>14570</v>
      </c>
      <c r="U7811" t="s">
        <v>55</v>
      </c>
      <c r="V7811">
        <v>1</v>
      </c>
      <c r="W7811">
        <v>1</v>
      </c>
      <c r="X7811">
        <v>1</v>
      </c>
      <c r="Y7811">
        <v>0</v>
      </c>
      <c r="Z7811">
        <v>1</v>
      </c>
      <c r="AA7811">
        <v>69.08</v>
      </c>
      <c r="AB7811">
        <v>69.08</v>
      </c>
      <c r="AC7811">
        <v>69.08</v>
      </c>
      <c r="AD7811">
        <v>0</v>
      </c>
      <c r="AE7811">
        <v>0</v>
      </c>
      <c r="AF7811">
        <v>0</v>
      </c>
      <c r="AG7811">
        <v>0</v>
      </c>
      <c r="AH7811">
        <v>0</v>
      </c>
      <c r="AI7811">
        <v>12.43</v>
      </c>
      <c r="AJ7811">
        <v>69.08</v>
      </c>
      <c r="AK7811">
        <v>0</v>
      </c>
      <c r="AL7811" t="s">
        <v>53</v>
      </c>
      <c r="AM7811" t="s">
        <v>53</v>
      </c>
      <c r="AN7811" t="s">
        <v>14571</v>
      </c>
      <c r="AO7811" t="s">
        <v>53</v>
      </c>
      <c r="AP7811" t="s">
        <v>53</v>
      </c>
    </row>
    <row r="7812" spans="2:42" x14ac:dyDescent="0.2">
      <c r="B7812" t="s">
        <v>44</v>
      </c>
      <c r="C7812" t="str">
        <f>HYPERLINK("https://us2.cloudbeds.com/connect/8493803454333002#/reservations/201035255214272?display=4AV34Z6A7T&amp;reservation_id=201035255214272", "4AV34Z6A7T")</f>
        <v>4AV34Z6A7T</v>
      </c>
      <c r="D7812" t="s">
        <v>45</v>
      </c>
      <c r="E7812" t="s">
        <v>85</v>
      </c>
      <c r="F7812" t="s">
        <v>86</v>
      </c>
      <c r="G7812" t="s">
        <v>13757</v>
      </c>
      <c r="H7812" t="s">
        <v>3957</v>
      </c>
      <c r="I7812" t="s">
        <v>3975</v>
      </c>
      <c r="J7812" t="s">
        <v>13727</v>
      </c>
      <c r="K7812" t="s">
        <v>14337</v>
      </c>
      <c r="L7812" t="s">
        <v>53</v>
      </c>
      <c r="P7812" t="s">
        <v>55</v>
      </c>
      <c r="R7812" t="s">
        <v>56</v>
      </c>
      <c r="T7812" t="s">
        <v>14572</v>
      </c>
      <c r="U7812" t="s">
        <v>58</v>
      </c>
      <c r="V7812">
        <v>1</v>
      </c>
      <c r="W7812">
        <v>1</v>
      </c>
      <c r="X7812">
        <v>2</v>
      </c>
      <c r="Y7812">
        <v>2</v>
      </c>
      <c r="Z7812">
        <v>4</v>
      </c>
      <c r="AA7812">
        <v>112.52</v>
      </c>
      <c r="AB7812">
        <v>112.52</v>
      </c>
      <c r="AC7812">
        <v>99</v>
      </c>
      <c r="AD7812">
        <v>0</v>
      </c>
      <c r="AE7812">
        <v>13.52</v>
      </c>
      <c r="AF7812">
        <v>0</v>
      </c>
      <c r="AG7812">
        <v>0</v>
      </c>
      <c r="AH7812">
        <v>0</v>
      </c>
      <c r="AI7812">
        <v>0</v>
      </c>
      <c r="AJ7812">
        <v>112.52</v>
      </c>
      <c r="AK7812">
        <v>0</v>
      </c>
      <c r="AL7812" t="s">
        <v>53</v>
      </c>
      <c r="AM7812" t="s">
        <v>53</v>
      </c>
      <c r="AN7812" t="s">
        <v>53</v>
      </c>
      <c r="AO7812" t="s">
        <v>53</v>
      </c>
      <c r="AP7812" t="s">
        <v>53</v>
      </c>
    </row>
    <row r="7813" spans="2:42" x14ac:dyDescent="0.2">
      <c r="B7813" t="s">
        <v>44</v>
      </c>
      <c r="C7813" t="str">
        <f>HYPERLINK("https://us2.cloudbeds.com/connect/8493803454333002#/reservations/9080486847938163?display=4AVRGJXZDU&amp;reservation_id=9080486847938163", "4AVRGJXZDU")</f>
        <v>4AVRGJXZDU</v>
      </c>
      <c r="D7813" t="s">
        <v>45</v>
      </c>
      <c r="E7813" t="s">
        <v>105</v>
      </c>
      <c r="F7813" t="s">
        <v>47</v>
      </c>
      <c r="G7813" t="s">
        <v>48</v>
      </c>
      <c r="H7813" t="s">
        <v>49</v>
      </c>
      <c r="I7813" t="s">
        <v>62</v>
      </c>
      <c r="J7813" t="s">
        <v>13726</v>
      </c>
      <c r="K7813" t="s">
        <v>14337</v>
      </c>
      <c r="L7813" t="s">
        <v>53</v>
      </c>
      <c r="N7813" t="s">
        <v>14573</v>
      </c>
      <c r="P7813" t="s">
        <v>55</v>
      </c>
      <c r="R7813" t="s">
        <v>56</v>
      </c>
      <c r="T7813" t="s">
        <v>14574</v>
      </c>
      <c r="U7813" t="s">
        <v>55</v>
      </c>
      <c r="V7813">
        <v>2</v>
      </c>
      <c r="W7813">
        <v>1</v>
      </c>
      <c r="X7813">
        <v>2</v>
      </c>
      <c r="Y7813">
        <v>0</v>
      </c>
      <c r="Z7813">
        <v>2</v>
      </c>
      <c r="AA7813">
        <v>140.57</v>
      </c>
      <c r="AB7813">
        <v>140.57</v>
      </c>
      <c r="AC7813">
        <v>140.57</v>
      </c>
      <c r="AD7813">
        <v>0</v>
      </c>
      <c r="AE7813">
        <v>0</v>
      </c>
      <c r="AF7813">
        <v>0</v>
      </c>
      <c r="AG7813">
        <v>0</v>
      </c>
      <c r="AH7813">
        <v>0</v>
      </c>
      <c r="AI7813">
        <v>25.3</v>
      </c>
      <c r="AJ7813">
        <v>140.57</v>
      </c>
      <c r="AK7813">
        <v>0</v>
      </c>
      <c r="AL7813" t="s">
        <v>53</v>
      </c>
      <c r="AM7813" t="s">
        <v>53</v>
      </c>
      <c r="AN7813" t="s">
        <v>14575</v>
      </c>
      <c r="AO7813" t="s">
        <v>53</v>
      </c>
      <c r="AP7813" t="s">
        <v>53</v>
      </c>
    </row>
    <row r="7814" spans="2:42" x14ac:dyDescent="0.2">
      <c r="B7814" t="s">
        <v>44</v>
      </c>
      <c r="C7814" t="str">
        <f>HYPERLINK("https://us2.cloudbeds.com/connect/8493803454333002#/reservations/9080486847939496?display=4B00ABDWVG&amp;reservation_id=9080486847939496", "4B00ABDWVG")</f>
        <v>4B00ABDWVG</v>
      </c>
      <c r="D7814" t="s">
        <v>45</v>
      </c>
      <c r="E7814" t="s">
        <v>92</v>
      </c>
      <c r="F7814" t="s">
        <v>86</v>
      </c>
      <c r="G7814" t="s">
        <v>48</v>
      </c>
      <c r="H7814" t="s">
        <v>49</v>
      </c>
      <c r="I7814" t="s">
        <v>50</v>
      </c>
      <c r="J7814" t="s">
        <v>13727</v>
      </c>
      <c r="K7814" t="s">
        <v>14337</v>
      </c>
      <c r="L7814" t="s">
        <v>53</v>
      </c>
      <c r="N7814" t="s">
        <v>14576</v>
      </c>
      <c r="P7814" t="s">
        <v>55</v>
      </c>
      <c r="R7814" t="s">
        <v>53</v>
      </c>
      <c r="T7814" t="s">
        <v>14577</v>
      </c>
      <c r="U7814" t="s">
        <v>55</v>
      </c>
      <c r="V7814">
        <v>1</v>
      </c>
      <c r="W7814">
        <v>1</v>
      </c>
      <c r="X7814">
        <v>4</v>
      </c>
      <c r="Y7814">
        <v>0</v>
      </c>
      <c r="Z7814">
        <v>4</v>
      </c>
      <c r="AA7814">
        <v>89.97</v>
      </c>
      <c r="AB7814">
        <v>97.84</v>
      </c>
      <c r="AC7814">
        <v>89.97</v>
      </c>
      <c r="AD7814">
        <v>0</v>
      </c>
      <c r="AE7814">
        <v>7.87</v>
      </c>
      <c r="AF7814">
        <v>0</v>
      </c>
      <c r="AG7814">
        <v>0</v>
      </c>
      <c r="AH7814">
        <v>0</v>
      </c>
      <c r="AI7814">
        <v>17.61</v>
      </c>
      <c r="AJ7814">
        <v>97.84</v>
      </c>
      <c r="AK7814">
        <v>0</v>
      </c>
      <c r="AL7814" t="s">
        <v>53</v>
      </c>
      <c r="AM7814" t="s">
        <v>53</v>
      </c>
      <c r="AN7814" t="s">
        <v>53</v>
      </c>
      <c r="AO7814" t="s">
        <v>53</v>
      </c>
      <c r="AP7814" t="s">
        <v>53</v>
      </c>
    </row>
    <row r="7815" spans="2:42" x14ac:dyDescent="0.2">
      <c r="B7815" t="s">
        <v>44</v>
      </c>
      <c r="C7815" t="str">
        <f>HYPERLINK("https://us2.cloudbeds.com/connect/8493803454333002#/reservations/9080486847940593?display=4B1BPAX11E&amp;reservation_id=9080486847940593", "4B1BPAX11E")</f>
        <v>4B1BPAX11E</v>
      </c>
      <c r="D7815" t="s">
        <v>45</v>
      </c>
      <c r="E7815" t="s">
        <v>165</v>
      </c>
      <c r="F7815" t="s">
        <v>61</v>
      </c>
      <c r="G7815" t="s">
        <v>48</v>
      </c>
      <c r="H7815" t="s">
        <v>49</v>
      </c>
      <c r="I7815" t="s">
        <v>50</v>
      </c>
      <c r="J7815" t="s">
        <v>14578</v>
      </c>
      <c r="K7815" t="s">
        <v>12565</v>
      </c>
      <c r="L7815" t="s">
        <v>53</v>
      </c>
      <c r="N7815" t="s">
        <v>14579</v>
      </c>
      <c r="P7815" t="s">
        <v>55</v>
      </c>
      <c r="R7815" t="s">
        <v>53</v>
      </c>
      <c r="T7815" t="s">
        <v>14580</v>
      </c>
      <c r="U7815" t="s">
        <v>55</v>
      </c>
      <c r="V7815">
        <v>1</v>
      </c>
      <c r="W7815">
        <v>1</v>
      </c>
      <c r="X7815">
        <v>1</v>
      </c>
      <c r="Y7815">
        <v>0</v>
      </c>
      <c r="Z7815">
        <v>1</v>
      </c>
      <c r="AA7815">
        <v>66.260000000000005</v>
      </c>
      <c r="AB7815">
        <v>72.06</v>
      </c>
      <c r="AC7815">
        <v>66.260000000000005</v>
      </c>
      <c r="AD7815">
        <v>0</v>
      </c>
      <c r="AE7815">
        <v>5.8</v>
      </c>
      <c r="AF7815">
        <v>0</v>
      </c>
      <c r="AG7815">
        <v>0</v>
      </c>
      <c r="AH7815">
        <v>0</v>
      </c>
      <c r="AI7815">
        <v>12.97</v>
      </c>
      <c r="AJ7815">
        <v>72.06</v>
      </c>
      <c r="AK7815">
        <v>0</v>
      </c>
      <c r="AL7815" t="s">
        <v>53</v>
      </c>
      <c r="AM7815" t="s">
        <v>53</v>
      </c>
      <c r="AN7815" t="s">
        <v>14581</v>
      </c>
      <c r="AO7815" t="s">
        <v>53</v>
      </c>
      <c r="AP7815" t="s">
        <v>53</v>
      </c>
    </row>
    <row r="7816" spans="2:42" x14ac:dyDescent="0.2">
      <c r="B7816" t="s">
        <v>44</v>
      </c>
      <c r="C7816" t="str">
        <f>HYPERLINK("https://us2.cloudbeds.com/connect/8493803454333002#/reservations/9080486847944948?display=4B4PWMR0AP&amp;reservation_id=9080486847944948", "4B4PWMR0AP")</f>
        <v>4B4PWMR0AP</v>
      </c>
      <c r="D7816" t="s">
        <v>45</v>
      </c>
      <c r="E7816" t="s">
        <v>406</v>
      </c>
      <c r="F7816" t="s">
        <v>61</v>
      </c>
      <c r="G7816" t="s">
        <v>48</v>
      </c>
      <c r="H7816" t="s">
        <v>49</v>
      </c>
      <c r="I7816" t="s">
        <v>50</v>
      </c>
      <c r="J7816" t="s">
        <v>13727</v>
      </c>
      <c r="K7816" t="s">
        <v>14337</v>
      </c>
      <c r="L7816" t="s">
        <v>53</v>
      </c>
      <c r="N7816" t="s">
        <v>14582</v>
      </c>
      <c r="P7816" t="s">
        <v>55</v>
      </c>
      <c r="R7816" t="s">
        <v>53</v>
      </c>
      <c r="T7816" t="s">
        <v>14583</v>
      </c>
      <c r="U7816" t="s">
        <v>55</v>
      </c>
      <c r="V7816">
        <v>1</v>
      </c>
      <c r="W7816">
        <v>1</v>
      </c>
      <c r="X7816">
        <v>2</v>
      </c>
      <c r="Y7816">
        <v>0</v>
      </c>
      <c r="Z7816">
        <v>2</v>
      </c>
      <c r="AA7816">
        <v>69.930000000000007</v>
      </c>
      <c r="AB7816">
        <v>189.92</v>
      </c>
      <c r="AC7816">
        <v>69.930000000000007</v>
      </c>
      <c r="AD7816">
        <v>2.5</v>
      </c>
      <c r="AE7816">
        <v>6.33</v>
      </c>
      <c r="AF7816">
        <v>0</v>
      </c>
      <c r="AG7816">
        <v>0</v>
      </c>
      <c r="AH7816">
        <v>0</v>
      </c>
      <c r="AI7816">
        <v>14.18</v>
      </c>
      <c r="AJ7816">
        <v>78.760000000000005</v>
      </c>
      <c r="AK7816">
        <v>-111.16</v>
      </c>
      <c r="AL7816" t="s">
        <v>53</v>
      </c>
      <c r="AM7816" t="s">
        <v>53</v>
      </c>
      <c r="AN7816" t="s">
        <v>53</v>
      </c>
      <c r="AO7816" t="s">
        <v>53</v>
      </c>
      <c r="AP7816" t="s">
        <v>53</v>
      </c>
    </row>
    <row r="7817" spans="2:42" x14ac:dyDescent="0.2">
      <c r="B7817" t="s">
        <v>44</v>
      </c>
      <c r="C7817" t="str">
        <f>HYPERLINK("https://us2.cloudbeds.com/connect/8493803454333002#/reservations/9080486847947069?display=4B6B4KYCTA&amp;reservation_id=9080486847947069", "4B6B4KYCTA")</f>
        <v>4B6B4KYCTA</v>
      </c>
      <c r="D7817" t="s">
        <v>45</v>
      </c>
      <c r="E7817" t="s">
        <v>110</v>
      </c>
      <c r="F7817" t="s">
        <v>47</v>
      </c>
      <c r="G7817" t="s">
        <v>48</v>
      </c>
      <c r="H7817" t="s">
        <v>49</v>
      </c>
      <c r="I7817" t="s">
        <v>50</v>
      </c>
      <c r="J7817" t="s">
        <v>13727</v>
      </c>
      <c r="K7817" t="s">
        <v>9711</v>
      </c>
      <c r="L7817" t="s">
        <v>53</v>
      </c>
      <c r="N7817" t="s">
        <v>14584</v>
      </c>
      <c r="P7817" t="s">
        <v>55</v>
      </c>
      <c r="R7817" t="s">
        <v>53</v>
      </c>
      <c r="T7817" t="s">
        <v>14585</v>
      </c>
      <c r="U7817" t="s">
        <v>55</v>
      </c>
      <c r="V7817">
        <v>2</v>
      </c>
      <c r="W7817">
        <v>1</v>
      </c>
      <c r="X7817">
        <v>2</v>
      </c>
      <c r="Y7817">
        <v>0</v>
      </c>
      <c r="Z7817">
        <v>2</v>
      </c>
      <c r="AA7817">
        <v>139.87</v>
      </c>
      <c r="AB7817">
        <v>152.11000000000001</v>
      </c>
      <c r="AC7817">
        <v>139.87</v>
      </c>
      <c r="AD7817">
        <v>0</v>
      </c>
      <c r="AE7817">
        <v>12.24</v>
      </c>
      <c r="AF7817">
        <v>0</v>
      </c>
      <c r="AG7817">
        <v>0</v>
      </c>
      <c r="AH7817">
        <v>0</v>
      </c>
      <c r="AI7817">
        <v>27.38</v>
      </c>
      <c r="AJ7817">
        <v>152.11000000000001</v>
      </c>
      <c r="AK7817">
        <v>0</v>
      </c>
      <c r="AL7817" t="s">
        <v>53</v>
      </c>
      <c r="AM7817" t="s">
        <v>53</v>
      </c>
      <c r="AN7817" t="s">
        <v>14586</v>
      </c>
      <c r="AO7817" t="s">
        <v>53</v>
      </c>
      <c r="AP7817" t="s">
        <v>53</v>
      </c>
    </row>
    <row r="7818" spans="2:42" x14ac:dyDescent="0.2">
      <c r="B7818" t="s">
        <v>44</v>
      </c>
      <c r="C7818" t="str">
        <f>HYPERLINK("https://us2.cloudbeds.com/connect/8493803454333002#/reservations/9080486847947180?display=4B6F2R06UR&amp;reservation_id=9080486847947180", "4B6F2R06UR")</f>
        <v>4B6F2R06UR</v>
      </c>
      <c r="D7818" t="s">
        <v>45</v>
      </c>
      <c r="E7818" t="s">
        <v>98</v>
      </c>
      <c r="F7818" t="s">
        <v>86</v>
      </c>
      <c r="G7818" t="s">
        <v>48</v>
      </c>
      <c r="H7818" t="s">
        <v>49</v>
      </c>
      <c r="I7818" t="s">
        <v>62</v>
      </c>
      <c r="J7818" t="s">
        <v>13727</v>
      </c>
      <c r="K7818" t="s">
        <v>9711</v>
      </c>
      <c r="L7818" t="s">
        <v>53</v>
      </c>
      <c r="N7818" t="s">
        <v>14587</v>
      </c>
      <c r="P7818" t="s">
        <v>55</v>
      </c>
      <c r="R7818" t="s">
        <v>56</v>
      </c>
      <c r="T7818" t="s">
        <v>14588</v>
      </c>
      <c r="U7818" t="s">
        <v>55</v>
      </c>
      <c r="V7818">
        <v>2</v>
      </c>
      <c r="W7818">
        <v>1</v>
      </c>
      <c r="X7818">
        <v>2</v>
      </c>
      <c r="Y7818">
        <v>0</v>
      </c>
      <c r="Z7818">
        <v>2</v>
      </c>
      <c r="AA7818">
        <v>176.72</v>
      </c>
      <c r="AB7818">
        <v>176.72</v>
      </c>
      <c r="AC7818">
        <v>176.72</v>
      </c>
      <c r="AD7818">
        <v>0</v>
      </c>
      <c r="AE7818">
        <v>0</v>
      </c>
      <c r="AF7818">
        <v>0</v>
      </c>
      <c r="AG7818">
        <v>0</v>
      </c>
      <c r="AH7818">
        <v>0</v>
      </c>
      <c r="AI7818">
        <v>31.81</v>
      </c>
      <c r="AJ7818">
        <v>176.72</v>
      </c>
      <c r="AK7818">
        <v>0</v>
      </c>
      <c r="AL7818" t="s">
        <v>53</v>
      </c>
      <c r="AM7818" t="s">
        <v>53</v>
      </c>
      <c r="AN7818" t="s">
        <v>14589</v>
      </c>
      <c r="AO7818" t="s">
        <v>53</v>
      </c>
      <c r="AP7818" t="s">
        <v>53</v>
      </c>
    </row>
    <row r="7819" spans="2:42" x14ac:dyDescent="0.2">
      <c r="B7819" t="s">
        <v>44</v>
      </c>
      <c r="C7819" t="str">
        <f>HYPERLINK("https://us2.cloudbeds.com/connect/8493803454333002#/reservations/201416283467904?display=4B715T9UBY&amp;reservation_id=201416283467904", "4B715T9UBY")</f>
        <v>4B715T9UBY</v>
      </c>
      <c r="D7819" t="s">
        <v>45</v>
      </c>
      <c r="E7819" t="s">
        <v>185</v>
      </c>
      <c r="F7819" t="s">
        <v>47</v>
      </c>
      <c r="G7819" t="s">
        <v>48</v>
      </c>
      <c r="H7819" t="s">
        <v>3957</v>
      </c>
      <c r="I7819" t="s">
        <v>3975</v>
      </c>
      <c r="J7819" t="s">
        <v>13727</v>
      </c>
      <c r="K7819" t="s">
        <v>14337</v>
      </c>
      <c r="L7819" t="s">
        <v>53</v>
      </c>
      <c r="P7819" t="s">
        <v>55</v>
      </c>
      <c r="R7819" t="s">
        <v>56</v>
      </c>
      <c r="T7819" t="s">
        <v>14590</v>
      </c>
      <c r="U7819" t="s">
        <v>58</v>
      </c>
      <c r="V7819">
        <v>1</v>
      </c>
      <c r="W7819">
        <v>1</v>
      </c>
      <c r="X7819">
        <v>2</v>
      </c>
      <c r="Y7819">
        <v>0</v>
      </c>
      <c r="Z7819">
        <v>2</v>
      </c>
      <c r="AA7819">
        <v>96.61</v>
      </c>
      <c r="AB7819">
        <v>96.61</v>
      </c>
      <c r="AC7819">
        <v>85</v>
      </c>
      <c r="AD7819">
        <v>0</v>
      </c>
      <c r="AE7819">
        <v>11.61</v>
      </c>
      <c r="AF7819">
        <v>0</v>
      </c>
      <c r="AG7819">
        <v>0</v>
      </c>
      <c r="AH7819">
        <v>0</v>
      </c>
      <c r="AI7819">
        <v>0</v>
      </c>
      <c r="AJ7819">
        <v>96.61</v>
      </c>
      <c r="AK7819">
        <v>0</v>
      </c>
      <c r="AL7819" t="s">
        <v>53</v>
      </c>
      <c r="AM7819" t="s">
        <v>53</v>
      </c>
      <c r="AN7819" t="s">
        <v>53</v>
      </c>
      <c r="AO7819" t="s">
        <v>53</v>
      </c>
      <c r="AP7819" t="s">
        <v>53</v>
      </c>
    </row>
    <row r="7820" spans="2:42" x14ac:dyDescent="0.2">
      <c r="B7820" t="s">
        <v>44</v>
      </c>
      <c r="C7820" t="str">
        <f>HYPERLINK("https://us2.cloudbeds.com/connect/8493803454333002#/reservations/201426608730240?display=4B795NRB3S&amp;reservation_id=201426608730240", "4B795NRB3S")</f>
        <v>4B795NRB3S</v>
      </c>
      <c r="D7820" t="s">
        <v>45</v>
      </c>
      <c r="E7820" t="s">
        <v>121</v>
      </c>
      <c r="F7820" t="s">
        <v>86</v>
      </c>
      <c r="G7820" t="s">
        <v>48</v>
      </c>
      <c r="H7820" t="s">
        <v>3957</v>
      </c>
      <c r="I7820" t="s">
        <v>3975</v>
      </c>
      <c r="J7820" t="s">
        <v>13727</v>
      </c>
      <c r="K7820" t="s">
        <v>9711</v>
      </c>
      <c r="L7820" t="s">
        <v>53</v>
      </c>
      <c r="P7820" t="s">
        <v>55</v>
      </c>
      <c r="R7820" t="s">
        <v>56</v>
      </c>
      <c r="T7820" t="s">
        <v>14591</v>
      </c>
      <c r="U7820" t="s">
        <v>58</v>
      </c>
      <c r="V7820">
        <v>2</v>
      </c>
      <c r="W7820">
        <v>1</v>
      </c>
      <c r="X7820">
        <v>2</v>
      </c>
      <c r="Y7820">
        <v>0</v>
      </c>
      <c r="Z7820">
        <v>2</v>
      </c>
      <c r="AA7820">
        <v>250.04</v>
      </c>
      <c r="AB7820">
        <v>250.04</v>
      </c>
      <c r="AC7820">
        <v>220</v>
      </c>
      <c r="AD7820">
        <v>0</v>
      </c>
      <c r="AE7820">
        <v>30.04</v>
      </c>
      <c r="AF7820">
        <v>0</v>
      </c>
      <c r="AG7820">
        <v>0</v>
      </c>
      <c r="AH7820">
        <v>0</v>
      </c>
      <c r="AI7820">
        <v>0</v>
      </c>
      <c r="AJ7820">
        <v>250.04</v>
      </c>
      <c r="AK7820">
        <v>0</v>
      </c>
      <c r="AL7820" t="s">
        <v>53</v>
      </c>
      <c r="AM7820" t="s">
        <v>53</v>
      </c>
      <c r="AN7820" t="s">
        <v>14592</v>
      </c>
      <c r="AO7820" t="s">
        <v>53</v>
      </c>
      <c r="AP7820" t="s">
        <v>53</v>
      </c>
    </row>
    <row r="7821" spans="2:42" x14ac:dyDescent="0.2">
      <c r="B7821" t="s">
        <v>44</v>
      </c>
      <c r="C7821" t="str">
        <f>HYPERLINK("https://us2.cloudbeds.com/connect/8493803454333002#/reservations/9080486847948369?display=4B7G39VX1S&amp;reservation_id=9080486847948369", "4B7G39VX1S")</f>
        <v>4B7G39VX1S</v>
      </c>
      <c r="D7821" t="s">
        <v>45</v>
      </c>
      <c r="E7821" t="s">
        <v>305</v>
      </c>
      <c r="F7821" t="s">
        <v>61</v>
      </c>
      <c r="G7821" t="s">
        <v>48</v>
      </c>
      <c r="H7821" t="s">
        <v>49</v>
      </c>
      <c r="I7821" t="s">
        <v>8964</v>
      </c>
      <c r="J7821" t="s">
        <v>13727</v>
      </c>
      <c r="K7821" t="s">
        <v>14337</v>
      </c>
      <c r="L7821" t="s">
        <v>53</v>
      </c>
      <c r="N7821" t="s">
        <v>14593</v>
      </c>
      <c r="P7821" t="s">
        <v>55</v>
      </c>
      <c r="R7821" t="s">
        <v>53</v>
      </c>
      <c r="T7821" t="s">
        <v>14594</v>
      </c>
      <c r="U7821" t="s">
        <v>55</v>
      </c>
      <c r="V7821">
        <v>1</v>
      </c>
      <c r="W7821">
        <v>1</v>
      </c>
      <c r="X7821">
        <v>2</v>
      </c>
      <c r="Y7821">
        <v>0</v>
      </c>
      <c r="Z7821">
        <v>2</v>
      </c>
      <c r="AA7821">
        <v>0</v>
      </c>
      <c r="AB7821">
        <v>0</v>
      </c>
      <c r="AC7821">
        <v>102</v>
      </c>
      <c r="AD7821">
        <v>0</v>
      </c>
      <c r="AE7821">
        <v>0</v>
      </c>
      <c r="AF7821">
        <v>0</v>
      </c>
      <c r="AG7821">
        <v>0</v>
      </c>
      <c r="AH7821">
        <v>0</v>
      </c>
      <c r="AI7821">
        <v>15.3</v>
      </c>
      <c r="AJ7821">
        <v>102</v>
      </c>
      <c r="AK7821">
        <v>102</v>
      </c>
      <c r="AL7821" t="s">
        <v>53</v>
      </c>
      <c r="AM7821" t="s">
        <v>53</v>
      </c>
      <c r="AN7821" t="s">
        <v>14595</v>
      </c>
      <c r="AO7821" t="s">
        <v>53</v>
      </c>
      <c r="AP7821" t="s">
        <v>53</v>
      </c>
    </row>
    <row r="7822" spans="2:42" x14ac:dyDescent="0.2">
      <c r="B7822" t="s">
        <v>44</v>
      </c>
      <c r="C7822" t="str">
        <f>HYPERLINK("https://us2.cloudbeds.com/connect/8493803454333002#/reservations/201444394991808?display=4B7MV6MS1S&amp;reservation_id=201444394991808", "4B7MV6MS1S")</f>
        <v>4B7MV6MS1S</v>
      </c>
      <c r="D7822" t="s">
        <v>45</v>
      </c>
      <c r="E7822" t="s">
        <v>265</v>
      </c>
      <c r="F7822" t="s">
        <v>61</v>
      </c>
      <c r="G7822" t="s">
        <v>48</v>
      </c>
      <c r="H7822" t="s">
        <v>3957</v>
      </c>
      <c r="I7822" t="s">
        <v>3975</v>
      </c>
      <c r="J7822" t="s">
        <v>13727</v>
      </c>
      <c r="K7822" t="s">
        <v>9711</v>
      </c>
      <c r="L7822" t="s">
        <v>53</v>
      </c>
      <c r="P7822" t="s">
        <v>55</v>
      </c>
      <c r="R7822" t="s">
        <v>56</v>
      </c>
      <c r="T7822" t="s">
        <v>14596</v>
      </c>
      <c r="U7822" t="s">
        <v>58</v>
      </c>
      <c r="V7822">
        <v>2</v>
      </c>
      <c r="W7822">
        <v>1</v>
      </c>
      <c r="X7822">
        <v>2</v>
      </c>
      <c r="Y7822">
        <v>0</v>
      </c>
      <c r="Z7822">
        <v>2</v>
      </c>
      <c r="AA7822">
        <v>194.35</v>
      </c>
      <c r="AB7822">
        <v>194.35</v>
      </c>
      <c r="AC7822">
        <v>171</v>
      </c>
      <c r="AD7822">
        <v>0</v>
      </c>
      <c r="AE7822">
        <v>23.35</v>
      </c>
      <c r="AF7822">
        <v>0</v>
      </c>
      <c r="AG7822">
        <v>0</v>
      </c>
      <c r="AH7822">
        <v>0</v>
      </c>
      <c r="AI7822">
        <v>0</v>
      </c>
      <c r="AJ7822">
        <v>194.35</v>
      </c>
      <c r="AK7822">
        <v>0</v>
      </c>
      <c r="AL7822" t="s">
        <v>53</v>
      </c>
      <c r="AM7822" t="s">
        <v>53</v>
      </c>
      <c r="AN7822" t="s">
        <v>14597</v>
      </c>
      <c r="AO7822" t="s">
        <v>53</v>
      </c>
      <c r="AP7822" t="s">
        <v>53</v>
      </c>
    </row>
    <row r="7823" spans="2:42" x14ac:dyDescent="0.2">
      <c r="B7823" t="s">
        <v>44</v>
      </c>
      <c r="C7823" t="str">
        <f>HYPERLINK("https://us2.cloudbeds.com/connect/8493803454333002#/reservations/9080486847949407?display=4B8CXE8YXE&amp;reservation_id=9080486847949407", "4B8CXE8YXE")</f>
        <v>4B8CXE8YXE</v>
      </c>
      <c r="D7823" t="s">
        <v>45</v>
      </c>
      <c r="E7823" t="s">
        <v>487</v>
      </c>
      <c r="F7823" t="s">
        <v>61</v>
      </c>
      <c r="G7823" t="s">
        <v>48</v>
      </c>
      <c r="H7823" t="s">
        <v>49</v>
      </c>
      <c r="I7823" t="s">
        <v>8964</v>
      </c>
      <c r="J7823" t="s">
        <v>14337</v>
      </c>
      <c r="K7823" t="s">
        <v>9711</v>
      </c>
      <c r="L7823" t="s">
        <v>53</v>
      </c>
      <c r="N7823" t="s">
        <v>14598</v>
      </c>
      <c r="P7823" t="s">
        <v>55</v>
      </c>
      <c r="R7823" t="s">
        <v>53</v>
      </c>
      <c r="T7823" t="s">
        <v>14599</v>
      </c>
      <c r="U7823" t="s">
        <v>55</v>
      </c>
      <c r="V7823">
        <v>1</v>
      </c>
      <c r="W7823">
        <v>1</v>
      </c>
      <c r="X7823">
        <v>2</v>
      </c>
      <c r="Y7823">
        <v>0</v>
      </c>
      <c r="Z7823">
        <v>2</v>
      </c>
      <c r="AA7823">
        <v>0</v>
      </c>
      <c r="AB7823">
        <v>0</v>
      </c>
      <c r="AC7823">
        <v>103</v>
      </c>
      <c r="AD7823">
        <v>0</v>
      </c>
      <c r="AE7823">
        <v>0</v>
      </c>
      <c r="AF7823">
        <v>0</v>
      </c>
      <c r="AG7823">
        <v>0</v>
      </c>
      <c r="AH7823">
        <v>0</v>
      </c>
      <c r="AI7823">
        <v>15.45</v>
      </c>
      <c r="AJ7823">
        <v>103</v>
      </c>
      <c r="AK7823">
        <v>103</v>
      </c>
      <c r="AL7823" t="s">
        <v>53</v>
      </c>
      <c r="AM7823" t="s">
        <v>53</v>
      </c>
      <c r="AN7823" t="s">
        <v>14600</v>
      </c>
      <c r="AO7823" t="s">
        <v>53</v>
      </c>
      <c r="AP7823" t="s">
        <v>53</v>
      </c>
    </row>
    <row r="7824" spans="2:42" x14ac:dyDescent="0.2">
      <c r="B7824" t="s">
        <v>44</v>
      </c>
      <c r="C7824" t="str">
        <f>HYPERLINK("https://us2.cloudbeds.com/connect/8493803454333002#/reservations/201606670585984?display=4BBGJNNWNU&amp;reservation_id=201606670585984", "4BBGJNNWNU")</f>
        <v>4BBGJNNWNU</v>
      </c>
      <c r="D7824" t="s">
        <v>45</v>
      </c>
      <c r="E7824" t="s">
        <v>105</v>
      </c>
      <c r="F7824" t="s">
        <v>47</v>
      </c>
      <c r="G7824" t="s">
        <v>48</v>
      </c>
      <c r="H7824" t="s">
        <v>3957</v>
      </c>
      <c r="I7824" t="s">
        <v>3975</v>
      </c>
      <c r="J7824" t="s">
        <v>14337</v>
      </c>
      <c r="K7824" t="s">
        <v>9711</v>
      </c>
      <c r="L7824" t="s">
        <v>53</v>
      </c>
      <c r="P7824" t="s">
        <v>55</v>
      </c>
      <c r="R7824" t="s">
        <v>56</v>
      </c>
      <c r="T7824" t="s">
        <v>14601</v>
      </c>
      <c r="U7824" t="s">
        <v>58</v>
      </c>
      <c r="V7824">
        <v>1</v>
      </c>
      <c r="W7824">
        <v>1</v>
      </c>
      <c r="X7824">
        <v>2</v>
      </c>
      <c r="Y7824">
        <v>0</v>
      </c>
      <c r="Z7824">
        <v>2</v>
      </c>
      <c r="AA7824">
        <v>96.61</v>
      </c>
      <c r="AB7824">
        <v>96.61</v>
      </c>
      <c r="AC7824">
        <v>85</v>
      </c>
      <c r="AD7824">
        <v>0</v>
      </c>
      <c r="AE7824">
        <v>11.61</v>
      </c>
      <c r="AF7824">
        <v>0</v>
      </c>
      <c r="AG7824">
        <v>0</v>
      </c>
      <c r="AH7824">
        <v>0</v>
      </c>
      <c r="AI7824">
        <v>0</v>
      </c>
      <c r="AJ7824">
        <v>96.61</v>
      </c>
      <c r="AK7824">
        <v>0</v>
      </c>
      <c r="AL7824" t="s">
        <v>53</v>
      </c>
      <c r="AM7824" t="s">
        <v>53</v>
      </c>
      <c r="AN7824" t="s">
        <v>53</v>
      </c>
      <c r="AO7824" t="s">
        <v>53</v>
      </c>
      <c r="AP7824" t="s">
        <v>53</v>
      </c>
    </row>
    <row r="7825" spans="2:42" x14ac:dyDescent="0.2">
      <c r="B7825" t="s">
        <v>44</v>
      </c>
      <c r="C7825" t="str">
        <f>HYPERLINK("https://us2.cloudbeds.com/connect/8493803454333002#/reservations/9080486847956193?display=4BE4DCAD2D&amp;reservation_id=9080486847956193", "4BE4DCAD2D")</f>
        <v>4BE4DCAD2D</v>
      </c>
      <c r="D7825" t="s">
        <v>45</v>
      </c>
      <c r="E7825" t="s">
        <v>110</v>
      </c>
      <c r="F7825" t="s">
        <v>47</v>
      </c>
      <c r="G7825" t="s">
        <v>48</v>
      </c>
      <c r="H7825" t="s">
        <v>49</v>
      </c>
      <c r="I7825" t="s">
        <v>50</v>
      </c>
      <c r="J7825" t="s">
        <v>14578</v>
      </c>
      <c r="K7825" t="s">
        <v>12565</v>
      </c>
      <c r="L7825" t="s">
        <v>53</v>
      </c>
      <c r="N7825" t="s">
        <v>14602</v>
      </c>
      <c r="P7825" t="s">
        <v>55</v>
      </c>
      <c r="R7825" t="s">
        <v>53</v>
      </c>
      <c r="T7825" t="s">
        <v>14603</v>
      </c>
      <c r="U7825" t="s">
        <v>55</v>
      </c>
      <c r="V7825">
        <v>1</v>
      </c>
      <c r="W7825">
        <v>1</v>
      </c>
      <c r="X7825">
        <v>1</v>
      </c>
      <c r="Y7825">
        <v>0</v>
      </c>
      <c r="Z7825">
        <v>1</v>
      </c>
      <c r="AA7825">
        <v>62.16</v>
      </c>
      <c r="AB7825">
        <v>67.599999999999994</v>
      </c>
      <c r="AC7825">
        <v>62.16</v>
      </c>
      <c r="AD7825">
        <v>0</v>
      </c>
      <c r="AE7825">
        <v>5.44</v>
      </c>
      <c r="AF7825">
        <v>0</v>
      </c>
      <c r="AG7825">
        <v>0</v>
      </c>
      <c r="AH7825">
        <v>0</v>
      </c>
      <c r="AI7825">
        <v>12.17</v>
      </c>
      <c r="AJ7825">
        <v>67.599999999999994</v>
      </c>
      <c r="AK7825">
        <v>0</v>
      </c>
      <c r="AL7825" t="s">
        <v>53</v>
      </c>
      <c r="AM7825" t="s">
        <v>53</v>
      </c>
      <c r="AN7825" t="s">
        <v>14604</v>
      </c>
      <c r="AO7825" t="s">
        <v>53</v>
      </c>
      <c r="AP7825" t="s">
        <v>53</v>
      </c>
    </row>
    <row r="7826" spans="2:42" x14ac:dyDescent="0.2">
      <c r="B7826" t="s">
        <v>44</v>
      </c>
      <c r="C7826" t="str">
        <f>HYPERLINK("https://us2.cloudbeds.com/connect/8493803454333002#/reservations/9080486847956995?display=4BETG75Z99&amp;reservation_id=9080486847956995", "4BETG75Z99")</f>
        <v>4BETG75Z99</v>
      </c>
      <c r="D7826" t="s">
        <v>45</v>
      </c>
      <c r="E7826" t="s">
        <v>185</v>
      </c>
      <c r="F7826" t="s">
        <v>47</v>
      </c>
      <c r="G7826" t="s">
        <v>48</v>
      </c>
      <c r="H7826" t="s">
        <v>49</v>
      </c>
      <c r="I7826" t="s">
        <v>62</v>
      </c>
      <c r="J7826" t="s">
        <v>14337</v>
      </c>
      <c r="K7826" t="s">
        <v>9711</v>
      </c>
      <c r="L7826" t="s">
        <v>53</v>
      </c>
      <c r="N7826" t="s">
        <v>14605</v>
      </c>
      <c r="P7826" t="s">
        <v>55</v>
      </c>
      <c r="R7826" t="s">
        <v>56</v>
      </c>
      <c r="T7826" t="s">
        <v>14606</v>
      </c>
      <c r="U7826" t="s">
        <v>55</v>
      </c>
      <c r="V7826">
        <v>1</v>
      </c>
      <c r="W7826">
        <v>1</v>
      </c>
      <c r="X7826">
        <v>1</v>
      </c>
      <c r="Y7826">
        <v>0</v>
      </c>
      <c r="Z7826">
        <v>1</v>
      </c>
      <c r="AA7826">
        <v>68.28</v>
      </c>
      <c r="AB7826">
        <v>68.28</v>
      </c>
      <c r="AC7826">
        <v>68.28</v>
      </c>
      <c r="AD7826">
        <v>0</v>
      </c>
      <c r="AE7826">
        <v>0</v>
      </c>
      <c r="AF7826">
        <v>0</v>
      </c>
      <c r="AG7826">
        <v>0</v>
      </c>
      <c r="AH7826">
        <v>0</v>
      </c>
      <c r="AI7826">
        <v>12.29</v>
      </c>
      <c r="AJ7826">
        <v>68.28</v>
      </c>
      <c r="AK7826">
        <v>0</v>
      </c>
      <c r="AL7826" t="s">
        <v>53</v>
      </c>
      <c r="AM7826" t="s">
        <v>53</v>
      </c>
      <c r="AN7826" t="s">
        <v>53</v>
      </c>
      <c r="AO7826" t="s">
        <v>53</v>
      </c>
      <c r="AP7826" t="s">
        <v>53</v>
      </c>
    </row>
    <row r="7827" spans="2:42" x14ac:dyDescent="0.2">
      <c r="B7827" t="s">
        <v>44</v>
      </c>
      <c r="C7827" t="str">
        <f>HYPERLINK("https://us2.cloudbeds.com/connect/8493803454333002#/reservations/201764259532992?display=4BF6KFU6H4&amp;reservation_id=201764259532992", "4BF6KFU6H4")</f>
        <v>4BF6KFU6H4</v>
      </c>
      <c r="D7827" t="s">
        <v>45</v>
      </c>
      <c r="E7827" t="s">
        <v>406</v>
      </c>
      <c r="F7827" t="s">
        <v>61</v>
      </c>
      <c r="G7827" t="s">
        <v>48</v>
      </c>
      <c r="H7827" t="s">
        <v>3957</v>
      </c>
      <c r="I7827" t="s">
        <v>3975</v>
      </c>
      <c r="J7827" t="s">
        <v>14337</v>
      </c>
      <c r="K7827" t="s">
        <v>9711</v>
      </c>
      <c r="L7827" t="s">
        <v>53</v>
      </c>
      <c r="P7827" t="s">
        <v>55</v>
      </c>
      <c r="R7827" t="s">
        <v>56</v>
      </c>
      <c r="T7827" t="s">
        <v>14607</v>
      </c>
      <c r="U7827" t="s">
        <v>58</v>
      </c>
      <c r="V7827">
        <v>1</v>
      </c>
      <c r="W7827">
        <v>1</v>
      </c>
      <c r="X7827">
        <v>2</v>
      </c>
      <c r="Y7827">
        <v>0</v>
      </c>
      <c r="Z7827">
        <v>2</v>
      </c>
      <c r="AA7827">
        <v>107.98</v>
      </c>
      <c r="AB7827">
        <v>107.98</v>
      </c>
      <c r="AC7827">
        <v>95</v>
      </c>
      <c r="AD7827">
        <v>0</v>
      </c>
      <c r="AE7827">
        <v>12.98</v>
      </c>
      <c r="AF7827">
        <v>0</v>
      </c>
      <c r="AG7827">
        <v>0</v>
      </c>
      <c r="AH7827">
        <v>0</v>
      </c>
      <c r="AI7827">
        <v>0</v>
      </c>
      <c r="AJ7827">
        <v>107.98</v>
      </c>
      <c r="AK7827">
        <v>0</v>
      </c>
      <c r="AL7827" t="s">
        <v>53</v>
      </c>
      <c r="AM7827" t="s">
        <v>53</v>
      </c>
      <c r="AN7827" t="s">
        <v>14608</v>
      </c>
      <c r="AO7827" t="s">
        <v>53</v>
      </c>
      <c r="AP7827" t="s">
        <v>53</v>
      </c>
    </row>
    <row r="7828" spans="2:42" x14ac:dyDescent="0.2">
      <c r="B7828" t="s">
        <v>44</v>
      </c>
      <c r="C7828" t="str">
        <f>HYPERLINK("https://us2.cloudbeds.com/connect/8493803454333002#/reservations/9080486847958689?display=4BGK8PURUM&amp;reservation_id=9080486847958689", "4BGK8PURUM")</f>
        <v>4BGK8PURUM</v>
      </c>
      <c r="D7828" t="s">
        <v>45</v>
      </c>
      <c r="E7828" t="s">
        <v>179</v>
      </c>
      <c r="F7828" t="s">
        <v>47</v>
      </c>
      <c r="G7828" t="s">
        <v>48</v>
      </c>
      <c r="H7828" t="s">
        <v>49</v>
      </c>
      <c r="I7828" t="s">
        <v>62</v>
      </c>
      <c r="J7828" t="s">
        <v>14337</v>
      </c>
      <c r="K7828" t="s">
        <v>9711</v>
      </c>
      <c r="L7828" t="s">
        <v>53</v>
      </c>
      <c r="N7828" t="s">
        <v>14609</v>
      </c>
      <c r="P7828" t="s">
        <v>55</v>
      </c>
      <c r="R7828" t="s">
        <v>56</v>
      </c>
      <c r="T7828" t="s">
        <v>14610</v>
      </c>
      <c r="U7828" t="s">
        <v>55</v>
      </c>
      <c r="V7828">
        <v>1</v>
      </c>
      <c r="W7828">
        <v>1</v>
      </c>
      <c r="X7828">
        <v>2</v>
      </c>
      <c r="Y7828">
        <v>0</v>
      </c>
      <c r="Z7828">
        <v>2</v>
      </c>
      <c r="AA7828">
        <v>68.28</v>
      </c>
      <c r="AB7828">
        <v>68.28</v>
      </c>
      <c r="AC7828">
        <v>68.28</v>
      </c>
      <c r="AD7828">
        <v>0</v>
      </c>
      <c r="AE7828">
        <v>0</v>
      </c>
      <c r="AF7828">
        <v>0</v>
      </c>
      <c r="AG7828">
        <v>0</v>
      </c>
      <c r="AH7828">
        <v>0</v>
      </c>
      <c r="AI7828">
        <v>12.29</v>
      </c>
      <c r="AJ7828">
        <v>68.28</v>
      </c>
      <c r="AK7828">
        <v>0</v>
      </c>
      <c r="AL7828" t="s">
        <v>53</v>
      </c>
      <c r="AM7828" t="s">
        <v>53</v>
      </c>
      <c r="AN7828" t="s">
        <v>53</v>
      </c>
      <c r="AO7828" t="s">
        <v>53</v>
      </c>
      <c r="AP7828" t="s">
        <v>53</v>
      </c>
    </row>
    <row r="7829" spans="2:42" x14ac:dyDescent="0.2">
      <c r="B7829" t="s">
        <v>44</v>
      </c>
      <c r="C7829" t="str">
        <f>HYPERLINK("https://us2.cloudbeds.com/connect/8493803454333002#/reservations/9080486847962213?display=4BK5AUFXUH&amp;reservation_id=9080486847962213", "4BK5AUFXUH")</f>
        <v>4BK5AUFXUH</v>
      </c>
      <c r="D7829" t="s">
        <v>45</v>
      </c>
      <c r="E7829" t="s">
        <v>185</v>
      </c>
      <c r="F7829" t="s">
        <v>47</v>
      </c>
      <c r="G7829" t="s">
        <v>48</v>
      </c>
      <c r="H7829" t="s">
        <v>49</v>
      </c>
      <c r="I7829" t="s">
        <v>62</v>
      </c>
      <c r="J7829" t="s">
        <v>13520</v>
      </c>
      <c r="K7829" t="s">
        <v>14399</v>
      </c>
      <c r="L7829" t="s">
        <v>53</v>
      </c>
      <c r="N7829" t="s">
        <v>14611</v>
      </c>
      <c r="P7829" t="s">
        <v>55</v>
      </c>
      <c r="R7829" t="s">
        <v>56</v>
      </c>
      <c r="T7829" t="s">
        <v>14612</v>
      </c>
      <c r="U7829" t="s">
        <v>55</v>
      </c>
      <c r="V7829">
        <v>2</v>
      </c>
      <c r="W7829">
        <v>1</v>
      </c>
      <c r="X7829">
        <v>1</v>
      </c>
      <c r="Y7829">
        <v>0</v>
      </c>
      <c r="Z7829">
        <v>1</v>
      </c>
      <c r="AA7829">
        <v>151.72</v>
      </c>
      <c r="AB7829">
        <v>151.72</v>
      </c>
      <c r="AC7829">
        <v>151.72</v>
      </c>
      <c r="AD7829">
        <v>0</v>
      </c>
      <c r="AE7829">
        <v>0</v>
      </c>
      <c r="AF7829">
        <v>0</v>
      </c>
      <c r="AG7829">
        <v>0</v>
      </c>
      <c r="AH7829">
        <v>0</v>
      </c>
      <c r="AI7829">
        <v>27.31</v>
      </c>
      <c r="AJ7829">
        <v>151.72</v>
      </c>
      <c r="AK7829">
        <v>0</v>
      </c>
      <c r="AL7829" t="s">
        <v>53</v>
      </c>
      <c r="AM7829" t="s">
        <v>53</v>
      </c>
      <c r="AN7829" t="s">
        <v>14613</v>
      </c>
      <c r="AO7829" t="s">
        <v>53</v>
      </c>
      <c r="AP7829" t="s">
        <v>53</v>
      </c>
    </row>
    <row r="7830" spans="2:42" x14ac:dyDescent="0.2">
      <c r="B7830" t="s">
        <v>44</v>
      </c>
      <c r="C7830" t="str">
        <f>HYPERLINK("https://us2.cloudbeds.com/connect/8493803454333002#/reservations/9080486847963015?display=4BKNFWAX0S&amp;reservation_id=9080486847963015", "4BKNFWAX0S")</f>
        <v>4BKNFWAX0S</v>
      </c>
      <c r="D7830" t="s">
        <v>45</v>
      </c>
      <c r="E7830" t="s">
        <v>46</v>
      </c>
      <c r="F7830" t="s">
        <v>47</v>
      </c>
      <c r="G7830" t="s">
        <v>48</v>
      </c>
      <c r="H7830" t="s">
        <v>49</v>
      </c>
      <c r="I7830" t="s">
        <v>62</v>
      </c>
      <c r="J7830" t="s">
        <v>14337</v>
      </c>
      <c r="K7830" t="s">
        <v>14578</v>
      </c>
      <c r="L7830" t="s">
        <v>53</v>
      </c>
      <c r="N7830" t="s">
        <v>14614</v>
      </c>
      <c r="P7830" t="s">
        <v>55</v>
      </c>
      <c r="R7830" t="s">
        <v>56</v>
      </c>
      <c r="T7830" t="s">
        <v>14615</v>
      </c>
      <c r="U7830" t="s">
        <v>55</v>
      </c>
      <c r="V7830">
        <v>2</v>
      </c>
      <c r="W7830">
        <v>1</v>
      </c>
      <c r="X7830">
        <v>2</v>
      </c>
      <c r="Y7830">
        <v>0</v>
      </c>
      <c r="Z7830">
        <v>2</v>
      </c>
      <c r="AA7830">
        <v>162.26</v>
      </c>
      <c r="AB7830">
        <v>162.26</v>
      </c>
      <c r="AC7830">
        <v>162.26</v>
      </c>
      <c r="AD7830">
        <v>0</v>
      </c>
      <c r="AE7830">
        <v>0</v>
      </c>
      <c r="AF7830">
        <v>0</v>
      </c>
      <c r="AG7830">
        <v>0</v>
      </c>
      <c r="AH7830">
        <v>0</v>
      </c>
      <c r="AI7830">
        <v>29.21</v>
      </c>
      <c r="AJ7830">
        <v>162.26</v>
      </c>
      <c r="AK7830">
        <v>0</v>
      </c>
      <c r="AL7830" t="s">
        <v>53</v>
      </c>
      <c r="AM7830" t="s">
        <v>53</v>
      </c>
      <c r="AN7830" t="s">
        <v>53</v>
      </c>
      <c r="AO7830" t="s">
        <v>53</v>
      </c>
      <c r="AP7830" t="s">
        <v>53</v>
      </c>
    </row>
    <row r="7831" spans="2:42" x14ac:dyDescent="0.2">
      <c r="B7831" t="s">
        <v>44</v>
      </c>
      <c r="C7831" t="str">
        <f>HYPERLINK("https://us2.cloudbeds.com/connect/8493803454333002#/reservations/9080486847963385?display=4BKVNUHYMD&amp;reservation_id=9080486847963385", "4BKVNUHYMD")</f>
        <v>4BKVNUHYMD</v>
      </c>
      <c r="D7831" t="s">
        <v>45</v>
      </c>
      <c r="E7831" t="s">
        <v>14402</v>
      </c>
      <c r="F7831" t="s">
        <v>14403</v>
      </c>
      <c r="G7831" t="s">
        <v>48</v>
      </c>
      <c r="H7831" t="s">
        <v>49</v>
      </c>
      <c r="I7831" t="s">
        <v>50</v>
      </c>
      <c r="J7831" t="s">
        <v>14399</v>
      </c>
      <c r="K7831" t="s">
        <v>13532</v>
      </c>
      <c r="L7831" t="s">
        <v>53</v>
      </c>
      <c r="N7831" t="s">
        <v>14616</v>
      </c>
      <c r="P7831" t="s">
        <v>55</v>
      </c>
      <c r="R7831" t="s">
        <v>53</v>
      </c>
      <c r="T7831" t="s">
        <v>14617</v>
      </c>
      <c r="U7831" t="s">
        <v>55</v>
      </c>
      <c r="V7831">
        <v>5</v>
      </c>
      <c r="W7831">
        <v>1</v>
      </c>
      <c r="X7831">
        <v>2</v>
      </c>
      <c r="Y7831">
        <v>0</v>
      </c>
      <c r="Z7831">
        <v>2</v>
      </c>
      <c r="AA7831">
        <v>413.63</v>
      </c>
      <c r="AB7831">
        <v>413.63</v>
      </c>
      <c r="AC7831">
        <v>380.36</v>
      </c>
      <c r="AD7831">
        <v>0</v>
      </c>
      <c r="AE7831">
        <v>33.270000000000003</v>
      </c>
      <c r="AF7831">
        <v>0</v>
      </c>
      <c r="AG7831">
        <v>0</v>
      </c>
      <c r="AH7831">
        <v>0</v>
      </c>
      <c r="AI7831">
        <v>74.45</v>
      </c>
      <c r="AJ7831">
        <v>413.63</v>
      </c>
      <c r="AK7831">
        <v>0</v>
      </c>
      <c r="AL7831" t="s">
        <v>53</v>
      </c>
      <c r="AM7831" t="s">
        <v>53</v>
      </c>
      <c r="AN7831" t="s">
        <v>53</v>
      </c>
      <c r="AO7831" t="s">
        <v>53</v>
      </c>
      <c r="AP7831" t="s">
        <v>53</v>
      </c>
    </row>
    <row r="7832" spans="2:42" x14ac:dyDescent="0.2">
      <c r="B7832" t="s">
        <v>44</v>
      </c>
      <c r="C7832" t="str">
        <f>HYPERLINK("https://us2.cloudbeds.com/connect/8493803454333002#/reservations/9080486847963884?display=4BYBR367U8&amp;reservation_id=9080486847963884", "4BYBR367U8")</f>
        <v>4BYBR367U8</v>
      </c>
      <c r="D7832" t="s">
        <v>45</v>
      </c>
      <c r="E7832" t="s">
        <v>92</v>
      </c>
      <c r="F7832" t="s">
        <v>86</v>
      </c>
      <c r="G7832" t="s">
        <v>48</v>
      </c>
      <c r="H7832" t="s">
        <v>49</v>
      </c>
      <c r="I7832" t="s">
        <v>62</v>
      </c>
      <c r="J7832" t="s">
        <v>14337</v>
      </c>
      <c r="K7832" t="s">
        <v>9711</v>
      </c>
      <c r="L7832" t="s">
        <v>53</v>
      </c>
      <c r="N7832" t="s">
        <v>14618</v>
      </c>
      <c r="P7832" t="s">
        <v>55</v>
      </c>
      <c r="R7832" t="s">
        <v>56</v>
      </c>
      <c r="T7832" t="s">
        <v>14619</v>
      </c>
      <c r="U7832" t="s">
        <v>55</v>
      </c>
      <c r="V7832">
        <v>1</v>
      </c>
      <c r="W7832">
        <v>1</v>
      </c>
      <c r="X7832">
        <v>1</v>
      </c>
      <c r="Y7832">
        <v>1</v>
      </c>
      <c r="Z7832">
        <v>2</v>
      </c>
      <c r="AA7832">
        <v>121.29</v>
      </c>
      <c r="AB7832">
        <v>121.29</v>
      </c>
      <c r="AC7832">
        <v>121.29</v>
      </c>
      <c r="AD7832">
        <v>0</v>
      </c>
      <c r="AE7832">
        <v>0</v>
      </c>
      <c r="AF7832">
        <v>0</v>
      </c>
      <c r="AG7832">
        <v>0</v>
      </c>
      <c r="AH7832">
        <v>0</v>
      </c>
      <c r="AI7832">
        <v>21.83</v>
      </c>
      <c r="AJ7832">
        <v>121.29</v>
      </c>
      <c r="AK7832">
        <v>0</v>
      </c>
      <c r="AL7832" t="s">
        <v>53</v>
      </c>
      <c r="AM7832" t="s">
        <v>53</v>
      </c>
      <c r="AN7832" t="s">
        <v>53</v>
      </c>
      <c r="AO7832" t="s">
        <v>53</v>
      </c>
      <c r="AP7832" t="s">
        <v>53</v>
      </c>
    </row>
    <row r="7833" spans="2:42" x14ac:dyDescent="0.2">
      <c r="B7833" t="s">
        <v>44</v>
      </c>
      <c r="C7833" t="str">
        <f>HYPERLINK("https://us2.cloudbeds.com/connect/8493803454333002#/reservations/202056270618752?display=4BM1Z1E8GR&amp;reservation_id=202056270618752", "4BM1Z1E8GR")</f>
        <v>4BM1Z1E8GR</v>
      </c>
      <c r="D7833" t="s">
        <v>45</v>
      </c>
      <c r="E7833" t="s">
        <v>165</v>
      </c>
      <c r="F7833" t="s">
        <v>61</v>
      </c>
      <c r="G7833" t="s">
        <v>13757</v>
      </c>
      <c r="H7833" t="s">
        <v>3957</v>
      </c>
      <c r="I7833" t="s">
        <v>3975</v>
      </c>
      <c r="J7833" t="s">
        <v>14135</v>
      </c>
      <c r="K7833" t="s">
        <v>13520</v>
      </c>
      <c r="L7833" t="s">
        <v>53</v>
      </c>
      <c r="P7833" t="s">
        <v>55</v>
      </c>
      <c r="R7833" t="s">
        <v>56</v>
      </c>
      <c r="T7833" t="s">
        <v>14620</v>
      </c>
      <c r="U7833" t="s">
        <v>58</v>
      </c>
      <c r="V7833">
        <v>1</v>
      </c>
      <c r="W7833">
        <v>1</v>
      </c>
      <c r="X7833">
        <v>2</v>
      </c>
      <c r="Y7833">
        <v>0</v>
      </c>
      <c r="Z7833">
        <v>2</v>
      </c>
      <c r="AA7833">
        <v>0</v>
      </c>
      <c r="AB7833">
        <v>86.68</v>
      </c>
      <c r="AC7833">
        <v>75.599999999999994</v>
      </c>
      <c r="AD7833">
        <v>0</v>
      </c>
      <c r="AE7833">
        <v>11.08</v>
      </c>
      <c r="AF7833">
        <v>0</v>
      </c>
      <c r="AG7833">
        <v>0</v>
      </c>
      <c r="AH7833">
        <v>0</v>
      </c>
      <c r="AI7833">
        <v>0</v>
      </c>
      <c r="AJ7833">
        <v>86.68</v>
      </c>
      <c r="AK7833">
        <v>0</v>
      </c>
      <c r="AL7833" t="s">
        <v>53</v>
      </c>
      <c r="AM7833" t="s">
        <v>53</v>
      </c>
      <c r="AN7833" t="s">
        <v>53</v>
      </c>
      <c r="AO7833" t="s">
        <v>53</v>
      </c>
      <c r="AP7833" t="s">
        <v>53</v>
      </c>
    </row>
    <row r="7834" spans="2:42" x14ac:dyDescent="0.2">
      <c r="B7834" t="s">
        <v>44</v>
      </c>
      <c r="C7834" t="str">
        <f>HYPERLINK("https://us2.cloudbeds.com/connect/8493803454333002#/reservations/9080486847967256?display=4BZH1YP82F&amp;reservation_id=9080486847967256", "4BZH1YP82F")</f>
        <v>4BZH1YP82F</v>
      </c>
      <c r="D7834" t="s">
        <v>45</v>
      </c>
      <c r="E7834" t="s">
        <v>190</v>
      </c>
      <c r="F7834" t="s">
        <v>61</v>
      </c>
      <c r="G7834" t="s">
        <v>48</v>
      </c>
      <c r="H7834" t="s">
        <v>49</v>
      </c>
      <c r="I7834" t="s">
        <v>62</v>
      </c>
      <c r="J7834" t="s">
        <v>14480</v>
      </c>
      <c r="K7834" t="s">
        <v>13001</v>
      </c>
      <c r="L7834" t="s">
        <v>53</v>
      </c>
      <c r="N7834" t="s">
        <v>14621</v>
      </c>
      <c r="P7834" t="s">
        <v>55</v>
      </c>
      <c r="R7834" t="s">
        <v>56</v>
      </c>
      <c r="T7834" t="s">
        <v>14622</v>
      </c>
      <c r="U7834" t="s">
        <v>55</v>
      </c>
      <c r="V7834">
        <v>2</v>
      </c>
      <c r="W7834">
        <v>1</v>
      </c>
      <c r="X7834">
        <v>2</v>
      </c>
      <c r="Y7834">
        <v>0</v>
      </c>
      <c r="Z7834">
        <v>2</v>
      </c>
      <c r="AA7834">
        <v>213.68</v>
      </c>
      <c r="AB7834">
        <v>213.68</v>
      </c>
      <c r="AC7834">
        <v>213.68</v>
      </c>
      <c r="AD7834">
        <v>0</v>
      </c>
      <c r="AE7834">
        <v>0</v>
      </c>
      <c r="AF7834">
        <v>0</v>
      </c>
      <c r="AG7834">
        <v>0</v>
      </c>
      <c r="AH7834">
        <v>0</v>
      </c>
      <c r="AI7834">
        <v>38.46</v>
      </c>
      <c r="AJ7834">
        <v>213.68</v>
      </c>
      <c r="AK7834">
        <v>0</v>
      </c>
      <c r="AL7834" t="s">
        <v>53</v>
      </c>
      <c r="AM7834" t="s">
        <v>53</v>
      </c>
      <c r="AN7834" t="s">
        <v>53</v>
      </c>
      <c r="AO7834" t="s">
        <v>53</v>
      </c>
      <c r="AP7834" t="s">
        <v>53</v>
      </c>
    </row>
    <row r="7835" spans="2:42" x14ac:dyDescent="0.2">
      <c r="B7835" t="s">
        <v>44</v>
      </c>
      <c r="C7835" t="str">
        <f>HYPERLINK("https://us2.cloudbeds.com/connect/8493803454333002#/reservations/9080486847973340?display=4BTN4KP2RF&amp;reservation_id=9080486847973340", "4BTN4KP2RF")</f>
        <v>4BTN4KP2RF</v>
      </c>
      <c r="D7835" t="s">
        <v>45</v>
      </c>
      <c r="E7835" t="s">
        <v>69</v>
      </c>
      <c r="F7835" t="s">
        <v>70</v>
      </c>
      <c r="G7835" t="s">
        <v>48</v>
      </c>
      <c r="H7835" t="s">
        <v>49</v>
      </c>
      <c r="I7835" t="s">
        <v>62</v>
      </c>
      <c r="J7835" t="s">
        <v>14348</v>
      </c>
      <c r="K7835" t="s">
        <v>14623</v>
      </c>
      <c r="L7835" t="s">
        <v>53</v>
      </c>
      <c r="N7835" t="s">
        <v>14624</v>
      </c>
      <c r="P7835" t="s">
        <v>55</v>
      </c>
      <c r="R7835" t="s">
        <v>56</v>
      </c>
      <c r="T7835" t="s">
        <v>14625</v>
      </c>
      <c r="U7835" t="s">
        <v>55</v>
      </c>
      <c r="V7835">
        <v>1</v>
      </c>
      <c r="W7835">
        <v>1</v>
      </c>
      <c r="X7835">
        <v>2</v>
      </c>
      <c r="Y7835">
        <v>0</v>
      </c>
      <c r="Z7835">
        <v>2</v>
      </c>
      <c r="AA7835">
        <v>156.87</v>
      </c>
      <c r="AB7835">
        <v>156.87</v>
      </c>
      <c r="AC7835">
        <v>156.87</v>
      </c>
      <c r="AD7835">
        <v>0</v>
      </c>
      <c r="AE7835">
        <v>0</v>
      </c>
      <c r="AF7835">
        <v>0</v>
      </c>
      <c r="AG7835">
        <v>0</v>
      </c>
      <c r="AH7835">
        <v>0</v>
      </c>
      <c r="AI7835">
        <v>28.24</v>
      </c>
      <c r="AJ7835">
        <v>156.87</v>
      </c>
      <c r="AK7835">
        <v>0</v>
      </c>
      <c r="AL7835" t="s">
        <v>53</v>
      </c>
      <c r="AM7835" t="s">
        <v>53</v>
      </c>
      <c r="AN7835" t="s">
        <v>14626</v>
      </c>
      <c r="AO7835" t="s">
        <v>53</v>
      </c>
      <c r="AP7835" t="s">
        <v>53</v>
      </c>
    </row>
    <row r="7836" spans="2:42" x14ac:dyDescent="0.2">
      <c r="B7836" t="s">
        <v>44</v>
      </c>
      <c r="C7836" t="str">
        <f>HYPERLINK("https://us2.cloudbeds.com/connect/8493803454333002#/reservations/9080486847973377?display=4BTNWNQ8JH&amp;reservation_id=9080486847973377", "4BTNWNQ8JH")</f>
        <v>4BTNWNQ8JH</v>
      </c>
      <c r="D7836" t="s">
        <v>45</v>
      </c>
      <c r="E7836" t="s">
        <v>165</v>
      </c>
      <c r="F7836" t="s">
        <v>61</v>
      </c>
      <c r="G7836" t="s">
        <v>48</v>
      </c>
      <c r="H7836" t="s">
        <v>49</v>
      </c>
      <c r="I7836" t="s">
        <v>50</v>
      </c>
      <c r="J7836" t="s">
        <v>14627</v>
      </c>
      <c r="K7836" t="s">
        <v>14628</v>
      </c>
      <c r="L7836" t="s">
        <v>53</v>
      </c>
      <c r="N7836" t="s">
        <v>14629</v>
      </c>
      <c r="P7836" t="s">
        <v>55</v>
      </c>
      <c r="R7836" t="s">
        <v>53</v>
      </c>
      <c r="T7836" t="s">
        <v>14630</v>
      </c>
      <c r="U7836" t="s">
        <v>55</v>
      </c>
      <c r="V7836">
        <v>1</v>
      </c>
      <c r="W7836">
        <v>1</v>
      </c>
      <c r="X7836">
        <v>2</v>
      </c>
      <c r="Y7836">
        <v>0</v>
      </c>
      <c r="Z7836">
        <v>2</v>
      </c>
      <c r="AA7836">
        <v>76.05</v>
      </c>
      <c r="AB7836">
        <v>76.05</v>
      </c>
      <c r="AC7836">
        <v>69.930000000000007</v>
      </c>
      <c r="AD7836">
        <v>0</v>
      </c>
      <c r="AE7836">
        <v>6.12</v>
      </c>
      <c r="AF7836">
        <v>0</v>
      </c>
      <c r="AG7836">
        <v>0</v>
      </c>
      <c r="AH7836">
        <v>0</v>
      </c>
      <c r="AI7836">
        <v>13.69</v>
      </c>
      <c r="AJ7836">
        <v>76.05</v>
      </c>
      <c r="AK7836">
        <v>0</v>
      </c>
      <c r="AL7836" t="s">
        <v>53</v>
      </c>
      <c r="AM7836" t="s">
        <v>53</v>
      </c>
      <c r="AN7836" t="s">
        <v>53</v>
      </c>
      <c r="AO7836" t="s">
        <v>53</v>
      </c>
      <c r="AP7836" t="s">
        <v>53</v>
      </c>
    </row>
    <row r="7837" spans="2:42" x14ac:dyDescent="0.2">
      <c r="B7837" t="s">
        <v>44</v>
      </c>
      <c r="C7837" t="str">
        <f>HYPERLINK("https://us2.cloudbeds.com/connect/8493803454333002#/reservations/9080486847974468?display=4BUB59A3FU&amp;reservation_id=9080486847974468", "4BUB59A3FU")</f>
        <v>4BUB59A3FU</v>
      </c>
      <c r="D7837" t="s">
        <v>45</v>
      </c>
      <c r="E7837" t="s">
        <v>85</v>
      </c>
      <c r="F7837" t="s">
        <v>86</v>
      </c>
      <c r="G7837" t="s">
        <v>48</v>
      </c>
      <c r="H7837" t="s">
        <v>49</v>
      </c>
      <c r="I7837" t="s">
        <v>50</v>
      </c>
      <c r="J7837" t="s">
        <v>14631</v>
      </c>
      <c r="K7837" t="s">
        <v>14632</v>
      </c>
      <c r="L7837" t="s">
        <v>53</v>
      </c>
      <c r="N7837" t="s">
        <v>14633</v>
      </c>
      <c r="P7837" t="s">
        <v>55</v>
      </c>
      <c r="R7837" t="s">
        <v>53</v>
      </c>
      <c r="T7837" t="s">
        <v>14634</v>
      </c>
      <c r="U7837" t="s">
        <v>55</v>
      </c>
      <c r="V7837">
        <v>1</v>
      </c>
      <c r="W7837">
        <v>1</v>
      </c>
      <c r="X7837">
        <v>2</v>
      </c>
      <c r="Y7837">
        <v>0</v>
      </c>
      <c r="Z7837">
        <v>2</v>
      </c>
      <c r="AA7837">
        <v>136.09</v>
      </c>
      <c r="AB7837">
        <v>136.09</v>
      </c>
      <c r="AC7837">
        <v>125.14</v>
      </c>
      <c r="AD7837">
        <v>0</v>
      </c>
      <c r="AE7837">
        <v>10.95</v>
      </c>
      <c r="AF7837">
        <v>0</v>
      </c>
      <c r="AG7837">
        <v>0</v>
      </c>
      <c r="AH7837">
        <v>0</v>
      </c>
      <c r="AI7837">
        <v>24.5</v>
      </c>
      <c r="AJ7837">
        <v>136.09</v>
      </c>
      <c r="AK7837">
        <v>0</v>
      </c>
      <c r="AL7837" t="s">
        <v>53</v>
      </c>
      <c r="AM7837" t="s">
        <v>53</v>
      </c>
      <c r="AN7837" t="s">
        <v>14635</v>
      </c>
      <c r="AO7837" t="s">
        <v>53</v>
      </c>
      <c r="AP7837" t="s">
        <v>53</v>
      </c>
    </row>
    <row r="7838" spans="2:42" x14ac:dyDescent="0.2">
      <c r="B7838" t="s">
        <v>44</v>
      </c>
      <c r="C7838" t="str">
        <f>HYPERLINK("https://us2.cloudbeds.com/connect/8493803454333002#/reservations/9080486847975293?display=4BUTQHWXZ1&amp;reservation_id=9080486847975293", "4BUTQHWXZ1")</f>
        <v>4BUTQHWXZ1</v>
      </c>
      <c r="D7838" t="s">
        <v>45</v>
      </c>
      <c r="E7838" t="s">
        <v>165</v>
      </c>
      <c r="F7838" t="s">
        <v>61</v>
      </c>
      <c r="G7838" t="s">
        <v>48</v>
      </c>
      <c r="H7838" t="s">
        <v>49</v>
      </c>
      <c r="I7838" t="s">
        <v>50</v>
      </c>
      <c r="J7838" t="s">
        <v>14636</v>
      </c>
      <c r="K7838" t="s">
        <v>14637</v>
      </c>
      <c r="L7838" t="s">
        <v>53</v>
      </c>
      <c r="N7838" t="s">
        <v>14638</v>
      </c>
      <c r="P7838" t="s">
        <v>55</v>
      </c>
      <c r="R7838" t="s">
        <v>53</v>
      </c>
      <c r="T7838" t="s">
        <v>14639</v>
      </c>
      <c r="U7838" t="s">
        <v>55</v>
      </c>
      <c r="V7838">
        <v>2</v>
      </c>
      <c r="W7838">
        <v>1</v>
      </c>
      <c r="X7838">
        <v>2</v>
      </c>
      <c r="Y7838">
        <v>0</v>
      </c>
      <c r="Z7838">
        <v>2</v>
      </c>
      <c r="AA7838">
        <v>358.99</v>
      </c>
      <c r="AB7838">
        <v>358.99</v>
      </c>
      <c r="AC7838">
        <v>330.11</v>
      </c>
      <c r="AD7838">
        <v>0</v>
      </c>
      <c r="AE7838">
        <v>28.88</v>
      </c>
      <c r="AF7838">
        <v>0</v>
      </c>
      <c r="AG7838">
        <v>0</v>
      </c>
      <c r="AH7838">
        <v>0</v>
      </c>
      <c r="AI7838">
        <v>64.62</v>
      </c>
      <c r="AJ7838">
        <v>358.99</v>
      </c>
      <c r="AK7838">
        <v>0</v>
      </c>
      <c r="AL7838" t="s">
        <v>53</v>
      </c>
      <c r="AM7838" t="s">
        <v>53</v>
      </c>
      <c r="AN7838" t="s">
        <v>14640</v>
      </c>
      <c r="AO7838" t="s">
        <v>53</v>
      </c>
      <c r="AP7838" t="s">
        <v>53</v>
      </c>
    </row>
    <row r="7839" spans="2:42" x14ac:dyDescent="0.2">
      <c r="B7839" t="s">
        <v>44</v>
      </c>
      <c r="C7839" t="str">
        <f>HYPERLINK("https://us2.cloudbeds.com/connect/8493803454333002#/reservations/9080486847975741?display=4BV9Z9461T&amp;reservation_id=9080486847975741", "4BV9Z9461T")</f>
        <v>4BV9Z9461T</v>
      </c>
      <c r="D7839" t="s">
        <v>45</v>
      </c>
      <c r="E7839" t="s">
        <v>373</v>
      </c>
      <c r="F7839" t="s">
        <v>47</v>
      </c>
      <c r="G7839" t="s">
        <v>48</v>
      </c>
      <c r="H7839" t="s">
        <v>49</v>
      </c>
      <c r="I7839" t="s">
        <v>62</v>
      </c>
      <c r="J7839" t="s">
        <v>9711</v>
      </c>
      <c r="K7839" t="s">
        <v>12566</v>
      </c>
      <c r="L7839" t="s">
        <v>53</v>
      </c>
      <c r="N7839" t="s">
        <v>14641</v>
      </c>
      <c r="P7839" t="s">
        <v>55</v>
      </c>
      <c r="R7839" t="s">
        <v>56</v>
      </c>
      <c r="T7839" t="s">
        <v>14642</v>
      </c>
      <c r="U7839" t="s">
        <v>55</v>
      </c>
      <c r="V7839">
        <v>5</v>
      </c>
      <c r="W7839">
        <v>1</v>
      </c>
      <c r="X7839">
        <v>2</v>
      </c>
      <c r="Y7839">
        <v>0</v>
      </c>
      <c r="Z7839">
        <v>2</v>
      </c>
      <c r="AA7839">
        <v>322.12</v>
      </c>
      <c r="AB7839">
        <v>322.12</v>
      </c>
      <c r="AC7839">
        <v>322.12</v>
      </c>
      <c r="AD7839">
        <v>0</v>
      </c>
      <c r="AE7839">
        <v>0</v>
      </c>
      <c r="AF7839">
        <v>0</v>
      </c>
      <c r="AG7839">
        <v>0</v>
      </c>
      <c r="AH7839">
        <v>0</v>
      </c>
      <c r="AI7839">
        <v>57.98</v>
      </c>
      <c r="AJ7839">
        <v>322.12</v>
      </c>
      <c r="AK7839">
        <v>0</v>
      </c>
      <c r="AL7839" t="s">
        <v>53</v>
      </c>
      <c r="AM7839" t="s">
        <v>53</v>
      </c>
      <c r="AN7839" t="s">
        <v>53</v>
      </c>
      <c r="AO7839" t="s">
        <v>53</v>
      </c>
      <c r="AP7839" t="s">
        <v>53</v>
      </c>
    </row>
    <row r="7840" spans="2:42" x14ac:dyDescent="0.2">
      <c r="B7840" t="s">
        <v>44</v>
      </c>
      <c r="C7840" t="str">
        <f>HYPERLINK("https://us2.cloudbeds.com/connect/8493803454333002#/reservations/9080486847975937?display=4BVG7CZFJY&amp;reservation_id=9080486847975937", "4BVG7CZFJY")</f>
        <v>4BVG7CZFJY</v>
      </c>
      <c r="D7840" t="s">
        <v>45</v>
      </c>
      <c r="E7840" t="s">
        <v>128</v>
      </c>
      <c r="F7840" t="s">
        <v>86</v>
      </c>
      <c r="G7840" t="s">
        <v>48</v>
      </c>
      <c r="H7840" t="s">
        <v>49</v>
      </c>
      <c r="I7840" t="s">
        <v>62</v>
      </c>
      <c r="J7840" t="s">
        <v>13538</v>
      </c>
      <c r="K7840" t="s">
        <v>9579</v>
      </c>
      <c r="L7840" t="s">
        <v>53</v>
      </c>
      <c r="N7840" t="s">
        <v>14643</v>
      </c>
      <c r="P7840" t="s">
        <v>55</v>
      </c>
      <c r="R7840" t="s">
        <v>56</v>
      </c>
      <c r="T7840" t="s">
        <v>14644</v>
      </c>
      <c r="U7840" t="s">
        <v>55</v>
      </c>
      <c r="V7840">
        <v>1</v>
      </c>
      <c r="W7840">
        <v>1</v>
      </c>
      <c r="X7840">
        <v>2</v>
      </c>
      <c r="Y7840">
        <v>1</v>
      </c>
      <c r="Z7840">
        <v>3</v>
      </c>
      <c r="AA7840">
        <v>159.76</v>
      </c>
      <c r="AB7840">
        <v>159.76</v>
      </c>
      <c r="AC7840">
        <v>159.76</v>
      </c>
      <c r="AD7840">
        <v>0</v>
      </c>
      <c r="AE7840">
        <v>0</v>
      </c>
      <c r="AF7840">
        <v>0</v>
      </c>
      <c r="AG7840">
        <v>0</v>
      </c>
      <c r="AH7840">
        <v>0</v>
      </c>
      <c r="AI7840">
        <v>28.76</v>
      </c>
      <c r="AJ7840">
        <v>159.76</v>
      </c>
      <c r="AK7840">
        <v>0</v>
      </c>
      <c r="AL7840" t="s">
        <v>53</v>
      </c>
      <c r="AM7840" t="s">
        <v>53</v>
      </c>
      <c r="AN7840" t="s">
        <v>53</v>
      </c>
      <c r="AO7840" t="s">
        <v>53</v>
      </c>
      <c r="AP7840" t="s">
        <v>53</v>
      </c>
    </row>
    <row r="7841" spans="2:42" x14ac:dyDescent="0.2">
      <c r="B7841" t="s">
        <v>44</v>
      </c>
      <c r="C7841" t="str">
        <f>HYPERLINK("https://us2.cloudbeds.com/connect/8493803454333002#/reservations/9080486847976278?display=4BVPHTRFR6&amp;reservation_id=9080486847976278", "4BVPHTRFR6")</f>
        <v>4BVPHTRFR6</v>
      </c>
      <c r="D7841" t="s">
        <v>45</v>
      </c>
      <c r="E7841" t="s">
        <v>165</v>
      </c>
      <c r="F7841" t="s">
        <v>61</v>
      </c>
      <c r="G7841" t="s">
        <v>48</v>
      </c>
      <c r="H7841" t="s">
        <v>49</v>
      </c>
      <c r="I7841" t="s">
        <v>62</v>
      </c>
      <c r="J7841" t="s">
        <v>9711</v>
      </c>
      <c r="K7841" t="s">
        <v>14578</v>
      </c>
      <c r="L7841" t="s">
        <v>53</v>
      </c>
      <c r="N7841" t="s">
        <v>14645</v>
      </c>
      <c r="P7841" t="s">
        <v>55</v>
      </c>
      <c r="R7841" t="s">
        <v>56</v>
      </c>
      <c r="T7841" t="s">
        <v>14646</v>
      </c>
      <c r="U7841" t="s">
        <v>55</v>
      </c>
      <c r="V7841">
        <v>1</v>
      </c>
      <c r="W7841">
        <v>1</v>
      </c>
      <c r="X7841">
        <v>2</v>
      </c>
      <c r="Y7841">
        <v>0</v>
      </c>
      <c r="Z7841">
        <v>2</v>
      </c>
      <c r="AA7841">
        <v>74.97</v>
      </c>
      <c r="AB7841">
        <v>74.97</v>
      </c>
      <c r="AC7841">
        <v>74.97</v>
      </c>
      <c r="AD7841">
        <v>0</v>
      </c>
      <c r="AE7841">
        <v>0</v>
      </c>
      <c r="AF7841">
        <v>0</v>
      </c>
      <c r="AG7841">
        <v>0</v>
      </c>
      <c r="AH7841">
        <v>0</v>
      </c>
      <c r="AI7841">
        <v>13.49</v>
      </c>
      <c r="AJ7841">
        <v>74.97</v>
      </c>
      <c r="AK7841">
        <v>0</v>
      </c>
      <c r="AL7841" t="s">
        <v>53</v>
      </c>
      <c r="AM7841" t="s">
        <v>53</v>
      </c>
      <c r="AN7841" t="s">
        <v>14647</v>
      </c>
      <c r="AO7841" t="s">
        <v>53</v>
      </c>
      <c r="AP7841" t="s">
        <v>53</v>
      </c>
    </row>
    <row r="7842" spans="2:42" x14ac:dyDescent="0.2">
      <c r="B7842" t="s">
        <v>44</v>
      </c>
      <c r="C7842" t="str">
        <f>HYPERLINK("https://us2.cloudbeds.com/connect/8493803454333002#/reservations/9080486847976446?display=4BVUFQEB3F&amp;reservation_id=9080486847976446", "4BVUFQEB3F")</f>
        <v>4BVUFQEB3F</v>
      </c>
      <c r="D7842" t="s">
        <v>45</v>
      </c>
      <c r="E7842" t="s">
        <v>46</v>
      </c>
      <c r="F7842" t="s">
        <v>47</v>
      </c>
      <c r="G7842" t="s">
        <v>48</v>
      </c>
      <c r="H7842" t="s">
        <v>49</v>
      </c>
      <c r="I7842" t="s">
        <v>62</v>
      </c>
      <c r="J7842" t="s">
        <v>14578</v>
      </c>
      <c r="K7842" t="s">
        <v>12565</v>
      </c>
      <c r="L7842" t="s">
        <v>53</v>
      </c>
      <c r="N7842" t="s">
        <v>14648</v>
      </c>
      <c r="P7842" t="s">
        <v>55</v>
      </c>
      <c r="R7842" t="s">
        <v>56</v>
      </c>
      <c r="T7842" t="s">
        <v>14649</v>
      </c>
      <c r="U7842" t="s">
        <v>55</v>
      </c>
      <c r="V7842">
        <v>1</v>
      </c>
      <c r="W7842">
        <v>1</v>
      </c>
      <c r="X7842">
        <v>2</v>
      </c>
      <c r="Y7842">
        <v>0</v>
      </c>
      <c r="Z7842">
        <v>2</v>
      </c>
      <c r="AA7842">
        <v>63.46</v>
      </c>
      <c r="AB7842">
        <v>63.46</v>
      </c>
      <c r="AC7842">
        <v>63.46</v>
      </c>
      <c r="AD7842">
        <v>0</v>
      </c>
      <c r="AE7842">
        <v>0</v>
      </c>
      <c r="AF7842">
        <v>0</v>
      </c>
      <c r="AG7842">
        <v>0</v>
      </c>
      <c r="AH7842">
        <v>0</v>
      </c>
      <c r="AI7842">
        <v>11.42</v>
      </c>
      <c r="AJ7842">
        <v>63.46</v>
      </c>
      <c r="AK7842">
        <v>0</v>
      </c>
      <c r="AL7842" t="s">
        <v>53</v>
      </c>
      <c r="AM7842" t="s">
        <v>53</v>
      </c>
      <c r="AN7842" t="s">
        <v>53</v>
      </c>
      <c r="AO7842" t="s">
        <v>53</v>
      </c>
      <c r="AP7842" t="s">
        <v>53</v>
      </c>
    </row>
    <row r="7843" spans="2:42" x14ac:dyDescent="0.2">
      <c r="B7843" t="s">
        <v>44</v>
      </c>
      <c r="C7843" t="str">
        <f>HYPERLINK("https://us2.cloudbeds.com/connect/8493803454333002#/reservations/9080486847982972?display=4C4JVFKD19&amp;reservation_id=9080486847982972", "4C4JVFKD19")</f>
        <v>4C4JVFKD19</v>
      </c>
      <c r="D7843" t="s">
        <v>45</v>
      </c>
      <c r="E7843" t="s">
        <v>113</v>
      </c>
      <c r="F7843" t="s">
        <v>61</v>
      </c>
      <c r="G7843" t="s">
        <v>48</v>
      </c>
      <c r="H7843" t="s">
        <v>49</v>
      </c>
      <c r="I7843" t="s">
        <v>62</v>
      </c>
      <c r="J7843" t="s">
        <v>14578</v>
      </c>
      <c r="K7843" t="s">
        <v>12565</v>
      </c>
      <c r="L7843" t="s">
        <v>53</v>
      </c>
      <c r="N7843" t="s">
        <v>14650</v>
      </c>
      <c r="P7843" t="s">
        <v>55</v>
      </c>
      <c r="R7843" t="s">
        <v>56</v>
      </c>
      <c r="T7843" t="s">
        <v>14651</v>
      </c>
      <c r="U7843" t="s">
        <v>55</v>
      </c>
      <c r="V7843">
        <v>1</v>
      </c>
      <c r="W7843">
        <v>1</v>
      </c>
      <c r="X7843">
        <v>1</v>
      </c>
      <c r="Y7843">
        <v>0</v>
      </c>
      <c r="Z7843">
        <v>1</v>
      </c>
      <c r="AA7843">
        <v>67.47</v>
      </c>
      <c r="AB7843">
        <v>67.47</v>
      </c>
      <c r="AC7843">
        <v>67.47</v>
      </c>
      <c r="AD7843">
        <v>0</v>
      </c>
      <c r="AE7843">
        <v>0</v>
      </c>
      <c r="AF7843">
        <v>0</v>
      </c>
      <c r="AG7843">
        <v>0</v>
      </c>
      <c r="AH7843">
        <v>0</v>
      </c>
      <c r="AI7843">
        <v>12.14</v>
      </c>
      <c r="AJ7843">
        <v>67.47</v>
      </c>
      <c r="AK7843">
        <v>0</v>
      </c>
      <c r="AL7843" t="s">
        <v>53</v>
      </c>
      <c r="AM7843" t="s">
        <v>53</v>
      </c>
      <c r="AN7843" t="s">
        <v>14652</v>
      </c>
      <c r="AO7843" t="s">
        <v>53</v>
      </c>
      <c r="AP7843" t="s">
        <v>53</v>
      </c>
    </row>
    <row r="7844" spans="2:42" x14ac:dyDescent="0.2">
      <c r="B7844" t="s">
        <v>44</v>
      </c>
      <c r="C7844" t="str">
        <f>HYPERLINK("https://us2.cloudbeds.com/connect/8493803454333002#/reservations/9080486847984348?display=4C5EUFC39Z&amp;reservation_id=9080486847984348", "4C5EUFC39Z")</f>
        <v>4C5EUFC39Z</v>
      </c>
      <c r="D7844" t="s">
        <v>45</v>
      </c>
      <c r="E7844" t="s">
        <v>138</v>
      </c>
      <c r="F7844" t="s">
        <v>70</v>
      </c>
      <c r="G7844" t="s">
        <v>48</v>
      </c>
      <c r="H7844" t="s">
        <v>49</v>
      </c>
      <c r="I7844" t="s">
        <v>8964</v>
      </c>
      <c r="J7844" t="s">
        <v>9579</v>
      </c>
      <c r="K7844" t="s">
        <v>14354</v>
      </c>
      <c r="L7844" t="s">
        <v>53</v>
      </c>
      <c r="N7844" t="s">
        <v>14653</v>
      </c>
      <c r="P7844" t="s">
        <v>55</v>
      </c>
      <c r="R7844" t="s">
        <v>53</v>
      </c>
      <c r="T7844" t="s">
        <v>14654</v>
      </c>
      <c r="U7844" t="s">
        <v>55</v>
      </c>
      <c r="V7844">
        <v>1</v>
      </c>
      <c r="W7844">
        <v>1</v>
      </c>
      <c r="X7844">
        <v>2</v>
      </c>
      <c r="Y7844">
        <v>0</v>
      </c>
      <c r="Z7844">
        <v>2</v>
      </c>
      <c r="AA7844">
        <v>0</v>
      </c>
      <c r="AB7844">
        <v>0</v>
      </c>
      <c r="AC7844">
        <v>88</v>
      </c>
      <c r="AD7844">
        <v>0</v>
      </c>
      <c r="AE7844">
        <v>0</v>
      </c>
      <c r="AF7844">
        <v>0</v>
      </c>
      <c r="AG7844">
        <v>0</v>
      </c>
      <c r="AH7844">
        <v>0</v>
      </c>
      <c r="AI7844">
        <v>13.2</v>
      </c>
      <c r="AJ7844">
        <v>88</v>
      </c>
      <c r="AK7844">
        <v>88</v>
      </c>
      <c r="AL7844" t="s">
        <v>53</v>
      </c>
      <c r="AM7844" t="s">
        <v>53</v>
      </c>
      <c r="AN7844" t="s">
        <v>53</v>
      </c>
      <c r="AO7844" t="s">
        <v>53</v>
      </c>
      <c r="AP7844" t="s">
        <v>53</v>
      </c>
    </row>
    <row r="7845" spans="2:42" x14ac:dyDescent="0.2">
      <c r="B7845" t="s">
        <v>44</v>
      </c>
      <c r="C7845" t="str">
        <f>HYPERLINK("https://us2.cloudbeds.com/connect/8493803454333002#/reservations/9080486847985707?display=4C6EGYN95J&amp;reservation_id=9080486847985707", "4C6EGYN95J")</f>
        <v>4C6EGYN95J</v>
      </c>
      <c r="D7845" t="s">
        <v>45</v>
      </c>
      <c r="E7845" t="s">
        <v>138</v>
      </c>
      <c r="F7845" t="s">
        <v>70</v>
      </c>
      <c r="G7845" t="s">
        <v>48</v>
      </c>
      <c r="H7845" t="s">
        <v>49</v>
      </c>
      <c r="I7845" t="s">
        <v>62</v>
      </c>
      <c r="J7845" t="s">
        <v>14655</v>
      </c>
      <c r="K7845" t="s">
        <v>14656</v>
      </c>
      <c r="L7845" t="s">
        <v>53</v>
      </c>
      <c r="N7845" t="s">
        <v>14657</v>
      </c>
      <c r="P7845" t="s">
        <v>55</v>
      </c>
      <c r="R7845" t="s">
        <v>56</v>
      </c>
      <c r="T7845" t="s">
        <v>14658</v>
      </c>
      <c r="U7845" t="s">
        <v>55</v>
      </c>
      <c r="V7845">
        <v>1</v>
      </c>
      <c r="W7845">
        <v>1</v>
      </c>
      <c r="X7845">
        <v>2</v>
      </c>
      <c r="Y7845">
        <v>0</v>
      </c>
      <c r="Z7845">
        <v>2</v>
      </c>
      <c r="AA7845">
        <v>157.6</v>
      </c>
      <c r="AB7845">
        <v>157.6</v>
      </c>
      <c r="AC7845">
        <v>157.6</v>
      </c>
      <c r="AD7845">
        <v>0</v>
      </c>
      <c r="AE7845">
        <v>0</v>
      </c>
      <c r="AF7845">
        <v>0</v>
      </c>
      <c r="AG7845">
        <v>0</v>
      </c>
      <c r="AH7845">
        <v>0</v>
      </c>
      <c r="AI7845">
        <v>28.37</v>
      </c>
      <c r="AJ7845">
        <v>157.6</v>
      </c>
      <c r="AK7845">
        <v>0</v>
      </c>
      <c r="AL7845" t="s">
        <v>53</v>
      </c>
      <c r="AM7845" t="s">
        <v>53</v>
      </c>
      <c r="AN7845" t="s">
        <v>53</v>
      </c>
      <c r="AO7845" t="s">
        <v>53</v>
      </c>
      <c r="AP7845" t="s">
        <v>53</v>
      </c>
    </row>
    <row r="7846" spans="2:42" x14ac:dyDescent="0.2">
      <c r="B7846" t="s">
        <v>44</v>
      </c>
      <c r="C7846" t="str">
        <f>HYPERLINK("https://us2.cloudbeds.com/connect/8493803454333002#/reservations/202811973779584?display=4C6PT0BUFT&amp;reservation_id=202811973779584", "4C6PT0BUFT")</f>
        <v>4C6PT0BUFT</v>
      </c>
      <c r="D7846" t="s">
        <v>45</v>
      </c>
      <c r="E7846" t="s">
        <v>190</v>
      </c>
      <c r="F7846" t="s">
        <v>61</v>
      </c>
      <c r="G7846" t="s">
        <v>48</v>
      </c>
      <c r="H7846" t="s">
        <v>3957</v>
      </c>
      <c r="I7846" t="s">
        <v>3958</v>
      </c>
      <c r="J7846" t="s">
        <v>14578</v>
      </c>
      <c r="K7846" t="s">
        <v>12565</v>
      </c>
      <c r="L7846" t="s">
        <v>53</v>
      </c>
      <c r="P7846" t="s">
        <v>55</v>
      </c>
      <c r="R7846" t="s">
        <v>56</v>
      </c>
      <c r="T7846" t="s">
        <v>14659</v>
      </c>
      <c r="U7846" t="s">
        <v>58</v>
      </c>
      <c r="V7846">
        <v>1</v>
      </c>
      <c r="W7846">
        <v>1</v>
      </c>
      <c r="X7846">
        <v>1</v>
      </c>
      <c r="Y7846">
        <v>0</v>
      </c>
      <c r="Z7846">
        <v>1</v>
      </c>
      <c r="AA7846">
        <v>95.47</v>
      </c>
      <c r="AB7846">
        <v>98.18</v>
      </c>
      <c r="AC7846">
        <v>84</v>
      </c>
      <c r="AD7846">
        <v>2.5</v>
      </c>
      <c r="AE7846">
        <v>11.68</v>
      </c>
      <c r="AF7846">
        <v>0</v>
      </c>
      <c r="AG7846">
        <v>0</v>
      </c>
      <c r="AH7846">
        <v>0</v>
      </c>
      <c r="AI7846">
        <v>0</v>
      </c>
      <c r="AJ7846">
        <v>98.18</v>
      </c>
      <c r="AK7846">
        <v>0</v>
      </c>
      <c r="AL7846" t="s">
        <v>53</v>
      </c>
      <c r="AM7846" t="s">
        <v>53</v>
      </c>
      <c r="AN7846" t="s">
        <v>53</v>
      </c>
      <c r="AO7846" t="s">
        <v>53</v>
      </c>
      <c r="AP7846" t="s">
        <v>53</v>
      </c>
    </row>
    <row r="7847" spans="2:42" x14ac:dyDescent="0.2">
      <c r="B7847" t="s">
        <v>44</v>
      </c>
      <c r="C7847" t="str">
        <f>HYPERLINK("https://us2.cloudbeds.com/connect/8493803454333002#/reservations/9080486847986318?display=4C6W8VC5VJ&amp;reservation_id=9080486847986318", "4C6W8VC5VJ")</f>
        <v>4C6W8VC5VJ</v>
      </c>
      <c r="D7847" t="s">
        <v>45</v>
      </c>
      <c r="E7847" t="s">
        <v>105</v>
      </c>
      <c r="F7847" t="s">
        <v>47</v>
      </c>
      <c r="G7847" t="s">
        <v>48</v>
      </c>
      <c r="H7847" t="s">
        <v>49</v>
      </c>
      <c r="I7847" t="s">
        <v>50</v>
      </c>
      <c r="J7847" t="s">
        <v>14578</v>
      </c>
      <c r="K7847" t="s">
        <v>12565</v>
      </c>
      <c r="L7847" t="s">
        <v>53</v>
      </c>
      <c r="N7847" t="s">
        <v>14660</v>
      </c>
      <c r="P7847" t="s">
        <v>55</v>
      </c>
      <c r="R7847" t="s">
        <v>53</v>
      </c>
      <c r="T7847" t="s">
        <v>14661</v>
      </c>
      <c r="U7847" t="s">
        <v>55</v>
      </c>
      <c r="V7847">
        <v>1</v>
      </c>
      <c r="W7847">
        <v>1</v>
      </c>
      <c r="X7847">
        <v>1</v>
      </c>
      <c r="Y7847">
        <v>0</v>
      </c>
      <c r="Z7847">
        <v>1</v>
      </c>
      <c r="AA7847">
        <v>58.15</v>
      </c>
      <c r="AB7847">
        <v>63.24</v>
      </c>
      <c r="AC7847">
        <v>58.15</v>
      </c>
      <c r="AD7847">
        <v>0</v>
      </c>
      <c r="AE7847">
        <v>5.09</v>
      </c>
      <c r="AF7847">
        <v>0</v>
      </c>
      <c r="AG7847">
        <v>0</v>
      </c>
      <c r="AH7847">
        <v>0</v>
      </c>
      <c r="AI7847">
        <v>11.38</v>
      </c>
      <c r="AJ7847">
        <v>63.24</v>
      </c>
      <c r="AK7847">
        <v>0</v>
      </c>
      <c r="AL7847" t="s">
        <v>53</v>
      </c>
      <c r="AM7847" t="s">
        <v>53</v>
      </c>
      <c r="AN7847" t="s">
        <v>53</v>
      </c>
      <c r="AO7847" t="s">
        <v>53</v>
      </c>
      <c r="AP7847" t="s">
        <v>53</v>
      </c>
    </row>
    <row r="7848" spans="2:42" x14ac:dyDescent="0.2">
      <c r="B7848" t="s">
        <v>44</v>
      </c>
      <c r="C7848" t="str">
        <f>HYPERLINK("https://us2.cloudbeds.com/connect/8493803454333002#/reservations/9080486847986691?display=4C79P9WWY9&amp;reservation_id=9080486847986691", "4C79P9WWY9")</f>
        <v>4C79P9WWY9</v>
      </c>
      <c r="D7848" t="s">
        <v>45</v>
      </c>
      <c r="E7848" t="s">
        <v>78</v>
      </c>
      <c r="F7848" t="s">
        <v>61</v>
      </c>
      <c r="G7848" t="s">
        <v>48</v>
      </c>
      <c r="H7848" t="s">
        <v>49</v>
      </c>
      <c r="I7848" t="s">
        <v>8964</v>
      </c>
      <c r="J7848" t="s">
        <v>14578</v>
      </c>
      <c r="K7848" t="s">
        <v>12565</v>
      </c>
      <c r="L7848" t="s">
        <v>53</v>
      </c>
      <c r="N7848" t="s">
        <v>14662</v>
      </c>
      <c r="P7848" t="s">
        <v>55</v>
      </c>
      <c r="R7848" t="s">
        <v>53</v>
      </c>
      <c r="T7848" t="s">
        <v>14663</v>
      </c>
      <c r="U7848" t="s">
        <v>55</v>
      </c>
      <c r="V7848">
        <v>1</v>
      </c>
      <c r="W7848">
        <v>1</v>
      </c>
      <c r="X7848">
        <v>1</v>
      </c>
      <c r="Y7848">
        <v>0</v>
      </c>
      <c r="Z7848">
        <v>1</v>
      </c>
      <c r="AA7848">
        <v>0</v>
      </c>
      <c r="AB7848">
        <v>0</v>
      </c>
      <c r="AC7848">
        <v>90</v>
      </c>
      <c r="AD7848">
        <v>0</v>
      </c>
      <c r="AE7848">
        <v>0</v>
      </c>
      <c r="AF7848">
        <v>0</v>
      </c>
      <c r="AG7848">
        <v>0</v>
      </c>
      <c r="AH7848">
        <v>0</v>
      </c>
      <c r="AI7848">
        <v>13.5</v>
      </c>
      <c r="AJ7848">
        <v>90</v>
      </c>
      <c r="AK7848">
        <v>90</v>
      </c>
      <c r="AL7848" t="s">
        <v>53</v>
      </c>
      <c r="AM7848" t="s">
        <v>53</v>
      </c>
      <c r="AN7848" t="s">
        <v>53</v>
      </c>
      <c r="AO7848" t="s">
        <v>53</v>
      </c>
      <c r="AP7848" t="s">
        <v>53</v>
      </c>
    </row>
    <row r="7849" spans="2:42" x14ac:dyDescent="0.2">
      <c r="B7849" t="s">
        <v>44</v>
      </c>
      <c r="C7849" t="str">
        <f>HYPERLINK("https://us2.cloudbeds.com/connect/8493803454333002#/reservations/9080486847987812?display=4C888JBNHK&amp;reservation_id=9080486847987812", "4C888JBNHK")</f>
        <v>4C888JBNHK</v>
      </c>
      <c r="D7849" t="s">
        <v>45</v>
      </c>
      <c r="E7849" t="s">
        <v>110</v>
      </c>
      <c r="F7849" t="s">
        <v>47</v>
      </c>
      <c r="G7849" t="s">
        <v>48</v>
      </c>
      <c r="H7849" t="s">
        <v>49</v>
      </c>
      <c r="I7849" t="s">
        <v>50</v>
      </c>
      <c r="J7849" t="s">
        <v>12566</v>
      </c>
      <c r="K7849" t="s">
        <v>14312</v>
      </c>
      <c r="L7849" t="s">
        <v>53</v>
      </c>
      <c r="N7849" t="s">
        <v>14664</v>
      </c>
      <c r="P7849" t="s">
        <v>55</v>
      </c>
      <c r="R7849" t="s">
        <v>53</v>
      </c>
      <c r="T7849" t="s">
        <v>14665</v>
      </c>
      <c r="U7849" t="s">
        <v>55</v>
      </c>
      <c r="V7849">
        <v>2</v>
      </c>
      <c r="W7849">
        <v>1</v>
      </c>
      <c r="X7849">
        <v>2</v>
      </c>
      <c r="Y7849">
        <v>0</v>
      </c>
      <c r="Z7849">
        <v>2</v>
      </c>
      <c r="AA7849">
        <v>143.28</v>
      </c>
      <c r="AB7849">
        <v>143.28</v>
      </c>
      <c r="AC7849">
        <v>131.74</v>
      </c>
      <c r="AD7849">
        <v>0</v>
      </c>
      <c r="AE7849">
        <v>11.54</v>
      </c>
      <c r="AF7849">
        <v>0</v>
      </c>
      <c r="AG7849">
        <v>0</v>
      </c>
      <c r="AH7849">
        <v>0</v>
      </c>
      <c r="AI7849">
        <v>25.79</v>
      </c>
      <c r="AJ7849">
        <v>143.28</v>
      </c>
      <c r="AK7849">
        <v>0</v>
      </c>
      <c r="AL7849" t="s">
        <v>53</v>
      </c>
      <c r="AM7849" t="s">
        <v>53</v>
      </c>
      <c r="AN7849" t="s">
        <v>53</v>
      </c>
      <c r="AO7849" t="s">
        <v>53</v>
      </c>
      <c r="AP7849" t="s">
        <v>53</v>
      </c>
    </row>
    <row r="7850" spans="2:42" x14ac:dyDescent="0.2">
      <c r="B7850" t="s">
        <v>44</v>
      </c>
      <c r="C7850" t="str">
        <f>HYPERLINK("https://us2.cloudbeds.com/connect/8493803454333002#/reservations/203039434313920?display=4CC4052Q3S&amp;reservation_id=203039434313920", "4CC4052Q3S")</f>
        <v>4CC4052Q3S</v>
      </c>
      <c r="D7850" t="s">
        <v>45</v>
      </c>
      <c r="E7850" t="s">
        <v>165</v>
      </c>
      <c r="F7850" t="s">
        <v>61</v>
      </c>
      <c r="G7850" t="s">
        <v>48</v>
      </c>
      <c r="H7850" t="s">
        <v>3957</v>
      </c>
      <c r="I7850" t="s">
        <v>3975</v>
      </c>
      <c r="J7850" t="s">
        <v>12566</v>
      </c>
      <c r="K7850" t="s">
        <v>14312</v>
      </c>
      <c r="L7850" t="s">
        <v>53</v>
      </c>
      <c r="P7850" t="s">
        <v>55</v>
      </c>
      <c r="R7850" t="s">
        <v>56</v>
      </c>
      <c r="T7850" t="s">
        <v>14666</v>
      </c>
      <c r="U7850" t="s">
        <v>58</v>
      </c>
      <c r="V7850">
        <v>2</v>
      </c>
      <c r="W7850">
        <v>1</v>
      </c>
      <c r="X7850">
        <v>2</v>
      </c>
      <c r="Y7850">
        <v>0</v>
      </c>
      <c r="Z7850">
        <v>2</v>
      </c>
      <c r="AA7850">
        <v>0</v>
      </c>
      <c r="AB7850">
        <v>217.86</v>
      </c>
      <c r="AC7850">
        <v>190</v>
      </c>
      <c r="AD7850">
        <v>0</v>
      </c>
      <c r="AE7850">
        <v>27.86</v>
      </c>
      <c r="AF7850">
        <v>0</v>
      </c>
      <c r="AG7850">
        <v>0</v>
      </c>
      <c r="AH7850">
        <v>0</v>
      </c>
      <c r="AI7850">
        <v>0</v>
      </c>
      <c r="AJ7850">
        <v>217.86</v>
      </c>
      <c r="AK7850">
        <v>0</v>
      </c>
      <c r="AL7850" t="s">
        <v>53</v>
      </c>
      <c r="AM7850" t="s">
        <v>53</v>
      </c>
      <c r="AN7850" t="s">
        <v>14667</v>
      </c>
      <c r="AO7850" t="s">
        <v>53</v>
      </c>
      <c r="AP7850" t="s">
        <v>53</v>
      </c>
    </row>
    <row r="7851" spans="2:42" x14ac:dyDescent="0.2">
      <c r="B7851" t="s">
        <v>44</v>
      </c>
      <c r="C7851" t="str">
        <f>HYPERLINK("https://us2.cloudbeds.com/connect/8493803454333002#/reservations/9080486847991749?display=4CC423KB9J&amp;reservation_id=9080486847991749", "4CC423KB9J")</f>
        <v>4CC423KB9J</v>
      </c>
      <c r="D7851" t="s">
        <v>45</v>
      </c>
      <c r="E7851" t="s">
        <v>113</v>
      </c>
      <c r="F7851" t="s">
        <v>61</v>
      </c>
      <c r="G7851" t="s">
        <v>48</v>
      </c>
      <c r="H7851" t="s">
        <v>49</v>
      </c>
      <c r="I7851" t="s">
        <v>50</v>
      </c>
      <c r="J7851" t="s">
        <v>14668</v>
      </c>
      <c r="K7851" t="s">
        <v>14669</v>
      </c>
      <c r="L7851" t="s">
        <v>53</v>
      </c>
      <c r="N7851" t="s">
        <v>14670</v>
      </c>
      <c r="P7851" t="s">
        <v>55</v>
      </c>
      <c r="R7851" t="s">
        <v>53</v>
      </c>
      <c r="T7851" t="s">
        <v>14671</v>
      </c>
      <c r="U7851" t="s">
        <v>55</v>
      </c>
      <c r="V7851">
        <v>2</v>
      </c>
      <c r="W7851">
        <v>1</v>
      </c>
      <c r="X7851">
        <v>2</v>
      </c>
      <c r="Y7851">
        <v>0</v>
      </c>
      <c r="Z7851">
        <v>2</v>
      </c>
      <c r="AA7851">
        <v>500.95</v>
      </c>
      <c r="AB7851">
        <v>500.95</v>
      </c>
      <c r="AC7851">
        <v>460.64</v>
      </c>
      <c r="AD7851">
        <v>0</v>
      </c>
      <c r="AE7851">
        <v>40.31</v>
      </c>
      <c r="AF7851">
        <v>0</v>
      </c>
      <c r="AG7851">
        <v>0</v>
      </c>
      <c r="AH7851">
        <v>0</v>
      </c>
      <c r="AI7851">
        <v>90.17</v>
      </c>
      <c r="AJ7851">
        <v>500.95</v>
      </c>
      <c r="AK7851">
        <v>0</v>
      </c>
      <c r="AL7851" t="s">
        <v>53</v>
      </c>
      <c r="AM7851" t="s">
        <v>53</v>
      </c>
      <c r="AN7851" t="s">
        <v>14672</v>
      </c>
      <c r="AO7851" t="s">
        <v>53</v>
      </c>
      <c r="AP7851" t="s">
        <v>53</v>
      </c>
    </row>
    <row r="7852" spans="2:42" x14ac:dyDescent="0.2">
      <c r="B7852" t="s">
        <v>44</v>
      </c>
      <c r="C7852" t="str">
        <f>HYPERLINK("https://us2.cloudbeds.com/connect/8493803454333002#/reservations/203055359074496?display=4CCGB2890M&amp;reservation_id=203055359074496", "4CCGB2890M")</f>
        <v>4CCGB2890M</v>
      </c>
      <c r="D7852" t="s">
        <v>45</v>
      </c>
      <c r="E7852" t="s">
        <v>113</v>
      </c>
      <c r="F7852" t="s">
        <v>61</v>
      </c>
      <c r="G7852" t="s">
        <v>48</v>
      </c>
      <c r="H7852" t="s">
        <v>3957</v>
      </c>
      <c r="I7852" t="s">
        <v>3975</v>
      </c>
      <c r="J7852" t="s">
        <v>14312</v>
      </c>
      <c r="K7852" t="s">
        <v>13531</v>
      </c>
      <c r="L7852" t="s">
        <v>53</v>
      </c>
      <c r="P7852" t="s">
        <v>55</v>
      </c>
      <c r="R7852" t="s">
        <v>56</v>
      </c>
      <c r="T7852" t="s">
        <v>14673</v>
      </c>
      <c r="U7852" t="s">
        <v>58</v>
      </c>
      <c r="V7852">
        <v>3</v>
      </c>
      <c r="W7852">
        <v>1</v>
      </c>
      <c r="X7852">
        <v>2</v>
      </c>
      <c r="Y7852">
        <v>0</v>
      </c>
      <c r="Z7852">
        <v>2</v>
      </c>
      <c r="AA7852">
        <v>0</v>
      </c>
      <c r="AB7852">
        <v>306.13</v>
      </c>
      <c r="AC7852">
        <v>267</v>
      </c>
      <c r="AD7852">
        <v>0</v>
      </c>
      <c r="AE7852">
        <v>39.130000000000003</v>
      </c>
      <c r="AF7852">
        <v>0</v>
      </c>
      <c r="AG7852">
        <v>0</v>
      </c>
      <c r="AH7852">
        <v>0</v>
      </c>
      <c r="AI7852">
        <v>0</v>
      </c>
      <c r="AJ7852">
        <v>306.13</v>
      </c>
      <c r="AK7852">
        <v>0</v>
      </c>
      <c r="AL7852" t="s">
        <v>53</v>
      </c>
      <c r="AM7852" t="s">
        <v>53</v>
      </c>
      <c r="AN7852" t="s">
        <v>14674</v>
      </c>
      <c r="AO7852" t="s">
        <v>53</v>
      </c>
      <c r="AP7852" t="s">
        <v>53</v>
      </c>
    </row>
    <row r="7853" spans="2:42" x14ac:dyDescent="0.2">
      <c r="B7853" t="s">
        <v>44</v>
      </c>
      <c r="C7853" t="str">
        <f>HYPERLINK("https://us2.cloudbeds.com/connect/8493803454333002#/reservations/9080486847994430?display=4CDSRN7GVV&amp;reservation_id=9080486847994430", "4CDSRN7GVV")</f>
        <v>4CDSRN7GVV</v>
      </c>
      <c r="D7853" t="s">
        <v>45</v>
      </c>
      <c r="E7853" t="s">
        <v>165</v>
      </c>
      <c r="F7853" t="s">
        <v>61</v>
      </c>
      <c r="G7853" t="s">
        <v>48</v>
      </c>
      <c r="H7853" t="s">
        <v>49</v>
      </c>
      <c r="I7853" t="s">
        <v>8964</v>
      </c>
      <c r="J7853" t="s">
        <v>13825</v>
      </c>
      <c r="K7853" t="s">
        <v>13383</v>
      </c>
      <c r="L7853" t="s">
        <v>53</v>
      </c>
      <c r="N7853" t="s">
        <v>14675</v>
      </c>
      <c r="P7853" t="s">
        <v>55</v>
      </c>
      <c r="R7853" t="s">
        <v>53</v>
      </c>
      <c r="T7853" t="s">
        <v>14676</v>
      </c>
      <c r="U7853" t="s">
        <v>55</v>
      </c>
      <c r="V7853">
        <v>2</v>
      </c>
      <c r="W7853">
        <v>1</v>
      </c>
      <c r="X7853">
        <v>2</v>
      </c>
      <c r="Y7853">
        <v>0</v>
      </c>
      <c r="Z7853">
        <v>2</v>
      </c>
      <c r="AA7853">
        <v>0</v>
      </c>
      <c r="AB7853">
        <v>0</v>
      </c>
      <c r="AC7853">
        <v>237</v>
      </c>
      <c r="AD7853">
        <v>0</v>
      </c>
      <c r="AE7853">
        <v>0</v>
      </c>
      <c r="AF7853">
        <v>0</v>
      </c>
      <c r="AG7853">
        <v>0</v>
      </c>
      <c r="AH7853">
        <v>0</v>
      </c>
      <c r="AI7853">
        <v>35.549999999999997</v>
      </c>
      <c r="AJ7853">
        <v>237</v>
      </c>
      <c r="AK7853">
        <v>237</v>
      </c>
      <c r="AL7853" t="s">
        <v>53</v>
      </c>
      <c r="AM7853" t="s">
        <v>53</v>
      </c>
      <c r="AN7853" t="s">
        <v>53</v>
      </c>
      <c r="AO7853" t="s">
        <v>53</v>
      </c>
      <c r="AP7853" t="s">
        <v>53</v>
      </c>
    </row>
    <row r="7854" spans="2:42" x14ac:dyDescent="0.2">
      <c r="B7854" t="s">
        <v>44</v>
      </c>
      <c r="C7854" t="str">
        <f>HYPERLINK("https://us2.cloudbeds.com/connect/8493803454333002#/reservations/9080486847995716?display=4CERTUC52P&amp;reservation_id=9080486847995716", "4CERTUC52P")</f>
        <v>4CERTUC52P</v>
      </c>
      <c r="D7854" t="s">
        <v>45</v>
      </c>
      <c r="E7854" t="s">
        <v>138</v>
      </c>
      <c r="F7854" t="s">
        <v>70</v>
      </c>
      <c r="G7854" t="s">
        <v>48</v>
      </c>
      <c r="H7854" t="s">
        <v>49</v>
      </c>
      <c r="I7854" t="s">
        <v>62</v>
      </c>
      <c r="J7854" t="s">
        <v>12566</v>
      </c>
      <c r="K7854" t="s">
        <v>14312</v>
      </c>
      <c r="L7854" t="s">
        <v>53</v>
      </c>
      <c r="N7854" t="s">
        <v>14677</v>
      </c>
      <c r="P7854" t="s">
        <v>55</v>
      </c>
      <c r="R7854" t="s">
        <v>56</v>
      </c>
      <c r="T7854" t="s">
        <v>14678</v>
      </c>
      <c r="U7854" t="s">
        <v>55</v>
      </c>
      <c r="V7854">
        <v>2</v>
      </c>
      <c r="W7854">
        <v>1</v>
      </c>
      <c r="X7854">
        <v>2</v>
      </c>
      <c r="Y7854">
        <v>0</v>
      </c>
      <c r="Z7854">
        <v>2</v>
      </c>
      <c r="AA7854">
        <v>134</v>
      </c>
      <c r="AB7854">
        <v>134</v>
      </c>
      <c r="AC7854">
        <v>134</v>
      </c>
      <c r="AD7854">
        <v>0</v>
      </c>
      <c r="AE7854">
        <v>0</v>
      </c>
      <c r="AF7854">
        <v>0</v>
      </c>
      <c r="AG7854">
        <v>0</v>
      </c>
      <c r="AH7854">
        <v>0</v>
      </c>
      <c r="AI7854">
        <v>24.12</v>
      </c>
      <c r="AJ7854">
        <v>134</v>
      </c>
      <c r="AK7854">
        <v>201</v>
      </c>
      <c r="AL7854" t="s">
        <v>53</v>
      </c>
      <c r="AM7854" t="s">
        <v>53</v>
      </c>
      <c r="AN7854" t="s">
        <v>53</v>
      </c>
      <c r="AO7854" t="s">
        <v>53</v>
      </c>
      <c r="AP7854" t="s">
        <v>53</v>
      </c>
    </row>
    <row r="7855" spans="2:42" x14ac:dyDescent="0.2">
      <c r="B7855" t="s">
        <v>44</v>
      </c>
      <c r="C7855" t="str">
        <f>HYPERLINK("https://us2.cloudbeds.com/connect/8493803454333002#/reservations/203176659587264?display=4CFB8J26C7&amp;reservation_id=203176659587264", "4CFB8J26C7")</f>
        <v>4CFB8J26C7</v>
      </c>
      <c r="D7855" t="s">
        <v>45</v>
      </c>
      <c r="E7855" t="s">
        <v>190</v>
      </c>
      <c r="F7855" t="s">
        <v>61</v>
      </c>
      <c r="G7855" t="s">
        <v>48</v>
      </c>
      <c r="H7855" t="s">
        <v>3957</v>
      </c>
      <c r="I7855" t="s">
        <v>3958</v>
      </c>
      <c r="J7855" t="s">
        <v>12565</v>
      </c>
      <c r="K7855" t="s">
        <v>14135</v>
      </c>
      <c r="L7855" t="s">
        <v>53</v>
      </c>
      <c r="P7855" t="s">
        <v>55</v>
      </c>
      <c r="R7855" t="s">
        <v>56</v>
      </c>
      <c r="T7855" t="s">
        <v>14679</v>
      </c>
      <c r="U7855" t="s">
        <v>58</v>
      </c>
      <c r="V7855">
        <v>1</v>
      </c>
      <c r="W7855">
        <v>1</v>
      </c>
      <c r="X7855">
        <v>1</v>
      </c>
      <c r="Y7855">
        <v>0</v>
      </c>
      <c r="Z7855">
        <v>1</v>
      </c>
      <c r="AA7855">
        <v>96.31</v>
      </c>
      <c r="AB7855">
        <v>96.31</v>
      </c>
      <c r="AC7855">
        <v>84</v>
      </c>
      <c r="AD7855">
        <v>0</v>
      </c>
      <c r="AE7855">
        <v>12.31</v>
      </c>
      <c r="AF7855">
        <v>0</v>
      </c>
      <c r="AG7855">
        <v>0</v>
      </c>
      <c r="AH7855">
        <v>0</v>
      </c>
      <c r="AI7855">
        <v>0</v>
      </c>
      <c r="AJ7855">
        <v>96.31</v>
      </c>
      <c r="AK7855">
        <v>0</v>
      </c>
      <c r="AL7855" t="s">
        <v>53</v>
      </c>
      <c r="AM7855" t="s">
        <v>53</v>
      </c>
      <c r="AN7855" t="s">
        <v>53</v>
      </c>
      <c r="AO7855" t="s">
        <v>53</v>
      </c>
      <c r="AP7855" t="s">
        <v>53</v>
      </c>
    </row>
    <row r="7856" spans="2:42" x14ac:dyDescent="0.2">
      <c r="B7856" t="s">
        <v>44</v>
      </c>
      <c r="C7856" t="str">
        <f>HYPERLINK("https://us2.cloudbeds.com/connect/8493803454333002#/reservations/9080486847998618?display=4CHHR2GC8D&amp;reservation_id=9080486847998618", "4CHHR2GC8D")</f>
        <v>4CHHR2GC8D</v>
      </c>
      <c r="D7856" t="s">
        <v>45</v>
      </c>
      <c r="E7856" t="s">
        <v>138</v>
      </c>
      <c r="F7856" t="s">
        <v>70</v>
      </c>
      <c r="G7856" t="s">
        <v>48</v>
      </c>
      <c r="H7856" t="s">
        <v>49</v>
      </c>
      <c r="I7856" t="s">
        <v>62</v>
      </c>
      <c r="J7856" t="s">
        <v>14354</v>
      </c>
      <c r="K7856" t="s">
        <v>12807</v>
      </c>
      <c r="L7856" t="s">
        <v>53</v>
      </c>
      <c r="N7856" t="s">
        <v>14680</v>
      </c>
      <c r="P7856" t="s">
        <v>55</v>
      </c>
      <c r="R7856" t="s">
        <v>56</v>
      </c>
      <c r="T7856" t="s">
        <v>14681</v>
      </c>
      <c r="U7856" t="s">
        <v>55</v>
      </c>
      <c r="V7856">
        <v>3</v>
      </c>
      <c r="W7856">
        <v>1</v>
      </c>
      <c r="X7856">
        <v>2</v>
      </c>
      <c r="Y7856">
        <v>0</v>
      </c>
      <c r="Z7856">
        <v>2</v>
      </c>
      <c r="AA7856">
        <v>248.42</v>
      </c>
      <c r="AB7856">
        <v>248.42</v>
      </c>
      <c r="AC7856">
        <v>248.42</v>
      </c>
      <c r="AD7856">
        <v>0</v>
      </c>
      <c r="AE7856">
        <v>0</v>
      </c>
      <c r="AF7856">
        <v>0</v>
      </c>
      <c r="AG7856">
        <v>0</v>
      </c>
      <c r="AH7856">
        <v>0</v>
      </c>
      <c r="AI7856">
        <v>44.72</v>
      </c>
      <c r="AJ7856">
        <v>248.42</v>
      </c>
      <c r="AK7856">
        <v>0</v>
      </c>
      <c r="AL7856" t="s">
        <v>53</v>
      </c>
      <c r="AM7856" t="s">
        <v>53</v>
      </c>
      <c r="AN7856" t="s">
        <v>14682</v>
      </c>
      <c r="AO7856" t="s">
        <v>53</v>
      </c>
      <c r="AP7856" t="s">
        <v>53</v>
      </c>
    </row>
    <row r="7857" spans="2:42" x14ac:dyDescent="0.2">
      <c r="B7857" t="s">
        <v>44</v>
      </c>
      <c r="C7857" t="str">
        <f>HYPERLINK("https://us2.cloudbeds.com/connect/8493803454333002#/reservations/9080486848003757?display=4CYM5FBPUF&amp;reservation_id=9080486848003757", "4CYM5FBPUF")</f>
        <v>4CYM5FBPUF</v>
      </c>
      <c r="D7857" t="s">
        <v>45</v>
      </c>
      <c r="E7857" t="s">
        <v>190</v>
      </c>
      <c r="F7857" t="s">
        <v>61</v>
      </c>
      <c r="G7857" t="s">
        <v>48</v>
      </c>
      <c r="H7857" t="s">
        <v>49</v>
      </c>
      <c r="I7857" t="s">
        <v>62</v>
      </c>
      <c r="J7857" t="s">
        <v>14312</v>
      </c>
      <c r="K7857" t="s">
        <v>14313</v>
      </c>
      <c r="L7857" t="s">
        <v>53</v>
      </c>
      <c r="N7857" t="s">
        <v>14683</v>
      </c>
      <c r="P7857" t="s">
        <v>55</v>
      </c>
      <c r="R7857" t="s">
        <v>56</v>
      </c>
      <c r="T7857" t="s">
        <v>14684</v>
      </c>
      <c r="U7857" t="s">
        <v>55</v>
      </c>
      <c r="V7857">
        <v>1</v>
      </c>
      <c r="W7857">
        <v>1</v>
      </c>
      <c r="X7857">
        <v>2</v>
      </c>
      <c r="Y7857">
        <v>0</v>
      </c>
      <c r="Z7857">
        <v>2</v>
      </c>
      <c r="AA7857">
        <v>84.79</v>
      </c>
      <c r="AB7857">
        <v>84.79</v>
      </c>
      <c r="AC7857">
        <v>84.79</v>
      </c>
      <c r="AD7857">
        <v>0</v>
      </c>
      <c r="AE7857">
        <v>0</v>
      </c>
      <c r="AF7857">
        <v>0</v>
      </c>
      <c r="AG7857">
        <v>0</v>
      </c>
      <c r="AH7857">
        <v>0</v>
      </c>
      <c r="AI7857">
        <v>15.26</v>
      </c>
      <c r="AJ7857">
        <v>84.79</v>
      </c>
      <c r="AK7857">
        <v>0</v>
      </c>
      <c r="AL7857" t="s">
        <v>53</v>
      </c>
      <c r="AM7857" t="s">
        <v>53</v>
      </c>
      <c r="AN7857" t="s">
        <v>53</v>
      </c>
      <c r="AO7857" t="s">
        <v>53</v>
      </c>
      <c r="AP7857" t="s">
        <v>53</v>
      </c>
    </row>
    <row r="7858" spans="2:42" x14ac:dyDescent="0.2">
      <c r="B7858" t="s">
        <v>44</v>
      </c>
      <c r="C7858" t="str">
        <f>HYPERLINK("https://us2.cloudbeds.com/connect/8493803454333002#/reservations/9080486848005033?display=4CMH8R50P8&amp;reservation_id=9080486848005033", "4CMH8R50P8")</f>
        <v>4CMH8R50P8</v>
      </c>
      <c r="D7858" t="s">
        <v>45</v>
      </c>
      <c r="E7858" t="s">
        <v>138</v>
      </c>
      <c r="F7858" t="s">
        <v>70</v>
      </c>
      <c r="G7858" t="s">
        <v>48</v>
      </c>
      <c r="H7858" t="s">
        <v>49</v>
      </c>
      <c r="I7858" t="s">
        <v>62</v>
      </c>
      <c r="J7858" t="s">
        <v>14135</v>
      </c>
      <c r="K7858" t="s">
        <v>13520</v>
      </c>
      <c r="L7858" t="s">
        <v>53</v>
      </c>
      <c r="N7858" t="s">
        <v>14685</v>
      </c>
      <c r="P7858" t="s">
        <v>55</v>
      </c>
      <c r="R7858" t="s">
        <v>56</v>
      </c>
      <c r="T7858" t="s">
        <v>14686</v>
      </c>
      <c r="U7858" t="s">
        <v>55</v>
      </c>
      <c r="V7858">
        <v>1</v>
      </c>
      <c r="W7858">
        <v>1</v>
      </c>
      <c r="X7858">
        <v>2</v>
      </c>
      <c r="Y7858">
        <v>0</v>
      </c>
      <c r="Z7858">
        <v>2</v>
      </c>
      <c r="AA7858">
        <v>60.24</v>
      </c>
      <c r="AB7858">
        <v>60.24</v>
      </c>
      <c r="AC7858">
        <v>60.24</v>
      </c>
      <c r="AD7858">
        <v>0</v>
      </c>
      <c r="AE7858">
        <v>0</v>
      </c>
      <c r="AF7858">
        <v>0</v>
      </c>
      <c r="AG7858">
        <v>0</v>
      </c>
      <c r="AH7858">
        <v>0</v>
      </c>
      <c r="AI7858">
        <v>10.84</v>
      </c>
      <c r="AJ7858">
        <v>60.24</v>
      </c>
      <c r="AK7858">
        <v>0</v>
      </c>
      <c r="AL7858" t="s">
        <v>53</v>
      </c>
      <c r="AM7858" t="s">
        <v>53</v>
      </c>
      <c r="AN7858" t="s">
        <v>14687</v>
      </c>
      <c r="AO7858" t="s">
        <v>53</v>
      </c>
      <c r="AP7858" t="s">
        <v>53</v>
      </c>
    </row>
    <row r="7859" spans="2:42" x14ac:dyDescent="0.2">
      <c r="B7859" t="s">
        <v>44</v>
      </c>
      <c r="C7859" t="str">
        <f>HYPERLINK("https://us2.cloudbeds.com/connect/8493803454333002#/reservations/9080486848005822?display=4CN5GP5FTR&amp;reservation_id=9080486848005822", "4CN5GP5FTR")</f>
        <v>4CN5GP5FTR</v>
      </c>
      <c r="D7859" t="s">
        <v>45</v>
      </c>
      <c r="E7859" t="s">
        <v>113</v>
      </c>
      <c r="F7859" t="s">
        <v>61</v>
      </c>
      <c r="G7859" t="s">
        <v>48</v>
      </c>
      <c r="H7859" t="s">
        <v>49</v>
      </c>
      <c r="I7859" t="s">
        <v>62</v>
      </c>
      <c r="J7859" t="s">
        <v>14135</v>
      </c>
      <c r="K7859" t="s">
        <v>12566</v>
      </c>
      <c r="L7859" t="s">
        <v>53</v>
      </c>
      <c r="N7859" t="s">
        <v>14688</v>
      </c>
      <c r="P7859" t="s">
        <v>55</v>
      </c>
      <c r="R7859" t="s">
        <v>56</v>
      </c>
      <c r="T7859" t="s">
        <v>14689</v>
      </c>
      <c r="U7859" t="s">
        <v>55</v>
      </c>
      <c r="V7859">
        <v>2</v>
      </c>
      <c r="W7859">
        <v>1</v>
      </c>
      <c r="X7859">
        <v>2</v>
      </c>
      <c r="Y7859">
        <v>0</v>
      </c>
      <c r="Z7859">
        <v>2</v>
      </c>
      <c r="AA7859">
        <v>143.78</v>
      </c>
      <c r="AB7859">
        <v>143.78</v>
      </c>
      <c r="AC7859">
        <v>143.78</v>
      </c>
      <c r="AD7859">
        <v>0</v>
      </c>
      <c r="AE7859">
        <v>0</v>
      </c>
      <c r="AF7859">
        <v>0</v>
      </c>
      <c r="AG7859">
        <v>0</v>
      </c>
      <c r="AH7859">
        <v>0</v>
      </c>
      <c r="AI7859">
        <v>25.88</v>
      </c>
      <c r="AJ7859">
        <v>143.78</v>
      </c>
      <c r="AK7859">
        <v>0</v>
      </c>
      <c r="AL7859" t="s">
        <v>53</v>
      </c>
      <c r="AM7859" t="s">
        <v>53</v>
      </c>
      <c r="AN7859" t="s">
        <v>14690</v>
      </c>
      <c r="AO7859" t="s">
        <v>53</v>
      </c>
      <c r="AP7859" t="s">
        <v>53</v>
      </c>
    </row>
    <row r="7860" spans="2:42" x14ac:dyDescent="0.2">
      <c r="B7860" t="s">
        <v>44</v>
      </c>
      <c r="C7860" t="str">
        <f>HYPERLINK("https://us2.cloudbeds.com/connect/8493803454333002#/reservations/9080486848006989?display=4CZ5QC917S&amp;reservation_id=9080486848006989", "4CZ5QC917S")</f>
        <v>4CZ5QC917S</v>
      </c>
      <c r="D7860" t="s">
        <v>45</v>
      </c>
      <c r="E7860" t="s">
        <v>138</v>
      </c>
      <c r="F7860" t="s">
        <v>70</v>
      </c>
      <c r="G7860" t="s">
        <v>48</v>
      </c>
      <c r="H7860" t="s">
        <v>49</v>
      </c>
      <c r="I7860" t="s">
        <v>62</v>
      </c>
      <c r="J7860" t="s">
        <v>13520</v>
      </c>
      <c r="K7860" t="s">
        <v>12566</v>
      </c>
      <c r="L7860" t="s">
        <v>53</v>
      </c>
      <c r="N7860" t="s">
        <v>14691</v>
      </c>
      <c r="P7860" t="s">
        <v>55</v>
      </c>
      <c r="R7860" t="s">
        <v>56</v>
      </c>
      <c r="T7860" t="s">
        <v>14692</v>
      </c>
      <c r="U7860" t="s">
        <v>55</v>
      </c>
      <c r="V7860">
        <v>1</v>
      </c>
      <c r="W7860">
        <v>1</v>
      </c>
      <c r="X7860">
        <v>2</v>
      </c>
      <c r="Y7860">
        <v>0</v>
      </c>
      <c r="Z7860">
        <v>2</v>
      </c>
      <c r="AA7860">
        <v>60.24</v>
      </c>
      <c r="AB7860">
        <v>60.24</v>
      </c>
      <c r="AC7860">
        <v>60.24</v>
      </c>
      <c r="AD7860">
        <v>0</v>
      </c>
      <c r="AE7860">
        <v>0</v>
      </c>
      <c r="AF7860">
        <v>0</v>
      </c>
      <c r="AG7860">
        <v>0</v>
      </c>
      <c r="AH7860">
        <v>0</v>
      </c>
      <c r="AI7860">
        <v>10.84</v>
      </c>
      <c r="AJ7860">
        <v>60.24</v>
      </c>
      <c r="AK7860">
        <v>0</v>
      </c>
      <c r="AL7860" t="s">
        <v>53</v>
      </c>
      <c r="AM7860" t="s">
        <v>53</v>
      </c>
      <c r="AN7860" t="s">
        <v>53</v>
      </c>
      <c r="AO7860" t="s">
        <v>53</v>
      </c>
      <c r="AP7860" t="s">
        <v>53</v>
      </c>
    </row>
    <row r="7861" spans="2:42" x14ac:dyDescent="0.2">
      <c r="B7861" t="s">
        <v>44</v>
      </c>
      <c r="C7861" t="str">
        <f>HYPERLINK("https://us2.cloudbeds.com/connect/8493803454333002#/reservations/9080486848011999?display=4CSN8GBX17&amp;reservation_id=9080486848011999", "4CSN8GBX17")</f>
        <v>4CSN8GBX17</v>
      </c>
      <c r="D7861" t="s">
        <v>45</v>
      </c>
      <c r="E7861" t="s">
        <v>165</v>
      </c>
      <c r="F7861" t="s">
        <v>61</v>
      </c>
      <c r="G7861" t="s">
        <v>48</v>
      </c>
      <c r="H7861" t="s">
        <v>49</v>
      </c>
      <c r="I7861" t="s">
        <v>62</v>
      </c>
      <c r="J7861" t="s">
        <v>13520</v>
      </c>
      <c r="K7861" t="s">
        <v>12566</v>
      </c>
      <c r="L7861" t="s">
        <v>53</v>
      </c>
      <c r="N7861" t="s">
        <v>14693</v>
      </c>
      <c r="P7861" t="s">
        <v>55</v>
      </c>
      <c r="R7861" t="s">
        <v>56</v>
      </c>
      <c r="T7861" t="s">
        <v>14694</v>
      </c>
      <c r="U7861" t="s">
        <v>55</v>
      </c>
      <c r="V7861">
        <v>1</v>
      </c>
      <c r="W7861">
        <v>1</v>
      </c>
      <c r="X7861">
        <v>1</v>
      </c>
      <c r="Y7861">
        <v>0</v>
      </c>
      <c r="Z7861">
        <v>1</v>
      </c>
      <c r="AA7861">
        <v>84.79</v>
      </c>
      <c r="AB7861">
        <v>84.79</v>
      </c>
      <c r="AC7861">
        <v>84.79</v>
      </c>
      <c r="AD7861">
        <v>0</v>
      </c>
      <c r="AE7861">
        <v>0</v>
      </c>
      <c r="AF7861">
        <v>0</v>
      </c>
      <c r="AG7861">
        <v>0</v>
      </c>
      <c r="AH7861">
        <v>0</v>
      </c>
      <c r="AI7861">
        <v>15.26</v>
      </c>
      <c r="AJ7861">
        <v>84.79</v>
      </c>
      <c r="AK7861">
        <v>0</v>
      </c>
      <c r="AL7861" t="s">
        <v>53</v>
      </c>
      <c r="AM7861" t="s">
        <v>53</v>
      </c>
      <c r="AN7861" t="s">
        <v>53</v>
      </c>
      <c r="AO7861" t="s">
        <v>53</v>
      </c>
      <c r="AP7861" t="s">
        <v>53</v>
      </c>
    </row>
    <row r="7862" spans="2:42" x14ac:dyDescent="0.2">
      <c r="B7862" t="s">
        <v>44</v>
      </c>
      <c r="C7862" t="str">
        <f>HYPERLINK("https://us2.cloudbeds.com/connect/8493803454333002#/reservations/203760382443712?display=4CT181Y8GS&amp;reservation_id=203760382443712", "4CT181Y8GS")</f>
        <v>4CT181Y8GS</v>
      </c>
      <c r="D7862" t="s">
        <v>45</v>
      </c>
      <c r="E7862" t="s">
        <v>14695</v>
      </c>
      <c r="F7862" t="s">
        <v>47</v>
      </c>
      <c r="G7862" t="s">
        <v>48</v>
      </c>
      <c r="H7862" t="s">
        <v>3957</v>
      </c>
      <c r="I7862" t="s">
        <v>3958</v>
      </c>
      <c r="J7862" t="s">
        <v>13520</v>
      </c>
      <c r="K7862" t="s">
        <v>12566</v>
      </c>
      <c r="L7862" t="s">
        <v>53</v>
      </c>
      <c r="P7862" t="s">
        <v>55</v>
      </c>
      <c r="R7862" t="s">
        <v>56</v>
      </c>
      <c r="T7862" t="s">
        <v>14696</v>
      </c>
      <c r="U7862" t="s">
        <v>58</v>
      </c>
      <c r="V7862">
        <v>1</v>
      </c>
      <c r="W7862">
        <v>1</v>
      </c>
      <c r="X7862">
        <v>1</v>
      </c>
      <c r="Y7862">
        <v>0</v>
      </c>
      <c r="Z7862">
        <v>1</v>
      </c>
      <c r="AA7862">
        <v>0</v>
      </c>
      <c r="AB7862">
        <v>0</v>
      </c>
      <c r="AC7862">
        <v>0</v>
      </c>
      <c r="AD7862">
        <v>0</v>
      </c>
      <c r="AE7862">
        <v>0</v>
      </c>
      <c r="AF7862">
        <v>0</v>
      </c>
      <c r="AG7862">
        <v>0</v>
      </c>
      <c r="AH7862">
        <v>0</v>
      </c>
      <c r="AI7862">
        <v>0</v>
      </c>
      <c r="AJ7862">
        <v>0</v>
      </c>
      <c r="AK7862">
        <v>0</v>
      </c>
      <c r="AL7862" t="s">
        <v>53</v>
      </c>
      <c r="AM7862" t="s">
        <v>53</v>
      </c>
      <c r="AN7862" t="s">
        <v>53</v>
      </c>
      <c r="AO7862" t="s">
        <v>53</v>
      </c>
      <c r="AP7862" t="s">
        <v>53</v>
      </c>
    </row>
    <row r="7863" spans="2:42" x14ac:dyDescent="0.2">
      <c r="B7863" t="s">
        <v>44</v>
      </c>
      <c r="C7863" t="str">
        <f>HYPERLINK("https://us2.cloudbeds.com/connect/8493803454333002#/reservations/9080486848012934?display=4CT8T607AN&amp;reservation_id=9080486848012934", "4CT8T607AN")</f>
        <v>4CT8T607AN</v>
      </c>
      <c r="D7863" t="s">
        <v>45</v>
      </c>
      <c r="E7863" t="s">
        <v>113</v>
      </c>
      <c r="F7863" t="s">
        <v>61</v>
      </c>
      <c r="G7863" t="s">
        <v>48</v>
      </c>
      <c r="H7863" t="s">
        <v>49</v>
      </c>
      <c r="I7863" t="s">
        <v>50</v>
      </c>
      <c r="J7863" t="s">
        <v>13531</v>
      </c>
      <c r="K7863" t="s">
        <v>13532</v>
      </c>
      <c r="L7863" t="s">
        <v>53</v>
      </c>
      <c r="N7863" t="s">
        <v>14697</v>
      </c>
      <c r="P7863" t="s">
        <v>55</v>
      </c>
      <c r="R7863" t="s">
        <v>53</v>
      </c>
      <c r="T7863" t="s">
        <v>14698</v>
      </c>
      <c r="U7863" t="s">
        <v>55</v>
      </c>
      <c r="V7863">
        <v>1</v>
      </c>
      <c r="W7863">
        <v>1</v>
      </c>
      <c r="X7863">
        <v>1</v>
      </c>
      <c r="Y7863">
        <v>0</v>
      </c>
      <c r="Z7863">
        <v>1</v>
      </c>
      <c r="AA7863">
        <v>68.44</v>
      </c>
      <c r="AB7863">
        <v>68.44</v>
      </c>
      <c r="AC7863">
        <v>62.94</v>
      </c>
      <c r="AD7863">
        <v>0</v>
      </c>
      <c r="AE7863">
        <v>5.5</v>
      </c>
      <c r="AF7863">
        <v>0</v>
      </c>
      <c r="AG7863">
        <v>0</v>
      </c>
      <c r="AH7863">
        <v>0</v>
      </c>
      <c r="AI7863">
        <v>12.32</v>
      </c>
      <c r="AJ7863">
        <v>68.44</v>
      </c>
      <c r="AK7863">
        <v>0</v>
      </c>
      <c r="AL7863" t="s">
        <v>53</v>
      </c>
      <c r="AM7863" t="s">
        <v>53</v>
      </c>
      <c r="AN7863" t="s">
        <v>14699</v>
      </c>
      <c r="AO7863" t="s">
        <v>53</v>
      </c>
      <c r="AP7863" t="s">
        <v>53</v>
      </c>
    </row>
    <row r="7864" spans="2:42" x14ac:dyDescent="0.2">
      <c r="B7864" t="s">
        <v>44</v>
      </c>
      <c r="C7864" t="str">
        <f>HYPERLINK("https://us2.cloudbeds.com/connect/8493803454333002#/reservations/9080486848016446?display=4CVXJMBE2R&amp;reservation_id=9080486848016446", "4CVXJMBE2R")</f>
        <v>4CVXJMBE2R</v>
      </c>
      <c r="D7864" t="s">
        <v>45</v>
      </c>
      <c r="E7864" t="s">
        <v>85</v>
      </c>
      <c r="F7864" t="s">
        <v>86</v>
      </c>
      <c r="G7864" t="s">
        <v>48</v>
      </c>
      <c r="H7864" t="s">
        <v>49</v>
      </c>
      <c r="I7864" t="s">
        <v>62</v>
      </c>
      <c r="J7864" t="s">
        <v>12566</v>
      </c>
      <c r="K7864" t="s">
        <v>14312</v>
      </c>
      <c r="L7864" t="s">
        <v>53</v>
      </c>
      <c r="N7864" t="s">
        <v>14700</v>
      </c>
      <c r="P7864" t="s">
        <v>55</v>
      </c>
      <c r="R7864" t="s">
        <v>56</v>
      </c>
      <c r="T7864" t="s">
        <v>14701</v>
      </c>
      <c r="U7864" t="s">
        <v>55</v>
      </c>
      <c r="V7864">
        <v>2</v>
      </c>
      <c r="W7864">
        <v>1</v>
      </c>
      <c r="X7864">
        <v>2</v>
      </c>
      <c r="Y7864">
        <v>0</v>
      </c>
      <c r="Z7864">
        <v>2</v>
      </c>
      <c r="AA7864">
        <v>196.36</v>
      </c>
      <c r="AB7864">
        <v>196.36</v>
      </c>
      <c r="AC7864">
        <v>196.36</v>
      </c>
      <c r="AD7864">
        <v>0</v>
      </c>
      <c r="AE7864">
        <v>0</v>
      </c>
      <c r="AF7864">
        <v>0</v>
      </c>
      <c r="AG7864">
        <v>0</v>
      </c>
      <c r="AH7864">
        <v>0</v>
      </c>
      <c r="AI7864">
        <v>35.340000000000003</v>
      </c>
      <c r="AJ7864">
        <v>196.36</v>
      </c>
      <c r="AK7864">
        <v>0</v>
      </c>
      <c r="AL7864" t="s">
        <v>53</v>
      </c>
      <c r="AM7864" t="s">
        <v>53</v>
      </c>
      <c r="AN7864" t="s">
        <v>14702</v>
      </c>
      <c r="AO7864" t="s">
        <v>53</v>
      </c>
      <c r="AP7864" t="s">
        <v>53</v>
      </c>
    </row>
    <row r="7865" spans="2:42" x14ac:dyDescent="0.2">
      <c r="B7865" t="s">
        <v>44</v>
      </c>
      <c r="C7865" t="str">
        <f>HYPERLINK("https://us2.cloudbeds.com/connect/8493803454333002#/reservations/9080486848016667?display=4CVPX34C3G&amp;reservation_id=9080486848016667", "4CVPX34C3G")</f>
        <v>4CVPX34C3G</v>
      </c>
      <c r="D7865" t="s">
        <v>45</v>
      </c>
      <c r="E7865" t="s">
        <v>78</v>
      </c>
      <c r="F7865" t="s">
        <v>61</v>
      </c>
      <c r="G7865" t="s">
        <v>48</v>
      </c>
      <c r="H7865" t="s">
        <v>49</v>
      </c>
      <c r="I7865" t="s">
        <v>50</v>
      </c>
      <c r="J7865" t="s">
        <v>13520</v>
      </c>
      <c r="K7865" t="s">
        <v>12566</v>
      </c>
      <c r="L7865" t="s">
        <v>53</v>
      </c>
      <c r="N7865" t="s">
        <v>14703</v>
      </c>
      <c r="P7865" t="s">
        <v>55</v>
      </c>
      <c r="R7865" t="s">
        <v>53</v>
      </c>
      <c r="T7865" t="s">
        <v>14704</v>
      </c>
      <c r="U7865" t="s">
        <v>55</v>
      </c>
      <c r="V7865">
        <v>1</v>
      </c>
      <c r="W7865">
        <v>1</v>
      </c>
      <c r="X7865">
        <v>2</v>
      </c>
      <c r="Y7865">
        <v>0</v>
      </c>
      <c r="Z7865">
        <v>2</v>
      </c>
      <c r="AA7865">
        <v>79.209999999999994</v>
      </c>
      <c r="AB7865">
        <v>79.209999999999994</v>
      </c>
      <c r="AC7865">
        <v>72.84</v>
      </c>
      <c r="AD7865">
        <v>0</v>
      </c>
      <c r="AE7865">
        <v>6.37</v>
      </c>
      <c r="AF7865">
        <v>0</v>
      </c>
      <c r="AG7865">
        <v>0</v>
      </c>
      <c r="AH7865">
        <v>0</v>
      </c>
      <c r="AI7865">
        <v>14.26</v>
      </c>
      <c r="AJ7865">
        <v>79.209999999999994</v>
      </c>
      <c r="AK7865">
        <v>0</v>
      </c>
      <c r="AL7865" t="s">
        <v>53</v>
      </c>
      <c r="AM7865" t="s">
        <v>53</v>
      </c>
      <c r="AN7865" t="s">
        <v>53</v>
      </c>
      <c r="AO7865" t="s">
        <v>53</v>
      </c>
      <c r="AP7865" t="s">
        <v>53</v>
      </c>
    </row>
    <row r="7866" spans="2:42" x14ac:dyDescent="0.2">
      <c r="B7866" t="s">
        <v>44</v>
      </c>
      <c r="C7866" t="str">
        <f>HYPERLINK("https://us2.cloudbeds.com/connect/8493803454333002#/reservations/9080486848017866?display=4CWQ16H2EE&amp;reservation_id=9080486848017866", "4CWQ16H2EE")</f>
        <v>4CWQ16H2EE</v>
      </c>
      <c r="D7866" t="s">
        <v>45</v>
      </c>
      <c r="E7866" t="s">
        <v>113</v>
      </c>
      <c r="F7866" t="s">
        <v>61</v>
      </c>
      <c r="G7866" t="s">
        <v>48</v>
      </c>
      <c r="H7866" t="s">
        <v>49</v>
      </c>
      <c r="I7866" t="s">
        <v>50</v>
      </c>
      <c r="J7866" t="s">
        <v>12566</v>
      </c>
      <c r="K7866" t="s">
        <v>14399</v>
      </c>
      <c r="L7866" t="s">
        <v>53</v>
      </c>
      <c r="N7866" t="s">
        <v>14705</v>
      </c>
      <c r="P7866" t="s">
        <v>55</v>
      </c>
      <c r="R7866" t="s">
        <v>53</v>
      </c>
      <c r="T7866" t="s">
        <v>14706</v>
      </c>
      <c r="U7866" t="s">
        <v>55</v>
      </c>
      <c r="V7866">
        <v>1</v>
      </c>
      <c r="W7866">
        <v>1</v>
      </c>
      <c r="X7866">
        <v>2</v>
      </c>
      <c r="Y7866">
        <v>0</v>
      </c>
      <c r="Z7866">
        <v>2</v>
      </c>
      <c r="AA7866">
        <v>94.75</v>
      </c>
      <c r="AB7866">
        <v>94.75</v>
      </c>
      <c r="AC7866">
        <v>87.13</v>
      </c>
      <c r="AD7866">
        <v>0</v>
      </c>
      <c r="AE7866">
        <v>7.62</v>
      </c>
      <c r="AF7866">
        <v>0</v>
      </c>
      <c r="AG7866">
        <v>0</v>
      </c>
      <c r="AH7866">
        <v>0</v>
      </c>
      <c r="AI7866">
        <v>17.059999999999999</v>
      </c>
      <c r="AJ7866">
        <v>94.75</v>
      </c>
      <c r="AK7866">
        <v>0</v>
      </c>
      <c r="AL7866" t="s">
        <v>53</v>
      </c>
      <c r="AM7866" t="s">
        <v>53</v>
      </c>
      <c r="AN7866" t="s">
        <v>53</v>
      </c>
      <c r="AO7866" t="s">
        <v>53</v>
      </c>
      <c r="AP7866" t="s">
        <v>53</v>
      </c>
    </row>
    <row r="7867" spans="2:42" x14ac:dyDescent="0.2">
      <c r="B7867" t="s">
        <v>44</v>
      </c>
      <c r="C7867" t="str">
        <f>HYPERLINK("https://us2.cloudbeds.com/connect/8493803454333002#/reservations/9080486848018573?display=4D0FB7JZW3&amp;reservation_id=9080486848018573", "4D0FB7JZW3")</f>
        <v>4D0FB7JZW3</v>
      </c>
      <c r="D7867" t="s">
        <v>45</v>
      </c>
      <c r="E7867" t="s">
        <v>165</v>
      </c>
      <c r="F7867" t="s">
        <v>61</v>
      </c>
      <c r="G7867" t="s">
        <v>48</v>
      </c>
      <c r="H7867" t="s">
        <v>49</v>
      </c>
      <c r="I7867" t="s">
        <v>50</v>
      </c>
      <c r="J7867" t="s">
        <v>13001</v>
      </c>
      <c r="K7867" t="s">
        <v>13537</v>
      </c>
      <c r="L7867" t="s">
        <v>53</v>
      </c>
      <c r="N7867" t="s">
        <v>14707</v>
      </c>
      <c r="P7867" t="s">
        <v>55</v>
      </c>
      <c r="R7867" t="s">
        <v>53</v>
      </c>
      <c r="T7867" t="s">
        <v>14708</v>
      </c>
      <c r="U7867" t="s">
        <v>55</v>
      </c>
      <c r="V7867">
        <v>1</v>
      </c>
      <c r="W7867">
        <v>1</v>
      </c>
      <c r="X7867">
        <v>2</v>
      </c>
      <c r="Y7867">
        <v>0</v>
      </c>
      <c r="Z7867">
        <v>2</v>
      </c>
      <c r="AA7867">
        <v>84.88</v>
      </c>
      <c r="AB7867">
        <v>84.88</v>
      </c>
      <c r="AC7867">
        <v>78.05</v>
      </c>
      <c r="AD7867">
        <v>0</v>
      </c>
      <c r="AE7867">
        <v>6.83</v>
      </c>
      <c r="AF7867">
        <v>0</v>
      </c>
      <c r="AG7867">
        <v>0</v>
      </c>
      <c r="AH7867">
        <v>0</v>
      </c>
      <c r="AI7867">
        <v>15.28</v>
      </c>
      <c r="AJ7867">
        <v>84.88</v>
      </c>
      <c r="AK7867">
        <v>0</v>
      </c>
      <c r="AL7867" t="s">
        <v>53</v>
      </c>
      <c r="AM7867" t="s">
        <v>53</v>
      </c>
      <c r="AN7867" t="s">
        <v>53</v>
      </c>
      <c r="AO7867" t="s">
        <v>53</v>
      </c>
      <c r="AP7867" t="s">
        <v>53</v>
      </c>
    </row>
    <row r="7868" spans="2:42" x14ac:dyDescent="0.2">
      <c r="B7868" t="s">
        <v>44</v>
      </c>
      <c r="C7868" t="str">
        <f>HYPERLINK("https://us2.cloudbeds.com/connect/8493803454333002#/reservations/204111238578368?display=4D48U7RKSJ&amp;reservation_id=204111238578368", "4D48U7RKSJ")</f>
        <v>4D48U7RKSJ</v>
      </c>
      <c r="D7868" t="s">
        <v>45</v>
      </c>
      <c r="E7868" t="s">
        <v>165</v>
      </c>
      <c r="F7868" t="s">
        <v>61</v>
      </c>
      <c r="G7868" t="s">
        <v>48</v>
      </c>
      <c r="H7868" t="s">
        <v>3957</v>
      </c>
      <c r="I7868" t="s">
        <v>3975</v>
      </c>
      <c r="J7868" t="s">
        <v>14458</v>
      </c>
      <c r="K7868" t="s">
        <v>14119</v>
      </c>
      <c r="L7868" t="s">
        <v>53</v>
      </c>
      <c r="P7868" t="s">
        <v>55</v>
      </c>
      <c r="R7868" t="s">
        <v>56</v>
      </c>
      <c r="T7868" t="s">
        <v>14709</v>
      </c>
      <c r="U7868" t="s">
        <v>58</v>
      </c>
      <c r="V7868">
        <v>2</v>
      </c>
      <c r="W7868">
        <v>1</v>
      </c>
      <c r="X7868">
        <v>2</v>
      </c>
      <c r="Y7868">
        <v>0</v>
      </c>
      <c r="Z7868">
        <v>2</v>
      </c>
      <c r="AA7868">
        <v>0</v>
      </c>
      <c r="AB7868">
        <v>245.35</v>
      </c>
      <c r="AC7868">
        <v>214</v>
      </c>
      <c r="AD7868">
        <v>0</v>
      </c>
      <c r="AE7868">
        <v>31.35</v>
      </c>
      <c r="AF7868">
        <v>0</v>
      </c>
      <c r="AG7868">
        <v>0</v>
      </c>
      <c r="AH7868">
        <v>0</v>
      </c>
      <c r="AI7868">
        <v>0</v>
      </c>
      <c r="AJ7868">
        <v>245.35</v>
      </c>
      <c r="AK7868">
        <v>0</v>
      </c>
      <c r="AL7868" t="s">
        <v>53</v>
      </c>
      <c r="AM7868" t="s">
        <v>53</v>
      </c>
      <c r="AN7868" t="s">
        <v>53</v>
      </c>
      <c r="AO7868" t="s">
        <v>53</v>
      </c>
      <c r="AP7868" t="s">
        <v>53</v>
      </c>
    </row>
    <row r="7869" spans="2:42" x14ac:dyDescent="0.2">
      <c r="B7869" t="s">
        <v>44</v>
      </c>
      <c r="C7869" t="str">
        <f>HYPERLINK("https://us2.cloudbeds.com/connect/8493803454333002#/reservations/9080486848023722?display=4D4QZ03T1Z&amp;reservation_id=9080486848023722", "4D4QZ03T1Z")</f>
        <v>4D4QZ03T1Z</v>
      </c>
      <c r="D7869" t="s">
        <v>45</v>
      </c>
      <c r="E7869" t="s">
        <v>138</v>
      </c>
      <c r="F7869" t="s">
        <v>70</v>
      </c>
      <c r="G7869" t="s">
        <v>48</v>
      </c>
      <c r="H7869" t="s">
        <v>49</v>
      </c>
      <c r="I7869" t="s">
        <v>62</v>
      </c>
      <c r="J7869" t="s">
        <v>14480</v>
      </c>
      <c r="K7869" t="s">
        <v>13001</v>
      </c>
      <c r="L7869" t="s">
        <v>53</v>
      </c>
      <c r="N7869" t="s">
        <v>14710</v>
      </c>
      <c r="P7869" t="s">
        <v>55</v>
      </c>
      <c r="R7869" t="s">
        <v>56</v>
      </c>
      <c r="T7869" t="s">
        <v>14711</v>
      </c>
      <c r="U7869" t="s">
        <v>55</v>
      </c>
      <c r="V7869">
        <v>2</v>
      </c>
      <c r="W7869">
        <v>1</v>
      </c>
      <c r="X7869">
        <v>1</v>
      </c>
      <c r="Y7869">
        <v>0</v>
      </c>
      <c r="Z7869">
        <v>1</v>
      </c>
      <c r="AA7869">
        <v>175.88</v>
      </c>
      <c r="AB7869">
        <v>175.88</v>
      </c>
      <c r="AC7869">
        <v>175.88</v>
      </c>
      <c r="AD7869">
        <v>0</v>
      </c>
      <c r="AE7869">
        <v>0</v>
      </c>
      <c r="AF7869">
        <v>0</v>
      </c>
      <c r="AG7869">
        <v>0</v>
      </c>
      <c r="AH7869">
        <v>0</v>
      </c>
      <c r="AI7869">
        <v>31.66</v>
      </c>
      <c r="AJ7869">
        <v>175.88</v>
      </c>
      <c r="AK7869">
        <v>0</v>
      </c>
      <c r="AL7869" t="s">
        <v>53</v>
      </c>
      <c r="AM7869" t="s">
        <v>53</v>
      </c>
      <c r="AN7869" t="s">
        <v>14712</v>
      </c>
      <c r="AO7869" t="s">
        <v>53</v>
      </c>
      <c r="AP7869" t="s">
        <v>53</v>
      </c>
    </row>
    <row r="7870" spans="2:42" x14ac:dyDescent="0.2">
      <c r="B7870" t="s">
        <v>44</v>
      </c>
      <c r="C7870" t="str">
        <f>HYPERLINK("https://us2.cloudbeds.com/connect/8493803454333002#/reservations/204149104087168?display=4D557Q1QJM&amp;reservation_id=204149104087168", "4D557Q1QJM")</f>
        <v>4D557Q1QJM</v>
      </c>
      <c r="D7870" t="s">
        <v>45</v>
      </c>
      <c r="E7870" t="s">
        <v>110</v>
      </c>
      <c r="F7870" t="s">
        <v>47</v>
      </c>
      <c r="G7870" t="s">
        <v>48</v>
      </c>
      <c r="H7870" t="s">
        <v>3957</v>
      </c>
      <c r="I7870" t="s">
        <v>3958</v>
      </c>
      <c r="J7870" t="s">
        <v>14313</v>
      </c>
      <c r="K7870" t="s">
        <v>13532</v>
      </c>
      <c r="L7870" t="s">
        <v>53</v>
      </c>
      <c r="P7870" t="s">
        <v>55</v>
      </c>
      <c r="R7870" t="s">
        <v>56</v>
      </c>
      <c r="T7870" t="s">
        <v>14713</v>
      </c>
      <c r="U7870" t="s">
        <v>58</v>
      </c>
      <c r="V7870">
        <v>3</v>
      </c>
      <c r="W7870">
        <v>1</v>
      </c>
      <c r="X7870">
        <v>1</v>
      </c>
      <c r="Y7870">
        <v>0</v>
      </c>
      <c r="Z7870">
        <v>1</v>
      </c>
      <c r="AA7870">
        <v>137.58000000000001</v>
      </c>
      <c r="AB7870">
        <v>137.58000000000001</v>
      </c>
      <c r="AC7870">
        <v>120</v>
      </c>
      <c r="AD7870">
        <v>0</v>
      </c>
      <c r="AE7870">
        <v>17.579999999999998</v>
      </c>
      <c r="AF7870">
        <v>0</v>
      </c>
      <c r="AG7870">
        <v>0</v>
      </c>
      <c r="AH7870">
        <v>0</v>
      </c>
      <c r="AI7870">
        <v>0</v>
      </c>
      <c r="AJ7870">
        <v>137.58000000000001</v>
      </c>
      <c r="AK7870">
        <v>0</v>
      </c>
      <c r="AL7870" t="s">
        <v>53</v>
      </c>
      <c r="AM7870" t="s">
        <v>53</v>
      </c>
      <c r="AN7870" t="s">
        <v>53</v>
      </c>
      <c r="AO7870" t="s">
        <v>53</v>
      </c>
      <c r="AP7870" t="s">
        <v>53</v>
      </c>
    </row>
    <row r="7871" spans="2:42" x14ac:dyDescent="0.2">
      <c r="B7871" t="s">
        <v>44</v>
      </c>
      <c r="C7871" t="str">
        <f>HYPERLINK("https://us2.cloudbeds.com/connect/8493803454333002#/reservations/9080486848025430?display=4D5U7NQNWT&amp;reservation_id=9080486848025430", "4D5U7NQNWT")</f>
        <v>4D5U7NQNWT</v>
      </c>
      <c r="D7871" t="s">
        <v>45</v>
      </c>
      <c r="E7871" t="s">
        <v>98</v>
      </c>
      <c r="F7871" t="s">
        <v>86</v>
      </c>
      <c r="G7871" t="s">
        <v>48</v>
      </c>
      <c r="H7871" t="s">
        <v>49</v>
      </c>
      <c r="I7871" t="s">
        <v>62</v>
      </c>
      <c r="J7871" t="s">
        <v>13998</v>
      </c>
      <c r="K7871" t="s">
        <v>13383</v>
      </c>
      <c r="L7871" t="s">
        <v>53</v>
      </c>
      <c r="N7871" t="s">
        <v>14714</v>
      </c>
      <c r="P7871" t="s">
        <v>55</v>
      </c>
      <c r="R7871" t="s">
        <v>56</v>
      </c>
      <c r="T7871" t="s">
        <v>14715</v>
      </c>
      <c r="U7871" t="s">
        <v>55</v>
      </c>
      <c r="V7871">
        <v>1</v>
      </c>
      <c r="W7871">
        <v>1</v>
      </c>
      <c r="X7871">
        <v>4</v>
      </c>
      <c r="Y7871">
        <v>0</v>
      </c>
      <c r="Z7871">
        <v>4</v>
      </c>
      <c r="AA7871">
        <v>101.82</v>
      </c>
      <c r="AB7871">
        <v>101.82</v>
      </c>
      <c r="AC7871">
        <v>101.82</v>
      </c>
      <c r="AD7871">
        <v>0</v>
      </c>
      <c r="AE7871">
        <v>0</v>
      </c>
      <c r="AF7871">
        <v>0</v>
      </c>
      <c r="AG7871">
        <v>0</v>
      </c>
      <c r="AH7871">
        <v>0</v>
      </c>
      <c r="AI7871">
        <v>18.329999999999998</v>
      </c>
      <c r="AJ7871">
        <v>101.82</v>
      </c>
      <c r="AK7871">
        <v>0</v>
      </c>
      <c r="AL7871" t="s">
        <v>53</v>
      </c>
      <c r="AM7871" t="s">
        <v>53</v>
      </c>
      <c r="AN7871" t="s">
        <v>53</v>
      </c>
      <c r="AO7871" t="s">
        <v>53</v>
      </c>
      <c r="AP7871" t="s">
        <v>53</v>
      </c>
    </row>
    <row r="7872" spans="2:42" x14ac:dyDescent="0.2">
      <c r="B7872" t="s">
        <v>44</v>
      </c>
      <c r="C7872" t="str">
        <f>HYPERLINK("https://us2.cloudbeds.com/connect/8493803454333002#/reservations/204189402828992?display=4D63EH0FH7&amp;reservation_id=204189402828992", "4D63EH0FH7")</f>
        <v>4D63EH0FH7</v>
      </c>
      <c r="D7872" t="s">
        <v>45</v>
      </c>
      <c r="E7872" t="s">
        <v>185</v>
      </c>
      <c r="F7872" t="s">
        <v>47</v>
      </c>
      <c r="G7872" t="s">
        <v>3974</v>
      </c>
      <c r="H7872" t="s">
        <v>3957</v>
      </c>
      <c r="I7872" t="s">
        <v>3975</v>
      </c>
      <c r="J7872" t="s">
        <v>14480</v>
      </c>
      <c r="K7872" t="s">
        <v>13001</v>
      </c>
      <c r="L7872" t="s">
        <v>53</v>
      </c>
      <c r="P7872" t="s">
        <v>55</v>
      </c>
      <c r="R7872" t="s">
        <v>56</v>
      </c>
      <c r="T7872" t="s">
        <v>14716</v>
      </c>
      <c r="U7872" t="s">
        <v>58</v>
      </c>
      <c r="V7872">
        <v>2</v>
      </c>
      <c r="W7872">
        <v>1</v>
      </c>
      <c r="X7872">
        <v>2</v>
      </c>
      <c r="Y7872">
        <v>0</v>
      </c>
      <c r="Z7872">
        <v>2</v>
      </c>
      <c r="AA7872">
        <v>239.62</v>
      </c>
      <c r="AB7872">
        <v>239.62</v>
      </c>
      <c r="AC7872">
        <v>209</v>
      </c>
      <c r="AD7872">
        <v>0</v>
      </c>
      <c r="AE7872">
        <v>30.62</v>
      </c>
      <c r="AF7872">
        <v>0</v>
      </c>
      <c r="AG7872">
        <v>0</v>
      </c>
      <c r="AH7872">
        <v>0</v>
      </c>
      <c r="AI7872">
        <v>0</v>
      </c>
      <c r="AJ7872">
        <v>239.62</v>
      </c>
      <c r="AK7872">
        <v>0</v>
      </c>
      <c r="AL7872" t="s">
        <v>53</v>
      </c>
      <c r="AM7872" t="s">
        <v>53</v>
      </c>
      <c r="AN7872" t="s">
        <v>14717</v>
      </c>
      <c r="AO7872" t="s">
        <v>53</v>
      </c>
      <c r="AP7872" t="s">
        <v>53</v>
      </c>
    </row>
    <row r="7873" spans="2:42" x14ac:dyDescent="0.2">
      <c r="B7873" t="s">
        <v>44</v>
      </c>
      <c r="C7873" t="str">
        <f>HYPERLINK("https://us2.cloudbeds.com/connect/8493803454333002#/reservations/204202688291008?display=4D6DNWYJ3Q&amp;reservation_id=204202688291008", "4D6DNWYJ3Q")</f>
        <v>4D6DNWYJ3Q</v>
      </c>
      <c r="D7873" t="s">
        <v>45</v>
      </c>
      <c r="E7873" t="s">
        <v>487</v>
      </c>
      <c r="F7873" t="s">
        <v>61</v>
      </c>
      <c r="G7873" t="s">
        <v>48</v>
      </c>
      <c r="H7873" t="s">
        <v>3957</v>
      </c>
      <c r="I7873" t="s">
        <v>3975</v>
      </c>
      <c r="J7873" t="s">
        <v>14312</v>
      </c>
      <c r="K7873" t="s">
        <v>13964</v>
      </c>
      <c r="L7873" t="s">
        <v>53</v>
      </c>
      <c r="P7873" t="s">
        <v>55</v>
      </c>
      <c r="R7873" t="s">
        <v>56</v>
      </c>
      <c r="T7873" t="s">
        <v>14718</v>
      </c>
      <c r="U7873" t="s">
        <v>58</v>
      </c>
      <c r="V7873">
        <v>6</v>
      </c>
      <c r="W7873">
        <v>1</v>
      </c>
      <c r="X7873">
        <v>1</v>
      </c>
      <c r="Y7873">
        <v>0</v>
      </c>
      <c r="Z7873">
        <v>1</v>
      </c>
      <c r="AA7873">
        <v>601.92999999999995</v>
      </c>
      <c r="AB7873">
        <v>601.92999999999995</v>
      </c>
      <c r="AC7873">
        <v>525</v>
      </c>
      <c r="AD7873">
        <v>0</v>
      </c>
      <c r="AE7873">
        <v>76.930000000000007</v>
      </c>
      <c r="AF7873">
        <v>0</v>
      </c>
      <c r="AG7873">
        <v>0</v>
      </c>
      <c r="AH7873">
        <v>0</v>
      </c>
      <c r="AI7873">
        <v>0</v>
      </c>
      <c r="AJ7873">
        <v>601.92999999999995</v>
      </c>
      <c r="AK7873">
        <v>0</v>
      </c>
      <c r="AL7873" t="s">
        <v>53</v>
      </c>
      <c r="AM7873" t="s">
        <v>53</v>
      </c>
      <c r="AN7873" t="s">
        <v>53</v>
      </c>
      <c r="AO7873" t="s">
        <v>53</v>
      </c>
      <c r="AP7873" t="s">
        <v>53</v>
      </c>
    </row>
    <row r="7874" spans="2:42" x14ac:dyDescent="0.2">
      <c r="B7874" t="s">
        <v>44</v>
      </c>
      <c r="C7874" t="str">
        <f>HYPERLINK("https://us2.cloudbeds.com/connect/8493803454333002#/reservations/9080486848026212?display=4D6EKBFDWW&amp;reservation_id=9080486848026212", "4D6EKBFDWW")</f>
        <v>4D6EKBFDWW</v>
      </c>
      <c r="D7874" t="s">
        <v>45</v>
      </c>
      <c r="E7874" t="s">
        <v>213</v>
      </c>
      <c r="F7874" t="s">
        <v>86</v>
      </c>
      <c r="G7874" t="s">
        <v>48</v>
      </c>
      <c r="H7874" t="s">
        <v>49</v>
      </c>
      <c r="I7874" t="s">
        <v>8964</v>
      </c>
      <c r="J7874" t="s">
        <v>12566</v>
      </c>
      <c r="K7874" t="s">
        <v>14312</v>
      </c>
      <c r="L7874" t="s">
        <v>53</v>
      </c>
      <c r="N7874" t="s">
        <v>14719</v>
      </c>
      <c r="P7874" t="s">
        <v>55</v>
      </c>
      <c r="R7874" t="s">
        <v>53</v>
      </c>
      <c r="T7874" t="s">
        <v>14720</v>
      </c>
      <c r="U7874" t="s">
        <v>55</v>
      </c>
      <c r="V7874">
        <v>2</v>
      </c>
      <c r="W7874">
        <v>1</v>
      </c>
      <c r="X7874">
        <v>2</v>
      </c>
      <c r="Y7874">
        <v>0</v>
      </c>
      <c r="Z7874">
        <v>2</v>
      </c>
      <c r="AA7874">
        <v>0</v>
      </c>
      <c r="AB7874">
        <v>0</v>
      </c>
      <c r="AC7874">
        <v>254</v>
      </c>
      <c r="AD7874">
        <v>0</v>
      </c>
      <c r="AE7874">
        <v>0</v>
      </c>
      <c r="AF7874">
        <v>0</v>
      </c>
      <c r="AG7874">
        <v>0</v>
      </c>
      <c r="AH7874">
        <v>0</v>
      </c>
      <c r="AI7874">
        <v>38.1</v>
      </c>
      <c r="AJ7874">
        <v>254</v>
      </c>
      <c r="AK7874">
        <v>254</v>
      </c>
      <c r="AL7874" t="s">
        <v>53</v>
      </c>
      <c r="AM7874" t="s">
        <v>53</v>
      </c>
      <c r="AN7874" t="s">
        <v>14721</v>
      </c>
      <c r="AO7874" t="s">
        <v>53</v>
      </c>
      <c r="AP7874" t="s">
        <v>53</v>
      </c>
    </row>
    <row r="7875" spans="2:42" x14ac:dyDescent="0.2">
      <c r="B7875" t="s">
        <v>44</v>
      </c>
      <c r="C7875" t="str">
        <f>HYPERLINK("https://us2.cloudbeds.com/connect/8493803454333002#/reservations/204255705366656?display=4D7YPN232S&amp;reservation_id=204255705366656", "4D7YPN232S")</f>
        <v>4D7YPN232S</v>
      </c>
      <c r="D7875" t="s">
        <v>45</v>
      </c>
      <c r="E7875" t="s">
        <v>179</v>
      </c>
      <c r="F7875" t="s">
        <v>47</v>
      </c>
      <c r="G7875" t="s">
        <v>3974</v>
      </c>
      <c r="H7875" t="s">
        <v>3957</v>
      </c>
      <c r="I7875" t="s">
        <v>3975</v>
      </c>
      <c r="J7875" t="s">
        <v>14119</v>
      </c>
      <c r="K7875" t="s">
        <v>13587</v>
      </c>
      <c r="L7875" t="s">
        <v>53</v>
      </c>
      <c r="P7875" t="s">
        <v>55</v>
      </c>
      <c r="R7875" t="s">
        <v>56</v>
      </c>
      <c r="T7875" t="s">
        <v>14722</v>
      </c>
      <c r="U7875" t="s">
        <v>58</v>
      </c>
      <c r="V7875">
        <v>2</v>
      </c>
      <c r="W7875">
        <v>1</v>
      </c>
      <c r="X7875">
        <v>2</v>
      </c>
      <c r="Y7875">
        <v>0</v>
      </c>
      <c r="Z7875">
        <v>2</v>
      </c>
      <c r="AA7875">
        <v>252.69</v>
      </c>
      <c r="AB7875">
        <v>252.69</v>
      </c>
      <c r="AC7875">
        <v>220.4</v>
      </c>
      <c r="AD7875">
        <v>0</v>
      </c>
      <c r="AE7875">
        <v>32.29</v>
      </c>
      <c r="AF7875">
        <v>0</v>
      </c>
      <c r="AG7875">
        <v>0</v>
      </c>
      <c r="AH7875">
        <v>0</v>
      </c>
      <c r="AI7875">
        <v>0</v>
      </c>
      <c r="AJ7875">
        <v>252.69</v>
      </c>
      <c r="AK7875">
        <v>0</v>
      </c>
      <c r="AL7875" t="s">
        <v>53</v>
      </c>
      <c r="AM7875" t="s">
        <v>53</v>
      </c>
      <c r="AN7875" t="s">
        <v>14723</v>
      </c>
      <c r="AO7875" t="s">
        <v>53</v>
      </c>
      <c r="AP7875" t="s">
        <v>53</v>
      </c>
    </row>
    <row r="7876" spans="2:42" x14ac:dyDescent="0.2">
      <c r="B7876" t="s">
        <v>44</v>
      </c>
      <c r="C7876" t="str">
        <f>HYPERLINK("https://us2.cloudbeds.com/connect/8493803454333002#/reservations/9080486848027881?display=4D80UT8A8X&amp;reservation_id=9080486848027881", "4D80UT8A8X")</f>
        <v>4D80UT8A8X</v>
      </c>
      <c r="D7876" t="s">
        <v>45</v>
      </c>
      <c r="E7876" t="s">
        <v>128</v>
      </c>
      <c r="F7876" t="s">
        <v>86</v>
      </c>
      <c r="G7876" t="s">
        <v>48</v>
      </c>
      <c r="H7876" t="s">
        <v>49</v>
      </c>
      <c r="I7876" t="s">
        <v>62</v>
      </c>
      <c r="J7876" t="s">
        <v>14399</v>
      </c>
      <c r="K7876" t="s">
        <v>14312</v>
      </c>
      <c r="L7876" t="s">
        <v>53</v>
      </c>
      <c r="N7876" t="s">
        <v>14724</v>
      </c>
      <c r="P7876" t="s">
        <v>55</v>
      </c>
      <c r="R7876" t="s">
        <v>56</v>
      </c>
      <c r="T7876" t="s">
        <v>14725</v>
      </c>
      <c r="U7876" t="s">
        <v>55</v>
      </c>
      <c r="V7876">
        <v>1</v>
      </c>
      <c r="W7876">
        <v>1</v>
      </c>
      <c r="X7876">
        <v>2</v>
      </c>
      <c r="Y7876">
        <v>2</v>
      </c>
      <c r="Z7876">
        <v>4</v>
      </c>
      <c r="AA7876">
        <v>106.59</v>
      </c>
      <c r="AB7876">
        <v>106.59</v>
      </c>
      <c r="AC7876">
        <v>106.59</v>
      </c>
      <c r="AD7876">
        <v>0</v>
      </c>
      <c r="AE7876">
        <v>0</v>
      </c>
      <c r="AF7876">
        <v>0</v>
      </c>
      <c r="AG7876">
        <v>0</v>
      </c>
      <c r="AH7876">
        <v>0</v>
      </c>
      <c r="AI7876">
        <v>19.190000000000001</v>
      </c>
      <c r="AJ7876">
        <v>106.59</v>
      </c>
      <c r="AK7876">
        <v>0</v>
      </c>
      <c r="AL7876" t="s">
        <v>53</v>
      </c>
      <c r="AM7876" t="s">
        <v>53</v>
      </c>
      <c r="AN7876" t="s">
        <v>14726</v>
      </c>
      <c r="AO7876" t="s">
        <v>53</v>
      </c>
      <c r="AP7876" t="s">
        <v>53</v>
      </c>
    </row>
    <row r="7877" spans="2:42" x14ac:dyDescent="0.2">
      <c r="B7877" t="s">
        <v>44</v>
      </c>
      <c r="C7877" t="str">
        <f>HYPERLINK("https://us2.cloudbeds.com/connect/8493803454333002#/reservations/9080486848027996?display=4D84RMENEV&amp;reservation_id=9080486848027996", "4D84RMENEV")</f>
        <v>4D84RMENEV</v>
      </c>
      <c r="D7877" t="s">
        <v>45</v>
      </c>
      <c r="E7877" t="s">
        <v>155</v>
      </c>
      <c r="F7877" t="s">
        <v>86</v>
      </c>
      <c r="G7877" t="s">
        <v>48</v>
      </c>
      <c r="H7877" t="s">
        <v>49</v>
      </c>
      <c r="I7877" t="s">
        <v>8964</v>
      </c>
      <c r="J7877" t="s">
        <v>14399</v>
      </c>
      <c r="K7877" t="s">
        <v>14312</v>
      </c>
      <c r="L7877" t="s">
        <v>53</v>
      </c>
      <c r="N7877" t="s">
        <v>14727</v>
      </c>
      <c r="P7877" t="s">
        <v>55</v>
      </c>
      <c r="R7877" t="s">
        <v>53</v>
      </c>
      <c r="T7877" t="s">
        <v>14728</v>
      </c>
      <c r="U7877" t="s">
        <v>55</v>
      </c>
      <c r="V7877">
        <v>1</v>
      </c>
      <c r="W7877">
        <v>1</v>
      </c>
      <c r="X7877">
        <v>2</v>
      </c>
      <c r="Y7877">
        <v>0</v>
      </c>
      <c r="Z7877">
        <v>2</v>
      </c>
      <c r="AA7877">
        <v>0</v>
      </c>
      <c r="AB7877">
        <v>0</v>
      </c>
      <c r="AC7877">
        <v>127</v>
      </c>
      <c r="AD7877">
        <v>0</v>
      </c>
      <c r="AE7877">
        <v>0</v>
      </c>
      <c r="AF7877">
        <v>0</v>
      </c>
      <c r="AG7877">
        <v>0</v>
      </c>
      <c r="AH7877">
        <v>0</v>
      </c>
      <c r="AI7877">
        <v>19.05</v>
      </c>
      <c r="AJ7877">
        <v>127</v>
      </c>
      <c r="AK7877">
        <v>127</v>
      </c>
      <c r="AL7877" t="s">
        <v>53</v>
      </c>
      <c r="AM7877" t="s">
        <v>53</v>
      </c>
      <c r="AN7877" t="s">
        <v>14729</v>
      </c>
      <c r="AO7877" t="s">
        <v>53</v>
      </c>
      <c r="AP7877" t="s">
        <v>53</v>
      </c>
    </row>
    <row r="7878" spans="2:42" x14ac:dyDescent="0.2">
      <c r="B7878" t="s">
        <v>44</v>
      </c>
      <c r="C7878" t="str">
        <f>HYPERLINK("https://us2.cloudbeds.com/connect/8493803454333002#/reservations/204283532103808?display=4D8AAZ9945&amp;reservation_id=204283532103808", "4D8AAZ9945")</f>
        <v>4D8AAZ9945</v>
      </c>
      <c r="D7878" t="s">
        <v>45</v>
      </c>
      <c r="E7878" t="s">
        <v>85</v>
      </c>
      <c r="F7878" t="s">
        <v>86</v>
      </c>
      <c r="G7878" t="s">
        <v>48</v>
      </c>
      <c r="H7878" t="s">
        <v>3957</v>
      </c>
      <c r="I7878" t="s">
        <v>3975</v>
      </c>
      <c r="J7878" t="s">
        <v>13532</v>
      </c>
      <c r="K7878" t="s">
        <v>13001</v>
      </c>
      <c r="L7878" t="s">
        <v>53</v>
      </c>
      <c r="P7878" t="s">
        <v>55</v>
      </c>
      <c r="R7878" t="s">
        <v>56</v>
      </c>
      <c r="T7878" t="s">
        <v>14730</v>
      </c>
      <c r="U7878" t="s">
        <v>58</v>
      </c>
      <c r="V7878">
        <v>3</v>
      </c>
      <c r="W7878">
        <v>1</v>
      </c>
      <c r="X7878">
        <v>2</v>
      </c>
      <c r="Y7878">
        <v>0</v>
      </c>
      <c r="Z7878">
        <v>2</v>
      </c>
      <c r="AA7878">
        <v>439.11</v>
      </c>
      <c r="AB7878">
        <v>439.11</v>
      </c>
      <c r="AC7878">
        <v>383</v>
      </c>
      <c r="AD7878">
        <v>0</v>
      </c>
      <c r="AE7878">
        <v>56.11</v>
      </c>
      <c r="AF7878">
        <v>0</v>
      </c>
      <c r="AG7878">
        <v>0</v>
      </c>
      <c r="AH7878">
        <v>0</v>
      </c>
      <c r="AI7878">
        <v>0</v>
      </c>
      <c r="AJ7878">
        <v>439.11</v>
      </c>
      <c r="AK7878">
        <v>0</v>
      </c>
      <c r="AL7878" t="s">
        <v>53</v>
      </c>
      <c r="AM7878" t="s">
        <v>53</v>
      </c>
      <c r="AN7878" t="s">
        <v>14731</v>
      </c>
      <c r="AO7878" t="s">
        <v>53</v>
      </c>
      <c r="AP7878" t="s">
        <v>53</v>
      </c>
    </row>
    <row r="7879" spans="2:42" x14ac:dyDescent="0.2">
      <c r="B7879" t="s">
        <v>44</v>
      </c>
      <c r="C7879" t="str">
        <f>HYPERLINK("https://us2.cloudbeds.com/connect/8493803454333002#/reservations/204294333415616?display=4D8XMZ88PU&amp;reservation_id=204294333415616", "4D8XMZ88PU")</f>
        <v>4D8XMZ88PU</v>
      </c>
      <c r="D7879" t="s">
        <v>45</v>
      </c>
      <c r="E7879" t="s">
        <v>265</v>
      </c>
      <c r="F7879" t="s">
        <v>61</v>
      </c>
      <c r="G7879" t="s">
        <v>48</v>
      </c>
      <c r="H7879" t="s">
        <v>3957</v>
      </c>
      <c r="I7879" t="s">
        <v>3975</v>
      </c>
      <c r="J7879" t="s">
        <v>14732</v>
      </c>
      <c r="K7879" t="s">
        <v>14391</v>
      </c>
      <c r="L7879" t="s">
        <v>53</v>
      </c>
      <c r="P7879" t="s">
        <v>55</v>
      </c>
      <c r="R7879" t="s">
        <v>56</v>
      </c>
      <c r="T7879" t="s">
        <v>14733</v>
      </c>
      <c r="U7879" t="s">
        <v>58</v>
      </c>
      <c r="V7879">
        <v>2</v>
      </c>
      <c r="W7879">
        <v>1</v>
      </c>
      <c r="X7879">
        <v>2</v>
      </c>
      <c r="Y7879">
        <v>0</v>
      </c>
      <c r="Z7879">
        <v>2</v>
      </c>
      <c r="AA7879">
        <v>0</v>
      </c>
      <c r="AB7879">
        <v>0</v>
      </c>
      <c r="AC7879">
        <v>0</v>
      </c>
      <c r="AD7879">
        <v>0</v>
      </c>
      <c r="AE7879">
        <v>0</v>
      </c>
      <c r="AF7879">
        <v>0</v>
      </c>
      <c r="AG7879">
        <v>0</v>
      </c>
      <c r="AH7879">
        <v>0</v>
      </c>
      <c r="AI7879">
        <v>0</v>
      </c>
      <c r="AJ7879">
        <v>0</v>
      </c>
      <c r="AK7879">
        <v>0</v>
      </c>
      <c r="AL7879" t="s">
        <v>53</v>
      </c>
      <c r="AM7879" t="s">
        <v>53</v>
      </c>
      <c r="AN7879" t="s">
        <v>53</v>
      </c>
      <c r="AO7879" t="s">
        <v>53</v>
      </c>
      <c r="AP7879" t="s">
        <v>53</v>
      </c>
    </row>
    <row r="7880" spans="2:42" x14ac:dyDescent="0.2">
      <c r="B7880" t="s">
        <v>44</v>
      </c>
      <c r="C7880" t="str">
        <f>HYPERLINK("https://us2.cloudbeds.com/connect/8493803454333002#/reservations/204587046908096?display=4DFEB80QCP&amp;reservation_id=204587046908096", "4DFEB80QCP")</f>
        <v>4DFEB80QCP</v>
      </c>
      <c r="D7880" t="s">
        <v>45</v>
      </c>
      <c r="E7880" t="s">
        <v>190</v>
      </c>
      <c r="F7880" t="s">
        <v>61</v>
      </c>
      <c r="G7880" t="s">
        <v>48</v>
      </c>
      <c r="H7880" t="s">
        <v>3957</v>
      </c>
      <c r="I7880" t="s">
        <v>3958</v>
      </c>
      <c r="J7880" t="s">
        <v>14399</v>
      </c>
      <c r="K7880" t="s">
        <v>14312</v>
      </c>
      <c r="L7880" t="s">
        <v>53</v>
      </c>
      <c r="P7880" t="s">
        <v>55</v>
      </c>
      <c r="R7880" t="s">
        <v>56</v>
      </c>
      <c r="T7880" t="s">
        <v>14734</v>
      </c>
      <c r="U7880" t="s">
        <v>58</v>
      </c>
      <c r="V7880">
        <v>1</v>
      </c>
      <c r="W7880">
        <v>1</v>
      </c>
      <c r="X7880">
        <v>1</v>
      </c>
      <c r="Y7880">
        <v>0</v>
      </c>
      <c r="Z7880">
        <v>1</v>
      </c>
      <c r="AA7880">
        <v>141.03</v>
      </c>
      <c r="AB7880">
        <v>141.03</v>
      </c>
      <c r="AC7880">
        <v>123</v>
      </c>
      <c r="AD7880">
        <v>0</v>
      </c>
      <c r="AE7880">
        <v>18.03</v>
      </c>
      <c r="AF7880">
        <v>0</v>
      </c>
      <c r="AG7880">
        <v>0</v>
      </c>
      <c r="AH7880">
        <v>0</v>
      </c>
      <c r="AI7880">
        <v>0</v>
      </c>
      <c r="AJ7880">
        <v>141.03</v>
      </c>
      <c r="AK7880">
        <v>0</v>
      </c>
      <c r="AL7880" t="s">
        <v>53</v>
      </c>
      <c r="AM7880" t="s">
        <v>53</v>
      </c>
      <c r="AN7880" t="s">
        <v>53</v>
      </c>
      <c r="AO7880" t="s">
        <v>53</v>
      </c>
      <c r="AP7880" t="s">
        <v>53</v>
      </c>
    </row>
    <row r="7881" spans="2:42" x14ac:dyDescent="0.2">
      <c r="B7881" t="s">
        <v>44</v>
      </c>
      <c r="C7881" t="str">
        <f>HYPERLINK("https://us2.cloudbeds.com/connect/8493803454333002#/reservations/9080486848036701?display=4DG0KYUTP2&amp;reservation_id=9080486848036701", "4DG0KYUTP2")</f>
        <v>4DG0KYUTP2</v>
      </c>
      <c r="D7881" t="s">
        <v>45</v>
      </c>
      <c r="E7881" t="s">
        <v>85</v>
      </c>
      <c r="F7881" t="s">
        <v>86</v>
      </c>
      <c r="G7881" t="s">
        <v>48</v>
      </c>
      <c r="H7881" t="s">
        <v>49</v>
      </c>
      <c r="I7881" t="s">
        <v>62</v>
      </c>
      <c r="J7881" t="s">
        <v>13825</v>
      </c>
      <c r="K7881" t="s">
        <v>13383</v>
      </c>
      <c r="L7881" t="s">
        <v>53</v>
      </c>
      <c r="N7881" t="s">
        <v>14735</v>
      </c>
      <c r="P7881" t="s">
        <v>55</v>
      </c>
      <c r="R7881" t="s">
        <v>56</v>
      </c>
      <c r="T7881" t="s">
        <v>14736</v>
      </c>
      <c r="U7881" t="s">
        <v>55</v>
      </c>
      <c r="V7881">
        <v>2</v>
      </c>
      <c r="W7881">
        <v>1</v>
      </c>
      <c r="X7881">
        <v>2</v>
      </c>
      <c r="Y7881">
        <v>0</v>
      </c>
      <c r="Z7881">
        <v>2</v>
      </c>
      <c r="AA7881">
        <v>217.62</v>
      </c>
      <c r="AB7881">
        <v>217.62</v>
      </c>
      <c r="AC7881">
        <v>217.62</v>
      </c>
      <c r="AD7881">
        <v>0</v>
      </c>
      <c r="AE7881">
        <v>0</v>
      </c>
      <c r="AF7881">
        <v>0</v>
      </c>
      <c r="AG7881">
        <v>0</v>
      </c>
      <c r="AH7881">
        <v>0</v>
      </c>
      <c r="AI7881">
        <v>39.17</v>
      </c>
      <c r="AJ7881">
        <v>217.62</v>
      </c>
      <c r="AK7881">
        <v>0</v>
      </c>
      <c r="AL7881" t="s">
        <v>53</v>
      </c>
      <c r="AM7881" t="s">
        <v>53</v>
      </c>
      <c r="AN7881" t="s">
        <v>53</v>
      </c>
      <c r="AO7881" t="s">
        <v>53</v>
      </c>
      <c r="AP7881" t="s">
        <v>53</v>
      </c>
    </row>
    <row r="7882" spans="2:42" x14ac:dyDescent="0.2">
      <c r="B7882" t="s">
        <v>44</v>
      </c>
      <c r="C7882" t="str">
        <f>HYPERLINK("https://us2.cloudbeds.com/connect/8493803454333002#/reservations/9080486848037399?display=4DGPZ0D47M&amp;reservation_id=9080486848037399", "4DGPZ0D47M")</f>
        <v>4DGPZ0D47M</v>
      </c>
      <c r="D7882" t="s">
        <v>45</v>
      </c>
      <c r="E7882" t="s">
        <v>128</v>
      </c>
      <c r="F7882" t="s">
        <v>86</v>
      </c>
      <c r="G7882" t="s">
        <v>48</v>
      </c>
      <c r="H7882" t="s">
        <v>49</v>
      </c>
      <c r="I7882" t="s">
        <v>62</v>
      </c>
      <c r="J7882" t="s">
        <v>14312</v>
      </c>
      <c r="K7882" t="s">
        <v>14081</v>
      </c>
      <c r="L7882" t="s">
        <v>53</v>
      </c>
      <c r="N7882" t="s">
        <v>14737</v>
      </c>
      <c r="P7882" t="s">
        <v>55</v>
      </c>
      <c r="R7882" t="s">
        <v>946</v>
      </c>
      <c r="T7882" t="s">
        <v>14738</v>
      </c>
      <c r="U7882" t="s">
        <v>55</v>
      </c>
      <c r="V7882">
        <v>2</v>
      </c>
      <c r="W7882">
        <v>1</v>
      </c>
      <c r="X7882">
        <v>2</v>
      </c>
      <c r="Y7882">
        <v>0</v>
      </c>
      <c r="Z7882">
        <v>2</v>
      </c>
      <c r="AA7882">
        <v>205.7</v>
      </c>
      <c r="AB7882">
        <v>205.7</v>
      </c>
      <c r="AC7882">
        <v>205.7</v>
      </c>
      <c r="AD7882">
        <v>0</v>
      </c>
      <c r="AE7882">
        <v>0</v>
      </c>
      <c r="AF7882">
        <v>0</v>
      </c>
      <c r="AG7882">
        <v>0</v>
      </c>
      <c r="AH7882">
        <v>0</v>
      </c>
      <c r="AI7882">
        <v>37.03</v>
      </c>
      <c r="AJ7882">
        <v>205.7</v>
      </c>
      <c r="AK7882">
        <v>0</v>
      </c>
      <c r="AL7882" t="s">
        <v>53</v>
      </c>
      <c r="AM7882" t="s">
        <v>53</v>
      </c>
      <c r="AN7882" t="s">
        <v>53</v>
      </c>
      <c r="AO7882" t="s">
        <v>53</v>
      </c>
      <c r="AP7882" t="s">
        <v>53</v>
      </c>
    </row>
    <row r="7883" spans="2:42" x14ac:dyDescent="0.2">
      <c r="B7883" t="s">
        <v>44</v>
      </c>
      <c r="C7883" t="str">
        <f>HYPERLINK("https://us2.cloudbeds.com/connect/8493803454333002#/reservations/9080486848037450?display=4DGS1WM0MM&amp;reservation_id=9080486848037450", "4DGS1WM0MM")</f>
        <v>4DGS1WM0MM</v>
      </c>
      <c r="D7883" t="s">
        <v>45</v>
      </c>
      <c r="E7883" t="s">
        <v>105</v>
      </c>
      <c r="F7883" t="s">
        <v>47</v>
      </c>
      <c r="G7883" t="s">
        <v>48</v>
      </c>
      <c r="H7883" t="s">
        <v>49</v>
      </c>
      <c r="I7883" t="s">
        <v>50</v>
      </c>
      <c r="J7883" t="s">
        <v>13964</v>
      </c>
      <c r="K7883" t="s">
        <v>13001</v>
      </c>
      <c r="L7883" t="s">
        <v>53</v>
      </c>
      <c r="N7883" t="s">
        <v>14739</v>
      </c>
      <c r="P7883" t="s">
        <v>55</v>
      </c>
      <c r="R7883" t="s">
        <v>53</v>
      </c>
      <c r="T7883" t="s">
        <v>14740</v>
      </c>
      <c r="U7883" t="s">
        <v>55</v>
      </c>
      <c r="V7883">
        <v>1</v>
      </c>
      <c r="W7883">
        <v>1</v>
      </c>
      <c r="X7883">
        <v>2</v>
      </c>
      <c r="Y7883">
        <v>0</v>
      </c>
      <c r="Z7883">
        <v>2</v>
      </c>
      <c r="AA7883">
        <v>117.45</v>
      </c>
      <c r="AB7883">
        <v>117.45</v>
      </c>
      <c r="AC7883">
        <v>108</v>
      </c>
      <c r="AD7883">
        <v>0</v>
      </c>
      <c r="AE7883">
        <v>9.4499999999999993</v>
      </c>
      <c r="AF7883">
        <v>0</v>
      </c>
      <c r="AG7883">
        <v>0</v>
      </c>
      <c r="AH7883">
        <v>0</v>
      </c>
      <c r="AI7883">
        <v>21.14</v>
      </c>
      <c r="AJ7883">
        <v>117.45</v>
      </c>
      <c r="AK7883">
        <v>0</v>
      </c>
      <c r="AL7883" t="s">
        <v>53</v>
      </c>
      <c r="AM7883" t="s">
        <v>53</v>
      </c>
      <c r="AN7883" t="s">
        <v>53</v>
      </c>
      <c r="AO7883" t="s">
        <v>53</v>
      </c>
      <c r="AP7883" t="s">
        <v>53</v>
      </c>
    </row>
    <row r="7884" spans="2:42" x14ac:dyDescent="0.2">
      <c r="B7884" t="s">
        <v>44</v>
      </c>
      <c r="C7884" t="str">
        <f>HYPERLINK("https://us2.cloudbeds.com/connect/8493803454333002#/reservations/9080486848041521?display=4DKN0ZDHMZ&amp;reservation_id=9080486848041521", "4DKN0ZDHMZ")</f>
        <v>4DKN0ZDHMZ</v>
      </c>
      <c r="D7884" t="s">
        <v>45</v>
      </c>
      <c r="E7884" t="s">
        <v>138</v>
      </c>
      <c r="F7884" t="s">
        <v>70</v>
      </c>
      <c r="G7884" t="s">
        <v>48</v>
      </c>
      <c r="H7884" t="s">
        <v>49</v>
      </c>
      <c r="I7884" t="s">
        <v>50</v>
      </c>
      <c r="J7884" t="s">
        <v>13532</v>
      </c>
      <c r="K7884" t="s">
        <v>14480</v>
      </c>
      <c r="L7884" t="s">
        <v>53</v>
      </c>
      <c r="N7884" t="s">
        <v>14741</v>
      </c>
      <c r="P7884" t="s">
        <v>55</v>
      </c>
      <c r="R7884" t="s">
        <v>53</v>
      </c>
      <c r="T7884" t="s">
        <v>14742</v>
      </c>
      <c r="U7884" t="s">
        <v>58</v>
      </c>
      <c r="V7884">
        <v>1</v>
      </c>
      <c r="W7884">
        <v>1</v>
      </c>
      <c r="X7884">
        <v>1</v>
      </c>
      <c r="Y7884">
        <v>0</v>
      </c>
      <c r="Z7884">
        <v>1</v>
      </c>
      <c r="AA7884">
        <v>85.76</v>
      </c>
      <c r="AB7884">
        <v>85.76</v>
      </c>
      <c r="AC7884">
        <v>74.8</v>
      </c>
      <c r="AD7884">
        <v>0</v>
      </c>
      <c r="AE7884">
        <v>10.96</v>
      </c>
      <c r="AF7884">
        <v>0</v>
      </c>
      <c r="AG7884">
        <v>0</v>
      </c>
      <c r="AH7884">
        <v>0</v>
      </c>
      <c r="AI7884">
        <v>15.44</v>
      </c>
      <c r="AJ7884">
        <v>85.76</v>
      </c>
      <c r="AK7884">
        <v>0</v>
      </c>
      <c r="AL7884" t="s">
        <v>53</v>
      </c>
      <c r="AM7884" t="s">
        <v>53</v>
      </c>
      <c r="AN7884" t="s">
        <v>53</v>
      </c>
      <c r="AO7884" t="s">
        <v>53</v>
      </c>
      <c r="AP7884" t="s">
        <v>53</v>
      </c>
    </row>
    <row r="7885" spans="2:42" x14ac:dyDescent="0.2">
      <c r="B7885" t="s">
        <v>44</v>
      </c>
      <c r="C7885" t="str">
        <f>HYPERLINK("https://us2.cloudbeds.com/connect/8493803454333002#/reservations/204929997131968?display=4DNFTDZX7E&amp;reservation_id=204929997131968", "4DNFTDZX7E")</f>
        <v>4DNFTDZX7E</v>
      </c>
      <c r="D7885" t="s">
        <v>45</v>
      </c>
      <c r="E7885" t="s">
        <v>46</v>
      </c>
      <c r="F7885" t="s">
        <v>47</v>
      </c>
      <c r="G7885" t="s">
        <v>48</v>
      </c>
      <c r="H7885" t="s">
        <v>3957</v>
      </c>
      <c r="I7885" t="s">
        <v>3958</v>
      </c>
      <c r="J7885" t="s">
        <v>14312</v>
      </c>
      <c r="K7885" t="s">
        <v>14313</v>
      </c>
      <c r="L7885" t="s">
        <v>53</v>
      </c>
      <c r="P7885" t="s">
        <v>55</v>
      </c>
      <c r="R7885" t="s">
        <v>56</v>
      </c>
      <c r="T7885" t="s">
        <v>14743</v>
      </c>
      <c r="U7885" t="s">
        <v>58</v>
      </c>
      <c r="V7885">
        <v>1</v>
      </c>
      <c r="W7885">
        <v>1</v>
      </c>
      <c r="X7885">
        <v>1</v>
      </c>
      <c r="Y7885">
        <v>0</v>
      </c>
      <c r="Z7885">
        <v>1</v>
      </c>
      <c r="AA7885">
        <v>97.46</v>
      </c>
      <c r="AB7885">
        <v>97.46</v>
      </c>
      <c r="AC7885">
        <v>85</v>
      </c>
      <c r="AD7885">
        <v>0</v>
      </c>
      <c r="AE7885">
        <v>12.46</v>
      </c>
      <c r="AF7885">
        <v>0</v>
      </c>
      <c r="AG7885">
        <v>0</v>
      </c>
      <c r="AH7885">
        <v>0</v>
      </c>
      <c r="AI7885">
        <v>0</v>
      </c>
      <c r="AJ7885">
        <v>97.46</v>
      </c>
      <c r="AK7885">
        <v>0</v>
      </c>
      <c r="AL7885" t="s">
        <v>53</v>
      </c>
      <c r="AM7885" t="s">
        <v>53</v>
      </c>
      <c r="AN7885" t="s">
        <v>53</v>
      </c>
      <c r="AO7885" t="s">
        <v>53</v>
      </c>
      <c r="AP7885" t="s">
        <v>53</v>
      </c>
    </row>
    <row r="7886" spans="2:42" x14ac:dyDescent="0.2">
      <c r="B7886" t="s">
        <v>44</v>
      </c>
      <c r="C7886" t="str">
        <f>HYPERLINK("https://us2.cloudbeds.com/connect/8493803454333002#/reservations/9080486848052458?display=4DT61HTRGX&amp;reservation_id=9080486848052458", "4DT61HTRGX")</f>
        <v>4DT61HTRGX</v>
      </c>
      <c r="D7886" t="s">
        <v>45</v>
      </c>
      <c r="E7886" t="s">
        <v>113</v>
      </c>
      <c r="F7886" t="s">
        <v>61</v>
      </c>
      <c r="G7886" t="s">
        <v>48</v>
      </c>
      <c r="H7886" t="s">
        <v>49</v>
      </c>
      <c r="I7886" t="s">
        <v>62</v>
      </c>
      <c r="J7886" t="s">
        <v>13001</v>
      </c>
      <c r="K7886" t="s">
        <v>9579</v>
      </c>
      <c r="L7886" t="s">
        <v>53</v>
      </c>
      <c r="N7886" t="s">
        <v>14744</v>
      </c>
      <c r="P7886" t="s">
        <v>55</v>
      </c>
      <c r="R7886" t="s">
        <v>56</v>
      </c>
      <c r="T7886" t="s">
        <v>14745</v>
      </c>
      <c r="U7886" t="s">
        <v>55</v>
      </c>
      <c r="V7886">
        <v>3</v>
      </c>
      <c r="W7886">
        <v>1</v>
      </c>
      <c r="X7886">
        <v>2</v>
      </c>
      <c r="Y7886">
        <v>0</v>
      </c>
      <c r="Z7886">
        <v>2</v>
      </c>
      <c r="AA7886">
        <v>282.38</v>
      </c>
      <c r="AB7886">
        <v>282.38</v>
      </c>
      <c r="AC7886">
        <v>282.38</v>
      </c>
      <c r="AD7886">
        <v>0</v>
      </c>
      <c r="AE7886">
        <v>0</v>
      </c>
      <c r="AF7886">
        <v>0</v>
      </c>
      <c r="AG7886">
        <v>0</v>
      </c>
      <c r="AH7886">
        <v>0</v>
      </c>
      <c r="AI7886">
        <v>50.83</v>
      </c>
      <c r="AJ7886">
        <v>282.38</v>
      </c>
      <c r="AK7886">
        <v>0</v>
      </c>
      <c r="AL7886" t="s">
        <v>53</v>
      </c>
      <c r="AM7886" t="s">
        <v>53</v>
      </c>
      <c r="AN7886" t="s">
        <v>14746</v>
      </c>
      <c r="AO7886" t="s">
        <v>53</v>
      </c>
      <c r="AP7886" t="s">
        <v>53</v>
      </c>
    </row>
    <row r="7887" spans="2:42" x14ac:dyDescent="0.2">
      <c r="B7887" t="s">
        <v>44</v>
      </c>
      <c r="C7887" t="str">
        <f>HYPERLINK("https://us2.cloudbeds.com/connect/8493803454333002#/reservations/9080486848054001?display=4DU1FBTZV2&amp;reservation_id=9080486848054001", "4DU1FBTZV2")</f>
        <v>4DU1FBTZV2</v>
      </c>
      <c r="D7887" t="s">
        <v>45</v>
      </c>
      <c r="E7887" t="s">
        <v>165</v>
      </c>
      <c r="F7887" t="s">
        <v>61</v>
      </c>
      <c r="G7887" t="s">
        <v>48</v>
      </c>
      <c r="H7887" t="s">
        <v>49</v>
      </c>
      <c r="I7887" t="s">
        <v>62</v>
      </c>
      <c r="J7887" t="s">
        <v>14313</v>
      </c>
      <c r="K7887" t="s">
        <v>14081</v>
      </c>
      <c r="L7887" t="s">
        <v>53</v>
      </c>
      <c r="N7887" t="s">
        <v>14747</v>
      </c>
      <c r="P7887" t="s">
        <v>55</v>
      </c>
      <c r="R7887" t="s">
        <v>56</v>
      </c>
      <c r="T7887" t="s">
        <v>14748</v>
      </c>
      <c r="U7887" t="s">
        <v>55</v>
      </c>
      <c r="V7887">
        <v>1</v>
      </c>
      <c r="W7887">
        <v>1</v>
      </c>
      <c r="X7887">
        <v>2</v>
      </c>
      <c r="Y7887">
        <v>0</v>
      </c>
      <c r="Z7887">
        <v>2</v>
      </c>
      <c r="AA7887">
        <v>88.83</v>
      </c>
      <c r="AB7887">
        <v>88.83</v>
      </c>
      <c r="AC7887">
        <v>88.83</v>
      </c>
      <c r="AD7887">
        <v>0</v>
      </c>
      <c r="AE7887">
        <v>0</v>
      </c>
      <c r="AF7887">
        <v>0</v>
      </c>
      <c r="AG7887">
        <v>0</v>
      </c>
      <c r="AH7887">
        <v>0</v>
      </c>
      <c r="AI7887">
        <v>15.99</v>
      </c>
      <c r="AJ7887">
        <v>88.83</v>
      </c>
      <c r="AK7887">
        <v>0</v>
      </c>
      <c r="AL7887" t="s">
        <v>53</v>
      </c>
      <c r="AM7887" t="s">
        <v>53</v>
      </c>
      <c r="AN7887" t="s">
        <v>53</v>
      </c>
      <c r="AO7887" t="s">
        <v>53</v>
      </c>
      <c r="AP7887" t="s">
        <v>53</v>
      </c>
    </row>
    <row r="7888" spans="2:42" x14ac:dyDescent="0.2">
      <c r="B7888" t="s">
        <v>44</v>
      </c>
      <c r="C7888" t="str">
        <f>HYPERLINK("https://us2.cloudbeds.com/connect/8493803454333002#/reservations/9080486848058211?display=4E050YRANZ&amp;reservation_id=9080486848058211", "4E050YRANZ")</f>
        <v>4E050YRANZ</v>
      </c>
      <c r="D7888" t="s">
        <v>45</v>
      </c>
      <c r="E7888" t="s">
        <v>46</v>
      </c>
      <c r="F7888" t="s">
        <v>47</v>
      </c>
      <c r="G7888" t="s">
        <v>48</v>
      </c>
      <c r="H7888" t="s">
        <v>49</v>
      </c>
      <c r="I7888" t="s">
        <v>62</v>
      </c>
      <c r="J7888" t="s">
        <v>14480</v>
      </c>
      <c r="K7888" t="s">
        <v>13964</v>
      </c>
      <c r="L7888" t="s">
        <v>53</v>
      </c>
      <c r="N7888" t="s">
        <v>14749</v>
      </c>
      <c r="P7888" t="s">
        <v>55</v>
      </c>
      <c r="R7888" t="s">
        <v>56</v>
      </c>
      <c r="T7888" t="s">
        <v>14750</v>
      </c>
      <c r="U7888" t="s">
        <v>55</v>
      </c>
      <c r="V7888">
        <v>1</v>
      </c>
      <c r="W7888">
        <v>1</v>
      </c>
      <c r="X7888">
        <v>2</v>
      </c>
      <c r="Y7888">
        <v>0</v>
      </c>
      <c r="Z7888">
        <v>2</v>
      </c>
      <c r="AA7888">
        <v>82.28</v>
      </c>
      <c r="AB7888">
        <v>82.28</v>
      </c>
      <c r="AC7888">
        <v>82.28</v>
      </c>
      <c r="AD7888">
        <v>0</v>
      </c>
      <c r="AE7888">
        <v>0</v>
      </c>
      <c r="AF7888">
        <v>0</v>
      </c>
      <c r="AG7888">
        <v>0</v>
      </c>
      <c r="AH7888">
        <v>0</v>
      </c>
      <c r="AI7888">
        <v>14.81</v>
      </c>
      <c r="AJ7888">
        <v>82.28</v>
      </c>
      <c r="AK7888">
        <v>0</v>
      </c>
      <c r="AL7888" t="s">
        <v>53</v>
      </c>
      <c r="AM7888" t="s">
        <v>53</v>
      </c>
      <c r="AN7888" t="s">
        <v>53</v>
      </c>
      <c r="AO7888" t="s">
        <v>53</v>
      </c>
      <c r="AP7888" t="s">
        <v>53</v>
      </c>
    </row>
    <row r="7889" spans="2:42" x14ac:dyDescent="0.2">
      <c r="B7889" t="s">
        <v>44</v>
      </c>
      <c r="C7889" t="str">
        <f>HYPERLINK("https://us2.cloudbeds.com/connect/8493803454333002#/reservations/9080486848058818?display=4E0P4ZQM81&amp;reservation_id=9080486848058818", "4E0P4ZQM81")</f>
        <v>4E0P4ZQM81</v>
      </c>
      <c r="D7889" t="s">
        <v>45</v>
      </c>
      <c r="E7889" t="s">
        <v>78</v>
      </c>
      <c r="F7889" t="s">
        <v>61</v>
      </c>
      <c r="G7889" t="s">
        <v>48</v>
      </c>
      <c r="H7889" t="s">
        <v>49</v>
      </c>
      <c r="I7889" t="s">
        <v>50</v>
      </c>
      <c r="J7889" t="s">
        <v>13537</v>
      </c>
      <c r="K7889" t="s">
        <v>14354</v>
      </c>
      <c r="L7889" t="s">
        <v>53</v>
      </c>
      <c r="N7889" t="s">
        <v>14751</v>
      </c>
      <c r="P7889" t="s">
        <v>55</v>
      </c>
      <c r="R7889" t="s">
        <v>53</v>
      </c>
      <c r="T7889" t="s">
        <v>14752</v>
      </c>
      <c r="U7889" t="s">
        <v>55</v>
      </c>
      <c r="V7889">
        <v>3</v>
      </c>
      <c r="W7889">
        <v>1</v>
      </c>
      <c r="X7889">
        <v>2</v>
      </c>
      <c r="Y7889">
        <v>0</v>
      </c>
      <c r="Z7889">
        <v>2</v>
      </c>
      <c r="AA7889">
        <v>237.63</v>
      </c>
      <c r="AB7889">
        <v>237.63</v>
      </c>
      <c r="AC7889">
        <v>218.51</v>
      </c>
      <c r="AD7889">
        <v>0</v>
      </c>
      <c r="AE7889">
        <v>19.12</v>
      </c>
      <c r="AF7889">
        <v>0</v>
      </c>
      <c r="AG7889">
        <v>0</v>
      </c>
      <c r="AH7889">
        <v>0</v>
      </c>
      <c r="AI7889">
        <v>42.77</v>
      </c>
      <c r="AJ7889">
        <v>237.63</v>
      </c>
      <c r="AK7889">
        <v>0</v>
      </c>
      <c r="AL7889" t="s">
        <v>53</v>
      </c>
      <c r="AM7889" t="s">
        <v>53</v>
      </c>
      <c r="AN7889" t="s">
        <v>14753</v>
      </c>
      <c r="AO7889" t="s">
        <v>53</v>
      </c>
      <c r="AP7889" t="s">
        <v>53</v>
      </c>
    </row>
    <row r="7890" spans="2:42" x14ac:dyDescent="0.2">
      <c r="B7890" t="s">
        <v>44</v>
      </c>
      <c r="C7890" t="str">
        <f>HYPERLINK("https://us2.cloudbeds.com/connect/8493803454333002#/reservations/9080486848061297?display=4E3990P26R&amp;reservation_id=9080486848061297", "4E3990P26R")</f>
        <v>4E3990P26R</v>
      </c>
      <c r="D7890" t="s">
        <v>45</v>
      </c>
      <c r="E7890" t="s">
        <v>223</v>
      </c>
      <c r="F7890" t="s">
        <v>47</v>
      </c>
      <c r="G7890" t="s">
        <v>48</v>
      </c>
      <c r="H7890" t="s">
        <v>49</v>
      </c>
      <c r="I7890" t="s">
        <v>50</v>
      </c>
      <c r="J7890" t="s">
        <v>14119</v>
      </c>
      <c r="K7890" t="s">
        <v>13587</v>
      </c>
      <c r="L7890" t="s">
        <v>53</v>
      </c>
      <c r="N7890" t="s">
        <v>14754</v>
      </c>
      <c r="P7890" t="s">
        <v>55</v>
      </c>
      <c r="R7890" t="s">
        <v>56</v>
      </c>
      <c r="T7890" t="s">
        <v>14755</v>
      </c>
      <c r="U7890" t="s">
        <v>55</v>
      </c>
      <c r="V7890">
        <v>2</v>
      </c>
      <c r="W7890">
        <v>1</v>
      </c>
      <c r="X7890">
        <v>1</v>
      </c>
      <c r="Y7890">
        <v>0</v>
      </c>
      <c r="Z7890">
        <v>1</v>
      </c>
      <c r="AA7890">
        <v>182.92</v>
      </c>
      <c r="AB7890">
        <v>376.79</v>
      </c>
      <c r="AC7890">
        <v>168.2</v>
      </c>
      <c r="AD7890">
        <v>10</v>
      </c>
      <c r="AE7890">
        <v>15.67</v>
      </c>
      <c r="AF7890">
        <v>0</v>
      </c>
      <c r="AG7890">
        <v>0</v>
      </c>
      <c r="AH7890">
        <v>0</v>
      </c>
      <c r="AI7890">
        <v>34.9</v>
      </c>
      <c r="AJ7890">
        <v>193.87</v>
      </c>
      <c r="AK7890">
        <v>0</v>
      </c>
      <c r="AL7890" t="s">
        <v>53</v>
      </c>
      <c r="AM7890" t="s">
        <v>53</v>
      </c>
      <c r="AN7890" t="s">
        <v>53</v>
      </c>
      <c r="AO7890" t="s">
        <v>53</v>
      </c>
      <c r="AP7890" t="s">
        <v>53</v>
      </c>
    </row>
    <row r="7891" spans="2:42" x14ac:dyDescent="0.2">
      <c r="B7891" t="s">
        <v>44</v>
      </c>
      <c r="C7891" t="str">
        <f>HYPERLINK("https://us2.cloudbeds.com/connect/8493803454333002#/reservations/9080486848067239?display=4E75G5H8MU&amp;reservation_id=9080486848067239", "4E75G5H8MU")</f>
        <v>4E75G5H8MU</v>
      </c>
      <c r="D7891" t="s">
        <v>45</v>
      </c>
      <c r="E7891" t="s">
        <v>85</v>
      </c>
      <c r="F7891" t="s">
        <v>86</v>
      </c>
      <c r="G7891" t="s">
        <v>48</v>
      </c>
      <c r="H7891" t="s">
        <v>49</v>
      </c>
      <c r="I7891" t="s">
        <v>62</v>
      </c>
      <c r="J7891" t="s">
        <v>13573</v>
      </c>
      <c r="K7891" t="s">
        <v>14502</v>
      </c>
      <c r="L7891" t="s">
        <v>53</v>
      </c>
      <c r="N7891" t="s">
        <v>14756</v>
      </c>
      <c r="P7891" t="s">
        <v>55</v>
      </c>
      <c r="R7891" t="s">
        <v>56</v>
      </c>
      <c r="T7891" t="s">
        <v>14757</v>
      </c>
      <c r="U7891" t="s">
        <v>55</v>
      </c>
      <c r="V7891">
        <v>1</v>
      </c>
      <c r="W7891">
        <v>1</v>
      </c>
      <c r="X7891">
        <v>3</v>
      </c>
      <c r="Y7891">
        <v>0</v>
      </c>
      <c r="Z7891">
        <v>3</v>
      </c>
      <c r="AA7891">
        <v>97.71</v>
      </c>
      <c r="AB7891">
        <v>97.71</v>
      </c>
      <c r="AC7891">
        <v>97.71</v>
      </c>
      <c r="AD7891">
        <v>0</v>
      </c>
      <c r="AE7891">
        <v>0</v>
      </c>
      <c r="AF7891">
        <v>0</v>
      </c>
      <c r="AG7891">
        <v>0</v>
      </c>
      <c r="AH7891">
        <v>0</v>
      </c>
      <c r="AI7891">
        <v>17.59</v>
      </c>
      <c r="AJ7891">
        <v>97.71</v>
      </c>
      <c r="AK7891">
        <v>0</v>
      </c>
      <c r="AL7891" t="s">
        <v>53</v>
      </c>
      <c r="AM7891" t="s">
        <v>53</v>
      </c>
      <c r="AN7891" t="s">
        <v>14758</v>
      </c>
      <c r="AO7891" t="s">
        <v>53</v>
      </c>
      <c r="AP7891" t="s">
        <v>53</v>
      </c>
    </row>
    <row r="7892" spans="2:42" x14ac:dyDescent="0.2">
      <c r="B7892" t="s">
        <v>44</v>
      </c>
      <c r="C7892" t="str">
        <f>HYPERLINK("https://us2.cloudbeds.com/connect/8493803454333002#/reservations/9080486848067266?display=4E762A8RNR&amp;reservation_id=9080486848067266", "4E762A8RNR")</f>
        <v>4E762A8RNR</v>
      </c>
      <c r="D7892" t="s">
        <v>45</v>
      </c>
      <c r="E7892" t="s">
        <v>128</v>
      </c>
      <c r="F7892" t="s">
        <v>86</v>
      </c>
      <c r="G7892" t="s">
        <v>48</v>
      </c>
      <c r="H7892" t="s">
        <v>49</v>
      </c>
      <c r="I7892" t="s">
        <v>62</v>
      </c>
      <c r="J7892" t="s">
        <v>14288</v>
      </c>
      <c r="K7892" t="s">
        <v>14759</v>
      </c>
      <c r="L7892" t="s">
        <v>53</v>
      </c>
      <c r="N7892" t="s">
        <v>14760</v>
      </c>
      <c r="P7892" t="s">
        <v>55</v>
      </c>
      <c r="R7892" t="s">
        <v>56</v>
      </c>
      <c r="T7892" t="s">
        <v>14761</v>
      </c>
      <c r="U7892" t="s">
        <v>55</v>
      </c>
      <c r="V7892">
        <v>1</v>
      </c>
      <c r="W7892">
        <v>1</v>
      </c>
      <c r="X7892">
        <v>3</v>
      </c>
      <c r="Y7892">
        <v>0</v>
      </c>
      <c r="Z7892">
        <v>3</v>
      </c>
      <c r="AA7892">
        <v>97.71</v>
      </c>
      <c r="AB7892">
        <v>97.71</v>
      </c>
      <c r="AC7892">
        <v>97.71</v>
      </c>
      <c r="AD7892">
        <v>0</v>
      </c>
      <c r="AE7892">
        <v>0</v>
      </c>
      <c r="AF7892">
        <v>0</v>
      </c>
      <c r="AG7892">
        <v>0</v>
      </c>
      <c r="AH7892">
        <v>0</v>
      </c>
      <c r="AI7892">
        <v>17.59</v>
      </c>
      <c r="AJ7892">
        <v>97.71</v>
      </c>
      <c r="AK7892">
        <v>0</v>
      </c>
      <c r="AL7892" t="s">
        <v>53</v>
      </c>
      <c r="AM7892" t="s">
        <v>53</v>
      </c>
      <c r="AN7892" t="s">
        <v>53</v>
      </c>
      <c r="AO7892" t="s">
        <v>53</v>
      </c>
      <c r="AP7892" t="s">
        <v>53</v>
      </c>
    </row>
    <row r="7893" spans="2:42" x14ac:dyDescent="0.2">
      <c r="B7893" t="s">
        <v>44</v>
      </c>
      <c r="C7893" t="str">
        <f>HYPERLINK("https://us2.cloudbeds.com/connect/8493803454333002#/reservations/9080486848068786?display=4E8CBS8EJA&amp;reservation_id=9080486848068786", "4E8CBS8EJA")</f>
        <v>4E8CBS8EJA</v>
      </c>
      <c r="D7893" t="s">
        <v>45</v>
      </c>
      <c r="E7893" t="s">
        <v>213</v>
      </c>
      <c r="F7893" t="s">
        <v>86</v>
      </c>
      <c r="G7893" t="s">
        <v>48</v>
      </c>
      <c r="H7893" t="s">
        <v>49</v>
      </c>
      <c r="I7893" t="s">
        <v>62</v>
      </c>
      <c r="J7893" t="s">
        <v>14502</v>
      </c>
      <c r="K7893" t="s">
        <v>14762</v>
      </c>
      <c r="L7893" t="s">
        <v>53</v>
      </c>
      <c r="N7893" t="s">
        <v>14763</v>
      </c>
      <c r="P7893" t="s">
        <v>55</v>
      </c>
      <c r="R7893" t="s">
        <v>56</v>
      </c>
      <c r="T7893" t="s">
        <v>14764</v>
      </c>
      <c r="U7893" t="s">
        <v>55</v>
      </c>
      <c r="V7893">
        <v>1</v>
      </c>
      <c r="W7893">
        <v>1</v>
      </c>
      <c r="X7893">
        <v>2</v>
      </c>
      <c r="Y7893">
        <v>0</v>
      </c>
      <c r="Z7893">
        <v>2</v>
      </c>
      <c r="AA7893">
        <v>114.59</v>
      </c>
      <c r="AB7893">
        <v>114.59</v>
      </c>
      <c r="AC7893">
        <v>114.59</v>
      </c>
      <c r="AD7893">
        <v>0</v>
      </c>
      <c r="AE7893">
        <v>0</v>
      </c>
      <c r="AF7893">
        <v>0</v>
      </c>
      <c r="AG7893">
        <v>0</v>
      </c>
      <c r="AH7893">
        <v>0</v>
      </c>
      <c r="AI7893">
        <v>20.63</v>
      </c>
      <c r="AJ7893">
        <v>114.59</v>
      </c>
      <c r="AK7893">
        <v>0</v>
      </c>
      <c r="AL7893" t="s">
        <v>53</v>
      </c>
      <c r="AM7893" t="s">
        <v>53</v>
      </c>
      <c r="AN7893" t="s">
        <v>53</v>
      </c>
      <c r="AO7893" t="s">
        <v>53</v>
      </c>
      <c r="AP7893" t="s">
        <v>53</v>
      </c>
    </row>
    <row r="7894" spans="2:42" x14ac:dyDescent="0.2">
      <c r="B7894" t="s">
        <v>44</v>
      </c>
      <c r="C7894" t="str">
        <f>HYPERLINK("https://us2.cloudbeds.com/connect/8493803454333002#/reservations/9080486848073197?display=4ECC6CDQ7M&amp;reservation_id=9080486848073197", "4ECC6CDQ7M")</f>
        <v>4ECC6CDQ7M</v>
      </c>
      <c r="D7894" t="s">
        <v>45</v>
      </c>
      <c r="E7894" t="s">
        <v>165</v>
      </c>
      <c r="F7894" t="s">
        <v>61</v>
      </c>
      <c r="G7894" t="s">
        <v>48</v>
      </c>
      <c r="H7894" t="s">
        <v>49</v>
      </c>
      <c r="I7894" t="s">
        <v>50</v>
      </c>
      <c r="J7894" t="s">
        <v>13681</v>
      </c>
      <c r="K7894" t="s">
        <v>13825</v>
      </c>
      <c r="L7894" t="s">
        <v>53</v>
      </c>
      <c r="N7894" t="s">
        <v>14765</v>
      </c>
      <c r="P7894" t="s">
        <v>55</v>
      </c>
      <c r="R7894" t="s">
        <v>53</v>
      </c>
      <c r="T7894" t="s">
        <v>14766</v>
      </c>
      <c r="U7894" t="s">
        <v>55</v>
      </c>
      <c r="V7894">
        <v>1</v>
      </c>
      <c r="W7894">
        <v>1</v>
      </c>
      <c r="X7894">
        <v>2</v>
      </c>
      <c r="Y7894">
        <v>0</v>
      </c>
      <c r="Z7894">
        <v>2</v>
      </c>
      <c r="AA7894">
        <v>75.25</v>
      </c>
      <c r="AB7894">
        <v>75.25</v>
      </c>
      <c r="AC7894">
        <v>69.2</v>
      </c>
      <c r="AD7894">
        <v>0</v>
      </c>
      <c r="AE7894">
        <v>6.05</v>
      </c>
      <c r="AF7894">
        <v>0</v>
      </c>
      <c r="AG7894">
        <v>0</v>
      </c>
      <c r="AH7894">
        <v>0</v>
      </c>
      <c r="AI7894">
        <v>13.55</v>
      </c>
      <c r="AJ7894">
        <v>75.25</v>
      </c>
      <c r="AK7894">
        <v>0</v>
      </c>
      <c r="AL7894" t="s">
        <v>53</v>
      </c>
      <c r="AM7894" t="s">
        <v>53</v>
      </c>
      <c r="AN7894" t="s">
        <v>14767</v>
      </c>
      <c r="AO7894" t="s">
        <v>53</v>
      </c>
      <c r="AP7894" t="s">
        <v>53</v>
      </c>
    </row>
    <row r="7895" spans="2:42" x14ac:dyDescent="0.2">
      <c r="B7895" t="s">
        <v>44</v>
      </c>
      <c r="C7895" t="str">
        <f>HYPERLINK("https://us2.cloudbeds.com/connect/8493803454333002#/reservations/9080486848073693?display=4ECM5798MP&amp;reservation_id=9080486848073693", "4ECM5798MP")</f>
        <v>4ECM5798MP</v>
      </c>
      <c r="D7895" t="s">
        <v>45</v>
      </c>
      <c r="E7895" t="s">
        <v>110</v>
      </c>
      <c r="F7895" t="s">
        <v>47</v>
      </c>
      <c r="G7895" t="s">
        <v>48</v>
      </c>
      <c r="H7895" t="s">
        <v>49</v>
      </c>
      <c r="I7895" t="s">
        <v>50</v>
      </c>
      <c r="J7895" t="s">
        <v>14113</v>
      </c>
      <c r="K7895" t="s">
        <v>14768</v>
      </c>
      <c r="L7895" t="s">
        <v>53</v>
      </c>
      <c r="N7895" t="s">
        <v>14769</v>
      </c>
      <c r="P7895" t="s">
        <v>55</v>
      </c>
      <c r="R7895" t="s">
        <v>53</v>
      </c>
      <c r="T7895" t="s">
        <v>14770</v>
      </c>
      <c r="U7895" t="s">
        <v>55</v>
      </c>
      <c r="V7895">
        <v>1</v>
      </c>
      <c r="W7895">
        <v>1</v>
      </c>
      <c r="X7895">
        <v>1</v>
      </c>
      <c r="Y7895">
        <v>0</v>
      </c>
      <c r="Z7895">
        <v>1</v>
      </c>
      <c r="AA7895">
        <v>66.540000000000006</v>
      </c>
      <c r="AB7895">
        <v>66.540000000000006</v>
      </c>
      <c r="AC7895">
        <v>61.19</v>
      </c>
      <c r="AD7895">
        <v>0</v>
      </c>
      <c r="AE7895">
        <v>5.35</v>
      </c>
      <c r="AF7895">
        <v>0</v>
      </c>
      <c r="AG7895">
        <v>0</v>
      </c>
      <c r="AH7895">
        <v>0</v>
      </c>
      <c r="AI7895">
        <v>11.98</v>
      </c>
      <c r="AJ7895">
        <v>66.540000000000006</v>
      </c>
      <c r="AK7895">
        <v>0</v>
      </c>
      <c r="AL7895" t="s">
        <v>53</v>
      </c>
      <c r="AM7895" t="s">
        <v>53</v>
      </c>
      <c r="AN7895" t="s">
        <v>53</v>
      </c>
      <c r="AO7895" t="s">
        <v>53</v>
      </c>
      <c r="AP7895" t="s">
        <v>53</v>
      </c>
    </row>
    <row r="7896" spans="2:42" x14ac:dyDescent="0.2">
      <c r="B7896" t="s">
        <v>44</v>
      </c>
      <c r="C7896" t="str">
        <f>HYPERLINK("https://us2.cloudbeds.com/connect/8493803454333002#/reservations/9080486848073717?display=4ECMJZSXRZ&amp;reservation_id=9080486848073717", "4ECMJZSXRZ")</f>
        <v>4ECMJZSXRZ</v>
      </c>
      <c r="D7896" t="s">
        <v>45</v>
      </c>
      <c r="E7896" t="s">
        <v>223</v>
      </c>
      <c r="F7896" t="s">
        <v>47</v>
      </c>
      <c r="G7896" t="s">
        <v>48</v>
      </c>
      <c r="H7896" t="s">
        <v>49</v>
      </c>
      <c r="I7896" t="s">
        <v>50</v>
      </c>
      <c r="J7896" t="s">
        <v>9130</v>
      </c>
      <c r="K7896" t="s">
        <v>9131</v>
      </c>
      <c r="L7896" t="s">
        <v>53</v>
      </c>
      <c r="N7896" t="s">
        <v>14771</v>
      </c>
      <c r="P7896" t="s">
        <v>55</v>
      </c>
      <c r="R7896" t="s">
        <v>53</v>
      </c>
      <c r="T7896" t="s">
        <v>14772</v>
      </c>
      <c r="U7896" t="s">
        <v>55</v>
      </c>
      <c r="V7896">
        <v>1</v>
      </c>
      <c r="W7896">
        <v>1</v>
      </c>
      <c r="X7896">
        <v>1</v>
      </c>
      <c r="Y7896">
        <v>0</v>
      </c>
      <c r="Z7896">
        <v>1</v>
      </c>
      <c r="AA7896">
        <v>66.540000000000006</v>
      </c>
      <c r="AB7896">
        <v>66.540000000000006</v>
      </c>
      <c r="AC7896">
        <v>61.19</v>
      </c>
      <c r="AD7896">
        <v>0</v>
      </c>
      <c r="AE7896">
        <v>5.35</v>
      </c>
      <c r="AF7896">
        <v>0</v>
      </c>
      <c r="AG7896">
        <v>0</v>
      </c>
      <c r="AH7896">
        <v>0</v>
      </c>
      <c r="AI7896">
        <v>11.98</v>
      </c>
      <c r="AJ7896">
        <v>66.540000000000006</v>
      </c>
      <c r="AK7896">
        <v>0</v>
      </c>
      <c r="AL7896" t="s">
        <v>53</v>
      </c>
      <c r="AM7896" t="s">
        <v>53</v>
      </c>
      <c r="AN7896" t="s">
        <v>53</v>
      </c>
      <c r="AO7896" t="s">
        <v>53</v>
      </c>
      <c r="AP7896" t="s">
        <v>53</v>
      </c>
    </row>
    <row r="7897" spans="2:42" x14ac:dyDescent="0.2">
      <c r="B7897" t="s">
        <v>44</v>
      </c>
      <c r="C7897" t="str">
        <f>HYPERLINK("https://us2.cloudbeds.com/connect/8493803454333002#/reservations/205894279794880?display=4ED3X2DP4W&amp;reservation_id=205894279794880", "4ED3X2DP4W")</f>
        <v>4ED3X2DP4W</v>
      </c>
      <c r="D7897" t="s">
        <v>45</v>
      </c>
      <c r="E7897" t="s">
        <v>69</v>
      </c>
      <c r="F7897" t="s">
        <v>70</v>
      </c>
      <c r="G7897" t="s">
        <v>3974</v>
      </c>
      <c r="H7897" t="s">
        <v>3957</v>
      </c>
      <c r="I7897" t="s">
        <v>3975</v>
      </c>
      <c r="J7897" t="s">
        <v>13638</v>
      </c>
      <c r="K7897" t="s">
        <v>14206</v>
      </c>
      <c r="L7897" t="s">
        <v>53</v>
      </c>
      <c r="P7897" t="s">
        <v>55</v>
      </c>
      <c r="R7897" t="s">
        <v>56</v>
      </c>
      <c r="T7897" t="s">
        <v>14773</v>
      </c>
      <c r="U7897" t="s">
        <v>58</v>
      </c>
      <c r="V7897">
        <v>3</v>
      </c>
      <c r="W7897">
        <v>1</v>
      </c>
      <c r="X7897">
        <v>2</v>
      </c>
      <c r="Y7897">
        <v>0</v>
      </c>
      <c r="Z7897">
        <v>2</v>
      </c>
      <c r="AA7897">
        <v>313.82</v>
      </c>
      <c r="AB7897">
        <v>421.77</v>
      </c>
      <c r="AC7897">
        <v>273.70999999999998</v>
      </c>
      <c r="AD7897">
        <v>0</v>
      </c>
      <c r="AE7897">
        <v>40.11</v>
      </c>
      <c r="AF7897">
        <v>0</v>
      </c>
      <c r="AG7897">
        <v>0</v>
      </c>
      <c r="AH7897">
        <v>0</v>
      </c>
      <c r="AI7897">
        <v>0</v>
      </c>
      <c r="AJ7897">
        <v>313.82</v>
      </c>
      <c r="AK7897">
        <v>0</v>
      </c>
      <c r="AL7897" t="s">
        <v>53</v>
      </c>
      <c r="AM7897" t="s">
        <v>53</v>
      </c>
      <c r="AN7897" t="s">
        <v>53</v>
      </c>
      <c r="AO7897" t="s">
        <v>53</v>
      </c>
      <c r="AP7897" t="s">
        <v>53</v>
      </c>
    </row>
    <row r="7898" spans="2:42" x14ac:dyDescent="0.2">
      <c r="B7898" t="s">
        <v>44</v>
      </c>
      <c r="C7898" t="str">
        <f>HYPERLINK("https://us2.cloudbeds.com/connect/8493803454333002#/reservations/9080486848075391?display=4EDZC22DTF&amp;reservation_id=9080486848075391", "4EDZC22DTF")</f>
        <v>4EDZC22DTF</v>
      </c>
      <c r="D7898" t="s">
        <v>45</v>
      </c>
      <c r="E7898" t="s">
        <v>105</v>
      </c>
      <c r="F7898" t="s">
        <v>47</v>
      </c>
      <c r="G7898" t="s">
        <v>48</v>
      </c>
      <c r="H7898" t="s">
        <v>49</v>
      </c>
      <c r="I7898" t="s">
        <v>62</v>
      </c>
      <c r="J7898" t="s">
        <v>13532</v>
      </c>
      <c r="K7898" t="s">
        <v>14480</v>
      </c>
      <c r="L7898" t="s">
        <v>53</v>
      </c>
      <c r="N7898" t="s">
        <v>14774</v>
      </c>
      <c r="P7898" t="s">
        <v>55</v>
      </c>
      <c r="R7898" t="s">
        <v>56</v>
      </c>
      <c r="T7898" t="s">
        <v>14775</v>
      </c>
      <c r="U7898" t="s">
        <v>55</v>
      </c>
      <c r="V7898">
        <v>1</v>
      </c>
      <c r="W7898">
        <v>1</v>
      </c>
      <c r="X7898">
        <v>2</v>
      </c>
      <c r="Y7898">
        <v>0</v>
      </c>
      <c r="Z7898">
        <v>2</v>
      </c>
      <c r="AA7898">
        <v>74.8</v>
      </c>
      <c r="AB7898">
        <v>74.8</v>
      </c>
      <c r="AC7898">
        <v>74.8</v>
      </c>
      <c r="AD7898">
        <v>0</v>
      </c>
      <c r="AE7898">
        <v>0</v>
      </c>
      <c r="AF7898">
        <v>0</v>
      </c>
      <c r="AG7898">
        <v>0</v>
      </c>
      <c r="AH7898">
        <v>0</v>
      </c>
      <c r="AI7898">
        <v>13.46</v>
      </c>
      <c r="AJ7898">
        <v>74.8</v>
      </c>
      <c r="AK7898">
        <v>0</v>
      </c>
      <c r="AL7898" t="s">
        <v>53</v>
      </c>
      <c r="AM7898" t="s">
        <v>53</v>
      </c>
      <c r="AN7898" t="s">
        <v>53</v>
      </c>
      <c r="AO7898" t="s">
        <v>53</v>
      </c>
      <c r="AP7898" t="s">
        <v>53</v>
      </c>
    </row>
    <row r="7899" spans="2:42" x14ac:dyDescent="0.2">
      <c r="B7899" t="s">
        <v>44</v>
      </c>
      <c r="C7899" t="str">
        <f>HYPERLINK("https://us2.cloudbeds.com/connect/8493803454333002#/reservations/205954427781248?display=4EEH3WPQN2&amp;reservation_id=205954427781248", "4EEH3WPQN2")</f>
        <v>4EEH3WPQN2</v>
      </c>
      <c r="D7899" t="s">
        <v>45</v>
      </c>
      <c r="E7899" t="s">
        <v>105</v>
      </c>
      <c r="F7899" t="s">
        <v>47</v>
      </c>
      <c r="G7899" t="s">
        <v>5966</v>
      </c>
      <c r="H7899" t="s">
        <v>3957</v>
      </c>
      <c r="I7899" t="s">
        <v>3958</v>
      </c>
      <c r="J7899" t="s">
        <v>14762</v>
      </c>
      <c r="K7899" t="s">
        <v>13362</v>
      </c>
      <c r="L7899" t="s">
        <v>53</v>
      </c>
      <c r="P7899" t="s">
        <v>55</v>
      </c>
      <c r="R7899" t="s">
        <v>56</v>
      </c>
      <c r="T7899" t="s">
        <v>14776</v>
      </c>
      <c r="U7899" t="s">
        <v>58</v>
      </c>
      <c r="V7899">
        <v>2</v>
      </c>
      <c r="W7899">
        <v>1</v>
      </c>
      <c r="X7899">
        <v>1</v>
      </c>
      <c r="Y7899">
        <v>0</v>
      </c>
      <c r="Z7899">
        <v>1</v>
      </c>
      <c r="AA7899">
        <v>211.88</v>
      </c>
      <c r="AB7899">
        <v>211.88</v>
      </c>
      <c r="AC7899">
        <v>184.8</v>
      </c>
      <c r="AD7899">
        <v>0</v>
      </c>
      <c r="AE7899">
        <v>27.08</v>
      </c>
      <c r="AF7899">
        <v>0</v>
      </c>
      <c r="AG7899">
        <v>0</v>
      </c>
      <c r="AH7899">
        <v>0</v>
      </c>
      <c r="AI7899">
        <v>0</v>
      </c>
      <c r="AJ7899">
        <v>211.88</v>
      </c>
      <c r="AK7899">
        <v>0</v>
      </c>
      <c r="AL7899" t="s">
        <v>53</v>
      </c>
      <c r="AM7899" t="s">
        <v>53</v>
      </c>
      <c r="AN7899" t="s">
        <v>53</v>
      </c>
      <c r="AO7899" t="s">
        <v>53</v>
      </c>
      <c r="AP7899" t="s">
        <v>53</v>
      </c>
    </row>
    <row r="7900" spans="2:42" x14ac:dyDescent="0.2">
      <c r="B7900" t="s">
        <v>44</v>
      </c>
      <c r="C7900" t="str">
        <f>HYPERLINK("https://us2.cloudbeds.com/connect/8493803454333002#/reservations/9080486848077715?display=4EFB7ECMZ6&amp;reservation_id=9080486848077715", "4EFB7ECMZ6")</f>
        <v>4EFB7ECMZ6</v>
      </c>
      <c r="D7900" t="s">
        <v>45</v>
      </c>
      <c r="E7900" t="s">
        <v>179</v>
      </c>
      <c r="F7900" t="s">
        <v>47</v>
      </c>
      <c r="G7900" t="s">
        <v>48</v>
      </c>
      <c r="H7900" t="s">
        <v>49</v>
      </c>
      <c r="I7900" t="s">
        <v>62</v>
      </c>
      <c r="J7900" t="s">
        <v>13652</v>
      </c>
      <c r="K7900" t="s">
        <v>14189</v>
      </c>
      <c r="L7900" t="s">
        <v>53</v>
      </c>
      <c r="N7900" t="s">
        <v>14777</v>
      </c>
      <c r="P7900" t="s">
        <v>55</v>
      </c>
      <c r="R7900" t="s">
        <v>56</v>
      </c>
      <c r="T7900" t="s">
        <v>14778</v>
      </c>
      <c r="U7900" t="s">
        <v>55</v>
      </c>
      <c r="V7900">
        <v>1</v>
      </c>
      <c r="W7900">
        <v>1</v>
      </c>
      <c r="X7900">
        <v>2</v>
      </c>
      <c r="Y7900">
        <v>0</v>
      </c>
      <c r="Z7900">
        <v>2</v>
      </c>
      <c r="AA7900">
        <v>75.510000000000005</v>
      </c>
      <c r="AB7900">
        <v>75.510000000000005</v>
      </c>
      <c r="AC7900">
        <v>75.510000000000005</v>
      </c>
      <c r="AD7900">
        <v>0</v>
      </c>
      <c r="AE7900">
        <v>0</v>
      </c>
      <c r="AF7900">
        <v>0</v>
      </c>
      <c r="AG7900">
        <v>0</v>
      </c>
      <c r="AH7900">
        <v>0</v>
      </c>
      <c r="AI7900">
        <v>13.59</v>
      </c>
      <c r="AJ7900">
        <v>75.510000000000005</v>
      </c>
      <c r="AK7900">
        <v>0</v>
      </c>
      <c r="AL7900" t="s">
        <v>53</v>
      </c>
      <c r="AM7900" t="s">
        <v>53</v>
      </c>
      <c r="AN7900" t="s">
        <v>53</v>
      </c>
      <c r="AO7900" t="s">
        <v>53</v>
      </c>
      <c r="AP7900" t="s">
        <v>53</v>
      </c>
    </row>
    <row r="7901" spans="2:42" x14ac:dyDescent="0.2">
      <c r="B7901" t="s">
        <v>44</v>
      </c>
      <c r="C7901" t="str">
        <f>HYPERLINK("https://us2.cloudbeds.com/connect/8493803454333002#/reservations/206035443548352?display=4EGDS4E9M5&amp;reservation_id=206035443548352", "4EGDS4E9M5")</f>
        <v>4EGDS4E9M5</v>
      </c>
      <c r="D7901" t="s">
        <v>45</v>
      </c>
      <c r="E7901" t="s">
        <v>14402</v>
      </c>
      <c r="F7901" t="s">
        <v>14403</v>
      </c>
      <c r="G7901" t="s">
        <v>48</v>
      </c>
      <c r="H7901" t="s">
        <v>3957</v>
      </c>
      <c r="I7901" t="s">
        <v>3958</v>
      </c>
      <c r="J7901" t="s">
        <v>13532</v>
      </c>
      <c r="K7901" t="s">
        <v>14480</v>
      </c>
      <c r="L7901" t="s">
        <v>53</v>
      </c>
      <c r="P7901" t="s">
        <v>55</v>
      </c>
      <c r="R7901" t="s">
        <v>56</v>
      </c>
      <c r="T7901" t="s">
        <v>14779</v>
      </c>
      <c r="U7901" t="s">
        <v>58</v>
      </c>
      <c r="V7901">
        <v>1</v>
      </c>
      <c r="W7901">
        <v>1</v>
      </c>
      <c r="X7901">
        <v>1</v>
      </c>
      <c r="Y7901">
        <v>0</v>
      </c>
      <c r="Z7901">
        <v>1</v>
      </c>
      <c r="AA7901">
        <v>113.51</v>
      </c>
      <c r="AB7901">
        <v>113.51</v>
      </c>
      <c r="AC7901">
        <v>99</v>
      </c>
      <c r="AD7901">
        <v>0</v>
      </c>
      <c r="AE7901">
        <v>14.51</v>
      </c>
      <c r="AF7901">
        <v>0</v>
      </c>
      <c r="AG7901">
        <v>0</v>
      </c>
      <c r="AH7901">
        <v>0</v>
      </c>
      <c r="AI7901">
        <v>0</v>
      </c>
      <c r="AJ7901">
        <v>113.51</v>
      </c>
      <c r="AK7901">
        <v>0</v>
      </c>
      <c r="AL7901" t="s">
        <v>53</v>
      </c>
      <c r="AM7901" t="s">
        <v>53</v>
      </c>
      <c r="AN7901" t="s">
        <v>53</v>
      </c>
      <c r="AO7901" t="s">
        <v>53</v>
      </c>
      <c r="AP7901" t="s">
        <v>53</v>
      </c>
    </row>
    <row r="7902" spans="2:42" x14ac:dyDescent="0.2">
      <c r="B7902" t="s">
        <v>44</v>
      </c>
      <c r="C7902" t="str">
        <f>HYPERLINK("https://us2.cloudbeds.com/connect/8493803454333002#/reservations/9080486848083803?display=4EKQ4FZ52E&amp;reservation_id=9080486848083803", "4EKQ4FZ52E")</f>
        <v>4EKQ4FZ52E</v>
      </c>
      <c r="D7902" t="s">
        <v>45</v>
      </c>
      <c r="E7902" t="s">
        <v>69</v>
      </c>
      <c r="F7902" t="s">
        <v>70</v>
      </c>
      <c r="G7902" t="s">
        <v>48</v>
      </c>
      <c r="H7902" t="s">
        <v>49</v>
      </c>
      <c r="I7902" t="s">
        <v>62</v>
      </c>
      <c r="J7902" t="s">
        <v>9580</v>
      </c>
      <c r="K7902" t="s">
        <v>13676</v>
      </c>
      <c r="L7902" t="s">
        <v>53</v>
      </c>
      <c r="N7902" t="s">
        <v>14780</v>
      </c>
      <c r="P7902" t="s">
        <v>55</v>
      </c>
      <c r="R7902" t="s">
        <v>56</v>
      </c>
      <c r="T7902" t="s">
        <v>14781</v>
      </c>
      <c r="U7902" t="s">
        <v>55</v>
      </c>
      <c r="V7902">
        <v>1</v>
      </c>
      <c r="W7902">
        <v>1</v>
      </c>
      <c r="X7902">
        <v>2</v>
      </c>
      <c r="Y7902">
        <v>0</v>
      </c>
      <c r="Z7902">
        <v>2</v>
      </c>
      <c r="AA7902">
        <v>111.03</v>
      </c>
      <c r="AB7902">
        <v>111.03</v>
      </c>
      <c r="AC7902">
        <v>111.03</v>
      </c>
      <c r="AD7902">
        <v>0</v>
      </c>
      <c r="AE7902">
        <v>0</v>
      </c>
      <c r="AF7902">
        <v>0</v>
      </c>
      <c r="AG7902">
        <v>0</v>
      </c>
      <c r="AH7902">
        <v>0</v>
      </c>
      <c r="AI7902">
        <v>19.989999999999998</v>
      </c>
      <c r="AJ7902">
        <v>111.03</v>
      </c>
      <c r="AK7902">
        <v>0</v>
      </c>
      <c r="AL7902" t="s">
        <v>53</v>
      </c>
      <c r="AM7902" t="s">
        <v>53</v>
      </c>
      <c r="AN7902" t="s">
        <v>53</v>
      </c>
      <c r="AO7902" t="s">
        <v>53</v>
      </c>
      <c r="AP7902" t="s">
        <v>53</v>
      </c>
    </row>
    <row r="7903" spans="2:42" x14ac:dyDescent="0.2">
      <c r="B7903" t="s">
        <v>44</v>
      </c>
      <c r="C7903" t="str">
        <f>HYPERLINK("https://us2.cloudbeds.com/connect/8493803454333002#/reservations/9080486848084797?display=4EYFU5RPJ1&amp;reservation_id=9080486848084797", "4EYFU5RPJ1")</f>
        <v>4EYFU5RPJ1</v>
      </c>
      <c r="D7903" t="s">
        <v>45</v>
      </c>
      <c r="E7903" t="s">
        <v>487</v>
      </c>
      <c r="F7903" t="s">
        <v>61</v>
      </c>
      <c r="G7903" t="s">
        <v>48</v>
      </c>
      <c r="H7903" t="s">
        <v>49</v>
      </c>
      <c r="I7903" t="s">
        <v>62</v>
      </c>
      <c r="J7903" t="s">
        <v>13082</v>
      </c>
      <c r="K7903" t="s">
        <v>13067</v>
      </c>
      <c r="L7903" t="s">
        <v>53</v>
      </c>
      <c r="N7903" t="s">
        <v>14782</v>
      </c>
      <c r="P7903" t="s">
        <v>55</v>
      </c>
      <c r="R7903" t="s">
        <v>56</v>
      </c>
      <c r="T7903" t="s">
        <v>14783</v>
      </c>
      <c r="U7903" t="s">
        <v>55</v>
      </c>
      <c r="V7903">
        <v>3</v>
      </c>
      <c r="W7903">
        <v>1</v>
      </c>
      <c r="X7903">
        <v>2</v>
      </c>
      <c r="Y7903">
        <v>0</v>
      </c>
      <c r="Z7903">
        <v>2</v>
      </c>
      <c r="AA7903">
        <v>255.81</v>
      </c>
      <c r="AB7903">
        <v>255.81</v>
      </c>
      <c r="AC7903">
        <v>255.81</v>
      </c>
      <c r="AD7903">
        <v>0</v>
      </c>
      <c r="AE7903">
        <v>0</v>
      </c>
      <c r="AF7903">
        <v>0</v>
      </c>
      <c r="AG7903">
        <v>0</v>
      </c>
      <c r="AH7903">
        <v>0</v>
      </c>
      <c r="AI7903">
        <v>46.05</v>
      </c>
      <c r="AJ7903">
        <v>255.81</v>
      </c>
      <c r="AK7903">
        <v>0</v>
      </c>
      <c r="AL7903" t="s">
        <v>53</v>
      </c>
      <c r="AM7903" t="s">
        <v>53</v>
      </c>
      <c r="AN7903" t="s">
        <v>53</v>
      </c>
      <c r="AO7903" t="s">
        <v>53</v>
      </c>
      <c r="AP7903" t="s">
        <v>53</v>
      </c>
    </row>
    <row r="7904" spans="2:42" x14ac:dyDescent="0.2">
      <c r="B7904" t="s">
        <v>44</v>
      </c>
      <c r="C7904" t="str">
        <f>HYPERLINK("https://us2.cloudbeds.com/connect/8493803454333002#/reservations/9080486848085253?display=4EYR0Z8U4S&amp;reservation_id=9080486848085253", "4EYR0Z8U4S")</f>
        <v>4EYR0Z8U4S</v>
      </c>
      <c r="D7904" t="s">
        <v>45</v>
      </c>
      <c r="E7904" t="s">
        <v>190</v>
      </c>
      <c r="F7904" t="s">
        <v>61</v>
      </c>
      <c r="G7904" t="s">
        <v>48</v>
      </c>
      <c r="H7904" t="s">
        <v>49</v>
      </c>
      <c r="I7904" t="s">
        <v>62</v>
      </c>
      <c r="J7904" t="s">
        <v>13532</v>
      </c>
      <c r="K7904" t="s">
        <v>14480</v>
      </c>
      <c r="L7904" t="s">
        <v>53</v>
      </c>
      <c r="N7904" t="s">
        <v>14784</v>
      </c>
      <c r="P7904" t="s">
        <v>55</v>
      </c>
      <c r="R7904" t="s">
        <v>56</v>
      </c>
      <c r="T7904" t="s">
        <v>14785</v>
      </c>
      <c r="U7904" t="s">
        <v>55</v>
      </c>
      <c r="V7904">
        <v>1</v>
      </c>
      <c r="W7904">
        <v>1</v>
      </c>
      <c r="X7904">
        <v>2</v>
      </c>
      <c r="Y7904">
        <v>0</v>
      </c>
      <c r="Z7904">
        <v>2</v>
      </c>
      <c r="AA7904">
        <v>88.83</v>
      </c>
      <c r="AB7904">
        <v>88.83</v>
      </c>
      <c r="AC7904">
        <v>88.83</v>
      </c>
      <c r="AD7904">
        <v>0</v>
      </c>
      <c r="AE7904">
        <v>0</v>
      </c>
      <c r="AF7904">
        <v>0</v>
      </c>
      <c r="AG7904">
        <v>0</v>
      </c>
      <c r="AH7904">
        <v>0</v>
      </c>
      <c r="AI7904">
        <v>15.99</v>
      </c>
      <c r="AJ7904">
        <v>88.83</v>
      </c>
      <c r="AK7904">
        <v>0</v>
      </c>
      <c r="AL7904" t="s">
        <v>53</v>
      </c>
      <c r="AM7904" t="s">
        <v>53</v>
      </c>
      <c r="AN7904" t="s">
        <v>53</v>
      </c>
      <c r="AO7904" t="s">
        <v>53</v>
      </c>
      <c r="AP7904" t="s">
        <v>53</v>
      </c>
    </row>
    <row r="7905" spans="2:42" x14ac:dyDescent="0.2">
      <c r="B7905" t="s">
        <v>44</v>
      </c>
      <c r="C7905" t="str">
        <f>HYPERLINK("https://us2.cloudbeds.com/connect/8493803454333002#/reservations/206387822702720?display=4EZMN7T99J&amp;reservation_id=206387822702720", "4EZMN7T99J")</f>
        <v>4EZMN7T99J</v>
      </c>
      <c r="D7905" t="s">
        <v>45</v>
      </c>
      <c r="E7905" t="s">
        <v>14402</v>
      </c>
      <c r="F7905" t="s">
        <v>14403</v>
      </c>
      <c r="G7905" t="s">
        <v>48</v>
      </c>
      <c r="H7905" t="s">
        <v>3957</v>
      </c>
      <c r="I7905" t="s">
        <v>3958</v>
      </c>
      <c r="J7905" t="s">
        <v>14480</v>
      </c>
      <c r="K7905" t="s">
        <v>13964</v>
      </c>
      <c r="L7905" t="s">
        <v>53</v>
      </c>
      <c r="P7905" t="s">
        <v>55</v>
      </c>
      <c r="R7905" t="s">
        <v>56</v>
      </c>
      <c r="T7905" t="s">
        <v>14786</v>
      </c>
      <c r="U7905" t="s">
        <v>58</v>
      </c>
      <c r="V7905">
        <v>1</v>
      </c>
      <c r="W7905">
        <v>1</v>
      </c>
      <c r="X7905">
        <v>1</v>
      </c>
      <c r="Y7905">
        <v>0</v>
      </c>
      <c r="Z7905">
        <v>1</v>
      </c>
      <c r="AA7905">
        <v>142.16999999999999</v>
      </c>
      <c r="AB7905">
        <v>142.16999999999999</v>
      </c>
      <c r="AC7905">
        <v>124</v>
      </c>
      <c r="AD7905">
        <v>0</v>
      </c>
      <c r="AE7905">
        <v>18.170000000000002</v>
      </c>
      <c r="AF7905">
        <v>0</v>
      </c>
      <c r="AG7905">
        <v>0</v>
      </c>
      <c r="AH7905">
        <v>0</v>
      </c>
      <c r="AI7905">
        <v>0</v>
      </c>
      <c r="AJ7905">
        <v>142.16999999999999</v>
      </c>
      <c r="AK7905">
        <v>0</v>
      </c>
      <c r="AL7905" t="s">
        <v>53</v>
      </c>
      <c r="AM7905" t="s">
        <v>53</v>
      </c>
      <c r="AN7905" t="s">
        <v>53</v>
      </c>
      <c r="AO7905" t="s">
        <v>53</v>
      </c>
      <c r="AP7905" t="s">
        <v>53</v>
      </c>
    </row>
    <row r="7906" spans="2:42" x14ac:dyDescent="0.2">
      <c r="B7906" t="s">
        <v>44</v>
      </c>
      <c r="C7906" t="str">
        <f>HYPERLINK("https://us2.cloudbeds.com/connect/8493803454333002#/reservations/9080486848095597?display=4ETSVS83GV&amp;reservation_id=9080486848095597", "4ETSVS83GV")</f>
        <v>4ETSVS83GV</v>
      </c>
      <c r="D7906" t="s">
        <v>45</v>
      </c>
      <c r="E7906" t="s">
        <v>113</v>
      </c>
      <c r="F7906" t="s">
        <v>61</v>
      </c>
      <c r="G7906" t="s">
        <v>48</v>
      </c>
      <c r="H7906" t="s">
        <v>49</v>
      </c>
      <c r="I7906" t="s">
        <v>50</v>
      </c>
      <c r="J7906" t="s">
        <v>14480</v>
      </c>
      <c r="K7906" t="s">
        <v>13964</v>
      </c>
      <c r="L7906" t="s">
        <v>53</v>
      </c>
      <c r="N7906" t="s">
        <v>14787</v>
      </c>
      <c r="P7906" t="s">
        <v>55</v>
      </c>
      <c r="R7906" t="s">
        <v>53</v>
      </c>
      <c r="T7906" t="s">
        <v>14788</v>
      </c>
      <c r="U7906" t="s">
        <v>55</v>
      </c>
      <c r="V7906">
        <v>1</v>
      </c>
      <c r="W7906">
        <v>1</v>
      </c>
      <c r="X7906">
        <v>2</v>
      </c>
      <c r="Y7906">
        <v>0</v>
      </c>
      <c r="Z7906">
        <v>2</v>
      </c>
      <c r="AA7906">
        <v>99.22</v>
      </c>
      <c r="AB7906">
        <v>99.22</v>
      </c>
      <c r="AC7906">
        <v>91.24</v>
      </c>
      <c r="AD7906">
        <v>0</v>
      </c>
      <c r="AE7906">
        <v>7.98</v>
      </c>
      <c r="AF7906">
        <v>0</v>
      </c>
      <c r="AG7906">
        <v>0</v>
      </c>
      <c r="AH7906">
        <v>0</v>
      </c>
      <c r="AI7906">
        <v>17.86</v>
      </c>
      <c r="AJ7906">
        <v>99.22</v>
      </c>
      <c r="AK7906">
        <v>0</v>
      </c>
      <c r="AL7906" t="s">
        <v>53</v>
      </c>
      <c r="AM7906" t="s">
        <v>53</v>
      </c>
      <c r="AN7906" t="s">
        <v>53</v>
      </c>
      <c r="AO7906" t="s">
        <v>53</v>
      </c>
      <c r="AP7906" t="s">
        <v>53</v>
      </c>
    </row>
    <row r="7907" spans="2:42" x14ac:dyDescent="0.2">
      <c r="B7907" t="s">
        <v>44</v>
      </c>
      <c r="C7907" t="str">
        <f>HYPERLINK("https://us2.cloudbeds.com/connect/8493803454333002#/reservations/9080486848096245?display=4EUBANZ2VB&amp;reservation_id=9080486848096245", "4EUBANZ2VB")</f>
        <v>4EUBANZ2VB</v>
      </c>
      <c r="D7907" t="s">
        <v>45</v>
      </c>
      <c r="E7907" t="s">
        <v>165</v>
      </c>
      <c r="F7907" t="s">
        <v>61</v>
      </c>
      <c r="G7907" t="s">
        <v>48</v>
      </c>
      <c r="H7907" t="s">
        <v>49</v>
      </c>
      <c r="I7907" t="s">
        <v>50</v>
      </c>
      <c r="J7907" t="s">
        <v>13537</v>
      </c>
      <c r="K7907" t="s">
        <v>13538</v>
      </c>
      <c r="L7907" t="s">
        <v>53</v>
      </c>
      <c r="N7907" t="s">
        <v>14789</v>
      </c>
      <c r="P7907" t="s">
        <v>55</v>
      </c>
      <c r="R7907" t="s">
        <v>53</v>
      </c>
      <c r="T7907" t="s">
        <v>14790</v>
      </c>
      <c r="U7907" t="s">
        <v>58</v>
      </c>
      <c r="V7907">
        <v>1</v>
      </c>
      <c r="W7907">
        <v>1</v>
      </c>
      <c r="X7907">
        <v>2</v>
      </c>
      <c r="Y7907">
        <v>0</v>
      </c>
      <c r="Z7907">
        <v>2</v>
      </c>
      <c r="AA7907">
        <v>108.27</v>
      </c>
      <c r="AB7907">
        <v>108.27</v>
      </c>
      <c r="AC7907">
        <v>94.43</v>
      </c>
      <c r="AD7907">
        <v>0</v>
      </c>
      <c r="AE7907">
        <v>13.84</v>
      </c>
      <c r="AF7907">
        <v>0</v>
      </c>
      <c r="AG7907">
        <v>0</v>
      </c>
      <c r="AH7907">
        <v>0</v>
      </c>
      <c r="AI7907">
        <v>19.489999999999998</v>
      </c>
      <c r="AJ7907">
        <v>108.27</v>
      </c>
      <c r="AK7907">
        <v>0</v>
      </c>
      <c r="AL7907" t="s">
        <v>53</v>
      </c>
      <c r="AM7907" t="s">
        <v>53</v>
      </c>
      <c r="AN7907" t="s">
        <v>53</v>
      </c>
      <c r="AO7907" t="s">
        <v>53</v>
      </c>
      <c r="AP7907" t="s">
        <v>53</v>
      </c>
    </row>
    <row r="7908" spans="2:42" x14ac:dyDescent="0.2">
      <c r="B7908" t="s">
        <v>44</v>
      </c>
      <c r="C7908" t="str">
        <f>HYPERLINK("https://us2.cloudbeds.com/connect/8493803454333002#/reservations/206735467544768?display=4EWRTC6EPT&amp;reservation_id=206735467544768", "4EWRTC6EPT")</f>
        <v>4EWRTC6EPT</v>
      </c>
      <c r="D7908" t="s">
        <v>45</v>
      </c>
      <c r="E7908" t="s">
        <v>185</v>
      </c>
      <c r="F7908" t="s">
        <v>47</v>
      </c>
      <c r="G7908" t="s">
        <v>3974</v>
      </c>
      <c r="H7908" t="s">
        <v>3957</v>
      </c>
      <c r="I7908" t="s">
        <v>3975</v>
      </c>
      <c r="J7908" t="s">
        <v>13573</v>
      </c>
      <c r="K7908" t="s">
        <v>13476</v>
      </c>
      <c r="L7908" t="s">
        <v>53</v>
      </c>
      <c r="P7908" t="s">
        <v>55</v>
      </c>
      <c r="R7908" t="s">
        <v>56</v>
      </c>
      <c r="T7908" t="s">
        <v>14791</v>
      </c>
      <c r="U7908" t="s">
        <v>58</v>
      </c>
      <c r="V7908">
        <v>3</v>
      </c>
      <c r="W7908">
        <v>1</v>
      </c>
      <c r="X7908">
        <v>2</v>
      </c>
      <c r="Y7908">
        <v>0</v>
      </c>
      <c r="Z7908">
        <v>2</v>
      </c>
      <c r="AA7908">
        <v>331.11</v>
      </c>
      <c r="AB7908">
        <v>331.11</v>
      </c>
      <c r="AC7908">
        <v>288.8</v>
      </c>
      <c r="AD7908">
        <v>0</v>
      </c>
      <c r="AE7908">
        <v>42.31</v>
      </c>
      <c r="AF7908">
        <v>0</v>
      </c>
      <c r="AG7908">
        <v>0</v>
      </c>
      <c r="AH7908">
        <v>0</v>
      </c>
      <c r="AI7908">
        <v>0</v>
      </c>
      <c r="AJ7908">
        <v>331.11</v>
      </c>
      <c r="AK7908">
        <v>0</v>
      </c>
      <c r="AL7908" t="s">
        <v>53</v>
      </c>
      <c r="AM7908" t="s">
        <v>53</v>
      </c>
      <c r="AN7908" t="s">
        <v>14792</v>
      </c>
      <c r="AO7908" t="s">
        <v>53</v>
      </c>
      <c r="AP7908" t="s">
        <v>53</v>
      </c>
    </row>
    <row r="7909" spans="2:42" x14ac:dyDescent="0.2">
      <c r="B7909" t="s">
        <v>44</v>
      </c>
      <c r="C7909" t="str">
        <f>HYPERLINK("https://us2.cloudbeds.com/connect/8493803454333002#/reservations/206944998695040?display=4F4P4CD7RH&amp;reservation_id=206944998695040", "4F4P4CD7RH")</f>
        <v>4F4P4CD7RH</v>
      </c>
      <c r="D7909" t="s">
        <v>45</v>
      </c>
      <c r="E7909" t="s">
        <v>213</v>
      </c>
      <c r="F7909" t="s">
        <v>86</v>
      </c>
      <c r="G7909" t="s">
        <v>48</v>
      </c>
      <c r="H7909" t="s">
        <v>3957</v>
      </c>
      <c r="I7909" t="s">
        <v>3975</v>
      </c>
      <c r="J7909" t="s">
        <v>14119</v>
      </c>
      <c r="K7909" t="s">
        <v>13587</v>
      </c>
      <c r="L7909" t="s">
        <v>53</v>
      </c>
      <c r="P7909" t="s">
        <v>55</v>
      </c>
      <c r="R7909" t="s">
        <v>56</v>
      </c>
      <c r="T7909" t="s">
        <v>14793</v>
      </c>
      <c r="U7909" t="s">
        <v>58</v>
      </c>
      <c r="V7909">
        <v>2</v>
      </c>
      <c r="W7909">
        <v>1</v>
      </c>
      <c r="X7909">
        <v>1</v>
      </c>
      <c r="Y7909">
        <v>2</v>
      </c>
      <c r="Z7909">
        <v>3</v>
      </c>
      <c r="AA7909">
        <v>0</v>
      </c>
      <c r="AB7909">
        <v>333.64</v>
      </c>
      <c r="AC7909">
        <v>291</v>
      </c>
      <c r="AD7909">
        <v>0</v>
      </c>
      <c r="AE7909">
        <v>42.64</v>
      </c>
      <c r="AF7909">
        <v>0</v>
      </c>
      <c r="AG7909">
        <v>0</v>
      </c>
      <c r="AH7909">
        <v>0</v>
      </c>
      <c r="AI7909">
        <v>0</v>
      </c>
      <c r="AJ7909">
        <v>333.64</v>
      </c>
      <c r="AK7909">
        <v>0</v>
      </c>
      <c r="AL7909" t="s">
        <v>53</v>
      </c>
      <c r="AM7909" t="s">
        <v>53</v>
      </c>
      <c r="AN7909" t="s">
        <v>14794</v>
      </c>
      <c r="AO7909" t="s">
        <v>53</v>
      </c>
      <c r="AP7909" t="s">
        <v>53</v>
      </c>
    </row>
    <row r="7910" spans="2:42" x14ac:dyDescent="0.2">
      <c r="B7910" t="s">
        <v>44</v>
      </c>
      <c r="C7910" t="str">
        <f>HYPERLINK("https://us2.cloudbeds.com/connect/8493803454333002#/reservations/9080486848106532?display=4F66G4GUAY&amp;reservation_id=9080486848106532", "4F66G4GUAY")</f>
        <v>4F66G4GUAY</v>
      </c>
      <c r="D7910" t="s">
        <v>45</v>
      </c>
      <c r="E7910" t="s">
        <v>105</v>
      </c>
      <c r="F7910" t="s">
        <v>47</v>
      </c>
      <c r="G7910" t="s">
        <v>48</v>
      </c>
      <c r="H7910" t="s">
        <v>49</v>
      </c>
      <c r="I7910" t="s">
        <v>50</v>
      </c>
      <c r="J7910" t="s">
        <v>14206</v>
      </c>
      <c r="K7910" t="s">
        <v>13081</v>
      </c>
      <c r="L7910" t="s">
        <v>53</v>
      </c>
      <c r="N7910" t="s">
        <v>14795</v>
      </c>
      <c r="P7910" t="s">
        <v>55</v>
      </c>
      <c r="R7910" t="s">
        <v>53</v>
      </c>
      <c r="T7910" t="s">
        <v>14796</v>
      </c>
      <c r="U7910" t="s">
        <v>58</v>
      </c>
      <c r="V7910">
        <v>1</v>
      </c>
      <c r="W7910">
        <v>1</v>
      </c>
      <c r="X7910">
        <v>2</v>
      </c>
      <c r="Y7910">
        <v>0</v>
      </c>
      <c r="Z7910">
        <v>2</v>
      </c>
      <c r="AA7910">
        <v>239.06</v>
      </c>
      <c r="AB7910">
        <v>449.16</v>
      </c>
      <c r="AC7910">
        <v>208.5</v>
      </c>
      <c r="AD7910">
        <v>0</v>
      </c>
      <c r="AE7910">
        <v>30.56</v>
      </c>
      <c r="AF7910">
        <v>0</v>
      </c>
      <c r="AG7910">
        <v>0</v>
      </c>
      <c r="AH7910">
        <v>0</v>
      </c>
      <c r="AI7910">
        <v>43.03</v>
      </c>
      <c r="AJ7910">
        <v>239.06</v>
      </c>
      <c r="AK7910">
        <v>0</v>
      </c>
      <c r="AL7910" t="s">
        <v>53</v>
      </c>
      <c r="AM7910" t="s">
        <v>53</v>
      </c>
      <c r="AN7910" t="s">
        <v>14797</v>
      </c>
      <c r="AO7910" t="s">
        <v>53</v>
      </c>
      <c r="AP7910" t="s">
        <v>53</v>
      </c>
    </row>
    <row r="7911" spans="2:42" x14ac:dyDescent="0.2">
      <c r="B7911" t="s">
        <v>44</v>
      </c>
      <c r="C7911" t="str">
        <f>HYPERLINK("https://us2.cloudbeds.com/connect/8493803454333002#/reservations/9080486848108218?display=4F7JHUHRAE&amp;reservation_id=9080486848108218", "4F7JHUHRAE")</f>
        <v>4F7JHUHRAE</v>
      </c>
      <c r="D7911" t="s">
        <v>45</v>
      </c>
      <c r="E7911" t="s">
        <v>110</v>
      </c>
      <c r="F7911" t="s">
        <v>47</v>
      </c>
      <c r="G7911" t="s">
        <v>48</v>
      </c>
      <c r="H7911" t="s">
        <v>49</v>
      </c>
      <c r="I7911" t="s">
        <v>50</v>
      </c>
      <c r="J7911" t="s">
        <v>13964</v>
      </c>
      <c r="K7911" t="s">
        <v>13001</v>
      </c>
      <c r="L7911" t="s">
        <v>53</v>
      </c>
      <c r="N7911" t="s">
        <v>14798</v>
      </c>
      <c r="P7911" t="s">
        <v>55</v>
      </c>
      <c r="R7911" t="s">
        <v>53</v>
      </c>
      <c r="T7911" t="s">
        <v>14799</v>
      </c>
      <c r="U7911" t="s">
        <v>55</v>
      </c>
      <c r="V7911">
        <v>1</v>
      </c>
      <c r="W7911">
        <v>1</v>
      </c>
      <c r="X7911">
        <v>1</v>
      </c>
      <c r="Y7911">
        <v>0</v>
      </c>
      <c r="Z7911">
        <v>1</v>
      </c>
      <c r="AA7911">
        <v>80.760000000000005</v>
      </c>
      <c r="AB7911">
        <v>80.760000000000005</v>
      </c>
      <c r="AC7911">
        <v>74.260000000000005</v>
      </c>
      <c r="AD7911">
        <v>0</v>
      </c>
      <c r="AE7911">
        <v>6.5</v>
      </c>
      <c r="AF7911">
        <v>0</v>
      </c>
      <c r="AG7911">
        <v>0</v>
      </c>
      <c r="AH7911">
        <v>0</v>
      </c>
      <c r="AI7911">
        <v>14.54</v>
      </c>
      <c r="AJ7911">
        <v>80.760000000000005</v>
      </c>
      <c r="AK7911">
        <v>0</v>
      </c>
      <c r="AL7911" t="s">
        <v>53</v>
      </c>
      <c r="AM7911" t="s">
        <v>53</v>
      </c>
      <c r="AN7911" t="s">
        <v>53</v>
      </c>
      <c r="AO7911" t="s">
        <v>53</v>
      </c>
      <c r="AP7911" t="s">
        <v>53</v>
      </c>
    </row>
    <row r="7912" spans="2:42" x14ac:dyDescent="0.2">
      <c r="B7912" t="s">
        <v>44</v>
      </c>
      <c r="C7912" t="str">
        <f>HYPERLINK("https://us2.cloudbeds.com/connect/8493803454333002#/reservations/9080486848109026?display=4F8D3193DR&amp;reservation_id=9080486848109026", "4F8D3193DR")</f>
        <v>4F8D3193DR</v>
      </c>
      <c r="D7912" t="s">
        <v>45</v>
      </c>
      <c r="E7912" t="s">
        <v>85</v>
      </c>
      <c r="F7912" t="s">
        <v>86</v>
      </c>
      <c r="G7912" t="s">
        <v>48</v>
      </c>
      <c r="H7912" t="s">
        <v>49</v>
      </c>
      <c r="I7912" t="s">
        <v>50</v>
      </c>
      <c r="J7912" t="s">
        <v>14800</v>
      </c>
      <c r="K7912" t="s">
        <v>13361</v>
      </c>
      <c r="L7912" t="s">
        <v>53</v>
      </c>
      <c r="N7912" t="s">
        <v>14801</v>
      </c>
      <c r="P7912" t="s">
        <v>55</v>
      </c>
      <c r="R7912" t="s">
        <v>53</v>
      </c>
      <c r="T7912" t="s">
        <v>14802</v>
      </c>
      <c r="U7912" t="s">
        <v>55</v>
      </c>
      <c r="V7912">
        <v>1</v>
      </c>
      <c r="W7912">
        <v>1</v>
      </c>
      <c r="X7912">
        <v>2</v>
      </c>
      <c r="Y7912">
        <v>0</v>
      </c>
      <c r="Z7912">
        <v>2</v>
      </c>
      <c r="AA7912">
        <v>87.13</v>
      </c>
      <c r="AB7912">
        <v>87.13</v>
      </c>
      <c r="AC7912">
        <v>80.12</v>
      </c>
      <c r="AD7912">
        <v>0</v>
      </c>
      <c r="AE7912">
        <v>7.01</v>
      </c>
      <c r="AF7912">
        <v>0</v>
      </c>
      <c r="AG7912">
        <v>0</v>
      </c>
      <c r="AH7912">
        <v>0</v>
      </c>
      <c r="AI7912">
        <v>15.68</v>
      </c>
      <c r="AJ7912">
        <v>87.13</v>
      </c>
      <c r="AK7912">
        <v>0</v>
      </c>
      <c r="AL7912" t="s">
        <v>53</v>
      </c>
      <c r="AM7912" t="s">
        <v>53</v>
      </c>
      <c r="AN7912" t="s">
        <v>53</v>
      </c>
      <c r="AO7912" t="s">
        <v>53</v>
      </c>
      <c r="AP7912" t="s">
        <v>53</v>
      </c>
    </row>
    <row r="7913" spans="2:42" x14ac:dyDescent="0.2">
      <c r="B7913" t="s">
        <v>44</v>
      </c>
      <c r="C7913" t="str">
        <f>HYPERLINK("https://us2.cloudbeds.com/connect/8493803454333002#/reservations/9080486848109173?display=4F8X5S48RB&amp;reservation_id=9080486848109173", "4F8X5S48RB")</f>
        <v>4F8X5S48RB</v>
      </c>
      <c r="D7913" t="s">
        <v>45</v>
      </c>
      <c r="E7913" t="s">
        <v>155</v>
      </c>
      <c r="F7913" t="s">
        <v>86</v>
      </c>
      <c r="G7913" t="s">
        <v>48</v>
      </c>
      <c r="H7913" t="s">
        <v>49</v>
      </c>
      <c r="I7913" t="s">
        <v>50</v>
      </c>
      <c r="J7913" t="s">
        <v>14458</v>
      </c>
      <c r="K7913" t="s">
        <v>12808</v>
      </c>
      <c r="L7913" t="s">
        <v>53</v>
      </c>
      <c r="N7913" t="s">
        <v>14803</v>
      </c>
      <c r="P7913" t="s">
        <v>55</v>
      </c>
      <c r="R7913" t="s">
        <v>53</v>
      </c>
      <c r="T7913" t="s">
        <v>14804</v>
      </c>
      <c r="U7913" t="s">
        <v>58</v>
      </c>
      <c r="V7913">
        <v>1</v>
      </c>
      <c r="W7913">
        <v>1</v>
      </c>
      <c r="X7913">
        <v>2</v>
      </c>
      <c r="Y7913">
        <v>0</v>
      </c>
      <c r="Z7913">
        <v>2</v>
      </c>
      <c r="AA7913">
        <v>150.44</v>
      </c>
      <c r="AB7913">
        <v>150.44</v>
      </c>
      <c r="AC7913">
        <v>131.21</v>
      </c>
      <c r="AD7913">
        <v>0</v>
      </c>
      <c r="AE7913">
        <v>19.23</v>
      </c>
      <c r="AF7913">
        <v>0</v>
      </c>
      <c r="AG7913">
        <v>0</v>
      </c>
      <c r="AH7913">
        <v>0</v>
      </c>
      <c r="AI7913">
        <v>27.08</v>
      </c>
      <c r="AJ7913">
        <v>150.44</v>
      </c>
      <c r="AK7913">
        <v>0</v>
      </c>
      <c r="AL7913" t="s">
        <v>53</v>
      </c>
      <c r="AM7913" t="s">
        <v>53</v>
      </c>
      <c r="AN7913" t="s">
        <v>14805</v>
      </c>
      <c r="AO7913" t="s">
        <v>53</v>
      </c>
      <c r="AP7913" t="s">
        <v>53</v>
      </c>
    </row>
    <row r="7914" spans="2:42" x14ac:dyDescent="0.2">
      <c r="B7914" t="s">
        <v>44</v>
      </c>
      <c r="C7914" t="str">
        <f>HYPERLINK("https://us2.cloudbeds.com/connect/8493803454333002#/reservations/9080486848112729?display=4FC8D50BZ4&amp;reservation_id=9080486848112729", "4FC8D50BZ4")</f>
        <v>4FC8D50BZ4</v>
      </c>
      <c r="D7914" t="s">
        <v>45</v>
      </c>
      <c r="E7914" t="s">
        <v>110</v>
      </c>
      <c r="F7914" t="s">
        <v>47</v>
      </c>
      <c r="G7914" t="s">
        <v>48</v>
      </c>
      <c r="H7914" t="s">
        <v>49</v>
      </c>
      <c r="I7914" t="s">
        <v>50</v>
      </c>
      <c r="J7914" t="s">
        <v>11652</v>
      </c>
      <c r="K7914" t="s">
        <v>14806</v>
      </c>
      <c r="L7914" t="s">
        <v>53</v>
      </c>
      <c r="N7914" t="s">
        <v>14807</v>
      </c>
      <c r="P7914" t="s">
        <v>55</v>
      </c>
      <c r="R7914" t="s">
        <v>53</v>
      </c>
      <c r="T7914" t="s">
        <v>14808</v>
      </c>
      <c r="U7914" t="s">
        <v>58</v>
      </c>
      <c r="V7914">
        <v>1</v>
      </c>
      <c r="W7914">
        <v>1</v>
      </c>
      <c r="X7914">
        <v>2</v>
      </c>
      <c r="Y7914">
        <v>0</v>
      </c>
      <c r="Z7914">
        <v>2</v>
      </c>
      <c r="AA7914">
        <v>176.24</v>
      </c>
      <c r="AB7914">
        <v>176.24</v>
      </c>
      <c r="AC7914">
        <v>153.72</v>
      </c>
      <c r="AD7914">
        <v>0</v>
      </c>
      <c r="AE7914">
        <v>22.52</v>
      </c>
      <c r="AF7914">
        <v>0</v>
      </c>
      <c r="AG7914">
        <v>0</v>
      </c>
      <c r="AH7914">
        <v>0</v>
      </c>
      <c r="AI7914">
        <v>31.72</v>
      </c>
      <c r="AJ7914">
        <v>176.24</v>
      </c>
      <c r="AK7914">
        <v>0</v>
      </c>
      <c r="AL7914" t="s">
        <v>53</v>
      </c>
      <c r="AM7914" t="s">
        <v>53</v>
      </c>
      <c r="AN7914" t="s">
        <v>53</v>
      </c>
      <c r="AO7914" t="s">
        <v>53</v>
      </c>
      <c r="AP7914" t="s">
        <v>53</v>
      </c>
    </row>
    <row r="7915" spans="2:42" x14ac:dyDescent="0.2">
      <c r="B7915" t="s">
        <v>44</v>
      </c>
      <c r="C7915" t="str">
        <f>HYPERLINK("https://us2.cloudbeds.com/connect/8493803454333002#/reservations/9080486848113464?display=4FCNKXNHK8&amp;reservation_id=9080486848113464", "4FCNKXNHK8")</f>
        <v>4FCNKXNHK8</v>
      </c>
      <c r="D7915" t="s">
        <v>45</v>
      </c>
      <c r="E7915" t="s">
        <v>190</v>
      </c>
      <c r="F7915" t="s">
        <v>61</v>
      </c>
      <c r="G7915" t="s">
        <v>48</v>
      </c>
      <c r="H7915" t="s">
        <v>49</v>
      </c>
      <c r="I7915" t="s">
        <v>62</v>
      </c>
      <c r="J7915" t="s">
        <v>13537</v>
      </c>
      <c r="K7915" t="s">
        <v>9579</v>
      </c>
      <c r="L7915" t="s">
        <v>53</v>
      </c>
      <c r="N7915" t="s">
        <v>14809</v>
      </c>
      <c r="P7915" t="s">
        <v>55</v>
      </c>
      <c r="R7915" t="s">
        <v>56</v>
      </c>
      <c r="T7915" t="s">
        <v>14810</v>
      </c>
      <c r="U7915" t="s">
        <v>55</v>
      </c>
      <c r="V7915">
        <v>2</v>
      </c>
      <c r="W7915">
        <v>1</v>
      </c>
      <c r="X7915">
        <v>2</v>
      </c>
      <c r="Y7915">
        <v>0</v>
      </c>
      <c r="Z7915">
        <v>2</v>
      </c>
      <c r="AA7915">
        <v>189.81</v>
      </c>
      <c r="AB7915">
        <v>189.81</v>
      </c>
      <c r="AC7915">
        <v>189.81</v>
      </c>
      <c r="AD7915">
        <v>0</v>
      </c>
      <c r="AE7915">
        <v>0</v>
      </c>
      <c r="AF7915">
        <v>0</v>
      </c>
      <c r="AG7915">
        <v>0</v>
      </c>
      <c r="AH7915">
        <v>0</v>
      </c>
      <c r="AI7915">
        <v>34.17</v>
      </c>
      <c r="AJ7915">
        <v>189.81</v>
      </c>
      <c r="AK7915">
        <v>0</v>
      </c>
      <c r="AL7915" t="s">
        <v>53</v>
      </c>
      <c r="AM7915" t="s">
        <v>53</v>
      </c>
      <c r="AN7915" t="s">
        <v>53</v>
      </c>
      <c r="AO7915" t="s">
        <v>53</v>
      </c>
      <c r="AP7915" t="s">
        <v>53</v>
      </c>
    </row>
    <row r="7916" spans="2:42" x14ac:dyDescent="0.2">
      <c r="B7916" t="s">
        <v>44</v>
      </c>
      <c r="C7916" t="str">
        <f>HYPERLINK("https://us2.cloudbeds.com/connect/8493803454333002#/reservations/9080486848113860?display=4FCVG92GTQ&amp;reservation_id=9080486848113860", "4FCVG92GTQ")</f>
        <v>4FCVG92GTQ</v>
      </c>
      <c r="D7916" t="s">
        <v>45</v>
      </c>
      <c r="E7916" t="s">
        <v>179</v>
      </c>
      <c r="F7916" t="s">
        <v>47</v>
      </c>
      <c r="G7916" t="s">
        <v>48</v>
      </c>
      <c r="H7916" t="s">
        <v>49</v>
      </c>
      <c r="I7916" t="s">
        <v>8964</v>
      </c>
      <c r="J7916" t="s">
        <v>14762</v>
      </c>
      <c r="K7916" t="s">
        <v>13680</v>
      </c>
      <c r="L7916" t="s">
        <v>53</v>
      </c>
      <c r="N7916" t="s">
        <v>14811</v>
      </c>
      <c r="P7916" t="s">
        <v>55</v>
      </c>
      <c r="R7916" t="s">
        <v>53</v>
      </c>
      <c r="T7916" t="s">
        <v>14812</v>
      </c>
      <c r="U7916" t="s">
        <v>55</v>
      </c>
      <c r="V7916">
        <v>5</v>
      </c>
      <c r="W7916">
        <v>1</v>
      </c>
      <c r="X7916">
        <v>1</v>
      </c>
      <c r="Y7916">
        <v>0</v>
      </c>
      <c r="Z7916">
        <v>1</v>
      </c>
      <c r="AA7916">
        <v>0</v>
      </c>
      <c r="AB7916">
        <v>0</v>
      </c>
      <c r="AC7916">
        <v>539</v>
      </c>
      <c r="AD7916">
        <v>0</v>
      </c>
      <c r="AE7916">
        <v>0</v>
      </c>
      <c r="AF7916">
        <v>0</v>
      </c>
      <c r="AG7916">
        <v>0</v>
      </c>
      <c r="AH7916">
        <v>0</v>
      </c>
      <c r="AI7916">
        <v>80.849999999999994</v>
      </c>
      <c r="AJ7916">
        <v>539</v>
      </c>
      <c r="AK7916">
        <v>539</v>
      </c>
      <c r="AL7916" t="s">
        <v>53</v>
      </c>
      <c r="AM7916" t="s">
        <v>53</v>
      </c>
      <c r="AN7916" t="s">
        <v>14813</v>
      </c>
      <c r="AO7916" t="s">
        <v>53</v>
      </c>
      <c r="AP7916" t="s">
        <v>53</v>
      </c>
    </row>
    <row r="7917" spans="2:42" x14ac:dyDescent="0.2">
      <c r="B7917" t="s">
        <v>44</v>
      </c>
      <c r="C7917" t="str">
        <f>HYPERLINK("https://us2.cloudbeds.com/connect/8493803454333002#/reservations/9080486848115988?display=4FE6W62T6E&amp;reservation_id=9080486848115988", "4FE6W62T6E")</f>
        <v>4FE6W62T6E</v>
      </c>
      <c r="D7917" t="s">
        <v>45</v>
      </c>
      <c r="E7917" t="s">
        <v>14814</v>
      </c>
      <c r="F7917" t="s">
        <v>61</v>
      </c>
      <c r="G7917" t="s">
        <v>48</v>
      </c>
      <c r="H7917" t="s">
        <v>49</v>
      </c>
      <c r="I7917" t="s">
        <v>62</v>
      </c>
      <c r="J7917" t="s">
        <v>14458</v>
      </c>
      <c r="K7917" t="s">
        <v>13985</v>
      </c>
      <c r="L7917" t="s">
        <v>53</v>
      </c>
      <c r="N7917" t="s">
        <v>14815</v>
      </c>
      <c r="P7917" t="s">
        <v>55</v>
      </c>
      <c r="R7917" t="s">
        <v>56</v>
      </c>
      <c r="T7917" t="s">
        <v>14816</v>
      </c>
      <c r="U7917" t="s">
        <v>55</v>
      </c>
      <c r="V7917">
        <v>6</v>
      </c>
      <c r="W7917">
        <v>2</v>
      </c>
      <c r="X7917">
        <v>2</v>
      </c>
      <c r="Y7917">
        <v>0</v>
      </c>
      <c r="Z7917">
        <v>2</v>
      </c>
      <c r="AA7917">
        <v>622.72</v>
      </c>
      <c r="AB7917">
        <v>622.72</v>
      </c>
      <c r="AC7917">
        <v>622.72</v>
      </c>
      <c r="AD7917">
        <v>0</v>
      </c>
      <c r="AE7917">
        <v>0</v>
      </c>
      <c r="AF7917">
        <v>0</v>
      </c>
      <c r="AG7917">
        <v>0</v>
      </c>
      <c r="AH7917">
        <v>0</v>
      </c>
      <c r="AI7917">
        <v>112.09</v>
      </c>
      <c r="AJ7917">
        <v>622.72</v>
      </c>
      <c r="AK7917">
        <v>0</v>
      </c>
      <c r="AL7917" t="s">
        <v>53</v>
      </c>
      <c r="AM7917" t="s">
        <v>53</v>
      </c>
      <c r="AN7917" t="s">
        <v>53</v>
      </c>
      <c r="AO7917" t="s">
        <v>53</v>
      </c>
      <c r="AP7917" t="s">
        <v>53</v>
      </c>
    </row>
    <row r="7918" spans="2:42" x14ac:dyDescent="0.2">
      <c r="B7918" t="s">
        <v>44</v>
      </c>
      <c r="C7918" t="str">
        <f>HYPERLINK("https://us2.cloudbeds.com/connect/8493803454333002#/reservations/207370047680640?display=4FEZ8BWGV5&amp;reservation_id=207370047680640", "4FEZ8BWGV5")</f>
        <v>4FEZ8BWGV5</v>
      </c>
      <c r="D7918" t="s">
        <v>45</v>
      </c>
      <c r="E7918" t="s">
        <v>165</v>
      </c>
      <c r="F7918" t="s">
        <v>61</v>
      </c>
      <c r="G7918" t="s">
        <v>3974</v>
      </c>
      <c r="H7918" t="s">
        <v>3957</v>
      </c>
      <c r="I7918" t="s">
        <v>3975</v>
      </c>
      <c r="J7918" t="s">
        <v>13067</v>
      </c>
      <c r="K7918" t="s">
        <v>13068</v>
      </c>
      <c r="L7918" t="s">
        <v>53</v>
      </c>
      <c r="P7918" t="s">
        <v>55</v>
      </c>
      <c r="R7918" t="s">
        <v>56</v>
      </c>
      <c r="T7918" t="s">
        <v>14817</v>
      </c>
      <c r="U7918" t="s">
        <v>58</v>
      </c>
      <c r="V7918">
        <v>1</v>
      </c>
      <c r="W7918">
        <v>1</v>
      </c>
      <c r="X7918">
        <v>2</v>
      </c>
      <c r="Y7918">
        <v>0</v>
      </c>
      <c r="Z7918">
        <v>2</v>
      </c>
      <c r="AA7918">
        <v>142.68</v>
      </c>
      <c r="AB7918">
        <v>142.68</v>
      </c>
      <c r="AC7918">
        <v>124.45</v>
      </c>
      <c r="AD7918">
        <v>0</v>
      </c>
      <c r="AE7918">
        <v>18.23</v>
      </c>
      <c r="AF7918">
        <v>0</v>
      </c>
      <c r="AG7918">
        <v>0</v>
      </c>
      <c r="AH7918">
        <v>0</v>
      </c>
      <c r="AI7918">
        <v>0</v>
      </c>
      <c r="AJ7918">
        <v>142.68</v>
      </c>
      <c r="AK7918">
        <v>0</v>
      </c>
      <c r="AL7918" t="s">
        <v>53</v>
      </c>
      <c r="AM7918" t="s">
        <v>53</v>
      </c>
      <c r="AN7918" t="s">
        <v>14818</v>
      </c>
      <c r="AO7918" t="s">
        <v>53</v>
      </c>
      <c r="AP7918" t="s">
        <v>53</v>
      </c>
    </row>
    <row r="7919" spans="2:42" x14ac:dyDescent="0.2">
      <c r="B7919" t="s">
        <v>44</v>
      </c>
      <c r="C7919" t="str">
        <f>HYPERLINK("https://us2.cloudbeds.com/connect/8493803454333002#/reservations/9080486848117458?display=4FF48YYV9W&amp;reservation_id=9080486848117458", "4FF48YYV9W")</f>
        <v>4FF48YYV9W</v>
      </c>
      <c r="D7919" t="s">
        <v>45</v>
      </c>
      <c r="E7919" t="s">
        <v>14402</v>
      </c>
      <c r="F7919" t="s">
        <v>14403</v>
      </c>
      <c r="G7919" t="s">
        <v>48</v>
      </c>
      <c r="H7919" t="s">
        <v>49</v>
      </c>
      <c r="I7919" t="s">
        <v>50</v>
      </c>
      <c r="J7919" t="s">
        <v>13001</v>
      </c>
      <c r="K7919" t="s">
        <v>13537</v>
      </c>
      <c r="L7919" t="s">
        <v>53</v>
      </c>
      <c r="N7919" t="s">
        <v>14819</v>
      </c>
      <c r="P7919" t="s">
        <v>55</v>
      </c>
      <c r="R7919" t="s">
        <v>53</v>
      </c>
      <c r="T7919" t="s">
        <v>14820</v>
      </c>
      <c r="U7919" t="s">
        <v>55</v>
      </c>
      <c r="V7919">
        <v>1</v>
      </c>
      <c r="W7919">
        <v>1</v>
      </c>
      <c r="X7919">
        <v>2</v>
      </c>
      <c r="Y7919">
        <v>0</v>
      </c>
      <c r="Z7919">
        <v>2</v>
      </c>
      <c r="AA7919">
        <v>85.88</v>
      </c>
      <c r="AB7919">
        <v>85.88</v>
      </c>
      <c r="AC7919">
        <v>78.97</v>
      </c>
      <c r="AD7919">
        <v>0</v>
      </c>
      <c r="AE7919">
        <v>6.91</v>
      </c>
      <c r="AF7919">
        <v>0</v>
      </c>
      <c r="AG7919">
        <v>0</v>
      </c>
      <c r="AH7919">
        <v>0</v>
      </c>
      <c r="AI7919">
        <v>15.46</v>
      </c>
      <c r="AJ7919">
        <v>85.88</v>
      </c>
      <c r="AK7919">
        <v>0</v>
      </c>
      <c r="AL7919" t="s">
        <v>53</v>
      </c>
      <c r="AM7919" t="s">
        <v>53</v>
      </c>
      <c r="AN7919" t="s">
        <v>53</v>
      </c>
      <c r="AO7919" t="s">
        <v>53</v>
      </c>
      <c r="AP7919" t="s">
        <v>53</v>
      </c>
    </row>
    <row r="7920" spans="2:42" x14ac:dyDescent="0.2">
      <c r="B7920" t="s">
        <v>44</v>
      </c>
      <c r="C7920" t="str">
        <f>HYPERLINK("https://us2.cloudbeds.com/connect/8493803454333002#/reservations/9080486848118723?display=4FG3Z295VJ&amp;reservation_id=9080486848118723", "4FG3Z295VJ")</f>
        <v>4FG3Z295VJ</v>
      </c>
      <c r="D7920" t="s">
        <v>45</v>
      </c>
      <c r="E7920" t="s">
        <v>69</v>
      </c>
      <c r="F7920" t="s">
        <v>70</v>
      </c>
      <c r="G7920" t="s">
        <v>48</v>
      </c>
      <c r="H7920" t="s">
        <v>49</v>
      </c>
      <c r="I7920" t="s">
        <v>8964</v>
      </c>
      <c r="J7920" t="s">
        <v>13537</v>
      </c>
      <c r="K7920" t="s">
        <v>13538</v>
      </c>
      <c r="L7920" t="s">
        <v>53</v>
      </c>
      <c r="N7920" t="s">
        <v>14821</v>
      </c>
      <c r="P7920" t="s">
        <v>55</v>
      </c>
      <c r="R7920" t="s">
        <v>53</v>
      </c>
      <c r="T7920" t="s">
        <v>14822</v>
      </c>
      <c r="U7920" t="s">
        <v>55</v>
      </c>
      <c r="V7920">
        <v>1</v>
      </c>
      <c r="W7920">
        <v>1</v>
      </c>
      <c r="X7920">
        <v>1</v>
      </c>
      <c r="Y7920">
        <v>0</v>
      </c>
      <c r="Z7920">
        <v>1</v>
      </c>
      <c r="AA7920">
        <v>0</v>
      </c>
      <c r="AB7920">
        <v>0</v>
      </c>
      <c r="AC7920">
        <v>98</v>
      </c>
      <c r="AD7920">
        <v>0</v>
      </c>
      <c r="AE7920">
        <v>0</v>
      </c>
      <c r="AF7920">
        <v>0</v>
      </c>
      <c r="AG7920">
        <v>0</v>
      </c>
      <c r="AH7920">
        <v>0</v>
      </c>
      <c r="AI7920">
        <v>14.7</v>
      </c>
      <c r="AJ7920">
        <v>98</v>
      </c>
      <c r="AK7920">
        <v>98</v>
      </c>
      <c r="AL7920" t="s">
        <v>53</v>
      </c>
      <c r="AM7920" t="s">
        <v>53</v>
      </c>
      <c r="AN7920" t="s">
        <v>14823</v>
      </c>
      <c r="AO7920" t="s">
        <v>53</v>
      </c>
      <c r="AP7920" t="s">
        <v>53</v>
      </c>
    </row>
    <row r="7921" spans="2:42" x14ac:dyDescent="0.2">
      <c r="B7921" t="s">
        <v>44</v>
      </c>
      <c r="C7921" t="str">
        <f>HYPERLINK("https://us2.cloudbeds.com/connect/8493803454333002#/reservations/9080486848120030?display=4FH6X4VMYM&amp;reservation_id=9080486848120030", "4FH6X4VMYM")</f>
        <v>4FH6X4VMYM</v>
      </c>
      <c r="D7921" t="s">
        <v>45</v>
      </c>
      <c r="E7921" t="s">
        <v>165</v>
      </c>
      <c r="F7921" t="s">
        <v>61</v>
      </c>
      <c r="G7921" t="s">
        <v>48</v>
      </c>
      <c r="H7921" t="s">
        <v>49</v>
      </c>
      <c r="I7921" t="s">
        <v>8964</v>
      </c>
      <c r="J7921" t="s">
        <v>14119</v>
      </c>
      <c r="K7921" t="s">
        <v>13985</v>
      </c>
      <c r="L7921" t="s">
        <v>53</v>
      </c>
      <c r="N7921" t="s">
        <v>14824</v>
      </c>
      <c r="P7921" t="s">
        <v>55</v>
      </c>
      <c r="R7921" t="s">
        <v>53</v>
      </c>
      <c r="T7921" t="s">
        <v>14825</v>
      </c>
      <c r="U7921" t="s">
        <v>55</v>
      </c>
      <c r="V7921">
        <v>1</v>
      </c>
      <c r="W7921">
        <v>1</v>
      </c>
      <c r="X7921">
        <v>2</v>
      </c>
      <c r="Y7921">
        <v>0</v>
      </c>
      <c r="Z7921">
        <v>2</v>
      </c>
      <c r="AA7921">
        <v>0</v>
      </c>
      <c r="AB7921">
        <v>0</v>
      </c>
      <c r="AC7921">
        <v>114</v>
      </c>
      <c r="AD7921">
        <v>0</v>
      </c>
      <c r="AE7921">
        <v>0</v>
      </c>
      <c r="AF7921">
        <v>0</v>
      </c>
      <c r="AG7921">
        <v>0</v>
      </c>
      <c r="AH7921">
        <v>0</v>
      </c>
      <c r="AI7921">
        <v>17.100000000000001</v>
      </c>
      <c r="AJ7921">
        <v>114</v>
      </c>
      <c r="AK7921">
        <v>114</v>
      </c>
      <c r="AL7921" t="s">
        <v>53</v>
      </c>
      <c r="AM7921" t="s">
        <v>53</v>
      </c>
      <c r="AN7921" t="s">
        <v>14826</v>
      </c>
      <c r="AO7921" t="s">
        <v>53</v>
      </c>
      <c r="AP7921" t="s">
        <v>53</v>
      </c>
    </row>
    <row r="7922" spans="2:42" x14ac:dyDescent="0.2">
      <c r="B7922" t="s">
        <v>44</v>
      </c>
      <c r="C7922" t="str">
        <f>HYPERLINK("https://us2.cloudbeds.com/connect/8493803454333002#/reservations/9080486848125291?display=4FYJF8ZNT2&amp;reservation_id=9080486848125291", "4FYJF8ZNT2")</f>
        <v>4FYJF8ZNT2</v>
      </c>
      <c r="D7922" t="s">
        <v>10291</v>
      </c>
      <c r="E7922" t="s">
        <v>10940</v>
      </c>
      <c r="F7922" t="s">
        <v>70</v>
      </c>
      <c r="G7922" t="s">
        <v>48</v>
      </c>
      <c r="H7922" t="s">
        <v>49</v>
      </c>
      <c r="I7922" t="s">
        <v>62</v>
      </c>
      <c r="J7922" t="s">
        <v>14827</v>
      </c>
      <c r="K7922" t="s">
        <v>14828</v>
      </c>
      <c r="L7922" t="s">
        <v>53</v>
      </c>
      <c r="N7922" t="s">
        <v>14829</v>
      </c>
      <c r="P7922" t="s">
        <v>55</v>
      </c>
      <c r="R7922" t="s">
        <v>56</v>
      </c>
      <c r="T7922" t="s">
        <v>14830</v>
      </c>
      <c r="U7922" t="s">
        <v>55</v>
      </c>
      <c r="V7922">
        <v>4</v>
      </c>
      <c r="W7922">
        <v>2</v>
      </c>
      <c r="X7922">
        <v>3</v>
      </c>
      <c r="Y7922">
        <v>0</v>
      </c>
      <c r="Z7922">
        <v>3</v>
      </c>
      <c r="AA7922">
        <v>533.5</v>
      </c>
      <c r="AB7922">
        <v>0</v>
      </c>
      <c r="AC7922">
        <v>533.5</v>
      </c>
      <c r="AD7922">
        <v>0</v>
      </c>
      <c r="AE7922">
        <v>0</v>
      </c>
      <c r="AF7922">
        <v>0</v>
      </c>
      <c r="AG7922">
        <v>0</v>
      </c>
      <c r="AH7922">
        <v>0</v>
      </c>
      <c r="AI7922">
        <v>96.03</v>
      </c>
      <c r="AJ7922">
        <v>533.5</v>
      </c>
      <c r="AK7922">
        <v>533.5</v>
      </c>
      <c r="AL7922" t="s">
        <v>53</v>
      </c>
      <c r="AM7922" t="s">
        <v>53</v>
      </c>
      <c r="AN7922" t="s">
        <v>53</v>
      </c>
      <c r="AO7922" t="s">
        <v>53</v>
      </c>
      <c r="AP7922" t="s">
        <v>53</v>
      </c>
    </row>
    <row r="7923" spans="2:42" x14ac:dyDescent="0.2">
      <c r="B7923" t="s">
        <v>44</v>
      </c>
      <c r="C7923" t="str">
        <f>HYPERLINK("https://us2.cloudbeds.com/connect/8493803454333002#/reservations/9080486848125757?display=4FYQP7M1NG&amp;reservation_id=9080486848125757", "4FYQP7M1NG")</f>
        <v>4FYQP7M1NG</v>
      </c>
      <c r="D7923" t="s">
        <v>45</v>
      </c>
      <c r="E7923" t="s">
        <v>128</v>
      </c>
      <c r="F7923" t="s">
        <v>86</v>
      </c>
      <c r="G7923" t="s">
        <v>48</v>
      </c>
      <c r="H7923" t="s">
        <v>49</v>
      </c>
      <c r="I7923" t="s">
        <v>50</v>
      </c>
      <c r="J7923" t="s">
        <v>14831</v>
      </c>
      <c r="K7923" t="s">
        <v>14498</v>
      </c>
      <c r="L7923" t="s">
        <v>53</v>
      </c>
      <c r="N7923" t="s">
        <v>14832</v>
      </c>
      <c r="P7923" t="s">
        <v>55</v>
      </c>
      <c r="R7923" t="s">
        <v>53</v>
      </c>
      <c r="T7923" t="s">
        <v>14833</v>
      </c>
      <c r="U7923" t="s">
        <v>55</v>
      </c>
      <c r="V7923">
        <v>1</v>
      </c>
      <c r="W7923">
        <v>1</v>
      </c>
      <c r="X7923">
        <v>2</v>
      </c>
      <c r="Y7923">
        <v>0</v>
      </c>
      <c r="Z7923">
        <v>2</v>
      </c>
      <c r="AA7923">
        <v>173.47</v>
      </c>
      <c r="AB7923">
        <v>173.47</v>
      </c>
      <c r="AC7923">
        <v>159.52000000000001</v>
      </c>
      <c r="AD7923">
        <v>0</v>
      </c>
      <c r="AE7923">
        <v>13.95</v>
      </c>
      <c r="AF7923">
        <v>0</v>
      </c>
      <c r="AG7923">
        <v>0</v>
      </c>
      <c r="AH7923">
        <v>0</v>
      </c>
      <c r="AI7923">
        <v>31.22</v>
      </c>
      <c r="AJ7923">
        <v>173.47</v>
      </c>
      <c r="AK7923">
        <v>0</v>
      </c>
      <c r="AL7923" t="s">
        <v>53</v>
      </c>
      <c r="AM7923" t="s">
        <v>53</v>
      </c>
      <c r="AN7923" t="s">
        <v>53</v>
      </c>
      <c r="AO7923" t="s">
        <v>53</v>
      </c>
      <c r="AP7923" t="s">
        <v>53</v>
      </c>
    </row>
    <row r="7924" spans="2:42" x14ac:dyDescent="0.2">
      <c r="B7924" t="s">
        <v>44</v>
      </c>
      <c r="C7924" t="str">
        <f>HYPERLINK("https://us2.cloudbeds.com/connect/8493803454333002#/reservations/9080486848125758?display=4FYQQ9T95G&amp;reservation_id=9080486848125758", "4FYQQ9T95G")</f>
        <v>4FYQQ9T95G</v>
      </c>
      <c r="D7924" t="s">
        <v>45</v>
      </c>
      <c r="E7924" t="s">
        <v>85</v>
      </c>
      <c r="F7924" t="s">
        <v>86</v>
      </c>
      <c r="G7924" t="s">
        <v>48</v>
      </c>
      <c r="H7924" t="s">
        <v>49</v>
      </c>
      <c r="I7924" t="s">
        <v>50</v>
      </c>
      <c r="J7924" t="s">
        <v>14831</v>
      </c>
      <c r="K7924" t="s">
        <v>14498</v>
      </c>
      <c r="L7924" t="s">
        <v>53</v>
      </c>
      <c r="N7924" t="s">
        <v>14834</v>
      </c>
      <c r="P7924" t="s">
        <v>55</v>
      </c>
      <c r="R7924" t="s">
        <v>53</v>
      </c>
      <c r="T7924" t="s">
        <v>14835</v>
      </c>
      <c r="U7924" t="s">
        <v>55</v>
      </c>
      <c r="V7924">
        <v>1</v>
      </c>
      <c r="W7924">
        <v>1</v>
      </c>
      <c r="X7924">
        <v>2</v>
      </c>
      <c r="Y7924">
        <v>0</v>
      </c>
      <c r="Z7924">
        <v>2</v>
      </c>
      <c r="AA7924">
        <v>173.47</v>
      </c>
      <c r="AB7924">
        <v>173.47</v>
      </c>
      <c r="AC7924">
        <v>159.52000000000001</v>
      </c>
      <c r="AD7924">
        <v>0</v>
      </c>
      <c r="AE7924">
        <v>13.95</v>
      </c>
      <c r="AF7924">
        <v>0</v>
      </c>
      <c r="AG7924">
        <v>0</v>
      </c>
      <c r="AH7924">
        <v>0</v>
      </c>
      <c r="AI7924">
        <v>31.22</v>
      </c>
      <c r="AJ7924">
        <v>173.47</v>
      </c>
      <c r="AK7924">
        <v>0</v>
      </c>
      <c r="AL7924" t="s">
        <v>53</v>
      </c>
      <c r="AM7924" t="s">
        <v>53</v>
      </c>
      <c r="AN7924" t="s">
        <v>53</v>
      </c>
      <c r="AO7924" t="s">
        <v>53</v>
      </c>
      <c r="AP7924" t="s">
        <v>53</v>
      </c>
    </row>
    <row r="7925" spans="2:42" x14ac:dyDescent="0.2">
      <c r="B7925" t="s">
        <v>44</v>
      </c>
      <c r="C7925" t="str">
        <f>HYPERLINK("https://us2.cloudbeds.com/connect/8493803454333002#/reservations/9080486848125979?display=4FYVGWWRF0&amp;reservation_id=9080486848125979", "4FYVGWWRF0")</f>
        <v>4FYVGWWRF0</v>
      </c>
      <c r="D7925" t="s">
        <v>45</v>
      </c>
      <c r="E7925" t="s">
        <v>110</v>
      </c>
      <c r="F7925" t="s">
        <v>47</v>
      </c>
      <c r="G7925" t="s">
        <v>48</v>
      </c>
      <c r="H7925" t="s">
        <v>49</v>
      </c>
      <c r="I7925" t="s">
        <v>62</v>
      </c>
      <c r="J7925" t="s">
        <v>13537</v>
      </c>
      <c r="K7925" t="s">
        <v>13538</v>
      </c>
      <c r="L7925" t="s">
        <v>53</v>
      </c>
      <c r="N7925" t="s">
        <v>14836</v>
      </c>
      <c r="P7925" t="s">
        <v>55</v>
      </c>
      <c r="R7925" t="s">
        <v>56</v>
      </c>
      <c r="T7925" t="s">
        <v>14837</v>
      </c>
      <c r="U7925" t="s">
        <v>55</v>
      </c>
      <c r="V7925">
        <v>1</v>
      </c>
      <c r="W7925">
        <v>1</v>
      </c>
      <c r="X7925">
        <v>1</v>
      </c>
      <c r="Y7925">
        <v>0</v>
      </c>
      <c r="Z7925">
        <v>1</v>
      </c>
      <c r="AA7925">
        <v>88.83</v>
      </c>
      <c r="AB7925">
        <v>88.83</v>
      </c>
      <c r="AC7925">
        <v>88.83</v>
      </c>
      <c r="AD7925">
        <v>0</v>
      </c>
      <c r="AE7925">
        <v>0</v>
      </c>
      <c r="AF7925">
        <v>0</v>
      </c>
      <c r="AG7925">
        <v>0</v>
      </c>
      <c r="AH7925">
        <v>0</v>
      </c>
      <c r="AI7925">
        <v>15.99</v>
      </c>
      <c r="AJ7925">
        <v>88.83</v>
      </c>
      <c r="AK7925">
        <v>0</v>
      </c>
      <c r="AL7925" t="s">
        <v>53</v>
      </c>
      <c r="AM7925" t="s">
        <v>53</v>
      </c>
      <c r="AN7925" t="s">
        <v>53</v>
      </c>
      <c r="AO7925" t="s">
        <v>53</v>
      </c>
      <c r="AP7925" t="s">
        <v>53</v>
      </c>
    </row>
    <row r="7926" spans="2:42" x14ac:dyDescent="0.2">
      <c r="B7926" t="s">
        <v>44</v>
      </c>
      <c r="C7926" t="str">
        <f>HYPERLINK("https://us2.cloudbeds.com/connect/8493803454333002#/reservations/9080486848128460?display=4FNDD560H0&amp;reservation_id=9080486848128460", "4FNDD560H0")</f>
        <v>4FNDD560H0</v>
      </c>
      <c r="D7926" t="s">
        <v>45</v>
      </c>
      <c r="E7926" t="s">
        <v>92</v>
      </c>
      <c r="F7926" t="s">
        <v>86</v>
      </c>
      <c r="G7926" t="s">
        <v>48</v>
      </c>
      <c r="H7926" t="s">
        <v>49</v>
      </c>
      <c r="I7926" t="s">
        <v>62</v>
      </c>
      <c r="J7926" t="s">
        <v>14206</v>
      </c>
      <c r="K7926" t="s">
        <v>13082</v>
      </c>
      <c r="L7926" t="s">
        <v>53</v>
      </c>
      <c r="N7926" t="s">
        <v>14838</v>
      </c>
      <c r="P7926" t="s">
        <v>55</v>
      </c>
      <c r="R7926" t="s">
        <v>56</v>
      </c>
      <c r="T7926" t="s">
        <v>14839</v>
      </c>
      <c r="U7926" t="s">
        <v>55</v>
      </c>
      <c r="V7926">
        <v>2</v>
      </c>
      <c r="W7926">
        <v>1</v>
      </c>
      <c r="X7926">
        <v>2</v>
      </c>
      <c r="Y7926">
        <v>2</v>
      </c>
      <c r="Z7926">
        <v>4</v>
      </c>
      <c r="AA7926">
        <v>380.36</v>
      </c>
      <c r="AB7926">
        <v>380.36</v>
      </c>
      <c r="AC7926">
        <v>380.36</v>
      </c>
      <c r="AD7926">
        <v>0</v>
      </c>
      <c r="AE7926">
        <v>0</v>
      </c>
      <c r="AF7926">
        <v>0</v>
      </c>
      <c r="AG7926">
        <v>0</v>
      </c>
      <c r="AH7926">
        <v>0</v>
      </c>
      <c r="AI7926">
        <v>68.459999999999994</v>
      </c>
      <c r="AJ7926">
        <v>380.36</v>
      </c>
      <c r="AK7926">
        <v>0</v>
      </c>
      <c r="AL7926" t="s">
        <v>53</v>
      </c>
      <c r="AM7926" t="s">
        <v>53</v>
      </c>
      <c r="AN7926" t="s">
        <v>14840</v>
      </c>
      <c r="AO7926" t="s">
        <v>53</v>
      </c>
      <c r="AP7926" t="s">
        <v>53</v>
      </c>
    </row>
    <row r="7927" spans="2:42" x14ac:dyDescent="0.2">
      <c r="B7927" t="s">
        <v>44</v>
      </c>
      <c r="C7927" t="str">
        <f>HYPERLINK("https://us2.cloudbeds.com/connect/8493803454333002#/reservations/9080486848128594?display=4FNH2WQQFW&amp;reservation_id=9080486848128594", "4FNH2WQQFW")</f>
        <v>4FNH2WQQFW</v>
      </c>
      <c r="D7927" t="s">
        <v>45</v>
      </c>
      <c r="E7927" t="s">
        <v>69</v>
      </c>
      <c r="F7927" t="s">
        <v>70</v>
      </c>
      <c r="G7927" t="s">
        <v>48</v>
      </c>
      <c r="H7927" t="s">
        <v>49</v>
      </c>
      <c r="I7927" t="s">
        <v>50</v>
      </c>
      <c r="J7927" t="s">
        <v>13612</v>
      </c>
      <c r="K7927" t="s">
        <v>10598</v>
      </c>
      <c r="L7927" t="s">
        <v>53</v>
      </c>
      <c r="N7927" t="s">
        <v>14841</v>
      </c>
      <c r="P7927" t="s">
        <v>55</v>
      </c>
      <c r="R7927" t="s">
        <v>53</v>
      </c>
      <c r="T7927" t="s">
        <v>14842</v>
      </c>
      <c r="U7927" t="s">
        <v>58</v>
      </c>
      <c r="V7927">
        <v>1</v>
      </c>
      <c r="W7927">
        <v>1</v>
      </c>
      <c r="X7927">
        <v>1</v>
      </c>
      <c r="Y7927">
        <v>0</v>
      </c>
      <c r="Z7927">
        <v>1</v>
      </c>
      <c r="AA7927">
        <v>154.36000000000001</v>
      </c>
      <c r="AB7927">
        <v>154.36000000000001</v>
      </c>
      <c r="AC7927">
        <v>134.63999999999999</v>
      </c>
      <c r="AD7927">
        <v>0</v>
      </c>
      <c r="AE7927">
        <v>19.72</v>
      </c>
      <c r="AF7927">
        <v>0</v>
      </c>
      <c r="AG7927">
        <v>0</v>
      </c>
      <c r="AH7927">
        <v>0</v>
      </c>
      <c r="AI7927">
        <v>27.78</v>
      </c>
      <c r="AJ7927">
        <v>154.36000000000001</v>
      </c>
      <c r="AK7927">
        <v>0</v>
      </c>
      <c r="AL7927" t="s">
        <v>53</v>
      </c>
      <c r="AM7927" t="s">
        <v>53</v>
      </c>
      <c r="AN7927" t="s">
        <v>53</v>
      </c>
      <c r="AO7927" t="s">
        <v>53</v>
      </c>
      <c r="AP7927" t="s">
        <v>53</v>
      </c>
    </row>
    <row r="7928" spans="2:42" x14ac:dyDescent="0.2">
      <c r="B7928" t="s">
        <v>44</v>
      </c>
      <c r="C7928" t="str">
        <f>HYPERLINK("https://us2.cloudbeds.com/connect/8493803454333002#/reservations/207783661060288?display=4FZEH4ZGSE&amp;reservation_id=207783661060288", "4FZEH4ZGSE")</f>
        <v>4FZEH4ZGSE</v>
      </c>
      <c r="D7928" t="s">
        <v>45</v>
      </c>
      <c r="E7928" t="s">
        <v>46</v>
      </c>
      <c r="F7928" t="s">
        <v>47</v>
      </c>
      <c r="G7928" t="s">
        <v>48</v>
      </c>
      <c r="H7928" t="s">
        <v>3957</v>
      </c>
      <c r="I7928" t="s">
        <v>3958</v>
      </c>
      <c r="J7928" t="s">
        <v>13537</v>
      </c>
      <c r="K7928" t="s">
        <v>13538</v>
      </c>
      <c r="L7928" t="s">
        <v>53</v>
      </c>
      <c r="P7928" t="s">
        <v>55</v>
      </c>
      <c r="R7928" t="s">
        <v>56</v>
      </c>
      <c r="T7928" t="s">
        <v>14843</v>
      </c>
      <c r="U7928" t="s">
        <v>58</v>
      </c>
      <c r="V7928">
        <v>1</v>
      </c>
      <c r="W7928">
        <v>1</v>
      </c>
      <c r="X7928">
        <v>1</v>
      </c>
      <c r="Y7928">
        <v>0</v>
      </c>
      <c r="Z7928">
        <v>1</v>
      </c>
      <c r="AA7928">
        <v>108.93</v>
      </c>
      <c r="AB7928">
        <v>108.93</v>
      </c>
      <c r="AC7928">
        <v>95</v>
      </c>
      <c r="AD7928">
        <v>0</v>
      </c>
      <c r="AE7928">
        <v>13.93</v>
      </c>
      <c r="AF7928">
        <v>0</v>
      </c>
      <c r="AG7928">
        <v>0</v>
      </c>
      <c r="AH7928">
        <v>0</v>
      </c>
      <c r="AI7928">
        <v>0</v>
      </c>
      <c r="AJ7928">
        <v>108.93</v>
      </c>
      <c r="AK7928">
        <v>0</v>
      </c>
      <c r="AL7928" t="s">
        <v>53</v>
      </c>
      <c r="AM7928" t="s">
        <v>53</v>
      </c>
      <c r="AN7928" t="s">
        <v>53</v>
      </c>
      <c r="AO7928" t="s">
        <v>53</v>
      </c>
      <c r="AP7928" t="s">
        <v>53</v>
      </c>
    </row>
    <row r="7929" spans="2:42" x14ac:dyDescent="0.2">
      <c r="B7929" t="s">
        <v>44</v>
      </c>
      <c r="C7929" t="str">
        <f>HYPERLINK("https://us2.cloudbeds.com/connect/8493803454333002#/reservations/207789657153728?display=4FZJ5BQWM2&amp;reservation_id=207789657153728", "4FZJ5BQWM2")</f>
        <v>4FZJ5BQWM2</v>
      </c>
      <c r="D7929" t="s">
        <v>45</v>
      </c>
      <c r="E7929" t="s">
        <v>110</v>
      </c>
      <c r="F7929" t="s">
        <v>47</v>
      </c>
      <c r="G7929" t="s">
        <v>3974</v>
      </c>
      <c r="H7929" t="s">
        <v>3957</v>
      </c>
      <c r="I7929" t="s">
        <v>3975</v>
      </c>
      <c r="J7929" t="s">
        <v>13587</v>
      </c>
      <c r="K7929" t="s">
        <v>14443</v>
      </c>
      <c r="L7929" t="s">
        <v>53</v>
      </c>
      <c r="P7929" t="s">
        <v>55</v>
      </c>
      <c r="R7929" t="s">
        <v>56</v>
      </c>
      <c r="T7929" t="s">
        <v>14844</v>
      </c>
      <c r="U7929" t="s">
        <v>58</v>
      </c>
      <c r="V7929">
        <v>1</v>
      </c>
      <c r="W7929">
        <v>1</v>
      </c>
      <c r="X7929">
        <v>2</v>
      </c>
      <c r="Y7929">
        <v>0</v>
      </c>
      <c r="Z7929">
        <v>2</v>
      </c>
      <c r="AA7929">
        <v>145.94999999999999</v>
      </c>
      <c r="AB7929">
        <v>145.94999999999999</v>
      </c>
      <c r="AC7929">
        <v>127.3</v>
      </c>
      <c r="AD7929">
        <v>0</v>
      </c>
      <c r="AE7929">
        <v>18.649999999999999</v>
      </c>
      <c r="AF7929">
        <v>0</v>
      </c>
      <c r="AG7929">
        <v>0</v>
      </c>
      <c r="AH7929">
        <v>0</v>
      </c>
      <c r="AI7929">
        <v>0</v>
      </c>
      <c r="AJ7929">
        <v>145.94999999999999</v>
      </c>
      <c r="AK7929">
        <v>0</v>
      </c>
      <c r="AL7929" t="s">
        <v>53</v>
      </c>
      <c r="AM7929" t="s">
        <v>53</v>
      </c>
      <c r="AN7929" t="s">
        <v>53</v>
      </c>
      <c r="AO7929" t="s">
        <v>53</v>
      </c>
      <c r="AP7929" t="s">
        <v>53</v>
      </c>
    </row>
    <row r="7930" spans="2:42" x14ac:dyDescent="0.2">
      <c r="B7930" t="s">
        <v>44</v>
      </c>
      <c r="C7930" t="str">
        <f>HYPERLINK("https://us2.cloudbeds.com/connect/8493803454333002#/reservations/9080486848131258?display=4FPPFXWTGD&amp;reservation_id=9080486848131258", "4FPPFXWTGD")</f>
        <v>4FPPFXWTGD</v>
      </c>
      <c r="D7930" t="s">
        <v>45</v>
      </c>
      <c r="E7930" t="s">
        <v>185</v>
      </c>
      <c r="F7930" t="s">
        <v>47</v>
      </c>
      <c r="G7930" t="s">
        <v>48</v>
      </c>
      <c r="H7930" t="s">
        <v>49</v>
      </c>
      <c r="I7930" t="s">
        <v>62</v>
      </c>
      <c r="J7930" t="s">
        <v>13538</v>
      </c>
      <c r="K7930" t="s">
        <v>9579</v>
      </c>
      <c r="L7930" t="s">
        <v>53</v>
      </c>
      <c r="N7930" t="s">
        <v>14845</v>
      </c>
      <c r="P7930" t="s">
        <v>55</v>
      </c>
      <c r="R7930" t="s">
        <v>56</v>
      </c>
      <c r="T7930" t="s">
        <v>14846</v>
      </c>
      <c r="U7930" t="s">
        <v>55</v>
      </c>
      <c r="V7930">
        <v>1</v>
      </c>
      <c r="W7930">
        <v>1</v>
      </c>
      <c r="X7930">
        <v>2</v>
      </c>
      <c r="Y7930">
        <v>0</v>
      </c>
      <c r="Z7930">
        <v>2</v>
      </c>
      <c r="AA7930">
        <v>96.3</v>
      </c>
      <c r="AB7930">
        <v>96.3</v>
      </c>
      <c r="AC7930">
        <v>96.3</v>
      </c>
      <c r="AD7930">
        <v>0</v>
      </c>
      <c r="AE7930">
        <v>0</v>
      </c>
      <c r="AF7930">
        <v>0</v>
      </c>
      <c r="AG7930">
        <v>0</v>
      </c>
      <c r="AH7930">
        <v>0</v>
      </c>
      <c r="AI7930">
        <v>17.329999999999998</v>
      </c>
      <c r="AJ7930">
        <v>96.3</v>
      </c>
      <c r="AK7930">
        <v>0</v>
      </c>
      <c r="AL7930" t="s">
        <v>53</v>
      </c>
      <c r="AM7930" t="s">
        <v>53</v>
      </c>
      <c r="AN7930" t="s">
        <v>53</v>
      </c>
      <c r="AO7930" t="s">
        <v>53</v>
      </c>
      <c r="AP7930" t="s">
        <v>53</v>
      </c>
    </row>
    <row r="7931" spans="2:42" x14ac:dyDescent="0.2">
      <c r="B7931" t="s">
        <v>44</v>
      </c>
      <c r="C7931" t="str">
        <f>HYPERLINK("https://us2.cloudbeds.com/connect/8493803454333002#/reservations/9080486848134882?display=4FSWM144RN&amp;reservation_id=9080486848134882", "4FSWM144RN")</f>
        <v>4FSWM144RN</v>
      </c>
      <c r="D7931" t="s">
        <v>45</v>
      </c>
      <c r="E7931" t="s">
        <v>265</v>
      </c>
      <c r="F7931" t="s">
        <v>61</v>
      </c>
      <c r="G7931" t="s">
        <v>48</v>
      </c>
      <c r="H7931" t="s">
        <v>49</v>
      </c>
      <c r="I7931" t="s">
        <v>62</v>
      </c>
      <c r="J7931" t="s">
        <v>14847</v>
      </c>
      <c r="K7931" t="s">
        <v>14848</v>
      </c>
      <c r="L7931" t="s">
        <v>53</v>
      </c>
      <c r="N7931" t="s">
        <v>14849</v>
      </c>
      <c r="P7931" t="s">
        <v>55</v>
      </c>
      <c r="R7931" t="s">
        <v>56</v>
      </c>
      <c r="T7931" t="s">
        <v>14850</v>
      </c>
      <c r="U7931" t="s">
        <v>55</v>
      </c>
      <c r="V7931">
        <v>1</v>
      </c>
      <c r="W7931">
        <v>1</v>
      </c>
      <c r="X7931">
        <v>2</v>
      </c>
      <c r="Y7931">
        <v>0</v>
      </c>
      <c r="Z7931">
        <v>2</v>
      </c>
      <c r="AA7931">
        <v>244.97</v>
      </c>
      <c r="AB7931">
        <v>244.97</v>
      </c>
      <c r="AC7931">
        <v>244.97</v>
      </c>
      <c r="AD7931">
        <v>0</v>
      </c>
      <c r="AE7931">
        <v>0</v>
      </c>
      <c r="AF7931">
        <v>0</v>
      </c>
      <c r="AG7931">
        <v>0</v>
      </c>
      <c r="AH7931">
        <v>0</v>
      </c>
      <c r="AI7931">
        <v>44.09</v>
      </c>
      <c r="AJ7931">
        <v>244.97</v>
      </c>
      <c r="AK7931">
        <v>0</v>
      </c>
      <c r="AL7931" t="s">
        <v>53</v>
      </c>
      <c r="AM7931" t="s">
        <v>53</v>
      </c>
      <c r="AN7931" t="s">
        <v>53</v>
      </c>
      <c r="AO7931" t="s">
        <v>53</v>
      </c>
      <c r="AP7931" t="s">
        <v>53</v>
      </c>
    </row>
    <row r="7932" spans="2:42" x14ac:dyDescent="0.2">
      <c r="B7932" t="s">
        <v>44</v>
      </c>
      <c r="C7932" t="str">
        <f>HYPERLINK("https://us2.cloudbeds.com/connect/8493803454333002#/reservations/208044207091904?display=4FUX8N2NDZ&amp;reservation_id=208044207091904", "4FUX8N2NDZ")</f>
        <v>4FUX8N2NDZ</v>
      </c>
      <c r="D7932" t="s">
        <v>45</v>
      </c>
      <c r="E7932" t="s">
        <v>190</v>
      </c>
      <c r="F7932" t="s">
        <v>61</v>
      </c>
      <c r="G7932" t="s">
        <v>48</v>
      </c>
      <c r="H7932" t="s">
        <v>3957</v>
      </c>
      <c r="I7932" t="s">
        <v>3958</v>
      </c>
      <c r="J7932" t="s">
        <v>9579</v>
      </c>
      <c r="K7932" t="s">
        <v>14354</v>
      </c>
      <c r="L7932" t="s">
        <v>53</v>
      </c>
      <c r="P7932" t="s">
        <v>55</v>
      </c>
      <c r="R7932" t="s">
        <v>56</v>
      </c>
      <c r="T7932" t="s">
        <v>14851</v>
      </c>
      <c r="U7932" t="s">
        <v>58</v>
      </c>
      <c r="V7932">
        <v>1</v>
      </c>
      <c r="W7932">
        <v>1</v>
      </c>
      <c r="X7932">
        <v>1</v>
      </c>
      <c r="Y7932">
        <v>0</v>
      </c>
      <c r="Z7932">
        <v>1</v>
      </c>
      <c r="AA7932">
        <v>111.49</v>
      </c>
      <c r="AB7932">
        <v>111.49</v>
      </c>
      <c r="AC7932">
        <v>97.24</v>
      </c>
      <c r="AD7932">
        <v>0</v>
      </c>
      <c r="AE7932">
        <v>14.25</v>
      </c>
      <c r="AF7932">
        <v>0</v>
      </c>
      <c r="AG7932">
        <v>0</v>
      </c>
      <c r="AH7932">
        <v>0</v>
      </c>
      <c r="AI7932">
        <v>0</v>
      </c>
      <c r="AJ7932">
        <v>111.49</v>
      </c>
      <c r="AK7932">
        <v>0</v>
      </c>
      <c r="AL7932" t="s">
        <v>53</v>
      </c>
      <c r="AM7932" t="s">
        <v>53</v>
      </c>
      <c r="AN7932" t="s">
        <v>53</v>
      </c>
      <c r="AO7932" t="s">
        <v>53</v>
      </c>
      <c r="AP7932" t="s">
        <v>53</v>
      </c>
    </row>
    <row r="7933" spans="2:42" x14ac:dyDescent="0.2">
      <c r="B7933" t="s">
        <v>44</v>
      </c>
      <c r="C7933" t="str">
        <f>HYPERLINK("https://us2.cloudbeds.com/connect/8493803454333002#/reservations/9080486848140311?display=4FW6GK4B0Y&amp;reservation_id=9080486848140311", "4FW6GK4B0Y")</f>
        <v>4FW6GK4B0Y</v>
      </c>
      <c r="D7933" t="s">
        <v>45</v>
      </c>
      <c r="E7933" t="s">
        <v>69</v>
      </c>
      <c r="F7933" t="s">
        <v>70</v>
      </c>
      <c r="G7933" t="s">
        <v>48</v>
      </c>
      <c r="H7933" t="s">
        <v>49</v>
      </c>
      <c r="I7933" t="s">
        <v>8964</v>
      </c>
      <c r="J7933" t="s">
        <v>9579</v>
      </c>
      <c r="K7933" t="s">
        <v>9580</v>
      </c>
      <c r="L7933" t="s">
        <v>53</v>
      </c>
      <c r="N7933" t="s">
        <v>14852</v>
      </c>
      <c r="P7933" t="s">
        <v>55</v>
      </c>
      <c r="R7933" t="s">
        <v>53</v>
      </c>
      <c r="T7933" t="s">
        <v>14853</v>
      </c>
      <c r="U7933" t="s">
        <v>55</v>
      </c>
      <c r="V7933">
        <v>2</v>
      </c>
      <c r="W7933">
        <v>1</v>
      </c>
      <c r="X7933">
        <v>2</v>
      </c>
      <c r="Y7933">
        <v>0</v>
      </c>
      <c r="Z7933">
        <v>2</v>
      </c>
      <c r="AA7933">
        <v>0</v>
      </c>
      <c r="AB7933">
        <v>0</v>
      </c>
      <c r="AC7933">
        <v>236</v>
      </c>
      <c r="AD7933">
        <v>0</v>
      </c>
      <c r="AE7933">
        <v>0</v>
      </c>
      <c r="AF7933">
        <v>0</v>
      </c>
      <c r="AG7933">
        <v>0</v>
      </c>
      <c r="AH7933">
        <v>0</v>
      </c>
      <c r="AI7933">
        <v>35.4</v>
      </c>
      <c r="AJ7933">
        <v>236</v>
      </c>
      <c r="AK7933">
        <v>236</v>
      </c>
      <c r="AL7933" t="s">
        <v>53</v>
      </c>
      <c r="AM7933" t="s">
        <v>53</v>
      </c>
      <c r="AN7933" t="s">
        <v>14854</v>
      </c>
      <c r="AO7933" t="s">
        <v>53</v>
      </c>
      <c r="AP7933" t="s">
        <v>53</v>
      </c>
    </row>
    <row r="7934" spans="2:42" x14ac:dyDescent="0.2">
      <c r="B7934" t="s">
        <v>44</v>
      </c>
      <c r="C7934" t="str">
        <f>HYPERLINK("https://us2.cloudbeds.com/connect/8493803454333002#/reservations/208115047854208?display=4FW73RS6W6&amp;reservation_id=208115047854208", "4FW73RS6W6")</f>
        <v>4FW73RS6W6</v>
      </c>
      <c r="D7934" t="s">
        <v>45</v>
      </c>
      <c r="E7934" t="s">
        <v>165</v>
      </c>
      <c r="F7934" t="s">
        <v>61</v>
      </c>
      <c r="G7934" t="s">
        <v>48</v>
      </c>
      <c r="H7934" t="s">
        <v>3957</v>
      </c>
      <c r="I7934" t="s">
        <v>3958</v>
      </c>
      <c r="J7934" t="s">
        <v>13538</v>
      </c>
      <c r="K7934" t="s">
        <v>9579</v>
      </c>
      <c r="L7934" t="s">
        <v>53</v>
      </c>
      <c r="P7934" t="s">
        <v>55</v>
      </c>
      <c r="R7934" t="s">
        <v>56</v>
      </c>
      <c r="T7934" t="s">
        <v>14855</v>
      </c>
      <c r="U7934" t="s">
        <v>58</v>
      </c>
      <c r="V7934">
        <v>1</v>
      </c>
      <c r="W7934">
        <v>1</v>
      </c>
      <c r="X7934">
        <v>1</v>
      </c>
      <c r="Y7934">
        <v>0</v>
      </c>
      <c r="Z7934">
        <v>1</v>
      </c>
      <c r="AA7934">
        <v>132.99</v>
      </c>
      <c r="AB7934">
        <v>132.99</v>
      </c>
      <c r="AC7934">
        <v>116</v>
      </c>
      <c r="AD7934">
        <v>0</v>
      </c>
      <c r="AE7934">
        <v>16.989999999999998</v>
      </c>
      <c r="AF7934">
        <v>0</v>
      </c>
      <c r="AG7934">
        <v>0</v>
      </c>
      <c r="AH7934">
        <v>0</v>
      </c>
      <c r="AI7934">
        <v>0</v>
      </c>
      <c r="AJ7934">
        <v>132.99</v>
      </c>
      <c r="AK7934">
        <v>0</v>
      </c>
      <c r="AL7934" t="s">
        <v>53</v>
      </c>
      <c r="AM7934" t="s">
        <v>53</v>
      </c>
      <c r="AN7934" t="s">
        <v>14856</v>
      </c>
      <c r="AO7934" t="s">
        <v>53</v>
      </c>
      <c r="AP7934" t="s">
        <v>53</v>
      </c>
    </row>
    <row r="7935" spans="2:42" x14ac:dyDescent="0.2">
      <c r="B7935" t="s">
        <v>44</v>
      </c>
      <c r="C7935" t="str">
        <f>HYPERLINK("https://us2.cloudbeds.com/connect/8493803454333002#/reservations/208138869330048?display=4FWPXHP7NR&amp;reservation_id=208138869330048", "4FWPXHP7NR")</f>
        <v>4FWPXHP7NR</v>
      </c>
      <c r="D7935" t="s">
        <v>45</v>
      </c>
      <c r="E7935" t="s">
        <v>113</v>
      </c>
      <c r="F7935" t="s">
        <v>61</v>
      </c>
      <c r="G7935" t="s">
        <v>13757</v>
      </c>
      <c r="H7935" t="s">
        <v>3957</v>
      </c>
      <c r="I7935" t="s">
        <v>3975</v>
      </c>
      <c r="J7935" t="s">
        <v>14354</v>
      </c>
      <c r="K7935" t="s">
        <v>14458</v>
      </c>
      <c r="L7935" t="s">
        <v>53</v>
      </c>
      <c r="P7935" t="s">
        <v>55</v>
      </c>
      <c r="R7935" t="s">
        <v>56</v>
      </c>
      <c r="T7935" t="s">
        <v>14857</v>
      </c>
      <c r="U7935" t="s">
        <v>58</v>
      </c>
      <c r="V7935">
        <v>4</v>
      </c>
      <c r="W7935">
        <v>1</v>
      </c>
      <c r="X7935">
        <v>1</v>
      </c>
      <c r="Y7935">
        <v>0</v>
      </c>
      <c r="Z7935">
        <v>1</v>
      </c>
      <c r="AA7935">
        <v>0</v>
      </c>
      <c r="AB7935">
        <v>499.44</v>
      </c>
      <c r="AC7935">
        <v>435.6</v>
      </c>
      <c r="AD7935">
        <v>0</v>
      </c>
      <c r="AE7935">
        <v>63.84</v>
      </c>
      <c r="AF7935">
        <v>0</v>
      </c>
      <c r="AG7935">
        <v>0</v>
      </c>
      <c r="AH7935">
        <v>0</v>
      </c>
      <c r="AI7935">
        <v>0</v>
      </c>
      <c r="AJ7935">
        <v>499.44</v>
      </c>
      <c r="AK7935">
        <v>0</v>
      </c>
      <c r="AL7935" t="s">
        <v>53</v>
      </c>
      <c r="AM7935" t="s">
        <v>53</v>
      </c>
      <c r="AN7935" t="s">
        <v>53</v>
      </c>
      <c r="AO7935" t="s">
        <v>53</v>
      </c>
      <c r="AP7935" t="s">
        <v>53</v>
      </c>
    </row>
    <row r="7936" spans="2:42" x14ac:dyDescent="0.2">
      <c r="B7936" t="s">
        <v>44</v>
      </c>
      <c r="C7936" t="str">
        <f>HYPERLINK("https://us2.cloudbeds.com/connect/8493803454333002#/reservations/9080486848141949?display=4G0GZSTYK2&amp;reservation_id=9080486848141949", "4G0GZSTYK2")</f>
        <v>4G0GZSTYK2</v>
      </c>
      <c r="D7936" t="s">
        <v>45</v>
      </c>
      <c r="E7936" t="s">
        <v>85</v>
      </c>
      <c r="F7936" t="s">
        <v>86</v>
      </c>
      <c r="G7936" t="s">
        <v>48</v>
      </c>
      <c r="H7936" t="s">
        <v>49</v>
      </c>
      <c r="I7936" t="s">
        <v>50</v>
      </c>
      <c r="J7936" t="s">
        <v>14206</v>
      </c>
      <c r="K7936" t="s">
        <v>13082</v>
      </c>
      <c r="L7936" t="s">
        <v>53</v>
      </c>
      <c r="N7936" t="s">
        <v>14858</v>
      </c>
      <c r="P7936" t="s">
        <v>55</v>
      </c>
      <c r="R7936" t="s">
        <v>53</v>
      </c>
      <c r="T7936" t="s">
        <v>14859</v>
      </c>
      <c r="U7936" t="s">
        <v>55</v>
      </c>
      <c r="V7936">
        <v>2</v>
      </c>
      <c r="W7936">
        <v>1</v>
      </c>
      <c r="X7936">
        <v>2</v>
      </c>
      <c r="Y7936">
        <v>2</v>
      </c>
      <c r="Z7936">
        <v>4</v>
      </c>
      <c r="AA7936">
        <v>336.66</v>
      </c>
      <c r="AB7936">
        <v>336.66</v>
      </c>
      <c r="AC7936">
        <v>309.57</v>
      </c>
      <c r="AD7936">
        <v>0</v>
      </c>
      <c r="AE7936">
        <v>27.09</v>
      </c>
      <c r="AF7936">
        <v>0</v>
      </c>
      <c r="AG7936">
        <v>0</v>
      </c>
      <c r="AH7936">
        <v>0</v>
      </c>
      <c r="AI7936">
        <v>60.6</v>
      </c>
      <c r="AJ7936">
        <v>336.66</v>
      </c>
      <c r="AK7936">
        <v>0</v>
      </c>
      <c r="AL7936" t="s">
        <v>53</v>
      </c>
      <c r="AM7936" t="s">
        <v>53</v>
      </c>
      <c r="AN7936" t="s">
        <v>53</v>
      </c>
      <c r="AO7936" t="s">
        <v>53</v>
      </c>
      <c r="AP7936" t="s">
        <v>53</v>
      </c>
    </row>
    <row r="7937" spans="2:42" x14ac:dyDescent="0.2">
      <c r="B7937" t="s">
        <v>44</v>
      </c>
      <c r="C7937" t="str">
        <f>HYPERLINK("https://us2.cloudbeds.com/connect/8493803454333002#/reservations/208351887376512?display=4G4PGY7CQT&amp;reservation_id=208351887376512", "4G4PGY7CQT")</f>
        <v>4G4PGY7CQT</v>
      </c>
      <c r="D7937" t="s">
        <v>45</v>
      </c>
      <c r="E7937" t="s">
        <v>110</v>
      </c>
      <c r="F7937" t="s">
        <v>47</v>
      </c>
      <c r="G7937" t="s">
        <v>48</v>
      </c>
      <c r="H7937" t="s">
        <v>3957</v>
      </c>
      <c r="I7937" t="s">
        <v>3975</v>
      </c>
      <c r="J7937" t="s">
        <v>14354</v>
      </c>
      <c r="K7937" t="s">
        <v>13676</v>
      </c>
      <c r="L7937" t="s">
        <v>53</v>
      </c>
      <c r="P7937" t="s">
        <v>55</v>
      </c>
      <c r="R7937" t="s">
        <v>56</v>
      </c>
      <c r="T7937" t="s">
        <v>14860</v>
      </c>
      <c r="U7937" t="s">
        <v>58</v>
      </c>
      <c r="V7937">
        <v>2</v>
      </c>
      <c r="W7937">
        <v>1</v>
      </c>
      <c r="X7937">
        <v>1</v>
      </c>
      <c r="Y7937">
        <v>0</v>
      </c>
      <c r="Z7937">
        <v>1</v>
      </c>
      <c r="AA7937">
        <v>231.6</v>
      </c>
      <c r="AB7937">
        <v>231.6</v>
      </c>
      <c r="AC7937">
        <v>202</v>
      </c>
      <c r="AD7937">
        <v>0</v>
      </c>
      <c r="AE7937">
        <v>29.6</v>
      </c>
      <c r="AF7937">
        <v>0</v>
      </c>
      <c r="AG7937">
        <v>0</v>
      </c>
      <c r="AH7937">
        <v>0</v>
      </c>
      <c r="AI7937">
        <v>0</v>
      </c>
      <c r="AJ7937">
        <v>231.6</v>
      </c>
      <c r="AK7937">
        <v>0</v>
      </c>
      <c r="AL7937" t="s">
        <v>53</v>
      </c>
      <c r="AM7937" t="s">
        <v>53</v>
      </c>
      <c r="AN7937" t="s">
        <v>14861</v>
      </c>
      <c r="AO7937" t="s">
        <v>53</v>
      </c>
      <c r="AP7937" t="s">
        <v>53</v>
      </c>
    </row>
    <row r="7938" spans="2:42" x14ac:dyDescent="0.2">
      <c r="B7938" t="s">
        <v>44</v>
      </c>
      <c r="C7938" t="str">
        <f>HYPERLINK("https://us2.cloudbeds.com/connect/8493803454333002#/reservations/208419901227136?display=4G6C5X9QS4&amp;reservation_id=208419901227136", "4G6C5X9QS4")</f>
        <v>4G6C5X9QS4</v>
      </c>
      <c r="D7938" t="s">
        <v>45</v>
      </c>
      <c r="E7938" t="s">
        <v>213</v>
      </c>
      <c r="F7938" t="s">
        <v>86</v>
      </c>
      <c r="G7938" t="s">
        <v>48</v>
      </c>
      <c r="H7938" t="s">
        <v>3957</v>
      </c>
      <c r="I7938" t="s">
        <v>3975</v>
      </c>
      <c r="J7938" t="s">
        <v>13081</v>
      </c>
      <c r="K7938" t="s">
        <v>13082</v>
      </c>
      <c r="L7938" t="s">
        <v>53</v>
      </c>
      <c r="P7938" t="s">
        <v>55</v>
      </c>
      <c r="R7938" t="s">
        <v>56</v>
      </c>
      <c r="T7938" t="s">
        <v>14862</v>
      </c>
      <c r="U7938" t="s">
        <v>58</v>
      </c>
      <c r="V7938">
        <v>1</v>
      </c>
      <c r="W7938">
        <v>1</v>
      </c>
      <c r="X7938">
        <v>2</v>
      </c>
      <c r="Y7938">
        <v>2</v>
      </c>
      <c r="Z7938">
        <v>4</v>
      </c>
      <c r="AA7938">
        <v>0</v>
      </c>
      <c r="AB7938">
        <v>216.69</v>
      </c>
      <c r="AC7938">
        <v>189</v>
      </c>
      <c r="AD7938">
        <v>0</v>
      </c>
      <c r="AE7938">
        <v>27.69</v>
      </c>
      <c r="AF7938">
        <v>0</v>
      </c>
      <c r="AG7938">
        <v>0</v>
      </c>
      <c r="AH7938">
        <v>0</v>
      </c>
      <c r="AI7938">
        <v>0</v>
      </c>
      <c r="AJ7938">
        <v>216.69</v>
      </c>
      <c r="AK7938">
        <v>0</v>
      </c>
      <c r="AL7938" t="s">
        <v>53</v>
      </c>
      <c r="AM7938" t="s">
        <v>53</v>
      </c>
      <c r="AN7938" t="s">
        <v>53</v>
      </c>
      <c r="AO7938" t="s">
        <v>53</v>
      </c>
      <c r="AP7938" t="s">
        <v>53</v>
      </c>
    </row>
    <row r="7939" spans="2:42" x14ac:dyDescent="0.2">
      <c r="B7939" t="s">
        <v>44</v>
      </c>
      <c r="C7939" t="str">
        <f>HYPERLINK("https://us2.cloudbeds.com/connect/8493803454333002#/reservations/9080486848150386?display=4G6WUDGER2&amp;reservation_id=9080486848150386", "4G6WUDGER2")</f>
        <v>4G6WUDGER2</v>
      </c>
      <c r="D7939" t="s">
        <v>45</v>
      </c>
      <c r="E7939" t="s">
        <v>110</v>
      </c>
      <c r="F7939" t="s">
        <v>47</v>
      </c>
      <c r="G7939" t="s">
        <v>48</v>
      </c>
      <c r="H7939" t="s">
        <v>49</v>
      </c>
      <c r="I7939" t="s">
        <v>50</v>
      </c>
      <c r="J7939" t="s">
        <v>9579</v>
      </c>
      <c r="K7939" t="s">
        <v>14354</v>
      </c>
      <c r="L7939" t="s">
        <v>53</v>
      </c>
      <c r="N7939" t="s">
        <v>14863</v>
      </c>
      <c r="P7939" t="s">
        <v>55</v>
      </c>
      <c r="R7939" t="s">
        <v>53</v>
      </c>
      <c r="T7939" t="s">
        <v>14864</v>
      </c>
      <c r="U7939" t="s">
        <v>55</v>
      </c>
      <c r="V7939">
        <v>1</v>
      </c>
      <c r="W7939">
        <v>1</v>
      </c>
      <c r="X7939">
        <v>1</v>
      </c>
      <c r="Y7939">
        <v>0</v>
      </c>
      <c r="Z7939">
        <v>1</v>
      </c>
      <c r="AA7939">
        <v>77.69</v>
      </c>
      <c r="AB7939">
        <v>77.69</v>
      </c>
      <c r="AC7939">
        <v>71.44</v>
      </c>
      <c r="AD7939">
        <v>0</v>
      </c>
      <c r="AE7939">
        <v>6.25</v>
      </c>
      <c r="AF7939">
        <v>0</v>
      </c>
      <c r="AG7939">
        <v>0</v>
      </c>
      <c r="AH7939">
        <v>0</v>
      </c>
      <c r="AI7939">
        <v>13.98</v>
      </c>
      <c r="AJ7939">
        <v>77.69</v>
      </c>
      <c r="AK7939">
        <v>0</v>
      </c>
      <c r="AL7939" t="s">
        <v>53</v>
      </c>
      <c r="AM7939" t="s">
        <v>53</v>
      </c>
      <c r="AN7939" t="s">
        <v>53</v>
      </c>
      <c r="AO7939" t="s">
        <v>53</v>
      </c>
      <c r="AP7939" t="s">
        <v>53</v>
      </c>
    </row>
    <row r="7940" spans="2:42" x14ac:dyDescent="0.2">
      <c r="B7940" t="s">
        <v>44</v>
      </c>
      <c r="C7940" t="str">
        <f>HYPERLINK("https://us2.cloudbeds.com/connect/8493803454333002#/reservations/208459198374016?display=4G79JMNDWF&amp;reservation_id=208459198374016", "4G79JMNDWF")</f>
        <v>4G79JMNDWF</v>
      </c>
      <c r="D7940" t="s">
        <v>45</v>
      </c>
      <c r="E7940" t="s">
        <v>381</v>
      </c>
      <c r="F7940" t="s">
        <v>47</v>
      </c>
      <c r="G7940" t="s">
        <v>48</v>
      </c>
      <c r="H7940" t="s">
        <v>3957</v>
      </c>
      <c r="I7940" t="s">
        <v>3958</v>
      </c>
      <c r="J7940" t="s">
        <v>9579</v>
      </c>
      <c r="K7940" t="s">
        <v>9580</v>
      </c>
      <c r="L7940" t="s">
        <v>53</v>
      </c>
      <c r="P7940" t="s">
        <v>55</v>
      </c>
      <c r="R7940" t="s">
        <v>56</v>
      </c>
      <c r="T7940" t="s">
        <v>14865</v>
      </c>
      <c r="U7940" t="s">
        <v>58</v>
      </c>
      <c r="V7940">
        <v>2</v>
      </c>
      <c r="W7940">
        <v>1</v>
      </c>
      <c r="X7940">
        <v>1</v>
      </c>
      <c r="Y7940">
        <v>0</v>
      </c>
      <c r="Z7940">
        <v>1</v>
      </c>
      <c r="AA7940">
        <v>230.46</v>
      </c>
      <c r="AB7940">
        <v>235.94</v>
      </c>
      <c r="AC7940">
        <v>201</v>
      </c>
      <c r="AD7940">
        <v>5</v>
      </c>
      <c r="AE7940">
        <v>29.94</v>
      </c>
      <c r="AF7940">
        <v>0</v>
      </c>
      <c r="AG7940">
        <v>0</v>
      </c>
      <c r="AH7940">
        <v>0</v>
      </c>
      <c r="AI7940">
        <v>0</v>
      </c>
      <c r="AJ7940">
        <v>235.94</v>
      </c>
      <c r="AK7940">
        <v>0</v>
      </c>
      <c r="AL7940" t="s">
        <v>53</v>
      </c>
      <c r="AM7940" t="s">
        <v>53</v>
      </c>
      <c r="AN7940" t="s">
        <v>53</v>
      </c>
      <c r="AO7940" t="s">
        <v>53</v>
      </c>
      <c r="AP7940" t="s">
        <v>53</v>
      </c>
    </row>
    <row r="7941" spans="2:42" x14ac:dyDescent="0.2">
      <c r="B7941" t="s">
        <v>44</v>
      </c>
      <c r="C7941" t="str">
        <f>HYPERLINK("https://us2.cloudbeds.com/connect/8493803454333002#/reservations/208465250676928?display=4G7E9B5EJT&amp;reservation_id=208465250676928", "4G7E9B5EJT")</f>
        <v>4G7E9B5EJT</v>
      </c>
      <c r="D7941" t="s">
        <v>45</v>
      </c>
      <c r="E7941" t="s">
        <v>46</v>
      </c>
      <c r="F7941" t="s">
        <v>47</v>
      </c>
      <c r="G7941" t="s">
        <v>48</v>
      </c>
      <c r="H7941" t="s">
        <v>3957</v>
      </c>
      <c r="I7941" t="s">
        <v>3975</v>
      </c>
      <c r="J7941" t="s">
        <v>13383</v>
      </c>
      <c r="K7941" t="s">
        <v>13384</v>
      </c>
      <c r="L7941" t="s">
        <v>53</v>
      </c>
      <c r="P7941" t="s">
        <v>55</v>
      </c>
      <c r="R7941" t="s">
        <v>56</v>
      </c>
      <c r="T7941" t="s">
        <v>14866</v>
      </c>
      <c r="U7941" t="s">
        <v>58</v>
      </c>
      <c r="V7941">
        <v>1</v>
      </c>
      <c r="W7941">
        <v>1</v>
      </c>
      <c r="X7941">
        <v>2</v>
      </c>
      <c r="Y7941">
        <v>0</v>
      </c>
      <c r="Z7941">
        <v>2</v>
      </c>
      <c r="AA7941">
        <v>86</v>
      </c>
      <c r="AB7941">
        <v>86</v>
      </c>
      <c r="AC7941">
        <v>75</v>
      </c>
      <c r="AD7941">
        <v>0</v>
      </c>
      <c r="AE7941">
        <v>11</v>
      </c>
      <c r="AF7941">
        <v>0</v>
      </c>
      <c r="AG7941">
        <v>0</v>
      </c>
      <c r="AH7941">
        <v>0</v>
      </c>
      <c r="AI7941">
        <v>0</v>
      </c>
      <c r="AJ7941">
        <v>86</v>
      </c>
      <c r="AK7941">
        <v>0</v>
      </c>
      <c r="AL7941" t="s">
        <v>53</v>
      </c>
      <c r="AM7941" t="s">
        <v>53</v>
      </c>
      <c r="AN7941" t="s">
        <v>14867</v>
      </c>
      <c r="AO7941" t="s">
        <v>53</v>
      </c>
      <c r="AP7941" t="s">
        <v>53</v>
      </c>
    </row>
    <row r="7942" spans="2:42" x14ac:dyDescent="0.2">
      <c r="B7942" t="s">
        <v>44</v>
      </c>
      <c r="C7942" t="str">
        <f>HYPERLINK("https://us2.cloudbeds.com/connect/8493803454333002#/reservations/208480124641472?display=4G7PQD8ZMF&amp;reservation_id=208480124641472", "4G7PQD8ZMF")</f>
        <v>4G7PQD8ZMF</v>
      </c>
      <c r="D7942" t="s">
        <v>45</v>
      </c>
      <c r="E7942" t="s">
        <v>138</v>
      </c>
      <c r="F7942" t="s">
        <v>70</v>
      </c>
      <c r="G7942" t="s">
        <v>48</v>
      </c>
      <c r="H7942" t="s">
        <v>3957</v>
      </c>
      <c r="I7942" t="s">
        <v>3975</v>
      </c>
      <c r="J7942" t="s">
        <v>14847</v>
      </c>
      <c r="K7942" t="s">
        <v>14868</v>
      </c>
      <c r="L7942" t="s">
        <v>53</v>
      </c>
      <c r="P7942" t="s">
        <v>55</v>
      </c>
      <c r="R7942" t="s">
        <v>56</v>
      </c>
      <c r="T7942" t="s">
        <v>14869</v>
      </c>
      <c r="U7942" t="s">
        <v>58</v>
      </c>
      <c r="V7942">
        <v>2</v>
      </c>
      <c r="W7942">
        <v>1</v>
      </c>
      <c r="X7942">
        <v>2</v>
      </c>
      <c r="Y7942">
        <v>0</v>
      </c>
      <c r="Z7942">
        <v>2</v>
      </c>
      <c r="AA7942">
        <v>400.15</v>
      </c>
      <c r="AB7942">
        <v>400.15</v>
      </c>
      <c r="AC7942">
        <v>349</v>
      </c>
      <c r="AD7942">
        <v>2.5</v>
      </c>
      <c r="AE7942">
        <v>51.39</v>
      </c>
      <c r="AF7942">
        <v>0</v>
      </c>
      <c r="AG7942">
        <v>0</v>
      </c>
      <c r="AH7942">
        <v>0</v>
      </c>
      <c r="AI7942">
        <v>0</v>
      </c>
      <c r="AJ7942">
        <v>402.89</v>
      </c>
      <c r="AK7942">
        <v>2.74</v>
      </c>
      <c r="AL7942" t="s">
        <v>53</v>
      </c>
      <c r="AM7942" t="s">
        <v>53</v>
      </c>
      <c r="AN7942" t="s">
        <v>53</v>
      </c>
      <c r="AO7942" t="s">
        <v>53</v>
      </c>
      <c r="AP7942" t="s">
        <v>53</v>
      </c>
    </row>
    <row r="7943" spans="2:42" x14ac:dyDescent="0.2">
      <c r="B7943" t="s">
        <v>44</v>
      </c>
      <c r="C7943" t="str">
        <f>HYPERLINK("https://us2.cloudbeds.com/connect/8493803454333002#/reservations/9080486848155178?display=4GBFJUCTUQ&amp;reservation_id=9080486848155178", "4GBFJUCTUQ")</f>
        <v>4GBFJUCTUQ</v>
      </c>
      <c r="D7943" t="s">
        <v>45</v>
      </c>
      <c r="E7943" t="s">
        <v>110</v>
      </c>
      <c r="F7943" t="s">
        <v>47</v>
      </c>
      <c r="G7943" t="s">
        <v>48</v>
      </c>
      <c r="H7943" t="s">
        <v>49</v>
      </c>
      <c r="I7943" t="s">
        <v>50</v>
      </c>
      <c r="J7943" t="s">
        <v>13960</v>
      </c>
      <c r="K7943" t="s">
        <v>14160</v>
      </c>
      <c r="L7943" t="s">
        <v>53</v>
      </c>
      <c r="N7943" t="s">
        <v>14870</v>
      </c>
      <c r="P7943" t="s">
        <v>55</v>
      </c>
      <c r="R7943" t="s">
        <v>53</v>
      </c>
      <c r="T7943" t="s">
        <v>14871</v>
      </c>
      <c r="U7943" t="s">
        <v>55</v>
      </c>
      <c r="V7943">
        <v>1</v>
      </c>
      <c r="W7943">
        <v>1</v>
      </c>
      <c r="X7943">
        <v>1</v>
      </c>
      <c r="Y7943">
        <v>0</v>
      </c>
      <c r="Z7943">
        <v>1</v>
      </c>
      <c r="AA7943">
        <v>70.87</v>
      </c>
      <c r="AB7943">
        <v>70.87</v>
      </c>
      <c r="AC7943">
        <v>65.17</v>
      </c>
      <c r="AD7943">
        <v>0</v>
      </c>
      <c r="AE7943">
        <v>5.7</v>
      </c>
      <c r="AF7943">
        <v>0</v>
      </c>
      <c r="AG7943">
        <v>0</v>
      </c>
      <c r="AH7943">
        <v>0</v>
      </c>
      <c r="AI7943">
        <v>12.76</v>
      </c>
      <c r="AJ7943">
        <v>70.87</v>
      </c>
      <c r="AK7943">
        <v>0</v>
      </c>
      <c r="AL7943" t="s">
        <v>53</v>
      </c>
      <c r="AM7943" t="s">
        <v>53</v>
      </c>
      <c r="AN7943" t="s">
        <v>53</v>
      </c>
      <c r="AO7943" t="s">
        <v>53</v>
      </c>
      <c r="AP7943" t="s">
        <v>53</v>
      </c>
    </row>
    <row r="7944" spans="2:42" x14ac:dyDescent="0.2">
      <c r="B7944" t="s">
        <v>44</v>
      </c>
      <c r="C7944" t="str">
        <f>HYPERLINK("https://us2.cloudbeds.com/connect/8493803454333002#/reservations/9080486848156581?display=4GCH9PPJ1W&amp;reservation_id=9080486848156581", "4GCH9PPJ1W")</f>
        <v>4GCH9PPJ1W</v>
      </c>
      <c r="D7944" t="s">
        <v>45</v>
      </c>
      <c r="E7944" t="s">
        <v>105</v>
      </c>
      <c r="F7944" t="s">
        <v>47</v>
      </c>
      <c r="G7944" t="s">
        <v>48</v>
      </c>
      <c r="H7944" t="s">
        <v>49</v>
      </c>
      <c r="I7944" t="s">
        <v>62</v>
      </c>
      <c r="J7944" t="s">
        <v>9580</v>
      </c>
      <c r="K7944" t="s">
        <v>13676</v>
      </c>
      <c r="L7944" t="s">
        <v>53</v>
      </c>
      <c r="N7944" t="s">
        <v>14872</v>
      </c>
      <c r="P7944" t="s">
        <v>55</v>
      </c>
      <c r="R7944" t="s">
        <v>56</v>
      </c>
      <c r="T7944" t="s">
        <v>14873</v>
      </c>
      <c r="U7944" t="s">
        <v>55</v>
      </c>
      <c r="V7944">
        <v>1</v>
      </c>
      <c r="W7944">
        <v>1</v>
      </c>
      <c r="X7944">
        <v>2</v>
      </c>
      <c r="Y7944">
        <v>0</v>
      </c>
      <c r="Z7944">
        <v>2</v>
      </c>
      <c r="AA7944">
        <v>104.72</v>
      </c>
      <c r="AB7944">
        <v>104.72</v>
      </c>
      <c r="AC7944">
        <v>104.72</v>
      </c>
      <c r="AD7944">
        <v>0</v>
      </c>
      <c r="AE7944">
        <v>0</v>
      </c>
      <c r="AF7944">
        <v>0</v>
      </c>
      <c r="AG7944">
        <v>0</v>
      </c>
      <c r="AH7944">
        <v>0</v>
      </c>
      <c r="AI7944">
        <v>18.850000000000001</v>
      </c>
      <c r="AJ7944">
        <v>104.72</v>
      </c>
      <c r="AK7944">
        <v>0</v>
      </c>
      <c r="AL7944" t="s">
        <v>53</v>
      </c>
      <c r="AM7944" t="s">
        <v>53</v>
      </c>
      <c r="AN7944" t="s">
        <v>53</v>
      </c>
      <c r="AO7944" t="s">
        <v>53</v>
      </c>
      <c r="AP7944" t="s">
        <v>53</v>
      </c>
    </row>
    <row r="7945" spans="2:42" x14ac:dyDescent="0.2">
      <c r="B7945" t="s">
        <v>44</v>
      </c>
      <c r="C7945" t="str">
        <f>HYPERLINK("https://us2.cloudbeds.com/connect/8493803454333002#/reservations/208836402630848?display=4GG4M4B865&amp;reservation_id=208836402630848", "4GG4M4B865")</f>
        <v>4GG4M4B865</v>
      </c>
      <c r="D7945" t="s">
        <v>45</v>
      </c>
      <c r="E7945" t="s">
        <v>85</v>
      </c>
      <c r="F7945" t="s">
        <v>86</v>
      </c>
      <c r="G7945" t="s">
        <v>4520</v>
      </c>
      <c r="H7945" t="s">
        <v>3957</v>
      </c>
      <c r="I7945" t="s">
        <v>3958</v>
      </c>
      <c r="J7945" t="s">
        <v>12823</v>
      </c>
      <c r="K7945" t="s">
        <v>13086</v>
      </c>
      <c r="L7945" t="s">
        <v>53</v>
      </c>
      <c r="P7945" t="s">
        <v>55</v>
      </c>
      <c r="R7945" t="s">
        <v>56</v>
      </c>
      <c r="T7945" t="s">
        <v>14874</v>
      </c>
      <c r="U7945" t="s">
        <v>58</v>
      </c>
      <c r="V7945">
        <v>6</v>
      </c>
      <c r="W7945">
        <v>1</v>
      </c>
      <c r="X7945">
        <v>1</v>
      </c>
      <c r="Y7945">
        <v>0</v>
      </c>
      <c r="Z7945">
        <v>1</v>
      </c>
      <c r="AA7945">
        <v>1185.5999999999999</v>
      </c>
      <c r="AB7945">
        <v>1185.5999999999999</v>
      </c>
      <c r="AC7945">
        <v>1034.0999999999999</v>
      </c>
      <c r="AD7945">
        <v>0</v>
      </c>
      <c r="AE7945">
        <v>151.5</v>
      </c>
      <c r="AF7945">
        <v>0</v>
      </c>
      <c r="AG7945">
        <v>0</v>
      </c>
      <c r="AH7945">
        <v>0</v>
      </c>
      <c r="AI7945">
        <v>0</v>
      </c>
      <c r="AJ7945">
        <v>1185.5999999999999</v>
      </c>
      <c r="AK7945">
        <v>0</v>
      </c>
      <c r="AL7945" t="s">
        <v>53</v>
      </c>
      <c r="AM7945" t="s">
        <v>53</v>
      </c>
      <c r="AN7945" t="s">
        <v>14875</v>
      </c>
      <c r="AO7945" t="s">
        <v>53</v>
      </c>
      <c r="AP7945" t="s">
        <v>53</v>
      </c>
    </row>
    <row r="7946" spans="2:42" x14ac:dyDescent="0.2">
      <c r="B7946" t="s">
        <v>44</v>
      </c>
      <c r="C7946" t="str">
        <f>HYPERLINK("https://us2.cloudbeds.com/connect/8493803454333002#/reservations/9080486848162163?display=4GGB4K7XDJ&amp;reservation_id=9080486848162163", "4GGB4K7XDJ")</f>
        <v>4GGB4K7XDJ</v>
      </c>
      <c r="D7946" t="s">
        <v>45</v>
      </c>
      <c r="E7946" t="s">
        <v>213</v>
      </c>
      <c r="F7946" t="s">
        <v>86</v>
      </c>
      <c r="G7946" t="s">
        <v>48</v>
      </c>
      <c r="H7946" t="s">
        <v>49</v>
      </c>
      <c r="I7946" t="s">
        <v>62</v>
      </c>
      <c r="J7946" t="s">
        <v>14354</v>
      </c>
      <c r="K7946" t="s">
        <v>9580</v>
      </c>
      <c r="L7946" t="s">
        <v>53</v>
      </c>
      <c r="N7946" t="s">
        <v>14876</v>
      </c>
      <c r="P7946" t="s">
        <v>55</v>
      </c>
      <c r="R7946" t="s">
        <v>56</v>
      </c>
      <c r="T7946" t="s">
        <v>14877</v>
      </c>
      <c r="U7946" t="s">
        <v>55</v>
      </c>
      <c r="V7946">
        <v>1</v>
      </c>
      <c r="W7946">
        <v>1</v>
      </c>
      <c r="X7946">
        <v>2</v>
      </c>
      <c r="Y7946">
        <v>0</v>
      </c>
      <c r="Z7946">
        <v>2</v>
      </c>
      <c r="AA7946">
        <v>102.85</v>
      </c>
      <c r="AB7946">
        <v>102.85</v>
      </c>
      <c r="AC7946">
        <v>102.85</v>
      </c>
      <c r="AD7946">
        <v>0</v>
      </c>
      <c r="AE7946">
        <v>0</v>
      </c>
      <c r="AF7946">
        <v>0</v>
      </c>
      <c r="AG7946">
        <v>0</v>
      </c>
      <c r="AH7946">
        <v>0</v>
      </c>
      <c r="AI7946">
        <v>18.510000000000002</v>
      </c>
      <c r="AJ7946">
        <v>102.85</v>
      </c>
      <c r="AK7946">
        <v>0</v>
      </c>
      <c r="AL7946" t="s">
        <v>53</v>
      </c>
      <c r="AM7946" t="s">
        <v>53</v>
      </c>
      <c r="AN7946" t="s">
        <v>14878</v>
      </c>
      <c r="AO7946" t="s">
        <v>53</v>
      </c>
      <c r="AP7946" t="s">
        <v>53</v>
      </c>
    </row>
    <row r="7947" spans="2:42" x14ac:dyDescent="0.2">
      <c r="B7947" t="s">
        <v>44</v>
      </c>
      <c r="C7947" t="str">
        <f>HYPERLINK("https://us2.cloudbeds.com/connect/8493803454333002#/reservations/208892157853888?display=4GHERQJV9T&amp;reservation_id=208892157853888", "4GHERQJV9T")</f>
        <v>4GHERQJV9T</v>
      </c>
      <c r="D7947" t="s">
        <v>45</v>
      </c>
      <c r="E7947" t="s">
        <v>155</v>
      </c>
      <c r="F7947" t="s">
        <v>86</v>
      </c>
      <c r="G7947" t="s">
        <v>14879</v>
      </c>
      <c r="H7947" t="s">
        <v>3957</v>
      </c>
      <c r="I7947" t="s">
        <v>3975</v>
      </c>
      <c r="J7947" t="s">
        <v>14119</v>
      </c>
      <c r="K7947" t="s">
        <v>13587</v>
      </c>
      <c r="L7947" t="s">
        <v>53</v>
      </c>
      <c r="P7947" t="s">
        <v>55</v>
      </c>
      <c r="R7947" t="s">
        <v>56</v>
      </c>
      <c r="T7947" t="s">
        <v>14880</v>
      </c>
      <c r="U7947" t="s">
        <v>58</v>
      </c>
      <c r="V7947">
        <v>2</v>
      </c>
      <c r="W7947">
        <v>1</v>
      </c>
      <c r="X7947">
        <v>3</v>
      </c>
      <c r="Y7947">
        <v>1</v>
      </c>
      <c r="Z7947">
        <v>4</v>
      </c>
      <c r="AA7947">
        <v>0</v>
      </c>
      <c r="AB7947">
        <v>193.98</v>
      </c>
      <c r="AC7947">
        <v>169.2</v>
      </c>
      <c r="AD7947">
        <v>0</v>
      </c>
      <c r="AE7947">
        <v>24.78</v>
      </c>
      <c r="AF7947">
        <v>0</v>
      </c>
      <c r="AG7947">
        <v>0</v>
      </c>
      <c r="AH7947">
        <v>0</v>
      </c>
      <c r="AI7947">
        <v>0</v>
      </c>
      <c r="AJ7947">
        <v>193.98</v>
      </c>
      <c r="AK7947">
        <v>0</v>
      </c>
      <c r="AL7947" t="s">
        <v>53</v>
      </c>
      <c r="AM7947" t="s">
        <v>53</v>
      </c>
      <c r="AN7947" t="s">
        <v>14881</v>
      </c>
      <c r="AO7947" t="s">
        <v>53</v>
      </c>
      <c r="AP7947" t="s">
        <v>53</v>
      </c>
    </row>
    <row r="7948" spans="2:42" x14ac:dyDescent="0.2">
      <c r="B7948" t="s">
        <v>44</v>
      </c>
      <c r="C7948" t="str">
        <f>HYPERLINK("https://us2.cloudbeds.com/connect/8493803454333002#/reservations/9080486848163424?display=4GHFEG5A4R&amp;reservation_id=9080486848163424", "4GHFEG5A4R")</f>
        <v>4GHFEG5A4R</v>
      </c>
      <c r="D7948" t="s">
        <v>45</v>
      </c>
      <c r="E7948" t="s">
        <v>121</v>
      </c>
      <c r="F7948" t="s">
        <v>86</v>
      </c>
      <c r="G7948" t="s">
        <v>48</v>
      </c>
      <c r="H7948" t="s">
        <v>49</v>
      </c>
      <c r="I7948" t="s">
        <v>62</v>
      </c>
      <c r="J7948" t="s">
        <v>9580</v>
      </c>
      <c r="K7948" t="s">
        <v>12807</v>
      </c>
      <c r="L7948" t="s">
        <v>53</v>
      </c>
      <c r="N7948" t="s">
        <v>14882</v>
      </c>
      <c r="P7948" t="s">
        <v>55</v>
      </c>
      <c r="R7948" t="s">
        <v>56</v>
      </c>
      <c r="T7948" t="s">
        <v>14883</v>
      </c>
      <c r="U7948" t="s">
        <v>55</v>
      </c>
      <c r="V7948">
        <v>2</v>
      </c>
      <c r="W7948">
        <v>1</v>
      </c>
      <c r="X7948">
        <v>2</v>
      </c>
      <c r="Y7948">
        <v>0</v>
      </c>
      <c r="Z7948">
        <v>2</v>
      </c>
      <c r="AA7948">
        <v>224.4</v>
      </c>
      <c r="AB7948">
        <v>224.4</v>
      </c>
      <c r="AC7948">
        <v>224.4</v>
      </c>
      <c r="AD7948">
        <v>0</v>
      </c>
      <c r="AE7948">
        <v>0</v>
      </c>
      <c r="AF7948">
        <v>0</v>
      </c>
      <c r="AG7948">
        <v>0</v>
      </c>
      <c r="AH7948">
        <v>0</v>
      </c>
      <c r="AI7948">
        <v>40.39</v>
      </c>
      <c r="AJ7948">
        <v>224.4</v>
      </c>
      <c r="AK7948">
        <v>0</v>
      </c>
      <c r="AL7948" t="s">
        <v>53</v>
      </c>
      <c r="AM7948" t="s">
        <v>53</v>
      </c>
      <c r="AN7948" t="s">
        <v>53</v>
      </c>
      <c r="AO7948" t="s">
        <v>53</v>
      </c>
      <c r="AP7948" t="s">
        <v>53</v>
      </c>
    </row>
    <row r="7949" spans="2:42" x14ac:dyDescent="0.2">
      <c r="B7949" t="s">
        <v>44</v>
      </c>
      <c r="C7949" t="str">
        <f>HYPERLINK("https://us2.cloudbeds.com/connect/8493803454333002#/reservations/9080486848163954?display=4GX25QHMX0&amp;reservation_id=9080486848163954", "4GX25QHMX0")</f>
        <v>4GX25QHMX0</v>
      </c>
      <c r="D7949" t="s">
        <v>45</v>
      </c>
      <c r="E7949" t="s">
        <v>14402</v>
      </c>
      <c r="F7949" t="s">
        <v>14403</v>
      </c>
      <c r="G7949" t="s">
        <v>48</v>
      </c>
      <c r="H7949" t="s">
        <v>49</v>
      </c>
      <c r="I7949" t="s">
        <v>50</v>
      </c>
      <c r="J7949" t="s">
        <v>13985</v>
      </c>
      <c r="K7949" t="s">
        <v>14443</v>
      </c>
      <c r="L7949" t="s">
        <v>53</v>
      </c>
      <c r="N7949" t="s">
        <v>14884</v>
      </c>
      <c r="P7949" t="s">
        <v>55</v>
      </c>
      <c r="R7949" t="s">
        <v>53</v>
      </c>
      <c r="T7949" t="s">
        <v>14885</v>
      </c>
      <c r="U7949" t="s">
        <v>58</v>
      </c>
      <c r="V7949">
        <v>2</v>
      </c>
      <c r="W7949">
        <v>1</v>
      </c>
      <c r="X7949">
        <v>1</v>
      </c>
      <c r="Y7949">
        <v>0</v>
      </c>
      <c r="Z7949">
        <v>1</v>
      </c>
      <c r="AA7949">
        <v>208.7</v>
      </c>
      <c r="AB7949">
        <v>208.7</v>
      </c>
      <c r="AC7949">
        <v>182.03</v>
      </c>
      <c r="AD7949">
        <v>0</v>
      </c>
      <c r="AE7949">
        <v>26.67</v>
      </c>
      <c r="AF7949">
        <v>0</v>
      </c>
      <c r="AG7949">
        <v>0</v>
      </c>
      <c r="AH7949">
        <v>0</v>
      </c>
      <c r="AI7949">
        <v>37.57</v>
      </c>
      <c r="AJ7949">
        <v>208.7</v>
      </c>
      <c r="AK7949">
        <v>0</v>
      </c>
      <c r="AL7949" t="s">
        <v>53</v>
      </c>
      <c r="AM7949" t="s">
        <v>53</v>
      </c>
      <c r="AN7949" t="s">
        <v>53</v>
      </c>
      <c r="AO7949" t="s">
        <v>53</v>
      </c>
      <c r="AP7949" t="s">
        <v>53</v>
      </c>
    </row>
    <row r="7950" spans="2:42" x14ac:dyDescent="0.2">
      <c r="B7950" t="s">
        <v>44</v>
      </c>
      <c r="C7950" t="str">
        <f>HYPERLINK("https://us2.cloudbeds.com/connect/8493803454333002#/reservations/9080486848166046?display=4GK7W9JNS2&amp;reservation_id=9080486848166046", "4GK7W9JNS2")</f>
        <v>4GK7W9JNS2</v>
      </c>
      <c r="D7950" t="s">
        <v>45</v>
      </c>
      <c r="E7950" t="s">
        <v>121</v>
      </c>
      <c r="F7950" t="s">
        <v>86</v>
      </c>
      <c r="G7950" t="s">
        <v>48</v>
      </c>
      <c r="H7950" t="s">
        <v>49</v>
      </c>
      <c r="I7950" t="s">
        <v>50</v>
      </c>
      <c r="J7950" t="s">
        <v>13081</v>
      </c>
      <c r="K7950" t="s">
        <v>13082</v>
      </c>
      <c r="L7950" t="s">
        <v>53</v>
      </c>
      <c r="N7950" t="s">
        <v>14886</v>
      </c>
      <c r="P7950" t="s">
        <v>55</v>
      </c>
      <c r="R7950" t="s">
        <v>56</v>
      </c>
      <c r="T7950" t="s">
        <v>14887</v>
      </c>
      <c r="U7950" t="s">
        <v>58</v>
      </c>
      <c r="V7950">
        <v>1</v>
      </c>
      <c r="W7950">
        <v>1</v>
      </c>
      <c r="X7950">
        <v>2</v>
      </c>
      <c r="Y7950">
        <v>0</v>
      </c>
      <c r="Z7950">
        <v>2</v>
      </c>
      <c r="AA7950">
        <v>199.16</v>
      </c>
      <c r="AB7950">
        <v>199.16</v>
      </c>
      <c r="AC7950">
        <v>173.71</v>
      </c>
      <c r="AD7950">
        <v>0</v>
      </c>
      <c r="AE7950">
        <v>25.45</v>
      </c>
      <c r="AF7950">
        <v>0</v>
      </c>
      <c r="AG7950">
        <v>0</v>
      </c>
      <c r="AH7950">
        <v>0</v>
      </c>
      <c r="AI7950">
        <v>35.85</v>
      </c>
      <c r="AJ7950">
        <v>199.16</v>
      </c>
      <c r="AK7950">
        <v>0</v>
      </c>
      <c r="AL7950" t="s">
        <v>53</v>
      </c>
      <c r="AM7950" t="s">
        <v>53</v>
      </c>
      <c r="AN7950" t="s">
        <v>53</v>
      </c>
      <c r="AO7950" t="s">
        <v>53</v>
      </c>
      <c r="AP7950" t="s">
        <v>53</v>
      </c>
    </row>
    <row r="7951" spans="2:42" x14ac:dyDescent="0.2">
      <c r="B7951" t="s">
        <v>44</v>
      </c>
      <c r="C7951" t="str">
        <f>HYPERLINK("https://us2.cloudbeds.com/connect/8493803454333002#/reservations/209033302696064?display=4GKP4CYTTW&amp;reservation_id=209033302696064", "4GKP4CYTTW")</f>
        <v>4GKP4CYTTW</v>
      </c>
      <c r="D7951" t="s">
        <v>45</v>
      </c>
      <c r="E7951" t="s">
        <v>110</v>
      </c>
      <c r="F7951" t="s">
        <v>47</v>
      </c>
      <c r="G7951" t="s">
        <v>48</v>
      </c>
      <c r="H7951" t="s">
        <v>3957</v>
      </c>
      <c r="I7951" t="s">
        <v>3975</v>
      </c>
      <c r="J7951" t="s">
        <v>9763</v>
      </c>
      <c r="K7951" t="s">
        <v>10598</v>
      </c>
      <c r="L7951" t="s">
        <v>53</v>
      </c>
      <c r="P7951" t="s">
        <v>55</v>
      </c>
      <c r="R7951" t="s">
        <v>56</v>
      </c>
      <c r="T7951" t="s">
        <v>14888</v>
      </c>
      <c r="U7951" t="s">
        <v>58</v>
      </c>
      <c r="V7951">
        <v>2</v>
      </c>
      <c r="W7951">
        <v>1</v>
      </c>
      <c r="X7951">
        <v>2</v>
      </c>
      <c r="Y7951">
        <v>0</v>
      </c>
      <c r="Z7951">
        <v>2</v>
      </c>
      <c r="AA7951">
        <v>339.37</v>
      </c>
      <c r="AB7951">
        <v>339.37</v>
      </c>
      <c r="AC7951">
        <v>296</v>
      </c>
      <c r="AD7951">
        <v>0</v>
      </c>
      <c r="AE7951">
        <v>43.37</v>
      </c>
      <c r="AF7951">
        <v>0</v>
      </c>
      <c r="AG7951">
        <v>0</v>
      </c>
      <c r="AH7951">
        <v>0</v>
      </c>
      <c r="AI7951">
        <v>0</v>
      </c>
      <c r="AJ7951">
        <v>339.37</v>
      </c>
      <c r="AK7951">
        <v>0</v>
      </c>
      <c r="AL7951" t="s">
        <v>53</v>
      </c>
      <c r="AM7951" t="s">
        <v>53</v>
      </c>
      <c r="AN7951" t="s">
        <v>53</v>
      </c>
      <c r="AO7951" t="s">
        <v>53</v>
      </c>
      <c r="AP7951" t="s">
        <v>53</v>
      </c>
    </row>
    <row r="7952" spans="2:42" x14ac:dyDescent="0.2">
      <c r="B7952" t="s">
        <v>44</v>
      </c>
      <c r="C7952" t="str">
        <f>HYPERLINK("https://us2.cloudbeds.com/connect/8493803454333002#/reservations/9080486848167992?display=4GYX23RGNU&amp;reservation_id=9080486848167992", "4GYX23RGNU")</f>
        <v>4GYX23RGNU</v>
      </c>
      <c r="D7952" t="s">
        <v>45</v>
      </c>
      <c r="E7952" t="s">
        <v>85</v>
      </c>
      <c r="F7952" t="s">
        <v>86</v>
      </c>
      <c r="G7952" t="s">
        <v>48</v>
      </c>
      <c r="H7952" t="s">
        <v>49</v>
      </c>
      <c r="I7952" t="s">
        <v>50</v>
      </c>
      <c r="J7952" t="s">
        <v>13067</v>
      </c>
      <c r="K7952" t="s">
        <v>13068</v>
      </c>
      <c r="L7952" t="s">
        <v>53</v>
      </c>
      <c r="N7952" t="s">
        <v>14889</v>
      </c>
      <c r="P7952" t="s">
        <v>55</v>
      </c>
      <c r="R7952" t="s">
        <v>53</v>
      </c>
      <c r="T7952" t="s">
        <v>14890</v>
      </c>
      <c r="U7952" t="s">
        <v>58</v>
      </c>
      <c r="V7952">
        <v>1</v>
      </c>
      <c r="W7952">
        <v>1</v>
      </c>
      <c r="X7952">
        <v>2</v>
      </c>
      <c r="Y7952">
        <v>0</v>
      </c>
      <c r="Z7952">
        <v>2</v>
      </c>
      <c r="AA7952">
        <v>113.62</v>
      </c>
      <c r="AB7952">
        <v>113.62</v>
      </c>
      <c r="AC7952">
        <v>99.11</v>
      </c>
      <c r="AD7952">
        <v>0</v>
      </c>
      <c r="AE7952">
        <v>14.51</v>
      </c>
      <c r="AF7952">
        <v>0</v>
      </c>
      <c r="AG7952">
        <v>0</v>
      </c>
      <c r="AH7952">
        <v>0</v>
      </c>
      <c r="AI7952">
        <v>20.45</v>
      </c>
      <c r="AJ7952">
        <v>113.62</v>
      </c>
      <c r="AK7952">
        <v>0</v>
      </c>
      <c r="AL7952" t="s">
        <v>53</v>
      </c>
      <c r="AM7952" t="s">
        <v>53</v>
      </c>
      <c r="AN7952" t="s">
        <v>53</v>
      </c>
      <c r="AO7952" t="s">
        <v>53</v>
      </c>
      <c r="AP7952" t="s">
        <v>53</v>
      </c>
    </row>
    <row r="7953" spans="2:42" x14ac:dyDescent="0.2">
      <c r="B7953" t="s">
        <v>44</v>
      </c>
      <c r="C7953" t="str">
        <f>HYPERLINK("https://us2.cloudbeds.com/connect/8493803454333002#/reservations/9080486848169393?display=4GMFRZFJD5&amp;reservation_id=9080486848169393", "4GMFRZFJD5")</f>
        <v>4GMFRZFJD5</v>
      </c>
      <c r="D7953" t="s">
        <v>45</v>
      </c>
      <c r="E7953" t="s">
        <v>78</v>
      </c>
      <c r="F7953" t="s">
        <v>61</v>
      </c>
      <c r="G7953" t="s">
        <v>48</v>
      </c>
      <c r="H7953" t="s">
        <v>49</v>
      </c>
      <c r="I7953" t="s">
        <v>8964</v>
      </c>
      <c r="J7953" t="s">
        <v>13985</v>
      </c>
      <c r="K7953" t="s">
        <v>14800</v>
      </c>
      <c r="L7953" t="s">
        <v>53</v>
      </c>
      <c r="N7953" t="s">
        <v>14891</v>
      </c>
      <c r="P7953" t="s">
        <v>55</v>
      </c>
      <c r="R7953" t="s">
        <v>53</v>
      </c>
      <c r="T7953" t="s">
        <v>14892</v>
      </c>
      <c r="U7953" t="s">
        <v>55</v>
      </c>
      <c r="V7953">
        <v>4</v>
      </c>
      <c r="W7953">
        <v>1</v>
      </c>
      <c r="X7953">
        <v>1</v>
      </c>
      <c r="Y7953">
        <v>0</v>
      </c>
      <c r="Z7953">
        <v>1</v>
      </c>
      <c r="AA7953">
        <v>0</v>
      </c>
      <c r="AB7953">
        <v>0</v>
      </c>
      <c r="AC7953">
        <v>448</v>
      </c>
      <c r="AD7953">
        <v>0</v>
      </c>
      <c r="AE7953">
        <v>0</v>
      </c>
      <c r="AF7953">
        <v>0</v>
      </c>
      <c r="AG7953">
        <v>0</v>
      </c>
      <c r="AH7953">
        <v>0</v>
      </c>
      <c r="AI7953">
        <v>67.2</v>
      </c>
      <c r="AJ7953">
        <v>448</v>
      </c>
      <c r="AK7953">
        <v>448</v>
      </c>
      <c r="AL7953" t="s">
        <v>53</v>
      </c>
      <c r="AM7953" t="s">
        <v>53</v>
      </c>
      <c r="AN7953" t="s">
        <v>14893</v>
      </c>
      <c r="AO7953" t="s">
        <v>53</v>
      </c>
      <c r="AP7953" t="s">
        <v>53</v>
      </c>
    </row>
    <row r="7954" spans="2:42" x14ac:dyDescent="0.2">
      <c r="B7954" t="s">
        <v>44</v>
      </c>
      <c r="C7954" t="str">
        <f>HYPERLINK("https://us2.cloudbeds.com/connect/8493803454333002#/reservations/209111532970113?display=4GMJNBH1TX&amp;reservation_id=209111532970113", "4GMJNBH1TX")</f>
        <v>4GMJNBH1TX</v>
      </c>
      <c r="D7954" t="s">
        <v>45</v>
      </c>
      <c r="E7954" t="s">
        <v>98</v>
      </c>
      <c r="F7954" t="s">
        <v>86</v>
      </c>
      <c r="G7954" t="s">
        <v>48</v>
      </c>
      <c r="H7954" t="s">
        <v>3957</v>
      </c>
      <c r="I7954" t="s">
        <v>3975</v>
      </c>
      <c r="J7954" t="s">
        <v>13985</v>
      </c>
      <c r="K7954" t="s">
        <v>13587</v>
      </c>
      <c r="L7954" t="s">
        <v>53</v>
      </c>
      <c r="P7954" t="s">
        <v>55</v>
      </c>
      <c r="R7954" t="s">
        <v>56</v>
      </c>
      <c r="T7954" t="s">
        <v>14894</v>
      </c>
      <c r="U7954" t="s">
        <v>58</v>
      </c>
      <c r="V7954">
        <v>1</v>
      </c>
      <c r="W7954">
        <v>1</v>
      </c>
      <c r="X7954">
        <v>3</v>
      </c>
      <c r="Y7954">
        <v>1</v>
      </c>
      <c r="Z7954">
        <v>4</v>
      </c>
      <c r="AA7954">
        <v>0</v>
      </c>
      <c r="AB7954">
        <v>107.78</v>
      </c>
      <c r="AC7954">
        <v>94</v>
      </c>
      <c r="AD7954">
        <v>0</v>
      </c>
      <c r="AE7954">
        <v>13.78</v>
      </c>
      <c r="AF7954">
        <v>0</v>
      </c>
      <c r="AG7954">
        <v>0</v>
      </c>
      <c r="AH7954">
        <v>0</v>
      </c>
      <c r="AI7954">
        <v>0</v>
      </c>
      <c r="AJ7954">
        <v>107.78</v>
      </c>
      <c r="AK7954">
        <v>0</v>
      </c>
      <c r="AL7954" t="s">
        <v>53</v>
      </c>
      <c r="AM7954" t="s">
        <v>53</v>
      </c>
      <c r="AN7954" t="s">
        <v>14895</v>
      </c>
      <c r="AO7954" t="s">
        <v>53</v>
      </c>
      <c r="AP7954" t="s">
        <v>53</v>
      </c>
    </row>
    <row r="7955" spans="2:42" x14ac:dyDescent="0.2">
      <c r="B7955" t="s">
        <v>44</v>
      </c>
      <c r="C7955" t="str">
        <f>HYPERLINK("https://us2.cloudbeds.com/connect/8493803454333002#/reservations/9080486848169632?display=4GMYAB3E3Z&amp;reservation_id=9080486848169632", "4GMYAB3E3Z")</f>
        <v>4GMYAB3E3Z</v>
      </c>
      <c r="D7955" t="s">
        <v>45</v>
      </c>
      <c r="E7955" t="s">
        <v>110</v>
      </c>
      <c r="F7955" t="s">
        <v>47</v>
      </c>
      <c r="G7955" t="s">
        <v>48</v>
      </c>
      <c r="H7955" t="s">
        <v>49</v>
      </c>
      <c r="I7955" t="s">
        <v>50</v>
      </c>
      <c r="J7955" t="s">
        <v>13977</v>
      </c>
      <c r="K7955" t="s">
        <v>12958</v>
      </c>
      <c r="L7955" t="s">
        <v>53</v>
      </c>
      <c r="N7955" t="s">
        <v>14896</v>
      </c>
      <c r="P7955" t="s">
        <v>55</v>
      </c>
      <c r="R7955" t="s">
        <v>53</v>
      </c>
      <c r="T7955" t="s">
        <v>14897</v>
      </c>
      <c r="U7955" t="s">
        <v>55</v>
      </c>
      <c r="V7955">
        <v>3</v>
      </c>
      <c r="W7955">
        <v>1</v>
      </c>
      <c r="X7955">
        <v>1</v>
      </c>
      <c r="Y7955">
        <v>0</v>
      </c>
      <c r="Z7955">
        <v>1</v>
      </c>
      <c r="AA7955">
        <v>358.82</v>
      </c>
      <c r="AB7955">
        <v>358.82</v>
      </c>
      <c r="AC7955">
        <v>329.95</v>
      </c>
      <c r="AD7955">
        <v>2.5</v>
      </c>
      <c r="AE7955">
        <v>29.11</v>
      </c>
      <c r="AF7955">
        <v>0</v>
      </c>
      <c r="AG7955">
        <v>0</v>
      </c>
      <c r="AH7955">
        <v>0</v>
      </c>
      <c r="AI7955">
        <v>65.08</v>
      </c>
      <c r="AJ7955">
        <v>361.56</v>
      </c>
      <c r="AK7955">
        <v>2.74</v>
      </c>
      <c r="AL7955" t="s">
        <v>53</v>
      </c>
      <c r="AM7955" t="s">
        <v>53</v>
      </c>
      <c r="AN7955" t="s">
        <v>14898</v>
      </c>
      <c r="AO7955" t="s">
        <v>53</v>
      </c>
      <c r="AP7955" t="s">
        <v>53</v>
      </c>
    </row>
    <row r="7956" spans="2:42" x14ac:dyDescent="0.2">
      <c r="B7956" t="s">
        <v>44</v>
      </c>
      <c r="C7956" t="str">
        <f>HYPERLINK("https://us2.cloudbeds.com/connect/8493803454333002#/reservations/209114338910336?display=4GMYT1XR4X&amp;reservation_id=209114338910336", "4GMYT1XR4X")</f>
        <v>4GMYT1XR4X</v>
      </c>
      <c r="D7956" t="s">
        <v>45</v>
      </c>
      <c r="E7956" t="s">
        <v>110</v>
      </c>
      <c r="F7956" t="s">
        <v>47</v>
      </c>
      <c r="G7956" t="s">
        <v>48</v>
      </c>
      <c r="H7956" t="s">
        <v>3957</v>
      </c>
      <c r="I7956" t="s">
        <v>3975</v>
      </c>
      <c r="J7956" t="s">
        <v>12808</v>
      </c>
      <c r="K7956" t="s">
        <v>14119</v>
      </c>
      <c r="L7956" t="s">
        <v>53</v>
      </c>
      <c r="P7956" t="s">
        <v>55</v>
      </c>
      <c r="R7956" t="s">
        <v>56</v>
      </c>
      <c r="T7956" t="s">
        <v>14899</v>
      </c>
      <c r="U7956" t="s">
        <v>58</v>
      </c>
      <c r="V7956">
        <v>1</v>
      </c>
      <c r="W7956">
        <v>1</v>
      </c>
      <c r="X7956">
        <v>1</v>
      </c>
      <c r="Y7956">
        <v>0</v>
      </c>
      <c r="Z7956">
        <v>1</v>
      </c>
      <c r="AA7956">
        <v>0</v>
      </c>
      <c r="AB7956">
        <v>91.72</v>
      </c>
      <c r="AC7956">
        <v>80</v>
      </c>
      <c r="AD7956">
        <v>0</v>
      </c>
      <c r="AE7956">
        <v>11.72</v>
      </c>
      <c r="AF7956">
        <v>0</v>
      </c>
      <c r="AG7956">
        <v>0</v>
      </c>
      <c r="AH7956">
        <v>0</v>
      </c>
      <c r="AI7956">
        <v>0</v>
      </c>
      <c r="AJ7956">
        <v>91.72</v>
      </c>
      <c r="AK7956">
        <v>0</v>
      </c>
      <c r="AL7956" t="s">
        <v>53</v>
      </c>
      <c r="AM7956" t="s">
        <v>53</v>
      </c>
      <c r="AN7956" t="s">
        <v>14900</v>
      </c>
      <c r="AO7956" t="s">
        <v>53</v>
      </c>
      <c r="AP7956" t="s">
        <v>53</v>
      </c>
    </row>
    <row r="7957" spans="2:42" x14ac:dyDescent="0.2">
      <c r="B7957" t="s">
        <v>44</v>
      </c>
      <c r="C7957" t="str">
        <f>HYPERLINK("https://us2.cloudbeds.com/connect/8493803454333002#/reservations/9080486848170082?display=4GMWKH2BV5&amp;reservation_id=9080486848170082", "4GMWKH2BV5")</f>
        <v>4GMWKH2BV5</v>
      </c>
      <c r="D7957" t="s">
        <v>45</v>
      </c>
      <c r="E7957" t="s">
        <v>92</v>
      </c>
      <c r="F7957" t="s">
        <v>86</v>
      </c>
      <c r="G7957" t="s">
        <v>48</v>
      </c>
      <c r="H7957" t="s">
        <v>49</v>
      </c>
      <c r="I7957" t="s">
        <v>50</v>
      </c>
      <c r="J7957" t="s">
        <v>9580</v>
      </c>
      <c r="K7957" t="s">
        <v>13676</v>
      </c>
      <c r="L7957" t="s">
        <v>53</v>
      </c>
      <c r="N7957" t="s">
        <v>14901</v>
      </c>
      <c r="P7957" t="s">
        <v>55</v>
      </c>
      <c r="R7957" t="s">
        <v>53</v>
      </c>
      <c r="T7957" t="s">
        <v>14902</v>
      </c>
      <c r="U7957" t="s">
        <v>55</v>
      </c>
      <c r="V7957">
        <v>1</v>
      </c>
      <c r="W7957">
        <v>1</v>
      </c>
      <c r="X7957">
        <v>1</v>
      </c>
      <c r="Y7957">
        <v>2</v>
      </c>
      <c r="Z7957">
        <v>3</v>
      </c>
      <c r="AA7957">
        <v>100.05</v>
      </c>
      <c r="AB7957">
        <v>100.05</v>
      </c>
      <c r="AC7957">
        <v>92</v>
      </c>
      <c r="AD7957">
        <v>0</v>
      </c>
      <c r="AE7957">
        <v>8.0500000000000007</v>
      </c>
      <c r="AF7957">
        <v>0</v>
      </c>
      <c r="AG7957">
        <v>0</v>
      </c>
      <c r="AH7957">
        <v>0</v>
      </c>
      <c r="AI7957">
        <v>18.010000000000002</v>
      </c>
      <c r="AJ7957">
        <v>100.05</v>
      </c>
      <c r="AK7957">
        <v>0</v>
      </c>
      <c r="AL7957" t="s">
        <v>53</v>
      </c>
      <c r="AM7957" t="s">
        <v>53</v>
      </c>
      <c r="AN7957" t="s">
        <v>14903</v>
      </c>
      <c r="AO7957" t="s">
        <v>53</v>
      </c>
      <c r="AP7957" t="s">
        <v>53</v>
      </c>
    </row>
    <row r="7958" spans="2:42" x14ac:dyDescent="0.2">
      <c r="B7958" t="s">
        <v>44</v>
      </c>
      <c r="C7958" t="str">
        <f>HYPERLINK("https://us2.cloudbeds.com/connect/8493803454333002#/reservations/9080486848170661?display=4GND9JAST9&amp;reservation_id=9080486848170661", "4GND9JAST9")</f>
        <v>4GND9JAST9</v>
      </c>
      <c r="D7958" t="s">
        <v>45</v>
      </c>
      <c r="E7958" t="s">
        <v>165</v>
      </c>
      <c r="F7958" t="s">
        <v>61</v>
      </c>
      <c r="G7958" t="s">
        <v>48</v>
      </c>
      <c r="H7958" t="s">
        <v>49</v>
      </c>
      <c r="I7958" t="s">
        <v>62</v>
      </c>
      <c r="J7958" t="s">
        <v>14443</v>
      </c>
      <c r="K7958" t="s">
        <v>14800</v>
      </c>
      <c r="L7958" t="s">
        <v>53</v>
      </c>
      <c r="N7958" t="s">
        <v>14904</v>
      </c>
      <c r="P7958" t="s">
        <v>55</v>
      </c>
      <c r="R7958" t="s">
        <v>56</v>
      </c>
      <c r="T7958" t="s">
        <v>14905</v>
      </c>
      <c r="U7958" t="s">
        <v>55</v>
      </c>
      <c r="V7958">
        <v>2</v>
      </c>
      <c r="W7958">
        <v>1</v>
      </c>
      <c r="X7958">
        <v>2</v>
      </c>
      <c r="Y7958">
        <v>0</v>
      </c>
      <c r="Z7958">
        <v>2</v>
      </c>
      <c r="AA7958">
        <v>174.09</v>
      </c>
      <c r="AB7958">
        <v>174.09</v>
      </c>
      <c r="AC7958">
        <v>174.09</v>
      </c>
      <c r="AD7958">
        <v>0</v>
      </c>
      <c r="AE7958">
        <v>0</v>
      </c>
      <c r="AF7958">
        <v>0</v>
      </c>
      <c r="AG7958">
        <v>0</v>
      </c>
      <c r="AH7958">
        <v>0</v>
      </c>
      <c r="AI7958">
        <v>31.34</v>
      </c>
      <c r="AJ7958">
        <v>174.09</v>
      </c>
      <c r="AK7958">
        <v>0</v>
      </c>
      <c r="AL7958" t="s">
        <v>53</v>
      </c>
      <c r="AM7958" t="s">
        <v>53</v>
      </c>
      <c r="AN7958" t="s">
        <v>53</v>
      </c>
      <c r="AO7958" t="s">
        <v>53</v>
      </c>
      <c r="AP7958" t="s">
        <v>53</v>
      </c>
    </row>
    <row r="7959" spans="2:42" x14ac:dyDescent="0.2">
      <c r="B7959" t="s">
        <v>44</v>
      </c>
      <c r="C7959" t="str">
        <f>HYPERLINK("https://us2.cloudbeds.com/connect/8493803454333002#/reservations/9080486848170665?display=4GNDDT9Q8J&amp;reservation_id=9080486848170665", "4GNDDT9Q8J")</f>
        <v>4GNDDT9Q8J</v>
      </c>
      <c r="D7959" t="s">
        <v>45</v>
      </c>
      <c r="E7959" t="s">
        <v>185</v>
      </c>
      <c r="F7959" t="s">
        <v>47</v>
      </c>
      <c r="G7959" t="s">
        <v>48</v>
      </c>
      <c r="H7959" t="s">
        <v>49</v>
      </c>
      <c r="I7959" t="s">
        <v>50</v>
      </c>
      <c r="J7959" t="s">
        <v>9580</v>
      </c>
      <c r="K7959" t="s">
        <v>13676</v>
      </c>
      <c r="L7959" t="s">
        <v>53</v>
      </c>
      <c r="N7959" t="s">
        <v>14906</v>
      </c>
      <c r="P7959" t="s">
        <v>55</v>
      </c>
      <c r="R7959" t="s">
        <v>53</v>
      </c>
      <c r="T7959" t="s">
        <v>14907</v>
      </c>
      <c r="U7959" t="s">
        <v>55</v>
      </c>
      <c r="V7959">
        <v>1</v>
      </c>
      <c r="W7959">
        <v>1</v>
      </c>
      <c r="X7959">
        <v>2</v>
      </c>
      <c r="Y7959">
        <v>0</v>
      </c>
      <c r="Z7959">
        <v>2</v>
      </c>
      <c r="AA7959">
        <v>65.91</v>
      </c>
      <c r="AB7959">
        <v>65.91</v>
      </c>
      <c r="AC7959">
        <v>60.61</v>
      </c>
      <c r="AD7959">
        <v>0</v>
      </c>
      <c r="AE7959">
        <v>5.3</v>
      </c>
      <c r="AF7959">
        <v>0</v>
      </c>
      <c r="AG7959">
        <v>0</v>
      </c>
      <c r="AH7959">
        <v>0</v>
      </c>
      <c r="AI7959">
        <v>11.86</v>
      </c>
      <c r="AJ7959">
        <v>65.91</v>
      </c>
      <c r="AK7959">
        <v>0</v>
      </c>
      <c r="AL7959" t="s">
        <v>53</v>
      </c>
      <c r="AM7959" t="s">
        <v>53</v>
      </c>
      <c r="AN7959" t="s">
        <v>53</v>
      </c>
      <c r="AO7959" t="s">
        <v>53</v>
      </c>
      <c r="AP7959" t="s">
        <v>53</v>
      </c>
    </row>
    <row r="7960" spans="2:42" x14ac:dyDescent="0.2">
      <c r="B7960" t="s">
        <v>44</v>
      </c>
      <c r="C7960" t="str">
        <f>HYPERLINK("https://us2.cloudbeds.com/connect/8493803454333002#/reservations/9080486848170946?display=4GNYHJNXX1&amp;reservation_id=9080486848170946", "4GNYHJNXX1")</f>
        <v>4GNYHJNXX1</v>
      </c>
      <c r="D7960" t="s">
        <v>45</v>
      </c>
      <c r="E7960" t="s">
        <v>110</v>
      </c>
      <c r="F7960" t="s">
        <v>47</v>
      </c>
      <c r="G7960" t="s">
        <v>48</v>
      </c>
      <c r="H7960" t="s">
        <v>49</v>
      </c>
      <c r="I7960" t="s">
        <v>50</v>
      </c>
      <c r="J7960" t="s">
        <v>13676</v>
      </c>
      <c r="K7960" t="s">
        <v>12807</v>
      </c>
      <c r="L7960" t="s">
        <v>53</v>
      </c>
      <c r="N7960" t="s">
        <v>14908</v>
      </c>
      <c r="P7960" t="s">
        <v>55</v>
      </c>
      <c r="R7960" t="s">
        <v>53</v>
      </c>
      <c r="T7960" t="s">
        <v>14909</v>
      </c>
      <c r="U7960" t="s">
        <v>55</v>
      </c>
      <c r="V7960">
        <v>1</v>
      </c>
      <c r="W7960">
        <v>1</v>
      </c>
      <c r="X7960">
        <v>2</v>
      </c>
      <c r="Y7960">
        <v>0</v>
      </c>
      <c r="Z7960">
        <v>2</v>
      </c>
      <c r="AA7960">
        <v>65.91</v>
      </c>
      <c r="AB7960">
        <v>65.91</v>
      </c>
      <c r="AC7960">
        <v>60.61</v>
      </c>
      <c r="AD7960">
        <v>0</v>
      </c>
      <c r="AE7960">
        <v>5.3</v>
      </c>
      <c r="AF7960">
        <v>0</v>
      </c>
      <c r="AG7960">
        <v>0</v>
      </c>
      <c r="AH7960">
        <v>0</v>
      </c>
      <c r="AI7960">
        <v>11.86</v>
      </c>
      <c r="AJ7960">
        <v>65.91</v>
      </c>
      <c r="AK7960">
        <v>0</v>
      </c>
      <c r="AL7960" t="s">
        <v>53</v>
      </c>
      <c r="AM7960" t="s">
        <v>53</v>
      </c>
      <c r="AN7960" t="s">
        <v>53</v>
      </c>
      <c r="AO7960" t="s">
        <v>53</v>
      </c>
      <c r="AP7960" t="s">
        <v>53</v>
      </c>
    </row>
    <row r="7961" spans="2:42" x14ac:dyDescent="0.2">
      <c r="B7961" t="s">
        <v>44</v>
      </c>
      <c r="C7961" t="str">
        <f>HYPERLINK("https://us2.cloudbeds.com/connect/8493803454333002#/reservations/209162645131457?display=4GNQ9CY9GZ&amp;reservation_id=209162645131457", "4GNQ9CY9GZ")</f>
        <v>4GNQ9CY9GZ</v>
      </c>
      <c r="D7961" t="s">
        <v>45</v>
      </c>
      <c r="E7961" t="s">
        <v>78</v>
      </c>
      <c r="F7961" t="s">
        <v>61</v>
      </c>
      <c r="G7961" t="s">
        <v>48</v>
      </c>
      <c r="H7961" t="s">
        <v>3957</v>
      </c>
      <c r="I7961" t="s">
        <v>3958</v>
      </c>
      <c r="J7961" t="s">
        <v>13676</v>
      </c>
      <c r="K7961" t="s">
        <v>12807</v>
      </c>
      <c r="L7961" t="s">
        <v>53</v>
      </c>
      <c r="P7961" t="s">
        <v>55</v>
      </c>
      <c r="R7961" t="s">
        <v>56</v>
      </c>
      <c r="T7961" t="s">
        <v>14910</v>
      </c>
      <c r="U7961" t="s">
        <v>58</v>
      </c>
      <c r="V7961">
        <v>1</v>
      </c>
      <c r="W7961">
        <v>1</v>
      </c>
      <c r="X7961">
        <v>1</v>
      </c>
      <c r="Y7961">
        <v>0</v>
      </c>
      <c r="Z7961">
        <v>1</v>
      </c>
      <c r="AA7961">
        <v>113.51</v>
      </c>
      <c r="AB7961">
        <v>113.51</v>
      </c>
      <c r="AC7961">
        <v>99</v>
      </c>
      <c r="AD7961">
        <v>0</v>
      </c>
      <c r="AE7961">
        <v>14.51</v>
      </c>
      <c r="AF7961">
        <v>0</v>
      </c>
      <c r="AG7961">
        <v>0</v>
      </c>
      <c r="AH7961">
        <v>0</v>
      </c>
      <c r="AI7961">
        <v>0</v>
      </c>
      <c r="AJ7961">
        <v>113.51</v>
      </c>
      <c r="AK7961">
        <v>0</v>
      </c>
      <c r="AL7961" t="s">
        <v>53</v>
      </c>
      <c r="AM7961" t="s">
        <v>53</v>
      </c>
      <c r="AN7961" t="s">
        <v>14911</v>
      </c>
      <c r="AO7961" t="s">
        <v>53</v>
      </c>
      <c r="AP7961" t="s">
        <v>53</v>
      </c>
    </row>
    <row r="7962" spans="2:42" x14ac:dyDescent="0.2">
      <c r="B7962" t="s">
        <v>44</v>
      </c>
      <c r="C7962" t="str">
        <f>HYPERLINK("https://us2.cloudbeds.com/connect/8493803454333002#/reservations/209175116148864?display=4GZ2V1HCVM&amp;reservation_id=209175116148864", "4GZ2V1HCVM")</f>
        <v>4GZ2V1HCVM</v>
      </c>
      <c r="D7962" t="s">
        <v>45</v>
      </c>
      <c r="E7962" t="s">
        <v>2713</v>
      </c>
      <c r="F7962" t="s">
        <v>86</v>
      </c>
      <c r="G7962" t="s">
        <v>3974</v>
      </c>
      <c r="H7962" t="s">
        <v>3957</v>
      </c>
      <c r="I7962" t="s">
        <v>3975</v>
      </c>
      <c r="J7962" t="s">
        <v>14502</v>
      </c>
      <c r="K7962" t="s">
        <v>14762</v>
      </c>
      <c r="L7962" t="s">
        <v>53</v>
      </c>
      <c r="P7962" t="s">
        <v>55</v>
      </c>
      <c r="R7962" t="s">
        <v>56</v>
      </c>
      <c r="T7962" t="s">
        <v>14912</v>
      </c>
      <c r="U7962" t="s">
        <v>58</v>
      </c>
      <c r="V7962">
        <v>2</v>
      </c>
      <c r="W7962">
        <v>2</v>
      </c>
      <c r="X7962">
        <v>6</v>
      </c>
      <c r="Y7962">
        <v>0</v>
      </c>
      <c r="Z7962">
        <v>6</v>
      </c>
      <c r="AA7962">
        <v>254.86</v>
      </c>
      <c r="AB7962">
        <v>254.86</v>
      </c>
      <c r="AC7962">
        <v>222.3</v>
      </c>
      <c r="AD7962">
        <v>0</v>
      </c>
      <c r="AE7962">
        <v>32.56</v>
      </c>
      <c r="AF7962">
        <v>0</v>
      </c>
      <c r="AG7962">
        <v>0</v>
      </c>
      <c r="AH7962">
        <v>0</v>
      </c>
      <c r="AI7962">
        <v>0</v>
      </c>
      <c r="AJ7962">
        <v>254.86</v>
      </c>
      <c r="AK7962">
        <v>0</v>
      </c>
      <c r="AL7962" t="s">
        <v>53</v>
      </c>
      <c r="AM7962" t="s">
        <v>53</v>
      </c>
      <c r="AN7962" t="s">
        <v>53</v>
      </c>
      <c r="AO7962" t="s">
        <v>53</v>
      </c>
      <c r="AP7962" t="s">
        <v>53</v>
      </c>
    </row>
    <row r="7963" spans="2:42" x14ac:dyDescent="0.2">
      <c r="B7963" t="s">
        <v>44</v>
      </c>
      <c r="C7963" t="str">
        <f>HYPERLINK("https://us2.cloudbeds.com/connect/8493803454333002#/reservations/9080486848173150?display=4GPGJM418D&amp;reservation_id=9080486848173150", "4GPGJM418D")</f>
        <v>4GPGJM418D</v>
      </c>
      <c r="D7963" t="s">
        <v>45</v>
      </c>
      <c r="E7963" t="s">
        <v>110</v>
      </c>
      <c r="F7963" t="s">
        <v>47</v>
      </c>
      <c r="G7963" t="s">
        <v>48</v>
      </c>
      <c r="H7963" t="s">
        <v>49</v>
      </c>
      <c r="I7963" t="s">
        <v>62</v>
      </c>
      <c r="J7963" t="s">
        <v>14443</v>
      </c>
      <c r="K7963" t="s">
        <v>13572</v>
      </c>
      <c r="L7963" t="s">
        <v>53</v>
      </c>
      <c r="N7963" t="s">
        <v>14913</v>
      </c>
      <c r="P7963" t="s">
        <v>55</v>
      </c>
      <c r="R7963" t="s">
        <v>56</v>
      </c>
      <c r="T7963" t="s">
        <v>14914</v>
      </c>
      <c r="U7963" t="s">
        <v>55</v>
      </c>
      <c r="V7963">
        <v>1</v>
      </c>
      <c r="W7963">
        <v>1</v>
      </c>
      <c r="X7963">
        <v>2</v>
      </c>
      <c r="Y7963">
        <v>0</v>
      </c>
      <c r="Z7963">
        <v>2</v>
      </c>
      <c r="AA7963">
        <v>67.83</v>
      </c>
      <c r="AB7963">
        <v>67.83</v>
      </c>
      <c r="AC7963">
        <v>67.83</v>
      </c>
      <c r="AD7963">
        <v>0</v>
      </c>
      <c r="AE7963">
        <v>0</v>
      </c>
      <c r="AF7963">
        <v>0</v>
      </c>
      <c r="AG7963">
        <v>0</v>
      </c>
      <c r="AH7963">
        <v>0</v>
      </c>
      <c r="AI7963">
        <v>12.21</v>
      </c>
      <c r="AJ7963">
        <v>67.83</v>
      </c>
      <c r="AK7963">
        <v>0</v>
      </c>
      <c r="AL7963" t="s">
        <v>53</v>
      </c>
      <c r="AM7963" t="s">
        <v>53</v>
      </c>
      <c r="AN7963" t="s">
        <v>53</v>
      </c>
      <c r="AO7963" t="s">
        <v>53</v>
      </c>
      <c r="AP7963" t="s">
        <v>53</v>
      </c>
    </row>
    <row r="7964" spans="2:42" x14ac:dyDescent="0.2">
      <c r="B7964" t="s">
        <v>44</v>
      </c>
      <c r="C7964" t="str">
        <f>HYPERLINK("https://us2.cloudbeds.com/connect/8493803454333002#/reservations/9080486848173653?display=4GQ05DTYPY&amp;reservation_id=9080486848173653", "4GQ05DTYPY")</f>
        <v>4GQ05DTYPY</v>
      </c>
      <c r="D7964" t="s">
        <v>45</v>
      </c>
      <c r="E7964" t="s">
        <v>110</v>
      </c>
      <c r="F7964" t="s">
        <v>47</v>
      </c>
      <c r="G7964" t="s">
        <v>48</v>
      </c>
      <c r="H7964" t="s">
        <v>49</v>
      </c>
      <c r="I7964" t="s">
        <v>62</v>
      </c>
      <c r="J7964" t="s">
        <v>12807</v>
      </c>
      <c r="K7964" t="s">
        <v>14458</v>
      </c>
      <c r="L7964" t="s">
        <v>53</v>
      </c>
      <c r="N7964" t="s">
        <v>14915</v>
      </c>
      <c r="P7964" t="s">
        <v>55</v>
      </c>
      <c r="R7964" t="s">
        <v>56</v>
      </c>
      <c r="T7964" t="s">
        <v>14916</v>
      </c>
      <c r="U7964" t="s">
        <v>55</v>
      </c>
      <c r="V7964">
        <v>1</v>
      </c>
      <c r="W7964">
        <v>1</v>
      </c>
      <c r="X7964">
        <v>1</v>
      </c>
      <c r="Y7964">
        <v>0</v>
      </c>
      <c r="Z7964">
        <v>1</v>
      </c>
      <c r="AA7964">
        <v>71.400000000000006</v>
      </c>
      <c r="AB7964">
        <v>71.400000000000006</v>
      </c>
      <c r="AC7964">
        <v>71.400000000000006</v>
      </c>
      <c r="AD7964">
        <v>0</v>
      </c>
      <c r="AE7964">
        <v>0</v>
      </c>
      <c r="AF7964">
        <v>0</v>
      </c>
      <c r="AG7964">
        <v>0</v>
      </c>
      <c r="AH7964">
        <v>0</v>
      </c>
      <c r="AI7964">
        <v>12.85</v>
      </c>
      <c r="AJ7964">
        <v>71.400000000000006</v>
      </c>
      <c r="AK7964">
        <v>0</v>
      </c>
      <c r="AL7964" t="s">
        <v>53</v>
      </c>
      <c r="AM7964" t="s">
        <v>53</v>
      </c>
      <c r="AN7964" t="s">
        <v>14917</v>
      </c>
      <c r="AO7964" t="s">
        <v>53</v>
      </c>
      <c r="AP7964" t="s">
        <v>53</v>
      </c>
    </row>
    <row r="7965" spans="2:42" x14ac:dyDescent="0.2">
      <c r="B7965" t="s">
        <v>44</v>
      </c>
      <c r="C7965" t="str">
        <f>HYPERLINK("https://us2.cloudbeds.com/connect/8493803454333002#/reservations/9080486848175299?display=4GRWQA3RKR&amp;reservation_id=9080486848175299", "4GRWQA3RKR")</f>
        <v>4GRWQA3RKR</v>
      </c>
      <c r="D7965" t="s">
        <v>45</v>
      </c>
      <c r="E7965" t="s">
        <v>213</v>
      </c>
      <c r="F7965" t="s">
        <v>86</v>
      </c>
      <c r="G7965" t="s">
        <v>48</v>
      </c>
      <c r="H7965" t="s">
        <v>49</v>
      </c>
      <c r="I7965" t="s">
        <v>62</v>
      </c>
      <c r="J7965" t="s">
        <v>13067</v>
      </c>
      <c r="K7965" t="s">
        <v>13068</v>
      </c>
      <c r="L7965" t="s">
        <v>53</v>
      </c>
      <c r="N7965" t="s">
        <v>14918</v>
      </c>
      <c r="P7965" t="s">
        <v>55</v>
      </c>
      <c r="R7965" t="s">
        <v>513</v>
      </c>
      <c r="T7965" t="s">
        <v>14919</v>
      </c>
      <c r="U7965" t="s">
        <v>55</v>
      </c>
      <c r="V7965">
        <v>1</v>
      </c>
      <c r="W7965">
        <v>1</v>
      </c>
      <c r="X7965">
        <v>4</v>
      </c>
      <c r="Y7965">
        <v>0</v>
      </c>
      <c r="Z7965">
        <v>4</v>
      </c>
      <c r="AA7965">
        <v>98.18</v>
      </c>
      <c r="AB7965">
        <v>98.18</v>
      </c>
      <c r="AC7965">
        <v>98.18</v>
      </c>
      <c r="AD7965">
        <v>0</v>
      </c>
      <c r="AE7965">
        <v>0</v>
      </c>
      <c r="AF7965">
        <v>0</v>
      </c>
      <c r="AG7965">
        <v>0</v>
      </c>
      <c r="AH7965">
        <v>0</v>
      </c>
      <c r="AI7965">
        <v>17.670000000000002</v>
      </c>
      <c r="AJ7965">
        <v>98.18</v>
      </c>
      <c r="AK7965">
        <v>0</v>
      </c>
      <c r="AL7965" t="s">
        <v>53</v>
      </c>
      <c r="AM7965" t="s">
        <v>53</v>
      </c>
      <c r="AN7965" t="s">
        <v>53</v>
      </c>
      <c r="AO7965" t="s">
        <v>53</v>
      </c>
      <c r="AP7965" t="s">
        <v>53</v>
      </c>
    </row>
    <row r="7966" spans="2:42" x14ac:dyDescent="0.2">
      <c r="B7966" t="s">
        <v>44</v>
      </c>
      <c r="C7966" t="str">
        <f>HYPERLINK("https://us2.cloudbeds.com/connect/8493803454333002#/reservations/9080486848176096?display=4GSPW5RS5M&amp;reservation_id=9080486848176096", "4GSPW5RS5M")</f>
        <v>4GSPW5RS5M</v>
      </c>
      <c r="D7966" t="s">
        <v>45</v>
      </c>
      <c r="E7966" t="s">
        <v>105</v>
      </c>
      <c r="F7966" t="s">
        <v>47</v>
      </c>
      <c r="G7966" t="s">
        <v>48</v>
      </c>
      <c r="H7966" t="s">
        <v>49</v>
      </c>
      <c r="I7966" t="s">
        <v>62</v>
      </c>
      <c r="J7966" t="s">
        <v>14176</v>
      </c>
      <c r="K7966" t="s">
        <v>13038</v>
      </c>
      <c r="L7966" t="s">
        <v>53</v>
      </c>
      <c r="N7966" t="s">
        <v>14920</v>
      </c>
      <c r="P7966" t="s">
        <v>55</v>
      </c>
      <c r="R7966" t="s">
        <v>56</v>
      </c>
      <c r="T7966" t="s">
        <v>14921</v>
      </c>
      <c r="U7966" t="s">
        <v>55</v>
      </c>
      <c r="V7966">
        <v>1</v>
      </c>
      <c r="W7966">
        <v>1</v>
      </c>
      <c r="X7966">
        <v>2</v>
      </c>
      <c r="Y7966">
        <v>0</v>
      </c>
      <c r="Z7966">
        <v>2</v>
      </c>
      <c r="AA7966">
        <v>62.58</v>
      </c>
      <c r="AB7966">
        <v>62.58</v>
      </c>
      <c r="AC7966">
        <v>62.58</v>
      </c>
      <c r="AD7966">
        <v>0</v>
      </c>
      <c r="AE7966">
        <v>0</v>
      </c>
      <c r="AF7966">
        <v>0</v>
      </c>
      <c r="AG7966">
        <v>0</v>
      </c>
      <c r="AH7966">
        <v>0</v>
      </c>
      <c r="AI7966">
        <v>11.26</v>
      </c>
      <c r="AJ7966">
        <v>62.58</v>
      </c>
      <c r="AK7966">
        <v>0</v>
      </c>
      <c r="AL7966" t="s">
        <v>53</v>
      </c>
      <c r="AM7966" t="s">
        <v>53</v>
      </c>
      <c r="AN7966" t="s">
        <v>53</v>
      </c>
      <c r="AO7966" t="s">
        <v>53</v>
      </c>
      <c r="AP7966" t="s">
        <v>53</v>
      </c>
    </row>
    <row r="7967" spans="2:42" x14ac:dyDescent="0.2">
      <c r="B7967" t="s">
        <v>44</v>
      </c>
      <c r="C7967" t="str">
        <f>HYPERLINK("https://us2.cloudbeds.com/connect/8493803454333002#/reservations/9080486848176382?display=4GSWMHJUF9&amp;reservation_id=9080486848176382", "4GSWMHJUF9")</f>
        <v>4GSWMHJUF9</v>
      </c>
      <c r="D7967" t="s">
        <v>45</v>
      </c>
      <c r="E7967" t="s">
        <v>185</v>
      </c>
      <c r="F7967" t="s">
        <v>47</v>
      </c>
      <c r="G7967" t="s">
        <v>48</v>
      </c>
      <c r="H7967" t="s">
        <v>49</v>
      </c>
      <c r="I7967" t="s">
        <v>50</v>
      </c>
      <c r="J7967" t="s">
        <v>13676</v>
      </c>
      <c r="K7967" t="s">
        <v>12807</v>
      </c>
      <c r="L7967" t="s">
        <v>53</v>
      </c>
      <c r="N7967" t="s">
        <v>14922</v>
      </c>
      <c r="P7967" t="s">
        <v>55</v>
      </c>
      <c r="R7967" t="s">
        <v>53</v>
      </c>
      <c r="T7967" t="s">
        <v>14923</v>
      </c>
      <c r="U7967" t="s">
        <v>55</v>
      </c>
      <c r="V7967">
        <v>1</v>
      </c>
      <c r="W7967">
        <v>1</v>
      </c>
      <c r="X7967">
        <v>2</v>
      </c>
      <c r="Y7967">
        <v>0</v>
      </c>
      <c r="Z7967">
        <v>2</v>
      </c>
      <c r="AA7967">
        <v>56.89</v>
      </c>
      <c r="AB7967">
        <v>56.89</v>
      </c>
      <c r="AC7967">
        <v>52.31</v>
      </c>
      <c r="AD7967">
        <v>0</v>
      </c>
      <c r="AE7967">
        <v>4.58</v>
      </c>
      <c r="AF7967">
        <v>0</v>
      </c>
      <c r="AG7967">
        <v>0</v>
      </c>
      <c r="AH7967">
        <v>0</v>
      </c>
      <c r="AI7967">
        <v>10.24</v>
      </c>
      <c r="AJ7967">
        <v>56.89</v>
      </c>
      <c r="AK7967">
        <v>0</v>
      </c>
      <c r="AL7967" t="s">
        <v>53</v>
      </c>
      <c r="AM7967" t="s">
        <v>53</v>
      </c>
      <c r="AN7967" t="s">
        <v>53</v>
      </c>
      <c r="AO7967" t="s">
        <v>53</v>
      </c>
      <c r="AP7967" t="s">
        <v>53</v>
      </c>
    </row>
    <row r="7968" spans="2:42" x14ac:dyDescent="0.2">
      <c r="B7968" t="s">
        <v>44</v>
      </c>
      <c r="C7968" t="str">
        <f>HYPERLINK("https://us2.cloudbeds.com/connect/8493803454333002#/reservations/9080486848176737?display=4GT80DETB4&amp;reservation_id=9080486848176737", "4GT80DETB4")</f>
        <v>4GT80DETB4</v>
      </c>
      <c r="D7968" t="s">
        <v>45</v>
      </c>
      <c r="E7968" t="s">
        <v>128</v>
      </c>
      <c r="F7968" t="s">
        <v>86</v>
      </c>
      <c r="G7968" t="s">
        <v>48</v>
      </c>
      <c r="H7968" t="s">
        <v>49</v>
      </c>
      <c r="I7968" t="s">
        <v>62</v>
      </c>
      <c r="J7968" t="s">
        <v>13676</v>
      </c>
      <c r="K7968" t="s">
        <v>12807</v>
      </c>
      <c r="L7968" t="s">
        <v>53</v>
      </c>
      <c r="N7968" t="s">
        <v>14924</v>
      </c>
      <c r="P7968" t="s">
        <v>55</v>
      </c>
      <c r="R7968" t="s">
        <v>871</v>
      </c>
      <c r="T7968" t="s">
        <v>14925</v>
      </c>
      <c r="U7968" t="s">
        <v>55</v>
      </c>
      <c r="V7968">
        <v>1</v>
      </c>
      <c r="W7968">
        <v>1</v>
      </c>
      <c r="X7968">
        <v>2</v>
      </c>
      <c r="Y7968">
        <v>0</v>
      </c>
      <c r="Z7968">
        <v>2</v>
      </c>
      <c r="AA7968">
        <v>102.06</v>
      </c>
      <c r="AB7968">
        <v>102.06</v>
      </c>
      <c r="AC7968">
        <v>102.06</v>
      </c>
      <c r="AD7968">
        <v>0</v>
      </c>
      <c r="AE7968">
        <v>0</v>
      </c>
      <c r="AF7968">
        <v>0</v>
      </c>
      <c r="AG7968">
        <v>0</v>
      </c>
      <c r="AH7968">
        <v>0</v>
      </c>
      <c r="AI7968">
        <v>18.37</v>
      </c>
      <c r="AJ7968">
        <v>102.06</v>
      </c>
      <c r="AK7968">
        <v>0</v>
      </c>
      <c r="AL7968" t="s">
        <v>53</v>
      </c>
      <c r="AM7968" t="s">
        <v>53</v>
      </c>
      <c r="AN7968" t="s">
        <v>53</v>
      </c>
      <c r="AO7968" t="s">
        <v>53</v>
      </c>
      <c r="AP7968" t="s">
        <v>53</v>
      </c>
    </row>
    <row r="7969" spans="2:42" x14ac:dyDescent="0.2">
      <c r="B7969" t="s">
        <v>44</v>
      </c>
      <c r="C7969" t="str">
        <f>HYPERLINK("https://us2.cloudbeds.com/connect/8493803454333002#/reservations/209400614023296?display=4GTCX19JC8&amp;reservation_id=209400614023296", "4GTCX19JC8")</f>
        <v>4GTCX19JC8</v>
      </c>
      <c r="D7969" t="s">
        <v>45</v>
      </c>
      <c r="E7969" t="s">
        <v>105</v>
      </c>
      <c r="F7969" t="s">
        <v>47</v>
      </c>
      <c r="G7969" t="s">
        <v>48</v>
      </c>
      <c r="H7969" t="s">
        <v>3957</v>
      </c>
      <c r="I7969" t="s">
        <v>3975</v>
      </c>
      <c r="J7969" t="s">
        <v>13676</v>
      </c>
      <c r="K7969" t="s">
        <v>12807</v>
      </c>
      <c r="L7969" t="s">
        <v>53</v>
      </c>
      <c r="P7969" t="s">
        <v>55</v>
      </c>
      <c r="R7969" t="s">
        <v>56</v>
      </c>
      <c r="T7969" t="s">
        <v>14926</v>
      </c>
      <c r="U7969" t="s">
        <v>58</v>
      </c>
      <c r="V7969">
        <v>1</v>
      </c>
      <c r="W7969">
        <v>1</v>
      </c>
      <c r="X7969">
        <v>2</v>
      </c>
      <c r="Y7969">
        <v>0</v>
      </c>
      <c r="Z7969">
        <v>2</v>
      </c>
      <c r="AA7969">
        <v>91.72</v>
      </c>
      <c r="AB7969">
        <v>91.72</v>
      </c>
      <c r="AC7969">
        <v>80</v>
      </c>
      <c r="AD7969">
        <v>0</v>
      </c>
      <c r="AE7969">
        <v>11.72</v>
      </c>
      <c r="AF7969">
        <v>0</v>
      </c>
      <c r="AG7969">
        <v>0</v>
      </c>
      <c r="AH7969">
        <v>0</v>
      </c>
      <c r="AI7969">
        <v>0</v>
      </c>
      <c r="AJ7969">
        <v>91.72</v>
      </c>
      <c r="AK7969">
        <v>0</v>
      </c>
      <c r="AL7969" t="s">
        <v>53</v>
      </c>
      <c r="AM7969" t="s">
        <v>53</v>
      </c>
      <c r="AN7969" t="s">
        <v>53</v>
      </c>
      <c r="AO7969" t="s">
        <v>53</v>
      </c>
      <c r="AP7969" t="s">
        <v>53</v>
      </c>
    </row>
    <row r="7970" spans="2:42" x14ac:dyDescent="0.2">
      <c r="B7970" t="s">
        <v>44</v>
      </c>
      <c r="C7970" t="str">
        <f>HYPERLINK("https://us2.cloudbeds.com/connect/8493803454333002#/reservations/9080486848177256?display=4GTJ67B8K9&amp;reservation_id=9080486848177256", "4GTJ67B8K9")</f>
        <v>4GTJ67B8K9</v>
      </c>
      <c r="D7970" t="s">
        <v>45</v>
      </c>
      <c r="E7970" t="s">
        <v>165</v>
      </c>
      <c r="F7970" t="s">
        <v>61</v>
      </c>
      <c r="G7970" t="s">
        <v>48</v>
      </c>
      <c r="H7970" t="s">
        <v>49</v>
      </c>
      <c r="I7970" t="s">
        <v>62</v>
      </c>
      <c r="J7970" t="s">
        <v>14800</v>
      </c>
      <c r="K7970" t="s">
        <v>13361</v>
      </c>
      <c r="L7970" t="s">
        <v>53</v>
      </c>
      <c r="N7970" t="s">
        <v>14927</v>
      </c>
      <c r="P7970" t="s">
        <v>55</v>
      </c>
      <c r="R7970" t="s">
        <v>56</v>
      </c>
      <c r="T7970" t="s">
        <v>14928</v>
      </c>
      <c r="U7970" t="s">
        <v>55</v>
      </c>
      <c r="V7970">
        <v>1</v>
      </c>
      <c r="W7970">
        <v>1</v>
      </c>
      <c r="X7970">
        <v>2</v>
      </c>
      <c r="Y7970">
        <v>0</v>
      </c>
      <c r="Z7970">
        <v>2</v>
      </c>
      <c r="AA7970">
        <v>71.22</v>
      </c>
      <c r="AB7970">
        <v>71.22</v>
      </c>
      <c r="AC7970">
        <v>71.22</v>
      </c>
      <c r="AD7970">
        <v>0</v>
      </c>
      <c r="AE7970">
        <v>0</v>
      </c>
      <c r="AF7970">
        <v>0</v>
      </c>
      <c r="AG7970">
        <v>0</v>
      </c>
      <c r="AH7970">
        <v>0</v>
      </c>
      <c r="AI7970">
        <v>12.82</v>
      </c>
      <c r="AJ7970">
        <v>71.22</v>
      </c>
      <c r="AK7970">
        <v>0</v>
      </c>
      <c r="AL7970" t="s">
        <v>53</v>
      </c>
      <c r="AM7970" t="s">
        <v>53</v>
      </c>
      <c r="AN7970" t="s">
        <v>53</v>
      </c>
      <c r="AO7970" t="s">
        <v>53</v>
      </c>
      <c r="AP7970" t="s">
        <v>53</v>
      </c>
    </row>
    <row r="7971" spans="2:42" x14ac:dyDescent="0.2">
      <c r="B7971" t="s">
        <v>44</v>
      </c>
      <c r="C7971" t="str">
        <f>HYPERLINK("https://us2.cloudbeds.com/connect/8493803454333002#/reservations/209414139560064?display=4GTN0YCQS1&amp;reservation_id=209414139560064", "4GTN0YCQS1")</f>
        <v>4GTN0YCQS1</v>
      </c>
      <c r="D7971" t="s">
        <v>45</v>
      </c>
      <c r="E7971" t="s">
        <v>14402</v>
      </c>
      <c r="F7971" t="s">
        <v>14403</v>
      </c>
      <c r="G7971" t="s">
        <v>48</v>
      </c>
      <c r="H7971" t="s">
        <v>3957</v>
      </c>
      <c r="I7971" t="s">
        <v>3975</v>
      </c>
      <c r="J7971" t="s">
        <v>14929</v>
      </c>
      <c r="K7971" t="s">
        <v>9762</v>
      </c>
      <c r="L7971" t="s">
        <v>53</v>
      </c>
      <c r="P7971" t="s">
        <v>55</v>
      </c>
      <c r="R7971" t="s">
        <v>56</v>
      </c>
      <c r="T7971" t="s">
        <v>14930</v>
      </c>
      <c r="U7971" t="s">
        <v>58</v>
      </c>
      <c r="V7971">
        <v>4</v>
      </c>
      <c r="W7971">
        <v>1</v>
      </c>
      <c r="X7971">
        <v>2</v>
      </c>
      <c r="Y7971">
        <v>0</v>
      </c>
      <c r="Z7971">
        <v>2</v>
      </c>
      <c r="AA7971">
        <v>0</v>
      </c>
      <c r="AB7971">
        <v>404.72</v>
      </c>
      <c r="AC7971">
        <v>353</v>
      </c>
      <c r="AD7971">
        <v>0</v>
      </c>
      <c r="AE7971">
        <v>51.72</v>
      </c>
      <c r="AF7971">
        <v>0</v>
      </c>
      <c r="AG7971">
        <v>0</v>
      </c>
      <c r="AH7971">
        <v>0</v>
      </c>
      <c r="AI7971">
        <v>0</v>
      </c>
      <c r="AJ7971">
        <v>404.72</v>
      </c>
      <c r="AK7971">
        <v>0</v>
      </c>
      <c r="AL7971" t="s">
        <v>53</v>
      </c>
      <c r="AM7971" t="s">
        <v>53</v>
      </c>
      <c r="AN7971" t="s">
        <v>14931</v>
      </c>
      <c r="AO7971" t="s">
        <v>53</v>
      </c>
      <c r="AP7971" t="s">
        <v>53</v>
      </c>
    </row>
    <row r="7972" spans="2:42" x14ac:dyDescent="0.2">
      <c r="B7972" t="s">
        <v>44</v>
      </c>
      <c r="C7972" t="str">
        <f>HYPERLINK("https://us2.cloudbeds.com/connect/8493803454333002#/reservations/209420672835776?display=4GTS2JESG4&amp;reservation_id=209420672835776", "4GTS2JESG4")</f>
        <v>4GTS2JESG4</v>
      </c>
      <c r="D7972" t="s">
        <v>45</v>
      </c>
      <c r="E7972" t="s">
        <v>373</v>
      </c>
      <c r="F7972" t="s">
        <v>47</v>
      </c>
      <c r="G7972" t="s">
        <v>48</v>
      </c>
      <c r="H7972" t="s">
        <v>3957</v>
      </c>
      <c r="I7972" t="s">
        <v>3989</v>
      </c>
      <c r="J7972" t="s">
        <v>13676</v>
      </c>
      <c r="K7972" t="s">
        <v>12807</v>
      </c>
      <c r="L7972" t="s">
        <v>53</v>
      </c>
      <c r="P7972" t="s">
        <v>55</v>
      </c>
      <c r="R7972" t="s">
        <v>56</v>
      </c>
      <c r="T7972" t="s">
        <v>14932</v>
      </c>
      <c r="U7972" t="s">
        <v>58</v>
      </c>
      <c r="V7972">
        <v>1</v>
      </c>
      <c r="W7972">
        <v>1</v>
      </c>
      <c r="X7972">
        <v>1</v>
      </c>
      <c r="Y7972">
        <v>0</v>
      </c>
      <c r="Z7972">
        <v>1</v>
      </c>
      <c r="AA7972">
        <v>91.72</v>
      </c>
      <c r="AB7972">
        <v>91.72</v>
      </c>
      <c r="AC7972">
        <v>80</v>
      </c>
      <c r="AD7972">
        <v>0</v>
      </c>
      <c r="AE7972">
        <v>11.72</v>
      </c>
      <c r="AF7972">
        <v>0</v>
      </c>
      <c r="AG7972">
        <v>0</v>
      </c>
      <c r="AH7972">
        <v>0</v>
      </c>
      <c r="AI7972">
        <v>0</v>
      </c>
      <c r="AJ7972">
        <v>91.72</v>
      </c>
      <c r="AK7972">
        <v>0</v>
      </c>
      <c r="AL7972" t="s">
        <v>53</v>
      </c>
      <c r="AM7972" t="s">
        <v>53</v>
      </c>
      <c r="AN7972" t="s">
        <v>53</v>
      </c>
      <c r="AO7972" t="s">
        <v>53</v>
      </c>
      <c r="AP7972" t="s">
        <v>53</v>
      </c>
    </row>
    <row r="7973" spans="2:42" x14ac:dyDescent="0.2">
      <c r="B7973" t="s">
        <v>44</v>
      </c>
      <c r="C7973" t="str">
        <f>HYPERLINK("https://us2.cloudbeds.com/connect/8493803454333002#/reservations/9080486848178696?display=4GUHMJJCPS&amp;reservation_id=9080486848178696", "4GUHMJJCPS")</f>
        <v>4GUHMJJCPS</v>
      </c>
      <c r="D7973" t="s">
        <v>45</v>
      </c>
      <c r="E7973" t="s">
        <v>179</v>
      </c>
      <c r="F7973" t="s">
        <v>47</v>
      </c>
      <c r="G7973" t="s">
        <v>48</v>
      </c>
      <c r="H7973" t="s">
        <v>49</v>
      </c>
      <c r="I7973" t="s">
        <v>62</v>
      </c>
      <c r="J7973" t="s">
        <v>13676</v>
      </c>
      <c r="K7973" t="s">
        <v>12807</v>
      </c>
      <c r="L7973" t="s">
        <v>53</v>
      </c>
      <c r="N7973" t="s">
        <v>14933</v>
      </c>
      <c r="P7973" t="s">
        <v>55</v>
      </c>
      <c r="R7973" t="s">
        <v>56</v>
      </c>
      <c r="T7973" t="s">
        <v>14934</v>
      </c>
      <c r="U7973" t="s">
        <v>55</v>
      </c>
      <c r="V7973">
        <v>1</v>
      </c>
      <c r="W7973">
        <v>1</v>
      </c>
      <c r="X7973">
        <v>2</v>
      </c>
      <c r="Y7973">
        <v>0</v>
      </c>
      <c r="Z7973">
        <v>2</v>
      </c>
      <c r="AA7973">
        <v>68.040000000000006</v>
      </c>
      <c r="AB7973">
        <v>68.040000000000006</v>
      </c>
      <c r="AC7973">
        <v>68.040000000000006</v>
      </c>
      <c r="AD7973">
        <v>0</v>
      </c>
      <c r="AE7973">
        <v>0</v>
      </c>
      <c r="AF7973">
        <v>0</v>
      </c>
      <c r="AG7973">
        <v>0</v>
      </c>
      <c r="AH7973">
        <v>0</v>
      </c>
      <c r="AI7973">
        <v>12.25</v>
      </c>
      <c r="AJ7973">
        <v>68.040000000000006</v>
      </c>
      <c r="AK7973">
        <v>0</v>
      </c>
      <c r="AL7973" t="s">
        <v>53</v>
      </c>
      <c r="AM7973" t="s">
        <v>53</v>
      </c>
      <c r="AN7973" t="s">
        <v>53</v>
      </c>
      <c r="AO7973" t="s">
        <v>53</v>
      </c>
      <c r="AP7973" t="s">
        <v>53</v>
      </c>
    </row>
    <row r="7974" spans="2:42" x14ac:dyDescent="0.2">
      <c r="B7974" t="s">
        <v>44</v>
      </c>
      <c r="C7974" t="str">
        <f>HYPERLINK("https://us2.cloudbeds.com/connect/8493803454333002#/reservations/9080486848178734?display=4GUXGJWPGG&amp;reservation_id=9080486848178734", "4GUXGJWPGG")</f>
        <v>4GUXGJWPGG</v>
      </c>
      <c r="D7974" t="s">
        <v>45</v>
      </c>
      <c r="E7974" t="s">
        <v>98</v>
      </c>
      <c r="F7974" t="s">
        <v>86</v>
      </c>
      <c r="G7974" t="s">
        <v>48</v>
      </c>
      <c r="H7974" t="s">
        <v>49</v>
      </c>
      <c r="I7974" t="s">
        <v>62</v>
      </c>
      <c r="J7974" t="s">
        <v>14206</v>
      </c>
      <c r="K7974" t="s">
        <v>13082</v>
      </c>
      <c r="L7974" t="s">
        <v>53</v>
      </c>
      <c r="N7974" t="s">
        <v>14935</v>
      </c>
      <c r="P7974" t="s">
        <v>55</v>
      </c>
      <c r="R7974" t="s">
        <v>56</v>
      </c>
      <c r="T7974" t="s">
        <v>14936</v>
      </c>
      <c r="U7974" t="s">
        <v>55</v>
      </c>
      <c r="V7974">
        <v>2</v>
      </c>
      <c r="W7974">
        <v>1</v>
      </c>
      <c r="X7974">
        <v>2</v>
      </c>
      <c r="Y7974">
        <v>2</v>
      </c>
      <c r="Z7974">
        <v>4</v>
      </c>
      <c r="AA7974">
        <v>335.58</v>
      </c>
      <c r="AB7974">
        <v>335.58</v>
      </c>
      <c r="AC7974">
        <v>335.58</v>
      </c>
      <c r="AD7974">
        <v>0</v>
      </c>
      <c r="AE7974">
        <v>0</v>
      </c>
      <c r="AF7974">
        <v>0</v>
      </c>
      <c r="AG7974">
        <v>0</v>
      </c>
      <c r="AH7974">
        <v>0</v>
      </c>
      <c r="AI7974">
        <v>60.4</v>
      </c>
      <c r="AJ7974">
        <v>335.58</v>
      </c>
      <c r="AK7974">
        <v>0</v>
      </c>
      <c r="AL7974" t="s">
        <v>53</v>
      </c>
      <c r="AM7974" t="s">
        <v>53</v>
      </c>
      <c r="AN7974" t="s">
        <v>53</v>
      </c>
      <c r="AO7974" t="s">
        <v>53</v>
      </c>
      <c r="AP7974" t="s">
        <v>53</v>
      </c>
    </row>
    <row r="7975" spans="2:42" x14ac:dyDescent="0.2">
      <c r="B7975" t="s">
        <v>44</v>
      </c>
      <c r="C7975" t="str">
        <f>HYPERLINK("https://us2.cloudbeds.com/connect/8493803454333002#/reservations/209467608248512?display=4GUVDTKB7V&amp;reservation_id=209467608248512", "4GUVDTKB7V")</f>
        <v>4GUVDTKB7V</v>
      </c>
      <c r="D7975" t="s">
        <v>45</v>
      </c>
      <c r="E7975" t="s">
        <v>98</v>
      </c>
      <c r="F7975" t="s">
        <v>86</v>
      </c>
      <c r="G7975" t="s">
        <v>48</v>
      </c>
      <c r="H7975" t="s">
        <v>3957</v>
      </c>
      <c r="I7975" t="s">
        <v>3975</v>
      </c>
      <c r="J7975" t="s">
        <v>13676</v>
      </c>
      <c r="K7975" t="s">
        <v>12807</v>
      </c>
      <c r="L7975" t="s">
        <v>53</v>
      </c>
      <c r="P7975" t="s">
        <v>55</v>
      </c>
      <c r="R7975" t="s">
        <v>56</v>
      </c>
      <c r="T7975" t="s">
        <v>14937</v>
      </c>
      <c r="U7975" t="s">
        <v>58</v>
      </c>
      <c r="V7975">
        <v>1</v>
      </c>
      <c r="W7975">
        <v>1</v>
      </c>
      <c r="X7975">
        <v>2</v>
      </c>
      <c r="Y7975">
        <v>2</v>
      </c>
      <c r="Z7975">
        <v>4</v>
      </c>
      <c r="AA7975">
        <v>137.58000000000001</v>
      </c>
      <c r="AB7975">
        <v>137.58000000000001</v>
      </c>
      <c r="AC7975">
        <v>120</v>
      </c>
      <c r="AD7975">
        <v>0</v>
      </c>
      <c r="AE7975">
        <v>17.579999999999998</v>
      </c>
      <c r="AF7975">
        <v>0</v>
      </c>
      <c r="AG7975">
        <v>0</v>
      </c>
      <c r="AH7975">
        <v>0</v>
      </c>
      <c r="AI7975">
        <v>0</v>
      </c>
      <c r="AJ7975">
        <v>137.58000000000001</v>
      </c>
      <c r="AK7975">
        <v>0</v>
      </c>
      <c r="AL7975" t="s">
        <v>53</v>
      </c>
      <c r="AM7975" t="s">
        <v>53</v>
      </c>
      <c r="AN7975" t="s">
        <v>14938</v>
      </c>
      <c r="AO7975" t="s">
        <v>53</v>
      </c>
      <c r="AP7975" t="s">
        <v>53</v>
      </c>
    </row>
    <row r="7976" spans="2:42" x14ac:dyDescent="0.2">
      <c r="B7976" t="s">
        <v>44</v>
      </c>
      <c r="C7976" t="str">
        <f>HYPERLINK("https://us2.cloudbeds.com/connect/8493803454333002#/reservations/9080486848179366?display=4GV0HUGTB6&amp;reservation_id=9080486848179366", "4GV0HUGTB6")</f>
        <v>4GV0HUGTB6</v>
      </c>
      <c r="D7976" t="s">
        <v>45</v>
      </c>
      <c r="E7976" t="s">
        <v>155</v>
      </c>
      <c r="F7976" t="s">
        <v>86</v>
      </c>
      <c r="G7976" t="s">
        <v>48</v>
      </c>
      <c r="H7976" t="s">
        <v>49</v>
      </c>
      <c r="I7976" t="s">
        <v>50</v>
      </c>
      <c r="J7976" t="s">
        <v>12807</v>
      </c>
      <c r="K7976" t="s">
        <v>14458</v>
      </c>
      <c r="L7976" t="s">
        <v>53</v>
      </c>
      <c r="N7976" t="s">
        <v>14939</v>
      </c>
      <c r="P7976" t="s">
        <v>55</v>
      </c>
      <c r="R7976" t="s">
        <v>53</v>
      </c>
      <c r="T7976" t="s">
        <v>14940</v>
      </c>
      <c r="U7976" t="s">
        <v>55</v>
      </c>
      <c r="V7976">
        <v>1</v>
      </c>
      <c r="W7976">
        <v>1</v>
      </c>
      <c r="X7976">
        <v>2</v>
      </c>
      <c r="Y7976">
        <v>0</v>
      </c>
      <c r="Z7976">
        <v>2</v>
      </c>
      <c r="AA7976">
        <v>74.81</v>
      </c>
      <c r="AB7976">
        <v>74.81</v>
      </c>
      <c r="AC7976">
        <v>68.790000000000006</v>
      </c>
      <c r="AD7976">
        <v>0</v>
      </c>
      <c r="AE7976">
        <v>6.02</v>
      </c>
      <c r="AF7976">
        <v>0</v>
      </c>
      <c r="AG7976">
        <v>0</v>
      </c>
      <c r="AH7976">
        <v>0</v>
      </c>
      <c r="AI7976">
        <v>13.47</v>
      </c>
      <c r="AJ7976">
        <v>74.81</v>
      </c>
      <c r="AK7976">
        <v>0</v>
      </c>
      <c r="AL7976" t="s">
        <v>53</v>
      </c>
      <c r="AM7976" t="s">
        <v>53</v>
      </c>
      <c r="AN7976" t="s">
        <v>14941</v>
      </c>
      <c r="AO7976" t="s">
        <v>53</v>
      </c>
      <c r="AP7976" t="s">
        <v>53</v>
      </c>
    </row>
    <row r="7977" spans="2:42" x14ac:dyDescent="0.2">
      <c r="B7977" t="s">
        <v>44</v>
      </c>
      <c r="C7977" t="str">
        <f>HYPERLINK("https://us2.cloudbeds.com/connect/8493803454333002#/reservations/9080486848179378?display=4GV0RAHG16&amp;reservation_id=9080486848179378", "4GV0RAHG16")</f>
        <v>4GV0RAHG16</v>
      </c>
      <c r="D7977" t="s">
        <v>45</v>
      </c>
      <c r="E7977" t="s">
        <v>69</v>
      </c>
      <c r="F7977" t="s">
        <v>70</v>
      </c>
      <c r="G7977" t="s">
        <v>48</v>
      </c>
      <c r="H7977" t="s">
        <v>49</v>
      </c>
      <c r="I7977" t="s">
        <v>62</v>
      </c>
      <c r="J7977" t="s">
        <v>13676</v>
      </c>
      <c r="K7977" t="s">
        <v>12807</v>
      </c>
      <c r="L7977" t="s">
        <v>53</v>
      </c>
      <c r="N7977" t="s">
        <v>14942</v>
      </c>
      <c r="P7977" t="s">
        <v>55</v>
      </c>
      <c r="R7977" t="s">
        <v>56</v>
      </c>
      <c r="T7977" t="s">
        <v>14943</v>
      </c>
      <c r="U7977" t="s">
        <v>55</v>
      </c>
      <c r="V7977">
        <v>1</v>
      </c>
      <c r="W7977">
        <v>1</v>
      </c>
      <c r="X7977">
        <v>2</v>
      </c>
      <c r="Y7977">
        <v>0</v>
      </c>
      <c r="Z7977">
        <v>2</v>
      </c>
      <c r="AA7977">
        <v>63.79</v>
      </c>
      <c r="AB7977">
        <v>63.79</v>
      </c>
      <c r="AC7977">
        <v>63.79</v>
      </c>
      <c r="AD7977">
        <v>0</v>
      </c>
      <c r="AE7977">
        <v>0</v>
      </c>
      <c r="AF7977">
        <v>0</v>
      </c>
      <c r="AG7977">
        <v>0</v>
      </c>
      <c r="AH7977">
        <v>0</v>
      </c>
      <c r="AI7977">
        <v>11.48</v>
      </c>
      <c r="AJ7977">
        <v>63.79</v>
      </c>
      <c r="AK7977">
        <v>0</v>
      </c>
      <c r="AL7977" t="s">
        <v>53</v>
      </c>
      <c r="AM7977" t="s">
        <v>53</v>
      </c>
      <c r="AN7977" t="s">
        <v>53</v>
      </c>
      <c r="AO7977" t="s">
        <v>53</v>
      </c>
      <c r="AP7977" t="s">
        <v>53</v>
      </c>
    </row>
    <row r="7978" spans="2:42" x14ac:dyDescent="0.2">
      <c r="B7978" t="s">
        <v>44</v>
      </c>
      <c r="C7978" t="str">
        <f>HYPERLINK("https://us2.cloudbeds.com/connect/8493803454333002#/reservations/209482269798592?display=4GV9PHK0FN&amp;reservation_id=209482269798592", "4GV9PHK0FN")</f>
        <v>4GV9PHK0FN</v>
      </c>
      <c r="D7978" t="s">
        <v>45</v>
      </c>
      <c r="E7978" t="s">
        <v>46</v>
      </c>
      <c r="F7978" t="s">
        <v>47</v>
      </c>
      <c r="G7978" t="s">
        <v>48</v>
      </c>
      <c r="H7978" t="s">
        <v>3957</v>
      </c>
      <c r="I7978" t="s">
        <v>3975</v>
      </c>
      <c r="J7978" t="s">
        <v>13676</v>
      </c>
      <c r="K7978" t="s">
        <v>12807</v>
      </c>
      <c r="L7978" t="s">
        <v>53</v>
      </c>
      <c r="P7978" t="s">
        <v>55</v>
      </c>
      <c r="R7978" t="s">
        <v>56</v>
      </c>
      <c r="T7978" t="s">
        <v>14944</v>
      </c>
      <c r="U7978" t="s">
        <v>58</v>
      </c>
      <c r="V7978">
        <v>1</v>
      </c>
      <c r="W7978">
        <v>1</v>
      </c>
      <c r="X7978">
        <v>2</v>
      </c>
      <c r="Y7978">
        <v>0</v>
      </c>
      <c r="Z7978">
        <v>2</v>
      </c>
      <c r="AA7978">
        <v>91.72</v>
      </c>
      <c r="AB7978">
        <v>91.72</v>
      </c>
      <c r="AC7978">
        <v>80</v>
      </c>
      <c r="AD7978">
        <v>0</v>
      </c>
      <c r="AE7978">
        <v>11.72</v>
      </c>
      <c r="AF7978">
        <v>0</v>
      </c>
      <c r="AG7978">
        <v>0</v>
      </c>
      <c r="AH7978">
        <v>0</v>
      </c>
      <c r="AI7978">
        <v>0</v>
      </c>
      <c r="AJ7978">
        <v>91.72</v>
      </c>
      <c r="AK7978">
        <v>0</v>
      </c>
      <c r="AL7978" t="s">
        <v>53</v>
      </c>
      <c r="AM7978" t="s">
        <v>53</v>
      </c>
      <c r="AN7978" t="s">
        <v>14945</v>
      </c>
      <c r="AO7978" t="s">
        <v>53</v>
      </c>
      <c r="AP7978" t="s">
        <v>53</v>
      </c>
    </row>
    <row r="7979" spans="2:42" x14ac:dyDescent="0.2">
      <c r="B7979" t="s">
        <v>44</v>
      </c>
      <c r="C7979" t="str">
        <f>HYPERLINK("https://us2.cloudbeds.com/connect/8493803454333002#/reservations/209492336509056?display=4GVHXP53BU&amp;reservation_id=209492336509056", "4GVHXP53BU")</f>
        <v>4GVHXP53BU</v>
      </c>
      <c r="D7979" t="s">
        <v>45</v>
      </c>
      <c r="E7979" t="s">
        <v>381</v>
      </c>
      <c r="F7979" t="s">
        <v>47</v>
      </c>
      <c r="G7979" t="s">
        <v>48</v>
      </c>
      <c r="H7979" t="s">
        <v>3957</v>
      </c>
      <c r="I7979" t="s">
        <v>3958</v>
      </c>
      <c r="J7979" t="s">
        <v>13676</v>
      </c>
      <c r="K7979" t="s">
        <v>12807</v>
      </c>
      <c r="L7979" t="s">
        <v>53</v>
      </c>
      <c r="P7979" t="s">
        <v>55</v>
      </c>
      <c r="R7979" t="s">
        <v>56</v>
      </c>
      <c r="T7979" t="s">
        <v>14946</v>
      </c>
      <c r="U7979" t="s">
        <v>58</v>
      </c>
      <c r="V7979">
        <v>1</v>
      </c>
      <c r="W7979">
        <v>1</v>
      </c>
      <c r="X7979">
        <v>1</v>
      </c>
      <c r="Y7979">
        <v>0</v>
      </c>
      <c r="Z7979">
        <v>1</v>
      </c>
      <c r="AA7979">
        <v>91.72</v>
      </c>
      <c r="AB7979">
        <v>91.72</v>
      </c>
      <c r="AC7979">
        <v>80</v>
      </c>
      <c r="AD7979">
        <v>0</v>
      </c>
      <c r="AE7979">
        <v>11.72</v>
      </c>
      <c r="AF7979">
        <v>0</v>
      </c>
      <c r="AG7979">
        <v>0</v>
      </c>
      <c r="AH7979">
        <v>0</v>
      </c>
      <c r="AI7979">
        <v>0</v>
      </c>
      <c r="AJ7979">
        <v>91.72</v>
      </c>
      <c r="AK7979">
        <v>0</v>
      </c>
      <c r="AL7979" t="s">
        <v>53</v>
      </c>
      <c r="AM7979" t="s">
        <v>53</v>
      </c>
      <c r="AN7979" t="s">
        <v>53</v>
      </c>
      <c r="AO7979" t="s">
        <v>53</v>
      </c>
      <c r="AP7979" t="s">
        <v>53</v>
      </c>
    </row>
    <row r="7980" spans="2:42" x14ac:dyDescent="0.2">
      <c r="B7980" t="s">
        <v>44</v>
      </c>
      <c r="C7980" t="str">
        <f>HYPERLINK("https://us2.cloudbeds.com/connect/8493803454333002#/reservations/9080486848180144?display=4GVXYWZQG4&amp;reservation_id=9080486848180144", "4GVXYWZQG4")</f>
        <v>4GVXYWZQG4</v>
      </c>
      <c r="D7980" t="s">
        <v>45</v>
      </c>
      <c r="E7980" t="s">
        <v>14695</v>
      </c>
      <c r="F7980" t="s">
        <v>47</v>
      </c>
      <c r="G7980" t="s">
        <v>48</v>
      </c>
      <c r="H7980" t="s">
        <v>49</v>
      </c>
      <c r="I7980" t="s">
        <v>50</v>
      </c>
      <c r="J7980" t="s">
        <v>13676</v>
      </c>
      <c r="K7980" t="s">
        <v>14458</v>
      </c>
      <c r="L7980" t="s">
        <v>53</v>
      </c>
      <c r="N7980" t="s">
        <v>14947</v>
      </c>
      <c r="P7980" t="s">
        <v>55</v>
      </c>
      <c r="R7980" t="s">
        <v>56</v>
      </c>
      <c r="T7980" t="s">
        <v>14948</v>
      </c>
      <c r="U7980" t="s">
        <v>55</v>
      </c>
      <c r="V7980">
        <v>2</v>
      </c>
      <c r="W7980">
        <v>1</v>
      </c>
      <c r="X7980">
        <v>2</v>
      </c>
      <c r="Y7980">
        <v>0</v>
      </c>
      <c r="Z7980">
        <v>2</v>
      </c>
      <c r="AA7980">
        <v>121.34</v>
      </c>
      <c r="AB7980">
        <v>121.34</v>
      </c>
      <c r="AC7980">
        <v>111.58</v>
      </c>
      <c r="AD7980">
        <v>0</v>
      </c>
      <c r="AE7980">
        <v>9.76</v>
      </c>
      <c r="AF7980">
        <v>0</v>
      </c>
      <c r="AG7980">
        <v>0</v>
      </c>
      <c r="AH7980">
        <v>0</v>
      </c>
      <c r="AI7980">
        <v>21.84</v>
      </c>
      <c r="AJ7980">
        <v>121.34</v>
      </c>
      <c r="AK7980">
        <v>0</v>
      </c>
      <c r="AL7980" t="s">
        <v>53</v>
      </c>
      <c r="AM7980" t="s">
        <v>53</v>
      </c>
      <c r="AN7980" t="s">
        <v>53</v>
      </c>
      <c r="AO7980" t="s">
        <v>53</v>
      </c>
      <c r="AP7980" t="s">
        <v>53</v>
      </c>
    </row>
    <row r="7981" spans="2:42" x14ac:dyDescent="0.2">
      <c r="B7981" t="s">
        <v>44</v>
      </c>
      <c r="C7981" t="str">
        <f>HYPERLINK("https://us2.cloudbeds.com/connect/8493803454333002#/reservations/9080486848180403?display=4GVQGNCCTN&amp;reservation_id=9080486848180403", "4GVQGNCCTN")</f>
        <v>4GVQGNCCTN</v>
      </c>
      <c r="D7981" t="s">
        <v>45</v>
      </c>
      <c r="E7981" t="s">
        <v>165</v>
      </c>
      <c r="F7981" t="s">
        <v>61</v>
      </c>
      <c r="G7981" t="s">
        <v>48</v>
      </c>
      <c r="H7981" t="s">
        <v>49</v>
      </c>
      <c r="I7981" t="s">
        <v>62</v>
      </c>
      <c r="J7981" t="s">
        <v>12807</v>
      </c>
      <c r="K7981" t="s">
        <v>14458</v>
      </c>
      <c r="L7981" t="s">
        <v>53</v>
      </c>
      <c r="N7981" t="s">
        <v>14949</v>
      </c>
      <c r="P7981" t="s">
        <v>55</v>
      </c>
      <c r="R7981" t="s">
        <v>56</v>
      </c>
      <c r="T7981" t="s">
        <v>14950</v>
      </c>
      <c r="U7981" t="s">
        <v>55</v>
      </c>
      <c r="V7981">
        <v>1</v>
      </c>
      <c r="W7981">
        <v>1</v>
      </c>
      <c r="X7981">
        <v>1</v>
      </c>
      <c r="Y7981">
        <v>0</v>
      </c>
      <c r="Z7981">
        <v>1</v>
      </c>
      <c r="AA7981">
        <v>74.97</v>
      </c>
      <c r="AB7981">
        <v>74.97</v>
      </c>
      <c r="AC7981">
        <v>74.97</v>
      </c>
      <c r="AD7981">
        <v>0</v>
      </c>
      <c r="AE7981">
        <v>0</v>
      </c>
      <c r="AF7981">
        <v>0</v>
      </c>
      <c r="AG7981">
        <v>0</v>
      </c>
      <c r="AH7981">
        <v>0</v>
      </c>
      <c r="AI7981">
        <v>13.49</v>
      </c>
      <c r="AJ7981">
        <v>74.97</v>
      </c>
      <c r="AK7981">
        <v>0</v>
      </c>
      <c r="AL7981" t="s">
        <v>53</v>
      </c>
      <c r="AM7981" t="s">
        <v>53</v>
      </c>
      <c r="AN7981" t="s">
        <v>53</v>
      </c>
      <c r="AO7981" t="s">
        <v>53</v>
      </c>
      <c r="AP7981" t="s">
        <v>53</v>
      </c>
    </row>
    <row r="7982" spans="2:42" x14ac:dyDescent="0.2">
      <c r="B7982" t="s">
        <v>44</v>
      </c>
      <c r="C7982" t="str">
        <f>HYPERLINK("https://us2.cloudbeds.com/connect/8493803454333002#/reservations/209504054993024?display=4GVQY6GA3R&amp;reservation_id=209504054993024", "4GVQY6GA3R")</f>
        <v>4GVQY6GA3R</v>
      </c>
      <c r="D7982" t="s">
        <v>45</v>
      </c>
      <c r="E7982" t="s">
        <v>98</v>
      </c>
      <c r="F7982" t="s">
        <v>86</v>
      </c>
      <c r="G7982" t="s">
        <v>48</v>
      </c>
      <c r="H7982" t="s">
        <v>3957</v>
      </c>
      <c r="I7982" t="s">
        <v>3975</v>
      </c>
      <c r="J7982" t="s">
        <v>12807</v>
      </c>
      <c r="K7982" t="s">
        <v>12808</v>
      </c>
      <c r="L7982" t="s">
        <v>53</v>
      </c>
      <c r="P7982" t="s">
        <v>55</v>
      </c>
      <c r="R7982" t="s">
        <v>56</v>
      </c>
      <c r="T7982" t="s">
        <v>14951</v>
      </c>
      <c r="U7982" t="s">
        <v>58</v>
      </c>
      <c r="V7982">
        <v>2</v>
      </c>
      <c r="W7982">
        <v>1</v>
      </c>
      <c r="X7982">
        <v>1</v>
      </c>
      <c r="Y7982">
        <v>2</v>
      </c>
      <c r="Z7982">
        <v>3</v>
      </c>
      <c r="AA7982">
        <v>215.56</v>
      </c>
      <c r="AB7982">
        <v>215.56</v>
      </c>
      <c r="AC7982">
        <v>188</v>
      </c>
      <c r="AD7982">
        <v>0</v>
      </c>
      <c r="AE7982">
        <v>27.56</v>
      </c>
      <c r="AF7982">
        <v>0</v>
      </c>
      <c r="AG7982">
        <v>0</v>
      </c>
      <c r="AH7982">
        <v>0</v>
      </c>
      <c r="AI7982">
        <v>0</v>
      </c>
      <c r="AJ7982">
        <v>215.56</v>
      </c>
      <c r="AK7982">
        <v>0</v>
      </c>
      <c r="AL7982" t="s">
        <v>53</v>
      </c>
      <c r="AM7982" t="s">
        <v>53</v>
      </c>
      <c r="AN7982" t="s">
        <v>14952</v>
      </c>
      <c r="AO7982" t="s">
        <v>53</v>
      </c>
      <c r="AP7982" t="s">
        <v>53</v>
      </c>
    </row>
    <row r="7983" spans="2:42" x14ac:dyDescent="0.2">
      <c r="B7983" t="s">
        <v>44</v>
      </c>
      <c r="C7983" t="str">
        <f>HYPERLINK("https://us2.cloudbeds.com/connect/8493803454333002#/reservations/9080486848180579?display=4GVVMVUQEJ&amp;reservation_id=9080486848180579", "4GVVMVUQEJ")</f>
        <v>4GVVMVUQEJ</v>
      </c>
      <c r="D7983" t="s">
        <v>45</v>
      </c>
      <c r="E7983" t="s">
        <v>165</v>
      </c>
      <c r="F7983" t="s">
        <v>61</v>
      </c>
      <c r="G7983" t="s">
        <v>48</v>
      </c>
      <c r="H7983" t="s">
        <v>49</v>
      </c>
      <c r="I7983" t="s">
        <v>50</v>
      </c>
      <c r="J7983" t="s">
        <v>13676</v>
      </c>
      <c r="K7983" t="s">
        <v>12807</v>
      </c>
      <c r="L7983" t="s">
        <v>53</v>
      </c>
      <c r="N7983" t="s">
        <v>14953</v>
      </c>
      <c r="P7983" t="s">
        <v>55</v>
      </c>
      <c r="R7983" t="s">
        <v>53</v>
      </c>
      <c r="T7983" t="s">
        <v>14954</v>
      </c>
      <c r="U7983" t="s">
        <v>55</v>
      </c>
      <c r="V7983">
        <v>1</v>
      </c>
      <c r="W7983">
        <v>1</v>
      </c>
      <c r="X7983">
        <v>2</v>
      </c>
      <c r="Y7983">
        <v>0</v>
      </c>
      <c r="Z7983">
        <v>2</v>
      </c>
      <c r="AA7983">
        <v>75.61</v>
      </c>
      <c r="AB7983">
        <v>75.61</v>
      </c>
      <c r="AC7983">
        <v>69.53</v>
      </c>
      <c r="AD7983">
        <v>0</v>
      </c>
      <c r="AE7983">
        <v>6.08</v>
      </c>
      <c r="AF7983">
        <v>0</v>
      </c>
      <c r="AG7983">
        <v>0</v>
      </c>
      <c r="AH7983">
        <v>0</v>
      </c>
      <c r="AI7983">
        <v>13.61</v>
      </c>
      <c r="AJ7983">
        <v>75.61</v>
      </c>
      <c r="AK7983">
        <v>0</v>
      </c>
      <c r="AL7983" t="s">
        <v>53</v>
      </c>
      <c r="AM7983" t="s">
        <v>53</v>
      </c>
      <c r="AN7983" t="s">
        <v>14955</v>
      </c>
      <c r="AO7983" t="s">
        <v>53</v>
      </c>
      <c r="AP7983" t="s">
        <v>53</v>
      </c>
    </row>
    <row r="7984" spans="2:42" x14ac:dyDescent="0.2">
      <c r="B7984" t="s">
        <v>44</v>
      </c>
      <c r="C7984" t="str">
        <f>HYPERLINK("https://us2.cloudbeds.com/connect/8493803454333002#/reservations/9080486848180852?display=4GW5RH84XT&amp;reservation_id=9080486848180852", "4GW5RH84XT")</f>
        <v>4GW5RH84XT</v>
      </c>
      <c r="D7984" t="s">
        <v>45</v>
      </c>
      <c r="E7984" t="s">
        <v>138</v>
      </c>
      <c r="F7984" t="s">
        <v>70</v>
      </c>
      <c r="G7984" t="s">
        <v>48</v>
      </c>
      <c r="H7984" t="s">
        <v>49</v>
      </c>
      <c r="I7984" t="s">
        <v>62</v>
      </c>
      <c r="J7984" t="s">
        <v>14095</v>
      </c>
      <c r="K7984" t="s">
        <v>13977</v>
      </c>
      <c r="L7984" t="s">
        <v>53</v>
      </c>
      <c r="N7984" t="s">
        <v>14956</v>
      </c>
      <c r="P7984" t="s">
        <v>55</v>
      </c>
      <c r="R7984" t="s">
        <v>56</v>
      </c>
      <c r="T7984" t="s">
        <v>14957</v>
      </c>
      <c r="U7984" t="s">
        <v>55</v>
      </c>
      <c r="V7984">
        <v>2</v>
      </c>
      <c r="W7984">
        <v>1</v>
      </c>
      <c r="X7984">
        <v>2</v>
      </c>
      <c r="Y7984">
        <v>0</v>
      </c>
      <c r="Z7984">
        <v>2</v>
      </c>
      <c r="AA7984">
        <v>167.88</v>
      </c>
      <c r="AB7984">
        <v>167.88</v>
      </c>
      <c r="AC7984">
        <v>167.88</v>
      </c>
      <c r="AD7984">
        <v>0</v>
      </c>
      <c r="AE7984">
        <v>0</v>
      </c>
      <c r="AF7984">
        <v>0</v>
      </c>
      <c r="AG7984">
        <v>0</v>
      </c>
      <c r="AH7984">
        <v>0</v>
      </c>
      <c r="AI7984">
        <v>30.22</v>
      </c>
      <c r="AJ7984">
        <v>167.88</v>
      </c>
      <c r="AK7984">
        <v>0</v>
      </c>
      <c r="AL7984" t="s">
        <v>53</v>
      </c>
      <c r="AM7984" t="s">
        <v>53</v>
      </c>
      <c r="AN7984" t="s">
        <v>53</v>
      </c>
      <c r="AO7984" t="s">
        <v>53</v>
      </c>
      <c r="AP7984" t="s">
        <v>53</v>
      </c>
    </row>
    <row r="7985" spans="2:42" x14ac:dyDescent="0.2">
      <c r="B7985" t="s">
        <v>44</v>
      </c>
      <c r="C7985" t="str">
        <f>HYPERLINK("https://us2.cloudbeds.com/connect/8493803454333002#/reservations/9080486848181348?display=4GWYBKB4DS&amp;reservation_id=9080486848181348", "4GWYBKB4DS")</f>
        <v>4GWYBKB4DS</v>
      </c>
      <c r="D7985" t="s">
        <v>45</v>
      </c>
      <c r="E7985" t="s">
        <v>78</v>
      </c>
      <c r="F7985" t="s">
        <v>61</v>
      </c>
      <c r="G7985" t="s">
        <v>48</v>
      </c>
      <c r="H7985" t="s">
        <v>49</v>
      </c>
      <c r="I7985" t="s">
        <v>62</v>
      </c>
      <c r="J7985" t="s">
        <v>12807</v>
      </c>
      <c r="K7985" t="s">
        <v>14458</v>
      </c>
      <c r="L7985" t="s">
        <v>53</v>
      </c>
      <c r="N7985" t="s">
        <v>14958</v>
      </c>
      <c r="P7985" t="s">
        <v>55</v>
      </c>
      <c r="R7985" t="s">
        <v>56</v>
      </c>
      <c r="T7985" t="s">
        <v>14959</v>
      </c>
      <c r="U7985" t="s">
        <v>55</v>
      </c>
      <c r="V7985">
        <v>1</v>
      </c>
      <c r="W7985">
        <v>1</v>
      </c>
      <c r="X7985">
        <v>2</v>
      </c>
      <c r="Y7985">
        <v>0</v>
      </c>
      <c r="Z7985">
        <v>2</v>
      </c>
      <c r="AA7985">
        <v>74.97</v>
      </c>
      <c r="AB7985">
        <v>74.97</v>
      </c>
      <c r="AC7985">
        <v>74.97</v>
      </c>
      <c r="AD7985">
        <v>0</v>
      </c>
      <c r="AE7985">
        <v>0</v>
      </c>
      <c r="AF7985">
        <v>0</v>
      </c>
      <c r="AG7985">
        <v>0</v>
      </c>
      <c r="AH7985">
        <v>0</v>
      </c>
      <c r="AI7985">
        <v>13.49</v>
      </c>
      <c r="AJ7985">
        <v>74.97</v>
      </c>
      <c r="AK7985">
        <v>0</v>
      </c>
      <c r="AL7985" t="s">
        <v>53</v>
      </c>
      <c r="AM7985" t="s">
        <v>53</v>
      </c>
      <c r="AN7985" t="s">
        <v>53</v>
      </c>
      <c r="AO7985" t="s">
        <v>53</v>
      </c>
      <c r="AP7985" t="s">
        <v>53</v>
      </c>
    </row>
    <row r="7986" spans="2:42" x14ac:dyDescent="0.2">
      <c r="B7986" t="s">
        <v>44</v>
      </c>
      <c r="C7986" t="str">
        <f>HYPERLINK("https://us2.cloudbeds.com/connect/8493803454333002#/reservations/9080486848181743?display=4H014PMKEY&amp;reservation_id=9080486848181743", "4H014PMKEY")</f>
        <v>4H014PMKEY</v>
      </c>
      <c r="D7986" t="s">
        <v>45</v>
      </c>
      <c r="E7986" t="s">
        <v>190</v>
      </c>
      <c r="F7986" t="s">
        <v>61</v>
      </c>
      <c r="G7986" t="s">
        <v>48</v>
      </c>
      <c r="H7986" t="s">
        <v>49</v>
      </c>
      <c r="I7986" t="s">
        <v>62</v>
      </c>
      <c r="J7986" t="s">
        <v>13676</v>
      </c>
      <c r="K7986" t="s">
        <v>12807</v>
      </c>
      <c r="L7986" t="s">
        <v>53</v>
      </c>
      <c r="N7986" t="s">
        <v>14960</v>
      </c>
      <c r="P7986" t="s">
        <v>55</v>
      </c>
      <c r="R7986" t="s">
        <v>56</v>
      </c>
      <c r="T7986" t="s">
        <v>14961</v>
      </c>
      <c r="U7986" t="s">
        <v>55</v>
      </c>
      <c r="V7986">
        <v>1</v>
      </c>
      <c r="W7986">
        <v>1</v>
      </c>
      <c r="X7986">
        <v>2</v>
      </c>
      <c r="Y7986">
        <v>0</v>
      </c>
      <c r="Z7986">
        <v>2</v>
      </c>
      <c r="AA7986">
        <v>80.8</v>
      </c>
      <c r="AB7986">
        <v>80.8</v>
      </c>
      <c r="AC7986">
        <v>80.8</v>
      </c>
      <c r="AD7986">
        <v>0</v>
      </c>
      <c r="AE7986">
        <v>0</v>
      </c>
      <c r="AF7986">
        <v>0</v>
      </c>
      <c r="AG7986">
        <v>0</v>
      </c>
      <c r="AH7986">
        <v>0</v>
      </c>
      <c r="AI7986">
        <v>14.54</v>
      </c>
      <c r="AJ7986">
        <v>80.8</v>
      </c>
      <c r="AK7986">
        <v>0</v>
      </c>
      <c r="AL7986" t="s">
        <v>53</v>
      </c>
      <c r="AM7986" t="s">
        <v>53</v>
      </c>
      <c r="AN7986" t="s">
        <v>53</v>
      </c>
      <c r="AO7986" t="s">
        <v>53</v>
      </c>
      <c r="AP7986" t="s">
        <v>53</v>
      </c>
    </row>
    <row r="7987" spans="2:42" x14ac:dyDescent="0.2">
      <c r="B7987" t="s">
        <v>44</v>
      </c>
      <c r="C7987" t="str">
        <f>HYPERLINK("https://us2.cloudbeds.com/connect/8493803454333002#/reservations/9080486848181956?display=4H07ADTNWP&amp;reservation_id=9080486848181956", "4H07ADTNWP")</f>
        <v>4H07ADTNWP</v>
      </c>
      <c r="D7987" t="s">
        <v>45</v>
      </c>
      <c r="E7987" t="s">
        <v>85</v>
      </c>
      <c r="F7987" t="s">
        <v>86</v>
      </c>
      <c r="G7987" t="s">
        <v>48</v>
      </c>
      <c r="H7987" t="s">
        <v>49</v>
      </c>
      <c r="I7987" t="s">
        <v>62</v>
      </c>
      <c r="J7987" t="s">
        <v>13587</v>
      </c>
      <c r="K7987" t="s">
        <v>13572</v>
      </c>
      <c r="L7987" t="s">
        <v>53</v>
      </c>
      <c r="N7987" t="s">
        <v>14962</v>
      </c>
      <c r="P7987" t="s">
        <v>55</v>
      </c>
      <c r="R7987" t="s">
        <v>56</v>
      </c>
      <c r="T7987" t="s">
        <v>14963</v>
      </c>
      <c r="U7987" t="s">
        <v>55</v>
      </c>
      <c r="V7987">
        <v>2</v>
      </c>
      <c r="W7987">
        <v>1</v>
      </c>
      <c r="X7987">
        <v>2</v>
      </c>
      <c r="Y7987">
        <v>1</v>
      </c>
      <c r="Z7987">
        <v>3</v>
      </c>
      <c r="AA7987">
        <v>212.42</v>
      </c>
      <c r="AB7987">
        <v>212.42</v>
      </c>
      <c r="AC7987">
        <v>212.42</v>
      </c>
      <c r="AD7987">
        <v>0</v>
      </c>
      <c r="AE7987">
        <v>0</v>
      </c>
      <c r="AF7987">
        <v>0</v>
      </c>
      <c r="AG7987">
        <v>0</v>
      </c>
      <c r="AH7987">
        <v>0</v>
      </c>
      <c r="AI7987">
        <v>38.24</v>
      </c>
      <c r="AJ7987">
        <v>212.42</v>
      </c>
      <c r="AK7987">
        <v>0</v>
      </c>
      <c r="AL7987" t="s">
        <v>53</v>
      </c>
      <c r="AM7987" t="s">
        <v>53</v>
      </c>
      <c r="AN7987" t="s">
        <v>14964</v>
      </c>
      <c r="AO7987" t="s">
        <v>53</v>
      </c>
      <c r="AP7987" t="s">
        <v>53</v>
      </c>
    </row>
    <row r="7988" spans="2:42" x14ac:dyDescent="0.2">
      <c r="B7988" t="s">
        <v>44</v>
      </c>
      <c r="C7988" t="str">
        <f>HYPERLINK("https://us2.cloudbeds.com/connect/8493803454333002#/reservations/9080486848182051?display=4H0AYH5S6K&amp;reservation_id=9080486848182051", "4H0AYH5S6K")</f>
        <v>4H0AYH5S6K</v>
      </c>
      <c r="D7988" t="s">
        <v>45</v>
      </c>
      <c r="E7988" t="s">
        <v>190</v>
      </c>
      <c r="F7988" t="s">
        <v>61</v>
      </c>
      <c r="G7988" t="s">
        <v>48</v>
      </c>
      <c r="H7988" t="s">
        <v>49</v>
      </c>
      <c r="I7988" t="s">
        <v>62</v>
      </c>
      <c r="J7988" t="s">
        <v>9763</v>
      </c>
      <c r="K7988" t="s">
        <v>13612</v>
      </c>
      <c r="L7988" t="s">
        <v>53</v>
      </c>
      <c r="N7988" t="s">
        <v>14965</v>
      </c>
      <c r="P7988" t="s">
        <v>55</v>
      </c>
      <c r="R7988" t="s">
        <v>56</v>
      </c>
      <c r="T7988" t="s">
        <v>14966</v>
      </c>
      <c r="U7988" t="s">
        <v>55</v>
      </c>
      <c r="V7988">
        <v>1</v>
      </c>
      <c r="W7988">
        <v>1</v>
      </c>
      <c r="X7988">
        <v>2</v>
      </c>
      <c r="Y7988">
        <v>0</v>
      </c>
      <c r="Z7988">
        <v>2</v>
      </c>
      <c r="AA7988">
        <v>132.09</v>
      </c>
      <c r="AB7988">
        <v>132.09</v>
      </c>
      <c r="AC7988">
        <v>132.09</v>
      </c>
      <c r="AD7988">
        <v>0</v>
      </c>
      <c r="AE7988">
        <v>0</v>
      </c>
      <c r="AF7988">
        <v>0</v>
      </c>
      <c r="AG7988">
        <v>0</v>
      </c>
      <c r="AH7988">
        <v>0</v>
      </c>
      <c r="AI7988">
        <v>23.78</v>
      </c>
      <c r="AJ7988">
        <v>132.09</v>
      </c>
      <c r="AK7988">
        <v>0</v>
      </c>
      <c r="AL7988" t="s">
        <v>53</v>
      </c>
      <c r="AM7988" t="s">
        <v>53</v>
      </c>
      <c r="AN7988" t="s">
        <v>53</v>
      </c>
      <c r="AO7988" t="s">
        <v>53</v>
      </c>
      <c r="AP7988" t="s">
        <v>53</v>
      </c>
    </row>
    <row r="7989" spans="2:42" x14ac:dyDescent="0.2">
      <c r="B7989" t="s">
        <v>44</v>
      </c>
      <c r="C7989" t="str">
        <f>HYPERLINK("https://us2.cloudbeds.com/connect/8493803454333002#/reservations/9080486848182851?display=4H1885JCH5&amp;reservation_id=9080486848182851", "4H1885JCH5")</f>
        <v>4H1885JCH5</v>
      </c>
      <c r="D7989" t="s">
        <v>45</v>
      </c>
      <c r="E7989" t="s">
        <v>138</v>
      </c>
      <c r="F7989" t="s">
        <v>70</v>
      </c>
      <c r="G7989" t="s">
        <v>48</v>
      </c>
      <c r="H7989" t="s">
        <v>49</v>
      </c>
      <c r="I7989" t="s">
        <v>8964</v>
      </c>
      <c r="J7989" t="s">
        <v>14458</v>
      </c>
      <c r="K7989" t="s">
        <v>12808</v>
      </c>
      <c r="L7989" t="s">
        <v>53</v>
      </c>
      <c r="N7989" t="s">
        <v>14967</v>
      </c>
      <c r="P7989" t="s">
        <v>55</v>
      </c>
      <c r="R7989" t="s">
        <v>53</v>
      </c>
      <c r="T7989" t="s">
        <v>14968</v>
      </c>
      <c r="U7989" t="s">
        <v>55</v>
      </c>
      <c r="V7989">
        <v>1</v>
      </c>
      <c r="W7989">
        <v>1</v>
      </c>
      <c r="X7989">
        <v>2</v>
      </c>
      <c r="Y7989">
        <v>0</v>
      </c>
      <c r="Z7989">
        <v>2</v>
      </c>
      <c r="AA7989">
        <v>0</v>
      </c>
      <c r="AB7989">
        <v>0</v>
      </c>
      <c r="AC7989">
        <v>84</v>
      </c>
      <c r="AD7989">
        <v>0</v>
      </c>
      <c r="AE7989">
        <v>0</v>
      </c>
      <c r="AF7989">
        <v>0</v>
      </c>
      <c r="AG7989">
        <v>0</v>
      </c>
      <c r="AH7989">
        <v>0</v>
      </c>
      <c r="AI7989">
        <v>12.6</v>
      </c>
      <c r="AJ7989">
        <v>84</v>
      </c>
      <c r="AK7989">
        <v>84</v>
      </c>
      <c r="AL7989" t="s">
        <v>53</v>
      </c>
      <c r="AM7989" t="s">
        <v>53</v>
      </c>
      <c r="AN7989" t="s">
        <v>14969</v>
      </c>
      <c r="AO7989" t="s">
        <v>53</v>
      </c>
      <c r="AP7989" t="s">
        <v>53</v>
      </c>
    </row>
    <row r="7990" spans="2:42" x14ac:dyDescent="0.2">
      <c r="B7990" t="s">
        <v>44</v>
      </c>
      <c r="C7990" t="str">
        <f>HYPERLINK("https://us2.cloudbeds.com/connect/8493803454333002#/reservations/209730499346624?display=4H43WCBM9E&amp;reservation_id=209730499346624", "4H43WCBM9E")</f>
        <v>4H43WCBM9E</v>
      </c>
      <c r="D7990" t="s">
        <v>45</v>
      </c>
      <c r="E7990" t="s">
        <v>121</v>
      </c>
      <c r="F7990" t="s">
        <v>86</v>
      </c>
      <c r="G7990" t="s">
        <v>48</v>
      </c>
      <c r="H7990" t="s">
        <v>3957</v>
      </c>
      <c r="I7990" t="s">
        <v>3975</v>
      </c>
      <c r="J7990" t="s">
        <v>14970</v>
      </c>
      <c r="K7990" t="s">
        <v>14971</v>
      </c>
      <c r="L7990" t="s">
        <v>53</v>
      </c>
      <c r="P7990" t="s">
        <v>55</v>
      </c>
      <c r="R7990" t="s">
        <v>56</v>
      </c>
      <c r="T7990" t="s">
        <v>14972</v>
      </c>
      <c r="U7990" t="s">
        <v>58</v>
      </c>
      <c r="V7990">
        <v>1</v>
      </c>
      <c r="W7990">
        <v>1</v>
      </c>
      <c r="X7990">
        <v>2</v>
      </c>
      <c r="Y7990">
        <v>2</v>
      </c>
      <c r="Z7990">
        <v>4</v>
      </c>
      <c r="AA7990">
        <v>0</v>
      </c>
      <c r="AB7990">
        <v>357.71</v>
      </c>
      <c r="AC7990">
        <v>312</v>
      </c>
      <c r="AD7990">
        <v>0</v>
      </c>
      <c r="AE7990">
        <v>45.71</v>
      </c>
      <c r="AF7990">
        <v>0</v>
      </c>
      <c r="AG7990">
        <v>0</v>
      </c>
      <c r="AH7990">
        <v>0</v>
      </c>
      <c r="AI7990">
        <v>0</v>
      </c>
      <c r="AJ7990">
        <v>357.71</v>
      </c>
      <c r="AK7990">
        <v>0</v>
      </c>
      <c r="AL7990" t="s">
        <v>53</v>
      </c>
      <c r="AM7990" t="s">
        <v>53</v>
      </c>
      <c r="AN7990" t="s">
        <v>14973</v>
      </c>
      <c r="AO7990" t="s">
        <v>53</v>
      </c>
      <c r="AP7990" t="s">
        <v>53</v>
      </c>
    </row>
    <row r="7991" spans="2:42" x14ac:dyDescent="0.2">
      <c r="B7991" t="s">
        <v>44</v>
      </c>
      <c r="C7991" t="str">
        <f>HYPERLINK("https://us2.cloudbeds.com/connect/8493803454333002#/reservations/9080486848185541?display=4H44EEH82D&amp;reservation_id=9080486848185541", "4H44EEH82D")</f>
        <v>4H44EEH82D</v>
      </c>
      <c r="D7991" t="s">
        <v>45</v>
      </c>
      <c r="E7991" t="s">
        <v>110</v>
      </c>
      <c r="F7991" t="s">
        <v>47</v>
      </c>
      <c r="G7991" t="s">
        <v>48</v>
      </c>
      <c r="H7991" t="s">
        <v>49</v>
      </c>
      <c r="I7991" t="s">
        <v>62</v>
      </c>
      <c r="J7991" t="s">
        <v>14498</v>
      </c>
      <c r="K7991" t="s">
        <v>14348</v>
      </c>
      <c r="L7991" t="s">
        <v>53</v>
      </c>
      <c r="N7991" t="s">
        <v>14974</v>
      </c>
      <c r="P7991" t="s">
        <v>55</v>
      </c>
      <c r="R7991" t="s">
        <v>118</v>
      </c>
      <c r="T7991" t="s">
        <v>14975</v>
      </c>
      <c r="U7991" t="s">
        <v>55</v>
      </c>
      <c r="V7991">
        <v>1</v>
      </c>
      <c r="W7991">
        <v>1</v>
      </c>
      <c r="X7991">
        <v>2</v>
      </c>
      <c r="Y7991">
        <v>0</v>
      </c>
      <c r="Z7991">
        <v>2</v>
      </c>
      <c r="AA7991">
        <v>110.85</v>
      </c>
      <c r="AB7991">
        <v>110.85</v>
      </c>
      <c r="AC7991">
        <v>110.85</v>
      </c>
      <c r="AD7991">
        <v>0</v>
      </c>
      <c r="AE7991">
        <v>0</v>
      </c>
      <c r="AF7991">
        <v>0</v>
      </c>
      <c r="AG7991">
        <v>0</v>
      </c>
      <c r="AH7991">
        <v>0</v>
      </c>
      <c r="AI7991">
        <v>19.95</v>
      </c>
      <c r="AJ7991">
        <v>110.85</v>
      </c>
      <c r="AK7991">
        <v>0</v>
      </c>
      <c r="AL7991" t="s">
        <v>53</v>
      </c>
      <c r="AM7991" t="s">
        <v>53</v>
      </c>
      <c r="AN7991" t="s">
        <v>53</v>
      </c>
      <c r="AO7991" t="s">
        <v>53</v>
      </c>
      <c r="AP7991" t="s">
        <v>53</v>
      </c>
    </row>
    <row r="7992" spans="2:42" x14ac:dyDescent="0.2">
      <c r="B7992" t="s">
        <v>44</v>
      </c>
      <c r="C7992" t="str">
        <f>HYPERLINK("https://us2.cloudbeds.com/connect/8493803454333002#/reservations/9080486848185685?display=4H487PPSVB&amp;reservation_id=9080486848185685", "4H487PPSVB")</f>
        <v>4H487PPSVB</v>
      </c>
      <c r="D7992" t="s">
        <v>45</v>
      </c>
      <c r="E7992" t="s">
        <v>165</v>
      </c>
      <c r="F7992" t="s">
        <v>61</v>
      </c>
      <c r="G7992" t="s">
        <v>48</v>
      </c>
      <c r="H7992" t="s">
        <v>49</v>
      </c>
      <c r="I7992" t="s">
        <v>50</v>
      </c>
      <c r="J7992" t="s">
        <v>14154</v>
      </c>
      <c r="K7992" t="s">
        <v>14976</v>
      </c>
      <c r="L7992" t="s">
        <v>53</v>
      </c>
      <c r="N7992" t="s">
        <v>14977</v>
      </c>
      <c r="P7992" t="s">
        <v>55</v>
      </c>
      <c r="R7992" t="s">
        <v>53</v>
      </c>
      <c r="T7992" t="s">
        <v>14978</v>
      </c>
      <c r="U7992" t="s">
        <v>58</v>
      </c>
      <c r="V7992">
        <v>1</v>
      </c>
      <c r="W7992">
        <v>1</v>
      </c>
      <c r="X7992">
        <v>2</v>
      </c>
      <c r="Y7992">
        <v>0</v>
      </c>
      <c r="Z7992">
        <v>2</v>
      </c>
      <c r="AA7992">
        <v>177.02</v>
      </c>
      <c r="AB7992">
        <v>177.02</v>
      </c>
      <c r="AC7992">
        <v>154.4</v>
      </c>
      <c r="AD7992">
        <v>0</v>
      </c>
      <c r="AE7992">
        <v>22.62</v>
      </c>
      <c r="AF7992">
        <v>0</v>
      </c>
      <c r="AG7992">
        <v>0</v>
      </c>
      <c r="AH7992">
        <v>0</v>
      </c>
      <c r="AI7992">
        <v>31.86</v>
      </c>
      <c r="AJ7992">
        <v>177.02</v>
      </c>
      <c r="AK7992">
        <v>0</v>
      </c>
      <c r="AL7992" t="s">
        <v>53</v>
      </c>
      <c r="AM7992" t="s">
        <v>53</v>
      </c>
      <c r="AN7992" t="s">
        <v>53</v>
      </c>
      <c r="AO7992" t="s">
        <v>53</v>
      </c>
      <c r="AP7992" t="s">
        <v>53</v>
      </c>
    </row>
    <row r="7993" spans="2:42" x14ac:dyDescent="0.2">
      <c r="B7993" t="s">
        <v>44</v>
      </c>
      <c r="C7993" t="str">
        <f>HYPERLINK("https://us2.cloudbeds.com/connect/8493803454333002#/reservations/9080486848186177?display=4H4XRWMKRY&amp;reservation_id=9080486848186177", "4H4XRWMKRY")</f>
        <v>4H4XRWMKRY</v>
      </c>
      <c r="D7993" t="s">
        <v>45</v>
      </c>
      <c r="E7993" t="s">
        <v>381</v>
      </c>
      <c r="F7993" t="s">
        <v>47</v>
      </c>
      <c r="G7993" t="s">
        <v>48</v>
      </c>
      <c r="H7993" t="s">
        <v>49</v>
      </c>
      <c r="I7993" t="s">
        <v>50</v>
      </c>
      <c r="J7993" t="s">
        <v>14979</v>
      </c>
      <c r="K7993" t="s">
        <v>14344</v>
      </c>
      <c r="L7993" t="s">
        <v>53</v>
      </c>
      <c r="N7993" t="s">
        <v>14980</v>
      </c>
      <c r="P7993" t="s">
        <v>55</v>
      </c>
      <c r="R7993" t="s">
        <v>53</v>
      </c>
      <c r="T7993" t="s">
        <v>14981</v>
      </c>
      <c r="U7993" t="s">
        <v>58</v>
      </c>
      <c r="V7993">
        <v>5</v>
      </c>
      <c r="W7993">
        <v>1</v>
      </c>
      <c r="X7993">
        <v>2</v>
      </c>
      <c r="Y7993">
        <v>0</v>
      </c>
      <c r="Z7993">
        <v>2</v>
      </c>
      <c r="AA7993">
        <v>829.86</v>
      </c>
      <c r="AB7993">
        <v>829.86</v>
      </c>
      <c r="AC7993">
        <v>723.82</v>
      </c>
      <c r="AD7993">
        <v>0</v>
      </c>
      <c r="AE7993">
        <v>106.04</v>
      </c>
      <c r="AF7993">
        <v>0</v>
      </c>
      <c r="AG7993">
        <v>0</v>
      </c>
      <c r="AH7993">
        <v>0</v>
      </c>
      <c r="AI7993">
        <v>149.37</v>
      </c>
      <c r="AJ7993">
        <v>829.86</v>
      </c>
      <c r="AK7993">
        <v>0</v>
      </c>
      <c r="AL7993" t="s">
        <v>53</v>
      </c>
      <c r="AM7993" t="s">
        <v>53</v>
      </c>
      <c r="AN7993" t="s">
        <v>14982</v>
      </c>
      <c r="AO7993" t="s">
        <v>53</v>
      </c>
      <c r="AP7993" t="s">
        <v>53</v>
      </c>
    </row>
    <row r="7994" spans="2:42" x14ac:dyDescent="0.2">
      <c r="B7994" t="s">
        <v>44</v>
      </c>
      <c r="C7994" t="str">
        <f>HYPERLINK("https://us2.cloudbeds.com/connect/8493803454333002#/reservations/209766616084609?display=4H4VV7V51T&amp;reservation_id=209766616084609", "4H4VV7V51T")</f>
        <v>4H4VV7V51T</v>
      </c>
      <c r="D7994" t="s">
        <v>45</v>
      </c>
      <c r="E7994" t="s">
        <v>487</v>
      </c>
      <c r="F7994" t="s">
        <v>61</v>
      </c>
      <c r="G7994" t="s">
        <v>48</v>
      </c>
      <c r="H7994" t="s">
        <v>3957</v>
      </c>
      <c r="I7994" t="s">
        <v>3975</v>
      </c>
      <c r="J7994" t="s">
        <v>14443</v>
      </c>
      <c r="K7994" t="s">
        <v>13572</v>
      </c>
      <c r="L7994" t="s">
        <v>53</v>
      </c>
      <c r="P7994" t="s">
        <v>55</v>
      </c>
      <c r="R7994" t="s">
        <v>56</v>
      </c>
      <c r="T7994" t="s">
        <v>14983</v>
      </c>
      <c r="U7994" t="s">
        <v>58</v>
      </c>
      <c r="V7994">
        <v>1</v>
      </c>
      <c r="W7994">
        <v>1</v>
      </c>
      <c r="X7994">
        <v>2</v>
      </c>
      <c r="Y7994">
        <v>0</v>
      </c>
      <c r="Z7994">
        <v>2</v>
      </c>
      <c r="AA7994">
        <v>0</v>
      </c>
      <c r="AB7994">
        <v>114.65</v>
      </c>
      <c r="AC7994">
        <v>100</v>
      </c>
      <c r="AD7994">
        <v>0</v>
      </c>
      <c r="AE7994">
        <v>14.65</v>
      </c>
      <c r="AF7994">
        <v>0</v>
      </c>
      <c r="AG7994">
        <v>0</v>
      </c>
      <c r="AH7994">
        <v>0</v>
      </c>
      <c r="AI7994">
        <v>0</v>
      </c>
      <c r="AJ7994">
        <v>114.65</v>
      </c>
      <c r="AK7994">
        <v>0</v>
      </c>
      <c r="AL7994" t="s">
        <v>53</v>
      </c>
      <c r="AM7994" t="s">
        <v>53</v>
      </c>
      <c r="AN7994" t="s">
        <v>14984</v>
      </c>
      <c r="AO7994" t="s">
        <v>53</v>
      </c>
      <c r="AP7994" t="s">
        <v>53</v>
      </c>
    </row>
    <row r="7995" spans="2:42" x14ac:dyDescent="0.2">
      <c r="B7995" t="s">
        <v>44</v>
      </c>
      <c r="C7995" t="str">
        <f>HYPERLINK("https://us2.cloudbeds.com/connect/8493803454333002#/reservations/9080486848187768?display=4H5FFBFP3X&amp;reservation_id=9080486848187768", "4H5FFBFP3X")</f>
        <v>4H5FFBFP3X</v>
      </c>
      <c r="D7995" t="s">
        <v>45</v>
      </c>
      <c r="E7995" t="s">
        <v>113</v>
      </c>
      <c r="F7995" t="s">
        <v>61</v>
      </c>
      <c r="G7995" t="s">
        <v>48</v>
      </c>
      <c r="H7995" t="s">
        <v>49</v>
      </c>
      <c r="I7995" t="s">
        <v>50</v>
      </c>
      <c r="J7995" t="s">
        <v>13998</v>
      </c>
      <c r="K7995" t="s">
        <v>13959</v>
      </c>
      <c r="L7995" t="s">
        <v>53</v>
      </c>
      <c r="N7995" t="s">
        <v>14985</v>
      </c>
      <c r="P7995" t="s">
        <v>55</v>
      </c>
      <c r="R7995" t="s">
        <v>53</v>
      </c>
      <c r="T7995" t="s">
        <v>14986</v>
      </c>
      <c r="U7995" t="s">
        <v>58</v>
      </c>
      <c r="V7995">
        <v>3</v>
      </c>
      <c r="W7995">
        <v>1</v>
      </c>
      <c r="X7995">
        <v>2</v>
      </c>
      <c r="Y7995">
        <v>0</v>
      </c>
      <c r="Z7995">
        <v>2</v>
      </c>
      <c r="AA7995">
        <v>262.99</v>
      </c>
      <c r="AB7995">
        <v>262.99</v>
      </c>
      <c r="AC7995">
        <v>229.37</v>
      </c>
      <c r="AD7995">
        <v>0</v>
      </c>
      <c r="AE7995">
        <v>33.619999999999997</v>
      </c>
      <c r="AF7995">
        <v>0</v>
      </c>
      <c r="AG7995">
        <v>0</v>
      </c>
      <c r="AH7995">
        <v>0</v>
      </c>
      <c r="AI7995">
        <v>47.34</v>
      </c>
      <c r="AJ7995">
        <v>262.99</v>
      </c>
      <c r="AK7995">
        <v>0</v>
      </c>
      <c r="AL7995" t="s">
        <v>53</v>
      </c>
      <c r="AM7995" t="s">
        <v>53</v>
      </c>
      <c r="AN7995" t="s">
        <v>53</v>
      </c>
      <c r="AO7995" t="s">
        <v>53</v>
      </c>
      <c r="AP7995" t="s">
        <v>53</v>
      </c>
    </row>
    <row r="7996" spans="2:42" x14ac:dyDescent="0.2">
      <c r="B7996" t="s">
        <v>44</v>
      </c>
      <c r="C7996" t="str">
        <f>HYPERLINK("https://us2.cloudbeds.com/connect/8493803454333002#/reservations/9080486848187881?display=4H5X366RZX&amp;reservation_id=9080486848187881", "4H5X366RZX")</f>
        <v>4H5X366RZX</v>
      </c>
      <c r="D7996" t="s">
        <v>45</v>
      </c>
      <c r="E7996" t="s">
        <v>213</v>
      </c>
      <c r="F7996" t="s">
        <v>86</v>
      </c>
      <c r="G7996" t="s">
        <v>48</v>
      </c>
      <c r="H7996" t="s">
        <v>49</v>
      </c>
      <c r="I7996" t="s">
        <v>50</v>
      </c>
      <c r="J7996" t="s">
        <v>14206</v>
      </c>
      <c r="K7996" t="s">
        <v>13081</v>
      </c>
      <c r="L7996" t="s">
        <v>53</v>
      </c>
      <c r="N7996" t="s">
        <v>14987</v>
      </c>
      <c r="P7996" t="s">
        <v>55</v>
      </c>
      <c r="R7996" t="s">
        <v>53</v>
      </c>
      <c r="T7996" t="s">
        <v>14988</v>
      </c>
      <c r="U7996" t="s">
        <v>55</v>
      </c>
      <c r="V7996">
        <v>1</v>
      </c>
      <c r="W7996">
        <v>1</v>
      </c>
      <c r="X7996">
        <v>4</v>
      </c>
      <c r="Y7996">
        <v>0</v>
      </c>
      <c r="Z7996">
        <v>4</v>
      </c>
      <c r="AA7996">
        <v>155.72999999999999</v>
      </c>
      <c r="AB7996">
        <v>155.72999999999999</v>
      </c>
      <c r="AC7996">
        <v>143.19999999999999</v>
      </c>
      <c r="AD7996">
        <v>0</v>
      </c>
      <c r="AE7996">
        <v>12.53</v>
      </c>
      <c r="AF7996">
        <v>0</v>
      </c>
      <c r="AG7996">
        <v>0</v>
      </c>
      <c r="AH7996">
        <v>0</v>
      </c>
      <c r="AI7996">
        <v>28.03</v>
      </c>
      <c r="AJ7996">
        <v>155.72999999999999</v>
      </c>
      <c r="AK7996">
        <v>0</v>
      </c>
      <c r="AL7996" t="s">
        <v>53</v>
      </c>
      <c r="AM7996" t="s">
        <v>53</v>
      </c>
      <c r="AN7996" t="s">
        <v>53</v>
      </c>
      <c r="AO7996" t="s">
        <v>53</v>
      </c>
      <c r="AP7996" t="s">
        <v>53</v>
      </c>
    </row>
    <row r="7997" spans="2:42" x14ac:dyDescent="0.2">
      <c r="B7997" t="s">
        <v>44</v>
      </c>
      <c r="C7997" t="str">
        <f>HYPERLINK("https://us2.cloudbeds.com/connect/8493803454333002#/reservations/9080486848188094?display=4H5M7ETB7C&amp;reservation_id=9080486848188094", "4H5M7ETB7C")</f>
        <v>4H5M7ETB7C</v>
      </c>
      <c r="D7997" t="s">
        <v>45</v>
      </c>
      <c r="E7997" t="s">
        <v>190</v>
      </c>
      <c r="F7997" t="s">
        <v>61</v>
      </c>
      <c r="G7997" t="s">
        <v>48</v>
      </c>
      <c r="H7997" t="s">
        <v>49</v>
      </c>
      <c r="I7997" t="s">
        <v>50</v>
      </c>
      <c r="J7997" t="s">
        <v>13587</v>
      </c>
      <c r="K7997" t="s">
        <v>14800</v>
      </c>
      <c r="L7997" t="s">
        <v>53</v>
      </c>
      <c r="N7997" t="s">
        <v>14989</v>
      </c>
      <c r="P7997" t="s">
        <v>55</v>
      </c>
      <c r="R7997" t="s">
        <v>53</v>
      </c>
      <c r="T7997" t="s">
        <v>14990</v>
      </c>
      <c r="U7997" t="s">
        <v>55</v>
      </c>
      <c r="V7997">
        <v>3</v>
      </c>
      <c r="W7997">
        <v>1</v>
      </c>
      <c r="X7997">
        <v>1</v>
      </c>
      <c r="Y7997">
        <v>0</v>
      </c>
      <c r="Z7997">
        <v>1</v>
      </c>
      <c r="AA7997">
        <v>213.12</v>
      </c>
      <c r="AB7997">
        <v>213.12</v>
      </c>
      <c r="AC7997">
        <v>195.97</v>
      </c>
      <c r="AD7997">
        <v>0</v>
      </c>
      <c r="AE7997">
        <v>17.149999999999999</v>
      </c>
      <c r="AF7997">
        <v>0</v>
      </c>
      <c r="AG7997">
        <v>0</v>
      </c>
      <c r="AH7997">
        <v>0</v>
      </c>
      <c r="AI7997">
        <v>38.36</v>
      </c>
      <c r="AJ7997">
        <v>213.12</v>
      </c>
      <c r="AK7997">
        <v>0</v>
      </c>
      <c r="AL7997" t="s">
        <v>53</v>
      </c>
      <c r="AM7997" t="s">
        <v>53</v>
      </c>
      <c r="AN7997" t="s">
        <v>14991</v>
      </c>
      <c r="AO7997" t="s">
        <v>53</v>
      </c>
      <c r="AP7997" t="s">
        <v>53</v>
      </c>
    </row>
    <row r="7998" spans="2:42" x14ac:dyDescent="0.2">
      <c r="B7998" t="s">
        <v>44</v>
      </c>
      <c r="C7998" t="str">
        <f>HYPERLINK("https://us2.cloudbeds.com/connect/8493803454333002#/reservations/209801687527552?display=4H5Q3D3H9V&amp;reservation_id=209801687527552", "4H5Q3D3H9V")</f>
        <v>4H5Q3D3H9V</v>
      </c>
      <c r="D7998" t="s">
        <v>45</v>
      </c>
      <c r="E7998" t="s">
        <v>69</v>
      </c>
      <c r="F7998" t="s">
        <v>70</v>
      </c>
      <c r="G7998" t="s">
        <v>48</v>
      </c>
      <c r="H7998" t="s">
        <v>3957</v>
      </c>
      <c r="I7998" t="s">
        <v>3975</v>
      </c>
      <c r="J7998" t="s">
        <v>12807</v>
      </c>
      <c r="K7998" t="s">
        <v>12808</v>
      </c>
      <c r="L7998" t="s">
        <v>53</v>
      </c>
      <c r="P7998" t="s">
        <v>55</v>
      </c>
      <c r="R7998" t="s">
        <v>56</v>
      </c>
      <c r="T7998" t="s">
        <v>14992</v>
      </c>
      <c r="U7998" t="s">
        <v>58</v>
      </c>
      <c r="V7998">
        <v>2</v>
      </c>
      <c r="W7998">
        <v>1</v>
      </c>
      <c r="X7998">
        <v>2</v>
      </c>
      <c r="Y7998">
        <v>0</v>
      </c>
      <c r="Z7998">
        <v>2</v>
      </c>
      <c r="AA7998">
        <v>172</v>
      </c>
      <c r="AB7998">
        <v>172</v>
      </c>
      <c r="AC7998">
        <v>150</v>
      </c>
      <c r="AD7998">
        <v>0</v>
      </c>
      <c r="AE7998">
        <v>22</v>
      </c>
      <c r="AF7998">
        <v>0</v>
      </c>
      <c r="AG7998">
        <v>0</v>
      </c>
      <c r="AH7998">
        <v>0</v>
      </c>
      <c r="AI7998">
        <v>0</v>
      </c>
      <c r="AJ7998">
        <v>172</v>
      </c>
      <c r="AK7998">
        <v>0</v>
      </c>
      <c r="AL7998" t="s">
        <v>53</v>
      </c>
      <c r="AM7998" t="s">
        <v>53</v>
      </c>
      <c r="AN7998" t="s">
        <v>53</v>
      </c>
      <c r="AO7998" t="s">
        <v>53</v>
      </c>
      <c r="AP7998" t="s">
        <v>53</v>
      </c>
    </row>
    <row r="7999" spans="2:42" x14ac:dyDescent="0.2">
      <c r="B7999" t="s">
        <v>44</v>
      </c>
      <c r="C7999" t="str">
        <f>HYPERLINK("https://us2.cloudbeds.com/connect/8493803454333002#/reservations/209816619696256?display=4H64YVAFJ1&amp;reservation_id=209816619696256", "4H64YVAFJ1")</f>
        <v>4H64YVAFJ1</v>
      </c>
      <c r="D7999" t="s">
        <v>45</v>
      </c>
      <c r="E7999" t="s">
        <v>105</v>
      </c>
      <c r="F7999" t="s">
        <v>47</v>
      </c>
      <c r="G7999" t="s">
        <v>48</v>
      </c>
      <c r="H7999" t="s">
        <v>3957</v>
      </c>
      <c r="I7999" t="s">
        <v>3975</v>
      </c>
      <c r="J7999" t="s">
        <v>14443</v>
      </c>
      <c r="K7999" t="s">
        <v>13572</v>
      </c>
      <c r="L7999" t="s">
        <v>53</v>
      </c>
      <c r="P7999" t="s">
        <v>55</v>
      </c>
      <c r="R7999" t="s">
        <v>56</v>
      </c>
      <c r="T7999" t="s">
        <v>14993</v>
      </c>
      <c r="U7999" t="s">
        <v>58</v>
      </c>
      <c r="V7999">
        <v>1</v>
      </c>
      <c r="W7999">
        <v>1</v>
      </c>
      <c r="X7999">
        <v>2</v>
      </c>
      <c r="Y7999">
        <v>0</v>
      </c>
      <c r="Z7999">
        <v>2</v>
      </c>
      <c r="AA7999">
        <v>0</v>
      </c>
      <c r="AB7999">
        <v>91.72</v>
      </c>
      <c r="AC7999">
        <v>80</v>
      </c>
      <c r="AD7999">
        <v>0</v>
      </c>
      <c r="AE7999">
        <v>11.72</v>
      </c>
      <c r="AF7999">
        <v>0</v>
      </c>
      <c r="AG7999">
        <v>0</v>
      </c>
      <c r="AH7999">
        <v>0</v>
      </c>
      <c r="AI7999">
        <v>0</v>
      </c>
      <c r="AJ7999">
        <v>91.72</v>
      </c>
      <c r="AK7999">
        <v>0</v>
      </c>
      <c r="AL7999" t="s">
        <v>53</v>
      </c>
      <c r="AM7999" t="s">
        <v>53</v>
      </c>
      <c r="AN7999" t="s">
        <v>14994</v>
      </c>
      <c r="AO7999" t="s">
        <v>53</v>
      </c>
      <c r="AP7999" t="s">
        <v>53</v>
      </c>
    </row>
    <row r="8000" spans="2:42" x14ac:dyDescent="0.2">
      <c r="B8000" t="s">
        <v>44</v>
      </c>
      <c r="C8000" t="str">
        <f>HYPERLINK("https://us2.cloudbeds.com/connect/8493803454333002#/reservations/209832591290496?display=4H6H11W9BU&amp;reservation_id=209832591290496", "4H6H11W9BU")</f>
        <v>4H6H11W9BU</v>
      </c>
      <c r="D8000" t="s">
        <v>45</v>
      </c>
      <c r="E8000" t="s">
        <v>105</v>
      </c>
      <c r="F8000" t="s">
        <v>47</v>
      </c>
      <c r="G8000" t="s">
        <v>48</v>
      </c>
      <c r="H8000" t="s">
        <v>3957</v>
      </c>
      <c r="I8000" t="s">
        <v>3975</v>
      </c>
      <c r="J8000" t="s">
        <v>12807</v>
      </c>
      <c r="K8000" t="s">
        <v>14119</v>
      </c>
      <c r="L8000" t="s">
        <v>53</v>
      </c>
      <c r="P8000" t="s">
        <v>55</v>
      </c>
      <c r="R8000" t="s">
        <v>56</v>
      </c>
      <c r="T8000" t="s">
        <v>14995</v>
      </c>
      <c r="U8000" t="s">
        <v>58</v>
      </c>
      <c r="V8000">
        <v>3</v>
      </c>
      <c r="W8000">
        <v>1</v>
      </c>
      <c r="X8000">
        <v>1</v>
      </c>
      <c r="Y8000">
        <v>0</v>
      </c>
      <c r="Z8000">
        <v>1</v>
      </c>
      <c r="AA8000">
        <v>275.16000000000003</v>
      </c>
      <c r="AB8000">
        <v>275.16000000000003</v>
      </c>
      <c r="AC8000">
        <v>240</v>
      </c>
      <c r="AD8000">
        <v>0</v>
      </c>
      <c r="AE8000">
        <v>35.159999999999997</v>
      </c>
      <c r="AF8000">
        <v>0</v>
      </c>
      <c r="AG8000">
        <v>0</v>
      </c>
      <c r="AH8000">
        <v>0</v>
      </c>
      <c r="AI8000">
        <v>0</v>
      </c>
      <c r="AJ8000">
        <v>275.16000000000003</v>
      </c>
      <c r="AK8000">
        <v>0</v>
      </c>
      <c r="AL8000" t="s">
        <v>53</v>
      </c>
      <c r="AM8000" t="s">
        <v>53</v>
      </c>
      <c r="AN8000" t="s">
        <v>53</v>
      </c>
      <c r="AO8000" t="s">
        <v>53</v>
      </c>
      <c r="AP8000" t="s">
        <v>53</v>
      </c>
    </row>
    <row r="8001" spans="2:42" x14ac:dyDescent="0.2">
      <c r="B8001" t="s">
        <v>44</v>
      </c>
      <c r="C8001" t="str">
        <f>HYPERLINK("https://us2.cloudbeds.com/connect/8493803454333002#/reservations/9080486848189611?display=4H6HERSHR3&amp;reservation_id=9080486848189611", "4H6HERSHR3")</f>
        <v>4H6HERSHR3</v>
      </c>
      <c r="D8001" t="s">
        <v>45</v>
      </c>
      <c r="E8001" t="s">
        <v>165</v>
      </c>
      <c r="F8001" t="s">
        <v>61</v>
      </c>
      <c r="G8001" t="s">
        <v>48</v>
      </c>
      <c r="H8001" t="s">
        <v>49</v>
      </c>
      <c r="I8001" t="s">
        <v>62</v>
      </c>
      <c r="J8001" t="s">
        <v>13037</v>
      </c>
      <c r="K8001" t="s">
        <v>13038</v>
      </c>
      <c r="L8001" t="s">
        <v>53</v>
      </c>
      <c r="N8001" t="s">
        <v>14996</v>
      </c>
      <c r="P8001" t="s">
        <v>55</v>
      </c>
      <c r="R8001" t="s">
        <v>56</v>
      </c>
      <c r="T8001" t="s">
        <v>14997</v>
      </c>
      <c r="U8001" t="s">
        <v>55</v>
      </c>
      <c r="V8001">
        <v>2</v>
      </c>
      <c r="W8001">
        <v>1</v>
      </c>
      <c r="X8001">
        <v>1</v>
      </c>
      <c r="Y8001">
        <v>1</v>
      </c>
      <c r="Z8001">
        <v>2</v>
      </c>
      <c r="AA8001">
        <v>178.32</v>
      </c>
      <c r="AB8001">
        <v>178.32</v>
      </c>
      <c r="AC8001">
        <v>178.32</v>
      </c>
      <c r="AD8001">
        <v>0</v>
      </c>
      <c r="AE8001">
        <v>0</v>
      </c>
      <c r="AF8001">
        <v>0</v>
      </c>
      <c r="AG8001">
        <v>0</v>
      </c>
      <c r="AH8001">
        <v>0</v>
      </c>
      <c r="AI8001">
        <v>32.1</v>
      </c>
      <c r="AJ8001">
        <v>178.32</v>
      </c>
      <c r="AK8001">
        <v>0</v>
      </c>
      <c r="AL8001" t="s">
        <v>53</v>
      </c>
      <c r="AM8001" t="s">
        <v>53</v>
      </c>
      <c r="AN8001" t="s">
        <v>53</v>
      </c>
      <c r="AO8001" t="s">
        <v>53</v>
      </c>
      <c r="AP8001" t="s">
        <v>53</v>
      </c>
    </row>
    <row r="8002" spans="2:42" x14ac:dyDescent="0.2">
      <c r="B8002" t="s">
        <v>44</v>
      </c>
      <c r="C8002" t="str">
        <f>HYPERLINK("https://us2.cloudbeds.com/connect/8493803454333002#/reservations/9080486848189679?display=4H6XRQXJK5&amp;reservation_id=9080486848189679", "4H6XRQXJK5")</f>
        <v>4H6XRQXJK5</v>
      </c>
      <c r="D8002" t="s">
        <v>45</v>
      </c>
      <c r="E8002" t="s">
        <v>113</v>
      </c>
      <c r="F8002" t="s">
        <v>61</v>
      </c>
      <c r="G8002" t="s">
        <v>48</v>
      </c>
      <c r="H8002" t="s">
        <v>49</v>
      </c>
      <c r="I8002" t="s">
        <v>62</v>
      </c>
      <c r="J8002" t="s">
        <v>13037</v>
      </c>
      <c r="K8002" t="s">
        <v>13038</v>
      </c>
      <c r="L8002" t="s">
        <v>53</v>
      </c>
      <c r="N8002" t="s">
        <v>14998</v>
      </c>
      <c r="P8002" t="s">
        <v>55</v>
      </c>
      <c r="R8002" t="s">
        <v>56</v>
      </c>
      <c r="T8002" t="s">
        <v>14999</v>
      </c>
      <c r="U8002" t="s">
        <v>55</v>
      </c>
      <c r="V8002">
        <v>2</v>
      </c>
      <c r="W8002">
        <v>1</v>
      </c>
      <c r="X8002">
        <v>2</v>
      </c>
      <c r="Y8002">
        <v>0</v>
      </c>
      <c r="Z8002">
        <v>2</v>
      </c>
      <c r="AA8002">
        <v>169.41</v>
      </c>
      <c r="AB8002">
        <v>169.41</v>
      </c>
      <c r="AC8002">
        <v>169.41</v>
      </c>
      <c r="AD8002">
        <v>0</v>
      </c>
      <c r="AE8002">
        <v>0</v>
      </c>
      <c r="AF8002">
        <v>0</v>
      </c>
      <c r="AG8002">
        <v>0</v>
      </c>
      <c r="AH8002">
        <v>0</v>
      </c>
      <c r="AI8002">
        <v>30.49</v>
      </c>
      <c r="AJ8002">
        <v>169.41</v>
      </c>
      <c r="AK8002">
        <v>0</v>
      </c>
      <c r="AL8002" t="s">
        <v>53</v>
      </c>
      <c r="AM8002" t="s">
        <v>53</v>
      </c>
      <c r="AN8002" t="s">
        <v>53</v>
      </c>
      <c r="AO8002" t="s">
        <v>53</v>
      </c>
      <c r="AP8002" t="s">
        <v>53</v>
      </c>
    </row>
    <row r="8003" spans="2:42" x14ac:dyDescent="0.2">
      <c r="B8003" t="s">
        <v>44</v>
      </c>
      <c r="C8003" t="str">
        <f>HYPERLINK("https://us2.cloudbeds.com/connect/8493803454333002#/reservations/9080486848189940?display=4H6NW4GYNE&amp;reservation_id=9080486848189940", "4H6NW4GYNE")</f>
        <v>4H6NW4GYNE</v>
      </c>
      <c r="D8003" t="s">
        <v>45</v>
      </c>
      <c r="E8003" t="s">
        <v>213</v>
      </c>
      <c r="F8003" t="s">
        <v>86</v>
      </c>
      <c r="G8003" t="s">
        <v>48</v>
      </c>
      <c r="H8003" t="s">
        <v>49</v>
      </c>
      <c r="I8003" t="s">
        <v>50</v>
      </c>
      <c r="J8003" t="s">
        <v>13587</v>
      </c>
      <c r="K8003" t="s">
        <v>13572</v>
      </c>
      <c r="L8003" t="s">
        <v>53</v>
      </c>
      <c r="N8003" t="s">
        <v>15000</v>
      </c>
      <c r="P8003" t="s">
        <v>55</v>
      </c>
      <c r="R8003" t="s">
        <v>53</v>
      </c>
      <c r="T8003" t="s">
        <v>15001</v>
      </c>
      <c r="U8003" t="s">
        <v>55</v>
      </c>
      <c r="V8003">
        <v>2</v>
      </c>
      <c r="W8003">
        <v>1</v>
      </c>
      <c r="X8003">
        <v>2</v>
      </c>
      <c r="Y8003">
        <v>1</v>
      </c>
      <c r="Z8003">
        <v>3</v>
      </c>
      <c r="AA8003">
        <v>180.51</v>
      </c>
      <c r="AB8003">
        <v>180.51</v>
      </c>
      <c r="AC8003">
        <v>165.99</v>
      </c>
      <c r="AD8003">
        <v>0</v>
      </c>
      <c r="AE8003">
        <v>14.52</v>
      </c>
      <c r="AF8003">
        <v>0</v>
      </c>
      <c r="AG8003">
        <v>0</v>
      </c>
      <c r="AH8003">
        <v>0</v>
      </c>
      <c r="AI8003">
        <v>32.49</v>
      </c>
      <c r="AJ8003">
        <v>180.51</v>
      </c>
      <c r="AK8003">
        <v>0</v>
      </c>
      <c r="AL8003" t="s">
        <v>53</v>
      </c>
      <c r="AM8003" t="s">
        <v>53</v>
      </c>
      <c r="AN8003" t="s">
        <v>15002</v>
      </c>
      <c r="AO8003" t="s">
        <v>53</v>
      </c>
      <c r="AP8003" t="s">
        <v>53</v>
      </c>
    </row>
    <row r="8004" spans="2:42" x14ac:dyDescent="0.2">
      <c r="B8004" t="s">
        <v>44</v>
      </c>
      <c r="C8004" t="str">
        <f>HYPERLINK("https://us2.cloudbeds.com/connect/8493803454333002#/reservations/9080486848190439?display=4H70N2PE40&amp;reservation_id=9080486848190439", "4H70N2PE40")</f>
        <v>4H70N2PE40</v>
      </c>
      <c r="D8004" t="s">
        <v>45</v>
      </c>
      <c r="E8004" t="s">
        <v>128</v>
      </c>
      <c r="F8004" t="s">
        <v>86</v>
      </c>
      <c r="G8004" t="s">
        <v>48</v>
      </c>
      <c r="H8004" t="s">
        <v>49</v>
      </c>
      <c r="I8004" t="s">
        <v>62</v>
      </c>
      <c r="J8004" t="s">
        <v>14119</v>
      </c>
      <c r="K8004" t="s">
        <v>13985</v>
      </c>
      <c r="L8004" t="s">
        <v>53</v>
      </c>
      <c r="N8004" t="s">
        <v>15003</v>
      </c>
      <c r="P8004" t="s">
        <v>55</v>
      </c>
      <c r="R8004" t="s">
        <v>15004</v>
      </c>
      <c r="T8004" t="s">
        <v>15005</v>
      </c>
      <c r="U8004" t="s">
        <v>55</v>
      </c>
      <c r="V8004">
        <v>1</v>
      </c>
      <c r="W8004">
        <v>1</v>
      </c>
      <c r="X8004">
        <v>3</v>
      </c>
      <c r="Y8004">
        <v>0</v>
      </c>
      <c r="Z8004">
        <v>3</v>
      </c>
      <c r="AA8004">
        <v>83.9</v>
      </c>
      <c r="AB8004">
        <v>83.9</v>
      </c>
      <c r="AC8004">
        <v>83.9</v>
      </c>
      <c r="AD8004">
        <v>0</v>
      </c>
      <c r="AE8004">
        <v>0</v>
      </c>
      <c r="AF8004">
        <v>0</v>
      </c>
      <c r="AG8004">
        <v>0</v>
      </c>
      <c r="AH8004">
        <v>0</v>
      </c>
      <c r="AI8004">
        <v>15.1</v>
      </c>
      <c r="AJ8004">
        <v>83.9</v>
      </c>
      <c r="AK8004">
        <v>0</v>
      </c>
      <c r="AL8004" t="s">
        <v>53</v>
      </c>
      <c r="AM8004" t="s">
        <v>53</v>
      </c>
      <c r="AN8004" t="s">
        <v>15006</v>
      </c>
      <c r="AO8004" t="s">
        <v>53</v>
      </c>
      <c r="AP8004" t="s">
        <v>53</v>
      </c>
    </row>
    <row r="8005" spans="2:42" x14ac:dyDescent="0.2">
      <c r="B8005" t="s">
        <v>44</v>
      </c>
      <c r="C8005" t="str">
        <f>HYPERLINK("https://us2.cloudbeds.com/connect/8493803454333002#/reservations/209866084393152?display=4H79VT806H&amp;reservation_id=209866084393152", "4H79VT806H")</f>
        <v>4H79VT806H</v>
      </c>
      <c r="D8005" t="s">
        <v>45</v>
      </c>
      <c r="E8005" t="s">
        <v>185</v>
      </c>
      <c r="F8005" t="s">
        <v>47</v>
      </c>
      <c r="G8005" t="s">
        <v>48</v>
      </c>
      <c r="H8005" t="s">
        <v>3957</v>
      </c>
      <c r="I8005" t="s">
        <v>3975</v>
      </c>
      <c r="J8005" t="s">
        <v>12807</v>
      </c>
      <c r="K8005" t="s">
        <v>14458</v>
      </c>
      <c r="L8005" t="s">
        <v>53</v>
      </c>
      <c r="P8005" t="s">
        <v>55</v>
      </c>
      <c r="R8005" t="s">
        <v>56</v>
      </c>
      <c r="T8005" t="s">
        <v>15007</v>
      </c>
      <c r="U8005" t="s">
        <v>58</v>
      </c>
      <c r="V8005">
        <v>1</v>
      </c>
      <c r="W8005">
        <v>1</v>
      </c>
      <c r="X8005">
        <v>1</v>
      </c>
      <c r="Y8005">
        <v>0</v>
      </c>
      <c r="Z8005">
        <v>1</v>
      </c>
      <c r="AA8005">
        <v>91.72</v>
      </c>
      <c r="AB8005">
        <v>91.72</v>
      </c>
      <c r="AC8005">
        <v>80</v>
      </c>
      <c r="AD8005">
        <v>0</v>
      </c>
      <c r="AE8005">
        <v>11.72</v>
      </c>
      <c r="AF8005">
        <v>0</v>
      </c>
      <c r="AG8005">
        <v>0</v>
      </c>
      <c r="AH8005">
        <v>0</v>
      </c>
      <c r="AI8005">
        <v>0</v>
      </c>
      <c r="AJ8005">
        <v>91.72</v>
      </c>
      <c r="AK8005">
        <v>0</v>
      </c>
      <c r="AL8005" t="s">
        <v>53</v>
      </c>
      <c r="AM8005" t="s">
        <v>53</v>
      </c>
      <c r="AN8005" t="s">
        <v>53</v>
      </c>
      <c r="AO8005" t="s">
        <v>53</v>
      </c>
      <c r="AP8005" t="s">
        <v>53</v>
      </c>
    </row>
    <row r="8006" spans="2:42" x14ac:dyDescent="0.2">
      <c r="B8006" t="s">
        <v>44</v>
      </c>
      <c r="C8006" t="str">
        <f>HYPERLINK("https://us2.cloudbeds.com/connect/8493803454333002#/reservations/209868096434368?display=4H7BH9S4CJ&amp;reservation_id=209868096434368", "4H7BH9S4CJ")</f>
        <v>4H7BH9S4CJ</v>
      </c>
      <c r="D8006" t="s">
        <v>45</v>
      </c>
      <c r="E8006" t="s">
        <v>185</v>
      </c>
      <c r="F8006" t="s">
        <v>47</v>
      </c>
      <c r="G8006" t="s">
        <v>48</v>
      </c>
      <c r="H8006" t="s">
        <v>3957</v>
      </c>
      <c r="I8006" t="s">
        <v>3975</v>
      </c>
      <c r="J8006" t="s">
        <v>14458</v>
      </c>
      <c r="K8006" t="s">
        <v>14119</v>
      </c>
      <c r="L8006" t="s">
        <v>53</v>
      </c>
      <c r="P8006" t="s">
        <v>55</v>
      </c>
      <c r="R8006" t="s">
        <v>56</v>
      </c>
      <c r="T8006" t="s">
        <v>15008</v>
      </c>
      <c r="U8006" t="s">
        <v>58</v>
      </c>
      <c r="V8006">
        <v>2</v>
      </c>
      <c r="W8006">
        <v>1</v>
      </c>
      <c r="X8006">
        <v>1</v>
      </c>
      <c r="Y8006">
        <v>0</v>
      </c>
      <c r="Z8006">
        <v>1</v>
      </c>
      <c r="AA8006">
        <v>183.44</v>
      </c>
      <c r="AB8006">
        <v>183.44</v>
      </c>
      <c r="AC8006">
        <v>160</v>
      </c>
      <c r="AD8006">
        <v>0</v>
      </c>
      <c r="AE8006">
        <v>23.44</v>
      </c>
      <c r="AF8006">
        <v>0</v>
      </c>
      <c r="AG8006">
        <v>0</v>
      </c>
      <c r="AH8006">
        <v>0</v>
      </c>
      <c r="AI8006">
        <v>0</v>
      </c>
      <c r="AJ8006">
        <v>183.44</v>
      </c>
      <c r="AK8006">
        <v>0</v>
      </c>
      <c r="AL8006" t="s">
        <v>53</v>
      </c>
      <c r="AM8006" t="s">
        <v>53</v>
      </c>
      <c r="AN8006" t="s">
        <v>53</v>
      </c>
      <c r="AO8006" t="s">
        <v>53</v>
      </c>
      <c r="AP8006" t="s">
        <v>53</v>
      </c>
    </row>
    <row r="8007" spans="2:42" x14ac:dyDescent="0.2">
      <c r="B8007" t="s">
        <v>44</v>
      </c>
      <c r="C8007" t="str">
        <f>HYPERLINK("https://us2.cloudbeds.com/connect/8493803454333002#/reservations/9080486848190973?display=4H7DVUB3QX&amp;reservation_id=9080486848190973", "4H7DVUB3QX")</f>
        <v>4H7DVUB3QX</v>
      </c>
      <c r="D8007" t="s">
        <v>45</v>
      </c>
      <c r="E8007" t="s">
        <v>69</v>
      </c>
      <c r="F8007" t="s">
        <v>70</v>
      </c>
      <c r="G8007" t="s">
        <v>48</v>
      </c>
      <c r="H8007" t="s">
        <v>49</v>
      </c>
      <c r="I8007" t="s">
        <v>50</v>
      </c>
      <c r="J8007" t="s">
        <v>13680</v>
      </c>
      <c r="K8007" t="s">
        <v>13960</v>
      </c>
      <c r="L8007" t="s">
        <v>53</v>
      </c>
      <c r="N8007" t="s">
        <v>15009</v>
      </c>
      <c r="P8007" t="s">
        <v>55</v>
      </c>
      <c r="R8007" t="s">
        <v>53</v>
      </c>
      <c r="T8007" t="s">
        <v>15010</v>
      </c>
      <c r="U8007" t="s">
        <v>55</v>
      </c>
      <c r="V8007">
        <v>7</v>
      </c>
      <c r="W8007">
        <v>1</v>
      </c>
      <c r="X8007">
        <v>2</v>
      </c>
      <c r="Y8007">
        <v>0</v>
      </c>
      <c r="Z8007">
        <v>2</v>
      </c>
      <c r="AA8007">
        <v>369.34</v>
      </c>
      <c r="AB8007">
        <v>369.34</v>
      </c>
      <c r="AC8007">
        <v>339.61</v>
      </c>
      <c r="AD8007">
        <v>0</v>
      </c>
      <c r="AE8007">
        <v>29.73</v>
      </c>
      <c r="AF8007">
        <v>0</v>
      </c>
      <c r="AG8007">
        <v>0</v>
      </c>
      <c r="AH8007">
        <v>0</v>
      </c>
      <c r="AI8007">
        <v>66.48</v>
      </c>
      <c r="AJ8007">
        <v>369.34</v>
      </c>
      <c r="AK8007">
        <v>0</v>
      </c>
      <c r="AL8007" t="s">
        <v>53</v>
      </c>
      <c r="AM8007" t="s">
        <v>53</v>
      </c>
      <c r="AN8007" t="s">
        <v>53</v>
      </c>
      <c r="AO8007" t="s">
        <v>53</v>
      </c>
      <c r="AP8007" t="s">
        <v>53</v>
      </c>
    </row>
    <row r="8008" spans="2:42" x14ac:dyDescent="0.2">
      <c r="B8008" t="s">
        <v>44</v>
      </c>
      <c r="C8008" t="str">
        <f>HYPERLINK("https://us2.cloudbeds.com/connect/8493803454333002#/reservations/9080486848191325?display=4H7N035YKS&amp;reservation_id=9080486848191325", "4H7N035YKS")</f>
        <v>4H7N035YKS</v>
      </c>
      <c r="D8008" t="s">
        <v>45</v>
      </c>
      <c r="E8008" t="s">
        <v>98</v>
      </c>
      <c r="F8008" t="s">
        <v>86</v>
      </c>
      <c r="G8008" t="s">
        <v>48</v>
      </c>
      <c r="H8008" t="s">
        <v>49</v>
      </c>
      <c r="I8008" t="s">
        <v>62</v>
      </c>
      <c r="J8008" t="s">
        <v>9763</v>
      </c>
      <c r="K8008" t="s">
        <v>10598</v>
      </c>
      <c r="L8008" t="s">
        <v>53</v>
      </c>
      <c r="N8008" t="s">
        <v>15011</v>
      </c>
      <c r="P8008" t="s">
        <v>55</v>
      </c>
      <c r="R8008" t="s">
        <v>56</v>
      </c>
      <c r="T8008" t="s">
        <v>15012</v>
      </c>
      <c r="U8008" t="s">
        <v>55</v>
      </c>
      <c r="V8008">
        <v>2</v>
      </c>
      <c r="W8008">
        <v>1</v>
      </c>
      <c r="X8008">
        <v>2</v>
      </c>
      <c r="Y8008">
        <v>0</v>
      </c>
      <c r="Z8008">
        <v>2</v>
      </c>
      <c r="AA8008">
        <v>256.39</v>
      </c>
      <c r="AB8008">
        <v>256.39</v>
      </c>
      <c r="AC8008">
        <v>256.39</v>
      </c>
      <c r="AD8008">
        <v>0</v>
      </c>
      <c r="AE8008">
        <v>0</v>
      </c>
      <c r="AF8008">
        <v>0</v>
      </c>
      <c r="AG8008">
        <v>0</v>
      </c>
      <c r="AH8008">
        <v>0</v>
      </c>
      <c r="AI8008">
        <v>46.15</v>
      </c>
      <c r="AJ8008">
        <v>256.39</v>
      </c>
      <c r="AK8008">
        <v>0</v>
      </c>
      <c r="AL8008" t="s">
        <v>53</v>
      </c>
      <c r="AM8008" t="s">
        <v>53</v>
      </c>
      <c r="AN8008" t="s">
        <v>15013</v>
      </c>
      <c r="AO8008" t="s">
        <v>53</v>
      </c>
      <c r="AP8008" t="s">
        <v>53</v>
      </c>
    </row>
    <row r="8009" spans="2:42" x14ac:dyDescent="0.2">
      <c r="B8009" t="s">
        <v>44</v>
      </c>
      <c r="C8009" t="str">
        <f>HYPERLINK("https://us2.cloudbeds.com/connect/8493803454333002#/reservations/209887296970880?display=4H7QCU91NV&amp;reservation_id=209887296970880", "4H7QCU91NV")</f>
        <v>4H7QCU91NV</v>
      </c>
      <c r="D8009" t="s">
        <v>45</v>
      </c>
      <c r="E8009" t="s">
        <v>138</v>
      </c>
      <c r="F8009" t="s">
        <v>70</v>
      </c>
      <c r="G8009" t="s">
        <v>48</v>
      </c>
      <c r="H8009" t="s">
        <v>3957</v>
      </c>
      <c r="I8009" t="s">
        <v>3958</v>
      </c>
      <c r="J8009" t="s">
        <v>12807</v>
      </c>
      <c r="K8009" t="s">
        <v>14458</v>
      </c>
      <c r="L8009" t="s">
        <v>53</v>
      </c>
      <c r="P8009" t="s">
        <v>55</v>
      </c>
      <c r="R8009" t="s">
        <v>56</v>
      </c>
      <c r="T8009" t="s">
        <v>15014</v>
      </c>
      <c r="U8009" t="s">
        <v>58</v>
      </c>
      <c r="V8009">
        <v>1</v>
      </c>
      <c r="W8009">
        <v>1</v>
      </c>
      <c r="X8009">
        <v>1</v>
      </c>
      <c r="Y8009">
        <v>0</v>
      </c>
      <c r="Z8009">
        <v>1</v>
      </c>
      <c r="AA8009">
        <v>86</v>
      </c>
      <c r="AB8009">
        <v>86</v>
      </c>
      <c r="AC8009">
        <v>75</v>
      </c>
      <c r="AD8009">
        <v>0</v>
      </c>
      <c r="AE8009">
        <v>11</v>
      </c>
      <c r="AF8009">
        <v>0</v>
      </c>
      <c r="AG8009">
        <v>0</v>
      </c>
      <c r="AH8009">
        <v>0</v>
      </c>
      <c r="AI8009">
        <v>0</v>
      </c>
      <c r="AJ8009">
        <v>86</v>
      </c>
      <c r="AK8009">
        <v>0</v>
      </c>
      <c r="AL8009" t="s">
        <v>53</v>
      </c>
      <c r="AM8009" t="s">
        <v>53</v>
      </c>
      <c r="AN8009" t="s">
        <v>53</v>
      </c>
      <c r="AO8009" t="s">
        <v>53</v>
      </c>
      <c r="AP8009" t="s">
        <v>53</v>
      </c>
    </row>
    <row r="8010" spans="2:42" x14ac:dyDescent="0.2">
      <c r="B8010" t="s">
        <v>44</v>
      </c>
      <c r="C8010" t="str">
        <f>HYPERLINK("https://us2.cloudbeds.com/connect/8493803454333002#/reservations/9080486848192148?display=4H8BRYY1TY&amp;reservation_id=9080486848192148", "4H8BRYY1TY")</f>
        <v>4H8BRYY1TY</v>
      </c>
      <c r="D8010" t="s">
        <v>45</v>
      </c>
      <c r="E8010" t="s">
        <v>190</v>
      </c>
      <c r="F8010" t="s">
        <v>61</v>
      </c>
      <c r="G8010" t="s">
        <v>48</v>
      </c>
      <c r="H8010" t="s">
        <v>49</v>
      </c>
      <c r="I8010" t="s">
        <v>50</v>
      </c>
      <c r="J8010" t="s">
        <v>12807</v>
      </c>
      <c r="K8010" t="s">
        <v>14458</v>
      </c>
      <c r="L8010" t="s">
        <v>53</v>
      </c>
      <c r="N8010" t="s">
        <v>15015</v>
      </c>
      <c r="P8010" t="s">
        <v>55</v>
      </c>
      <c r="R8010" t="s">
        <v>53</v>
      </c>
      <c r="T8010" t="s">
        <v>15016</v>
      </c>
      <c r="U8010" t="s">
        <v>55</v>
      </c>
      <c r="V8010">
        <v>1</v>
      </c>
      <c r="W8010">
        <v>1</v>
      </c>
      <c r="X8010">
        <v>2</v>
      </c>
      <c r="Y8010">
        <v>0</v>
      </c>
      <c r="Z8010">
        <v>2</v>
      </c>
      <c r="AA8010">
        <v>63.71</v>
      </c>
      <c r="AB8010">
        <v>63.71</v>
      </c>
      <c r="AC8010">
        <v>58.58</v>
      </c>
      <c r="AD8010">
        <v>0</v>
      </c>
      <c r="AE8010">
        <v>5.13</v>
      </c>
      <c r="AF8010">
        <v>0</v>
      </c>
      <c r="AG8010">
        <v>0</v>
      </c>
      <c r="AH8010">
        <v>0</v>
      </c>
      <c r="AI8010">
        <v>11.47</v>
      </c>
      <c r="AJ8010">
        <v>63.71</v>
      </c>
      <c r="AK8010">
        <v>0</v>
      </c>
      <c r="AL8010" t="s">
        <v>53</v>
      </c>
      <c r="AM8010" t="s">
        <v>53</v>
      </c>
      <c r="AN8010" t="s">
        <v>53</v>
      </c>
      <c r="AO8010" t="s">
        <v>53</v>
      </c>
      <c r="AP8010" t="s">
        <v>53</v>
      </c>
    </row>
    <row r="8011" spans="2:42" x14ac:dyDescent="0.2">
      <c r="B8011" t="s">
        <v>44</v>
      </c>
      <c r="C8011" t="str">
        <f>HYPERLINK("https://us2.cloudbeds.com/connect/8493803454333002#/reservations/9080486848192721?display=4H8SZPSQGG&amp;reservation_id=9080486848192721", "4H8SZPSQGG")</f>
        <v>4H8SZPSQGG</v>
      </c>
      <c r="D8011" t="s">
        <v>45</v>
      </c>
      <c r="E8011" t="s">
        <v>213</v>
      </c>
      <c r="F8011" t="s">
        <v>86</v>
      </c>
      <c r="G8011" t="s">
        <v>48</v>
      </c>
      <c r="H8011" t="s">
        <v>49</v>
      </c>
      <c r="I8011" t="s">
        <v>50</v>
      </c>
      <c r="J8011" t="s">
        <v>14176</v>
      </c>
      <c r="K8011" t="s">
        <v>13038</v>
      </c>
      <c r="L8011" t="s">
        <v>53</v>
      </c>
      <c r="N8011" t="s">
        <v>15017</v>
      </c>
      <c r="P8011" t="s">
        <v>55</v>
      </c>
      <c r="R8011" t="s">
        <v>53</v>
      </c>
      <c r="T8011" t="s">
        <v>15018</v>
      </c>
      <c r="U8011" t="s">
        <v>58</v>
      </c>
      <c r="V8011">
        <v>1</v>
      </c>
      <c r="W8011">
        <v>1</v>
      </c>
      <c r="X8011">
        <v>2</v>
      </c>
      <c r="Y8011">
        <v>0</v>
      </c>
      <c r="Z8011">
        <v>2</v>
      </c>
      <c r="AA8011">
        <v>138.94</v>
      </c>
      <c r="AB8011">
        <v>138.94</v>
      </c>
      <c r="AC8011">
        <v>121.19</v>
      </c>
      <c r="AD8011">
        <v>0</v>
      </c>
      <c r="AE8011">
        <v>17.75</v>
      </c>
      <c r="AF8011">
        <v>0</v>
      </c>
      <c r="AG8011">
        <v>0</v>
      </c>
      <c r="AH8011">
        <v>0</v>
      </c>
      <c r="AI8011">
        <v>25.01</v>
      </c>
      <c r="AJ8011">
        <v>138.94</v>
      </c>
      <c r="AK8011">
        <v>0</v>
      </c>
      <c r="AL8011" t="s">
        <v>53</v>
      </c>
      <c r="AM8011" t="s">
        <v>53</v>
      </c>
      <c r="AN8011" t="s">
        <v>53</v>
      </c>
      <c r="AO8011" t="s">
        <v>53</v>
      </c>
      <c r="AP8011" t="s">
        <v>53</v>
      </c>
    </row>
    <row r="8012" spans="2:42" x14ac:dyDescent="0.2">
      <c r="B8012" t="s">
        <v>44</v>
      </c>
      <c r="C8012" t="str">
        <f>HYPERLINK("https://us2.cloudbeds.com/connect/8493803454333002#/reservations/9080486848193144?display=4H98PYYWK3&amp;reservation_id=9080486848193144", "4H98PYYWK3")</f>
        <v>4H98PYYWK3</v>
      </c>
      <c r="D8012" t="s">
        <v>45</v>
      </c>
      <c r="E8012" t="s">
        <v>138</v>
      </c>
      <c r="F8012" t="s">
        <v>70</v>
      </c>
      <c r="G8012" t="s">
        <v>48</v>
      </c>
      <c r="H8012" t="s">
        <v>49</v>
      </c>
      <c r="I8012" t="s">
        <v>8964</v>
      </c>
      <c r="J8012" t="s">
        <v>13587</v>
      </c>
      <c r="K8012" t="s">
        <v>14443</v>
      </c>
      <c r="L8012" t="s">
        <v>53</v>
      </c>
      <c r="N8012" t="s">
        <v>15019</v>
      </c>
      <c r="P8012" t="s">
        <v>55</v>
      </c>
      <c r="R8012" t="s">
        <v>53</v>
      </c>
      <c r="T8012" t="s">
        <v>15020</v>
      </c>
      <c r="U8012" t="s">
        <v>55</v>
      </c>
      <c r="V8012">
        <v>1</v>
      </c>
      <c r="W8012">
        <v>1</v>
      </c>
      <c r="X8012">
        <v>1</v>
      </c>
      <c r="Y8012">
        <v>0</v>
      </c>
      <c r="Z8012">
        <v>1</v>
      </c>
      <c r="AA8012">
        <v>0</v>
      </c>
      <c r="AB8012">
        <v>0</v>
      </c>
      <c r="AC8012">
        <v>84</v>
      </c>
      <c r="AD8012">
        <v>0</v>
      </c>
      <c r="AE8012">
        <v>0</v>
      </c>
      <c r="AF8012">
        <v>0</v>
      </c>
      <c r="AG8012">
        <v>0</v>
      </c>
      <c r="AH8012">
        <v>0</v>
      </c>
      <c r="AI8012">
        <v>12.6</v>
      </c>
      <c r="AJ8012">
        <v>84</v>
      </c>
      <c r="AK8012">
        <v>84</v>
      </c>
      <c r="AL8012" t="s">
        <v>53</v>
      </c>
      <c r="AM8012" t="s">
        <v>53</v>
      </c>
      <c r="AN8012" t="s">
        <v>15021</v>
      </c>
      <c r="AO8012" t="s">
        <v>53</v>
      </c>
      <c r="AP8012" t="s">
        <v>53</v>
      </c>
    </row>
    <row r="8013" spans="2:42" x14ac:dyDescent="0.2">
      <c r="B8013" t="s">
        <v>44</v>
      </c>
      <c r="C8013" t="str">
        <f>HYPERLINK("https://us2.cloudbeds.com/connect/8493803454333002#/reservations/210088257122496?display=4HCGWU5R2F&amp;reservation_id=210088257122496", "4HCGWU5R2F")</f>
        <v>4HCGWU5R2F</v>
      </c>
      <c r="D8013" t="s">
        <v>45</v>
      </c>
      <c r="E8013" t="s">
        <v>406</v>
      </c>
      <c r="F8013" t="s">
        <v>61</v>
      </c>
      <c r="G8013" t="s">
        <v>48</v>
      </c>
      <c r="H8013" t="s">
        <v>3957</v>
      </c>
      <c r="I8013" t="s">
        <v>3989</v>
      </c>
      <c r="J8013" t="s">
        <v>13476</v>
      </c>
      <c r="K8013" t="s">
        <v>13362</v>
      </c>
      <c r="L8013" t="s">
        <v>53</v>
      </c>
      <c r="P8013" t="s">
        <v>55</v>
      </c>
      <c r="R8013" t="s">
        <v>56</v>
      </c>
      <c r="T8013" t="s">
        <v>15022</v>
      </c>
      <c r="U8013" t="s">
        <v>58</v>
      </c>
      <c r="V8013">
        <v>1</v>
      </c>
      <c r="W8013">
        <v>1</v>
      </c>
      <c r="X8013">
        <v>1</v>
      </c>
      <c r="Y8013">
        <v>0</v>
      </c>
      <c r="Z8013">
        <v>1</v>
      </c>
      <c r="AA8013">
        <v>91.72</v>
      </c>
      <c r="AB8013">
        <v>91.72</v>
      </c>
      <c r="AC8013">
        <v>80</v>
      </c>
      <c r="AD8013">
        <v>0</v>
      </c>
      <c r="AE8013">
        <v>11.72</v>
      </c>
      <c r="AF8013">
        <v>0</v>
      </c>
      <c r="AG8013">
        <v>0</v>
      </c>
      <c r="AH8013">
        <v>0</v>
      </c>
      <c r="AI8013">
        <v>0</v>
      </c>
      <c r="AJ8013">
        <v>91.72</v>
      </c>
      <c r="AK8013">
        <v>0</v>
      </c>
      <c r="AL8013" t="s">
        <v>53</v>
      </c>
      <c r="AM8013" t="s">
        <v>53</v>
      </c>
      <c r="AN8013" t="s">
        <v>15023</v>
      </c>
      <c r="AO8013" t="s">
        <v>53</v>
      </c>
      <c r="AP8013" t="s">
        <v>53</v>
      </c>
    </row>
    <row r="8014" spans="2:42" x14ac:dyDescent="0.2">
      <c r="B8014" t="s">
        <v>44</v>
      </c>
      <c r="C8014" t="str">
        <f>HYPERLINK("https://us2.cloudbeds.com/connect/8493803454333002#/reservations/9080486848197537?display=4HD6S0E00E&amp;reservation_id=9080486848197537", "4HD6S0E00E")</f>
        <v>4HD6S0E00E</v>
      </c>
      <c r="D8014" t="s">
        <v>10291</v>
      </c>
      <c r="E8014" t="s">
        <v>138</v>
      </c>
      <c r="F8014" t="s">
        <v>70</v>
      </c>
      <c r="G8014" t="s">
        <v>48</v>
      </c>
      <c r="H8014" t="s">
        <v>49</v>
      </c>
      <c r="I8014" t="s">
        <v>50</v>
      </c>
      <c r="J8014" t="s">
        <v>15024</v>
      </c>
      <c r="K8014" t="s">
        <v>15025</v>
      </c>
      <c r="L8014" t="s">
        <v>53</v>
      </c>
      <c r="N8014" t="s">
        <v>15026</v>
      </c>
      <c r="P8014" t="s">
        <v>55</v>
      </c>
      <c r="R8014" t="s">
        <v>53</v>
      </c>
      <c r="T8014" t="s">
        <v>15027</v>
      </c>
      <c r="U8014" t="s">
        <v>55</v>
      </c>
      <c r="V8014">
        <v>2</v>
      </c>
      <c r="W8014">
        <v>1</v>
      </c>
      <c r="X8014">
        <v>2</v>
      </c>
      <c r="Y8014">
        <v>0</v>
      </c>
      <c r="Z8014">
        <v>2</v>
      </c>
      <c r="AA8014">
        <v>264.5</v>
      </c>
      <c r="AB8014">
        <v>0</v>
      </c>
      <c r="AC8014">
        <v>243.22</v>
      </c>
      <c r="AD8014">
        <v>0</v>
      </c>
      <c r="AE8014">
        <v>21.28</v>
      </c>
      <c r="AF8014">
        <v>0</v>
      </c>
      <c r="AG8014">
        <v>0</v>
      </c>
      <c r="AH8014">
        <v>0</v>
      </c>
      <c r="AI8014">
        <v>47.61</v>
      </c>
      <c r="AJ8014">
        <v>264.5</v>
      </c>
      <c r="AK8014">
        <v>264.5</v>
      </c>
      <c r="AL8014" t="s">
        <v>53</v>
      </c>
      <c r="AM8014" t="s">
        <v>53</v>
      </c>
      <c r="AN8014" t="s">
        <v>53</v>
      </c>
      <c r="AO8014" t="s">
        <v>53</v>
      </c>
      <c r="AP8014" t="s">
        <v>53</v>
      </c>
    </row>
    <row r="8015" spans="2:42" x14ac:dyDescent="0.2">
      <c r="B8015" t="s">
        <v>44</v>
      </c>
      <c r="C8015" t="str">
        <f>HYPERLINK("https://us2.cloudbeds.com/connect/8493803454333002#/reservations/9080486848197686?display=4HD9M1ARUR&amp;reservation_id=9080486848197686", "4HD9M1ARUR")</f>
        <v>4HD9M1ARUR</v>
      </c>
      <c r="D8015" t="s">
        <v>45</v>
      </c>
      <c r="E8015" t="s">
        <v>138</v>
      </c>
      <c r="F8015" t="s">
        <v>70</v>
      </c>
      <c r="G8015" t="s">
        <v>48</v>
      </c>
      <c r="H8015" t="s">
        <v>49</v>
      </c>
      <c r="I8015" t="s">
        <v>50</v>
      </c>
      <c r="J8015" t="s">
        <v>14119</v>
      </c>
      <c r="K8015" t="s">
        <v>13985</v>
      </c>
      <c r="L8015" t="s">
        <v>53</v>
      </c>
      <c r="N8015" t="s">
        <v>15028</v>
      </c>
      <c r="P8015" t="s">
        <v>55</v>
      </c>
      <c r="R8015" t="s">
        <v>53</v>
      </c>
      <c r="T8015" t="s">
        <v>15029</v>
      </c>
      <c r="U8015" t="s">
        <v>58</v>
      </c>
      <c r="V8015">
        <v>1</v>
      </c>
      <c r="W8015">
        <v>1</v>
      </c>
      <c r="X8015">
        <v>2</v>
      </c>
      <c r="Y8015">
        <v>0</v>
      </c>
      <c r="Z8015">
        <v>2</v>
      </c>
      <c r="AA8015">
        <v>76.739999999999995</v>
      </c>
      <c r="AB8015">
        <v>76.739999999999995</v>
      </c>
      <c r="AC8015">
        <v>66.94</v>
      </c>
      <c r="AD8015">
        <v>0</v>
      </c>
      <c r="AE8015">
        <v>9.8000000000000007</v>
      </c>
      <c r="AF8015">
        <v>0</v>
      </c>
      <c r="AG8015">
        <v>0</v>
      </c>
      <c r="AH8015">
        <v>0</v>
      </c>
      <c r="AI8015">
        <v>13.81</v>
      </c>
      <c r="AJ8015">
        <v>76.739999999999995</v>
      </c>
      <c r="AK8015">
        <v>0</v>
      </c>
      <c r="AL8015" t="s">
        <v>53</v>
      </c>
      <c r="AM8015" t="s">
        <v>53</v>
      </c>
      <c r="AN8015" t="s">
        <v>15030</v>
      </c>
      <c r="AO8015" t="s">
        <v>53</v>
      </c>
      <c r="AP8015" t="s">
        <v>53</v>
      </c>
    </row>
    <row r="8016" spans="2:42" x14ac:dyDescent="0.2">
      <c r="B8016" t="s">
        <v>44</v>
      </c>
      <c r="C8016" t="str">
        <f>HYPERLINK("https://us2.cloudbeds.com/connect/8493803454333002#/reservations/9080486848198104?display=4HDHU3J6E5&amp;reservation_id=9080486848198104", "4HDHU3J6E5")</f>
        <v>4HDHU3J6E5</v>
      </c>
      <c r="D8016" t="s">
        <v>45</v>
      </c>
      <c r="E8016" t="s">
        <v>4970</v>
      </c>
      <c r="F8016" t="s">
        <v>86</v>
      </c>
      <c r="G8016" t="s">
        <v>48</v>
      </c>
      <c r="H8016" t="s">
        <v>49</v>
      </c>
      <c r="I8016" t="s">
        <v>62</v>
      </c>
      <c r="J8016" t="s">
        <v>13067</v>
      </c>
      <c r="K8016" t="s">
        <v>12822</v>
      </c>
      <c r="L8016" t="s">
        <v>53</v>
      </c>
      <c r="N8016" t="s">
        <v>15031</v>
      </c>
      <c r="P8016" t="s">
        <v>55</v>
      </c>
      <c r="R8016" t="s">
        <v>56</v>
      </c>
      <c r="T8016" t="s">
        <v>15032</v>
      </c>
      <c r="U8016" t="s">
        <v>55</v>
      </c>
      <c r="V8016">
        <v>4</v>
      </c>
      <c r="W8016">
        <v>2</v>
      </c>
      <c r="X8016">
        <v>4</v>
      </c>
      <c r="Y8016">
        <v>0</v>
      </c>
      <c r="Z8016">
        <v>4</v>
      </c>
      <c r="AA8016">
        <v>384.94</v>
      </c>
      <c r="AB8016">
        <v>384.94</v>
      </c>
      <c r="AC8016">
        <v>384.94</v>
      </c>
      <c r="AD8016">
        <v>0</v>
      </c>
      <c r="AE8016">
        <v>0</v>
      </c>
      <c r="AF8016">
        <v>0</v>
      </c>
      <c r="AG8016">
        <v>0</v>
      </c>
      <c r="AH8016">
        <v>0</v>
      </c>
      <c r="AI8016">
        <v>69.290000000000006</v>
      </c>
      <c r="AJ8016">
        <v>384.94</v>
      </c>
      <c r="AK8016">
        <v>0</v>
      </c>
      <c r="AL8016" t="s">
        <v>53</v>
      </c>
      <c r="AM8016" t="s">
        <v>53</v>
      </c>
      <c r="AN8016" t="s">
        <v>53</v>
      </c>
      <c r="AO8016" t="s">
        <v>53</v>
      </c>
      <c r="AP8016" t="s">
        <v>53</v>
      </c>
    </row>
    <row r="8017" spans="2:42" x14ac:dyDescent="0.2">
      <c r="B8017" t="s">
        <v>44</v>
      </c>
      <c r="C8017" t="str">
        <f>HYPERLINK("https://us2.cloudbeds.com/connect/8493803454333002#/reservations/9080486848198351?display=4HDMC8XSAS&amp;reservation_id=9080486848198351", "4HDMC8XSAS")</f>
        <v>4HDMC8XSAS</v>
      </c>
      <c r="D8017" t="s">
        <v>45</v>
      </c>
      <c r="E8017" t="s">
        <v>179</v>
      </c>
      <c r="F8017" t="s">
        <v>47</v>
      </c>
      <c r="G8017" t="s">
        <v>48</v>
      </c>
      <c r="H8017" t="s">
        <v>49</v>
      </c>
      <c r="I8017" t="s">
        <v>50</v>
      </c>
      <c r="J8017" t="s">
        <v>12808</v>
      </c>
      <c r="K8017" t="s">
        <v>14119</v>
      </c>
      <c r="L8017" t="s">
        <v>53</v>
      </c>
      <c r="N8017" t="s">
        <v>15033</v>
      </c>
      <c r="P8017" t="s">
        <v>55</v>
      </c>
      <c r="R8017" t="s">
        <v>53</v>
      </c>
      <c r="T8017" t="s">
        <v>15034</v>
      </c>
      <c r="U8017" t="s">
        <v>55</v>
      </c>
      <c r="V8017">
        <v>1</v>
      </c>
      <c r="W8017">
        <v>1</v>
      </c>
      <c r="X8017">
        <v>1</v>
      </c>
      <c r="Y8017">
        <v>1</v>
      </c>
      <c r="Z8017">
        <v>2</v>
      </c>
      <c r="AA8017">
        <v>63.67</v>
      </c>
      <c r="AB8017">
        <v>63.67</v>
      </c>
      <c r="AC8017">
        <v>58.55</v>
      </c>
      <c r="AD8017">
        <v>0</v>
      </c>
      <c r="AE8017">
        <v>5.12</v>
      </c>
      <c r="AF8017">
        <v>0</v>
      </c>
      <c r="AG8017">
        <v>0</v>
      </c>
      <c r="AH8017">
        <v>0</v>
      </c>
      <c r="AI8017">
        <v>11.46</v>
      </c>
      <c r="AJ8017">
        <v>63.67</v>
      </c>
      <c r="AK8017">
        <v>0</v>
      </c>
      <c r="AL8017" t="s">
        <v>53</v>
      </c>
      <c r="AM8017" t="s">
        <v>53</v>
      </c>
      <c r="AN8017" t="s">
        <v>53</v>
      </c>
      <c r="AO8017" t="s">
        <v>53</v>
      </c>
      <c r="AP8017" t="s">
        <v>53</v>
      </c>
    </row>
    <row r="8018" spans="2:42" x14ac:dyDescent="0.2">
      <c r="B8018" t="s">
        <v>44</v>
      </c>
      <c r="C8018" t="str">
        <f>HYPERLINK("https://us2.cloudbeds.com/connect/8493803454333002#/reservations/9080486848198352?display=4HDMD9ST1Z&amp;reservation_id=9080486848198352", "4HDMD9ST1Z")</f>
        <v>4HDMD9ST1Z</v>
      </c>
      <c r="D8018" t="s">
        <v>45</v>
      </c>
      <c r="E8018" t="s">
        <v>223</v>
      </c>
      <c r="F8018" t="s">
        <v>47</v>
      </c>
      <c r="G8018" t="s">
        <v>48</v>
      </c>
      <c r="H8018" t="s">
        <v>49</v>
      </c>
      <c r="I8018" t="s">
        <v>50</v>
      </c>
      <c r="J8018" t="s">
        <v>12808</v>
      </c>
      <c r="K8018" t="s">
        <v>14119</v>
      </c>
      <c r="L8018" t="s">
        <v>53</v>
      </c>
      <c r="N8018" t="s">
        <v>15035</v>
      </c>
      <c r="P8018" t="s">
        <v>55</v>
      </c>
      <c r="R8018" t="s">
        <v>53</v>
      </c>
      <c r="T8018" t="s">
        <v>15036</v>
      </c>
      <c r="U8018" t="s">
        <v>55</v>
      </c>
      <c r="V8018">
        <v>1</v>
      </c>
      <c r="W8018">
        <v>1</v>
      </c>
      <c r="X8018">
        <v>1</v>
      </c>
      <c r="Y8018">
        <v>1</v>
      </c>
      <c r="Z8018">
        <v>2</v>
      </c>
      <c r="AA8018">
        <v>63.67</v>
      </c>
      <c r="AB8018">
        <v>63.67</v>
      </c>
      <c r="AC8018">
        <v>58.55</v>
      </c>
      <c r="AD8018">
        <v>0</v>
      </c>
      <c r="AE8018">
        <v>5.12</v>
      </c>
      <c r="AF8018">
        <v>0</v>
      </c>
      <c r="AG8018">
        <v>0</v>
      </c>
      <c r="AH8018">
        <v>0</v>
      </c>
      <c r="AI8018">
        <v>11.46</v>
      </c>
      <c r="AJ8018">
        <v>63.67</v>
      </c>
      <c r="AK8018">
        <v>0</v>
      </c>
      <c r="AL8018" t="s">
        <v>53</v>
      </c>
      <c r="AM8018" t="s">
        <v>53</v>
      </c>
      <c r="AN8018" t="s">
        <v>53</v>
      </c>
      <c r="AO8018" t="s">
        <v>53</v>
      </c>
      <c r="AP8018" t="s">
        <v>53</v>
      </c>
    </row>
    <row r="8019" spans="2:42" x14ac:dyDescent="0.2">
      <c r="B8019" t="s">
        <v>44</v>
      </c>
      <c r="C8019" t="str">
        <f>HYPERLINK("https://us2.cloudbeds.com/connect/8493803454333002#/reservations/9080486848198519?display=4HDPBF7D3K&amp;reservation_id=9080486848198519", "4HDPBF7D3K")</f>
        <v>4HDPBF7D3K</v>
      </c>
      <c r="D8019" t="s">
        <v>45</v>
      </c>
      <c r="E8019" t="s">
        <v>78</v>
      </c>
      <c r="F8019" t="s">
        <v>61</v>
      </c>
      <c r="G8019" t="s">
        <v>48</v>
      </c>
      <c r="H8019" t="s">
        <v>49</v>
      </c>
      <c r="I8019" t="s">
        <v>50</v>
      </c>
      <c r="J8019" t="s">
        <v>14502</v>
      </c>
      <c r="K8019" t="s">
        <v>13476</v>
      </c>
      <c r="L8019" t="s">
        <v>53</v>
      </c>
      <c r="N8019" t="s">
        <v>15037</v>
      </c>
      <c r="P8019" t="s">
        <v>55</v>
      </c>
      <c r="R8019" t="s">
        <v>53</v>
      </c>
      <c r="T8019" t="s">
        <v>15038</v>
      </c>
      <c r="U8019" t="s">
        <v>55</v>
      </c>
      <c r="V8019">
        <v>2</v>
      </c>
      <c r="W8019">
        <v>1</v>
      </c>
      <c r="X8019">
        <v>2</v>
      </c>
      <c r="Y8019">
        <v>0</v>
      </c>
      <c r="Z8019">
        <v>2</v>
      </c>
      <c r="AA8019">
        <v>142.34</v>
      </c>
      <c r="AB8019">
        <v>142.34</v>
      </c>
      <c r="AC8019">
        <v>130.88</v>
      </c>
      <c r="AD8019">
        <v>0</v>
      </c>
      <c r="AE8019">
        <v>11.46</v>
      </c>
      <c r="AF8019">
        <v>0</v>
      </c>
      <c r="AG8019">
        <v>0</v>
      </c>
      <c r="AH8019">
        <v>0</v>
      </c>
      <c r="AI8019">
        <v>25.62</v>
      </c>
      <c r="AJ8019">
        <v>142.34</v>
      </c>
      <c r="AK8019">
        <v>0</v>
      </c>
      <c r="AL8019" t="s">
        <v>53</v>
      </c>
      <c r="AM8019" t="s">
        <v>53</v>
      </c>
      <c r="AN8019" t="s">
        <v>15039</v>
      </c>
      <c r="AO8019" t="s">
        <v>53</v>
      </c>
      <c r="AP8019" t="s">
        <v>53</v>
      </c>
    </row>
    <row r="8020" spans="2:42" x14ac:dyDescent="0.2">
      <c r="B8020" t="s">
        <v>44</v>
      </c>
      <c r="C8020" t="str">
        <f>HYPERLINK("https://us2.cloudbeds.com/connect/8493803454333002#/reservations/9080486848199345?display=4HE9NYRHWS&amp;reservation_id=9080486848199345", "4HE9NYRHWS")</f>
        <v>4HE9NYRHWS</v>
      </c>
      <c r="D8020" t="s">
        <v>45</v>
      </c>
      <c r="E8020" t="s">
        <v>155</v>
      </c>
      <c r="F8020" t="s">
        <v>86</v>
      </c>
      <c r="G8020" t="s">
        <v>48</v>
      </c>
      <c r="H8020" t="s">
        <v>49</v>
      </c>
      <c r="I8020" t="s">
        <v>8964</v>
      </c>
      <c r="J8020" t="s">
        <v>13587</v>
      </c>
      <c r="K8020" t="s">
        <v>13572</v>
      </c>
      <c r="L8020" t="s">
        <v>53</v>
      </c>
      <c r="N8020" t="s">
        <v>15040</v>
      </c>
      <c r="P8020" t="s">
        <v>55</v>
      </c>
      <c r="R8020" t="s">
        <v>53</v>
      </c>
      <c r="T8020" t="s">
        <v>15041</v>
      </c>
      <c r="U8020" t="s">
        <v>55</v>
      </c>
      <c r="V8020">
        <v>2</v>
      </c>
      <c r="W8020">
        <v>1</v>
      </c>
      <c r="X8020">
        <v>3</v>
      </c>
      <c r="Y8020">
        <v>1</v>
      </c>
      <c r="Z8020">
        <v>4</v>
      </c>
      <c r="AA8020">
        <v>0</v>
      </c>
      <c r="AB8020">
        <v>0</v>
      </c>
      <c r="AC8020">
        <v>248</v>
      </c>
      <c r="AD8020">
        <v>0</v>
      </c>
      <c r="AE8020">
        <v>0</v>
      </c>
      <c r="AF8020">
        <v>0</v>
      </c>
      <c r="AG8020">
        <v>0</v>
      </c>
      <c r="AH8020">
        <v>0</v>
      </c>
      <c r="AI8020">
        <v>37.200000000000003</v>
      </c>
      <c r="AJ8020">
        <v>248</v>
      </c>
      <c r="AK8020">
        <v>248</v>
      </c>
      <c r="AL8020" t="s">
        <v>53</v>
      </c>
      <c r="AM8020" t="s">
        <v>53</v>
      </c>
      <c r="AN8020" t="s">
        <v>15042</v>
      </c>
      <c r="AO8020" t="s">
        <v>53</v>
      </c>
      <c r="AP8020" t="s">
        <v>53</v>
      </c>
    </row>
    <row r="8021" spans="2:42" x14ac:dyDescent="0.2">
      <c r="B8021" t="s">
        <v>44</v>
      </c>
      <c r="C8021" t="str">
        <f>HYPERLINK("https://us2.cloudbeds.com/connect/8493803454333002#/reservations/210167846428800?display=4HECKK0GZ1&amp;reservation_id=210167846428800", "4HECKK0GZ1")</f>
        <v>4HECKK0GZ1</v>
      </c>
      <c r="D8021" t="s">
        <v>45</v>
      </c>
      <c r="E8021" t="s">
        <v>105</v>
      </c>
      <c r="F8021" t="s">
        <v>47</v>
      </c>
      <c r="G8021" t="s">
        <v>48</v>
      </c>
      <c r="H8021" t="s">
        <v>3957</v>
      </c>
      <c r="I8021" t="s">
        <v>3975</v>
      </c>
      <c r="J8021" t="s">
        <v>13587</v>
      </c>
      <c r="K8021" t="s">
        <v>14443</v>
      </c>
      <c r="L8021" t="s">
        <v>53</v>
      </c>
      <c r="P8021" t="s">
        <v>58</v>
      </c>
      <c r="R8021" t="s">
        <v>56</v>
      </c>
      <c r="T8021" t="s">
        <v>15043</v>
      </c>
      <c r="U8021" t="s">
        <v>58</v>
      </c>
      <c r="V8021">
        <v>1</v>
      </c>
      <c r="W8021">
        <v>1</v>
      </c>
      <c r="X8021">
        <v>1</v>
      </c>
      <c r="Y8021">
        <v>0</v>
      </c>
      <c r="Z8021">
        <v>1</v>
      </c>
      <c r="AA8021">
        <v>0</v>
      </c>
      <c r="AB8021">
        <v>91.72</v>
      </c>
      <c r="AC8021">
        <v>80</v>
      </c>
      <c r="AD8021">
        <v>0</v>
      </c>
      <c r="AE8021">
        <v>11.72</v>
      </c>
      <c r="AF8021">
        <v>0</v>
      </c>
      <c r="AG8021">
        <v>0</v>
      </c>
      <c r="AH8021">
        <v>0</v>
      </c>
      <c r="AI8021">
        <v>0</v>
      </c>
      <c r="AJ8021">
        <v>91.72</v>
      </c>
      <c r="AK8021">
        <v>0</v>
      </c>
      <c r="AL8021" t="s">
        <v>53</v>
      </c>
      <c r="AM8021" t="s">
        <v>53</v>
      </c>
      <c r="AN8021" t="s">
        <v>53</v>
      </c>
      <c r="AO8021" t="s">
        <v>53</v>
      </c>
      <c r="AP8021" t="s">
        <v>53</v>
      </c>
    </row>
    <row r="8022" spans="2:42" x14ac:dyDescent="0.2">
      <c r="B8022" t="s">
        <v>44</v>
      </c>
      <c r="C8022" t="str">
        <f>HYPERLINK("https://us2.cloudbeds.com/connect/8493803454333002#/reservations/9080486848200879?display=4HF61PDGP6&amp;reservation_id=9080486848200879", "4HF61PDGP6")</f>
        <v>4HF61PDGP6</v>
      </c>
      <c r="D8022" t="s">
        <v>45</v>
      </c>
      <c r="E8022" t="s">
        <v>110</v>
      </c>
      <c r="F8022" t="s">
        <v>47</v>
      </c>
      <c r="G8022" t="s">
        <v>48</v>
      </c>
      <c r="H8022" t="s">
        <v>49</v>
      </c>
      <c r="I8022" t="s">
        <v>62</v>
      </c>
      <c r="J8022" t="s">
        <v>14458</v>
      </c>
      <c r="K8022" t="s">
        <v>12808</v>
      </c>
      <c r="L8022" t="s">
        <v>53</v>
      </c>
      <c r="N8022" t="s">
        <v>15044</v>
      </c>
      <c r="P8022" t="s">
        <v>55</v>
      </c>
      <c r="R8022" t="s">
        <v>56</v>
      </c>
      <c r="T8022" t="s">
        <v>15045</v>
      </c>
      <c r="U8022" t="s">
        <v>55</v>
      </c>
      <c r="V8022">
        <v>1</v>
      </c>
      <c r="W8022">
        <v>1</v>
      </c>
      <c r="X8022">
        <v>1</v>
      </c>
      <c r="Y8022">
        <v>0</v>
      </c>
      <c r="Z8022">
        <v>1</v>
      </c>
      <c r="AA8022">
        <v>68.040000000000006</v>
      </c>
      <c r="AB8022">
        <v>68.040000000000006</v>
      </c>
      <c r="AC8022">
        <v>68.040000000000006</v>
      </c>
      <c r="AD8022">
        <v>0</v>
      </c>
      <c r="AE8022">
        <v>0</v>
      </c>
      <c r="AF8022">
        <v>0</v>
      </c>
      <c r="AG8022">
        <v>0</v>
      </c>
      <c r="AH8022">
        <v>0</v>
      </c>
      <c r="AI8022">
        <v>12.25</v>
      </c>
      <c r="AJ8022">
        <v>68.040000000000006</v>
      </c>
      <c r="AK8022">
        <v>0</v>
      </c>
      <c r="AL8022" t="s">
        <v>53</v>
      </c>
      <c r="AM8022" t="s">
        <v>53</v>
      </c>
      <c r="AN8022" t="s">
        <v>53</v>
      </c>
      <c r="AO8022" t="s">
        <v>53</v>
      </c>
      <c r="AP8022" t="s">
        <v>53</v>
      </c>
    </row>
    <row r="8023" spans="2:42" x14ac:dyDescent="0.2">
      <c r="B8023" t="s">
        <v>44</v>
      </c>
      <c r="C8023" t="str">
        <f>HYPERLINK("https://us2.cloudbeds.com/connect/8493803454333002#/reservations/9080486848201560?display=4HFYEPF3FV&amp;reservation_id=9080486848201560", "4HFYEPF3FV")</f>
        <v>4HFYEPF3FV</v>
      </c>
      <c r="D8023" t="s">
        <v>45</v>
      </c>
      <c r="E8023" t="s">
        <v>179</v>
      </c>
      <c r="F8023" t="s">
        <v>47</v>
      </c>
      <c r="G8023" t="s">
        <v>48</v>
      </c>
      <c r="H8023" t="s">
        <v>49</v>
      </c>
      <c r="I8023" t="s">
        <v>62</v>
      </c>
      <c r="J8023" t="s">
        <v>14458</v>
      </c>
      <c r="K8023" t="s">
        <v>12808</v>
      </c>
      <c r="L8023" t="s">
        <v>53</v>
      </c>
      <c r="N8023" t="s">
        <v>15046</v>
      </c>
      <c r="P8023" t="s">
        <v>55</v>
      </c>
      <c r="R8023" t="s">
        <v>56</v>
      </c>
      <c r="T8023" t="s">
        <v>15047</v>
      </c>
      <c r="U8023" t="s">
        <v>55</v>
      </c>
      <c r="V8023">
        <v>1</v>
      </c>
      <c r="W8023">
        <v>1</v>
      </c>
      <c r="X8023">
        <v>2</v>
      </c>
      <c r="Y8023">
        <v>0</v>
      </c>
      <c r="Z8023">
        <v>2</v>
      </c>
      <c r="AA8023">
        <v>68.040000000000006</v>
      </c>
      <c r="AB8023">
        <v>68.040000000000006</v>
      </c>
      <c r="AC8023">
        <v>68.040000000000006</v>
      </c>
      <c r="AD8023">
        <v>0</v>
      </c>
      <c r="AE8023">
        <v>0</v>
      </c>
      <c r="AF8023">
        <v>0</v>
      </c>
      <c r="AG8023">
        <v>0</v>
      </c>
      <c r="AH8023">
        <v>0</v>
      </c>
      <c r="AI8023">
        <v>12.25</v>
      </c>
      <c r="AJ8023">
        <v>68.040000000000006</v>
      </c>
      <c r="AK8023">
        <v>0</v>
      </c>
      <c r="AL8023" t="s">
        <v>53</v>
      </c>
      <c r="AM8023" t="s">
        <v>53</v>
      </c>
      <c r="AN8023" t="s">
        <v>53</v>
      </c>
      <c r="AO8023" t="s">
        <v>53</v>
      </c>
      <c r="AP8023" t="s">
        <v>53</v>
      </c>
    </row>
    <row r="8024" spans="2:42" x14ac:dyDescent="0.2">
      <c r="B8024" t="s">
        <v>44</v>
      </c>
      <c r="C8024" t="str">
        <f>HYPERLINK("https://us2.cloudbeds.com/connect/8493803454333002#/reservations/210234641571968?display=4HFVBCE8HV&amp;reservation_id=210234641571968", "4HFVBCE8HV")</f>
        <v>4HFVBCE8HV</v>
      </c>
      <c r="D8024" t="s">
        <v>45</v>
      </c>
      <c r="E8024" t="s">
        <v>223</v>
      </c>
      <c r="F8024" t="s">
        <v>47</v>
      </c>
      <c r="G8024" t="s">
        <v>48</v>
      </c>
      <c r="H8024" t="s">
        <v>3957</v>
      </c>
      <c r="I8024" t="s">
        <v>3975</v>
      </c>
      <c r="J8024" t="s">
        <v>14443</v>
      </c>
      <c r="K8024" t="s">
        <v>13572</v>
      </c>
      <c r="L8024" t="s">
        <v>53</v>
      </c>
      <c r="P8024" t="s">
        <v>55</v>
      </c>
      <c r="R8024" t="s">
        <v>56</v>
      </c>
      <c r="T8024" t="s">
        <v>15048</v>
      </c>
      <c r="U8024" t="s">
        <v>58</v>
      </c>
      <c r="V8024">
        <v>1</v>
      </c>
      <c r="W8024">
        <v>1</v>
      </c>
      <c r="X8024">
        <v>2</v>
      </c>
      <c r="Y8024">
        <v>0</v>
      </c>
      <c r="Z8024">
        <v>2</v>
      </c>
      <c r="AA8024">
        <v>86</v>
      </c>
      <c r="AB8024">
        <v>86</v>
      </c>
      <c r="AC8024">
        <v>75</v>
      </c>
      <c r="AD8024">
        <v>0</v>
      </c>
      <c r="AE8024">
        <v>11</v>
      </c>
      <c r="AF8024">
        <v>0</v>
      </c>
      <c r="AG8024">
        <v>0</v>
      </c>
      <c r="AH8024">
        <v>0</v>
      </c>
      <c r="AI8024">
        <v>0</v>
      </c>
      <c r="AJ8024">
        <v>86</v>
      </c>
      <c r="AK8024">
        <v>0</v>
      </c>
      <c r="AL8024" t="s">
        <v>53</v>
      </c>
      <c r="AM8024" t="s">
        <v>53</v>
      </c>
      <c r="AN8024" t="s">
        <v>15049</v>
      </c>
      <c r="AO8024" t="s">
        <v>53</v>
      </c>
      <c r="AP8024" t="s">
        <v>53</v>
      </c>
    </row>
    <row r="8025" spans="2:42" x14ac:dyDescent="0.2">
      <c r="B8025" t="s">
        <v>44</v>
      </c>
      <c r="C8025" t="str">
        <f>HYPERLINK("https://us2.cloudbeds.com/connect/8493803454333002#/reservations/9080486848202615?display=4HGE76VT04&amp;reservation_id=9080486848202615", "4HGE76VT04")</f>
        <v>4HGE76VT04</v>
      </c>
      <c r="D8025" t="s">
        <v>45</v>
      </c>
      <c r="E8025" t="s">
        <v>69</v>
      </c>
      <c r="F8025" t="s">
        <v>70</v>
      </c>
      <c r="G8025" t="s">
        <v>48</v>
      </c>
      <c r="H8025" t="s">
        <v>49</v>
      </c>
      <c r="I8025" t="s">
        <v>62</v>
      </c>
      <c r="J8025" t="s">
        <v>12808</v>
      </c>
      <c r="K8025" t="s">
        <v>13985</v>
      </c>
      <c r="L8025" t="s">
        <v>53</v>
      </c>
      <c r="N8025" t="s">
        <v>15050</v>
      </c>
      <c r="P8025" t="s">
        <v>55</v>
      </c>
      <c r="R8025" t="s">
        <v>56</v>
      </c>
      <c r="T8025" t="s">
        <v>15051</v>
      </c>
      <c r="U8025" t="s">
        <v>55</v>
      </c>
      <c r="V8025">
        <v>2</v>
      </c>
      <c r="W8025">
        <v>1</v>
      </c>
      <c r="X8025">
        <v>2</v>
      </c>
      <c r="Y8025">
        <v>0</v>
      </c>
      <c r="Z8025">
        <v>2</v>
      </c>
      <c r="AA8025">
        <v>133.88</v>
      </c>
      <c r="AB8025">
        <v>133.88</v>
      </c>
      <c r="AC8025">
        <v>133.88</v>
      </c>
      <c r="AD8025">
        <v>0</v>
      </c>
      <c r="AE8025">
        <v>0</v>
      </c>
      <c r="AF8025">
        <v>0</v>
      </c>
      <c r="AG8025">
        <v>0</v>
      </c>
      <c r="AH8025">
        <v>0</v>
      </c>
      <c r="AI8025">
        <v>24.1</v>
      </c>
      <c r="AJ8025">
        <v>133.88</v>
      </c>
      <c r="AK8025">
        <v>0</v>
      </c>
      <c r="AL8025" t="s">
        <v>53</v>
      </c>
      <c r="AM8025" t="s">
        <v>53</v>
      </c>
      <c r="AN8025" t="s">
        <v>53</v>
      </c>
      <c r="AO8025" t="s">
        <v>53</v>
      </c>
      <c r="AP8025" t="s">
        <v>53</v>
      </c>
    </row>
    <row r="8026" spans="2:42" x14ac:dyDescent="0.2">
      <c r="B8026" t="s">
        <v>44</v>
      </c>
      <c r="C8026" t="str">
        <f>HYPERLINK("https://us2.cloudbeds.com/connect/8493803454333002#/reservations/9080486848202888?display=4HGKNVZZ3U&amp;reservation_id=9080486848202888", "4HGKNVZZ3U")</f>
        <v>4HGKNVZZ3U</v>
      </c>
      <c r="D8026" t="s">
        <v>45</v>
      </c>
      <c r="E8026" t="s">
        <v>487</v>
      </c>
      <c r="F8026" t="s">
        <v>61</v>
      </c>
      <c r="G8026" t="s">
        <v>48</v>
      </c>
      <c r="H8026" t="s">
        <v>49</v>
      </c>
      <c r="I8026" t="s">
        <v>50</v>
      </c>
      <c r="J8026" t="s">
        <v>14458</v>
      </c>
      <c r="K8026" t="s">
        <v>12808</v>
      </c>
      <c r="L8026" t="s">
        <v>53</v>
      </c>
      <c r="N8026" t="s">
        <v>15052</v>
      </c>
      <c r="P8026" t="s">
        <v>55</v>
      </c>
      <c r="R8026" t="s">
        <v>53</v>
      </c>
      <c r="T8026" t="s">
        <v>15053</v>
      </c>
      <c r="U8026" t="s">
        <v>55</v>
      </c>
      <c r="V8026">
        <v>1</v>
      </c>
      <c r="W8026">
        <v>1</v>
      </c>
      <c r="X8026">
        <v>2</v>
      </c>
      <c r="Y8026">
        <v>0</v>
      </c>
      <c r="Z8026">
        <v>2</v>
      </c>
      <c r="AA8026">
        <v>62.93</v>
      </c>
      <c r="AB8026">
        <v>62.93</v>
      </c>
      <c r="AC8026">
        <v>57.86</v>
      </c>
      <c r="AD8026">
        <v>0</v>
      </c>
      <c r="AE8026">
        <v>5.07</v>
      </c>
      <c r="AF8026">
        <v>0</v>
      </c>
      <c r="AG8026">
        <v>0</v>
      </c>
      <c r="AH8026">
        <v>0</v>
      </c>
      <c r="AI8026">
        <v>11.33</v>
      </c>
      <c r="AJ8026">
        <v>62.93</v>
      </c>
      <c r="AK8026">
        <v>0</v>
      </c>
      <c r="AL8026" t="s">
        <v>53</v>
      </c>
      <c r="AM8026" t="s">
        <v>53</v>
      </c>
      <c r="AN8026" t="s">
        <v>15054</v>
      </c>
      <c r="AO8026" t="s">
        <v>53</v>
      </c>
      <c r="AP8026" t="s">
        <v>53</v>
      </c>
    </row>
    <row r="8027" spans="2:42" x14ac:dyDescent="0.2">
      <c r="B8027" t="s">
        <v>44</v>
      </c>
      <c r="C8027" t="str">
        <f>HYPERLINK("https://us2.cloudbeds.com/connect/8493803454333002#/reservations/9080486848203140?display=4HGQK79HD0&amp;reservation_id=9080486848203140", "4HGQK79HD0")</f>
        <v>4HGQK79HD0</v>
      </c>
      <c r="D8027" t="s">
        <v>45</v>
      </c>
      <c r="E8027" t="s">
        <v>46</v>
      </c>
      <c r="F8027" t="s">
        <v>47</v>
      </c>
      <c r="G8027" t="s">
        <v>48</v>
      </c>
      <c r="H8027" t="s">
        <v>49</v>
      </c>
      <c r="I8027" t="s">
        <v>50</v>
      </c>
      <c r="J8027" t="s">
        <v>14458</v>
      </c>
      <c r="K8027" t="s">
        <v>14119</v>
      </c>
      <c r="L8027" t="s">
        <v>53</v>
      </c>
      <c r="N8027" t="s">
        <v>15055</v>
      </c>
      <c r="P8027" t="s">
        <v>55</v>
      </c>
      <c r="R8027" t="s">
        <v>53</v>
      </c>
      <c r="T8027" t="s">
        <v>15056</v>
      </c>
      <c r="U8027" t="s">
        <v>55</v>
      </c>
      <c r="V8027">
        <v>2</v>
      </c>
      <c r="W8027">
        <v>1</v>
      </c>
      <c r="X8027">
        <v>1</v>
      </c>
      <c r="Y8027">
        <v>0</v>
      </c>
      <c r="Z8027">
        <v>1</v>
      </c>
      <c r="AA8027">
        <v>125.86</v>
      </c>
      <c r="AB8027">
        <v>125.86</v>
      </c>
      <c r="AC8027">
        <v>115.72</v>
      </c>
      <c r="AD8027">
        <v>0</v>
      </c>
      <c r="AE8027">
        <v>10.14</v>
      </c>
      <c r="AF8027">
        <v>0</v>
      </c>
      <c r="AG8027">
        <v>0</v>
      </c>
      <c r="AH8027">
        <v>0</v>
      </c>
      <c r="AI8027">
        <v>22.65</v>
      </c>
      <c r="AJ8027">
        <v>125.86</v>
      </c>
      <c r="AK8027">
        <v>0</v>
      </c>
      <c r="AL8027" t="s">
        <v>53</v>
      </c>
      <c r="AM8027" t="s">
        <v>53</v>
      </c>
      <c r="AN8027" t="s">
        <v>53</v>
      </c>
      <c r="AO8027" t="s">
        <v>53</v>
      </c>
      <c r="AP8027" t="s">
        <v>53</v>
      </c>
    </row>
    <row r="8028" spans="2:42" x14ac:dyDescent="0.2">
      <c r="B8028" t="s">
        <v>44</v>
      </c>
      <c r="C8028" t="str">
        <f>HYPERLINK("https://us2.cloudbeds.com/connect/8493803454333002#/reservations/210271353307329?display=4HGQPEZY0D&amp;reservation_id=210271353307329", "4HGQPEZY0D")</f>
        <v>4HGQPEZY0D</v>
      </c>
      <c r="D8028" t="s">
        <v>45</v>
      </c>
      <c r="E8028" t="s">
        <v>155</v>
      </c>
      <c r="F8028" t="s">
        <v>86</v>
      </c>
      <c r="G8028" t="s">
        <v>48</v>
      </c>
      <c r="H8028" t="s">
        <v>3957</v>
      </c>
      <c r="I8028" t="s">
        <v>3975</v>
      </c>
      <c r="J8028" t="s">
        <v>13362</v>
      </c>
      <c r="K8028" t="s">
        <v>14759</v>
      </c>
      <c r="L8028" t="s">
        <v>53</v>
      </c>
      <c r="P8028" t="s">
        <v>55</v>
      </c>
      <c r="R8028" t="s">
        <v>56</v>
      </c>
      <c r="T8028" t="s">
        <v>15057</v>
      </c>
      <c r="U8028" t="s">
        <v>58</v>
      </c>
      <c r="V8028">
        <v>2</v>
      </c>
      <c r="W8028">
        <v>1</v>
      </c>
      <c r="X8028">
        <v>3</v>
      </c>
      <c r="Y8028">
        <v>0</v>
      </c>
      <c r="Z8028">
        <v>3</v>
      </c>
      <c r="AA8028">
        <v>0</v>
      </c>
      <c r="AB8028">
        <v>215.56</v>
      </c>
      <c r="AC8028">
        <v>188</v>
      </c>
      <c r="AD8028">
        <v>0</v>
      </c>
      <c r="AE8028">
        <v>27.56</v>
      </c>
      <c r="AF8028">
        <v>0</v>
      </c>
      <c r="AG8028">
        <v>0</v>
      </c>
      <c r="AH8028">
        <v>0</v>
      </c>
      <c r="AI8028">
        <v>0</v>
      </c>
      <c r="AJ8028">
        <v>215.56</v>
      </c>
      <c r="AK8028">
        <v>0</v>
      </c>
      <c r="AL8028" t="s">
        <v>53</v>
      </c>
      <c r="AM8028" t="s">
        <v>53</v>
      </c>
      <c r="AN8028" t="s">
        <v>15058</v>
      </c>
      <c r="AO8028" t="s">
        <v>53</v>
      </c>
      <c r="AP8028" t="s">
        <v>53</v>
      </c>
    </row>
    <row r="8029" spans="2:42" x14ac:dyDescent="0.2">
      <c r="B8029" t="s">
        <v>44</v>
      </c>
      <c r="C8029" t="str">
        <f>HYPERLINK("https://us2.cloudbeds.com/connect/8493803454333002#/reservations/9080486848203380?display=4HGWTMG9PM&amp;reservation_id=9080486848203380", "4HGWTMG9PM")</f>
        <v>4HGWTMG9PM</v>
      </c>
      <c r="D8029" t="s">
        <v>45</v>
      </c>
      <c r="E8029" t="s">
        <v>121</v>
      </c>
      <c r="F8029" t="s">
        <v>86</v>
      </c>
      <c r="G8029" t="s">
        <v>48</v>
      </c>
      <c r="H8029" t="s">
        <v>49</v>
      </c>
      <c r="I8029" t="s">
        <v>8964</v>
      </c>
      <c r="J8029" t="s">
        <v>13985</v>
      </c>
      <c r="K8029" t="s">
        <v>13587</v>
      </c>
      <c r="L8029" t="s">
        <v>53</v>
      </c>
      <c r="N8029" t="s">
        <v>15059</v>
      </c>
      <c r="P8029" t="s">
        <v>55</v>
      </c>
      <c r="R8029" t="s">
        <v>53</v>
      </c>
      <c r="T8029" t="s">
        <v>15060</v>
      </c>
      <c r="U8029" t="s">
        <v>55</v>
      </c>
      <c r="V8029">
        <v>1</v>
      </c>
      <c r="W8029">
        <v>1</v>
      </c>
      <c r="X8029">
        <v>1</v>
      </c>
      <c r="Y8029">
        <v>2</v>
      </c>
      <c r="Z8029">
        <v>3</v>
      </c>
      <c r="AA8029">
        <v>0</v>
      </c>
      <c r="AB8029">
        <v>0</v>
      </c>
      <c r="AC8029">
        <v>105</v>
      </c>
      <c r="AD8029">
        <v>0</v>
      </c>
      <c r="AE8029">
        <v>0</v>
      </c>
      <c r="AF8029">
        <v>0</v>
      </c>
      <c r="AG8029">
        <v>0</v>
      </c>
      <c r="AH8029">
        <v>0</v>
      </c>
      <c r="AI8029">
        <v>15.75</v>
      </c>
      <c r="AJ8029">
        <v>105</v>
      </c>
      <c r="AK8029">
        <v>105</v>
      </c>
      <c r="AL8029" t="s">
        <v>53</v>
      </c>
      <c r="AM8029" t="s">
        <v>53</v>
      </c>
      <c r="AN8029" t="s">
        <v>15061</v>
      </c>
      <c r="AO8029" t="s">
        <v>53</v>
      </c>
      <c r="AP8029" t="s">
        <v>53</v>
      </c>
    </row>
    <row r="8030" spans="2:42" x14ac:dyDescent="0.2">
      <c r="B8030" t="s">
        <v>44</v>
      </c>
      <c r="C8030" t="str">
        <f>HYPERLINK("https://us2.cloudbeds.com/connect/8493803454333002#/reservations/210292505837696?display=4HHA4V3ZPP&amp;reservation_id=210292505837696", "4HHA4V3ZPP")</f>
        <v>4HHA4V3ZPP</v>
      </c>
      <c r="D8030" t="s">
        <v>45</v>
      </c>
      <c r="E8030" t="s">
        <v>110</v>
      </c>
      <c r="F8030" t="s">
        <v>47</v>
      </c>
      <c r="G8030" t="s">
        <v>3974</v>
      </c>
      <c r="H8030" t="s">
        <v>3957</v>
      </c>
      <c r="I8030" t="s">
        <v>3975</v>
      </c>
      <c r="J8030" t="s">
        <v>14348</v>
      </c>
      <c r="K8030" t="s">
        <v>14349</v>
      </c>
      <c r="L8030" t="s">
        <v>53</v>
      </c>
      <c r="P8030" t="s">
        <v>55</v>
      </c>
      <c r="R8030" t="s">
        <v>56</v>
      </c>
      <c r="T8030" t="s">
        <v>15062</v>
      </c>
      <c r="U8030" t="s">
        <v>58</v>
      </c>
      <c r="V8030">
        <v>2</v>
      </c>
      <c r="W8030">
        <v>1</v>
      </c>
      <c r="X8030">
        <v>2</v>
      </c>
      <c r="Y8030">
        <v>0</v>
      </c>
      <c r="Z8030">
        <v>2</v>
      </c>
      <c r="AA8030">
        <v>309.33</v>
      </c>
      <c r="AB8030">
        <v>309.33</v>
      </c>
      <c r="AC8030">
        <v>269.8</v>
      </c>
      <c r="AD8030">
        <v>0</v>
      </c>
      <c r="AE8030">
        <v>39.53</v>
      </c>
      <c r="AF8030">
        <v>0</v>
      </c>
      <c r="AG8030">
        <v>0</v>
      </c>
      <c r="AH8030">
        <v>0</v>
      </c>
      <c r="AI8030">
        <v>0</v>
      </c>
      <c r="AJ8030">
        <v>309.33</v>
      </c>
      <c r="AK8030">
        <v>0</v>
      </c>
      <c r="AL8030" t="s">
        <v>53</v>
      </c>
      <c r="AM8030" t="s">
        <v>53</v>
      </c>
      <c r="AN8030" t="s">
        <v>15063</v>
      </c>
      <c r="AO8030" t="s">
        <v>53</v>
      </c>
      <c r="AP8030" t="s">
        <v>53</v>
      </c>
    </row>
    <row r="8031" spans="2:42" x14ac:dyDescent="0.2">
      <c r="B8031" t="s">
        <v>44</v>
      </c>
      <c r="C8031" t="str">
        <f>HYPERLINK("https://us2.cloudbeds.com/connect/8493803454333002#/reservations/9080486848204232?display=4HHZ381E27&amp;reservation_id=9080486848204232", "4HHZ381E27")</f>
        <v>4HHZ381E27</v>
      </c>
      <c r="D8031" t="s">
        <v>45</v>
      </c>
      <c r="E8031" t="s">
        <v>406</v>
      </c>
      <c r="F8031" t="s">
        <v>61</v>
      </c>
      <c r="G8031" t="s">
        <v>48</v>
      </c>
      <c r="H8031" t="s">
        <v>49</v>
      </c>
      <c r="I8031" t="s">
        <v>62</v>
      </c>
      <c r="J8031" t="s">
        <v>12808</v>
      </c>
      <c r="K8031" t="s">
        <v>14119</v>
      </c>
      <c r="L8031" t="s">
        <v>53</v>
      </c>
      <c r="N8031" t="s">
        <v>15064</v>
      </c>
      <c r="P8031" t="s">
        <v>55</v>
      </c>
      <c r="R8031" t="s">
        <v>56</v>
      </c>
      <c r="T8031" t="s">
        <v>15065</v>
      </c>
      <c r="U8031" t="s">
        <v>55</v>
      </c>
      <c r="V8031">
        <v>1</v>
      </c>
      <c r="W8031">
        <v>1</v>
      </c>
      <c r="X8031">
        <v>2</v>
      </c>
      <c r="Y8031">
        <v>0</v>
      </c>
      <c r="Z8031">
        <v>2</v>
      </c>
      <c r="AA8031">
        <v>71.44</v>
      </c>
      <c r="AB8031">
        <v>76.44</v>
      </c>
      <c r="AC8031">
        <v>71.44</v>
      </c>
      <c r="AD8031">
        <v>5</v>
      </c>
      <c r="AE8031">
        <v>0.48</v>
      </c>
      <c r="AF8031">
        <v>0</v>
      </c>
      <c r="AG8031">
        <v>0</v>
      </c>
      <c r="AH8031">
        <v>0</v>
      </c>
      <c r="AI8031">
        <v>13.85</v>
      </c>
      <c r="AJ8031">
        <v>76.92</v>
      </c>
      <c r="AK8031">
        <v>0.48</v>
      </c>
      <c r="AL8031" t="s">
        <v>53</v>
      </c>
      <c r="AM8031" t="s">
        <v>53</v>
      </c>
      <c r="AN8031" t="s">
        <v>15066</v>
      </c>
      <c r="AO8031" t="s">
        <v>53</v>
      </c>
      <c r="AP8031" t="s">
        <v>53</v>
      </c>
    </row>
    <row r="8032" spans="2:42" x14ac:dyDescent="0.2">
      <c r="B8032" t="s">
        <v>44</v>
      </c>
      <c r="C8032" t="str">
        <f>HYPERLINK("https://us2.cloudbeds.com/connect/8493803454333002#/reservations/210311660769472?display=4HHZWD1GYF&amp;reservation_id=210311660769472", "4HHZWD1GYF")</f>
        <v>4HHZWD1GYF</v>
      </c>
      <c r="D8032" t="s">
        <v>45</v>
      </c>
      <c r="E8032" t="s">
        <v>69</v>
      </c>
      <c r="F8032" t="s">
        <v>70</v>
      </c>
      <c r="G8032" t="s">
        <v>48</v>
      </c>
      <c r="H8032" t="s">
        <v>3957</v>
      </c>
      <c r="I8032" t="s">
        <v>3975</v>
      </c>
      <c r="J8032" t="s">
        <v>13572</v>
      </c>
      <c r="K8032" t="s">
        <v>14800</v>
      </c>
      <c r="L8032" t="s">
        <v>53</v>
      </c>
      <c r="P8032" t="s">
        <v>55</v>
      </c>
      <c r="R8032" t="s">
        <v>56</v>
      </c>
      <c r="T8032" t="s">
        <v>15067</v>
      </c>
      <c r="U8032" t="s">
        <v>58</v>
      </c>
      <c r="V8032">
        <v>1</v>
      </c>
      <c r="W8032">
        <v>1</v>
      </c>
      <c r="X8032">
        <v>1</v>
      </c>
      <c r="Y8032">
        <v>0</v>
      </c>
      <c r="Z8032">
        <v>1</v>
      </c>
      <c r="AA8032">
        <v>0</v>
      </c>
      <c r="AB8032">
        <v>86</v>
      </c>
      <c r="AC8032">
        <v>75</v>
      </c>
      <c r="AD8032">
        <v>0</v>
      </c>
      <c r="AE8032">
        <v>11</v>
      </c>
      <c r="AF8032">
        <v>0</v>
      </c>
      <c r="AG8032">
        <v>0</v>
      </c>
      <c r="AH8032">
        <v>0</v>
      </c>
      <c r="AI8032">
        <v>0</v>
      </c>
      <c r="AJ8032">
        <v>86</v>
      </c>
      <c r="AK8032">
        <v>0</v>
      </c>
      <c r="AL8032" t="s">
        <v>53</v>
      </c>
      <c r="AM8032" t="s">
        <v>53</v>
      </c>
      <c r="AN8032" t="s">
        <v>53</v>
      </c>
      <c r="AO8032" t="s">
        <v>53</v>
      </c>
      <c r="AP8032" t="s">
        <v>53</v>
      </c>
    </row>
    <row r="8033" spans="2:42" x14ac:dyDescent="0.2">
      <c r="B8033" t="s">
        <v>44</v>
      </c>
      <c r="C8033" t="str">
        <f>HYPERLINK("https://us2.cloudbeds.com/connect/8493803454333002#/reservations/9080486848204316?display=4HHR4HPD04&amp;reservation_id=9080486848204316", "4HHR4HPD04")</f>
        <v>4HHR4HPD04</v>
      </c>
      <c r="D8033" t="s">
        <v>45</v>
      </c>
      <c r="E8033" t="s">
        <v>69</v>
      </c>
      <c r="F8033" t="s">
        <v>70</v>
      </c>
      <c r="G8033" t="s">
        <v>48</v>
      </c>
      <c r="H8033" t="s">
        <v>49</v>
      </c>
      <c r="I8033" t="s">
        <v>8964</v>
      </c>
      <c r="J8033" t="s">
        <v>13587</v>
      </c>
      <c r="K8033" t="s">
        <v>13572</v>
      </c>
      <c r="L8033" t="s">
        <v>53</v>
      </c>
      <c r="N8033" t="s">
        <v>15068</v>
      </c>
      <c r="P8033" t="s">
        <v>55</v>
      </c>
      <c r="R8033" t="s">
        <v>53</v>
      </c>
      <c r="T8033" t="s">
        <v>15069</v>
      </c>
      <c r="U8033" t="s">
        <v>55</v>
      </c>
      <c r="V8033">
        <v>2</v>
      </c>
      <c r="W8033">
        <v>1</v>
      </c>
      <c r="X8033">
        <v>2</v>
      </c>
      <c r="Y8033">
        <v>0</v>
      </c>
      <c r="Z8033">
        <v>2</v>
      </c>
      <c r="AA8033">
        <v>0</v>
      </c>
      <c r="AB8033">
        <v>0</v>
      </c>
      <c r="AC8033">
        <v>168</v>
      </c>
      <c r="AD8033">
        <v>0</v>
      </c>
      <c r="AE8033">
        <v>0</v>
      </c>
      <c r="AF8033">
        <v>0</v>
      </c>
      <c r="AG8033">
        <v>0</v>
      </c>
      <c r="AH8033">
        <v>0</v>
      </c>
      <c r="AI8033">
        <v>25.2</v>
      </c>
      <c r="AJ8033">
        <v>168</v>
      </c>
      <c r="AK8033">
        <v>168</v>
      </c>
      <c r="AL8033" t="s">
        <v>53</v>
      </c>
      <c r="AM8033" t="s">
        <v>53</v>
      </c>
      <c r="AN8033" t="s">
        <v>53</v>
      </c>
      <c r="AO8033" t="s">
        <v>53</v>
      </c>
      <c r="AP8033" t="s">
        <v>53</v>
      </c>
    </row>
    <row r="8034" spans="2:42" x14ac:dyDescent="0.2">
      <c r="B8034" t="s">
        <v>44</v>
      </c>
      <c r="C8034" t="str">
        <f>HYPERLINK("https://us2.cloudbeds.com/connect/8493803454333002#/reservations/9080486848208483?display=4HYY8RRXZP&amp;reservation_id=9080486848208483", "4HYY8RRXZP")</f>
        <v>4HYY8RRXZP</v>
      </c>
      <c r="D8034" t="s">
        <v>45</v>
      </c>
      <c r="E8034" t="s">
        <v>121</v>
      </c>
      <c r="F8034" t="s">
        <v>86</v>
      </c>
      <c r="G8034" t="s">
        <v>48</v>
      </c>
      <c r="H8034" t="s">
        <v>49</v>
      </c>
      <c r="I8034" t="s">
        <v>50</v>
      </c>
      <c r="J8034" t="s">
        <v>13037</v>
      </c>
      <c r="K8034" t="s">
        <v>14176</v>
      </c>
      <c r="L8034" t="s">
        <v>53</v>
      </c>
      <c r="N8034" t="s">
        <v>15070</v>
      </c>
      <c r="P8034" t="s">
        <v>55</v>
      </c>
      <c r="R8034" t="s">
        <v>53</v>
      </c>
      <c r="T8034" t="s">
        <v>15071</v>
      </c>
      <c r="U8034" t="s">
        <v>55</v>
      </c>
      <c r="V8034">
        <v>1</v>
      </c>
      <c r="W8034">
        <v>1</v>
      </c>
      <c r="X8034">
        <v>2</v>
      </c>
      <c r="Y8034">
        <v>1</v>
      </c>
      <c r="Z8034">
        <v>3</v>
      </c>
      <c r="AA8034">
        <v>105.39</v>
      </c>
      <c r="AB8034">
        <v>105.39</v>
      </c>
      <c r="AC8034">
        <v>96.91</v>
      </c>
      <c r="AD8034">
        <v>0</v>
      </c>
      <c r="AE8034">
        <v>8.48</v>
      </c>
      <c r="AF8034">
        <v>0</v>
      </c>
      <c r="AG8034">
        <v>0</v>
      </c>
      <c r="AH8034">
        <v>0</v>
      </c>
      <c r="AI8034">
        <v>18.97</v>
      </c>
      <c r="AJ8034">
        <v>105.39</v>
      </c>
      <c r="AK8034">
        <v>0</v>
      </c>
      <c r="AL8034" t="s">
        <v>53</v>
      </c>
      <c r="AM8034" t="s">
        <v>53</v>
      </c>
      <c r="AN8034" t="s">
        <v>53</v>
      </c>
      <c r="AO8034" t="s">
        <v>53</v>
      </c>
      <c r="AP8034" t="s">
        <v>53</v>
      </c>
    </row>
    <row r="8035" spans="2:42" x14ac:dyDescent="0.2">
      <c r="B8035" t="s">
        <v>44</v>
      </c>
      <c r="C8035" t="str">
        <f>HYPERLINK("https://us2.cloudbeds.com/connect/8493803454333002#/reservations/9080486848208561?display=4HYN9Z73F5&amp;reservation_id=9080486848208561", "4HYN9Z73F5")</f>
        <v>4HYN9Z73F5</v>
      </c>
      <c r="D8035" t="s">
        <v>45</v>
      </c>
      <c r="E8035" t="s">
        <v>185</v>
      </c>
      <c r="F8035" t="s">
        <v>47</v>
      </c>
      <c r="G8035" t="s">
        <v>48</v>
      </c>
      <c r="H8035" t="s">
        <v>49</v>
      </c>
      <c r="I8035" t="s">
        <v>62</v>
      </c>
      <c r="J8035" t="s">
        <v>13825</v>
      </c>
      <c r="K8035" t="s">
        <v>13383</v>
      </c>
      <c r="L8035" t="s">
        <v>53</v>
      </c>
      <c r="N8035" t="s">
        <v>15072</v>
      </c>
      <c r="P8035" t="s">
        <v>55</v>
      </c>
      <c r="R8035" t="s">
        <v>56</v>
      </c>
      <c r="T8035" t="s">
        <v>15073</v>
      </c>
      <c r="U8035" t="s">
        <v>55</v>
      </c>
      <c r="V8035">
        <v>2</v>
      </c>
      <c r="W8035">
        <v>1</v>
      </c>
      <c r="X8035">
        <v>2</v>
      </c>
      <c r="Y8035">
        <v>0</v>
      </c>
      <c r="Z8035">
        <v>2</v>
      </c>
      <c r="AA8035">
        <v>148.13</v>
      </c>
      <c r="AB8035">
        <v>159.6</v>
      </c>
      <c r="AC8035">
        <v>148.13</v>
      </c>
      <c r="AD8035">
        <v>10</v>
      </c>
      <c r="AE8035">
        <v>1.47</v>
      </c>
      <c r="AF8035">
        <v>0</v>
      </c>
      <c r="AG8035">
        <v>0</v>
      </c>
      <c r="AH8035">
        <v>0</v>
      </c>
      <c r="AI8035">
        <v>28.73</v>
      </c>
      <c r="AJ8035">
        <v>159.6</v>
      </c>
      <c r="AK8035">
        <v>0</v>
      </c>
      <c r="AL8035" t="s">
        <v>53</v>
      </c>
      <c r="AM8035" t="s">
        <v>53</v>
      </c>
      <c r="AN8035" t="s">
        <v>15074</v>
      </c>
      <c r="AO8035" t="s">
        <v>53</v>
      </c>
      <c r="AP8035" t="s">
        <v>53</v>
      </c>
    </row>
    <row r="8036" spans="2:42" x14ac:dyDescent="0.2">
      <c r="B8036" t="s">
        <v>44</v>
      </c>
      <c r="C8036" t="str">
        <f>HYPERLINK("https://us2.cloudbeds.com/connect/8493803454333002#/reservations/210484471898240?display=4HYQQ3WR22&amp;reservation_id=210484471898240", "4HYQQ3WR22")</f>
        <v>4HYQQ3WR22</v>
      </c>
      <c r="D8036" t="s">
        <v>45</v>
      </c>
      <c r="E8036" t="s">
        <v>105</v>
      </c>
      <c r="F8036" t="s">
        <v>47</v>
      </c>
      <c r="G8036" t="s">
        <v>3974</v>
      </c>
      <c r="H8036" t="s">
        <v>3957</v>
      </c>
      <c r="I8036" t="s">
        <v>3975</v>
      </c>
      <c r="J8036" t="s">
        <v>14637</v>
      </c>
      <c r="K8036" t="s">
        <v>15075</v>
      </c>
      <c r="L8036" t="s">
        <v>53</v>
      </c>
      <c r="P8036" t="s">
        <v>55</v>
      </c>
      <c r="R8036" t="s">
        <v>56</v>
      </c>
      <c r="T8036" t="s">
        <v>15076</v>
      </c>
      <c r="U8036" t="s">
        <v>58</v>
      </c>
      <c r="V8036">
        <v>2</v>
      </c>
      <c r="W8036">
        <v>1</v>
      </c>
      <c r="X8036">
        <v>2</v>
      </c>
      <c r="Y8036">
        <v>0</v>
      </c>
      <c r="Z8036">
        <v>2</v>
      </c>
      <c r="AA8036">
        <v>356.17</v>
      </c>
      <c r="AB8036">
        <v>356.17</v>
      </c>
      <c r="AC8036">
        <v>310.64999999999998</v>
      </c>
      <c r="AD8036">
        <v>0</v>
      </c>
      <c r="AE8036">
        <v>45.52</v>
      </c>
      <c r="AF8036">
        <v>0</v>
      </c>
      <c r="AG8036">
        <v>0</v>
      </c>
      <c r="AH8036">
        <v>0</v>
      </c>
      <c r="AI8036">
        <v>0</v>
      </c>
      <c r="AJ8036">
        <v>356.17</v>
      </c>
      <c r="AK8036">
        <v>0</v>
      </c>
      <c r="AL8036" t="s">
        <v>53</v>
      </c>
      <c r="AM8036" t="s">
        <v>53</v>
      </c>
      <c r="AN8036" t="s">
        <v>53</v>
      </c>
      <c r="AO8036" t="s">
        <v>53</v>
      </c>
      <c r="AP8036" t="s">
        <v>53</v>
      </c>
    </row>
    <row r="8037" spans="2:42" x14ac:dyDescent="0.2">
      <c r="B8037" t="s">
        <v>44</v>
      </c>
      <c r="C8037" t="str">
        <f>HYPERLINK("https://us2.cloudbeds.com/connect/8493803454333002#/reservations/9080486848208823?display=4HYRPAEJ9E&amp;reservation_id=9080486848208823", "4HYRPAEJ9E")</f>
        <v>4HYRPAEJ9E</v>
      </c>
      <c r="D8037" t="s">
        <v>45</v>
      </c>
      <c r="E8037" t="s">
        <v>406</v>
      </c>
      <c r="F8037" t="s">
        <v>61</v>
      </c>
      <c r="G8037" t="s">
        <v>48</v>
      </c>
      <c r="H8037" t="s">
        <v>49</v>
      </c>
      <c r="I8037" t="s">
        <v>50</v>
      </c>
      <c r="J8037" t="s">
        <v>13587</v>
      </c>
      <c r="K8037" t="s">
        <v>13572</v>
      </c>
      <c r="L8037" t="s">
        <v>53</v>
      </c>
      <c r="N8037" t="s">
        <v>15077</v>
      </c>
      <c r="P8037" t="s">
        <v>55</v>
      </c>
      <c r="R8037" t="s">
        <v>53</v>
      </c>
      <c r="T8037" t="s">
        <v>15078</v>
      </c>
      <c r="U8037" t="s">
        <v>58</v>
      </c>
      <c r="V8037">
        <v>2</v>
      </c>
      <c r="W8037">
        <v>1</v>
      </c>
      <c r="X8037">
        <v>2</v>
      </c>
      <c r="Y8037">
        <v>0</v>
      </c>
      <c r="Z8037">
        <v>2</v>
      </c>
      <c r="AA8037">
        <v>194.42</v>
      </c>
      <c r="AB8037">
        <v>194.42</v>
      </c>
      <c r="AC8037">
        <v>169.58</v>
      </c>
      <c r="AD8037">
        <v>0</v>
      </c>
      <c r="AE8037">
        <v>24.84</v>
      </c>
      <c r="AF8037">
        <v>0</v>
      </c>
      <c r="AG8037">
        <v>0</v>
      </c>
      <c r="AH8037">
        <v>0</v>
      </c>
      <c r="AI8037">
        <v>35</v>
      </c>
      <c r="AJ8037">
        <v>194.42</v>
      </c>
      <c r="AK8037">
        <v>0</v>
      </c>
      <c r="AL8037" t="s">
        <v>53</v>
      </c>
      <c r="AM8037" t="s">
        <v>53</v>
      </c>
      <c r="AN8037" t="s">
        <v>15079</v>
      </c>
      <c r="AO8037" t="s">
        <v>53</v>
      </c>
      <c r="AP8037" t="s">
        <v>53</v>
      </c>
    </row>
    <row r="8038" spans="2:42" x14ac:dyDescent="0.2">
      <c r="B8038" t="s">
        <v>44</v>
      </c>
      <c r="C8038" t="str">
        <f>HYPERLINK("https://us2.cloudbeds.com/connect/8493803454333002#/reservations/210489135136896?display=4HYUD94S5T&amp;reservation_id=210489135136896", "4HYUD94S5T")</f>
        <v>4HYUD94S5T</v>
      </c>
      <c r="D8038" t="s">
        <v>45</v>
      </c>
      <c r="E8038" t="s">
        <v>305</v>
      </c>
      <c r="F8038" t="s">
        <v>61</v>
      </c>
      <c r="G8038" t="s">
        <v>48</v>
      </c>
      <c r="H8038" t="s">
        <v>3957</v>
      </c>
      <c r="I8038" t="s">
        <v>3958</v>
      </c>
      <c r="J8038" t="s">
        <v>12808</v>
      </c>
      <c r="K8038" t="s">
        <v>13587</v>
      </c>
      <c r="L8038" t="s">
        <v>53</v>
      </c>
      <c r="P8038" t="s">
        <v>55</v>
      </c>
      <c r="R8038" t="s">
        <v>56</v>
      </c>
      <c r="T8038" t="s">
        <v>15080</v>
      </c>
      <c r="U8038" t="s">
        <v>58</v>
      </c>
      <c r="V8038">
        <v>3</v>
      </c>
      <c r="W8038">
        <v>1</v>
      </c>
      <c r="X8038">
        <v>1</v>
      </c>
      <c r="Y8038">
        <v>0</v>
      </c>
      <c r="Z8038">
        <v>1</v>
      </c>
      <c r="AA8038">
        <v>288.93</v>
      </c>
      <c r="AB8038">
        <v>292.22000000000003</v>
      </c>
      <c r="AC8038">
        <v>252</v>
      </c>
      <c r="AD8038">
        <v>3</v>
      </c>
      <c r="AE8038">
        <v>37.22</v>
      </c>
      <c r="AF8038">
        <v>0</v>
      </c>
      <c r="AG8038">
        <v>0</v>
      </c>
      <c r="AH8038">
        <v>0</v>
      </c>
      <c r="AI8038">
        <v>0</v>
      </c>
      <c r="AJ8038">
        <v>292.22000000000003</v>
      </c>
      <c r="AK8038">
        <v>0</v>
      </c>
      <c r="AL8038" t="s">
        <v>53</v>
      </c>
      <c r="AM8038" t="s">
        <v>53</v>
      </c>
      <c r="AN8038" t="s">
        <v>53</v>
      </c>
      <c r="AO8038" t="s">
        <v>53</v>
      </c>
      <c r="AP8038" t="s">
        <v>53</v>
      </c>
    </row>
    <row r="8039" spans="2:42" x14ac:dyDescent="0.2">
      <c r="B8039" t="s">
        <v>44</v>
      </c>
      <c r="C8039" t="str">
        <f>HYPERLINK("https://us2.cloudbeds.com/connect/8493803454333002#/reservations/9080486848209641?display=4HM5TNVJAW&amp;reservation_id=9080486848209641", "4HM5TNVJAW")</f>
        <v>4HM5TNVJAW</v>
      </c>
      <c r="D8039" t="s">
        <v>45</v>
      </c>
      <c r="E8039" t="s">
        <v>265</v>
      </c>
      <c r="F8039" t="s">
        <v>61</v>
      </c>
      <c r="G8039" t="s">
        <v>48</v>
      </c>
      <c r="H8039" t="s">
        <v>49</v>
      </c>
      <c r="I8039" t="s">
        <v>62</v>
      </c>
      <c r="J8039" t="s">
        <v>12808</v>
      </c>
      <c r="K8039" t="s">
        <v>14119</v>
      </c>
      <c r="L8039" t="s">
        <v>53</v>
      </c>
      <c r="N8039" t="s">
        <v>15081</v>
      </c>
      <c r="P8039" t="s">
        <v>55</v>
      </c>
      <c r="R8039" t="s">
        <v>56</v>
      </c>
      <c r="T8039" t="s">
        <v>15082</v>
      </c>
      <c r="U8039" t="s">
        <v>55</v>
      </c>
      <c r="V8039">
        <v>1</v>
      </c>
      <c r="W8039">
        <v>1</v>
      </c>
      <c r="X8039">
        <v>2</v>
      </c>
      <c r="Y8039">
        <v>0</v>
      </c>
      <c r="Z8039">
        <v>2</v>
      </c>
      <c r="AA8039">
        <v>71.44</v>
      </c>
      <c r="AB8039">
        <v>71.44</v>
      </c>
      <c r="AC8039">
        <v>71.44</v>
      </c>
      <c r="AD8039">
        <v>0</v>
      </c>
      <c r="AE8039">
        <v>0</v>
      </c>
      <c r="AF8039">
        <v>0</v>
      </c>
      <c r="AG8039">
        <v>0</v>
      </c>
      <c r="AH8039">
        <v>0</v>
      </c>
      <c r="AI8039">
        <v>12.86</v>
      </c>
      <c r="AJ8039">
        <v>71.44</v>
      </c>
      <c r="AK8039">
        <v>0</v>
      </c>
      <c r="AL8039" t="s">
        <v>53</v>
      </c>
      <c r="AM8039" t="s">
        <v>53</v>
      </c>
      <c r="AN8039" t="s">
        <v>15083</v>
      </c>
      <c r="AO8039" t="s">
        <v>53</v>
      </c>
      <c r="AP8039" t="s">
        <v>53</v>
      </c>
    </row>
    <row r="8040" spans="2:42" x14ac:dyDescent="0.2">
      <c r="B8040" t="s">
        <v>44</v>
      </c>
      <c r="C8040" t="str">
        <f>HYPERLINK("https://us2.cloudbeds.com/connect/8493803454333002#/reservations/210501144412288?display=4HM6N4MP14&amp;reservation_id=210501144412288", "4HM6N4MP14")</f>
        <v>4HM6N4MP14</v>
      </c>
      <c r="D8040" t="s">
        <v>45</v>
      </c>
      <c r="E8040" t="s">
        <v>92</v>
      </c>
      <c r="F8040" t="s">
        <v>86</v>
      </c>
      <c r="G8040" t="s">
        <v>48</v>
      </c>
      <c r="H8040" t="s">
        <v>3957</v>
      </c>
      <c r="I8040" t="s">
        <v>3975</v>
      </c>
      <c r="J8040" t="s">
        <v>14176</v>
      </c>
      <c r="K8040" t="s">
        <v>13038</v>
      </c>
      <c r="L8040" t="s">
        <v>53</v>
      </c>
      <c r="P8040" t="s">
        <v>55</v>
      </c>
      <c r="R8040" t="s">
        <v>56</v>
      </c>
      <c r="T8040" t="s">
        <v>15084</v>
      </c>
      <c r="U8040" t="s">
        <v>58</v>
      </c>
      <c r="V8040">
        <v>1</v>
      </c>
      <c r="W8040">
        <v>1</v>
      </c>
      <c r="X8040">
        <v>2</v>
      </c>
      <c r="Y8040">
        <v>0</v>
      </c>
      <c r="Z8040">
        <v>2</v>
      </c>
      <c r="AA8040">
        <v>157.07</v>
      </c>
      <c r="AB8040">
        <v>157.07</v>
      </c>
      <c r="AC8040">
        <v>137</v>
      </c>
      <c r="AD8040">
        <v>0</v>
      </c>
      <c r="AE8040">
        <v>20.07</v>
      </c>
      <c r="AF8040">
        <v>0</v>
      </c>
      <c r="AG8040">
        <v>0</v>
      </c>
      <c r="AH8040">
        <v>0</v>
      </c>
      <c r="AI8040">
        <v>0</v>
      </c>
      <c r="AJ8040">
        <v>157.07</v>
      </c>
      <c r="AK8040">
        <v>0</v>
      </c>
      <c r="AL8040" t="s">
        <v>53</v>
      </c>
      <c r="AM8040" t="s">
        <v>53</v>
      </c>
      <c r="AN8040" t="s">
        <v>53</v>
      </c>
      <c r="AO8040" t="s">
        <v>53</v>
      </c>
      <c r="AP8040" t="s">
        <v>53</v>
      </c>
    </row>
    <row r="8041" spans="2:42" x14ac:dyDescent="0.2">
      <c r="B8041" t="s">
        <v>44</v>
      </c>
      <c r="C8041" t="str">
        <f>HYPERLINK("https://us2.cloudbeds.com/connect/8493803454333002#/reservations/9080486848209961?display=4HMCGQ189D&amp;reservation_id=9080486848209961", "4HMCGQ189D")</f>
        <v>4HMCGQ189D</v>
      </c>
      <c r="D8041" t="s">
        <v>45</v>
      </c>
      <c r="E8041" t="s">
        <v>138</v>
      </c>
      <c r="F8041" t="s">
        <v>70</v>
      </c>
      <c r="G8041" t="s">
        <v>48</v>
      </c>
      <c r="H8041" t="s">
        <v>49</v>
      </c>
      <c r="I8041" t="s">
        <v>62</v>
      </c>
      <c r="J8041" t="s">
        <v>12808</v>
      </c>
      <c r="K8041" t="s">
        <v>14119</v>
      </c>
      <c r="L8041" t="s">
        <v>53</v>
      </c>
      <c r="N8041" t="s">
        <v>15085</v>
      </c>
      <c r="P8041" t="s">
        <v>55</v>
      </c>
      <c r="R8041" t="s">
        <v>56</v>
      </c>
      <c r="T8041" t="s">
        <v>15086</v>
      </c>
      <c r="U8041" t="s">
        <v>55</v>
      </c>
      <c r="V8041">
        <v>1</v>
      </c>
      <c r="W8041">
        <v>1</v>
      </c>
      <c r="X8041">
        <v>1</v>
      </c>
      <c r="Y8041">
        <v>0</v>
      </c>
      <c r="Z8041">
        <v>1</v>
      </c>
      <c r="AA8041">
        <v>66.94</v>
      </c>
      <c r="AB8041">
        <v>66.94</v>
      </c>
      <c r="AC8041">
        <v>66.94</v>
      </c>
      <c r="AD8041">
        <v>0</v>
      </c>
      <c r="AE8041">
        <v>0</v>
      </c>
      <c r="AF8041">
        <v>0</v>
      </c>
      <c r="AG8041">
        <v>0</v>
      </c>
      <c r="AH8041">
        <v>0</v>
      </c>
      <c r="AI8041">
        <v>12.05</v>
      </c>
      <c r="AJ8041">
        <v>66.94</v>
      </c>
      <c r="AK8041">
        <v>0</v>
      </c>
      <c r="AL8041" t="s">
        <v>53</v>
      </c>
      <c r="AM8041" t="s">
        <v>53</v>
      </c>
      <c r="AN8041" t="s">
        <v>53</v>
      </c>
      <c r="AO8041" t="s">
        <v>53</v>
      </c>
      <c r="AP8041" t="s">
        <v>53</v>
      </c>
    </row>
    <row r="8042" spans="2:42" x14ac:dyDescent="0.2">
      <c r="B8042" t="s">
        <v>44</v>
      </c>
      <c r="C8042" t="str">
        <f>HYPERLINK("https://us2.cloudbeds.com/connect/8493803454333002#/reservations/9080486848210082?display=4HMF3M5351&amp;reservation_id=9080486848210082", "4HMF3M5351")</f>
        <v>4HMF3M5351</v>
      </c>
      <c r="D8042" t="s">
        <v>45</v>
      </c>
      <c r="E8042" t="s">
        <v>373</v>
      </c>
      <c r="F8042" t="s">
        <v>47</v>
      </c>
      <c r="G8042" t="s">
        <v>48</v>
      </c>
      <c r="H8042" t="s">
        <v>49</v>
      </c>
      <c r="I8042" t="s">
        <v>62</v>
      </c>
      <c r="J8042" t="s">
        <v>12808</v>
      </c>
      <c r="K8042" t="s">
        <v>14119</v>
      </c>
      <c r="L8042" t="s">
        <v>53</v>
      </c>
      <c r="N8042" t="s">
        <v>15087</v>
      </c>
      <c r="P8042" t="s">
        <v>55</v>
      </c>
      <c r="R8042" t="s">
        <v>56</v>
      </c>
      <c r="T8042" t="s">
        <v>15088</v>
      </c>
      <c r="U8042" t="s">
        <v>55</v>
      </c>
      <c r="V8042">
        <v>1</v>
      </c>
      <c r="W8042">
        <v>1</v>
      </c>
      <c r="X8042">
        <v>1</v>
      </c>
      <c r="Y8042">
        <v>0</v>
      </c>
      <c r="Z8042">
        <v>1</v>
      </c>
      <c r="AA8042">
        <v>68.040000000000006</v>
      </c>
      <c r="AB8042">
        <v>68.040000000000006</v>
      </c>
      <c r="AC8042">
        <v>68.040000000000006</v>
      </c>
      <c r="AD8042">
        <v>0</v>
      </c>
      <c r="AE8042">
        <v>0</v>
      </c>
      <c r="AF8042">
        <v>0</v>
      </c>
      <c r="AG8042">
        <v>0</v>
      </c>
      <c r="AH8042">
        <v>0</v>
      </c>
      <c r="AI8042">
        <v>12.25</v>
      </c>
      <c r="AJ8042">
        <v>68.040000000000006</v>
      </c>
      <c r="AK8042">
        <v>0</v>
      </c>
      <c r="AL8042" t="s">
        <v>53</v>
      </c>
      <c r="AM8042" t="s">
        <v>53</v>
      </c>
      <c r="AN8042" t="s">
        <v>53</v>
      </c>
      <c r="AO8042" t="s">
        <v>53</v>
      </c>
      <c r="AP8042" t="s">
        <v>53</v>
      </c>
    </row>
    <row r="8043" spans="2:42" x14ac:dyDescent="0.2">
      <c r="B8043" t="s">
        <v>44</v>
      </c>
      <c r="C8043" t="str">
        <f>HYPERLINK("https://us2.cloudbeds.com/connect/8493803454333002#/reservations/9080486848210275?display=4HMXVW53UV&amp;reservation_id=9080486848210275", "4HMXVW53UV")</f>
        <v>4HMXVW53UV</v>
      </c>
      <c r="D8043" t="s">
        <v>45</v>
      </c>
      <c r="E8043" t="s">
        <v>138</v>
      </c>
      <c r="F8043" t="s">
        <v>70</v>
      </c>
      <c r="G8043" t="s">
        <v>48</v>
      </c>
      <c r="H8043" t="s">
        <v>49</v>
      </c>
      <c r="I8043" t="s">
        <v>62</v>
      </c>
      <c r="J8043" t="s">
        <v>13573</v>
      </c>
      <c r="K8043" t="s">
        <v>14502</v>
      </c>
      <c r="L8043" t="s">
        <v>53</v>
      </c>
      <c r="N8043" t="s">
        <v>15089</v>
      </c>
      <c r="P8043" t="s">
        <v>55</v>
      </c>
      <c r="R8043" t="s">
        <v>56</v>
      </c>
      <c r="T8043" t="s">
        <v>15090</v>
      </c>
      <c r="U8043" t="s">
        <v>55</v>
      </c>
      <c r="V8043">
        <v>1</v>
      </c>
      <c r="W8043">
        <v>1</v>
      </c>
      <c r="X8043">
        <v>1</v>
      </c>
      <c r="Y8043">
        <v>0</v>
      </c>
      <c r="Z8043">
        <v>1</v>
      </c>
      <c r="AA8043">
        <v>66.94</v>
      </c>
      <c r="AB8043">
        <v>66.94</v>
      </c>
      <c r="AC8043">
        <v>66.94</v>
      </c>
      <c r="AD8043">
        <v>0</v>
      </c>
      <c r="AE8043">
        <v>0</v>
      </c>
      <c r="AF8043">
        <v>0</v>
      </c>
      <c r="AG8043">
        <v>0</v>
      </c>
      <c r="AH8043">
        <v>0</v>
      </c>
      <c r="AI8043">
        <v>12.05</v>
      </c>
      <c r="AJ8043">
        <v>66.94</v>
      </c>
      <c r="AK8043">
        <v>0</v>
      </c>
      <c r="AL8043" t="s">
        <v>53</v>
      </c>
      <c r="AM8043" t="s">
        <v>53</v>
      </c>
      <c r="AN8043" t="s">
        <v>15091</v>
      </c>
      <c r="AO8043" t="s">
        <v>53</v>
      </c>
      <c r="AP8043" t="s">
        <v>53</v>
      </c>
    </row>
    <row r="8044" spans="2:42" x14ac:dyDescent="0.2">
      <c r="B8044" t="s">
        <v>44</v>
      </c>
      <c r="C8044" t="str">
        <f>HYPERLINK("https://us2.cloudbeds.com/connect/8493803454333002#/reservations/9080486848210396?display=4HMYX0B03W&amp;reservation_id=9080486848210396", "4HMYX0B03W")</f>
        <v>4HMYX0B03W</v>
      </c>
      <c r="D8044" t="s">
        <v>45</v>
      </c>
      <c r="E8044" t="s">
        <v>98</v>
      </c>
      <c r="F8044" t="s">
        <v>86</v>
      </c>
      <c r="G8044" t="s">
        <v>48</v>
      </c>
      <c r="H8044" t="s">
        <v>49</v>
      </c>
      <c r="I8044" t="s">
        <v>62</v>
      </c>
      <c r="J8044" t="s">
        <v>14119</v>
      </c>
      <c r="K8044" t="s">
        <v>13985</v>
      </c>
      <c r="L8044" t="s">
        <v>53</v>
      </c>
      <c r="N8044" t="s">
        <v>15092</v>
      </c>
      <c r="P8044" t="s">
        <v>55</v>
      </c>
      <c r="R8044" t="s">
        <v>56</v>
      </c>
      <c r="T8044" t="s">
        <v>15093</v>
      </c>
      <c r="U8044" t="s">
        <v>55</v>
      </c>
      <c r="V8044">
        <v>1</v>
      </c>
      <c r="W8044">
        <v>1</v>
      </c>
      <c r="X8044">
        <v>2</v>
      </c>
      <c r="Y8044">
        <v>0</v>
      </c>
      <c r="Z8044">
        <v>2</v>
      </c>
      <c r="AA8044">
        <v>79.95</v>
      </c>
      <c r="AB8044">
        <v>79.95</v>
      </c>
      <c r="AC8044">
        <v>79.95</v>
      </c>
      <c r="AD8044">
        <v>0</v>
      </c>
      <c r="AE8044">
        <v>0</v>
      </c>
      <c r="AF8044">
        <v>0</v>
      </c>
      <c r="AG8044">
        <v>0</v>
      </c>
      <c r="AH8044">
        <v>0</v>
      </c>
      <c r="AI8044">
        <v>14.39</v>
      </c>
      <c r="AJ8044">
        <v>79.95</v>
      </c>
      <c r="AK8044">
        <v>0</v>
      </c>
      <c r="AL8044" t="s">
        <v>53</v>
      </c>
      <c r="AM8044" t="s">
        <v>53</v>
      </c>
      <c r="AN8044" t="s">
        <v>15094</v>
      </c>
      <c r="AO8044" t="s">
        <v>53</v>
      </c>
      <c r="AP8044" t="s">
        <v>53</v>
      </c>
    </row>
    <row r="8045" spans="2:42" x14ac:dyDescent="0.2">
      <c r="B8045" t="s">
        <v>44</v>
      </c>
      <c r="C8045" t="str">
        <f>HYPERLINK("https://us2.cloudbeds.com/connect/8493803454333002#/reservations/210542153539776?display=4HN5F0YNSZ&amp;reservation_id=210542153539776", "4HN5F0YNSZ")</f>
        <v>4HN5F0YNSZ</v>
      </c>
      <c r="D8045" t="s">
        <v>45</v>
      </c>
      <c r="E8045" t="s">
        <v>14402</v>
      </c>
      <c r="F8045" t="s">
        <v>14403</v>
      </c>
      <c r="G8045" t="s">
        <v>48</v>
      </c>
      <c r="H8045" t="s">
        <v>3957</v>
      </c>
      <c r="I8045" t="s">
        <v>3975</v>
      </c>
      <c r="J8045" t="s">
        <v>12808</v>
      </c>
      <c r="K8045" t="s">
        <v>13985</v>
      </c>
      <c r="L8045" t="s">
        <v>53</v>
      </c>
      <c r="P8045" t="s">
        <v>55</v>
      </c>
      <c r="R8045" t="s">
        <v>56</v>
      </c>
      <c r="T8045" t="s">
        <v>15095</v>
      </c>
      <c r="U8045" t="s">
        <v>58</v>
      </c>
      <c r="V8045">
        <v>2</v>
      </c>
      <c r="W8045">
        <v>1</v>
      </c>
      <c r="X8045">
        <v>2</v>
      </c>
      <c r="Y8045">
        <v>0</v>
      </c>
      <c r="Z8045">
        <v>2</v>
      </c>
      <c r="AA8045">
        <v>199.5</v>
      </c>
      <c r="AB8045">
        <v>199.5</v>
      </c>
      <c r="AC8045">
        <v>174</v>
      </c>
      <c r="AD8045">
        <v>0</v>
      </c>
      <c r="AE8045">
        <v>25.5</v>
      </c>
      <c r="AF8045">
        <v>0</v>
      </c>
      <c r="AG8045">
        <v>0</v>
      </c>
      <c r="AH8045">
        <v>0</v>
      </c>
      <c r="AI8045">
        <v>0</v>
      </c>
      <c r="AJ8045">
        <v>199.5</v>
      </c>
      <c r="AK8045">
        <v>0</v>
      </c>
      <c r="AL8045" t="s">
        <v>53</v>
      </c>
      <c r="AM8045" t="s">
        <v>53</v>
      </c>
      <c r="AN8045" t="s">
        <v>15096</v>
      </c>
      <c r="AO8045" t="s">
        <v>53</v>
      </c>
      <c r="AP8045" t="s">
        <v>53</v>
      </c>
    </row>
    <row r="8046" spans="2:42" x14ac:dyDescent="0.2">
      <c r="B8046" t="s">
        <v>44</v>
      </c>
      <c r="C8046" t="str">
        <f>HYPERLINK("https://us2.cloudbeds.com/connect/8493803454333002#/reservations/9080486848211375?display=4HN8ZHX1F1&amp;reservation_id=9080486848211375", "4HN8ZHX1F1")</f>
        <v>4HN8ZHX1F1</v>
      </c>
      <c r="D8046" t="s">
        <v>45</v>
      </c>
      <c r="E8046" t="s">
        <v>155</v>
      </c>
      <c r="F8046" t="s">
        <v>86</v>
      </c>
      <c r="G8046" t="s">
        <v>48</v>
      </c>
      <c r="H8046" t="s">
        <v>49</v>
      </c>
      <c r="I8046" t="s">
        <v>8964</v>
      </c>
      <c r="J8046" t="s">
        <v>12808</v>
      </c>
      <c r="K8046" t="s">
        <v>14119</v>
      </c>
      <c r="L8046" t="s">
        <v>53</v>
      </c>
      <c r="N8046" t="s">
        <v>15097</v>
      </c>
      <c r="P8046" t="s">
        <v>55</v>
      </c>
      <c r="R8046" t="s">
        <v>53</v>
      </c>
      <c r="T8046" t="s">
        <v>15098</v>
      </c>
      <c r="U8046" t="s">
        <v>55</v>
      </c>
      <c r="V8046">
        <v>1</v>
      </c>
      <c r="W8046">
        <v>1</v>
      </c>
      <c r="X8046">
        <v>2</v>
      </c>
      <c r="Y8046">
        <v>0</v>
      </c>
      <c r="Z8046">
        <v>2</v>
      </c>
      <c r="AA8046">
        <v>0</v>
      </c>
      <c r="AB8046">
        <v>0</v>
      </c>
      <c r="AC8046">
        <v>105</v>
      </c>
      <c r="AD8046">
        <v>0</v>
      </c>
      <c r="AE8046">
        <v>0</v>
      </c>
      <c r="AF8046">
        <v>0</v>
      </c>
      <c r="AG8046">
        <v>0</v>
      </c>
      <c r="AH8046">
        <v>0</v>
      </c>
      <c r="AI8046">
        <v>15.75</v>
      </c>
      <c r="AJ8046">
        <v>105</v>
      </c>
      <c r="AK8046">
        <v>105</v>
      </c>
      <c r="AL8046" t="s">
        <v>53</v>
      </c>
      <c r="AM8046" t="s">
        <v>53</v>
      </c>
      <c r="AN8046" t="s">
        <v>53</v>
      </c>
      <c r="AO8046" t="s">
        <v>53</v>
      </c>
      <c r="AP8046" t="s">
        <v>53</v>
      </c>
    </row>
    <row r="8047" spans="2:42" x14ac:dyDescent="0.2">
      <c r="B8047" t="s">
        <v>44</v>
      </c>
      <c r="C8047" t="str">
        <f>HYPERLINK("https://us2.cloudbeds.com/connect/8493803454333002#/reservations/9080486848211867?display=4HNXXJMGTQ&amp;reservation_id=9080486848211867", "4HNXXJMGTQ")</f>
        <v>4HNXXJMGTQ</v>
      </c>
      <c r="D8047" t="s">
        <v>45</v>
      </c>
      <c r="E8047" t="s">
        <v>92</v>
      </c>
      <c r="F8047" t="s">
        <v>86</v>
      </c>
      <c r="G8047" t="s">
        <v>48</v>
      </c>
      <c r="H8047" t="s">
        <v>49</v>
      </c>
      <c r="I8047" t="s">
        <v>8964</v>
      </c>
      <c r="J8047" t="s">
        <v>14119</v>
      </c>
      <c r="K8047" t="s">
        <v>14443</v>
      </c>
      <c r="L8047" t="s">
        <v>53</v>
      </c>
      <c r="N8047" t="s">
        <v>15099</v>
      </c>
      <c r="P8047" t="s">
        <v>55</v>
      </c>
      <c r="R8047" t="s">
        <v>53</v>
      </c>
      <c r="T8047" t="s">
        <v>15100</v>
      </c>
      <c r="U8047" t="s">
        <v>55</v>
      </c>
      <c r="V8047">
        <v>3</v>
      </c>
      <c r="W8047">
        <v>1</v>
      </c>
      <c r="X8047">
        <v>2</v>
      </c>
      <c r="Y8047">
        <v>2</v>
      </c>
      <c r="Z8047">
        <v>4</v>
      </c>
      <c r="AA8047">
        <v>0</v>
      </c>
      <c r="AB8047">
        <v>0</v>
      </c>
      <c r="AC8047">
        <v>333</v>
      </c>
      <c r="AD8047">
        <v>0</v>
      </c>
      <c r="AE8047">
        <v>0</v>
      </c>
      <c r="AF8047">
        <v>0</v>
      </c>
      <c r="AG8047">
        <v>0</v>
      </c>
      <c r="AH8047">
        <v>0</v>
      </c>
      <c r="AI8047">
        <v>49.95</v>
      </c>
      <c r="AJ8047">
        <v>333</v>
      </c>
      <c r="AK8047">
        <v>333</v>
      </c>
      <c r="AL8047" t="s">
        <v>53</v>
      </c>
      <c r="AM8047" t="s">
        <v>53</v>
      </c>
      <c r="AN8047" t="s">
        <v>53</v>
      </c>
      <c r="AO8047" t="s">
        <v>53</v>
      </c>
      <c r="AP8047" t="s">
        <v>53</v>
      </c>
    </row>
    <row r="8048" spans="2:42" x14ac:dyDescent="0.2">
      <c r="B8048" t="s">
        <v>44</v>
      </c>
      <c r="C8048" t="str">
        <f>HYPERLINK("https://us2.cloudbeds.com/connect/8493803454333002#/reservations/210580887064768?display=4HZ2EZQGBN&amp;reservation_id=210580887064768", "4HZ2EZQGBN")</f>
        <v>4HZ2EZQGBN</v>
      </c>
      <c r="D8048" t="s">
        <v>45</v>
      </c>
      <c r="E8048" t="s">
        <v>381</v>
      </c>
      <c r="F8048" t="s">
        <v>47</v>
      </c>
      <c r="G8048" t="s">
        <v>48</v>
      </c>
      <c r="H8048" t="s">
        <v>3957</v>
      </c>
      <c r="I8048" t="s">
        <v>3975</v>
      </c>
      <c r="J8048" t="s">
        <v>12808</v>
      </c>
      <c r="K8048" t="s">
        <v>14119</v>
      </c>
      <c r="L8048" t="s">
        <v>53</v>
      </c>
      <c r="P8048" t="s">
        <v>55</v>
      </c>
      <c r="R8048" t="s">
        <v>56</v>
      </c>
      <c r="T8048" t="s">
        <v>15101</v>
      </c>
      <c r="U8048" t="s">
        <v>58</v>
      </c>
      <c r="V8048">
        <v>1</v>
      </c>
      <c r="W8048">
        <v>1</v>
      </c>
      <c r="X8048">
        <v>2</v>
      </c>
      <c r="Y8048">
        <v>0</v>
      </c>
      <c r="Z8048">
        <v>2</v>
      </c>
      <c r="AA8048">
        <v>91.72</v>
      </c>
      <c r="AB8048">
        <v>91.72</v>
      </c>
      <c r="AC8048">
        <v>80</v>
      </c>
      <c r="AD8048">
        <v>0</v>
      </c>
      <c r="AE8048">
        <v>11.72</v>
      </c>
      <c r="AF8048">
        <v>0</v>
      </c>
      <c r="AG8048">
        <v>0</v>
      </c>
      <c r="AH8048">
        <v>0</v>
      </c>
      <c r="AI8048">
        <v>0</v>
      </c>
      <c r="AJ8048">
        <v>91.72</v>
      </c>
      <c r="AK8048">
        <v>0</v>
      </c>
      <c r="AL8048" t="s">
        <v>53</v>
      </c>
      <c r="AM8048" t="s">
        <v>53</v>
      </c>
      <c r="AN8048" t="s">
        <v>53</v>
      </c>
      <c r="AO8048" t="s">
        <v>53</v>
      </c>
      <c r="AP8048" t="s">
        <v>53</v>
      </c>
    </row>
    <row r="8049" spans="2:42" x14ac:dyDescent="0.2">
      <c r="B8049" t="s">
        <v>44</v>
      </c>
      <c r="C8049" t="str">
        <f>HYPERLINK("https://us2.cloudbeds.com/connect/8493803454333002#/reservations/210614007615616?display=4HZS31VEPD&amp;reservation_id=210614007615616", "4HZS31VEPD")</f>
        <v>4HZS31VEPD</v>
      </c>
      <c r="D8049" t="s">
        <v>45</v>
      </c>
      <c r="E8049" t="s">
        <v>105</v>
      </c>
      <c r="F8049" t="s">
        <v>47</v>
      </c>
      <c r="G8049" t="s">
        <v>48</v>
      </c>
      <c r="H8049" t="s">
        <v>3957</v>
      </c>
      <c r="I8049" t="s">
        <v>3958</v>
      </c>
      <c r="J8049" t="s">
        <v>14119</v>
      </c>
      <c r="K8049" t="s">
        <v>13985</v>
      </c>
      <c r="L8049" t="s">
        <v>53</v>
      </c>
      <c r="P8049" t="s">
        <v>55</v>
      </c>
      <c r="R8049" t="s">
        <v>56</v>
      </c>
      <c r="T8049" t="s">
        <v>15102</v>
      </c>
      <c r="U8049" t="s">
        <v>58</v>
      </c>
      <c r="V8049">
        <v>1</v>
      </c>
      <c r="W8049">
        <v>1</v>
      </c>
      <c r="X8049">
        <v>1</v>
      </c>
      <c r="Y8049">
        <v>0</v>
      </c>
      <c r="Z8049">
        <v>1</v>
      </c>
      <c r="AA8049">
        <v>91.72</v>
      </c>
      <c r="AB8049">
        <v>110.52</v>
      </c>
      <c r="AC8049">
        <v>80</v>
      </c>
      <c r="AD8049">
        <v>2.5</v>
      </c>
      <c r="AE8049">
        <v>11.96</v>
      </c>
      <c r="AF8049">
        <v>0</v>
      </c>
      <c r="AG8049">
        <v>0</v>
      </c>
      <c r="AH8049">
        <v>0</v>
      </c>
      <c r="AI8049">
        <v>0</v>
      </c>
      <c r="AJ8049">
        <v>94.46</v>
      </c>
      <c r="AK8049">
        <v>-16.059999999999999</v>
      </c>
      <c r="AL8049" t="s">
        <v>53</v>
      </c>
      <c r="AM8049" t="s">
        <v>53</v>
      </c>
      <c r="AN8049" t="s">
        <v>53</v>
      </c>
      <c r="AO8049" t="s">
        <v>53</v>
      </c>
      <c r="AP8049" t="s">
        <v>53</v>
      </c>
    </row>
    <row r="8050" spans="2:42" x14ac:dyDescent="0.2">
      <c r="B8050" t="s">
        <v>44</v>
      </c>
      <c r="C8050" t="str">
        <f>HYPERLINK("https://us2.cloudbeds.com/connect/8493803454333002#/reservations/9080486848213555?display=4HZV8USA8W&amp;reservation_id=9080486848213555", "4HZV8USA8W")</f>
        <v>4HZV8USA8W</v>
      </c>
      <c r="D8050" t="s">
        <v>45</v>
      </c>
      <c r="E8050" t="s">
        <v>98</v>
      </c>
      <c r="F8050" t="s">
        <v>86</v>
      </c>
      <c r="G8050" t="s">
        <v>48</v>
      </c>
      <c r="H8050" t="s">
        <v>49</v>
      </c>
      <c r="I8050" t="s">
        <v>50</v>
      </c>
      <c r="J8050" t="s">
        <v>12808</v>
      </c>
      <c r="K8050" t="s">
        <v>14119</v>
      </c>
      <c r="L8050" t="s">
        <v>53</v>
      </c>
      <c r="N8050" t="s">
        <v>15103</v>
      </c>
      <c r="P8050" t="s">
        <v>55</v>
      </c>
      <c r="R8050" t="s">
        <v>53</v>
      </c>
      <c r="T8050" t="s">
        <v>15104</v>
      </c>
      <c r="U8050" t="s">
        <v>55</v>
      </c>
      <c r="V8050">
        <v>1</v>
      </c>
      <c r="W8050">
        <v>1</v>
      </c>
      <c r="X8050">
        <v>2</v>
      </c>
      <c r="Y8050">
        <v>2</v>
      </c>
      <c r="Z8050">
        <v>4</v>
      </c>
      <c r="AA8050">
        <v>71.290000000000006</v>
      </c>
      <c r="AB8050">
        <v>71.290000000000006</v>
      </c>
      <c r="AC8050">
        <v>65.56</v>
      </c>
      <c r="AD8050">
        <v>0</v>
      </c>
      <c r="AE8050">
        <v>5.73</v>
      </c>
      <c r="AF8050">
        <v>0</v>
      </c>
      <c r="AG8050">
        <v>0</v>
      </c>
      <c r="AH8050">
        <v>0</v>
      </c>
      <c r="AI8050">
        <v>12.83</v>
      </c>
      <c r="AJ8050">
        <v>71.290000000000006</v>
      </c>
      <c r="AK8050">
        <v>0</v>
      </c>
      <c r="AL8050" t="s">
        <v>53</v>
      </c>
      <c r="AM8050" t="s">
        <v>53</v>
      </c>
      <c r="AN8050" t="s">
        <v>53</v>
      </c>
      <c r="AO8050" t="s">
        <v>53</v>
      </c>
      <c r="AP8050" t="s">
        <v>53</v>
      </c>
    </row>
    <row r="8051" spans="2:42" x14ac:dyDescent="0.2">
      <c r="B8051" t="s">
        <v>44</v>
      </c>
      <c r="C8051" t="str">
        <f>HYPERLINK("https://us2.cloudbeds.com/connect/8493803454333002#/reservations/210625049120960?display=4HP3Y6EK0X&amp;reservation_id=210625049120960", "4HP3Y6EK0X")</f>
        <v>4HP3Y6EK0X</v>
      </c>
      <c r="D8051" t="s">
        <v>45</v>
      </c>
      <c r="E8051" t="s">
        <v>128</v>
      </c>
      <c r="F8051" t="s">
        <v>86</v>
      </c>
      <c r="G8051" t="s">
        <v>48</v>
      </c>
      <c r="H8051" t="s">
        <v>3957</v>
      </c>
      <c r="I8051" t="s">
        <v>3975</v>
      </c>
      <c r="J8051" t="s">
        <v>13572</v>
      </c>
      <c r="K8051" t="s">
        <v>14800</v>
      </c>
      <c r="L8051" t="s">
        <v>53</v>
      </c>
      <c r="P8051" t="s">
        <v>55</v>
      </c>
      <c r="R8051" t="s">
        <v>56</v>
      </c>
      <c r="T8051" t="s">
        <v>15105</v>
      </c>
      <c r="U8051" t="s">
        <v>58</v>
      </c>
      <c r="V8051">
        <v>1</v>
      </c>
      <c r="W8051">
        <v>1</v>
      </c>
      <c r="X8051">
        <v>3</v>
      </c>
      <c r="Y8051">
        <v>0</v>
      </c>
      <c r="Z8051">
        <v>3</v>
      </c>
      <c r="AA8051">
        <v>0</v>
      </c>
      <c r="AB8051">
        <v>107.78</v>
      </c>
      <c r="AC8051">
        <v>94</v>
      </c>
      <c r="AD8051">
        <v>0</v>
      </c>
      <c r="AE8051">
        <v>13.78</v>
      </c>
      <c r="AF8051">
        <v>0</v>
      </c>
      <c r="AG8051">
        <v>0</v>
      </c>
      <c r="AH8051">
        <v>0</v>
      </c>
      <c r="AI8051">
        <v>0</v>
      </c>
      <c r="AJ8051">
        <v>107.78</v>
      </c>
      <c r="AK8051">
        <v>0</v>
      </c>
      <c r="AL8051" t="s">
        <v>53</v>
      </c>
      <c r="AM8051" t="s">
        <v>53</v>
      </c>
      <c r="AN8051" t="s">
        <v>15106</v>
      </c>
      <c r="AO8051" t="s">
        <v>53</v>
      </c>
      <c r="AP8051" t="s">
        <v>53</v>
      </c>
    </row>
    <row r="8052" spans="2:42" x14ac:dyDescent="0.2">
      <c r="B8052" t="s">
        <v>44</v>
      </c>
      <c r="C8052" t="str">
        <f>HYPERLINK("https://us2.cloudbeds.com/connect/8493803454333002#/reservations/210626872271040?display=4HP51PPAUX&amp;reservation_id=210626872271040", "4HP51PPAUX")</f>
        <v>4HP51PPAUX</v>
      </c>
      <c r="D8052" t="s">
        <v>45</v>
      </c>
      <c r="E8052" t="s">
        <v>185</v>
      </c>
      <c r="F8052" t="s">
        <v>47</v>
      </c>
      <c r="G8052" t="s">
        <v>48</v>
      </c>
      <c r="H8052" t="s">
        <v>3957</v>
      </c>
      <c r="I8052" t="s">
        <v>3958</v>
      </c>
      <c r="J8052" t="s">
        <v>14119</v>
      </c>
      <c r="K8052" t="s">
        <v>13985</v>
      </c>
      <c r="L8052" t="s">
        <v>53</v>
      </c>
      <c r="P8052" t="s">
        <v>55</v>
      </c>
      <c r="R8052" t="s">
        <v>56</v>
      </c>
      <c r="T8052" t="s">
        <v>15107</v>
      </c>
      <c r="U8052" t="s">
        <v>58</v>
      </c>
      <c r="V8052">
        <v>1</v>
      </c>
      <c r="W8052">
        <v>1</v>
      </c>
      <c r="X8052">
        <v>1</v>
      </c>
      <c r="Y8052">
        <v>0</v>
      </c>
      <c r="Z8052">
        <v>1</v>
      </c>
      <c r="AA8052">
        <v>86</v>
      </c>
      <c r="AB8052">
        <v>91.72</v>
      </c>
      <c r="AC8052">
        <v>75</v>
      </c>
      <c r="AD8052">
        <v>0</v>
      </c>
      <c r="AE8052">
        <v>11</v>
      </c>
      <c r="AF8052">
        <v>0</v>
      </c>
      <c r="AG8052">
        <v>0</v>
      </c>
      <c r="AH8052">
        <v>0</v>
      </c>
      <c r="AI8052">
        <v>0</v>
      </c>
      <c r="AJ8052">
        <v>86</v>
      </c>
      <c r="AK8052">
        <v>-5.72</v>
      </c>
      <c r="AL8052" t="s">
        <v>53</v>
      </c>
      <c r="AM8052" t="s">
        <v>53</v>
      </c>
      <c r="AN8052" t="s">
        <v>53</v>
      </c>
      <c r="AO8052" t="s">
        <v>53</v>
      </c>
      <c r="AP8052" t="s">
        <v>53</v>
      </c>
    </row>
    <row r="8053" spans="2:42" x14ac:dyDescent="0.2">
      <c r="B8053" t="s">
        <v>44</v>
      </c>
      <c r="C8053" t="str">
        <f>HYPERLINK("https://us2.cloudbeds.com/connect/8493803454333002#/reservations/9080486848213832?display=4HP53BMH8H&amp;reservation_id=9080486848213832", "4HP53BMH8H")</f>
        <v>4HP53BMH8H</v>
      </c>
      <c r="D8053" t="s">
        <v>45</v>
      </c>
      <c r="E8053" t="s">
        <v>185</v>
      </c>
      <c r="F8053" t="s">
        <v>47</v>
      </c>
      <c r="G8053" t="s">
        <v>48</v>
      </c>
      <c r="H8053" t="s">
        <v>49</v>
      </c>
      <c r="I8053" t="s">
        <v>8964</v>
      </c>
      <c r="J8053" t="s">
        <v>14443</v>
      </c>
      <c r="K8053" t="s">
        <v>14800</v>
      </c>
      <c r="L8053" t="s">
        <v>53</v>
      </c>
      <c r="N8053" t="s">
        <v>15108</v>
      </c>
      <c r="P8053" t="s">
        <v>55</v>
      </c>
      <c r="R8053" t="s">
        <v>53</v>
      </c>
      <c r="T8053" t="s">
        <v>15109</v>
      </c>
      <c r="U8053" t="s">
        <v>55</v>
      </c>
      <c r="V8053">
        <v>2</v>
      </c>
      <c r="W8053">
        <v>1</v>
      </c>
      <c r="X8053">
        <v>2</v>
      </c>
      <c r="Y8053">
        <v>0</v>
      </c>
      <c r="Z8053">
        <v>2</v>
      </c>
      <c r="AA8053">
        <v>0</v>
      </c>
      <c r="AB8053">
        <v>0</v>
      </c>
      <c r="AC8053">
        <v>178</v>
      </c>
      <c r="AD8053">
        <v>0</v>
      </c>
      <c r="AE8053">
        <v>0</v>
      </c>
      <c r="AF8053">
        <v>0</v>
      </c>
      <c r="AG8053">
        <v>0</v>
      </c>
      <c r="AH8053">
        <v>0</v>
      </c>
      <c r="AI8053">
        <v>26.7</v>
      </c>
      <c r="AJ8053">
        <v>178</v>
      </c>
      <c r="AK8053">
        <v>178</v>
      </c>
      <c r="AL8053" t="s">
        <v>53</v>
      </c>
      <c r="AM8053" t="s">
        <v>53</v>
      </c>
      <c r="AN8053" t="s">
        <v>15110</v>
      </c>
      <c r="AO8053" t="s">
        <v>53</v>
      </c>
      <c r="AP8053" t="s">
        <v>53</v>
      </c>
    </row>
    <row r="8054" spans="2:42" x14ac:dyDescent="0.2">
      <c r="B8054" t="s">
        <v>44</v>
      </c>
      <c r="C8054" t="str">
        <f>HYPERLINK("https://us2.cloudbeds.com/connect/8493803454333002#/reservations/210638116982912?display=4HPDP3JEQE&amp;reservation_id=210638116982912", "4HPDP3JEQE")</f>
        <v>4HPDP3JEQE</v>
      </c>
      <c r="D8054" t="s">
        <v>45</v>
      </c>
      <c r="E8054" t="s">
        <v>113</v>
      </c>
      <c r="F8054" t="s">
        <v>61</v>
      </c>
      <c r="G8054" t="s">
        <v>48</v>
      </c>
      <c r="H8054" t="s">
        <v>3957</v>
      </c>
      <c r="I8054" t="s">
        <v>3975</v>
      </c>
      <c r="J8054" t="s">
        <v>14119</v>
      </c>
      <c r="K8054" t="s">
        <v>13985</v>
      </c>
      <c r="L8054" t="s">
        <v>53</v>
      </c>
      <c r="P8054" t="s">
        <v>55</v>
      </c>
      <c r="R8054" t="s">
        <v>56</v>
      </c>
      <c r="T8054" t="s">
        <v>15111</v>
      </c>
      <c r="U8054" t="s">
        <v>58</v>
      </c>
      <c r="V8054">
        <v>1</v>
      </c>
      <c r="W8054">
        <v>1</v>
      </c>
      <c r="X8054">
        <v>1</v>
      </c>
      <c r="Y8054">
        <v>0</v>
      </c>
      <c r="Z8054">
        <v>1</v>
      </c>
      <c r="AA8054">
        <v>96.31</v>
      </c>
      <c r="AB8054">
        <v>96.31</v>
      </c>
      <c r="AC8054">
        <v>84</v>
      </c>
      <c r="AD8054">
        <v>0</v>
      </c>
      <c r="AE8054">
        <v>12.31</v>
      </c>
      <c r="AF8054">
        <v>0</v>
      </c>
      <c r="AG8054">
        <v>0</v>
      </c>
      <c r="AH8054">
        <v>0</v>
      </c>
      <c r="AI8054">
        <v>0</v>
      </c>
      <c r="AJ8054">
        <v>96.31</v>
      </c>
      <c r="AK8054">
        <v>0</v>
      </c>
      <c r="AL8054" t="s">
        <v>53</v>
      </c>
      <c r="AM8054" t="s">
        <v>53</v>
      </c>
      <c r="AN8054" t="s">
        <v>15112</v>
      </c>
      <c r="AO8054" t="s">
        <v>53</v>
      </c>
      <c r="AP8054" t="s">
        <v>53</v>
      </c>
    </row>
    <row r="8055" spans="2:42" x14ac:dyDescent="0.2">
      <c r="B8055" t="s">
        <v>44</v>
      </c>
      <c r="C8055" t="str">
        <f>HYPERLINK("https://us2.cloudbeds.com/connect/8493803454333002#/reservations/9080486848218249?display=4HTAE87SPX&amp;reservation_id=9080486848218249", "4HTAE87SPX")</f>
        <v>4HTAE87SPX</v>
      </c>
      <c r="D8055" t="s">
        <v>45</v>
      </c>
      <c r="E8055" t="s">
        <v>85</v>
      </c>
      <c r="F8055" t="s">
        <v>86</v>
      </c>
      <c r="G8055" t="s">
        <v>48</v>
      </c>
      <c r="H8055" t="s">
        <v>49</v>
      </c>
      <c r="I8055" t="s">
        <v>50</v>
      </c>
      <c r="J8055" t="s">
        <v>14153</v>
      </c>
      <c r="K8055" t="s">
        <v>14344</v>
      </c>
      <c r="L8055" t="s">
        <v>53</v>
      </c>
      <c r="N8055" t="s">
        <v>15113</v>
      </c>
      <c r="P8055" t="s">
        <v>55</v>
      </c>
      <c r="R8055" t="s">
        <v>53</v>
      </c>
      <c r="T8055" t="s">
        <v>15114</v>
      </c>
      <c r="U8055" t="s">
        <v>58</v>
      </c>
      <c r="V8055">
        <v>1</v>
      </c>
      <c r="W8055">
        <v>1</v>
      </c>
      <c r="X8055">
        <v>2</v>
      </c>
      <c r="Y8055">
        <v>0</v>
      </c>
      <c r="Z8055">
        <v>2</v>
      </c>
      <c r="AA8055">
        <v>178.98</v>
      </c>
      <c r="AB8055">
        <v>178.98</v>
      </c>
      <c r="AC8055">
        <v>156.11000000000001</v>
      </c>
      <c r="AD8055">
        <v>0</v>
      </c>
      <c r="AE8055">
        <v>22.87</v>
      </c>
      <c r="AF8055">
        <v>0</v>
      </c>
      <c r="AG8055">
        <v>0</v>
      </c>
      <c r="AH8055">
        <v>0</v>
      </c>
      <c r="AI8055">
        <v>32.22</v>
      </c>
      <c r="AJ8055">
        <v>178.98</v>
      </c>
      <c r="AK8055">
        <v>0</v>
      </c>
      <c r="AL8055" t="s">
        <v>53</v>
      </c>
      <c r="AM8055" t="s">
        <v>53</v>
      </c>
      <c r="AN8055" t="s">
        <v>15115</v>
      </c>
      <c r="AO8055" t="s">
        <v>53</v>
      </c>
      <c r="AP8055" t="s">
        <v>53</v>
      </c>
    </row>
    <row r="8056" spans="2:42" x14ac:dyDescent="0.2">
      <c r="B8056" t="s">
        <v>44</v>
      </c>
      <c r="C8056" t="str">
        <f>HYPERLINK("https://us2.cloudbeds.com/connect/8493803454333002#/reservations/9080486848218251?display=4HTAFAQ548&amp;reservation_id=9080486848218251", "4HTAFAQ548")</f>
        <v>4HTAFAQ548</v>
      </c>
      <c r="D8056" t="s">
        <v>45</v>
      </c>
      <c r="E8056" t="s">
        <v>213</v>
      </c>
      <c r="F8056" t="s">
        <v>86</v>
      </c>
      <c r="G8056" t="s">
        <v>48</v>
      </c>
      <c r="H8056" t="s">
        <v>49</v>
      </c>
      <c r="I8056" t="s">
        <v>50</v>
      </c>
      <c r="J8056" t="s">
        <v>14153</v>
      </c>
      <c r="K8056" t="s">
        <v>14344</v>
      </c>
      <c r="L8056" t="s">
        <v>53</v>
      </c>
      <c r="N8056" t="s">
        <v>15116</v>
      </c>
      <c r="P8056" t="s">
        <v>55</v>
      </c>
      <c r="R8056" t="s">
        <v>53</v>
      </c>
      <c r="T8056" t="s">
        <v>15117</v>
      </c>
      <c r="U8056" t="s">
        <v>58</v>
      </c>
      <c r="V8056">
        <v>1</v>
      </c>
      <c r="W8056">
        <v>1</v>
      </c>
      <c r="X8056">
        <v>2</v>
      </c>
      <c r="Y8056">
        <v>0</v>
      </c>
      <c r="Z8056">
        <v>2</v>
      </c>
      <c r="AA8056">
        <v>178.98</v>
      </c>
      <c r="AB8056">
        <v>178.98</v>
      </c>
      <c r="AC8056">
        <v>156.11000000000001</v>
      </c>
      <c r="AD8056">
        <v>0</v>
      </c>
      <c r="AE8056">
        <v>22.87</v>
      </c>
      <c r="AF8056">
        <v>0</v>
      </c>
      <c r="AG8056">
        <v>0</v>
      </c>
      <c r="AH8056">
        <v>0</v>
      </c>
      <c r="AI8056">
        <v>32.22</v>
      </c>
      <c r="AJ8056">
        <v>178.98</v>
      </c>
      <c r="AK8056">
        <v>0</v>
      </c>
      <c r="AL8056" t="s">
        <v>53</v>
      </c>
      <c r="AM8056" t="s">
        <v>53</v>
      </c>
      <c r="AN8056" t="s">
        <v>53</v>
      </c>
      <c r="AO8056" t="s">
        <v>53</v>
      </c>
      <c r="AP8056" t="s">
        <v>53</v>
      </c>
    </row>
    <row r="8057" spans="2:42" x14ac:dyDescent="0.2">
      <c r="B8057" t="s">
        <v>44</v>
      </c>
      <c r="C8057" t="str">
        <f>HYPERLINK("https://us2.cloudbeds.com/connect/8493803454333002#/reservations/9080486848218840?display=4HTYRQR344&amp;reservation_id=9080486848218840", "4HTYRQR344")</f>
        <v>4HTYRQR344</v>
      </c>
      <c r="D8057" t="s">
        <v>45</v>
      </c>
      <c r="E8057" t="s">
        <v>138</v>
      </c>
      <c r="F8057" t="s">
        <v>70</v>
      </c>
      <c r="G8057" t="s">
        <v>48</v>
      </c>
      <c r="H8057" t="s">
        <v>49</v>
      </c>
      <c r="I8057" t="s">
        <v>50</v>
      </c>
      <c r="J8057" t="s">
        <v>14759</v>
      </c>
      <c r="K8057" t="s">
        <v>13680</v>
      </c>
      <c r="L8057" t="s">
        <v>53</v>
      </c>
      <c r="N8057" t="s">
        <v>15118</v>
      </c>
      <c r="P8057" t="s">
        <v>55</v>
      </c>
      <c r="R8057" t="s">
        <v>56</v>
      </c>
      <c r="T8057" t="s">
        <v>15119</v>
      </c>
      <c r="U8057" t="s">
        <v>55</v>
      </c>
      <c r="V8057">
        <v>1</v>
      </c>
      <c r="W8057">
        <v>1</v>
      </c>
      <c r="X8057">
        <v>1</v>
      </c>
      <c r="Y8057">
        <v>0</v>
      </c>
      <c r="Z8057">
        <v>1</v>
      </c>
      <c r="AA8057">
        <v>64.05</v>
      </c>
      <c r="AB8057">
        <v>64.05</v>
      </c>
      <c r="AC8057">
        <v>58.9</v>
      </c>
      <c r="AD8057">
        <v>0</v>
      </c>
      <c r="AE8057">
        <v>5.15</v>
      </c>
      <c r="AF8057">
        <v>0</v>
      </c>
      <c r="AG8057">
        <v>0</v>
      </c>
      <c r="AH8057">
        <v>0</v>
      </c>
      <c r="AI8057">
        <v>11.53</v>
      </c>
      <c r="AJ8057">
        <v>64.05</v>
      </c>
      <c r="AK8057">
        <v>0</v>
      </c>
      <c r="AL8057" t="s">
        <v>53</v>
      </c>
      <c r="AM8057" t="s">
        <v>53</v>
      </c>
      <c r="AN8057" t="s">
        <v>15120</v>
      </c>
      <c r="AO8057" t="s">
        <v>53</v>
      </c>
      <c r="AP8057" t="s">
        <v>53</v>
      </c>
    </row>
    <row r="8058" spans="2:42" x14ac:dyDescent="0.2">
      <c r="B8058" t="s">
        <v>44</v>
      </c>
      <c r="C8058" t="str">
        <f>HYPERLINK("https://us2.cloudbeds.com/connect/8493803454333002#/reservations/9080486848218851?display=4HTYWC7F9E&amp;reservation_id=9080486848218851", "4HTYWC7F9E")</f>
        <v>4HTYWC7F9E</v>
      </c>
      <c r="D8058" t="s">
        <v>45</v>
      </c>
      <c r="E8058" t="s">
        <v>487</v>
      </c>
      <c r="F8058" t="s">
        <v>61</v>
      </c>
      <c r="G8058" t="s">
        <v>48</v>
      </c>
      <c r="H8058" t="s">
        <v>49</v>
      </c>
      <c r="I8058" t="s">
        <v>50</v>
      </c>
      <c r="J8058" t="s">
        <v>13587</v>
      </c>
      <c r="K8058" t="s">
        <v>14443</v>
      </c>
      <c r="L8058" t="s">
        <v>53</v>
      </c>
      <c r="N8058" t="s">
        <v>15121</v>
      </c>
      <c r="P8058" t="s">
        <v>55</v>
      </c>
      <c r="R8058" t="s">
        <v>53</v>
      </c>
      <c r="T8058" t="s">
        <v>15122</v>
      </c>
      <c r="U8058" t="s">
        <v>55</v>
      </c>
      <c r="V8058">
        <v>1</v>
      </c>
      <c r="W8058">
        <v>1</v>
      </c>
      <c r="X8058">
        <v>2</v>
      </c>
      <c r="Y8058">
        <v>0</v>
      </c>
      <c r="Z8058">
        <v>2</v>
      </c>
      <c r="AA8058">
        <v>71.17</v>
      </c>
      <c r="AB8058">
        <v>71.17</v>
      </c>
      <c r="AC8058">
        <v>65.44</v>
      </c>
      <c r="AD8058">
        <v>0</v>
      </c>
      <c r="AE8058">
        <v>5.73</v>
      </c>
      <c r="AF8058">
        <v>0</v>
      </c>
      <c r="AG8058">
        <v>0</v>
      </c>
      <c r="AH8058">
        <v>0</v>
      </c>
      <c r="AI8058">
        <v>12.81</v>
      </c>
      <c r="AJ8058">
        <v>71.17</v>
      </c>
      <c r="AK8058">
        <v>0</v>
      </c>
      <c r="AL8058" t="s">
        <v>53</v>
      </c>
      <c r="AM8058" t="s">
        <v>53</v>
      </c>
      <c r="AN8058" t="s">
        <v>15123</v>
      </c>
      <c r="AO8058" t="s">
        <v>53</v>
      </c>
      <c r="AP8058" t="s">
        <v>53</v>
      </c>
    </row>
    <row r="8059" spans="2:42" x14ac:dyDescent="0.2">
      <c r="B8059" t="s">
        <v>44</v>
      </c>
      <c r="C8059" t="str">
        <f>HYPERLINK("https://us2.cloudbeds.com/connect/8493803454333002#/reservations/210826880245888?display=4HTRUEQ283&amp;reservation_id=210826880245888", "4HTRUEQ283")</f>
        <v>4HTRUEQ283</v>
      </c>
      <c r="D8059" t="s">
        <v>602</v>
      </c>
      <c r="E8059" t="s">
        <v>53</v>
      </c>
      <c r="F8059" t="s">
        <v>47</v>
      </c>
      <c r="G8059" t="s">
        <v>48</v>
      </c>
      <c r="H8059" t="s">
        <v>3957</v>
      </c>
      <c r="I8059" t="s">
        <v>3958</v>
      </c>
      <c r="J8059" t="s">
        <v>14119</v>
      </c>
      <c r="K8059" t="s">
        <v>13985</v>
      </c>
      <c r="L8059" t="s">
        <v>53</v>
      </c>
      <c r="P8059" t="s">
        <v>55</v>
      </c>
      <c r="R8059" t="s">
        <v>56</v>
      </c>
      <c r="T8059" t="s">
        <v>15124</v>
      </c>
      <c r="U8059" t="s">
        <v>58</v>
      </c>
      <c r="V8059">
        <v>1</v>
      </c>
      <c r="W8059">
        <v>1</v>
      </c>
      <c r="X8059">
        <v>1</v>
      </c>
      <c r="Y8059">
        <v>0</v>
      </c>
      <c r="Z8059">
        <v>1</v>
      </c>
      <c r="AA8059">
        <v>91.72</v>
      </c>
      <c r="AB8059">
        <v>0</v>
      </c>
      <c r="AC8059">
        <v>0</v>
      </c>
      <c r="AD8059">
        <v>0</v>
      </c>
      <c r="AE8059">
        <v>0</v>
      </c>
      <c r="AF8059">
        <v>0</v>
      </c>
      <c r="AG8059">
        <v>0</v>
      </c>
      <c r="AH8059">
        <v>0</v>
      </c>
      <c r="AI8059">
        <v>0</v>
      </c>
      <c r="AJ8059">
        <v>0</v>
      </c>
      <c r="AK8059">
        <v>0</v>
      </c>
      <c r="AL8059">
        <v>80</v>
      </c>
      <c r="AM8059">
        <v>91.72</v>
      </c>
      <c r="AN8059" t="s">
        <v>53</v>
      </c>
      <c r="AO8059" t="s">
        <v>53</v>
      </c>
      <c r="AP8059" t="s">
        <v>53</v>
      </c>
    </row>
    <row r="8060" spans="2:42" x14ac:dyDescent="0.2">
      <c r="B8060" t="s">
        <v>44</v>
      </c>
      <c r="C8060" t="str">
        <f>HYPERLINK("https://us2.cloudbeds.com/connect/8493803454333002#/reservations/9080486848219908?display=4HUAZVK2H5&amp;reservation_id=9080486848219908", "4HUAZVK2H5")</f>
        <v>4HUAZVK2H5</v>
      </c>
      <c r="D8060" t="s">
        <v>45</v>
      </c>
      <c r="E8060" t="s">
        <v>105</v>
      </c>
      <c r="F8060" t="s">
        <v>47</v>
      </c>
      <c r="G8060" t="s">
        <v>48</v>
      </c>
      <c r="H8060" t="s">
        <v>49</v>
      </c>
      <c r="I8060" t="s">
        <v>50</v>
      </c>
      <c r="J8060" t="s">
        <v>14153</v>
      </c>
      <c r="K8060" t="s">
        <v>14154</v>
      </c>
      <c r="L8060" t="s">
        <v>53</v>
      </c>
      <c r="N8060" t="s">
        <v>15125</v>
      </c>
      <c r="P8060" t="s">
        <v>55</v>
      </c>
      <c r="R8060" t="s">
        <v>53</v>
      </c>
      <c r="T8060" t="s">
        <v>15126</v>
      </c>
      <c r="U8060" t="s">
        <v>55</v>
      </c>
      <c r="V8060">
        <v>2</v>
      </c>
      <c r="W8060">
        <v>1</v>
      </c>
      <c r="X8060">
        <v>1</v>
      </c>
      <c r="Y8060">
        <v>0</v>
      </c>
      <c r="Z8060">
        <v>1</v>
      </c>
      <c r="AA8060">
        <v>213.15</v>
      </c>
      <c r="AB8060">
        <v>213.15</v>
      </c>
      <c r="AC8060">
        <v>196</v>
      </c>
      <c r="AD8060">
        <v>0</v>
      </c>
      <c r="AE8060">
        <v>17.149999999999999</v>
      </c>
      <c r="AF8060">
        <v>0</v>
      </c>
      <c r="AG8060">
        <v>0</v>
      </c>
      <c r="AH8060">
        <v>0</v>
      </c>
      <c r="AI8060">
        <v>38.369999999999997</v>
      </c>
      <c r="AJ8060">
        <v>213.15</v>
      </c>
      <c r="AK8060">
        <v>0</v>
      </c>
      <c r="AL8060" t="s">
        <v>53</v>
      </c>
      <c r="AM8060" t="s">
        <v>53</v>
      </c>
      <c r="AN8060" t="s">
        <v>15127</v>
      </c>
      <c r="AO8060" t="s">
        <v>53</v>
      </c>
      <c r="AP8060" t="s">
        <v>53</v>
      </c>
    </row>
    <row r="8061" spans="2:42" x14ac:dyDescent="0.2">
      <c r="B8061" t="s">
        <v>44</v>
      </c>
      <c r="C8061" t="str">
        <f>HYPERLINK("https://us2.cloudbeds.com/connect/8493803454333002#/reservations/210866443427969?display=4HUPXCFQ2B&amp;reservation_id=210866443427969", "4HUPXCFQ2B")</f>
        <v>4HUPXCFQ2B</v>
      </c>
      <c r="D8061" t="s">
        <v>45</v>
      </c>
      <c r="E8061" t="s">
        <v>110</v>
      </c>
      <c r="F8061" t="s">
        <v>47</v>
      </c>
      <c r="G8061" t="s">
        <v>48</v>
      </c>
      <c r="H8061" t="s">
        <v>3957</v>
      </c>
      <c r="I8061" t="s">
        <v>3975</v>
      </c>
      <c r="J8061" t="s">
        <v>14119</v>
      </c>
      <c r="K8061" t="s">
        <v>13985</v>
      </c>
      <c r="L8061" t="s">
        <v>53</v>
      </c>
      <c r="P8061" t="s">
        <v>55</v>
      </c>
      <c r="R8061" t="s">
        <v>56</v>
      </c>
      <c r="T8061" t="s">
        <v>15128</v>
      </c>
      <c r="U8061" t="s">
        <v>58</v>
      </c>
      <c r="V8061">
        <v>1</v>
      </c>
      <c r="W8061">
        <v>1</v>
      </c>
      <c r="X8061">
        <v>2</v>
      </c>
      <c r="Y8061">
        <v>0</v>
      </c>
      <c r="Z8061">
        <v>2</v>
      </c>
      <c r="AA8061">
        <v>91.72</v>
      </c>
      <c r="AB8061">
        <v>91.72</v>
      </c>
      <c r="AC8061">
        <v>80</v>
      </c>
      <c r="AD8061">
        <v>0</v>
      </c>
      <c r="AE8061">
        <v>11.72</v>
      </c>
      <c r="AF8061">
        <v>0</v>
      </c>
      <c r="AG8061">
        <v>0</v>
      </c>
      <c r="AH8061">
        <v>0</v>
      </c>
      <c r="AI8061">
        <v>0</v>
      </c>
      <c r="AJ8061">
        <v>91.72</v>
      </c>
      <c r="AK8061">
        <v>0</v>
      </c>
      <c r="AL8061" t="s">
        <v>53</v>
      </c>
      <c r="AM8061" t="s">
        <v>53</v>
      </c>
      <c r="AN8061" t="s">
        <v>15129</v>
      </c>
      <c r="AO8061" t="s">
        <v>53</v>
      </c>
      <c r="AP8061" t="s">
        <v>53</v>
      </c>
    </row>
    <row r="8062" spans="2:42" x14ac:dyDescent="0.2">
      <c r="B8062" t="s">
        <v>44</v>
      </c>
      <c r="C8062" t="str">
        <f>HYPERLINK("https://us2.cloudbeds.com/connect/8493803454333002#/reservations/210885306364096?display=4HV75C7FY9&amp;reservation_id=210885306364096", "4HV75C7FY9")</f>
        <v>4HV75C7FY9</v>
      </c>
      <c r="D8062" t="s">
        <v>45</v>
      </c>
      <c r="E8062" t="s">
        <v>185</v>
      </c>
      <c r="F8062" t="s">
        <v>47</v>
      </c>
      <c r="G8062" t="s">
        <v>48</v>
      </c>
      <c r="H8062" t="s">
        <v>3957</v>
      </c>
      <c r="I8062" t="s">
        <v>3958</v>
      </c>
      <c r="J8062" t="s">
        <v>13985</v>
      </c>
      <c r="K8062" t="s">
        <v>13587</v>
      </c>
      <c r="L8062" t="s">
        <v>53</v>
      </c>
      <c r="P8062" t="s">
        <v>55</v>
      </c>
      <c r="R8062" t="s">
        <v>56</v>
      </c>
      <c r="T8062" t="s">
        <v>15130</v>
      </c>
      <c r="U8062" t="s">
        <v>58</v>
      </c>
      <c r="V8062">
        <v>1</v>
      </c>
      <c r="W8062">
        <v>1</v>
      </c>
      <c r="X8062">
        <v>1</v>
      </c>
      <c r="Y8062">
        <v>0</v>
      </c>
      <c r="Z8062">
        <v>1</v>
      </c>
      <c r="AA8062">
        <v>91.72</v>
      </c>
      <c r="AB8062">
        <v>91.72</v>
      </c>
      <c r="AC8062">
        <v>80</v>
      </c>
      <c r="AD8062">
        <v>0</v>
      </c>
      <c r="AE8062">
        <v>11.72</v>
      </c>
      <c r="AF8062">
        <v>0</v>
      </c>
      <c r="AG8062">
        <v>0</v>
      </c>
      <c r="AH8062">
        <v>0</v>
      </c>
      <c r="AI8062">
        <v>0</v>
      </c>
      <c r="AJ8062">
        <v>91.72</v>
      </c>
      <c r="AK8062">
        <v>0</v>
      </c>
      <c r="AL8062" t="s">
        <v>53</v>
      </c>
      <c r="AM8062" t="s">
        <v>53</v>
      </c>
      <c r="AN8062" t="s">
        <v>15131</v>
      </c>
      <c r="AO8062" t="s">
        <v>53</v>
      </c>
      <c r="AP8062" t="s">
        <v>53</v>
      </c>
    </row>
    <row r="8063" spans="2:42" x14ac:dyDescent="0.2">
      <c r="B8063" t="s">
        <v>44</v>
      </c>
      <c r="C8063" t="str">
        <f>HYPERLINK("https://us2.cloudbeds.com/connect/8493803454333002#/reservations/9080486848221255?display=4HV7S7GGZA&amp;reservation_id=9080486848221255", "4HV7S7GGZA")</f>
        <v>4HV7S7GGZA</v>
      </c>
      <c r="D8063" t="s">
        <v>45</v>
      </c>
      <c r="E8063" t="s">
        <v>406</v>
      </c>
      <c r="F8063" t="s">
        <v>61</v>
      </c>
      <c r="G8063" t="s">
        <v>48</v>
      </c>
      <c r="H8063" t="s">
        <v>49</v>
      </c>
      <c r="I8063" t="s">
        <v>50</v>
      </c>
      <c r="J8063" t="s">
        <v>14119</v>
      </c>
      <c r="K8063" t="s">
        <v>13587</v>
      </c>
      <c r="L8063" t="s">
        <v>53</v>
      </c>
      <c r="N8063" t="s">
        <v>15132</v>
      </c>
      <c r="P8063" t="s">
        <v>55</v>
      </c>
      <c r="R8063" t="s">
        <v>53</v>
      </c>
      <c r="T8063" t="s">
        <v>15133</v>
      </c>
      <c r="U8063" t="s">
        <v>55</v>
      </c>
      <c r="V8063">
        <v>2</v>
      </c>
      <c r="W8063">
        <v>1</v>
      </c>
      <c r="X8063">
        <v>1</v>
      </c>
      <c r="Y8063">
        <v>0</v>
      </c>
      <c r="Z8063">
        <v>1</v>
      </c>
      <c r="AA8063">
        <v>141.58000000000001</v>
      </c>
      <c r="AB8063">
        <v>141.58000000000001</v>
      </c>
      <c r="AC8063">
        <v>130.18</v>
      </c>
      <c r="AD8063">
        <v>0</v>
      </c>
      <c r="AE8063">
        <v>11.4</v>
      </c>
      <c r="AF8063">
        <v>0</v>
      </c>
      <c r="AG8063">
        <v>0</v>
      </c>
      <c r="AH8063">
        <v>0</v>
      </c>
      <c r="AI8063">
        <v>25.48</v>
      </c>
      <c r="AJ8063">
        <v>141.58000000000001</v>
      </c>
      <c r="AK8063">
        <v>0</v>
      </c>
      <c r="AL8063" t="s">
        <v>53</v>
      </c>
      <c r="AM8063" t="s">
        <v>53</v>
      </c>
      <c r="AN8063" t="s">
        <v>53</v>
      </c>
      <c r="AO8063" t="s">
        <v>53</v>
      </c>
      <c r="AP8063" t="s">
        <v>53</v>
      </c>
    </row>
    <row r="8064" spans="2:42" x14ac:dyDescent="0.2">
      <c r="B8064" t="s">
        <v>44</v>
      </c>
      <c r="C8064" t="str">
        <f>HYPERLINK("https://us2.cloudbeds.com/connect/8493803454333002#/reservations/210901648048320?display=4HVJQUWCY0&amp;reservation_id=210901648048320", "4HVJQUWCY0")</f>
        <v>4HVJQUWCY0</v>
      </c>
      <c r="D8064" t="s">
        <v>45</v>
      </c>
      <c r="E8064" t="s">
        <v>128</v>
      </c>
      <c r="F8064" t="s">
        <v>86</v>
      </c>
      <c r="G8064" t="s">
        <v>3974</v>
      </c>
      <c r="H8064" t="s">
        <v>3957</v>
      </c>
      <c r="I8064" t="s">
        <v>3975</v>
      </c>
      <c r="J8064" t="s">
        <v>14848</v>
      </c>
      <c r="K8064" t="s">
        <v>14153</v>
      </c>
      <c r="L8064" t="s">
        <v>53</v>
      </c>
      <c r="P8064" t="s">
        <v>55</v>
      </c>
      <c r="R8064" t="s">
        <v>56</v>
      </c>
      <c r="T8064" t="s">
        <v>15134</v>
      </c>
      <c r="U8064" t="s">
        <v>58</v>
      </c>
      <c r="V8064">
        <v>2</v>
      </c>
      <c r="W8064">
        <v>1</v>
      </c>
      <c r="X8064">
        <v>3</v>
      </c>
      <c r="Y8064">
        <v>0</v>
      </c>
      <c r="Z8064">
        <v>3</v>
      </c>
      <c r="AA8064">
        <v>490.14</v>
      </c>
      <c r="AB8064">
        <v>490.14</v>
      </c>
      <c r="AC8064">
        <v>427.5</v>
      </c>
      <c r="AD8064">
        <v>0</v>
      </c>
      <c r="AE8064">
        <v>62.64</v>
      </c>
      <c r="AF8064">
        <v>0</v>
      </c>
      <c r="AG8064">
        <v>0</v>
      </c>
      <c r="AH8064">
        <v>0</v>
      </c>
      <c r="AI8064">
        <v>0</v>
      </c>
      <c r="AJ8064">
        <v>490.14</v>
      </c>
      <c r="AK8064">
        <v>0</v>
      </c>
      <c r="AL8064" t="s">
        <v>53</v>
      </c>
      <c r="AM8064" t="s">
        <v>53</v>
      </c>
      <c r="AN8064" t="s">
        <v>15135</v>
      </c>
      <c r="AO8064" t="s">
        <v>53</v>
      </c>
      <c r="AP8064" t="s">
        <v>53</v>
      </c>
    </row>
    <row r="8065" spans="2:42" x14ac:dyDescent="0.2">
      <c r="B8065" t="s">
        <v>44</v>
      </c>
      <c r="C8065" t="str">
        <f>HYPERLINK("https://us2.cloudbeds.com/connect/8493803454333002#/reservations/210919417970816?display=4HW0J00YDM&amp;reservation_id=210919417970816", "4HW0J00YDM")</f>
        <v>4HW0J00YDM</v>
      </c>
      <c r="D8065" t="s">
        <v>45</v>
      </c>
      <c r="E8065" t="s">
        <v>265</v>
      </c>
      <c r="F8065" t="s">
        <v>61</v>
      </c>
      <c r="G8065" t="s">
        <v>48</v>
      </c>
      <c r="H8065" t="s">
        <v>3957</v>
      </c>
      <c r="I8065" t="s">
        <v>3958</v>
      </c>
      <c r="J8065" t="s">
        <v>14119</v>
      </c>
      <c r="K8065" t="s">
        <v>13587</v>
      </c>
      <c r="L8065" t="s">
        <v>53</v>
      </c>
      <c r="P8065" t="s">
        <v>55</v>
      </c>
      <c r="R8065" t="s">
        <v>56</v>
      </c>
      <c r="T8065" t="s">
        <v>15136</v>
      </c>
      <c r="U8065" t="s">
        <v>58</v>
      </c>
      <c r="V8065">
        <v>2</v>
      </c>
      <c r="W8065">
        <v>1</v>
      </c>
      <c r="X8065">
        <v>1</v>
      </c>
      <c r="Y8065">
        <v>0</v>
      </c>
      <c r="Z8065">
        <v>1</v>
      </c>
      <c r="AA8065">
        <v>192.62</v>
      </c>
      <c r="AB8065">
        <v>192.62</v>
      </c>
      <c r="AC8065">
        <v>168</v>
      </c>
      <c r="AD8065">
        <v>0</v>
      </c>
      <c r="AE8065">
        <v>24.62</v>
      </c>
      <c r="AF8065">
        <v>0</v>
      </c>
      <c r="AG8065">
        <v>0</v>
      </c>
      <c r="AH8065">
        <v>0</v>
      </c>
      <c r="AI8065">
        <v>0</v>
      </c>
      <c r="AJ8065">
        <v>192.62</v>
      </c>
      <c r="AK8065">
        <v>0</v>
      </c>
      <c r="AL8065" t="s">
        <v>53</v>
      </c>
      <c r="AM8065" t="s">
        <v>53</v>
      </c>
      <c r="AN8065" t="s">
        <v>53</v>
      </c>
      <c r="AO8065" t="s">
        <v>53</v>
      </c>
      <c r="AP8065" t="s">
        <v>53</v>
      </c>
    </row>
    <row r="8066" spans="2:42" x14ac:dyDescent="0.2">
      <c r="B8066" t="s">
        <v>44</v>
      </c>
      <c r="C8066" t="str">
        <f>HYPERLINK("https://us2.cloudbeds.com/connect/8493803454333002#/reservations/9080486848223185?display=4HWJDH4DZH&amp;reservation_id=9080486848223185", "4HWJDH4DZH")</f>
        <v>4HWJDH4DZH</v>
      </c>
      <c r="D8066" t="s">
        <v>45</v>
      </c>
      <c r="E8066" t="s">
        <v>155</v>
      </c>
      <c r="F8066" t="s">
        <v>86</v>
      </c>
      <c r="G8066" t="s">
        <v>48</v>
      </c>
      <c r="H8066" t="s">
        <v>49</v>
      </c>
      <c r="I8066" t="s">
        <v>50</v>
      </c>
      <c r="J8066" t="s">
        <v>14153</v>
      </c>
      <c r="K8066" t="s">
        <v>14344</v>
      </c>
      <c r="L8066" t="s">
        <v>53</v>
      </c>
      <c r="N8066" t="s">
        <v>15137</v>
      </c>
      <c r="P8066" t="s">
        <v>55</v>
      </c>
      <c r="R8066" t="s">
        <v>53</v>
      </c>
      <c r="T8066" t="s">
        <v>15138</v>
      </c>
      <c r="U8066" t="s">
        <v>55</v>
      </c>
      <c r="V8066">
        <v>1</v>
      </c>
      <c r="W8066">
        <v>1</v>
      </c>
      <c r="X8066">
        <v>2</v>
      </c>
      <c r="Y8066">
        <v>0</v>
      </c>
      <c r="Z8066">
        <v>2</v>
      </c>
      <c r="AA8066">
        <v>139.22</v>
      </c>
      <c r="AB8066">
        <v>139.22</v>
      </c>
      <c r="AC8066">
        <v>128.02000000000001</v>
      </c>
      <c r="AD8066">
        <v>0</v>
      </c>
      <c r="AE8066">
        <v>11.2</v>
      </c>
      <c r="AF8066">
        <v>0</v>
      </c>
      <c r="AG8066">
        <v>0</v>
      </c>
      <c r="AH8066">
        <v>0</v>
      </c>
      <c r="AI8066">
        <v>25.06</v>
      </c>
      <c r="AJ8066">
        <v>139.22</v>
      </c>
      <c r="AK8066">
        <v>0</v>
      </c>
      <c r="AL8066" t="s">
        <v>53</v>
      </c>
      <c r="AM8066" t="s">
        <v>53</v>
      </c>
      <c r="AN8066" t="s">
        <v>15139</v>
      </c>
      <c r="AO8066" t="s">
        <v>53</v>
      </c>
      <c r="AP8066" t="s">
        <v>53</v>
      </c>
    </row>
    <row r="8067" spans="2:42" x14ac:dyDescent="0.2">
      <c r="B8067" t="s">
        <v>44</v>
      </c>
      <c r="C8067" t="str">
        <f>HYPERLINK("https://us2.cloudbeds.com/connect/8493803454333002#/reservations/9080486848223186?display=4HWJEJ7T2H&amp;reservation_id=9080486848223186", "4HWJEJ7T2H")</f>
        <v>4HWJEJ7T2H</v>
      </c>
      <c r="D8067" t="s">
        <v>45</v>
      </c>
      <c r="E8067" t="s">
        <v>98</v>
      </c>
      <c r="F8067" t="s">
        <v>86</v>
      </c>
      <c r="G8067" t="s">
        <v>48</v>
      </c>
      <c r="H8067" t="s">
        <v>49</v>
      </c>
      <c r="I8067" t="s">
        <v>50</v>
      </c>
      <c r="J8067" t="s">
        <v>14153</v>
      </c>
      <c r="K8067" t="s">
        <v>14344</v>
      </c>
      <c r="L8067" t="s">
        <v>53</v>
      </c>
      <c r="N8067" t="s">
        <v>15140</v>
      </c>
      <c r="P8067" t="s">
        <v>55</v>
      </c>
      <c r="R8067" t="s">
        <v>53</v>
      </c>
      <c r="T8067" t="s">
        <v>15141</v>
      </c>
      <c r="U8067" t="s">
        <v>55</v>
      </c>
      <c r="V8067">
        <v>1</v>
      </c>
      <c r="W8067">
        <v>1</v>
      </c>
      <c r="X8067">
        <v>4</v>
      </c>
      <c r="Y8067">
        <v>0</v>
      </c>
      <c r="Z8067">
        <v>4</v>
      </c>
      <c r="AA8067">
        <v>139.22</v>
      </c>
      <c r="AB8067">
        <v>139.22</v>
      </c>
      <c r="AC8067">
        <v>128.02000000000001</v>
      </c>
      <c r="AD8067">
        <v>0</v>
      </c>
      <c r="AE8067">
        <v>11.2</v>
      </c>
      <c r="AF8067">
        <v>0</v>
      </c>
      <c r="AG8067">
        <v>0</v>
      </c>
      <c r="AH8067">
        <v>0</v>
      </c>
      <c r="AI8067">
        <v>25.06</v>
      </c>
      <c r="AJ8067">
        <v>139.22</v>
      </c>
      <c r="AK8067">
        <v>0</v>
      </c>
      <c r="AL8067" t="s">
        <v>53</v>
      </c>
      <c r="AM8067" t="s">
        <v>53</v>
      </c>
      <c r="AN8067" t="s">
        <v>53</v>
      </c>
      <c r="AO8067" t="s">
        <v>53</v>
      </c>
      <c r="AP8067" t="s">
        <v>53</v>
      </c>
    </row>
    <row r="8068" spans="2:42" x14ac:dyDescent="0.2">
      <c r="B8068" t="s">
        <v>44</v>
      </c>
      <c r="C8068" t="str">
        <f>HYPERLINK("https://us2.cloudbeds.com/connect/8493803454333002#/reservations/9080486848223616?display=4HWVJDSGJD&amp;reservation_id=9080486848223616", "4HWVJDSGJD")</f>
        <v>4HWVJDSGJD</v>
      </c>
      <c r="D8068" t="s">
        <v>45</v>
      </c>
      <c r="E8068" t="s">
        <v>85</v>
      </c>
      <c r="F8068" t="s">
        <v>86</v>
      </c>
      <c r="G8068" t="s">
        <v>48</v>
      </c>
      <c r="H8068" t="s">
        <v>49</v>
      </c>
      <c r="I8068" t="s">
        <v>50</v>
      </c>
      <c r="J8068" t="s">
        <v>13985</v>
      </c>
      <c r="K8068" t="s">
        <v>13587</v>
      </c>
      <c r="L8068" t="s">
        <v>53</v>
      </c>
      <c r="N8068" t="s">
        <v>15142</v>
      </c>
      <c r="P8068" t="s">
        <v>55</v>
      </c>
      <c r="R8068" t="s">
        <v>53</v>
      </c>
      <c r="T8068" t="s">
        <v>15143</v>
      </c>
      <c r="U8068" t="s">
        <v>55</v>
      </c>
      <c r="V8068">
        <v>1</v>
      </c>
      <c r="W8068">
        <v>1</v>
      </c>
      <c r="X8068">
        <v>2</v>
      </c>
      <c r="Y8068">
        <v>1</v>
      </c>
      <c r="Z8068">
        <v>3</v>
      </c>
      <c r="AA8068">
        <v>71.290000000000006</v>
      </c>
      <c r="AB8068">
        <v>71.290000000000006</v>
      </c>
      <c r="AC8068">
        <v>65.56</v>
      </c>
      <c r="AD8068">
        <v>0</v>
      </c>
      <c r="AE8068">
        <v>5.73</v>
      </c>
      <c r="AF8068">
        <v>0</v>
      </c>
      <c r="AG8068">
        <v>0</v>
      </c>
      <c r="AH8068">
        <v>0</v>
      </c>
      <c r="AI8068">
        <v>12.83</v>
      </c>
      <c r="AJ8068">
        <v>71.290000000000006</v>
      </c>
      <c r="AK8068">
        <v>0</v>
      </c>
      <c r="AL8068" t="s">
        <v>53</v>
      </c>
      <c r="AM8068" t="s">
        <v>53</v>
      </c>
      <c r="AN8068" t="s">
        <v>15144</v>
      </c>
      <c r="AO8068" t="s">
        <v>53</v>
      </c>
      <c r="AP8068" t="s">
        <v>53</v>
      </c>
    </row>
    <row r="8069" spans="2:42" x14ac:dyDescent="0.2">
      <c r="B8069" t="s">
        <v>44</v>
      </c>
      <c r="C8069" t="str">
        <f>HYPERLINK("https://us2.cloudbeds.com/connect/8493803454333002#/reservations/9080486848223807?display=4X02HU5F6V&amp;reservation_id=9080486848223807", "4X02HU5F6V")</f>
        <v>4X02HU5F6V</v>
      </c>
      <c r="D8069" t="s">
        <v>45</v>
      </c>
      <c r="E8069" t="s">
        <v>121</v>
      </c>
      <c r="F8069" t="s">
        <v>86</v>
      </c>
      <c r="G8069" t="s">
        <v>48</v>
      </c>
      <c r="H8069" t="s">
        <v>49</v>
      </c>
      <c r="I8069" t="s">
        <v>50</v>
      </c>
      <c r="J8069" t="s">
        <v>14119</v>
      </c>
      <c r="K8069" t="s">
        <v>13985</v>
      </c>
      <c r="L8069" t="s">
        <v>53</v>
      </c>
      <c r="N8069" t="s">
        <v>15145</v>
      </c>
      <c r="P8069" t="s">
        <v>55</v>
      </c>
      <c r="R8069" t="s">
        <v>53</v>
      </c>
      <c r="T8069" t="s">
        <v>15146</v>
      </c>
      <c r="U8069" t="s">
        <v>55</v>
      </c>
      <c r="V8069">
        <v>1</v>
      </c>
      <c r="W8069">
        <v>1</v>
      </c>
      <c r="X8069">
        <v>2</v>
      </c>
      <c r="Y8069">
        <v>0</v>
      </c>
      <c r="Z8069">
        <v>2</v>
      </c>
      <c r="AA8069">
        <v>79.209999999999994</v>
      </c>
      <c r="AB8069">
        <v>79.209999999999994</v>
      </c>
      <c r="AC8069">
        <v>72.84</v>
      </c>
      <c r="AD8069">
        <v>0</v>
      </c>
      <c r="AE8069">
        <v>6.37</v>
      </c>
      <c r="AF8069">
        <v>0</v>
      </c>
      <c r="AG8069">
        <v>0</v>
      </c>
      <c r="AH8069">
        <v>0</v>
      </c>
      <c r="AI8069">
        <v>14.26</v>
      </c>
      <c r="AJ8069">
        <v>79.209999999999994</v>
      </c>
      <c r="AK8069">
        <v>0</v>
      </c>
      <c r="AL8069" t="s">
        <v>53</v>
      </c>
      <c r="AM8069" t="s">
        <v>53</v>
      </c>
      <c r="AN8069" t="s">
        <v>53</v>
      </c>
      <c r="AO8069" t="s">
        <v>53</v>
      </c>
      <c r="AP8069" t="s">
        <v>53</v>
      </c>
    </row>
    <row r="8070" spans="2:42" x14ac:dyDescent="0.2">
      <c r="B8070" t="s">
        <v>44</v>
      </c>
      <c r="C8070" t="str">
        <f>HYPERLINK("https://us2.cloudbeds.com/connect/8493803454333002#/reservations/210985918615680?display=4X0J284BHD&amp;reservation_id=210985918615680", "4X0J284BHD")</f>
        <v>4X0J284BHD</v>
      </c>
      <c r="D8070" t="s">
        <v>45</v>
      </c>
      <c r="E8070" t="s">
        <v>15147</v>
      </c>
      <c r="F8070" t="s">
        <v>61</v>
      </c>
      <c r="G8070" t="s">
        <v>48</v>
      </c>
      <c r="H8070" t="s">
        <v>3957</v>
      </c>
      <c r="I8070" t="s">
        <v>3975</v>
      </c>
      <c r="J8070" t="s">
        <v>13985</v>
      </c>
      <c r="K8070" t="s">
        <v>13587</v>
      </c>
      <c r="L8070" t="s">
        <v>53</v>
      </c>
      <c r="P8070" t="s">
        <v>55</v>
      </c>
      <c r="R8070" t="s">
        <v>56</v>
      </c>
      <c r="T8070" t="s">
        <v>15148</v>
      </c>
      <c r="U8070" t="s">
        <v>58</v>
      </c>
      <c r="V8070">
        <v>2</v>
      </c>
      <c r="W8070">
        <v>2</v>
      </c>
      <c r="X8070">
        <v>4</v>
      </c>
      <c r="Y8070">
        <v>0</v>
      </c>
      <c r="Z8070">
        <v>4</v>
      </c>
      <c r="AA8070">
        <v>192.62</v>
      </c>
      <c r="AB8070">
        <v>192.62</v>
      </c>
      <c r="AC8070">
        <v>168</v>
      </c>
      <c r="AD8070">
        <v>0</v>
      </c>
      <c r="AE8070">
        <v>24.62</v>
      </c>
      <c r="AF8070">
        <v>0</v>
      </c>
      <c r="AG8070">
        <v>0</v>
      </c>
      <c r="AH8070">
        <v>0</v>
      </c>
      <c r="AI8070">
        <v>0</v>
      </c>
      <c r="AJ8070">
        <v>192.62</v>
      </c>
      <c r="AK8070">
        <v>0</v>
      </c>
      <c r="AL8070" t="s">
        <v>53</v>
      </c>
      <c r="AM8070" t="s">
        <v>53</v>
      </c>
      <c r="AN8070" t="s">
        <v>53</v>
      </c>
      <c r="AO8070" t="s">
        <v>53</v>
      </c>
      <c r="AP8070" t="s">
        <v>53</v>
      </c>
    </row>
    <row r="8071" spans="2:42" x14ac:dyDescent="0.2">
      <c r="B8071" t="s">
        <v>44</v>
      </c>
      <c r="C8071" t="str">
        <f>HYPERLINK("https://us2.cloudbeds.com/connect/8493803454333002#/reservations/9080486848224576?display=4X0YFVGXKH&amp;reservation_id=9080486848224576", "4X0YFVGXKH")</f>
        <v>4X0YFVGXKH</v>
      </c>
      <c r="D8071" t="s">
        <v>45</v>
      </c>
      <c r="E8071" t="s">
        <v>138</v>
      </c>
      <c r="F8071" t="s">
        <v>70</v>
      </c>
      <c r="G8071" t="s">
        <v>48</v>
      </c>
      <c r="H8071" t="s">
        <v>49</v>
      </c>
      <c r="I8071" t="s">
        <v>62</v>
      </c>
      <c r="J8071" t="s">
        <v>13985</v>
      </c>
      <c r="K8071" t="s">
        <v>13587</v>
      </c>
      <c r="L8071" t="s">
        <v>53</v>
      </c>
      <c r="N8071" t="s">
        <v>15149</v>
      </c>
      <c r="P8071" t="s">
        <v>55</v>
      </c>
      <c r="R8071" t="s">
        <v>56</v>
      </c>
      <c r="T8071" t="s">
        <v>15150</v>
      </c>
      <c r="U8071" t="s">
        <v>55</v>
      </c>
      <c r="V8071">
        <v>1</v>
      </c>
      <c r="W8071">
        <v>1</v>
      </c>
      <c r="X8071">
        <v>1</v>
      </c>
      <c r="Y8071">
        <v>0</v>
      </c>
      <c r="Z8071">
        <v>1</v>
      </c>
      <c r="AA8071">
        <v>78.75</v>
      </c>
      <c r="AB8071">
        <v>78.75</v>
      </c>
      <c r="AC8071">
        <v>78.75</v>
      </c>
      <c r="AD8071">
        <v>0</v>
      </c>
      <c r="AE8071">
        <v>0</v>
      </c>
      <c r="AF8071">
        <v>0</v>
      </c>
      <c r="AG8071">
        <v>0</v>
      </c>
      <c r="AH8071">
        <v>0</v>
      </c>
      <c r="AI8071">
        <v>14.18</v>
      </c>
      <c r="AJ8071">
        <v>78.75</v>
      </c>
      <c r="AK8071">
        <v>0</v>
      </c>
      <c r="AL8071" t="s">
        <v>53</v>
      </c>
      <c r="AM8071" t="s">
        <v>53</v>
      </c>
      <c r="AN8071" t="s">
        <v>53</v>
      </c>
      <c r="AO8071" t="s">
        <v>53</v>
      </c>
      <c r="AP8071" t="s">
        <v>53</v>
      </c>
    </row>
    <row r="8072" spans="2:42" x14ac:dyDescent="0.2">
      <c r="B8072" t="s">
        <v>44</v>
      </c>
      <c r="C8072" t="str">
        <f>HYPERLINK("https://us2.cloudbeds.com/connect/8493803454333002#/reservations/9080486848230510?display=4X5Q1GAHAY&amp;reservation_id=9080486848230510", "4X5Q1GAHAY")</f>
        <v>4X5Q1GAHAY</v>
      </c>
      <c r="D8072" t="s">
        <v>45</v>
      </c>
      <c r="E8072" t="s">
        <v>185</v>
      </c>
      <c r="F8072" t="s">
        <v>47</v>
      </c>
      <c r="G8072" t="s">
        <v>48</v>
      </c>
      <c r="H8072" t="s">
        <v>49</v>
      </c>
      <c r="I8072" t="s">
        <v>62</v>
      </c>
      <c r="J8072" t="s">
        <v>13037</v>
      </c>
      <c r="K8072" t="s">
        <v>13038</v>
      </c>
      <c r="L8072" t="s">
        <v>53</v>
      </c>
      <c r="N8072" t="s">
        <v>15151</v>
      </c>
      <c r="P8072" t="s">
        <v>55</v>
      </c>
      <c r="R8072" t="s">
        <v>56</v>
      </c>
      <c r="T8072" t="s">
        <v>15152</v>
      </c>
      <c r="U8072" t="s">
        <v>55</v>
      </c>
      <c r="V8072">
        <v>2</v>
      </c>
      <c r="W8072">
        <v>1</v>
      </c>
      <c r="X8072">
        <v>2</v>
      </c>
      <c r="Y8072">
        <v>0</v>
      </c>
      <c r="Z8072">
        <v>2</v>
      </c>
      <c r="AA8072">
        <v>165.59</v>
      </c>
      <c r="AB8072">
        <v>165.59</v>
      </c>
      <c r="AC8072">
        <v>165.59</v>
      </c>
      <c r="AD8072">
        <v>0</v>
      </c>
      <c r="AE8072">
        <v>0</v>
      </c>
      <c r="AF8072">
        <v>0</v>
      </c>
      <c r="AG8072">
        <v>0</v>
      </c>
      <c r="AH8072">
        <v>0</v>
      </c>
      <c r="AI8072">
        <v>29.81</v>
      </c>
      <c r="AJ8072">
        <v>165.59</v>
      </c>
      <c r="AK8072">
        <v>0</v>
      </c>
      <c r="AL8072" t="s">
        <v>53</v>
      </c>
      <c r="AM8072" t="s">
        <v>53</v>
      </c>
      <c r="AN8072" t="s">
        <v>15153</v>
      </c>
      <c r="AO8072" t="s">
        <v>53</v>
      </c>
      <c r="AP8072" t="s">
        <v>53</v>
      </c>
    </row>
    <row r="8073" spans="2:42" x14ac:dyDescent="0.2">
      <c r="B8073" t="s">
        <v>44</v>
      </c>
      <c r="C8073" t="str">
        <f>HYPERLINK("https://us2.cloudbeds.com/connect/8493803454333002#/reservations/211210276245632?display=4X5RQ3E81M&amp;reservation_id=211210276245632", "4X5RQ3E81M")</f>
        <v>4X5RQ3E81M</v>
      </c>
      <c r="D8073" t="s">
        <v>45</v>
      </c>
      <c r="E8073" t="s">
        <v>155</v>
      </c>
      <c r="F8073" t="s">
        <v>86</v>
      </c>
      <c r="G8073" t="s">
        <v>48</v>
      </c>
      <c r="H8073" t="s">
        <v>3957</v>
      </c>
      <c r="I8073" t="s">
        <v>3975</v>
      </c>
      <c r="J8073" t="s">
        <v>13898</v>
      </c>
      <c r="K8073" t="s">
        <v>13038</v>
      </c>
      <c r="L8073" t="s">
        <v>53</v>
      </c>
      <c r="P8073" t="s">
        <v>55</v>
      </c>
      <c r="R8073" t="s">
        <v>56</v>
      </c>
      <c r="T8073" t="s">
        <v>15154</v>
      </c>
      <c r="U8073" t="s">
        <v>58</v>
      </c>
      <c r="V8073">
        <v>3</v>
      </c>
      <c r="W8073">
        <v>1</v>
      </c>
      <c r="X8073">
        <v>3</v>
      </c>
      <c r="Y8073">
        <v>0</v>
      </c>
      <c r="Z8073">
        <v>3</v>
      </c>
      <c r="AA8073">
        <v>0</v>
      </c>
      <c r="AB8073">
        <v>405.87</v>
      </c>
      <c r="AC8073">
        <v>354</v>
      </c>
      <c r="AD8073">
        <v>0</v>
      </c>
      <c r="AE8073">
        <v>51.87</v>
      </c>
      <c r="AF8073">
        <v>0</v>
      </c>
      <c r="AG8073">
        <v>0</v>
      </c>
      <c r="AH8073">
        <v>0</v>
      </c>
      <c r="AI8073">
        <v>0</v>
      </c>
      <c r="AJ8073">
        <v>405.87</v>
      </c>
      <c r="AK8073">
        <v>0</v>
      </c>
      <c r="AL8073" t="s">
        <v>53</v>
      </c>
      <c r="AM8073" t="s">
        <v>53</v>
      </c>
      <c r="AN8073" t="s">
        <v>53</v>
      </c>
      <c r="AO8073" t="s">
        <v>53</v>
      </c>
      <c r="AP8073" t="s">
        <v>53</v>
      </c>
    </row>
    <row r="8074" spans="2:42" x14ac:dyDescent="0.2">
      <c r="B8074" t="s">
        <v>44</v>
      </c>
      <c r="C8074" t="str">
        <f>HYPERLINK("https://us2.cloudbeds.com/connect/8493803454333002#/reservations/211219283787904?display=4X61P8QN5C&amp;reservation_id=211219283787904", "4X61P8QN5C")</f>
        <v>4X61P8QN5C</v>
      </c>
      <c r="D8074" t="s">
        <v>602</v>
      </c>
      <c r="E8074" t="s">
        <v>53</v>
      </c>
      <c r="F8074" t="s">
        <v>61</v>
      </c>
      <c r="G8074" t="s">
        <v>3974</v>
      </c>
      <c r="H8074" t="s">
        <v>3957</v>
      </c>
      <c r="I8074" t="s">
        <v>3975</v>
      </c>
      <c r="J8074" t="s">
        <v>13998</v>
      </c>
      <c r="K8074" t="s">
        <v>13383</v>
      </c>
      <c r="L8074" t="s">
        <v>53</v>
      </c>
      <c r="P8074" t="s">
        <v>55</v>
      </c>
      <c r="R8074" t="s">
        <v>56</v>
      </c>
      <c r="T8074" t="s">
        <v>15155</v>
      </c>
      <c r="U8074" t="s">
        <v>58</v>
      </c>
      <c r="V8074">
        <v>1</v>
      </c>
      <c r="W8074">
        <v>1</v>
      </c>
      <c r="X8074">
        <v>2</v>
      </c>
      <c r="Y8074">
        <v>0</v>
      </c>
      <c r="Z8074">
        <v>2</v>
      </c>
      <c r="AA8074">
        <v>103.48</v>
      </c>
      <c r="AB8074">
        <v>103.48</v>
      </c>
      <c r="AC8074">
        <v>0</v>
      </c>
      <c r="AD8074">
        <v>0</v>
      </c>
      <c r="AE8074">
        <v>0</v>
      </c>
      <c r="AF8074">
        <v>0</v>
      </c>
      <c r="AG8074">
        <v>0</v>
      </c>
      <c r="AH8074">
        <v>0</v>
      </c>
      <c r="AI8074">
        <v>0</v>
      </c>
      <c r="AJ8074">
        <v>0</v>
      </c>
      <c r="AK8074">
        <v>0</v>
      </c>
      <c r="AL8074">
        <v>90.25</v>
      </c>
      <c r="AM8074">
        <v>103.48</v>
      </c>
      <c r="AN8074" t="s">
        <v>15156</v>
      </c>
      <c r="AO8074" t="s">
        <v>53</v>
      </c>
      <c r="AP8074" t="s">
        <v>53</v>
      </c>
    </row>
    <row r="8075" spans="2:42" x14ac:dyDescent="0.2">
      <c r="B8075" t="s">
        <v>44</v>
      </c>
      <c r="C8075" t="str">
        <f>HYPERLINK("https://us2.cloudbeds.com/connect/8493803454333002#/reservations/9080486848231162?display=4X67M02302&amp;reservation_id=9080486848231162", "4X67M02302")</f>
        <v>4X67M02302</v>
      </c>
      <c r="D8075" t="s">
        <v>45</v>
      </c>
      <c r="E8075" t="s">
        <v>179</v>
      </c>
      <c r="F8075" t="s">
        <v>47</v>
      </c>
      <c r="G8075" t="s">
        <v>48</v>
      </c>
      <c r="H8075" t="s">
        <v>49</v>
      </c>
      <c r="I8075" t="s">
        <v>62</v>
      </c>
      <c r="J8075" t="s">
        <v>13085</v>
      </c>
      <c r="K8075" t="s">
        <v>13086</v>
      </c>
      <c r="L8075" t="s">
        <v>53</v>
      </c>
      <c r="N8075" t="s">
        <v>15157</v>
      </c>
      <c r="P8075" t="s">
        <v>55</v>
      </c>
      <c r="R8075" t="s">
        <v>56</v>
      </c>
      <c r="T8075" t="s">
        <v>15158</v>
      </c>
      <c r="U8075" t="s">
        <v>55</v>
      </c>
      <c r="V8075">
        <v>3</v>
      </c>
      <c r="W8075">
        <v>1</v>
      </c>
      <c r="X8075">
        <v>1</v>
      </c>
      <c r="Y8075">
        <v>0</v>
      </c>
      <c r="Z8075">
        <v>1</v>
      </c>
      <c r="AA8075">
        <v>415.8</v>
      </c>
      <c r="AB8075">
        <v>415.8</v>
      </c>
      <c r="AC8075">
        <v>415.8</v>
      </c>
      <c r="AD8075">
        <v>0</v>
      </c>
      <c r="AE8075">
        <v>0</v>
      </c>
      <c r="AF8075">
        <v>0</v>
      </c>
      <c r="AG8075">
        <v>0</v>
      </c>
      <c r="AH8075">
        <v>0</v>
      </c>
      <c r="AI8075">
        <v>74.84</v>
      </c>
      <c r="AJ8075">
        <v>415.8</v>
      </c>
      <c r="AK8075">
        <v>0</v>
      </c>
      <c r="AL8075" t="s">
        <v>53</v>
      </c>
      <c r="AM8075" t="s">
        <v>53</v>
      </c>
      <c r="AN8075" t="s">
        <v>15159</v>
      </c>
      <c r="AO8075" t="s">
        <v>53</v>
      </c>
      <c r="AP8075" t="s">
        <v>53</v>
      </c>
    </row>
    <row r="8076" spans="2:42" x14ac:dyDescent="0.2">
      <c r="B8076" t="s">
        <v>44</v>
      </c>
      <c r="C8076" t="str">
        <f>HYPERLINK("https://us2.cloudbeds.com/connect/8493803454333002#/reservations/9080486848231924?display=4X6P9EXDMV&amp;reservation_id=9080486848231924", "4X6P9EXDMV")</f>
        <v>4X6P9EXDMV</v>
      </c>
      <c r="D8076" t="s">
        <v>45</v>
      </c>
      <c r="E8076" t="s">
        <v>155</v>
      </c>
      <c r="F8076" t="s">
        <v>86</v>
      </c>
      <c r="G8076" t="s">
        <v>48</v>
      </c>
      <c r="H8076" t="s">
        <v>49</v>
      </c>
      <c r="I8076" t="s">
        <v>50</v>
      </c>
      <c r="J8076" t="s">
        <v>14831</v>
      </c>
      <c r="K8076" t="s">
        <v>14498</v>
      </c>
      <c r="L8076" t="s">
        <v>53</v>
      </c>
      <c r="N8076" t="s">
        <v>15160</v>
      </c>
      <c r="P8076" t="s">
        <v>55</v>
      </c>
      <c r="R8076" t="s">
        <v>53</v>
      </c>
      <c r="T8076" t="s">
        <v>15161</v>
      </c>
      <c r="U8076" t="s">
        <v>55</v>
      </c>
      <c r="V8076">
        <v>1</v>
      </c>
      <c r="W8076">
        <v>1</v>
      </c>
      <c r="X8076">
        <v>2</v>
      </c>
      <c r="Y8076">
        <v>0</v>
      </c>
      <c r="Z8076">
        <v>2</v>
      </c>
      <c r="AA8076">
        <v>104.61</v>
      </c>
      <c r="AB8076">
        <v>0</v>
      </c>
      <c r="AC8076">
        <v>146.19</v>
      </c>
      <c r="AD8076">
        <v>0</v>
      </c>
      <c r="AE8076">
        <v>15.75</v>
      </c>
      <c r="AF8076">
        <v>0</v>
      </c>
      <c r="AG8076">
        <v>0</v>
      </c>
      <c r="AH8076">
        <v>0</v>
      </c>
      <c r="AI8076">
        <v>29.15</v>
      </c>
      <c r="AJ8076">
        <v>161.94</v>
      </c>
      <c r="AK8076">
        <v>161.94</v>
      </c>
      <c r="AL8076" t="s">
        <v>53</v>
      </c>
      <c r="AM8076" t="s">
        <v>53</v>
      </c>
      <c r="AN8076" t="s">
        <v>15162</v>
      </c>
      <c r="AO8076" t="s">
        <v>53</v>
      </c>
      <c r="AP8076" t="s">
        <v>53</v>
      </c>
    </row>
    <row r="8077" spans="2:42" x14ac:dyDescent="0.2">
      <c r="B8077" t="s">
        <v>44</v>
      </c>
      <c r="C8077" t="str">
        <f>HYPERLINK("https://us2.cloudbeds.com/connect/8493803454333002#/reservations/9080486848232528?display=4X76XHZ1FJ&amp;reservation_id=9080486848232528", "4X76XHZ1FJ")</f>
        <v>4X76XHZ1FJ</v>
      </c>
      <c r="D8077" t="s">
        <v>45</v>
      </c>
      <c r="E8077" t="s">
        <v>305</v>
      </c>
      <c r="F8077" t="s">
        <v>61</v>
      </c>
      <c r="G8077" t="s">
        <v>48</v>
      </c>
      <c r="H8077" t="s">
        <v>49</v>
      </c>
      <c r="I8077" t="s">
        <v>50</v>
      </c>
      <c r="J8077" t="s">
        <v>13587</v>
      </c>
      <c r="K8077" t="s">
        <v>14443</v>
      </c>
      <c r="L8077" t="s">
        <v>53</v>
      </c>
      <c r="N8077" t="s">
        <v>15163</v>
      </c>
      <c r="P8077" t="s">
        <v>55</v>
      </c>
      <c r="R8077" t="s">
        <v>53</v>
      </c>
      <c r="T8077" t="s">
        <v>15164</v>
      </c>
      <c r="U8077" t="s">
        <v>55</v>
      </c>
      <c r="V8077">
        <v>1</v>
      </c>
      <c r="W8077">
        <v>1</v>
      </c>
      <c r="X8077">
        <v>2</v>
      </c>
      <c r="Y8077">
        <v>0</v>
      </c>
      <c r="Z8077">
        <v>2</v>
      </c>
      <c r="AA8077">
        <v>80.069999999999993</v>
      </c>
      <c r="AB8077">
        <v>80.069999999999993</v>
      </c>
      <c r="AC8077">
        <v>73.62</v>
      </c>
      <c r="AD8077">
        <v>0</v>
      </c>
      <c r="AE8077">
        <v>6.45</v>
      </c>
      <c r="AF8077">
        <v>0</v>
      </c>
      <c r="AG8077">
        <v>0</v>
      </c>
      <c r="AH8077">
        <v>0</v>
      </c>
      <c r="AI8077">
        <v>14.41</v>
      </c>
      <c r="AJ8077">
        <v>80.069999999999993</v>
      </c>
      <c r="AK8077">
        <v>0</v>
      </c>
      <c r="AL8077" t="s">
        <v>53</v>
      </c>
      <c r="AM8077" t="s">
        <v>53</v>
      </c>
      <c r="AN8077" t="s">
        <v>53</v>
      </c>
      <c r="AO8077" t="s">
        <v>53</v>
      </c>
      <c r="AP8077" t="s">
        <v>53</v>
      </c>
    </row>
    <row r="8078" spans="2:42" x14ac:dyDescent="0.2">
      <c r="B8078" t="s">
        <v>44</v>
      </c>
      <c r="C8078" t="str">
        <f>HYPERLINK("https://us2.cloudbeds.com/connect/8493803454333002#/reservations/211273809125504?display=4X7AWH1KX1&amp;reservation_id=211273809125504", "4X7AWH1KX1")</f>
        <v>4X7AWH1KX1</v>
      </c>
      <c r="D8078" t="s">
        <v>45</v>
      </c>
      <c r="E8078" t="s">
        <v>69</v>
      </c>
      <c r="F8078" t="s">
        <v>70</v>
      </c>
      <c r="G8078" t="s">
        <v>48</v>
      </c>
      <c r="H8078" t="s">
        <v>3957</v>
      </c>
      <c r="I8078" t="s">
        <v>3975</v>
      </c>
      <c r="J8078" t="s">
        <v>13985</v>
      </c>
      <c r="K8078" t="s">
        <v>13587</v>
      </c>
      <c r="L8078" t="s">
        <v>53</v>
      </c>
      <c r="P8078" t="s">
        <v>55</v>
      </c>
      <c r="R8078" t="s">
        <v>56</v>
      </c>
      <c r="T8078" t="s">
        <v>15165</v>
      </c>
      <c r="U8078" t="s">
        <v>58</v>
      </c>
      <c r="V8078">
        <v>1</v>
      </c>
      <c r="W8078">
        <v>1</v>
      </c>
      <c r="X8078">
        <v>2</v>
      </c>
      <c r="Y8078">
        <v>0</v>
      </c>
      <c r="Z8078">
        <v>2</v>
      </c>
      <c r="AA8078">
        <v>86</v>
      </c>
      <c r="AB8078">
        <v>86</v>
      </c>
      <c r="AC8078">
        <v>75</v>
      </c>
      <c r="AD8078">
        <v>0</v>
      </c>
      <c r="AE8078">
        <v>11</v>
      </c>
      <c r="AF8078">
        <v>0</v>
      </c>
      <c r="AG8078">
        <v>0</v>
      </c>
      <c r="AH8078">
        <v>0</v>
      </c>
      <c r="AI8078">
        <v>0</v>
      </c>
      <c r="AJ8078">
        <v>86</v>
      </c>
      <c r="AK8078">
        <v>0</v>
      </c>
      <c r="AL8078" t="s">
        <v>53</v>
      </c>
      <c r="AM8078" t="s">
        <v>53</v>
      </c>
      <c r="AN8078" t="s">
        <v>15166</v>
      </c>
      <c r="AO8078" t="s">
        <v>53</v>
      </c>
      <c r="AP8078" t="s">
        <v>53</v>
      </c>
    </row>
    <row r="8079" spans="2:42" x14ac:dyDescent="0.2">
      <c r="B8079" t="s">
        <v>44</v>
      </c>
      <c r="C8079" t="str">
        <f>HYPERLINK("https://us2.cloudbeds.com/connect/8493803454333002#/reservations/9080486848233135?display=4X7YYZ0HJT&amp;reservation_id=9080486848233135", "4X7YYZ0HJT")</f>
        <v>4X7YYZ0HJT</v>
      </c>
      <c r="D8079" t="s">
        <v>45</v>
      </c>
      <c r="E8079" t="s">
        <v>179</v>
      </c>
      <c r="F8079" t="s">
        <v>47</v>
      </c>
      <c r="G8079" t="s">
        <v>48</v>
      </c>
      <c r="H8079" t="s">
        <v>49</v>
      </c>
      <c r="I8079" t="s">
        <v>50</v>
      </c>
      <c r="J8079" t="s">
        <v>13825</v>
      </c>
      <c r="K8079" t="s">
        <v>13998</v>
      </c>
      <c r="L8079" t="s">
        <v>53</v>
      </c>
      <c r="N8079" t="s">
        <v>15167</v>
      </c>
      <c r="P8079" t="s">
        <v>55</v>
      </c>
      <c r="R8079" t="s">
        <v>53</v>
      </c>
      <c r="T8079" t="s">
        <v>15168</v>
      </c>
      <c r="U8079" t="s">
        <v>55</v>
      </c>
      <c r="V8079">
        <v>1</v>
      </c>
      <c r="W8079">
        <v>1</v>
      </c>
      <c r="X8079">
        <v>1</v>
      </c>
      <c r="Y8079">
        <v>0</v>
      </c>
      <c r="Z8079">
        <v>1</v>
      </c>
      <c r="AA8079">
        <v>62.02</v>
      </c>
      <c r="AB8079">
        <v>62.02</v>
      </c>
      <c r="AC8079">
        <v>57.03</v>
      </c>
      <c r="AD8079">
        <v>0</v>
      </c>
      <c r="AE8079">
        <v>4.99</v>
      </c>
      <c r="AF8079">
        <v>0</v>
      </c>
      <c r="AG8079">
        <v>0</v>
      </c>
      <c r="AH8079">
        <v>0</v>
      </c>
      <c r="AI8079">
        <v>11.16</v>
      </c>
      <c r="AJ8079">
        <v>62.02</v>
      </c>
      <c r="AK8079">
        <v>0</v>
      </c>
      <c r="AL8079" t="s">
        <v>53</v>
      </c>
      <c r="AM8079" t="s">
        <v>53</v>
      </c>
      <c r="AN8079" t="s">
        <v>53</v>
      </c>
      <c r="AO8079" t="s">
        <v>53</v>
      </c>
      <c r="AP8079" t="s">
        <v>53</v>
      </c>
    </row>
    <row r="8080" spans="2:42" x14ac:dyDescent="0.2">
      <c r="B8080" t="s">
        <v>44</v>
      </c>
      <c r="C8080" t="str">
        <f>HYPERLINK("https://us2.cloudbeds.com/connect/8493803454333002#/reservations/211292077154496?display=4X7P4A4F09&amp;reservation_id=211292077154496", "4X7P4A4F09")</f>
        <v>4X7P4A4F09</v>
      </c>
      <c r="D8080" t="s">
        <v>45</v>
      </c>
      <c r="E8080" t="s">
        <v>105</v>
      </c>
      <c r="F8080" t="s">
        <v>47</v>
      </c>
      <c r="G8080" t="s">
        <v>48</v>
      </c>
      <c r="H8080" t="s">
        <v>3957</v>
      </c>
      <c r="I8080" t="s">
        <v>3958</v>
      </c>
      <c r="J8080" t="s">
        <v>13985</v>
      </c>
      <c r="K8080" t="s">
        <v>13587</v>
      </c>
      <c r="L8080" t="s">
        <v>53</v>
      </c>
      <c r="P8080" t="s">
        <v>55</v>
      </c>
      <c r="R8080" t="s">
        <v>56</v>
      </c>
      <c r="T8080" t="s">
        <v>15169</v>
      </c>
      <c r="U8080" t="s">
        <v>58</v>
      </c>
      <c r="V8080">
        <v>1</v>
      </c>
      <c r="W8080">
        <v>1</v>
      </c>
      <c r="X8080">
        <v>1</v>
      </c>
      <c r="Y8080">
        <v>0</v>
      </c>
      <c r="Z8080">
        <v>1</v>
      </c>
      <c r="AA8080">
        <v>91.72</v>
      </c>
      <c r="AB8080">
        <v>91.72</v>
      </c>
      <c r="AC8080">
        <v>80</v>
      </c>
      <c r="AD8080">
        <v>0</v>
      </c>
      <c r="AE8080">
        <v>11.72</v>
      </c>
      <c r="AF8080">
        <v>0</v>
      </c>
      <c r="AG8080">
        <v>0</v>
      </c>
      <c r="AH8080">
        <v>0</v>
      </c>
      <c r="AI8080">
        <v>0</v>
      </c>
      <c r="AJ8080">
        <v>91.72</v>
      </c>
      <c r="AK8080">
        <v>0</v>
      </c>
      <c r="AL8080" t="s">
        <v>53</v>
      </c>
      <c r="AM8080" t="s">
        <v>53</v>
      </c>
      <c r="AN8080" t="s">
        <v>53</v>
      </c>
      <c r="AO8080" t="s">
        <v>53</v>
      </c>
      <c r="AP8080" t="s">
        <v>53</v>
      </c>
    </row>
    <row r="8081" spans="2:42" x14ac:dyDescent="0.2">
      <c r="B8081" t="s">
        <v>44</v>
      </c>
      <c r="C8081" t="str">
        <f>HYPERLINK("https://us2.cloudbeds.com/connect/8493803454333002#/reservations/211306339287168?display=4X835ZADJZ&amp;reservation_id=211306339287168", "4X835ZADJZ")</f>
        <v>4X835ZADJZ</v>
      </c>
      <c r="D8081" t="s">
        <v>45</v>
      </c>
      <c r="E8081" t="s">
        <v>406</v>
      </c>
      <c r="F8081" t="s">
        <v>61</v>
      </c>
      <c r="G8081" t="s">
        <v>3974</v>
      </c>
      <c r="H8081" t="s">
        <v>3957</v>
      </c>
      <c r="I8081" t="s">
        <v>3975</v>
      </c>
      <c r="J8081" t="s">
        <v>12823</v>
      </c>
      <c r="K8081" t="s">
        <v>12863</v>
      </c>
      <c r="L8081" t="s">
        <v>53</v>
      </c>
      <c r="P8081" t="s">
        <v>55</v>
      </c>
      <c r="R8081" t="s">
        <v>56</v>
      </c>
      <c r="T8081" t="s">
        <v>15170</v>
      </c>
      <c r="U8081" t="s">
        <v>58</v>
      </c>
      <c r="V8081">
        <v>2</v>
      </c>
      <c r="W8081">
        <v>1</v>
      </c>
      <c r="X8081">
        <v>2</v>
      </c>
      <c r="Y8081">
        <v>0</v>
      </c>
      <c r="Z8081">
        <v>2</v>
      </c>
      <c r="AA8081">
        <v>496.67</v>
      </c>
      <c r="AB8081">
        <v>496.67</v>
      </c>
      <c r="AC8081">
        <v>433.2</v>
      </c>
      <c r="AD8081">
        <v>0</v>
      </c>
      <c r="AE8081">
        <v>63.47</v>
      </c>
      <c r="AF8081">
        <v>0</v>
      </c>
      <c r="AG8081">
        <v>0</v>
      </c>
      <c r="AH8081">
        <v>0</v>
      </c>
      <c r="AI8081">
        <v>0</v>
      </c>
      <c r="AJ8081">
        <v>496.67</v>
      </c>
      <c r="AK8081">
        <v>0</v>
      </c>
      <c r="AL8081" t="s">
        <v>53</v>
      </c>
      <c r="AM8081" t="s">
        <v>53</v>
      </c>
      <c r="AN8081" t="s">
        <v>15171</v>
      </c>
      <c r="AO8081" t="s">
        <v>53</v>
      </c>
      <c r="AP8081" t="s">
        <v>53</v>
      </c>
    </row>
    <row r="8082" spans="2:42" x14ac:dyDescent="0.2">
      <c r="B8082" t="s">
        <v>44</v>
      </c>
      <c r="C8082" t="str">
        <f>HYPERLINK("https://us2.cloudbeds.com/connect/8493803454333002#/reservations/9080486848233900?display=4X8AFWD3VQ&amp;reservation_id=9080486848233900", "4X8AFWD3VQ")</f>
        <v>4X8AFWD3VQ</v>
      </c>
      <c r="D8082" t="s">
        <v>45</v>
      </c>
      <c r="E8082" t="s">
        <v>185</v>
      </c>
      <c r="F8082" t="s">
        <v>47</v>
      </c>
      <c r="G8082" t="s">
        <v>48</v>
      </c>
      <c r="H8082" t="s">
        <v>49</v>
      </c>
      <c r="I8082" t="s">
        <v>50</v>
      </c>
      <c r="J8082" t="s">
        <v>13587</v>
      </c>
      <c r="K8082" t="s">
        <v>14443</v>
      </c>
      <c r="L8082" t="s">
        <v>53</v>
      </c>
      <c r="N8082" t="s">
        <v>15172</v>
      </c>
      <c r="P8082" t="s">
        <v>55</v>
      </c>
      <c r="R8082" t="s">
        <v>53</v>
      </c>
      <c r="T8082" t="s">
        <v>15173</v>
      </c>
      <c r="U8082" t="s">
        <v>55</v>
      </c>
      <c r="V8082">
        <v>1</v>
      </c>
      <c r="W8082">
        <v>1</v>
      </c>
      <c r="X8082">
        <v>2</v>
      </c>
      <c r="Y8082">
        <v>0</v>
      </c>
      <c r="Z8082">
        <v>2</v>
      </c>
      <c r="AA8082">
        <v>67.41</v>
      </c>
      <c r="AB8082">
        <v>67.41</v>
      </c>
      <c r="AC8082">
        <v>61.99</v>
      </c>
      <c r="AD8082">
        <v>0</v>
      </c>
      <c r="AE8082">
        <v>5.42</v>
      </c>
      <c r="AF8082">
        <v>0</v>
      </c>
      <c r="AG8082">
        <v>0</v>
      </c>
      <c r="AH8082">
        <v>0</v>
      </c>
      <c r="AI8082">
        <v>12.13</v>
      </c>
      <c r="AJ8082">
        <v>67.41</v>
      </c>
      <c r="AK8082">
        <v>0</v>
      </c>
      <c r="AL8082" t="s">
        <v>53</v>
      </c>
      <c r="AM8082" t="s">
        <v>53</v>
      </c>
      <c r="AN8082" t="s">
        <v>15174</v>
      </c>
      <c r="AO8082" t="s">
        <v>53</v>
      </c>
      <c r="AP8082" t="s">
        <v>53</v>
      </c>
    </row>
    <row r="8083" spans="2:42" x14ac:dyDescent="0.2">
      <c r="B8083" t="s">
        <v>44</v>
      </c>
      <c r="C8083" t="str">
        <f>HYPERLINK("https://us2.cloudbeds.com/connect/8493803454333002#/reservations/9080486848234817?display=4X93FBXHCY&amp;reservation_id=9080486848234817", "4X93FBXHCY")</f>
        <v>4X93FBXHCY</v>
      </c>
      <c r="D8083" t="s">
        <v>45</v>
      </c>
      <c r="E8083" t="s">
        <v>406</v>
      </c>
      <c r="F8083" t="s">
        <v>61</v>
      </c>
      <c r="G8083" t="s">
        <v>48</v>
      </c>
      <c r="H8083" t="s">
        <v>49</v>
      </c>
      <c r="I8083" t="s">
        <v>50</v>
      </c>
      <c r="J8083" t="s">
        <v>13572</v>
      </c>
      <c r="K8083" t="s">
        <v>14800</v>
      </c>
      <c r="L8083" t="s">
        <v>53</v>
      </c>
      <c r="N8083" t="s">
        <v>15175</v>
      </c>
      <c r="P8083" t="s">
        <v>55</v>
      </c>
      <c r="R8083" t="s">
        <v>53</v>
      </c>
      <c r="T8083" t="s">
        <v>15176</v>
      </c>
      <c r="U8083" t="s">
        <v>55</v>
      </c>
      <c r="V8083">
        <v>1</v>
      </c>
      <c r="W8083">
        <v>1</v>
      </c>
      <c r="X8083">
        <v>2</v>
      </c>
      <c r="Y8083">
        <v>0</v>
      </c>
      <c r="Z8083">
        <v>2</v>
      </c>
      <c r="AA8083">
        <v>70.790000000000006</v>
      </c>
      <c r="AB8083">
        <v>70.790000000000006</v>
      </c>
      <c r="AC8083">
        <v>65.09</v>
      </c>
      <c r="AD8083">
        <v>0</v>
      </c>
      <c r="AE8083">
        <v>5.7</v>
      </c>
      <c r="AF8083">
        <v>0</v>
      </c>
      <c r="AG8083">
        <v>0</v>
      </c>
      <c r="AH8083">
        <v>0</v>
      </c>
      <c r="AI8083">
        <v>12.74</v>
      </c>
      <c r="AJ8083">
        <v>70.790000000000006</v>
      </c>
      <c r="AK8083">
        <v>0</v>
      </c>
      <c r="AL8083" t="s">
        <v>53</v>
      </c>
      <c r="AM8083" t="s">
        <v>53</v>
      </c>
      <c r="AN8083" t="s">
        <v>53</v>
      </c>
      <c r="AO8083" t="s">
        <v>53</v>
      </c>
      <c r="AP8083" t="s">
        <v>53</v>
      </c>
    </row>
    <row r="8084" spans="2:42" x14ac:dyDescent="0.2">
      <c r="B8084" t="s">
        <v>44</v>
      </c>
      <c r="C8084" t="str">
        <f>HYPERLINK("https://us2.cloudbeds.com/connect/8493803454333002#/reservations/211355828764800?display=4X98GA5HMJ&amp;reservation_id=211355828764800", "4X98GA5HMJ")</f>
        <v>4X98GA5HMJ</v>
      </c>
      <c r="D8084" t="s">
        <v>45</v>
      </c>
      <c r="E8084" t="s">
        <v>78</v>
      </c>
      <c r="F8084" t="s">
        <v>61</v>
      </c>
      <c r="G8084" t="s">
        <v>48</v>
      </c>
      <c r="H8084" t="s">
        <v>3957</v>
      </c>
      <c r="I8084" t="s">
        <v>3975</v>
      </c>
      <c r="J8084" t="s">
        <v>14800</v>
      </c>
      <c r="K8084" t="s">
        <v>13361</v>
      </c>
      <c r="L8084" t="s">
        <v>53</v>
      </c>
      <c r="P8084" t="s">
        <v>55</v>
      </c>
      <c r="R8084" t="s">
        <v>56</v>
      </c>
      <c r="T8084" t="s">
        <v>15177</v>
      </c>
      <c r="U8084" t="s">
        <v>58</v>
      </c>
      <c r="V8084">
        <v>1</v>
      </c>
      <c r="W8084">
        <v>1</v>
      </c>
      <c r="X8084">
        <v>2</v>
      </c>
      <c r="Y8084">
        <v>0</v>
      </c>
      <c r="Z8084">
        <v>2</v>
      </c>
      <c r="AA8084">
        <v>96.31</v>
      </c>
      <c r="AB8084">
        <v>119.24</v>
      </c>
      <c r="AC8084">
        <v>84</v>
      </c>
      <c r="AD8084">
        <v>20</v>
      </c>
      <c r="AE8084">
        <v>15.24</v>
      </c>
      <c r="AF8084">
        <v>0</v>
      </c>
      <c r="AG8084">
        <v>0</v>
      </c>
      <c r="AH8084">
        <v>0</v>
      </c>
      <c r="AI8084">
        <v>0</v>
      </c>
      <c r="AJ8084">
        <v>119.24</v>
      </c>
      <c r="AK8084">
        <v>0</v>
      </c>
      <c r="AL8084" t="s">
        <v>53</v>
      </c>
      <c r="AM8084" t="s">
        <v>53</v>
      </c>
      <c r="AN8084" t="s">
        <v>53</v>
      </c>
      <c r="AO8084" t="s">
        <v>53</v>
      </c>
      <c r="AP8084" t="s">
        <v>53</v>
      </c>
    </row>
    <row r="8085" spans="2:42" x14ac:dyDescent="0.2">
      <c r="B8085" t="s">
        <v>44</v>
      </c>
      <c r="C8085" t="str">
        <f>HYPERLINK("https://us2.cloudbeds.com/connect/8493803454333002#/reservations/9080486848239238?display=4XD64DSQSK&amp;reservation_id=9080486848239238", "4XD64DSQSK")</f>
        <v>4XD64DSQSK</v>
      </c>
      <c r="D8085" t="s">
        <v>45</v>
      </c>
      <c r="E8085" t="s">
        <v>265</v>
      </c>
      <c r="F8085" t="s">
        <v>61</v>
      </c>
      <c r="G8085" t="s">
        <v>48</v>
      </c>
      <c r="H8085" t="s">
        <v>49</v>
      </c>
      <c r="I8085" t="s">
        <v>50</v>
      </c>
      <c r="J8085" t="s">
        <v>13587</v>
      </c>
      <c r="K8085" t="s">
        <v>14443</v>
      </c>
      <c r="L8085" t="s">
        <v>53</v>
      </c>
      <c r="N8085" t="s">
        <v>15178</v>
      </c>
      <c r="P8085" t="s">
        <v>55</v>
      </c>
      <c r="R8085" t="s">
        <v>53</v>
      </c>
      <c r="T8085" t="s">
        <v>15179</v>
      </c>
      <c r="U8085" t="s">
        <v>55</v>
      </c>
      <c r="V8085">
        <v>1</v>
      </c>
      <c r="W8085">
        <v>1</v>
      </c>
      <c r="X8085">
        <v>2</v>
      </c>
      <c r="Y8085">
        <v>0</v>
      </c>
      <c r="Z8085">
        <v>2</v>
      </c>
      <c r="AA8085">
        <v>71.17</v>
      </c>
      <c r="AB8085">
        <v>71.17</v>
      </c>
      <c r="AC8085">
        <v>65.44</v>
      </c>
      <c r="AD8085">
        <v>0</v>
      </c>
      <c r="AE8085">
        <v>5.73</v>
      </c>
      <c r="AF8085">
        <v>0</v>
      </c>
      <c r="AG8085">
        <v>0</v>
      </c>
      <c r="AH8085">
        <v>0</v>
      </c>
      <c r="AI8085">
        <v>12.81</v>
      </c>
      <c r="AJ8085">
        <v>71.17</v>
      </c>
      <c r="AK8085">
        <v>0</v>
      </c>
      <c r="AL8085" t="s">
        <v>53</v>
      </c>
      <c r="AM8085" t="s">
        <v>53</v>
      </c>
      <c r="AN8085" t="s">
        <v>53</v>
      </c>
      <c r="AO8085" t="s">
        <v>53</v>
      </c>
      <c r="AP8085" t="s">
        <v>53</v>
      </c>
    </row>
    <row r="8086" spans="2:42" x14ac:dyDescent="0.2">
      <c r="B8086" t="s">
        <v>44</v>
      </c>
      <c r="C8086" t="str">
        <f>HYPERLINK("https://us2.cloudbeds.com/connect/8493803454333002#/reservations/9080486848239754?display=4XDG9QSDFX&amp;reservation_id=9080486848239754", "4XDG9QSDFX")</f>
        <v>4XDG9QSDFX</v>
      </c>
      <c r="D8086" t="s">
        <v>45</v>
      </c>
      <c r="E8086" t="s">
        <v>110</v>
      </c>
      <c r="F8086" t="s">
        <v>47</v>
      </c>
      <c r="G8086" t="s">
        <v>48</v>
      </c>
      <c r="H8086" t="s">
        <v>49</v>
      </c>
      <c r="I8086" t="s">
        <v>50</v>
      </c>
      <c r="J8086" t="s">
        <v>14762</v>
      </c>
      <c r="K8086" t="s">
        <v>13362</v>
      </c>
      <c r="L8086" t="s">
        <v>53</v>
      </c>
      <c r="N8086" t="s">
        <v>15180</v>
      </c>
      <c r="P8086" t="s">
        <v>55</v>
      </c>
      <c r="R8086" t="s">
        <v>53</v>
      </c>
      <c r="T8086" t="s">
        <v>15181</v>
      </c>
      <c r="U8086" t="s">
        <v>55</v>
      </c>
      <c r="V8086">
        <v>2</v>
      </c>
      <c r="W8086">
        <v>1</v>
      </c>
      <c r="X8086">
        <v>1</v>
      </c>
      <c r="Y8086">
        <v>0</v>
      </c>
      <c r="Z8086">
        <v>1</v>
      </c>
      <c r="AA8086">
        <v>128.1</v>
      </c>
      <c r="AB8086">
        <v>128.1</v>
      </c>
      <c r="AC8086">
        <v>117.8</v>
      </c>
      <c r="AD8086">
        <v>0</v>
      </c>
      <c r="AE8086">
        <v>10.3</v>
      </c>
      <c r="AF8086">
        <v>0</v>
      </c>
      <c r="AG8086">
        <v>0</v>
      </c>
      <c r="AH8086">
        <v>0</v>
      </c>
      <c r="AI8086">
        <v>23.06</v>
      </c>
      <c r="AJ8086">
        <v>128.1</v>
      </c>
      <c r="AK8086">
        <v>0</v>
      </c>
      <c r="AL8086" t="s">
        <v>53</v>
      </c>
      <c r="AM8086" t="s">
        <v>53</v>
      </c>
      <c r="AN8086" t="s">
        <v>53</v>
      </c>
      <c r="AO8086" t="s">
        <v>53</v>
      </c>
      <c r="AP8086" t="s">
        <v>53</v>
      </c>
    </row>
    <row r="8087" spans="2:42" x14ac:dyDescent="0.2">
      <c r="B8087" t="s">
        <v>44</v>
      </c>
      <c r="C8087" t="str">
        <f>HYPERLINK("https://us2.cloudbeds.com/connect/8493803454333002#/reservations/9080486848241923?display=4XEUURN482&amp;reservation_id=9080486848241923", "4XEUURN482")</f>
        <v>4XEUURN482</v>
      </c>
      <c r="D8087" t="s">
        <v>45</v>
      </c>
      <c r="E8087" t="s">
        <v>121</v>
      </c>
      <c r="F8087" t="s">
        <v>86</v>
      </c>
      <c r="G8087" t="s">
        <v>48</v>
      </c>
      <c r="H8087" t="s">
        <v>49</v>
      </c>
      <c r="I8087" t="s">
        <v>50</v>
      </c>
      <c r="J8087" t="s">
        <v>14176</v>
      </c>
      <c r="K8087" t="s">
        <v>13038</v>
      </c>
      <c r="L8087" t="s">
        <v>53</v>
      </c>
      <c r="N8087" t="s">
        <v>15182</v>
      </c>
      <c r="P8087" t="s">
        <v>55</v>
      </c>
      <c r="R8087" t="s">
        <v>53</v>
      </c>
      <c r="T8087" t="s">
        <v>15183</v>
      </c>
      <c r="U8087" t="s">
        <v>55</v>
      </c>
      <c r="V8087">
        <v>1</v>
      </c>
      <c r="W8087">
        <v>1</v>
      </c>
      <c r="X8087">
        <v>2</v>
      </c>
      <c r="Y8087">
        <v>0</v>
      </c>
      <c r="Z8087">
        <v>2</v>
      </c>
      <c r="AA8087">
        <v>92.24</v>
      </c>
      <c r="AB8087">
        <v>92.24</v>
      </c>
      <c r="AC8087">
        <v>84.82</v>
      </c>
      <c r="AD8087">
        <v>0</v>
      </c>
      <c r="AE8087">
        <v>7.42</v>
      </c>
      <c r="AF8087">
        <v>0</v>
      </c>
      <c r="AG8087">
        <v>0</v>
      </c>
      <c r="AH8087">
        <v>0</v>
      </c>
      <c r="AI8087">
        <v>16.600000000000001</v>
      </c>
      <c r="AJ8087">
        <v>92.24</v>
      </c>
      <c r="AK8087">
        <v>0</v>
      </c>
      <c r="AL8087" t="s">
        <v>53</v>
      </c>
      <c r="AM8087" t="s">
        <v>53</v>
      </c>
      <c r="AN8087" t="s">
        <v>15184</v>
      </c>
      <c r="AO8087" t="s">
        <v>53</v>
      </c>
      <c r="AP8087" t="s">
        <v>53</v>
      </c>
    </row>
    <row r="8088" spans="2:42" x14ac:dyDescent="0.2">
      <c r="B8088" t="s">
        <v>44</v>
      </c>
      <c r="C8088" t="str">
        <f>HYPERLINK("https://us2.cloudbeds.com/connect/8493803454333002#/reservations/9080486848241962?display=4XEW2X9C7D&amp;reservation_id=9080486848241962", "4XEW2X9C7D")</f>
        <v>4XEW2X9C7D</v>
      </c>
      <c r="D8088" t="s">
        <v>45</v>
      </c>
      <c r="E8088" t="s">
        <v>179</v>
      </c>
      <c r="F8088" t="s">
        <v>47</v>
      </c>
      <c r="G8088" t="s">
        <v>48</v>
      </c>
      <c r="H8088" t="s">
        <v>49</v>
      </c>
      <c r="I8088" t="s">
        <v>50</v>
      </c>
      <c r="J8088" t="s">
        <v>13587</v>
      </c>
      <c r="K8088" t="s">
        <v>14443</v>
      </c>
      <c r="L8088" t="s">
        <v>53</v>
      </c>
      <c r="N8088" t="s">
        <v>15185</v>
      </c>
      <c r="P8088" t="s">
        <v>55</v>
      </c>
      <c r="R8088" t="s">
        <v>53</v>
      </c>
      <c r="T8088" t="s">
        <v>15186</v>
      </c>
      <c r="U8088" t="s">
        <v>55</v>
      </c>
      <c r="V8088">
        <v>1</v>
      </c>
      <c r="W8088">
        <v>1</v>
      </c>
      <c r="X8088">
        <v>1</v>
      </c>
      <c r="Y8088">
        <v>0</v>
      </c>
      <c r="Z8088">
        <v>1</v>
      </c>
      <c r="AA8088">
        <v>59.92</v>
      </c>
      <c r="AB8088">
        <v>59.92</v>
      </c>
      <c r="AC8088">
        <v>55.1</v>
      </c>
      <c r="AD8088">
        <v>0</v>
      </c>
      <c r="AE8088">
        <v>4.82</v>
      </c>
      <c r="AF8088">
        <v>0</v>
      </c>
      <c r="AG8088">
        <v>0</v>
      </c>
      <c r="AH8088">
        <v>0</v>
      </c>
      <c r="AI8088">
        <v>10.79</v>
      </c>
      <c r="AJ8088">
        <v>59.92</v>
      </c>
      <c r="AK8088">
        <v>0</v>
      </c>
      <c r="AL8088" t="s">
        <v>53</v>
      </c>
      <c r="AM8088" t="s">
        <v>53</v>
      </c>
      <c r="AN8088" t="s">
        <v>53</v>
      </c>
      <c r="AO8088" t="s">
        <v>53</v>
      </c>
      <c r="AP8088" t="s">
        <v>53</v>
      </c>
    </row>
    <row r="8089" spans="2:42" x14ac:dyDescent="0.2">
      <c r="B8089" t="s">
        <v>44</v>
      </c>
      <c r="C8089" t="str">
        <f>HYPERLINK("https://us2.cloudbeds.com/connect/8493803454333002#/reservations/211627083108544?display=4XFKHG0VNG&amp;reservation_id=211627083108544", "4XFKHG0VNG")</f>
        <v>4XFKHG0VNG</v>
      </c>
      <c r="D8089" t="s">
        <v>45</v>
      </c>
      <c r="E8089" t="s">
        <v>223</v>
      </c>
      <c r="F8089" t="s">
        <v>47</v>
      </c>
      <c r="G8089" t="s">
        <v>48</v>
      </c>
      <c r="H8089" t="s">
        <v>3957</v>
      </c>
      <c r="I8089" t="s">
        <v>3958</v>
      </c>
      <c r="J8089" t="s">
        <v>13587</v>
      </c>
      <c r="K8089" t="s">
        <v>14443</v>
      </c>
      <c r="L8089" t="s">
        <v>53</v>
      </c>
      <c r="P8089" t="s">
        <v>55</v>
      </c>
      <c r="R8089" t="s">
        <v>56</v>
      </c>
      <c r="T8089" t="s">
        <v>15187</v>
      </c>
      <c r="U8089" t="s">
        <v>58</v>
      </c>
      <c r="V8089">
        <v>1</v>
      </c>
      <c r="W8089">
        <v>1</v>
      </c>
      <c r="X8089">
        <v>1</v>
      </c>
      <c r="Y8089">
        <v>0</v>
      </c>
      <c r="Z8089">
        <v>1</v>
      </c>
      <c r="AA8089">
        <v>91.72</v>
      </c>
      <c r="AB8089">
        <v>91.72</v>
      </c>
      <c r="AC8089">
        <v>80</v>
      </c>
      <c r="AD8089">
        <v>0</v>
      </c>
      <c r="AE8089">
        <v>11.72</v>
      </c>
      <c r="AF8089">
        <v>0</v>
      </c>
      <c r="AG8089">
        <v>0</v>
      </c>
      <c r="AH8089">
        <v>0</v>
      </c>
      <c r="AI8089">
        <v>0</v>
      </c>
      <c r="AJ8089">
        <v>91.72</v>
      </c>
      <c r="AK8089">
        <v>0</v>
      </c>
      <c r="AL8089" t="s">
        <v>53</v>
      </c>
      <c r="AM8089" t="s">
        <v>53</v>
      </c>
      <c r="AN8089" t="s">
        <v>53</v>
      </c>
      <c r="AO8089" t="s">
        <v>53</v>
      </c>
      <c r="AP8089" t="s">
        <v>53</v>
      </c>
    </row>
    <row r="8090" spans="2:42" x14ac:dyDescent="0.2">
      <c r="B8090" t="s">
        <v>44</v>
      </c>
      <c r="C8090" t="str">
        <f>HYPERLINK("https://us2.cloudbeds.com/connect/8493803454333002#/reservations/9080486848244131?display=4XGCUPC1YY&amp;reservation_id=9080486848244131", "4XGCUPC1YY")</f>
        <v>4XGCUPC1YY</v>
      </c>
      <c r="D8090" t="s">
        <v>45</v>
      </c>
      <c r="E8090" t="s">
        <v>46</v>
      </c>
      <c r="F8090" t="s">
        <v>47</v>
      </c>
      <c r="G8090" t="s">
        <v>48</v>
      </c>
      <c r="H8090" t="s">
        <v>49</v>
      </c>
      <c r="I8090" t="s">
        <v>62</v>
      </c>
      <c r="J8090" t="s">
        <v>13587</v>
      </c>
      <c r="K8090" t="s">
        <v>13572</v>
      </c>
      <c r="L8090" t="s">
        <v>53</v>
      </c>
      <c r="N8090" t="s">
        <v>15188</v>
      </c>
      <c r="P8090" t="s">
        <v>55</v>
      </c>
      <c r="R8090" t="s">
        <v>56</v>
      </c>
      <c r="T8090" t="s">
        <v>15189</v>
      </c>
      <c r="U8090" t="s">
        <v>55</v>
      </c>
      <c r="V8090">
        <v>2</v>
      </c>
      <c r="W8090">
        <v>1</v>
      </c>
      <c r="X8090">
        <v>1</v>
      </c>
      <c r="Y8090">
        <v>0</v>
      </c>
      <c r="Z8090">
        <v>1</v>
      </c>
      <c r="AA8090">
        <v>168</v>
      </c>
      <c r="AB8090">
        <v>168</v>
      </c>
      <c r="AC8090">
        <v>168</v>
      </c>
      <c r="AD8090">
        <v>0</v>
      </c>
      <c r="AE8090">
        <v>0</v>
      </c>
      <c r="AF8090">
        <v>0</v>
      </c>
      <c r="AG8090">
        <v>0</v>
      </c>
      <c r="AH8090">
        <v>0</v>
      </c>
      <c r="AI8090">
        <v>30.24</v>
      </c>
      <c r="AJ8090">
        <v>168</v>
      </c>
      <c r="AK8090">
        <v>0</v>
      </c>
      <c r="AL8090" t="s">
        <v>53</v>
      </c>
      <c r="AM8090" t="s">
        <v>53</v>
      </c>
      <c r="AN8090" t="s">
        <v>53</v>
      </c>
      <c r="AO8090" t="s">
        <v>53</v>
      </c>
      <c r="AP8090" t="s">
        <v>53</v>
      </c>
    </row>
    <row r="8091" spans="2:42" x14ac:dyDescent="0.2">
      <c r="B8091" t="s">
        <v>44</v>
      </c>
      <c r="C8091" t="str">
        <f>HYPERLINK("https://us2.cloudbeds.com/connect/8493803454333002#/reservations/9080486848245059?display=4XH902J1US&amp;reservation_id=9080486848245059", "4XH902J1US")</f>
        <v>4XH902J1US</v>
      </c>
      <c r="D8091" t="s">
        <v>45</v>
      </c>
      <c r="E8091" t="s">
        <v>179</v>
      </c>
      <c r="F8091" t="s">
        <v>47</v>
      </c>
      <c r="G8091" t="s">
        <v>48</v>
      </c>
      <c r="H8091" t="s">
        <v>49</v>
      </c>
      <c r="I8091" t="s">
        <v>62</v>
      </c>
      <c r="J8091" t="s">
        <v>14443</v>
      </c>
      <c r="K8091" t="s">
        <v>13572</v>
      </c>
      <c r="L8091" t="s">
        <v>53</v>
      </c>
      <c r="N8091" t="s">
        <v>15190</v>
      </c>
      <c r="P8091" t="s">
        <v>55</v>
      </c>
      <c r="R8091" t="s">
        <v>56</v>
      </c>
      <c r="T8091" t="s">
        <v>15191</v>
      </c>
      <c r="U8091" t="s">
        <v>55</v>
      </c>
      <c r="V8091">
        <v>1</v>
      </c>
      <c r="W8091">
        <v>1</v>
      </c>
      <c r="X8091">
        <v>2</v>
      </c>
      <c r="Y8091">
        <v>0</v>
      </c>
      <c r="Z8091">
        <v>2</v>
      </c>
      <c r="AA8091">
        <v>84</v>
      </c>
      <c r="AB8091">
        <v>84</v>
      </c>
      <c r="AC8091">
        <v>84</v>
      </c>
      <c r="AD8091">
        <v>0</v>
      </c>
      <c r="AE8091">
        <v>0</v>
      </c>
      <c r="AF8091">
        <v>0</v>
      </c>
      <c r="AG8091">
        <v>0</v>
      </c>
      <c r="AH8091">
        <v>0</v>
      </c>
      <c r="AI8091">
        <v>15.12</v>
      </c>
      <c r="AJ8091">
        <v>84</v>
      </c>
      <c r="AK8091">
        <v>0</v>
      </c>
      <c r="AL8091" t="s">
        <v>53</v>
      </c>
      <c r="AM8091" t="s">
        <v>53</v>
      </c>
      <c r="AN8091" t="s">
        <v>15192</v>
      </c>
      <c r="AO8091" t="s">
        <v>53</v>
      </c>
      <c r="AP8091" t="s">
        <v>53</v>
      </c>
    </row>
    <row r="8092" spans="2:42" x14ac:dyDescent="0.2">
      <c r="B8092" t="s">
        <v>44</v>
      </c>
      <c r="C8092" t="str">
        <f>HYPERLINK("https://us2.cloudbeds.com/connect/8493803454333002#/reservations/211798642892993?display=4XJYC7PDBV&amp;reservation_id=211798642892993", "4XJYC7PDBV")</f>
        <v>4XJYC7PDBV</v>
      </c>
      <c r="D8092" t="s">
        <v>45</v>
      </c>
      <c r="E8092" t="s">
        <v>305</v>
      </c>
      <c r="F8092" t="s">
        <v>61</v>
      </c>
      <c r="G8092" t="s">
        <v>48</v>
      </c>
      <c r="H8092" t="s">
        <v>3957</v>
      </c>
      <c r="I8092" t="s">
        <v>3975</v>
      </c>
      <c r="J8092" t="s">
        <v>14443</v>
      </c>
      <c r="K8092" t="s">
        <v>13572</v>
      </c>
      <c r="L8092" t="s">
        <v>53</v>
      </c>
      <c r="P8092" t="s">
        <v>55</v>
      </c>
      <c r="R8092" t="s">
        <v>56</v>
      </c>
      <c r="T8092" t="s">
        <v>15193</v>
      </c>
      <c r="U8092" t="s">
        <v>58</v>
      </c>
      <c r="V8092">
        <v>1</v>
      </c>
      <c r="W8092">
        <v>1</v>
      </c>
      <c r="X8092">
        <v>2</v>
      </c>
      <c r="Y8092">
        <v>0</v>
      </c>
      <c r="Z8092">
        <v>2</v>
      </c>
      <c r="AA8092">
        <v>108.93</v>
      </c>
      <c r="AB8092">
        <v>108.93</v>
      </c>
      <c r="AC8092">
        <v>95</v>
      </c>
      <c r="AD8092">
        <v>0</v>
      </c>
      <c r="AE8092">
        <v>13.93</v>
      </c>
      <c r="AF8092">
        <v>0</v>
      </c>
      <c r="AG8092">
        <v>0</v>
      </c>
      <c r="AH8092">
        <v>0</v>
      </c>
      <c r="AI8092">
        <v>0</v>
      </c>
      <c r="AJ8092">
        <v>108.93</v>
      </c>
      <c r="AK8092">
        <v>0</v>
      </c>
      <c r="AL8092" t="s">
        <v>53</v>
      </c>
      <c r="AM8092" t="s">
        <v>53</v>
      </c>
      <c r="AN8092" t="s">
        <v>15194</v>
      </c>
      <c r="AO8092" t="s">
        <v>53</v>
      </c>
      <c r="AP8092" t="s">
        <v>53</v>
      </c>
    </row>
    <row r="8093" spans="2:42" x14ac:dyDescent="0.2">
      <c r="B8093" t="s">
        <v>44</v>
      </c>
      <c r="C8093" t="str">
        <f>HYPERLINK("https://us2.cloudbeds.com/connect/8493803454333002#/reservations/9080486848248541?display=4XY2BDD6FQ&amp;reservation_id=9080486848248541", "4XY2BDD6FQ")</f>
        <v>4XY2BDD6FQ</v>
      </c>
      <c r="D8093" t="s">
        <v>45</v>
      </c>
      <c r="E8093" t="s">
        <v>138</v>
      </c>
      <c r="F8093" t="s">
        <v>70</v>
      </c>
      <c r="G8093" t="s">
        <v>48</v>
      </c>
      <c r="H8093" t="s">
        <v>49</v>
      </c>
      <c r="I8093" t="s">
        <v>50</v>
      </c>
      <c r="J8093" t="s">
        <v>13362</v>
      </c>
      <c r="K8093" t="s">
        <v>14288</v>
      </c>
      <c r="L8093" t="s">
        <v>53</v>
      </c>
      <c r="N8093" t="s">
        <v>15195</v>
      </c>
      <c r="P8093" t="s">
        <v>55</v>
      </c>
      <c r="R8093" t="s">
        <v>53</v>
      </c>
      <c r="T8093" t="s">
        <v>15196</v>
      </c>
      <c r="U8093" t="s">
        <v>55</v>
      </c>
      <c r="V8093">
        <v>1</v>
      </c>
      <c r="W8093">
        <v>1</v>
      </c>
      <c r="X8093">
        <v>2</v>
      </c>
      <c r="Y8093">
        <v>0</v>
      </c>
      <c r="Z8093">
        <v>2</v>
      </c>
      <c r="AA8093">
        <v>60.04</v>
      </c>
      <c r="AB8093">
        <v>60.04</v>
      </c>
      <c r="AC8093">
        <v>55.21</v>
      </c>
      <c r="AD8093">
        <v>0</v>
      </c>
      <c r="AE8093">
        <v>4.83</v>
      </c>
      <c r="AF8093">
        <v>0</v>
      </c>
      <c r="AG8093">
        <v>0</v>
      </c>
      <c r="AH8093">
        <v>0</v>
      </c>
      <c r="AI8093">
        <v>10.81</v>
      </c>
      <c r="AJ8093">
        <v>60.04</v>
      </c>
      <c r="AK8093">
        <v>0</v>
      </c>
      <c r="AL8093" t="s">
        <v>53</v>
      </c>
      <c r="AM8093" t="s">
        <v>53</v>
      </c>
      <c r="AN8093" t="s">
        <v>53</v>
      </c>
      <c r="AO8093" t="s">
        <v>53</v>
      </c>
      <c r="AP8093" t="s">
        <v>53</v>
      </c>
    </row>
    <row r="8094" spans="2:42" x14ac:dyDescent="0.2">
      <c r="B8094" t="s">
        <v>44</v>
      </c>
      <c r="C8094" t="str">
        <f>HYPERLINK("https://us2.cloudbeds.com/connect/8493803454333002#/reservations/9080486848248635?display=4XY4S2B1AU&amp;reservation_id=9080486848248635", "4XY4S2B1AU")</f>
        <v>4XY4S2B1AU</v>
      </c>
      <c r="D8094" t="s">
        <v>45</v>
      </c>
      <c r="E8094" t="s">
        <v>128</v>
      </c>
      <c r="F8094" t="s">
        <v>86</v>
      </c>
      <c r="G8094" t="s">
        <v>48</v>
      </c>
      <c r="H8094" t="s">
        <v>49</v>
      </c>
      <c r="I8094" t="s">
        <v>50</v>
      </c>
      <c r="J8094" t="s">
        <v>13068</v>
      </c>
      <c r="K8094" t="s">
        <v>12822</v>
      </c>
      <c r="L8094" t="s">
        <v>53</v>
      </c>
      <c r="N8094" t="s">
        <v>15197</v>
      </c>
      <c r="P8094" t="s">
        <v>55</v>
      </c>
      <c r="R8094" t="s">
        <v>53</v>
      </c>
      <c r="T8094" t="s">
        <v>15198</v>
      </c>
      <c r="U8094" t="s">
        <v>58</v>
      </c>
      <c r="V8094">
        <v>1</v>
      </c>
      <c r="W8094">
        <v>1</v>
      </c>
      <c r="X8094">
        <v>3</v>
      </c>
      <c r="Y8094">
        <v>0</v>
      </c>
      <c r="Z8094">
        <v>3</v>
      </c>
      <c r="AA8094">
        <v>119.42</v>
      </c>
      <c r="AB8094">
        <v>119.42</v>
      </c>
      <c r="AC8094">
        <v>104.16</v>
      </c>
      <c r="AD8094">
        <v>0</v>
      </c>
      <c r="AE8094">
        <v>15.26</v>
      </c>
      <c r="AF8094">
        <v>0</v>
      </c>
      <c r="AG8094">
        <v>0</v>
      </c>
      <c r="AH8094">
        <v>0</v>
      </c>
      <c r="AI8094">
        <v>21.5</v>
      </c>
      <c r="AJ8094">
        <v>119.42</v>
      </c>
      <c r="AK8094">
        <v>0</v>
      </c>
      <c r="AL8094" t="s">
        <v>53</v>
      </c>
      <c r="AM8094" t="s">
        <v>53</v>
      </c>
      <c r="AN8094" t="s">
        <v>53</v>
      </c>
      <c r="AO8094" t="s">
        <v>53</v>
      </c>
      <c r="AP8094" t="s">
        <v>53</v>
      </c>
    </row>
    <row r="8095" spans="2:42" x14ac:dyDescent="0.2">
      <c r="B8095" t="s">
        <v>44</v>
      </c>
      <c r="C8095" t="str">
        <f>HYPERLINK("https://us2.cloudbeds.com/connect/8493803454333002#/reservations/211889589129344?display=4XYPQ41VHD&amp;reservation_id=211889589129344", "4XYPQ41VHD")</f>
        <v>4XYPQ41VHD</v>
      </c>
      <c r="D8095" t="s">
        <v>45</v>
      </c>
      <c r="E8095" t="s">
        <v>138</v>
      </c>
      <c r="F8095" t="s">
        <v>70</v>
      </c>
      <c r="G8095" t="s">
        <v>48</v>
      </c>
      <c r="H8095" t="s">
        <v>3957</v>
      </c>
      <c r="I8095" t="s">
        <v>3958</v>
      </c>
      <c r="J8095" t="s">
        <v>14443</v>
      </c>
      <c r="K8095" t="s">
        <v>13572</v>
      </c>
      <c r="L8095" t="s">
        <v>53</v>
      </c>
      <c r="P8095" t="s">
        <v>55</v>
      </c>
      <c r="R8095" t="s">
        <v>56</v>
      </c>
      <c r="T8095" t="s">
        <v>15199</v>
      </c>
      <c r="U8095" t="s">
        <v>58</v>
      </c>
      <c r="V8095">
        <v>1</v>
      </c>
      <c r="W8095">
        <v>1</v>
      </c>
      <c r="X8095">
        <v>1</v>
      </c>
      <c r="Y8095">
        <v>0</v>
      </c>
      <c r="Z8095">
        <v>1</v>
      </c>
      <c r="AA8095">
        <v>86</v>
      </c>
      <c r="AB8095">
        <v>86</v>
      </c>
      <c r="AC8095">
        <v>75</v>
      </c>
      <c r="AD8095">
        <v>0</v>
      </c>
      <c r="AE8095">
        <v>11</v>
      </c>
      <c r="AF8095">
        <v>0</v>
      </c>
      <c r="AG8095">
        <v>0</v>
      </c>
      <c r="AH8095">
        <v>0</v>
      </c>
      <c r="AI8095">
        <v>0</v>
      </c>
      <c r="AJ8095">
        <v>86</v>
      </c>
      <c r="AK8095">
        <v>0</v>
      </c>
      <c r="AL8095" t="s">
        <v>53</v>
      </c>
      <c r="AM8095" t="s">
        <v>53</v>
      </c>
      <c r="AN8095" t="s">
        <v>53</v>
      </c>
      <c r="AO8095" t="s">
        <v>53</v>
      </c>
      <c r="AP8095" t="s">
        <v>53</v>
      </c>
    </row>
    <row r="8096" spans="2:42" x14ac:dyDescent="0.2">
      <c r="B8096" t="s">
        <v>44</v>
      </c>
      <c r="C8096" t="str">
        <f>HYPERLINK("https://us2.cloudbeds.com/connect/8493803454333002#/reservations/9080486848251423?display=4XN3X1YPC3&amp;reservation_id=9080486848251423", "4XN3X1YPC3")</f>
        <v>4XN3X1YPC3</v>
      </c>
      <c r="D8096" t="s">
        <v>45</v>
      </c>
      <c r="E8096" t="s">
        <v>265</v>
      </c>
      <c r="F8096" t="s">
        <v>61</v>
      </c>
      <c r="G8096" t="s">
        <v>48</v>
      </c>
      <c r="H8096" t="s">
        <v>49</v>
      </c>
      <c r="I8096" t="s">
        <v>50</v>
      </c>
      <c r="J8096" t="s">
        <v>14443</v>
      </c>
      <c r="K8096" t="s">
        <v>13572</v>
      </c>
      <c r="L8096" t="s">
        <v>53</v>
      </c>
      <c r="N8096" t="s">
        <v>15200</v>
      </c>
      <c r="P8096" t="s">
        <v>55</v>
      </c>
      <c r="R8096" t="s">
        <v>53</v>
      </c>
      <c r="T8096" t="s">
        <v>15201</v>
      </c>
      <c r="U8096" t="s">
        <v>55</v>
      </c>
      <c r="V8096">
        <v>1</v>
      </c>
      <c r="W8096">
        <v>1</v>
      </c>
      <c r="X8096">
        <v>2</v>
      </c>
      <c r="Y8096">
        <v>0</v>
      </c>
      <c r="Z8096">
        <v>2</v>
      </c>
      <c r="AA8096">
        <v>71.17</v>
      </c>
      <c r="AB8096">
        <v>71.17</v>
      </c>
      <c r="AC8096">
        <v>65.44</v>
      </c>
      <c r="AD8096">
        <v>0</v>
      </c>
      <c r="AE8096">
        <v>5.73</v>
      </c>
      <c r="AF8096">
        <v>0</v>
      </c>
      <c r="AG8096">
        <v>0</v>
      </c>
      <c r="AH8096">
        <v>0</v>
      </c>
      <c r="AI8096">
        <v>12.81</v>
      </c>
      <c r="AJ8096">
        <v>71.17</v>
      </c>
      <c r="AK8096">
        <v>0</v>
      </c>
      <c r="AL8096" t="s">
        <v>53</v>
      </c>
      <c r="AM8096" t="s">
        <v>53</v>
      </c>
      <c r="AN8096" t="s">
        <v>53</v>
      </c>
      <c r="AO8096" t="s">
        <v>53</v>
      </c>
      <c r="AP8096" t="s">
        <v>53</v>
      </c>
    </row>
    <row r="8097" spans="2:42" x14ac:dyDescent="0.2">
      <c r="B8097" t="s">
        <v>44</v>
      </c>
      <c r="C8097" t="str">
        <f>HYPERLINK("https://us2.cloudbeds.com/connect/8493803454333002#/reservations/9080486848251780?display=4XNBQKB2JQ&amp;reservation_id=9080486848251780", "4XNBQKB2JQ")</f>
        <v>4XNBQKB2JQ</v>
      </c>
      <c r="D8097" t="s">
        <v>45</v>
      </c>
      <c r="E8097" t="s">
        <v>373</v>
      </c>
      <c r="F8097" t="s">
        <v>47</v>
      </c>
      <c r="G8097" t="s">
        <v>48</v>
      </c>
      <c r="H8097" t="s">
        <v>49</v>
      </c>
      <c r="I8097" t="s">
        <v>8964</v>
      </c>
      <c r="J8097" t="s">
        <v>14443</v>
      </c>
      <c r="K8097" t="s">
        <v>13572</v>
      </c>
      <c r="L8097" t="s">
        <v>53</v>
      </c>
      <c r="N8097" t="s">
        <v>15202</v>
      </c>
      <c r="P8097" t="s">
        <v>55</v>
      </c>
      <c r="R8097" t="s">
        <v>53</v>
      </c>
      <c r="T8097" t="s">
        <v>15203</v>
      </c>
      <c r="U8097" t="s">
        <v>55</v>
      </c>
      <c r="V8097">
        <v>1</v>
      </c>
      <c r="W8097">
        <v>1</v>
      </c>
      <c r="X8097">
        <v>2</v>
      </c>
      <c r="Y8097">
        <v>0</v>
      </c>
      <c r="Z8097">
        <v>2</v>
      </c>
      <c r="AA8097">
        <v>0</v>
      </c>
      <c r="AB8097">
        <v>0</v>
      </c>
      <c r="AC8097">
        <v>89</v>
      </c>
      <c r="AD8097">
        <v>0</v>
      </c>
      <c r="AE8097">
        <v>0</v>
      </c>
      <c r="AF8097">
        <v>0</v>
      </c>
      <c r="AG8097">
        <v>0</v>
      </c>
      <c r="AH8097">
        <v>0</v>
      </c>
      <c r="AI8097">
        <v>13.35</v>
      </c>
      <c r="AJ8097">
        <v>89</v>
      </c>
      <c r="AK8097">
        <v>89</v>
      </c>
      <c r="AL8097" t="s">
        <v>53</v>
      </c>
      <c r="AM8097" t="s">
        <v>53</v>
      </c>
      <c r="AN8097" t="s">
        <v>15204</v>
      </c>
      <c r="AO8097" t="s">
        <v>53</v>
      </c>
      <c r="AP8097" t="s">
        <v>53</v>
      </c>
    </row>
    <row r="8098" spans="2:42" x14ac:dyDescent="0.2">
      <c r="B8098" t="s">
        <v>44</v>
      </c>
      <c r="C8098" t="str">
        <f>HYPERLINK("https://us2.cloudbeds.com/connect/8493803454333002#/reservations/9080486848252839?display=4XZ7P76TMX&amp;reservation_id=9080486848252839", "4XZ7P76TMX")</f>
        <v>4XZ7P76TMX</v>
      </c>
      <c r="D8098" t="s">
        <v>45</v>
      </c>
      <c r="E8098" t="s">
        <v>98</v>
      </c>
      <c r="F8098" t="s">
        <v>86</v>
      </c>
      <c r="G8098" t="s">
        <v>48</v>
      </c>
      <c r="H8098" t="s">
        <v>49</v>
      </c>
      <c r="I8098" t="s">
        <v>50</v>
      </c>
      <c r="J8098" t="s">
        <v>14443</v>
      </c>
      <c r="K8098" t="s">
        <v>13572</v>
      </c>
      <c r="L8098" t="s">
        <v>53</v>
      </c>
      <c r="N8098" t="s">
        <v>15205</v>
      </c>
      <c r="P8098" t="s">
        <v>55</v>
      </c>
      <c r="R8098" t="s">
        <v>53</v>
      </c>
      <c r="T8098" t="s">
        <v>15206</v>
      </c>
      <c r="U8098" t="s">
        <v>55</v>
      </c>
      <c r="V8098">
        <v>1</v>
      </c>
      <c r="W8098">
        <v>1</v>
      </c>
      <c r="X8098">
        <v>2</v>
      </c>
      <c r="Y8098">
        <v>0</v>
      </c>
      <c r="Z8098">
        <v>2</v>
      </c>
      <c r="AA8098">
        <v>92.7</v>
      </c>
      <c r="AB8098">
        <v>92.7</v>
      </c>
      <c r="AC8098">
        <v>85.24</v>
      </c>
      <c r="AD8098">
        <v>0</v>
      </c>
      <c r="AE8098">
        <v>7.46</v>
      </c>
      <c r="AF8098">
        <v>0</v>
      </c>
      <c r="AG8098">
        <v>0</v>
      </c>
      <c r="AH8098">
        <v>0</v>
      </c>
      <c r="AI8098">
        <v>16.690000000000001</v>
      </c>
      <c r="AJ8098">
        <v>92.7</v>
      </c>
      <c r="AK8098">
        <v>0</v>
      </c>
      <c r="AL8098" t="s">
        <v>53</v>
      </c>
      <c r="AM8098" t="s">
        <v>53</v>
      </c>
      <c r="AN8098" t="s">
        <v>15207</v>
      </c>
      <c r="AO8098" t="s">
        <v>53</v>
      </c>
      <c r="AP8098" t="s">
        <v>53</v>
      </c>
    </row>
    <row r="8099" spans="2:42" x14ac:dyDescent="0.2">
      <c r="B8099" t="s">
        <v>44</v>
      </c>
      <c r="C8099" t="str">
        <f>HYPERLINK("https://us2.cloudbeds.com/connect/8493803454333002#/reservations/212012617998528?display=4XZM1Q8C3A&amp;reservation_id=212012617998528", "4XZM1Q8C3A")</f>
        <v>4XZM1Q8C3A</v>
      </c>
      <c r="D8099" t="s">
        <v>45</v>
      </c>
      <c r="E8099" t="s">
        <v>381</v>
      </c>
      <c r="F8099" t="s">
        <v>47</v>
      </c>
      <c r="G8099" t="s">
        <v>48</v>
      </c>
      <c r="H8099" t="s">
        <v>3957</v>
      </c>
      <c r="I8099" t="s">
        <v>3975</v>
      </c>
      <c r="J8099" t="s">
        <v>14443</v>
      </c>
      <c r="K8099" t="s">
        <v>14800</v>
      </c>
      <c r="L8099" t="s">
        <v>53</v>
      </c>
      <c r="P8099" t="s">
        <v>55</v>
      </c>
      <c r="R8099" t="s">
        <v>201</v>
      </c>
      <c r="T8099" t="s">
        <v>15208</v>
      </c>
      <c r="U8099" t="s">
        <v>58</v>
      </c>
      <c r="V8099">
        <v>2</v>
      </c>
      <c r="W8099">
        <v>1</v>
      </c>
      <c r="X8099">
        <v>2</v>
      </c>
      <c r="Y8099">
        <v>0</v>
      </c>
      <c r="Z8099">
        <v>2</v>
      </c>
      <c r="AA8099">
        <v>183.44</v>
      </c>
      <c r="AB8099">
        <v>183.44</v>
      </c>
      <c r="AC8099">
        <v>160</v>
      </c>
      <c r="AD8099">
        <v>0</v>
      </c>
      <c r="AE8099">
        <v>23.44</v>
      </c>
      <c r="AF8099">
        <v>0</v>
      </c>
      <c r="AG8099">
        <v>0</v>
      </c>
      <c r="AH8099">
        <v>0</v>
      </c>
      <c r="AI8099">
        <v>0</v>
      </c>
      <c r="AJ8099">
        <v>183.44</v>
      </c>
      <c r="AK8099">
        <v>0</v>
      </c>
      <c r="AL8099" t="s">
        <v>53</v>
      </c>
      <c r="AM8099" t="s">
        <v>53</v>
      </c>
      <c r="AN8099" t="s">
        <v>15209</v>
      </c>
      <c r="AO8099" t="s">
        <v>53</v>
      </c>
      <c r="AP8099" t="s">
        <v>53</v>
      </c>
    </row>
    <row r="8100" spans="2:42" x14ac:dyDescent="0.2">
      <c r="B8100" t="s">
        <v>44</v>
      </c>
      <c r="C8100" t="str">
        <f>HYPERLINK("https://us2.cloudbeds.com/connect/8493803454333002#/reservations/9080486848253551?display=4XZV5ZWVJ4&amp;reservation_id=9080486848253551", "4XZV5ZWVJ4")</f>
        <v>4XZV5ZWVJ4</v>
      </c>
      <c r="D8100" t="s">
        <v>602</v>
      </c>
      <c r="E8100" t="s">
        <v>53</v>
      </c>
      <c r="F8100" t="s">
        <v>70</v>
      </c>
      <c r="G8100" t="s">
        <v>48</v>
      </c>
      <c r="H8100" t="s">
        <v>49</v>
      </c>
      <c r="I8100" t="s">
        <v>50</v>
      </c>
      <c r="J8100" t="s">
        <v>13361</v>
      </c>
      <c r="K8100" t="s">
        <v>14502</v>
      </c>
      <c r="L8100" t="s">
        <v>53</v>
      </c>
      <c r="N8100" t="s">
        <v>15210</v>
      </c>
      <c r="P8100" t="s">
        <v>55</v>
      </c>
      <c r="R8100" t="s">
        <v>53</v>
      </c>
      <c r="T8100" t="s">
        <v>15211</v>
      </c>
      <c r="U8100" t="s">
        <v>58</v>
      </c>
      <c r="V8100">
        <v>2</v>
      </c>
      <c r="W8100">
        <v>1</v>
      </c>
      <c r="X8100">
        <v>2</v>
      </c>
      <c r="Y8100">
        <v>0</v>
      </c>
      <c r="Z8100">
        <v>2</v>
      </c>
      <c r="AA8100">
        <v>162.52000000000001</v>
      </c>
      <c r="AB8100">
        <v>0</v>
      </c>
      <c r="AC8100">
        <v>141.74</v>
      </c>
      <c r="AD8100">
        <v>0</v>
      </c>
      <c r="AE8100">
        <v>20.78</v>
      </c>
      <c r="AF8100">
        <v>0</v>
      </c>
      <c r="AG8100">
        <v>0</v>
      </c>
      <c r="AH8100">
        <v>0</v>
      </c>
      <c r="AI8100">
        <v>29.25</v>
      </c>
      <c r="AJ8100">
        <v>162.52000000000001</v>
      </c>
      <c r="AK8100">
        <v>162.52000000000001</v>
      </c>
      <c r="AL8100">
        <v>141.74</v>
      </c>
      <c r="AM8100">
        <v>162.52000000000001</v>
      </c>
      <c r="AN8100" t="s">
        <v>15212</v>
      </c>
      <c r="AO8100" t="s">
        <v>53</v>
      </c>
      <c r="AP8100" t="s">
        <v>53</v>
      </c>
    </row>
    <row r="8101" spans="2:42" x14ac:dyDescent="0.2">
      <c r="B8101" t="s">
        <v>44</v>
      </c>
      <c r="C8101" t="str">
        <f>HYPERLINK("https://us2.cloudbeds.com/connect/8493803454333002#/reservations/9080486848253631?display=4XP0S1R9C5&amp;reservation_id=9080486848253631", "4XP0S1R9C5")</f>
        <v>4XP0S1R9C5</v>
      </c>
      <c r="D8101" t="s">
        <v>45</v>
      </c>
      <c r="E8101" t="s">
        <v>14402</v>
      </c>
      <c r="F8101" t="s">
        <v>14403</v>
      </c>
      <c r="G8101" t="s">
        <v>48</v>
      </c>
      <c r="H8101" t="s">
        <v>49</v>
      </c>
      <c r="I8101" t="s">
        <v>50</v>
      </c>
      <c r="J8101" t="s">
        <v>14443</v>
      </c>
      <c r="K8101" t="s">
        <v>13572</v>
      </c>
      <c r="L8101" t="s">
        <v>53</v>
      </c>
      <c r="N8101" t="s">
        <v>15213</v>
      </c>
      <c r="P8101" t="s">
        <v>55</v>
      </c>
      <c r="R8101" t="s">
        <v>53</v>
      </c>
      <c r="T8101" t="s">
        <v>15214</v>
      </c>
      <c r="U8101" t="s">
        <v>55</v>
      </c>
      <c r="V8101">
        <v>1</v>
      </c>
      <c r="W8101">
        <v>1</v>
      </c>
      <c r="X8101">
        <v>2</v>
      </c>
      <c r="Y8101">
        <v>0</v>
      </c>
      <c r="Z8101">
        <v>2</v>
      </c>
      <c r="AA8101">
        <v>74.16</v>
      </c>
      <c r="AB8101">
        <v>74.16</v>
      </c>
      <c r="AC8101">
        <v>68.19</v>
      </c>
      <c r="AD8101">
        <v>0</v>
      </c>
      <c r="AE8101">
        <v>5.97</v>
      </c>
      <c r="AF8101">
        <v>0</v>
      </c>
      <c r="AG8101">
        <v>0</v>
      </c>
      <c r="AH8101">
        <v>0</v>
      </c>
      <c r="AI8101">
        <v>13.35</v>
      </c>
      <c r="AJ8101">
        <v>74.16</v>
      </c>
      <c r="AK8101">
        <v>0</v>
      </c>
      <c r="AL8101" t="s">
        <v>53</v>
      </c>
      <c r="AM8101" t="s">
        <v>53</v>
      </c>
      <c r="AN8101" t="s">
        <v>53</v>
      </c>
      <c r="AO8101" t="s">
        <v>53</v>
      </c>
      <c r="AP8101" t="s">
        <v>53</v>
      </c>
    </row>
    <row r="8102" spans="2:42" x14ac:dyDescent="0.2">
      <c r="B8102" t="s">
        <v>44</v>
      </c>
      <c r="C8102" t="str">
        <f>HYPERLINK("https://us2.cloudbeds.com/connect/8493803454333002#/reservations/9080486848254527?display=4XPVDAE49W&amp;reservation_id=9080486848254527", "4XPVDAE49W")</f>
        <v>4XPVDAE49W</v>
      </c>
      <c r="D8102" t="s">
        <v>45</v>
      </c>
      <c r="E8102" t="s">
        <v>138</v>
      </c>
      <c r="F8102" t="s">
        <v>70</v>
      </c>
      <c r="G8102" t="s">
        <v>48</v>
      </c>
      <c r="H8102" t="s">
        <v>49</v>
      </c>
      <c r="I8102" t="s">
        <v>62</v>
      </c>
      <c r="J8102" t="s">
        <v>13572</v>
      </c>
      <c r="K8102" t="s">
        <v>13361</v>
      </c>
      <c r="L8102" t="s">
        <v>53</v>
      </c>
      <c r="N8102" t="s">
        <v>15215</v>
      </c>
      <c r="P8102" t="s">
        <v>55</v>
      </c>
      <c r="R8102" t="s">
        <v>56</v>
      </c>
      <c r="T8102" t="s">
        <v>15216</v>
      </c>
      <c r="U8102" t="s">
        <v>55</v>
      </c>
      <c r="V8102">
        <v>2</v>
      </c>
      <c r="W8102">
        <v>1</v>
      </c>
      <c r="X8102">
        <v>2</v>
      </c>
      <c r="Y8102">
        <v>0</v>
      </c>
      <c r="Z8102">
        <v>2</v>
      </c>
      <c r="AA8102">
        <v>153.75</v>
      </c>
      <c r="AB8102">
        <v>153.75</v>
      </c>
      <c r="AC8102">
        <v>153.75</v>
      </c>
      <c r="AD8102">
        <v>0</v>
      </c>
      <c r="AE8102">
        <v>0</v>
      </c>
      <c r="AF8102">
        <v>0</v>
      </c>
      <c r="AG8102">
        <v>0</v>
      </c>
      <c r="AH8102">
        <v>0</v>
      </c>
      <c r="AI8102">
        <v>27.68</v>
      </c>
      <c r="AJ8102">
        <v>153.75</v>
      </c>
      <c r="AK8102">
        <v>0</v>
      </c>
      <c r="AL8102" t="s">
        <v>53</v>
      </c>
      <c r="AM8102" t="s">
        <v>53</v>
      </c>
      <c r="AN8102" t="s">
        <v>53</v>
      </c>
      <c r="AO8102" t="s">
        <v>53</v>
      </c>
      <c r="AP8102" t="s">
        <v>53</v>
      </c>
    </row>
    <row r="8103" spans="2:42" x14ac:dyDescent="0.2">
      <c r="B8103" t="s">
        <v>44</v>
      </c>
      <c r="C8103" t="str">
        <f>HYPERLINK("https://us2.cloudbeds.com/connect/8493803454333002#/reservations/9080486848256121?display=4XRU9MJNDR&amp;reservation_id=9080486848256121", "4XRU9MJNDR")</f>
        <v>4XRU9MJNDR</v>
      </c>
      <c r="D8103" t="s">
        <v>45</v>
      </c>
      <c r="E8103" t="s">
        <v>105</v>
      </c>
      <c r="F8103" t="s">
        <v>47</v>
      </c>
      <c r="G8103" t="s">
        <v>48</v>
      </c>
      <c r="H8103" t="s">
        <v>49</v>
      </c>
      <c r="I8103" t="s">
        <v>62</v>
      </c>
      <c r="J8103" t="s">
        <v>14623</v>
      </c>
      <c r="K8103" t="s">
        <v>14349</v>
      </c>
      <c r="L8103" t="s">
        <v>53</v>
      </c>
      <c r="N8103" t="s">
        <v>15217</v>
      </c>
      <c r="P8103" t="s">
        <v>55</v>
      </c>
      <c r="R8103" t="s">
        <v>102</v>
      </c>
      <c r="T8103" t="s">
        <v>15218</v>
      </c>
      <c r="U8103" t="s">
        <v>55</v>
      </c>
      <c r="V8103">
        <v>1</v>
      </c>
      <c r="W8103">
        <v>1</v>
      </c>
      <c r="X8103">
        <v>2</v>
      </c>
      <c r="Y8103">
        <v>0</v>
      </c>
      <c r="Z8103">
        <v>2</v>
      </c>
      <c r="AA8103">
        <v>136.5</v>
      </c>
      <c r="AB8103">
        <v>136.5</v>
      </c>
      <c r="AC8103">
        <v>136.5</v>
      </c>
      <c r="AD8103">
        <v>0</v>
      </c>
      <c r="AE8103">
        <v>0</v>
      </c>
      <c r="AF8103">
        <v>0</v>
      </c>
      <c r="AG8103">
        <v>0</v>
      </c>
      <c r="AH8103">
        <v>0</v>
      </c>
      <c r="AI8103">
        <v>24.57</v>
      </c>
      <c r="AJ8103">
        <v>136.5</v>
      </c>
      <c r="AK8103">
        <v>0</v>
      </c>
      <c r="AL8103" t="s">
        <v>53</v>
      </c>
      <c r="AM8103" t="s">
        <v>53</v>
      </c>
      <c r="AN8103" t="s">
        <v>53</v>
      </c>
      <c r="AO8103" t="s">
        <v>53</v>
      </c>
      <c r="AP8103" t="s">
        <v>53</v>
      </c>
    </row>
    <row r="8104" spans="2:42" x14ac:dyDescent="0.2">
      <c r="B8104" t="s">
        <v>44</v>
      </c>
      <c r="C8104" t="str">
        <f>HYPERLINK("https://us2.cloudbeds.com/connect/8493803454333002#/reservations/9080486848256567?display=4XSB9BURRR&amp;reservation_id=9080486848256567", "4XSB9BURRR")</f>
        <v>4XSB9BURRR</v>
      </c>
      <c r="D8104" t="s">
        <v>45</v>
      </c>
      <c r="E8104" t="s">
        <v>78</v>
      </c>
      <c r="F8104" t="s">
        <v>61</v>
      </c>
      <c r="G8104" t="s">
        <v>48</v>
      </c>
      <c r="H8104" t="s">
        <v>49</v>
      </c>
      <c r="I8104" t="s">
        <v>62</v>
      </c>
      <c r="J8104" t="s">
        <v>13476</v>
      </c>
      <c r="K8104" t="s">
        <v>13362</v>
      </c>
      <c r="L8104" t="s">
        <v>53</v>
      </c>
      <c r="N8104" t="s">
        <v>15219</v>
      </c>
      <c r="P8104" t="s">
        <v>55</v>
      </c>
      <c r="R8104" t="s">
        <v>56</v>
      </c>
      <c r="T8104" t="s">
        <v>15220</v>
      </c>
      <c r="U8104" t="s">
        <v>55</v>
      </c>
      <c r="V8104">
        <v>1</v>
      </c>
      <c r="W8104">
        <v>1</v>
      </c>
      <c r="X8104">
        <v>2</v>
      </c>
      <c r="Y8104">
        <v>0</v>
      </c>
      <c r="Z8104">
        <v>2</v>
      </c>
      <c r="AA8104">
        <v>99.75</v>
      </c>
      <c r="AB8104">
        <v>99.75</v>
      </c>
      <c r="AC8104">
        <v>99.75</v>
      </c>
      <c r="AD8104">
        <v>0</v>
      </c>
      <c r="AE8104">
        <v>0</v>
      </c>
      <c r="AF8104">
        <v>0</v>
      </c>
      <c r="AG8104">
        <v>0</v>
      </c>
      <c r="AH8104">
        <v>0</v>
      </c>
      <c r="AI8104">
        <v>17.96</v>
      </c>
      <c r="AJ8104">
        <v>99.75</v>
      </c>
      <c r="AK8104">
        <v>0</v>
      </c>
      <c r="AL8104" t="s">
        <v>53</v>
      </c>
      <c r="AM8104" t="s">
        <v>53</v>
      </c>
      <c r="AN8104" t="s">
        <v>15221</v>
      </c>
      <c r="AO8104" t="s">
        <v>53</v>
      </c>
      <c r="AP8104" t="s">
        <v>53</v>
      </c>
    </row>
    <row r="8105" spans="2:42" x14ac:dyDescent="0.2">
      <c r="B8105" t="s">
        <v>44</v>
      </c>
      <c r="C8105" t="str">
        <f>HYPERLINK("https://us2.cloudbeds.com/connect/8493803454333002#/reservations/9080486848257437?display=4XT4E9FWHX&amp;reservation_id=9080486848257437", "4XT4E9FWHX")</f>
        <v>4XT4E9FWHX</v>
      </c>
      <c r="D8105" t="s">
        <v>45</v>
      </c>
      <c r="E8105" t="s">
        <v>138</v>
      </c>
      <c r="F8105" t="s">
        <v>70</v>
      </c>
      <c r="G8105" t="s">
        <v>48</v>
      </c>
      <c r="H8105" t="s">
        <v>49</v>
      </c>
      <c r="I8105" t="s">
        <v>8964</v>
      </c>
      <c r="J8105" t="s">
        <v>14288</v>
      </c>
      <c r="K8105" t="s">
        <v>14759</v>
      </c>
      <c r="L8105" t="s">
        <v>53</v>
      </c>
      <c r="N8105" t="s">
        <v>15222</v>
      </c>
      <c r="P8105" t="s">
        <v>55</v>
      </c>
      <c r="R8105" t="s">
        <v>53</v>
      </c>
      <c r="T8105" t="s">
        <v>15223</v>
      </c>
      <c r="U8105" t="s">
        <v>55</v>
      </c>
      <c r="V8105">
        <v>1</v>
      </c>
      <c r="W8105">
        <v>1</v>
      </c>
      <c r="X8105">
        <v>1</v>
      </c>
      <c r="Y8105">
        <v>0</v>
      </c>
      <c r="Z8105">
        <v>1</v>
      </c>
      <c r="AA8105">
        <v>0</v>
      </c>
      <c r="AB8105">
        <v>0</v>
      </c>
      <c r="AC8105">
        <v>84</v>
      </c>
      <c r="AD8105">
        <v>0</v>
      </c>
      <c r="AE8105">
        <v>0</v>
      </c>
      <c r="AF8105">
        <v>0</v>
      </c>
      <c r="AG8105">
        <v>0</v>
      </c>
      <c r="AH8105">
        <v>0</v>
      </c>
      <c r="AI8105">
        <v>12.6</v>
      </c>
      <c r="AJ8105">
        <v>84</v>
      </c>
      <c r="AK8105">
        <v>84</v>
      </c>
      <c r="AL8105" t="s">
        <v>53</v>
      </c>
      <c r="AM8105" t="s">
        <v>53</v>
      </c>
      <c r="AN8105" t="s">
        <v>15224</v>
      </c>
      <c r="AO8105" t="s">
        <v>53</v>
      </c>
      <c r="AP8105" t="s">
        <v>53</v>
      </c>
    </row>
    <row r="8106" spans="2:42" x14ac:dyDescent="0.2">
      <c r="B8106" t="s">
        <v>44</v>
      </c>
      <c r="C8106" t="str">
        <f>HYPERLINK("https://us2.cloudbeds.com/connect/8493803454333002#/reservations/9080486848259178?display=4XUA7FW7XJ&amp;reservation_id=9080486848259178", "4XUA7FW7XJ")</f>
        <v>4XUA7FW7XJ</v>
      </c>
      <c r="D8106" t="s">
        <v>45</v>
      </c>
      <c r="E8106" t="s">
        <v>110</v>
      </c>
      <c r="F8106" t="s">
        <v>47</v>
      </c>
      <c r="G8106" t="s">
        <v>48</v>
      </c>
      <c r="H8106" t="s">
        <v>49</v>
      </c>
      <c r="I8106" t="s">
        <v>50</v>
      </c>
      <c r="J8106" t="s">
        <v>13572</v>
      </c>
      <c r="K8106" t="s">
        <v>13361</v>
      </c>
      <c r="L8106" t="s">
        <v>53</v>
      </c>
      <c r="N8106" t="s">
        <v>15225</v>
      </c>
      <c r="P8106" t="s">
        <v>55</v>
      </c>
      <c r="R8106" t="s">
        <v>53</v>
      </c>
      <c r="T8106" t="s">
        <v>15226</v>
      </c>
      <c r="U8106" t="s">
        <v>55</v>
      </c>
      <c r="V8106">
        <v>2</v>
      </c>
      <c r="W8106">
        <v>1</v>
      </c>
      <c r="X8106">
        <v>2</v>
      </c>
      <c r="Y8106">
        <v>0</v>
      </c>
      <c r="Z8106">
        <v>2</v>
      </c>
      <c r="AA8106">
        <v>134.82</v>
      </c>
      <c r="AB8106">
        <v>134.82</v>
      </c>
      <c r="AC8106">
        <v>123.98</v>
      </c>
      <c r="AD8106">
        <v>0</v>
      </c>
      <c r="AE8106">
        <v>10.84</v>
      </c>
      <c r="AF8106">
        <v>0</v>
      </c>
      <c r="AG8106">
        <v>0</v>
      </c>
      <c r="AH8106">
        <v>0</v>
      </c>
      <c r="AI8106">
        <v>24.27</v>
      </c>
      <c r="AJ8106">
        <v>134.82</v>
      </c>
      <c r="AK8106">
        <v>0</v>
      </c>
      <c r="AL8106" t="s">
        <v>53</v>
      </c>
      <c r="AM8106" t="s">
        <v>53</v>
      </c>
      <c r="AN8106" t="s">
        <v>53</v>
      </c>
      <c r="AO8106" t="s">
        <v>53</v>
      </c>
      <c r="AP8106" t="s">
        <v>53</v>
      </c>
    </row>
    <row r="8107" spans="2:42" x14ac:dyDescent="0.2">
      <c r="B8107" t="s">
        <v>44</v>
      </c>
      <c r="C8107" t="str">
        <f>HYPERLINK("https://us2.cloudbeds.com/connect/8493803454333002#/reservations/212278808912064?display=4XUU5JGGG6&amp;reservation_id=212278808912064", "4XUU5JGGG6")</f>
        <v>4XUU5JGGG6</v>
      </c>
      <c r="D8107" t="s">
        <v>45</v>
      </c>
      <c r="E8107" t="s">
        <v>113</v>
      </c>
      <c r="F8107" t="s">
        <v>61</v>
      </c>
      <c r="G8107" t="s">
        <v>48</v>
      </c>
      <c r="H8107" t="s">
        <v>3957</v>
      </c>
      <c r="I8107" t="s">
        <v>3989</v>
      </c>
      <c r="J8107" t="s">
        <v>13572</v>
      </c>
      <c r="K8107" t="s">
        <v>13573</v>
      </c>
      <c r="L8107" t="s">
        <v>53</v>
      </c>
      <c r="P8107" t="s">
        <v>55</v>
      </c>
      <c r="R8107" t="s">
        <v>56</v>
      </c>
      <c r="T8107" t="s">
        <v>15227</v>
      </c>
      <c r="U8107" t="s">
        <v>58</v>
      </c>
      <c r="V8107">
        <v>3</v>
      </c>
      <c r="W8107">
        <v>1</v>
      </c>
      <c r="X8107">
        <v>1</v>
      </c>
      <c r="Y8107">
        <v>0</v>
      </c>
      <c r="Z8107">
        <v>1</v>
      </c>
      <c r="AA8107">
        <v>288.93</v>
      </c>
      <c r="AB8107">
        <v>288.93</v>
      </c>
      <c r="AC8107">
        <v>252</v>
      </c>
      <c r="AD8107">
        <v>0</v>
      </c>
      <c r="AE8107">
        <v>36.93</v>
      </c>
      <c r="AF8107">
        <v>0</v>
      </c>
      <c r="AG8107">
        <v>0</v>
      </c>
      <c r="AH8107">
        <v>0</v>
      </c>
      <c r="AI8107">
        <v>0</v>
      </c>
      <c r="AJ8107">
        <v>288.93</v>
      </c>
      <c r="AK8107">
        <v>0</v>
      </c>
      <c r="AL8107" t="s">
        <v>53</v>
      </c>
      <c r="AM8107" t="s">
        <v>53</v>
      </c>
      <c r="AN8107" t="s">
        <v>53</v>
      </c>
      <c r="AO8107" t="s">
        <v>53</v>
      </c>
      <c r="AP8107" t="s">
        <v>53</v>
      </c>
    </row>
    <row r="8108" spans="2:42" x14ac:dyDescent="0.2">
      <c r="B8108" t="s">
        <v>44</v>
      </c>
      <c r="C8108" t="str">
        <f>HYPERLINK("https://us2.cloudbeds.com/connect/8493803454333002#/reservations/9080486848260257?display=4XUUAURK3K&amp;reservation_id=9080486848260257", "4XUUAURK3K")</f>
        <v>4XUUAURK3K</v>
      </c>
      <c r="D8108" t="s">
        <v>45</v>
      </c>
      <c r="E8108" t="s">
        <v>121</v>
      </c>
      <c r="F8108" t="s">
        <v>86</v>
      </c>
      <c r="G8108" t="s">
        <v>48</v>
      </c>
      <c r="H8108" t="s">
        <v>49</v>
      </c>
      <c r="I8108" t="s">
        <v>8964</v>
      </c>
      <c r="J8108" t="s">
        <v>13680</v>
      </c>
      <c r="K8108" t="s">
        <v>13681</v>
      </c>
      <c r="L8108" t="s">
        <v>53</v>
      </c>
      <c r="N8108" t="s">
        <v>15228</v>
      </c>
      <c r="P8108" t="s">
        <v>55</v>
      </c>
      <c r="R8108" t="s">
        <v>53</v>
      </c>
      <c r="T8108" t="s">
        <v>15229</v>
      </c>
      <c r="U8108" t="s">
        <v>55</v>
      </c>
      <c r="V8108">
        <v>1</v>
      </c>
      <c r="W8108">
        <v>1</v>
      </c>
      <c r="X8108">
        <v>2</v>
      </c>
      <c r="Y8108">
        <v>2</v>
      </c>
      <c r="Z8108">
        <v>4</v>
      </c>
      <c r="AA8108">
        <v>0</v>
      </c>
      <c r="AB8108">
        <v>0</v>
      </c>
      <c r="AC8108">
        <v>105</v>
      </c>
      <c r="AD8108">
        <v>0</v>
      </c>
      <c r="AE8108">
        <v>0</v>
      </c>
      <c r="AF8108">
        <v>0</v>
      </c>
      <c r="AG8108">
        <v>0</v>
      </c>
      <c r="AH8108">
        <v>0</v>
      </c>
      <c r="AI8108">
        <v>15.75</v>
      </c>
      <c r="AJ8108">
        <v>105</v>
      </c>
      <c r="AK8108">
        <v>105</v>
      </c>
      <c r="AL8108" t="s">
        <v>53</v>
      </c>
      <c r="AM8108" t="s">
        <v>53</v>
      </c>
      <c r="AN8108" t="s">
        <v>15230</v>
      </c>
      <c r="AO8108" t="s">
        <v>53</v>
      </c>
      <c r="AP8108" t="s">
        <v>53</v>
      </c>
    </row>
    <row r="8109" spans="2:42" x14ac:dyDescent="0.2">
      <c r="B8109" t="s">
        <v>44</v>
      </c>
      <c r="C8109" t="str">
        <f>HYPERLINK("https://us2.cloudbeds.com/connect/8493803454333002#/reservations/9080486848260868?display=4XV8A7BBVT&amp;reservation_id=9080486848260868", "4XV8A7BBVT")</f>
        <v>4XV8A7BBVT</v>
      </c>
      <c r="D8109" t="s">
        <v>45</v>
      </c>
      <c r="E8109" t="s">
        <v>46</v>
      </c>
      <c r="F8109" t="s">
        <v>47</v>
      </c>
      <c r="G8109" t="s">
        <v>48</v>
      </c>
      <c r="H8109" t="s">
        <v>49</v>
      </c>
      <c r="I8109" t="s">
        <v>62</v>
      </c>
      <c r="J8109" t="s">
        <v>14637</v>
      </c>
      <c r="K8109" t="s">
        <v>15231</v>
      </c>
      <c r="L8109" t="s">
        <v>53</v>
      </c>
      <c r="N8109" t="s">
        <v>15232</v>
      </c>
      <c r="P8109" t="s">
        <v>55</v>
      </c>
      <c r="R8109" t="s">
        <v>56</v>
      </c>
      <c r="T8109" t="s">
        <v>15233</v>
      </c>
      <c r="U8109" t="s">
        <v>55</v>
      </c>
      <c r="V8109">
        <v>1</v>
      </c>
      <c r="W8109">
        <v>1</v>
      </c>
      <c r="X8109">
        <v>2</v>
      </c>
      <c r="Y8109">
        <v>0</v>
      </c>
      <c r="Z8109">
        <v>2</v>
      </c>
      <c r="AA8109">
        <v>140.65</v>
      </c>
      <c r="AB8109">
        <v>140.65</v>
      </c>
      <c r="AC8109">
        <v>140.65</v>
      </c>
      <c r="AD8109">
        <v>0</v>
      </c>
      <c r="AE8109">
        <v>0</v>
      </c>
      <c r="AF8109">
        <v>0</v>
      </c>
      <c r="AG8109">
        <v>0</v>
      </c>
      <c r="AH8109">
        <v>0</v>
      </c>
      <c r="AI8109">
        <v>25.32</v>
      </c>
      <c r="AJ8109">
        <v>140.65</v>
      </c>
      <c r="AK8109">
        <v>0</v>
      </c>
      <c r="AL8109" t="s">
        <v>53</v>
      </c>
      <c r="AM8109" t="s">
        <v>53</v>
      </c>
      <c r="AN8109" t="s">
        <v>15234</v>
      </c>
      <c r="AO8109" t="s">
        <v>53</v>
      </c>
      <c r="AP8109" t="s">
        <v>53</v>
      </c>
    </row>
    <row r="8110" spans="2:42" x14ac:dyDescent="0.2">
      <c r="B8110" t="s">
        <v>44</v>
      </c>
      <c r="C8110" t="str">
        <f>HYPERLINK("https://us2.cloudbeds.com/connect/8493803454333002#/reservations/9080486848261389?display=4XVXQZFKEM&amp;reservation_id=9080486848261389", "4XVXQZFKEM")</f>
        <v>4XVXQZFKEM</v>
      </c>
      <c r="D8110" t="s">
        <v>45</v>
      </c>
      <c r="E8110" t="s">
        <v>487</v>
      </c>
      <c r="F8110" t="s">
        <v>61</v>
      </c>
      <c r="G8110" t="s">
        <v>48</v>
      </c>
      <c r="H8110" t="s">
        <v>49</v>
      </c>
      <c r="I8110" t="s">
        <v>50</v>
      </c>
      <c r="J8110" t="s">
        <v>13572</v>
      </c>
      <c r="K8110" t="s">
        <v>14800</v>
      </c>
      <c r="L8110" t="s">
        <v>53</v>
      </c>
      <c r="N8110" t="s">
        <v>15235</v>
      </c>
      <c r="P8110" t="s">
        <v>55</v>
      </c>
      <c r="R8110" t="s">
        <v>53</v>
      </c>
      <c r="T8110" t="s">
        <v>15236</v>
      </c>
      <c r="U8110" t="s">
        <v>55</v>
      </c>
      <c r="V8110">
        <v>1</v>
      </c>
      <c r="W8110">
        <v>1</v>
      </c>
      <c r="X8110">
        <v>1</v>
      </c>
      <c r="Y8110">
        <v>0</v>
      </c>
      <c r="Z8110">
        <v>1</v>
      </c>
      <c r="AA8110">
        <v>63.71</v>
      </c>
      <c r="AB8110">
        <v>63.71</v>
      </c>
      <c r="AC8110">
        <v>58.58</v>
      </c>
      <c r="AD8110">
        <v>0</v>
      </c>
      <c r="AE8110">
        <v>5.13</v>
      </c>
      <c r="AF8110">
        <v>0</v>
      </c>
      <c r="AG8110">
        <v>0</v>
      </c>
      <c r="AH8110">
        <v>0</v>
      </c>
      <c r="AI8110">
        <v>11.47</v>
      </c>
      <c r="AJ8110">
        <v>63.71</v>
      </c>
      <c r="AK8110">
        <v>0</v>
      </c>
      <c r="AL8110" t="s">
        <v>53</v>
      </c>
      <c r="AM8110" t="s">
        <v>53</v>
      </c>
      <c r="AN8110" t="s">
        <v>53</v>
      </c>
      <c r="AO8110" t="s">
        <v>53</v>
      </c>
      <c r="AP8110" t="s">
        <v>53</v>
      </c>
    </row>
    <row r="8111" spans="2:42" x14ac:dyDescent="0.2">
      <c r="B8111" t="s">
        <v>44</v>
      </c>
      <c r="C8111" t="str">
        <f>HYPERLINK("https://us2.cloudbeds.com/connect/8493803454333002#/reservations/9080486848261470?display=4XVKAS5QMS&amp;reservation_id=9080486848261470", "4XVKAS5QMS")</f>
        <v>4XVKAS5QMS</v>
      </c>
      <c r="D8111" t="s">
        <v>45</v>
      </c>
      <c r="E8111" t="s">
        <v>381</v>
      </c>
      <c r="F8111" t="s">
        <v>47</v>
      </c>
      <c r="G8111" t="s">
        <v>48</v>
      </c>
      <c r="H8111" t="s">
        <v>49</v>
      </c>
      <c r="I8111" t="s">
        <v>50</v>
      </c>
      <c r="J8111" t="s">
        <v>14362</v>
      </c>
      <c r="K8111" t="s">
        <v>15237</v>
      </c>
      <c r="L8111" t="s">
        <v>53</v>
      </c>
      <c r="N8111" t="s">
        <v>15238</v>
      </c>
      <c r="P8111" t="s">
        <v>55</v>
      </c>
      <c r="R8111" t="s">
        <v>53</v>
      </c>
      <c r="T8111" t="s">
        <v>15239</v>
      </c>
      <c r="U8111" t="s">
        <v>55</v>
      </c>
      <c r="V8111">
        <v>1</v>
      </c>
      <c r="W8111">
        <v>1</v>
      </c>
      <c r="X8111">
        <v>2</v>
      </c>
      <c r="Y8111">
        <v>0</v>
      </c>
      <c r="Z8111">
        <v>2</v>
      </c>
      <c r="AA8111">
        <v>86.75</v>
      </c>
      <c r="AB8111">
        <v>86.75</v>
      </c>
      <c r="AC8111">
        <v>79.77</v>
      </c>
      <c r="AD8111">
        <v>0</v>
      </c>
      <c r="AE8111">
        <v>6.98</v>
      </c>
      <c r="AF8111">
        <v>0</v>
      </c>
      <c r="AG8111">
        <v>0</v>
      </c>
      <c r="AH8111">
        <v>0</v>
      </c>
      <c r="AI8111">
        <v>15.62</v>
      </c>
      <c r="AJ8111">
        <v>86.75</v>
      </c>
      <c r="AK8111">
        <v>0</v>
      </c>
      <c r="AL8111" t="s">
        <v>53</v>
      </c>
      <c r="AM8111" t="s">
        <v>53</v>
      </c>
      <c r="AN8111" t="s">
        <v>15240</v>
      </c>
      <c r="AO8111" t="s">
        <v>53</v>
      </c>
      <c r="AP8111" t="s">
        <v>53</v>
      </c>
    </row>
    <row r="8112" spans="2:42" x14ac:dyDescent="0.2">
      <c r="B8112" t="s">
        <v>44</v>
      </c>
      <c r="C8112" t="str">
        <f>HYPERLINK("https://us2.cloudbeds.com/connect/8493803454333002#/reservations/212326308397248?display=4XW0VAA7SK&amp;reservation_id=212326308397248", "4XW0VAA7SK")</f>
        <v>4XW0VAA7SK</v>
      </c>
      <c r="D8112" t="s">
        <v>45</v>
      </c>
      <c r="E8112" t="s">
        <v>110</v>
      </c>
      <c r="F8112" t="s">
        <v>47</v>
      </c>
      <c r="G8112" t="s">
        <v>3974</v>
      </c>
      <c r="H8112" t="s">
        <v>3957</v>
      </c>
      <c r="I8112" t="s">
        <v>3975</v>
      </c>
      <c r="J8112" t="s">
        <v>13037</v>
      </c>
      <c r="K8112" t="s">
        <v>14176</v>
      </c>
      <c r="L8112" t="s">
        <v>53</v>
      </c>
      <c r="P8112" t="s">
        <v>55</v>
      </c>
      <c r="R8112" t="s">
        <v>56</v>
      </c>
      <c r="T8112" t="s">
        <v>15241</v>
      </c>
      <c r="U8112" t="s">
        <v>58</v>
      </c>
      <c r="V8112">
        <v>1</v>
      </c>
      <c r="W8112">
        <v>1</v>
      </c>
      <c r="X8112">
        <v>2</v>
      </c>
      <c r="Y8112">
        <v>0</v>
      </c>
      <c r="Z8112">
        <v>2</v>
      </c>
      <c r="AA8112">
        <v>89.32</v>
      </c>
      <c r="AB8112">
        <v>89.32</v>
      </c>
      <c r="AC8112">
        <v>77.900000000000006</v>
      </c>
      <c r="AD8112">
        <v>0</v>
      </c>
      <c r="AE8112">
        <v>11.42</v>
      </c>
      <c r="AF8112">
        <v>0</v>
      </c>
      <c r="AG8112">
        <v>0</v>
      </c>
      <c r="AH8112">
        <v>0</v>
      </c>
      <c r="AI8112">
        <v>0</v>
      </c>
      <c r="AJ8112">
        <v>89.32</v>
      </c>
      <c r="AK8112">
        <v>0</v>
      </c>
      <c r="AL8112" t="s">
        <v>53</v>
      </c>
      <c r="AM8112" t="s">
        <v>53</v>
      </c>
      <c r="AN8112" t="s">
        <v>15242</v>
      </c>
      <c r="AO8112" t="s">
        <v>53</v>
      </c>
      <c r="AP8112" t="s">
        <v>53</v>
      </c>
    </row>
    <row r="8113" spans="2:42" x14ac:dyDescent="0.2">
      <c r="B8113" t="s">
        <v>44</v>
      </c>
      <c r="C8113" t="str">
        <f>HYPERLINK("https://us2.cloudbeds.com/connect/8493803454333002#/reservations/9080486848262256?display=4XW39ED0GJ&amp;reservation_id=9080486848262256", "4XW39ED0GJ")</f>
        <v>4XW39ED0GJ</v>
      </c>
      <c r="D8113" t="s">
        <v>45</v>
      </c>
      <c r="E8113" t="s">
        <v>165</v>
      </c>
      <c r="F8113" t="s">
        <v>61</v>
      </c>
      <c r="G8113" t="s">
        <v>48</v>
      </c>
      <c r="H8113" t="s">
        <v>49</v>
      </c>
      <c r="I8113" t="s">
        <v>50</v>
      </c>
      <c r="J8113" t="s">
        <v>13652</v>
      </c>
      <c r="K8113" t="s">
        <v>13653</v>
      </c>
      <c r="L8113" t="s">
        <v>53</v>
      </c>
      <c r="N8113" t="s">
        <v>15243</v>
      </c>
      <c r="P8113" t="s">
        <v>55</v>
      </c>
      <c r="R8113" t="s">
        <v>53</v>
      </c>
      <c r="T8113" t="s">
        <v>15244</v>
      </c>
      <c r="U8113" t="s">
        <v>55</v>
      </c>
      <c r="V8113">
        <v>2</v>
      </c>
      <c r="W8113">
        <v>1</v>
      </c>
      <c r="X8113">
        <v>2</v>
      </c>
      <c r="Y8113">
        <v>0</v>
      </c>
      <c r="Z8113">
        <v>2</v>
      </c>
      <c r="AA8113">
        <v>156.94</v>
      </c>
      <c r="AB8113">
        <v>162.41999999999999</v>
      </c>
      <c r="AC8113">
        <v>144.30000000000001</v>
      </c>
      <c r="AD8113">
        <v>5</v>
      </c>
      <c r="AE8113">
        <v>13.12</v>
      </c>
      <c r="AF8113">
        <v>0</v>
      </c>
      <c r="AG8113">
        <v>0</v>
      </c>
      <c r="AH8113">
        <v>0</v>
      </c>
      <c r="AI8113">
        <v>29.24</v>
      </c>
      <c r="AJ8113">
        <v>162.41999999999999</v>
      </c>
      <c r="AK8113">
        <v>0</v>
      </c>
      <c r="AL8113" t="s">
        <v>53</v>
      </c>
      <c r="AM8113" t="s">
        <v>53</v>
      </c>
      <c r="AN8113" t="s">
        <v>53</v>
      </c>
      <c r="AO8113" t="s">
        <v>53</v>
      </c>
      <c r="AP8113" t="s">
        <v>53</v>
      </c>
    </row>
    <row r="8114" spans="2:42" x14ac:dyDescent="0.2">
      <c r="B8114" t="s">
        <v>44</v>
      </c>
      <c r="C8114" t="str">
        <f>HYPERLINK("https://us2.cloudbeds.com/connect/8493803454333002#/reservations/212343508074688?display=4XWE8QHVYY&amp;reservation_id=212343508074688", "4XWE8QHVYY")</f>
        <v>4XWE8QHVYY</v>
      </c>
      <c r="D8114" t="s">
        <v>45</v>
      </c>
      <c r="E8114" t="s">
        <v>373</v>
      </c>
      <c r="F8114" t="s">
        <v>47</v>
      </c>
      <c r="G8114" t="s">
        <v>48</v>
      </c>
      <c r="H8114" t="s">
        <v>3957</v>
      </c>
      <c r="I8114" t="s">
        <v>3975</v>
      </c>
      <c r="J8114" t="s">
        <v>13476</v>
      </c>
      <c r="K8114" t="s">
        <v>14288</v>
      </c>
      <c r="L8114" t="s">
        <v>53</v>
      </c>
      <c r="P8114" t="s">
        <v>55</v>
      </c>
      <c r="R8114" t="s">
        <v>56</v>
      </c>
      <c r="T8114" t="s">
        <v>15245</v>
      </c>
      <c r="U8114" t="s">
        <v>58</v>
      </c>
      <c r="V8114">
        <v>2</v>
      </c>
      <c r="W8114">
        <v>1</v>
      </c>
      <c r="X8114">
        <v>2</v>
      </c>
      <c r="Y8114">
        <v>0</v>
      </c>
      <c r="Z8114">
        <v>2</v>
      </c>
      <c r="AA8114">
        <v>0</v>
      </c>
      <c r="AB8114">
        <v>183.44</v>
      </c>
      <c r="AC8114">
        <v>160</v>
      </c>
      <c r="AD8114">
        <v>0</v>
      </c>
      <c r="AE8114">
        <v>23.44</v>
      </c>
      <c r="AF8114">
        <v>0</v>
      </c>
      <c r="AG8114">
        <v>0</v>
      </c>
      <c r="AH8114">
        <v>0</v>
      </c>
      <c r="AI8114">
        <v>0</v>
      </c>
      <c r="AJ8114">
        <v>183.44</v>
      </c>
      <c r="AK8114">
        <v>0</v>
      </c>
      <c r="AL8114" t="s">
        <v>53</v>
      </c>
      <c r="AM8114" t="s">
        <v>53</v>
      </c>
      <c r="AN8114" t="s">
        <v>53</v>
      </c>
      <c r="AO8114" t="s">
        <v>53</v>
      </c>
      <c r="AP8114" t="s">
        <v>53</v>
      </c>
    </row>
    <row r="8115" spans="2:42" x14ac:dyDescent="0.2">
      <c r="B8115" t="s">
        <v>44</v>
      </c>
      <c r="C8115" t="str">
        <f>HYPERLINK("https://us2.cloudbeds.com/connect/8493803454333002#/reservations/9080486848264293?display=4J0ZVJV63N&amp;reservation_id=9080486848264293", "4J0ZVJV63N")</f>
        <v>4J0ZVJV63N</v>
      </c>
      <c r="D8115" t="s">
        <v>45</v>
      </c>
      <c r="E8115" t="s">
        <v>105</v>
      </c>
      <c r="F8115" t="s">
        <v>47</v>
      </c>
      <c r="G8115" t="s">
        <v>48</v>
      </c>
      <c r="H8115" t="s">
        <v>49</v>
      </c>
      <c r="I8115" t="s">
        <v>50</v>
      </c>
      <c r="J8115" t="s">
        <v>14800</v>
      </c>
      <c r="K8115" t="s">
        <v>13361</v>
      </c>
      <c r="L8115" t="s">
        <v>53</v>
      </c>
      <c r="N8115" t="s">
        <v>15246</v>
      </c>
      <c r="P8115" t="s">
        <v>55</v>
      </c>
      <c r="R8115" t="s">
        <v>53</v>
      </c>
      <c r="T8115" t="s">
        <v>15247</v>
      </c>
      <c r="U8115" t="s">
        <v>55</v>
      </c>
      <c r="V8115">
        <v>1</v>
      </c>
      <c r="W8115">
        <v>1</v>
      </c>
      <c r="X8115">
        <v>2</v>
      </c>
      <c r="Y8115">
        <v>0</v>
      </c>
      <c r="Z8115">
        <v>2</v>
      </c>
      <c r="AA8115">
        <v>67.41</v>
      </c>
      <c r="AB8115">
        <v>67.41</v>
      </c>
      <c r="AC8115">
        <v>61.99</v>
      </c>
      <c r="AD8115">
        <v>0</v>
      </c>
      <c r="AE8115">
        <v>5.42</v>
      </c>
      <c r="AF8115">
        <v>0</v>
      </c>
      <c r="AG8115">
        <v>0</v>
      </c>
      <c r="AH8115">
        <v>0</v>
      </c>
      <c r="AI8115">
        <v>12.13</v>
      </c>
      <c r="AJ8115">
        <v>67.41</v>
      </c>
      <c r="AK8115">
        <v>0</v>
      </c>
      <c r="AL8115" t="s">
        <v>53</v>
      </c>
      <c r="AM8115" t="s">
        <v>53</v>
      </c>
      <c r="AN8115" t="s">
        <v>15248</v>
      </c>
      <c r="AO8115" t="s">
        <v>53</v>
      </c>
      <c r="AP8115" t="s">
        <v>53</v>
      </c>
    </row>
    <row r="8116" spans="2:42" x14ac:dyDescent="0.2">
      <c r="B8116" t="s">
        <v>44</v>
      </c>
      <c r="C8116" t="str">
        <f>HYPERLINK("https://us2.cloudbeds.com/connect/8493803454333002#/reservations/9080486848265628?display=4J27UY8PNY&amp;reservation_id=9080486848265628", "4J27UY8PNY")</f>
        <v>4J27UY8PNY</v>
      </c>
      <c r="D8116" t="s">
        <v>45</v>
      </c>
      <c r="E8116" t="s">
        <v>128</v>
      </c>
      <c r="F8116" t="s">
        <v>86</v>
      </c>
      <c r="G8116" t="s">
        <v>48</v>
      </c>
      <c r="H8116" t="s">
        <v>49</v>
      </c>
      <c r="I8116" t="s">
        <v>50</v>
      </c>
      <c r="J8116" t="s">
        <v>14623</v>
      </c>
      <c r="K8116" t="s">
        <v>14349</v>
      </c>
      <c r="L8116" t="s">
        <v>53</v>
      </c>
      <c r="N8116" t="s">
        <v>15249</v>
      </c>
      <c r="P8116" t="s">
        <v>55</v>
      </c>
      <c r="R8116" t="s">
        <v>53</v>
      </c>
      <c r="T8116" t="s">
        <v>15250</v>
      </c>
      <c r="U8116" t="s">
        <v>55</v>
      </c>
      <c r="V8116">
        <v>1</v>
      </c>
      <c r="W8116">
        <v>1</v>
      </c>
      <c r="X8116">
        <v>2</v>
      </c>
      <c r="Y8116">
        <v>0</v>
      </c>
      <c r="Z8116">
        <v>2</v>
      </c>
      <c r="AA8116">
        <v>116.7</v>
      </c>
      <c r="AB8116">
        <v>116.7</v>
      </c>
      <c r="AC8116">
        <v>107.31</v>
      </c>
      <c r="AD8116">
        <v>0</v>
      </c>
      <c r="AE8116">
        <v>9.39</v>
      </c>
      <c r="AF8116">
        <v>0</v>
      </c>
      <c r="AG8116">
        <v>0</v>
      </c>
      <c r="AH8116">
        <v>0</v>
      </c>
      <c r="AI8116">
        <v>21.01</v>
      </c>
      <c r="AJ8116">
        <v>116.7</v>
      </c>
      <c r="AK8116">
        <v>0</v>
      </c>
      <c r="AL8116" t="s">
        <v>53</v>
      </c>
      <c r="AM8116" t="s">
        <v>53</v>
      </c>
      <c r="AN8116" t="s">
        <v>53</v>
      </c>
      <c r="AO8116" t="s">
        <v>53</v>
      </c>
      <c r="AP8116" t="s">
        <v>53</v>
      </c>
    </row>
    <row r="8117" spans="2:42" x14ac:dyDescent="0.2">
      <c r="B8117" t="s">
        <v>44</v>
      </c>
      <c r="C8117" t="str">
        <f>HYPERLINK("https://us2.cloudbeds.com/connect/8493803454333002#/reservations/9080486848268528?display=4J4SBHJVFC&amp;reservation_id=9080486848268528", "4J4SBHJVFC")</f>
        <v>4J4SBHJVFC</v>
      </c>
      <c r="D8117" t="s">
        <v>45</v>
      </c>
      <c r="E8117" t="s">
        <v>190</v>
      </c>
      <c r="F8117" t="s">
        <v>61</v>
      </c>
      <c r="G8117" t="s">
        <v>48</v>
      </c>
      <c r="H8117" t="s">
        <v>49</v>
      </c>
      <c r="I8117" t="s">
        <v>62</v>
      </c>
      <c r="J8117" t="s">
        <v>14800</v>
      </c>
      <c r="K8117" t="s">
        <v>13361</v>
      </c>
      <c r="L8117" t="s">
        <v>53</v>
      </c>
      <c r="N8117" t="s">
        <v>15251</v>
      </c>
      <c r="P8117" t="s">
        <v>55</v>
      </c>
      <c r="R8117" t="s">
        <v>56</v>
      </c>
      <c r="T8117" t="s">
        <v>15252</v>
      </c>
      <c r="U8117" t="s">
        <v>55</v>
      </c>
      <c r="V8117">
        <v>1</v>
      </c>
      <c r="W8117">
        <v>1</v>
      </c>
      <c r="X8117">
        <v>1</v>
      </c>
      <c r="Y8117">
        <v>0</v>
      </c>
      <c r="Z8117">
        <v>1</v>
      </c>
      <c r="AA8117">
        <v>88.2</v>
      </c>
      <c r="AB8117">
        <v>88.2</v>
      </c>
      <c r="AC8117">
        <v>88.2</v>
      </c>
      <c r="AD8117">
        <v>0</v>
      </c>
      <c r="AE8117">
        <v>0</v>
      </c>
      <c r="AF8117">
        <v>0</v>
      </c>
      <c r="AG8117">
        <v>0</v>
      </c>
      <c r="AH8117">
        <v>0</v>
      </c>
      <c r="AI8117">
        <v>15.88</v>
      </c>
      <c r="AJ8117">
        <v>88.2</v>
      </c>
      <c r="AK8117">
        <v>0</v>
      </c>
      <c r="AL8117" t="s">
        <v>53</v>
      </c>
      <c r="AM8117" t="s">
        <v>53</v>
      </c>
      <c r="AN8117" t="s">
        <v>53</v>
      </c>
      <c r="AO8117" t="s">
        <v>53</v>
      </c>
      <c r="AP8117" t="s">
        <v>53</v>
      </c>
    </row>
    <row r="8118" spans="2:42" x14ac:dyDescent="0.2">
      <c r="B8118" t="s">
        <v>44</v>
      </c>
      <c r="C8118" t="str">
        <f>HYPERLINK("https://us2.cloudbeds.com/connect/8493803454333002#/reservations/9080486848270804?display=4J638WVQEX&amp;reservation_id=9080486848270804", "4J638WVQEX")</f>
        <v>4J638WVQEX</v>
      </c>
      <c r="D8118" t="s">
        <v>45</v>
      </c>
      <c r="E8118" t="s">
        <v>373</v>
      </c>
      <c r="F8118" t="s">
        <v>47</v>
      </c>
      <c r="G8118" t="s">
        <v>48</v>
      </c>
      <c r="H8118" t="s">
        <v>49</v>
      </c>
      <c r="I8118" t="s">
        <v>62</v>
      </c>
      <c r="J8118" t="s">
        <v>14502</v>
      </c>
      <c r="K8118" t="s">
        <v>13476</v>
      </c>
      <c r="L8118" t="s">
        <v>53</v>
      </c>
      <c r="N8118" t="s">
        <v>15253</v>
      </c>
      <c r="P8118" t="s">
        <v>55</v>
      </c>
      <c r="R8118" t="s">
        <v>56</v>
      </c>
      <c r="T8118" t="s">
        <v>15254</v>
      </c>
      <c r="U8118" t="s">
        <v>55</v>
      </c>
      <c r="V8118">
        <v>2</v>
      </c>
      <c r="W8118">
        <v>1</v>
      </c>
      <c r="X8118">
        <v>2</v>
      </c>
      <c r="Y8118">
        <v>0</v>
      </c>
      <c r="Z8118">
        <v>2</v>
      </c>
      <c r="AA8118">
        <v>168</v>
      </c>
      <c r="AB8118">
        <v>168</v>
      </c>
      <c r="AC8118">
        <v>168</v>
      </c>
      <c r="AD8118">
        <v>0</v>
      </c>
      <c r="AE8118">
        <v>0</v>
      </c>
      <c r="AF8118">
        <v>0</v>
      </c>
      <c r="AG8118">
        <v>0</v>
      </c>
      <c r="AH8118">
        <v>0</v>
      </c>
      <c r="AI8118">
        <v>30.24</v>
      </c>
      <c r="AJ8118">
        <v>168</v>
      </c>
      <c r="AK8118">
        <v>0</v>
      </c>
      <c r="AL8118" t="s">
        <v>53</v>
      </c>
      <c r="AM8118" t="s">
        <v>53</v>
      </c>
      <c r="AN8118" t="s">
        <v>53</v>
      </c>
      <c r="AO8118" t="s">
        <v>53</v>
      </c>
      <c r="AP8118" t="s">
        <v>53</v>
      </c>
    </row>
    <row r="8119" spans="2:42" x14ac:dyDescent="0.2">
      <c r="B8119" t="s">
        <v>44</v>
      </c>
      <c r="C8119" t="str">
        <f>HYPERLINK("https://us2.cloudbeds.com/connect/8493803454333002#/reservations/212630496436352?display=4J65G0NG9U&amp;reservation_id=212630496436352", "4J65G0NG9U")</f>
        <v>4J65G0NG9U</v>
      </c>
      <c r="D8119" t="s">
        <v>45</v>
      </c>
      <c r="E8119" t="s">
        <v>85</v>
      </c>
      <c r="F8119" t="s">
        <v>86</v>
      </c>
      <c r="G8119" t="s">
        <v>3974</v>
      </c>
      <c r="H8119" t="s">
        <v>3957</v>
      </c>
      <c r="I8119" t="s">
        <v>3975</v>
      </c>
      <c r="J8119" t="s">
        <v>13037</v>
      </c>
      <c r="K8119" t="s">
        <v>14176</v>
      </c>
      <c r="L8119" t="s">
        <v>53</v>
      </c>
      <c r="P8119" t="s">
        <v>55</v>
      </c>
      <c r="R8119" t="s">
        <v>56</v>
      </c>
      <c r="T8119" t="s">
        <v>15255</v>
      </c>
      <c r="U8119" t="s">
        <v>58</v>
      </c>
      <c r="V8119">
        <v>1</v>
      </c>
      <c r="W8119">
        <v>1</v>
      </c>
      <c r="X8119">
        <v>2</v>
      </c>
      <c r="Y8119">
        <v>0</v>
      </c>
      <c r="Z8119">
        <v>2</v>
      </c>
      <c r="AA8119">
        <v>129.62</v>
      </c>
      <c r="AB8119">
        <v>129.62</v>
      </c>
      <c r="AC8119">
        <v>113.05</v>
      </c>
      <c r="AD8119">
        <v>0</v>
      </c>
      <c r="AE8119">
        <v>16.57</v>
      </c>
      <c r="AF8119">
        <v>0</v>
      </c>
      <c r="AG8119">
        <v>0</v>
      </c>
      <c r="AH8119">
        <v>0</v>
      </c>
      <c r="AI8119">
        <v>0</v>
      </c>
      <c r="AJ8119">
        <v>129.62</v>
      </c>
      <c r="AK8119">
        <v>0</v>
      </c>
      <c r="AL8119" t="s">
        <v>53</v>
      </c>
      <c r="AM8119" t="s">
        <v>53</v>
      </c>
      <c r="AN8119" t="s">
        <v>53</v>
      </c>
      <c r="AO8119" t="s">
        <v>53</v>
      </c>
      <c r="AP8119" t="s">
        <v>53</v>
      </c>
    </row>
    <row r="8120" spans="2:42" x14ac:dyDescent="0.2">
      <c r="B8120" t="s">
        <v>44</v>
      </c>
      <c r="C8120" t="str">
        <f>HYPERLINK("https://us2.cloudbeds.com/connect/8493803454333002#/reservations/9080486848270965?display=4J66PDU1BD&amp;reservation_id=9080486848270965", "4J66PDU1BD")</f>
        <v>4J66PDU1BD</v>
      </c>
      <c r="D8120" t="s">
        <v>45</v>
      </c>
      <c r="E8120" t="s">
        <v>138</v>
      </c>
      <c r="F8120" t="s">
        <v>70</v>
      </c>
      <c r="G8120" t="s">
        <v>48</v>
      </c>
      <c r="H8120" t="s">
        <v>49</v>
      </c>
      <c r="I8120" t="s">
        <v>50</v>
      </c>
      <c r="J8120" t="s">
        <v>14768</v>
      </c>
      <c r="K8120" t="s">
        <v>15256</v>
      </c>
      <c r="L8120" t="s">
        <v>53</v>
      </c>
      <c r="N8120" t="s">
        <v>15257</v>
      </c>
      <c r="P8120" t="s">
        <v>55</v>
      </c>
      <c r="R8120" t="s">
        <v>53</v>
      </c>
      <c r="T8120" t="s">
        <v>15258</v>
      </c>
      <c r="U8120" t="s">
        <v>55</v>
      </c>
      <c r="V8120">
        <v>1</v>
      </c>
      <c r="W8120">
        <v>1</v>
      </c>
      <c r="X8120">
        <v>2</v>
      </c>
      <c r="Y8120">
        <v>0</v>
      </c>
      <c r="Z8120">
        <v>2</v>
      </c>
      <c r="AA8120">
        <v>50.81</v>
      </c>
      <c r="AB8120">
        <v>50.81</v>
      </c>
      <c r="AC8120">
        <v>46.72</v>
      </c>
      <c r="AD8120">
        <v>0</v>
      </c>
      <c r="AE8120">
        <v>4.09</v>
      </c>
      <c r="AF8120">
        <v>0</v>
      </c>
      <c r="AG8120">
        <v>0</v>
      </c>
      <c r="AH8120">
        <v>0</v>
      </c>
      <c r="AI8120">
        <v>9.15</v>
      </c>
      <c r="AJ8120">
        <v>50.81</v>
      </c>
      <c r="AK8120">
        <v>0</v>
      </c>
      <c r="AL8120" t="s">
        <v>53</v>
      </c>
      <c r="AM8120" t="s">
        <v>53</v>
      </c>
      <c r="AN8120" t="s">
        <v>53</v>
      </c>
      <c r="AO8120" t="s">
        <v>53</v>
      </c>
      <c r="AP8120" t="s">
        <v>53</v>
      </c>
    </row>
    <row r="8121" spans="2:42" x14ac:dyDescent="0.2">
      <c r="B8121" t="s">
        <v>44</v>
      </c>
      <c r="C8121" t="str">
        <f>HYPERLINK("https://us2.cloudbeds.com/connect/8493803454333002#/reservations/9080486848271873?display=4J6PRMSTN9&amp;reservation_id=9080486848271873", "4J6PRMSTN9")</f>
        <v>4J6PRMSTN9</v>
      </c>
      <c r="D8121" t="s">
        <v>45</v>
      </c>
      <c r="E8121" t="s">
        <v>113</v>
      </c>
      <c r="F8121" t="s">
        <v>61</v>
      </c>
      <c r="G8121" t="s">
        <v>48</v>
      </c>
      <c r="H8121" t="s">
        <v>49</v>
      </c>
      <c r="I8121" t="s">
        <v>62</v>
      </c>
      <c r="J8121" t="s">
        <v>13573</v>
      </c>
      <c r="K8121" t="s">
        <v>14759</v>
      </c>
      <c r="L8121" t="s">
        <v>53</v>
      </c>
      <c r="N8121" t="s">
        <v>15259</v>
      </c>
      <c r="P8121" t="s">
        <v>55</v>
      </c>
      <c r="R8121" t="s">
        <v>56</v>
      </c>
      <c r="T8121" t="s">
        <v>15260</v>
      </c>
      <c r="U8121" t="s">
        <v>55</v>
      </c>
      <c r="V8121">
        <v>6</v>
      </c>
      <c r="W8121">
        <v>1</v>
      </c>
      <c r="X8121">
        <v>2</v>
      </c>
      <c r="Y8121">
        <v>0</v>
      </c>
      <c r="Z8121">
        <v>2</v>
      </c>
      <c r="AA8121">
        <v>557.54999999999995</v>
      </c>
      <c r="AB8121">
        <v>557.54999999999995</v>
      </c>
      <c r="AC8121">
        <v>557.54999999999995</v>
      </c>
      <c r="AD8121">
        <v>0</v>
      </c>
      <c r="AE8121">
        <v>0</v>
      </c>
      <c r="AF8121">
        <v>0</v>
      </c>
      <c r="AG8121">
        <v>0</v>
      </c>
      <c r="AH8121">
        <v>0</v>
      </c>
      <c r="AI8121">
        <v>100.36</v>
      </c>
      <c r="AJ8121">
        <v>557.54999999999995</v>
      </c>
      <c r="AK8121">
        <v>0</v>
      </c>
      <c r="AL8121" t="s">
        <v>53</v>
      </c>
      <c r="AM8121" t="s">
        <v>53</v>
      </c>
      <c r="AN8121" t="s">
        <v>53</v>
      </c>
      <c r="AO8121" t="s">
        <v>53</v>
      </c>
      <c r="AP8121" t="s">
        <v>53</v>
      </c>
    </row>
    <row r="8122" spans="2:42" x14ac:dyDescent="0.2">
      <c r="B8122" t="s">
        <v>44</v>
      </c>
      <c r="C8122" t="str">
        <f>HYPERLINK("https://us2.cloudbeds.com/connect/8493803454333002#/reservations/9080486848271984?display=4J6RVCVUKD&amp;reservation_id=9080486848271984", "4J6RVCVUKD")</f>
        <v>4J6RVCVUKD</v>
      </c>
      <c r="D8122" t="s">
        <v>45</v>
      </c>
      <c r="E8122" t="s">
        <v>105</v>
      </c>
      <c r="F8122" t="s">
        <v>47</v>
      </c>
      <c r="G8122" t="s">
        <v>48</v>
      </c>
      <c r="H8122" t="s">
        <v>49</v>
      </c>
      <c r="I8122" t="s">
        <v>50</v>
      </c>
      <c r="J8122" t="s">
        <v>13998</v>
      </c>
      <c r="K8122" t="s">
        <v>13959</v>
      </c>
      <c r="L8122" t="s">
        <v>53</v>
      </c>
      <c r="N8122" t="s">
        <v>15261</v>
      </c>
      <c r="P8122" t="s">
        <v>55</v>
      </c>
      <c r="R8122" t="s">
        <v>53</v>
      </c>
      <c r="T8122" t="s">
        <v>15262</v>
      </c>
      <c r="U8122" t="s">
        <v>55</v>
      </c>
      <c r="V8122">
        <v>3</v>
      </c>
      <c r="W8122">
        <v>1</v>
      </c>
      <c r="X8122">
        <v>1</v>
      </c>
      <c r="Y8122">
        <v>0</v>
      </c>
      <c r="Z8122">
        <v>1</v>
      </c>
      <c r="AA8122">
        <v>179.33</v>
      </c>
      <c r="AB8122">
        <v>179.33</v>
      </c>
      <c r="AC8122">
        <v>164.9</v>
      </c>
      <c r="AD8122">
        <v>0</v>
      </c>
      <c r="AE8122">
        <v>14.43</v>
      </c>
      <c r="AF8122">
        <v>0</v>
      </c>
      <c r="AG8122">
        <v>0</v>
      </c>
      <c r="AH8122">
        <v>0</v>
      </c>
      <c r="AI8122">
        <v>32.28</v>
      </c>
      <c r="AJ8122">
        <v>179.33</v>
      </c>
      <c r="AK8122">
        <v>0</v>
      </c>
      <c r="AL8122" t="s">
        <v>53</v>
      </c>
      <c r="AM8122" t="s">
        <v>53</v>
      </c>
      <c r="AN8122" t="s">
        <v>53</v>
      </c>
      <c r="AO8122" t="s">
        <v>53</v>
      </c>
      <c r="AP8122" t="s">
        <v>53</v>
      </c>
    </row>
    <row r="8123" spans="2:42" x14ac:dyDescent="0.2">
      <c r="B8123" t="s">
        <v>44</v>
      </c>
      <c r="C8123" t="str">
        <f>HYPERLINK("https://us2.cloudbeds.com/connect/8493803454333002#/reservations/9080486848272027?display=4J6T3JFCE7&amp;reservation_id=9080486848272027", "4J6T3JFCE7")</f>
        <v>4J6T3JFCE7</v>
      </c>
      <c r="D8123" t="s">
        <v>45</v>
      </c>
      <c r="E8123" t="s">
        <v>110</v>
      </c>
      <c r="F8123" t="s">
        <v>47</v>
      </c>
      <c r="G8123" t="s">
        <v>48</v>
      </c>
      <c r="H8123" t="s">
        <v>49</v>
      </c>
      <c r="I8123" t="s">
        <v>50</v>
      </c>
      <c r="J8123" t="s">
        <v>14655</v>
      </c>
      <c r="K8123" t="s">
        <v>14656</v>
      </c>
      <c r="L8123" t="s">
        <v>53</v>
      </c>
      <c r="N8123" t="s">
        <v>15263</v>
      </c>
      <c r="P8123" t="s">
        <v>55</v>
      </c>
      <c r="R8123" t="s">
        <v>53</v>
      </c>
      <c r="T8123" t="s">
        <v>15264</v>
      </c>
      <c r="U8123" t="s">
        <v>55</v>
      </c>
      <c r="V8123">
        <v>1</v>
      </c>
      <c r="W8123">
        <v>1</v>
      </c>
      <c r="X8123">
        <v>2</v>
      </c>
      <c r="Y8123">
        <v>0</v>
      </c>
      <c r="Z8123">
        <v>2</v>
      </c>
      <c r="AA8123">
        <v>145.87</v>
      </c>
      <c r="AB8123">
        <v>145.87</v>
      </c>
      <c r="AC8123">
        <v>134.13999999999999</v>
      </c>
      <c r="AD8123">
        <v>0</v>
      </c>
      <c r="AE8123">
        <v>11.73</v>
      </c>
      <c r="AF8123">
        <v>0</v>
      </c>
      <c r="AG8123">
        <v>0</v>
      </c>
      <c r="AH8123">
        <v>0</v>
      </c>
      <c r="AI8123">
        <v>26.26</v>
      </c>
      <c r="AJ8123">
        <v>145.87</v>
      </c>
      <c r="AK8123">
        <v>0</v>
      </c>
      <c r="AL8123" t="s">
        <v>53</v>
      </c>
      <c r="AM8123" t="s">
        <v>53</v>
      </c>
      <c r="AN8123" t="s">
        <v>15265</v>
      </c>
      <c r="AO8123" t="s">
        <v>53</v>
      </c>
      <c r="AP8123" t="s">
        <v>53</v>
      </c>
    </row>
    <row r="8124" spans="2:42" x14ac:dyDescent="0.2">
      <c r="B8124" t="s">
        <v>44</v>
      </c>
      <c r="C8124" t="str">
        <f>HYPERLINK("https://us2.cloudbeds.com/connect/8493803454333002#/reservations/9080486848273091?display=4J7J09RDXC&amp;reservation_id=9080486848273091", "4J7J09RDXC")</f>
        <v>4J7J09RDXC</v>
      </c>
      <c r="D8124" t="s">
        <v>45</v>
      </c>
      <c r="E8124" t="s">
        <v>69</v>
      </c>
      <c r="F8124" t="s">
        <v>70</v>
      </c>
      <c r="G8124" t="s">
        <v>48</v>
      </c>
      <c r="H8124" t="s">
        <v>49</v>
      </c>
      <c r="I8124" t="s">
        <v>62</v>
      </c>
      <c r="J8124" t="s">
        <v>14800</v>
      </c>
      <c r="K8124" t="s">
        <v>13361</v>
      </c>
      <c r="L8124" t="s">
        <v>53</v>
      </c>
      <c r="N8124" t="s">
        <v>15266</v>
      </c>
      <c r="P8124" t="s">
        <v>55</v>
      </c>
      <c r="R8124" t="s">
        <v>56</v>
      </c>
      <c r="T8124" t="s">
        <v>15267</v>
      </c>
      <c r="U8124" t="s">
        <v>55</v>
      </c>
      <c r="V8124">
        <v>1</v>
      </c>
      <c r="W8124">
        <v>1</v>
      </c>
      <c r="X8124">
        <v>2</v>
      </c>
      <c r="Y8124">
        <v>0</v>
      </c>
      <c r="Z8124">
        <v>2</v>
      </c>
      <c r="AA8124">
        <v>75</v>
      </c>
      <c r="AB8124">
        <v>0</v>
      </c>
      <c r="AC8124">
        <v>75</v>
      </c>
      <c r="AD8124">
        <v>0</v>
      </c>
      <c r="AE8124">
        <v>0</v>
      </c>
      <c r="AF8124">
        <v>0</v>
      </c>
      <c r="AG8124">
        <v>0</v>
      </c>
      <c r="AH8124">
        <v>0</v>
      </c>
      <c r="AI8124">
        <v>13.5</v>
      </c>
      <c r="AJ8124">
        <v>75</v>
      </c>
      <c r="AK8124">
        <v>75</v>
      </c>
      <c r="AL8124" t="s">
        <v>53</v>
      </c>
      <c r="AM8124" t="s">
        <v>53</v>
      </c>
      <c r="AN8124" t="s">
        <v>53</v>
      </c>
      <c r="AO8124" t="s">
        <v>53</v>
      </c>
      <c r="AP8124" t="s">
        <v>53</v>
      </c>
    </row>
    <row r="8125" spans="2:42" x14ac:dyDescent="0.2">
      <c r="B8125" t="s">
        <v>44</v>
      </c>
      <c r="C8125" t="str">
        <f>HYPERLINK("https://us2.cloudbeds.com/connect/8493803454333002#/reservations/9080486848273806?display=4J83TAWMKD&amp;reservation_id=9080486848273806", "4J83TAWMKD")</f>
        <v>4J83TAWMKD</v>
      </c>
      <c r="D8125" t="s">
        <v>45</v>
      </c>
      <c r="E8125" t="s">
        <v>105</v>
      </c>
      <c r="F8125" t="s">
        <v>47</v>
      </c>
      <c r="G8125" t="s">
        <v>48</v>
      </c>
      <c r="H8125" t="s">
        <v>49</v>
      </c>
      <c r="I8125" t="s">
        <v>8964</v>
      </c>
      <c r="J8125" t="s">
        <v>13361</v>
      </c>
      <c r="K8125" t="s">
        <v>14762</v>
      </c>
      <c r="L8125" t="s">
        <v>53</v>
      </c>
      <c r="N8125" t="s">
        <v>15268</v>
      </c>
      <c r="P8125" t="s">
        <v>55</v>
      </c>
      <c r="R8125" t="s">
        <v>53</v>
      </c>
      <c r="T8125" t="s">
        <v>15269</v>
      </c>
      <c r="U8125" t="s">
        <v>55</v>
      </c>
      <c r="V8125">
        <v>3</v>
      </c>
      <c r="W8125">
        <v>1</v>
      </c>
      <c r="X8125">
        <v>1</v>
      </c>
      <c r="Y8125">
        <v>0</v>
      </c>
      <c r="Z8125">
        <v>1</v>
      </c>
      <c r="AA8125">
        <v>0</v>
      </c>
      <c r="AB8125">
        <v>0</v>
      </c>
      <c r="AC8125">
        <v>267</v>
      </c>
      <c r="AD8125">
        <v>0</v>
      </c>
      <c r="AE8125">
        <v>0</v>
      </c>
      <c r="AF8125">
        <v>0</v>
      </c>
      <c r="AG8125">
        <v>0</v>
      </c>
      <c r="AH8125">
        <v>0</v>
      </c>
      <c r="AI8125">
        <v>40.049999999999997</v>
      </c>
      <c r="AJ8125">
        <v>267</v>
      </c>
      <c r="AK8125">
        <v>267</v>
      </c>
      <c r="AL8125" t="s">
        <v>53</v>
      </c>
      <c r="AM8125" t="s">
        <v>53</v>
      </c>
      <c r="AN8125" t="s">
        <v>15270</v>
      </c>
      <c r="AO8125" t="s">
        <v>53</v>
      </c>
      <c r="AP8125" t="s">
        <v>53</v>
      </c>
    </row>
    <row r="8126" spans="2:42" x14ac:dyDescent="0.2">
      <c r="B8126" t="s">
        <v>44</v>
      </c>
      <c r="C8126" t="str">
        <f>HYPERLINK("https://us2.cloudbeds.com/connect/8493803454333002#/reservations/9080486848273849?display=4J85AB2CY4&amp;reservation_id=9080486848273849", "4J85AB2CY4")</f>
        <v>4J85AB2CY4</v>
      </c>
      <c r="D8126" t="s">
        <v>45</v>
      </c>
      <c r="E8126" t="s">
        <v>128</v>
      </c>
      <c r="F8126" t="s">
        <v>86</v>
      </c>
      <c r="G8126" t="s">
        <v>48</v>
      </c>
      <c r="H8126" t="s">
        <v>49</v>
      </c>
      <c r="I8126" t="s">
        <v>50</v>
      </c>
      <c r="J8126" t="s">
        <v>14800</v>
      </c>
      <c r="K8126" t="s">
        <v>13361</v>
      </c>
      <c r="L8126" t="s">
        <v>53</v>
      </c>
      <c r="N8126" t="s">
        <v>15271</v>
      </c>
      <c r="P8126" t="s">
        <v>55</v>
      </c>
      <c r="R8126" t="s">
        <v>53</v>
      </c>
      <c r="T8126" t="s">
        <v>15272</v>
      </c>
      <c r="U8126" t="s">
        <v>55</v>
      </c>
      <c r="V8126">
        <v>1</v>
      </c>
      <c r="W8126">
        <v>1</v>
      </c>
      <c r="X8126">
        <v>2</v>
      </c>
      <c r="Y8126">
        <v>0</v>
      </c>
      <c r="Z8126">
        <v>2</v>
      </c>
      <c r="AA8126">
        <v>71.290000000000006</v>
      </c>
      <c r="AB8126">
        <v>71.290000000000006</v>
      </c>
      <c r="AC8126">
        <v>65.56</v>
      </c>
      <c r="AD8126">
        <v>0</v>
      </c>
      <c r="AE8126">
        <v>5.73</v>
      </c>
      <c r="AF8126">
        <v>0</v>
      </c>
      <c r="AG8126">
        <v>0</v>
      </c>
      <c r="AH8126">
        <v>0</v>
      </c>
      <c r="AI8126">
        <v>12.83</v>
      </c>
      <c r="AJ8126">
        <v>71.290000000000006</v>
      </c>
      <c r="AK8126">
        <v>0</v>
      </c>
      <c r="AL8126" t="s">
        <v>53</v>
      </c>
      <c r="AM8126" t="s">
        <v>53</v>
      </c>
      <c r="AN8126" t="s">
        <v>53</v>
      </c>
      <c r="AO8126" t="s">
        <v>53</v>
      </c>
      <c r="AP8126" t="s">
        <v>53</v>
      </c>
    </row>
    <row r="8127" spans="2:42" x14ac:dyDescent="0.2">
      <c r="B8127" t="s">
        <v>44</v>
      </c>
      <c r="C8127" t="str">
        <f>HYPERLINK("https://us2.cloudbeds.com/connect/8493803454333002#/reservations/9080486848274613?display=4J8PNMYX9B&amp;reservation_id=9080486848274613", "4J8PNMYX9B")</f>
        <v>4J8PNMYX9B</v>
      </c>
      <c r="D8127" t="s">
        <v>45</v>
      </c>
      <c r="E8127" t="s">
        <v>487</v>
      </c>
      <c r="F8127" t="s">
        <v>61</v>
      </c>
      <c r="G8127" t="s">
        <v>48</v>
      </c>
      <c r="H8127" t="s">
        <v>49</v>
      </c>
      <c r="I8127" t="s">
        <v>62</v>
      </c>
      <c r="J8127" t="s">
        <v>14800</v>
      </c>
      <c r="K8127" t="s">
        <v>13361</v>
      </c>
      <c r="L8127" t="s">
        <v>53</v>
      </c>
      <c r="N8127" t="s">
        <v>15273</v>
      </c>
      <c r="P8127" t="s">
        <v>55</v>
      </c>
      <c r="R8127" t="s">
        <v>56</v>
      </c>
      <c r="T8127" t="s">
        <v>15274</v>
      </c>
      <c r="U8127" t="s">
        <v>55</v>
      </c>
      <c r="V8127">
        <v>1</v>
      </c>
      <c r="W8127">
        <v>1</v>
      </c>
      <c r="X8127">
        <v>2</v>
      </c>
      <c r="Y8127">
        <v>0</v>
      </c>
      <c r="Z8127">
        <v>2</v>
      </c>
      <c r="AA8127">
        <v>88.2</v>
      </c>
      <c r="AB8127">
        <v>88.2</v>
      </c>
      <c r="AC8127">
        <v>88.2</v>
      </c>
      <c r="AD8127">
        <v>0</v>
      </c>
      <c r="AE8127">
        <v>0</v>
      </c>
      <c r="AF8127">
        <v>0</v>
      </c>
      <c r="AG8127">
        <v>0</v>
      </c>
      <c r="AH8127">
        <v>0</v>
      </c>
      <c r="AI8127">
        <v>15.88</v>
      </c>
      <c r="AJ8127">
        <v>88.2</v>
      </c>
      <c r="AK8127">
        <v>0</v>
      </c>
      <c r="AL8127" t="s">
        <v>53</v>
      </c>
      <c r="AM8127" t="s">
        <v>53</v>
      </c>
      <c r="AN8127" t="s">
        <v>15275</v>
      </c>
      <c r="AO8127" t="s">
        <v>53</v>
      </c>
      <c r="AP8127" t="s">
        <v>53</v>
      </c>
    </row>
    <row r="8128" spans="2:42" x14ac:dyDescent="0.2">
      <c r="B8128" t="s">
        <v>44</v>
      </c>
      <c r="C8128" t="str">
        <f>HYPERLINK("https://us2.cloudbeds.com/connect/8493803454333002#/reservations/9080486848275328?display=4J9AGATZ9U&amp;reservation_id=9080486848275328", "4J9AGATZ9U")</f>
        <v>4J9AGATZ9U</v>
      </c>
      <c r="D8128" t="s">
        <v>45</v>
      </c>
      <c r="E8128" t="s">
        <v>165</v>
      </c>
      <c r="F8128" t="s">
        <v>61</v>
      </c>
      <c r="G8128" t="s">
        <v>48</v>
      </c>
      <c r="H8128" t="s">
        <v>49</v>
      </c>
      <c r="I8128" t="s">
        <v>50</v>
      </c>
      <c r="J8128" t="s">
        <v>13362</v>
      </c>
      <c r="K8128" t="s">
        <v>14288</v>
      </c>
      <c r="L8128" t="s">
        <v>53</v>
      </c>
      <c r="N8128" t="s">
        <v>15276</v>
      </c>
      <c r="P8128" t="s">
        <v>55</v>
      </c>
      <c r="R8128" t="s">
        <v>53</v>
      </c>
      <c r="T8128" t="s">
        <v>15277</v>
      </c>
      <c r="U8128" t="s">
        <v>55</v>
      </c>
      <c r="V8128">
        <v>1</v>
      </c>
      <c r="W8128">
        <v>1</v>
      </c>
      <c r="X8128">
        <v>2</v>
      </c>
      <c r="Y8128">
        <v>0</v>
      </c>
      <c r="Z8128">
        <v>2</v>
      </c>
      <c r="AA8128">
        <v>63.71</v>
      </c>
      <c r="AB8128">
        <v>63.71</v>
      </c>
      <c r="AC8128">
        <v>58.58</v>
      </c>
      <c r="AD8128">
        <v>0</v>
      </c>
      <c r="AE8128">
        <v>5.13</v>
      </c>
      <c r="AF8128">
        <v>0</v>
      </c>
      <c r="AG8128">
        <v>0</v>
      </c>
      <c r="AH8128">
        <v>0</v>
      </c>
      <c r="AI8128">
        <v>11.47</v>
      </c>
      <c r="AJ8128">
        <v>63.71</v>
      </c>
      <c r="AK8128">
        <v>0</v>
      </c>
      <c r="AL8128" t="s">
        <v>53</v>
      </c>
      <c r="AM8128" t="s">
        <v>53</v>
      </c>
      <c r="AN8128" t="s">
        <v>53</v>
      </c>
      <c r="AO8128" t="s">
        <v>53</v>
      </c>
      <c r="AP8128" t="s">
        <v>53</v>
      </c>
    </row>
    <row r="8129" spans="2:42" x14ac:dyDescent="0.2">
      <c r="B8129" t="s">
        <v>44</v>
      </c>
      <c r="C8129" t="str">
        <f>HYPERLINK("https://us2.cloudbeds.com/connect/8493803454333002#/reservations/212769646641344?display=4J9E7KS5VN&amp;reservation_id=212769646641344", "4J9E7KS5VN")</f>
        <v>4J9E7KS5VN</v>
      </c>
      <c r="D8129" t="s">
        <v>45</v>
      </c>
      <c r="E8129" t="s">
        <v>155</v>
      </c>
      <c r="F8129" t="s">
        <v>86</v>
      </c>
      <c r="G8129" t="s">
        <v>3974</v>
      </c>
      <c r="H8129" t="s">
        <v>3957</v>
      </c>
      <c r="I8129" t="s">
        <v>3975</v>
      </c>
      <c r="J8129" t="s">
        <v>13825</v>
      </c>
      <c r="K8129" t="s">
        <v>13383</v>
      </c>
      <c r="L8129" t="s">
        <v>53</v>
      </c>
      <c r="P8129" t="s">
        <v>55</v>
      </c>
      <c r="R8129" t="s">
        <v>56</v>
      </c>
      <c r="T8129" t="s">
        <v>15278</v>
      </c>
      <c r="U8129" t="s">
        <v>58</v>
      </c>
      <c r="V8129">
        <v>2</v>
      </c>
      <c r="W8129">
        <v>1</v>
      </c>
      <c r="X8129">
        <v>2</v>
      </c>
      <c r="Y8129">
        <v>0</v>
      </c>
      <c r="Z8129">
        <v>2</v>
      </c>
      <c r="AA8129">
        <v>239.64</v>
      </c>
      <c r="AB8129">
        <v>239.64</v>
      </c>
      <c r="AC8129">
        <v>209</v>
      </c>
      <c r="AD8129">
        <v>0</v>
      </c>
      <c r="AE8129">
        <v>30.64</v>
      </c>
      <c r="AF8129">
        <v>0</v>
      </c>
      <c r="AG8129">
        <v>0</v>
      </c>
      <c r="AH8129">
        <v>0</v>
      </c>
      <c r="AI8129">
        <v>0</v>
      </c>
      <c r="AJ8129">
        <v>239.64</v>
      </c>
      <c r="AK8129">
        <v>0</v>
      </c>
      <c r="AL8129" t="s">
        <v>53</v>
      </c>
      <c r="AM8129" t="s">
        <v>53</v>
      </c>
      <c r="AN8129" t="s">
        <v>15279</v>
      </c>
      <c r="AO8129" t="s">
        <v>53</v>
      </c>
      <c r="AP8129" t="s">
        <v>53</v>
      </c>
    </row>
    <row r="8130" spans="2:42" x14ac:dyDescent="0.2">
      <c r="B8130" t="s">
        <v>44</v>
      </c>
      <c r="C8130" t="str">
        <f>HYPERLINK("https://us2.cloudbeds.com/connect/8493803454333002#/reservations/9080486848275823?display=4J9QTYQJEP&amp;reservation_id=9080486848275823", "4J9QTYQJEP")</f>
        <v>4J9QTYQJEP</v>
      </c>
      <c r="D8130" t="s">
        <v>45</v>
      </c>
      <c r="E8130" t="s">
        <v>487</v>
      </c>
      <c r="F8130" t="s">
        <v>61</v>
      </c>
      <c r="G8130" t="s">
        <v>48</v>
      </c>
      <c r="H8130" t="s">
        <v>49</v>
      </c>
      <c r="I8130" t="s">
        <v>50</v>
      </c>
      <c r="J8130" t="s">
        <v>13476</v>
      </c>
      <c r="K8130" t="s">
        <v>13362</v>
      </c>
      <c r="L8130" t="s">
        <v>53</v>
      </c>
      <c r="N8130" t="s">
        <v>15280</v>
      </c>
      <c r="P8130" t="s">
        <v>55</v>
      </c>
      <c r="R8130" t="s">
        <v>53</v>
      </c>
      <c r="T8130" t="s">
        <v>15281</v>
      </c>
      <c r="U8130" t="s">
        <v>55</v>
      </c>
      <c r="V8130">
        <v>1</v>
      </c>
      <c r="W8130">
        <v>1</v>
      </c>
      <c r="X8130">
        <v>2</v>
      </c>
      <c r="Y8130">
        <v>0</v>
      </c>
      <c r="Z8130">
        <v>2</v>
      </c>
      <c r="AA8130">
        <v>80.069999999999993</v>
      </c>
      <c r="AB8130">
        <v>85.55</v>
      </c>
      <c r="AC8130">
        <v>73.62</v>
      </c>
      <c r="AD8130">
        <v>5</v>
      </c>
      <c r="AE8130">
        <v>6.93</v>
      </c>
      <c r="AF8130">
        <v>0</v>
      </c>
      <c r="AG8130">
        <v>0</v>
      </c>
      <c r="AH8130">
        <v>0</v>
      </c>
      <c r="AI8130">
        <v>15.4</v>
      </c>
      <c r="AJ8130">
        <v>85.55</v>
      </c>
      <c r="AK8130">
        <v>0</v>
      </c>
      <c r="AL8130" t="s">
        <v>53</v>
      </c>
      <c r="AM8130" t="s">
        <v>53</v>
      </c>
      <c r="AN8130" t="s">
        <v>15282</v>
      </c>
      <c r="AO8130" t="s">
        <v>53</v>
      </c>
      <c r="AP8130" t="s">
        <v>53</v>
      </c>
    </row>
    <row r="8131" spans="2:42" x14ac:dyDescent="0.2">
      <c r="B8131" t="s">
        <v>44</v>
      </c>
      <c r="C8131" t="str">
        <f>HYPERLINK("https://us2.cloudbeds.com/connect/8493803454333002#/reservations/9080486848277057?display=4JBARRG7BS&amp;reservation_id=9080486848277057", "4JBARRG7BS")</f>
        <v>4JBARRG7BS</v>
      </c>
      <c r="D8131" t="s">
        <v>45</v>
      </c>
      <c r="E8131" t="s">
        <v>165</v>
      </c>
      <c r="F8131" t="s">
        <v>61</v>
      </c>
      <c r="G8131" t="s">
        <v>48</v>
      </c>
      <c r="H8131" t="s">
        <v>49</v>
      </c>
      <c r="I8131" t="s">
        <v>62</v>
      </c>
      <c r="J8131" t="s">
        <v>13038</v>
      </c>
      <c r="K8131" t="s">
        <v>9130</v>
      </c>
      <c r="L8131" t="s">
        <v>53</v>
      </c>
      <c r="N8131" t="s">
        <v>15283</v>
      </c>
      <c r="P8131" t="s">
        <v>55</v>
      </c>
      <c r="R8131" t="s">
        <v>871</v>
      </c>
      <c r="T8131" t="s">
        <v>15284</v>
      </c>
      <c r="U8131" t="s">
        <v>55</v>
      </c>
      <c r="V8131">
        <v>2</v>
      </c>
      <c r="W8131">
        <v>1</v>
      </c>
      <c r="X8131">
        <v>2</v>
      </c>
      <c r="Y8131">
        <v>0</v>
      </c>
      <c r="Z8131">
        <v>2</v>
      </c>
      <c r="AA8131">
        <v>189</v>
      </c>
      <c r="AB8131">
        <v>193</v>
      </c>
      <c r="AC8131">
        <v>189</v>
      </c>
      <c r="AD8131">
        <v>0</v>
      </c>
      <c r="AE8131">
        <v>0</v>
      </c>
      <c r="AF8131">
        <v>0</v>
      </c>
      <c r="AG8131">
        <v>0</v>
      </c>
      <c r="AH8131">
        <v>0</v>
      </c>
      <c r="AI8131">
        <v>34.020000000000003</v>
      </c>
      <c r="AJ8131">
        <v>189</v>
      </c>
      <c r="AK8131">
        <v>-4</v>
      </c>
      <c r="AL8131" t="s">
        <v>53</v>
      </c>
      <c r="AM8131" t="s">
        <v>53</v>
      </c>
      <c r="AN8131" t="s">
        <v>53</v>
      </c>
      <c r="AO8131" t="s">
        <v>53</v>
      </c>
      <c r="AP8131" t="s">
        <v>53</v>
      </c>
    </row>
    <row r="8132" spans="2:42" x14ac:dyDescent="0.2">
      <c r="B8132" t="s">
        <v>44</v>
      </c>
      <c r="C8132" t="str">
        <f>HYPERLINK("https://us2.cloudbeds.com/connect/8493803454333002#/reservations/9080486848280052?display=4JDNEQSR7V&amp;reservation_id=9080486848280052", "4JDNEQSR7V")</f>
        <v>4JDNEQSR7V</v>
      </c>
      <c r="D8132" t="s">
        <v>45</v>
      </c>
      <c r="E8132" t="s">
        <v>190</v>
      </c>
      <c r="F8132" t="s">
        <v>61</v>
      </c>
      <c r="G8132" t="s">
        <v>48</v>
      </c>
      <c r="H8132" t="s">
        <v>49</v>
      </c>
      <c r="I8132" t="s">
        <v>62</v>
      </c>
      <c r="J8132" t="s">
        <v>13361</v>
      </c>
      <c r="K8132" t="s">
        <v>13573</v>
      </c>
      <c r="L8132" t="s">
        <v>53</v>
      </c>
      <c r="N8132" t="s">
        <v>15285</v>
      </c>
      <c r="P8132" t="s">
        <v>55</v>
      </c>
      <c r="R8132" t="s">
        <v>56</v>
      </c>
      <c r="T8132" t="s">
        <v>15286</v>
      </c>
      <c r="U8132" t="s">
        <v>55</v>
      </c>
      <c r="V8132">
        <v>1</v>
      </c>
      <c r="W8132">
        <v>1</v>
      </c>
      <c r="X8132">
        <v>1</v>
      </c>
      <c r="Y8132">
        <v>0</v>
      </c>
      <c r="Z8132">
        <v>1</v>
      </c>
      <c r="AA8132">
        <v>88.2</v>
      </c>
      <c r="AB8132">
        <v>88.2</v>
      </c>
      <c r="AC8132">
        <v>88.2</v>
      </c>
      <c r="AD8132">
        <v>0</v>
      </c>
      <c r="AE8132">
        <v>0</v>
      </c>
      <c r="AF8132">
        <v>0</v>
      </c>
      <c r="AG8132">
        <v>0</v>
      </c>
      <c r="AH8132">
        <v>0</v>
      </c>
      <c r="AI8132">
        <v>15.88</v>
      </c>
      <c r="AJ8132">
        <v>88.2</v>
      </c>
      <c r="AK8132">
        <v>0</v>
      </c>
      <c r="AL8132" t="s">
        <v>53</v>
      </c>
      <c r="AM8132" t="s">
        <v>53</v>
      </c>
      <c r="AN8132" t="s">
        <v>53</v>
      </c>
      <c r="AO8132" t="s">
        <v>53</v>
      </c>
      <c r="AP8132" t="s">
        <v>53</v>
      </c>
    </row>
    <row r="8133" spans="2:42" x14ac:dyDescent="0.2">
      <c r="B8133" t="s">
        <v>44</v>
      </c>
      <c r="C8133" t="str">
        <f>HYPERLINK("https://us2.cloudbeds.com/connect/8493803454333002#/reservations/212973251268736?display=4JE6T6M2H9&amp;reservation_id=212973251268736", "4JE6T6M2H9")</f>
        <v>4JE6T6M2H9</v>
      </c>
      <c r="D8133" t="s">
        <v>45</v>
      </c>
      <c r="E8133" t="s">
        <v>69</v>
      </c>
      <c r="F8133" t="s">
        <v>70</v>
      </c>
      <c r="G8133" t="s">
        <v>48</v>
      </c>
      <c r="H8133" t="s">
        <v>3957</v>
      </c>
      <c r="I8133" t="s">
        <v>3975</v>
      </c>
      <c r="J8133" t="s">
        <v>14288</v>
      </c>
      <c r="K8133" t="s">
        <v>13680</v>
      </c>
      <c r="L8133" t="s">
        <v>53</v>
      </c>
      <c r="P8133" t="s">
        <v>55</v>
      </c>
      <c r="R8133" t="s">
        <v>56</v>
      </c>
      <c r="T8133" t="s">
        <v>15287</v>
      </c>
      <c r="U8133" t="s">
        <v>58</v>
      </c>
      <c r="V8133">
        <v>2</v>
      </c>
      <c r="W8133">
        <v>1</v>
      </c>
      <c r="X8133">
        <v>1</v>
      </c>
      <c r="Y8133">
        <v>0</v>
      </c>
      <c r="Z8133">
        <v>1</v>
      </c>
      <c r="AA8133">
        <v>0</v>
      </c>
      <c r="AB8133">
        <v>172</v>
      </c>
      <c r="AC8133">
        <v>150</v>
      </c>
      <c r="AD8133">
        <v>0</v>
      </c>
      <c r="AE8133">
        <v>22</v>
      </c>
      <c r="AF8133">
        <v>0</v>
      </c>
      <c r="AG8133">
        <v>0</v>
      </c>
      <c r="AH8133">
        <v>0</v>
      </c>
      <c r="AI8133">
        <v>0</v>
      </c>
      <c r="AJ8133">
        <v>172</v>
      </c>
      <c r="AK8133">
        <v>0</v>
      </c>
      <c r="AL8133" t="s">
        <v>53</v>
      </c>
      <c r="AM8133" t="s">
        <v>53</v>
      </c>
      <c r="AN8133" t="s">
        <v>53</v>
      </c>
      <c r="AO8133" t="s">
        <v>53</v>
      </c>
      <c r="AP8133" t="s">
        <v>53</v>
      </c>
    </row>
    <row r="8134" spans="2:42" x14ac:dyDescent="0.2">
      <c r="B8134" t="s">
        <v>44</v>
      </c>
      <c r="C8134" t="str">
        <f>HYPERLINK("https://us2.cloudbeds.com/connect/8493803454333002#/reservations/9080486848283541?display=4JFZSETEXR&amp;reservation_id=9080486848283541", "4JFZSETEXR")</f>
        <v>4JFZSETEXR</v>
      </c>
      <c r="D8134" t="s">
        <v>45</v>
      </c>
      <c r="E8134" t="s">
        <v>138</v>
      </c>
      <c r="F8134" t="s">
        <v>70</v>
      </c>
      <c r="G8134" t="s">
        <v>48</v>
      </c>
      <c r="H8134" t="s">
        <v>49</v>
      </c>
      <c r="I8134" t="s">
        <v>50</v>
      </c>
      <c r="J8134" t="s">
        <v>13361</v>
      </c>
      <c r="K8134" t="s">
        <v>13573</v>
      </c>
      <c r="L8134" t="s">
        <v>53</v>
      </c>
      <c r="N8134" t="s">
        <v>15288</v>
      </c>
      <c r="P8134" t="s">
        <v>55</v>
      </c>
      <c r="R8134" t="s">
        <v>53</v>
      </c>
      <c r="T8134" t="s">
        <v>15289</v>
      </c>
      <c r="U8134" t="s">
        <v>55</v>
      </c>
      <c r="V8134">
        <v>1</v>
      </c>
      <c r="W8134">
        <v>1</v>
      </c>
      <c r="X8134">
        <v>2</v>
      </c>
      <c r="Y8134">
        <v>0</v>
      </c>
      <c r="Z8134">
        <v>2</v>
      </c>
      <c r="AA8134">
        <v>63.2</v>
      </c>
      <c r="AB8134">
        <v>63.2</v>
      </c>
      <c r="AC8134">
        <v>58.12</v>
      </c>
      <c r="AD8134">
        <v>0</v>
      </c>
      <c r="AE8134">
        <v>5.08</v>
      </c>
      <c r="AF8134">
        <v>0</v>
      </c>
      <c r="AG8134">
        <v>0</v>
      </c>
      <c r="AH8134">
        <v>0</v>
      </c>
      <c r="AI8134">
        <v>11.38</v>
      </c>
      <c r="AJ8134">
        <v>63.2</v>
      </c>
      <c r="AK8134">
        <v>0</v>
      </c>
      <c r="AL8134" t="s">
        <v>53</v>
      </c>
      <c r="AM8134" t="s">
        <v>53</v>
      </c>
      <c r="AN8134" t="s">
        <v>53</v>
      </c>
      <c r="AO8134" t="s">
        <v>53</v>
      </c>
      <c r="AP8134" t="s">
        <v>53</v>
      </c>
    </row>
    <row r="8135" spans="2:42" x14ac:dyDescent="0.2">
      <c r="B8135" t="s">
        <v>44</v>
      </c>
      <c r="C8135" t="str">
        <f>HYPERLINK("https://us2.cloudbeds.com/connect/8493803454333002#/reservations/9080486848283604?display=4JFPRZF80N&amp;reservation_id=9080486848283604", "4JFPRZF80N")</f>
        <v>4JFPRZF80N</v>
      </c>
      <c r="D8135" t="s">
        <v>45</v>
      </c>
      <c r="E8135" t="s">
        <v>487</v>
      </c>
      <c r="F8135" t="s">
        <v>61</v>
      </c>
      <c r="G8135" t="s">
        <v>48</v>
      </c>
      <c r="H8135" t="s">
        <v>49</v>
      </c>
      <c r="I8135" t="s">
        <v>50</v>
      </c>
      <c r="J8135" t="s">
        <v>14762</v>
      </c>
      <c r="K8135" t="s">
        <v>13476</v>
      </c>
      <c r="L8135" t="s">
        <v>53</v>
      </c>
      <c r="N8135" t="s">
        <v>15290</v>
      </c>
      <c r="P8135" t="s">
        <v>55</v>
      </c>
      <c r="R8135" t="s">
        <v>53</v>
      </c>
      <c r="T8135" t="s">
        <v>15291</v>
      </c>
      <c r="U8135" t="s">
        <v>55</v>
      </c>
      <c r="V8135">
        <v>1</v>
      </c>
      <c r="W8135">
        <v>1</v>
      </c>
      <c r="X8135">
        <v>2</v>
      </c>
      <c r="Y8135">
        <v>0</v>
      </c>
      <c r="Z8135">
        <v>2</v>
      </c>
      <c r="AA8135">
        <v>71.17</v>
      </c>
      <c r="AB8135">
        <v>71.17</v>
      </c>
      <c r="AC8135">
        <v>65.44</v>
      </c>
      <c r="AD8135">
        <v>0</v>
      </c>
      <c r="AE8135">
        <v>5.73</v>
      </c>
      <c r="AF8135">
        <v>0</v>
      </c>
      <c r="AG8135">
        <v>0</v>
      </c>
      <c r="AH8135">
        <v>0</v>
      </c>
      <c r="AI8135">
        <v>12.81</v>
      </c>
      <c r="AJ8135">
        <v>71.17</v>
      </c>
      <c r="AK8135">
        <v>0</v>
      </c>
      <c r="AL8135" t="s">
        <v>53</v>
      </c>
      <c r="AM8135" t="s">
        <v>53</v>
      </c>
      <c r="AN8135" t="s">
        <v>15292</v>
      </c>
      <c r="AO8135" t="s">
        <v>53</v>
      </c>
      <c r="AP8135" t="s">
        <v>53</v>
      </c>
    </row>
    <row r="8136" spans="2:42" x14ac:dyDescent="0.2">
      <c r="B8136" t="s">
        <v>44</v>
      </c>
      <c r="C8136" t="str">
        <f>HYPERLINK("https://us2.cloudbeds.com/connect/8493803454333002#/reservations/9080486848284399?display=4JGD141EY3&amp;reservation_id=9080486848284399", "4JGD141EY3")</f>
        <v>4JGD141EY3</v>
      </c>
      <c r="D8136" t="s">
        <v>45</v>
      </c>
      <c r="E8136" t="s">
        <v>179</v>
      </c>
      <c r="F8136" t="s">
        <v>47</v>
      </c>
      <c r="G8136" t="s">
        <v>48</v>
      </c>
      <c r="H8136" t="s">
        <v>49</v>
      </c>
      <c r="I8136" t="s">
        <v>50</v>
      </c>
      <c r="J8136" t="s">
        <v>14176</v>
      </c>
      <c r="K8136" t="s">
        <v>13038</v>
      </c>
      <c r="L8136" t="s">
        <v>53</v>
      </c>
      <c r="N8136" t="s">
        <v>15293</v>
      </c>
      <c r="P8136" t="s">
        <v>55</v>
      </c>
      <c r="R8136" t="s">
        <v>53</v>
      </c>
      <c r="T8136" t="s">
        <v>15294</v>
      </c>
      <c r="U8136" t="s">
        <v>58</v>
      </c>
      <c r="V8136">
        <v>1</v>
      </c>
      <c r="W8136">
        <v>1</v>
      </c>
      <c r="X8136">
        <v>1</v>
      </c>
      <c r="Y8136">
        <v>0</v>
      </c>
      <c r="Z8136">
        <v>1</v>
      </c>
      <c r="AA8136">
        <v>89.92</v>
      </c>
      <c r="AB8136">
        <v>89.92</v>
      </c>
      <c r="AC8136">
        <v>78.430000000000007</v>
      </c>
      <c r="AD8136">
        <v>0</v>
      </c>
      <c r="AE8136">
        <v>11.49</v>
      </c>
      <c r="AF8136">
        <v>0</v>
      </c>
      <c r="AG8136">
        <v>0</v>
      </c>
      <c r="AH8136">
        <v>0</v>
      </c>
      <c r="AI8136">
        <v>16.190000000000001</v>
      </c>
      <c r="AJ8136">
        <v>89.92</v>
      </c>
      <c r="AK8136">
        <v>0</v>
      </c>
      <c r="AL8136" t="s">
        <v>53</v>
      </c>
      <c r="AM8136" t="s">
        <v>53</v>
      </c>
      <c r="AN8136" t="s">
        <v>15295</v>
      </c>
      <c r="AO8136" t="s">
        <v>53</v>
      </c>
      <c r="AP8136" t="s">
        <v>53</v>
      </c>
    </row>
    <row r="8137" spans="2:42" x14ac:dyDescent="0.2">
      <c r="B8137" t="s">
        <v>44</v>
      </c>
      <c r="C8137" t="str">
        <f>HYPERLINK("https://us2.cloudbeds.com/connect/8493803454333002#/reservations/9080486848284416?display=4JGDFYK9ZJ&amp;reservation_id=9080486848284416", "4JGDFYK9ZJ")</f>
        <v>4JGDFYK9ZJ</v>
      </c>
      <c r="D8137" t="s">
        <v>45</v>
      </c>
      <c r="E8137" t="s">
        <v>185</v>
      </c>
      <c r="F8137" t="s">
        <v>47</v>
      </c>
      <c r="G8137" t="s">
        <v>48</v>
      </c>
      <c r="H8137" t="s">
        <v>49</v>
      </c>
      <c r="I8137" t="s">
        <v>62</v>
      </c>
      <c r="J8137" t="s">
        <v>13361</v>
      </c>
      <c r="K8137" t="s">
        <v>13573</v>
      </c>
      <c r="L8137" t="s">
        <v>53</v>
      </c>
      <c r="N8137" t="s">
        <v>15296</v>
      </c>
      <c r="P8137" t="s">
        <v>55</v>
      </c>
      <c r="R8137" t="s">
        <v>56</v>
      </c>
      <c r="T8137" t="s">
        <v>15297</v>
      </c>
      <c r="U8137" t="s">
        <v>55</v>
      </c>
      <c r="V8137">
        <v>1</v>
      </c>
      <c r="W8137">
        <v>1</v>
      </c>
      <c r="X8137">
        <v>2</v>
      </c>
      <c r="Y8137">
        <v>0</v>
      </c>
      <c r="Z8137">
        <v>2</v>
      </c>
      <c r="AA8137">
        <v>84</v>
      </c>
      <c r="AB8137">
        <v>84</v>
      </c>
      <c r="AC8137">
        <v>84</v>
      </c>
      <c r="AD8137">
        <v>0</v>
      </c>
      <c r="AE8137">
        <v>0</v>
      </c>
      <c r="AF8137">
        <v>0</v>
      </c>
      <c r="AG8137">
        <v>0</v>
      </c>
      <c r="AH8137">
        <v>0</v>
      </c>
      <c r="AI8137">
        <v>15.12</v>
      </c>
      <c r="AJ8137">
        <v>84</v>
      </c>
      <c r="AK8137">
        <v>0</v>
      </c>
      <c r="AL8137" t="s">
        <v>53</v>
      </c>
      <c r="AM8137" t="s">
        <v>53</v>
      </c>
      <c r="AN8137" t="s">
        <v>53</v>
      </c>
      <c r="AO8137" t="s">
        <v>53</v>
      </c>
      <c r="AP8137" t="s">
        <v>53</v>
      </c>
    </row>
    <row r="8138" spans="2:42" x14ac:dyDescent="0.2">
      <c r="B8138" t="s">
        <v>44</v>
      </c>
      <c r="C8138" t="str">
        <f>HYPERLINK("https://us2.cloudbeds.com/connect/8493803454333002#/reservations/213091762614400?display=4JGWYEXS62&amp;reservation_id=213091762614400", "4JGWYEXS62")</f>
        <v>4JGWYEXS62</v>
      </c>
      <c r="D8138" t="s">
        <v>45</v>
      </c>
      <c r="E8138" t="s">
        <v>46</v>
      </c>
      <c r="F8138" t="s">
        <v>47</v>
      </c>
      <c r="G8138" t="s">
        <v>48</v>
      </c>
      <c r="H8138" t="s">
        <v>3957</v>
      </c>
      <c r="I8138" t="s">
        <v>3958</v>
      </c>
      <c r="J8138" t="s">
        <v>13361</v>
      </c>
      <c r="K8138" t="s">
        <v>13573</v>
      </c>
      <c r="L8138" t="s">
        <v>53</v>
      </c>
      <c r="P8138" t="s">
        <v>55</v>
      </c>
      <c r="R8138" t="s">
        <v>56</v>
      </c>
      <c r="T8138" t="s">
        <v>15298</v>
      </c>
      <c r="U8138" t="s">
        <v>58</v>
      </c>
      <c r="V8138">
        <v>1</v>
      </c>
      <c r="W8138">
        <v>1</v>
      </c>
      <c r="X8138">
        <v>1</v>
      </c>
      <c r="Y8138">
        <v>0</v>
      </c>
      <c r="Z8138">
        <v>1</v>
      </c>
      <c r="AA8138">
        <v>91.72</v>
      </c>
      <c r="AB8138">
        <v>91.72</v>
      </c>
      <c r="AC8138">
        <v>80</v>
      </c>
      <c r="AD8138">
        <v>0</v>
      </c>
      <c r="AE8138">
        <v>11.72</v>
      </c>
      <c r="AF8138">
        <v>0</v>
      </c>
      <c r="AG8138">
        <v>0</v>
      </c>
      <c r="AH8138">
        <v>0</v>
      </c>
      <c r="AI8138">
        <v>0</v>
      </c>
      <c r="AJ8138">
        <v>91.72</v>
      </c>
      <c r="AK8138">
        <v>0</v>
      </c>
      <c r="AL8138" t="s">
        <v>53</v>
      </c>
      <c r="AM8138" t="s">
        <v>53</v>
      </c>
      <c r="AN8138" t="s">
        <v>53</v>
      </c>
      <c r="AO8138" t="s">
        <v>53</v>
      </c>
      <c r="AP8138" t="s">
        <v>53</v>
      </c>
    </row>
    <row r="8139" spans="2:42" x14ac:dyDescent="0.2">
      <c r="B8139" t="s">
        <v>44</v>
      </c>
      <c r="C8139" t="str">
        <f>HYPERLINK("https://us2.cloudbeds.com/connect/8493803454333002#/reservations/9080486848285080?display=4JGWRTQJ3H&amp;reservation_id=9080486848285080", "4JGWRTQJ3H")</f>
        <v>4JGWRTQJ3H</v>
      </c>
      <c r="D8139" t="s">
        <v>45</v>
      </c>
      <c r="E8139" t="s">
        <v>105</v>
      </c>
      <c r="F8139" t="s">
        <v>47</v>
      </c>
      <c r="G8139" t="s">
        <v>48</v>
      </c>
      <c r="H8139" t="s">
        <v>49</v>
      </c>
      <c r="I8139" t="s">
        <v>50</v>
      </c>
      <c r="J8139" t="s">
        <v>9763</v>
      </c>
      <c r="K8139" t="s">
        <v>13612</v>
      </c>
      <c r="L8139" t="s">
        <v>53</v>
      </c>
      <c r="N8139" t="s">
        <v>15299</v>
      </c>
      <c r="P8139" t="s">
        <v>55</v>
      </c>
      <c r="R8139" t="s">
        <v>53</v>
      </c>
      <c r="T8139" t="s">
        <v>15300</v>
      </c>
      <c r="U8139" t="s">
        <v>55</v>
      </c>
      <c r="V8139">
        <v>1</v>
      </c>
      <c r="W8139">
        <v>1</v>
      </c>
      <c r="X8139">
        <v>2</v>
      </c>
      <c r="Y8139">
        <v>0</v>
      </c>
      <c r="Z8139">
        <v>2</v>
      </c>
      <c r="AA8139">
        <v>104.48</v>
      </c>
      <c r="AB8139">
        <v>104.48</v>
      </c>
      <c r="AC8139">
        <v>96.08</v>
      </c>
      <c r="AD8139">
        <v>0</v>
      </c>
      <c r="AE8139">
        <v>8.4</v>
      </c>
      <c r="AF8139">
        <v>0</v>
      </c>
      <c r="AG8139">
        <v>0</v>
      </c>
      <c r="AH8139">
        <v>0</v>
      </c>
      <c r="AI8139">
        <v>18.809999999999999</v>
      </c>
      <c r="AJ8139">
        <v>104.48</v>
      </c>
      <c r="AK8139">
        <v>0</v>
      </c>
      <c r="AL8139" t="s">
        <v>53</v>
      </c>
      <c r="AM8139" t="s">
        <v>53</v>
      </c>
      <c r="AN8139" t="s">
        <v>15301</v>
      </c>
      <c r="AO8139" t="s">
        <v>53</v>
      </c>
      <c r="AP8139" t="s">
        <v>53</v>
      </c>
    </row>
    <row r="8140" spans="2:42" x14ac:dyDescent="0.2">
      <c r="B8140" t="s">
        <v>44</v>
      </c>
      <c r="C8140" t="str">
        <f>HYPERLINK("https://us2.cloudbeds.com/connect/8493803454333002#/reservations/9080486848288440?display=4JKDB4V06Y&amp;reservation_id=9080486848288440", "4JKDB4V06Y")</f>
        <v>4JKDB4V06Y</v>
      </c>
      <c r="D8140" t="s">
        <v>45</v>
      </c>
      <c r="E8140" t="s">
        <v>128</v>
      </c>
      <c r="F8140" t="s">
        <v>86</v>
      </c>
      <c r="G8140" t="s">
        <v>48</v>
      </c>
      <c r="H8140" t="s">
        <v>49</v>
      </c>
      <c r="I8140" t="s">
        <v>8964</v>
      </c>
      <c r="J8140" t="s">
        <v>14762</v>
      </c>
      <c r="K8140" t="s">
        <v>13362</v>
      </c>
      <c r="L8140" t="s">
        <v>53</v>
      </c>
      <c r="N8140" t="s">
        <v>15302</v>
      </c>
      <c r="P8140" t="s">
        <v>55</v>
      </c>
      <c r="R8140" t="s">
        <v>53</v>
      </c>
      <c r="T8140" t="s">
        <v>15303</v>
      </c>
      <c r="U8140" t="s">
        <v>55</v>
      </c>
      <c r="V8140">
        <v>2</v>
      </c>
      <c r="W8140">
        <v>1</v>
      </c>
      <c r="X8140">
        <v>2</v>
      </c>
      <c r="Y8140">
        <v>0</v>
      </c>
      <c r="Z8140">
        <v>2</v>
      </c>
      <c r="AA8140">
        <v>0</v>
      </c>
      <c r="AB8140">
        <v>0</v>
      </c>
      <c r="AC8140">
        <v>246</v>
      </c>
      <c r="AD8140">
        <v>0</v>
      </c>
      <c r="AE8140">
        <v>0</v>
      </c>
      <c r="AF8140">
        <v>0</v>
      </c>
      <c r="AG8140">
        <v>0</v>
      </c>
      <c r="AH8140">
        <v>0</v>
      </c>
      <c r="AI8140">
        <v>36.9</v>
      </c>
      <c r="AJ8140">
        <v>246</v>
      </c>
      <c r="AK8140">
        <v>246</v>
      </c>
      <c r="AL8140" t="s">
        <v>53</v>
      </c>
      <c r="AM8140" t="s">
        <v>53</v>
      </c>
      <c r="AN8140" t="s">
        <v>53</v>
      </c>
      <c r="AO8140" t="s">
        <v>53</v>
      </c>
      <c r="AP8140" t="s">
        <v>53</v>
      </c>
    </row>
    <row r="8141" spans="2:42" x14ac:dyDescent="0.2">
      <c r="B8141" t="s">
        <v>44</v>
      </c>
      <c r="C8141" t="str">
        <f>HYPERLINK("https://us2.cloudbeds.com/connect/8493803454333002#/reservations/213267194704000?display=4JY3G4X7T7&amp;reservation_id=213267194704000", "4JY3G4X7T7")</f>
        <v>4JY3G4X7T7</v>
      </c>
      <c r="D8141" t="s">
        <v>45</v>
      </c>
      <c r="E8141" t="s">
        <v>78</v>
      </c>
      <c r="F8141" t="s">
        <v>61</v>
      </c>
      <c r="G8141" t="s">
        <v>48</v>
      </c>
      <c r="H8141" t="s">
        <v>3957</v>
      </c>
      <c r="I8141" t="s">
        <v>3975</v>
      </c>
      <c r="J8141" t="s">
        <v>13573</v>
      </c>
      <c r="K8141" t="s">
        <v>14502</v>
      </c>
      <c r="L8141" t="s">
        <v>53</v>
      </c>
      <c r="P8141" t="s">
        <v>55</v>
      </c>
      <c r="R8141" t="s">
        <v>56</v>
      </c>
      <c r="T8141" t="s">
        <v>15304</v>
      </c>
      <c r="U8141" t="s">
        <v>58</v>
      </c>
      <c r="V8141">
        <v>1</v>
      </c>
      <c r="W8141">
        <v>1</v>
      </c>
      <c r="X8141">
        <v>1</v>
      </c>
      <c r="Y8141">
        <v>0</v>
      </c>
      <c r="Z8141">
        <v>1</v>
      </c>
      <c r="AA8141">
        <v>96.31</v>
      </c>
      <c r="AB8141">
        <v>96.31</v>
      </c>
      <c r="AC8141">
        <v>84</v>
      </c>
      <c r="AD8141">
        <v>0</v>
      </c>
      <c r="AE8141">
        <v>12.31</v>
      </c>
      <c r="AF8141">
        <v>0</v>
      </c>
      <c r="AG8141">
        <v>0</v>
      </c>
      <c r="AH8141">
        <v>0</v>
      </c>
      <c r="AI8141">
        <v>0</v>
      </c>
      <c r="AJ8141">
        <v>96.31</v>
      </c>
      <c r="AK8141">
        <v>0</v>
      </c>
      <c r="AL8141" t="s">
        <v>53</v>
      </c>
      <c r="AM8141" t="s">
        <v>53</v>
      </c>
      <c r="AN8141" t="s">
        <v>15305</v>
      </c>
      <c r="AO8141" t="s">
        <v>53</v>
      </c>
      <c r="AP8141" t="s">
        <v>53</v>
      </c>
    </row>
    <row r="8142" spans="2:42" x14ac:dyDescent="0.2">
      <c r="B8142" t="s">
        <v>44</v>
      </c>
      <c r="C8142" t="str">
        <f>HYPERLINK("https://us2.cloudbeds.com/connect/8493803454333002#/reservations/213316845518977?display=4JM8URF52S&amp;reservation_id=213316845518977", "4JM8URF52S")</f>
        <v>4JM8URF52S</v>
      </c>
      <c r="D8142" t="s">
        <v>45</v>
      </c>
      <c r="E8142" t="s">
        <v>406</v>
      </c>
      <c r="F8142" t="s">
        <v>61</v>
      </c>
      <c r="G8142" t="s">
        <v>48</v>
      </c>
      <c r="H8142" t="s">
        <v>3957</v>
      </c>
      <c r="I8142" t="s">
        <v>3975</v>
      </c>
      <c r="J8142" t="s">
        <v>14762</v>
      </c>
      <c r="K8142" t="s">
        <v>13476</v>
      </c>
      <c r="L8142" t="s">
        <v>53</v>
      </c>
      <c r="P8142" t="s">
        <v>55</v>
      </c>
      <c r="R8142" t="s">
        <v>56</v>
      </c>
      <c r="T8142" t="s">
        <v>15306</v>
      </c>
      <c r="U8142" t="s">
        <v>58</v>
      </c>
      <c r="V8142">
        <v>1</v>
      </c>
      <c r="W8142">
        <v>1</v>
      </c>
      <c r="X8142">
        <v>1</v>
      </c>
      <c r="Y8142">
        <v>1</v>
      </c>
      <c r="Z8142">
        <v>2</v>
      </c>
      <c r="AA8142">
        <v>0</v>
      </c>
      <c r="AB8142">
        <v>108.93</v>
      </c>
      <c r="AC8142">
        <v>95</v>
      </c>
      <c r="AD8142">
        <v>0</v>
      </c>
      <c r="AE8142">
        <v>13.93</v>
      </c>
      <c r="AF8142">
        <v>0</v>
      </c>
      <c r="AG8142">
        <v>0</v>
      </c>
      <c r="AH8142">
        <v>0</v>
      </c>
      <c r="AI8142">
        <v>0</v>
      </c>
      <c r="AJ8142">
        <v>108.93</v>
      </c>
      <c r="AK8142">
        <v>0</v>
      </c>
      <c r="AL8142" t="s">
        <v>53</v>
      </c>
      <c r="AM8142" t="s">
        <v>53</v>
      </c>
      <c r="AN8142" t="s">
        <v>15307</v>
      </c>
      <c r="AO8142" t="s">
        <v>53</v>
      </c>
      <c r="AP8142" t="s">
        <v>53</v>
      </c>
    </row>
    <row r="8143" spans="2:42" x14ac:dyDescent="0.2">
      <c r="B8143" t="s">
        <v>44</v>
      </c>
      <c r="C8143" t="str">
        <f>HYPERLINK("https://us2.cloudbeds.com/connect/8493803454333002#/reservations/213317790843008?display=4JM9YWJ65N&amp;reservation_id=213317790843008", "4JM9YWJ65N")</f>
        <v>4JM9YWJ65N</v>
      </c>
      <c r="D8143" t="s">
        <v>45</v>
      </c>
      <c r="E8143" t="s">
        <v>85</v>
      </c>
      <c r="F8143" t="s">
        <v>86</v>
      </c>
      <c r="G8143" t="s">
        <v>48</v>
      </c>
      <c r="H8143" t="s">
        <v>3957</v>
      </c>
      <c r="I8143" t="s">
        <v>3975</v>
      </c>
      <c r="J8143" t="s">
        <v>14762</v>
      </c>
      <c r="K8143" t="s">
        <v>13476</v>
      </c>
      <c r="L8143" t="s">
        <v>53</v>
      </c>
      <c r="P8143" t="s">
        <v>55</v>
      </c>
      <c r="R8143" t="s">
        <v>56</v>
      </c>
      <c r="T8143" t="s">
        <v>15308</v>
      </c>
      <c r="U8143" t="s">
        <v>58</v>
      </c>
      <c r="V8143">
        <v>1</v>
      </c>
      <c r="W8143">
        <v>1</v>
      </c>
      <c r="X8143">
        <v>1</v>
      </c>
      <c r="Y8143">
        <v>3</v>
      </c>
      <c r="Z8143">
        <v>4</v>
      </c>
      <c r="AA8143">
        <v>126.12</v>
      </c>
      <c r="AB8143">
        <v>134.33000000000001</v>
      </c>
      <c r="AC8143">
        <v>110</v>
      </c>
      <c r="AD8143">
        <v>7.5</v>
      </c>
      <c r="AE8143">
        <v>16.829999999999998</v>
      </c>
      <c r="AF8143">
        <v>0</v>
      </c>
      <c r="AG8143">
        <v>0</v>
      </c>
      <c r="AH8143">
        <v>0</v>
      </c>
      <c r="AI8143">
        <v>0</v>
      </c>
      <c r="AJ8143">
        <v>134.33000000000001</v>
      </c>
      <c r="AK8143">
        <v>0</v>
      </c>
      <c r="AL8143" t="s">
        <v>53</v>
      </c>
      <c r="AM8143" t="s">
        <v>53</v>
      </c>
      <c r="AN8143" t="s">
        <v>53</v>
      </c>
      <c r="AO8143" t="s">
        <v>53</v>
      </c>
      <c r="AP8143" t="s">
        <v>53</v>
      </c>
    </row>
    <row r="8144" spans="2:42" x14ac:dyDescent="0.2">
      <c r="B8144" t="s">
        <v>44</v>
      </c>
      <c r="C8144" t="str">
        <f>HYPERLINK("https://us2.cloudbeds.com/connect/8493803454333002#/reservations/9080486848291732?display=4JMK3NZZE7&amp;reservation_id=9080486848291732", "4JMK3NZZE7")</f>
        <v>4JMK3NZZE7</v>
      </c>
      <c r="D8144" t="s">
        <v>45</v>
      </c>
      <c r="E8144" t="s">
        <v>14402</v>
      </c>
      <c r="F8144" t="s">
        <v>14403</v>
      </c>
      <c r="G8144" t="s">
        <v>48</v>
      </c>
      <c r="H8144" t="s">
        <v>49</v>
      </c>
      <c r="I8144" t="s">
        <v>50</v>
      </c>
      <c r="J8144" t="s">
        <v>13037</v>
      </c>
      <c r="K8144" t="s">
        <v>12835</v>
      </c>
      <c r="L8144" t="s">
        <v>53</v>
      </c>
      <c r="N8144" t="s">
        <v>15309</v>
      </c>
      <c r="P8144" t="s">
        <v>55</v>
      </c>
      <c r="R8144" t="s">
        <v>53</v>
      </c>
      <c r="T8144" t="s">
        <v>15310</v>
      </c>
      <c r="U8144" t="s">
        <v>55</v>
      </c>
      <c r="V8144">
        <v>3</v>
      </c>
      <c r="W8144">
        <v>1</v>
      </c>
      <c r="X8144">
        <v>1</v>
      </c>
      <c r="Y8144">
        <v>0</v>
      </c>
      <c r="Z8144">
        <v>1</v>
      </c>
      <c r="AA8144">
        <v>231.66</v>
      </c>
      <c r="AB8144">
        <v>231.66</v>
      </c>
      <c r="AC8144">
        <v>213.01</v>
      </c>
      <c r="AD8144">
        <v>0</v>
      </c>
      <c r="AE8144">
        <v>18.649999999999999</v>
      </c>
      <c r="AF8144">
        <v>0</v>
      </c>
      <c r="AG8144">
        <v>0</v>
      </c>
      <c r="AH8144">
        <v>0</v>
      </c>
      <c r="AI8144">
        <v>41.7</v>
      </c>
      <c r="AJ8144">
        <v>231.66</v>
      </c>
      <c r="AK8144">
        <v>0</v>
      </c>
      <c r="AL8144" t="s">
        <v>53</v>
      </c>
      <c r="AM8144" t="s">
        <v>53</v>
      </c>
      <c r="AN8144" t="s">
        <v>53</v>
      </c>
      <c r="AO8144" t="s">
        <v>53</v>
      </c>
      <c r="AP8144" t="s">
        <v>53</v>
      </c>
    </row>
    <row r="8145" spans="2:42" x14ac:dyDescent="0.2">
      <c r="B8145" t="s">
        <v>44</v>
      </c>
      <c r="C8145" t="str">
        <f>HYPERLINK("https://us2.cloudbeds.com/connect/8493803454333002#/reservations/213340571730113?display=4JMRA30RJU&amp;reservation_id=213340571730113", "4JMRA30RJU")</f>
        <v>4JMRA30RJU</v>
      </c>
      <c r="D8145" t="s">
        <v>45</v>
      </c>
      <c r="E8145" t="s">
        <v>179</v>
      </c>
      <c r="F8145" t="s">
        <v>47</v>
      </c>
      <c r="G8145" t="s">
        <v>48</v>
      </c>
      <c r="H8145" t="s">
        <v>3957</v>
      </c>
      <c r="I8145" t="s">
        <v>3958</v>
      </c>
      <c r="J8145" t="s">
        <v>14502</v>
      </c>
      <c r="K8145" t="s">
        <v>14762</v>
      </c>
      <c r="L8145" t="s">
        <v>53</v>
      </c>
      <c r="P8145" t="s">
        <v>55</v>
      </c>
      <c r="R8145" t="s">
        <v>56</v>
      </c>
      <c r="T8145" t="s">
        <v>15311</v>
      </c>
      <c r="U8145" t="s">
        <v>58</v>
      </c>
      <c r="V8145">
        <v>1</v>
      </c>
      <c r="W8145">
        <v>1</v>
      </c>
      <c r="X8145">
        <v>1</v>
      </c>
      <c r="Y8145">
        <v>0</v>
      </c>
      <c r="Z8145">
        <v>1</v>
      </c>
      <c r="AA8145">
        <v>91.72</v>
      </c>
      <c r="AB8145">
        <v>93.91</v>
      </c>
      <c r="AC8145">
        <v>80</v>
      </c>
      <c r="AD8145">
        <v>2</v>
      </c>
      <c r="AE8145">
        <v>11.91</v>
      </c>
      <c r="AF8145">
        <v>0</v>
      </c>
      <c r="AG8145">
        <v>0</v>
      </c>
      <c r="AH8145">
        <v>0</v>
      </c>
      <c r="AI8145">
        <v>0</v>
      </c>
      <c r="AJ8145">
        <v>93.91</v>
      </c>
      <c r="AK8145">
        <v>0</v>
      </c>
      <c r="AL8145" t="s">
        <v>53</v>
      </c>
      <c r="AM8145" t="s">
        <v>53</v>
      </c>
      <c r="AN8145" t="s">
        <v>53</v>
      </c>
      <c r="AO8145" t="s">
        <v>53</v>
      </c>
      <c r="AP8145" t="s">
        <v>53</v>
      </c>
    </row>
    <row r="8146" spans="2:42" x14ac:dyDescent="0.2">
      <c r="B8146" t="s">
        <v>44</v>
      </c>
      <c r="C8146" t="str">
        <f>HYPERLINK("https://us2.cloudbeds.com/connect/8493803454333002#/reservations/9080486848292467?display=4JMSWBQV8B&amp;reservation_id=9080486848292467", "4JMSWBQV8B")</f>
        <v>4JMSWBQV8B</v>
      </c>
      <c r="D8146" t="s">
        <v>45</v>
      </c>
      <c r="E8146" t="s">
        <v>128</v>
      </c>
      <c r="F8146" t="s">
        <v>86</v>
      </c>
      <c r="G8146" t="s">
        <v>48</v>
      </c>
      <c r="H8146" t="s">
        <v>49</v>
      </c>
      <c r="I8146" t="s">
        <v>50</v>
      </c>
      <c r="J8146" t="s">
        <v>13573</v>
      </c>
      <c r="K8146" t="s">
        <v>14502</v>
      </c>
      <c r="L8146" t="s">
        <v>53</v>
      </c>
      <c r="N8146" t="s">
        <v>15312</v>
      </c>
      <c r="P8146" t="s">
        <v>55</v>
      </c>
      <c r="R8146" t="s">
        <v>53</v>
      </c>
      <c r="T8146" t="s">
        <v>15313</v>
      </c>
      <c r="U8146" t="s">
        <v>55</v>
      </c>
      <c r="V8146">
        <v>1</v>
      </c>
      <c r="W8146">
        <v>1</v>
      </c>
      <c r="X8146">
        <v>2</v>
      </c>
      <c r="Y8146">
        <v>0</v>
      </c>
      <c r="Z8146">
        <v>2</v>
      </c>
      <c r="AA8146">
        <v>74.81</v>
      </c>
      <c r="AB8146">
        <v>74.81</v>
      </c>
      <c r="AC8146">
        <v>68.790000000000006</v>
      </c>
      <c r="AD8146">
        <v>0</v>
      </c>
      <c r="AE8146">
        <v>6.02</v>
      </c>
      <c r="AF8146">
        <v>0</v>
      </c>
      <c r="AG8146">
        <v>0</v>
      </c>
      <c r="AH8146">
        <v>0</v>
      </c>
      <c r="AI8146">
        <v>13.47</v>
      </c>
      <c r="AJ8146">
        <v>74.81</v>
      </c>
      <c r="AK8146">
        <v>0</v>
      </c>
      <c r="AL8146" t="s">
        <v>53</v>
      </c>
      <c r="AM8146" t="s">
        <v>53</v>
      </c>
      <c r="AN8146" t="s">
        <v>15314</v>
      </c>
      <c r="AO8146" t="s">
        <v>53</v>
      </c>
      <c r="AP8146" t="s">
        <v>53</v>
      </c>
    </row>
    <row r="8147" spans="2:42" x14ac:dyDescent="0.2">
      <c r="B8147" t="s">
        <v>44</v>
      </c>
      <c r="C8147" t="str">
        <f>HYPERLINK("https://us2.cloudbeds.com/connect/8493803454333002#/reservations/9080486848292667?display=4JN02X3KW7&amp;reservation_id=9080486848292667", "4JN02X3KW7")</f>
        <v>4JN02X3KW7</v>
      </c>
      <c r="D8147" t="s">
        <v>45</v>
      </c>
      <c r="E8147" t="s">
        <v>487</v>
      </c>
      <c r="F8147" t="s">
        <v>61</v>
      </c>
      <c r="G8147" t="s">
        <v>48</v>
      </c>
      <c r="H8147" t="s">
        <v>49</v>
      </c>
      <c r="I8147" t="s">
        <v>50</v>
      </c>
      <c r="J8147" t="s">
        <v>13573</v>
      </c>
      <c r="K8147" t="s">
        <v>14502</v>
      </c>
      <c r="L8147" t="s">
        <v>53</v>
      </c>
      <c r="N8147" t="s">
        <v>15315</v>
      </c>
      <c r="P8147" t="s">
        <v>55</v>
      </c>
      <c r="R8147" t="s">
        <v>53</v>
      </c>
      <c r="T8147" t="s">
        <v>15316</v>
      </c>
      <c r="U8147" t="s">
        <v>55</v>
      </c>
      <c r="V8147">
        <v>1</v>
      </c>
      <c r="W8147">
        <v>1</v>
      </c>
      <c r="X8147">
        <v>2</v>
      </c>
      <c r="Y8147">
        <v>0</v>
      </c>
      <c r="Z8147">
        <v>2</v>
      </c>
      <c r="AA8147">
        <v>66.849999999999994</v>
      </c>
      <c r="AB8147">
        <v>66.849999999999994</v>
      </c>
      <c r="AC8147">
        <v>61.47</v>
      </c>
      <c r="AD8147">
        <v>0</v>
      </c>
      <c r="AE8147">
        <v>5.38</v>
      </c>
      <c r="AF8147">
        <v>0</v>
      </c>
      <c r="AG8147">
        <v>0</v>
      </c>
      <c r="AH8147">
        <v>0</v>
      </c>
      <c r="AI8147">
        <v>12.03</v>
      </c>
      <c r="AJ8147">
        <v>66.849999999999994</v>
      </c>
      <c r="AK8147">
        <v>0</v>
      </c>
      <c r="AL8147" t="s">
        <v>53</v>
      </c>
      <c r="AM8147" t="s">
        <v>53</v>
      </c>
      <c r="AN8147" t="s">
        <v>53</v>
      </c>
      <c r="AO8147" t="s">
        <v>53</v>
      </c>
      <c r="AP8147" t="s">
        <v>53</v>
      </c>
    </row>
    <row r="8148" spans="2:42" x14ac:dyDescent="0.2">
      <c r="B8148" t="s">
        <v>44</v>
      </c>
      <c r="C8148" t="str">
        <f>HYPERLINK("https://us2.cloudbeds.com/connect/8493803454333002#/reservations/9080486848293171?display=4JNBHRD4XZ&amp;reservation_id=9080486848293171", "4JNBHRD4XZ")</f>
        <v>4JNBHRD4XZ</v>
      </c>
      <c r="D8148" t="s">
        <v>45</v>
      </c>
      <c r="E8148" t="s">
        <v>110</v>
      </c>
      <c r="F8148" t="s">
        <v>47</v>
      </c>
      <c r="G8148" t="s">
        <v>48</v>
      </c>
      <c r="H8148" t="s">
        <v>49</v>
      </c>
      <c r="I8148" t="s">
        <v>50</v>
      </c>
      <c r="J8148" t="s">
        <v>13825</v>
      </c>
      <c r="K8148" t="s">
        <v>13998</v>
      </c>
      <c r="L8148" t="s">
        <v>53</v>
      </c>
      <c r="N8148" t="s">
        <v>15317</v>
      </c>
      <c r="P8148" t="s">
        <v>55</v>
      </c>
      <c r="R8148" t="s">
        <v>53</v>
      </c>
      <c r="T8148" t="s">
        <v>15318</v>
      </c>
      <c r="U8148" t="s">
        <v>55</v>
      </c>
      <c r="V8148">
        <v>1</v>
      </c>
      <c r="W8148">
        <v>1</v>
      </c>
      <c r="X8148">
        <v>2</v>
      </c>
      <c r="Y8148">
        <v>0</v>
      </c>
      <c r="Z8148">
        <v>2</v>
      </c>
      <c r="AA8148">
        <v>59.78</v>
      </c>
      <c r="AB8148">
        <v>59.78</v>
      </c>
      <c r="AC8148">
        <v>54.97</v>
      </c>
      <c r="AD8148">
        <v>0</v>
      </c>
      <c r="AE8148">
        <v>4.8099999999999996</v>
      </c>
      <c r="AF8148">
        <v>0</v>
      </c>
      <c r="AG8148">
        <v>0</v>
      </c>
      <c r="AH8148">
        <v>0</v>
      </c>
      <c r="AI8148">
        <v>10.76</v>
      </c>
      <c r="AJ8148">
        <v>59.78</v>
      </c>
      <c r="AK8148">
        <v>0</v>
      </c>
      <c r="AL8148" t="s">
        <v>53</v>
      </c>
      <c r="AM8148" t="s">
        <v>53</v>
      </c>
      <c r="AN8148" t="s">
        <v>53</v>
      </c>
      <c r="AO8148" t="s">
        <v>53</v>
      </c>
      <c r="AP8148" t="s">
        <v>53</v>
      </c>
    </row>
    <row r="8149" spans="2:42" x14ac:dyDescent="0.2">
      <c r="B8149" t="s">
        <v>44</v>
      </c>
      <c r="C8149" t="str">
        <f>HYPERLINK("https://us2.cloudbeds.com/connect/8493803454333002#/reservations/213388070920385?display=4JNV2QJ0T7&amp;reservation_id=213388070920385", "4JNV2QJ0T7")</f>
        <v>4JNV2QJ0T7</v>
      </c>
      <c r="D8149" t="s">
        <v>45</v>
      </c>
      <c r="E8149" t="s">
        <v>78</v>
      </c>
      <c r="F8149" t="s">
        <v>61</v>
      </c>
      <c r="G8149" t="s">
        <v>48</v>
      </c>
      <c r="H8149" t="s">
        <v>3957</v>
      </c>
      <c r="I8149" t="s">
        <v>3975</v>
      </c>
      <c r="J8149" t="s">
        <v>13362</v>
      </c>
      <c r="K8149" t="s">
        <v>13680</v>
      </c>
      <c r="L8149" t="s">
        <v>53</v>
      </c>
      <c r="P8149" t="s">
        <v>55</v>
      </c>
      <c r="R8149" t="s">
        <v>56</v>
      </c>
      <c r="T8149" t="s">
        <v>15319</v>
      </c>
      <c r="U8149" t="s">
        <v>58</v>
      </c>
      <c r="V8149">
        <v>3</v>
      </c>
      <c r="W8149">
        <v>1</v>
      </c>
      <c r="X8149">
        <v>2</v>
      </c>
      <c r="Y8149">
        <v>0</v>
      </c>
      <c r="Z8149">
        <v>2</v>
      </c>
      <c r="AA8149">
        <v>0</v>
      </c>
      <c r="AB8149">
        <v>278.61</v>
      </c>
      <c r="AC8149">
        <v>243</v>
      </c>
      <c r="AD8149">
        <v>0</v>
      </c>
      <c r="AE8149">
        <v>35.61</v>
      </c>
      <c r="AF8149">
        <v>0</v>
      </c>
      <c r="AG8149">
        <v>0</v>
      </c>
      <c r="AH8149">
        <v>0</v>
      </c>
      <c r="AI8149">
        <v>0</v>
      </c>
      <c r="AJ8149">
        <v>278.61</v>
      </c>
      <c r="AK8149">
        <v>0</v>
      </c>
      <c r="AL8149" t="s">
        <v>53</v>
      </c>
      <c r="AM8149" t="s">
        <v>53</v>
      </c>
      <c r="AN8149" t="s">
        <v>15320</v>
      </c>
      <c r="AO8149" t="s">
        <v>53</v>
      </c>
      <c r="AP8149" t="s">
        <v>53</v>
      </c>
    </row>
    <row r="8150" spans="2:42" x14ac:dyDescent="0.2">
      <c r="B8150" t="s">
        <v>44</v>
      </c>
      <c r="C8150" t="str">
        <f>HYPERLINK("https://us2.cloudbeds.com/connect/8493803454333002#/reservations/9080486848294863?display=4JZFEXV4GF&amp;reservation_id=9080486848294863", "4JZFEXV4GF")</f>
        <v>4JZFEXV4GF</v>
      </c>
      <c r="D8150" t="s">
        <v>45</v>
      </c>
      <c r="E8150" t="s">
        <v>105</v>
      </c>
      <c r="F8150" t="s">
        <v>47</v>
      </c>
      <c r="G8150" t="s">
        <v>48</v>
      </c>
      <c r="H8150" t="s">
        <v>49</v>
      </c>
      <c r="I8150" t="s">
        <v>50</v>
      </c>
      <c r="J8150" t="s">
        <v>14847</v>
      </c>
      <c r="K8150" t="s">
        <v>14868</v>
      </c>
      <c r="L8150" t="s">
        <v>53</v>
      </c>
      <c r="N8150" t="s">
        <v>15321</v>
      </c>
      <c r="P8150" t="s">
        <v>55</v>
      </c>
      <c r="R8150" t="s">
        <v>53</v>
      </c>
      <c r="T8150" t="s">
        <v>15322</v>
      </c>
      <c r="U8150" t="s">
        <v>55</v>
      </c>
      <c r="V8150">
        <v>2</v>
      </c>
      <c r="W8150">
        <v>1</v>
      </c>
      <c r="X8150">
        <v>2</v>
      </c>
      <c r="Y8150">
        <v>0</v>
      </c>
      <c r="Z8150">
        <v>2</v>
      </c>
      <c r="AA8150">
        <v>252.54</v>
      </c>
      <c r="AB8150">
        <v>252.54</v>
      </c>
      <c r="AC8150">
        <v>232.22</v>
      </c>
      <c r="AD8150">
        <v>0</v>
      </c>
      <c r="AE8150">
        <v>20.32</v>
      </c>
      <c r="AF8150">
        <v>0</v>
      </c>
      <c r="AG8150">
        <v>0</v>
      </c>
      <c r="AH8150">
        <v>0</v>
      </c>
      <c r="AI8150">
        <v>45.46</v>
      </c>
      <c r="AJ8150">
        <v>252.54</v>
      </c>
      <c r="AK8150">
        <v>0</v>
      </c>
      <c r="AL8150" t="s">
        <v>53</v>
      </c>
      <c r="AM8150" t="s">
        <v>53</v>
      </c>
      <c r="AN8150" t="s">
        <v>15323</v>
      </c>
      <c r="AO8150" t="s">
        <v>53</v>
      </c>
      <c r="AP8150" t="s">
        <v>53</v>
      </c>
    </row>
    <row r="8151" spans="2:42" x14ac:dyDescent="0.2">
      <c r="B8151" t="s">
        <v>44</v>
      </c>
      <c r="C8151" t="str">
        <f>HYPERLINK("https://us2.cloudbeds.com/connect/8493803454333002#/reservations/9080486848295706?display=4JP5C9ZBZR&amp;reservation_id=9080486848295706", "4JP5C9ZBZR")</f>
        <v>4JP5C9ZBZR</v>
      </c>
      <c r="D8151" t="s">
        <v>45</v>
      </c>
      <c r="E8151" t="s">
        <v>185</v>
      </c>
      <c r="F8151" t="s">
        <v>47</v>
      </c>
      <c r="G8151" t="s">
        <v>48</v>
      </c>
      <c r="H8151" t="s">
        <v>49</v>
      </c>
      <c r="I8151" t="s">
        <v>50</v>
      </c>
      <c r="J8151" t="s">
        <v>13476</v>
      </c>
      <c r="K8151" t="s">
        <v>13362</v>
      </c>
      <c r="L8151" t="s">
        <v>53</v>
      </c>
      <c r="N8151" t="s">
        <v>15324</v>
      </c>
      <c r="P8151" t="s">
        <v>55</v>
      </c>
      <c r="R8151" t="s">
        <v>53</v>
      </c>
      <c r="T8151" t="s">
        <v>15325</v>
      </c>
      <c r="U8151" t="s">
        <v>55</v>
      </c>
      <c r="V8151">
        <v>1</v>
      </c>
      <c r="W8151">
        <v>1</v>
      </c>
      <c r="X8151">
        <v>2</v>
      </c>
      <c r="Y8151">
        <v>0</v>
      </c>
      <c r="Z8151">
        <v>2</v>
      </c>
      <c r="AA8151">
        <v>60.67</v>
      </c>
      <c r="AB8151">
        <v>60.67</v>
      </c>
      <c r="AC8151">
        <v>55.79</v>
      </c>
      <c r="AD8151">
        <v>0</v>
      </c>
      <c r="AE8151">
        <v>4.88</v>
      </c>
      <c r="AF8151">
        <v>0</v>
      </c>
      <c r="AG8151">
        <v>0</v>
      </c>
      <c r="AH8151">
        <v>0</v>
      </c>
      <c r="AI8151">
        <v>10.92</v>
      </c>
      <c r="AJ8151">
        <v>60.67</v>
      </c>
      <c r="AK8151">
        <v>0</v>
      </c>
      <c r="AL8151" t="s">
        <v>53</v>
      </c>
      <c r="AM8151" t="s">
        <v>53</v>
      </c>
      <c r="AN8151" t="s">
        <v>53</v>
      </c>
      <c r="AO8151" t="s">
        <v>53</v>
      </c>
      <c r="AP8151" t="s">
        <v>53</v>
      </c>
    </row>
    <row r="8152" spans="2:42" x14ac:dyDescent="0.2">
      <c r="B8152" t="s">
        <v>44</v>
      </c>
      <c r="C8152" t="str">
        <f>HYPERLINK("https://us2.cloudbeds.com/connect/8493803454333002#/reservations/9080486848296210?display=4JPXFEF990&amp;reservation_id=9080486848296210", "4JPXFEF990")</f>
        <v>4JPXFEF990</v>
      </c>
      <c r="D8152" t="s">
        <v>45</v>
      </c>
      <c r="E8152" t="s">
        <v>138</v>
      </c>
      <c r="F8152" t="s">
        <v>70</v>
      </c>
      <c r="G8152" t="s">
        <v>48</v>
      </c>
      <c r="H8152" t="s">
        <v>49</v>
      </c>
      <c r="I8152" t="s">
        <v>8964</v>
      </c>
      <c r="J8152" t="s">
        <v>14502</v>
      </c>
      <c r="K8152" t="s">
        <v>14762</v>
      </c>
      <c r="L8152" t="s">
        <v>53</v>
      </c>
      <c r="N8152" t="s">
        <v>15326</v>
      </c>
      <c r="P8152" t="s">
        <v>55</v>
      </c>
      <c r="R8152" t="s">
        <v>53</v>
      </c>
      <c r="T8152" t="s">
        <v>15327</v>
      </c>
      <c r="U8152" t="s">
        <v>55</v>
      </c>
      <c r="V8152">
        <v>1</v>
      </c>
      <c r="W8152">
        <v>1</v>
      </c>
      <c r="X8152">
        <v>2</v>
      </c>
      <c r="Y8152">
        <v>0</v>
      </c>
      <c r="Z8152">
        <v>2</v>
      </c>
      <c r="AA8152">
        <v>0</v>
      </c>
      <c r="AB8152">
        <v>0</v>
      </c>
      <c r="AC8152">
        <v>84</v>
      </c>
      <c r="AD8152">
        <v>0</v>
      </c>
      <c r="AE8152">
        <v>0</v>
      </c>
      <c r="AF8152">
        <v>0</v>
      </c>
      <c r="AG8152">
        <v>0</v>
      </c>
      <c r="AH8152">
        <v>0</v>
      </c>
      <c r="AI8152">
        <v>12.6</v>
      </c>
      <c r="AJ8152">
        <v>84</v>
      </c>
      <c r="AK8152">
        <v>84</v>
      </c>
      <c r="AL8152" t="s">
        <v>53</v>
      </c>
      <c r="AM8152" t="s">
        <v>53</v>
      </c>
      <c r="AN8152" t="s">
        <v>53</v>
      </c>
      <c r="AO8152" t="s">
        <v>53</v>
      </c>
      <c r="AP8152" t="s">
        <v>53</v>
      </c>
    </row>
    <row r="8153" spans="2:42" x14ac:dyDescent="0.2">
      <c r="B8153" t="s">
        <v>44</v>
      </c>
      <c r="C8153" t="str">
        <f>HYPERLINK("https://us2.cloudbeds.com/connect/8493803454333002#/reservations/213471129297024?display=4JPTD4K0RK&amp;reservation_id=213471129297024", "4JPTD4K0RK")</f>
        <v>4JPTD4K0RK</v>
      </c>
      <c r="D8153" t="s">
        <v>45</v>
      </c>
      <c r="E8153" t="s">
        <v>213</v>
      </c>
      <c r="F8153" t="s">
        <v>86</v>
      </c>
      <c r="G8153" t="s">
        <v>48</v>
      </c>
      <c r="H8153" t="s">
        <v>3957</v>
      </c>
      <c r="I8153" t="s">
        <v>3975</v>
      </c>
      <c r="J8153" t="s">
        <v>14762</v>
      </c>
      <c r="K8153" t="s">
        <v>13476</v>
      </c>
      <c r="L8153" t="s">
        <v>53</v>
      </c>
      <c r="P8153" t="s">
        <v>55</v>
      </c>
      <c r="R8153" t="s">
        <v>56</v>
      </c>
      <c r="T8153" t="s">
        <v>15328</v>
      </c>
      <c r="U8153" t="s">
        <v>58</v>
      </c>
      <c r="V8153">
        <v>1</v>
      </c>
      <c r="W8153">
        <v>1</v>
      </c>
      <c r="X8153">
        <v>2</v>
      </c>
      <c r="Y8153">
        <v>1</v>
      </c>
      <c r="Z8153">
        <v>3</v>
      </c>
      <c r="AA8153">
        <v>0</v>
      </c>
      <c r="AB8153">
        <v>126.12</v>
      </c>
      <c r="AC8153">
        <v>110</v>
      </c>
      <c r="AD8153">
        <v>0</v>
      </c>
      <c r="AE8153">
        <v>16.12</v>
      </c>
      <c r="AF8153">
        <v>0</v>
      </c>
      <c r="AG8153">
        <v>0</v>
      </c>
      <c r="AH8153">
        <v>0</v>
      </c>
      <c r="AI8153">
        <v>0</v>
      </c>
      <c r="AJ8153">
        <v>126.12</v>
      </c>
      <c r="AK8153">
        <v>0</v>
      </c>
      <c r="AL8153" t="s">
        <v>53</v>
      </c>
      <c r="AM8153" t="s">
        <v>53</v>
      </c>
      <c r="AN8153" t="s">
        <v>53</v>
      </c>
      <c r="AO8153" t="s">
        <v>53</v>
      </c>
      <c r="AP8153" t="s">
        <v>53</v>
      </c>
    </row>
    <row r="8154" spans="2:42" x14ac:dyDescent="0.2">
      <c r="B8154" t="s">
        <v>44</v>
      </c>
      <c r="C8154" t="str">
        <f>HYPERLINK("https://us2.cloudbeds.com/connect/8493803454333002#/reservations/9080486848296838?display=4JQ39V0Q19&amp;reservation_id=9080486848296838", "4JQ39V0Q19")</f>
        <v>4JQ39V0Q19</v>
      </c>
      <c r="D8154" t="s">
        <v>45</v>
      </c>
      <c r="E8154" t="s">
        <v>138</v>
      </c>
      <c r="F8154" t="s">
        <v>70</v>
      </c>
      <c r="G8154" t="s">
        <v>48</v>
      </c>
      <c r="H8154" t="s">
        <v>49</v>
      </c>
      <c r="I8154" t="s">
        <v>62</v>
      </c>
      <c r="J8154" t="s">
        <v>14762</v>
      </c>
      <c r="K8154" t="s">
        <v>13476</v>
      </c>
      <c r="L8154" t="s">
        <v>53</v>
      </c>
      <c r="N8154" t="s">
        <v>15329</v>
      </c>
      <c r="P8154" t="s">
        <v>55</v>
      </c>
      <c r="R8154" t="s">
        <v>56</v>
      </c>
      <c r="T8154" t="s">
        <v>15330</v>
      </c>
      <c r="U8154" t="s">
        <v>55</v>
      </c>
      <c r="V8154">
        <v>1</v>
      </c>
      <c r="W8154">
        <v>1</v>
      </c>
      <c r="X8154">
        <v>1</v>
      </c>
      <c r="Y8154">
        <v>0</v>
      </c>
      <c r="Z8154">
        <v>1</v>
      </c>
      <c r="AA8154">
        <v>78.75</v>
      </c>
      <c r="AB8154">
        <v>78.75</v>
      </c>
      <c r="AC8154">
        <v>78.75</v>
      </c>
      <c r="AD8154">
        <v>0</v>
      </c>
      <c r="AE8154">
        <v>0</v>
      </c>
      <c r="AF8154">
        <v>0</v>
      </c>
      <c r="AG8154">
        <v>0</v>
      </c>
      <c r="AH8154">
        <v>0</v>
      </c>
      <c r="AI8154">
        <v>14.18</v>
      </c>
      <c r="AJ8154">
        <v>78.75</v>
      </c>
      <c r="AK8154">
        <v>0</v>
      </c>
      <c r="AL8154" t="s">
        <v>53</v>
      </c>
      <c r="AM8154" t="s">
        <v>53</v>
      </c>
      <c r="AN8154" t="s">
        <v>15331</v>
      </c>
      <c r="AO8154" t="s">
        <v>53</v>
      </c>
      <c r="AP8154" t="s">
        <v>53</v>
      </c>
    </row>
    <row r="8155" spans="2:42" x14ac:dyDescent="0.2">
      <c r="B8155" t="s">
        <v>44</v>
      </c>
      <c r="C8155" t="str">
        <f>HYPERLINK("https://us2.cloudbeds.com/connect/8493803454333002#/reservations/9080486848298389?display=4JRUZNFZVR&amp;reservation_id=9080486848298389", "4JRUZNFZVR")</f>
        <v>4JRUZNFZVR</v>
      </c>
      <c r="D8155" t="s">
        <v>45</v>
      </c>
      <c r="E8155" t="s">
        <v>305</v>
      </c>
      <c r="F8155" t="s">
        <v>61</v>
      </c>
      <c r="G8155" t="s">
        <v>48</v>
      </c>
      <c r="H8155" t="s">
        <v>49</v>
      </c>
      <c r="I8155" t="s">
        <v>50</v>
      </c>
      <c r="J8155" t="s">
        <v>14502</v>
      </c>
      <c r="K8155" t="s">
        <v>13476</v>
      </c>
      <c r="L8155" t="s">
        <v>53</v>
      </c>
      <c r="N8155" t="s">
        <v>15332</v>
      </c>
      <c r="P8155" t="s">
        <v>55</v>
      </c>
      <c r="R8155" t="s">
        <v>53</v>
      </c>
      <c r="T8155" t="s">
        <v>15333</v>
      </c>
      <c r="U8155" t="s">
        <v>55</v>
      </c>
      <c r="V8155">
        <v>2</v>
      </c>
      <c r="W8155">
        <v>1</v>
      </c>
      <c r="X8155">
        <v>2</v>
      </c>
      <c r="Y8155">
        <v>0</v>
      </c>
      <c r="Z8155">
        <v>2</v>
      </c>
      <c r="AA8155">
        <v>115.28</v>
      </c>
      <c r="AB8155">
        <v>115.28</v>
      </c>
      <c r="AC8155">
        <v>106</v>
      </c>
      <c r="AD8155">
        <v>0</v>
      </c>
      <c r="AE8155">
        <v>9.2799999999999994</v>
      </c>
      <c r="AF8155">
        <v>0</v>
      </c>
      <c r="AG8155">
        <v>0</v>
      </c>
      <c r="AH8155">
        <v>0</v>
      </c>
      <c r="AI8155">
        <v>20.75</v>
      </c>
      <c r="AJ8155">
        <v>115.28</v>
      </c>
      <c r="AK8155">
        <v>0</v>
      </c>
      <c r="AL8155" t="s">
        <v>53</v>
      </c>
      <c r="AM8155" t="s">
        <v>53</v>
      </c>
      <c r="AN8155" t="s">
        <v>53</v>
      </c>
      <c r="AO8155" t="s">
        <v>53</v>
      </c>
      <c r="AP8155" t="s">
        <v>53</v>
      </c>
    </row>
    <row r="8156" spans="2:42" x14ac:dyDescent="0.2">
      <c r="B8156" t="s">
        <v>44</v>
      </c>
      <c r="C8156" t="str">
        <f>HYPERLINK("https://us2.cloudbeds.com/connect/8493803454333002#/reservations/9080486848300227?display=4JTDBWGU6W&amp;reservation_id=9080486848300227", "4JTDBWGU6W")</f>
        <v>4JTDBWGU6W</v>
      </c>
      <c r="D8156" t="s">
        <v>45</v>
      </c>
      <c r="E8156" t="s">
        <v>113</v>
      </c>
      <c r="F8156" t="s">
        <v>61</v>
      </c>
      <c r="G8156" t="s">
        <v>48</v>
      </c>
      <c r="H8156" t="s">
        <v>49</v>
      </c>
      <c r="I8156" t="s">
        <v>50</v>
      </c>
      <c r="J8156" t="s">
        <v>14627</v>
      </c>
      <c r="K8156" t="s">
        <v>9762</v>
      </c>
      <c r="L8156" t="s">
        <v>53</v>
      </c>
      <c r="N8156" t="s">
        <v>15334</v>
      </c>
      <c r="P8156" t="s">
        <v>55</v>
      </c>
      <c r="R8156" t="s">
        <v>53</v>
      </c>
      <c r="T8156" t="s">
        <v>15335</v>
      </c>
      <c r="U8156" t="s">
        <v>55</v>
      </c>
      <c r="V8156">
        <v>2</v>
      </c>
      <c r="W8156">
        <v>1</v>
      </c>
      <c r="X8156">
        <v>2</v>
      </c>
      <c r="Y8156">
        <v>0</v>
      </c>
      <c r="Z8156">
        <v>2</v>
      </c>
      <c r="AA8156">
        <v>113.56</v>
      </c>
      <c r="AB8156">
        <v>113.56</v>
      </c>
      <c r="AC8156">
        <v>104.42</v>
      </c>
      <c r="AD8156">
        <v>0</v>
      </c>
      <c r="AE8156">
        <v>9.14</v>
      </c>
      <c r="AF8156">
        <v>0</v>
      </c>
      <c r="AG8156">
        <v>0</v>
      </c>
      <c r="AH8156">
        <v>0</v>
      </c>
      <c r="AI8156">
        <v>20.440000000000001</v>
      </c>
      <c r="AJ8156">
        <v>113.56</v>
      </c>
      <c r="AK8156">
        <v>0</v>
      </c>
      <c r="AL8156" t="s">
        <v>53</v>
      </c>
      <c r="AM8156" t="s">
        <v>53</v>
      </c>
      <c r="AN8156" t="s">
        <v>15336</v>
      </c>
      <c r="AO8156" t="s">
        <v>53</v>
      </c>
      <c r="AP8156" t="s">
        <v>53</v>
      </c>
    </row>
    <row r="8157" spans="2:42" x14ac:dyDescent="0.2">
      <c r="B8157" t="s">
        <v>44</v>
      </c>
      <c r="C8157" t="str">
        <f>HYPERLINK("https://us2.cloudbeds.com/connect/8493803454333002#/reservations/9080486848301307?display=4JTSR10G7T&amp;reservation_id=9080486848301307", "4JTSR10G7T")</f>
        <v>4JTSR10G7T</v>
      </c>
      <c r="D8157" t="s">
        <v>10291</v>
      </c>
      <c r="E8157" t="s">
        <v>138</v>
      </c>
      <c r="F8157" t="s">
        <v>70</v>
      </c>
      <c r="G8157" t="s">
        <v>48</v>
      </c>
      <c r="H8157" t="s">
        <v>49</v>
      </c>
      <c r="I8157" t="s">
        <v>50</v>
      </c>
      <c r="J8157" t="s">
        <v>15337</v>
      </c>
      <c r="K8157" t="s">
        <v>15338</v>
      </c>
      <c r="L8157" t="s">
        <v>53</v>
      </c>
      <c r="N8157" t="s">
        <v>15339</v>
      </c>
      <c r="P8157" t="s">
        <v>55</v>
      </c>
      <c r="R8157" t="s">
        <v>53</v>
      </c>
      <c r="T8157" t="s">
        <v>15340</v>
      </c>
      <c r="U8157" t="s">
        <v>55</v>
      </c>
      <c r="V8157">
        <v>2</v>
      </c>
      <c r="W8157">
        <v>1</v>
      </c>
      <c r="X8157">
        <v>2</v>
      </c>
      <c r="Y8157">
        <v>0</v>
      </c>
      <c r="Z8157">
        <v>2</v>
      </c>
      <c r="AA8157">
        <v>208.51</v>
      </c>
      <c r="AB8157">
        <v>0</v>
      </c>
      <c r="AC8157">
        <v>191.73</v>
      </c>
      <c r="AD8157">
        <v>0</v>
      </c>
      <c r="AE8157">
        <v>16.78</v>
      </c>
      <c r="AF8157">
        <v>0</v>
      </c>
      <c r="AG8157">
        <v>0</v>
      </c>
      <c r="AH8157">
        <v>0</v>
      </c>
      <c r="AI8157">
        <v>37.53</v>
      </c>
      <c r="AJ8157">
        <v>208.51</v>
      </c>
      <c r="AK8157">
        <v>208.51</v>
      </c>
      <c r="AL8157" t="s">
        <v>53</v>
      </c>
      <c r="AM8157" t="s">
        <v>53</v>
      </c>
      <c r="AN8157" t="s">
        <v>53</v>
      </c>
      <c r="AO8157" t="s">
        <v>53</v>
      </c>
      <c r="AP8157" t="s">
        <v>53</v>
      </c>
    </row>
    <row r="8158" spans="2:42" x14ac:dyDescent="0.2">
      <c r="B8158" t="s">
        <v>44</v>
      </c>
      <c r="C8158" t="str">
        <f>HYPERLINK("https://us2.cloudbeds.com/connect/8493803454333002#/reservations/9080486848301313?display=4JTSS52UE1&amp;reservation_id=9080486848301313", "4JTSS52UE1")</f>
        <v>4JTSS52UE1</v>
      </c>
      <c r="D8158" t="s">
        <v>10291</v>
      </c>
      <c r="E8158" t="s">
        <v>69</v>
      </c>
      <c r="F8158" t="s">
        <v>70</v>
      </c>
      <c r="G8158" t="s">
        <v>48</v>
      </c>
      <c r="H8158" t="s">
        <v>49</v>
      </c>
      <c r="I8158" t="s">
        <v>50</v>
      </c>
      <c r="J8158" t="s">
        <v>15337</v>
      </c>
      <c r="K8158" t="s">
        <v>15338</v>
      </c>
      <c r="L8158" t="s">
        <v>53</v>
      </c>
      <c r="N8158" t="s">
        <v>15341</v>
      </c>
      <c r="P8158" t="s">
        <v>55</v>
      </c>
      <c r="R8158" t="s">
        <v>53</v>
      </c>
      <c r="T8158" t="s">
        <v>15342</v>
      </c>
      <c r="U8158" t="s">
        <v>55</v>
      </c>
      <c r="V8158">
        <v>2</v>
      </c>
      <c r="W8158">
        <v>1</v>
      </c>
      <c r="X8158">
        <v>2</v>
      </c>
      <c r="Y8158">
        <v>0</v>
      </c>
      <c r="Z8158">
        <v>2</v>
      </c>
      <c r="AA8158">
        <v>208.51</v>
      </c>
      <c r="AB8158">
        <v>0</v>
      </c>
      <c r="AC8158">
        <v>191.73</v>
      </c>
      <c r="AD8158">
        <v>0</v>
      </c>
      <c r="AE8158">
        <v>16.78</v>
      </c>
      <c r="AF8158">
        <v>0</v>
      </c>
      <c r="AG8158">
        <v>0</v>
      </c>
      <c r="AH8158">
        <v>0</v>
      </c>
      <c r="AI8158">
        <v>37.53</v>
      </c>
      <c r="AJ8158">
        <v>208.51</v>
      </c>
      <c r="AK8158">
        <v>208.51</v>
      </c>
      <c r="AL8158" t="s">
        <v>53</v>
      </c>
      <c r="AM8158" t="s">
        <v>53</v>
      </c>
      <c r="AN8158" t="s">
        <v>53</v>
      </c>
      <c r="AO8158" t="s">
        <v>53</v>
      </c>
      <c r="AP8158" t="s">
        <v>53</v>
      </c>
    </row>
    <row r="8159" spans="2:42" x14ac:dyDescent="0.2">
      <c r="B8159" t="s">
        <v>44</v>
      </c>
      <c r="C8159" t="str">
        <f>HYPERLINK("https://us2.cloudbeds.com/connect/8493803454333002#/reservations/9080486848301375?display=4JTUEQCJDQ&amp;reservation_id=9080486848301375", "4JTUEQCJDQ")</f>
        <v>4JTUEQCJDQ</v>
      </c>
      <c r="D8159" t="s">
        <v>45</v>
      </c>
      <c r="E8159" t="s">
        <v>487</v>
      </c>
      <c r="F8159" t="s">
        <v>61</v>
      </c>
      <c r="G8159" t="s">
        <v>48</v>
      </c>
      <c r="H8159" t="s">
        <v>49</v>
      </c>
      <c r="I8159" t="s">
        <v>62</v>
      </c>
      <c r="J8159" t="s">
        <v>14502</v>
      </c>
      <c r="K8159" t="s">
        <v>14762</v>
      </c>
      <c r="L8159" t="s">
        <v>53</v>
      </c>
      <c r="N8159" t="s">
        <v>15343</v>
      </c>
      <c r="P8159" t="s">
        <v>55</v>
      </c>
      <c r="R8159" t="s">
        <v>56</v>
      </c>
      <c r="T8159" t="s">
        <v>15344</v>
      </c>
      <c r="U8159" t="s">
        <v>55</v>
      </c>
      <c r="V8159">
        <v>1</v>
      </c>
      <c r="W8159">
        <v>1</v>
      </c>
      <c r="X8159">
        <v>2</v>
      </c>
      <c r="Y8159">
        <v>0</v>
      </c>
      <c r="Z8159">
        <v>2</v>
      </c>
      <c r="AA8159">
        <v>79.8</v>
      </c>
      <c r="AB8159">
        <v>79.8</v>
      </c>
      <c r="AC8159">
        <v>79.8</v>
      </c>
      <c r="AD8159">
        <v>0</v>
      </c>
      <c r="AE8159">
        <v>0</v>
      </c>
      <c r="AF8159">
        <v>0</v>
      </c>
      <c r="AG8159">
        <v>0</v>
      </c>
      <c r="AH8159">
        <v>0</v>
      </c>
      <c r="AI8159">
        <v>14.36</v>
      </c>
      <c r="AJ8159">
        <v>79.8</v>
      </c>
      <c r="AK8159">
        <v>0</v>
      </c>
      <c r="AL8159" t="s">
        <v>53</v>
      </c>
      <c r="AM8159" t="s">
        <v>53</v>
      </c>
      <c r="AN8159" t="s">
        <v>15345</v>
      </c>
      <c r="AO8159" t="s">
        <v>53</v>
      </c>
      <c r="AP8159" t="s">
        <v>53</v>
      </c>
    </row>
    <row r="8160" spans="2:42" x14ac:dyDescent="0.2">
      <c r="B8160" t="s">
        <v>44</v>
      </c>
      <c r="C8160" t="str">
        <f>HYPERLINK("https://us2.cloudbeds.com/connect/8493803454333002#/reservations/9080486848301540?display=4JU0SD3J57&amp;reservation_id=9080486848301540", "4JU0SD3J57")</f>
        <v>4JU0SD3J57</v>
      </c>
      <c r="D8160" t="s">
        <v>45</v>
      </c>
      <c r="E8160" t="s">
        <v>213</v>
      </c>
      <c r="F8160" t="s">
        <v>86</v>
      </c>
      <c r="G8160" t="s">
        <v>48</v>
      </c>
      <c r="H8160" t="s">
        <v>49</v>
      </c>
      <c r="I8160" t="s">
        <v>8964</v>
      </c>
      <c r="J8160" t="s">
        <v>13680</v>
      </c>
      <c r="K8160" t="s">
        <v>13998</v>
      </c>
      <c r="L8160" t="s">
        <v>53</v>
      </c>
      <c r="N8160" t="s">
        <v>15346</v>
      </c>
      <c r="P8160" t="s">
        <v>55</v>
      </c>
      <c r="R8160" t="s">
        <v>53</v>
      </c>
      <c r="T8160" t="s">
        <v>15347</v>
      </c>
      <c r="U8160" t="s">
        <v>55</v>
      </c>
      <c r="V8160">
        <v>3</v>
      </c>
      <c r="W8160">
        <v>1</v>
      </c>
      <c r="X8160">
        <v>2</v>
      </c>
      <c r="Y8160">
        <v>0</v>
      </c>
      <c r="Z8160">
        <v>2</v>
      </c>
      <c r="AA8160">
        <v>300</v>
      </c>
      <c r="AB8160">
        <v>0</v>
      </c>
      <c r="AC8160">
        <v>300</v>
      </c>
      <c r="AD8160">
        <v>0</v>
      </c>
      <c r="AE8160">
        <v>0</v>
      </c>
      <c r="AF8160">
        <v>0</v>
      </c>
      <c r="AG8160">
        <v>0</v>
      </c>
      <c r="AH8160">
        <v>0</v>
      </c>
      <c r="AI8160">
        <v>45</v>
      </c>
      <c r="AJ8160">
        <v>300</v>
      </c>
      <c r="AK8160">
        <v>300</v>
      </c>
      <c r="AL8160" t="s">
        <v>53</v>
      </c>
      <c r="AM8160" t="s">
        <v>53</v>
      </c>
      <c r="AN8160" t="s">
        <v>15348</v>
      </c>
      <c r="AO8160" t="s">
        <v>53</v>
      </c>
      <c r="AP8160" t="s">
        <v>53</v>
      </c>
    </row>
    <row r="8161" spans="2:42" x14ac:dyDescent="0.2">
      <c r="B8161" t="s">
        <v>44</v>
      </c>
      <c r="C8161" t="str">
        <f>HYPERLINK("https://us2.cloudbeds.com/connect/8493803454333002#/reservations/9080486848301731?display=4JU4CM3E1M&amp;reservation_id=9080486848301731", "4JU4CM3E1M")</f>
        <v>4JU4CM3E1M</v>
      </c>
      <c r="D8161" t="s">
        <v>45</v>
      </c>
      <c r="E8161" t="s">
        <v>138</v>
      </c>
      <c r="F8161" t="s">
        <v>70</v>
      </c>
      <c r="G8161" t="s">
        <v>48</v>
      </c>
      <c r="H8161" t="s">
        <v>49</v>
      </c>
      <c r="I8161" t="s">
        <v>62</v>
      </c>
      <c r="J8161" t="s">
        <v>13384</v>
      </c>
      <c r="K8161" t="s">
        <v>13959</v>
      </c>
      <c r="L8161" t="s">
        <v>53</v>
      </c>
      <c r="N8161" t="s">
        <v>15349</v>
      </c>
      <c r="P8161" t="s">
        <v>55</v>
      </c>
      <c r="R8161" t="s">
        <v>56</v>
      </c>
      <c r="T8161" t="s">
        <v>15350</v>
      </c>
      <c r="U8161" t="s">
        <v>55</v>
      </c>
      <c r="V8161">
        <v>1</v>
      </c>
      <c r="W8161">
        <v>1</v>
      </c>
      <c r="X8161">
        <v>1</v>
      </c>
      <c r="Y8161">
        <v>0</v>
      </c>
      <c r="Z8161">
        <v>1</v>
      </c>
      <c r="AA8161">
        <v>71.400000000000006</v>
      </c>
      <c r="AB8161">
        <v>71.400000000000006</v>
      </c>
      <c r="AC8161">
        <v>71.400000000000006</v>
      </c>
      <c r="AD8161">
        <v>0</v>
      </c>
      <c r="AE8161">
        <v>0</v>
      </c>
      <c r="AF8161">
        <v>0</v>
      </c>
      <c r="AG8161">
        <v>0</v>
      </c>
      <c r="AH8161">
        <v>0</v>
      </c>
      <c r="AI8161">
        <v>12.85</v>
      </c>
      <c r="AJ8161">
        <v>71.400000000000006</v>
      </c>
      <c r="AK8161">
        <v>0</v>
      </c>
      <c r="AL8161" t="s">
        <v>53</v>
      </c>
      <c r="AM8161" t="s">
        <v>53</v>
      </c>
      <c r="AN8161" t="s">
        <v>53</v>
      </c>
      <c r="AO8161" t="s">
        <v>53</v>
      </c>
      <c r="AP8161" t="s">
        <v>53</v>
      </c>
    </row>
    <row r="8162" spans="2:42" x14ac:dyDescent="0.2">
      <c r="B8162" t="s">
        <v>44</v>
      </c>
      <c r="C8162" t="str">
        <f>HYPERLINK("https://us2.cloudbeds.com/connect/8493803454333002#/reservations/9080486848301838?display=4JU64WX9JJ&amp;reservation_id=9080486848301838", "4JU64WX9JJ")</f>
        <v>4JU64WX9JJ</v>
      </c>
      <c r="D8162" t="s">
        <v>45</v>
      </c>
      <c r="E8162" t="s">
        <v>98</v>
      </c>
      <c r="F8162" t="s">
        <v>86</v>
      </c>
      <c r="G8162" t="s">
        <v>48</v>
      </c>
      <c r="H8162" t="s">
        <v>49</v>
      </c>
      <c r="I8162" t="s">
        <v>8964</v>
      </c>
      <c r="J8162" t="s">
        <v>13825</v>
      </c>
      <c r="K8162" t="s">
        <v>13998</v>
      </c>
      <c r="L8162" t="s">
        <v>53</v>
      </c>
      <c r="N8162" t="s">
        <v>15351</v>
      </c>
      <c r="P8162" t="s">
        <v>55</v>
      </c>
      <c r="R8162" t="s">
        <v>53</v>
      </c>
      <c r="T8162" t="s">
        <v>15352</v>
      </c>
      <c r="U8162" t="s">
        <v>55</v>
      </c>
      <c r="V8162">
        <v>1</v>
      </c>
      <c r="W8162">
        <v>1</v>
      </c>
      <c r="X8162">
        <v>3</v>
      </c>
      <c r="Y8162">
        <v>0</v>
      </c>
      <c r="Z8162">
        <v>3</v>
      </c>
      <c r="AA8162">
        <v>0</v>
      </c>
      <c r="AB8162">
        <v>0</v>
      </c>
      <c r="AC8162">
        <v>116</v>
      </c>
      <c r="AD8162">
        <v>0</v>
      </c>
      <c r="AE8162">
        <v>0</v>
      </c>
      <c r="AF8162">
        <v>0</v>
      </c>
      <c r="AG8162">
        <v>0</v>
      </c>
      <c r="AH8162">
        <v>0</v>
      </c>
      <c r="AI8162">
        <v>17.399999999999999</v>
      </c>
      <c r="AJ8162">
        <v>116</v>
      </c>
      <c r="AK8162">
        <v>116</v>
      </c>
      <c r="AL8162" t="s">
        <v>53</v>
      </c>
      <c r="AM8162" t="s">
        <v>53</v>
      </c>
      <c r="AN8162" t="s">
        <v>15353</v>
      </c>
      <c r="AO8162" t="s">
        <v>53</v>
      </c>
      <c r="AP8162" t="s">
        <v>53</v>
      </c>
    </row>
    <row r="8163" spans="2:42" x14ac:dyDescent="0.2">
      <c r="B8163" t="s">
        <v>44</v>
      </c>
      <c r="C8163" t="str">
        <f>HYPERLINK("https://us2.cloudbeds.com/connect/8493803454333002#/reservations/9080486848301857?display=4JU6FRZWFK&amp;reservation_id=9080486848301857", "4JU6FRZWFK")</f>
        <v>4JU6FRZWFK</v>
      </c>
      <c r="D8163" t="s">
        <v>45</v>
      </c>
      <c r="E8163" t="s">
        <v>373</v>
      </c>
      <c r="F8163" t="s">
        <v>47</v>
      </c>
      <c r="G8163" t="s">
        <v>48</v>
      </c>
      <c r="H8163" t="s">
        <v>49</v>
      </c>
      <c r="I8163" t="s">
        <v>50</v>
      </c>
      <c r="J8163" t="s">
        <v>14768</v>
      </c>
      <c r="K8163" t="s">
        <v>15256</v>
      </c>
      <c r="L8163" t="s">
        <v>53</v>
      </c>
      <c r="N8163" t="s">
        <v>15354</v>
      </c>
      <c r="P8163" t="s">
        <v>55</v>
      </c>
      <c r="R8163" t="s">
        <v>53</v>
      </c>
      <c r="T8163" t="s">
        <v>15355</v>
      </c>
      <c r="U8163" t="s">
        <v>55</v>
      </c>
      <c r="V8163">
        <v>1</v>
      </c>
      <c r="W8163">
        <v>1</v>
      </c>
      <c r="X8163">
        <v>2</v>
      </c>
      <c r="Y8163">
        <v>0</v>
      </c>
      <c r="Z8163">
        <v>2</v>
      </c>
      <c r="AA8163">
        <v>51.23</v>
      </c>
      <c r="AB8163">
        <v>51.23</v>
      </c>
      <c r="AC8163">
        <v>47.11</v>
      </c>
      <c r="AD8163">
        <v>0</v>
      </c>
      <c r="AE8163">
        <v>4.12</v>
      </c>
      <c r="AF8163">
        <v>0</v>
      </c>
      <c r="AG8163">
        <v>0</v>
      </c>
      <c r="AH8163">
        <v>0</v>
      </c>
      <c r="AI8163">
        <v>9.2200000000000006</v>
      </c>
      <c r="AJ8163">
        <v>51.23</v>
      </c>
      <c r="AK8163">
        <v>0</v>
      </c>
      <c r="AL8163" t="s">
        <v>53</v>
      </c>
      <c r="AM8163" t="s">
        <v>53</v>
      </c>
      <c r="AN8163" t="s">
        <v>15356</v>
      </c>
      <c r="AO8163" t="s">
        <v>53</v>
      </c>
      <c r="AP8163" t="s">
        <v>53</v>
      </c>
    </row>
    <row r="8164" spans="2:42" x14ac:dyDescent="0.2">
      <c r="B8164" t="s">
        <v>44</v>
      </c>
      <c r="C8164" t="str">
        <f>HYPERLINK("https://us2.cloudbeds.com/connect/8493803454333002#/reservations/9080486848302002?display=4JU9X69CZT&amp;reservation_id=9080486848302002", "4JU9X69CZT")</f>
        <v>4JU9X69CZT</v>
      </c>
      <c r="D8164" t="s">
        <v>45</v>
      </c>
      <c r="E8164" t="s">
        <v>179</v>
      </c>
      <c r="F8164" t="s">
        <v>47</v>
      </c>
      <c r="G8164" t="s">
        <v>48</v>
      </c>
      <c r="H8164" t="s">
        <v>49</v>
      </c>
      <c r="I8164" t="s">
        <v>50</v>
      </c>
      <c r="J8164" t="s">
        <v>14628</v>
      </c>
      <c r="K8164" t="s">
        <v>10598</v>
      </c>
      <c r="L8164" t="s">
        <v>53</v>
      </c>
      <c r="N8164" t="s">
        <v>15357</v>
      </c>
      <c r="P8164" t="s">
        <v>55</v>
      </c>
      <c r="R8164" t="s">
        <v>53</v>
      </c>
      <c r="T8164" t="s">
        <v>15358</v>
      </c>
      <c r="U8164" t="s">
        <v>55</v>
      </c>
      <c r="V8164">
        <v>4</v>
      </c>
      <c r="W8164">
        <v>1</v>
      </c>
      <c r="X8164">
        <v>2</v>
      </c>
      <c r="Y8164">
        <v>0</v>
      </c>
      <c r="Z8164">
        <v>2</v>
      </c>
      <c r="AA8164">
        <v>333.85</v>
      </c>
      <c r="AB8164">
        <v>333.85</v>
      </c>
      <c r="AC8164">
        <v>306.98</v>
      </c>
      <c r="AD8164">
        <v>0</v>
      </c>
      <c r="AE8164">
        <v>26.87</v>
      </c>
      <c r="AF8164">
        <v>0</v>
      </c>
      <c r="AG8164">
        <v>0</v>
      </c>
      <c r="AH8164">
        <v>0</v>
      </c>
      <c r="AI8164">
        <v>60.09</v>
      </c>
      <c r="AJ8164">
        <v>333.85</v>
      </c>
      <c r="AK8164">
        <v>0</v>
      </c>
      <c r="AL8164" t="s">
        <v>53</v>
      </c>
      <c r="AM8164" t="s">
        <v>53</v>
      </c>
      <c r="AN8164" t="s">
        <v>53</v>
      </c>
      <c r="AO8164" t="s">
        <v>53</v>
      </c>
      <c r="AP8164" t="s">
        <v>53</v>
      </c>
    </row>
    <row r="8165" spans="2:42" x14ac:dyDescent="0.2">
      <c r="B8165" t="s">
        <v>44</v>
      </c>
      <c r="C8165" t="str">
        <f>HYPERLINK("https://us2.cloudbeds.com/connect/8493803454333002#/reservations/213660497879169?display=4JUB0V7HUB&amp;reservation_id=213660497879169", "4JUB0V7HUB")</f>
        <v>4JUB0V7HUB</v>
      </c>
      <c r="D8165" t="s">
        <v>45</v>
      </c>
      <c r="E8165" t="s">
        <v>185</v>
      </c>
      <c r="F8165" t="s">
        <v>47</v>
      </c>
      <c r="G8165" t="s">
        <v>48</v>
      </c>
      <c r="H8165" t="s">
        <v>3957</v>
      </c>
      <c r="I8165" t="s">
        <v>3958</v>
      </c>
      <c r="J8165" t="s">
        <v>14113</v>
      </c>
      <c r="K8165" t="s">
        <v>15256</v>
      </c>
      <c r="L8165" t="s">
        <v>53</v>
      </c>
      <c r="P8165" t="s">
        <v>55</v>
      </c>
      <c r="R8165" t="s">
        <v>56</v>
      </c>
      <c r="T8165" t="s">
        <v>15359</v>
      </c>
      <c r="U8165" t="s">
        <v>58</v>
      </c>
      <c r="V8165">
        <v>2</v>
      </c>
      <c r="W8165">
        <v>1</v>
      </c>
      <c r="X8165">
        <v>1</v>
      </c>
      <c r="Y8165">
        <v>0</v>
      </c>
      <c r="Z8165">
        <v>1</v>
      </c>
      <c r="AA8165">
        <v>165.1</v>
      </c>
      <c r="AB8165">
        <v>144</v>
      </c>
      <c r="AC8165">
        <v>122.9</v>
      </c>
      <c r="AD8165">
        <v>0</v>
      </c>
      <c r="AE8165">
        <v>21.1</v>
      </c>
      <c r="AF8165">
        <v>0</v>
      </c>
      <c r="AG8165">
        <v>0</v>
      </c>
      <c r="AH8165">
        <v>0</v>
      </c>
      <c r="AI8165">
        <v>0</v>
      </c>
      <c r="AJ8165">
        <v>144</v>
      </c>
      <c r="AK8165">
        <v>0</v>
      </c>
      <c r="AL8165" t="s">
        <v>53</v>
      </c>
      <c r="AM8165" t="s">
        <v>53</v>
      </c>
      <c r="AN8165" t="s">
        <v>15360</v>
      </c>
      <c r="AO8165" t="s">
        <v>53</v>
      </c>
      <c r="AP8165" t="s">
        <v>53</v>
      </c>
    </row>
    <row r="8166" spans="2:42" x14ac:dyDescent="0.2">
      <c r="B8166" t="s">
        <v>44</v>
      </c>
      <c r="C8166" t="str">
        <f>HYPERLINK("https://us2.cloudbeds.com/connect/8493803454333002#/reservations/9080486848302099?display=4JUBEXGN5K&amp;reservation_id=9080486848302099", "4JUBEXGN5K")</f>
        <v>4JUBEXGN5K</v>
      </c>
      <c r="D8166" t="s">
        <v>45</v>
      </c>
      <c r="E8166" t="s">
        <v>98</v>
      </c>
      <c r="F8166" t="s">
        <v>86</v>
      </c>
      <c r="G8166" t="s">
        <v>48</v>
      </c>
      <c r="H8166" t="s">
        <v>49</v>
      </c>
      <c r="I8166" t="s">
        <v>8964</v>
      </c>
      <c r="J8166" t="s">
        <v>14762</v>
      </c>
      <c r="K8166" t="s">
        <v>13476</v>
      </c>
      <c r="L8166" t="s">
        <v>53</v>
      </c>
      <c r="N8166" t="s">
        <v>15361</v>
      </c>
      <c r="P8166" t="s">
        <v>55</v>
      </c>
      <c r="R8166" t="s">
        <v>53</v>
      </c>
      <c r="T8166" t="s">
        <v>15362</v>
      </c>
      <c r="U8166" t="s">
        <v>55</v>
      </c>
      <c r="V8166">
        <v>1</v>
      </c>
      <c r="W8166">
        <v>1</v>
      </c>
      <c r="X8166">
        <v>2</v>
      </c>
      <c r="Y8166">
        <v>0</v>
      </c>
      <c r="Z8166">
        <v>2</v>
      </c>
      <c r="AA8166">
        <v>0</v>
      </c>
      <c r="AB8166">
        <v>0</v>
      </c>
      <c r="AC8166">
        <v>91</v>
      </c>
      <c r="AD8166">
        <v>0</v>
      </c>
      <c r="AE8166">
        <v>0</v>
      </c>
      <c r="AF8166">
        <v>0</v>
      </c>
      <c r="AG8166">
        <v>0</v>
      </c>
      <c r="AH8166">
        <v>0</v>
      </c>
      <c r="AI8166">
        <v>13.65</v>
      </c>
      <c r="AJ8166">
        <v>91</v>
      </c>
      <c r="AK8166">
        <v>91</v>
      </c>
      <c r="AL8166" t="s">
        <v>53</v>
      </c>
      <c r="AM8166" t="s">
        <v>53</v>
      </c>
      <c r="AN8166" t="s">
        <v>15363</v>
      </c>
      <c r="AO8166" t="s">
        <v>53</v>
      </c>
      <c r="AP8166" t="s">
        <v>53</v>
      </c>
    </row>
    <row r="8167" spans="2:42" x14ac:dyDescent="0.2">
      <c r="B8167" t="s">
        <v>44</v>
      </c>
      <c r="C8167" t="str">
        <f>HYPERLINK("https://us2.cloudbeds.com/connect/8493803454333002#/reservations/213662505529472?display=4JUCJ83MNK&amp;reservation_id=213662505529472", "4JUCJ83MNK")</f>
        <v>4JUCJ83MNK</v>
      </c>
      <c r="D8167" t="s">
        <v>45</v>
      </c>
      <c r="E8167" t="s">
        <v>15364</v>
      </c>
      <c r="F8167" t="s">
        <v>15365</v>
      </c>
      <c r="G8167" t="s">
        <v>15366</v>
      </c>
      <c r="H8167" t="s">
        <v>3957</v>
      </c>
      <c r="I8167" t="s">
        <v>3958</v>
      </c>
      <c r="J8167" t="s">
        <v>14976</v>
      </c>
      <c r="K8167" t="s">
        <v>13870</v>
      </c>
      <c r="L8167" t="s">
        <v>53</v>
      </c>
      <c r="P8167" t="s">
        <v>55</v>
      </c>
      <c r="R8167" t="s">
        <v>56</v>
      </c>
      <c r="T8167" t="s">
        <v>15367</v>
      </c>
      <c r="U8167" t="s">
        <v>58</v>
      </c>
      <c r="V8167">
        <v>22</v>
      </c>
      <c r="W8167">
        <v>11</v>
      </c>
      <c r="X8167">
        <v>11</v>
      </c>
      <c r="Y8167">
        <v>0</v>
      </c>
      <c r="Z8167">
        <v>11</v>
      </c>
      <c r="AA8167">
        <v>4920</v>
      </c>
      <c r="AB8167">
        <v>10806.69</v>
      </c>
      <c r="AC8167">
        <v>4291.2</v>
      </c>
      <c r="AD8167">
        <v>25</v>
      </c>
      <c r="AE8167">
        <v>632.21</v>
      </c>
      <c r="AF8167">
        <v>0</v>
      </c>
      <c r="AG8167">
        <v>0</v>
      </c>
      <c r="AH8167">
        <v>0</v>
      </c>
      <c r="AI8167">
        <v>0</v>
      </c>
      <c r="AJ8167">
        <v>4948.41</v>
      </c>
      <c r="AK8167">
        <v>-5.48</v>
      </c>
      <c r="AL8167" t="s">
        <v>53</v>
      </c>
      <c r="AM8167" t="s">
        <v>53</v>
      </c>
      <c r="AN8167" t="s">
        <v>15368</v>
      </c>
      <c r="AO8167" t="s">
        <v>53</v>
      </c>
      <c r="AP8167" t="s">
        <v>53</v>
      </c>
    </row>
    <row r="8168" spans="2:42" x14ac:dyDescent="0.2">
      <c r="B8168" t="s">
        <v>44</v>
      </c>
      <c r="C8168" t="str">
        <f>HYPERLINK("https://us2.cloudbeds.com/connect/8493803454333002#/reservations/9080486848302556?display=4JUY1Q0G74&amp;reservation_id=9080486848302556", "4JUY1Q0G74")</f>
        <v>4JUY1Q0G74</v>
      </c>
      <c r="D8168" t="s">
        <v>45</v>
      </c>
      <c r="E8168" t="s">
        <v>113</v>
      </c>
      <c r="F8168" t="s">
        <v>61</v>
      </c>
      <c r="G8168" t="s">
        <v>48</v>
      </c>
      <c r="H8168" t="s">
        <v>49</v>
      </c>
      <c r="I8168" t="s">
        <v>62</v>
      </c>
      <c r="J8168" t="s">
        <v>9131</v>
      </c>
      <c r="K8168" t="s">
        <v>15369</v>
      </c>
      <c r="L8168" t="s">
        <v>53</v>
      </c>
      <c r="N8168" t="s">
        <v>15370</v>
      </c>
      <c r="P8168" t="s">
        <v>55</v>
      </c>
      <c r="R8168" t="s">
        <v>56</v>
      </c>
      <c r="T8168" t="s">
        <v>15371</v>
      </c>
      <c r="U8168" t="s">
        <v>55</v>
      </c>
      <c r="V8168">
        <v>2</v>
      </c>
      <c r="W8168">
        <v>1</v>
      </c>
      <c r="X8168">
        <v>2</v>
      </c>
      <c r="Y8168">
        <v>0</v>
      </c>
      <c r="Z8168">
        <v>2</v>
      </c>
      <c r="AA8168">
        <v>151.62</v>
      </c>
      <c r="AB8168">
        <v>151.62</v>
      </c>
      <c r="AC8168">
        <v>151.62</v>
      </c>
      <c r="AD8168">
        <v>0</v>
      </c>
      <c r="AE8168">
        <v>0</v>
      </c>
      <c r="AF8168">
        <v>0</v>
      </c>
      <c r="AG8168">
        <v>0</v>
      </c>
      <c r="AH8168">
        <v>0</v>
      </c>
      <c r="AI8168">
        <v>27.29</v>
      </c>
      <c r="AJ8168">
        <v>151.62</v>
      </c>
      <c r="AK8168">
        <v>0</v>
      </c>
      <c r="AL8168" t="s">
        <v>53</v>
      </c>
      <c r="AM8168" t="s">
        <v>53</v>
      </c>
      <c r="AN8168" t="s">
        <v>15372</v>
      </c>
      <c r="AO8168" t="s">
        <v>53</v>
      </c>
      <c r="AP8168" t="s">
        <v>53</v>
      </c>
    </row>
    <row r="8169" spans="2:42" x14ac:dyDescent="0.2">
      <c r="B8169" t="s">
        <v>44</v>
      </c>
      <c r="C8169" t="str">
        <f>HYPERLINK("https://us2.cloudbeds.com/connect/8493803454333002#/reservations/9080486848302617?display=4JUMDECQTN&amp;reservation_id=9080486848302617", "4JUMDECQTN")</f>
        <v>4JUMDECQTN</v>
      </c>
      <c r="D8169" t="s">
        <v>45</v>
      </c>
      <c r="E8169" t="s">
        <v>105</v>
      </c>
      <c r="F8169" t="s">
        <v>47</v>
      </c>
      <c r="G8169" t="s">
        <v>48</v>
      </c>
      <c r="H8169" t="s">
        <v>49</v>
      </c>
      <c r="I8169" t="s">
        <v>50</v>
      </c>
      <c r="J8169" t="s">
        <v>14627</v>
      </c>
      <c r="K8169" t="s">
        <v>14628</v>
      </c>
      <c r="L8169" t="s">
        <v>53</v>
      </c>
      <c r="N8169" t="s">
        <v>15373</v>
      </c>
      <c r="P8169" t="s">
        <v>55</v>
      </c>
      <c r="R8169" t="s">
        <v>53</v>
      </c>
      <c r="T8169" t="s">
        <v>15374</v>
      </c>
      <c r="U8169" t="s">
        <v>58</v>
      </c>
      <c r="V8169">
        <v>1</v>
      </c>
      <c r="W8169">
        <v>1</v>
      </c>
      <c r="X8169">
        <v>1</v>
      </c>
      <c r="Y8169">
        <v>0</v>
      </c>
      <c r="Z8169">
        <v>1</v>
      </c>
      <c r="AA8169">
        <v>69.34</v>
      </c>
      <c r="AB8169">
        <v>69.34</v>
      </c>
      <c r="AC8169">
        <v>60.48</v>
      </c>
      <c r="AD8169">
        <v>0</v>
      </c>
      <c r="AE8169">
        <v>8.86</v>
      </c>
      <c r="AF8169">
        <v>0</v>
      </c>
      <c r="AG8169">
        <v>0</v>
      </c>
      <c r="AH8169">
        <v>0</v>
      </c>
      <c r="AI8169">
        <v>12.48</v>
      </c>
      <c r="AJ8169">
        <v>69.34</v>
      </c>
      <c r="AK8169">
        <v>0</v>
      </c>
      <c r="AL8169" t="s">
        <v>53</v>
      </c>
      <c r="AM8169" t="s">
        <v>53</v>
      </c>
      <c r="AN8169" t="s">
        <v>15375</v>
      </c>
      <c r="AO8169" t="s">
        <v>53</v>
      </c>
      <c r="AP8169" t="s">
        <v>53</v>
      </c>
    </row>
    <row r="8170" spans="2:42" x14ac:dyDescent="0.2">
      <c r="B8170" t="s">
        <v>44</v>
      </c>
      <c r="C8170" t="str">
        <f>HYPERLINK("https://us2.cloudbeds.com/connect/8493803454333002#/reservations/213675752251520?display=4JUMRZ41Q3&amp;reservation_id=213675752251520", "4JUMRZ41Q3")</f>
        <v>4JUMRZ41Q3</v>
      </c>
      <c r="D8170" t="s">
        <v>45</v>
      </c>
      <c r="E8170" t="s">
        <v>213</v>
      </c>
      <c r="F8170" t="s">
        <v>86</v>
      </c>
      <c r="G8170" t="s">
        <v>3974</v>
      </c>
      <c r="H8170" t="s">
        <v>3957</v>
      </c>
      <c r="I8170" t="s">
        <v>3975</v>
      </c>
      <c r="J8170" t="s">
        <v>14154</v>
      </c>
      <c r="K8170" t="s">
        <v>14976</v>
      </c>
      <c r="L8170" t="s">
        <v>53</v>
      </c>
      <c r="P8170" t="s">
        <v>55</v>
      </c>
      <c r="R8170" t="s">
        <v>56</v>
      </c>
      <c r="T8170" t="s">
        <v>15376</v>
      </c>
      <c r="U8170" t="s">
        <v>58</v>
      </c>
      <c r="V8170">
        <v>1</v>
      </c>
      <c r="W8170">
        <v>1</v>
      </c>
      <c r="X8170">
        <v>2</v>
      </c>
      <c r="Y8170">
        <v>2</v>
      </c>
      <c r="Z8170">
        <v>4</v>
      </c>
      <c r="AA8170">
        <v>189.52</v>
      </c>
      <c r="AB8170">
        <v>189.52</v>
      </c>
      <c r="AC8170">
        <v>165.3</v>
      </c>
      <c r="AD8170">
        <v>0</v>
      </c>
      <c r="AE8170">
        <v>24.22</v>
      </c>
      <c r="AF8170">
        <v>0</v>
      </c>
      <c r="AG8170">
        <v>0</v>
      </c>
      <c r="AH8170">
        <v>0</v>
      </c>
      <c r="AI8170">
        <v>0</v>
      </c>
      <c r="AJ8170">
        <v>189.52</v>
      </c>
      <c r="AK8170">
        <v>0</v>
      </c>
      <c r="AL8170" t="s">
        <v>53</v>
      </c>
      <c r="AM8170" t="s">
        <v>53</v>
      </c>
      <c r="AN8170" t="s">
        <v>15377</v>
      </c>
      <c r="AO8170" t="s">
        <v>53</v>
      </c>
      <c r="AP8170" t="s">
        <v>53</v>
      </c>
    </row>
    <row r="8171" spans="2:42" x14ac:dyDescent="0.2">
      <c r="B8171" t="s">
        <v>44</v>
      </c>
      <c r="C8171" t="str">
        <f>HYPERLINK("https://us2.cloudbeds.com/connect/8493803454333002#/reservations/213676817805504?display=4JUNYVJWA3&amp;reservation_id=213676817805504", "4JUNYVJWA3")</f>
        <v>4JUNYVJWA3</v>
      </c>
      <c r="D8171" t="s">
        <v>45</v>
      </c>
      <c r="E8171" t="s">
        <v>155</v>
      </c>
      <c r="F8171" t="s">
        <v>86</v>
      </c>
      <c r="G8171" t="s">
        <v>3974</v>
      </c>
      <c r="H8171" t="s">
        <v>3957</v>
      </c>
      <c r="I8171" t="s">
        <v>3975</v>
      </c>
      <c r="J8171" t="s">
        <v>14154</v>
      </c>
      <c r="K8171" t="s">
        <v>14976</v>
      </c>
      <c r="L8171" t="s">
        <v>53</v>
      </c>
      <c r="P8171" t="s">
        <v>55</v>
      </c>
      <c r="R8171" t="s">
        <v>56</v>
      </c>
      <c r="T8171" t="s">
        <v>15378</v>
      </c>
      <c r="U8171" t="s">
        <v>58</v>
      </c>
      <c r="V8171">
        <v>1</v>
      </c>
      <c r="W8171">
        <v>1</v>
      </c>
      <c r="X8171">
        <v>3</v>
      </c>
      <c r="Y8171">
        <v>0</v>
      </c>
      <c r="Z8171">
        <v>3</v>
      </c>
      <c r="AA8171">
        <v>189.52</v>
      </c>
      <c r="AB8171">
        <v>189.52</v>
      </c>
      <c r="AC8171">
        <v>165.3</v>
      </c>
      <c r="AD8171">
        <v>0</v>
      </c>
      <c r="AE8171">
        <v>24.22</v>
      </c>
      <c r="AF8171">
        <v>0</v>
      </c>
      <c r="AG8171">
        <v>0</v>
      </c>
      <c r="AH8171">
        <v>0</v>
      </c>
      <c r="AI8171">
        <v>0</v>
      </c>
      <c r="AJ8171">
        <v>189.52</v>
      </c>
      <c r="AK8171">
        <v>0</v>
      </c>
      <c r="AL8171" t="s">
        <v>53</v>
      </c>
      <c r="AM8171" t="s">
        <v>53</v>
      </c>
      <c r="AN8171" t="s">
        <v>15379</v>
      </c>
      <c r="AO8171" t="s">
        <v>53</v>
      </c>
      <c r="AP8171" t="s">
        <v>53</v>
      </c>
    </row>
    <row r="8172" spans="2:42" x14ac:dyDescent="0.2">
      <c r="B8172" t="s">
        <v>44</v>
      </c>
      <c r="C8172" t="str">
        <f>HYPERLINK("https://us2.cloudbeds.com/connect/8493803454333002#/reservations/213707951521920?display=4JVEPGD76P&amp;reservation_id=213707951521920", "4JVEPGD76P")</f>
        <v>4JVEPGD76P</v>
      </c>
      <c r="D8172" t="s">
        <v>45</v>
      </c>
      <c r="E8172" t="s">
        <v>98</v>
      </c>
      <c r="F8172" t="s">
        <v>86</v>
      </c>
      <c r="G8172" t="s">
        <v>48</v>
      </c>
      <c r="H8172" t="s">
        <v>3957</v>
      </c>
      <c r="I8172" t="s">
        <v>3958</v>
      </c>
      <c r="J8172" t="s">
        <v>13476</v>
      </c>
      <c r="K8172" t="s">
        <v>14288</v>
      </c>
      <c r="L8172" t="s">
        <v>53</v>
      </c>
      <c r="P8172" t="s">
        <v>55</v>
      </c>
      <c r="R8172" t="s">
        <v>56</v>
      </c>
      <c r="T8172" t="s">
        <v>15380</v>
      </c>
      <c r="U8172" t="s">
        <v>58</v>
      </c>
      <c r="V8172">
        <v>2</v>
      </c>
      <c r="W8172">
        <v>1</v>
      </c>
      <c r="X8172">
        <v>1</v>
      </c>
      <c r="Y8172">
        <v>0</v>
      </c>
      <c r="Z8172">
        <v>1</v>
      </c>
      <c r="AA8172">
        <v>238.48</v>
      </c>
      <c r="AB8172">
        <v>238.48</v>
      </c>
      <c r="AC8172">
        <v>208</v>
      </c>
      <c r="AD8172">
        <v>0</v>
      </c>
      <c r="AE8172">
        <v>30.48</v>
      </c>
      <c r="AF8172">
        <v>0</v>
      </c>
      <c r="AG8172">
        <v>0</v>
      </c>
      <c r="AH8172">
        <v>0</v>
      </c>
      <c r="AI8172">
        <v>0</v>
      </c>
      <c r="AJ8172">
        <v>238.48</v>
      </c>
      <c r="AK8172">
        <v>0</v>
      </c>
      <c r="AL8172" t="s">
        <v>53</v>
      </c>
      <c r="AM8172" t="s">
        <v>53</v>
      </c>
      <c r="AN8172" t="s">
        <v>15381</v>
      </c>
      <c r="AO8172" t="s">
        <v>53</v>
      </c>
      <c r="AP8172" t="s">
        <v>53</v>
      </c>
    </row>
    <row r="8173" spans="2:42" x14ac:dyDescent="0.2">
      <c r="B8173" t="s">
        <v>44</v>
      </c>
      <c r="C8173" t="str">
        <f>HYPERLINK("https://us2.cloudbeds.com/connect/8493803454333002#/reservations/9080486848304963?display=4JVS476NKX&amp;reservation_id=9080486848304963", "4JVS476NKX")</f>
        <v>4JVS476NKX</v>
      </c>
      <c r="D8173" t="s">
        <v>45</v>
      </c>
      <c r="E8173" t="s">
        <v>185</v>
      </c>
      <c r="F8173" t="s">
        <v>47</v>
      </c>
      <c r="G8173" t="s">
        <v>48</v>
      </c>
      <c r="H8173" t="s">
        <v>49</v>
      </c>
      <c r="I8173" t="s">
        <v>50</v>
      </c>
      <c r="J8173" t="s">
        <v>9762</v>
      </c>
      <c r="K8173" t="s">
        <v>10598</v>
      </c>
      <c r="L8173" t="s">
        <v>53</v>
      </c>
      <c r="N8173" t="s">
        <v>15382</v>
      </c>
      <c r="P8173" t="s">
        <v>55</v>
      </c>
      <c r="R8173" t="s">
        <v>53</v>
      </c>
      <c r="T8173" t="s">
        <v>15383</v>
      </c>
      <c r="U8173" t="s">
        <v>55</v>
      </c>
      <c r="V8173">
        <v>3</v>
      </c>
      <c r="W8173">
        <v>1</v>
      </c>
      <c r="X8173">
        <v>2</v>
      </c>
      <c r="Y8173">
        <v>0</v>
      </c>
      <c r="Z8173">
        <v>2</v>
      </c>
      <c r="AA8173">
        <v>274.60000000000002</v>
      </c>
      <c r="AB8173">
        <v>274.60000000000002</v>
      </c>
      <c r="AC8173">
        <v>252.51</v>
      </c>
      <c r="AD8173">
        <v>0</v>
      </c>
      <c r="AE8173">
        <v>22.09</v>
      </c>
      <c r="AF8173">
        <v>0</v>
      </c>
      <c r="AG8173">
        <v>0</v>
      </c>
      <c r="AH8173">
        <v>0</v>
      </c>
      <c r="AI8173">
        <v>49.43</v>
      </c>
      <c r="AJ8173">
        <v>274.60000000000002</v>
      </c>
      <c r="AK8173">
        <v>0</v>
      </c>
      <c r="AL8173" t="s">
        <v>53</v>
      </c>
      <c r="AM8173" t="s">
        <v>53</v>
      </c>
      <c r="AN8173" t="s">
        <v>15384</v>
      </c>
      <c r="AO8173" t="s">
        <v>53</v>
      </c>
      <c r="AP8173" t="s">
        <v>53</v>
      </c>
    </row>
    <row r="8174" spans="2:42" x14ac:dyDescent="0.2">
      <c r="B8174" t="s">
        <v>44</v>
      </c>
      <c r="C8174" t="str">
        <f>HYPERLINK("https://us2.cloudbeds.com/connect/8493803454333002#/reservations/9080486848305710?display=4JWASB978W&amp;reservation_id=9080486848305710", "4JWASB978W")</f>
        <v>4JWASB978W</v>
      </c>
      <c r="D8174" t="s">
        <v>45</v>
      </c>
      <c r="E8174" t="s">
        <v>165</v>
      </c>
      <c r="F8174" t="s">
        <v>61</v>
      </c>
      <c r="G8174" t="s">
        <v>48</v>
      </c>
      <c r="H8174" t="s">
        <v>49</v>
      </c>
      <c r="I8174" t="s">
        <v>50</v>
      </c>
      <c r="J8174" t="s">
        <v>13960</v>
      </c>
      <c r="K8174" t="s">
        <v>14160</v>
      </c>
      <c r="L8174" t="s">
        <v>53</v>
      </c>
      <c r="N8174" t="s">
        <v>15385</v>
      </c>
      <c r="P8174" t="s">
        <v>55</v>
      </c>
      <c r="R8174" t="s">
        <v>53</v>
      </c>
      <c r="T8174" t="s">
        <v>15386</v>
      </c>
      <c r="U8174" t="s">
        <v>55</v>
      </c>
      <c r="V8174">
        <v>1</v>
      </c>
      <c r="W8174">
        <v>1</v>
      </c>
      <c r="X8174">
        <v>2</v>
      </c>
      <c r="Y8174">
        <v>0</v>
      </c>
      <c r="Z8174">
        <v>2</v>
      </c>
      <c r="AA8174">
        <v>64.42</v>
      </c>
      <c r="AB8174">
        <v>64.42</v>
      </c>
      <c r="AC8174">
        <v>59.24</v>
      </c>
      <c r="AD8174">
        <v>0</v>
      </c>
      <c r="AE8174">
        <v>5.18</v>
      </c>
      <c r="AF8174">
        <v>0</v>
      </c>
      <c r="AG8174">
        <v>0</v>
      </c>
      <c r="AH8174">
        <v>0</v>
      </c>
      <c r="AI8174">
        <v>11.6</v>
      </c>
      <c r="AJ8174">
        <v>64.42</v>
      </c>
      <c r="AK8174">
        <v>0</v>
      </c>
      <c r="AL8174" t="s">
        <v>53</v>
      </c>
      <c r="AM8174" t="s">
        <v>53</v>
      </c>
      <c r="AN8174" t="s">
        <v>15387</v>
      </c>
      <c r="AO8174" t="s">
        <v>53</v>
      </c>
      <c r="AP8174" t="s">
        <v>53</v>
      </c>
    </row>
    <row r="8175" spans="2:42" x14ac:dyDescent="0.2">
      <c r="B8175" t="s">
        <v>44</v>
      </c>
      <c r="C8175" t="str">
        <f>HYPERLINK("https://us2.cloudbeds.com/connect/8493803454333002#/reservations/9080486848306801?display=4K05PDWRMC&amp;reservation_id=9080486848306801", "4K05PDWRMC")</f>
        <v>4K05PDWRMC</v>
      </c>
      <c r="D8175" t="s">
        <v>45</v>
      </c>
      <c r="E8175" t="s">
        <v>406</v>
      </c>
      <c r="F8175" t="s">
        <v>61</v>
      </c>
      <c r="G8175" t="s">
        <v>48</v>
      </c>
      <c r="H8175" t="s">
        <v>49</v>
      </c>
      <c r="I8175" t="s">
        <v>50</v>
      </c>
      <c r="J8175" t="s">
        <v>13085</v>
      </c>
      <c r="K8175" t="s">
        <v>11627</v>
      </c>
      <c r="L8175" t="s">
        <v>53</v>
      </c>
      <c r="N8175" t="s">
        <v>15388</v>
      </c>
      <c r="P8175" t="s">
        <v>55</v>
      </c>
      <c r="R8175" t="s">
        <v>53</v>
      </c>
      <c r="T8175" t="s">
        <v>15389</v>
      </c>
      <c r="U8175" t="s">
        <v>58</v>
      </c>
      <c r="V8175">
        <v>1</v>
      </c>
      <c r="W8175">
        <v>1</v>
      </c>
      <c r="X8175">
        <v>2</v>
      </c>
      <c r="Y8175">
        <v>0</v>
      </c>
      <c r="Z8175">
        <v>2</v>
      </c>
      <c r="AA8175">
        <v>157.07</v>
      </c>
      <c r="AB8175">
        <v>157.07</v>
      </c>
      <c r="AC8175">
        <v>137</v>
      </c>
      <c r="AD8175">
        <v>0</v>
      </c>
      <c r="AE8175">
        <v>20.07</v>
      </c>
      <c r="AF8175">
        <v>0</v>
      </c>
      <c r="AG8175">
        <v>0</v>
      </c>
      <c r="AH8175">
        <v>0</v>
      </c>
      <c r="AI8175">
        <v>28.27</v>
      </c>
      <c r="AJ8175">
        <v>157.07</v>
      </c>
      <c r="AK8175">
        <v>0</v>
      </c>
      <c r="AL8175" t="s">
        <v>53</v>
      </c>
      <c r="AM8175" t="s">
        <v>53</v>
      </c>
      <c r="AN8175" t="s">
        <v>15390</v>
      </c>
      <c r="AO8175" t="s">
        <v>53</v>
      </c>
      <c r="AP8175" t="s">
        <v>53</v>
      </c>
    </row>
    <row r="8176" spans="2:42" x14ac:dyDescent="0.2">
      <c r="B8176" t="s">
        <v>44</v>
      </c>
      <c r="C8176" t="str">
        <f>HYPERLINK("https://us2.cloudbeds.com/connect/8493803454333002#/reservations/213805837766848?display=4K0ZXNYR0N&amp;reservation_id=213805837766848", "4K0ZXNYR0N")</f>
        <v>4K0ZXNYR0N</v>
      </c>
      <c r="D8176" t="s">
        <v>45</v>
      </c>
      <c r="E8176" t="s">
        <v>92</v>
      </c>
      <c r="F8176" t="s">
        <v>86</v>
      </c>
      <c r="G8176" t="s">
        <v>48</v>
      </c>
      <c r="H8176" t="s">
        <v>3957</v>
      </c>
      <c r="I8176" t="s">
        <v>3975</v>
      </c>
      <c r="J8176" t="s">
        <v>12822</v>
      </c>
      <c r="K8176" t="s">
        <v>15391</v>
      </c>
      <c r="L8176" t="s">
        <v>53</v>
      </c>
      <c r="P8176" t="s">
        <v>55</v>
      </c>
      <c r="R8176" t="s">
        <v>56</v>
      </c>
      <c r="T8176" t="s">
        <v>15392</v>
      </c>
      <c r="U8176" t="s">
        <v>58</v>
      </c>
      <c r="V8176">
        <v>2</v>
      </c>
      <c r="W8176">
        <v>1</v>
      </c>
      <c r="X8176">
        <v>2</v>
      </c>
      <c r="Y8176">
        <v>0</v>
      </c>
      <c r="Z8176">
        <v>2</v>
      </c>
      <c r="AA8176">
        <v>0</v>
      </c>
      <c r="AB8176">
        <v>322.17</v>
      </c>
      <c r="AC8176">
        <v>281</v>
      </c>
      <c r="AD8176">
        <v>0</v>
      </c>
      <c r="AE8176">
        <v>41.17</v>
      </c>
      <c r="AF8176">
        <v>0</v>
      </c>
      <c r="AG8176">
        <v>0</v>
      </c>
      <c r="AH8176">
        <v>0</v>
      </c>
      <c r="AI8176">
        <v>0</v>
      </c>
      <c r="AJ8176">
        <v>322.17</v>
      </c>
      <c r="AK8176">
        <v>0</v>
      </c>
      <c r="AL8176" t="s">
        <v>53</v>
      </c>
      <c r="AM8176" t="s">
        <v>53</v>
      </c>
      <c r="AN8176" t="s">
        <v>53</v>
      </c>
      <c r="AO8176" t="s">
        <v>53</v>
      </c>
      <c r="AP8176" t="s">
        <v>53</v>
      </c>
    </row>
    <row r="8177" spans="2:42" x14ac:dyDescent="0.2">
      <c r="B8177" t="s">
        <v>44</v>
      </c>
      <c r="C8177" t="str">
        <f>HYPERLINK("https://us2.cloudbeds.com/connect/8493803454333002#/reservations/9080486848307552?display=4K0RQ8CKDU&amp;reservation_id=9080486848307552", "4K0RQ8CKDU")</f>
        <v>4K0RQ8CKDU</v>
      </c>
      <c r="D8177" t="s">
        <v>45</v>
      </c>
      <c r="E8177" t="s">
        <v>69</v>
      </c>
      <c r="F8177" t="s">
        <v>70</v>
      </c>
      <c r="G8177" t="s">
        <v>48</v>
      </c>
      <c r="H8177" t="s">
        <v>49</v>
      </c>
      <c r="I8177" t="s">
        <v>50</v>
      </c>
      <c r="J8177" t="s">
        <v>14762</v>
      </c>
      <c r="K8177" t="s">
        <v>13362</v>
      </c>
      <c r="L8177" t="s">
        <v>53</v>
      </c>
      <c r="N8177" t="s">
        <v>15393</v>
      </c>
      <c r="P8177" t="s">
        <v>55</v>
      </c>
      <c r="R8177" t="s">
        <v>53</v>
      </c>
      <c r="T8177" t="s">
        <v>15394</v>
      </c>
      <c r="U8177" t="s">
        <v>55</v>
      </c>
      <c r="V8177">
        <v>2</v>
      </c>
      <c r="W8177">
        <v>1</v>
      </c>
      <c r="X8177">
        <v>2</v>
      </c>
      <c r="Y8177">
        <v>0</v>
      </c>
      <c r="Z8177">
        <v>2</v>
      </c>
      <c r="AA8177">
        <v>121.78</v>
      </c>
      <c r="AB8177">
        <v>121.78</v>
      </c>
      <c r="AC8177">
        <v>111.98</v>
      </c>
      <c r="AD8177">
        <v>0</v>
      </c>
      <c r="AE8177">
        <v>9.8000000000000007</v>
      </c>
      <c r="AF8177">
        <v>0</v>
      </c>
      <c r="AG8177">
        <v>0</v>
      </c>
      <c r="AH8177">
        <v>0</v>
      </c>
      <c r="AI8177">
        <v>21.92</v>
      </c>
      <c r="AJ8177">
        <v>121.78</v>
      </c>
      <c r="AK8177">
        <v>0</v>
      </c>
      <c r="AL8177" t="s">
        <v>53</v>
      </c>
      <c r="AM8177" t="s">
        <v>53</v>
      </c>
      <c r="AN8177" t="s">
        <v>15395</v>
      </c>
      <c r="AO8177" t="s">
        <v>53</v>
      </c>
      <c r="AP8177" t="s">
        <v>53</v>
      </c>
    </row>
    <row r="8178" spans="2:42" x14ac:dyDescent="0.2">
      <c r="B8178" t="s">
        <v>44</v>
      </c>
      <c r="C8178" t="str">
        <f>HYPERLINK("https://us2.cloudbeds.com/connect/8493803454333002#/reservations/9080486848308132?display=4K1CNW2WYD&amp;reservation_id=9080486848308132", "4K1CNW2WYD")</f>
        <v>4K1CNW2WYD</v>
      </c>
      <c r="D8178" t="s">
        <v>45</v>
      </c>
      <c r="E8178" t="s">
        <v>265</v>
      </c>
      <c r="F8178" t="s">
        <v>61</v>
      </c>
      <c r="G8178" t="s">
        <v>48</v>
      </c>
      <c r="H8178" t="s">
        <v>49</v>
      </c>
      <c r="I8178" t="s">
        <v>50</v>
      </c>
      <c r="J8178" t="s">
        <v>14762</v>
      </c>
      <c r="K8178" t="s">
        <v>13476</v>
      </c>
      <c r="L8178" t="s">
        <v>53</v>
      </c>
      <c r="N8178" t="s">
        <v>15396</v>
      </c>
      <c r="P8178" t="s">
        <v>55</v>
      </c>
      <c r="R8178" t="s">
        <v>53</v>
      </c>
      <c r="T8178" t="s">
        <v>15397</v>
      </c>
      <c r="U8178" t="s">
        <v>55</v>
      </c>
      <c r="V8178">
        <v>1</v>
      </c>
      <c r="W8178">
        <v>1</v>
      </c>
      <c r="X8178">
        <v>2</v>
      </c>
      <c r="Y8178">
        <v>0</v>
      </c>
      <c r="Z8178">
        <v>2</v>
      </c>
      <c r="AA8178">
        <v>75.61</v>
      </c>
      <c r="AB8178">
        <v>75.61</v>
      </c>
      <c r="AC8178">
        <v>69.53</v>
      </c>
      <c r="AD8178">
        <v>0</v>
      </c>
      <c r="AE8178">
        <v>6.08</v>
      </c>
      <c r="AF8178">
        <v>0</v>
      </c>
      <c r="AG8178">
        <v>0</v>
      </c>
      <c r="AH8178">
        <v>0</v>
      </c>
      <c r="AI8178">
        <v>13.61</v>
      </c>
      <c r="AJ8178">
        <v>75.61</v>
      </c>
      <c r="AK8178">
        <v>0</v>
      </c>
      <c r="AL8178" t="s">
        <v>53</v>
      </c>
      <c r="AM8178" t="s">
        <v>53</v>
      </c>
      <c r="AN8178" t="s">
        <v>15398</v>
      </c>
      <c r="AO8178" t="s">
        <v>53</v>
      </c>
      <c r="AP8178" t="s">
        <v>53</v>
      </c>
    </row>
    <row r="8179" spans="2:42" x14ac:dyDescent="0.2">
      <c r="B8179" t="s">
        <v>44</v>
      </c>
      <c r="C8179" t="str">
        <f>HYPERLINK("https://us2.cloudbeds.com/connect/8493803454333002#/reservations/213834278486144?display=4K1DJEKSTC&amp;reservation_id=213834278486144", "4K1DJEKSTC")</f>
        <v>4K1DJEKSTC</v>
      </c>
      <c r="D8179" t="s">
        <v>45</v>
      </c>
      <c r="E8179" t="s">
        <v>121</v>
      </c>
      <c r="F8179" t="s">
        <v>86</v>
      </c>
      <c r="G8179" t="s">
        <v>48</v>
      </c>
      <c r="H8179" t="s">
        <v>3957</v>
      </c>
      <c r="I8179" t="s">
        <v>3975</v>
      </c>
      <c r="J8179" t="s">
        <v>14762</v>
      </c>
      <c r="K8179" t="s">
        <v>13476</v>
      </c>
      <c r="L8179" t="s">
        <v>53</v>
      </c>
      <c r="P8179" t="s">
        <v>55</v>
      </c>
      <c r="R8179" t="s">
        <v>56</v>
      </c>
      <c r="T8179" t="s">
        <v>15399</v>
      </c>
      <c r="U8179" t="s">
        <v>58</v>
      </c>
      <c r="V8179">
        <v>1</v>
      </c>
      <c r="W8179">
        <v>1</v>
      </c>
      <c r="X8179">
        <v>4</v>
      </c>
      <c r="Y8179">
        <v>0</v>
      </c>
      <c r="Z8179">
        <v>4</v>
      </c>
      <c r="AA8179">
        <v>126.12</v>
      </c>
      <c r="AB8179">
        <v>126.12</v>
      </c>
      <c r="AC8179">
        <v>110</v>
      </c>
      <c r="AD8179">
        <v>0</v>
      </c>
      <c r="AE8179">
        <v>16.12</v>
      </c>
      <c r="AF8179">
        <v>0</v>
      </c>
      <c r="AG8179">
        <v>0</v>
      </c>
      <c r="AH8179">
        <v>0</v>
      </c>
      <c r="AI8179">
        <v>0</v>
      </c>
      <c r="AJ8179">
        <v>126.12</v>
      </c>
      <c r="AK8179">
        <v>0</v>
      </c>
      <c r="AL8179" t="s">
        <v>53</v>
      </c>
      <c r="AM8179" t="s">
        <v>53</v>
      </c>
      <c r="AN8179" t="s">
        <v>53</v>
      </c>
      <c r="AO8179" t="s">
        <v>53</v>
      </c>
      <c r="AP8179" t="s">
        <v>53</v>
      </c>
    </row>
    <row r="8180" spans="2:42" x14ac:dyDescent="0.2">
      <c r="B8180" t="s">
        <v>44</v>
      </c>
      <c r="C8180" t="str">
        <f>HYPERLINK("https://us2.cloudbeds.com/connect/8493803454333002#/reservations/213996366426304?display=4K5735FZFU&amp;reservation_id=213996366426304", "4K5735FZFU")</f>
        <v>4K5735FZFU</v>
      </c>
      <c r="D8180" t="s">
        <v>45</v>
      </c>
      <c r="E8180" t="s">
        <v>185</v>
      </c>
      <c r="F8180" t="s">
        <v>47</v>
      </c>
      <c r="G8180" t="s">
        <v>4520</v>
      </c>
      <c r="H8180" t="s">
        <v>3957</v>
      </c>
      <c r="I8180" t="s">
        <v>3958</v>
      </c>
      <c r="J8180" t="s">
        <v>13362</v>
      </c>
      <c r="K8180" t="s">
        <v>14759</v>
      </c>
      <c r="L8180" t="s">
        <v>53</v>
      </c>
      <c r="P8180" t="s">
        <v>55</v>
      </c>
      <c r="R8180" t="s">
        <v>56</v>
      </c>
      <c r="T8180" t="s">
        <v>15400</v>
      </c>
      <c r="U8180" t="s">
        <v>58</v>
      </c>
      <c r="V8180">
        <v>2</v>
      </c>
      <c r="W8180">
        <v>1</v>
      </c>
      <c r="X8180">
        <v>1</v>
      </c>
      <c r="Y8180">
        <v>0</v>
      </c>
      <c r="Z8180">
        <v>1</v>
      </c>
      <c r="AA8180">
        <v>165.1</v>
      </c>
      <c r="AB8180">
        <v>174.41</v>
      </c>
      <c r="AC8180">
        <v>144</v>
      </c>
      <c r="AD8180">
        <v>8.5</v>
      </c>
      <c r="AE8180">
        <v>21.91</v>
      </c>
      <c r="AF8180">
        <v>0</v>
      </c>
      <c r="AG8180">
        <v>0</v>
      </c>
      <c r="AH8180">
        <v>0</v>
      </c>
      <c r="AI8180">
        <v>0</v>
      </c>
      <c r="AJ8180">
        <v>174.41</v>
      </c>
      <c r="AK8180">
        <v>0</v>
      </c>
      <c r="AL8180" t="s">
        <v>53</v>
      </c>
      <c r="AM8180" t="s">
        <v>53</v>
      </c>
      <c r="AN8180" t="s">
        <v>53</v>
      </c>
      <c r="AO8180" t="s">
        <v>53</v>
      </c>
      <c r="AP8180" t="s">
        <v>53</v>
      </c>
    </row>
    <row r="8181" spans="2:42" x14ac:dyDescent="0.2">
      <c r="B8181" t="s">
        <v>44</v>
      </c>
      <c r="C8181" t="str">
        <f>HYPERLINK("https://us2.cloudbeds.com/connect/8493803454333002#/reservations/9080486848312036?display=4K57498CAH&amp;reservation_id=9080486848312036", "4K57498CAH")</f>
        <v>4K57498CAH</v>
      </c>
      <c r="D8181" t="s">
        <v>45</v>
      </c>
      <c r="E8181" t="s">
        <v>381</v>
      </c>
      <c r="F8181" t="s">
        <v>47</v>
      </c>
      <c r="G8181" t="s">
        <v>48</v>
      </c>
      <c r="H8181" t="s">
        <v>49</v>
      </c>
      <c r="I8181" t="s">
        <v>50</v>
      </c>
      <c r="J8181" t="s">
        <v>14762</v>
      </c>
      <c r="K8181" t="s">
        <v>13362</v>
      </c>
      <c r="L8181" t="s">
        <v>53</v>
      </c>
      <c r="N8181" t="s">
        <v>15401</v>
      </c>
      <c r="P8181" t="s">
        <v>55</v>
      </c>
      <c r="R8181" t="s">
        <v>53</v>
      </c>
      <c r="T8181" t="s">
        <v>15402</v>
      </c>
      <c r="U8181" t="s">
        <v>55</v>
      </c>
      <c r="V8181">
        <v>2</v>
      </c>
      <c r="W8181">
        <v>1</v>
      </c>
      <c r="X8181">
        <v>2</v>
      </c>
      <c r="Y8181">
        <v>0</v>
      </c>
      <c r="Z8181">
        <v>2</v>
      </c>
      <c r="AA8181">
        <v>134.82</v>
      </c>
      <c r="AB8181">
        <v>137.56</v>
      </c>
      <c r="AC8181">
        <v>123.98</v>
      </c>
      <c r="AD8181">
        <v>2.5</v>
      </c>
      <c r="AE8181">
        <v>11.08</v>
      </c>
      <c r="AF8181">
        <v>0</v>
      </c>
      <c r="AG8181">
        <v>0</v>
      </c>
      <c r="AH8181">
        <v>0</v>
      </c>
      <c r="AI8181">
        <v>24.76</v>
      </c>
      <c r="AJ8181">
        <v>137.56</v>
      </c>
      <c r="AK8181">
        <v>0</v>
      </c>
      <c r="AL8181" t="s">
        <v>53</v>
      </c>
      <c r="AM8181" t="s">
        <v>53</v>
      </c>
      <c r="AN8181" t="s">
        <v>53</v>
      </c>
      <c r="AO8181" t="s">
        <v>53</v>
      </c>
      <c r="AP8181" t="s">
        <v>53</v>
      </c>
    </row>
    <row r="8182" spans="2:42" x14ac:dyDescent="0.2">
      <c r="B8182" t="s">
        <v>44</v>
      </c>
      <c r="C8182" t="str">
        <f>HYPERLINK("https://us2.cloudbeds.com/connect/8493803454333002#/reservations/9080486848312468?display=4K5GMA9J4J&amp;reservation_id=9080486848312468", "4K5GMA9J4J")</f>
        <v>4K5GMA9J4J</v>
      </c>
      <c r="D8182" t="s">
        <v>45</v>
      </c>
      <c r="E8182" t="s">
        <v>46</v>
      </c>
      <c r="F8182" t="s">
        <v>47</v>
      </c>
      <c r="G8182" t="s">
        <v>48</v>
      </c>
      <c r="H8182" t="s">
        <v>49</v>
      </c>
      <c r="I8182" t="s">
        <v>50</v>
      </c>
      <c r="J8182" t="s">
        <v>14762</v>
      </c>
      <c r="K8182" t="s">
        <v>13362</v>
      </c>
      <c r="L8182" t="s">
        <v>53</v>
      </c>
      <c r="N8182" t="s">
        <v>15403</v>
      </c>
      <c r="P8182" t="s">
        <v>55</v>
      </c>
      <c r="R8182" t="s">
        <v>53</v>
      </c>
      <c r="T8182" t="s">
        <v>15404</v>
      </c>
      <c r="U8182" t="s">
        <v>55</v>
      </c>
      <c r="V8182">
        <v>2</v>
      </c>
      <c r="W8182">
        <v>1</v>
      </c>
      <c r="X8182">
        <v>2</v>
      </c>
      <c r="Y8182">
        <v>0</v>
      </c>
      <c r="Z8182">
        <v>2</v>
      </c>
      <c r="AA8182">
        <v>134.82</v>
      </c>
      <c r="AB8182">
        <v>134.82</v>
      </c>
      <c r="AC8182">
        <v>123.98</v>
      </c>
      <c r="AD8182">
        <v>0</v>
      </c>
      <c r="AE8182">
        <v>10.84</v>
      </c>
      <c r="AF8182">
        <v>0</v>
      </c>
      <c r="AG8182">
        <v>0</v>
      </c>
      <c r="AH8182">
        <v>0</v>
      </c>
      <c r="AI8182">
        <v>24.27</v>
      </c>
      <c r="AJ8182">
        <v>134.82</v>
      </c>
      <c r="AK8182">
        <v>0</v>
      </c>
      <c r="AL8182" t="s">
        <v>53</v>
      </c>
      <c r="AM8182" t="s">
        <v>53</v>
      </c>
      <c r="AN8182" t="s">
        <v>53</v>
      </c>
      <c r="AO8182" t="s">
        <v>53</v>
      </c>
      <c r="AP8182" t="s">
        <v>53</v>
      </c>
    </row>
    <row r="8183" spans="2:42" x14ac:dyDescent="0.2">
      <c r="B8183" t="s">
        <v>44</v>
      </c>
      <c r="C8183" t="str">
        <f>HYPERLINK("https://us2.cloudbeds.com/connect/8493803454333002#/reservations/9080486848312753?display=4K5MEP4VW3&amp;reservation_id=9080486848312753", "4K5MEP4VW3")</f>
        <v>4K5MEP4VW3</v>
      </c>
      <c r="D8183" t="s">
        <v>45</v>
      </c>
      <c r="E8183" t="s">
        <v>14402</v>
      </c>
      <c r="F8183" t="s">
        <v>14403</v>
      </c>
      <c r="G8183" t="s">
        <v>48</v>
      </c>
      <c r="H8183" t="s">
        <v>49</v>
      </c>
      <c r="I8183" t="s">
        <v>50</v>
      </c>
      <c r="J8183" t="s">
        <v>14762</v>
      </c>
      <c r="K8183" t="s">
        <v>13476</v>
      </c>
      <c r="L8183" t="s">
        <v>53</v>
      </c>
      <c r="N8183" t="s">
        <v>15405</v>
      </c>
      <c r="P8183" t="s">
        <v>55</v>
      </c>
      <c r="R8183" t="s">
        <v>53</v>
      </c>
      <c r="T8183" t="s">
        <v>15406</v>
      </c>
      <c r="U8183" t="s">
        <v>55</v>
      </c>
      <c r="V8183">
        <v>1</v>
      </c>
      <c r="W8183">
        <v>1</v>
      </c>
      <c r="X8183">
        <v>2</v>
      </c>
      <c r="Y8183">
        <v>0</v>
      </c>
      <c r="Z8183">
        <v>2</v>
      </c>
      <c r="AA8183">
        <v>83.44</v>
      </c>
      <c r="AB8183">
        <v>83.44</v>
      </c>
      <c r="AC8183">
        <v>76.72</v>
      </c>
      <c r="AD8183">
        <v>0</v>
      </c>
      <c r="AE8183">
        <v>6.72</v>
      </c>
      <c r="AF8183">
        <v>0</v>
      </c>
      <c r="AG8183">
        <v>0</v>
      </c>
      <c r="AH8183">
        <v>0</v>
      </c>
      <c r="AI8183">
        <v>15.02</v>
      </c>
      <c r="AJ8183">
        <v>83.44</v>
      </c>
      <c r="AK8183">
        <v>0</v>
      </c>
      <c r="AL8183" t="s">
        <v>53</v>
      </c>
      <c r="AM8183" t="s">
        <v>53</v>
      </c>
      <c r="AN8183" t="s">
        <v>15407</v>
      </c>
      <c r="AO8183" t="s">
        <v>53</v>
      </c>
      <c r="AP8183" t="s">
        <v>53</v>
      </c>
    </row>
    <row r="8184" spans="2:42" x14ac:dyDescent="0.2">
      <c r="B8184" t="s">
        <v>44</v>
      </c>
      <c r="C8184" t="str">
        <f>HYPERLINK("https://us2.cloudbeds.com/connect/8493803454333002#/reservations/9080486848313922?display=4K6FSJNWPK&amp;reservation_id=9080486848313922", "4K6FSJNWPK")</f>
        <v>4K6FSJNWPK</v>
      </c>
      <c r="D8184" t="s">
        <v>45</v>
      </c>
      <c r="E8184" t="s">
        <v>92</v>
      </c>
      <c r="F8184" t="s">
        <v>86</v>
      </c>
      <c r="G8184" t="s">
        <v>48</v>
      </c>
      <c r="H8184" t="s">
        <v>49</v>
      </c>
      <c r="I8184" t="s">
        <v>62</v>
      </c>
      <c r="J8184" t="s">
        <v>14762</v>
      </c>
      <c r="K8184" t="s">
        <v>13362</v>
      </c>
      <c r="L8184" t="s">
        <v>53</v>
      </c>
      <c r="N8184" t="s">
        <v>15408</v>
      </c>
      <c r="P8184" t="s">
        <v>55</v>
      </c>
      <c r="R8184" t="s">
        <v>56</v>
      </c>
      <c r="T8184" t="s">
        <v>15409</v>
      </c>
      <c r="U8184" t="s">
        <v>55</v>
      </c>
      <c r="V8184">
        <v>2</v>
      </c>
      <c r="W8184">
        <v>1</v>
      </c>
      <c r="X8184">
        <v>3</v>
      </c>
      <c r="Y8184">
        <v>0</v>
      </c>
      <c r="Z8184">
        <v>3</v>
      </c>
      <c r="AA8184">
        <v>224.7</v>
      </c>
      <c r="AB8184">
        <v>224.7</v>
      </c>
      <c r="AC8184">
        <v>224.7</v>
      </c>
      <c r="AD8184">
        <v>0</v>
      </c>
      <c r="AE8184">
        <v>0</v>
      </c>
      <c r="AF8184">
        <v>0</v>
      </c>
      <c r="AG8184">
        <v>0</v>
      </c>
      <c r="AH8184">
        <v>0</v>
      </c>
      <c r="AI8184">
        <v>40.450000000000003</v>
      </c>
      <c r="AJ8184">
        <v>224.7</v>
      </c>
      <c r="AK8184">
        <v>0</v>
      </c>
      <c r="AL8184" t="s">
        <v>53</v>
      </c>
      <c r="AM8184" t="s">
        <v>53</v>
      </c>
      <c r="AN8184" t="s">
        <v>53</v>
      </c>
      <c r="AO8184" t="s">
        <v>53</v>
      </c>
      <c r="AP8184" t="s">
        <v>53</v>
      </c>
    </row>
    <row r="8185" spans="2:42" x14ac:dyDescent="0.2">
      <c r="B8185" t="s">
        <v>44</v>
      </c>
      <c r="C8185" t="str">
        <f>HYPERLINK("https://us2.cloudbeds.com/connect/8493803454333002#/reservations/214059247259840?display=4K6MPU8D6Q&amp;reservation_id=214059247259840", "4K6MPU8D6Q")</f>
        <v>4K6MPU8D6Q</v>
      </c>
      <c r="D8185" t="s">
        <v>45</v>
      </c>
      <c r="E8185" t="s">
        <v>113</v>
      </c>
      <c r="F8185" t="s">
        <v>61</v>
      </c>
      <c r="G8185" t="s">
        <v>48</v>
      </c>
      <c r="H8185" t="s">
        <v>3957</v>
      </c>
      <c r="I8185" t="s">
        <v>3975</v>
      </c>
      <c r="J8185" t="s">
        <v>14206</v>
      </c>
      <c r="K8185" t="s">
        <v>13082</v>
      </c>
      <c r="L8185" t="s">
        <v>53</v>
      </c>
      <c r="P8185" t="s">
        <v>55</v>
      </c>
      <c r="R8185" t="s">
        <v>56</v>
      </c>
      <c r="T8185" t="s">
        <v>15410</v>
      </c>
      <c r="U8185" t="s">
        <v>58</v>
      </c>
      <c r="V8185">
        <v>2</v>
      </c>
      <c r="W8185">
        <v>1</v>
      </c>
      <c r="X8185">
        <v>2</v>
      </c>
      <c r="Y8185">
        <v>0</v>
      </c>
      <c r="Z8185">
        <v>2</v>
      </c>
      <c r="AA8185">
        <v>386.37</v>
      </c>
      <c r="AB8185">
        <v>386.37</v>
      </c>
      <c r="AC8185">
        <v>337</v>
      </c>
      <c r="AD8185">
        <v>0</v>
      </c>
      <c r="AE8185">
        <v>49.37</v>
      </c>
      <c r="AF8185">
        <v>0</v>
      </c>
      <c r="AG8185">
        <v>0</v>
      </c>
      <c r="AH8185">
        <v>0</v>
      </c>
      <c r="AI8185">
        <v>0</v>
      </c>
      <c r="AJ8185">
        <v>386.37</v>
      </c>
      <c r="AK8185">
        <v>0</v>
      </c>
      <c r="AL8185" t="s">
        <v>53</v>
      </c>
      <c r="AM8185" t="s">
        <v>53</v>
      </c>
      <c r="AN8185" t="s">
        <v>15411</v>
      </c>
      <c r="AO8185" t="s">
        <v>53</v>
      </c>
      <c r="AP8185" t="s">
        <v>53</v>
      </c>
    </row>
    <row r="8186" spans="2:42" x14ac:dyDescent="0.2">
      <c r="B8186" t="s">
        <v>44</v>
      </c>
      <c r="C8186" t="str">
        <f>HYPERLINK("https://us2.cloudbeds.com/connect/8493803454333002#/reservations/214101820436608?display=4K7MZP34RZ&amp;reservation_id=214101820436608", "4K7MZP34RZ")</f>
        <v>4K7MZP34RZ</v>
      </c>
      <c r="D8186" t="s">
        <v>45</v>
      </c>
      <c r="E8186" t="s">
        <v>92</v>
      </c>
      <c r="F8186" t="s">
        <v>86</v>
      </c>
      <c r="G8186" t="s">
        <v>48</v>
      </c>
      <c r="H8186" t="s">
        <v>3957</v>
      </c>
      <c r="I8186" t="s">
        <v>3958</v>
      </c>
      <c r="J8186" t="s">
        <v>13037</v>
      </c>
      <c r="K8186" t="s">
        <v>14176</v>
      </c>
      <c r="L8186" t="s">
        <v>53</v>
      </c>
      <c r="P8186" t="s">
        <v>55</v>
      </c>
      <c r="R8186" t="s">
        <v>56</v>
      </c>
      <c r="T8186" t="s">
        <v>15412</v>
      </c>
      <c r="U8186" t="s">
        <v>58</v>
      </c>
      <c r="V8186">
        <v>1</v>
      </c>
      <c r="W8186">
        <v>1</v>
      </c>
      <c r="X8186">
        <v>1</v>
      </c>
      <c r="Y8186">
        <v>0</v>
      </c>
      <c r="Z8186">
        <v>1</v>
      </c>
      <c r="AA8186">
        <v>143.32</v>
      </c>
      <c r="AB8186">
        <v>286.64</v>
      </c>
      <c r="AC8186">
        <v>125</v>
      </c>
      <c r="AD8186">
        <v>0</v>
      </c>
      <c r="AE8186">
        <v>18.32</v>
      </c>
      <c r="AF8186">
        <v>0</v>
      </c>
      <c r="AG8186">
        <v>0</v>
      </c>
      <c r="AH8186">
        <v>0</v>
      </c>
      <c r="AI8186">
        <v>0</v>
      </c>
      <c r="AJ8186">
        <v>143.32</v>
      </c>
      <c r="AK8186">
        <v>0</v>
      </c>
      <c r="AL8186" t="s">
        <v>53</v>
      </c>
      <c r="AM8186" t="s">
        <v>53</v>
      </c>
      <c r="AN8186" t="s">
        <v>15413</v>
      </c>
      <c r="AO8186" t="s">
        <v>53</v>
      </c>
      <c r="AP8186" t="s">
        <v>53</v>
      </c>
    </row>
    <row r="8187" spans="2:42" x14ac:dyDescent="0.2">
      <c r="B8187" t="s">
        <v>44</v>
      </c>
      <c r="C8187" t="str">
        <f>HYPERLINK("https://us2.cloudbeds.com/connect/8493803454333002#/reservations/214105387921536?display=4K7PGU9M7K&amp;reservation_id=214105387921536", "4K7PGU9M7K")</f>
        <v>4K7PGU9M7K</v>
      </c>
      <c r="D8187" t="s">
        <v>45</v>
      </c>
      <c r="E8187" t="s">
        <v>113</v>
      </c>
      <c r="F8187" t="s">
        <v>61</v>
      </c>
      <c r="G8187" t="s">
        <v>13757</v>
      </c>
      <c r="H8187" t="s">
        <v>3957</v>
      </c>
      <c r="I8187" t="s">
        <v>3975</v>
      </c>
      <c r="J8187" t="s">
        <v>14189</v>
      </c>
      <c r="K8187" t="s">
        <v>14113</v>
      </c>
      <c r="L8187" t="s">
        <v>53</v>
      </c>
      <c r="P8187" t="s">
        <v>55</v>
      </c>
      <c r="R8187" t="s">
        <v>56</v>
      </c>
      <c r="T8187" t="s">
        <v>15414</v>
      </c>
      <c r="U8187" t="s">
        <v>58</v>
      </c>
      <c r="V8187">
        <v>2</v>
      </c>
      <c r="W8187">
        <v>1</v>
      </c>
      <c r="X8187">
        <v>1</v>
      </c>
      <c r="Y8187">
        <v>0</v>
      </c>
      <c r="Z8187">
        <v>1</v>
      </c>
      <c r="AA8187">
        <v>173.36</v>
      </c>
      <c r="AB8187">
        <v>173.36</v>
      </c>
      <c r="AC8187">
        <v>151.19999999999999</v>
      </c>
      <c r="AD8187">
        <v>0</v>
      </c>
      <c r="AE8187">
        <v>22.16</v>
      </c>
      <c r="AF8187">
        <v>0</v>
      </c>
      <c r="AG8187">
        <v>0</v>
      </c>
      <c r="AH8187">
        <v>0</v>
      </c>
      <c r="AI8187">
        <v>0</v>
      </c>
      <c r="AJ8187">
        <v>173.36</v>
      </c>
      <c r="AK8187">
        <v>0</v>
      </c>
      <c r="AL8187" t="s">
        <v>53</v>
      </c>
      <c r="AM8187" t="s">
        <v>53</v>
      </c>
      <c r="AN8187" t="s">
        <v>15415</v>
      </c>
      <c r="AO8187" t="s">
        <v>53</v>
      </c>
      <c r="AP8187" t="s">
        <v>53</v>
      </c>
    </row>
    <row r="8188" spans="2:42" x14ac:dyDescent="0.2">
      <c r="B8188" t="s">
        <v>44</v>
      </c>
      <c r="C8188" t="str">
        <f>HYPERLINK("https://us2.cloudbeds.com/connect/8493803454333002#/reservations/9080486848315838?display=4K7QHU6PSU&amp;reservation_id=9080486848315838", "4K7QHU6PSU")</f>
        <v>4K7QHU6PSU</v>
      </c>
      <c r="D8188" t="s">
        <v>45</v>
      </c>
      <c r="E8188" t="s">
        <v>138</v>
      </c>
      <c r="F8188" t="s">
        <v>70</v>
      </c>
      <c r="G8188" t="s">
        <v>48</v>
      </c>
      <c r="H8188" t="s">
        <v>49</v>
      </c>
      <c r="I8188" t="s">
        <v>62</v>
      </c>
      <c r="J8188" t="s">
        <v>14206</v>
      </c>
      <c r="K8188" t="s">
        <v>13081</v>
      </c>
      <c r="L8188" t="s">
        <v>53</v>
      </c>
      <c r="N8188" t="s">
        <v>15416</v>
      </c>
      <c r="P8188" t="s">
        <v>55</v>
      </c>
      <c r="R8188" t="s">
        <v>56</v>
      </c>
      <c r="T8188" t="s">
        <v>15417</v>
      </c>
      <c r="U8188" t="s">
        <v>55</v>
      </c>
      <c r="V8188">
        <v>1</v>
      </c>
      <c r="W8188">
        <v>1</v>
      </c>
      <c r="X8188">
        <v>2</v>
      </c>
      <c r="Y8188">
        <v>0</v>
      </c>
      <c r="Z8188">
        <v>2</v>
      </c>
      <c r="AA8188">
        <v>134.66</v>
      </c>
      <c r="AB8188">
        <v>134.66</v>
      </c>
      <c r="AC8188">
        <v>134.66</v>
      </c>
      <c r="AD8188">
        <v>0</v>
      </c>
      <c r="AE8188">
        <v>0</v>
      </c>
      <c r="AF8188">
        <v>0</v>
      </c>
      <c r="AG8188">
        <v>0</v>
      </c>
      <c r="AH8188">
        <v>0</v>
      </c>
      <c r="AI8188">
        <v>24.24</v>
      </c>
      <c r="AJ8188">
        <v>134.66</v>
      </c>
      <c r="AK8188">
        <v>0</v>
      </c>
      <c r="AL8188" t="s">
        <v>53</v>
      </c>
      <c r="AM8188" t="s">
        <v>53</v>
      </c>
      <c r="AN8188" t="s">
        <v>53</v>
      </c>
      <c r="AO8188" t="s">
        <v>53</v>
      </c>
      <c r="AP8188" t="s">
        <v>53</v>
      </c>
    </row>
    <row r="8189" spans="2:42" x14ac:dyDescent="0.2">
      <c r="B8189" t="s">
        <v>44</v>
      </c>
      <c r="C8189" t="str">
        <f>HYPERLINK("https://us2.cloudbeds.com/connect/8493803454333002#/reservations/9080486848315972?display=4K7U1Q7YB1&amp;reservation_id=9080486848315972", "4K7U1Q7YB1")</f>
        <v>4K7U1Q7YB1</v>
      </c>
      <c r="D8189" t="s">
        <v>45</v>
      </c>
      <c r="E8189" t="s">
        <v>110</v>
      </c>
      <c r="F8189" t="s">
        <v>47</v>
      </c>
      <c r="G8189" t="s">
        <v>48</v>
      </c>
      <c r="H8189" t="s">
        <v>49</v>
      </c>
      <c r="I8189" t="s">
        <v>62</v>
      </c>
      <c r="J8189" t="s">
        <v>13082</v>
      </c>
      <c r="K8189" t="s">
        <v>14362</v>
      </c>
      <c r="L8189" t="s">
        <v>53</v>
      </c>
      <c r="N8189" t="s">
        <v>15418</v>
      </c>
      <c r="P8189" t="s">
        <v>55</v>
      </c>
      <c r="R8189" t="s">
        <v>56</v>
      </c>
      <c r="T8189" t="s">
        <v>15419</v>
      </c>
      <c r="U8189" t="s">
        <v>55</v>
      </c>
      <c r="V8189">
        <v>1</v>
      </c>
      <c r="W8189">
        <v>1</v>
      </c>
      <c r="X8189">
        <v>2</v>
      </c>
      <c r="Y8189">
        <v>0</v>
      </c>
      <c r="Z8189">
        <v>2</v>
      </c>
      <c r="AA8189">
        <v>109.72</v>
      </c>
      <c r="AB8189">
        <v>109.72</v>
      </c>
      <c r="AC8189">
        <v>109.72</v>
      </c>
      <c r="AD8189">
        <v>0</v>
      </c>
      <c r="AE8189">
        <v>0</v>
      </c>
      <c r="AF8189">
        <v>0</v>
      </c>
      <c r="AG8189">
        <v>0</v>
      </c>
      <c r="AH8189">
        <v>0</v>
      </c>
      <c r="AI8189">
        <v>19.75</v>
      </c>
      <c r="AJ8189">
        <v>109.72</v>
      </c>
      <c r="AK8189">
        <v>0</v>
      </c>
      <c r="AL8189" t="s">
        <v>53</v>
      </c>
      <c r="AM8189" t="s">
        <v>53</v>
      </c>
      <c r="AN8189" t="s">
        <v>15420</v>
      </c>
      <c r="AO8189" t="s">
        <v>53</v>
      </c>
      <c r="AP8189" t="s">
        <v>53</v>
      </c>
    </row>
    <row r="8190" spans="2:42" x14ac:dyDescent="0.2">
      <c r="B8190" t="s">
        <v>44</v>
      </c>
      <c r="C8190" t="str">
        <f>HYPERLINK("https://us2.cloudbeds.com/connect/8493803454333002#/reservations/9080486848316229?display=4K84Q5WVP5&amp;reservation_id=9080486848316229", "4K84Q5WVP5")</f>
        <v>4K84Q5WVP5</v>
      </c>
      <c r="D8190" t="s">
        <v>45</v>
      </c>
      <c r="E8190" t="s">
        <v>128</v>
      </c>
      <c r="F8190" t="s">
        <v>86</v>
      </c>
      <c r="G8190" t="s">
        <v>48</v>
      </c>
      <c r="H8190" t="s">
        <v>49</v>
      </c>
      <c r="I8190" t="s">
        <v>50</v>
      </c>
      <c r="J8190" t="s">
        <v>14205</v>
      </c>
      <c r="K8190" t="s">
        <v>13081</v>
      </c>
      <c r="L8190" t="s">
        <v>53</v>
      </c>
      <c r="N8190" t="s">
        <v>15421</v>
      </c>
      <c r="P8190" t="s">
        <v>55</v>
      </c>
      <c r="R8190" t="s">
        <v>53</v>
      </c>
      <c r="T8190" t="s">
        <v>15422</v>
      </c>
      <c r="U8190" t="s">
        <v>55</v>
      </c>
      <c r="V8190">
        <v>2</v>
      </c>
      <c r="W8190">
        <v>1</v>
      </c>
      <c r="X8190">
        <v>3</v>
      </c>
      <c r="Y8190">
        <v>0</v>
      </c>
      <c r="Z8190">
        <v>3</v>
      </c>
      <c r="AA8190">
        <v>263.29000000000002</v>
      </c>
      <c r="AB8190">
        <v>263.29000000000002</v>
      </c>
      <c r="AC8190">
        <v>242.1</v>
      </c>
      <c r="AD8190">
        <v>0</v>
      </c>
      <c r="AE8190">
        <v>21.19</v>
      </c>
      <c r="AF8190">
        <v>0</v>
      </c>
      <c r="AG8190">
        <v>0</v>
      </c>
      <c r="AH8190">
        <v>0</v>
      </c>
      <c r="AI8190">
        <v>47.39</v>
      </c>
      <c r="AJ8190">
        <v>263.29000000000002</v>
      </c>
      <c r="AK8190">
        <v>0</v>
      </c>
      <c r="AL8190" t="s">
        <v>53</v>
      </c>
      <c r="AM8190" t="s">
        <v>53</v>
      </c>
      <c r="AN8190" t="s">
        <v>15423</v>
      </c>
      <c r="AO8190" t="s">
        <v>53</v>
      </c>
      <c r="AP8190" t="s">
        <v>53</v>
      </c>
    </row>
    <row r="8191" spans="2:42" x14ac:dyDescent="0.2">
      <c r="B8191" t="s">
        <v>44</v>
      </c>
      <c r="C8191" t="str">
        <f>HYPERLINK("https://us2.cloudbeds.com/connect/8493803454333002#/reservations/9080486848316763?display=4K8KMU4R5K&amp;reservation_id=9080486848316763", "4K8KMU4R5K")</f>
        <v>4K8KMU4R5K</v>
      </c>
      <c r="D8191" t="s">
        <v>45</v>
      </c>
      <c r="E8191" t="s">
        <v>85</v>
      </c>
      <c r="F8191" t="s">
        <v>86</v>
      </c>
      <c r="G8191" t="s">
        <v>48</v>
      </c>
      <c r="H8191" t="s">
        <v>49</v>
      </c>
      <c r="I8191" t="s">
        <v>8964</v>
      </c>
      <c r="J8191" t="s">
        <v>13476</v>
      </c>
      <c r="K8191" t="s">
        <v>13362</v>
      </c>
      <c r="L8191" t="s">
        <v>53</v>
      </c>
      <c r="N8191" t="s">
        <v>15424</v>
      </c>
      <c r="P8191" t="s">
        <v>55</v>
      </c>
      <c r="R8191" t="s">
        <v>53</v>
      </c>
      <c r="T8191" t="s">
        <v>15425</v>
      </c>
      <c r="U8191" t="s">
        <v>55</v>
      </c>
      <c r="V8191">
        <v>1</v>
      </c>
      <c r="W8191">
        <v>1</v>
      </c>
      <c r="X8191">
        <v>2</v>
      </c>
      <c r="Y8191">
        <v>0</v>
      </c>
      <c r="Z8191">
        <v>2</v>
      </c>
      <c r="AA8191">
        <v>0</v>
      </c>
      <c r="AB8191">
        <v>0</v>
      </c>
      <c r="AC8191">
        <v>116</v>
      </c>
      <c r="AD8191">
        <v>0</v>
      </c>
      <c r="AE8191">
        <v>0</v>
      </c>
      <c r="AF8191">
        <v>0</v>
      </c>
      <c r="AG8191">
        <v>0</v>
      </c>
      <c r="AH8191">
        <v>0</v>
      </c>
      <c r="AI8191">
        <v>17.399999999999999</v>
      </c>
      <c r="AJ8191">
        <v>116</v>
      </c>
      <c r="AK8191">
        <v>116</v>
      </c>
      <c r="AL8191" t="s">
        <v>53</v>
      </c>
      <c r="AM8191" t="s">
        <v>53</v>
      </c>
      <c r="AN8191" t="s">
        <v>15426</v>
      </c>
      <c r="AO8191" t="s">
        <v>53</v>
      </c>
      <c r="AP8191" t="s">
        <v>53</v>
      </c>
    </row>
    <row r="8192" spans="2:42" x14ac:dyDescent="0.2">
      <c r="B8192" t="s">
        <v>44</v>
      </c>
      <c r="C8192" t="str">
        <f>HYPERLINK("https://us2.cloudbeds.com/connect/8493803454333002#/reservations/214155369308352?display=4K8V71TSJD&amp;reservation_id=214155369308352", "4K8V71TSJD")</f>
        <v>4K8V71TSJD</v>
      </c>
      <c r="D8192" t="s">
        <v>45</v>
      </c>
      <c r="E8192" t="s">
        <v>305</v>
      </c>
      <c r="F8192" t="s">
        <v>61</v>
      </c>
      <c r="G8192" t="s">
        <v>48</v>
      </c>
      <c r="H8192" t="s">
        <v>3957</v>
      </c>
      <c r="I8192" t="s">
        <v>3958</v>
      </c>
      <c r="J8192" t="s">
        <v>13476</v>
      </c>
      <c r="K8192" t="s">
        <v>13362</v>
      </c>
      <c r="L8192" t="s">
        <v>53</v>
      </c>
      <c r="P8192" t="s">
        <v>55</v>
      </c>
      <c r="R8192" t="s">
        <v>56</v>
      </c>
      <c r="T8192" t="s">
        <v>15427</v>
      </c>
      <c r="U8192" t="s">
        <v>58</v>
      </c>
      <c r="V8192">
        <v>1</v>
      </c>
      <c r="W8192">
        <v>1</v>
      </c>
      <c r="X8192">
        <v>1</v>
      </c>
      <c r="Y8192">
        <v>0</v>
      </c>
      <c r="Z8192">
        <v>1</v>
      </c>
      <c r="AA8192">
        <v>108.93</v>
      </c>
      <c r="AB8192">
        <v>108.93</v>
      </c>
      <c r="AC8192">
        <v>95</v>
      </c>
      <c r="AD8192">
        <v>0</v>
      </c>
      <c r="AE8192">
        <v>13.93</v>
      </c>
      <c r="AF8192">
        <v>0</v>
      </c>
      <c r="AG8192">
        <v>0</v>
      </c>
      <c r="AH8192">
        <v>0</v>
      </c>
      <c r="AI8192">
        <v>0</v>
      </c>
      <c r="AJ8192">
        <v>108.93</v>
      </c>
      <c r="AK8192">
        <v>0</v>
      </c>
      <c r="AL8192" t="s">
        <v>53</v>
      </c>
      <c r="AM8192" t="s">
        <v>53</v>
      </c>
      <c r="AN8192" t="s">
        <v>53</v>
      </c>
      <c r="AO8192" t="s">
        <v>53</v>
      </c>
      <c r="AP8192" t="s">
        <v>53</v>
      </c>
    </row>
    <row r="8193" spans="2:42" x14ac:dyDescent="0.2">
      <c r="B8193" t="s">
        <v>44</v>
      </c>
      <c r="C8193" t="str">
        <f>HYPERLINK("https://us2.cloudbeds.com/connect/8493803454333002#/reservations/214177520767168?display=4K9FC2K6NH&amp;reservation_id=214177520767168", "4K9FC2K6NH")</f>
        <v>4K9FC2K6NH</v>
      </c>
      <c r="D8193" t="s">
        <v>45</v>
      </c>
      <c r="E8193" t="s">
        <v>265</v>
      </c>
      <c r="F8193" t="s">
        <v>61</v>
      </c>
      <c r="G8193" t="s">
        <v>48</v>
      </c>
      <c r="H8193" t="s">
        <v>3957</v>
      </c>
      <c r="I8193" t="s">
        <v>3975</v>
      </c>
      <c r="J8193" t="s">
        <v>13476</v>
      </c>
      <c r="K8193" t="s">
        <v>13362</v>
      </c>
      <c r="L8193" t="s">
        <v>53</v>
      </c>
      <c r="P8193" t="s">
        <v>55</v>
      </c>
      <c r="R8193" t="s">
        <v>56</v>
      </c>
      <c r="T8193" t="s">
        <v>15428</v>
      </c>
      <c r="U8193" t="s">
        <v>58</v>
      </c>
      <c r="V8193">
        <v>1</v>
      </c>
      <c r="W8193">
        <v>1</v>
      </c>
      <c r="X8193">
        <v>1</v>
      </c>
      <c r="Y8193">
        <v>0</v>
      </c>
      <c r="Z8193">
        <v>1</v>
      </c>
      <c r="AA8193">
        <v>108.93</v>
      </c>
      <c r="AB8193">
        <v>108.93</v>
      </c>
      <c r="AC8193">
        <v>95</v>
      </c>
      <c r="AD8193">
        <v>0</v>
      </c>
      <c r="AE8193">
        <v>13.93</v>
      </c>
      <c r="AF8193">
        <v>0</v>
      </c>
      <c r="AG8193">
        <v>0</v>
      </c>
      <c r="AH8193">
        <v>0</v>
      </c>
      <c r="AI8193">
        <v>0</v>
      </c>
      <c r="AJ8193">
        <v>108.93</v>
      </c>
      <c r="AK8193">
        <v>0</v>
      </c>
      <c r="AL8193" t="s">
        <v>53</v>
      </c>
      <c r="AM8193" t="s">
        <v>53</v>
      </c>
      <c r="AN8193" t="s">
        <v>53</v>
      </c>
      <c r="AO8193" t="s">
        <v>53</v>
      </c>
      <c r="AP8193" t="s">
        <v>53</v>
      </c>
    </row>
    <row r="8194" spans="2:42" x14ac:dyDescent="0.2">
      <c r="B8194" t="s">
        <v>44</v>
      </c>
      <c r="C8194" t="str">
        <f>HYPERLINK("https://us2.cloudbeds.com/connect/8493803454333002#/reservations/9080486848317988?display=4K9Q056YHY&amp;reservation_id=9080486848317988", "4K9Q056YHY")</f>
        <v>4K9Q056YHY</v>
      </c>
      <c r="D8194" t="s">
        <v>45</v>
      </c>
      <c r="E8194" t="s">
        <v>213</v>
      </c>
      <c r="F8194" t="s">
        <v>86</v>
      </c>
      <c r="G8194" t="s">
        <v>48</v>
      </c>
      <c r="H8194" t="s">
        <v>49</v>
      </c>
      <c r="I8194" t="s">
        <v>62</v>
      </c>
      <c r="J8194" t="s">
        <v>13476</v>
      </c>
      <c r="K8194" t="s">
        <v>13362</v>
      </c>
      <c r="L8194" t="s">
        <v>53</v>
      </c>
      <c r="N8194" t="s">
        <v>15429</v>
      </c>
      <c r="P8194" t="s">
        <v>55</v>
      </c>
      <c r="R8194" t="s">
        <v>56</v>
      </c>
      <c r="T8194" t="s">
        <v>15430</v>
      </c>
      <c r="U8194" t="s">
        <v>55</v>
      </c>
      <c r="V8194">
        <v>1</v>
      </c>
      <c r="W8194">
        <v>1</v>
      </c>
      <c r="X8194">
        <v>2</v>
      </c>
      <c r="Y8194">
        <v>0</v>
      </c>
      <c r="Z8194">
        <v>2</v>
      </c>
      <c r="AA8194">
        <v>109.2</v>
      </c>
      <c r="AB8194">
        <v>109.2</v>
      </c>
      <c r="AC8194">
        <v>109.2</v>
      </c>
      <c r="AD8194">
        <v>0</v>
      </c>
      <c r="AE8194">
        <v>0</v>
      </c>
      <c r="AF8194">
        <v>0</v>
      </c>
      <c r="AG8194">
        <v>0</v>
      </c>
      <c r="AH8194">
        <v>0</v>
      </c>
      <c r="AI8194">
        <v>19.66</v>
      </c>
      <c r="AJ8194">
        <v>109.2</v>
      </c>
      <c r="AK8194">
        <v>0</v>
      </c>
      <c r="AL8194" t="s">
        <v>53</v>
      </c>
      <c r="AM8194" t="s">
        <v>53</v>
      </c>
      <c r="AN8194" t="s">
        <v>53</v>
      </c>
      <c r="AO8194" t="s">
        <v>53</v>
      </c>
      <c r="AP8194" t="s">
        <v>53</v>
      </c>
    </row>
    <row r="8195" spans="2:42" x14ac:dyDescent="0.2">
      <c r="B8195" t="s">
        <v>44</v>
      </c>
      <c r="C8195" t="str">
        <f>HYPERLINK("https://us2.cloudbeds.com/connect/8493803454333002#/reservations/9080486848320669?display=4KCSURQ391&amp;reservation_id=9080486848320669", "4KCSURQ391")</f>
        <v>4KCSURQ391</v>
      </c>
      <c r="D8195" t="s">
        <v>45</v>
      </c>
      <c r="E8195" t="s">
        <v>121</v>
      </c>
      <c r="F8195" t="s">
        <v>86</v>
      </c>
      <c r="G8195" t="s">
        <v>48</v>
      </c>
      <c r="H8195" t="s">
        <v>49</v>
      </c>
      <c r="I8195" t="s">
        <v>50</v>
      </c>
      <c r="J8195" t="s">
        <v>14153</v>
      </c>
      <c r="K8195" t="s">
        <v>13869</v>
      </c>
      <c r="L8195" t="s">
        <v>53</v>
      </c>
      <c r="N8195" t="s">
        <v>15431</v>
      </c>
      <c r="P8195" t="s">
        <v>55</v>
      </c>
      <c r="R8195" t="s">
        <v>53</v>
      </c>
      <c r="T8195" t="s">
        <v>15432</v>
      </c>
      <c r="U8195" t="s">
        <v>55</v>
      </c>
      <c r="V8195">
        <v>4</v>
      </c>
      <c r="W8195">
        <v>1</v>
      </c>
      <c r="X8195">
        <v>2</v>
      </c>
      <c r="Y8195">
        <v>0</v>
      </c>
      <c r="Z8195">
        <v>2</v>
      </c>
      <c r="AA8195">
        <v>562.53</v>
      </c>
      <c r="AB8195">
        <v>562.53</v>
      </c>
      <c r="AC8195">
        <v>517.27</v>
      </c>
      <c r="AD8195">
        <v>0</v>
      </c>
      <c r="AE8195">
        <v>45.26</v>
      </c>
      <c r="AF8195">
        <v>0</v>
      </c>
      <c r="AG8195">
        <v>0</v>
      </c>
      <c r="AH8195">
        <v>0</v>
      </c>
      <c r="AI8195">
        <v>101.26</v>
      </c>
      <c r="AJ8195">
        <v>562.53</v>
      </c>
      <c r="AK8195">
        <v>0</v>
      </c>
      <c r="AL8195" t="s">
        <v>53</v>
      </c>
      <c r="AM8195" t="s">
        <v>53</v>
      </c>
      <c r="AN8195" t="s">
        <v>15433</v>
      </c>
      <c r="AO8195" t="s">
        <v>53</v>
      </c>
      <c r="AP8195" t="s">
        <v>53</v>
      </c>
    </row>
    <row r="8196" spans="2:42" x14ac:dyDescent="0.2">
      <c r="B8196" t="s">
        <v>44</v>
      </c>
      <c r="C8196" t="str">
        <f>HYPERLINK("https://us2.cloudbeds.com/connect/8493803454333002#/reservations/214332149141632?display=4KD336B34T&amp;reservation_id=214332149141632", "4KD336B34T")</f>
        <v>4KD336B34T</v>
      </c>
      <c r="D8196" t="s">
        <v>45</v>
      </c>
      <c r="E8196" t="s">
        <v>78</v>
      </c>
      <c r="F8196" t="s">
        <v>61</v>
      </c>
      <c r="G8196" t="s">
        <v>48</v>
      </c>
      <c r="H8196" t="s">
        <v>3957</v>
      </c>
      <c r="I8196" t="s">
        <v>3975</v>
      </c>
      <c r="J8196" t="s">
        <v>13898</v>
      </c>
      <c r="K8196" t="s">
        <v>12835</v>
      </c>
      <c r="L8196" t="s">
        <v>53</v>
      </c>
      <c r="P8196" t="s">
        <v>55</v>
      </c>
      <c r="R8196" t="s">
        <v>56</v>
      </c>
      <c r="T8196" t="s">
        <v>15434</v>
      </c>
      <c r="U8196" t="s">
        <v>58</v>
      </c>
      <c r="V8196">
        <v>4</v>
      </c>
      <c r="W8196">
        <v>1</v>
      </c>
      <c r="X8196">
        <v>2</v>
      </c>
      <c r="Y8196">
        <v>0</v>
      </c>
      <c r="Z8196">
        <v>2</v>
      </c>
      <c r="AA8196">
        <v>0</v>
      </c>
      <c r="AB8196">
        <v>514.79999999999995</v>
      </c>
      <c r="AC8196">
        <v>449</v>
      </c>
      <c r="AD8196">
        <v>0</v>
      </c>
      <c r="AE8196">
        <v>65.8</v>
      </c>
      <c r="AF8196">
        <v>0</v>
      </c>
      <c r="AG8196">
        <v>0</v>
      </c>
      <c r="AH8196">
        <v>0</v>
      </c>
      <c r="AI8196">
        <v>0</v>
      </c>
      <c r="AJ8196">
        <v>514.79999999999995</v>
      </c>
      <c r="AK8196">
        <v>0</v>
      </c>
      <c r="AL8196" t="s">
        <v>53</v>
      </c>
      <c r="AM8196" t="s">
        <v>53</v>
      </c>
      <c r="AN8196" t="s">
        <v>15435</v>
      </c>
      <c r="AO8196" t="s">
        <v>53</v>
      </c>
      <c r="AP8196" t="s">
        <v>53</v>
      </c>
    </row>
    <row r="8197" spans="2:42" x14ac:dyDescent="0.2">
      <c r="B8197" t="s">
        <v>44</v>
      </c>
      <c r="C8197" t="str">
        <f>HYPERLINK("https://us2.cloudbeds.com/connect/8493803454333002#/reservations/9080486848322662?display=4KE966G0UN&amp;reservation_id=9080486848322662", "4KE966G0UN")</f>
        <v>4KE966G0UN</v>
      </c>
      <c r="D8197" t="s">
        <v>45</v>
      </c>
      <c r="E8197" t="s">
        <v>121</v>
      </c>
      <c r="F8197" t="s">
        <v>86</v>
      </c>
      <c r="G8197" t="s">
        <v>48</v>
      </c>
      <c r="H8197" t="s">
        <v>49</v>
      </c>
      <c r="I8197" t="s">
        <v>50</v>
      </c>
      <c r="J8197" t="s">
        <v>13476</v>
      </c>
      <c r="K8197" t="s">
        <v>13362</v>
      </c>
      <c r="L8197" t="s">
        <v>53</v>
      </c>
      <c r="N8197" t="s">
        <v>15436</v>
      </c>
      <c r="P8197" t="s">
        <v>55</v>
      </c>
      <c r="R8197" t="s">
        <v>53</v>
      </c>
      <c r="T8197" t="s">
        <v>15437</v>
      </c>
      <c r="U8197" t="s">
        <v>55</v>
      </c>
      <c r="V8197">
        <v>1</v>
      </c>
      <c r="W8197">
        <v>1</v>
      </c>
      <c r="X8197">
        <v>3</v>
      </c>
      <c r="Y8197">
        <v>0</v>
      </c>
      <c r="Z8197">
        <v>3</v>
      </c>
      <c r="AA8197">
        <v>81.790000000000006</v>
      </c>
      <c r="AB8197">
        <v>81.790000000000006</v>
      </c>
      <c r="AC8197">
        <v>75.209999999999994</v>
      </c>
      <c r="AD8197">
        <v>0</v>
      </c>
      <c r="AE8197">
        <v>6.58</v>
      </c>
      <c r="AF8197">
        <v>0</v>
      </c>
      <c r="AG8197">
        <v>0</v>
      </c>
      <c r="AH8197">
        <v>0</v>
      </c>
      <c r="AI8197">
        <v>14.72</v>
      </c>
      <c r="AJ8197">
        <v>81.790000000000006</v>
      </c>
      <c r="AK8197">
        <v>0</v>
      </c>
      <c r="AL8197" t="s">
        <v>53</v>
      </c>
      <c r="AM8197" t="s">
        <v>53</v>
      </c>
      <c r="AN8197" t="s">
        <v>15438</v>
      </c>
      <c r="AO8197" t="s">
        <v>53</v>
      </c>
      <c r="AP8197" t="s">
        <v>53</v>
      </c>
    </row>
    <row r="8198" spans="2:42" x14ac:dyDescent="0.2">
      <c r="B8198" t="s">
        <v>44</v>
      </c>
      <c r="C8198" t="str">
        <f>HYPERLINK("https://us2.cloudbeds.com/connect/8493803454333002#/reservations/9080486848323219?display=4KEMYJCB6V&amp;reservation_id=9080486848323219", "4KEMYJCB6V")</f>
        <v>4KEMYJCB6V</v>
      </c>
      <c r="D8198" t="s">
        <v>45</v>
      </c>
      <c r="E8198" t="s">
        <v>138</v>
      </c>
      <c r="F8198" t="s">
        <v>70</v>
      </c>
      <c r="G8198" t="s">
        <v>48</v>
      </c>
      <c r="H8198" t="s">
        <v>49</v>
      </c>
      <c r="I8198" t="s">
        <v>62</v>
      </c>
      <c r="J8198" t="s">
        <v>15439</v>
      </c>
      <c r="K8198" t="s">
        <v>14929</v>
      </c>
      <c r="L8198" t="s">
        <v>53</v>
      </c>
      <c r="N8198" t="s">
        <v>15440</v>
      </c>
      <c r="P8198" t="s">
        <v>55</v>
      </c>
      <c r="R8198" t="s">
        <v>56</v>
      </c>
      <c r="T8198" t="s">
        <v>15441</v>
      </c>
      <c r="U8198" t="s">
        <v>55</v>
      </c>
      <c r="V8198">
        <v>1</v>
      </c>
      <c r="W8198">
        <v>1</v>
      </c>
      <c r="X8198">
        <v>2</v>
      </c>
      <c r="Y8198">
        <v>0</v>
      </c>
      <c r="Z8198">
        <v>2</v>
      </c>
      <c r="AA8198">
        <v>95.55</v>
      </c>
      <c r="AB8198">
        <v>95.55</v>
      </c>
      <c r="AC8198">
        <v>95.55</v>
      </c>
      <c r="AD8198">
        <v>0</v>
      </c>
      <c r="AE8198">
        <v>0</v>
      </c>
      <c r="AF8198">
        <v>0</v>
      </c>
      <c r="AG8198">
        <v>0</v>
      </c>
      <c r="AH8198">
        <v>0</v>
      </c>
      <c r="AI8198">
        <v>17.2</v>
      </c>
      <c r="AJ8198">
        <v>95.55</v>
      </c>
      <c r="AK8198">
        <v>0</v>
      </c>
      <c r="AL8198" t="s">
        <v>53</v>
      </c>
      <c r="AM8198" t="s">
        <v>53</v>
      </c>
      <c r="AN8198" t="s">
        <v>15442</v>
      </c>
      <c r="AO8198" t="s">
        <v>53</v>
      </c>
      <c r="AP8198" t="s">
        <v>53</v>
      </c>
    </row>
    <row r="8199" spans="2:42" x14ac:dyDescent="0.2">
      <c r="B8199" t="s">
        <v>44</v>
      </c>
      <c r="C8199" t="str">
        <f>HYPERLINK("https://us2.cloudbeds.com/connect/8493803454333002#/reservations/9080486848323744?display=4KF25JQ1XX&amp;reservation_id=9080486848323744", "4KF25JQ1XX")</f>
        <v>4KF25JQ1XX</v>
      </c>
      <c r="D8199" t="s">
        <v>45</v>
      </c>
      <c r="E8199" t="s">
        <v>179</v>
      </c>
      <c r="F8199" t="s">
        <v>47</v>
      </c>
      <c r="G8199" t="s">
        <v>48</v>
      </c>
      <c r="H8199" t="s">
        <v>49</v>
      </c>
      <c r="I8199" t="s">
        <v>62</v>
      </c>
      <c r="J8199" t="s">
        <v>14154</v>
      </c>
      <c r="K8199" t="s">
        <v>13869</v>
      </c>
      <c r="L8199" t="s">
        <v>53</v>
      </c>
      <c r="N8199" t="s">
        <v>15443</v>
      </c>
      <c r="P8199" t="s">
        <v>55</v>
      </c>
      <c r="R8199" t="s">
        <v>56</v>
      </c>
      <c r="T8199" t="s">
        <v>15444</v>
      </c>
      <c r="U8199" t="s">
        <v>55</v>
      </c>
      <c r="V8199">
        <v>2</v>
      </c>
      <c r="W8199">
        <v>1</v>
      </c>
      <c r="X8199">
        <v>2</v>
      </c>
      <c r="Y8199">
        <v>0</v>
      </c>
      <c r="Z8199">
        <v>2</v>
      </c>
      <c r="AA8199">
        <v>325.5</v>
      </c>
      <c r="AB8199">
        <v>325.5</v>
      </c>
      <c r="AC8199">
        <v>325.5</v>
      </c>
      <c r="AD8199">
        <v>0</v>
      </c>
      <c r="AE8199">
        <v>0</v>
      </c>
      <c r="AF8199">
        <v>0</v>
      </c>
      <c r="AG8199">
        <v>0</v>
      </c>
      <c r="AH8199">
        <v>0</v>
      </c>
      <c r="AI8199">
        <v>58.59</v>
      </c>
      <c r="AJ8199">
        <v>325.5</v>
      </c>
      <c r="AK8199">
        <v>0</v>
      </c>
      <c r="AL8199" t="s">
        <v>53</v>
      </c>
      <c r="AM8199" t="s">
        <v>53</v>
      </c>
      <c r="AN8199" t="s">
        <v>15445</v>
      </c>
      <c r="AO8199" t="s">
        <v>53</v>
      </c>
      <c r="AP8199" t="s">
        <v>53</v>
      </c>
    </row>
    <row r="8200" spans="2:42" x14ac:dyDescent="0.2">
      <c r="B8200" t="s">
        <v>44</v>
      </c>
      <c r="C8200" t="str">
        <f>HYPERLINK("https://us2.cloudbeds.com/connect/8493803454333002#/reservations/9080486848324013?display=4KF8TN6BFU&amp;reservation_id=9080486848324013", "4KF8TN6BFU")</f>
        <v>4KF8TN6BFU</v>
      </c>
      <c r="D8200" t="s">
        <v>45</v>
      </c>
      <c r="E8200" t="s">
        <v>14402</v>
      </c>
      <c r="F8200" t="s">
        <v>14403</v>
      </c>
      <c r="G8200" t="s">
        <v>48</v>
      </c>
      <c r="H8200" t="s">
        <v>49</v>
      </c>
      <c r="I8200" t="s">
        <v>62</v>
      </c>
      <c r="J8200" t="s">
        <v>13476</v>
      </c>
      <c r="K8200" t="s">
        <v>13362</v>
      </c>
      <c r="L8200" t="s">
        <v>53</v>
      </c>
      <c r="N8200" t="s">
        <v>15446</v>
      </c>
      <c r="P8200" t="s">
        <v>55</v>
      </c>
      <c r="R8200" t="s">
        <v>201</v>
      </c>
      <c r="T8200" t="s">
        <v>15447</v>
      </c>
      <c r="U8200" t="s">
        <v>55</v>
      </c>
      <c r="V8200">
        <v>1</v>
      </c>
      <c r="W8200">
        <v>1</v>
      </c>
      <c r="X8200">
        <v>2</v>
      </c>
      <c r="Y8200">
        <v>0</v>
      </c>
      <c r="Z8200">
        <v>2</v>
      </c>
      <c r="AA8200">
        <v>103.95</v>
      </c>
      <c r="AB8200">
        <v>103.95</v>
      </c>
      <c r="AC8200">
        <v>103.95</v>
      </c>
      <c r="AD8200">
        <v>0</v>
      </c>
      <c r="AE8200">
        <v>0</v>
      </c>
      <c r="AF8200">
        <v>0</v>
      </c>
      <c r="AG8200">
        <v>0</v>
      </c>
      <c r="AH8200">
        <v>0</v>
      </c>
      <c r="AI8200">
        <v>18.71</v>
      </c>
      <c r="AJ8200">
        <v>103.95</v>
      </c>
      <c r="AK8200">
        <v>0</v>
      </c>
      <c r="AL8200" t="s">
        <v>53</v>
      </c>
      <c r="AM8200" t="s">
        <v>53</v>
      </c>
      <c r="AN8200" t="s">
        <v>53</v>
      </c>
      <c r="AO8200" t="s">
        <v>53</v>
      </c>
      <c r="AP8200" t="s">
        <v>53</v>
      </c>
    </row>
    <row r="8201" spans="2:42" x14ac:dyDescent="0.2">
      <c r="B8201" t="s">
        <v>44</v>
      </c>
      <c r="C8201" t="str">
        <f>HYPERLINK("https://us2.cloudbeds.com/connect/8493803454333002#/reservations/9080486848324028?display=4KF98NAZD2&amp;reservation_id=9080486848324028", "4KF98NAZD2")</f>
        <v>4KF98NAZD2</v>
      </c>
      <c r="D8201" t="s">
        <v>45</v>
      </c>
      <c r="E8201" t="s">
        <v>69</v>
      </c>
      <c r="F8201" t="s">
        <v>70</v>
      </c>
      <c r="G8201" t="s">
        <v>48</v>
      </c>
      <c r="H8201" t="s">
        <v>49</v>
      </c>
      <c r="I8201" t="s">
        <v>50</v>
      </c>
      <c r="J8201" t="s">
        <v>14206</v>
      </c>
      <c r="K8201" t="s">
        <v>13081</v>
      </c>
      <c r="L8201" t="s">
        <v>53</v>
      </c>
      <c r="N8201" t="s">
        <v>15448</v>
      </c>
      <c r="P8201" t="s">
        <v>55</v>
      </c>
      <c r="R8201" t="s">
        <v>53</v>
      </c>
      <c r="T8201" t="s">
        <v>15449</v>
      </c>
      <c r="U8201" t="s">
        <v>55</v>
      </c>
      <c r="V8201">
        <v>1</v>
      </c>
      <c r="W8201">
        <v>1</v>
      </c>
      <c r="X8201">
        <v>2</v>
      </c>
      <c r="Y8201">
        <v>0</v>
      </c>
      <c r="Z8201">
        <v>2</v>
      </c>
      <c r="AA8201">
        <v>107.27</v>
      </c>
      <c r="AB8201">
        <v>107.27</v>
      </c>
      <c r="AC8201">
        <v>98.64</v>
      </c>
      <c r="AD8201">
        <v>0</v>
      </c>
      <c r="AE8201">
        <v>8.6300000000000008</v>
      </c>
      <c r="AF8201">
        <v>0</v>
      </c>
      <c r="AG8201">
        <v>0</v>
      </c>
      <c r="AH8201">
        <v>0</v>
      </c>
      <c r="AI8201">
        <v>19.309999999999999</v>
      </c>
      <c r="AJ8201">
        <v>107.27</v>
      </c>
      <c r="AK8201">
        <v>0</v>
      </c>
      <c r="AL8201" t="s">
        <v>53</v>
      </c>
      <c r="AM8201" t="s">
        <v>53</v>
      </c>
      <c r="AN8201" t="s">
        <v>53</v>
      </c>
      <c r="AO8201" t="s">
        <v>53</v>
      </c>
      <c r="AP8201" t="s">
        <v>53</v>
      </c>
    </row>
    <row r="8202" spans="2:42" x14ac:dyDescent="0.2">
      <c r="B8202" t="s">
        <v>44</v>
      </c>
      <c r="C8202" t="str">
        <f>HYPERLINK("https://us2.cloudbeds.com/connect/8493803454333002#/reservations/9080486848324337?display=4KFGKQAX4R&amp;reservation_id=9080486848324337", "4KFGKQAX4R")</f>
        <v>4KFGKQAX4R</v>
      </c>
      <c r="D8202" t="s">
        <v>45</v>
      </c>
      <c r="E8202" t="s">
        <v>305</v>
      </c>
      <c r="F8202" t="s">
        <v>61</v>
      </c>
      <c r="G8202" t="s">
        <v>48</v>
      </c>
      <c r="H8202" t="s">
        <v>49</v>
      </c>
      <c r="I8202" t="s">
        <v>50</v>
      </c>
      <c r="J8202" t="s">
        <v>14732</v>
      </c>
      <c r="K8202" t="s">
        <v>14390</v>
      </c>
      <c r="L8202" t="s">
        <v>53</v>
      </c>
      <c r="N8202" t="s">
        <v>15450</v>
      </c>
      <c r="P8202" t="s">
        <v>55</v>
      </c>
      <c r="R8202" t="s">
        <v>53</v>
      </c>
      <c r="T8202" t="s">
        <v>15451</v>
      </c>
      <c r="U8202" t="s">
        <v>55</v>
      </c>
      <c r="V8202">
        <v>1</v>
      </c>
      <c r="W8202">
        <v>1</v>
      </c>
      <c r="X8202">
        <v>2</v>
      </c>
      <c r="Y8202">
        <v>0</v>
      </c>
      <c r="Z8202">
        <v>2</v>
      </c>
      <c r="AA8202">
        <v>189.29</v>
      </c>
      <c r="AB8202">
        <v>189.29</v>
      </c>
      <c r="AC8202">
        <v>174.06</v>
      </c>
      <c r="AD8202">
        <v>0</v>
      </c>
      <c r="AE8202">
        <v>15.23</v>
      </c>
      <c r="AF8202">
        <v>0</v>
      </c>
      <c r="AG8202">
        <v>0</v>
      </c>
      <c r="AH8202">
        <v>0</v>
      </c>
      <c r="AI8202">
        <v>34.07</v>
      </c>
      <c r="AJ8202">
        <v>189.29</v>
      </c>
      <c r="AK8202">
        <v>0</v>
      </c>
      <c r="AL8202" t="s">
        <v>53</v>
      </c>
      <c r="AM8202" t="s">
        <v>53</v>
      </c>
      <c r="AN8202" t="s">
        <v>53</v>
      </c>
      <c r="AO8202" t="s">
        <v>53</v>
      </c>
      <c r="AP8202" t="s">
        <v>53</v>
      </c>
    </row>
    <row r="8203" spans="2:42" x14ac:dyDescent="0.2">
      <c r="B8203" t="s">
        <v>44</v>
      </c>
      <c r="C8203" t="str">
        <f>HYPERLINK("https://us2.cloudbeds.com/connect/8493803454333002#/reservations/9080486848325033?display=4KG1V2WNM9&amp;reservation_id=9080486848325033", "4KG1V2WNM9")</f>
        <v>4KG1V2WNM9</v>
      </c>
      <c r="D8203" t="s">
        <v>45</v>
      </c>
      <c r="E8203" t="s">
        <v>185</v>
      </c>
      <c r="F8203" t="s">
        <v>47</v>
      </c>
      <c r="G8203" t="s">
        <v>48</v>
      </c>
      <c r="H8203" t="s">
        <v>49</v>
      </c>
      <c r="I8203" t="s">
        <v>50</v>
      </c>
      <c r="J8203" t="s">
        <v>13652</v>
      </c>
      <c r="K8203" t="s">
        <v>13653</v>
      </c>
      <c r="L8203" t="s">
        <v>53</v>
      </c>
      <c r="N8203" t="s">
        <v>15452</v>
      </c>
      <c r="P8203" t="s">
        <v>55</v>
      </c>
      <c r="R8203" t="s">
        <v>53</v>
      </c>
      <c r="T8203" t="s">
        <v>15453</v>
      </c>
      <c r="U8203" t="s">
        <v>55</v>
      </c>
      <c r="V8203">
        <v>2</v>
      </c>
      <c r="W8203">
        <v>1</v>
      </c>
      <c r="X8203">
        <v>2</v>
      </c>
      <c r="Y8203">
        <v>0</v>
      </c>
      <c r="Z8203">
        <v>2</v>
      </c>
      <c r="AA8203">
        <v>116.85</v>
      </c>
      <c r="AB8203">
        <v>116.85</v>
      </c>
      <c r="AC8203">
        <v>107.45</v>
      </c>
      <c r="AD8203">
        <v>0</v>
      </c>
      <c r="AE8203">
        <v>9.4</v>
      </c>
      <c r="AF8203">
        <v>0</v>
      </c>
      <c r="AG8203">
        <v>0</v>
      </c>
      <c r="AH8203">
        <v>0</v>
      </c>
      <c r="AI8203">
        <v>21.03</v>
      </c>
      <c r="AJ8203">
        <v>116.85</v>
      </c>
      <c r="AK8203">
        <v>0</v>
      </c>
      <c r="AL8203" t="s">
        <v>53</v>
      </c>
      <c r="AM8203" t="s">
        <v>53</v>
      </c>
      <c r="AN8203" t="s">
        <v>15454</v>
      </c>
      <c r="AO8203" t="s">
        <v>53</v>
      </c>
      <c r="AP8203" t="s">
        <v>53</v>
      </c>
    </row>
    <row r="8204" spans="2:42" x14ac:dyDescent="0.2">
      <c r="B8204" t="s">
        <v>44</v>
      </c>
      <c r="C8204" t="str">
        <f>HYPERLINK("https://us2.cloudbeds.com/connect/8493803454333002#/reservations/9080486848325240?display=4KG7PFZ7KM&amp;reservation_id=9080486848325240", "4KG7PFZ7KM")</f>
        <v>4KG7PFZ7KM</v>
      </c>
      <c r="D8204" t="s">
        <v>45</v>
      </c>
      <c r="E8204" t="s">
        <v>213</v>
      </c>
      <c r="F8204" t="s">
        <v>86</v>
      </c>
      <c r="G8204" t="s">
        <v>48</v>
      </c>
      <c r="H8204" t="s">
        <v>49</v>
      </c>
      <c r="I8204" t="s">
        <v>62</v>
      </c>
      <c r="J8204" t="s">
        <v>9763</v>
      </c>
      <c r="K8204" t="s">
        <v>10598</v>
      </c>
      <c r="L8204" t="s">
        <v>53</v>
      </c>
      <c r="N8204" t="s">
        <v>15455</v>
      </c>
      <c r="P8204" t="s">
        <v>55</v>
      </c>
      <c r="R8204" t="s">
        <v>56</v>
      </c>
      <c r="T8204" t="s">
        <v>15456</v>
      </c>
      <c r="U8204" t="s">
        <v>55</v>
      </c>
      <c r="V8204">
        <v>2</v>
      </c>
      <c r="W8204">
        <v>1</v>
      </c>
      <c r="X8204">
        <v>3</v>
      </c>
      <c r="Y8204">
        <v>0</v>
      </c>
      <c r="Z8204">
        <v>3</v>
      </c>
      <c r="AA8204">
        <v>346.5</v>
      </c>
      <c r="AB8204">
        <v>346.5</v>
      </c>
      <c r="AC8204">
        <v>346.5</v>
      </c>
      <c r="AD8204">
        <v>0</v>
      </c>
      <c r="AE8204">
        <v>0</v>
      </c>
      <c r="AF8204">
        <v>0</v>
      </c>
      <c r="AG8204">
        <v>0</v>
      </c>
      <c r="AH8204">
        <v>0</v>
      </c>
      <c r="AI8204">
        <v>62.37</v>
      </c>
      <c r="AJ8204">
        <v>346.5</v>
      </c>
      <c r="AK8204">
        <v>0</v>
      </c>
      <c r="AL8204" t="s">
        <v>53</v>
      </c>
      <c r="AM8204" t="s">
        <v>53</v>
      </c>
      <c r="AN8204" t="s">
        <v>53</v>
      </c>
      <c r="AO8204" t="s">
        <v>53</v>
      </c>
      <c r="AP8204" t="s">
        <v>53</v>
      </c>
    </row>
    <row r="8205" spans="2:42" x14ac:dyDescent="0.2">
      <c r="B8205" t="s">
        <v>44</v>
      </c>
      <c r="C8205" t="str">
        <f>HYPERLINK("https://us2.cloudbeds.com/connect/8493803454333002#/reservations/9080486848325735?display=4KGMHZ0QVW&amp;reservation_id=9080486848325735", "4KGMHZ0QVW")</f>
        <v>4KGMHZ0QVW</v>
      </c>
      <c r="D8205" t="s">
        <v>45</v>
      </c>
      <c r="E8205" t="s">
        <v>138</v>
      </c>
      <c r="F8205" t="s">
        <v>70</v>
      </c>
      <c r="G8205" t="s">
        <v>48</v>
      </c>
      <c r="H8205" t="s">
        <v>49</v>
      </c>
      <c r="I8205" t="s">
        <v>50</v>
      </c>
      <c r="J8205" t="s">
        <v>13959</v>
      </c>
      <c r="K8205" t="s">
        <v>13960</v>
      </c>
      <c r="L8205" t="s">
        <v>53</v>
      </c>
      <c r="N8205" t="s">
        <v>15457</v>
      </c>
      <c r="P8205" t="s">
        <v>55</v>
      </c>
      <c r="R8205" t="s">
        <v>53</v>
      </c>
      <c r="T8205" t="s">
        <v>15458</v>
      </c>
      <c r="U8205" t="s">
        <v>55</v>
      </c>
      <c r="V8205">
        <v>1</v>
      </c>
      <c r="W8205">
        <v>1</v>
      </c>
      <c r="X8205">
        <v>2</v>
      </c>
      <c r="Y8205">
        <v>0</v>
      </c>
      <c r="Z8205">
        <v>2</v>
      </c>
      <c r="AA8205">
        <v>50.81</v>
      </c>
      <c r="AB8205">
        <v>50.81</v>
      </c>
      <c r="AC8205">
        <v>46.72</v>
      </c>
      <c r="AD8205">
        <v>0</v>
      </c>
      <c r="AE8205">
        <v>4.09</v>
      </c>
      <c r="AF8205">
        <v>0</v>
      </c>
      <c r="AG8205">
        <v>0</v>
      </c>
      <c r="AH8205">
        <v>0</v>
      </c>
      <c r="AI8205">
        <v>9.15</v>
      </c>
      <c r="AJ8205">
        <v>50.81</v>
      </c>
      <c r="AK8205">
        <v>0</v>
      </c>
      <c r="AL8205" t="s">
        <v>53</v>
      </c>
      <c r="AM8205" t="s">
        <v>53</v>
      </c>
      <c r="AN8205" t="s">
        <v>53</v>
      </c>
      <c r="AO8205" t="s">
        <v>53</v>
      </c>
      <c r="AP8205" t="s">
        <v>53</v>
      </c>
    </row>
    <row r="8206" spans="2:42" x14ac:dyDescent="0.2">
      <c r="B8206" t="s">
        <v>44</v>
      </c>
      <c r="C8206" t="str">
        <f>HYPERLINK("https://us2.cloudbeds.com/connect/8493803454333002#/reservations/214492525936832?display=4KGS96AZGR&amp;reservation_id=214492525936832", "4KGS96AZGR")</f>
        <v>4KGS96AZGR</v>
      </c>
      <c r="D8206" t="s">
        <v>45</v>
      </c>
      <c r="E8206" t="s">
        <v>155</v>
      </c>
      <c r="F8206" t="s">
        <v>86</v>
      </c>
      <c r="G8206" t="s">
        <v>48</v>
      </c>
      <c r="H8206" t="s">
        <v>3957</v>
      </c>
      <c r="I8206" t="s">
        <v>3975</v>
      </c>
      <c r="J8206" t="s">
        <v>14362</v>
      </c>
      <c r="K8206" t="s">
        <v>15237</v>
      </c>
      <c r="L8206" t="s">
        <v>53</v>
      </c>
      <c r="P8206" t="s">
        <v>55</v>
      </c>
      <c r="R8206" t="s">
        <v>56</v>
      </c>
      <c r="T8206" t="s">
        <v>15459</v>
      </c>
      <c r="U8206" t="s">
        <v>58</v>
      </c>
      <c r="V8206">
        <v>1</v>
      </c>
      <c r="W8206">
        <v>1</v>
      </c>
      <c r="X8206">
        <v>2</v>
      </c>
      <c r="Y8206">
        <v>0</v>
      </c>
      <c r="Z8206">
        <v>2</v>
      </c>
      <c r="AA8206">
        <v>0</v>
      </c>
      <c r="AB8206">
        <v>141.03</v>
      </c>
      <c r="AC8206">
        <v>123</v>
      </c>
      <c r="AD8206">
        <v>0</v>
      </c>
      <c r="AE8206">
        <v>18.03</v>
      </c>
      <c r="AF8206">
        <v>0</v>
      </c>
      <c r="AG8206">
        <v>0</v>
      </c>
      <c r="AH8206">
        <v>0</v>
      </c>
      <c r="AI8206">
        <v>0</v>
      </c>
      <c r="AJ8206">
        <v>141.03</v>
      </c>
      <c r="AK8206">
        <v>0</v>
      </c>
      <c r="AL8206" t="s">
        <v>53</v>
      </c>
      <c r="AM8206" t="s">
        <v>53</v>
      </c>
      <c r="AN8206" t="s">
        <v>53</v>
      </c>
      <c r="AO8206" t="s">
        <v>53</v>
      </c>
      <c r="AP8206" t="s">
        <v>53</v>
      </c>
    </row>
    <row r="8207" spans="2:42" x14ac:dyDescent="0.2">
      <c r="B8207" t="s">
        <v>44</v>
      </c>
      <c r="C8207" t="str">
        <f>HYPERLINK("https://us2.cloudbeds.com/connect/8493803454333002#/reservations/9080486848326852?display=4KHUW2YYWD&amp;reservation_id=9080486848326852", "4KHUW2YYWD")</f>
        <v>4KHUW2YYWD</v>
      </c>
      <c r="D8207" t="s">
        <v>45</v>
      </c>
      <c r="E8207" t="s">
        <v>113</v>
      </c>
      <c r="F8207" t="s">
        <v>61</v>
      </c>
      <c r="G8207" t="s">
        <v>48</v>
      </c>
      <c r="H8207" t="s">
        <v>49</v>
      </c>
      <c r="I8207" t="s">
        <v>50</v>
      </c>
      <c r="J8207" t="s">
        <v>9763</v>
      </c>
      <c r="K8207" t="s">
        <v>13612</v>
      </c>
      <c r="L8207" t="s">
        <v>53</v>
      </c>
      <c r="N8207" t="s">
        <v>15460</v>
      </c>
      <c r="P8207" t="s">
        <v>55</v>
      </c>
      <c r="R8207" t="s">
        <v>53</v>
      </c>
      <c r="T8207" t="s">
        <v>15461</v>
      </c>
      <c r="U8207" t="s">
        <v>55</v>
      </c>
      <c r="V8207">
        <v>1</v>
      </c>
      <c r="W8207">
        <v>1</v>
      </c>
      <c r="X8207">
        <v>2</v>
      </c>
      <c r="Y8207">
        <v>0</v>
      </c>
      <c r="Z8207">
        <v>2</v>
      </c>
      <c r="AA8207">
        <v>115.82</v>
      </c>
      <c r="AB8207">
        <v>115.82</v>
      </c>
      <c r="AC8207">
        <v>106.5</v>
      </c>
      <c r="AD8207">
        <v>0</v>
      </c>
      <c r="AE8207">
        <v>9.32</v>
      </c>
      <c r="AF8207">
        <v>0</v>
      </c>
      <c r="AG8207">
        <v>0</v>
      </c>
      <c r="AH8207">
        <v>0</v>
      </c>
      <c r="AI8207">
        <v>20.85</v>
      </c>
      <c r="AJ8207">
        <v>115.82</v>
      </c>
      <c r="AK8207">
        <v>0</v>
      </c>
      <c r="AL8207" t="s">
        <v>53</v>
      </c>
      <c r="AM8207" t="s">
        <v>53</v>
      </c>
      <c r="AN8207" t="s">
        <v>15462</v>
      </c>
      <c r="AO8207" t="s">
        <v>53</v>
      </c>
      <c r="AP8207" t="s">
        <v>53</v>
      </c>
    </row>
    <row r="8208" spans="2:42" x14ac:dyDescent="0.2">
      <c r="B8208" t="s">
        <v>44</v>
      </c>
      <c r="C8208" t="str">
        <f>HYPERLINK("https://us2.cloudbeds.com/connect/8493803454333002#/reservations/9080486848332640?display=4KMQFQHXSG&amp;reservation_id=9080486848332640", "4KMQFQHXSG")</f>
        <v>4KMQFQHXSG</v>
      </c>
      <c r="D8208" t="s">
        <v>45</v>
      </c>
      <c r="E8208" t="s">
        <v>190</v>
      </c>
      <c r="F8208" t="s">
        <v>61</v>
      </c>
      <c r="G8208" t="s">
        <v>48</v>
      </c>
      <c r="H8208" t="s">
        <v>49</v>
      </c>
      <c r="I8208" t="s">
        <v>50</v>
      </c>
      <c r="J8208" t="s">
        <v>13825</v>
      </c>
      <c r="K8208" t="s">
        <v>13383</v>
      </c>
      <c r="L8208" t="s">
        <v>53</v>
      </c>
      <c r="N8208" t="s">
        <v>15463</v>
      </c>
      <c r="P8208" t="s">
        <v>55</v>
      </c>
      <c r="R8208" t="s">
        <v>53</v>
      </c>
      <c r="T8208" t="s">
        <v>15464</v>
      </c>
      <c r="U8208" t="s">
        <v>58</v>
      </c>
      <c r="V8208">
        <v>2</v>
      </c>
      <c r="W8208">
        <v>1</v>
      </c>
      <c r="X8208">
        <v>2</v>
      </c>
      <c r="Y8208">
        <v>0</v>
      </c>
      <c r="Z8208">
        <v>2</v>
      </c>
      <c r="AA8208">
        <v>193.14</v>
      </c>
      <c r="AB8208">
        <v>193.14</v>
      </c>
      <c r="AC8208">
        <v>168.46</v>
      </c>
      <c r="AD8208">
        <v>0</v>
      </c>
      <c r="AE8208">
        <v>24.68</v>
      </c>
      <c r="AF8208">
        <v>0</v>
      </c>
      <c r="AG8208">
        <v>0</v>
      </c>
      <c r="AH8208">
        <v>0</v>
      </c>
      <c r="AI8208">
        <v>34.770000000000003</v>
      </c>
      <c r="AJ8208">
        <v>193.14</v>
      </c>
      <c r="AK8208">
        <v>0</v>
      </c>
      <c r="AL8208" t="s">
        <v>53</v>
      </c>
      <c r="AM8208" t="s">
        <v>53</v>
      </c>
      <c r="AN8208" t="s">
        <v>15465</v>
      </c>
      <c r="AO8208" t="s">
        <v>53</v>
      </c>
      <c r="AP8208" t="s">
        <v>53</v>
      </c>
    </row>
    <row r="8209" spans="2:42" x14ac:dyDescent="0.2">
      <c r="B8209" t="s">
        <v>44</v>
      </c>
      <c r="C8209" t="str">
        <f>HYPERLINK("https://us2.cloudbeds.com/connect/8493803454333002#/reservations/9080486848333162?display=4KN3Z86FWP&amp;reservation_id=9080486848333162", "4KN3Z86FWP")</f>
        <v>4KN3Z86FWP</v>
      </c>
      <c r="D8209" t="s">
        <v>45</v>
      </c>
      <c r="E8209" t="s">
        <v>128</v>
      </c>
      <c r="F8209" t="s">
        <v>86</v>
      </c>
      <c r="G8209" t="s">
        <v>48</v>
      </c>
      <c r="H8209" t="s">
        <v>49</v>
      </c>
      <c r="I8209" t="s">
        <v>50</v>
      </c>
      <c r="J8209" t="s">
        <v>14628</v>
      </c>
      <c r="K8209" t="s">
        <v>9762</v>
      </c>
      <c r="L8209" t="s">
        <v>53</v>
      </c>
      <c r="N8209" t="s">
        <v>15466</v>
      </c>
      <c r="P8209" t="s">
        <v>55</v>
      </c>
      <c r="R8209" t="s">
        <v>53</v>
      </c>
      <c r="T8209" t="s">
        <v>15467</v>
      </c>
      <c r="U8209" t="s">
        <v>55</v>
      </c>
      <c r="V8209">
        <v>1</v>
      </c>
      <c r="W8209">
        <v>1</v>
      </c>
      <c r="X8209">
        <v>2</v>
      </c>
      <c r="Y8209">
        <v>0</v>
      </c>
      <c r="Z8209">
        <v>2</v>
      </c>
      <c r="AA8209">
        <v>78.28</v>
      </c>
      <c r="AB8209">
        <v>78.28</v>
      </c>
      <c r="AC8209">
        <v>71.98</v>
      </c>
      <c r="AD8209">
        <v>0</v>
      </c>
      <c r="AE8209">
        <v>6.3</v>
      </c>
      <c r="AF8209">
        <v>0</v>
      </c>
      <c r="AG8209">
        <v>0</v>
      </c>
      <c r="AH8209">
        <v>0</v>
      </c>
      <c r="AI8209">
        <v>14.09</v>
      </c>
      <c r="AJ8209">
        <v>78.28</v>
      </c>
      <c r="AK8209">
        <v>0</v>
      </c>
      <c r="AL8209" t="s">
        <v>53</v>
      </c>
      <c r="AM8209" t="s">
        <v>53</v>
      </c>
      <c r="AN8209" t="s">
        <v>15468</v>
      </c>
      <c r="AO8209" t="s">
        <v>53</v>
      </c>
      <c r="AP8209" t="s">
        <v>53</v>
      </c>
    </row>
    <row r="8210" spans="2:42" x14ac:dyDescent="0.2">
      <c r="B8210" t="s">
        <v>44</v>
      </c>
      <c r="C8210" t="str">
        <f>HYPERLINK("https://us2.cloudbeds.com/connect/8493803454333002#/reservations/9080486848333931?display=4KNJ2PB1Z0&amp;reservation_id=9080486848333931", "4KNJ2PB1Z0")</f>
        <v>4KNJ2PB1Z0</v>
      </c>
      <c r="D8210" t="s">
        <v>45</v>
      </c>
      <c r="E8210" t="s">
        <v>110</v>
      </c>
      <c r="F8210" t="s">
        <v>47</v>
      </c>
      <c r="G8210" t="s">
        <v>48</v>
      </c>
      <c r="H8210" t="s">
        <v>49</v>
      </c>
      <c r="I8210" t="s">
        <v>50</v>
      </c>
      <c r="J8210" t="s">
        <v>13959</v>
      </c>
      <c r="K8210" t="s">
        <v>13960</v>
      </c>
      <c r="L8210" t="s">
        <v>53</v>
      </c>
      <c r="N8210" t="s">
        <v>15469</v>
      </c>
      <c r="P8210" t="s">
        <v>55</v>
      </c>
      <c r="R8210" t="s">
        <v>53</v>
      </c>
      <c r="T8210" t="s">
        <v>15470</v>
      </c>
      <c r="U8210" t="s">
        <v>55</v>
      </c>
      <c r="V8210">
        <v>1</v>
      </c>
      <c r="W8210">
        <v>1</v>
      </c>
      <c r="X8210">
        <v>1</v>
      </c>
      <c r="Y8210">
        <v>0</v>
      </c>
      <c r="Z8210">
        <v>1</v>
      </c>
      <c r="AA8210">
        <v>64.05</v>
      </c>
      <c r="AB8210">
        <v>64.05</v>
      </c>
      <c r="AC8210">
        <v>58.9</v>
      </c>
      <c r="AD8210">
        <v>0</v>
      </c>
      <c r="AE8210">
        <v>5.15</v>
      </c>
      <c r="AF8210">
        <v>0</v>
      </c>
      <c r="AG8210">
        <v>0</v>
      </c>
      <c r="AH8210">
        <v>0</v>
      </c>
      <c r="AI8210">
        <v>11.53</v>
      </c>
      <c r="AJ8210">
        <v>64.05</v>
      </c>
      <c r="AK8210">
        <v>0</v>
      </c>
      <c r="AL8210" t="s">
        <v>53</v>
      </c>
      <c r="AM8210" t="s">
        <v>53</v>
      </c>
      <c r="AN8210" t="s">
        <v>15471</v>
      </c>
      <c r="AO8210" t="s">
        <v>53</v>
      </c>
      <c r="AP8210" t="s">
        <v>53</v>
      </c>
    </row>
    <row r="8211" spans="2:42" x14ac:dyDescent="0.2">
      <c r="B8211" t="s">
        <v>44</v>
      </c>
      <c r="C8211" t="str">
        <f>HYPERLINK("https://us2.cloudbeds.com/connect/8493803454333002#/reservations/214793315332224?display=4KNU61T8V8&amp;reservation_id=214793315332224", "4KNU61T8V8")</f>
        <v>4KNU61T8V8</v>
      </c>
      <c r="D8211" t="s">
        <v>45</v>
      </c>
      <c r="E8211" t="s">
        <v>185</v>
      </c>
      <c r="F8211" t="s">
        <v>47</v>
      </c>
      <c r="G8211" t="s">
        <v>48</v>
      </c>
      <c r="H8211" t="s">
        <v>3957</v>
      </c>
      <c r="I8211" t="s">
        <v>3975</v>
      </c>
      <c r="J8211" t="s">
        <v>14205</v>
      </c>
      <c r="K8211" t="s">
        <v>13081</v>
      </c>
      <c r="L8211" t="s">
        <v>53</v>
      </c>
      <c r="P8211" t="s">
        <v>55</v>
      </c>
      <c r="R8211" t="s">
        <v>56</v>
      </c>
      <c r="T8211" t="s">
        <v>15472</v>
      </c>
      <c r="U8211" t="s">
        <v>58</v>
      </c>
      <c r="V8211">
        <v>2</v>
      </c>
      <c r="W8211">
        <v>1</v>
      </c>
      <c r="X8211">
        <v>2</v>
      </c>
      <c r="Y8211">
        <v>0</v>
      </c>
      <c r="Z8211">
        <v>2</v>
      </c>
      <c r="AA8211">
        <v>0</v>
      </c>
      <c r="AB8211">
        <v>280.91000000000003</v>
      </c>
      <c r="AC8211">
        <v>245</v>
      </c>
      <c r="AD8211">
        <v>0</v>
      </c>
      <c r="AE8211">
        <v>35.909999999999997</v>
      </c>
      <c r="AF8211">
        <v>0</v>
      </c>
      <c r="AG8211">
        <v>0</v>
      </c>
      <c r="AH8211">
        <v>0</v>
      </c>
      <c r="AI8211">
        <v>0</v>
      </c>
      <c r="AJ8211">
        <v>280.91000000000003</v>
      </c>
      <c r="AK8211">
        <v>0</v>
      </c>
      <c r="AL8211" t="s">
        <v>53</v>
      </c>
      <c r="AM8211" t="s">
        <v>53</v>
      </c>
      <c r="AN8211" t="s">
        <v>15473</v>
      </c>
      <c r="AO8211" t="s">
        <v>53</v>
      </c>
      <c r="AP8211" t="s">
        <v>53</v>
      </c>
    </row>
    <row r="8212" spans="2:42" x14ac:dyDescent="0.2">
      <c r="B8212" t="s">
        <v>44</v>
      </c>
      <c r="C8212" t="str">
        <f>HYPERLINK("https://us2.cloudbeds.com/connect/8493803454333002#/reservations/9080486848335472?display=4KZMFJAT0H&amp;reservation_id=9080486848335472", "4KZMFJAT0H")</f>
        <v>4KZMFJAT0H</v>
      </c>
      <c r="D8212" t="s">
        <v>45</v>
      </c>
      <c r="E8212" t="s">
        <v>128</v>
      </c>
      <c r="F8212" t="s">
        <v>86</v>
      </c>
      <c r="G8212" t="s">
        <v>48</v>
      </c>
      <c r="H8212" t="s">
        <v>49</v>
      </c>
      <c r="I8212" t="s">
        <v>62</v>
      </c>
      <c r="J8212" t="s">
        <v>13362</v>
      </c>
      <c r="K8212" t="s">
        <v>14288</v>
      </c>
      <c r="L8212" t="s">
        <v>53</v>
      </c>
      <c r="N8212" t="s">
        <v>15474</v>
      </c>
      <c r="P8212" t="s">
        <v>55</v>
      </c>
      <c r="R8212" t="s">
        <v>56</v>
      </c>
      <c r="T8212" t="s">
        <v>15475</v>
      </c>
      <c r="U8212" t="s">
        <v>55</v>
      </c>
      <c r="V8212">
        <v>1</v>
      </c>
      <c r="W8212">
        <v>1</v>
      </c>
      <c r="X8212">
        <v>4</v>
      </c>
      <c r="Y8212">
        <v>0</v>
      </c>
      <c r="Z8212">
        <v>4</v>
      </c>
      <c r="AA8212">
        <v>109.2</v>
      </c>
      <c r="AB8212">
        <v>109.2</v>
      </c>
      <c r="AC8212">
        <v>109.2</v>
      </c>
      <c r="AD8212">
        <v>0</v>
      </c>
      <c r="AE8212">
        <v>0</v>
      </c>
      <c r="AF8212">
        <v>0</v>
      </c>
      <c r="AG8212">
        <v>0</v>
      </c>
      <c r="AH8212">
        <v>0</v>
      </c>
      <c r="AI8212">
        <v>19.66</v>
      </c>
      <c r="AJ8212">
        <v>109.2</v>
      </c>
      <c r="AK8212">
        <v>0</v>
      </c>
      <c r="AL8212" t="s">
        <v>53</v>
      </c>
      <c r="AM8212" t="s">
        <v>53</v>
      </c>
      <c r="AN8212" t="s">
        <v>53</v>
      </c>
      <c r="AO8212" t="s">
        <v>53</v>
      </c>
      <c r="AP8212" t="s">
        <v>53</v>
      </c>
    </row>
    <row r="8213" spans="2:42" x14ac:dyDescent="0.2">
      <c r="B8213" t="s">
        <v>44</v>
      </c>
      <c r="C8213" t="str">
        <f>HYPERLINK("https://us2.cloudbeds.com/connect/8493803454333002#/reservations/9080486848335723?display=4KZSJYEDYS&amp;reservation_id=9080486848335723", "4KZSJYEDYS")</f>
        <v>4KZSJYEDYS</v>
      </c>
      <c r="D8213" t="s">
        <v>45</v>
      </c>
      <c r="E8213" t="s">
        <v>69</v>
      </c>
      <c r="F8213" t="s">
        <v>70</v>
      </c>
      <c r="G8213" t="s">
        <v>48</v>
      </c>
      <c r="H8213" t="s">
        <v>49</v>
      </c>
      <c r="I8213" t="s">
        <v>62</v>
      </c>
      <c r="J8213" t="s">
        <v>13362</v>
      </c>
      <c r="K8213" t="s">
        <v>14288</v>
      </c>
      <c r="L8213" t="s">
        <v>53</v>
      </c>
      <c r="N8213" t="s">
        <v>15476</v>
      </c>
      <c r="P8213" t="s">
        <v>55</v>
      </c>
      <c r="R8213" t="s">
        <v>56</v>
      </c>
      <c r="T8213" t="s">
        <v>15477</v>
      </c>
      <c r="U8213" t="s">
        <v>55</v>
      </c>
      <c r="V8213">
        <v>1</v>
      </c>
      <c r="W8213">
        <v>1</v>
      </c>
      <c r="X8213">
        <v>1</v>
      </c>
      <c r="Y8213">
        <v>0</v>
      </c>
      <c r="Z8213">
        <v>1</v>
      </c>
      <c r="AA8213">
        <v>78.75</v>
      </c>
      <c r="AB8213">
        <v>78.75</v>
      </c>
      <c r="AC8213">
        <v>78.75</v>
      </c>
      <c r="AD8213">
        <v>0</v>
      </c>
      <c r="AE8213">
        <v>0</v>
      </c>
      <c r="AF8213">
        <v>0</v>
      </c>
      <c r="AG8213">
        <v>0</v>
      </c>
      <c r="AH8213">
        <v>0</v>
      </c>
      <c r="AI8213">
        <v>14.18</v>
      </c>
      <c r="AJ8213">
        <v>78.75</v>
      </c>
      <c r="AK8213">
        <v>0</v>
      </c>
      <c r="AL8213" t="s">
        <v>53</v>
      </c>
      <c r="AM8213" t="s">
        <v>53</v>
      </c>
      <c r="AN8213" t="s">
        <v>53</v>
      </c>
      <c r="AO8213" t="s">
        <v>53</v>
      </c>
      <c r="AP8213" t="s">
        <v>53</v>
      </c>
    </row>
    <row r="8214" spans="2:42" x14ac:dyDescent="0.2">
      <c r="B8214" t="s">
        <v>44</v>
      </c>
      <c r="C8214" t="str">
        <f>HYPERLINK("https://us2.cloudbeds.com/connect/8493803454333002#/reservations/9080486848336176?display=4KP8G9QMGE&amp;reservation_id=9080486848336176", "4KP8G9QMGE")</f>
        <v>4KP8G9QMGE</v>
      </c>
      <c r="D8214" t="s">
        <v>45</v>
      </c>
      <c r="E8214" t="s">
        <v>165</v>
      </c>
      <c r="F8214" t="s">
        <v>61</v>
      </c>
      <c r="G8214" t="s">
        <v>48</v>
      </c>
      <c r="H8214" t="s">
        <v>49</v>
      </c>
      <c r="I8214" t="s">
        <v>50</v>
      </c>
      <c r="J8214" t="s">
        <v>13959</v>
      </c>
      <c r="K8214" t="s">
        <v>13960</v>
      </c>
      <c r="L8214" t="s">
        <v>53</v>
      </c>
      <c r="N8214" t="s">
        <v>15478</v>
      </c>
      <c r="P8214" t="s">
        <v>55</v>
      </c>
      <c r="R8214" t="s">
        <v>53</v>
      </c>
      <c r="T8214" t="s">
        <v>15479</v>
      </c>
      <c r="U8214" t="s">
        <v>55</v>
      </c>
      <c r="V8214">
        <v>1</v>
      </c>
      <c r="W8214">
        <v>1</v>
      </c>
      <c r="X8214">
        <v>2</v>
      </c>
      <c r="Y8214">
        <v>0</v>
      </c>
      <c r="Z8214">
        <v>2</v>
      </c>
      <c r="AA8214">
        <v>64.42</v>
      </c>
      <c r="AB8214">
        <v>64.42</v>
      </c>
      <c r="AC8214">
        <v>59.24</v>
      </c>
      <c r="AD8214">
        <v>0</v>
      </c>
      <c r="AE8214">
        <v>5.18</v>
      </c>
      <c r="AF8214">
        <v>0</v>
      </c>
      <c r="AG8214">
        <v>0</v>
      </c>
      <c r="AH8214">
        <v>0</v>
      </c>
      <c r="AI8214">
        <v>11.6</v>
      </c>
      <c r="AJ8214">
        <v>64.42</v>
      </c>
      <c r="AK8214">
        <v>0</v>
      </c>
      <c r="AL8214" t="s">
        <v>53</v>
      </c>
      <c r="AM8214" t="s">
        <v>53</v>
      </c>
      <c r="AN8214" t="s">
        <v>15480</v>
      </c>
      <c r="AO8214" t="s">
        <v>53</v>
      </c>
      <c r="AP8214" t="s">
        <v>53</v>
      </c>
    </row>
    <row r="8215" spans="2:42" x14ac:dyDescent="0.2">
      <c r="B8215" t="s">
        <v>44</v>
      </c>
      <c r="C8215" t="str">
        <f>HYPERLINK("https://us2.cloudbeds.com/connect/8493803454333002#/reservations/214856485867648?display=4KPD36W3K2&amp;reservation_id=214856485867648", "4KPD36W3K2")</f>
        <v>4KPD36W3K2</v>
      </c>
      <c r="D8215" t="s">
        <v>45</v>
      </c>
      <c r="E8215" t="s">
        <v>121</v>
      </c>
      <c r="F8215" t="s">
        <v>86</v>
      </c>
      <c r="G8215" t="s">
        <v>48</v>
      </c>
      <c r="H8215" t="s">
        <v>3957</v>
      </c>
      <c r="I8215" t="s">
        <v>3958</v>
      </c>
      <c r="J8215" t="s">
        <v>13362</v>
      </c>
      <c r="K8215" t="s">
        <v>14288</v>
      </c>
      <c r="L8215" t="s">
        <v>53</v>
      </c>
      <c r="P8215" t="s">
        <v>55</v>
      </c>
      <c r="R8215" t="s">
        <v>56</v>
      </c>
      <c r="T8215" t="s">
        <v>15481</v>
      </c>
      <c r="U8215" t="s">
        <v>58</v>
      </c>
      <c r="V8215">
        <v>1</v>
      </c>
      <c r="W8215">
        <v>1</v>
      </c>
      <c r="X8215">
        <v>1</v>
      </c>
      <c r="Y8215">
        <v>0</v>
      </c>
      <c r="Z8215">
        <v>1</v>
      </c>
      <c r="AA8215">
        <v>119.24</v>
      </c>
      <c r="AB8215">
        <v>119.24</v>
      </c>
      <c r="AC8215">
        <v>104</v>
      </c>
      <c r="AD8215">
        <v>0</v>
      </c>
      <c r="AE8215">
        <v>15.24</v>
      </c>
      <c r="AF8215">
        <v>0</v>
      </c>
      <c r="AG8215">
        <v>0</v>
      </c>
      <c r="AH8215">
        <v>0</v>
      </c>
      <c r="AI8215">
        <v>0</v>
      </c>
      <c r="AJ8215">
        <v>119.24</v>
      </c>
      <c r="AK8215">
        <v>0</v>
      </c>
      <c r="AL8215" t="s">
        <v>53</v>
      </c>
      <c r="AM8215" t="s">
        <v>53</v>
      </c>
      <c r="AN8215" t="s">
        <v>53</v>
      </c>
      <c r="AO8215" t="s">
        <v>53</v>
      </c>
      <c r="AP8215" t="s">
        <v>53</v>
      </c>
    </row>
    <row r="8216" spans="2:42" x14ac:dyDescent="0.2">
      <c r="B8216" t="s">
        <v>44</v>
      </c>
      <c r="C8216" t="str">
        <f>HYPERLINK("https://us2.cloudbeds.com/connect/8493803454333002#/reservations/9080486848337062?display=4KPWVSTCGR&amp;reservation_id=9080486848337062", "4KPWVSTCGR")</f>
        <v>4KPWVSTCGR</v>
      </c>
      <c r="D8216" t="s">
        <v>45</v>
      </c>
      <c r="E8216" t="s">
        <v>155</v>
      </c>
      <c r="F8216" t="s">
        <v>86</v>
      </c>
      <c r="G8216" t="s">
        <v>48</v>
      </c>
      <c r="H8216" t="s">
        <v>49</v>
      </c>
      <c r="I8216" t="s">
        <v>50</v>
      </c>
      <c r="J8216" t="s">
        <v>12958</v>
      </c>
      <c r="K8216" t="s">
        <v>11628</v>
      </c>
      <c r="L8216" t="s">
        <v>53</v>
      </c>
      <c r="N8216" t="s">
        <v>15482</v>
      </c>
      <c r="P8216" t="s">
        <v>55</v>
      </c>
      <c r="R8216" t="s">
        <v>53</v>
      </c>
      <c r="T8216" t="s">
        <v>15483</v>
      </c>
      <c r="U8216" t="s">
        <v>55</v>
      </c>
      <c r="V8216">
        <v>4</v>
      </c>
      <c r="W8216">
        <v>1</v>
      </c>
      <c r="X8216">
        <v>4</v>
      </c>
      <c r="Y8216">
        <v>0</v>
      </c>
      <c r="Z8216">
        <v>4</v>
      </c>
      <c r="AA8216">
        <v>594.1</v>
      </c>
      <c r="AB8216">
        <v>594.1</v>
      </c>
      <c r="AC8216">
        <v>546.29</v>
      </c>
      <c r="AD8216">
        <v>0</v>
      </c>
      <c r="AE8216">
        <v>47.81</v>
      </c>
      <c r="AF8216">
        <v>0</v>
      </c>
      <c r="AG8216">
        <v>0</v>
      </c>
      <c r="AH8216">
        <v>0</v>
      </c>
      <c r="AI8216">
        <v>106.94</v>
      </c>
      <c r="AJ8216">
        <v>594.1</v>
      </c>
      <c r="AK8216">
        <v>0</v>
      </c>
      <c r="AL8216" t="s">
        <v>53</v>
      </c>
      <c r="AM8216" t="s">
        <v>53</v>
      </c>
      <c r="AN8216" t="s">
        <v>15484</v>
      </c>
      <c r="AO8216" t="s">
        <v>53</v>
      </c>
      <c r="AP8216" t="s">
        <v>53</v>
      </c>
    </row>
    <row r="8217" spans="2:42" x14ac:dyDescent="0.2">
      <c r="B8217" t="s">
        <v>44</v>
      </c>
      <c r="C8217" t="str">
        <f>HYPERLINK("https://us2.cloudbeds.com/connect/8493803454333002#/reservations/9080486848342928?display=4KUBBYWP9T&amp;reservation_id=9080486848342928", "4KUBBYWP9T")</f>
        <v>4KUBBYWP9T</v>
      </c>
      <c r="D8217" t="s">
        <v>45</v>
      </c>
      <c r="E8217" t="s">
        <v>78</v>
      </c>
      <c r="F8217" t="s">
        <v>61</v>
      </c>
      <c r="G8217" t="s">
        <v>48</v>
      </c>
      <c r="H8217" t="s">
        <v>49</v>
      </c>
      <c r="I8217" t="s">
        <v>50</v>
      </c>
      <c r="J8217" t="s">
        <v>14206</v>
      </c>
      <c r="K8217" t="s">
        <v>13082</v>
      </c>
      <c r="L8217" t="s">
        <v>53</v>
      </c>
      <c r="N8217" t="s">
        <v>15485</v>
      </c>
      <c r="P8217" t="s">
        <v>55</v>
      </c>
      <c r="R8217" t="s">
        <v>53</v>
      </c>
      <c r="T8217" t="s">
        <v>15486</v>
      </c>
      <c r="U8217" t="s">
        <v>58</v>
      </c>
      <c r="V8217">
        <v>2</v>
      </c>
      <c r="W8217">
        <v>1</v>
      </c>
      <c r="X8217">
        <v>2</v>
      </c>
      <c r="Y8217">
        <v>0</v>
      </c>
      <c r="Z8217">
        <v>2</v>
      </c>
      <c r="AA8217">
        <v>361.86</v>
      </c>
      <c r="AB8217">
        <v>361.86</v>
      </c>
      <c r="AC8217">
        <v>315.62</v>
      </c>
      <c r="AD8217">
        <v>0</v>
      </c>
      <c r="AE8217">
        <v>46.24</v>
      </c>
      <c r="AF8217">
        <v>0</v>
      </c>
      <c r="AG8217">
        <v>0</v>
      </c>
      <c r="AH8217">
        <v>0</v>
      </c>
      <c r="AI8217">
        <v>65.13</v>
      </c>
      <c r="AJ8217">
        <v>361.86</v>
      </c>
      <c r="AK8217">
        <v>0</v>
      </c>
      <c r="AL8217" t="s">
        <v>53</v>
      </c>
      <c r="AM8217" t="s">
        <v>53</v>
      </c>
      <c r="AN8217" t="s">
        <v>53</v>
      </c>
      <c r="AO8217" t="s">
        <v>53</v>
      </c>
      <c r="AP8217" t="s">
        <v>53</v>
      </c>
    </row>
    <row r="8218" spans="2:42" x14ac:dyDescent="0.2">
      <c r="B8218" t="s">
        <v>44</v>
      </c>
      <c r="C8218" t="str">
        <f>HYPERLINK("https://us2.cloudbeds.com/connect/8493803454333002#/reservations/9080486848343922?display=4KUTP68CZ2&amp;reservation_id=9080486848343922", "4KUTP68CZ2")</f>
        <v>4KUTP68CZ2</v>
      </c>
      <c r="D8218" t="s">
        <v>45</v>
      </c>
      <c r="E8218" t="s">
        <v>113</v>
      </c>
      <c r="F8218" t="s">
        <v>61</v>
      </c>
      <c r="G8218" t="s">
        <v>48</v>
      </c>
      <c r="H8218" t="s">
        <v>49</v>
      </c>
      <c r="I8218" t="s">
        <v>50</v>
      </c>
      <c r="J8218" t="s">
        <v>13681</v>
      </c>
      <c r="K8218" t="s">
        <v>13825</v>
      </c>
      <c r="L8218" t="s">
        <v>53</v>
      </c>
      <c r="N8218" t="s">
        <v>15487</v>
      </c>
      <c r="P8218" t="s">
        <v>55</v>
      </c>
      <c r="R8218" t="s">
        <v>53</v>
      </c>
      <c r="T8218" t="s">
        <v>15488</v>
      </c>
      <c r="U8218" t="s">
        <v>58</v>
      </c>
      <c r="V8218">
        <v>1</v>
      </c>
      <c r="W8218">
        <v>1</v>
      </c>
      <c r="X8218">
        <v>2</v>
      </c>
      <c r="Y8218">
        <v>0</v>
      </c>
      <c r="Z8218">
        <v>2</v>
      </c>
      <c r="AA8218">
        <v>93.18</v>
      </c>
      <c r="AB8218">
        <v>93.18</v>
      </c>
      <c r="AC8218">
        <v>81.27</v>
      </c>
      <c r="AD8218">
        <v>0</v>
      </c>
      <c r="AE8218">
        <v>11.91</v>
      </c>
      <c r="AF8218">
        <v>0</v>
      </c>
      <c r="AG8218">
        <v>0</v>
      </c>
      <c r="AH8218">
        <v>0</v>
      </c>
      <c r="AI8218">
        <v>16.77</v>
      </c>
      <c r="AJ8218">
        <v>93.18</v>
      </c>
      <c r="AK8218">
        <v>0</v>
      </c>
      <c r="AL8218" t="s">
        <v>53</v>
      </c>
      <c r="AM8218" t="s">
        <v>53</v>
      </c>
      <c r="AN8218" t="s">
        <v>15489</v>
      </c>
      <c r="AO8218" t="s">
        <v>53</v>
      </c>
      <c r="AP8218" t="s">
        <v>53</v>
      </c>
    </row>
    <row r="8219" spans="2:42" x14ac:dyDescent="0.2">
      <c r="B8219" t="s">
        <v>44</v>
      </c>
      <c r="C8219" t="str">
        <f>HYPERLINK("https://us2.cloudbeds.com/connect/8493803454333002#/reservations/9080486848343939?display=4KUU154QUA&amp;reservation_id=9080486848343939", "4KUU154QUA")</f>
        <v>4KUU154QUA</v>
      </c>
      <c r="D8219" t="s">
        <v>45</v>
      </c>
      <c r="E8219" t="s">
        <v>165</v>
      </c>
      <c r="F8219" t="s">
        <v>61</v>
      </c>
      <c r="G8219" t="s">
        <v>48</v>
      </c>
      <c r="H8219" t="s">
        <v>49</v>
      </c>
      <c r="I8219" t="s">
        <v>50</v>
      </c>
      <c r="J8219" t="s">
        <v>14759</v>
      </c>
      <c r="K8219" t="s">
        <v>13680</v>
      </c>
      <c r="L8219" t="s">
        <v>53</v>
      </c>
      <c r="N8219" t="s">
        <v>15490</v>
      </c>
      <c r="P8219" t="s">
        <v>55</v>
      </c>
      <c r="R8219" t="s">
        <v>53</v>
      </c>
      <c r="T8219" t="s">
        <v>15491</v>
      </c>
      <c r="U8219" t="s">
        <v>55</v>
      </c>
      <c r="V8219">
        <v>1</v>
      </c>
      <c r="W8219">
        <v>1</v>
      </c>
      <c r="X8219">
        <v>2</v>
      </c>
      <c r="Y8219">
        <v>0</v>
      </c>
      <c r="Z8219">
        <v>2</v>
      </c>
      <c r="AA8219">
        <v>64.42</v>
      </c>
      <c r="AB8219">
        <v>64.42</v>
      </c>
      <c r="AC8219">
        <v>59.24</v>
      </c>
      <c r="AD8219">
        <v>0</v>
      </c>
      <c r="AE8219">
        <v>5.18</v>
      </c>
      <c r="AF8219">
        <v>0</v>
      </c>
      <c r="AG8219">
        <v>0</v>
      </c>
      <c r="AH8219">
        <v>0</v>
      </c>
      <c r="AI8219">
        <v>11.6</v>
      </c>
      <c r="AJ8219">
        <v>64.42</v>
      </c>
      <c r="AK8219">
        <v>0</v>
      </c>
      <c r="AL8219" t="s">
        <v>53</v>
      </c>
      <c r="AM8219" t="s">
        <v>53</v>
      </c>
      <c r="AN8219" t="s">
        <v>53</v>
      </c>
      <c r="AO8219" t="s">
        <v>53</v>
      </c>
      <c r="AP8219" t="s">
        <v>53</v>
      </c>
    </row>
    <row r="8220" spans="2:42" x14ac:dyDescent="0.2">
      <c r="B8220" t="s">
        <v>44</v>
      </c>
      <c r="C8220" t="str">
        <f>HYPERLINK("https://us2.cloudbeds.com/connect/8493803454333002#/reservations/9080486848345953?display=4KW35QPVUG&amp;reservation_id=9080486848345953", "4KW35QPVUG")</f>
        <v>4KW35QPVUG</v>
      </c>
      <c r="D8220" t="s">
        <v>45</v>
      </c>
      <c r="E8220" t="s">
        <v>190</v>
      </c>
      <c r="F8220" t="s">
        <v>61</v>
      </c>
      <c r="G8220" t="s">
        <v>48</v>
      </c>
      <c r="H8220" t="s">
        <v>49</v>
      </c>
      <c r="I8220" t="s">
        <v>62</v>
      </c>
      <c r="J8220" t="s">
        <v>14176</v>
      </c>
      <c r="K8220" t="s">
        <v>12835</v>
      </c>
      <c r="L8220" t="s">
        <v>53</v>
      </c>
      <c r="N8220" t="s">
        <v>15492</v>
      </c>
      <c r="P8220" t="s">
        <v>55</v>
      </c>
      <c r="R8220" t="s">
        <v>56</v>
      </c>
      <c r="T8220" t="s">
        <v>15493</v>
      </c>
      <c r="U8220" t="s">
        <v>55</v>
      </c>
      <c r="V8220">
        <v>2</v>
      </c>
      <c r="W8220">
        <v>1</v>
      </c>
      <c r="X8220">
        <v>2</v>
      </c>
      <c r="Y8220">
        <v>0</v>
      </c>
      <c r="Z8220">
        <v>2</v>
      </c>
      <c r="AA8220">
        <v>243.6</v>
      </c>
      <c r="AB8220">
        <v>243.6</v>
      </c>
      <c r="AC8220">
        <v>243.6</v>
      </c>
      <c r="AD8220">
        <v>0</v>
      </c>
      <c r="AE8220">
        <v>0</v>
      </c>
      <c r="AF8220">
        <v>0</v>
      </c>
      <c r="AG8220">
        <v>0</v>
      </c>
      <c r="AH8220">
        <v>0</v>
      </c>
      <c r="AI8220">
        <v>43.85</v>
      </c>
      <c r="AJ8220">
        <v>243.6</v>
      </c>
      <c r="AK8220">
        <v>0</v>
      </c>
      <c r="AL8220" t="s">
        <v>53</v>
      </c>
      <c r="AM8220" t="s">
        <v>53</v>
      </c>
      <c r="AN8220" t="s">
        <v>53</v>
      </c>
      <c r="AO8220" t="s">
        <v>53</v>
      </c>
      <c r="AP8220" t="s">
        <v>53</v>
      </c>
    </row>
    <row r="8221" spans="2:42" x14ac:dyDescent="0.2">
      <c r="B8221" t="s">
        <v>44</v>
      </c>
      <c r="C8221" t="str">
        <f>HYPERLINK("https://us2.cloudbeds.com/connect/8493803454333002#/reservations/9080486848346390?display=4KWBTUJHM8&amp;reservation_id=9080486848346390", "4KWBTUJHM8")</f>
        <v>4KWBTUJHM8</v>
      </c>
      <c r="D8221" t="s">
        <v>45</v>
      </c>
      <c r="E8221" t="s">
        <v>223</v>
      </c>
      <c r="F8221" t="s">
        <v>47</v>
      </c>
      <c r="G8221" t="s">
        <v>48</v>
      </c>
      <c r="H8221" t="s">
        <v>49</v>
      </c>
      <c r="I8221" t="s">
        <v>8964</v>
      </c>
      <c r="J8221" t="s">
        <v>13825</v>
      </c>
      <c r="K8221" t="s">
        <v>13383</v>
      </c>
      <c r="L8221" t="s">
        <v>53</v>
      </c>
      <c r="N8221" t="s">
        <v>15494</v>
      </c>
      <c r="P8221" t="s">
        <v>55</v>
      </c>
      <c r="R8221" t="s">
        <v>53</v>
      </c>
      <c r="T8221" t="s">
        <v>15495</v>
      </c>
      <c r="U8221" t="s">
        <v>55</v>
      </c>
      <c r="V8221">
        <v>2</v>
      </c>
      <c r="W8221">
        <v>1</v>
      </c>
      <c r="X8221">
        <v>2</v>
      </c>
      <c r="Y8221">
        <v>0</v>
      </c>
      <c r="Z8221">
        <v>2</v>
      </c>
      <c r="AA8221">
        <v>0</v>
      </c>
      <c r="AB8221">
        <v>0</v>
      </c>
      <c r="AC8221">
        <v>178</v>
      </c>
      <c r="AD8221">
        <v>0</v>
      </c>
      <c r="AE8221">
        <v>0</v>
      </c>
      <c r="AF8221">
        <v>0</v>
      </c>
      <c r="AG8221">
        <v>0</v>
      </c>
      <c r="AH8221">
        <v>0</v>
      </c>
      <c r="AI8221">
        <v>26.7</v>
      </c>
      <c r="AJ8221">
        <v>178</v>
      </c>
      <c r="AK8221">
        <v>178</v>
      </c>
      <c r="AL8221" t="s">
        <v>53</v>
      </c>
      <c r="AM8221" t="s">
        <v>53</v>
      </c>
      <c r="AN8221" t="s">
        <v>15496</v>
      </c>
      <c r="AO8221" t="s">
        <v>53</v>
      </c>
      <c r="AP8221" t="s">
        <v>53</v>
      </c>
    </row>
    <row r="8222" spans="2:42" x14ac:dyDescent="0.2">
      <c r="B8222" t="s">
        <v>44</v>
      </c>
      <c r="C8222" t="str">
        <f>HYPERLINK("https://us2.cloudbeds.com/connect/8493803454333002#/reservations/9080486848346460?display=4KWDEBJCCN&amp;reservation_id=9080486848346460", "4KWDEBJCCN")</f>
        <v>4KWDEBJCCN</v>
      </c>
      <c r="D8222" t="s">
        <v>45</v>
      </c>
      <c r="E8222" t="s">
        <v>165</v>
      </c>
      <c r="F8222" t="s">
        <v>61</v>
      </c>
      <c r="G8222" t="s">
        <v>48</v>
      </c>
      <c r="H8222" t="s">
        <v>49</v>
      </c>
      <c r="I8222" t="s">
        <v>50</v>
      </c>
      <c r="J8222" t="s">
        <v>14288</v>
      </c>
      <c r="K8222" t="s">
        <v>14759</v>
      </c>
      <c r="L8222" t="s">
        <v>53</v>
      </c>
      <c r="N8222" t="s">
        <v>15497</v>
      </c>
      <c r="P8222" t="s">
        <v>55</v>
      </c>
      <c r="R8222" t="s">
        <v>53</v>
      </c>
      <c r="T8222" t="s">
        <v>15498</v>
      </c>
      <c r="U8222" t="s">
        <v>55</v>
      </c>
      <c r="V8222">
        <v>1</v>
      </c>
      <c r="W8222">
        <v>1</v>
      </c>
      <c r="X8222">
        <v>2</v>
      </c>
      <c r="Y8222">
        <v>0</v>
      </c>
      <c r="Z8222">
        <v>2</v>
      </c>
      <c r="AA8222">
        <v>68.44</v>
      </c>
      <c r="AB8222">
        <v>68.44</v>
      </c>
      <c r="AC8222">
        <v>62.94</v>
      </c>
      <c r="AD8222">
        <v>0</v>
      </c>
      <c r="AE8222">
        <v>5.5</v>
      </c>
      <c r="AF8222">
        <v>0</v>
      </c>
      <c r="AG8222">
        <v>0</v>
      </c>
      <c r="AH8222">
        <v>0</v>
      </c>
      <c r="AI8222">
        <v>12.32</v>
      </c>
      <c r="AJ8222">
        <v>68.44</v>
      </c>
      <c r="AK8222">
        <v>0</v>
      </c>
      <c r="AL8222" t="s">
        <v>53</v>
      </c>
      <c r="AM8222" t="s">
        <v>53</v>
      </c>
      <c r="AN8222" t="s">
        <v>15499</v>
      </c>
      <c r="AO8222" t="s">
        <v>53</v>
      </c>
      <c r="AP8222" t="s">
        <v>53</v>
      </c>
    </row>
    <row r="8223" spans="2:42" x14ac:dyDescent="0.2">
      <c r="B8223" t="s">
        <v>44</v>
      </c>
      <c r="C8223" t="str">
        <f>HYPERLINK("https://us2.cloudbeds.com/connect/8493803454333002#/reservations/215161286852800?display=4KWX3J7JPD&amp;reservation_id=215161286852800", "4KWX3J7JPD")</f>
        <v>4KWX3J7JPD</v>
      </c>
      <c r="D8223" t="s">
        <v>45</v>
      </c>
      <c r="E8223" t="s">
        <v>487</v>
      </c>
      <c r="F8223" t="s">
        <v>61</v>
      </c>
      <c r="G8223" t="s">
        <v>3974</v>
      </c>
      <c r="H8223" t="s">
        <v>3957</v>
      </c>
      <c r="I8223" t="s">
        <v>3975</v>
      </c>
      <c r="J8223" t="s">
        <v>13037</v>
      </c>
      <c r="K8223" t="s">
        <v>12835</v>
      </c>
      <c r="L8223" t="s">
        <v>53</v>
      </c>
      <c r="P8223" t="s">
        <v>55</v>
      </c>
      <c r="R8223" t="s">
        <v>56</v>
      </c>
      <c r="T8223" t="s">
        <v>15500</v>
      </c>
      <c r="U8223" t="s">
        <v>58</v>
      </c>
      <c r="V8223">
        <v>3</v>
      </c>
      <c r="W8223">
        <v>1</v>
      </c>
      <c r="X8223">
        <v>2</v>
      </c>
      <c r="Y8223">
        <v>0</v>
      </c>
      <c r="Z8223">
        <v>2</v>
      </c>
      <c r="AA8223">
        <v>399.73</v>
      </c>
      <c r="AB8223">
        <v>399.73</v>
      </c>
      <c r="AC8223">
        <v>348.65</v>
      </c>
      <c r="AD8223">
        <v>0</v>
      </c>
      <c r="AE8223">
        <v>51.08</v>
      </c>
      <c r="AF8223">
        <v>0</v>
      </c>
      <c r="AG8223">
        <v>0</v>
      </c>
      <c r="AH8223">
        <v>0</v>
      </c>
      <c r="AI8223">
        <v>0</v>
      </c>
      <c r="AJ8223">
        <v>399.73</v>
      </c>
      <c r="AK8223">
        <v>0</v>
      </c>
      <c r="AL8223" t="s">
        <v>53</v>
      </c>
      <c r="AM8223" t="s">
        <v>53</v>
      </c>
      <c r="AN8223" t="s">
        <v>15501</v>
      </c>
      <c r="AO8223" t="s">
        <v>53</v>
      </c>
      <c r="AP8223" t="s">
        <v>53</v>
      </c>
    </row>
    <row r="8224" spans="2:42" x14ac:dyDescent="0.2">
      <c r="B8224" t="s">
        <v>44</v>
      </c>
      <c r="C8224" t="str">
        <f>HYPERLINK("https://us2.cloudbeds.com/connect/8493803454333002#/reservations/9080486848346902?display=4KWNGJ0HY8&amp;reservation_id=9080486848346902", "4KWNGJ0HY8")</f>
        <v>4KWNGJ0HY8</v>
      </c>
      <c r="D8224" t="s">
        <v>45</v>
      </c>
      <c r="E8224" t="s">
        <v>185</v>
      </c>
      <c r="F8224" t="s">
        <v>47</v>
      </c>
      <c r="G8224" t="s">
        <v>48</v>
      </c>
      <c r="H8224" t="s">
        <v>49</v>
      </c>
      <c r="I8224" t="s">
        <v>50</v>
      </c>
      <c r="J8224" t="s">
        <v>13081</v>
      </c>
      <c r="K8224" t="s">
        <v>13082</v>
      </c>
      <c r="L8224" t="s">
        <v>53</v>
      </c>
      <c r="N8224" t="s">
        <v>15502</v>
      </c>
      <c r="P8224" t="s">
        <v>55</v>
      </c>
      <c r="R8224" t="s">
        <v>53</v>
      </c>
      <c r="T8224" t="s">
        <v>15503</v>
      </c>
      <c r="U8224" t="s">
        <v>55</v>
      </c>
      <c r="V8224">
        <v>1</v>
      </c>
      <c r="W8224">
        <v>1</v>
      </c>
      <c r="X8224">
        <v>2</v>
      </c>
      <c r="Y8224">
        <v>0</v>
      </c>
      <c r="Z8224">
        <v>2</v>
      </c>
      <c r="AA8224">
        <v>114.47</v>
      </c>
      <c r="AB8224">
        <v>114.47</v>
      </c>
      <c r="AC8224">
        <v>105.26</v>
      </c>
      <c r="AD8224">
        <v>0</v>
      </c>
      <c r="AE8224">
        <v>9.2100000000000009</v>
      </c>
      <c r="AF8224">
        <v>0</v>
      </c>
      <c r="AG8224">
        <v>0</v>
      </c>
      <c r="AH8224">
        <v>0</v>
      </c>
      <c r="AI8224">
        <v>20.6</v>
      </c>
      <c r="AJ8224">
        <v>114.47</v>
      </c>
      <c r="AK8224">
        <v>0</v>
      </c>
      <c r="AL8224" t="s">
        <v>53</v>
      </c>
      <c r="AM8224" t="s">
        <v>53</v>
      </c>
      <c r="AN8224" t="s">
        <v>15504</v>
      </c>
      <c r="AO8224" t="s">
        <v>53</v>
      </c>
      <c r="AP8224" t="s">
        <v>53</v>
      </c>
    </row>
    <row r="8225" spans="2:42" x14ac:dyDescent="0.2">
      <c r="B8225" t="s">
        <v>44</v>
      </c>
      <c r="C8225" t="str">
        <f>HYPERLINK("https://us2.cloudbeds.com/connect/8493803454333002#/reservations/9080486848347653?display=4Y0AXQHPXY&amp;reservation_id=9080486848347653", "4Y0AXQHPXY")</f>
        <v>4Y0AXQHPXY</v>
      </c>
      <c r="D8225" t="s">
        <v>45</v>
      </c>
      <c r="E8225" t="s">
        <v>190</v>
      </c>
      <c r="F8225" t="s">
        <v>61</v>
      </c>
      <c r="G8225" t="s">
        <v>48</v>
      </c>
      <c r="H8225" t="s">
        <v>49</v>
      </c>
      <c r="I8225" t="s">
        <v>62</v>
      </c>
      <c r="J8225" t="s">
        <v>14206</v>
      </c>
      <c r="K8225" t="s">
        <v>13082</v>
      </c>
      <c r="L8225" t="s">
        <v>53</v>
      </c>
      <c r="N8225" t="s">
        <v>15505</v>
      </c>
      <c r="P8225" t="s">
        <v>55</v>
      </c>
      <c r="R8225" t="s">
        <v>56</v>
      </c>
      <c r="T8225" t="s">
        <v>15506</v>
      </c>
      <c r="U8225" t="s">
        <v>55</v>
      </c>
      <c r="V8225">
        <v>2</v>
      </c>
      <c r="W8225">
        <v>1</v>
      </c>
      <c r="X8225">
        <v>2</v>
      </c>
      <c r="Y8225">
        <v>0</v>
      </c>
      <c r="Z8225">
        <v>2</v>
      </c>
      <c r="AA8225">
        <v>350.7</v>
      </c>
      <c r="AB8225">
        <v>350.7</v>
      </c>
      <c r="AC8225">
        <v>350.7</v>
      </c>
      <c r="AD8225">
        <v>0</v>
      </c>
      <c r="AE8225">
        <v>0</v>
      </c>
      <c r="AF8225">
        <v>0</v>
      </c>
      <c r="AG8225">
        <v>0</v>
      </c>
      <c r="AH8225">
        <v>0</v>
      </c>
      <c r="AI8225">
        <v>63.13</v>
      </c>
      <c r="AJ8225">
        <v>350.7</v>
      </c>
      <c r="AK8225">
        <v>0</v>
      </c>
      <c r="AL8225" t="s">
        <v>53</v>
      </c>
      <c r="AM8225" t="s">
        <v>53</v>
      </c>
      <c r="AN8225" t="s">
        <v>15507</v>
      </c>
      <c r="AO8225" t="s">
        <v>53</v>
      </c>
      <c r="AP8225" t="s">
        <v>53</v>
      </c>
    </row>
    <row r="8226" spans="2:42" x14ac:dyDescent="0.2">
      <c r="B8226" t="s">
        <v>44</v>
      </c>
      <c r="C8226" t="str">
        <f>HYPERLINK("https://us2.cloudbeds.com/connect/8493803454333002#/reservations/9080486848348299?display=4Y0RCTHM4Z&amp;reservation_id=9080486848348299", "4Y0RCTHM4Z")</f>
        <v>4Y0RCTHM4Z</v>
      </c>
      <c r="D8226" t="s">
        <v>45</v>
      </c>
      <c r="E8226" t="s">
        <v>165</v>
      </c>
      <c r="F8226" t="s">
        <v>61</v>
      </c>
      <c r="G8226" t="s">
        <v>48</v>
      </c>
      <c r="H8226" t="s">
        <v>49</v>
      </c>
      <c r="I8226" t="s">
        <v>50</v>
      </c>
      <c r="J8226" t="s">
        <v>13082</v>
      </c>
      <c r="K8226" t="s">
        <v>15237</v>
      </c>
      <c r="L8226" t="s">
        <v>53</v>
      </c>
      <c r="N8226" t="s">
        <v>15508</v>
      </c>
      <c r="P8226" t="s">
        <v>55</v>
      </c>
      <c r="R8226" t="s">
        <v>53</v>
      </c>
      <c r="T8226" t="s">
        <v>15509</v>
      </c>
      <c r="U8226" t="s">
        <v>58</v>
      </c>
      <c r="V8226">
        <v>2</v>
      </c>
      <c r="W8226">
        <v>1</v>
      </c>
      <c r="X8226">
        <v>1</v>
      </c>
      <c r="Y8226">
        <v>0</v>
      </c>
      <c r="Z8226">
        <v>1</v>
      </c>
      <c r="AA8226">
        <v>250.77</v>
      </c>
      <c r="AB8226">
        <v>250.77</v>
      </c>
      <c r="AC8226">
        <v>218.74</v>
      </c>
      <c r="AD8226">
        <v>0</v>
      </c>
      <c r="AE8226">
        <v>32.03</v>
      </c>
      <c r="AF8226">
        <v>0</v>
      </c>
      <c r="AG8226">
        <v>0</v>
      </c>
      <c r="AH8226">
        <v>0</v>
      </c>
      <c r="AI8226">
        <v>45.14</v>
      </c>
      <c r="AJ8226">
        <v>250.77</v>
      </c>
      <c r="AK8226">
        <v>0</v>
      </c>
      <c r="AL8226" t="s">
        <v>53</v>
      </c>
      <c r="AM8226" t="s">
        <v>53</v>
      </c>
      <c r="AN8226" t="s">
        <v>53</v>
      </c>
      <c r="AO8226" t="s">
        <v>53</v>
      </c>
      <c r="AP8226" t="s">
        <v>53</v>
      </c>
    </row>
    <row r="8227" spans="2:42" x14ac:dyDescent="0.2">
      <c r="B8227" t="s">
        <v>44</v>
      </c>
      <c r="C8227" t="str">
        <f>HYPERLINK("https://us2.cloudbeds.com/connect/8493803454333002#/reservations/215225143734464?display=4Y11X91J1Y&amp;reservation_id=215225143734464", "4Y11X91J1Y")</f>
        <v>4Y11X91J1Y</v>
      </c>
      <c r="D8227" t="s">
        <v>45</v>
      </c>
      <c r="E8227" t="s">
        <v>46</v>
      </c>
      <c r="F8227" t="s">
        <v>47</v>
      </c>
      <c r="G8227" t="s">
        <v>3974</v>
      </c>
      <c r="H8227" t="s">
        <v>3957</v>
      </c>
      <c r="I8227" t="s">
        <v>3975</v>
      </c>
      <c r="J8227" t="s">
        <v>13652</v>
      </c>
      <c r="K8227" t="s">
        <v>13653</v>
      </c>
      <c r="L8227" t="s">
        <v>53</v>
      </c>
      <c r="P8227" t="s">
        <v>55</v>
      </c>
      <c r="R8227" t="s">
        <v>56</v>
      </c>
      <c r="T8227" t="s">
        <v>15510</v>
      </c>
      <c r="U8227" t="s">
        <v>58</v>
      </c>
      <c r="V8227">
        <v>2</v>
      </c>
      <c r="W8227">
        <v>1</v>
      </c>
      <c r="X8227">
        <v>2</v>
      </c>
      <c r="Y8227">
        <v>0</v>
      </c>
      <c r="Z8227">
        <v>2</v>
      </c>
      <c r="AA8227">
        <v>169.91</v>
      </c>
      <c r="AB8227">
        <v>169.91</v>
      </c>
      <c r="AC8227">
        <v>148.19999999999999</v>
      </c>
      <c r="AD8227">
        <v>0</v>
      </c>
      <c r="AE8227">
        <v>21.71</v>
      </c>
      <c r="AF8227">
        <v>0</v>
      </c>
      <c r="AG8227">
        <v>0</v>
      </c>
      <c r="AH8227">
        <v>0</v>
      </c>
      <c r="AI8227">
        <v>0</v>
      </c>
      <c r="AJ8227">
        <v>169.91</v>
      </c>
      <c r="AK8227">
        <v>0</v>
      </c>
      <c r="AL8227" t="s">
        <v>53</v>
      </c>
      <c r="AM8227" t="s">
        <v>53</v>
      </c>
      <c r="AN8227" t="s">
        <v>15511</v>
      </c>
      <c r="AO8227" t="s">
        <v>53</v>
      </c>
      <c r="AP8227" t="s">
        <v>53</v>
      </c>
    </row>
    <row r="8228" spans="2:42" x14ac:dyDescent="0.2">
      <c r="B8228" t="s">
        <v>44</v>
      </c>
      <c r="C8228" t="str">
        <f>HYPERLINK("https://us2.cloudbeds.com/connect/8493803454333002#/reservations/9080486848348654?display=4Y13MZHETP&amp;reservation_id=9080486848348654", "4Y13MZHETP")</f>
        <v>4Y13MZHETP</v>
      </c>
      <c r="D8228" t="s">
        <v>45</v>
      </c>
      <c r="E8228" t="s">
        <v>113</v>
      </c>
      <c r="F8228" t="s">
        <v>61</v>
      </c>
      <c r="G8228" t="s">
        <v>48</v>
      </c>
      <c r="H8228" t="s">
        <v>49</v>
      </c>
      <c r="I8228" t="s">
        <v>50</v>
      </c>
      <c r="J8228" t="s">
        <v>13898</v>
      </c>
      <c r="K8228" t="s">
        <v>13037</v>
      </c>
      <c r="L8228" t="s">
        <v>53</v>
      </c>
      <c r="N8228" t="s">
        <v>15512</v>
      </c>
      <c r="P8228" t="s">
        <v>55</v>
      </c>
      <c r="R8228" t="s">
        <v>53</v>
      </c>
      <c r="T8228" t="s">
        <v>15513</v>
      </c>
      <c r="U8228" t="s">
        <v>55</v>
      </c>
      <c r="V8228">
        <v>1</v>
      </c>
      <c r="W8228">
        <v>1</v>
      </c>
      <c r="X8228">
        <v>2</v>
      </c>
      <c r="Y8228">
        <v>0</v>
      </c>
      <c r="Z8228">
        <v>2</v>
      </c>
      <c r="AA8228">
        <v>64.75</v>
      </c>
      <c r="AB8228">
        <v>64.75</v>
      </c>
      <c r="AC8228">
        <v>59.54</v>
      </c>
      <c r="AD8228">
        <v>0</v>
      </c>
      <c r="AE8228">
        <v>5.21</v>
      </c>
      <c r="AF8228">
        <v>0</v>
      </c>
      <c r="AG8228">
        <v>0</v>
      </c>
      <c r="AH8228">
        <v>0</v>
      </c>
      <c r="AI8228">
        <v>11.66</v>
      </c>
      <c r="AJ8228">
        <v>64.75</v>
      </c>
      <c r="AK8228">
        <v>0</v>
      </c>
      <c r="AL8228" t="s">
        <v>53</v>
      </c>
      <c r="AM8228" t="s">
        <v>53</v>
      </c>
      <c r="AN8228" t="s">
        <v>53</v>
      </c>
      <c r="AO8228" t="s">
        <v>53</v>
      </c>
      <c r="AP8228" t="s">
        <v>53</v>
      </c>
    </row>
    <row r="8229" spans="2:42" x14ac:dyDescent="0.2">
      <c r="B8229" t="s">
        <v>44</v>
      </c>
      <c r="C8229" t="str">
        <f>HYPERLINK("https://us2.cloudbeds.com/connect/8493803454333002#/reservations/9080486848348856?display=4Y18Q1VC4K&amp;reservation_id=9080486848348856", "4Y18Q1VC4K")</f>
        <v>4Y18Q1VC4K</v>
      </c>
      <c r="D8229" t="s">
        <v>45</v>
      </c>
      <c r="E8229" t="s">
        <v>85</v>
      </c>
      <c r="F8229" t="s">
        <v>86</v>
      </c>
      <c r="G8229" t="s">
        <v>48</v>
      </c>
      <c r="H8229" t="s">
        <v>49</v>
      </c>
      <c r="I8229" t="s">
        <v>62</v>
      </c>
      <c r="J8229" t="s">
        <v>14759</v>
      </c>
      <c r="K8229" t="s">
        <v>13680</v>
      </c>
      <c r="L8229" t="s">
        <v>53</v>
      </c>
      <c r="N8229" t="s">
        <v>15514</v>
      </c>
      <c r="P8229" t="s">
        <v>55</v>
      </c>
      <c r="R8229" t="s">
        <v>3018</v>
      </c>
      <c r="T8229" t="s">
        <v>15515</v>
      </c>
      <c r="U8229" t="s">
        <v>55</v>
      </c>
      <c r="V8229">
        <v>1</v>
      </c>
      <c r="W8229">
        <v>1</v>
      </c>
      <c r="X8229">
        <v>2</v>
      </c>
      <c r="Y8229">
        <v>0</v>
      </c>
      <c r="Z8229">
        <v>2</v>
      </c>
      <c r="AA8229">
        <v>103.95</v>
      </c>
      <c r="AB8229">
        <v>103.95</v>
      </c>
      <c r="AC8229">
        <v>103.95</v>
      </c>
      <c r="AD8229">
        <v>0</v>
      </c>
      <c r="AE8229">
        <v>0</v>
      </c>
      <c r="AF8229">
        <v>0</v>
      </c>
      <c r="AG8229">
        <v>0</v>
      </c>
      <c r="AH8229">
        <v>0</v>
      </c>
      <c r="AI8229">
        <v>18.71</v>
      </c>
      <c r="AJ8229">
        <v>103.95</v>
      </c>
      <c r="AK8229">
        <v>0</v>
      </c>
      <c r="AL8229" t="s">
        <v>53</v>
      </c>
      <c r="AM8229" t="s">
        <v>53</v>
      </c>
      <c r="AN8229" t="s">
        <v>53</v>
      </c>
      <c r="AO8229" t="s">
        <v>53</v>
      </c>
      <c r="AP8229" t="s">
        <v>53</v>
      </c>
    </row>
    <row r="8230" spans="2:42" x14ac:dyDescent="0.2">
      <c r="B8230" t="s">
        <v>44</v>
      </c>
      <c r="C8230" t="str">
        <f>HYPERLINK("https://us2.cloudbeds.com/connect/8493803454333002#/reservations/9080486848349062?display=4Y1ED5MNM3&amp;reservation_id=9080486848349062", "4Y1ED5MNM3")</f>
        <v>4Y1ED5MNM3</v>
      </c>
      <c r="D8230" t="s">
        <v>45</v>
      </c>
      <c r="E8230" t="s">
        <v>105</v>
      </c>
      <c r="F8230" t="s">
        <v>47</v>
      </c>
      <c r="G8230" t="s">
        <v>48</v>
      </c>
      <c r="H8230" t="s">
        <v>49</v>
      </c>
      <c r="I8230" t="s">
        <v>50</v>
      </c>
      <c r="J8230" t="s">
        <v>13825</v>
      </c>
      <c r="K8230" t="s">
        <v>13998</v>
      </c>
      <c r="L8230" t="s">
        <v>53</v>
      </c>
      <c r="N8230" t="s">
        <v>15516</v>
      </c>
      <c r="P8230" t="s">
        <v>55</v>
      </c>
      <c r="R8230" t="s">
        <v>53</v>
      </c>
      <c r="T8230" t="s">
        <v>15517</v>
      </c>
      <c r="U8230" t="s">
        <v>58</v>
      </c>
      <c r="V8230">
        <v>1</v>
      </c>
      <c r="W8230">
        <v>1</v>
      </c>
      <c r="X8230">
        <v>1</v>
      </c>
      <c r="Y8230">
        <v>0</v>
      </c>
      <c r="Z8230">
        <v>1</v>
      </c>
      <c r="AA8230">
        <v>86.68</v>
      </c>
      <c r="AB8230">
        <v>86.68</v>
      </c>
      <c r="AC8230">
        <v>75.599999999999994</v>
      </c>
      <c r="AD8230">
        <v>0</v>
      </c>
      <c r="AE8230">
        <v>11.08</v>
      </c>
      <c r="AF8230">
        <v>0</v>
      </c>
      <c r="AG8230">
        <v>0</v>
      </c>
      <c r="AH8230">
        <v>0</v>
      </c>
      <c r="AI8230">
        <v>15.6</v>
      </c>
      <c r="AJ8230">
        <v>86.68</v>
      </c>
      <c r="AK8230">
        <v>0</v>
      </c>
      <c r="AL8230" t="s">
        <v>53</v>
      </c>
      <c r="AM8230" t="s">
        <v>53</v>
      </c>
      <c r="AN8230" t="s">
        <v>15518</v>
      </c>
      <c r="AO8230" t="s">
        <v>53</v>
      </c>
      <c r="AP8230" t="s">
        <v>53</v>
      </c>
    </row>
    <row r="8231" spans="2:42" x14ac:dyDescent="0.2">
      <c r="B8231" t="s">
        <v>44</v>
      </c>
      <c r="C8231" t="str">
        <f>HYPERLINK("https://us2.cloudbeds.com/connect/8493803454333002#/reservations/9080486848353440?display=4Y50E3NB5A&amp;reservation_id=9080486848353440", "4Y50E3NB5A")</f>
        <v>4Y50E3NB5A</v>
      </c>
      <c r="D8231" t="s">
        <v>45</v>
      </c>
      <c r="E8231" t="s">
        <v>213</v>
      </c>
      <c r="F8231" t="s">
        <v>86</v>
      </c>
      <c r="G8231" t="s">
        <v>48</v>
      </c>
      <c r="H8231" t="s">
        <v>49</v>
      </c>
      <c r="I8231" t="s">
        <v>62</v>
      </c>
      <c r="J8231" t="s">
        <v>13082</v>
      </c>
      <c r="K8231" t="s">
        <v>15237</v>
      </c>
      <c r="L8231" t="s">
        <v>53</v>
      </c>
      <c r="N8231" t="s">
        <v>15519</v>
      </c>
      <c r="P8231" t="s">
        <v>55</v>
      </c>
      <c r="R8231" t="s">
        <v>56</v>
      </c>
      <c r="T8231" t="s">
        <v>15520</v>
      </c>
      <c r="U8231" t="s">
        <v>55</v>
      </c>
      <c r="V8231">
        <v>2</v>
      </c>
      <c r="W8231">
        <v>1</v>
      </c>
      <c r="X8231">
        <v>3</v>
      </c>
      <c r="Y8231">
        <v>0</v>
      </c>
      <c r="Z8231">
        <v>3</v>
      </c>
      <c r="AA8231">
        <v>332.17</v>
      </c>
      <c r="AB8231">
        <v>332.17</v>
      </c>
      <c r="AC8231">
        <v>332.17</v>
      </c>
      <c r="AD8231">
        <v>0</v>
      </c>
      <c r="AE8231">
        <v>0</v>
      </c>
      <c r="AF8231">
        <v>0</v>
      </c>
      <c r="AG8231">
        <v>0</v>
      </c>
      <c r="AH8231">
        <v>0</v>
      </c>
      <c r="AI8231">
        <v>59.79</v>
      </c>
      <c r="AJ8231">
        <v>332.17</v>
      </c>
      <c r="AK8231">
        <v>0</v>
      </c>
      <c r="AL8231" t="s">
        <v>53</v>
      </c>
      <c r="AM8231" t="s">
        <v>53</v>
      </c>
      <c r="AN8231" t="s">
        <v>53</v>
      </c>
      <c r="AO8231" t="s">
        <v>53</v>
      </c>
      <c r="AP8231" t="s">
        <v>53</v>
      </c>
    </row>
    <row r="8232" spans="2:42" x14ac:dyDescent="0.2">
      <c r="B8232" t="s">
        <v>44</v>
      </c>
      <c r="C8232" t="str">
        <f>HYPERLINK("https://us2.cloudbeds.com/connect/8493803454333002#/reservations/9080486848353815?display=4Y57PVRZC4&amp;reservation_id=9080486848353815", "4Y57PVRZC4")</f>
        <v>4Y57PVRZC4</v>
      </c>
      <c r="D8232" t="s">
        <v>45</v>
      </c>
      <c r="E8232" t="s">
        <v>128</v>
      </c>
      <c r="F8232" t="s">
        <v>86</v>
      </c>
      <c r="G8232" t="s">
        <v>48</v>
      </c>
      <c r="H8232" t="s">
        <v>49</v>
      </c>
      <c r="I8232" t="s">
        <v>8964</v>
      </c>
      <c r="J8232" t="s">
        <v>13680</v>
      </c>
      <c r="K8232" t="s">
        <v>14160</v>
      </c>
      <c r="L8232" t="s">
        <v>53</v>
      </c>
      <c r="N8232" t="s">
        <v>15521</v>
      </c>
      <c r="P8232" t="s">
        <v>55</v>
      </c>
      <c r="R8232" t="s">
        <v>53</v>
      </c>
      <c r="T8232" t="s">
        <v>15522</v>
      </c>
      <c r="U8232" t="s">
        <v>55</v>
      </c>
      <c r="V8232">
        <v>8</v>
      </c>
      <c r="W8232">
        <v>1</v>
      </c>
      <c r="X8232">
        <v>2</v>
      </c>
      <c r="Y8232">
        <v>0</v>
      </c>
      <c r="Z8232">
        <v>2</v>
      </c>
      <c r="AA8232">
        <v>846</v>
      </c>
      <c r="AB8232">
        <v>302.67</v>
      </c>
      <c r="AC8232">
        <v>846</v>
      </c>
      <c r="AD8232">
        <v>0</v>
      </c>
      <c r="AE8232">
        <v>0</v>
      </c>
      <c r="AF8232">
        <v>0</v>
      </c>
      <c r="AG8232">
        <v>0</v>
      </c>
      <c r="AH8232">
        <v>0</v>
      </c>
      <c r="AI8232">
        <v>126.9</v>
      </c>
      <c r="AJ8232">
        <v>846</v>
      </c>
      <c r="AK8232">
        <v>543.33000000000004</v>
      </c>
      <c r="AL8232" t="s">
        <v>53</v>
      </c>
      <c r="AM8232" t="s">
        <v>53</v>
      </c>
      <c r="AN8232" t="s">
        <v>15523</v>
      </c>
      <c r="AO8232" t="s">
        <v>53</v>
      </c>
      <c r="AP8232" t="s">
        <v>53</v>
      </c>
    </row>
    <row r="8233" spans="2:42" x14ac:dyDescent="0.2">
      <c r="B8233" t="s">
        <v>44</v>
      </c>
      <c r="C8233" t="str">
        <f>HYPERLINK("https://us2.cloudbeds.com/connect/8493803454333002#/reservations/9080486848357177?display=4Y74GCQEWZ&amp;reservation_id=9080486848357177", "4Y74GCQEWZ")</f>
        <v>4Y74GCQEWZ</v>
      </c>
      <c r="D8233" t="s">
        <v>45</v>
      </c>
      <c r="E8233" t="s">
        <v>85</v>
      </c>
      <c r="F8233" t="s">
        <v>86</v>
      </c>
      <c r="G8233" t="s">
        <v>48</v>
      </c>
      <c r="H8233" t="s">
        <v>49</v>
      </c>
      <c r="I8233" t="s">
        <v>50</v>
      </c>
      <c r="J8233" t="s">
        <v>14154</v>
      </c>
      <c r="K8233" t="s">
        <v>14976</v>
      </c>
      <c r="L8233" t="s">
        <v>53</v>
      </c>
      <c r="N8233" t="s">
        <v>15524</v>
      </c>
      <c r="P8233" t="s">
        <v>55</v>
      </c>
      <c r="R8233" t="s">
        <v>53</v>
      </c>
      <c r="T8233" t="s">
        <v>15525</v>
      </c>
      <c r="U8233" t="s">
        <v>58</v>
      </c>
      <c r="V8233">
        <v>1</v>
      </c>
      <c r="W8233">
        <v>1</v>
      </c>
      <c r="X8233">
        <v>2</v>
      </c>
      <c r="Y8233">
        <v>2</v>
      </c>
      <c r="Z8233">
        <v>4</v>
      </c>
      <c r="AA8233">
        <v>185.05</v>
      </c>
      <c r="AB8233">
        <v>185.05</v>
      </c>
      <c r="AC8233">
        <v>161.41</v>
      </c>
      <c r="AD8233">
        <v>0</v>
      </c>
      <c r="AE8233">
        <v>23.64</v>
      </c>
      <c r="AF8233">
        <v>0</v>
      </c>
      <c r="AG8233">
        <v>0</v>
      </c>
      <c r="AH8233">
        <v>0</v>
      </c>
      <c r="AI8233">
        <v>33.31</v>
      </c>
      <c r="AJ8233">
        <v>185.05</v>
      </c>
      <c r="AK8233">
        <v>0</v>
      </c>
      <c r="AL8233" t="s">
        <v>53</v>
      </c>
      <c r="AM8233" t="s">
        <v>53</v>
      </c>
      <c r="AN8233" t="s">
        <v>15526</v>
      </c>
      <c r="AO8233" t="s">
        <v>53</v>
      </c>
      <c r="AP8233" t="s">
        <v>53</v>
      </c>
    </row>
    <row r="8234" spans="2:42" x14ac:dyDescent="0.2">
      <c r="B8234" t="s">
        <v>44</v>
      </c>
      <c r="C8234" t="str">
        <f>HYPERLINK("https://us2.cloudbeds.com/connect/8493803454333002#/reservations/9080486848357259?display=4Y76052K0W&amp;reservation_id=9080486848357259", "4Y76052K0W")</f>
        <v>4Y76052K0W</v>
      </c>
      <c r="D8234" t="s">
        <v>45</v>
      </c>
      <c r="E8234" t="s">
        <v>190</v>
      </c>
      <c r="F8234" t="s">
        <v>61</v>
      </c>
      <c r="G8234" t="s">
        <v>48</v>
      </c>
      <c r="H8234" t="s">
        <v>49</v>
      </c>
      <c r="I8234" t="s">
        <v>50</v>
      </c>
      <c r="J8234" t="s">
        <v>14759</v>
      </c>
      <c r="K8234" t="s">
        <v>13680</v>
      </c>
      <c r="L8234" t="s">
        <v>53</v>
      </c>
      <c r="N8234" t="s">
        <v>15527</v>
      </c>
      <c r="P8234" t="s">
        <v>55</v>
      </c>
      <c r="R8234" t="s">
        <v>53</v>
      </c>
      <c r="T8234" t="s">
        <v>15528</v>
      </c>
      <c r="U8234" t="s">
        <v>55</v>
      </c>
      <c r="V8234">
        <v>1</v>
      </c>
      <c r="W8234">
        <v>1</v>
      </c>
      <c r="X8234">
        <v>2</v>
      </c>
      <c r="Y8234">
        <v>0</v>
      </c>
      <c r="Z8234">
        <v>2</v>
      </c>
      <c r="AA8234">
        <v>72.48</v>
      </c>
      <c r="AB8234">
        <v>72.48</v>
      </c>
      <c r="AC8234">
        <v>66.650000000000006</v>
      </c>
      <c r="AD8234">
        <v>0</v>
      </c>
      <c r="AE8234">
        <v>5.83</v>
      </c>
      <c r="AF8234">
        <v>0</v>
      </c>
      <c r="AG8234">
        <v>0</v>
      </c>
      <c r="AH8234">
        <v>0</v>
      </c>
      <c r="AI8234">
        <v>13.05</v>
      </c>
      <c r="AJ8234">
        <v>72.48</v>
      </c>
      <c r="AK8234">
        <v>0</v>
      </c>
      <c r="AL8234" t="s">
        <v>53</v>
      </c>
      <c r="AM8234" t="s">
        <v>53</v>
      </c>
      <c r="AN8234" t="s">
        <v>53</v>
      </c>
      <c r="AO8234" t="s">
        <v>53</v>
      </c>
      <c r="AP8234" t="s">
        <v>53</v>
      </c>
    </row>
    <row r="8235" spans="2:42" x14ac:dyDescent="0.2">
      <c r="B8235" t="s">
        <v>44</v>
      </c>
      <c r="C8235" t="str">
        <f>HYPERLINK("https://us2.cloudbeds.com/connect/8493803454333002#/reservations/9080486848357502?display=4Y7B4C9MMG&amp;reservation_id=9080486848357502", "4Y7B4C9MMG")</f>
        <v>4Y7B4C9MMG</v>
      </c>
      <c r="D8235" t="s">
        <v>45</v>
      </c>
      <c r="E8235" t="s">
        <v>128</v>
      </c>
      <c r="F8235" t="s">
        <v>86</v>
      </c>
      <c r="G8235" t="s">
        <v>48</v>
      </c>
      <c r="H8235" t="s">
        <v>49</v>
      </c>
      <c r="I8235" t="s">
        <v>50</v>
      </c>
      <c r="J8235" t="s">
        <v>14759</v>
      </c>
      <c r="K8235" t="s">
        <v>13680</v>
      </c>
      <c r="L8235" t="s">
        <v>53</v>
      </c>
      <c r="N8235" t="s">
        <v>15529</v>
      </c>
      <c r="P8235" t="s">
        <v>55</v>
      </c>
      <c r="R8235" t="s">
        <v>56</v>
      </c>
      <c r="T8235" t="s">
        <v>15530</v>
      </c>
      <c r="U8235" t="s">
        <v>55</v>
      </c>
      <c r="V8235">
        <v>1</v>
      </c>
      <c r="W8235">
        <v>1</v>
      </c>
      <c r="X8235">
        <v>1</v>
      </c>
      <c r="Y8235">
        <v>1</v>
      </c>
      <c r="Z8235">
        <v>2</v>
      </c>
      <c r="AA8235">
        <v>83.44</v>
      </c>
      <c r="AB8235">
        <v>83.44</v>
      </c>
      <c r="AC8235">
        <v>76.72</v>
      </c>
      <c r="AD8235">
        <v>0</v>
      </c>
      <c r="AE8235">
        <v>6.72</v>
      </c>
      <c r="AF8235">
        <v>0</v>
      </c>
      <c r="AG8235">
        <v>0</v>
      </c>
      <c r="AH8235">
        <v>0</v>
      </c>
      <c r="AI8235">
        <v>15.02</v>
      </c>
      <c r="AJ8235">
        <v>83.44</v>
      </c>
      <c r="AK8235">
        <v>0</v>
      </c>
      <c r="AL8235" t="s">
        <v>53</v>
      </c>
      <c r="AM8235" t="s">
        <v>53</v>
      </c>
      <c r="AN8235" t="s">
        <v>53</v>
      </c>
      <c r="AO8235" t="s">
        <v>53</v>
      </c>
      <c r="AP8235" t="s">
        <v>53</v>
      </c>
    </row>
    <row r="8236" spans="2:42" x14ac:dyDescent="0.2">
      <c r="B8236" t="s">
        <v>44</v>
      </c>
      <c r="C8236" t="str">
        <f>HYPERLINK("https://us2.cloudbeds.com/connect/8493803454333002#/reservations/9080486848357509?display=4Y7B7ASYNS&amp;reservation_id=9080486848357509", "4Y7B7ASYNS")</f>
        <v>4Y7B7ASYNS</v>
      </c>
      <c r="D8236" t="s">
        <v>45</v>
      </c>
      <c r="E8236" t="s">
        <v>110</v>
      </c>
      <c r="F8236" t="s">
        <v>47</v>
      </c>
      <c r="G8236" t="s">
        <v>48</v>
      </c>
      <c r="H8236" t="s">
        <v>49</v>
      </c>
      <c r="I8236" t="s">
        <v>62</v>
      </c>
      <c r="J8236" t="s">
        <v>14759</v>
      </c>
      <c r="K8236" t="s">
        <v>13680</v>
      </c>
      <c r="L8236" t="s">
        <v>53</v>
      </c>
      <c r="N8236" t="s">
        <v>15531</v>
      </c>
      <c r="P8236" t="s">
        <v>55</v>
      </c>
      <c r="R8236" t="s">
        <v>56</v>
      </c>
      <c r="T8236" t="s">
        <v>15532</v>
      </c>
      <c r="U8236" t="s">
        <v>55</v>
      </c>
      <c r="V8236">
        <v>1</v>
      </c>
      <c r="W8236">
        <v>1</v>
      </c>
      <c r="X8236">
        <v>2</v>
      </c>
      <c r="Y8236">
        <v>0</v>
      </c>
      <c r="Z8236">
        <v>2</v>
      </c>
      <c r="AA8236">
        <v>84</v>
      </c>
      <c r="AB8236">
        <v>84</v>
      </c>
      <c r="AC8236">
        <v>84</v>
      </c>
      <c r="AD8236">
        <v>0</v>
      </c>
      <c r="AE8236">
        <v>0</v>
      </c>
      <c r="AF8236">
        <v>0</v>
      </c>
      <c r="AG8236">
        <v>0</v>
      </c>
      <c r="AH8236">
        <v>0</v>
      </c>
      <c r="AI8236">
        <v>15.12</v>
      </c>
      <c r="AJ8236">
        <v>84</v>
      </c>
      <c r="AK8236">
        <v>0</v>
      </c>
      <c r="AL8236" t="s">
        <v>53</v>
      </c>
      <c r="AM8236" t="s">
        <v>53</v>
      </c>
      <c r="AN8236" t="s">
        <v>15533</v>
      </c>
      <c r="AO8236" t="s">
        <v>53</v>
      </c>
      <c r="AP8236" t="s">
        <v>53</v>
      </c>
    </row>
    <row r="8237" spans="2:42" x14ac:dyDescent="0.2">
      <c r="B8237" t="s">
        <v>44</v>
      </c>
      <c r="C8237" t="str">
        <f>HYPERLINK("https://us2.cloudbeds.com/connect/8493803454333002#/reservations/9080486848358016?display=4Y7YDXRFEK&amp;reservation_id=9080486848358016", "4Y7YDXRFEK")</f>
        <v>4Y7YDXRFEK</v>
      </c>
      <c r="D8237" t="s">
        <v>45</v>
      </c>
      <c r="E8237" t="s">
        <v>69</v>
      </c>
      <c r="F8237" t="s">
        <v>70</v>
      </c>
      <c r="G8237" t="s">
        <v>48</v>
      </c>
      <c r="H8237" t="s">
        <v>49</v>
      </c>
      <c r="I8237" t="s">
        <v>50</v>
      </c>
      <c r="J8237" t="s">
        <v>14113</v>
      </c>
      <c r="K8237" t="s">
        <v>13037</v>
      </c>
      <c r="L8237" t="s">
        <v>53</v>
      </c>
      <c r="N8237" t="s">
        <v>15534</v>
      </c>
      <c r="P8237" t="s">
        <v>55</v>
      </c>
      <c r="R8237" t="s">
        <v>53</v>
      </c>
      <c r="T8237" t="s">
        <v>15535</v>
      </c>
      <c r="U8237" t="s">
        <v>55</v>
      </c>
      <c r="V8237">
        <v>4</v>
      </c>
      <c r="W8237">
        <v>1</v>
      </c>
      <c r="X8237">
        <v>1</v>
      </c>
      <c r="Y8237">
        <v>0</v>
      </c>
      <c r="Z8237">
        <v>1</v>
      </c>
      <c r="AA8237">
        <v>227.84</v>
      </c>
      <c r="AB8237">
        <v>227.84</v>
      </c>
      <c r="AC8237">
        <v>209.53</v>
      </c>
      <c r="AD8237">
        <v>0</v>
      </c>
      <c r="AE8237">
        <v>18.309999999999999</v>
      </c>
      <c r="AF8237">
        <v>0</v>
      </c>
      <c r="AG8237">
        <v>0</v>
      </c>
      <c r="AH8237">
        <v>0</v>
      </c>
      <c r="AI8237">
        <v>41.01</v>
      </c>
      <c r="AJ8237">
        <v>227.84</v>
      </c>
      <c r="AK8237">
        <v>0</v>
      </c>
      <c r="AL8237" t="s">
        <v>53</v>
      </c>
      <c r="AM8237" t="s">
        <v>53</v>
      </c>
      <c r="AN8237" t="s">
        <v>53</v>
      </c>
      <c r="AO8237" t="s">
        <v>53</v>
      </c>
      <c r="AP8237" t="s">
        <v>53</v>
      </c>
    </row>
    <row r="8238" spans="2:42" x14ac:dyDescent="0.2">
      <c r="B8238" t="s">
        <v>44</v>
      </c>
      <c r="C8238" t="str">
        <f>HYPERLINK("https://us2.cloudbeds.com/connect/8493803454333002#/reservations/9080486848358924?display=4Y8BME86XG&amp;reservation_id=9080486848358924", "4Y8BME86XG")</f>
        <v>4Y8BME86XG</v>
      </c>
      <c r="D8238" t="s">
        <v>45</v>
      </c>
      <c r="E8238" t="s">
        <v>110</v>
      </c>
      <c r="F8238" t="s">
        <v>47</v>
      </c>
      <c r="G8238" t="s">
        <v>48</v>
      </c>
      <c r="H8238" t="s">
        <v>49</v>
      </c>
      <c r="I8238" t="s">
        <v>8964</v>
      </c>
      <c r="J8238" t="s">
        <v>13681</v>
      </c>
      <c r="K8238" t="s">
        <v>13825</v>
      </c>
      <c r="L8238" t="s">
        <v>53</v>
      </c>
      <c r="N8238" t="s">
        <v>15536</v>
      </c>
      <c r="P8238" t="s">
        <v>55</v>
      </c>
      <c r="R8238" t="s">
        <v>53</v>
      </c>
      <c r="T8238" t="s">
        <v>15537</v>
      </c>
      <c r="U8238" t="s">
        <v>55</v>
      </c>
      <c r="V8238">
        <v>1</v>
      </c>
      <c r="W8238">
        <v>1</v>
      </c>
      <c r="X8238">
        <v>1</v>
      </c>
      <c r="Y8238">
        <v>0</v>
      </c>
      <c r="Z8238">
        <v>1</v>
      </c>
      <c r="AA8238">
        <v>0</v>
      </c>
      <c r="AB8238">
        <v>0</v>
      </c>
      <c r="AC8238">
        <v>89</v>
      </c>
      <c r="AD8238">
        <v>0</v>
      </c>
      <c r="AE8238">
        <v>0</v>
      </c>
      <c r="AF8238">
        <v>0</v>
      </c>
      <c r="AG8238">
        <v>0</v>
      </c>
      <c r="AH8238">
        <v>0</v>
      </c>
      <c r="AI8238">
        <v>13.35</v>
      </c>
      <c r="AJ8238">
        <v>89</v>
      </c>
      <c r="AK8238">
        <v>89</v>
      </c>
      <c r="AL8238" t="s">
        <v>53</v>
      </c>
      <c r="AM8238" t="s">
        <v>53</v>
      </c>
      <c r="AN8238" t="s">
        <v>15538</v>
      </c>
      <c r="AO8238" t="s">
        <v>53</v>
      </c>
      <c r="AP8238" t="s">
        <v>53</v>
      </c>
    </row>
    <row r="8239" spans="2:42" x14ac:dyDescent="0.2">
      <c r="B8239" t="s">
        <v>44</v>
      </c>
      <c r="C8239" t="str">
        <f>HYPERLINK("https://us2.cloudbeds.com/connect/8493803454333002#/reservations/9080486848360265?display=4Y9G2KY7EF&amp;reservation_id=9080486848360265", "4Y9G2KY7EF")</f>
        <v>4Y9G2KY7EF</v>
      </c>
      <c r="D8239" t="s">
        <v>45</v>
      </c>
      <c r="E8239" t="s">
        <v>105</v>
      </c>
      <c r="F8239" t="s">
        <v>47</v>
      </c>
      <c r="G8239" t="s">
        <v>48</v>
      </c>
      <c r="H8239" t="s">
        <v>49</v>
      </c>
      <c r="I8239" t="s">
        <v>50</v>
      </c>
      <c r="J8239" t="s">
        <v>14655</v>
      </c>
      <c r="K8239" t="s">
        <v>14970</v>
      </c>
      <c r="L8239" t="s">
        <v>53</v>
      </c>
      <c r="N8239" t="s">
        <v>15539</v>
      </c>
      <c r="P8239" t="s">
        <v>55</v>
      </c>
      <c r="R8239" t="s">
        <v>53</v>
      </c>
      <c r="T8239" t="s">
        <v>15540</v>
      </c>
      <c r="U8239" t="s">
        <v>55</v>
      </c>
      <c r="V8239">
        <v>2</v>
      </c>
      <c r="W8239">
        <v>1</v>
      </c>
      <c r="X8239">
        <v>2</v>
      </c>
      <c r="Y8239">
        <v>0</v>
      </c>
      <c r="Z8239">
        <v>2</v>
      </c>
      <c r="AA8239">
        <v>243.39</v>
      </c>
      <c r="AB8239">
        <v>243.39</v>
      </c>
      <c r="AC8239">
        <v>223.8</v>
      </c>
      <c r="AD8239">
        <v>0</v>
      </c>
      <c r="AE8239">
        <v>19.59</v>
      </c>
      <c r="AF8239">
        <v>0</v>
      </c>
      <c r="AG8239">
        <v>0</v>
      </c>
      <c r="AH8239">
        <v>0</v>
      </c>
      <c r="AI8239">
        <v>43.81</v>
      </c>
      <c r="AJ8239">
        <v>243.39</v>
      </c>
      <c r="AK8239">
        <v>0</v>
      </c>
      <c r="AL8239" t="s">
        <v>53</v>
      </c>
      <c r="AM8239" t="s">
        <v>53</v>
      </c>
      <c r="AN8239" t="s">
        <v>53</v>
      </c>
      <c r="AO8239" t="s">
        <v>53</v>
      </c>
      <c r="AP8239" t="s">
        <v>53</v>
      </c>
    </row>
    <row r="8240" spans="2:42" x14ac:dyDescent="0.2">
      <c r="B8240" t="s">
        <v>44</v>
      </c>
      <c r="C8240" t="str">
        <f>HYPERLINK("https://us2.cloudbeds.com/connect/8493803454333002#/reservations/9080486848361055?display=4YA69D3H1C&amp;reservation_id=9080486848361055", "4YA69D3H1C")</f>
        <v>4YA69D3H1C</v>
      </c>
      <c r="D8240" t="s">
        <v>45</v>
      </c>
      <c r="E8240" t="s">
        <v>110</v>
      </c>
      <c r="F8240" t="s">
        <v>47</v>
      </c>
      <c r="G8240" t="s">
        <v>48</v>
      </c>
      <c r="H8240" t="s">
        <v>49</v>
      </c>
      <c r="I8240" t="s">
        <v>50</v>
      </c>
      <c r="J8240" t="s">
        <v>13680</v>
      </c>
      <c r="K8240" t="s">
        <v>13681</v>
      </c>
      <c r="L8240" t="s">
        <v>53</v>
      </c>
      <c r="N8240" t="s">
        <v>15541</v>
      </c>
      <c r="P8240" t="s">
        <v>55</v>
      </c>
      <c r="R8240" t="s">
        <v>53</v>
      </c>
      <c r="T8240" t="s">
        <v>15542</v>
      </c>
      <c r="U8240" t="s">
        <v>55</v>
      </c>
      <c r="V8240">
        <v>1</v>
      </c>
      <c r="W8240">
        <v>1</v>
      </c>
      <c r="X8240">
        <v>1</v>
      </c>
      <c r="Y8240">
        <v>0</v>
      </c>
      <c r="Z8240">
        <v>1</v>
      </c>
      <c r="AA8240">
        <v>62.93</v>
      </c>
      <c r="AB8240">
        <v>62.93</v>
      </c>
      <c r="AC8240">
        <v>57.86</v>
      </c>
      <c r="AD8240">
        <v>0</v>
      </c>
      <c r="AE8240">
        <v>5.07</v>
      </c>
      <c r="AF8240">
        <v>0</v>
      </c>
      <c r="AG8240">
        <v>0</v>
      </c>
      <c r="AH8240">
        <v>0</v>
      </c>
      <c r="AI8240">
        <v>11.33</v>
      </c>
      <c r="AJ8240">
        <v>62.93</v>
      </c>
      <c r="AK8240">
        <v>0</v>
      </c>
      <c r="AL8240" t="s">
        <v>53</v>
      </c>
      <c r="AM8240" t="s">
        <v>53</v>
      </c>
      <c r="AN8240" t="s">
        <v>53</v>
      </c>
      <c r="AO8240" t="s">
        <v>53</v>
      </c>
      <c r="AP8240" t="s">
        <v>53</v>
      </c>
    </row>
    <row r="8241" spans="2:42" x14ac:dyDescent="0.2">
      <c r="B8241" t="s">
        <v>44</v>
      </c>
      <c r="C8241" t="str">
        <f>HYPERLINK("https://us2.cloudbeds.com/connect/8493803454333002#/reservations/9080486848364555?display=4YDD1VCTBQ&amp;reservation_id=9080486848364555", "4YDD1VCTBQ")</f>
        <v>4YDD1VCTBQ</v>
      </c>
      <c r="D8241" t="s">
        <v>45</v>
      </c>
      <c r="E8241" t="s">
        <v>155</v>
      </c>
      <c r="F8241" t="s">
        <v>86</v>
      </c>
      <c r="G8241" t="s">
        <v>48</v>
      </c>
      <c r="H8241" t="s">
        <v>49</v>
      </c>
      <c r="I8241" t="s">
        <v>50</v>
      </c>
      <c r="J8241" t="s">
        <v>13680</v>
      </c>
      <c r="K8241" t="s">
        <v>13681</v>
      </c>
      <c r="L8241" t="s">
        <v>53</v>
      </c>
      <c r="N8241" t="s">
        <v>15543</v>
      </c>
      <c r="P8241" t="s">
        <v>55</v>
      </c>
      <c r="R8241" t="s">
        <v>53</v>
      </c>
      <c r="T8241" t="s">
        <v>15544</v>
      </c>
      <c r="U8241" t="s">
        <v>55</v>
      </c>
      <c r="V8241">
        <v>1</v>
      </c>
      <c r="W8241">
        <v>1</v>
      </c>
      <c r="X8241">
        <v>2</v>
      </c>
      <c r="Y8241">
        <v>0</v>
      </c>
      <c r="Z8241">
        <v>2</v>
      </c>
      <c r="AA8241">
        <v>78.790000000000006</v>
      </c>
      <c r="AB8241">
        <v>78.790000000000006</v>
      </c>
      <c r="AC8241">
        <v>72.45</v>
      </c>
      <c r="AD8241">
        <v>0</v>
      </c>
      <c r="AE8241">
        <v>6.34</v>
      </c>
      <c r="AF8241">
        <v>0</v>
      </c>
      <c r="AG8241">
        <v>0</v>
      </c>
      <c r="AH8241">
        <v>0</v>
      </c>
      <c r="AI8241">
        <v>14.18</v>
      </c>
      <c r="AJ8241">
        <v>78.790000000000006</v>
      </c>
      <c r="AK8241">
        <v>0</v>
      </c>
      <c r="AL8241" t="s">
        <v>53</v>
      </c>
      <c r="AM8241" t="s">
        <v>53</v>
      </c>
      <c r="AN8241" t="s">
        <v>53</v>
      </c>
      <c r="AO8241" t="s">
        <v>53</v>
      </c>
      <c r="AP8241" t="s">
        <v>53</v>
      </c>
    </row>
    <row r="8242" spans="2:42" x14ac:dyDescent="0.2">
      <c r="B8242" t="s">
        <v>44</v>
      </c>
      <c r="C8242" t="str">
        <f>HYPERLINK("https://us2.cloudbeds.com/connect/8493803454333002#/reservations/9080486848367966?display=4YFDTFG9FN&amp;reservation_id=9080486848367966", "4YFDTFG9FN")</f>
        <v>4YFDTFG9FN</v>
      </c>
      <c r="D8242" t="s">
        <v>10291</v>
      </c>
      <c r="E8242" t="s">
        <v>165</v>
      </c>
      <c r="F8242" t="s">
        <v>61</v>
      </c>
      <c r="G8242" t="s">
        <v>48</v>
      </c>
      <c r="H8242" t="s">
        <v>49</v>
      </c>
      <c r="I8242" t="s">
        <v>50</v>
      </c>
      <c r="J8242" t="s">
        <v>14372</v>
      </c>
      <c r="K8242" t="s">
        <v>15545</v>
      </c>
      <c r="L8242" t="s">
        <v>53</v>
      </c>
      <c r="N8242" t="s">
        <v>15546</v>
      </c>
      <c r="P8242" t="s">
        <v>55</v>
      </c>
      <c r="R8242" t="s">
        <v>53</v>
      </c>
      <c r="T8242" t="s">
        <v>15547</v>
      </c>
      <c r="U8242" t="s">
        <v>58</v>
      </c>
      <c r="V8242">
        <v>2</v>
      </c>
      <c r="W8242">
        <v>1</v>
      </c>
      <c r="X8242">
        <v>2</v>
      </c>
      <c r="Y8242">
        <v>0</v>
      </c>
      <c r="Z8242">
        <v>2</v>
      </c>
      <c r="AA8242">
        <v>547.14</v>
      </c>
      <c r="AB8242">
        <v>0</v>
      </c>
      <c r="AC8242">
        <v>477.22</v>
      </c>
      <c r="AD8242">
        <v>0</v>
      </c>
      <c r="AE8242">
        <v>69.92</v>
      </c>
      <c r="AF8242">
        <v>0</v>
      </c>
      <c r="AG8242">
        <v>0</v>
      </c>
      <c r="AH8242">
        <v>0</v>
      </c>
      <c r="AI8242">
        <v>98.49</v>
      </c>
      <c r="AJ8242">
        <v>547.14</v>
      </c>
      <c r="AK8242">
        <v>547.14</v>
      </c>
      <c r="AL8242" t="s">
        <v>53</v>
      </c>
      <c r="AM8242" t="s">
        <v>53</v>
      </c>
      <c r="AN8242" t="s">
        <v>53</v>
      </c>
      <c r="AO8242" t="s">
        <v>53</v>
      </c>
      <c r="AP8242" t="s">
        <v>53</v>
      </c>
    </row>
    <row r="8243" spans="2:42" x14ac:dyDescent="0.2">
      <c r="B8243" t="s">
        <v>44</v>
      </c>
      <c r="C8243" t="str">
        <f>HYPERLINK("https://us2.cloudbeds.com/connect/8493803454333002#/reservations/215857129865345?display=4YFSTWGKQ1&amp;reservation_id=215857129865345", "4YFSTWGKQ1")</f>
        <v>4YFSTWGKQ1</v>
      </c>
      <c r="D8243" t="s">
        <v>45</v>
      </c>
      <c r="E8243" t="s">
        <v>487</v>
      </c>
      <c r="F8243" t="s">
        <v>61</v>
      </c>
      <c r="G8243" t="s">
        <v>48</v>
      </c>
      <c r="H8243" t="s">
        <v>3957</v>
      </c>
      <c r="I8243" t="s">
        <v>3958</v>
      </c>
      <c r="J8243" t="s">
        <v>11652</v>
      </c>
      <c r="K8243" t="s">
        <v>15548</v>
      </c>
      <c r="L8243" t="s">
        <v>53</v>
      </c>
      <c r="P8243" t="s">
        <v>55</v>
      </c>
      <c r="R8243" t="s">
        <v>56</v>
      </c>
      <c r="T8243" t="s">
        <v>15549</v>
      </c>
      <c r="U8243" t="s">
        <v>58</v>
      </c>
      <c r="V8243">
        <v>2</v>
      </c>
      <c r="W8243">
        <v>1</v>
      </c>
      <c r="X8243">
        <v>1</v>
      </c>
      <c r="Y8243">
        <v>0</v>
      </c>
      <c r="Z8243">
        <v>1</v>
      </c>
      <c r="AA8243">
        <v>0</v>
      </c>
      <c r="AB8243">
        <v>0</v>
      </c>
      <c r="AC8243">
        <v>0</v>
      </c>
      <c r="AD8243">
        <v>0</v>
      </c>
      <c r="AE8243">
        <v>0</v>
      </c>
      <c r="AF8243">
        <v>0</v>
      </c>
      <c r="AG8243">
        <v>0</v>
      </c>
      <c r="AH8243">
        <v>0</v>
      </c>
      <c r="AI8243">
        <v>0</v>
      </c>
      <c r="AJ8243">
        <v>0</v>
      </c>
      <c r="AK8243">
        <v>0</v>
      </c>
      <c r="AL8243" t="s">
        <v>53</v>
      </c>
      <c r="AM8243" t="s">
        <v>53</v>
      </c>
      <c r="AN8243" t="s">
        <v>15550</v>
      </c>
      <c r="AO8243" t="s">
        <v>53</v>
      </c>
      <c r="AP8243" t="s">
        <v>53</v>
      </c>
    </row>
    <row r="8244" spans="2:42" x14ac:dyDescent="0.2">
      <c r="B8244" t="s">
        <v>44</v>
      </c>
      <c r="C8244" t="str">
        <f>HYPERLINK("https://us2.cloudbeds.com/connect/8493803454333002#/reservations/9080486848368799?display=4YFV9UE5N8&amp;reservation_id=9080486848368799", "4YFV9UE5N8")</f>
        <v>4YFV9UE5N8</v>
      </c>
      <c r="D8244" t="s">
        <v>45</v>
      </c>
      <c r="E8244" t="s">
        <v>85</v>
      </c>
      <c r="F8244" t="s">
        <v>86</v>
      </c>
      <c r="G8244" t="s">
        <v>48</v>
      </c>
      <c r="H8244" t="s">
        <v>49</v>
      </c>
      <c r="I8244" t="s">
        <v>50</v>
      </c>
      <c r="J8244" t="s">
        <v>14160</v>
      </c>
      <c r="K8244" t="s">
        <v>13652</v>
      </c>
      <c r="L8244" t="s">
        <v>53</v>
      </c>
      <c r="N8244" t="s">
        <v>15551</v>
      </c>
      <c r="P8244" t="s">
        <v>55</v>
      </c>
      <c r="R8244" t="s">
        <v>53</v>
      </c>
      <c r="T8244" t="s">
        <v>15552</v>
      </c>
      <c r="U8244" t="s">
        <v>55</v>
      </c>
      <c r="V8244">
        <v>1</v>
      </c>
      <c r="W8244">
        <v>1</v>
      </c>
      <c r="X8244">
        <v>3</v>
      </c>
      <c r="Y8244">
        <v>1</v>
      </c>
      <c r="Z8244">
        <v>4</v>
      </c>
      <c r="AA8244">
        <v>82.18</v>
      </c>
      <c r="AB8244">
        <v>82.18</v>
      </c>
      <c r="AC8244">
        <v>75.569999999999993</v>
      </c>
      <c r="AD8244">
        <v>0</v>
      </c>
      <c r="AE8244">
        <v>6.61</v>
      </c>
      <c r="AF8244">
        <v>0</v>
      </c>
      <c r="AG8244">
        <v>0</v>
      </c>
      <c r="AH8244">
        <v>0</v>
      </c>
      <c r="AI8244">
        <v>14.79</v>
      </c>
      <c r="AJ8244">
        <v>82.18</v>
      </c>
      <c r="AK8244">
        <v>0</v>
      </c>
      <c r="AL8244" t="s">
        <v>53</v>
      </c>
      <c r="AM8244" t="s">
        <v>53</v>
      </c>
      <c r="AN8244" t="s">
        <v>53</v>
      </c>
      <c r="AO8244" t="s">
        <v>53</v>
      </c>
      <c r="AP8244" t="s">
        <v>53</v>
      </c>
    </row>
    <row r="8245" spans="2:42" x14ac:dyDescent="0.2">
      <c r="B8245" t="s">
        <v>44</v>
      </c>
      <c r="C8245" t="str">
        <f>HYPERLINK("https://us2.cloudbeds.com/connect/8493803454333002#/reservations/215867550064832?display=4YG3W83180&amp;reservation_id=215867550064832", "4YG3W83180")</f>
        <v>4YG3W83180</v>
      </c>
      <c r="D8245" t="s">
        <v>45</v>
      </c>
      <c r="E8245" t="s">
        <v>92</v>
      </c>
      <c r="F8245" t="s">
        <v>86</v>
      </c>
      <c r="G8245" t="s">
        <v>48</v>
      </c>
      <c r="H8245" t="s">
        <v>3957</v>
      </c>
      <c r="I8245" t="s">
        <v>3958</v>
      </c>
      <c r="J8245" t="s">
        <v>10598</v>
      </c>
      <c r="K8245" t="s">
        <v>13638</v>
      </c>
      <c r="L8245" t="s">
        <v>53</v>
      </c>
      <c r="P8245" t="s">
        <v>55</v>
      </c>
      <c r="R8245" t="s">
        <v>56</v>
      </c>
      <c r="T8245" t="s">
        <v>15553</v>
      </c>
      <c r="U8245" t="s">
        <v>58</v>
      </c>
      <c r="V8245">
        <v>2</v>
      </c>
      <c r="W8245">
        <v>1</v>
      </c>
      <c r="X8245">
        <v>1</v>
      </c>
      <c r="Y8245">
        <v>0</v>
      </c>
      <c r="Z8245">
        <v>1</v>
      </c>
      <c r="AA8245">
        <v>0</v>
      </c>
      <c r="AB8245">
        <v>0</v>
      </c>
      <c r="AC8245">
        <v>0</v>
      </c>
      <c r="AD8245">
        <v>0</v>
      </c>
      <c r="AE8245">
        <v>0</v>
      </c>
      <c r="AF8245">
        <v>0</v>
      </c>
      <c r="AG8245">
        <v>0</v>
      </c>
      <c r="AH8245">
        <v>0</v>
      </c>
      <c r="AI8245">
        <v>0</v>
      </c>
      <c r="AJ8245">
        <v>0</v>
      </c>
      <c r="AK8245">
        <v>0</v>
      </c>
      <c r="AL8245" t="s">
        <v>53</v>
      </c>
      <c r="AM8245" t="s">
        <v>53</v>
      </c>
      <c r="AN8245" t="s">
        <v>15554</v>
      </c>
      <c r="AO8245" t="s">
        <v>53</v>
      </c>
      <c r="AP8245" t="s">
        <v>53</v>
      </c>
    </row>
    <row r="8246" spans="2:42" x14ac:dyDescent="0.2">
      <c r="B8246" t="s">
        <v>44</v>
      </c>
      <c r="C8246" t="str">
        <f>HYPERLINK("https://us2.cloudbeds.com/connect/8493803454333002#/reservations/9080486848370196?display=4YH263W083&amp;reservation_id=9080486848370196", "4YH263W083")</f>
        <v>4YH263W083</v>
      </c>
      <c r="D8246" t="s">
        <v>45</v>
      </c>
      <c r="E8246" t="s">
        <v>105</v>
      </c>
      <c r="F8246" t="s">
        <v>47</v>
      </c>
      <c r="G8246" t="s">
        <v>48</v>
      </c>
      <c r="H8246" t="s">
        <v>49</v>
      </c>
      <c r="I8246" t="s">
        <v>50</v>
      </c>
      <c r="J8246" t="s">
        <v>13680</v>
      </c>
      <c r="K8246" t="s">
        <v>13681</v>
      </c>
      <c r="L8246" t="s">
        <v>53</v>
      </c>
      <c r="N8246" t="s">
        <v>15555</v>
      </c>
      <c r="P8246" t="s">
        <v>55</v>
      </c>
      <c r="R8246" t="s">
        <v>53</v>
      </c>
      <c r="T8246" t="s">
        <v>15556</v>
      </c>
      <c r="U8246" t="s">
        <v>55</v>
      </c>
      <c r="V8246">
        <v>1</v>
      </c>
      <c r="W8246">
        <v>1</v>
      </c>
      <c r="X8246">
        <v>2</v>
      </c>
      <c r="Y8246">
        <v>0</v>
      </c>
      <c r="Z8246">
        <v>2</v>
      </c>
      <c r="AA8246">
        <v>60.67</v>
      </c>
      <c r="AB8246">
        <v>60.67</v>
      </c>
      <c r="AC8246">
        <v>55.79</v>
      </c>
      <c r="AD8246">
        <v>0</v>
      </c>
      <c r="AE8246">
        <v>4.88</v>
      </c>
      <c r="AF8246">
        <v>0</v>
      </c>
      <c r="AG8246">
        <v>0</v>
      </c>
      <c r="AH8246">
        <v>0</v>
      </c>
      <c r="AI8246">
        <v>10.92</v>
      </c>
      <c r="AJ8246">
        <v>60.67</v>
      </c>
      <c r="AK8246">
        <v>0</v>
      </c>
      <c r="AL8246" t="s">
        <v>53</v>
      </c>
      <c r="AM8246" t="s">
        <v>53</v>
      </c>
      <c r="AN8246" t="s">
        <v>53</v>
      </c>
      <c r="AO8246" t="s">
        <v>53</v>
      </c>
      <c r="AP8246" t="s">
        <v>53</v>
      </c>
    </row>
    <row r="8247" spans="2:42" x14ac:dyDescent="0.2">
      <c r="B8247" t="s">
        <v>44</v>
      </c>
      <c r="C8247" t="str">
        <f>HYPERLINK("https://us2.cloudbeds.com/connect/8493803454333002#/reservations/9080486848374972?display=4YYDWXT1H4&amp;reservation_id=9080486848374972", "4YYDWXT1H4")</f>
        <v>4YYDWXT1H4</v>
      </c>
      <c r="D8247" t="s">
        <v>45</v>
      </c>
      <c r="E8247" t="s">
        <v>223</v>
      </c>
      <c r="F8247" t="s">
        <v>47</v>
      </c>
      <c r="G8247" t="s">
        <v>48</v>
      </c>
      <c r="H8247" t="s">
        <v>49</v>
      </c>
      <c r="I8247" t="s">
        <v>50</v>
      </c>
      <c r="J8247" t="s">
        <v>13652</v>
      </c>
      <c r="K8247" t="s">
        <v>13653</v>
      </c>
      <c r="L8247" t="s">
        <v>53</v>
      </c>
      <c r="N8247" t="s">
        <v>15557</v>
      </c>
      <c r="P8247" t="s">
        <v>55</v>
      </c>
      <c r="R8247" t="s">
        <v>53</v>
      </c>
      <c r="T8247" t="s">
        <v>15558</v>
      </c>
      <c r="U8247" t="s">
        <v>55</v>
      </c>
      <c r="V8247">
        <v>2</v>
      </c>
      <c r="W8247">
        <v>1</v>
      </c>
      <c r="X8247">
        <v>1</v>
      </c>
      <c r="Y8247">
        <v>0</v>
      </c>
      <c r="Z8247">
        <v>1</v>
      </c>
      <c r="AA8247">
        <v>140.09</v>
      </c>
      <c r="AB8247">
        <v>140.09</v>
      </c>
      <c r="AC8247">
        <v>128.82</v>
      </c>
      <c r="AD8247">
        <v>0</v>
      </c>
      <c r="AE8247">
        <v>11.27</v>
      </c>
      <c r="AF8247">
        <v>0</v>
      </c>
      <c r="AG8247">
        <v>0</v>
      </c>
      <c r="AH8247">
        <v>0</v>
      </c>
      <c r="AI8247">
        <v>25.22</v>
      </c>
      <c r="AJ8247">
        <v>140.09</v>
      </c>
      <c r="AK8247">
        <v>0</v>
      </c>
      <c r="AL8247" t="s">
        <v>53</v>
      </c>
      <c r="AM8247" t="s">
        <v>53</v>
      </c>
      <c r="AN8247" t="s">
        <v>53</v>
      </c>
      <c r="AO8247" t="s">
        <v>53</v>
      </c>
      <c r="AP8247" t="s">
        <v>53</v>
      </c>
    </row>
    <row r="8248" spans="2:42" x14ac:dyDescent="0.2">
      <c r="B8248" t="s">
        <v>44</v>
      </c>
      <c r="C8248" t="str">
        <f>HYPERLINK("https://us2.cloudbeds.com/connect/8493803454333002#/reservations/9080486848376456?display=4YMB0XBM3G&amp;reservation_id=9080486848376456", "4YMB0XBM3G")</f>
        <v>4YMB0XBM3G</v>
      </c>
      <c r="D8248" t="s">
        <v>45</v>
      </c>
      <c r="E8248" t="s">
        <v>78</v>
      </c>
      <c r="F8248" t="s">
        <v>61</v>
      </c>
      <c r="G8248" t="s">
        <v>48</v>
      </c>
      <c r="H8248" t="s">
        <v>49</v>
      </c>
      <c r="I8248" t="s">
        <v>50</v>
      </c>
      <c r="J8248" t="s">
        <v>13681</v>
      </c>
      <c r="K8248" t="s">
        <v>13825</v>
      </c>
      <c r="L8248" t="s">
        <v>53</v>
      </c>
      <c r="N8248" t="s">
        <v>15559</v>
      </c>
      <c r="P8248" t="s">
        <v>55</v>
      </c>
      <c r="R8248" t="s">
        <v>53</v>
      </c>
      <c r="T8248" t="s">
        <v>15560</v>
      </c>
      <c r="U8248" t="s">
        <v>55</v>
      </c>
      <c r="V8248">
        <v>1</v>
      </c>
      <c r="W8248">
        <v>1</v>
      </c>
      <c r="X8248">
        <v>1</v>
      </c>
      <c r="Y8248">
        <v>0</v>
      </c>
      <c r="Z8248">
        <v>1</v>
      </c>
      <c r="AA8248">
        <v>72.48</v>
      </c>
      <c r="AB8248">
        <v>95.41</v>
      </c>
      <c r="AC8248">
        <v>66.650000000000006</v>
      </c>
      <c r="AD8248">
        <v>20</v>
      </c>
      <c r="AE8248">
        <v>8.76</v>
      </c>
      <c r="AF8248">
        <v>0</v>
      </c>
      <c r="AG8248">
        <v>0</v>
      </c>
      <c r="AH8248">
        <v>0</v>
      </c>
      <c r="AI8248">
        <v>17.170000000000002</v>
      </c>
      <c r="AJ8248">
        <v>95.41</v>
      </c>
      <c r="AK8248">
        <v>0</v>
      </c>
      <c r="AL8248" t="s">
        <v>53</v>
      </c>
      <c r="AM8248" t="s">
        <v>53</v>
      </c>
      <c r="AN8248" t="s">
        <v>53</v>
      </c>
      <c r="AO8248" t="s">
        <v>53</v>
      </c>
      <c r="AP8248" t="s">
        <v>53</v>
      </c>
    </row>
    <row r="8249" spans="2:42" x14ac:dyDescent="0.2">
      <c r="B8249" t="s">
        <v>44</v>
      </c>
      <c r="C8249" t="str">
        <f>HYPERLINK("https://us2.cloudbeds.com/connect/8493803454333002#/reservations/9080486848377282?display=4YMSFR79J8&amp;reservation_id=9080486848377282", "4YMSFR79J8")</f>
        <v>4YMSFR79J8</v>
      </c>
      <c r="D8249" t="s">
        <v>45</v>
      </c>
      <c r="E8249" t="s">
        <v>190</v>
      </c>
      <c r="F8249" t="s">
        <v>61</v>
      </c>
      <c r="G8249" t="s">
        <v>48</v>
      </c>
      <c r="H8249" t="s">
        <v>49</v>
      </c>
      <c r="I8249" t="s">
        <v>50</v>
      </c>
      <c r="J8249" t="s">
        <v>13681</v>
      </c>
      <c r="K8249" t="s">
        <v>13825</v>
      </c>
      <c r="L8249" t="s">
        <v>53</v>
      </c>
      <c r="N8249" t="s">
        <v>15561</v>
      </c>
      <c r="P8249" t="s">
        <v>55</v>
      </c>
      <c r="R8249" t="s">
        <v>53</v>
      </c>
      <c r="T8249" t="s">
        <v>15562</v>
      </c>
      <c r="U8249" t="s">
        <v>55</v>
      </c>
      <c r="V8249">
        <v>1</v>
      </c>
      <c r="W8249">
        <v>1</v>
      </c>
      <c r="X8249">
        <v>2</v>
      </c>
      <c r="Y8249">
        <v>0</v>
      </c>
      <c r="Z8249">
        <v>2</v>
      </c>
      <c r="AA8249">
        <v>65.23</v>
      </c>
      <c r="AB8249">
        <v>65.23</v>
      </c>
      <c r="AC8249">
        <v>59.98</v>
      </c>
      <c r="AD8249">
        <v>0</v>
      </c>
      <c r="AE8249">
        <v>5.25</v>
      </c>
      <c r="AF8249">
        <v>0</v>
      </c>
      <c r="AG8249">
        <v>0</v>
      </c>
      <c r="AH8249">
        <v>0</v>
      </c>
      <c r="AI8249">
        <v>11.74</v>
      </c>
      <c r="AJ8249">
        <v>65.23</v>
      </c>
      <c r="AK8249">
        <v>0</v>
      </c>
      <c r="AL8249" t="s">
        <v>53</v>
      </c>
      <c r="AM8249" t="s">
        <v>53</v>
      </c>
      <c r="AN8249" t="s">
        <v>53</v>
      </c>
      <c r="AO8249" t="s">
        <v>53</v>
      </c>
      <c r="AP8249" t="s">
        <v>53</v>
      </c>
    </row>
    <row r="8250" spans="2:42" x14ac:dyDescent="0.2">
      <c r="B8250" t="s">
        <v>44</v>
      </c>
      <c r="C8250" t="str">
        <f>HYPERLINK("https://us2.cloudbeds.com/connect/8493803454333002#/reservations/9080486848379099?display=4YZ1XZRXM1&amp;reservation_id=9080486848379099", "4YZ1XZRXM1")</f>
        <v>4YZ1XZRXM1</v>
      </c>
      <c r="D8250" t="s">
        <v>45</v>
      </c>
      <c r="E8250" t="s">
        <v>487</v>
      </c>
      <c r="F8250" t="s">
        <v>61</v>
      </c>
      <c r="G8250" t="s">
        <v>48</v>
      </c>
      <c r="H8250" t="s">
        <v>49</v>
      </c>
      <c r="I8250" t="s">
        <v>50</v>
      </c>
      <c r="J8250" t="s">
        <v>13681</v>
      </c>
      <c r="K8250" t="s">
        <v>13825</v>
      </c>
      <c r="L8250" t="s">
        <v>53</v>
      </c>
      <c r="N8250" t="s">
        <v>15563</v>
      </c>
      <c r="P8250" t="s">
        <v>55</v>
      </c>
      <c r="R8250" t="s">
        <v>53</v>
      </c>
      <c r="T8250" t="s">
        <v>15564</v>
      </c>
      <c r="U8250" t="s">
        <v>55</v>
      </c>
      <c r="V8250">
        <v>1</v>
      </c>
      <c r="W8250">
        <v>1</v>
      </c>
      <c r="X8250">
        <v>2</v>
      </c>
      <c r="Y8250">
        <v>0</v>
      </c>
      <c r="Z8250">
        <v>2</v>
      </c>
      <c r="AA8250">
        <v>72.48</v>
      </c>
      <c r="AB8250">
        <v>72.48</v>
      </c>
      <c r="AC8250">
        <v>66.650000000000006</v>
      </c>
      <c r="AD8250">
        <v>0</v>
      </c>
      <c r="AE8250">
        <v>5.83</v>
      </c>
      <c r="AF8250">
        <v>0</v>
      </c>
      <c r="AG8250">
        <v>0</v>
      </c>
      <c r="AH8250">
        <v>0</v>
      </c>
      <c r="AI8250">
        <v>13.05</v>
      </c>
      <c r="AJ8250">
        <v>72.48</v>
      </c>
      <c r="AK8250">
        <v>0</v>
      </c>
      <c r="AL8250" t="s">
        <v>53</v>
      </c>
      <c r="AM8250" t="s">
        <v>53</v>
      </c>
      <c r="AN8250" t="s">
        <v>53</v>
      </c>
      <c r="AO8250" t="s">
        <v>53</v>
      </c>
      <c r="AP8250" t="s">
        <v>53</v>
      </c>
    </row>
    <row r="8251" spans="2:42" x14ac:dyDescent="0.2">
      <c r="B8251" t="s">
        <v>44</v>
      </c>
      <c r="C8251" t="str">
        <f>HYPERLINK("https://us2.cloudbeds.com/connect/8493803454333002#/reservations/9080486848379297?display=4YZ696R92K&amp;reservation_id=9080486848379297", "4YZ696R92K")</f>
        <v>4YZ696R92K</v>
      </c>
      <c r="D8251" t="s">
        <v>45</v>
      </c>
      <c r="E8251" t="s">
        <v>92</v>
      </c>
      <c r="F8251" t="s">
        <v>86</v>
      </c>
      <c r="G8251" t="s">
        <v>48</v>
      </c>
      <c r="H8251" t="s">
        <v>49</v>
      </c>
      <c r="I8251" t="s">
        <v>50</v>
      </c>
      <c r="J8251" t="s">
        <v>13681</v>
      </c>
      <c r="K8251" t="s">
        <v>13825</v>
      </c>
      <c r="L8251" t="s">
        <v>53</v>
      </c>
      <c r="N8251" t="s">
        <v>15565</v>
      </c>
      <c r="P8251" t="s">
        <v>55</v>
      </c>
      <c r="R8251" t="s">
        <v>53</v>
      </c>
      <c r="T8251" t="s">
        <v>15566</v>
      </c>
      <c r="U8251" t="s">
        <v>55</v>
      </c>
      <c r="V8251">
        <v>1</v>
      </c>
      <c r="W8251">
        <v>1</v>
      </c>
      <c r="X8251">
        <v>2</v>
      </c>
      <c r="Y8251">
        <v>2</v>
      </c>
      <c r="Z8251">
        <v>4</v>
      </c>
      <c r="AA8251">
        <v>83.44</v>
      </c>
      <c r="AB8251">
        <v>88.92</v>
      </c>
      <c r="AC8251">
        <v>76.72</v>
      </c>
      <c r="AD8251">
        <v>5</v>
      </c>
      <c r="AE8251">
        <v>7.2</v>
      </c>
      <c r="AF8251">
        <v>0</v>
      </c>
      <c r="AG8251">
        <v>0</v>
      </c>
      <c r="AH8251">
        <v>0</v>
      </c>
      <c r="AI8251">
        <v>16.010000000000002</v>
      </c>
      <c r="AJ8251">
        <v>88.92</v>
      </c>
      <c r="AK8251">
        <v>0</v>
      </c>
      <c r="AL8251" t="s">
        <v>53</v>
      </c>
      <c r="AM8251" t="s">
        <v>53</v>
      </c>
      <c r="AN8251" t="s">
        <v>53</v>
      </c>
      <c r="AO8251" t="s">
        <v>53</v>
      </c>
      <c r="AP8251" t="s">
        <v>53</v>
      </c>
    </row>
    <row r="8252" spans="2:42" x14ac:dyDescent="0.2">
      <c r="B8252" t="s">
        <v>44</v>
      </c>
      <c r="C8252" t="str">
        <f>HYPERLINK("https://us2.cloudbeds.com/connect/8493803454333002#/reservations/9080486848379489?display=4YZB4HGT7R&amp;reservation_id=9080486848379489", "4YZB4HGT7R")</f>
        <v>4YZB4HGT7R</v>
      </c>
      <c r="D8252" t="s">
        <v>45</v>
      </c>
      <c r="E8252" t="s">
        <v>406</v>
      </c>
      <c r="F8252" t="s">
        <v>61</v>
      </c>
      <c r="G8252" t="s">
        <v>48</v>
      </c>
      <c r="H8252" t="s">
        <v>49</v>
      </c>
      <c r="I8252" t="s">
        <v>50</v>
      </c>
      <c r="J8252" t="s">
        <v>13681</v>
      </c>
      <c r="K8252" t="s">
        <v>13825</v>
      </c>
      <c r="L8252" t="s">
        <v>53</v>
      </c>
      <c r="N8252" t="s">
        <v>15567</v>
      </c>
      <c r="P8252" t="s">
        <v>55</v>
      </c>
      <c r="R8252" t="s">
        <v>53</v>
      </c>
      <c r="T8252" t="s">
        <v>15568</v>
      </c>
      <c r="U8252" t="s">
        <v>55</v>
      </c>
      <c r="V8252">
        <v>1</v>
      </c>
      <c r="W8252">
        <v>1</v>
      </c>
      <c r="X8252">
        <v>2</v>
      </c>
      <c r="Y8252">
        <v>0</v>
      </c>
      <c r="Z8252">
        <v>2</v>
      </c>
      <c r="AA8252">
        <v>64.42</v>
      </c>
      <c r="AB8252">
        <v>64.42</v>
      </c>
      <c r="AC8252">
        <v>59.24</v>
      </c>
      <c r="AD8252">
        <v>0</v>
      </c>
      <c r="AE8252">
        <v>5.18</v>
      </c>
      <c r="AF8252">
        <v>0</v>
      </c>
      <c r="AG8252">
        <v>0</v>
      </c>
      <c r="AH8252">
        <v>0</v>
      </c>
      <c r="AI8252">
        <v>11.6</v>
      </c>
      <c r="AJ8252">
        <v>64.42</v>
      </c>
      <c r="AK8252">
        <v>0</v>
      </c>
      <c r="AL8252" t="s">
        <v>53</v>
      </c>
      <c r="AM8252" t="s">
        <v>53</v>
      </c>
      <c r="AN8252" t="s">
        <v>53</v>
      </c>
      <c r="AO8252" t="s">
        <v>53</v>
      </c>
      <c r="AP8252" t="s">
        <v>53</v>
      </c>
    </row>
    <row r="8253" spans="2:42" x14ac:dyDescent="0.2">
      <c r="B8253" t="s">
        <v>44</v>
      </c>
      <c r="C8253" t="str">
        <f>HYPERLINK("https://us2.cloudbeds.com/connect/8493803454333002#/reservations/9080486848381414?display=4YPW091WT7&amp;reservation_id=9080486848381414", "4YPW091WT7")</f>
        <v>4YPW091WT7</v>
      </c>
      <c r="D8253" t="s">
        <v>45</v>
      </c>
      <c r="E8253" t="s">
        <v>774</v>
      </c>
      <c r="F8253" t="s">
        <v>47</v>
      </c>
      <c r="G8253" t="s">
        <v>48</v>
      </c>
      <c r="H8253" t="s">
        <v>49</v>
      </c>
      <c r="I8253" t="s">
        <v>62</v>
      </c>
      <c r="J8253" t="s">
        <v>13825</v>
      </c>
      <c r="K8253" t="s">
        <v>13998</v>
      </c>
      <c r="L8253" t="s">
        <v>53</v>
      </c>
      <c r="N8253" t="s">
        <v>15569</v>
      </c>
      <c r="P8253" t="s">
        <v>55</v>
      </c>
      <c r="R8253" t="s">
        <v>201</v>
      </c>
      <c r="T8253" t="s">
        <v>15570</v>
      </c>
      <c r="U8253" t="s">
        <v>55</v>
      </c>
      <c r="V8253">
        <v>2</v>
      </c>
      <c r="W8253">
        <v>2</v>
      </c>
      <c r="X8253">
        <v>3</v>
      </c>
      <c r="Y8253">
        <v>0</v>
      </c>
      <c r="Z8253">
        <v>3</v>
      </c>
      <c r="AA8253">
        <v>168</v>
      </c>
      <c r="AB8253">
        <v>168</v>
      </c>
      <c r="AC8253">
        <v>168</v>
      </c>
      <c r="AD8253">
        <v>0</v>
      </c>
      <c r="AE8253">
        <v>0</v>
      </c>
      <c r="AF8253">
        <v>0</v>
      </c>
      <c r="AG8253">
        <v>0</v>
      </c>
      <c r="AH8253">
        <v>0</v>
      </c>
      <c r="AI8253">
        <v>30.24</v>
      </c>
      <c r="AJ8253">
        <v>168</v>
      </c>
      <c r="AK8253">
        <v>0</v>
      </c>
      <c r="AL8253" t="s">
        <v>53</v>
      </c>
      <c r="AM8253" t="s">
        <v>53</v>
      </c>
      <c r="AN8253" t="s">
        <v>53</v>
      </c>
      <c r="AO8253" t="s">
        <v>53</v>
      </c>
      <c r="AP8253" t="s">
        <v>53</v>
      </c>
    </row>
    <row r="8254" spans="2:42" x14ac:dyDescent="0.2">
      <c r="B8254" t="s">
        <v>44</v>
      </c>
      <c r="C8254" t="str">
        <f>HYPERLINK("https://us2.cloudbeds.com/connect/8493803454333002#/reservations/9080486848381432?display=4YPW9T3E0N&amp;reservation_id=9080486848381432", "4YPW9T3E0N")</f>
        <v>4YPW9T3E0N</v>
      </c>
      <c r="D8254" t="s">
        <v>45</v>
      </c>
      <c r="E8254" t="s">
        <v>487</v>
      </c>
      <c r="F8254" t="s">
        <v>61</v>
      </c>
      <c r="G8254" t="s">
        <v>48</v>
      </c>
      <c r="H8254" t="s">
        <v>49</v>
      </c>
      <c r="I8254" t="s">
        <v>50</v>
      </c>
      <c r="J8254" t="s">
        <v>13825</v>
      </c>
      <c r="K8254" t="s">
        <v>13383</v>
      </c>
      <c r="L8254" t="s">
        <v>53</v>
      </c>
      <c r="N8254" t="s">
        <v>15571</v>
      </c>
      <c r="P8254" t="s">
        <v>55</v>
      </c>
      <c r="R8254" t="s">
        <v>53</v>
      </c>
      <c r="T8254" t="s">
        <v>15572</v>
      </c>
      <c r="U8254" t="s">
        <v>55</v>
      </c>
      <c r="V8254">
        <v>2</v>
      </c>
      <c r="W8254">
        <v>1</v>
      </c>
      <c r="X8254">
        <v>1</v>
      </c>
      <c r="Y8254">
        <v>0</v>
      </c>
      <c r="Z8254">
        <v>1</v>
      </c>
      <c r="AA8254">
        <v>128.84</v>
      </c>
      <c r="AB8254">
        <v>128.84</v>
      </c>
      <c r="AC8254">
        <v>118.48</v>
      </c>
      <c r="AD8254">
        <v>0</v>
      </c>
      <c r="AE8254">
        <v>10.36</v>
      </c>
      <c r="AF8254">
        <v>0</v>
      </c>
      <c r="AG8254">
        <v>0</v>
      </c>
      <c r="AH8254">
        <v>0</v>
      </c>
      <c r="AI8254">
        <v>23.19</v>
      </c>
      <c r="AJ8254">
        <v>128.84</v>
      </c>
      <c r="AK8254">
        <v>0</v>
      </c>
      <c r="AL8254" t="s">
        <v>53</v>
      </c>
      <c r="AM8254" t="s">
        <v>53</v>
      </c>
      <c r="AN8254" t="s">
        <v>53</v>
      </c>
      <c r="AO8254" t="s">
        <v>53</v>
      </c>
      <c r="AP8254" t="s">
        <v>53</v>
      </c>
    </row>
    <row r="8255" spans="2:42" x14ac:dyDescent="0.2">
      <c r="B8255" t="s">
        <v>44</v>
      </c>
      <c r="C8255" t="str">
        <f>HYPERLINK("https://us2.cloudbeds.com/connect/8493803454333002#/reservations/216289378926784?display=4YQ0JVAQG7&amp;reservation_id=216289378926784", "4YQ0JVAQG7")</f>
        <v>4YQ0JVAQG7</v>
      </c>
      <c r="D8255" t="s">
        <v>45</v>
      </c>
      <c r="E8255" t="s">
        <v>381</v>
      </c>
      <c r="F8255" t="s">
        <v>47</v>
      </c>
      <c r="G8255" t="s">
        <v>48</v>
      </c>
      <c r="H8255" t="s">
        <v>3957</v>
      </c>
      <c r="I8255" t="s">
        <v>3975</v>
      </c>
      <c r="J8255" t="s">
        <v>13825</v>
      </c>
      <c r="K8255" t="s">
        <v>13383</v>
      </c>
      <c r="L8255" t="s">
        <v>53</v>
      </c>
      <c r="P8255" t="s">
        <v>55</v>
      </c>
      <c r="R8255" t="s">
        <v>56</v>
      </c>
      <c r="T8255" t="s">
        <v>15573</v>
      </c>
      <c r="U8255" t="s">
        <v>58</v>
      </c>
      <c r="V8255">
        <v>2</v>
      </c>
      <c r="W8255">
        <v>1</v>
      </c>
      <c r="X8255">
        <v>2</v>
      </c>
      <c r="Y8255">
        <v>0</v>
      </c>
      <c r="Z8255">
        <v>2</v>
      </c>
      <c r="AA8255">
        <v>183.44</v>
      </c>
      <c r="AB8255">
        <v>183.44</v>
      </c>
      <c r="AC8255">
        <v>160</v>
      </c>
      <c r="AD8255">
        <v>0</v>
      </c>
      <c r="AE8255">
        <v>23.44</v>
      </c>
      <c r="AF8255">
        <v>0</v>
      </c>
      <c r="AG8255">
        <v>0</v>
      </c>
      <c r="AH8255">
        <v>0</v>
      </c>
      <c r="AI8255">
        <v>0</v>
      </c>
      <c r="AJ8255">
        <v>183.44</v>
      </c>
      <c r="AK8255">
        <v>0</v>
      </c>
      <c r="AL8255" t="s">
        <v>53</v>
      </c>
      <c r="AM8255" t="s">
        <v>53</v>
      </c>
      <c r="AN8255" t="s">
        <v>15574</v>
      </c>
      <c r="AO8255" t="s">
        <v>53</v>
      </c>
      <c r="AP8255" t="s">
        <v>53</v>
      </c>
    </row>
    <row r="8256" spans="2:42" x14ac:dyDescent="0.2">
      <c r="B8256" t="s">
        <v>44</v>
      </c>
      <c r="C8256" t="str">
        <f>HYPERLINK("https://us2.cloudbeds.com/connect/8493803454333002#/reservations/9080486848382164?display=4YQYJ4GBCR&amp;reservation_id=9080486848382164", "4YQYJ4GBCR")</f>
        <v>4YQYJ4GBCR</v>
      </c>
      <c r="D8256" t="s">
        <v>45</v>
      </c>
      <c r="E8256" t="s">
        <v>265</v>
      </c>
      <c r="F8256" t="s">
        <v>61</v>
      </c>
      <c r="G8256" t="s">
        <v>48</v>
      </c>
      <c r="H8256" t="s">
        <v>49</v>
      </c>
      <c r="I8256" t="s">
        <v>50</v>
      </c>
      <c r="J8256" t="s">
        <v>13037</v>
      </c>
      <c r="K8256" t="s">
        <v>14176</v>
      </c>
      <c r="L8256" t="s">
        <v>53</v>
      </c>
      <c r="N8256" t="s">
        <v>15575</v>
      </c>
      <c r="P8256" t="s">
        <v>55</v>
      </c>
      <c r="R8256" t="s">
        <v>53</v>
      </c>
      <c r="T8256" t="s">
        <v>15576</v>
      </c>
      <c r="U8256" t="s">
        <v>58</v>
      </c>
      <c r="V8256">
        <v>1</v>
      </c>
      <c r="W8256">
        <v>1</v>
      </c>
      <c r="X8256">
        <v>2</v>
      </c>
      <c r="Y8256">
        <v>0</v>
      </c>
      <c r="Z8256">
        <v>2</v>
      </c>
      <c r="AA8256">
        <v>162.71</v>
      </c>
      <c r="AB8256">
        <v>162.71</v>
      </c>
      <c r="AC8256">
        <v>141.91</v>
      </c>
      <c r="AD8256">
        <v>0</v>
      </c>
      <c r="AE8256">
        <v>20.8</v>
      </c>
      <c r="AF8256">
        <v>0</v>
      </c>
      <c r="AG8256">
        <v>0</v>
      </c>
      <c r="AH8256">
        <v>0</v>
      </c>
      <c r="AI8256">
        <v>29.29</v>
      </c>
      <c r="AJ8256">
        <v>162.71</v>
      </c>
      <c r="AK8256">
        <v>0</v>
      </c>
      <c r="AL8256" t="s">
        <v>53</v>
      </c>
      <c r="AM8256" t="s">
        <v>53</v>
      </c>
      <c r="AN8256" t="s">
        <v>15577</v>
      </c>
      <c r="AO8256" t="s">
        <v>53</v>
      </c>
      <c r="AP8256" t="s">
        <v>53</v>
      </c>
    </row>
    <row r="8257" spans="2:42" x14ac:dyDescent="0.2">
      <c r="B8257" t="s">
        <v>44</v>
      </c>
      <c r="C8257" t="str">
        <f>HYPERLINK("https://us2.cloudbeds.com/connect/8493803454333002#/reservations/9080486848382488?display=4YR0NVQ0R2&amp;reservation_id=9080486848382488", "4YR0NVQ0R2")</f>
        <v>4YR0NVQ0R2</v>
      </c>
      <c r="D8257" t="s">
        <v>45</v>
      </c>
      <c r="E8257" t="s">
        <v>85</v>
      </c>
      <c r="F8257" t="s">
        <v>86</v>
      </c>
      <c r="G8257" t="s">
        <v>48</v>
      </c>
      <c r="H8257" t="s">
        <v>49</v>
      </c>
      <c r="I8257" t="s">
        <v>62</v>
      </c>
      <c r="J8257" t="s">
        <v>13960</v>
      </c>
      <c r="K8257" t="s">
        <v>14160</v>
      </c>
      <c r="L8257" t="s">
        <v>53</v>
      </c>
      <c r="N8257" t="s">
        <v>15578</v>
      </c>
      <c r="P8257" t="s">
        <v>55</v>
      </c>
      <c r="R8257" t="s">
        <v>56</v>
      </c>
      <c r="T8257" t="s">
        <v>15579</v>
      </c>
      <c r="U8257" t="s">
        <v>55</v>
      </c>
      <c r="V8257">
        <v>1</v>
      </c>
      <c r="W8257">
        <v>1</v>
      </c>
      <c r="X8257">
        <v>2</v>
      </c>
      <c r="Y8257">
        <v>0</v>
      </c>
      <c r="Z8257">
        <v>2</v>
      </c>
      <c r="AA8257">
        <v>92.4</v>
      </c>
      <c r="AB8257">
        <v>92.4</v>
      </c>
      <c r="AC8257">
        <v>92.4</v>
      </c>
      <c r="AD8257">
        <v>0</v>
      </c>
      <c r="AE8257">
        <v>0</v>
      </c>
      <c r="AF8257">
        <v>0</v>
      </c>
      <c r="AG8257">
        <v>0</v>
      </c>
      <c r="AH8257">
        <v>0</v>
      </c>
      <c r="AI8257">
        <v>16.63</v>
      </c>
      <c r="AJ8257">
        <v>92.4</v>
      </c>
      <c r="AK8257">
        <v>0</v>
      </c>
      <c r="AL8257" t="s">
        <v>53</v>
      </c>
      <c r="AM8257" t="s">
        <v>53</v>
      </c>
      <c r="AN8257" t="s">
        <v>53</v>
      </c>
      <c r="AO8257" t="s">
        <v>53</v>
      </c>
      <c r="AP8257" t="s">
        <v>53</v>
      </c>
    </row>
    <row r="8258" spans="2:42" x14ac:dyDescent="0.2">
      <c r="B8258" t="s">
        <v>44</v>
      </c>
      <c r="C8258" t="str">
        <f>HYPERLINK("https://us2.cloudbeds.com/connect/8493803454333002#/reservations/9080486848385445?display=4YTS30PK0U&amp;reservation_id=9080486848385445", "4YTS30PK0U")</f>
        <v>4YTS30PK0U</v>
      </c>
      <c r="D8258" t="s">
        <v>45</v>
      </c>
      <c r="E8258" t="s">
        <v>128</v>
      </c>
      <c r="F8258" t="s">
        <v>86</v>
      </c>
      <c r="G8258" t="s">
        <v>48</v>
      </c>
      <c r="H8258" t="s">
        <v>49</v>
      </c>
      <c r="I8258" t="s">
        <v>8964</v>
      </c>
      <c r="J8258" t="s">
        <v>14189</v>
      </c>
      <c r="K8258" t="s">
        <v>13653</v>
      </c>
      <c r="L8258" t="s">
        <v>53</v>
      </c>
      <c r="N8258" t="s">
        <v>15580</v>
      </c>
      <c r="P8258" t="s">
        <v>55</v>
      </c>
      <c r="R8258" t="s">
        <v>53</v>
      </c>
      <c r="T8258" t="s">
        <v>15581</v>
      </c>
      <c r="U8258" t="s">
        <v>55</v>
      </c>
      <c r="V8258">
        <v>1</v>
      </c>
      <c r="W8258">
        <v>1</v>
      </c>
      <c r="X8258">
        <v>3</v>
      </c>
      <c r="Y8258">
        <v>0</v>
      </c>
      <c r="Z8258">
        <v>3</v>
      </c>
      <c r="AA8258">
        <v>0</v>
      </c>
      <c r="AB8258">
        <v>0</v>
      </c>
      <c r="AC8258">
        <v>126</v>
      </c>
      <c r="AD8258">
        <v>0</v>
      </c>
      <c r="AE8258">
        <v>0</v>
      </c>
      <c r="AF8258">
        <v>0</v>
      </c>
      <c r="AG8258">
        <v>0</v>
      </c>
      <c r="AH8258">
        <v>0</v>
      </c>
      <c r="AI8258">
        <v>18.899999999999999</v>
      </c>
      <c r="AJ8258">
        <v>126</v>
      </c>
      <c r="AK8258">
        <v>126</v>
      </c>
      <c r="AL8258" t="s">
        <v>53</v>
      </c>
      <c r="AM8258" t="s">
        <v>53</v>
      </c>
      <c r="AN8258" t="s">
        <v>15582</v>
      </c>
      <c r="AO8258" t="s">
        <v>53</v>
      </c>
      <c r="AP8258" t="s">
        <v>53</v>
      </c>
    </row>
    <row r="8259" spans="2:42" x14ac:dyDescent="0.2">
      <c r="B8259" t="s">
        <v>44</v>
      </c>
      <c r="C8259" t="str">
        <f>HYPERLINK("https://us2.cloudbeds.com/connect/8493803454333002#/reservations/9080486848386721?display=4YUKUQSDTN&amp;reservation_id=9080486848386721", "4YUKUQSDTN")</f>
        <v>4YUKUQSDTN</v>
      </c>
      <c r="D8259" t="s">
        <v>45</v>
      </c>
      <c r="E8259" t="s">
        <v>406</v>
      </c>
      <c r="F8259" t="s">
        <v>61</v>
      </c>
      <c r="G8259" t="s">
        <v>48</v>
      </c>
      <c r="H8259" t="s">
        <v>49</v>
      </c>
      <c r="I8259" t="s">
        <v>62</v>
      </c>
      <c r="J8259" t="s">
        <v>13998</v>
      </c>
      <c r="K8259" t="s">
        <v>13383</v>
      </c>
      <c r="L8259" t="s">
        <v>53</v>
      </c>
      <c r="N8259" t="s">
        <v>15583</v>
      </c>
      <c r="P8259" t="s">
        <v>55</v>
      </c>
      <c r="R8259" t="s">
        <v>56</v>
      </c>
      <c r="T8259" t="s">
        <v>15584</v>
      </c>
      <c r="U8259" t="s">
        <v>55</v>
      </c>
      <c r="V8259">
        <v>1</v>
      </c>
      <c r="W8259">
        <v>1</v>
      </c>
      <c r="X8259">
        <v>2</v>
      </c>
      <c r="Y8259">
        <v>0</v>
      </c>
      <c r="Z8259">
        <v>2</v>
      </c>
      <c r="AA8259">
        <v>90.3</v>
      </c>
      <c r="AB8259">
        <v>90.3</v>
      </c>
      <c r="AC8259">
        <v>90.3</v>
      </c>
      <c r="AD8259">
        <v>0</v>
      </c>
      <c r="AE8259">
        <v>0</v>
      </c>
      <c r="AF8259">
        <v>0</v>
      </c>
      <c r="AG8259">
        <v>0</v>
      </c>
      <c r="AH8259">
        <v>0</v>
      </c>
      <c r="AI8259">
        <v>16.25</v>
      </c>
      <c r="AJ8259">
        <v>90.3</v>
      </c>
      <c r="AK8259">
        <v>0</v>
      </c>
      <c r="AL8259" t="s">
        <v>53</v>
      </c>
      <c r="AM8259" t="s">
        <v>53</v>
      </c>
      <c r="AN8259" t="s">
        <v>53</v>
      </c>
      <c r="AO8259" t="s">
        <v>53</v>
      </c>
      <c r="AP8259" t="s">
        <v>53</v>
      </c>
    </row>
    <row r="8260" spans="2:42" x14ac:dyDescent="0.2">
      <c r="B8260" t="s">
        <v>44</v>
      </c>
      <c r="C8260" t="str">
        <f>HYPERLINK("https://us2.cloudbeds.com/connect/8493803454333002#/reservations/9080486848389805?display=4YWYZEH90X&amp;reservation_id=9080486848389805", "4YWYZEH90X")</f>
        <v>4YWYZEH90X</v>
      </c>
      <c r="D8260" t="s">
        <v>45</v>
      </c>
      <c r="E8260" t="s">
        <v>121</v>
      </c>
      <c r="F8260" t="s">
        <v>86</v>
      </c>
      <c r="G8260" t="s">
        <v>48</v>
      </c>
      <c r="H8260" t="s">
        <v>49</v>
      </c>
      <c r="I8260" t="s">
        <v>50</v>
      </c>
      <c r="J8260" t="s">
        <v>13825</v>
      </c>
      <c r="K8260" t="s">
        <v>13998</v>
      </c>
      <c r="L8260" t="s">
        <v>53</v>
      </c>
      <c r="N8260" t="s">
        <v>15585</v>
      </c>
      <c r="P8260" t="s">
        <v>55</v>
      </c>
      <c r="R8260" t="s">
        <v>53</v>
      </c>
      <c r="T8260" t="s">
        <v>15586</v>
      </c>
      <c r="U8260" t="s">
        <v>55</v>
      </c>
      <c r="V8260">
        <v>1</v>
      </c>
      <c r="W8260">
        <v>1</v>
      </c>
      <c r="X8260">
        <v>2</v>
      </c>
      <c r="Y8260">
        <v>0</v>
      </c>
      <c r="Z8260">
        <v>2</v>
      </c>
      <c r="AA8260">
        <v>83.44</v>
      </c>
      <c r="AB8260">
        <v>83.44</v>
      </c>
      <c r="AC8260">
        <v>76.72</v>
      </c>
      <c r="AD8260">
        <v>0</v>
      </c>
      <c r="AE8260">
        <v>6.72</v>
      </c>
      <c r="AF8260">
        <v>0</v>
      </c>
      <c r="AG8260">
        <v>0</v>
      </c>
      <c r="AH8260">
        <v>0</v>
      </c>
      <c r="AI8260">
        <v>15.02</v>
      </c>
      <c r="AJ8260">
        <v>83.44</v>
      </c>
      <c r="AK8260">
        <v>0</v>
      </c>
      <c r="AL8260" t="s">
        <v>53</v>
      </c>
      <c r="AM8260" t="s">
        <v>53</v>
      </c>
      <c r="AN8260" t="s">
        <v>53</v>
      </c>
      <c r="AO8260" t="s">
        <v>53</v>
      </c>
      <c r="AP8260" t="s">
        <v>53</v>
      </c>
    </row>
    <row r="8261" spans="2:42" x14ac:dyDescent="0.2">
      <c r="B8261" t="s">
        <v>44</v>
      </c>
      <c r="C8261" t="str">
        <f>HYPERLINK("https://us2.cloudbeds.com/connect/8493803454333002#/reservations/9080486848389874?display=4YWNNX84GB&amp;reservation_id=9080486848389874", "4YWNNX84GB")</f>
        <v>4YWNNX84GB</v>
      </c>
      <c r="D8261" t="s">
        <v>45</v>
      </c>
      <c r="E8261" t="s">
        <v>373</v>
      </c>
      <c r="F8261" t="s">
        <v>47</v>
      </c>
      <c r="G8261" t="s">
        <v>48</v>
      </c>
      <c r="H8261" t="s">
        <v>49</v>
      </c>
      <c r="I8261" t="s">
        <v>8964</v>
      </c>
      <c r="J8261" t="s">
        <v>13998</v>
      </c>
      <c r="K8261" t="s">
        <v>13383</v>
      </c>
      <c r="L8261" t="s">
        <v>53</v>
      </c>
      <c r="N8261" t="s">
        <v>15587</v>
      </c>
      <c r="P8261" t="s">
        <v>55</v>
      </c>
      <c r="R8261" t="s">
        <v>53</v>
      </c>
      <c r="T8261" t="s">
        <v>15588</v>
      </c>
      <c r="U8261" t="s">
        <v>55</v>
      </c>
      <c r="V8261">
        <v>1</v>
      </c>
      <c r="W8261">
        <v>1</v>
      </c>
      <c r="X8261">
        <v>1</v>
      </c>
      <c r="Y8261">
        <v>0</v>
      </c>
      <c r="Z8261">
        <v>1</v>
      </c>
      <c r="AA8261">
        <v>84</v>
      </c>
      <c r="AB8261">
        <v>0</v>
      </c>
      <c r="AC8261">
        <v>84</v>
      </c>
      <c r="AD8261">
        <v>0</v>
      </c>
      <c r="AE8261">
        <v>0</v>
      </c>
      <c r="AF8261">
        <v>0</v>
      </c>
      <c r="AG8261">
        <v>0</v>
      </c>
      <c r="AH8261">
        <v>0</v>
      </c>
      <c r="AI8261">
        <v>12.6</v>
      </c>
      <c r="AJ8261">
        <v>84</v>
      </c>
      <c r="AK8261">
        <v>84</v>
      </c>
      <c r="AL8261" t="s">
        <v>53</v>
      </c>
      <c r="AM8261" t="s">
        <v>53</v>
      </c>
      <c r="AN8261" t="s">
        <v>15589</v>
      </c>
      <c r="AO8261" t="s">
        <v>53</v>
      </c>
      <c r="AP8261" t="s">
        <v>53</v>
      </c>
    </row>
    <row r="8262" spans="2:42" x14ac:dyDescent="0.2">
      <c r="B8262" t="s">
        <v>44</v>
      </c>
      <c r="C8262" t="str">
        <f>HYPERLINK("https://us2.cloudbeds.com/connect/8493803454333002#/reservations/9080486848390268?display=4M01XNVA1X&amp;reservation_id=9080486848390268", "4M01XNVA1X")</f>
        <v>4M01XNVA1X</v>
      </c>
      <c r="D8262" t="s">
        <v>45</v>
      </c>
      <c r="E8262" t="s">
        <v>14402</v>
      </c>
      <c r="F8262" t="s">
        <v>14403</v>
      </c>
      <c r="G8262" t="s">
        <v>48</v>
      </c>
      <c r="H8262" t="s">
        <v>49</v>
      </c>
      <c r="I8262" t="s">
        <v>50</v>
      </c>
      <c r="J8262" t="s">
        <v>13959</v>
      </c>
      <c r="K8262" t="s">
        <v>14160</v>
      </c>
      <c r="L8262" t="s">
        <v>53</v>
      </c>
      <c r="N8262" t="s">
        <v>15590</v>
      </c>
      <c r="P8262" t="s">
        <v>55</v>
      </c>
      <c r="R8262" t="s">
        <v>53</v>
      </c>
      <c r="T8262" t="s">
        <v>15591</v>
      </c>
      <c r="U8262" t="s">
        <v>55</v>
      </c>
      <c r="V8262">
        <v>2</v>
      </c>
      <c r="W8262">
        <v>1</v>
      </c>
      <c r="X8262">
        <v>1</v>
      </c>
      <c r="Y8262">
        <v>0</v>
      </c>
      <c r="Z8262">
        <v>1</v>
      </c>
      <c r="AA8262">
        <v>136.54</v>
      </c>
      <c r="AB8262">
        <v>136.54</v>
      </c>
      <c r="AC8262">
        <v>125.54</v>
      </c>
      <c r="AD8262">
        <v>0</v>
      </c>
      <c r="AE8262">
        <v>11</v>
      </c>
      <c r="AF8262">
        <v>0</v>
      </c>
      <c r="AG8262">
        <v>0</v>
      </c>
      <c r="AH8262">
        <v>0</v>
      </c>
      <c r="AI8262">
        <v>24.58</v>
      </c>
      <c r="AJ8262">
        <v>136.54</v>
      </c>
      <c r="AK8262">
        <v>0</v>
      </c>
      <c r="AL8262" t="s">
        <v>53</v>
      </c>
      <c r="AM8262" t="s">
        <v>53</v>
      </c>
      <c r="AN8262" t="s">
        <v>53</v>
      </c>
      <c r="AO8262" t="s">
        <v>53</v>
      </c>
      <c r="AP8262" t="s">
        <v>53</v>
      </c>
    </row>
    <row r="8263" spans="2:42" x14ac:dyDescent="0.2">
      <c r="B8263" t="s">
        <v>44</v>
      </c>
      <c r="C8263" t="str">
        <f>HYPERLINK("https://us2.cloudbeds.com/connect/8493803454333002#/reservations/9080486848391868?display=4M1XQ8KQ6T&amp;reservation_id=9080486848391868", "4M1XQ8KQ6T")</f>
        <v>4M1XQ8KQ6T</v>
      </c>
      <c r="D8263" t="s">
        <v>45</v>
      </c>
      <c r="E8263" t="s">
        <v>110</v>
      </c>
      <c r="F8263" t="s">
        <v>47</v>
      </c>
      <c r="G8263" t="s">
        <v>48</v>
      </c>
      <c r="H8263" t="s">
        <v>49</v>
      </c>
      <c r="I8263" t="s">
        <v>50</v>
      </c>
      <c r="J8263" t="s">
        <v>14929</v>
      </c>
      <c r="K8263" t="s">
        <v>10579</v>
      </c>
      <c r="L8263" t="s">
        <v>53</v>
      </c>
      <c r="N8263" t="s">
        <v>15592</v>
      </c>
      <c r="P8263" t="s">
        <v>55</v>
      </c>
      <c r="R8263" t="s">
        <v>53</v>
      </c>
      <c r="T8263" t="s">
        <v>15593</v>
      </c>
      <c r="U8263" t="s">
        <v>55</v>
      </c>
      <c r="V8263">
        <v>1</v>
      </c>
      <c r="W8263">
        <v>1</v>
      </c>
      <c r="X8263">
        <v>1</v>
      </c>
      <c r="Y8263">
        <v>0</v>
      </c>
      <c r="Z8263">
        <v>1</v>
      </c>
      <c r="AA8263">
        <v>72.36</v>
      </c>
      <c r="AB8263">
        <v>72.36</v>
      </c>
      <c r="AC8263">
        <v>66.540000000000006</v>
      </c>
      <c r="AD8263">
        <v>0</v>
      </c>
      <c r="AE8263">
        <v>5.82</v>
      </c>
      <c r="AF8263">
        <v>0</v>
      </c>
      <c r="AG8263">
        <v>0</v>
      </c>
      <c r="AH8263">
        <v>0</v>
      </c>
      <c r="AI8263">
        <v>13.02</v>
      </c>
      <c r="AJ8263">
        <v>72.36</v>
      </c>
      <c r="AK8263">
        <v>0</v>
      </c>
      <c r="AL8263" t="s">
        <v>53</v>
      </c>
      <c r="AM8263" t="s">
        <v>53</v>
      </c>
      <c r="AN8263" t="s">
        <v>53</v>
      </c>
      <c r="AO8263" t="s">
        <v>53</v>
      </c>
      <c r="AP8263" t="s">
        <v>53</v>
      </c>
    </row>
    <row r="8264" spans="2:42" x14ac:dyDescent="0.2">
      <c r="B8264" t="s">
        <v>44</v>
      </c>
      <c r="C8264" t="str">
        <f>HYPERLINK("https://us2.cloudbeds.com/connect/8493803454333002#/reservations/9080486848392023?display=4M1NMCKQCX&amp;reservation_id=9080486848392023", "4M1NMCKQCX")</f>
        <v>4M1NMCKQCX</v>
      </c>
      <c r="D8264" t="s">
        <v>45</v>
      </c>
      <c r="E8264" t="s">
        <v>128</v>
      </c>
      <c r="F8264" t="s">
        <v>86</v>
      </c>
      <c r="G8264" t="s">
        <v>48</v>
      </c>
      <c r="H8264" t="s">
        <v>49</v>
      </c>
      <c r="I8264" t="s">
        <v>50</v>
      </c>
      <c r="J8264" t="s">
        <v>15594</v>
      </c>
      <c r="K8264" t="s">
        <v>14656</v>
      </c>
      <c r="L8264" t="s">
        <v>53</v>
      </c>
      <c r="N8264" t="s">
        <v>15595</v>
      </c>
      <c r="P8264" t="s">
        <v>55</v>
      </c>
      <c r="R8264" t="s">
        <v>53</v>
      </c>
      <c r="T8264" t="s">
        <v>15596</v>
      </c>
      <c r="U8264" t="s">
        <v>58</v>
      </c>
      <c r="V8264">
        <v>2</v>
      </c>
      <c r="W8264">
        <v>1</v>
      </c>
      <c r="X8264">
        <v>2</v>
      </c>
      <c r="Y8264">
        <v>1</v>
      </c>
      <c r="Z8264">
        <v>3</v>
      </c>
      <c r="AA8264">
        <v>425.42</v>
      </c>
      <c r="AB8264">
        <v>425.42</v>
      </c>
      <c r="AC8264">
        <v>371.06</v>
      </c>
      <c r="AD8264">
        <v>0</v>
      </c>
      <c r="AE8264">
        <v>54.36</v>
      </c>
      <c r="AF8264">
        <v>0</v>
      </c>
      <c r="AG8264">
        <v>0</v>
      </c>
      <c r="AH8264">
        <v>0</v>
      </c>
      <c r="AI8264">
        <v>76.58</v>
      </c>
      <c r="AJ8264">
        <v>425.42</v>
      </c>
      <c r="AK8264">
        <v>0</v>
      </c>
      <c r="AL8264" t="s">
        <v>53</v>
      </c>
      <c r="AM8264" t="s">
        <v>53</v>
      </c>
      <c r="AN8264" t="s">
        <v>15597</v>
      </c>
      <c r="AO8264" t="s">
        <v>53</v>
      </c>
      <c r="AP8264" t="s">
        <v>53</v>
      </c>
    </row>
    <row r="8265" spans="2:42" x14ac:dyDescent="0.2">
      <c r="B8265" t="s">
        <v>44</v>
      </c>
      <c r="C8265" t="str">
        <f>HYPERLINK("https://us2.cloudbeds.com/connect/8493803454333002#/reservations/9080486848395164?display=4M52PG1GT8&amp;reservation_id=9080486848395164", "4M52PG1GT8")</f>
        <v>4M52PG1GT8</v>
      </c>
      <c r="D8265" t="s">
        <v>45</v>
      </c>
      <c r="E8265" t="s">
        <v>110</v>
      </c>
      <c r="F8265" t="s">
        <v>47</v>
      </c>
      <c r="G8265" t="s">
        <v>48</v>
      </c>
      <c r="H8265" t="s">
        <v>49</v>
      </c>
      <c r="I8265" t="s">
        <v>50</v>
      </c>
      <c r="J8265" t="s">
        <v>13998</v>
      </c>
      <c r="K8265" t="s">
        <v>13383</v>
      </c>
      <c r="L8265" t="s">
        <v>53</v>
      </c>
      <c r="N8265" t="s">
        <v>15598</v>
      </c>
      <c r="P8265" t="s">
        <v>55</v>
      </c>
      <c r="R8265" t="s">
        <v>53</v>
      </c>
      <c r="T8265" t="s">
        <v>15599</v>
      </c>
      <c r="U8265" t="s">
        <v>55</v>
      </c>
      <c r="V8265">
        <v>1</v>
      </c>
      <c r="W8265">
        <v>1</v>
      </c>
      <c r="X8265">
        <v>2</v>
      </c>
      <c r="Y8265">
        <v>0</v>
      </c>
      <c r="Z8265">
        <v>2</v>
      </c>
      <c r="AA8265">
        <v>67.41</v>
      </c>
      <c r="AB8265">
        <v>67.41</v>
      </c>
      <c r="AC8265">
        <v>61.99</v>
      </c>
      <c r="AD8265">
        <v>0</v>
      </c>
      <c r="AE8265">
        <v>5.42</v>
      </c>
      <c r="AF8265">
        <v>0</v>
      </c>
      <c r="AG8265">
        <v>0</v>
      </c>
      <c r="AH8265">
        <v>0</v>
      </c>
      <c r="AI8265">
        <v>12.13</v>
      </c>
      <c r="AJ8265">
        <v>67.41</v>
      </c>
      <c r="AK8265">
        <v>0</v>
      </c>
      <c r="AL8265" t="s">
        <v>53</v>
      </c>
      <c r="AM8265" t="s">
        <v>53</v>
      </c>
      <c r="AN8265" t="s">
        <v>53</v>
      </c>
      <c r="AO8265" t="s">
        <v>53</v>
      </c>
      <c r="AP8265" t="s">
        <v>53</v>
      </c>
    </row>
    <row r="8266" spans="2:42" x14ac:dyDescent="0.2">
      <c r="B8266" t="s">
        <v>44</v>
      </c>
      <c r="C8266" t="str">
        <f>HYPERLINK("https://us2.cloudbeds.com/connect/8493803454333002#/reservations/216858553647296?display=4M6CAMX7CF&amp;reservation_id=216858553647296", "4M6CAMX7CF")</f>
        <v>4M6CAMX7CF</v>
      </c>
      <c r="D8266" t="s">
        <v>45</v>
      </c>
      <c r="E8266" t="s">
        <v>179</v>
      </c>
      <c r="F8266" t="s">
        <v>47</v>
      </c>
      <c r="G8266" t="s">
        <v>13757</v>
      </c>
      <c r="H8266" t="s">
        <v>3957</v>
      </c>
      <c r="I8266" t="s">
        <v>3975</v>
      </c>
      <c r="J8266" t="s">
        <v>13998</v>
      </c>
      <c r="K8266" t="s">
        <v>13383</v>
      </c>
      <c r="L8266" t="s">
        <v>53</v>
      </c>
      <c r="P8266" t="s">
        <v>55</v>
      </c>
      <c r="R8266" t="s">
        <v>56</v>
      </c>
      <c r="T8266" t="s">
        <v>15600</v>
      </c>
      <c r="U8266" t="s">
        <v>58</v>
      </c>
      <c r="V8266">
        <v>1</v>
      </c>
      <c r="W8266">
        <v>1</v>
      </c>
      <c r="X8266">
        <v>1</v>
      </c>
      <c r="Y8266">
        <v>0</v>
      </c>
      <c r="Z8266">
        <v>1</v>
      </c>
      <c r="AA8266">
        <v>82.55</v>
      </c>
      <c r="AB8266">
        <v>82.55</v>
      </c>
      <c r="AC8266">
        <v>72</v>
      </c>
      <c r="AD8266">
        <v>0</v>
      </c>
      <c r="AE8266">
        <v>10.55</v>
      </c>
      <c r="AF8266">
        <v>0</v>
      </c>
      <c r="AG8266">
        <v>0</v>
      </c>
      <c r="AH8266">
        <v>0</v>
      </c>
      <c r="AI8266">
        <v>0</v>
      </c>
      <c r="AJ8266">
        <v>82.55</v>
      </c>
      <c r="AK8266">
        <v>0</v>
      </c>
      <c r="AL8266" t="s">
        <v>53</v>
      </c>
      <c r="AM8266" t="s">
        <v>53</v>
      </c>
      <c r="AN8266" t="s">
        <v>15601</v>
      </c>
      <c r="AO8266" t="s">
        <v>53</v>
      </c>
      <c r="AP8266" t="s">
        <v>53</v>
      </c>
    </row>
    <row r="8267" spans="2:42" x14ac:dyDescent="0.2">
      <c r="B8267" t="s">
        <v>44</v>
      </c>
      <c r="C8267" t="str">
        <f>HYPERLINK("https://us2.cloudbeds.com/connect/8493803454333002#/reservations/216913591701632?display=4M7YV133HJ&amp;reservation_id=216913591701632", "4M7YV133HJ")</f>
        <v>4M7YV133HJ</v>
      </c>
      <c r="D8267" t="s">
        <v>45</v>
      </c>
      <c r="E8267" t="s">
        <v>110</v>
      </c>
      <c r="F8267" t="s">
        <v>47</v>
      </c>
      <c r="G8267" t="s">
        <v>3974</v>
      </c>
      <c r="H8267" t="s">
        <v>3957</v>
      </c>
      <c r="I8267" t="s">
        <v>3975</v>
      </c>
      <c r="J8267" t="s">
        <v>15439</v>
      </c>
      <c r="K8267" t="s">
        <v>14929</v>
      </c>
      <c r="L8267" t="s">
        <v>53</v>
      </c>
      <c r="P8267" t="s">
        <v>55</v>
      </c>
      <c r="R8267" t="s">
        <v>56</v>
      </c>
      <c r="T8267" t="s">
        <v>15602</v>
      </c>
      <c r="U8267" t="s">
        <v>58</v>
      </c>
      <c r="V8267">
        <v>1</v>
      </c>
      <c r="W8267">
        <v>1</v>
      </c>
      <c r="X8267">
        <v>2</v>
      </c>
      <c r="Y8267">
        <v>0</v>
      </c>
      <c r="Z8267">
        <v>2</v>
      </c>
      <c r="AA8267">
        <v>112.19</v>
      </c>
      <c r="AB8267">
        <v>112.19</v>
      </c>
      <c r="AC8267">
        <v>97.85</v>
      </c>
      <c r="AD8267">
        <v>0</v>
      </c>
      <c r="AE8267">
        <v>14.34</v>
      </c>
      <c r="AF8267">
        <v>0</v>
      </c>
      <c r="AG8267">
        <v>0</v>
      </c>
      <c r="AH8267">
        <v>0</v>
      </c>
      <c r="AI8267">
        <v>0</v>
      </c>
      <c r="AJ8267">
        <v>112.19</v>
      </c>
      <c r="AK8267">
        <v>0</v>
      </c>
      <c r="AL8267" t="s">
        <v>53</v>
      </c>
      <c r="AM8267" t="s">
        <v>53</v>
      </c>
      <c r="AN8267" t="s">
        <v>15603</v>
      </c>
      <c r="AO8267" t="s">
        <v>53</v>
      </c>
      <c r="AP8267" t="s">
        <v>53</v>
      </c>
    </row>
    <row r="8268" spans="2:42" x14ac:dyDescent="0.2">
      <c r="B8268" t="s">
        <v>44</v>
      </c>
      <c r="C8268" t="str">
        <f>HYPERLINK("https://us2.cloudbeds.com/connect/8493803454333002#/reservations/216970593603712?display=4M902XKS9G&amp;reservation_id=216970593603712", "4M902XKS9G")</f>
        <v>4M902XKS9G</v>
      </c>
      <c r="D8268" t="s">
        <v>45</v>
      </c>
      <c r="E8268" t="s">
        <v>265</v>
      </c>
      <c r="F8268" t="s">
        <v>61</v>
      </c>
      <c r="G8268" t="s">
        <v>48</v>
      </c>
      <c r="H8268" t="s">
        <v>3957</v>
      </c>
      <c r="I8268" t="s">
        <v>3958</v>
      </c>
      <c r="J8268" t="s">
        <v>13998</v>
      </c>
      <c r="K8268" t="s">
        <v>13383</v>
      </c>
      <c r="L8268" t="s">
        <v>53</v>
      </c>
      <c r="P8268" t="s">
        <v>55</v>
      </c>
      <c r="R8268" t="s">
        <v>56</v>
      </c>
      <c r="T8268" t="s">
        <v>15604</v>
      </c>
      <c r="U8268" t="s">
        <v>58</v>
      </c>
      <c r="V8268">
        <v>1</v>
      </c>
      <c r="W8268">
        <v>1</v>
      </c>
      <c r="X8268">
        <v>1</v>
      </c>
      <c r="Y8268">
        <v>0</v>
      </c>
      <c r="Z8268">
        <v>1</v>
      </c>
      <c r="AA8268">
        <v>98.6</v>
      </c>
      <c r="AB8268">
        <v>98.6</v>
      </c>
      <c r="AC8268">
        <v>86</v>
      </c>
      <c r="AD8268">
        <v>0</v>
      </c>
      <c r="AE8268">
        <v>12.6</v>
      </c>
      <c r="AF8268">
        <v>0</v>
      </c>
      <c r="AG8268">
        <v>0</v>
      </c>
      <c r="AH8268">
        <v>0</v>
      </c>
      <c r="AI8268">
        <v>0</v>
      </c>
      <c r="AJ8268">
        <v>98.6</v>
      </c>
      <c r="AK8268">
        <v>0</v>
      </c>
      <c r="AL8268" t="s">
        <v>53</v>
      </c>
      <c r="AM8268" t="s">
        <v>53</v>
      </c>
      <c r="AN8268" t="s">
        <v>53</v>
      </c>
      <c r="AO8268" t="s">
        <v>53</v>
      </c>
      <c r="AP8268" t="s">
        <v>53</v>
      </c>
    </row>
    <row r="8269" spans="2:42" x14ac:dyDescent="0.2">
      <c r="B8269" t="s">
        <v>44</v>
      </c>
      <c r="C8269" t="str">
        <f>HYPERLINK("https://us2.cloudbeds.com/connect/8493803454333002#/reservations/216972530925760?display=4M91J27FE3&amp;reservation_id=216972530925760", "4M91J27FE3")</f>
        <v>4M91J27FE3</v>
      </c>
      <c r="D8269" t="s">
        <v>45</v>
      </c>
      <c r="E8269" t="s">
        <v>373</v>
      </c>
      <c r="F8269" t="s">
        <v>47</v>
      </c>
      <c r="G8269" t="s">
        <v>48</v>
      </c>
      <c r="H8269" t="s">
        <v>3957</v>
      </c>
      <c r="I8269" t="s">
        <v>3958</v>
      </c>
      <c r="J8269" t="s">
        <v>13383</v>
      </c>
      <c r="K8269" t="s">
        <v>13384</v>
      </c>
      <c r="L8269" t="s">
        <v>53</v>
      </c>
      <c r="P8269" t="s">
        <v>55</v>
      </c>
      <c r="R8269" t="s">
        <v>56</v>
      </c>
      <c r="T8269" t="s">
        <v>15605</v>
      </c>
      <c r="U8269" t="s">
        <v>58</v>
      </c>
      <c r="V8269">
        <v>1</v>
      </c>
      <c r="W8269">
        <v>1</v>
      </c>
      <c r="X8269">
        <v>1</v>
      </c>
      <c r="Y8269">
        <v>0</v>
      </c>
      <c r="Z8269">
        <v>1</v>
      </c>
      <c r="AA8269">
        <v>82.55</v>
      </c>
      <c r="AB8269">
        <v>82.55</v>
      </c>
      <c r="AC8269">
        <v>72</v>
      </c>
      <c r="AD8269">
        <v>0</v>
      </c>
      <c r="AE8269">
        <v>10.55</v>
      </c>
      <c r="AF8269">
        <v>0</v>
      </c>
      <c r="AG8269">
        <v>0</v>
      </c>
      <c r="AH8269">
        <v>0</v>
      </c>
      <c r="AI8269">
        <v>0</v>
      </c>
      <c r="AJ8269">
        <v>82.55</v>
      </c>
      <c r="AK8269">
        <v>0</v>
      </c>
      <c r="AL8269" t="s">
        <v>53</v>
      </c>
      <c r="AM8269" t="s">
        <v>53</v>
      </c>
      <c r="AN8269" t="s">
        <v>53</v>
      </c>
      <c r="AO8269" t="s">
        <v>53</v>
      </c>
      <c r="AP8269" t="s">
        <v>53</v>
      </c>
    </row>
    <row r="8270" spans="2:42" x14ac:dyDescent="0.2">
      <c r="B8270" t="s">
        <v>44</v>
      </c>
      <c r="C8270" t="str">
        <f>HYPERLINK("https://us2.cloudbeds.com/connect/8493803454333002#/reservations/9080486848400767?display=4M9ZBWGR1E&amp;reservation_id=9080486848400767", "4M9ZBWGR1E")</f>
        <v>4M9ZBWGR1E</v>
      </c>
      <c r="D8270" t="s">
        <v>45</v>
      </c>
      <c r="E8270" t="s">
        <v>213</v>
      </c>
      <c r="F8270" t="s">
        <v>86</v>
      </c>
      <c r="G8270" t="s">
        <v>48</v>
      </c>
      <c r="H8270" t="s">
        <v>49</v>
      </c>
      <c r="I8270" t="s">
        <v>50</v>
      </c>
      <c r="J8270" t="s">
        <v>14160</v>
      </c>
      <c r="K8270" t="s">
        <v>13652</v>
      </c>
      <c r="L8270" t="s">
        <v>53</v>
      </c>
      <c r="N8270" t="s">
        <v>15606</v>
      </c>
      <c r="P8270" t="s">
        <v>55</v>
      </c>
      <c r="R8270" t="s">
        <v>53</v>
      </c>
      <c r="T8270" t="s">
        <v>15607</v>
      </c>
      <c r="U8270" t="s">
        <v>55</v>
      </c>
      <c r="V8270">
        <v>1</v>
      </c>
      <c r="W8270">
        <v>1</v>
      </c>
      <c r="X8270">
        <v>2</v>
      </c>
      <c r="Y8270">
        <v>0</v>
      </c>
      <c r="Z8270">
        <v>2</v>
      </c>
      <c r="AA8270">
        <v>74.16</v>
      </c>
      <c r="AB8270">
        <v>74.16</v>
      </c>
      <c r="AC8270">
        <v>68.19</v>
      </c>
      <c r="AD8270">
        <v>0</v>
      </c>
      <c r="AE8270">
        <v>5.97</v>
      </c>
      <c r="AF8270">
        <v>0</v>
      </c>
      <c r="AG8270">
        <v>0</v>
      </c>
      <c r="AH8270">
        <v>0</v>
      </c>
      <c r="AI8270">
        <v>13.35</v>
      </c>
      <c r="AJ8270">
        <v>74.16</v>
      </c>
      <c r="AK8270">
        <v>0</v>
      </c>
      <c r="AL8270" t="s">
        <v>53</v>
      </c>
      <c r="AM8270" t="s">
        <v>53</v>
      </c>
      <c r="AN8270" t="s">
        <v>53</v>
      </c>
      <c r="AO8270" t="s">
        <v>53</v>
      </c>
      <c r="AP8270" t="s">
        <v>53</v>
      </c>
    </row>
    <row r="8271" spans="2:42" x14ac:dyDescent="0.2">
      <c r="B8271" t="s">
        <v>44</v>
      </c>
      <c r="C8271" t="str">
        <f>HYPERLINK("https://us2.cloudbeds.com/connect/8493803454333002#/reservations/9080486848401114?display=4MA49SN9PQ&amp;reservation_id=9080486848401114", "4MA49SN9PQ")</f>
        <v>4MA49SN9PQ</v>
      </c>
      <c r="D8271" t="s">
        <v>45</v>
      </c>
      <c r="E8271" t="s">
        <v>105</v>
      </c>
      <c r="F8271" t="s">
        <v>47</v>
      </c>
      <c r="G8271" t="s">
        <v>48</v>
      </c>
      <c r="H8271" t="s">
        <v>49</v>
      </c>
      <c r="I8271" t="s">
        <v>50</v>
      </c>
      <c r="J8271" t="s">
        <v>14189</v>
      </c>
      <c r="K8271" t="s">
        <v>13653</v>
      </c>
      <c r="L8271" t="s">
        <v>53</v>
      </c>
      <c r="N8271" t="s">
        <v>15608</v>
      </c>
      <c r="P8271" t="s">
        <v>55</v>
      </c>
      <c r="R8271" t="s">
        <v>53</v>
      </c>
      <c r="T8271" t="s">
        <v>15609</v>
      </c>
      <c r="U8271" t="s">
        <v>55</v>
      </c>
      <c r="V8271">
        <v>1</v>
      </c>
      <c r="W8271">
        <v>1</v>
      </c>
      <c r="X8271">
        <v>2</v>
      </c>
      <c r="Y8271">
        <v>0</v>
      </c>
      <c r="Z8271">
        <v>2</v>
      </c>
      <c r="AA8271">
        <v>64.25</v>
      </c>
      <c r="AB8271">
        <v>64.25</v>
      </c>
      <c r="AC8271">
        <v>59.08</v>
      </c>
      <c r="AD8271">
        <v>0</v>
      </c>
      <c r="AE8271">
        <v>5.17</v>
      </c>
      <c r="AF8271">
        <v>0</v>
      </c>
      <c r="AG8271">
        <v>0</v>
      </c>
      <c r="AH8271">
        <v>0</v>
      </c>
      <c r="AI8271">
        <v>11.57</v>
      </c>
      <c r="AJ8271">
        <v>64.25</v>
      </c>
      <c r="AK8271">
        <v>0</v>
      </c>
      <c r="AL8271" t="s">
        <v>53</v>
      </c>
      <c r="AM8271" t="s">
        <v>53</v>
      </c>
      <c r="AN8271" t="s">
        <v>53</v>
      </c>
      <c r="AO8271" t="s">
        <v>53</v>
      </c>
      <c r="AP8271" t="s">
        <v>53</v>
      </c>
    </row>
    <row r="8272" spans="2:42" x14ac:dyDescent="0.2">
      <c r="B8272" t="s">
        <v>44</v>
      </c>
      <c r="C8272" t="str">
        <f>HYPERLINK("https://us2.cloudbeds.com/connect/8493803454333002#/reservations/217253982953600?display=4MFYGR0J4W&amp;reservation_id=217253982953600", "4MFYGR0J4W")</f>
        <v>4MFYGR0J4W</v>
      </c>
      <c r="D8272" t="s">
        <v>45</v>
      </c>
      <c r="E8272" t="s">
        <v>165</v>
      </c>
      <c r="F8272" t="s">
        <v>61</v>
      </c>
      <c r="G8272" t="s">
        <v>48</v>
      </c>
      <c r="H8272" t="s">
        <v>3957</v>
      </c>
      <c r="I8272" t="s">
        <v>3975</v>
      </c>
      <c r="J8272" t="s">
        <v>13383</v>
      </c>
      <c r="K8272" t="s">
        <v>13384</v>
      </c>
      <c r="L8272" t="s">
        <v>53</v>
      </c>
      <c r="P8272" t="s">
        <v>55</v>
      </c>
      <c r="R8272" t="s">
        <v>56</v>
      </c>
      <c r="T8272" t="s">
        <v>15610</v>
      </c>
      <c r="U8272" t="s">
        <v>58</v>
      </c>
      <c r="V8272">
        <v>1</v>
      </c>
      <c r="W8272">
        <v>1</v>
      </c>
      <c r="X8272">
        <v>2</v>
      </c>
      <c r="Y8272">
        <v>0</v>
      </c>
      <c r="Z8272">
        <v>2</v>
      </c>
      <c r="AA8272">
        <v>98.6</v>
      </c>
      <c r="AB8272">
        <v>98.6</v>
      </c>
      <c r="AC8272">
        <v>86</v>
      </c>
      <c r="AD8272">
        <v>0</v>
      </c>
      <c r="AE8272">
        <v>12.6</v>
      </c>
      <c r="AF8272">
        <v>0</v>
      </c>
      <c r="AG8272">
        <v>0</v>
      </c>
      <c r="AH8272">
        <v>0</v>
      </c>
      <c r="AI8272">
        <v>0</v>
      </c>
      <c r="AJ8272">
        <v>98.6</v>
      </c>
      <c r="AK8272">
        <v>0</v>
      </c>
      <c r="AL8272" t="s">
        <v>53</v>
      </c>
      <c r="AM8272" t="s">
        <v>53</v>
      </c>
      <c r="AN8272" t="s">
        <v>53</v>
      </c>
      <c r="AO8272" t="s">
        <v>53</v>
      </c>
      <c r="AP8272" t="s">
        <v>53</v>
      </c>
    </row>
    <row r="8273" spans="2:42" x14ac:dyDescent="0.2">
      <c r="B8273" t="s">
        <v>44</v>
      </c>
      <c r="C8273" t="str">
        <f>HYPERLINK("https://us2.cloudbeds.com/connect/8493803454333002#/reservations/9080486848407786?display=4MG688R0V6&amp;reservation_id=9080486848407786", "4MG688R0V6")</f>
        <v>4MG688R0V6</v>
      </c>
      <c r="D8273" t="s">
        <v>45</v>
      </c>
      <c r="E8273" t="s">
        <v>78</v>
      </c>
      <c r="F8273" t="s">
        <v>61</v>
      </c>
      <c r="G8273" t="s">
        <v>48</v>
      </c>
      <c r="H8273" t="s">
        <v>49</v>
      </c>
      <c r="I8273" t="s">
        <v>50</v>
      </c>
      <c r="J8273" t="s">
        <v>13383</v>
      </c>
      <c r="K8273" t="s">
        <v>13384</v>
      </c>
      <c r="L8273" t="s">
        <v>53</v>
      </c>
      <c r="N8273" t="s">
        <v>15611</v>
      </c>
      <c r="P8273" t="s">
        <v>55</v>
      </c>
      <c r="R8273" t="s">
        <v>53</v>
      </c>
      <c r="T8273" t="s">
        <v>15612</v>
      </c>
      <c r="U8273" t="s">
        <v>55</v>
      </c>
      <c r="V8273">
        <v>1</v>
      </c>
      <c r="W8273">
        <v>1</v>
      </c>
      <c r="X8273">
        <v>2</v>
      </c>
      <c r="Y8273">
        <v>0</v>
      </c>
      <c r="Z8273">
        <v>2</v>
      </c>
      <c r="AA8273">
        <v>64.42</v>
      </c>
      <c r="AB8273">
        <v>64.42</v>
      </c>
      <c r="AC8273">
        <v>59.24</v>
      </c>
      <c r="AD8273">
        <v>0</v>
      </c>
      <c r="AE8273">
        <v>5.18</v>
      </c>
      <c r="AF8273">
        <v>0</v>
      </c>
      <c r="AG8273">
        <v>0</v>
      </c>
      <c r="AH8273">
        <v>0</v>
      </c>
      <c r="AI8273">
        <v>11.6</v>
      </c>
      <c r="AJ8273">
        <v>64.42</v>
      </c>
      <c r="AK8273">
        <v>0</v>
      </c>
      <c r="AL8273" t="s">
        <v>53</v>
      </c>
      <c r="AM8273" t="s">
        <v>53</v>
      </c>
      <c r="AN8273" t="s">
        <v>53</v>
      </c>
      <c r="AO8273" t="s">
        <v>53</v>
      </c>
      <c r="AP8273" t="s">
        <v>53</v>
      </c>
    </row>
    <row r="8274" spans="2:42" x14ac:dyDescent="0.2">
      <c r="B8274" t="s">
        <v>44</v>
      </c>
      <c r="C8274" t="str">
        <f>HYPERLINK("https://us2.cloudbeds.com/connect/8493803454333002#/reservations/9080486848408581?display=4MGTQDE61T&amp;reservation_id=9080486848408581", "4MGTQDE61T")</f>
        <v>4MGTQDE61T</v>
      </c>
      <c r="D8274" t="s">
        <v>45</v>
      </c>
      <c r="E8274" t="s">
        <v>165</v>
      </c>
      <c r="F8274" t="s">
        <v>61</v>
      </c>
      <c r="G8274" t="s">
        <v>48</v>
      </c>
      <c r="H8274" t="s">
        <v>49</v>
      </c>
      <c r="I8274" t="s">
        <v>62</v>
      </c>
      <c r="J8274" t="s">
        <v>14669</v>
      </c>
      <c r="K8274" t="s">
        <v>15594</v>
      </c>
      <c r="L8274" t="s">
        <v>53</v>
      </c>
      <c r="N8274" t="s">
        <v>15613</v>
      </c>
      <c r="P8274" t="s">
        <v>55</v>
      </c>
      <c r="R8274" t="s">
        <v>56</v>
      </c>
      <c r="T8274" t="s">
        <v>15614</v>
      </c>
      <c r="U8274" t="s">
        <v>55</v>
      </c>
      <c r="V8274">
        <v>1</v>
      </c>
      <c r="W8274">
        <v>1</v>
      </c>
      <c r="X8274">
        <v>2</v>
      </c>
      <c r="Y8274">
        <v>0</v>
      </c>
      <c r="Z8274">
        <v>2</v>
      </c>
      <c r="AA8274">
        <v>187.95</v>
      </c>
      <c r="AB8274">
        <v>187.95</v>
      </c>
      <c r="AC8274">
        <v>187.95</v>
      </c>
      <c r="AD8274">
        <v>0</v>
      </c>
      <c r="AE8274">
        <v>0</v>
      </c>
      <c r="AF8274">
        <v>0</v>
      </c>
      <c r="AG8274">
        <v>0</v>
      </c>
      <c r="AH8274">
        <v>0</v>
      </c>
      <c r="AI8274">
        <v>33.83</v>
      </c>
      <c r="AJ8274">
        <v>187.95</v>
      </c>
      <c r="AK8274">
        <v>0</v>
      </c>
      <c r="AL8274" t="s">
        <v>53</v>
      </c>
      <c r="AM8274" t="s">
        <v>53</v>
      </c>
      <c r="AN8274" t="s">
        <v>53</v>
      </c>
      <c r="AO8274" t="s">
        <v>53</v>
      </c>
      <c r="AP8274" t="s">
        <v>53</v>
      </c>
    </row>
    <row r="8275" spans="2:42" x14ac:dyDescent="0.2">
      <c r="B8275" t="s">
        <v>44</v>
      </c>
      <c r="C8275" t="str">
        <f>HYPERLINK("https://us2.cloudbeds.com/connect/8493803454333002#/reservations/9080486848408899?display=4MH68QR567&amp;reservation_id=9080486848408899", "4MH68QR567")</f>
        <v>4MH68QR567</v>
      </c>
      <c r="D8275" t="s">
        <v>45</v>
      </c>
      <c r="E8275" t="s">
        <v>78</v>
      </c>
      <c r="F8275" t="s">
        <v>61</v>
      </c>
      <c r="G8275" t="s">
        <v>48</v>
      </c>
      <c r="H8275" t="s">
        <v>49</v>
      </c>
      <c r="I8275" t="s">
        <v>50</v>
      </c>
      <c r="J8275" t="s">
        <v>13637</v>
      </c>
      <c r="K8275" t="s">
        <v>13638</v>
      </c>
      <c r="L8275" t="s">
        <v>53</v>
      </c>
      <c r="N8275" t="s">
        <v>15615</v>
      </c>
      <c r="P8275" t="s">
        <v>55</v>
      </c>
      <c r="R8275" t="s">
        <v>53</v>
      </c>
      <c r="T8275" t="s">
        <v>15616</v>
      </c>
      <c r="U8275" t="s">
        <v>55</v>
      </c>
      <c r="V8275">
        <v>1</v>
      </c>
      <c r="W8275">
        <v>1</v>
      </c>
      <c r="X8275">
        <v>2</v>
      </c>
      <c r="Y8275">
        <v>0</v>
      </c>
      <c r="Z8275">
        <v>2</v>
      </c>
      <c r="AA8275">
        <v>81.83</v>
      </c>
      <c r="AB8275">
        <v>81.83</v>
      </c>
      <c r="AC8275">
        <v>75.25</v>
      </c>
      <c r="AD8275">
        <v>0</v>
      </c>
      <c r="AE8275">
        <v>6.58</v>
      </c>
      <c r="AF8275">
        <v>0</v>
      </c>
      <c r="AG8275">
        <v>0</v>
      </c>
      <c r="AH8275">
        <v>0</v>
      </c>
      <c r="AI8275">
        <v>14.73</v>
      </c>
      <c r="AJ8275">
        <v>81.83</v>
      </c>
      <c r="AK8275">
        <v>0</v>
      </c>
      <c r="AL8275" t="s">
        <v>53</v>
      </c>
      <c r="AM8275" t="s">
        <v>53</v>
      </c>
      <c r="AN8275" t="s">
        <v>53</v>
      </c>
      <c r="AO8275" t="s">
        <v>53</v>
      </c>
      <c r="AP8275" t="s">
        <v>53</v>
      </c>
    </row>
    <row r="8276" spans="2:42" x14ac:dyDescent="0.2">
      <c r="B8276" t="s">
        <v>44</v>
      </c>
      <c r="C8276" t="str">
        <f>HYPERLINK("https://us2.cloudbeds.com/connect/8493803454333002#/reservations/217354984538305?display=4MX0NY7ATQ&amp;reservation_id=217354984538305", "4MX0NY7ATQ")</f>
        <v>4MX0NY7ATQ</v>
      </c>
      <c r="D8276" t="s">
        <v>45</v>
      </c>
      <c r="E8276" t="s">
        <v>138</v>
      </c>
      <c r="F8276" t="s">
        <v>70</v>
      </c>
      <c r="G8276" t="s">
        <v>3974</v>
      </c>
      <c r="H8276" t="s">
        <v>3957</v>
      </c>
      <c r="I8276" t="s">
        <v>3975</v>
      </c>
      <c r="J8276" t="s">
        <v>15256</v>
      </c>
      <c r="K8276" t="s">
        <v>13898</v>
      </c>
      <c r="L8276" t="s">
        <v>53</v>
      </c>
      <c r="P8276" t="s">
        <v>55</v>
      </c>
      <c r="R8276" t="s">
        <v>56</v>
      </c>
      <c r="T8276" t="s">
        <v>15617</v>
      </c>
      <c r="U8276" t="s">
        <v>58</v>
      </c>
      <c r="V8276">
        <v>1</v>
      </c>
      <c r="W8276">
        <v>1</v>
      </c>
      <c r="X8276">
        <v>2</v>
      </c>
      <c r="Y8276">
        <v>0</v>
      </c>
      <c r="Z8276">
        <v>2</v>
      </c>
      <c r="AA8276">
        <v>81.69</v>
      </c>
      <c r="AB8276">
        <v>81.69</v>
      </c>
      <c r="AC8276">
        <v>71.25</v>
      </c>
      <c r="AD8276">
        <v>0</v>
      </c>
      <c r="AE8276">
        <v>10.44</v>
      </c>
      <c r="AF8276">
        <v>0</v>
      </c>
      <c r="AG8276">
        <v>0</v>
      </c>
      <c r="AH8276">
        <v>0</v>
      </c>
      <c r="AI8276">
        <v>0</v>
      </c>
      <c r="AJ8276">
        <v>81.69</v>
      </c>
      <c r="AK8276">
        <v>0</v>
      </c>
      <c r="AL8276" t="s">
        <v>53</v>
      </c>
      <c r="AM8276" t="s">
        <v>53</v>
      </c>
      <c r="AN8276" t="s">
        <v>15618</v>
      </c>
      <c r="AO8276" t="s">
        <v>53</v>
      </c>
      <c r="AP8276" t="s">
        <v>53</v>
      </c>
    </row>
    <row r="8277" spans="2:42" x14ac:dyDescent="0.2">
      <c r="B8277" t="s">
        <v>44</v>
      </c>
      <c r="C8277" t="str">
        <f>HYPERLINK("https://us2.cloudbeds.com/connect/8493803454333002#/reservations/9080486848412369?display=4MKN8G1GD5&amp;reservation_id=9080486848412369", "4MKN8G1GD5")</f>
        <v>4MKN8G1GD5</v>
      </c>
      <c r="D8277" t="s">
        <v>45</v>
      </c>
      <c r="E8277" t="s">
        <v>110</v>
      </c>
      <c r="F8277" t="s">
        <v>47</v>
      </c>
      <c r="G8277" t="s">
        <v>48</v>
      </c>
      <c r="H8277" t="s">
        <v>49</v>
      </c>
      <c r="I8277" t="s">
        <v>50</v>
      </c>
      <c r="J8277" t="s">
        <v>14806</v>
      </c>
      <c r="K8277" t="s">
        <v>14732</v>
      </c>
      <c r="L8277" t="s">
        <v>53</v>
      </c>
      <c r="N8277" t="s">
        <v>15619</v>
      </c>
      <c r="P8277" t="s">
        <v>55</v>
      </c>
      <c r="R8277" t="s">
        <v>53</v>
      </c>
      <c r="T8277" t="s">
        <v>15620</v>
      </c>
      <c r="U8277" t="s">
        <v>55</v>
      </c>
      <c r="V8277">
        <v>2</v>
      </c>
      <c r="W8277">
        <v>1</v>
      </c>
      <c r="X8277">
        <v>2</v>
      </c>
      <c r="Y8277">
        <v>0</v>
      </c>
      <c r="Z8277">
        <v>2</v>
      </c>
      <c r="AA8277">
        <v>357.15</v>
      </c>
      <c r="AB8277">
        <v>357.15</v>
      </c>
      <c r="AC8277">
        <v>328.42</v>
      </c>
      <c r="AD8277">
        <v>0</v>
      </c>
      <c r="AE8277">
        <v>28.73</v>
      </c>
      <c r="AF8277">
        <v>0</v>
      </c>
      <c r="AG8277">
        <v>0</v>
      </c>
      <c r="AH8277">
        <v>0</v>
      </c>
      <c r="AI8277">
        <v>64.290000000000006</v>
      </c>
      <c r="AJ8277">
        <v>357.15</v>
      </c>
      <c r="AK8277">
        <v>0</v>
      </c>
      <c r="AL8277" t="s">
        <v>53</v>
      </c>
      <c r="AM8277" t="s">
        <v>53</v>
      </c>
      <c r="AN8277" t="s">
        <v>53</v>
      </c>
      <c r="AO8277" t="s">
        <v>53</v>
      </c>
      <c r="AP8277" t="s">
        <v>53</v>
      </c>
    </row>
    <row r="8278" spans="2:42" x14ac:dyDescent="0.2">
      <c r="B8278" t="s">
        <v>44</v>
      </c>
      <c r="C8278" t="str">
        <f>HYPERLINK("https://us2.cloudbeds.com/connect/8493803454333002#/reservations/9080486848414868?display=4MMB0Z65MC&amp;reservation_id=9080486848414868", "4MMB0Z65MC")</f>
        <v>4MMB0Z65MC</v>
      </c>
      <c r="D8278" t="s">
        <v>45</v>
      </c>
      <c r="E8278" t="s">
        <v>487</v>
      </c>
      <c r="F8278" t="s">
        <v>61</v>
      </c>
      <c r="G8278" t="s">
        <v>48</v>
      </c>
      <c r="H8278" t="s">
        <v>49</v>
      </c>
      <c r="I8278" t="s">
        <v>50</v>
      </c>
      <c r="J8278" t="s">
        <v>13384</v>
      </c>
      <c r="K8278" t="s">
        <v>13959</v>
      </c>
      <c r="L8278" t="s">
        <v>53</v>
      </c>
      <c r="N8278" t="s">
        <v>15621</v>
      </c>
      <c r="P8278" t="s">
        <v>55</v>
      </c>
      <c r="R8278" t="s">
        <v>53</v>
      </c>
      <c r="T8278" t="s">
        <v>15622</v>
      </c>
      <c r="U8278" t="s">
        <v>55</v>
      </c>
      <c r="V8278">
        <v>1</v>
      </c>
      <c r="W8278">
        <v>1</v>
      </c>
      <c r="X8278">
        <v>2</v>
      </c>
      <c r="Y8278">
        <v>0</v>
      </c>
      <c r="Z8278">
        <v>2</v>
      </c>
      <c r="AA8278">
        <v>65.73</v>
      </c>
      <c r="AB8278">
        <v>65.73</v>
      </c>
      <c r="AC8278">
        <v>60.44</v>
      </c>
      <c r="AD8278">
        <v>0</v>
      </c>
      <c r="AE8278">
        <v>5.29</v>
      </c>
      <c r="AF8278">
        <v>0</v>
      </c>
      <c r="AG8278">
        <v>0</v>
      </c>
      <c r="AH8278">
        <v>0</v>
      </c>
      <c r="AI8278">
        <v>11.83</v>
      </c>
      <c r="AJ8278">
        <v>65.73</v>
      </c>
      <c r="AK8278">
        <v>0</v>
      </c>
      <c r="AL8278" t="s">
        <v>53</v>
      </c>
      <c r="AM8278" t="s">
        <v>53</v>
      </c>
      <c r="AN8278" t="s">
        <v>53</v>
      </c>
      <c r="AO8278" t="s">
        <v>53</v>
      </c>
      <c r="AP8278" t="s">
        <v>53</v>
      </c>
    </row>
    <row r="8279" spans="2:42" x14ac:dyDescent="0.2">
      <c r="B8279" t="s">
        <v>44</v>
      </c>
      <c r="C8279" t="str">
        <f>HYPERLINK("https://us2.cloudbeds.com/connect/8493803454333002#/reservations/217542399996032?display=4MMDRHU1TR&amp;reservation_id=217542399996032", "4MMDRHU1TR")</f>
        <v>4MMDRHU1TR</v>
      </c>
      <c r="D8279" t="s">
        <v>45</v>
      </c>
      <c r="E8279" t="s">
        <v>110</v>
      </c>
      <c r="F8279" t="s">
        <v>47</v>
      </c>
      <c r="G8279" t="s">
        <v>48</v>
      </c>
      <c r="H8279" t="s">
        <v>3957</v>
      </c>
      <c r="I8279" t="s">
        <v>3975</v>
      </c>
      <c r="J8279" t="s">
        <v>14160</v>
      </c>
      <c r="K8279" t="s">
        <v>13652</v>
      </c>
      <c r="L8279" t="s">
        <v>53</v>
      </c>
      <c r="P8279" t="s">
        <v>55</v>
      </c>
      <c r="R8279" t="s">
        <v>56</v>
      </c>
      <c r="T8279" t="s">
        <v>15623</v>
      </c>
      <c r="U8279" t="s">
        <v>58</v>
      </c>
      <c r="V8279">
        <v>1</v>
      </c>
      <c r="W8279">
        <v>1</v>
      </c>
      <c r="X8279">
        <v>1</v>
      </c>
      <c r="Y8279">
        <v>0</v>
      </c>
      <c r="Z8279">
        <v>1</v>
      </c>
      <c r="AA8279">
        <v>0</v>
      </c>
      <c r="AB8279">
        <v>82.55</v>
      </c>
      <c r="AC8279">
        <v>72</v>
      </c>
      <c r="AD8279">
        <v>0</v>
      </c>
      <c r="AE8279">
        <v>10.55</v>
      </c>
      <c r="AF8279">
        <v>0</v>
      </c>
      <c r="AG8279">
        <v>0</v>
      </c>
      <c r="AH8279">
        <v>0</v>
      </c>
      <c r="AI8279">
        <v>0</v>
      </c>
      <c r="AJ8279">
        <v>82.55</v>
      </c>
      <c r="AK8279">
        <v>0</v>
      </c>
      <c r="AL8279" t="s">
        <v>53</v>
      </c>
      <c r="AM8279" t="s">
        <v>53</v>
      </c>
      <c r="AN8279" t="s">
        <v>15624</v>
      </c>
      <c r="AO8279" t="s">
        <v>53</v>
      </c>
      <c r="AP8279" t="s">
        <v>53</v>
      </c>
    </row>
    <row r="8280" spans="2:42" x14ac:dyDescent="0.2">
      <c r="B8280" t="s">
        <v>44</v>
      </c>
      <c r="C8280" t="str">
        <f>HYPERLINK("https://us2.cloudbeds.com/connect/8493803454333002#/reservations/217549928755392?display=4MMJYUBPAS&amp;reservation_id=217549928755392", "4MMJYUBPAS")</f>
        <v>4MMJYUBPAS</v>
      </c>
      <c r="D8280" t="s">
        <v>45</v>
      </c>
      <c r="E8280" t="s">
        <v>138</v>
      </c>
      <c r="F8280" t="s">
        <v>70</v>
      </c>
      <c r="G8280" t="s">
        <v>48</v>
      </c>
      <c r="H8280" t="s">
        <v>3957</v>
      </c>
      <c r="I8280" t="s">
        <v>3975</v>
      </c>
      <c r="J8280" t="s">
        <v>15625</v>
      </c>
      <c r="K8280" t="s">
        <v>14631</v>
      </c>
      <c r="L8280" t="s">
        <v>53</v>
      </c>
      <c r="P8280" t="s">
        <v>55</v>
      </c>
      <c r="R8280" t="s">
        <v>56</v>
      </c>
      <c r="T8280" t="s">
        <v>15626</v>
      </c>
      <c r="U8280" t="s">
        <v>58</v>
      </c>
      <c r="V8280">
        <v>2</v>
      </c>
      <c r="W8280">
        <v>1</v>
      </c>
      <c r="X8280">
        <v>2</v>
      </c>
      <c r="Y8280">
        <v>0</v>
      </c>
      <c r="Z8280">
        <v>2</v>
      </c>
      <c r="AA8280">
        <v>0</v>
      </c>
      <c r="AB8280">
        <v>417.33</v>
      </c>
      <c r="AC8280">
        <v>364</v>
      </c>
      <c r="AD8280">
        <v>0</v>
      </c>
      <c r="AE8280">
        <v>53.33</v>
      </c>
      <c r="AF8280">
        <v>0</v>
      </c>
      <c r="AG8280">
        <v>0</v>
      </c>
      <c r="AH8280">
        <v>0</v>
      </c>
      <c r="AI8280">
        <v>0</v>
      </c>
      <c r="AJ8280">
        <v>417.33</v>
      </c>
      <c r="AK8280">
        <v>0</v>
      </c>
      <c r="AL8280" t="s">
        <v>53</v>
      </c>
      <c r="AM8280" t="s">
        <v>53</v>
      </c>
      <c r="AN8280" t="s">
        <v>15627</v>
      </c>
      <c r="AO8280" t="s">
        <v>53</v>
      </c>
      <c r="AP8280" t="s">
        <v>53</v>
      </c>
    </row>
    <row r="8281" spans="2:42" x14ac:dyDescent="0.2">
      <c r="B8281" t="s">
        <v>44</v>
      </c>
      <c r="C8281" t="str">
        <f>HYPERLINK("https://us2.cloudbeds.com/connect/8493803454333002#/reservations/9080486848416240?display=4MN5EGSWJT&amp;reservation_id=9080486848416240", "4MN5EGSWJT")</f>
        <v>4MN5EGSWJT</v>
      </c>
      <c r="D8281" t="s">
        <v>45</v>
      </c>
      <c r="E8281" t="s">
        <v>185</v>
      </c>
      <c r="F8281" t="s">
        <v>47</v>
      </c>
      <c r="G8281" t="s">
        <v>48</v>
      </c>
      <c r="H8281" t="s">
        <v>49</v>
      </c>
      <c r="I8281" t="s">
        <v>62</v>
      </c>
      <c r="J8281" t="s">
        <v>13384</v>
      </c>
      <c r="K8281" t="s">
        <v>13959</v>
      </c>
      <c r="L8281" t="s">
        <v>53</v>
      </c>
      <c r="N8281" t="s">
        <v>15628</v>
      </c>
      <c r="P8281" t="s">
        <v>55</v>
      </c>
      <c r="R8281" t="s">
        <v>56</v>
      </c>
      <c r="T8281" t="s">
        <v>15629</v>
      </c>
      <c r="U8281" t="s">
        <v>55</v>
      </c>
      <c r="V8281">
        <v>1</v>
      </c>
      <c r="W8281">
        <v>1</v>
      </c>
      <c r="X8281">
        <v>2</v>
      </c>
      <c r="Y8281">
        <v>0</v>
      </c>
      <c r="Z8281">
        <v>2</v>
      </c>
      <c r="AA8281">
        <v>75.599999999999994</v>
      </c>
      <c r="AB8281">
        <v>75.599999999999994</v>
      </c>
      <c r="AC8281">
        <v>75.599999999999994</v>
      </c>
      <c r="AD8281">
        <v>0</v>
      </c>
      <c r="AE8281">
        <v>0</v>
      </c>
      <c r="AF8281">
        <v>0</v>
      </c>
      <c r="AG8281">
        <v>0</v>
      </c>
      <c r="AH8281">
        <v>0</v>
      </c>
      <c r="AI8281">
        <v>13.61</v>
      </c>
      <c r="AJ8281">
        <v>75.599999999999994</v>
      </c>
      <c r="AK8281">
        <v>0</v>
      </c>
      <c r="AL8281" t="s">
        <v>53</v>
      </c>
      <c r="AM8281" t="s">
        <v>53</v>
      </c>
      <c r="AN8281" t="s">
        <v>53</v>
      </c>
      <c r="AO8281" t="s">
        <v>53</v>
      </c>
      <c r="AP8281" t="s">
        <v>53</v>
      </c>
    </row>
    <row r="8282" spans="2:42" x14ac:dyDescent="0.2">
      <c r="B8282" t="s">
        <v>44</v>
      </c>
      <c r="C8282" t="str">
        <f>HYPERLINK("https://us2.cloudbeds.com/connect/8493803454333002#/reservations/9080486848418475?display=4MZXNZVH4P&amp;reservation_id=9080486848418475", "4MZXNZVH4P")</f>
        <v>4MZXNZVH4P</v>
      </c>
      <c r="D8282" t="s">
        <v>45</v>
      </c>
      <c r="E8282" t="s">
        <v>110</v>
      </c>
      <c r="F8282" t="s">
        <v>47</v>
      </c>
      <c r="G8282" t="s">
        <v>48</v>
      </c>
      <c r="H8282" t="s">
        <v>49</v>
      </c>
      <c r="I8282" t="s">
        <v>50</v>
      </c>
      <c r="J8282" t="s">
        <v>14628</v>
      </c>
      <c r="K8282" t="s">
        <v>9763</v>
      </c>
      <c r="L8282" t="s">
        <v>53</v>
      </c>
      <c r="N8282" t="s">
        <v>15630</v>
      </c>
      <c r="P8282" t="s">
        <v>55</v>
      </c>
      <c r="R8282" t="s">
        <v>53</v>
      </c>
      <c r="T8282" t="s">
        <v>15631</v>
      </c>
      <c r="U8282" t="s">
        <v>55</v>
      </c>
      <c r="V8282">
        <v>2</v>
      </c>
      <c r="W8282">
        <v>1</v>
      </c>
      <c r="X8282">
        <v>2</v>
      </c>
      <c r="Y8282">
        <v>0</v>
      </c>
      <c r="Z8282">
        <v>2</v>
      </c>
      <c r="AA8282">
        <v>156.16999999999999</v>
      </c>
      <c r="AB8282">
        <v>156.16999999999999</v>
      </c>
      <c r="AC8282">
        <v>143.61000000000001</v>
      </c>
      <c r="AD8282">
        <v>0</v>
      </c>
      <c r="AE8282">
        <v>12.56</v>
      </c>
      <c r="AF8282">
        <v>0</v>
      </c>
      <c r="AG8282">
        <v>0</v>
      </c>
      <c r="AH8282">
        <v>0</v>
      </c>
      <c r="AI8282">
        <v>28.11</v>
      </c>
      <c r="AJ8282">
        <v>156.16999999999999</v>
      </c>
      <c r="AK8282">
        <v>0</v>
      </c>
      <c r="AL8282" t="s">
        <v>53</v>
      </c>
      <c r="AM8282" t="s">
        <v>53</v>
      </c>
      <c r="AN8282" t="s">
        <v>53</v>
      </c>
      <c r="AO8282" t="s">
        <v>53</v>
      </c>
      <c r="AP8282" t="s">
        <v>53</v>
      </c>
    </row>
    <row r="8283" spans="2:42" x14ac:dyDescent="0.2">
      <c r="B8283" t="s">
        <v>44</v>
      </c>
      <c r="C8283" t="str">
        <f>HYPERLINK("https://us2.cloudbeds.com/connect/8493803454333002#/reservations/9080486848419113?display=4MP2FKFPZ8&amp;reservation_id=9080486848419113", "4MP2FKFPZ8")</f>
        <v>4MP2FKFPZ8</v>
      </c>
      <c r="D8283" t="s">
        <v>45</v>
      </c>
      <c r="E8283" t="s">
        <v>179</v>
      </c>
      <c r="F8283" t="s">
        <v>47</v>
      </c>
      <c r="G8283" t="s">
        <v>48</v>
      </c>
      <c r="H8283" t="s">
        <v>49</v>
      </c>
      <c r="I8283" t="s">
        <v>50</v>
      </c>
      <c r="J8283" t="s">
        <v>13384</v>
      </c>
      <c r="K8283" t="s">
        <v>13959</v>
      </c>
      <c r="L8283" t="s">
        <v>53</v>
      </c>
      <c r="N8283" t="s">
        <v>15632</v>
      </c>
      <c r="P8283" t="s">
        <v>55</v>
      </c>
      <c r="R8283" t="s">
        <v>53</v>
      </c>
      <c r="T8283" t="s">
        <v>15633</v>
      </c>
      <c r="U8283" t="s">
        <v>55</v>
      </c>
      <c r="V8283">
        <v>1</v>
      </c>
      <c r="W8283">
        <v>1</v>
      </c>
      <c r="X8283">
        <v>2</v>
      </c>
      <c r="Y8283">
        <v>0</v>
      </c>
      <c r="Z8283">
        <v>2</v>
      </c>
      <c r="AA8283">
        <v>60.67</v>
      </c>
      <c r="AB8283">
        <v>60.67</v>
      </c>
      <c r="AC8283">
        <v>55.79</v>
      </c>
      <c r="AD8283">
        <v>0</v>
      </c>
      <c r="AE8283">
        <v>4.88</v>
      </c>
      <c r="AF8283">
        <v>0</v>
      </c>
      <c r="AG8283">
        <v>0</v>
      </c>
      <c r="AH8283">
        <v>0</v>
      </c>
      <c r="AI8283">
        <v>10.92</v>
      </c>
      <c r="AJ8283">
        <v>60.67</v>
      </c>
      <c r="AK8283">
        <v>0</v>
      </c>
      <c r="AL8283" t="s">
        <v>53</v>
      </c>
      <c r="AM8283" t="s">
        <v>53</v>
      </c>
      <c r="AN8283" t="s">
        <v>53</v>
      </c>
      <c r="AO8283" t="s">
        <v>53</v>
      </c>
      <c r="AP8283" t="s">
        <v>53</v>
      </c>
    </row>
    <row r="8284" spans="2:42" x14ac:dyDescent="0.2">
      <c r="B8284" t="s">
        <v>44</v>
      </c>
      <c r="C8284" t="str">
        <f>HYPERLINK("https://us2.cloudbeds.com/connect/8493803454333002#/reservations/9080486848419414?display=4MPB2GF6Q1&amp;reservation_id=9080486848419414", "4MPB2GF6Q1")</f>
        <v>4MPB2GF6Q1</v>
      </c>
      <c r="D8284" t="s">
        <v>45</v>
      </c>
      <c r="E8284" t="s">
        <v>85</v>
      </c>
      <c r="F8284" t="s">
        <v>86</v>
      </c>
      <c r="G8284" t="s">
        <v>48</v>
      </c>
      <c r="H8284" t="s">
        <v>49</v>
      </c>
      <c r="I8284" t="s">
        <v>50</v>
      </c>
      <c r="J8284" t="s">
        <v>13384</v>
      </c>
      <c r="K8284" t="s">
        <v>13959</v>
      </c>
      <c r="L8284" t="s">
        <v>53</v>
      </c>
      <c r="N8284" t="s">
        <v>15634</v>
      </c>
      <c r="P8284" t="s">
        <v>55</v>
      </c>
      <c r="R8284" t="s">
        <v>53</v>
      </c>
      <c r="T8284" t="s">
        <v>15635</v>
      </c>
      <c r="U8284" t="s">
        <v>55</v>
      </c>
      <c r="V8284">
        <v>1</v>
      </c>
      <c r="W8284">
        <v>1</v>
      </c>
      <c r="X8284">
        <v>2</v>
      </c>
      <c r="Y8284">
        <v>0</v>
      </c>
      <c r="Z8284">
        <v>2</v>
      </c>
      <c r="AA8284">
        <v>65.92</v>
      </c>
      <c r="AB8284">
        <v>65.92</v>
      </c>
      <c r="AC8284">
        <v>60.62</v>
      </c>
      <c r="AD8284">
        <v>0</v>
      </c>
      <c r="AE8284">
        <v>5.3</v>
      </c>
      <c r="AF8284">
        <v>0</v>
      </c>
      <c r="AG8284">
        <v>0</v>
      </c>
      <c r="AH8284">
        <v>0</v>
      </c>
      <c r="AI8284">
        <v>11.87</v>
      </c>
      <c r="AJ8284">
        <v>65.92</v>
      </c>
      <c r="AK8284">
        <v>0</v>
      </c>
      <c r="AL8284" t="s">
        <v>53</v>
      </c>
      <c r="AM8284" t="s">
        <v>53</v>
      </c>
      <c r="AN8284" t="s">
        <v>53</v>
      </c>
      <c r="AO8284" t="s">
        <v>53</v>
      </c>
      <c r="AP8284" t="s">
        <v>53</v>
      </c>
    </row>
    <row r="8285" spans="2:42" x14ac:dyDescent="0.2">
      <c r="B8285" t="s">
        <v>44</v>
      </c>
      <c r="C8285" t="str">
        <f>HYPERLINK("https://us2.cloudbeds.com/connect/8493803454333002#/reservations/9080486848419435?display=4MPBK7QCKD&amp;reservation_id=9080486848419435", "4MPBK7QCKD")</f>
        <v>4MPBK7QCKD</v>
      </c>
      <c r="D8285" t="s">
        <v>45</v>
      </c>
      <c r="E8285" t="s">
        <v>223</v>
      </c>
      <c r="F8285" t="s">
        <v>47</v>
      </c>
      <c r="G8285" t="s">
        <v>15636</v>
      </c>
      <c r="H8285" t="s">
        <v>49</v>
      </c>
      <c r="I8285" t="s">
        <v>50</v>
      </c>
      <c r="J8285" t="s">
        <v>13384</v>
      </c>
      <c r="K8285" t="s">
        <v>13960</v>
      </c>
      <c r="L8285" t="s">
        <v>53</v>
      </c>
      <c r="N8285" t="s">
        <v>15637</v>
      </c>
      <c r="P8285" t="s">
        <v>55</v>
      </c>
      <c r="R8285" t="s">
        <v>53</v>
      </c>
      <c r="T8285" t="s">
        <v>15638</v>
      </c>
      <c r="U8285" t="s">
        <v>55</v>
      </c>
      <c r="V8285">
        <v>2</v>
      </c>
      <c r="W8285">
        <v>2</v>
      </c>
      <c r="X8285">
        <v>2</v>
      </c>
      <c r="Y8285">
        <v>0</v>
      </c>
      <c r="Z8285">
        <v>2</v>
      </c>
      <c r="AA8285">
        <v>54.62</v>
      </c>
      <c r="AB8285">
        <v>127.83</v>
      </c>
      <c r="AC8285">
        <v>50.22</v>
      </c>
      <c r="AD8285">
        <v>2.5</v>
      </c>
      <c r="AE8285">
        <v>4.6399999999999997</v>
      </c>
      <c r="AF8285">
        <v>0</v>
      </c>
      <c r="AG8285">
        <v>0</v>
      </c>
      <c r="AH8285">
        <v>0</v>
      </c>
      <c r="AI8285">
        <v>10.32</v>
      </c>
      <c r="AJ8285">
        <v>57.36</v>
      </c>
      <c r="AK8285">
        <v>-70.47</v>
      </c>
      <c r="AL8285" t="s">
        <v>53</v>
      </c>
      <c r="AM8285" t="s">
        <v>53</v>
      </c>
      <c r="AN8285" t="s">
        <v>15639</v>
      </c>
      <c r="AO8285" t="s">
        <v>53</v>
      </c>
      <c r="AP8285" t="s">
        <v>53</v>
      </c>
    </row>
    <row r="8286" spans="2:42" x14ac:dyDescent="0.2">
      <c r="B8286" t="s">
        <v>44</v>
      </c>
      <c r="C8286" t="str">
        <f>HYPERLINK("https://us2.cloudbeds.com/connect/8493803454333002#/reservations/9080486848419752?display=4MPJB0CKA5&amp;reservation_id=9080486848419752", "4MPJB0CKA5")</f>
        <v>4MPJB0CKA5</v>
      </c>
      <c r="D8286" t="s">
        <v>45</v>
      </c>
      <c r="E8286" t="s">
        <v>105</v>
      </c>
      <c r="F8286" t="s">
        <v>47</v>
      </c>
      <c r="G8286" t="s">
        <v>48</v>
      </c>
      <c r="H8286" t="s">
        <v>49</v>
      </c>
      <c r="I8286" t="s">
        <v>62</v>
      </c>
      <c r="J8286" t="s">
        <v>13959</v>
      </c>
      <c r="K8286" t="s">
        <v>13960</v>
      </c>
      <c r="L8286" t="s">
        <v>53</v>
      </c>
      <c r="N8286" t="s">
        <v>15640</v>
      </c>
      <c r="P8286" t="s">
        <v>55</v>
      </c>
      <c r="R8286" t="s">
        <v>56</v>
      </c>
      <c r="T8286" t="s">
        <v>15641</v>
      </c>
      <c r="U8286" t="s">
        <v>55</v>
      </c>
      <c r="V8286">
        <v>1</v>
      </c>
      <c r="W8286">
        <v>1</v>
      </c>
      <c r="X8286">
        <v>1</v>
      </c>
      <c r="Y8286">
        <v>0</v>
      </c>
      <c r="Z8286">
        <v>1</v>
      </c>
      <c r="AA8286">
        <v>75.599999999999994</v>
      </c>
      <c r="AB8286">
        <v>75.599999999999994</v>
      </c>
      <c r="AC8286">
        <v>75.599999999999994</v>
      </c>
      <c r="AD8286">
        <v>0</v>
      </c>
      <c r="AE8286">
        <v>0</v>
      </c>
      <c r="AF8286">
        <v>0</v>
      </c>
      <c r="AG8286">
        <v>0</v>
      </c>
      <c r="AH8286">
        <v>0</v>
      </c>
      <c r="AI8286">
        <v>13.61</v>
      </c>
      <c r="AJ8286">
        <v>75.599999999999994</v>
      </c>
      <c r="AK8286">
        <v>0</v>
      </c>
      <c r="AL8286" t="s">
        <v>53</v>
      </c>
      <c r="AM8286" t="s">
        <v>53</v>
      </c>
      <c r="AN8286" t="s">
        <v>15642</v>
      </c>
      <c r="AO8286" t="s">
        <v>53</v>
      </c>
      <c r="AP8286" t="s">
        <v>53</v>
      </c>
    </row>
    <row r="8287" spans="2:42" x14ac:dyDescent="0.2">
      <c r="B8287" t="s">
        <v>44</v>
      </c>
      <c r="C8287" t="str">
        <f>HYPERLINK("https://us2.cloudbeds.com/connect/8493803454333002#/reservations/217683968729216?display=4MPZEVDW4N&amp;reservation_id=217683968729216", "4MPZEVDW4N")</f>
        <v>4MPZEVDW4N</v>
      </c>
      <c r="D8287" t="s">
        <v>45</v>
      </c>
      <c r="E8287" t="s">
        <v>110</v>
      </c>
      <c r="F8287" t="s">
        <v>47</v>
      </c>
      <c r="G8287" t="s">
        <v>3974</v>
      </c>
      <c r="H8287" t="s">
        <v>3957</v>
      </c>
      <c r="I8287" t="s">
        <v>3975</v>
      </c>
      <c r="J8287" t="s">
        <v>14627</v>
      </c>
      <c r="K8287" t="s">
        <v>14628</v>
      </c>
      <c r="L8287" t="s">
        <v>53</v>
      </c>
      <c r="P8287" t="s">
        <v>55</v>
      </c>
      <c r="R8287" t="s">
        <v>56</v>
      </c>
      <c r="T8287" t="s">
        <v>15643</v>
      </c>
      <c r="U8287" t="s">
        <v>58</v>
      </c>
      <c r="V8287">
        <v>1</v>
      </c>
      <c r="W8287">
        <v>1</v>
      </c>
      <c r="X8287">
        <v>2</v>
      </c>
      <c r="Y8287">
        <v>0</v>
      </c>
      <c r="Z8287">
        <v>2</v>
      </c>
      <c r="AA8287">
        <v>87.13</v>
      </c>
      <c r="AB8287">
        <v>87.13</v>
      </c>
      <c r="AC8287">
        <v>76</v>
      </c>
      <c r="AD8287">
        <v>0</v>
      </c>
      <c r="AE8287">
        <v>11.13</v>
      </c>
      <c r="AF8287">
        <v>0</v>
      </c>
      <c r="AG8287">
        <v>0</v>
      </c>
      <c r="AH8287">
        <v>0</v>
      </c>
      <c r="AI8287">
        <v>0</v>
      </c>
      <c r="AJ8287">
        <v>87.13</v>
      </c>
      <c r="AK8287">
        <v>0</v>
      </c>
      <c r="AL8287" t="s">
        <v>53</v>
      </c>
      <c r="AM8287" t="s">
        <v>53</v>
      </c>
      <c r="AN8287" t="s">
        <v>15644</v>
      </c>
      <c r="AO8287" t="s">
        <v>53</v>
      </c>
      <c r="AP8287" t="s">
        <v>53</v>
      </c>
    </row>
    <row r="8288" spans="2:42" x14ac:dyDescent="0.2">
      <c r="B8288" t="s">
        <v>44</v>
      </c>
      <c r="C8288" t="str">
        <f>HYPERLINK("https://us2.cloudbeds.com/connect/8493803454333002#/reservations/9080486848420683?display=4MQCWDR32J&amp;reservation_id=9080486848420683", "4MQCWDR32J")</f>
        <v>4MQCWDR32J</v>
      </c>
      <c r="D8288" t="s">
        <v>45</v>
      </c>
      <c r="E8288" t="s">
        <v>381</v>
      </c>
      <c r="F8288" t="s">
        <v>47</v>
      </c>
      <c r="G8288" t="s">
        <v>48</v>
      </c>
      <c r="H8288" t="s">
        <v>49</v>
      </c>
      <c r="I8288" t="s">
        <v>50</v>
      </c>
      <c r="J8288" t="s">
        <v>13652</v>
      </c>
      <c r="K8288" t="s">
        <v>13653</v>
      </c>
      <c r="L8288" t="s">
        <v>53</v>
      </c>
      <c r="N8288" t="s">
        <v>15645</v>
      </c>
      <c r="P8288" t="s">
        <v>55</v>
      </c>
      <c r="R8288" t="s">
        <v>53</v>
      </c>
      <c r="T8288" t="s">
        <v>15646</v>
      </c>
      <c r="U8288" t="s">
        <v>58</v>
      </c>
      <c r="V8288">
        <v>2</v>
      </c>
      <c r="W8288">
        <v>1</v>
      </c>
      <c r="X8288">
        <v>1</v>
      </c>
      <c r="Y8288">
        <v>0</v>
      </c>
      <c r="Z8288">
        <v>1</v>
      </c>
      <c r="AA8288">
        <v>161.80000000000001</v>
      </c>
      <c r="AB8288">
        <v>161.80000000000001</v>
      </c>
      <c r="AC8288">
        <v>141.12</v>
      </c>
      <c r="AD8288">
        <v>0</v>
      </c>
      <c r="AE8288">
        <v>20.68</v>
      </c>
      <c r="AF8288">
        <v>0</v>
      </c>
      <c r="AG8288">
        <v>0</v>
      </c>
      <c r="AH8288">
        <v>0</v>
      </c>
      <c r="AI8288">
        <v>29.12</v>
      </c>
      <c r="AJ8288">
        <v>161.80000000000001</v>
      </c>
      <c r="AK8288">
        <v>0</v>
      </c>
      <c r="AL8288" t="s">
        <v>53</v>
      </c>
      <c r="AM8288" t="s">
        <v>53</v>
      </c>
      <c r="AN8288" t="s">
        <v>53</v>
      </c>
      <c r="AO8288" t="s">
        <v>53</v>
      </c>
      <c r="AP8288" t="s">
        <v>53</v>
      </c>
    </row>
    <row r="8289" spans="2:42" x14ac:dyDescent="0.2">
      <c r="B8289" t="s">
        <v>44</v>
      </c>
      <c r="C8289" t="str">
        <f>HYPERLINK("https://us2.cloudbeds.com/connect/8493803454333002#/reservations/9080486848420824?display=4MQGCUEVZF&amp;reservation_id=9080486848420824", "4MQGCUEVZF")</f>
        <v>4MQGCUEVZF</v>
      </c>
      <c r="D8289" t="s">
        <v>45</v>
      </c>
      <c r="E8289" t="s">
        <v>85</v>
      </c>
      <c r="F8289" t="s">
        <v>86</v>
      </c>
      <c r="G8289" t="s">
        <v>48</v>
      </c>
      <c r="H8289" t="s">
        <v>49</v>
      </c>
      <c r="I8289" t="s">
        <v>11624</v>
      </c>
      <c r="J8289" t="s">
        <v>10579</v>
      </c>
      <c r="K8289" t="s">
        <v>14627</v>
      </c>
      <c r="L8289" t="s">
        <v>53</v>
      </c>
      <c r="N8289" t="s">
        <v>15647</v>
      </c>
      <c r="P8289" t="s">
        <v>55</v>
      </c>
      <c r="R8289" t="s">
        <v>56</v>
      </c>
      <c r="T8289" t="s">
        <v>15648</v>
      </c>
      <c r="U8289" t="s">
        <v>58</v>
      </c>
      <c r="V8289">
        <v>1</v>
      </c>
      <c r="W8289">
        <v>1</v>
      </c>
      <c r="X8289">
        <v>4</v>
      </c>
      <c r="Y8289">
        <v>0</v>
      </c>
      <c r="Z8289">
        <v>4</v>
      </c>
      <c r="AA8289">
        <v>110</v>
      </c>
      <c r="AB8289">
        <v>110</v>
      </c>
      <c r="AC8289">
        <v>95.94</v>
      </c>
      <c r="AD8289">
        <v>0</v>
      </c>
      <c r="AE8289">
        <v>14.06</v>
      </c>
      <c r="AF8289">
        <v>0</v>
      </c>
      <c r="AG8289">
        <v>0</v>
      </c>
      <c r="AH8289">
        <v>0</v>
      </c>
      <c r="AI8289">
        <v>8.8000000000000007</v>
      </c>
      <c r="AJ8289">
        <v>110</v>
      </c>
      <c r="AK8289">
        <v>0</v>
      </c>
      <c r="AL8289" t="s">
        <v>53</v>
      </c>
      <c r="AM8289" t="s">
        <v>53</v>
      </c>
      <c r="AN8289" t="s">
        <v>53</v>
      </c>
      <c r="AO8289" t="s">
        <v>53</v>
      </c>
      <c r="AP8289" t="s">
        <v>53</v>
      </c>
    </row>
    <row r="8290" spans="2:42" x14ac:dyDescent="0.2">
      <c r="B8290" t="s">
        <v>44</v>
      </c>
      <c r="C8290" t="str">
        <f>HYPERLINK("https://us2.cloudbeds.com/connect/8493803454333002#/reservations/9080486848427072?display=4MVDTRC4QZ&amp;reservation_id=9080486848427072", "4MVDTRC4QZ")</f>
        <v>4MVDTRC4QZ</v>
      </c>
      <c r="D8290" t="s">
        <v>45</v>
      </c>
      <c r="E8290" t="s">
        <v>113</v>
      </c>
      <c r="F8290" t="s">
        <v>61</v>
      </c>
      <c r="G8290" t="s">
        <v>48</v>
      </c>
      <c r="H8290" t="s">
        <v>49</v>
      </c>
      <c r="I8290" t="s">
        <v>50</v>
      </c>
      <c r="J8290" t="s">
        <v>14637</v>
      </c>
      <c r="K8290" t="s">
        <v>14668</v>
      </c>
      <c r="L8290" t="s">
        <v>53</v>
      </c>
      <c r="N8290" t="s">
        <v>15649</v>
      </c>
      <c r="P8290" t="s">
        <v>55</v>
      </c>
      <c r="R8290" t="s">
        <v>53</v>
      </c>
      <c r="T8290" t="s">
        <v>15650</v>
      </c>
      <c r="U8290" t="s">
        <v>58</v>
      </c>
      <c r="V8290">
        <v>4</v>
      </c>
      <c r="W8290">
        <v>1</v>
      </c>
      <c r="X8290">
        <v>2</v>
      </c>
      <c r="Y8290">
        <v>0</v>
      </c>
      <c r="Z8290">
        <v>2</v>
      </c>
      <c r="AA8290">
        <v>972.5</v>
      </c>
      <c r="AB8290">
        <v>972.5</v>
      </c>
      <c r="AC8290">
        <v>848.21</v>
      </c>
      <c r="AD8290">
        <v>0</v>
      </c>
      <c r="AE8290">
        <v>124.29</v>
      </c>
      <c r="AF8290">
        <v>0</v>
      </c>
      <c r="AG8290">
        <v>0</v>
      </c>
      <c r="AH8290">
        <v>0</v>
      </c>
      <c r="AI8290">
        <v>175.05</v>
      </c>
      <c r="AJ8290">
        <v>972.5</v>
      </c>
      <c r="AK8290">
        <v>0</v>
      </c>
      <c r="AL8290" t="s">
        <v>53</v>
      </c>
      <c r="AM8290" t="s">
        <v>53</v>
      </c>
      <c r="AN8290" t="s">
        <v>15651</v>
      </c>
      <c r="AO8290" t="s">
        <v>53</v>
      </c>
      <c r="AP8290" t="s">
        <v>53</v>
      </c>
    </row>
    <row r="8291" spans="2:42" x14ac:dyDescent="0.2">
      <c r="B8291" t="s">
        <v>44</v>
      </c>
      <c r="C8291" t="str">
        <f>HYPERLINK("https://us2.cloudbeds.com/connect/8493803454333002#/reservations/217943609036992?display=4MVRGBWQUP&amp;reservation_id=217943609036992", "4MVRGBWQUP")</f>
        <v>4MVRGBWQUP</v>
      </c>
      <c r="D8291" t="s">
        <v>45</v>
      </c>
      <c r="E8291" t="s">
        <v>113</v>
      </c>
      <c r="F8291" t="s">
        <v>61</v>
      </c>
      <c r="G8291" t="s">
        <v>48</v>
      </c>
      <c r="H8291" t="s">
        <v>3957</v>
      </c>
      <c r="I8291" t="s">
        <v>3975</v>
      </c>
      <c r="J8291" t="s">
        <v>13959</v>
      </c>
      <c r="K8291" t="s">
        <v>13960</v>
      </c>
      <c r="L8291" t="s">
        <v>53</v>
      </c>
      <c r="P8291" t="s">
        <v>55</v>
      </c>
      <c r="R8291" t="s">
        <v>56</v>
      </c>
      <c r="T8291" t="s">
        <v>15652</v>
      </c>
      <c r="U8291" t="s">
        <v>58</v>
      </c>
      <c r="V8291">
        <v>1</v>
      </c>
      <c r="W8291">
        <v>1</v>
      </c>
      <c r="X8291">
        <v>1</v>
      </c>
      <c r="Y8291">
        <v>0</v>
      </c>
      <c r="Z8291">
        <v>1</v>
      </c>
      <c r="AA8291">
        <v>89.43</v>
      </c>
      <c r="AB8291">
        <v>89.43</v>
      </c>
      <c r="AC8291">
        <v>78</v>
      </c>
      <c r="AD8291">
        <v>0</v>
      </c>
      <c r="AE8291">
        <v>11.43</v>
      </c>
      <c r="AF8291">
        <v>0</v>
      </c>
      <c r="AG8291">
        <v>0</v>
      </c>
      <c r="AH8291">
        <v>0</v>
      </c>
      <c r="AI8291">
        <v>0</v>
      </c>
      <c r="AJ8291">
        <v>89.43</v>
      </c>
      <c r="AK8291">
        <v>0</v>
      </c>
      <c r="AL8291" t="s">
        <v>53</v>
      </c>
      <c r="AM8291" t="s">
        <v>53</v>
      </c>
      <c r="AN8291" t="s">
        <v>53</v>
      </c>
      <c r="AO8291" t="s">
        <v>53</v>
      </c>
      <c r="AP8291" t="s">
        <v>53</v>
      </c>
    </row>
    <row r="8292" spans="2:42" x14ac:dyDescent="0.2">
      <c r="B8292" t="s">
        <v>44</v>
      </c>
      <c r="C8292" t="str">
        <f>HYPERLINK("https://us2.cloudbeds.com/connect/8493803454333002#/reservations/9080486848429983?display=4N0C9GMNWJ&amp;reservation_id=9080486848429983", "4N0C9GMNWJ")</f>
        <v>4N0C9GMNWJ</v>
      </c>
      <c r="D8292" t="s">
        <v>45</v>
      </c>
      <c r="E8292" t="s">
        <v>185</v>
      </c>
      <c r="F8292" t="s">
        <v>47</v>
      </c>
      <c r="G8292" t="s">
        <v>48</v>
      </c>
      <c r="H8292" t="s">
        <v>49</v>
      </c>
      <c r="I8292" t="s">
        <v>50</v>
      </c>
      <c r="J8292" t="s">
        <v>13959</v>
      </c>
      <c r="K8292" t="s">
        <v>13960</v>
      </c>
      <c r="L8292" t="s">
        <v>53</v>
      </c>
      <c r="N8292" t="s">
        <v>15653</v>
      </c>
      <c r="P8292" t="s">
        <v>55</v>
      </c>
      <c r="R8292" t="s">
        <v>53</v>
      </c>
      <c r="T8292" t="s">
        <v>15654</v>
      </c>
      <c r="U8292" t="s">
        <v>55</v>
      </c>
      <c r="V8292">
        <v>1</v>
      </c>
      <c r="W8292">
        <v>1</v>
      </c>
      <c r="X8292">
        <v>1</v>
      </c>
      <c r="Y8292">
        <v>0</v>
      </c>
      <c r="Z8292">
        <v>1</v>
      </c>
      <c r="AA8292">
        <v>54.61</v>
      </c>
      <c r="AB8292">
        <v>54.61</v>
      </c>
      <c r="AC8292">
        <v>50.21</v>
      </c>
      <c r="AD8292">
        <v>0</v>
      </c>
      <c r="AE8292">
        <v>4.4000000000000004</v>
      </c>
      <c r="AF8292">
        <v>0</v>
      </c>
      <c r="AG8292">
        <v>0</v>
      </c>
      <c r="AH8292">
        <v>0</v>
      </c>
      <c r="AI8292">
        <v>9.83</v>
      </c>
      <c r="AJ8292">
        <v>54.61</v>
      </c>
      <c r="AK8292">
        <v>0</v>
      </c>
      <c r="AL8292" t="s">
        <v>53</v>
      </c>
      <c r="AM8292" t="s">
        <v>53</v>
      </c>
      <c r="AN8292" t="s">
        <v>53</v>
      </c>
      <c r="AO8292" t="s">
        <v>53</v>
      </c>
      <c r="AP8292" t="s">
        <v>53</v>
      </c>
    </row>
    <row r="8293" spans="2:42" x14ac:dyDescent="0.2">
      <c r="B8293" t="s">
        <v>44</v>
      </c>
      <c r="C8293" t="str">
        <f>HYPERLINK("https://us2.cloudbeds.com/connect/8493803454333002#/reservations/218042854088832?display=4N15BA06ND&amp;reservation_id=218042854088832", "4N15BA06ND")</f>
        <v>4N15BA06ND</v>
      </c>
      <c r="D8293" t="s">
        <v>45</v>
      </c>
      <c r="E8293" t="s">
        <v>179</v>
      </c>
      <c r="F8293" t="s">
        <v>47</v>
      </c>
      <c r="G8293" t="s">
        <v>48</v>
      </c>
      <c r="H8293" t="s">
        <v>3957</v>
      </c>
      <c r="I8293" t="s">
        <v>3975</v>
      </c>
      <c r="J8293" t="s">
        <v>13959</v>
      </c>
      <c r="K8293" t="s">
        <v>13960</v>
      </c>
      <c r="L8293" t="s">
        <v>53</v>
      </c>
      <c r="P8293" t="s">
        <v>55</v>
      </c>
      <c r="R8293" t="s">
        <v>56</v>
      </c>
      <c r="T8293" t="s">
        <v>15655</v>
      </c>
      <c r="U8293" t="s">
        <v>58</v>
      </c>
      <c r="V8293">
        <v>1</v>
      </c>
      <c r="W8293">
        <v>1</v>
      </c>
      <c r="X8293">
        <v>2</v>
      </c>
      <c r="Y8293">
        <v>0</v>
      </c>
      <c r="Z8293">
        <v>2</v>
      </c>
      <c r="AA8293">
        <v>82.55</v>
      </c>
      <c r="AB8293">
        <v>82.55</v>
      </c>
      <c r="AC8293">
        <v>72</v>
      </c>
      <c r="AD8293">
        <v>0</v>
      </c>
      <c r="AE8293">
        <v>10.55</v>
      </c>
      <c r="AF8293">
        <v>0</v>
      </c>
      <c r="AG8293">
        <v>0</v>
      </c>
      <c r="AH8293">
        <v>0</v>
      </c>
      <c r="AI8293">
        <v>0</v>
      </c>
      <c r="AJ8293">
        <v>82.55</v>
      </c>
      <c r="AK8293">
        <v>0</v>
      </c>
      <c r="AL8293" t="s">
        <v>53</v>
      </c>
      <c r="AM8293" t="s">
        <v>53</v>
      </c>
      <c r="AN8293" t="s">
        <v>15656</v>
      </c>
      <c r="AO8293" t="s">
        <v>53</v>
      </c>
      <c r="AP8293" t="s">
        <v>53</v>
      </c>
    </row>
    <row r="8294" spans="2:42" x14ac:dyDescent="0.2">
      <c r="B8294" t="s">
        <v>44</v>
      </c>
      <c r="C8294" t="str">
        <f>HYPERLINK("https://us2.cloudbeds.com/connect/8493803454333002#/reservations/9080486848431137?display=4N19T6CP8C&amp;reservation_id=9080486848431137", "4N19T6CP8C")</f>
        <v>4N19T6CP8C</v>
      </c>
      <c r="D8294" t="s">
        <v>45</v>
      </c>
      <c r="E8294" t="s">
        <v>113</v>
      </c>
      <c r="F8294" t="s">
        <v>61</v>
      </c>
      <c r="G8294" t="s">
        <v>48</v>
      </c>
      <c r="H8294" t="s">
        <v>49</v>
      </c>
      <c r="I8294" t="s">
        <v>50</v>
      </c>
      <c r="J8294" t="s">
        <v>13960</v>
      </c>
      <c r="K8294" t="s">
        <v>13652</v>
      </c>
      <c r="L8294" t="s">
        <v>53</v>
      </c>
      <c r="N8294" t="s">
        <v>15657</v>
      </c>
      <c r="P8294" t="s">
        <v>55</v>
      </c>
      <c r="R8294" t="s">
        <v>53</v>
      </c>
      <c r="T8294" t="s">
        <v>15658</v>
      </c>
      <c r="U8294" t="s">
        <v>55</v>
      </c>
      <c r="V8294">
        <v>2</v>
      </c>
      <c r="W8294">
        <v>1</v>
      </c>
      <c r="X8294">
        <v>2</v>
      </c>
      <c r="Y8294">
        <v>0</v>
      </c>
      <c r="Z8294">
        <v>2</v>
      </c>
      <c r="AA8294">
        <v>116.86</v>
      </c>
      <c r="AB8294">
        <v>116.82</v>
      </c>
      <c r="AC8294">
        <v>107.46</v>
      </c>
      <c r="AD8294">
        <v>0</v>
      </c>
      <c r="AE8294">
        <v>9.4</v>
      </c>
      <c r="AF8294">
        <v>0</v>
      </c>
      <c r="AG8294">
        <v>0</v>
      </c>
      <c r="AH8294">
        <v>0</v>
      </c>
      <c r="AI8294">
        <v>21.03</v>
      </c>
      <c r="AJ8294">
        <v>116.86</v>
      </c>
      <c r="AK8294">
        <v>0.04</v>
      </c>
      <c r="AL8294" t="s">
        <v>53</v>
      </c>
      <c r="AM8294" t="s">
        <v>53</v>
      </c>
      <c r="AN8294" t="s">
        <v>53</v>
      </c>
      <c r="AO8294" t="s">
        <v>53</v>
      </c>
      <c r="AP8294" t="s">
        <v>53</v>
      </c>
    </row>
    <row r="8295" spans="2:42" x14ac:dyDescent="0.2">
      <c r="B8295" t="s">
        <v>44</v>
      </c>
      <c r="C8295" t="str">
        <f>HYPERLINK("https://us2.cloudbeds.com/connect/8493803454333002#/reservations/218066849509504?display=4N1NUEKH8K&amp;reservation_id=218066849509504", "4N1NUEKH8K")</f>
        <v>4N1NUEKH8K</v>
      </c>
      <c r="D8295" t="s">
        <v>45</v>
      </c>
      <c r="E8295" t="s">
        <v>105</v>
      </c>
      <c r="F8295" t="s">
        <v>47</v>
      </c>
      <c r="G8295" t="s">
        <v>48</v>
      </c>
      <c r="H8295" t="s">
        <v>3957</v>
      </c>
      <c r="I8295" t="s">
        <v>3975</v>
      </c>
      <c r="J8295" t="s">
        <v>13960</v>
      </c>
      <c r="K8295" t="s">
        <v>14160</v>
      </c>
      <c r="L8295" t="s">
        <v>53</v>
      </c>
      <c r="P8295" t="s">
        <v>55</v>
      </c>
      <c r="R8295" t="s">
        <v>56</v>
      </c>
      <c r="T8295" t="s">
        <v>15659</v>
      </c>
      <c r="U8295" t="s">
        <v>58</v>
      </c>
      <c r="V8295">
        <v>1</v>
      </c>
      <c r="W8295">
        <v>1</v>
      </c>
      <c r="X8295">
        <v>2</v>
      </c>
      <c r="Y8295">
        <v>0</v>
      </c>
      <c r="Z8295">
        <v>2</v>
      </c>
      <c r="AA8295">
        <v>82.55</v>
      </c>
      <c r="AB8295">
        <v>82.55</v>
      </c>
      <c r="AC8295">
        <v>72</v>
      </c>
      <c r="AD8295">
        <v>0</v>
      </c>
      <c r="AE8295">
        <v>10.55</v>
      </c>
      <c r="AF8295">
        <v>0</v>
      </c>
      <c r="AG8295">
        <v>0</v>
      </c>
      <c r="AH8295">
        <v>0</v>
      </c>
      <c r="AI8295">
        <v>0</v>
      </c>
      <c r="AJ8295">
        <v>82.55</v>
      </c>
      <c r="AK8295">
        <v>0</v>
      </c>
      <c r="AL8295" t="s">
        <v>53</v>
      </c>
      <c r="AM8295" t="s">
        <v>53</v>
      </c>
      <c r="AN8295" t="s">
        <v>15660</v>
      </c>
      <c r="AO8295" t="s">
        <v>53</v>
      </c>
      <c r="AP8295" t="s">
        <v>53</v>
      </c>
    </row>
    <row r="8296" spans="2:42" x14ac:dyDescent="0.2">
      <c r="B8296" t="s">
        <v>44</v>
      </c>
      <c r="C8296" t="str">
        <f>HYPERLINK("https://us2.cloudbeds.com/connect/8493803454333002#/reservations/218116634239169?display=4N2TFXEMU3&amp;reservation_id=218116634239169", "4N2TFXEMU3")</f>
        <v>4N2TFXEMU3</v>
      </c>
      <c r="D8296" t="s">
        <v>45</v>
      </c>
      <c r="E8296" t="s">
        <v>185</v>
      </c>
      <c r="F8296" t="s">
        <v>47</v>
      </c>
      <c r="G8296" t="s">
        <v>48</v>
      </c>
      <c r="H8296" t="s">
        <v>3957</v>
      </c>
      <c r="I8296" t="s">
        <v>3975</v>
      </c>
      <c r="J8296" t="s">
        <v>13960</v>
      </c>
      <c r="K8296" t="s">
        <v>14160</v>
      </c>
      <c r="L8296" t="s">
        <v>53</v>
      </c>
      <c r="P8296" t="s">
        <v>55</v>
      </c>
      <c r="R8296" t="s">
        <v>56</v>
      </c>
      <c r="T8296" t="s">
        <v>15661</v>
      </c>
      <c r="U8296" t="s">
        <v>58</v>
      </c>
      <c r="V8296">
        <v>1</v>
      </c>
      <c r="W8296">
        <v>1</v>
      </c>
      <c r="X8296">
        <v>1</v>
      </c>
      <c r="Y8296">
        <v>0</v>
      </c>
      <c r="Z8296">
        <v>1</v>
      </c>
      <c r="AA8296">
        <v>82.55</v>
      </c>
      <c r="AB8296">
        <v>82.55</v>
      </c>
      <c r="AC8296">
        <v>72</v>
      </c>
      <c r="AD8296">
        <v>0</v>
      </c>
      <c r="AE8296">
        <v>10.55</v>
      </c>
      <c r="AF8296">
        <v>0</v>
      </c>
      <c r="AG8296">
        <v>0</v>
      </c>
      <c r="AH8296">
        <v>0</v>
      </c>
      <c r="AI8296">
        <v>0</v>
      </c>
      <c r="AJ8296">
        <v>82.55</v>
      </c>
      <c r="AK8296">
        <v>0</v>
      </c>
      <c r="AL8296" t="s">
        <v>53</v>
      </c>
      <c r="AM8296" t="s">
        <v>53</v>
      </c>
      <c r="AN8296" t="s">
        <v>15662</v>
      </c>
      <c r="AO8296" t="s">
        <v>53</v>
      </c>
      <c r="AP8296" t="s">
        <v>53</v>
      </c>
    </row>
    <row r="8297" spans="2:42" x14ac:dyDescent="0.2">
      <c r="B8297" t="s">
        <v>44</v>
      </c>
      <c r="C8297" t="str">
        <f>HYPERLINK("https://us2.cloudbeds.com/connect/8493803454333002#/reservations/9080486848433044?display=4N355775W5&amp;reservation_id=9080486848433044", "4N355775W5")</f>
        <v>4N355775W5</v>
      </c>
      <c r="D8297" t="s">
        <v>45</v>
      </c>
      <c r="E8297" t="s">
        <v>105</v>
      </c>
      <c r="F8297" t="s">
        <v>47</v>
      </c>
      <c r="G8297" t="s">
        <v>48</v>
      </c>
      <c r="H8297" t="s">
        <v>49</v>
      </c>
      <c r="I8297" t="s">
        <v>50</v>
      </c>
      <c r="J8297" t="s">
        <v>13037</v>
      </c>
      <c r="K8297" t="s">
        <v>14176</v>
      </c>
      <c r="L8297" t="s">
        <v>53</v>
      </c>
      <c r="N8297" t="s">
        <v>15663</v>
      </c>
      <c r="P8297" t="s">
        <v>55</v>
      </c>
      <c r="R8297" t="s">
        <v>53</v>
      </c>
      <c r="T8297" t="s">
        <v>15664</v>
      </c>
      <c r="U8297" t="s">
        <v>55</v>
      </c>
      <c r="V8297">
        <v>1</v>
      </c>
      <c r="W8297">
        <v>1</v>
      </c>
      <c r="X8297">
        <v>2</v>
      </c>
      <c r="Y8297">
        <v>0</v>
      </c>
      <c r="Z8297">
        <v>2</v>
      </c>
      <c r="AA8297">
        <v>104.07</v>
      </c>
      <c r="AB8297">
        <v>104.07</v>
      </c>
      <c r="AC8297">
        <v>95.7</v>
      </c>
      <c r="AD8297">
        <v>0</v>
      </c>
      <c r="AE8297">
        <v>8.3699999999999992</v>
      </c>
      <c r="AF8297">
        <v>0</v>
      </c>
      <c r="AG8297">
        <v>0</v>
      </c>
      <c r="AH8297">
        <v>0</v>
      </c>
      <c r="AI8297">
        <v>18.73</v>
      </c>
      <c r="AJ8297">
        <v>104.07</v>
      </c>
      <c r="AK8297">
        <v>0</v>
      </c>
      <c r="AL8297" t="s">
        <v>53</v>
      </c>
      <c r="AM8297" t="s">
        <v>53</v>
      </c>
      <c r="AN8297" t="s">
        <v>53</v>
      </c>
      <c r="AO8297" t="s">
        <v>53</v>
      </c>
      <c r="AP8297" t="s">
        <v>53</v>
      </c>
    </row>
    <row r="8298" spans="2:42" x14ac:dyDescent="0.2">
      <c r="B8298" t="s">
        <v>44</v>
      </c>
      <c r="C8298" t="str">
        <f>HYPERLINK("https://us2.cloudbeds.com/connect/8493803454333002#/reservations/9080486848436013?display=4N5XYME9PJ&amp;reservation_id=9080486848436013", "4N5XYME9PJ")</f>
        <v>4N5XYME9PJ</v>
      </c>
      <c r="D8298" t="s">
        <v>45</v>
      </c>
      <c r="E8298" t="s">
        <v>78</v>
      </c>
      <c r="F8298" t="s">
        <v>61</v>
      </c>
      <c r="G8298" t="s">
        <v>48</v>
      </c>
      <c r="H8298" t="s">
        <v>49</v>
      </c>
      <c r="I8298" t="s">
        <v>50</v>
      </c>
      <c r="J8298" t="s">
        <v>13652</v>
      </c>
      <c r="K8298" t="s">
        <v>13653</v>
      </c>
      <c r="L8298" t="s">
        <v>53</v>
      </c>
      <c r="N8298" t="s">
        <v>15665</v>
      </c>
      <c r="P8298" t="s">
        <v>55</v>
      </c>
      <c r="R8298" t="s">
        <v>53</v>
      </c>
      <c r="T8298" t="s">
        <v>15666</v>
      </c>
      <c r="U8298" t="s">
        <v>58</v>
      </c>
      <c r="V8298">
        <v>2</v>
      </c>
      <c r="W8298">
        <v>1</v>
      </c>
      <c r="X8298">
        <v>2</v>
      </c>
      <c r="Y8298">
        <v>0</v>
      </c>
      <c r="Z8298">
        <v>2</v>
      </c>
      <c r="AA8298">
        <v>183.16</v>
      </c>
      <c r="AB8298">
        <v>183.16</v>
      </c>
      <c r="AC8298">
        <v>159.76</v>
      </c>
      <c r="AD8298">
        <v>0</v>
      </c>
      <c r="AE8298">
        <v>23.4</v>
      </c>
      <c r="AF8298">
        <v>0</v>
      </c>
      <c r="AG8298">
        <v>0</v>
      </c>
      <c r="AH8298">
        <v>0</v>
      </c>
      <c r="AI8298">
        <v>32.97</v>
      </c>
      <c r="AJ8298">
        <v>183.16</v>
      </c>
      <c r="AK8298">
        <v>0</v>
      </c>
      <c r="AL8298" t="s">
        <v>53</v>
      </c>
      <c r="AM8298" t="s">
        <v>53</v>
      </c>
      <c r="AN8298" t="s">
        <v>53</v>
      </c>
      <c r="AO8298" t="s">
        <v>53</v>
      </c>
      <c r="AP8298" t="s">
        <v>53</v>
      </c>
    </row>
    <row r="8299" spans="2:42" x14ac:dyDescent="0.2">
      <c r="B8299" t="s">
        <v>44</v>
      </c>
      <c r="C8299" t="str">
        <f>HYPERLINK("https://us2.cloudbeds.com/connect/8493803454333002#/reservations/218236580270209?display=4N5NBF3UWE&amp;reservation_id=218236580270209", "4N5NBF3UWE")</f>
        <v>4N5NBF3UWE</v>
      </c>
      <c r="D8299" t="s">
        <v>45</v>
      </c>
      <c r="E8299" t="s">
        <v>105</v>
      </c>
      <c r="F8299" t="s">
        <v>47</v>
      </c>
      <c r="G8299" t="s">
        <v>48</v>
      </c>
      <c r="H8299" t="s">
        <v>3957</v>
      </c>
      <c r="I8299" t="s">
        <v>3975</v>
      </c>
      <c r="J8299" t="s">
        <v>14160</v>
      </c>
      <c r="K8299" t="s">
        <v>14189</v>
      </c>
      <c r="L8299" t="s">
        <v>53</v>
      </c>
      <c r="P8299" t="s">
        <v>55</v>
      </c>
      <c r="R8299" t="s">
        <v>56</v>
      </c>
      <c r="T8299" t="s">
        <v>15667</v>
      </c>
      <c r="U8299" t="s">
        <v>58</v>
      </c>
      <c r="V8299">
        <v>2</v>
      </c>
      <c r="W8299">
        <v>1</v>
      </c>
      <c r="X8299">
        <v>1</v>
      </c>
      <c r="Y8299">
        <v>0</v>
      </c>
      <c r="Z8299">
        <v>1</v>
      </c>
      <c r="AA8299">
        <v>174.27</v>
      </c>
      <c r="AB8299">
        <v>174.27</v>
      </c>
      <c r="AC8299">
        <v>152</v>
      </c>
      <c r="AD8299">
        <v>0</v>
      </c>
      <c r="AE8299">
        <v>22.27</v>
      </c>
      <c r="AF8299">
        <v>0</v>
      </c>
      <c r="AG8299">
        <v>0</v>
      </c>
      <c r="AH8299">
        <v>0</v>
      </c>
      <c r="AI8299">
        <v>0</v>
      </c>
      <c r="AJ8299">
        <v>174.27</v>
      </c>
      <c r="AK8299">
        <v>0</v>
      </c>
      <c r="AL8299" t="s">
        <v>53</v>
      </c>
      <c r="AM8299" t="s">
        <v>53</v>
      </c>
      <c r="AN8299" t="s">
        <v>53</v>
      </c>
      <c r="AO8299" t="s">
        <v>53</v>
      </c>
      <c r="AP8299" t="s">
        <v>53</v>
      </c>
    </row>
    <row r="8300" spans="2:42" x14ac:dyDescent="0.2">
      <c r="B8300" t="s">
        <v>44</v>
      </c>
      <c r="C8300" t="str">
        <f>HYPERLINK("https://us2.cloudbeds.com/connect/8493803454333002#/reservations/9080486848436940?display=4N63RA6W7A&amp;reservation_id=9080486848436940", "4N63RA6W7A")</f>
        <v>4N63RA6W7A</v>
      </c>
      <c r="D8300" t="s">
        <v>45</v>
      </c>
      <c r="E8300" t="s">
        <v>213</v>
      </c>
      <c r="F8300" t="s">
        <v>86</v>
      </c>
      <c r="G8300" t="s">
        <v>48</v>
      </c>
      <c r="H8300" t="s">
        <v>49</v>
      </c>
      <c r="I8300" t="s">
        <v>50</v>
      </c>
      <c r="J8300" t="s">
        <v>13960</v>
      </c>
      <c r="K8300" t="s">
        <v>14160</v>
      </c>
      <c r="L8300" t="s">
        <v>53</v>
      </c>
      <c r="N8300" t="s">
        <v>15668</v>
      </c>
      <c r="P8300" t="s">
        <v>55</v>
      </c>
      <c r="R8300" t="s">
        <v>53</v>
      </c>
      <c r="T8300" t="s">
        <v>15669</v>
      </c>
      <c r="U8300" t="s">
        <v>55</v>
      </c>
      <c r="V8300">
        <v>1</v>
      </c>
      <c r="W8300">
        <v>1</v>
      </c>
      <c r="X8300">
        <v>2</v>
      </c>
      <c r="Y8300">
        <v>0</v>
      </c>
      <c r="Z8300">
        <v>2</v>
      </c>
      <c r="AA8300">
        <v>65.92</v>
      </c>
      <c r="AB8300">
        <v>65.92</v>
      </c>
      <c r="AC8300">
        <v>60.62</v>
      </c>
      <c r="AD8300">
        <v>0</v>
      </c>
      <c r="AE8300">
        <v>5.3</v>
      </c>
      <c r="AF8300">
        <v>0</v>
      </c>
      <c r="AG8300">
        <v>0</v>
      </c>
      <c r="AH8300">
        <v>0</v>
      </c>
      <c r="AI8300">
        <v>11.87</v>
      </c>
      <c r="AJ8300">
        <v>65.92</v>
      </c>
      <c r="AK8300">
        <v>0</v>
      </c>
      <c r="AL8300" t="s">
        <v>53</v>
      </c>
      <c r="AM8300" t="s">
        <v>53</v>
      </c>
      <c r="AN8300" t="s">
        <v>53</v>
      </c>
      <c r="AO8300" t="s">
        <v>53</v>
      </c>
      <c r="AP8300" t="s">
        <v>53</v>
      </c>
    </row>
    <row r="8301" spans="2:42" x14ac:dyDescent="0.2">
      <c r="B8301" t="s">
        <v>44</v>
      </c>
      <c r="C8301" t="str">
        <f>HYPERLINK("https://us2.cloudbeds.com/connect/8493803454333002#/reservations/9080486848437503?display=4N6FHQ41N9&amp;reservation_id=9080486848437503", "4N6FHQ41N9")</f>
        <v>4N6FHQ41N9</v>
      </c>
      <c r="D8301" t="s">
        <v>45</v>
      </c>
      <c r="E8301" t="s">
        <v>190</v>
      </c>
      <c r="F8301" t="s">
        <v>61</v>
      </c>
      <c r="G8301" t="s">
        <v>48</v>
      </c>
      <c r="H8301" t="s">
        <v>49</v>
      </c>
      <c r="I8301" t="s">
        <v>50</v>
      </c>
      <c r="J8301" t="s">
        <v>13652</v>
      </c>
      <c r="K8301" t="s">
        <v>13653</v>
      </c>
      <c r="L8301" t="s">
        <v>53</v>
      </c>
      <c r="N8301" t="s">
        <v>15670</v>
      </c>
      <c r="P8301" t="s">
        <v>55</v>
      </c>
      <c r="R8301" t="s">
        <v>53</v>
      </c>
      <c r="T8301" t="s">
        <v>15671</v>
      </c>
      <c r="U8301" t="s">
        <v>55</v>
      </c>
      <c r="V8301">
        <v>2</v>
      </c>
      <c r="W8301">
        <v>1</v>
      </c>
      <c r="X8301">
        <v>1</v>
      </c>
      <c r="Y8301">
        <v>0</v>
      </c>
      <c r="Z8301">
        <v>1</v>
      </c>
      <c r="AA8301">
        <v>150.86000000000001</v>
      </c>
      <c r="AB8301">
        <v>150.86000000000001</v>
      </c>
      <c r="AC8301">
        <v>138.71</v>
      </c>
      <c r="AD8301">
        <v>0</v>
      </c>
      <c r="AE8301">
        <v>12.15</v>
      </c>
      <c r="AF8301">
        <v>0</v>
      </c>
      <c r="AG8301">
        <v>0</v>
      </c>
      <c r="AH8301">
        <v>0</v>
      </c>
      <c r="AI8301">
        <v>27.15</v>
      </c>
      <c r="AJ8301">
        <v>150.86000000000001</v>
      </c>
      <c r="AK8301">
        <v>0</v>
      </c>
      <c r="AL8301" t="s">
        <v>53</v>
      </c>
      <c r="AM8301" t="s">
        <v>53</v>
      </c>
      <c r="AN8301" t="s">
        <v>15672</v>
      </c>
      <c r="AO8301" t="s">
        <v>53</v>
      </c>
      <c r="AP8301" t="s">
        <v>53</v>
      </c>
    </row>
    <row r="8302" spans="2:42" x14ac:dyDescent="0.2">
      <c r="B8302" t="s">
        <v>44</v>
      </c>
      <c r="C8302" t="str">
        <f>HYPERLINK("https://us2.cloudbeds.com/connect/8493803454333002#/reservations/218274161770624?display=4N6JEZQTQY&amp;reservation_id=218274161770624", "4N6JEZQTQY")</f>
        <v>4N6JEZQTQY</v>
      </c>
      <c r="D8302" t="s">
        <v>45</v>
      </c>
      <c r="E8302" t="s">
        <v>223</v>
      </c>
      <c r="F8302" t="s">
        <v>47</v>
      </c>
      <c r="G8302" t="s">
        <v>3974</v>
      </c>
      <c r="H8302" t="s">
        <v>3957</v>
      </c>
      <c r="I8302" t="s">
        <v>3975</v>
      </c>
      <c r="J8302" t="s">
        <v>13898</v>
      </c>
      <c r="K8302" t="s">
        <v>13038</v>
      </c>
      <c r="L8302" t="s">
        <v>53</v>
      </c>
      <c r="P8302" t="s">
        <v>55</v>
      </c>
      <c r="R8302" t="s">
        <v>56</v>
      </c>
      <c r="T8302" t="s">
        <v>15673</v>
      </c>
      <c r="U8302" t="s">
        <v>58</v>
      </c>
      <c r="V8302">
        <v>3</v>
      </c>
      <c r="W8302">
        <v>1</v>
      </c>
      <c r="X8302">
        <v>2</v>
      </c>
      <c r="Y8302">
        <v>0</v>
      </c>
      <c r="Z8302">
        <v>2</v>
      </c>
      <c r="AA8302">
        <v>375.77</v>
      </c>
      <c r="AB8302">
        <v>375.77</v>
      </c>
      <c r="AC8302">
        <v>327.75</v>
      </c>
      <c r="AD8302">
        <v>0</v>
      </c>
      <c r="AE8302">
        <v>48.02</v>
      </c>
      <c r="AF8302">
        <v>0</v>
      </c>
      <c r="AG8302">
        <v>0</v>
      </c>
      <c r="AH8302">
        <v>0</v>
      </c>
      <c r="AI8302">
        <v>0</v>
      </c>
      <c r="AJ8302">
        <v>375.77</v>
      </c>
      <c r="AK8302">
        <v>0</v>
      </c>
      <c r="AL8302" t="s">
        <v>53</v>
      </c>
      <c r="AM8302" t="s">
        <v>53</v>
      </c>
      <c r="AN8302" t="s">
        <v>53</v>
      </c>
      <c r="AO8302" t="s">
        <v>53</v>
      </c>
      <c r="AP8302" t="s">
        <v>53</v>
      </c>
    </row>
    <row r="8303" spans="2:42" x14ac:dyDescent="0.2">
      <c r="B8303" t="s">
        <v>44</v>
      </c>
      <c r="C8303" t="str">
        <f>HYPERLINK("https://us2.cloudbeds.com/connect/8493803454333002#/reservations/9080486848438355?display=4N706KX1G1&amp;reservation_id=9080486848438355", "4N706KX1G1")</f>
        <v>4N706KX1G1</v>
      </c>
      <c r="D8303" t="s">
        <v>45</v>
      </c>
      <c r="E8303" t="s">
        <v>110</v>
      </c>
      <c r="F8303" t="s">
        <v>47</v>
      </c>
      <c r="G8303" t="s">
        <v>48</v>
      </c>
      <c r="H8303" t="s">
        <v>49</v>
      </c>
      <c r="I8303" t="s">
        <v>62</v>
      </c>
      <c r="J8303" t="s">
        <v>13652</v>
      </c>
      <c r="K8303" t="s">
        <v>14189</v>
      </c>
      <c r="L8303" t="s">
        <v>53</v>
      </c>
      <c r="N8303" t="s">
        <v>15674</v>
      </c>
      <c r="P8303" t="s">
        <v>55</v>
      </c>
      <c r="R8303" t="s">
        <v>56</v>
      </c>
      <c r="T8303" t="s">
        <v>15675</v>
      </c>
      <c r="U8303" t="s">
        <v>55</v>
      </c>
      <c r="V8303">
        <v>1</v>
      </c>
      <c r="W8303">
        <v>1</v>
      </c>
      <c r="X8303">
        <v>1</v>
      </c>
      <c r="Y8303">
        <v>0</v>
      </c>
      <c r="Z8303">
        <v>1</v>
      </c>
      <c r="AA8303">
        <v>84</v>
      </c>
      <c r="AB8303">
        <v>84</v>
      </c>
      <c r="AC8303">
        <v>84</v>
      </c>
      <c r="AD8303">
        <v>0</v>
      </c>
      <c r="AE8303">
        <v>0</v>
      </c>
      <c r="AF8303">
        <v>0</v>
      </c>
      <c r="AG8303">
        <v>0</v>
      </c>
      <c r="AH8303">
        <v>0</v>
      </c>
      <c r="AI8303">
        <v>15.12</v>
      </c>
      <c r="AJ8303">
        <v>84</v>
      </c>
      <c r="AK8303">
        <v>0</v>
      </c>
      <c r="AL8303" t="s">
        <v>53</v>
      </c>
      <c r="AM8303" t="s">
        <v>53</v>
      </c>
      <c r="AN8303" t="s">
        <v>15676</v>
      </c>
      <c r="AO8303" t="s">
        <v>53</v>
      </c>
      <c r="AP8303" t="s">
        <v>53</v>
      </c>
    </row>
    <row r="8304" spans="2:42" x14ac:dyDescent="0.2">
      <c r="B8304" t="s">
        <v>44</v>
      </c>
      <c r="C8304" t="str">
        <f>HYPERLINK("https://us2.cloudbeds.com/connect/8493803454333002#/reservations/9080486848438816?display=4N79RNUMKR&amp;reservation_id=9080486848438816", "4N79RNUMKR")</f>
        <v>4N79RNUMKR</v>
      </c>
      <c r="D8304" t="s">
        <v>45</v>
      </c>
      <c r="E8304" t="s">
        <v>179</v>
      </c>
      <c r="F8304" t="s">
        <v>47</v>
      </c>
      <c r="G8304" t="s">
        <v>48</v>
      </c>
      <c r="H8304" t="s">
        <v>49</v>
      </c>
      <c r="I8304" t="s">
        <v>50</v>
      </c>
      <c r="J8304" t="s">
        <v>13037</v>
      </c>
      <c r="K8304" t="s">
        <v>14176</v>
      </c>
      <c r="L8304" t="s">
        <v>53</v>
      </c>
      <c r="N8304" t="s">
        <v>15677</v>
      </c>
      <c r="P8304" t="s">
        <v>55</v>
      </c>
      <c r="R8304" t="s">
        <v>53</v>
      </c>
      <c r="T8304" t="s">
        <v>15678</v>
      </c>
      <c r="U8304" t="s">
        <v>55</v>
      </c>
      <c r="V8304">
        <v>1</v>
      </c>
      <c r="W8304">
        <v>1</v>
      </c>
      <c r="X8304">
        <v>2</v>
      </c>
      <c r="Y8304">
        <v>0</v>
      </c>
      <c r="Z8304">
        <v>2</v>
      </c>
      <c r="AA8304">
        <v>104.07</v>
      </c>
      <c r="AB8304">
        <v>104.07</v>
      </c>
      <c r="AC8304">
        <v>95.7</v>
      </c>
      <c r="AD8304">
        <v>0</v>
      </c>
      <c r="AE8304">
        <v>8.3699999999999992</v>
      </c>
      <c r="AF8304">
        <v>0</v>
      </c>
      <c r="AG8304">
        <v>0</v>
      </c>
      <c r="AH8304">
        <v>0</v>
      </c>
      <c r="AI8304">
        <v>18.73</v>
      </c>
      <c r="AJ8304">
        <v>104.07</v>
      </c>
      <c r="AK8304">
        <v>0</v>
      </c>
      <c r="AL8304" t="s">
        <v>53</v>
      </c>
      <c r="AM8304" t="s">
        <v>53</v>
      </c>
      <c r="AN8304" t="s">
        <v>53</v>
      </c>
      <c r="AO8304" t="s">
        <v>53</v>
      </c>
      <c r="AP8304" t="s">
        <v>53</v>
      </c>
    </row>
    <row r="8305" spans="2:42" x14ac:dyDescent="0.2">
      <c r="B8305" t="s">
        <v>44</v>
      </c>
      <c r="C8305" t="str">
        <f>HYPERLINK("https://us2.cloudbeds.com/connect/8493803454333002#/reservations/9080486848438965?display=4N7CZRFA60&amp;reservation_id=9080486848438965", "4N7CZRFA60")</f>
        <v>4N7CZRFA60</v>
      </c>
      <c r="D8305" t="s">
        <v>45</v>
      </c>
      <c r="E8305" t="s">
        <v>406</v>
      </c>
      <c r="F8305" t="s">
        <v>61</v>
      </c>
      <c r="G8305" t="s">
        <v>48</v>
      </c>
      <c r="H8305" t="s">
        <v>49</v>
      </c>
      <c r="I8305" t="s">
        <v>50</v>
      </c>
      <c r="J8305" t="s">
        <v>13037</v>
      </c>
      <c r="K8305" t="s">
        <v>13038</v>
      </c>
      <c r="L8305" t="s">
        <v>53</v>
      </c>
      <c r="N8305" t="s">
        <v>15679</v>
      </c>
      <c r="P8305" t="s">
        <v>55</v>
      </c>
      <c r="R8305" t="s">
        <v>53</v>
      </c>
      <c r="T8305" t="s">
        <v>15680</v>
      </c>
      <c r="U8305" t="s">
        <v>55</v>
      </c>
      <c r="V8305">
        <v>2</v>
      </c>
      <c r="W8305">
        <v>1</v>
      </c>
      <c r="X8305">
        <v>2</v>
      </c>
      <c r="Y8305">
        <v>0</v>
      </c>
      <c r="Z8305">
        <v>2</v>
      </c>
      <c r="AA8305">
        <v>261.18</v>
      </c>
      <c r="AB8305">
        <v>261.18</v>
      </c>
      <c r="AC8305">
        <v>240.16</v>
      </c>
      <c r="AD8305">
        <v>0</v>
      </c>
      <c r="AE8305">
        <v>21.02</v>
      </c>
      <c r="AF8305">
        <v>0</v>
      </c>
      <c r="AG8305">
        <v>0</v>
      </c>
      <c r="AH8305">
        <v>0</v>
      </c>
      <c r="AI8305">
        <v>47.01</v>
      </c>
      <c r="AJ8305">
        <v>261.18</v>
      </c>
      <c r="AK8305">
        <v>0</v>
      </c>
      <c r="AL8305" t="s">
        <v>53</v>
      </c>
      <c r="AM8305" t="s">
        <v>53</v>
      </c>
      <c r="AN8305" t="s">
        <v>53</v>
      </c>
      <c r="AO8305" t="s">
        <v>53</v>
      </c>
      <c r="AP8305" t="s">
        <v>53</v>
      </c>
    </row>
    <row r="8306" spans="2:42" x14ac:dyDescent="0.2">
      <c r="B8306" t="s">
        <v>44</v>
      </c>
      <c r="C8306" t="str">
        <f>HYPERLINK("https://us2.cloudbeds.com/connect/8493803454333002#/reservations/9080486848439312?display=4N7JK6T2C6&amp;reservation_id=9080486848439312", "4N7JK6T2C6")</f>
        <v>4N7JK6T2C6</v>
      </c>
      <c r="D8306" t="s">
        <v>45</v>
      </c>
      <c r="E8306" t="s">
        <v>179</v>
      </c>
      <c r="F8306" t="s">
        <v>47</v>
      </c>
      <c r="G8306" t="s">
        <v>48</v>
      </c>
      <c r="H8306" t="s">
        <v>49</v>
      </c>
      <c r="I8306" t="s">
        <v>50</v>
      </c>
      <c r="J8306" t="s">
        <v>13960</v>
      </c>
      <c r="K8306" t="s">
        <v>14160</v>
      </c>
      <c r="L8306" t="s">
        <v>53</v>
      </c>
      <c r="N8306" t="s">
        <v>15681</v>
      </c>
      <c r="P8306" t="s">
        <v>55</v>
      </c>
      <c r="R8306" t="s">
        <v>53</v>
      </c>
      <c r="T8306" t="s">
        <v>15682</v>
      </c>
      <c r="U8306" t="s">
        <v>55</v>
      </c>
      <c r="V8306">
        <v>1</v>
      </c>
      <c r="W8306">
        <v>1</v>
      </c>
      <c r="X8306">
        <v>2</v>
      </c>
      <c r="Y8306">
        <v>0</v>
      </c>
      <c r="Z8306">
        <v>2</v>
      </c>
      <c r="AA8306">
        <v>60.67</v>
      </c>
      <c r="AB8306">
        <v>60.67</v>
      </c>
      <c r="AC8306">
        <v>55.79</v>
      </c>
      <c r="AD8306">
        <v>0</v>
      </c>
      <c r="AE8306">
        <v>4.88</v>
      </c>
      <c r="AF8306">
        <v>0</v>
      </c>
      <c r="AG8306">
        <v>0</v>
      </c>
      <c r="AH8306">
        <v>0</v>
      </c>
      <c r="AI8306">
        <v>10.92</v>
      </c>
      <c r="AJ8306">
        <v>60.67</v>
      </c>
      <c r="AK8306">
        <v>0</v>
      </c>
      <c r="AL8306" t="s">
        <v>53</v>
      </c>
      <c r="AM8306" t="s">
        <v>53</v>
      </c>
      <c r="AN8306" t="s">
        <v>53</v>
      </c>
      <c r="AO8306" t="s">
        <v>53</v>
      </c>
      <c r="AP8306" t="s">
        <v>53</v>
      </c>
    </row>
    <row r="8307" spans="2:42" x14ac:dyDescent="0.2">
      <c r="B8307" t="s">
        <v>44</v>
      </c>
      <c r="C8307" t="str">
        <f>HYPERLINK("https://us2.cloudbeds.com/connect/8493803454333002#/reservations/9080486848440627?display=4N8HY105G1&amp;reservation_id=9080486848440627", "4N8HY105G1")</f>
        <v>4N8HY105G1</v>
      </c>
      <c r="D8307" t="s">
        <v>45</v>
      </c>
      <c r="E8307" t="s">
        <v>78</v>
      </c>
      <c r="F8307" t="s">
        <v>61</v>
      </c>
      <c r="G8307" t="s">
        <v>48</v>
      </c>
      <c r="H8307" t="s">
        <v>49</v>
      </c>
      <c r="I8307" t="s">
        <v>50</v>
      </c>
      <c r="J8307" t="s">
        <v>13960</v>
      </c>
      <c r="K8307" t="s">
        <v>14160</v>
      </c>
      <c r="L8307" t="s">
        <v>53</v>
      </c>
      <c r="N8307" t="s">
        <v>15683</v>
      </c>
      <c r="P8307" t="s">
        <v>55</v>
      </c>
      <c r="R8307" t="s">
        <v>53</v>
      </c>
      <c r="T8307" t="s">
        <v>15684</v>
      </c>
      <c r="U8307" t="s">
        <v>55</v>
      </c>
      <c r="V8307">
        <v>1</v>
      </c>
      <c r="W8307">
        <v>1</v>
      </c>
      <c r="X8307">
        <v>2</v>
      </c>
      <c r="Y8307">
        <v>0</v>
      </c>
      <c r="Z8307">
        <v>2</v>
      </c>
      <c r="AA8307">
        <v>58.43</v>
      </c>
      <c r="AB8307">
        <v>58.43</v>
      </c>
      <c r="AC8307">
        <v>53.73</v>
      </c>
      <c r="AD8307">
        <v>0</v>
      </c>
      <c r="AE8307">
        <v>4.7</v>
      </c>
      <c r="AF8307">
        <v>0</v>
      </c>
      <c r="AG8307">
        <v>0</v>
      </c>
      <c r="AH8307">
        <v>0</v>
      </c>
      <c r="AI8307">
        <v>10.52</v>
      </c>
      <c r="AJ8307">
        <v>58.43</v>
      </c>
      <c r="AK8307">
        <v>0</v>
      </c>
      <c r="AL8307" t="s">
        <v>53</v>
      </c>
      <c r="AM8307" t="s">
        <v>53</v>
      </c>
      <c r="AN8307" t="s">
        <v>53</v>
      </c>
      <c r="AO8307" t="s">
        <v>53</v>
      </c>
      <c r="AP8307" t="s">
        <v>53</v>
      </c>
    </row>
    <row r="8308" spans="2:42" x14ac:dyDescent="0.2">
      <c r="B8308" t="s">
        <v>44</v>
      </c>
      <c r="C8308" t="str">
        <f>HYPERLINK("https://us2.cloudbeds.com/connect/8493803454333002#/reservations/9080486848440696?display=4N8JFU6U8H&amp;reservation_id=9080486848440696", "4N8JFU6U8H")</f>
        <v>4N8JFU6U8H</v>
      </c>
      <c r="D8308" t="s">
        <v>45</v>
      </c>
      <c r="E8308" t="s">
        <v>155</v>
      </c>
      <c r="F8308" t="s">
        <v>86</v>
      </c>
      <c r="G8308" t="s">
        <v>48</v>
      </c>
      <c r="H8308" t="s">
        <v>49</v>
      </c>
      <c r="I8308" t="s">
        <v>50</v>
      </c>
      <c r="J8308" t="s">
        <v>13960</v>
      </c>
      <c r="K8308" t="s">
        <v>14160</v>
      </c>
      <c r="L8308" t="s">
        <v>53</v>
      </c>
      <c r="N8308" t="s">
        <v>15685</v>
      </c>
      <c r="P8308" t="s">
        <v>55</v>
      </c>
      <c r="R8308" t="s">
        <v>53</v>
      </c>
      <c r="T8308" t="s">
        <v>15686</v>
      </c>
      <c r="U8308" t="s">
        <v>55</v>
      </c>
      <c r="V8308">
        <v>1</v>
      </c>
      <c r="W8308">
        <v>1</v>
      </c>
      <c r="X8308">
        <v>2</v>
      </c>
      <c r="Y8308">
        <v>0</v>
      </c>
      <c r="Z8308">
        <v>2</v>
      </c>
      <c r="AA8308">
        <v>65.92</v>
      </c>
      <c r="AB8308">
        <v>65.92</v>
      </c>
      <c r="AC8308">
        <v>60.62</v>
      </c>
      <c r="AD8308">
        <v>0</v>
      </c>
      <c r="AE8308">
        <v>5.3</v>
      </c>
      <c r="AF8308">
        <v>0</v>
      </c>
      <c r="AG8308">
        <v>0</v>
      </c>
      <c r="AH8308">
        <v>0</v>
      </c>
      <c r="AI8308">
        <v>11.87</v>
      </c>
      <c r="AJ8308">
        <v>65.92</v>
      </c>
      <c r="AK8308">
        <v>0</v>
      </c>
      <c r="AL8308" t="s">
        <v>53</v>
      </c>
      <c r="AM8308" t="s">
        <v>53</v>
      </c>
      <c r="AN8308" t="s">
        <v>53</v>
      </c>
      <c r="AO8308" t="s">
        <v>53</v>
      </c>
      <c r="AP8308" t="s">
        <v>53</v>
      </c>
    </row>
    <row r="8309" spans="2:42" x14ac:dyDescent="0.2">
      <c r="B8309" t="s">
        <v>44</v>
      </c>
      <c r="C8309" t="str">
        <f>HYPERLINK("https://us2.cloudbeds.com/connect/8493803454333002#/reservations/9080486848441665?display=4N9CM6AND6&amp;reservation_id=9080486848441665", "4N9CM6AND6")</f>
        <v>4N9CM6AND6</v>
      </c>
      <c r="D8309" t="s">
        <v>45</v>
      </c>
      <c r="E8309" t="s">
        <v>179</v>
      </c>
      <c r="F8309" t="s">
        <v>47</v>
      </c>
      <c r="G8309" t="s">
        <v>48</v>
      </c>
      <c r="H8309" t="s">
        <v>49</v>
      </c>
      <c r="I8309" t="s">
        <v>62</v>
      </c>
      <c r="J8309" t="s">
        <v>14189</v>
      </c>
      <c r="K8309" t="s">
        <v>13653</v>
      </c>
      <c r="L8309" t="s">
        <v>53</v>
      </c>
      <c r="N8309" t="s">
        <v>15687</v>
      </c>
      <c r="P8309" t="s">
        <v>55</v>
      </c>
      <c r="R8309" t="s">
        <v>56</v>
      </c>
      <c r="T8309" t="s">
        <v>15688</v>
      </c>
      <c r="U8309" t="s">
        <v>55</v>
      </c>
      <c r="V8309">
        <v>1</v>
      </c>
      <c r="W8309">
        <v>1</v>
      </c>
      <c r="X8309">
        <v>1</v>
      </c>
      <c r="Y8309">
        <v>0</v>
      </c>
      <c r="Z8309">
        <v>1</v>
      </c>
      <c r="AA8309">
        <v>84</v>
      </c>
      <c r="AB8309">
        <v>84</v>
      </c>
      <c r="AC8309">
        <v>84</v>
      </c>
      <c r="AD8309">
        <v>0</v>
      </c>
      <c r="AE8309">
        <v>0</v>
      </c>
      <c r="AF8309">
        <v>0</v>
      </c>
      <c r="AG8309">
        <v>0</v>
      </c>
      <c r="AH8309">
        <v>0</v>
      </c>
      <c r="AI8309">
        <v>15.12</v>
      </c>
      <c r="AJ8309">
        <v>84</v>
      </c>
      <c r="AK8309">
        <v>0</v>
      </c>
      <c r="AL8309" t="s">
        <v>53</v>
      </c>
      <c r="AM8309" t="s">
        <v>53</v>
      </c>
      <c r="AN8309" t="s">
        <v>15689</v>
      </c>
      <c r="AO8309" t="s">
        <v>53</v>
      </c>
      <c r="AP8309" t="s">
        <v>53</v>
      </c>
    </row>
    <row r="8310" spans="2:42" x14ac:dyDescent="0.2">
      <c r="B8310" t="s">
        <v>44</v>
      </c>
      <c r="C8310" t="str">
        <f>HYPERLINK("https://us2.cloudbeds.com/connect/8493803454333002#/reservations/218413365715072?display=4N9S7Z8ZJE&amp;reservation_id=218413365715072", "4N9S7Z8ZJE")</f>
        <v>4N9S7Z8ZJE</v>
      </c>
      <c r="D8310" t="s">
        <v>45</v>
      </c>
      <c r="E8310" t="s">
        <v>98</v>
      </c>
      <c r="F8310" t="s">
        <v>86</v>
      </c>
      <c r="G8310" t="s">
        <v>48</v>
      </c>
      <c r="H8310" t="s">
        <v>3957</v>
      </c>
      <c r="I8310" t="s">
        <v>3958</v>
      </c>
      <c r="J8310" t="s">
        <v>13960</v>
      </c>
      <c r="K8310" t="s">
        <v>14160</v>
      </c>
      <c r="L8310" t="s">
        <v>53</v>
      </c>
      <c r="P8310" t="s">
        <v>55</v>
      </c>
      <c r="R8310" t="s">
        <v>56</v>
      </c>
      <c r="T8310" t="s">
        <v>15690</v>
      </c>
      <c r="U8310" t="s">
        <v>58</v>
      </c>
      <c r="V8310">
        <v>1</v>
      </c>
      <c r="W8310">
        <v>1</v>
      </c>
      <c r="X8310">
        <v>1</v>
      </c>
      <c r="Y8310">
        <v>0</v>
      </c>
      <c r="Z8310">
        <v>1</v>
      </c>
      <c r="AA8310">
        <v>100.89</v>
      </c>
      <c r="AB8310">
        <v>100.89</v>
      </c>
      <c r="AC8310">
        <v>88</v>
      </c>
      <c r="AD8310">
        <v>0</v>
      </c>
      <c r="AE8310">
        <v>12.89</v>
      </c>
      <c r="AF8310">
        <v>0</v>
      </c>
      <c r="AG8310">
        <v>0</v>
      </c>
      <c r="AH8310">
        <v>0</v>
      </c>
      <c r="AI8310">
        <v>0</v>
      </c>
      <c r="AJ8310">
        <v>100.89</v>
      </c>
      <c r="AK8310">
        <v>0</v>
      </c>
      <c r="AL8310" t="s">
        <v>53</v>
      </c>
      <c r="AM8310" t="s">
        <v>53</v>
      </c>
      <c r="AN8310" t="s">
        <v>53</v>
      </c>
      <c r="AO8310" t="s">
        <v>53</v>
      </c>
      <c r="AP8310" t="s">
        <v>53</v>
      </c>
    </row>
    <row r="8311" spans="2:42" x14ac:dyDescent="0.2">
      <c r="B8311" t="s">
        <v>44</v>
      </c>
      <c r="C8311" t="str">
        <f>HYPERLINK("https://us2.cloudbeds.com/connect/8493803454333002#/reservations/9080486848443088?display=4NAJGC3TB1&amp;reservation_id=9080486848443088", "4NAJGC3TB1")</f>
        <v>4NAJGC3TB1</v>
      </c>
      <c r="D8311" t="s">
        <v>45</v>
      </c>
      <c r="E8311" t="s">
        <v>128</v>
      </c>
      <c r="F8311" t="s">
        <v>86</v>
      </c>
      <c r="G8311" t="s">
        <v>48</v>
      </c>
      <c r="H8311" t="s">
        <v>49</v>
      </c>
      <c r="I8311" t="s">
        <v>8964</v>
      </c>
      <c r="J8311" t="s">
        <v>15256</v>
      </c>
      <c r="K8311" t="s">
        <v>13898</v>
      </c>
      <c r="L8311" t="s">
        <v>53</v>
      </c>
      <c r="N8311" t="s">
        <v>15691</v>
      </c>
      <c r="P8311" t="s">
        <v>55</v>
      </c>
      <c r="R8311" t="s">
        <v>53</v>
      </c>
      <c r="T8311" t="s">
        <v>15692</v>
      </c>
      <c r="U8311" t="s">
        <v>55</v>
      </c>
      <c r="V8311">
        <v>1</v>
      </c>
      <c r="W8311">
        <v>1</v>
      </c>
      <c r="X8311">
        <v>1</v>
      </c>
      <c r="Y8311">
        <v>0</v>
      </c>
      <c r="Z8311">
        <v>1</v>
      </c>
      <c r="AA8311">
        <v>0</v>
      </c>
      <c r="AB8311">
        <v>0</v>
      </c>
      <c r="AC8311">
        <v>101</v>
      </c>
      <c r="AD8311">
        <v>0</v>
      </c>
      <c r="AE8311">
        <v>0</v>
      </c>
      <c r="AF8311">
        <v>0</v>
      </c>
      <c r="AG8311">
        <v>0</v>
      </c>
      <c r="AH8311">
        <v>0</v>
      </c>
      <c r="AI8311">
        <v>15.15</v>
      </c>
      <c r="AJ8311">
        <v>101</v>
      </c>
      <c r="AK8311">
        <v>101</v>
      </c>
      <c r="AL8311" t="s">
        <v>53</v>
      </c>
      <c r="AM8311" t="s">
        <v>53</v>
      </c>
      <c r="AN8311" t="s">
        <v>15693</v>
      </c>
      <c r="AO8311" t="s">
        <v>53</v>
      </c>
      <c r="AP8311" t="s">
        <v>53</v>
      </c>
    </row>
    <row r="8312" spans="2:42" x14ac:dyDescent="0.2">
      <c r="B8312" t="s">
        <v>44</v>
      </c>
      <c r="C8312" t="str">
        <f>HYPERLINK("https://us2.cloudbeds.com/connect/8493803454333002#/reservations/9080486848447810?display=4NEJW1FW0K&amp;reservation_id=9080486848447810", "4NEJW1FW0K")</f>
        <v>4NEJW1FW0K</v>
      </c>
      <c r="D8312" t="s">
        <v>45</v>
      </c>
      <c r="E8312" t="s">
        <v>165</v>
      </c>
      <c r="F8312" t="s">
        <v>61</v>
      </c>
      <c r="G8312" t="s">
        <v>48</v>
      </c>
      <c r="H8312" t="s">
        <v>49</v>
      </c>
      <c r="I8312" t="s">
        <v>50</v>
      </c>
      <c r="J8312" t="s">
        <v>14160</v>
      </c>
      <c r="K8312" t="s">
        <v>13652</v>
      </c>
      <c r="L8312" t="s">
        <v>53</v>
      </c>
      <c r="N8312" t="s">
        <v>15694</v>
      </c>
      <c r="P8312" t="s">
        <v>55</v>
      </c>
      <c r="R8312" t="s">
        <v>53</v>
      </c>
      <c r="T8312" t="s">
        <v>15695</v>
      </c>
      <c r="U8312" t="s">
        <v>55</v>
      </c>
      <c r="V8312">
        <v>1</v>
      </c>
      <c r="W8312">
        <v>1</v>
      </c>
      <c r="X8312">
        <v>2</v>
      </c>
      <c r="Y8312">
        <v>0</v>
      </c>
      <c r="Z8312">
        <v>2</v>
      </c>
      <c r="AA8312">
        <v>65.73</v>
      </c>
      <c r="AB8312">
        <v>65.73</v>
      </c>
      <c r="AC8312">
        <v>60.44</v>
      </c>
      <c r="AD8312">
        <v>0</v>
      </c>
      <c r="AE8312">
        <v>5.29</v>
      </c>
      <c r="AF8312">
        <v>0</v>
      </c>
      <c r="AG8312">
        <v>0</v>
      </c>
      <c r="AH8312">
        <v>0</v>
      </c>
      <c r="AI8312">
        <v>11.83</v>
      </c>
      <c r="AJ8312">
        <v>65.73</v>
      </c>
      <c r="AK8312">
        <v>0</v>
      </c>
      <c r="AL8312" t="s">
        <v>53</v>
      </c>
      <c r="AM8312" t="s">
        <v>53</v>
      </c>
      <c r="AN8312" t="s">
        <v>15696</v>
      </c>
      <c r="AO8312" t="s">
        <v>53</v>
      </c>
      <c r="AP8312" t="s">
        <v>53</v>
      </c>
    </row>
    <row r="8313" spans="2:42" x14ac:dyDescent="0.2">
      <c r="B8313" t="s">
        <v>44</v>
      </c>
      <c r="C8313" t="str">
        <f>HYPERLINK("https://us2.cloudbeds.com/connect/8493803454333002#/reservations/9080486848450412?display=4NG6UBURSH&amp;reservation_id=9080486848450412", "4NG6UBURSH")</f>
        <v>4NG6UBURSH</v>
      </c>
      <c r="D8313" t="s">
        <v>45</v>
      </c>
      <c r="E8313" t="s">
        <v>78</v>
      </c>
      <c r="F8313" t="s">
        <v>61</v>
      </c>
      <c r="G8313" t="s">
        <v>48</v>
      </c>
      <c r="H8313" t="s">
        <v>49</v>
      </c>
      <c r="I8313" t="s">
        <v>62</v>
      </c>
      <c r="J8313" t="s">
        <v>14160</v>
      </c>
      <c r="K8313" t="s">
        <v>13652</v>
      </c>
      <c r="L8313" t="s">
        <v>53</v>
      </c>
      <c r="N8313" t="s">
        <v>15697</v>
      </c>
      <c r="P8313" t="s">
        <v>55</v>
      </c>
      <c r="R8313" t="s">
        <v>56</v>
      </c>
      <c r="T8313" t="s">
        <v>15698</v>
      </c>
      <c r="U8313" t="s">
        <v>55</v>
      </c>
      <c r="V8313">
        <v>1</v>
      </c>
      <c r="W8313">
        <v>1</v>
      </c>
      <c r="X8313">
        <v>2</v>
      </c>
      <c r="Y8313">
        <v>0</v>
      </c>
      <c r="Z8313">
        <v>2</v>
      </c>
      <c r="AA8313">
        <v>81.900000000000006</v>
      </c>
      <c r="AB8313">
        <v>81.900000000000006</v>
      </c>
      <c r="AC8313">
        <v>81.900000000000006</v>
      </c>
      <c r="AD8313">
        <v>0</v>
      </c>
      <c r="AE8313">
        <v>0</v>
      </c>
      <c r="AF8313">
        <v>0</v>
      </c>
      <c r="AG8313">
        <v>0</v>
      </c>
      <c r="AH8313">
        <v>0</v>
      </c>
      <c r="AI8313">
        <v>14.74</v>
      </c>
      <c r="AJ8313">
        <v>81.900000000000006</v>
      </c>
      <c r="AK8313">
        <v>0</v>
      </c>
      <c r="AL8313" t="s">
        <v>53</v>
      </c>
      <c r="AM8313" t="s">
        <v>53</v>
      </c>
      <c r="AN8313" t="s">
        <v>53</v>
      </c>
      <c r="AO8313" t="s">
        <v>53</v>
      </c>
      <c r="AP8313" t="s">
        <v>53</v>
      </c>
    </row>
    <row r="8314" spans="2:42" x14ac:dyDescent="0.2">
      <c r="B8314" t="s">
        <v>44</v>
      </c>
      <c r="C8314" t="str">
        <f>HYPERLINK("https://us2.cloudbeds.com/connect/8493803454333002#/reservations/9080486848451382?display=4NGTH5NDT1&amp;reservation_id=9080486848451382", "4NGTH5NDT1")</f>
        <v>4NGTH5NDT1</v>
      </c>
      <c r="D8314" t="s">
        <v>45</v>
      </c>
      <c r="E8314" t="s">
        <v>98</v>
      </c>
      <c r="F8314" t="s">
        <v>86</v>
      </c>
      <c r="G8314" t="s">
        <v>48</v>
      </c>
      <c r="H8314" t="s">
        <v>49</v>
      </c>
      <c r="I8314" t="s">
        <v>8964</v>
      </c>
      <c r="J8314" t="s">
        <v>14160</v>
      </c>
      <c r="K8314" t="s">
        <v>13652</v>
      </c>
      <c r="L8314" t="s">
        <v>53</v>
      </c>
      <c r="N8314" t="s">
        <v>15699</v>
      </c>
      <c r="P8314" t="s">
        <v>55</v>
      </c>
      <c r="R8314" t="s">
        <v>53</v>
      </c>
      <c r="T8314" t="s">
        <v>15700</v>
      </c>
      <c r="U8314" t="s">
        <v>55</v>
      </c>
      <c r="V8314">
        <v>1</v>
      </c>
      <c r="W8314">
        <v>1</v>
      </c>
      <c r="X8314">
        <v>2</v>
      </c>
      <c r="Y8314">
        <v>0</v>
      </c>
      <c r="Z8314">
        <v>2</v>
      </c>
      <c r="AA8314">
        <v>0</v>
      </c>
      <c r="AB8314">
        <v>0</v>
      </c>
      <c r="AC8314">
        <v>98</v>
      </c>
      <c r="AD8314">
        <v>0</v>
      </c>
      <c r="AE8314">
        <v>0</v>
      </c>
      <c r="AF8314">
        <v>0</v>
      </c>
      <c r="AG8314">
        <v>0</v>
      </c>
      <c r="AH8314">
        <v>0</v>
      </c>
      <c r="AI8314">
        <v>14.7</v>
      </c>
      <c r="AJ8314">
        <v>98</v>
      </c>
      <c r="AK8314">
        <v>98</v>
      </c>
      <c r="AL8314" t="s">
        <v>53</v>
      </c>
      <c r="AM8314" t="s">
        <v>53</v>
      </c>
      <c r="AN8314" t="s">
        <v>15701</v>
      </c>
      <c r="AO8314" t="s">
        <v>53</v>
      </c>
      <c r="AP8314" t="s">
        <v>53</v>
      </c>
    </row>
    <row r="8315" spans="2:42" x14ac:dyDescent="0.2">
      <c r="B8315" t="s">
        <v>44</v>
      </c>
      <c r="C8315" t="str">
        <f>HYPERLINK("https://us2.cloudbeds.com/connect/8493803454333002#/reservations/9080486848451596?display=4NH2SX4YZJ&amp;reservation_id=9080486848451596", "4NH2SX4YZJ")</f>
        <v>4NH2SX4YZJ</v>
      </c>
      <c r="D8315" t="s">
        <v>45</v>
      </c>
      <c r="E8315" t="s">
        <v>190</v>
      </c>
      <c r="F8315" t="s">
        <v>61</v>
      </c>
      <c r="G8315" t="s">
        <v>48</v>
      </c>
      <c r="H8315" t="s">
        <v>49</v>
      </c>
      <c r="I8315" t="s">
        <v>50</v>
      </c>
      <c r="J8315" t="s">
        <v>14160</v>
      </c>
      <c r="K8315" t="s">
        <v>13652</v>
      </c>
      <c r="L8315" t="s">
        <v>53</v>
      </c>
      <c r="N8315" t="s">
        <v>15702</v>
      </c>
      <c r="P8315" t="s">
        <v>55</v>
      </c>
      <c r="R8315" t="s">
        <v>53</v>
      </c>
      <c r="T8315" t="s">
        <v>15703</v>
      </c>
      <c r="U8315" t="s">
        <v>55</v>
      </c>
      <c r="V8315">
        <v>1</v>
      </c>
      <c r="W8315">
        <v>1</v>
      </c>
      <c r="X8315">
        <v>2</v>
      </c>
      <c r="Y8315">
        <v>0</v>
      </c>
      <c r="Z8315">
        <v>2</v>
      </c>
      <c r="AA8315">
        <v>65.73</v>
      </c>
      <c r="AB8315">
        <v>65.73</v>
      </c>
      <c r="AC8315">
        <v>60.44</v>
      </c>
      <c r="AD8315">
        <v>0</v>
      </c>
      <c r="AE8315">
        <v>5.29</v>
      </c>
      <c r="AF8315">
        <v>0</v>
      </c>
      <c r="AG8315">
        <v>0</v>
      </c>
      <c r="AH8315">
        <v>0</v>
      </c>
      <c r="AI8315">
        <v>11.83</v>
      </c>
      <c r="AJ8315">
        <v>65.73</v>
      </c>
      <c r="AK8315">
        <v>0</v>
      </c>
      <c r="AL8315" t="s">
        <v>53</v>
      </c>
      <c r="AM8315" t="s">
        <v>53</v>
      </c>
      <c r="AN8315" t="s">
        <v>53</v>
      </c>
      <c r="AO8315" t="s">
        <v>53</v>
      </c>
      <c r="AP8315" t="s">
        <v>53</v>
      </c>
    </row>
    <row r="8316" spans="2:42" x14ac:dyDescent="0.2">
      <c r="B8316" t="s">
        <v>44</v>
      </c>
      <c r="C8316" t="str">
        <f>HYPERLINK("https://us2.cloudbeds.com/connect/8493803454333002#/reservations/218723685642432?display=4NH4H48S0N&amp;reservation_id=218723685642432", "4NH4H48S0N")</f>
        <v>4NH4H48S0N</v>
      </c>
      <c r="D8316" t="s">
        <v>45</v>
      </c>
      <c r="E8316" t="s">
        <v>14402</v>
      </c>
      <c r="F8316" t="s">
        <v>14403</v>
      </c>
      <c r="G8316" t="s">
        <v>48</v>
      </c>
      <c r="H8316" t="s">
        <v>3957</v>
      </c>
      <c r="I8316" t="s">
        <v>3975</v>
      </c>
      <c r="J8316" t="s">
        <v>13898</v>
      </c>
      <c r="K8316" t="s">
        <v>13037</v>
      </c>
      <c r="L8316" t="s">
        <v>53</v>
      </c>
      <c r="P8316" t="s">
        <v>55</v>
      </c>
      <c r="R8316" t="s">
        <v>56</v>
      </c>
      <c r="T8316" t="s">
        <v>15704</v>
      </c>
      <c r="U8316" t="s">
        <v>58</v>
      </c>
      <c r="V8316">
        <v>1</v>
      </c>
      <c r="W8316">
        <v>1</v>
      </c>
      <c r="X8316">
        <v>2</v>
      </c>
      <c r="Y8316">
        <v>0</v>
      </c>
      <c r="Z8316">
        <v>2</v>
      </c>
      <c r="AA8316">
        <v>0</v>
      </c>
      <c r="AB8316">
        <v>113.51</v>
      </c>
      <c r="AC8316">
        <v>99</v>
      </c>
      <c r="AD8316">
        <v>0</v>
      </c>
      <c r="AE8316">
        <v>14.51</v>
      </c>
      <c r="AF8316">
        <v>0</v>
      </c>
      <c r="AG8316">
        <v>0</v>
      </c>
      <c r="AH8316">
        <v>0</v>
      </c>
      <c r="AI8316">
        <v>0</v>
      </c>
      <c r="AJ8316">
        <v>113.51</v>
      </c>
      <c r="AK8316">
        <v>0</v>
      </c>
      <c r="AL8316" t="s">
        <v>53</v>
      </c>
      <c r="AM8316" t="s">
        <v>53</v>
      </c>
      <c r="AN8316" t="s">
        <v>15705</v>
      </c>
      <c r="AO8316" t="s">
        <v>53</v>
      </c>
      <c r="AP8316" t="s">
        <v>53</v>
      </c>
    </row>
    <row r="8317" spans="2:42" x14ac:dyDescent="0.2">
      <c r="B8317" t="s">
        <v>44</v>
      </c>
      <c r="C8317" t="str">
        <f>HYPERLINK("https://us2.cloudbeds.com/connect/8493803454333002#/reservations/9080486848451745?display=4NH73VHNZB&amp;reservation_id=9080486848451745", "4NH73VHNZB")</f>
        <v>4NH73VHNZB</v>
      </c>
      <c r="D8317" t="s">
        <v>45</v>
      </c>
      <c r="E8317" t="s">
        <v>165</v>
      </c>
      <c r="F8317" t="s">
        <v>61</v>
      </c>
      <c r="G8317" t="s">
        <v>48</v>
      </c>
      <c r="H8317" t="s">
        <v>49</v>
      </c>
      <c r="I8317" t="s">
        <v>50</v>
      </c>
      <c r="J8317" t="s">
        <v>14113</v>
      </c>
      <c r="K8317" t="s">
        <v>15256</v>
      </c>
      <c r="L8317" t="s">
        <v>53</v>
      </c>
      <c r="N8317" t="s">
        <v>15706</v>
      </c>
      <c r="P8317" t="s">
        <v>55</v>
      </c>
      <c r="R8317" t="s">
        <v>53</v>
      </c>
      <c r="T8317" t="s">
        <v>15707</v>
      </c>
      <c r="U8317" t="s">
        <v>58</v>
      </c>
      <c r="V8317">
        <v>2</v>
      </c>
      <c r="W8317">
        <v>1</v>
      </c>
      <c r="X8317">
        <v>2</v>
      </c>
      <c r="Y8317">
        <v>0</v>
      </c>
      <c r="Z8317">
        <v>2</v>
      </c>
      <c r="AA8317">
        <v>171.9</v>
      </c>
      <c r="AB8317">
        <v>171.9</v>
      </c>
      <c r="AC8317">
        <v>149.94</v>
      </c>
      <c r="AD8317">
        <v>0</v>
      </c>
      <c r="AE8317">
        <v>21.96</v>
      </c>
      <c r="AF8317">
        <v>0</v>
      </c>
      <c r="AG8317">
        <v>0</v>
      </c>
      <c r="AH8317">
        <v>0</v>
      </c>
      <c r="AI8317">
        <v>30.94</v>
      </c>
      <c r="AJ8317">
        <v>171.9</v>
      </c>
      <c r="AK8317">
        <v>0</v>
      </c>
      <c r="AL8317" t="s">
        <v>53</v>
      </c>
      <c r="AM8317" t="s">
        <v>53</v>
      </c>
      <c r="AN8317" t="s">
        <v>53</v>
      </c>
      <c r="AO8317" t="s">
        <v>53</v>
      </c>
      <c r="AP8317" t="s">
        <v>53</v>
      </c>
    </row>
    <row r="8318" spans="2:42" x14ac:dyDescent="0.2">
      <c r="B8318" t="s">
        <v>44</v>
      </c>
      <c r="C8318" t="str">
        <f>HYPERLINK("https://us2.cloudbeds.com/connect/8493803454333002#/reservations/9080486848452362?display=4NHPPQVEN4&amp;reservation_id=9080486848452362", "4NHPPQVEN4")</f>
        <v>4NHPPQVEN4</v>
      </c>
      <c r="D8318" t="s">
        <v>45</v>
      </c>
      <c r="E8318" t="s">
        <v>487</v>
      </c>
      <c r="F8318" t="s">
        <v>61</v>
      </c>
      <c r="G8318" t="s">
        <v>48</v>
      </c>
      <c r="H8318" t="s">
        <v>49</v>
      </c>
      <c r="I8318" t="s">
        <v>50</v>
      </c>
      <c r="J8318" t="s">
        <v>14160</v>
      </c>
      <c r="K8318" t="s">
        <v>13652</v>
      </c>
      <c r="L8318" t="s">
        <v>53</v>
      </c>
      <c r="N8318" t="s">
        <v>15708</v>
      </c>
      <c r="P8318" t="s">
        <v>55</v>
      </c>
      <c r="R8318" t="s">
        <v>53</v>
      </c>
      <c r="T8318" t="s">
        <v>15709</v>
      </c>
      <c r="U8318" t="s">
        <v>55</v>
      </c>
      <c r="V8318">
        <v>1</v>
      </c>
      <c r="W8318">
        <v>1</v>
      </c>
      <c r="X8318">
        <v>2</v>
      </c>
      <c r="Y8318">
        <v>0</v>
      </c>
      <c r="Z8318">
        <v>2</v>
      </c>
      <c r="AA8318">
        <v>65.73</v>
      </c>
      <c r="AB8318">
        <v>65.73</v>
      </c>
      <c r="AC8318">
        <v>60.44</v>
      </c>
      <c r="AD8318">
        <v>0</v>
      </c>
      <c r="AE8318">
        <v>5.29</v>
      </c>
      <c r="AF8318">
        <v>0</v>
      </c>
      <c r="AG8318">
        <v>0</v>
      </c>
      <c r="AH8318">
        <v>0</v>
      </c>
      <c r="AI8318">
        <v>11.83</v>
      </c>
      <c r="AJ8318">
        <v>65.73</v>
      </c>
      <c r="AK8318">
        <v>0</v>
      </c>
      <c r="AL8318" t="s">
        <v>53</v>
      </c>
      <c r="AM8318" t="s">
        <v>53</v>
      </c>
      <c r="AN8318" t="s">
        <v>53</v>
      </c>
      <c r="AO8318" t="s">
        <v>53</v>
      </c>
      <c r="AP8318" t="s">
        <v>53</v>
      </c>
    </row>
    <row r="8319" spans="2:42" x14ac:dyDescent="0.2">
      <c r="B8319" t="s">
        <v>44</v>
      </c>
      <c r="C8319" t="str">
        <f>HYPERLINK("https://us2.cloudbeds.com/connect/8493803454333002#/reservations/9080486848452382?display=4NHQE8TUMJ&amp;reservation_id=9080486848452382", "4NHQE8TUMJ")</f>
        <v>4NHQE8TUMJ</v>
      </c>
      <c r="D8319" t="s">
        <v>45</v>
      </c>
      <c r="E8319" t="s">
        <v>85</v>
      </c>
      <c r="F8319" t="s">
        <v>86</v>
      </c>
      <c r="G8319" t="s">
        <v>48</v>
      </c>
      <c r="H8319" t="s">
        <v>49</v>
      </c>
      <c r="I8319" t="s">
        <v>8964</v>
      </c>
      <c r="J8319" t="s">
        <v>13652</v>
      </c>
      <c r="K8319" t="s">
        <v>13653</v>
      </c>
      <c r="L8319" t="s">
        <v>53</v>
      </c>
      <c r="N8319" t="s">
        <v>15710</v>
      </c>
      <c r="P8319" t="s">
        <v>55</v>
      </c>
      <c r="R8319" t="s">
        <v>53</v>
      </c>
      <c r="T8319" t="s">
        <v>15711</v>
      </c>
      <c r="U8319" t="s">
        <v>55</v>
      </c>
      <c r="V8319">
        <v>2</v>
      </c>
      <c r="W8319">
        <v>1</v>
      </c>
      <c r="X8319">
        <v>1</v>
      </c>
      <c r="Y8319">
        <v>0</v>
      </c>
      <c r="Z8319">
        <v>1</v>
      </c>
      <c r="AA8319">
        <v>0</v>
      </c>
      <c r="AB8319">
        <v>0</v>
      </c>
      <c r="AC8319">
        <v>239</v>
      </c>
      <c r="AD8319">
        <v>0</v>
      </c>
      <c r="AE8319">
        <v>0</v>
      </c>
      <c r="AF8319">
        <v>0</v>
      </c>
      <c r="AG8319">
        <v>0</v>
      </c>
      <c r="AH8319">
        <v>0</v>
      </c>
      <c r="AI8319">
        <v>35.85</v>
      </c>
      <c r="AJ8319">
        <v>239</v>
      </c>
      <c r="AK8319">
        <v>239</v>
      </c>
      <c r="AL8319" t="s">
        <v>53</v>
      </c>
      <c r="AM8319" t="s">
        <v>53</v>
      </c>
      <c r="AN8319" t="s">
        <v>15712</v>
      </c>
      <c r="AO8319" t="s">
        <v>53</v>
      </c>
      <c r="AP8319" t="s">
        <v>53</v>
      </c>
    </row>
    <row r="8320" spans="2:42" x14ac:dyDescent="0.2">
      <c r="B8320" t="s">
        <v>44</v>
      </c>
      <c r="C8320" t="str">
        <f>HYPERLINK("https://us2.cloudbeds.com/connect/8493803454333002#/reservations/218768259039360?display=4NX612Z3A5&amp;reservation_id=218768259039360", "4NX612Z3A5")</f>
        <v>4NX612Z3A5</v>
      </c>
      <c r="D8320" t="s">
        <v>45</v>
      </c>
      <c r="E8320" t="s">
        <v>305</v>
      </c>
      <c r="F8320" t="s">
        <v>61</v>
      </c>
      <c r="G8320" t="s">
        <v>3974</v>
      </c>
      <c r="H8320" t="s">
        <v>3957</v>
      </c>
      <c r="I8320" t="s">
        <v>3975</v>
      </c>
      <c r="J8320" t="s">
        <v>13037</v>
      </c>
      <c r="K8320" t="s">
        <v>13038</v>
      </c>
      <c r="L8320" t="s">
        <v>53</v>
      </c>
      <c r="P8320" t="s">
        <v>55</v>
      </c>
      <c r="R8320" t="s">
        <v>56</v>
      </c>
      <c r="T8320" t="s">
        <v>15713</v>
      </c>
      <c r="U8320" t="s">
        <v>58</v>
      </c>
      <c r="V8320">
        <v>2</v>
      </c>
      <c r="W8320">
        <v>1</v>
      </c>
      <c r="X8320">
        <v>2</v>
      </c>
      <c r="Y8320">
        <v>0</v>
      </c>
      <c r="Z8320">
        <v>2</v>
      </c>
      <c r="AA8320">
        <v>386.67</v>
      </c>
      <c r="AB8320">
        <v>386.67</v>
      </c>
      <c r="AC8320">
        <v>337.25</v>
      </c>
      <c r="AD8320">
        <v>0</v>
      </c>
      <c r="AE8320">
        <v>49.42</v>
      </c>
      <c r="AF8320">
        <v>0</v>
      </c>
      <c r="AG8320">
        <v>0</v>
      </c>
      <c r="AH8320">
        <v>0</v>
      </c>
      <c r="AI8320">
        <v>0</v>
      </c>
      <c r="AJ8320">
        <v>386.67</v>
      </c>
      <c r="AK8320">
        <v>0</v>
      </c>
      <c r="AL8320" t="s">
        <v>53</v>
      </c>
      <c r="AM8320" t="s">
        <v>53</v>
      </c>
      <c r="AN8320" t="s">
        <v>15714</v>
      </c>
      <c r="AO8320" t="s">
        <v>53</v>
      </c>
      <c r="AP8320" t="s">
        <v>53</v>
      </c>
    </row>
    <row r="8321" spans="2:42" x14ac:dyDescent="0.2">
      <c r="B8321" t="s">
        <v>44</v>
      </c>
      <c r="C8321" t="str">
        <f>HYPERLINK("https://us2.cloudbeds.com/connect/8493803454333002#/reservations/9080486848459121?display=4NN4XCSCKG&amp;reservation_id=9080486848459121", "4NN4XCSCKG")</f>
        <v>4NN4XCSCKG</v>
      </c>
      <c r="D8321" t="s">
        <v>45</v>
      </c>
      <c r="E8321" t="s">
        <v>373</v>
      </c>
      <c r="F8321" t="s">
        <v>47</v>
      </c>
      <c r="G8321" t="s">
        <v>48</v>
      </c>
      <c r="H8321" t="s">
        <v>49</v>
      </c>
      <c r="I8321" t="s">
        <v>62</v>
      </c>
      <c r="J8321" t="s">
        <v>13038</v>
      </c>
      <c r="K8321" t="s">
        <v>12835</v>
      </c>
      <c r="L8321" t="s">
        <v>53</v>
      </c>
      <c r="N8321" t="s">
        <v>15715</v>
      </c>
      <c r="P8321" t="s">
        <v>55</v>
      </c>
      <c r="R8321" t="s">
        <v>56</v>
      </c>
      <c r="T8321" t="s">
        <v>15716</v>
      </c>
      <c r="U8321" t="s">
        <v>55</v>
      </c>
      <c r="V8321">
        <v>1</v>
      </c>
      <c r="W8321">
        <v>1</v>
      </c>
      <c r="X8321">
        <v>2</v>
      </c>
      <c r="Y8321">
        <v>0</v>
      </c>
      <c r="Z8321">
        <v>2</v>
      </c>
      <c r="AA8321">
        <v>84.79</v>
      </c>
      <c r="AB8321">
        <v>0</v>
      </c>
      <c r="AC8321">
        <v>84.79</v>
      </c>
      <c r="AD8321">
        <v>0</v>
      </c>
      <c r="AE8321">
        <v>0</v>
      </c>
      <c r="AF8321">
        <v>0</v>
      </c>
      <c r="AG8321">
        <v>0</v>
      </c>
      <c r="AH8321">
        <v>0</v>
      </c>
      <c r="AI8321">
        <v>15.26</v>
      </c>
      <c r="AJ8321">
        <v>84.79</v>
      </c>
      <c r="AK8321">
        <v>84.79</v>
      </c>
      <c r="AL8321" t="s">
        <v>53</v>
      </c>
      <c r="AM8321" t="s">
        <v>53</v>
      </c>
      <c r="AN8321" t="s">
        <v>15717</v>
      </c>
      <c r="AO8321" t="s">
        <v>53</v>
      </c>
      <c r="AP8321" t="s">
        <v>53</v>
      </c>
    </row>
    <row r="8322" spans="2:42" x14ac:dyDescent="0.2">
      <c r="B8322" t="s">
        <v>44</v>
      </c>
      <c r="C8322" t="str">
        <f>HYPERLINK("https://us2.cloudbeds.com/connect/8493803454333002#/reservations/219012420767936?display=4NNU2WC02W&amp;reservation_id=219012420767936", "4NNU2WC02W")</f>
        <v>4NNU2WC02W</v>
      </c>
      <c r="D8322" t="s">
        <v>45</v>
      </c>
      <c r="E8322" t="s">
        <v>14695</v>
      </c>
      <c r="F8322" t="s">
        <v>47</v>
      </c>
      <c r="G8322" t="s">
        <v>48</v>
      </c>
      <c r="H8322" t="s">
        <v>3957</v>
      </c>
      <c r="I8322" t="s">
        <v>3989</v>
      </c>
      <c r="J8322" t="s">
        <v>13037</v>
      </c>
      <c r="K8322" t="s">
        <v>13038</v>
      </c>
      <c r="L8322" t="s">
        <v>53</v>
      </c>
      <c r="P8322" t="s">
        <v>55</v>
      </c>
      <c r="R8322" t="s">
        <v>56</v>
      </c>
      <c r="T8322" t="s">
        <v>15718</v>
      </c>
      <c r="U8322" t="s">
        <v>58</v>
      </c>
      <c r="V8322">
        <v>2</v>
      </c>
      <c r="W8322">
        <v>1</v>
      </c>
      <c r="X8322">
        <v>1</v>
      </c>
      <c r="Y8322">
        <v>0</v>
      </c>
      <c r="Z8322">
        <v>1</v>
      </c>
      <c r="AA8322">
        <v>306.13</v>
      </c>
      <c r="AB8322">
        <v>306.13</v>
      </c>
      <c r="AC8322">
        <v>227.87</v>
      </c>
      <c r="AD8322">
        <v>0</v>
      </c>
      <c r="AE8322">
        <v>39.130000000000003</v>
      </c>
      <c r="AF8322">
        <v>0</v>
      </c>
      <c r="AG8322">
        <v>0</v>
      </c>
      <c r="AH8322">
        <v>0</v>
      </c>
      <c r="AI8322">
        <v>0</v>
      </c>
      <c r="AJ8322">
        <v>267</v>
      </c>
      <c r="AK8322">
        <v>0</v>
      </c>
      <c r="AL8322" t="s">
        <v>53</v>
      </c>
      <c r="AM8322" t="s">
        <v>53</v>
      </c>
      <c r="AN8322" t="s">
        <v>15719</v>
      </c>
      <c r="AO8322" t="s">
        <v>53</v>
      </c>
      <c r="AP8322" t="s">
        <v>53</v>
      </c>
    </row>
    <row r="8323" spans="2:42" x14ac:dyDescent="0.2">
      <c r="B8323" t="s">
        <v>44</v>
      </c>
      <c r="C8323" t="str">
        <f>HYPERLINK("https://us2.cloudbeds.com/connect/8493803454333002#/reservations/9080486848461414?display=4NZJZGXS50&amp;reservation_id=9080486848461414", "4NZJZGXS50")</f>
        <v>4NZJZGXS50</v>
      </c>
      <c r="D8323" t="s">
        <v>45</v>
      </c>
      <c r="E8323" t="s">
        <v>113</v>
      </c>
      <c r="F8323" t="s">
        <v>61</v>
      </c>
      <c r="G8323" t="s">
        <v>48</v>
      </c>
      <c r="H8323" t="s">
        <v>49</v>
      </c>
      <c r="I8323" t="s">
        <v>62</v>
      </c>
      <c r="J8323" t="s">
        <v>13652</v>
      </c>
      <c r="K8323" t="s">
        <v>14189</v>
      </c>
      <c r="L8323" t="s">
        <v>53</v>
      </c>
      <c r="N8323" t="s">
        <v>15720</v>
      </c>
      <c r="P8323" t="s">
        <v>55</v>
      </c>
      <c r="R8323" t="s">
        <v>56</v>
      </c>
      <c r="T8323" t="s">
        <v>15721</v>
      </c>
      <c r="U8323" t="s">
        <v>55</v>
      </c>
      <c r="V8323">
        <v>1</v>
      </c>
      <c r="W8323">
        <v>1</v>
      </c>
      <c r="X8323">
        <v>2</v>
      </c>
      <c r="Y8323">
        <v>0</v>
      </c>
      <c r="Z8323">
        <v>2</v>
      </c>
      <c r="AA8323">
        <v>99.75</v>
      </c>
      <c r="AB8323">
        <v>99.75</v>
      </c>
      <c r="AC8323">
        <v>99.75</v>
      </c>
      <c r="AD8323">
        <v>0</v>
      </c>
      <c r="AE8323">
        <v>0</v>
      </c>
      <c r="AF8323">
        <v>0</v>
      </c>
      <c r="AG8323">
        <v>0</v>
      </c>
      <c r="AH8323">
        <v>0</v>
      </c>
      <c r="AI8323">
        <v>17.96</v>
      </c>
      <c r="AJ8323">
        <v>99.75</v>
      </c>
      <c r="AK8323">
        <v>0</v>
      </c>
      <c r="AL8323" t="s">
        <v>53</v>
      </c>
      <c r="AM8323" t="s">
        <v>53</v>
      </c>
      <c r="AN8323" t="s">
        <v>53</v>
      </c>
      <c r="AO8323" t="s">
        <v>53</v>
      </c>
      <c r="AP8323" t="s">
        <v>53</v>
      </c>
    </row>
    <row r="8324" spans="2:42" x14ac:dyDescent="0.2">
      <c r="B8324" t="s">
        <v>44</v>
      </c>
      <c r="C8324" t="str">
        <f>HYPERLINK("https://us2.cloudbeds.com/connect/8493803454333002#/reservations/219049521950912?display=4NZPR01WQU&amp;reservation_id=219049521950912", "4NZPR01WQU")</f>
        <v>4NZPR01WQU</v>
      </c>
      <c r="D8324" t="s">
        <v>45</v>
      </c>
      <c r="E8324" t="s">
        <v>406</v>
      </c>
      <c r="F8324" t="s">
        <v>61</v>
      </c>
      <c r="G8324" t="s">
        <v>48</v>
      </c>
      <c r="H8324" t="s">
        <v>3957</v>
      </c>
      <c r="I8324" t="s">
        <v>3975</v>
      </c>
      <c r="J8324" t="s">
        <v>15369</v>
      </c>
      <c r="K8324" t="s">
        <v>14929</v>
      </c>
      <c r="L8324" t="s">
        <v>53</v>
      </c>
      <c r="P8324" t="s">
        <v>55</v>
      </c>
      <c r="R8324" t="s">
        <v>56</v>
      </c>
      <c r="T8324" t="s">
        <v>15722</v>
      </c>
      <c r="U8324" t="s">
        <v>58</v>
      </c>
      <c r="V8324">
        <v>2</v>
      </c>
      <c r="W8324">
        <v>1</v>
      </c>
      <c r="X8324">
        <v>1</v>
      </c>
      <c r="Y8324">
        <v>0</v>
      </c>
      <c r="Z8324">
        <v>1</v>
      </c>
      <c r="AA8324">
        <v>207.53</v>
      </c>
      <c r="AB8324">
        <v>207.53</v>
      </c>
      <c r="AC8324">
        <v>181</v>
      </c>
      <c r="AD8324">
        <v>0</v>
      </c>
      <c r="AE8324">
        <v>26.53</v>
      </c>
      <c r="AF8324">
        <v>0</v>
      </c>
      <c r="AG8324">
        <v>0</v>
      </c>
      <c r="AH8324">
        <v>0</v>
      </c>
      <c r="AI8324">
        <v>0</v>
      </c>
      <c r="AJ8324">
        <v>207.53</v>
      </c>
      <c r="AK8324">
        <v>0</v>
      </c>
      <c r="AL8324" t="s">
        <v>53</v>
      </c>
      <c r="AM8324" t="s">
        <v>53</v>
      </c>
      <c r="AN8324" t="s">
        <v>53</v>
      </c>
      <c r="AO8324" t="s">
        <v>53</v>
      </c>
      <c r="AP8324" t="s">
        <v>53</v>
      </c>
    </row>
    <row r="8325" spans="2:42" x14ac:dyDescent="0.2">
      <c r="B8325" t="s">
        <v>44</v>
      </c>
      <c r="C8325" t="str">
        <f>HYPERLINK("https://us2.cloudbeds.com/connect/8493803454333002#/reservations/219104586764416?display=4NQ2F15RG9&amp;reservation_id=219104586764416", "4NQ2F15RG9")</f>
        <v>4NQ2F15RG9</v>
      </c>
      <c r="D8325" t="s">
        <v>45</v>
      </c>
      <c r="E8325" t="s">
        <v>78</v>
      </c>
      <c r="F8325" t="s">
        <v>61</v>
      </c>
      <c r="G8325" t="s">
        <v>48</v>
      </c>
      <c r="H8325" t="s">
        <v>3957</v>
      </c>
      <c r="I8325" t="s">
        <v>3975</v>
      </c>
      <c r="J8325" t="s">
        <v>15237</v>
      </c>
      <c r="K8325" t="s">
        <v>12862</v>
      </c>
      <c r="L8325" t="s">
        <v>53</v>
      </c>
      <c r="P8325" t="s">
        <v>55</v>
      </c>
      <c r="R8325" t="s">
        <v>56</v>
      </c>
      <c r="T8325" t="s">
        <v>15723</v>
      </c>
      <c r="U8325" t="s">
        <v>58</v>
      </c>
      <c r="V8325">
        <v>4</v>
      </c>
      <c r="W8325">
        <v>1</v>
      </c>
      <c r="X8325">
        <v>2</v>
      </c>
      <c r="Y8325">
        <v>0</v>
      </c>
      <c r="Z8325">
        <v>2</v>
      </c>
      <c r="AA8325">
        <v>0</v>
      </c>
      <c r="AB8325">
        <v>871.34</v>
      </c>
      <c r="AC8325">
        <v>760</v>
      </c>
      <c r="AD8325">
        <v>0</v>
      </c>
      <c r="AE8325">
        <v>111.34</v>
      </c>
      <c r="AF8325">
        <v>0</v>
      </c>
      <c r="AG8325">
        <v>0</v>
      </c>
      <c r="AH8325">
        <v>0</v>
      </c>
      <c r="AI8325">
        <v>0</v>
      </c>
      <c r="AJ8325">
        <v>871.34</v>
      </c>
      <c r="AK8325">
        <v>0</v>
      </c>
      <c r="AL8325" t="s">
        <v>53</v>
      </c>
      <c r="AM8325" t="s">
        <v>53</v>
      </c>
      <c r="AN8325" t="s">
        <v>53</v>
      </c>
      <c r="AO8325" t="s">
        <v>53</v>
      </c>
      <c r="AP8325" t="s">
        <v>53</v>
      </c>
    </row>
    <row r="8326" spans="2:42" x14ac:dyDescent="0.2">
      <c r="B8326" t="s">
        <v>44</v>
      </c>
      <c r="C8326" t="str">
        <f>HYPERLINK("https://us2.cloudbeds.com/connect/8493803454333002#/reservations/9080486848466851?display=4NTSUDPHNW&amp;reservation_id=9080486848466851", "4NTSUDPHNW")</f>
        <v>4NTSUDPHNW</v>
      </c>
      <c r="D8326" t="s">
        <v>45</v>
      </c>
      <c r="E8326" t="s">
        <v>381</v>
      </c>
      <c r="F8326" t="s">
        <v>47</v>
      </c>
      <c r="G8326" t="s">
        <v>48</v>
      </c>
      <c r="H8326" t="s">
        <v>49</v>
      </c>
      <c r="I8326" t="s">
        <v>62</v>
      </c>
      <c r="J8326" t="s">
        <v>14176</v>
      </c>
      <c r="K8326" t="s">
        <v>13038</v>
      </c>
      <c r="L8326" t="s">
        <v>53</v>
      </c>
      <c r="N8326" t="s">
        <v>15724</v>
      </c>
      <c r="P8326" t="s">
        <v>55</v>
      </c>
      <c r="R8326" t="s">
        <v>56</v>
      </c>
      <c r="T8326" t="s">
        <v>15725</v>
      </c>
      <c r="U8326" t="s">
        <v>55</v>
      </c>
      <c r="V8326">
        <v>1</v>
      </c>
      <c r="W8326">
        <v>1</v>
      </c>
      <c r="X8326">
        <v>2</v>
      </c>
      <c r="Y8326">
        <v>0</v>
      </c>
      <c r="Z8326">
        <v>2</v>
      </c>
      <c r="AA8326">
        <v>137.66</v>
      </c>
      <c r="AB8326">
        <v>137.66</v>
      </c>
      <c r="AC8326">
        <v>137.66</v>
      </c>
      <c r="AD8326">
        <v>0</v>
      </c>
      <c r="AE8326">
        <v>0</v>
      </c>
      <c r="AF8326">
        <v>0</v>
      </c>
      <c r="AG8326">
        <v>0</v>
      </c>
      <c r="AH8326">
        <v>0</v>
      </c>
      <c r="AI8326">
        <v>24.78</v>
      </c>
      <c r="AJ8326">
        <v>137.66</v>
      </c>
      <c r="AK8326">
        <v>0</v>
      </c>
      <c r="AL8326" t="s">
        <v>53</v>
      </c>
      <c r="AM8326" t="s">
        <v>53</v>
      </c>
      <c r="AN8326" t="s">
        <v>53</v>
      </c>
      <c r="AO8326" t="s">
        <v>53</v>
      </c>
      <c r="AP8326" t="s">
        <v>53</v>
      </c>
    </row>
    <row r="8327" spans="2:42" x14ac:dyDescent="0.2">
      <c r="B8327" t="s">
        <v>44</v>
      </c>
      <c r="C8327" t="str">
        <f>HYPERLINK("https://us2.cloudbeds.com/connect/8493803454333002#/reservations/9080486848471139?display=4NWSZ8R0HT&amp;reservation_id=9080486848471139", "4NWSZ8R0HT")</f>
        <v>4NWSZ8R0HT</v>
      </c>
      <c r="D8327" t="s">
        <v>45</v>
      </c>
      <c r="E8327" t="s">
        <v>487</v>
      </c>
      <c r="F8327" t="s">
        <v>61</v>
      </c>
      <c r="G8327" t="s">
        <v>48</v>
      </c>
      <c r="H8327" t="s">
        <v>49</v>
      </c>
      <c r="I8327" t="s">
        <v>50</v>
      </c>
      <c r="J8327" t="s">
        <v>14189</v>
      </c>
      <c r="K8327" t="s">
        <v>13653</v>
      </c>
      <c r="L8327" t="s">
        <v>53</v>
      </c>
      <c r="N8327" t="s">
        <v>15726</v>
      </c>
      <c r="P8327" t="s">
        <v>55</v>
      </c>
      <c r="R8327" t="s">
        <v>53</v>
      </c>
      <c r="T8327" t="s">
        <v>15727</v>
      </c>
      <c r="U8327" t="s">
        <v>55</v>
      </c>
      <c r="V8327">
        <v>1</v>
      </c>
      <c r="W8327">
        <v>1</v>
      </c>
      <c r="X8327">
        <v>1</v>
      </c>
      <c r="Y8327">
        <v>0</v>
      </c>
      <c r="Z8327">
        <v>1</v>
      </c>
      <c r="AA8327">
        <v>62.93</v>
      </c>
      <c r="AB8327">
        <v>62.93</v>
      </c>
      <c r="AC8327">
        <v>57.86</v>
      </c>
      <c r="AD8327">
        <v>0</v>
      </c>
      <c r="AE8327">
        <v>5.07</v>
      </c>
      <c r="AF8327">
        <v>0</v>
      </c>
      <c r="AG8327">
        <v>0</v>
      </c>
      <c r="AH8327">
        <v>0</v>
      </c>
      <c r="AI8327">
        <v>11.33</v>
      </c>
      <c r="AJ8327">
        <v>62.93</v>
      </c>
      <c r="AK8327">
        <v>0</v>
      </c>
      <c r="AL8327" t="s">
        <v>53</v>
      </c>
      <c r="AM8327" t="s">
        <v>53</v>
      </c>
      <c r="AN8327" t="s">
        <v>53</v>
      </c>
      <c r="AO8327" t="s">
        <v>53</v>
      </c>
      <c r="AP8327" t="s">
        <v>53</v>
      </c>
    </row>
    <row r="8328" spans="2:42" x14ac:dyDescent="0.2">
      <c r="B8328" t="s">
        <v>44</v>
      </c>
      <c r="C8328" t="str">
        <f>HYPERLINK("https://us2.cloudbeds.com/connect/8493803454333002#/reservations/9080486848472002?display=4Z0Y4UXVUU&amp;reservation_id=9080486848472002", "4Z0Y4UXVUU")</f>
        <v>4Z0Y4UXVUU</v>
      </c>
      <c r="D8328" t="s">
        <v>45</v>
      </c>
      <c r="E8328" t="s">
        <v>406</v>
      </c>
      <c r="F8328" t="s">
        <v>61</v>
      </c>
      <c r="G8328" t="s">
        <v>48</v>
      </c>
      <c r="H8328" t="s">
        <v>49</v>
      </c>
      <c r="I8328" t="s">
        <v>62</v>
      </c>
      <c r="J8328" t="s">
        <v>14189</v>
      </c>
      <c r="K8328" t="s">
        <v>13653</v>
      </c>
      <c r="L8328" t="s">
        <v>53</v>
      </c>
      <c r="N8328" t="s">
        <v>15728</v>
      </c>
      <c r="P8328" t="s">
        <v>55</v>
      </c>
      <c r="R8328" t="s">
        <v>56</v>
      </c>
      <c r="T8328" t="s">
        <v>15729</v>
      </c>
      <c r="U8328" t="s">
        <v>55</v>
      </c>
      <c r="V8328">
        <v>1</v>
      </c>
      <c r="W8328">
        <v>1</v>
      </c>
      <c r="X8328">
        <v>2</v>
      </c>
      <c r="Y8328">
        <v>0</v>
      </c>
      <c r="Z8328">
        <v>2</v>
      </c>
      <c r="AA8328">
        <v>88.2</v>
      </c>
      <c r="AB8328">
        <v>88.2</v>
      </c>
      <c r="AC8328">
        <v>88.2</v>
      </c>
      <c r="AD8328">
        <v>0</v>
      </c>
      <c r="AE8328">
        <v>0</v>
      </c>
      <c r="AF8328">
        <v>0</v>
      </c>
      <c r="AG8328">
        <v>0</v>
      </c>
      <c r="AH8328">
        <v>0</v>
      </c>
      <c r="AI8328">
        <v>15.88</v>
      </c>
      <c r="AJ8328">
        <v>88.2</v>
      </c>
      <c r="AK8328">
        <v>0</v>
      </c>
      <c r="AL8328" t="s">
        <v>53</v>
      </c>
      <c r="AM8328" t="s">
        <v>53</v>
      </c>
      <c r="AN8328" t="s">
        <v>15730</v>
      </c>
      <c r="AO8328" t="s">
        <v>53</v>
      </c>
      <c r="AP8328" t="s">
        <v>53</v>
      </c>
    </row>
    <row r="8329" spans="2:42" x14ac:dyDescent="0.2">
      <c r="B8329" t="s">
        <v>44</v>
      </c>
      <c r="C8329" t="str">
        <f>HYPERLINK("https://us2.cloudbeds.com/connect/8493803454333002#/reservations/9080486848472842?display=4Z1HJB0NZ5&amp;reservation_id=9080486848472842", "4Z1HJB0NZ5")</f>
        <v>4Z1HJB0NZ5</v>
      </c>
      <c r="D8329" t="s">
        <v>45</v>
      </c>
      <c r="E8329" t="s">
        <v>305</v>
      </c>
      <c r="F8329" t="s">
        <v>61</v>
      </c>
      <c r="G8329" t="s">
        <v>48</v>
      </c>
      <c r="H8329" t="s">
        <v>49</v>
      </c>
      <c r="I8329" t="s">
        <v>50</v>
      </c>
      <c r="J8329" t="s">
        <v>14189</v>
      </c>
      <c r="K8329" t="s">
        <v>13653</v>
      </c>
      <c r="L8329" t="s">
        <v>53</v>
      </c>
      <c r="N8329" t="s">
        <v>15731</v>
      </c>
      <c r="P8329" t="s">
        <v>55</v>
      </c>
      <c r="R8329" t="s">
        <v>53</v>
      </c>
      <c r="T8329" t="s">
        <v>15732</v>
      </c>
      <c r="U8329" t="s">
        <v>55</v>
      </c>
      <c r="V8329">
        <v>1</v>
      </c>
      <c r="W8329">
        <v>1</v>
      </c>
      <c r="X8329">
        <v>2</v>
      </c>
      <c r="Y8329">
        <v>0</v>
      </c>
      <c r="Z8329">
        <v>2</v>
      </c>
      <c r="AA8329">
        <v>62.94</v>
      </c>
      <c r="AB8329">
        <v>62.94</v>
      </c>
      <c r="AC8329">
        <v>57.87</v>
      </c>
      <c r="AD8329">
        <v>0</v>
      </c>
      <c r="AE8329">
        <v>5.07</v>
      </c>
      <c r="AF8329">
        <v>0</v>
      </c>
      <c r="AG8329">
        <v>0</v>
      </c>
      <c r="AH8329">
        <v>0</v>
      </c>
      <c r="AI8329">
        <v>11.33</v>
      </c>
      <c r="AJ8329">
        <v>62.94</v>
      </c>
      <c r="AK8329">
        <v>0</v>
      </c>
      <c r="AL8329" t="s">
        <v>53</v>
      </c>
      <c r="AM8329" t="s">
        <v>53</v>
      </c>
      <c r="AN8329" t="s">
        <v>53</v>
      </c>
      <c r="AO8329" t="s">
        <v>53</v>
      </c>
      <c r="AP8329" t="s">
        <v>53</v>
      </c>
    </row>
    <row r="8330" spans="2:42" x14ac:dyDescent="0.2">
      <c r="B8330" t="s">
        <v>44</v>
      </c>
      <c r="C8330" t="str">
        <f>HYPERLINK("https://us2.cloudbeds.com/connect/8493803454333002#/reservations/219497232371840?display=4Z29G1C3ST&amp;reservation_id=219497232371840", "4Z29G1C3ST")</f>
        <v>4Z29G1C3ST</v>
      </c>
      <c r="D8330" t="s">
        <v>45</v>
      </c>
      <c r="E8330" t="s">
        <v>138</v>
      </c>
      <c r="F8330" t="s">
        <v>70</v>
      </c>
      <c r="G8330" t="s">
        <v>48</v>
      </c>
      <c r="H8330" t="s">
        <v>3957</v>
      </c>
      <c r="I8330" t="s">
        <v>3975</v>
      </c>
      <c r="J8330" t="s">
        <v>13653</v>
      </c>
      <c r="K8330" t="s">
        <v>14113</v>
      </c>
      <c r="L8330" t="s">
        <v>53</v>
      </c>
      <c r="P8330" t="s">
        <v>55</v>
      </c>
      <c r="R8330" t="s">
        <v>56</v>
      </c>
      <c r="T8330" t="s">
        <v>15733</v>
      </c>
      <c r="U8330" t="s">
        <v>58</v>
      </c>
      <c r="V8330">
        <v>1</v>
      </c>
      <c r="W8330">
        <v>1</v>
      </c>
      <c r="X8330">
        <v>1</v>
      </c>
      <c r="Y8330">
        <v>0</v>
      </c>
      <c r="Z8330">
        <v>1</v>
      </c>
      <c r="AA8330">
        <v>86</v>
      </c>
      <c r="AB8330">
        <v>86</v>
      </c>
      <c r="AC8330">
        <v>75</v>
      </c>
      <c r="AD8330">
        <v>0</v>
      </c>
      <c r="AE8330">
        <v>11</v>
      </c>
      <c r="AF8330">
        <v>0</v>
      </c>
      <c r="AG8330">
        <v>0</v>
      </c>
      <c r="AH8330">
        <v>0</v>
      </c>
      <c r="AI8330">
        <v>0</v>
      </c>
      <c r="AJ8330">
        <v>86</v>
      </c>
      <c r="AK8330">
        <v>0</v>
      </c>
      <c r="AL8330" t="s">
        <v>53</v>
      </c>
      <c r="AM8330" t="s">
        <v>53</v>
      </c>
      <c r="AN8330" t="s">
        <v>15734</v>
      </c>
      <c r="AO8330" t="s">
        <v>53</v>
      </c>
      <c r="AP8330" t="s">
        <v>53</v>
      </c>
    </row>
    <row r="8331" spans="2:42" x14ac:dyDescent="0.2">
      <c r="B8331" t="s">
        <v>44</v>
      </c>
      <c r="C8331" t="str">
        <f>HYPERLINK("https://us2.cloudbeds.com/connect/8493803454333002#/reservations/9080486848473876?display=4Z2MJTU4M4&amp;reservation_id=9080486848473876", "4Z2MJTU4M4")</f>
        <v>4Z2MJTU4M4</v>
      </c>
      <c r="D8331" t="s">
        <v>45</v>
      </c>
      <c r="E8331" t="s">
        <v>69</v>
      </c>
      <c r="F8331" t="s">
        <v>70</v>
      </c>
      <c r="G8331" t="s">
        <v>48</v>
      </c>
      <c r="H8331" t="s">
        <v>49</v>
      </c>
      <c r="I8331" t="s">
        <v>50</v>
      </c>
      <c r="J8331" t="s">
        <v>15735</v>
      </c>
      <c r="K8331" t="s">
        <v>14668</v>
      </c>
      <c r="L8331" t="s">
        <v>53</v>
      </c>
      <c r="N8331" t="s">
        <v>15736</v>
      </c>
      <c r="P8331" t="s">
        <v>55</v>
      </c>
      <c r="R8331" t="s">
        <v>53</v>
      </c>
      <c r="T8331" t="s">
        <v>15737</v>
      </c>
      <c r="U8331" t="s">
        <v>55</v>
      </c>
      <c r="V8331">
        <v>1</v>
      </c>
      <c r="W8331">
        <v>1</v>
      </c>
      <c r="X8331">
        <v>2</v>
      </c>
      <c r="Y8331">
        <v>0</v>
      </c>
      <c r="Z8331">
        <v>2</v>
      </c>
      <c r="AA8331">
        <v>168.92</v>
      </c>
      <c r="AB8331">
        <v>168.92</v>
      </c>
      <c r="AC8331">
        <v>155.33000000000001</v>
      </c>
      <c r="AD8331">
        <v>0</v>
      </c>
      <c r="AE8331">
        <v>13.59</v>
      </c>
      <c r="AF8331">
        <v>0</v>
      </c>
      <c r="AG8331">
        <v>0</v>
      </c>
      <c r="AH8331">
        <v>0</v>
      </c>
      <c r="AI8331">
        <v>30.41</v>
      </c>
      <c r="AJ8331">
        <v>168.92</v>
      </c>
      <c r="AK8331">
        <v>0</v>
      </c>
      <c r="AL8331" t="s">
        <v>53</v>
      </c>
      <c r="AM8331" t="s">
        <v>53</v>
      </c>
      <c r="AN8331" t="s">
        <v>53</v>
      </c>
      <c r="AO8331" t="s">
        <v>53</v>
      </c>
      <c r="AP8331" t="s">
        <v>53</v>
      </c>
    </row>
    <row r="8332" spans="2:42" x14ac:dyDescent="0.2">
      <c r="B8332" t="s">
        <v>44</v>
      </c>
      <c r="C8332" t="str">
        <f>HYPERLINK("https://us2.cloudbeds.com/connect/8493803454333002#/reservations/9080486848473899?display=4Z2N894BZJ&amp;reservation_id=9080486848473899", "4Z2N894BZJ")</f>
        <v>4Z2N894BZJ</v>
      </c>
      <c r="D8332" t="s">
        <v>45</v>
      </c>
      <c r="E8332" t="s">
        <v>138</v>
      </c>
      <c r="F8332" t="s">
        <v>70</v>
      </c>
      <c r="G8332" t="s">
        <v>48</v>
      </c>
      <c r="H8332" t="s">
        <v>49</v>
      </c>
      <c r="I8332" t="s">
        <v>50</v>
      </c>
      <c r="J8332" t="s">
        <v>15738</v>
      </c>
      <c r="K8332" t="s">
        <v>14669</v>
      </c>
      <c r="L8332" t="s">
        <v>53</v>
      </c>
      <c r="N8332" t="s">
        <v>15739</v>
      </c>
      <c r="P8332" t="s">
        <v>55</v>
      </c>
      <c r="R8332" t="s">
        <v>53</v>
      </c>
      <c r="T8332" t="s">
        <v>15740</v>
      </c>
      <c r="U8332" t="s">
        <v>55</v>
      </c>
      <c r="V8332">
        <v>1</v>
      </c>
      <c r="W8332">
        <v>1</v>
      </c>
      <c r="X8332">
        <v>2</v>
      </c>
      <c r="Y8332">
        <v>0</v>
      </c>
      <c r="Z8332">
        <v>2</v>
      </c>
      <c r="AA8332">
        <v>151.30000000000001</v>
      </c>
      <c r="AB8332">
        <v>151.30000000000001</v>
      </c>
      <c r="AC8332">
        <v>139.13</v>
      </c>
      <c r="AD8332">
        <v>0</v>
      </c>
      <c r="AE8332">
        <v>12.17</v>
      </c>
      <c r="AF8332">
        <v>0</v>
      </c>
      <c r="AG8332">
        <v>0</v>
      </c>
      <c r="AH8332">
        <v>0</v>
      </c>
      <c r="AI8332">
        <v>27.23</v>
      </c>
      <c r="AJ8332">
        <v>151.30000000000001</v>
      </c>
      <c r="AK8332">
        <v>0</v>
      </c>
      <c r="AL8332" t="s">
        <v>53</v>
      </c>
      <c r="AM8332" t="s">
        <v>53</v>
      </c>
      <c r="AN8332" t="s">
        <v>53</v>
      </c>
      <c r="AO8332" t="s">
        <v>53</v>
      </c>
      <c r="AP8332" t="s">
        <v>53</v>
      </c>
    </row>
    <row r="8333" spans="2:42" x14ac:dyDescent="0.2">
      <c r="B8333" t="s">
        <v>44</v>
      </c>
      <c r="C8333" t="str">
        <f>HYPERLINK("https://us2.cloudbeds.com/connect/8493803454333002#/reservations/219648823607424?display=4Z5RSX34JS&amp;reservation_id=219648823607424", "4Z5RSX34JS")</f>
        <v>4Z5RSX34JS</v>
      </c>
      <c r="D8333" t="s">
        <v>45</v>
      </c>
      <c r="E8333" t="s">
        <v>305</v>
      </c>
      <c r="F8333" t="s">
        <v>61</v>
      </c>
      <c r="G8333" t="s">
        <v>13757</v>
      </c>
      <c r="H8333" t="s">
        <v>3957</v>
      </c>
      <c r="I8333" t="s">
        <v>3958</v>
      </c>
      <c r="J8333" t="s">
        <v>13653</v>
      </c>
      <c r="K8333" t="s">
        <v>14113</v>
      </c>
      <c r="L8333" t="s">
        <v>53</v>
      </c>
      <c r="P8333" t="s">
        <v>55</v>
      </c>
      <c r="R8333" t="s">
        <v>56</v>
      </c>
      <c r="T8333" t="s">
        <v>15741</v>
      </c>
      <c r="U8333" t="s">
        <v>58</v>
      </c>
      <c r="V8333">
        <v>1</v>
      </c>
      <c r="W8333">
        <v>1</v>
      </c>
      <c r="X8333">
        <v>1</v>
      </c>
      <c r="Y8333">
        <v>0</v>
      </c>
      <c r="Z8333">
        <v>1</v>
      </c>
      <c r="AA8333">
        <v>86.68</v>
      </c>
      <c r="AB8333">
        <v>86.68</v>
      </c>
      <c r="AC8333">
        <v>75.599999999999994</v>
      </c>
      <c r="AD8333">
        <v>0</v>
      </c>
      <c r="AE8333">
        <v>11.08</v>
      </c>
      <c r="AF8333">
        <v>0</v>
      </c>
      <c r="AG8333">
        <v>0</v>
      </c>
      <c r="AH8333">
        <v>0</v>
      </c>
      <c r="AI8333">
        <v>0</v>
      </c>
      <c r="AJ8333">
        <v>86.68</v>
      </c>
      <c r="AK8333">
        <v>0</v>
      </c>
      <c r="AL8333" t="s">
        <v>53</v>
      </c>
      <c r="AM8333" t="s">
        <v>53</v>
      </c>
      <c r="AN8333" t="s">
        <v>53</v>
      </c>
      <c r="AO8333" t="s">
        <v>53</v>
      </c>
      <c r="AP8333" t="s">
        <v>53</v>
      </c>
    </row>
    <row r="8334" spans="2:42" x14ac:dyDescent="0.2">
      <c r="B8334" t="s">
        <v>44</v>
      </c>
      <c r="C8334" t="str">
        <f>HYPERLINK("https://us2.cloudbeds.com/connect/8493803454333002#/reservations/9080486848479494?display=4Z76HB5967&amp;reservation_id=9080486848479494", "4Z76HB5967")</f>
        <v>4Z76HB5967</v>
      </c>
      <c r="D8334" t="s">
        <v>45</v>
      </c>
      <c r="E8334" t="s">
        <v>110</v>
      </c>
      <c r="F8334" t="s">
        <v>47</v>
      </c>
      <c r="G8334" t="s">
        <v>48</v>
      </c>
      <c r="H8334" t="s">
        <v>49</v>
      </c>
      <c r="I8334" t="s">
        <v>50</v>
      </c>
      <c r="J8334" t="s">
        <v>14130</v>
      </c>
      <c r="K8334" t="s">
        <v>14131</v>
      </c>
      <c r="L8334" t="s">
        <v>53</v>
      </c>
      <c r="N8334" t="s">
        <v>15742</v>
      </c>
      <c r="P8334" t="s">
        <v>55</v>
      </c>
      <c r="R8334" t="s">
        <v>53</v>
      </c>
      <c r="T8334" t="s">
        <v>15743</v>
      </c>
      <c r="U8334" t="s">
        <v>55</v>
      </c>
      <c r="V8334">
        <v>1</v>
      </c>
      <c r="W8334">
        <v>1</v>
      </c>
      <c r="X8334">
        <v>1</v>
      </c>
      <c r="Y8334">
        <v>0</v>
      </c>
      <c r="Z8334">
        <v>1</v>
      </c>
      <c r="AA8334">
        <v>138.58000000000001</v>
      </c>
      <c r="AB8334">
        <v>141.32</v>
      </c>
      <c r="AC8334">
        <v>127.43</v>
      </c>
      <c r="AD8334">
        <v>2.5</v>
      </c>
      <c r="AE8334">
        <v>11.39</v>
      </c>
      <c r="AF8334">
        <v>0</v>
      </c>
      <c r="AG8334">
        <v>0</v>
      </c>
      <c r="AH8334">
        <v>0</v>
      </c>
      <c r="AI8334">
        <v>25.44</v>
      </c>
      <c r="AJ8334">
        <v>141.32</v>
      </c>
      <c r="AK8334">
        <v>0</v>
      </c>
      <c r="AL8334" t="s">
        <v>53</v>
      </c>
      <c r="AM8334" t="s">
        <v>53</v>
      </c>
      <c r="AN8334" t="s">
        <v>15744</v>
      </c>
      <c r="AO8334" t="s">
        <v>53</v>
      </c>
      <c r="AP8334" t="s">
        <v>53</v>
      </c>
    </row>
    <row r="8335" spans="2:42" x14ac:dyDescent="0.2">
      <c r="B8335" t="s">
        <v>44</v>
      </c>
      <c r="C8335" t="str">
        <f>HYPERLINK("https://us2.cloudbeds.com/connect/8493803454333002#/reservations/9080486848479932?display=4Z7FCKT9TB&amp;reservation_id=9080486848479932", "4Z7FCKT9TB")</f>
        <v>4Z7FCKT9TB</v>
      </c>
      <c r="D8335" t="s">
        <v>45</v>
      </c>
      <c r="E8335" t="s">
        <v>165</v>
      </c>
      <c r="F8335" t="s">
        <v>61</v>
      </c>
      <c r="G8335" t="s">
        <v>48</v>
      </c>
      <c r="H8335" t="s">
        <v>49</v>
      </c>
      <c r="I8335" t="s">
        <v>62</v>
      </c>
      <c r="J8335" t="s">
        <v>13653</v>
      </c>
      <c r="K8335" t="s">
        <v>14113</v>
      </c>
      <c r="L8335" t="s">
        <v>53</v>
      </c>
      <c r="N8335" t="s">
        <v>15745</v>
      </c>
      <c r="P8335" t="s">
        <v>55</v>
      </c>
      <c r="R8335" t="s">
        <v>56</v>
      </c>
      <c r="T8335" t="s">
        <v>15746</v>
      </c>
      <c r="U8335" t="s">
        <v>55</v>
      </c>
      <c r="V8335">
        <v>1</v>
      </c>
      <c r="W8335">
        <v>1</v>
      </c>
      <c r="X8335">
        <v>2</v>
      </c>
      <c r="Y8335">
        <v>0</v>
      </c>
      <c r="Z8335">
        <v>2</v>
      </c>
      <c r="AA8335">
        <v>88.2</v>
      </c>
      <c r="AB8335">
        <v>88.2</v>
      </c>
      <c r="AC8335">
        <v>88.2</v>
      </c>
      <c r="AD8335">
        <v>0</v>
      </c>
      <c r="AE8335">
        <v>0</v>
      </c>
      <c r="AF8335">
        <v>0</v>
      </c>
      <c r="AG8335">
        <v>0</v>
      </c>
      <c r="AH8335">
        <v>0</v>
      </c>
      <c r="AI8335">
        <v>15.88</v>
      </c>
      <c r="AJ8335">
        <v>88.2</v>
      </c>
      <c r="AK8335">
        <v>0</v>
      </c>
      <c r="AL8335" t="s">
        <v>53</v>
      </c>
      <c r="AM8335" t="s">
        <v>53</v>
      </c>
      <c r="AN8335" t="s">
        <v>53</v>
      </c>
      <c r="AO8335" t="s">
        <v>53</v>
      </c>
      <c r="AP8335" t="s">
        <v>53</v>
      </c>
    </row>
    <row r="8336" spans="2:42" x14ac:dyDescent="0.2">
      <c r="B8336" t="s">
        <v>44</v>
      </c>
      <c r="C8336" t="str">
        <f>HYPERLINK("https://us2.cloudbeds.com/connect/8493803454333002#/reservations/9080486848480974?display=4Z82TUF7YK&amp;reservation_id=9080486848480974", "4Z82TUF7YK")</f>
        <v>4Z82TUF7YK</v>
      </c>
      <c r="D8336" t="s">
        <v>10291</v>
      </c>
      <c r="E8336" t="s">
        <v>138</v>
      </c>
      <c r="F8336" t="s">
        <v>70</v>
      </c>
      <c r="G8336" t="s">
        <v>48</v>
      </c>
      <c r="H8336" t="s">
        <v>49</v>
      </c>
      <c r="I8336" t="s">
        <v>62</v>
      </c>
      <c r="J8336" t="s">
        <v>15747</v>
      </c>
      <c r="K8336" t="s">
        <v>15748</v>
      </c>
      <c r="L8336" t="s">
        <v>53</v>
      </c>
      <c r="N8336" t="s">
        <v>15749</v>
      </c>
      <c r="P8336" t="s">
        <v>55</v>
      </c>
      <c r="R8336" t="s">
        <v>56</v>
      </c>
      <c r="T8336" t="s">
        <v>15750</v>
      </c>
      <c r="U8336" t="s">
        <v>55</v>
      </c>
      <c r="V8336">
        <v>1</v>
      </c>
      <c r="W8336">
        <v>1</v>
      </c>
      <c r="X8336">
        <v>2</v>
      </c>
      <c r="Y8336">
        <v>0</v>
      </c>
      <c r="Z8336">
        <v>2</v>
      </c>
      <c r="AA8336">
        <v>172.57</v>
      </c>
      <c r="AB8336">
        <v>0</v>
      </c>
      <c r="AC8336">
        <v>172.57</v>
      </c>
      <c r="AD8336">
        <v>0</v>
      </c>
      <c r="AE8336">
        <v>0</v>
      </c>
      <c r="AF8336">
        <v>0</v>
      </c>
      <c r="AG8336">
        <v>0</v>
      </c>
      <c r="AH8336">
        <v>0</v>
      </c>
      <c r="AI8336">
        <v>31.06</v>
      </c>
      <c r="AJ8336">
        <v>172.57</v>
      </c>
      <c r="AK8336">
        <v>172.57</v>
      </c>
      <c r="AL8336" t="s">
        <v>53</v>
      </c>
      <c r="AM8336" t="s">
        <v>53</v>
      </c>
      <c r="AN8336" t="s">
        <v>53</v>
      </c>
      <c r="AO8336" t="s">
        <v>53</v>
      </c>
      <c r="AP8336" t="s">
        <v>53</v>
      </c>
    </row>
    <row r="8337" spans="2:42" x14ac:dyDescent="0.2">
      <c r="B8337" t="s">
        <v>44</v>
      </c>
      <c r="C8337" t="str">
        <f>HYPERLINK("https://us2.cloudbeds.com/connect/8493803454333002#/reservations/219749720072320?display=4Z86WMMMZS&amp;reservation_id=219749720072320", "4Z86WMMMZS")</f>
        <v>4Z86WMMMZS</v>
      </c>
      <c r="D8337" t="s">
        <v>45</v>
      </c>
      <c r="E8337" t="s">
        <v>223</v>
      </c>
      <c r="F8337" t="s">
        <v>47</v>
      </c>
      <c r="G8337" t="s">
        <v>48</v>
      </c>
      <c r="H8337" t="s">
        <v>3957</v>
      </c>
      <c r="I8337" t="s">
        <v>3958</v>
      </c>
      <c r="J8337" t="s">
        <v>13653</v>
      </c>
      <c r="K8337" t="s">
        <v>14768</v>
      </c>
      <c r="L8337" t="s">
        <v>53</v>
      </c>
      <c r="P8337" t="s">
        <v>55</v>
      </c>
      <c r="R8337" t="s">
        <v>56</v>
      </c>
      <c r="T8337" t="s">
        <v>15751</v>
      </c>
      <c r="U8337" t="s">
        <v>58</v>
      </c>
      <c r="V8337">
        <v>2</v>
      </c>
      <c r="W8337">
        <v>1</v>
      </c>
      <c r="X8337">
        <v>1</v>
      </c>
      <c r="Y8337">
        <v>0</v>
      </c>
      <c r="Z8337">
        <v>1</v>
      </c>
      <c r="AA8337">
        <v>183.44</v>
      </c>
      <c r="AB8337">
        <v>183.44</v>
      </c>
      <c r="AC8337">
        <v>160</v>
      </c>
      <c r="AD8337">
        <v>0</v>
      </c>
      <c r="AE8337">
        <v>23.44</v>
      </c>
      <c r="AF8337">
        <v>0</v>
      </c>
      <c r="AG8337">
        <v>0</v>
      </c>
      <c r="AH8337">
        <v>0</v>
      </c>
      <c r="AI8337">
        <v>0</v>
      </c>
      <c r="AJ8337">
        <v>183.44</v>
      </c>
      <c r="AK8337">
        <v>0</v>
      </c>
      <c r="AL8337" t="s">
        <v>53</v>
      </c>
      <c r="AM8337" t="s">
        <v>53</v>
      </c>
      <c r="AN8337" t="s">
        <v>53</v>
      </c>
      <c r="AO8337" t="s">
        <v>53</v>
      </c>
      <c r="AP8337" t="s">
        <v>53</v>
      </c>
    </row>
    <row r="8338" spans="2:42" x14ac:dyDescent="0.2">
      <c r="B8338" t="s">
        <v>44</v>
      </c>
      <c r="C8338" t="str">
        <f>HYPERLINK("https://us2.cloudbeds.com/connect/8493803454333002#/reservations/219758895128704?display=4Z8E34AUP6&amp;reservation_id=219758895128704", "4Z8E34AUP6")</f>
        <v>4Z8E34AUP6</v>
      </c>
      <c r="D8338" t="s">
        <v>45</v>
      </c>
      <c r="E8338" t="s">
        <v>165</v>
      </c>
      <c r="F8338" t="s">
        <v>61</v>
      </c>
      <c r="G8338" t="s">
        <v>48</v>
      </c>
      <c r="H8338" t="s">
        <v>3957</v>
      </c>
      <c r="I8338" t="s">
        <v>3975</v>
      </c>
      <c r="J8338" t="s">
        <v>15256</v>
      </c>
      <c r="K8338" t="s">
        <v>13898</v>
      </c>
      <c r="L8338" t="s">
        <v>53</v>
      </c>
      <c r="P8338" t="s">
        <v>55</v>
      </c>
      <c r="R8338" t="s">
        <v>56</v>
      </c>
      <c r="T8338" t="s">
        <v>15752</v>
      </c>
      <c r="U8338" t="s">
        <v>58</v>
      </c>
      <c r="V8338">
        <v>1</v>
      </c>
      <c r="W8338">
        <v>1</v>
      </c>
      <c r="X8338">
        <v>1</v>
      </c>
      <c r="Y8338">
        <v>0</v>
      </c>
      <c r="Z8338">
        <v>1</v>
      </c>
      <c r="AA8338">
        <v>0</v>
      </c>
      <c r="AB8338">
        <v>96.31</v>
      </c>
      <c r="AC8338">
        <v>84</v>
      </c>
      <c r="AD8338">
        <v>0</v>
      </c>
      <c r="AE8338">
        <v>12.31</v>
      </c>
      <c r="AF8338">
        <v>0</v>
      </c>
      <c r="AG8338">
        <v>0</v>
      </c>
      <c r="AH8338">
        <v>0</v>
      </c>
      <c r="AI8338">
        <v>0</v>
      </c>
      <c r="AJ8338">
        <v>96.31</v>
      </c>
      <c r="AK8338">
        <v>0</v>
      </c>
      <c r="AL8338" t="s">
        <v>53</v>
      </c>
      <c r="AM8338" t="s">
        <v>53</v>
      </c>
      <c r="AN8338" t="s">
        <v>15753</v>
      </c>
      <c r="AO8338" t="s">
        <v>53</v>
      </c>
      <c r="AP8338" t="s">
        <v>53</v>
      </c>
    </row>
    <row r="8339" spans="2:42" x14ac:dyDescent="0.2">
      <c r="B8339" t="s">
        <v>44</v>
      </c>
      <c r="C8339" t="str">
        <f>HYPERLINK("https://us2.cloudbeds.com/connect/8493803454333002#/reservations/9080486848483539?display=4ZA6YAHSYJ&amp;reservation_id=9080486848483539", "4ZA6YAHSYJ")</f>
        <v>4ZA6YAHSYJ</v>
      </c>
      <c r="D8339" t="s">
        <v>45</v>
      </c>
      <c r="E8339" t="s">
        <v>113</v>
      </c>
      <c r="F8339" t="s">
        <v>61</v>
      </c>
      <c r="G8339" t="s">
        <v>48</v>
      </c>
      <c r="H8339" t="s">
        <v>49</v>
      </c>
      <c r="I8339" t="s">
        <v>8964</v>
      </c>
      <c r="J8339" t="s">
        <v>14113</v>
      </c>
      <c r="K8339" t="s">
        <v>14768</v>
      </c>
      <c r="L8339" t="s">
        <v>53</v>
      </c>
      <c r="N8339" t="s">
        <v>15754</v>
      </c>
      <c r="P8339" t="s">
        <v>55</v>
      </c>
      <c r="R8339" t="s">
        <v>53</v>
      </c>
      <c r="T8339" t="s">
        <v>15755</v>
      </c>
      <c r="U8339" t="s">
        <v>55</v>
      </c>
      <c r="V8339">
        <v>1</v>
      </c>
      <c r="W8339">
        <v>1</v>
      </c>
      <c r="X8339">
        <v>2</v>
      </c>
      <c r="Y8339">
        <v>0</v>
      </c>
      <c r="Z8339">
        <v>2</v>
      </c>
      <c r="AA8339">
        <v>0</v>
      </c>
      <c r="AB8339">
        <v>0</v>
      </c>
      <c r="AC8339">
        <v>94</v>
      </c>
      <c r="AD8339">
        <v>0</v>
      </c>
      <c r="AE8339">
        <v>0</v>
      </c>
      <c r="AF8339">
        <v>0</v>
      </c>
      <c r="AG8339">
        <v>0</v>
      </c>
      <c r="AH8339">
        <v>0</v>
      </c>
      <c r="AI8339">
        <v>14.1</v>
      </c>
      <c r="AJ8339">
        <v>94</v>
      </c>
      <c r="AK8339">
        <v>94</v>
      </c>
      <c r="AL8339" t="s">
        <v>53</v>
      </c>
      <c r="AM8339" t="s">
        <v>53</v>
      </c>
      <c r="AN8339" t="s">
        <v>53</v>
      </c>
      <c r="AO8339" t="s">
        <v>53</v>
      </c>
      <c r="AP8339" t="s">
        <v>53</v>
      </c>
    </row>
    <row r="8340" spans="2:42" x14ac:dyDescent="0.2">
      <c r="B8340" t="s">
        <v>44</v>
      </c>
      <c r="C8340" t="str">
        <f>HYPERLINK("https://us2.cloudbeds.com/connect/8493803454333002#/reservations/9080486848484607?display=4ZBAZ33098&amp;reservation_id=9080486848484607", "4ZBAZ33098")</f>
        <v>4ZBAZ33098</v>
      </c>
      <c r="D8340" t="s">
        <v>45</v>
      </c>
      <c r="E8340" t="s">
        <v>98</v>
      </c>
      <c r="F8340" t="s">
        <v>86</v>
      </c>
      <c r="G8340" t="s">
        <v>48</v>
      </c>
      <c r="H8340" t="s">
        <v>49</v>
      </c>
      <c r="I8340" t="s">
        <v>62</v>
      </c>
      <c r="J8340" t="s">
        <v>13898</v>
      </c>
      <c r="K8340" t="s">
        <v>13038</v>
      </c>
      <c r="L8340" t="s">
        <v>53</v>
      </c>
      <c r="N8340" t="s">
        <v>15756</v>
      </c>
      <c r="P8340" t="s">
        <v>55</v>
      </c>
      <c r="R8340" t="s">
        <v>56</v>
      </c>
      <c r="T8340" t="s">
        <v>15757</v>
      </c>
      <c r="U8340" t="s">
        <v>55</v>
      </c>
      <c r="V8340">
        <v>3</v>
      </c>
      <c r="W8340">
        <v>1</v>
      </c>
      <c r="X8340">
        <v>2</v>
      </c>
      <c r="Y8340">
        <v>0</v>
      </c>
      <c r="Z8340">
        <v>2</v>
      </c>
      <c r="AA8340">
        <v>493.5</v>
      </c>
      <c r="AB8340">
        <v>493.5</v>
      </c>
      <c r="AC8340">
        <v>493.5</v>
      </c>
      <c r="AD8340">
        <v>0</v>
      </c>
      <c r="AE8340">
        <v>0</v>
      </c>
      <c r="AF8340">
        <v>0</v>
      </c>
      <c r="AG8340">
        <v>0</v>
      </c>
      <c r="AH8340">
        <v>0</v>
      </c>
      <c r="AI8340">
        <v>88.83</v>
      </c>
      <c r="AJ8340">
        <v>493.5</v>
      </c>
      <c r="AK8340">
        <v>0</v>
      </c>
      <c r="AL8340" t="s">
        <v>53</v>
      </c>
      <c r="AM8340" t="s">
        <v>53</v>
      </c>
      <c r="AN8340" t="s">
        <v>15758</v>
      </c>
      <c r="AO8340" t="s">
        <v>53</v>
      </c>
      <c r="AP8340" t="s">
        <v>53</v>
      </c>
    </row>
    <row r="8341" spans="2:42" x14ac:dyDescent="0.2">
      <c r="B8341" t="s">
        <v>44</v>
      </c>
      <c r="C8341" t="str">
        <f>HYPERLINK("https://us2.cloudbeds.com/connect/8493803454333002#/reservations/9080486848488467?display=4ZEGRNK7CD&amp;reservation_id=9080486848488467", "4ZEGRNK7CD")</f>
        <v>4ZEGRNK7CD</v>
      </c>
      <c r="D8341" t="s">
        <v>45</v>
      </c>
      <c r="E8341" t="s">
        <v>85</v>
      </c>
      <c r="F8341" t="s">
        <v>86</v>
      </c>
      <c r="G8341" t="s">
        <v>48</v>
      </c>
      <c r="H8341" t="s">
        <v>49</v>
      </c>
      <c r="I8341" t="s">
        <v>50</v>
      </c>
      <c r="J8341" t="s">
        <v>14655</v>
      </c>
      <c r="K8341" t="s">
        <v>14656</v>
      </c>
      <c r="L8341" t="s">
        <v>53</v>
      </c>
      <c r="N8341" t="s">
        <v>15759</v>
      </c>
      <c r="P8341" t="s">
        <v>55</v>
      </c>
      <c r="R8341" t="s">
        <v>53</v>
      </c>
      <c r="T8341" t="s">
        <v>15760</v>
      </c>
      <c r="U8341" t="s">
        <v>55</v>
      </c>
      <c r="V8341">
        <v>1</v>
      </c>
      <c r="W8341">
        <v>1</v>
      </c>
      <c r="X8341">
        <v>3</v>
      </c>
      <c r="Y8341">
        <v>0</v>
      </c>
      <c r="Z8341">
        <v>3</v>
      </c>
      <c r="AA8341">
        <v>177.09</v>
      </c>
      <c r="AB8341">
        <v>177.09</v>
      </c>
      <c r="AC8341">
        <v>162.84</v>
      </c>
      <c r="AD8341">
        <v>0</v>
      </c>
      <c r="AE8341">
        <v>14.25</v>
      </c>
      <c r="AF8341">
        <v>0</v>
      </c>
      <c r="AG8341">
        <v>0</v>
      </c>
      <c r="AH8341">
        <v>0</v>
      </c>
      <c r="AI8341">
        <v>31.88</v>
      </c>
      <c r="AJ8341">
        <v>177.09</v>
      </c>
      <c r="AK8341">
        <v>0</v>
      </c>
      <c r="AL8341" t="s">
        <v>53</v>
      </c>
      <c r="AM8341" t="s">
        <v>53</v>
      </c>
      <c r="AN8341" t="s">
        <v>53</v>
      </c>
      <c r="AO8341" t="s">
        <v>53</v>
      </c>
      <c r="AP8341" t="s">
        <v>53</v>
      </c>
    </row>
    <row r="8342" spans="2:42" x14ac:dyDescent="0.2">
      <c r="B8342" t="s">
        <v>44</v>
      </c>
      <c r="C8342" t="str">
        <f>HYPERLINK("https://us2.cloudbeds.com/connect/8493803454333002#/reservations/9080486848488685?display=4ZEYH0D3Q6&amp;reservation_id=9080486848488685", "4ZEYH0D3Q6")</f>
        <v>4ZEYH0D3Q6</v>
      </c>
      <c r="D8342" t="s">
        <v>45</v>
      </c>
      <c r="E8342" t="s">
        <v>138</v>
      </c>
      <c r="F8342" t="s">
        <v>70</v>
      </c>
      <c r="G8342" t="s">
        <v>48</v>
      </c>
      <c r="H8342" t="s">
        <v>49</v>
      </c>
      <c r="I8342" t="s">
        <v>50</v>
      </c>
      <c r="J8342" t="s">
        <v>14831</v>
      </c>
      <c r="K8342" t="s">
        <v>14498</v>
      </c>
      <c r="L8342" t="s">
        <v>53</v>
      </c>
      <c r="N8342" t="s">
        <v>15761</v>
      </c>
      <c r="P8342" t="s">
        <v>55</v>
      </c>
      <c r="R8342" t="s">
        <v>53</v>
      </c>
      <c r="T8342" t="s">
        <v>15762</v>
      </c>
      <c r="U8342" t="s">
        <v>55</v>
      </c>
      <c r="V8342">
        <v>1</v>
      </c>
      <c r="W8342">
        <v>1</v>
      </c>
      <c r="X8342">
        <v>1</v>
      </c>
      <c r="Y8342">
        <v>0</v>
      </c>
      <c r="Z8342">
        <v>1</v>
      </c>
      <c r="AA8342">
        <v>113.14</v>
      </c>
      <c r="AB8342">
        <v>113.14</v>
      </c>
      <c r="AC8342">
        <v>104.04</v>
      </c>
      <c r="AD8342">
        <v>0</v>
      </c>
      <c r="AE8342">
        <v>9.1</v>
      </c>
      <c r="AF8342">
        <v>0</v>
      </c>
      <c r="AG8342">
        <v>0</v>
      </c>
      <c r="AH8342">
        <v>0</v>
      </c>
      <c r="AI8342">
        <v>20.37</v>
      </c>
      <c r="AJ8342">
        <v>113.14</v>
      </c>
      <c r="AK8342">
        <v>0</v>
      </c>
      <c r="AL8342" t="s">
        <v>53</v>
      </c>
      <c r="AM8342" t="s">
        <v>53</v>
      </c>
      <c r="AN8342" t="s">
        <v>15763</v>
      </c>
      <c r="AO8342" t="s">
        <v>53</v>
      </c>
      <c r="AP8342" t="s">
        <v>53</v>
      </c>
    </row>
    <row r="8343" spans="2:42" x14ac:dyDescent="0.2">
      <c r="B8343" t="s">
        <v>44</v>
      </c>
      <c r="C8343" t="str">
        <f>HYPERLINK("https://us2.cloudbeds.com/connect/8493803454333002#/reservations/9080486848491258?display=4ZG21HY7AQ&amp;reservation_id=9080486848491258", "4ZG21HY7AQ")</f>
        <v>4ZG21HY7AQ</v>
      </c>
      <c r="D8343" t="s">
        <v>45</v>
      </c>
      <c r="E8343" t="s">
        <v>373</v>
      </c>
      <c r="F8343" t="s">
        <v>47</v>
      </c>
      <c r="G8343" t="s">
        <v>48</v>
      </c>
      <c r="H8343" t="s">
        <v>49</v>
      </c>
      <c r="I8343" t="s">
        <v>62</v>
      </c>
      <c r="J8343" t="s">
        <v>13898</v>
      </c>
      <c r="K8343" t="s">
        <v>13038</v>
      </c>
      <c r="L8343" t="s">
        <v>53</v>
      </c>
      <c r="N8343" t="s">
        <v>15764</v>
      </c>
      <c r="P8343" t="s">
        <v>55</v>
      </c>
      <c r="R8343" t="s">
        <v>56</v>
      </c>
      <c r="T8343" t="s">
        <v>15765</v>
      </c>
      <c r="U8343" t="s">
        <v>55</v>
      </c>
      <c r="V8343">
        <v>3</v>
      </c>
      <c r="W8343">
        <v>1</v>
      </c>
      <c r="X8343">
        <v>1</v>
      </c>
      <c r="Y8343">
        <v>0</v>
      </c>
      <c r="Z8343">
        <v>1</v>
      </c>
      <c r="AA8343">
        <v>347.55</v>
      </c>
      <c r="AB8343">
        <v>347.55</v>
      </c>
      <c r="AC8343">
        <v>347.55</v>
      </c>
      <c r="AD8343">
        <v>0</v>
      </c>
      <c r="AE8343">
        <v>0</v>
      </c>
      <c r="AF8343">
        <v>0</v>
      </c>
      <c r="AG8343">
        <v>0</v>
      </c>
      <c r="AH8343">
        <v>0</v>
      </c>
      <c r="AI8343">
        <v>62.56</v>
      </c>
      <c r="AJ8343">
        <v>347.55</v>
      </c>
      <c r="AK8343">
        <v>0</v>
      </c>
      <c r="AL8343" t="s">
        <v>53</v>
      </c>
      <c r="AM8343" t="s">
        <v>53</v>
      </c>
      <c r="AN8343" t="s">
        <v>53</v>
      </c>
      <c r="AO8343" t="s">
        <v>53</v>
      </c>
      <c r="AP8343" t="s">
        <v>53</v>
      </c>
    </row>
    <row r="8344" spans="2:42" x14ac:dyDescent="0.2">
      <c r="B8344" t="s">
        <v>44</v>
      </c>
      <c r="C8344" t="str">
        <f>HYPERLINK("https://us2.cloudbeds.com/connect/8493803454333002#/reservations/220094212698240?display=4ZG9Z8VBCY&amp;reservation_id=220094212698240", "4ZG9Z8VBCY")</f>
        <v>4ZG9Z8VBCY</v>
      </c>
      <c r="D8344" t="s">
        <v>45</v>
      </c>
      <c r="E8344" t="s">
        <v>128</v>
      </c>
      <c r="F8344" t="s">
        <v>86</v>
      </c>
      <c r="G8344" t="s">
        <v>48</v>
      </c>
      <c r="H8344" t="s">
        <v>3957</v>
      </c>
      <c r="I8344" t="s">
        <v>3975</v>
      </c>
      <c r="J8344" t="s">
        <v>14113</v>
      </c>
      <c r="K8344" t="s">
        <v>14768</v>
      </c>
      <c r="L8344" t="s">
        <v>53</v>
      </c>
      <c r="P8344" t="s">
        <v>55</v>
      </c>
      <c r="R8344" t="s">
        <v>56</v>
      </c>
      <c r="T8344" t="s">
        <v>15766</v>
      </c>
      <c r="U8344" t="s">
        <v>58</v>
      </c>
      <c r="V8344">
        <v>1</v>
      </c>
      <c r="W8344">
        <v>1</v>
      </c>
      <c r="X8344">
        <v>3</v>
      </c>
      <c r="Y8344">
        <v>0</v>
      </c>
      <c r="Z8344">
        <v>3</v>
      </c>
      <c r="AA8344">
        <v>104.34</v>
      </c>
      <c r="AB8344">
        <v>104.34</v>
      </c>
      <c r="AC8344">
        <v>91</v>
      </c>
      <c r="AD8344">
        <v>0</v>
      </c>
      <c r="AE8344">
        <v>13.34</v>
      </c>
      <c r="AF8344">
        <v>0</v>
      </c>
      <c r="AG8344">
        <v>0</v>
      </c>
      <c r="AH8344">
        <v>0</v>
      </c>
      <c r="AI8344">
        <v>0</v>
      </c>
      <c r="AJ8344">
        <v>104.34</v>
      </c>
      <c r="AK8344">
        <v>0</v>
      </c>
      <c r="AL8344" t="s">
        <v>53</v>
      </c>
      <c r="AM8344" t="s">
        <v>53</v>
      </c>
      <c r="AN8344" t="s">
        <v>53</v>
      </c>
      <c r="AO8344" t="s">
        <v>53</v>
      </c>
      <c r="AP8344" t="s">
        <v>53</v>
      </c>
    </row>
    <row r="8345" spans="2:42" x14ac:dyDescent="0.2">
      <c r="B8345" t="s">
        <v>44</v>
      </c>
      <c r="C8345" t="str">
        <f>HYPERLINK("https://us2.cloudbeds.com/connect/8493803454333002#/reservations/9080486848492691?display=4ZH2974TAM&amp;reservation_id=9080486848492691", "4ZH2974TAM")</f>
        <v>4ZH2974TAM</v>
      </c>
      <c r="D8345" t="s">
        <v>45</v>
      </c>
      <c r="E8345" t="s">
        <v>110</v>
      </c>
      <c r="F8345" t="s">
        <v>47</v>
      </c>
      <c r="G8345" t="s">
        <v>48</v>
      </c>
      <c r="H8345" t="s">
        <v>49</v>
      </c>
      <c r="I8345" t="s">
        <v>62</v>
      </c>
      <c r="J8345" t="s">
        <v>15256</v>
      </c>
      <c r="K8345" t="s">
        <v>13898</v>
      </c>
      <c r="L8345" t="s">
        <v>53</v>
      </c>
      <c r="N8345" t="s">
        <v>15767</v>
      </c>
      <c r="P8345" t="s">
        <v>55</v>
      </c>
      <c r="R8345" t="s">
        <v>56</v>
      </c>
      <c r="T8345" t="s">
        <v>15768</v>
      </c>
      <c r="U8345" t="s">
        <v>55</v>
      </c>
      <c r="V8345">
        <v>1</v>
      </c>
      <c r="W8345">
        <v>1</v>
      </c>
      <c r="X8345">
        <v>1</v>
      </c>
      <c r="Y8345">
        <v>0</v>
      </c>
      <c r="Z8345">
        <v>1</v>
      </c>
      <c r="AA8345">
        <v>84</v>
      </c>
      <c r="AB8345">
        <v>84</v>
      </c>
      <c r="AC8345">
        <v>84</v>
      </c>
      <c r="AD8345">
        <v>0</v>
      </c>
      <c r="AE8345">
        <v>0</v>
      </c>
      <c r="AF8345">
        <v>0</v>
      </c>
      <c r="AG8345">
        <v>0</v>
      </c>
      <c r="AH8345">
        <v>0</v>
      </c>
      <c r="AI8345">
        <v>15.12</v>
      </c>
      <c r="AJ8345">
        <v>84</v>
      </c>
      <c r="AK8345">
        <v>0</v>
      </c>
      <c r="AL8345" t="s">
        <v>53</v>
      </c>
      <c r="AM8345" t="s">
        <v>53</v>
      </c>
      <c r="AN8345" t="s">
        <v>53</v>
      </c>
      <c r="AO8345" t="s">
        <v>53</v>
      </c>
      <c r="AP8345" t="s">
        <v>53</v>
      </c>
    </row>
    <row r="8346" spans="2:42" x14ac:dyDescent="0.2">
      <c r="B8346" t="s">
        <v>44</v>
      </c>
      <c r="C8346" t="str">
        <f>HYPERLINK("https://us2.cloudbeds.com/connect/8493803454333002#/reservations/9080486848493307?display=4ZHYEMEFVW&amp;reservation_id=9080486848493307", "4ZHYEMEFVW")</f>
        <v>4ZHYEMEFVW</v>
      </c>
      <c r="D8346" t="s">
        <v>45</v>
      </c>
      <c r="E8346" t="s">
        <v>78</v>
      </c>
      <c r="F8346" t="s">
        <v>61</v>
      </c>
      <c r="G8346" t="s">
        <v>48</v>
      </c>
      <c r="H8346" t="s">
        <v>49</v>
      </c>
      <c r="I8346" t="s">
        <v>50</v>
      </c>
      <c r="J8346" t="s">
        <v>14113</v>
      </c>
      <c r="K8346" t="s">
        <v>14768</v>
      </c>
      <c r="L8346" t="s">
        <v>53</v>
      </c>
      <c r="N8346" t="s">
        <v>15769</v>
      </c>
      <c r="P8346" t="s">
        <v>55</v>
      </c>
      <c r="R8346" t="s">
        <v>53</v>
      </c>
      <c r="T8346" t="s">
        <v>15770</v>
      </c>
      <c r="U8346" t="s">
        <v>55</v>
      </c>
      <c r="V8346">
        <v>1</v>
      </c>
      <c r="W8346">
        <v>1</v>
      </c>
      <c r="X8346">
        <v>2</v>
      </c>
      <c r="Y8346">
        <v>0</v>
      </c>
      <c r="Z8346">
        <v>2</v>
      </c>
      <c r="AA8346">
        <v>62.93</v>
      </c>
      <c r="AB8346">
        <v>62.93</v>
      </c>
      <c r="AC8346">
        <v>57.86</v>
      </c>
      <c r="AD8346">
        <v>0</v>
      </c>
      <c r="AE8346">
        <v>5.07</v>
      </c>
      <c r="AF8346">
        <v>0</v>
      </c>
      <c r="AG8346">
        <v>0</v>
      </c>
      <c r="AH8346">
        <v>0</v>
      </c>
      <c r="AI8346">
        <v>11.33</v>
      </c>
      <c r="AJ8346">
        <v>62.93</v>
      </c>
      <c r="AK8346">
        <v>0</v>
      </c>
      <c r="AL8346" t="s">
        <v>53</v>
      </c>
      <c r="AM8346" t="s">
        <v>53</v>
      </c>
      <c r="AN8346" t="s">
        <v>53</v>
      </c>
      <c r="AO8346" t="s">
        <v>53</v>
      </c>
      <c r="AP8346" t="s">
        <v>53</v>
      </c>
    </row>
    <row r="8347" spans="2:42" x14ac:dyDescent="0.2">
      <c r="B8347" t="s">
        <v>44</v>
      </c>
      <c r="C8347" t="str">
        <f>HYPERLINK("https://us2.cloudbeds.com/connect/8493803454333002#/reservations/9080486848494097?display=4ZX91UDU7Z&amp;reservation_id=9080486848494097", "4ZX91UDU7Z")</f>
        <v>4ZX91UDU7Z</v>
      </c>
      <c r="D8347" t="s">
        <v>45</v>
      </c>
      <c r="E8347" t="s">
        <v>138</v>
      </c>
      <c r="F8347" t="s">
        <v>70</v>
      </c>
      <c r="G8347" t="s">
        <v>48</v>
      </c>
      <c r="H8347" t="s">
        <v>49</v>
      </c>
      <c r="I8347" t="s">
        <v>62</v>
      </c>
      <c r="J8347" t="s">
        <v>14113</v>
      </c>
      <c r="K8347" t="s">
        <v>14768</v>
      </c>
      <c r="L8347" t="s">
        <v>53</v>
      </c>
      <c r="N8347" t="s">
        <v>15771</v>
      </c>
      <c r="P8347" t="s">
        <v>55</v>
      </c>
      <c r="R8347" t="s">
        <v>56</v>
      </c>
      <c r="T8347" t="s">
        <v>15772</v>
      </c>
      <c r="U8347" t="s">
        <v>55</v>
      </c>
      <c r="V8347">
        <v>1</v>
      </c>
      <c r="W8347">
        <v>1</v>
      </c>
      <c r="X8347">
        <v>2</v>
      </c>
      <c r="Y8347">
        <v>0</v>
      </c>
      <c r="Z8347">
        <v>2</v>
      </c>
      <c r="AA8347">
        <v>78.75</v>
      </c>
      <c r="AB8347">
        <v>78.75</v>
      </c>
      <c r="AC8347">
        <v>78.75</v>
      </c>
      <c r="AD8347">
        <v>0</v>
      </c>
      <c r="AE8347">
        <v>0</v>
      </c>
      <c r="AF8347">
        <v>0</v>
      </c>
      <c r="AG8347">
        <v>0</v>
      </c>
      <c r="AH8347">
        <v>0</v>
      </c>
      <c r="AI8347">
        <v>14.18</v>
      </c>
      <c r="AJ8347">
        <v>78.75</v>
      </c>
      <c r="AK8347">
        <v>0</v>
      </c>
      <c r="AL8347" t="s">
        <v>53</v>
      </c>
      <c r="AM8347" t="s">
        <v>53</v>
      </c>
      <c r="AN8347" t="s">
        <v>53</v>
      </c>
      <c r="AO8347" t="s">
        <v>53</v>
      </c>
      <c r="AP8347" t="s">
        <v>53</v>
      </c>
    </row>
    <row r="8348" spans="2:42" x14ac:dyDescent="0.2">
      <c r="B8348" t="s">
        <v>44</v>
      </c>
      <c r="C8348" t="str">
        <f>HYPERLINK("https://us2.cloudbeds.com/connect/8493803454333002#/reservations/9080486848494176?display=4ZXBP2PJ7P&amp;reservation_id=9080486848494176", "4ZXBP2PJ7P")</f>
        <v>4ZXBP2PJ7P</v>
      </c>
      <c r="D8348" t="s">
        <v>45</v>
      </c>
      <c r="E8348" t="s">
        <v>69</v>
      </c>
      <c r="F8348" t="s">
        <v>70</v>
      </c>
      <c r="G8348" t="s">
        <v>48</v>
      </c>
      <c r="H8348" t="s">
        <v>49</v>
      </c>
      <c r="I8348" t="s">
        <v>50</v>
      </c>
      <c r="J8348" t="s">
        <v>14176</v>
      </c>
      <c r="K8348" t="s">
        <v>13038</v>
      </c>
      <c r="L8348" t="s">
        <v>53</v>
      </c>
      <c r="N8348" t="s">
        <v>15773</v>
      </c>
      <c r="P8348" t="s">
        <v>55</v>
      </c>
      <c r="R8348" t="s">
        <v>53</v>
      </c>
      <c r="T8348" t="s">
        <v>15774</v>
      </c>
      <c r="U8348" t="s">
        <v>55</v>
      </c>
      <c r="V8348">
        <v>1</v>
      </c>
      <c r="W8348">
        <v>1</v>
      </c>
      <c r="X8348">
        <v>2</v>
      </c>
      <c r="Y8348">
        <v>0</v>
      </c>
      <c r="Z8348">
        <v>2</v>
      </c>
      <c r="AA8348">
        <v>111.23</v>
      </c>
      <c r="AB8348">
        <v>111.23</v>
      </c>
      <c r="AC8348">
        <v>102.28</v>
      </c>
      <c r="AD8348">
        <v>0</v>
      </c>
      <c r="AE8348">
        <v>8.9499999999999993</v>
      </c>
      <c r="AF8348">
        <v>0</v>
      </c>
      <c r="AG8348">
        <v>0</v>
      </c>
      <c r="AH8348">
        <v>0</v>
      </c>
      <c r="AI8348">
        <v>20.02</v>
      </c>
      <c r="AJ8348">
        <v>111.23</v>
      </c>
      <c r="AK8348">
        <v>0</v>
      </c>
      <c r="AL8348" t="s">
        <v>53</v>
      </c>
      <c r="AM8348" t="s">
        <v>53</v>
      </c>
      <c r="AN8348" t="s">
        <v>53</v>
      </c>
      <c r="AO8348" t="s">
        <v>53</v>
      </c>
      <c r="AP8348" t="s">
        <v>53</v>
      </c>
    </row>
    <row r="8349" spans="2:42" x14ac:dyDescent="0.2">
      <c r="B8349" t="s">
        <v>44</v>
      </c>
      <c r="C8349" t="str">
        <f>HYPERLINK("https://us2.cloudbeds.com/connect/8493803454333002#/reservations/9080486848494347?display=4ZXG5TT5FG&amp;reservation_id=9080486848494347", "4ZXG5TT5FG")</f>
        <v>4ZXG5TT5FG</v>
      </c>
      <c r="D8349" t="s">
        <v>45</v>
      </c>
      <c r="E8349" t="s">
        <v>165</v>
      </c>
      <c r="F8349" t="s">
        <v>61</v>
      </c>
      <c r="G8349" t="s">
        <v>48</v>
      </c>
      <c r="H8349" t="s">
        <v>49</v>
      </c>
      <c r="I8349" t="s">
        <v>50</v>
      </c>
      <c r="J8349" t="s">
        <v>14206</v>
      </c>
      <c r="K8349" t="s">
        <v>13082</v>
      </c>
      <c r="L8349" t="s">
        <v>53</v>
      </c>
      <c r="N8349" t="s">
        <v>15775</v>
      </c>
      <c r="P8349" t="s">
        <v>55</v>
      </c>
      <c r="R8349" t="s">
        <v>53</v>
      </c>
      <c r="T8349" t="s">
        <v>15776</v>
      </c>
      <c r="U8349" t="s">
        <v>55</v>
      </c>
      <c r="V8349">
        <v>2</v>
      </c>
      <c r="W8349">
        <v>1</v>
      </c>
      <c r="X8349">
        <v>2</v>
      </c>
      <c r="Y8349">
        <v>0</v>
      </c>
      <c r="Z8349">
        <v>2</v>
      </c>
      <c r="AA8349">
        <v>550.57000000000005</v>
      </c>
      <c r="AB8349">
        <v>550.57000000000005</v>
      </c>
      <c r="AC8349">
        <v>506.27</v>
      </c>
      <c r="AD8349">
        <v>0</v>
      </c>
      <c r="AE8349">
        <v>44.3</v>
      </c>
      <c r="AF8349">
        <v>0</v>
      </c>
      <c r="AG8349">
        <v>0</v>
      </c>
      <c r="AH8349">
        <v>0</v>
      </c>
      <c r="AI8349">
        <v>99.1</v>
      </c>
      <c r="AJ8349">
        <v>550.57000000000005</v>
      </c>
      <c r="AK8349">
        <v>0</v>
      </c>
      <c r="AL8349" t="s">
        <v>53</v>
      </c>
      <c r="AM8349" t="s">
        <v>53</v>
      </c>
      <c r="AN8349" t="s">
        <v>53</v>
      </c>
      <c r="AO8349" t="s">
        <v>53</v>
      </c>
      <c r="AP8349" t="s">
        <v>53</v>
      </c>
    </row>
    <row r="8350" spans="2:42" x14ac:dyDescent="0.2">
      <c r="B8350" t="s">
        <v>44</v>
      </c>
      <c r="C8350" t="str">
        <f>HYPERLINK("https://us2.cloudbeds.com/connect/8493803454333002#/reservations/9080486848495383?display=4ZJEPRPQP3&amp;reservation_id=9080486848495383", "4ZJEPRPQP3")</f>
        <v>4ZJEPRPQP3</v>
      </c>
      <c r="D8350" t="s">
        <v>45</v>
      </c>
      <c r="E8350" t="s">
        <v>265</v>
      </c>
      <c r="F8350" t="s">
        <v>61</v>
      </c>
      <c r="G8350" t="s">
        <v>48</v>
      </c>
      <c r="H8350" t="s">
        <v>49</v>
      </c>
      <c r="I8350" t="s">
        <v>50</v>
      </c>
      <c r="J8350" t="s">
        <v>14176</v>
      </c>
      <c r="K8350" t="s">
        <v>13038</v>
      </c>
      <c r="L8350" t="s">
        <v>53</v>
      </c>
      <c r="N8350" t="s">
        <v>15777</v>
      </c>
      <c r="P8350" t="s">
        <v>55</v>
      </c>
      <c r="R8350" t="s">
        <v>53</v>
      </c>
      <c r="T8350" t="s">
        <v>15778</v>
      </c>
      <c r="U8350" t="s">
        <v>55</v>
      </c>
      <c r="V8350">
        <v>1</v>
      </c>
      <c r="W8350">
        <v>1</v>
      </c>
      <c r="X8350">
        <v>1</v>
      </c>
      <c r="Y8350">
        <v>0</v>
      </c>
      <c r="Z8350">
        <v>1</v>
      </c>
      <c r="AA8350">
        <v>148.32</v>
      </c>
      <c r="AB8350">
        <v>148.32</v>
      </c>
      <c r="AC8350">
        <v>136.38999999999999</v>
      </c>
      <c r="AD8350">
        <v>0</v>
      </c>
      <c r="AE8350">
        <v>11.93</v>
      </c>
      <c r="AF8350">
        <v>0</v>
      </c>
      <c r="AG8350">
        <v>0</v>
      </c>
      <c r="AH8350">
        <v>0</v>
      </c>
      <c r="AI8350">
        <v>26.7</v>
      </c>
      <c r="AJ8350">
        <v>148.32</v>
      </c>
      <c r="AK8350">
        <v>0</v>
      </c>
      <c r="AL8350" t="s">
        <v>53</v>
      </c>
      <c r="AM8350" t="s">
        <v>53</v>
      </c>
      <c r="AN8350" t="s">
        <v>15779</v>
      </c>
      <c r="AO8350" t="s">
        <v>53</v>
      </c>
      <c r="AP8350" t="s">
        <v>53</v>
      </c>
    </row>
    <row r="8351" spans="2:42" x14ac:dyDescent="0.2">
      <c r="B8351" t="s">
        <v>44</v>
      </c>
      <c r="C8351" t="str">
        <f>HYPERLINK("https://us2.cloudbeds.com/connect/8493803454333002#/reservations/220450810286208?display=4ZZYS5GQXQ&amp;reservation_id=220450810286208", "4ZZYS5GQXQ")</f>
        <v>4ZZYS5GQXQ</v>
      </c>
      <c r="D8351" t="s">
        <v>45</v>
      </c>
      <c r="E8351" t="s">
        <v>105</v>
      </c>
      <c r="F8351" t="s">
        <v>47</v>
      </c>
      <c r="G8351" t="s">
        <v>48</v>
      </c>
      <c r="H8351" t="s">
        <v>3957</v>
      </c>
      <c r="I8351" t="s">
        <v>3958</v>
      </c>
      <c r="J8351" t="s">
        <v>14768</v>
      </c>
      <c r="K8351" t="s">
        <v>15256</v>
      </c>
      <c r="L8351" t="s">
        <v>53</v>
      </c>
      <c r="P8351" t="s">
        <v>55</v>
      </c>
      <c r="R8351" t="s">
        <v>56</v>
      </c>
      <c r="T8351" t="s">
        <v>15780</v>
      </c>
      <c r="U8351" t="s">
        <v>58</v>
      </c>
      <c r="V8351">
        <v>1</v>
      </c>
      <c r="W8351">
        <v>1</v>
      </c>
      <c r="X8351">
        <v>1</v>
      </c>
      <c r="Y8351">
        <v>0</v>
      </c>
      <c r="Z8351">
        <v>1</v>
      </c>
      <c r="AA8351">
        <v>91.72</v>
      </c>
      <c r="AB8351">
        <v>91.72</v>
      </c>
      <c r="AC8351">
        <v>80</v>
      </c>
      <c r="AD8351">
        <v>0</v>
      </c>
      <c r="AE8351">
        <v>11.72</v>
      </c>
      <c r="AF8351">
        <v>0</v>
      </c>
      <c r="AG8351">
        <v>0</v>
      </c>
      <c r="AH8351">
        <v>0</v>
      </c>
      <c r="AI8351">
        <v>0</v>
      </c>
      <c r="AJ8351">
        <v>91.72</v>
      </c>
      <c r="AK8351">
        <v>0</v>
      </c>
      <c r="AL8351" t="s">
        <v>53</v>
      </c>
      <c r="AM8351" t="s">
        <v>53</v>
      </c>
      <c r="AN8351" t="s">
        <v>53</v>
      </c>
      <c r="AO8351" t="s">
        <v>53</v>
      </c>
      <c r="AP8351" t="s">
        <v>53</v>
      </c>
    </row>
    <row r="8352" spans="2:42" x14ac:dyDescent="0.2">
      <c r="B8352" t="s">
        <v>44</v>
      </c>
      <c r="C8352" t="str">
        <f>HYPERLINK("https://us2.cloudbeds.com/connect/8493803454333002#/reservations/220482960871552?display=4ZPDZMZF9W&amp;reservation_id=220482960871552", "4ZPDZMZF9W")</f>
        <v>4ZPDZMZF9W</v>
      </c>
      <c r="D8352" t="s">
        <v>45</v>
      </c>
      <c r="E8352" t="s">
        <v>190</v>
      </c>
      <c r="F8352" t="s">
        <v>61</v>
      </c>
      <c r="G8352" t="s">
        <v>48</v>
      </c>
      <c r="H8352" t="s">
        <v>3957</v>
      </c>
      <c r="I8352" t="s">
        <v>3958</v>
      </c>
      <c r="J8352" t="s">
        <v>14768</v>
      </c>
      <c r="K8352" t="s">
        <v>15256</v>
      </c>
      <c r="L8352" t="s">
        <v>53</v>
      </c>
      <c r="P8352" t="s">
        <v>55</v>
      </c>
      <c r="R8352" t="s">
        <v>56</v>
      </c>
      <c r="T8352" t="s">
        <v>15781</v>
      </c>
      <c r="U8352" t="s">
        <v>58</v>
      </c>
      <c r="V8352">
        <v>1</v>
      </c>
      <c r="W8352">
        <v>1</v>
      </c>
      <c r="X8352">
        <v>1</v>
      </c>
      <c r="Y8352">
        <v>0</v>
      </c>
      <c r="Z8352">
        <v>1</v>
      </c>
      <c r="AA8352">
        <v>96.31</v>
      </c>
      <c r="AB8352">
        <v>96.31</v>
      </c>
      <c r="AC8352">
        <v>84</v>
      </c>
      <c r="AD8352">
        <v>0</v>
      </c>
      <c r="AE8352">
        <v>12.31</v>
      </c>
      <c r="AF8352">
        <v>0</v>
      </c>
      <c r="AG8352">
        <v>0</v>
      </c>
      <c r="AH8352">
        <v>0</v>
      </c>
      <c r="AI8352">
        <v>0</v>
      </c>
      <c r="AJ8352">
        <v>96.31</v>
      </c>
      <c r="AK8352">
        <v>0</v>
      </c>
      <c r="AL8352" t="s">
        <v>53</v>
      </c>
      <c r="AM8352" t="s">
        <v>53</v>
      </c>
      <c r="AN8352" t="s">
        <v>53</v>
      </c>
      <c r="AO8352" t="s">
        <v>53</v>
      </c>
      <c r="AP8352" t="s">
        <v>53</v>
      </c>
    </row>
    <row r="8353" spans="2:42" x14ac:dyDescent="0.2">
      <c r="B8353" t="s">
        <v>44</v>
      </c>
      <c r="C8353" t="str">
        <f>HYPERLINK("https://us2.cloudbeds.com/connect/8493803454333002#/reservations/220484474658944?display=4ZPEUC68XJ&amp;reservation_id=220484474658944", "4ZPEUC68XJ")</f>
        <v>4ZPEUC68XJ</v>
      </c>
      <c r="D8353" t="s">
        <v>45</v>
      </c>
      <c r="E8353" t="s">
        <v>213</v>
      </c>
      <c r="F8353" t="s">
        <v>86</v>
      </c>
      <c r="G8353" t="s">
        <v>48</v>
      </c>
      <c r="H8353" t="s">
        <v>3957</v>
      </c>
      <c r="I8353" t="s">
        <v>3975</v>
      </c>
      <c r="J8353" t="s">
        <v>13849</v>
      </c>
      <c r="K8353" t="s">
        <v>14205</v>
      </c>
      <c r="L8353" t="s">
        <v>53</v>
      </c>
      <c r="P8353" t="s">
        <v>55</v>
      </c>
      <c r="R8353" t="s">
        <v>56</v>
      </c>
      <c r="T8353" t="s">
        <v>15782</v>
      </c>
      <c r="U8353" t="s">
        <v>58</v>
      </c>
      <c r="V8353">
        <v>1</v>
      </c>
      <c r="W8353">
        <v>1</v>
      </c>
      <c r="X8353">
        <v>3</v>
      </c>
      <c r="Y8353">
        <v>0</v>
      </c>
      <c r="Z8353">
        <v>3</v>
      </c>
      <c r="AA8353">
        <v>0</v>
      </c>
      <c r="AB8353">
        <v>160.51</v>
      </c>
      <c r="AC8353">
        <v>140</v>
      </c>
      <c r="AD8353">
        <v>0</v>
      </c>
      <c r="AE8353">
        <v>20.51</v>
      </c>
      <c r="AF8353">
        <v>0</v>
      </c>
      <c r="AG8353">
        <v>0</v>
      </c>
      <c r="AH8353">
        <v>0</v>
      </c>
      <c r="AI8353">
        <v>0</v>
      </c>
      <c r="AJ8353">
        <v>160.51</v>
      </c>
      <c r="AK8353">
        <v>0</v>
      </c>
      <c r="AL8353" t="s">
        <v>53</v>
      </c>
      <c r="AM8353" t="s">
        <v>53</v>
      </c>
      <c r="AN8353" t="s">
        <v>15783</v>
      </c>
      <c r="AO8353" t="s">
        <v>53</v>
      </c>
      <c r="AP8353" t="s">
        <v>53</v>
      </c>
    </row>
    <row r="8354" spans="2:42" x14ac:dyDescent="0.2">
      <c r="B8354" t="s">
        <v>44</v>
      </c>
      <c r="C8354" t="str">
        <f>HYPERLINK("https://us2.cloudbeds.com/connect/8493803454333002#/reservations/220489264652480?display=4ZPXKP87XB&amp;reservation_id=220489264652480", "4ZPXKP87XB")</f>
        <v>4ZPXKP87XB</v>
      </c>
      <c r="D8354" t="s">
        <v>45</v>
      </c>
      <c r="E8354" t="s">
        <v>113</v>
      </c>
      <c r="F8354" t="s">
        <v>61</v>
      </c>
      <c r="G8354" t="s">
        <v>48</v>
      </c>
      <c r="H8354" t="s">
        <v>3957</v>
      </c>
      <c r="I8354" t="s">
        <v>3975</v>
      </c>
      <c r="J8354" t="s">
        <v>14768</v>
      </c>
      <c r="K8354" t="s">
        <v>15256</v>
      </c>
      <c r="L8354" t="s">
        <v>53</v>
      </c>
      <c r="P8354" t="s">
        <v>55</v>
      </c>
      <c r="R8354" t="s">
        <v>56</v>
      </c>
      <c r="T8354" t="s">
        <v>15784</v>
      </c>
      <c r="U8354" t="s">
        <v>58</v>
      </c>
      <c r="V8354">
        <v>1</v>
      </c>
      <c r="W8354">
        <v>1</v>
      </c>
      <c r="X8354">
        <v>2</v>
      </c>
      <c r="Y8354">
        <v>0</v>
      </c>
      <c r="Z8354">
        <v>2</v>
      </c>
      <c r="AA8354">
        <v>96.31</v>
      </c>
      <c r="AB8354">
        <v>96.31</v>
      </c>
      <c r="AC8354">
        <v>84</v>
      </c>
      <c r="AD8354">
        <v>0</v>
      </c>
      <c r="AE8354">
        <v>12.31</v>
      </c>
      <c r="AF8354">
        <v>0</v>
      </c>
      <c r="AG8354">
        <v>0</v>
      </c>
      <c r="AH8354">
        <v>0</v>
      </c>
      <c r="AI8354">
        <v>0</v>
      </c>
      <c r="AJ8354">
        <v>96.31</v>
      </c>
      <c r="AK8354">
        <v>0</v>
      </c>
      <c r="AL8354" t="s">
        <v>53</v>
      </c>
      <c r="AM8354" t="s">
        <v>53</v>
      </c>
      <c r="AN8354" t="s">
        <v>53</v>
      </c>
      <c r="AO8354" t="s">
        <v>53</v>
      </c>
      <c r="AP8354" t="s">
        <v>53</v>
      </c>
    </row>
    <row r="8355" spans="2:42" x14ac:dyDescent="0.2">
      <c r="B8355" t="s">
        <v>44</v>
      </c>
      <c r="C8355" t="str">
        <f>HYPERLINK("https://us2.cloudbeds.com/connect/8493803454333002#/reservations/220489992474752?display=4ZPJ6BVKD7&amp;reservation_id=220489992474752", "4ZPJ6BVKD7")</f>
        <v>4ZPJ6BVKD7</v>
      </c>
      <c r="D8355" t="s">
        <v>45</v>
      </c>
      <c r="E8355" t="s">
        <v>110</v>
      </c>
      <c r="F8355" t="s">
        <v>47</v>
      </c>
      <c r="G8355" t="s">
        <v>48</v>
      </c>
      <c r="H8355" t="s">
        <v>3957</v>
      </c>
      <c r="I8355" t="s">
        <v>3975</v>
      </c>
      <c r="J8355" t="s">
        <v>14768</v>
      </c>
      <c r="K8355" t="s">
        <v>15256</v>
      </c>
      <c r="L8355" t="s">
        <v>53</v>
      </c>
      <c r="P8355" t="s">
        <v>55</v>
      </c>
      <c r="R8355" t="s">
        <v>56</v>
      </c>
      <c r="T8355" t="s">
        <v>15785</v>
      </c>
      <c r="U8355" t="s">
        <v>58</v>
      </c>
      <c r="V8355">
        <v>1</v>
      </c>
      <c r="W8355">
        <v>1</v>
      </c>
      <c r="X8355">
        <v>2</v>
      </c>
      <c r="Y8355">
        <v>0</v>
      </c>
      <c r="Z8355">
        <v>2</v>
      </c>
      <c r="AA8355">
        <v>91.72</v>
      </c>
      <c r="AB8355">
        <v>91.72</v>
      </c>
      <c r="AC8355">
        <v>80</v>
      </c>
      <c r="AD8355">
        <v>0</v>
      </c>
      <c r="AE8355">
        <v>11.72</v>
      </c>
      <c r="AF8355">
        <v>0</v>
      </c>
      <c r="AG8355">
        <v>0</v>
      </c>
      <c r="AH8355">
        <v>0</v>
      </c>
      <c r="AI8355">
        <v>0</v>
      </c>
      <c r="AJ8355">
        <v>91.72</v>
      </c>
      <c r="AK8355">
        <v>0</v>
      </c>
      <c r="AL8355" t="s">
        <v>53</v>
      </c>
      <c r="AM8355" t="s">
        <v>53</v>
      </c>
      <c r="AN8355" t="s">
        <v>15786</v>
      </c>
      <c r="AO8355" t="s">
        <v>53</v>
      </c>
      <c r="AP8355" t="s">
        <v>53</v>
      </c>
    </row>
    <row r="8356" spans="2:42" x14ac:dyDescent="0.2">
      <c r="B8356" t="s">
        <v>44</v>
      </c>
      <c r="C8356" t="str">
        <f>HYPERLINK("https://us2.cloudbeds.com/connect/8493803454333002#/reservations/9080486848504529?display=4ZPKX9ZHC7&amp;reservation_id=9080486848504529", "4ZPKX9ZHC7")</f>
        <v>4ZPKX9ZHC7</v>
      </c>
      <c r="D8356" t="s">
        <v>45</v>
      </c>
      <c r="E8356" t="s">
        <v>213</v>
      </c>
      <c r="F8356" t="s">
        <v>86</v>
      </c>
      <c r="G8356" t="s">
        <v>48</v>
      </c>
      <c r="H8356" t="s">
        <v>49</v>
      </c>
      <c r="I8356" t="s">
        <v>50</v>
      </c>
      <c r="J8356" t="s">
        <v>13037</v>
      </c>
      <c r="K8356" t="s">
        <v>14176</v>
      </c>
      <c r="L8356" t="s">
        <v>53</v>
      </c>
      <c r="N8356" t="s">
        <v>15787</v>
      </c>
      <c r="P8356" t="s">
        <v>55</v>
      </c>
      <c r="R8356" t="s">
        <v>53</v>
      </c>
      <c r="T8356" t="s">
        <v>15788</v>
      </c>
      <c r="U8356" t="s">
        <v>55</v>
      </c>
      <c r="V8356">
        <v>1</v>
      </c>
      <c r="W8356">
        <v>1</v>
      </c>
      <c r="X8356">
        <v>2</v>
      </c>
      <c r="Y8356">
        <v>0</v>
      </c>
      <c r="Z8356">
        <v>2</v>
      </c>
      <c r="AA8356">
        <v>136.1</v>
      </c>
      <c r="AB8356">
        <v>136.1</v>
      </c>
      <c r="AC8356">
        <v>125.15</v>
      </c>
      <c r="AD8356">
        <v>0</v>
      </c>
      <c r="AE8356">
        <v>10.95</v>
      </c>
      <c r="AF8356">
        <v>0</v>
      </c>
      <c r="AG8356">
        <v>0</v>
      </c>
      <c r="AH8356">
        <v>0</v>
      </c>
      <c r="AI8356">
        <v>24.5</v>
      </c>
      <c r="AJ8356">
        <v>136.1</v>
      </c>
      <c r="AK8356">
        <v>0</v>
      </c>
      <c r="AL8356" t="s">
        <v>53</v>
      </c>
      <c r="AM8356" t="s">
        <v>53</v>
      </c>
      <c r="AN8356" t="s">
        <v>15789</v>
      </c>
      <c r="AO8356" t="s">
        <v>53</v>
      </c>
      <c r="AP8356" t="s">
        <v>53</v>
      </c>
    </row>
    <row r="8357" spans="2:42" x14ac:dyDescent="0.2">
      <c r="B8357" t="s">
        <v>44</v>
      </c>
      <c r="C8357" t="str">
        <f>HYPERLINK("https://us2.cloudbeds.com/connect/8493803454333002#/reservations/9080486848504886?display=4ZPVDD6NUN&amp;reservation_id=9080486848504886", "4ZPVDD6NUN")</f>
        <v>4ZPVDD6NUN</v>
      </c>
      <c r="D8357" t="s">
        <v>45</v>
      </c>
      <c r="E8357" t="s">
        <v>185</v>
      </c>
      <c r="F8357" t="s">
        <v>47</v>
      </c>
      <c r="G8357" t="s">
        <v>48</v>
      </c>
      <c r="H8357" t="s">
        <v>49</v>
      </c>
      <c r="I8357" t="s">
        <v>62</v>
      </c>
      <c r="J8357" t="s">
        <v>10579</v>
      </c>
      <c r="K8357" t="s">
        <v>14627</v>
      </c>
      <c r="L8357" t="s">
        <v>53</v>
      </c>
      <c r="N8357" t="s">
        <v>15790</v>
      </c>
      <c r="P8357" t="s">
        <v>55</v>
      </c>
      <c r="R8357" t="s">
        <v>56</v>
      </c>
      <c r="T8357" t="s">
        <v>15791</v>
      </c>
      <c r="U8357" t="s">
        <v>55</v>
      </c>
      <c r="V8357">
        <v>1</v>
      </c>
      <c r="W8357">
        <v>1</v>
      </c>
      <c r="X8357">
        <v>2</v>
      </c>
      <c r="Y8357">
        <v>0</v>
      </c>
      <c r="Z8357">
        <v>2</v>
      </c>
      <c r="AA8357">
        <v>79.8</v>
      </c>
      <c r="AB8357">
        <v>79.8</v>
      </c>
      <c r="AC8357">
        <v>79.8</v>
      </c>
      <c r="AD8357">
        <v>0</v>
      </c>
      <c r="AE8357">
        <v>0</v>
      </c>
      <c r="AF8357">
        <v>0</v>
      </c>
      <c r="AG8357">
        <v>0</v>
      </c>
      <c r="AH8357">
        <v>0</v>
      </c>
      <c r="AI8357">
        <v>14.36</v>
      </c>
      <c r="AJ8357">
        <v>79.8</v>
      </c>
      <c r="AK8357">
        <v>0</v>
      </c>
      <c r="AL8357" t="s">
        <v>53</v>
      </c>
      <c r="AM8357" t="s">
        <v>53</v>
      </c>
      <c r="AN8357" t="s">
        <v>15792</v>
      </c>
      <c r="AO8357" t="s">
        <v>53</v>
      </c>
      <c r="AP8357" t="s">
        <v>53</v>
      </c>
    </row>
    <row r="8358" spans="2:42" x14ac:dyDescent="0.2">
      <c r="B8358" t="s">
        <v>44</v>
      </c>
      <c r="C8358" t="str">
        <f>HYPERLINK("https://us2.cloudbeds.com/connect/8493803454333002#/reservations/9080486848505373?display=4ZQBQ2SEBE&amp;reservation_id=9080486848505373", "4ZQBQ2SEBE")</f>
        <v>4ZQBQ2SEBE</v>
      </c>
      <c r="D8358" t="s">
        <v>45</v>
      </c>
      <c r="E8358" t="s">
        <v>179</v>
      </c>
      <c r="F8358" t="s">
        <v>47</v>
      </c>
      <c r="G8358" t="s">
        <v>48</v>
      </c>
      <c r="H8358" t="s">
        <v>49</v>
      </c>
      <c r="I8358" t="s">
        <v>50</v>
      </c>
      <c r="J8358" t="s">
        <v>14768</v>
      </c>
      <c r="K8358" t="s">
        <v>15256</v>
      </c>
      <c r="L8358" t="s">
        <v>53</v>
      </c>
      <c r="N8358" t="s">
        <v>15793</v>
      </c>
      <c r="P8358" t="s">
        <v>55</v>
      </c>
      <c r="R8358" t="s">
        <v>53</v>
      </c>
      <c r="T8358" t="s">
        <v>15794</v>
      </c>
      <c r="U8358" t="s">
        <v>55</v>
      </c>
      <c r="V8358">
        <v>1</v>
      </c>
      <c r="W8358">
        <v>1</v>
      </c>
      <c r="X8358">
        <v>1</v>
      </c>
      <c r="Y8358">
        <v>0</v>
      </c>
      <c r="Z8358">
        <v>1</v>
      </c>
      <c r="AA8358">
        <v>59.92</v>
      </c>
      <c r="AB8358">
        <v>59.92</v>
      </c>
      <c r="AC8358">
        <v>55.1</v>
      </c>
      <c r="AD8358">
        <v>0</v>
      </c>
      <c r="AE8358">
        <v>4.82</v>
      </c>
      <c r="AF8358">
        <v>0</v>
      </c>
      <c r="AG8358">
        <v>0</v>
      </c>
      <c r="AH8358">
        <v>0</v>
      </c>
      <c r="AI8358">
        <v>10.79</v>
      </c>
      <c r="AJ8358">
        <v>59.92</v>
      </c>
      <c r="AK8358">
        <v>0</v>
      </c>
      <c r="AL8358" t="s">
        <v>53</v>
      </c>
      <c r="AM8358" t="s">
        <v>53</v>
      </c>
      <c r="AN8358" t="s">
        <v>15795</v>
      </c>
      <c r="AO8358" t="s">
        <v>53</v>
      </c>
      <c r="AP8358" t="s">
        <v>53</v>
      </c>
    </row>
    <row r="8359" spans="2:42" x14ac:dyDescent="0.2">
      <c r="B8359" t="s">
        <v>44</v>
      </c>
      <c r="C8359" t="str">
        <f>HYPERLINK("https://us2.cloudbeds.com/connect/8493803454333002#/reservations/9080486848505774?display=4ZQMCMAAT2&amp;reservation_id=9080486848505774", "4ZQMCMAAT2")</f>
        <v>4ZQMCMAAT2</v>
      </c>
      <c r="D8359" t="s">
        <v>45</v>
      </c>
      <c r="E8359" t="s">
        <v>85</v>
      </c>
      <c r="F8359" t="s">
        <v>86</v>
      </c>
      <c r="G8359" t="s">
        <v>48</v>
      </c>
      <c r="H8359" t="s">
        <v>49</v>
      </c>
      <c r="I8359" t="s">
        <v>50</v>
      </c>
      <c r="J8359" t="s">
        <v>15256</v>
      </c>
      <c r="K8359" t="s">
        <v>13898</v>
      </c>
      <c r="L8359" t="s">
        <v>53</v>
      </c>
      <c r="N8359" t="s">
        <v>15796</v>
      </c>
      <c r="P8359" t="s">
        <v>55</v>
      </c>
      <c r="R8359" t="s">
        <v>53</v>
      </c>
      <c r="T8359" t="s">
        <v>15797</v>
      </c>
      <c r="U8359" t="s">
        <v>55</v>
      </c>
      <c r="V8359">
        <v>1</v>
      </c>
      <c r="W8359">
        <v>1</v>
      </c>
      <c r="X8359">
        <v>2</v>
      </c>
      <c r="Y8359">
        <v>0</v>
      </c>
      <c r="Z8359">
        <v>2</v>
      </c>
      <c r="AA8359">
        <v>65.19</v>
      </c>
      <c r="AB8359">
        <v>65.19</v>
      </c>
      <c r="AC8359">
        <v>59.94</v>
      </c>
      <c r="AD8359">
        <v>0</v>
      </c>
      <c r="AE8359">
        <v>5.25</v>
      </c>
      <c r="AF8359">
        <v>0</v>
      </c>
      <c r="AG8359">
        <v>0</v>
      </c>
      <c r="AH8359">
        <v>0</v>
      </c>
      <c r="AI8359">
        <v>11.73</v>
      </c>
      <c r="AJ8359">
        <v>65.19</v>
      </c>
      <c r="AK8359">
        <v>0</v>
      </c>
      <c r="AL8359" t="s">
        <v>53</v>
      </c>
      <c r="AM8359" t="s">
        <v>53</v>
      </c>
      <c r="AN8359" t="s">
        <v>53</v>
      </c>
      <c r="AO8359" t="s">
        <v>53</v>
      </c>
      <c r="AP8359" t="s">
        <v>53</v>
      </c>
    </row>
    <row r="8360" spans="2:42" x14ac:dyDescent="0.2">
      <c r="B8360" t="s">
        <v>44</v>
      </c>
      <c r="C8360" t="str">
        <f>HYPERLINK("https://us2.cloudbeds.com/connect/8493803454333002#/reservations/9080486848507122?display=4ZRVQ4B2FG&amp;reservation_id=9080486848507122", "4ZRVQ4B2FG")</f>
        <v>4ZRVQ4B2FG</v>
      </c>
      <c r="D8360" t="s">
        <v>45</v>
      </c>
      <c r="E8360" t="s">
        <v>105</v>
      </c>
      <c r="F8360" t="s">
        <v>47</v>
      </c>
      <c r="G8360" t="s">
        <v>48</v>
      </c>
      <c r="H8360" t="s">
        <v>49</v>
      </c>
      <c r="I8360" t="s">
        <v>50</v>
      </c>
      <c r="J8360" t="s">
        <v>15256</v>
      </c>
      <c r="K8360" t="s">
        <v>13898</v>
      </c>
      <c r="L8360" t="s">
        <v>53</v>
      </c>
      <c r="N8360" t="s">
        <v>15798</v>
      </c>
      <c r="P8360" t="s">
        <v>55</v>
      </c>
      <c r="R8360" t="s">
        <v>53</v>
      </c>
      <c r="T8360" t="s">
        <v>15799</v>
      </c>
      <c r="U8360" t="s">
        <v>55</v>
      </c>
      <c r="V8360">
        <v>1</v>
      </c>
      <c r="W8360">
        <v>1</v>
      </c>
      <c r="X8360">
        <v>1</v>
      </c>
      <c r="Y8360">
        <v>0</v>
      </c>
      <c r="Z8360">
        <v>1</v>
      </c>
      <c r="AA8360">
        <v>57.3</v>
      </c>
      <c r="AB8360">
        <v>57.3</v>
      </c>
      <c r="AC8360">
        <v>52.69</v>
      </c>
      <c r="AD8360">
        <v>0</v>
      </c>
      <c r="AE8360">
        <v>4.6100000000000003</v>
      </c>
      <c r="AF8360">
        <v>0</v>
      </c>
      <c r="AG8360">
        <v>0</v>
      </c>
      <c r="AH8360">
        <v>0</v>
      </c>
      <c r="AI8360">
        <v>10.31</v>
      </c>
      <c r="AJ8360">
        <v>57.3</v>
      </c>
      <c r="AK8360">
        <v>0</v>
      </c>
      <c r="AL8360" t="s">
        <v>53</v>
      </c>
      <c r="AM8360" t="s">
        <v>53</v>
      </c>
      <c r="AN8360" t="s">
        <v>53</v>
      </c>
      <c r="AO8360" t="s">
        <v>53</v>
      </c>
      <c r="AP8360" t="s">
        <v>53</v>
      </c>
    </row>
    <row r="8361" spans="2:42" x14ac:dyDescent="0.2">
      <c r="B8361" t="s">
        <v>44</v>
      </c>
      <c r="C8361" t="str">
        <f>HYPERLINK("https://us2.cloudbeds.com/connect/8493803454333002#/reservations/9080486848511509?display=4ZVX4683DH&amp;reservation_id=9080486848511509", "4ZVX4683DH")</f>
        <v>4ZVX4683DH</v>
      </c>
      <c r="D8361" t="s">
        <v>45</v>
      </c>
      <c r="E8361" t="s">
        <v>381</v>
      </c>
      <c r="F8361" t="s">
        <v>47</v>
      </c>
      <c r="G8361" t="s">
        <v>48</v>
      </c>
      <c r="H8361" t="s">
        <v>49</v>
      </c>
      <c r="I8361" t="s">
        <v>50</v>
      </c>
      <c r="J8361" t="s">
        <v>13898</v>
      </c>
      <c r="K8361" t="s">
        <v>14176</v>
      </c>
      <c r="L8361" t="s">
        <v>53</v>
      </c>
      <c r="N8361" t="s">
        <v>15800</v>
      </c>
      <c r="P8361" t="s">
        <v>55</v>
      </c>
      <c r="R8361" t="s">
        <v>53</v>
      </c>
      <c r="T8361" t="s">
        <v>15801</v>
      </c>
      <c r="U8361" t="s">
        <v>55</v>
      </c>
      <c r="V8361">
        <v>2</v>
      </c>
      <c r="W8361">
        <v>1</v>
      </c>
      <c r="X8361">
        <v>2</v>
      </c>
      <c r="Y8361">
        <v>0</v>
      </c>
      <c r="Z8361">
        <v>2</v>
      </c>
      <c r="AA8361">
        <v>167.13</v>
      </c>
      <c r="AB8361">
        <v>167.13</v>
      </c>
      <c r="AC8361">
        <v>153.69</v>
      </c>
      <c r="AD8361">
        <v>0</v>
      </c>
      <c r="AE8361">
        <v>13.44</v>
      </c>
      <c r="AF8361">
        <v>0</v>
      </c>
      <c r="AG8361">
        <v>0</v>
      </c>
      <c r="AH8361">
        <v>0</v>
      </c>
      <c r="AI8361">
        <v>30.08</v>
      </c>
      <c r="AJ8361">
        <v>167.13</v>
      </c>
      <c r="AK8361">
        <v>0</v>
      </c>
      <c r="AL8361" t="s">
        <v>53</v>
      </c>
      <c r="AM8361" t="s">
        <v>53</v>
      </c>
      <c r="AN8361" t="s">
        <v>53</v>
      </c>
      <c r="AO8361" t="s">
        <v>53</v>
      </c>
      <c r="AP8361" t="s">
        <v>53</v>
      </c>
    </row>
    <row r="8362" spans="2:42" x14ac:dyDescent="0.2">
      <c r="B8362" t="s">
        <v>44</v>
      </c>
      <c r="C8362" t="str">
        <f>HYPERLINK("https://us2.cloudbeds.com/connect/8493803454333002#/reservations/220753903870144?display=4ZVPHU1TWV&amp;reservation_id=220753903870144", "4ZVPHU1TWV")</f>
        <v>4ZVPHU1TWV</v>
      </c>
      <c r="D8362" t="s">
        <v>45</v>
      </c>
      <c r="E8362" t="s">
        <v>185</v>
      </c>
      <c r="F8362" t="s">
        <v>47</v>
      </c>
      <c r="G8362" t="s">
        <v>13757</v>
      </c>
      <c r="H8362" t="s">
        <v>3957</v>
      </c>
      <c r="I8362" t="s">
        <v>3958</v>
      </c>
      <c r="J8362" t="s">
        <v>14847</v>
      </c>
      <c r="K8362" t="s">
        <v>14153</v>
      </c>
      <c r="L8362" t="s">
        <v>53</v>
      </c>
      <c r="P8362" t="s">
        <v>55</v>
      </c>
      <c r="R8362" t="s">
        <v>56</v>
      </c>
      <c r="T8362" t="s">
        <v>15802</v>
      </c>
      <c r="U8362" t="s">
        <v>58</v>
      </c>
      <c r="V8362">
        <v>3</v>
      </c>
      <c r="W8362">
        <v>1</v>
      </c>
      <c r="X8362">
        <v>1</v>
      </c>
      <c r="Y8362">
        <v>0</v>
      </c>
      <c r="Z8362">
        <v>1</v>
      </c>
      <c r="AA8362">
        <v>606.72</v>
      </c>
      <c r="AB8362">
        <v>606.72</v>
      </c>
      <c r="AC8362">
        <v>529.20000000000005</v>
      </c>
      <c r="AD8362">
        <v>0</v>
      </c>
      <c r="AE8362">
        <v>77.52</v>
      </c>
      <c r="AF8362">
        <v>0</v>
      </c>
      <c r="AG8362">
        <v>0</v>
      </c>
      <c r="AH8362">
        <v>0</v>
      </c>
      <c r="AI8362">
        <v>0</v>
      </c>
      <c r="AJ8362">
        <v>606.72</v>
      </c>
      <c r="AK8362">
        <v>0</v>
      </c>
      <c r="AL8362" t="s">
        <v>53</v>
      </c>
      <c r="AM8362" t="s">
        <v>53</v>
      </c>
      <c r="AN8362" t="s">
        <v>53</v>
      </c>
      <c r="AO8362" t="s">
        <v>53</v>
      </c>
      <c r="AP8362" t="s">
        <v>53</v>
      </c>
    </row>
    <row r="8363" spans="2:42" x14ac:dyDescent="0.2">
      <c r="B8363" t="s">
        <v>44</v>
      </c>
      <c r="C8363" t="str">
        <f>HYPERLINK("https://us2.cloudbeds.com/connect/8493803454333002#/reservations/9080486848513108?display=4ZWXZ8F1AP&amp;reservation_id=9080486848513108", "4ZWXZ8F1AP")</f>
        <v>4ZWXZ8F1AP</v>
      </c>
      <c r="D8363" t="s">
        <v>45</v>
      </c>
      <c r="E8363" t="s">
        <v>46</v>
      </c>
      <c r="F8363" t="s">
        <v>47</v>
      </c>
      <c r="G8363" t="s">
        <v>48</v>
      </c>
      <c r="H8363" t="s">
        <v>49</v>
      </c>
      <c r="I8363" t="s">
        <v>50</v>
      </c>
      <c r="J8363" t="s">
        <v>13037</v>
      </c>
      <c r="K8363" t="s">
        <v>9130</v>
      </c>
      <c r="L8363" t="s">
        <v>53</v>
      </c>
      <c r="N8363" t="s">
        <v>15803</v>
      </c>
      <c r="P8363" t="s">
        <v>55</v>
      </c>
      <c r="R8363" t="s">
        <v>53</v>
      </c>
      <c r="T8363" t="s">
        <v>15804</v>
      </c>
      <c r="U8363" t="s">
        <v>55</v>
      </c>
      <c r="V8363">
        <v>4</v>
      </c>
      <c r="W8363">
        <v>1</v>
      </c>
      <c r="X8363">
        <v>1</v>
      </c>
      <c r="Y8363">
        <v>0</v>
      </c>
      <c r="Z8363">
        <v>1</v>
      </c>
      <c r="AA8363">
        <v>342.23</v>
      </c>
      <c r="AB8363">
        <v>342.23</v>
      </c>
      <c r="AC8363">
        <v>314.7</v>
      </c>
      <c r="AD8363">
        <v>0</v>
      </c>
      <c r="AE8363">
        <v>27.53</v>
      </c>
      <c r="AF8363">
        <v>0</v>
      </c>
      <c r="AG8363">
        <v>0</v>
      </c>
      <c r="AH8363">
        <v>0</v>
      </c>
      <c r="AI8363">
        <v>61.6</v>
      </c>
      <c r="AJ8363">
        <v>342.23</v>
      </c>
      <c r="AK8363">
        <v>0</v>
      </c>
      <c r="AL8363" t="s">
        <v>53</v>
      </c>
      <c r="AM8363" t="s">
        <v>53</v>
      </c>
      <c r="AN8363" t="s">
        <v>15805</v>
      </c>
      <c r="AO8363" t="s">
        <v>53</v>
      </c>
      <c r="AP8363" t="s">
        <v>53</v>
      </c>
    </row>
    <row r="8364" spans="2:42" x14ac:dyDescent="0.2">
      <c r="B8364" t="s">
        <v>44</v>
      </c>
      <c r="C8364" t="str">
        <f>HYPERLINK("https://us2.cloudbeds.com/connect/8493803454333002#/reservations/9080486848515255?display=4P143NJUMW&amp;reservation_id=9080486848515255", "4P143NJUMW")</f>
        <v>4P143NJUMW</v>
      </c>
      <c r="D8364" t="s">
        <v>45</v>
      </c>
      <c r="E8364" t="s">
        <v>185</v>
      </c>
      <c r="F8364" t="s">
        <v>47</v>
      </c>
      <c r="G8364" t="s">
        <v>48</v>
      </c>
      <c r="H8364" t="s">
        <v>49</v>
      </c>
      <c r="I8364" t="s">
        <v>50</v>
      </c>
      <c r="J8364" t="s">
        <v>15256</v>
      </c>
      <c r="K8364" t="s">
        <v>13898</v>
      </c>
      <c r="L8364" t="s">
        <v>53</v>
      </c>
      <c r="N8364" t="s">
        <v>15806</v>
      </c>
      <c r="P8364" t="s">
        <v>55</v>
      </c>
      <c r="R8364" t="s">
        <v>53</v>
      </c>
      <c r="T8364" t="s">
        <v>15807</v>
      </c>
      <c r="U8364" t="s">
        <v>55</v>
      </c>
      <c r="V8364">
        <v>1</v>
      </c>
      <c r="W8364">
        <v>1</v>
      </c>
      <c r="X8364">
        <v>2</v>
      </c>
      <c r="Y8364">
        <v>0</v>
      </c>
      <c r="Z8364">
        <v>2</v>
      </c>
      <c r="AA8364">
        <v>63.67</v>
      </c>
      <c r="AB8364">
        <v>63.67</v>
      </c>
      <c r="AC8364">
        <v>58.55</v>
      </c>
      <c r="AD8364">
        <v>0</v>
      </c>
      <c r="AE8364">
        <v>5.12</v>
      </c>
      <c r="AF8364">
        <v>0</v>
      </c>
      <c r="AG8364">
        <v>0</v>
      </c>
      <c r="AH8364">
        <v>0</v>
      </c>
      <c r="AI8364">
        <v>11.46</v>
      </c>
      <c r="AJ8364">
        <v>63.67</v>
      </c>
      <c r="AK8364">
        <v>0</v>
      </c>
      <c r="AL8364" t="s">
        <v>53</v>
      </c>
      <c r="AM8364" t="s">
        <v>53</v>
      </c>
      <c r="AN8364" t="s">
        <v>53</v>
      </c>
      <c r="AO8364" t="s">
        <v>53</v>
      </c>
      <c r="AP8364" t="s">
        <v>53</v>
      </c>
    </row>
    <row r="8365" spans="2:42" x14ac:dyDescent="0.2">
      <c r="B8365" t="s">
        <v>44</v>
      </c>
      <c r="C8365" t="str">
        <f>HYPERLINK("https://us2.cloudbeds.com/connect/8493803454333002#/reservations/9080486848515262?display=4P147R7FYH&amp;reservation_id=9080486848515262", "4P147R7FYH")</f>
        <v>4P147R7FYH</v>
      </c>
      <c r="D8365" t="s">
        <v>45</v>
      </c>
      <c r="E8365" t="s">
        <v>213</v>
      </c>
      <c r="F8365" t="s">
        <v>86</v>
      </c>
      <c r="G8365" t="s">
        <v>48</v>
      </c>
      <c r="H8365" t="s">
        <v>49</v>
      </c>
      <c r="I8365" t="s">
        <v>50</v>
      </c>
      <c r="J8365" t="s">
        <v>15256</v>
      </c>
      <c r="K8365" t="s">
        <v>13898</v>
      </c>
      <c r="L8365" t="s">
        <v>53</v>
      </c>
      <c r="N8365" t="s">
        <v>15808</v>
      </c>
      <c r="P8365" t="s">
        <v>55</v>
      </c>
      <c r="R8365" t="s">
        <v>53</v>
      </c>
      <c r="T8365" t="s">
        <v>15809</v>
      </c>
      <c r="U8365" t="s">
        <v>55</v>
      </c>
      <c r="V8365">
        <v>1</v>
      </c>
      <c r="W8365">
        <v>1</v>
      </c>
      <c r="X8365">
        <v>2</v>
      </c>
      <c r="Y8365">
        <v>0</v>
      </c>
      <c r="Z8365">
        <v>2</v>
      </c>
      <c r="AA8365">
        <v>72.430000000000007</v>
      </c>
      <c r="AB8365">
        <v>72.430000000000007</v>
      </c>
      <c r="AC8365">
        <v>66.599999999999994</v>
      </c>
      <c r="AD8365">
        <v>0</v>
      </c>
      <c r="AE8365">
        <v>5.83</v>
      </c>
      <c r="AF8365">
        <v>0</v>
      </c>
      <c r="AG8365">
        <v>0</v>
      </c>
      <c r="AH8365">
        <v>0</v>
      </c>
      <c r="AI8365">
        <v>13.04</v>
      </c>
      <c r="AJ8365">
        <v>72.430000000000007</v>
      </c>
      <c r="AK8365">
        <v>0</v>
      </c>
      <c r="AL8365" t="s">
        <v>53</v>
      </c>
      <c r="AM8365" t="s">
        <v>53</v>
      </c>
      <c r="AN8365" t="s">
        <v>53</v>
      </c>
      <c r="AO8365" t="s">
        <v>53</v>
      </c>
      <c r="AP8365" t="s">
        <v>53</v>
      </c>
    </row>
    <row r="8366" spans="2:42" x14ac:dyDescent="0.2">
      <c r="B8366" t="s">
        <v>44</v>
      </c>
      <c r="C8366" t="str">
        <f>HYPERLINK("https://us2.cloudbeds.com/connect/8493803454333002#/reservations/220875310088320?display=4P1KX3VWJ7&amp;reservation_id=220875310088320", "4P1KX3VWJ7")</f>
        <v>4P1KX3VWJ7</v>
      </c>
      <c r="D8366" t="s">
        <v>45</v>
      </c>
      <c r="E8366" t="s">
        <v>113</v>
      </c>
      <c r="F8366" t="s">
        <v>61</v>
      </c>
      <c r="G8366" t="s">
        <v>48</v>
      </c>
      <c r="H8366" t="s">
        <v>3957</v>
      </c>
      <c r="I8366" t="s">
        <v>3958</v>
      </c>
      <c r="J8366" t="s">
        <v>15256</v>
      </c>
      <c r="K8366" t="s">
        <v>13898</v>
      </c>
      <c r="L8366" t="s">
        <v>53</v>
      </c>
      <c r="P8366" t="s">
        <v>55</v>
      </c>
      <c r="R8366" t="s">
        <v>56</v>
      </c>
      <c r="T8366" t="s">
        <v>15810</v>
      </c>
      <c r="U8366" t="s">
        <v>58</v>
      </c>
      <c r="V8366">
        <v>1</v>
      </c>
      <c r="W8366">
        <v>1</v>
      </c>
      <c r="X8366">
        <v>1</v>
      </c>
      <c r="Y8366">
        <v>0</v>
      </c>
      <c r="Z8366">
        <v>1</v>
      </c>
      <c r="AA8366">
        <v>96.31</v>
      </c>
      <c r="AB8366">
        <v>96.31</v>
      </c>
      <c r="AC8366">
        <v>84</v>
      </c>
      <c r="AD8366">
        <v>0</v>
      </c>
      <c r="AE8366">
        <v>12.31</v>
      </c>
      <c r="AF8366">
        <v>0</v>
      </c>
      <c r="AG8366">
        <v>0</v>
      </c>
      <c r="AH8366">
        <v>0</v>
      </c>
      <c r="AI8366">
        <v>0</v>
      </c>
      <c r="AJ8366">
        <v>96.31</v>
      </c>
      <c r="AK8366">
        <v>0</v>
      </c>
      <c r="AL8366" t="s">
        <v>53</v>
      </c>
      <c r="AM8366" t="s">
        <v>53</v>
      </c>
      <c r="AN8366" t="s">
        <v>53</v>
      </c>
      <c r="AO8366" t="s">
        <v>53</v>
      </c>
      <c r="AP8366" t="s">
        <v>53</v>
      </c>
    </row>
    <row r="8367" spans="2:42" x14ac:dyDescent="0.2">
      <c r="B8367" t="s">
        <v>44</v>
      </c>
      <c r="C8367" t="str">
        <f>HYPERLINK("https://us2.cloudbeds.com/connect/8493803454333002#/reservations/9080486848516739?display=4P2C247RRJ&amp;reservation_id=9080486848516739", "4P2C247RRJ")</f>
        <v>4P2C247RRJ</v>
      </c>
      <c r="D8367" t="s">
        <v>45</v>
      </c>
      <c r="E8367" t="s">
        <v>69</v>
      </c>
      <c r="F8367" t="s">
        <v>70</v>
      </c>
      <c r="G8367" t="s">
        <v>48</v>
      </c>
      <c r="H8367" t="s">
        <v>49</v>
      </c>
      <c r="I8367" t="s">
        <v>62</v>
      </c>
      <c r="J8367" t="s">
        <v>14627</v>
      </c>
      <c r="K8367" t="s">
        <v>14628</v>
      </c>
      <c r="L8367" t="s">
        <v>53</v>
      </c>
      <c r="N8367" t="s">
        <v>15811</v>
      </c>
      <c r="P8367" t="s">
        <v>55</v>
      </c>
      <c r="R8367" t="s">
        <v>56</v>
      </c>
      <c r="T8367" t="s">
        <v>15812</v>
      </c>
      <c r="U8367" t="s">
        <v>55</v>
      </c>
      <c r="V8367">
        <v>1</v>
      </c>
      <c r="W8367">
        <v>1</v>
      </c>
      <c r="X8367">
        <v>2</v>
      </c>
      <c r="Y8367">
        <v>0</v>
      </c>
      <c r="Z8367">
        <v>2</v>
      </c>
      <c r="AA8367">
        <v>78.75</v>
      </c>
      <c r="AB8367">
        <v>78.75</v>
      </c>
      <c r="AC8367">
        <v>78.75</v>
      </c>
      <c r="AD8367">
        <v>0</v>
      </c>
      <c r="AE8367">
        <v>0</v>
      </c>
      <c r="AF8367">
        <v>0</v>
      </c>
      <c r="AG8367">
        <v>0</v>
      </c>
      <c r="AH8367">
        <v>0</v>
      </c>
      <c r="AI8367">
        <v>14.18</v>
      </c>
      <c r="AJ8367">
        <v>78.75</v>
      </c>
      <c r="AK8367">
        <v>0</v>
      </c>
      <c r="AL8367" t="s">
        <v>53</v>
      </c>
      <c r="AM8367" t="s">
        <v>53</v>
      </c>
      <c r="AN8367" t="s">
        <v>53</v>
      </c>
      <c r="AO8367" t="s">
        <v>53</v>
      </c>
      <c r="AP8367" t="s">
        <v>53</v>
      </c>
    </row>
    <row r="8368" spans="2:42" x14ac:dyDescent="0.2">
      <c r="B8368" t="s">
        <v>44</v>
      </c>
      <c r="C8368" t="str">
        <f>HYPERLINK("https://us2.cloudbeds.com/connect/8493803454333002#/reservations/9080486848516928?display=4P2GNMBFRG&amp;reservation_id=9080486848516928", "4P2GNMBFRG")</f>
        <v>4P2GNMBFRG</v>
      </c>
      <c r="D8368" t="s">
        <v>45</v>
      </c>
      <c r="E8368" t="s">
        <v>69</v>
      </c>
      <c r="F8368" t="s">
        <v>70</v>
      </c>
      <c r="G8368" t="s">
        <v>48</v>
      </c>
      <c r="H8368" t="s">
        <v>49</v>
      </c>
      <c r="I8368" t="s">
        <v>50</v>
      </c>
      <c r="J8368" t="s">
        <v>9130</v>
      </c>
      <c r="K8368" t="s">
        <v>15369</v>
      </c>
      <c r="L8368" t="s">
        <v>53</v>
      </c>
      <c r="N8368" t="s">
        <v>15813</v>
      </c>
      <c r="P8368" t="s">
        <v>55</v>
      </c>
      <c r="R8368" t="s">
        <v>53</v>
      </c>
      <c r="T8368" t="s">
        <v>15814</v>
      </c>
      <c r="U8368" t="s">
        <v>55</v>
      </c>
      <c r="V8368">
        <v>3</v>
      </c>
      <c r="W8368">
        <v>1</v>
      </c>
      <c r="X8368">
        <v>2</v>
      </c>
      <c r="Y8368">
        <v>0</v>
      </c>
      <c r="Z8368">
        <v>2</v>
      </c>
      <c r="AA8368">
        <v>179.87</v>
      </c>
      <c r="AB8368">
        <v>179.87</v>
      </c>
      <c r="AC8368">
        <v>165.4</v>
      </c>
      <c r="AD8368">
        <v>0</v>
      </c>
      <c r="AE8368">
        <v>14.47</v>
      </c>
      <c r="AF8368">
        <v>0</v>
      </c>
      <c r="AG8368">
        <v>0</v>
      </c>
      <c r="AH8368">
        <v>0</v>
      </c>
      <c r="AI8368">
        <v>32.380000000000003</v>
      </c>
      <c r="AJ8368">
        <v>179.87</v>
      </c>
      <c r="AK8368">
        <v>0</v>
      </c>
      <c r="AL8368" t="s">
        <v>53</v>
      </c>
      <c r="AM8368" t="s">
        <v>53</v>
      </c>
      <c r="AN8368" t="s">
        <v>15815</v>
      </c>
      <c r="AO8368" t="s">
        <v>53</v>
      </c>
      <c r="AP8368" t="s">
        <v>53</v>
      </c>
    </row>
    <row r="8369" spans="2:42" x14ac:dyDescent="0.2">
      <c r="B8369" t="s">
        <v>44</v>
      </c>
      <c r="C8369" t="str">
        <f>HYPERLINK("https://us2.cloudbeds.com/connect/8493803454333002#/reservations/220916691361984?display=4P2JJGPK1T&amp;reservation_id=220916691361984", "4P2JJGPK1T")</f>
        <v>4P2JJGPK1T</v>
      </c>
      <c r="D8369" t="s">
        <v>10291</v>
      </c>
      <c r="E8369" t="s">
        <v>138</v>
      </c>
      <c r="F8369" t="s">
        <v>70</v>
      </c>
      <c r="G8369" t="s">
        <v>48</v>
      </c>
      <c r="H8369" t="s">
        <v>3957</v>
      </c>
      <c r="I8369" t="s">
        <v>3975</v>
      </c>
      <c r="J8369" t="s">
        <v>15816</v>
      </c>
      <c r="K8369" t="s">
        <v>15817</v>
      </c>
      <c r="L8369" t="s">
        <v>53</v>
      </c>
      <c r="P8369" t="s">
        <v>55</v>
      </c>
      <c r="R8369" t="s">
        <v>56</v>
      </c>
      <c r="T8369" t="s">
        <v>15818</v>
      </c>
      <c r="U8369" t="s">
        <v>58</v>
      </c>
      <c r="V8369">
        <v>1</v>
      </c>
      <c r="W8369">
        <v>1</v>
      </c>
      <c r="X8369">
        <v>2</v>
      </c>
      <c r="Y8369">
        <v>0</v>
      </c>
      <c r="Z8369">
        <v>2</v>
      </c>
      <c r="AA8369">
        <v>0</v>
      </c>
      <c r="AB8369">
        <v>0</v>
      </c>
      <c r="AC8369">
        <v>290</v>
      </c>
      <c r="AD8369">
        <v>0</v>
      </c>
      <c r="AE8369">
        <v>42.49</v>
      </c>
      <c r="AF8369">
        <v>0</v>
      </c>
      <c r="AG8369">
        <v>0</v>
      </c>
      <c r="AH8369">
        <v>0</v>
      </c>
      <c r="AI8369">
        <v>0</v>
      </c>
      <c r="AJ8369">
        <v>332.49</v>
      </c>
      <c r="AK8369">
        <v>332.49</v>
      </c>
      <c r="AL8369" t="s">
        <v>53</v>
      </c>
      <c r="AM8369" t="s">
        <v>53</v>
      </c>
      <c r="AN8369" t="s">
        <v>53</v>
      </c>
      <c r="AO8369" t="s">
        <v>53</v>
      </c>
      <c r="AP8369" t="s">
        <v>53</v>
      </c>
    </row>
    <row r="8370" spans="2:42" x14ac:dyDescent="0.2">
      <c r="B8370" t="s">
        <v>44</v>
      </c>
      <c r="C8370" t="str">
        <f>HYPERLINK("https://us2.cloudbeds.com/connect/8493803454333002#/reservations/9080486848520051?display=4P5H17F0VN&amp;reservation_id=9080486848520051", "4P5H17F0VN")</f>
        <v>4P5H17F0VN</v>
      </c>
      <c r="D8370" t="s">
        <v>45</v>
      </c>
      <c r="E8370" t="s">
        <v>138</v>
      </c>
      <c r="F8370" t="s">
        <v>70</v>
      </c>
      <c r="G8370" t="s">
        <v>48</v>
      </c>
      <c r="H8370" t="s">
        <v>49</v>
      </c>
      <c r="I8370" t="s">
        <v>8964</v>
      </c>
      <c r="J8370" t="s">
        <v>13719</v>
      </c>
      <c r="K8370" t="s">
        <v>15369</v>
      </c>
      <c r="L8370" t="s">
        <v>53</v>
      </c>
      <c r="N8370" t="s">
        <v>15819</v>
      </c>
      <c r="P8370" t="s">
        <v>55</v>
      </c>
      <c r="R8370" t="s">
        <v>53</v>
      </c>
      <c r="T8370" t="s">
        <v>15820</v>
      </c>
      <c r="U8370" t="s">
        <v>55</v>
      </c>
      <c r="V8370">
        <v>1</v>
      </c>
      <c r="W8370">
        <v>1</v>
      </c>
      <c r="X8370">
        <v>2</v>
      </c>
      <c r="Y8370">
        <v>0</v>
      </c>
      <c r="Z8370">
        <v>2</v>
      </c>
      <c r="AA8370">
        <v>0</v>
      </c>
      <c r="AB8370">
        <v>0</v>
      </c>
      <c r="AC8370">
        <v>84</v>
      </c>
      <c r="AD8370">
        <v>0</v>
      </c>
      <c r="AE8370">
        <v>0</v>
      </c>
      <c r="AF8370">
        <v>0</v>
      </c>
      <c r="AG8370">
        <v>0</v>
      </c>
      <c r="AH8370">
        <v>0</v>
      </c>
      <c r="AI8370">
        <v>12.6</v>
      </c>
      <c r="AJ8370">
        <v>84</v>
      </c>
      <c r="AK8370">
        <v>84</v>
      </c>
      <c r="AL8370" t="s">
        <v>53</v>
      </c>
      <c r="AM8370" t="s">
        <v>53</v>
      </c>
      <c r="AN8370" t="s">
        <v>15821</v>
      </c>
      <c r="AO8370" t="s">
        <v>53</v>
      </c>
      <c r="AP8370" t="s">
        <v>53</v>
      </c>
    </row>
    <row r="8371" spans="2:42" x14ac:dyDescent="0.2">
      <c r="B8371" t="s">
        <v>44</v>
      </c>
      <c r="C8371" t="str">
        <f>HYPERLINK("https://us2.cloudbeds.com/connect/8493803454333002#/reservations/221065460416704?display=4P62PTPS97&amp;reservation_id=221065460416704", "4P62PTPS97")</f>
        <v>4P62PTPS97</v>
      </c>
      <c r="D8371" t="s">
        <v>10291</v>
      </c>
      <c r="E8371" t="s">
        <v>128</v>
      </c>
      <c r="F8371" t="s">
        <v>86</v>
      </c>
      <c r="G8371" t="s">
        <v>48</v>
      </c>
      <c r="H8371" t="s">
        <v>3957</v>
      </c>
      <c r="I8371" t="s">
        <v>3975</v>
      </c>
      <c r="J8371" t="s">
        <v>15822</v>
      </c>
      <c r="K8371" t="s">
        <v>14828</v>
      </c>
      <c r="L8371" t="s">
        <v>53</v>
      </c>
      <c r="P8371" t="s">
        <v>55</v>
      </c>
      <c r="R8371" t="s">
        <v>56</v>
      </c>
      <c r="T8371" t="s">
        <v>15823</v>
      </c>
      <c r="U8371" t="s">
        <v>58</v>
      </c>
      <c r="V8371">
        <v>3</v>
      </c>
      <c r="W8371">
        <v>1</v>
      </c>
      <c r="X8371">
        <v>2</v>
      </c>
      <c r="Y8371">
        <v>0</v>
      </c>
      <c r="Z8371">
        <v>2</v>
      </c>
      <c r="AA8371">
        <v>0</v>
      </c>
      <c r="AB8371">
        <v>0</v>
      </c>
      <c r="AC8371">
        <v>748</v>
      </c>
      <c r="AD8371">
        <v>0</v>
      </c>
      <c r="AE8371">
        <v>109.59</v>
      </c>
      <c r="AF8371">
        <v>0</v>
      </c>
      <c r="AG8371">
        <v>0</v>
      </c>
      <c r="AH8371">
        <v>0</v>
      </c>
      <c r="AI8371">
        <v>0</v>
      </c>
      <c r="AJ8371">
        <v>857.59</v>
      </c>
      <c r="AK8371">
        <v>857.59</v>
      </c>
      <c r="AL8371" t="s">
        <v>53</v>
      </c>
      <c r="AM8371" t="s">
        <v>53</v>
      </c>
      <c r="AN8371" t="s">
        <v>15824</v>
      </c>
      <c r="AO8371" t="s">
        <v>53</v>
      </c>
      <c r="AP8371" t="s">
        <v>53</v>
      </c>
    </row>
    <row r="8372" spans="2:42" x14ac:dyDescent="0.2">
      <c r="B8372" t="s">
        <v>44</v>
      </c>
      <c r="C8372" t="str">
        <f>HYPERLINK("https://us2.cloudbeds.com/connect/8493803454333002#/reservations/9080486848524052?display=4P7WQ2QNTX&amp;reservation_id=9080486848524052", "4P7WQ2QNTX")</f>
        <v>4P7WQ2QNTX</v>
      </c>
      <c r="D8372" t="s">
        <v>45</v>
      </c>
      <c r="E8372" t="s">
        <v>105</v>
      </c>
      <c r="F8372" t="s">
        <v>47</v>
      </c>
      <c r="G8372" t="s">
        <v>48</v>
      </c>
      <c r="H8372" t="s">
        <v>49</v>
      </c>
      <c r="I8372" t="s">
        <v>62</v>
      </c>
      <c r="J8372" t="s">
        <v>15369</v>
      </c>
      <c r="K8372" t="s">
        <v>14929</v>
      </c>
      <c r="L8372" t="s">
        <v>53</v>
      </c>
      <c r="N8372" t="s">
        <v>15825</v>
      </c>
      <c r="P8372" t="s">
        <v>55</v>
      </c>
      <c r="R8372" t="s">
        <v>56</v>
      </c>
      <c r="T8372" t="s">
        <v>15826</v>
      </c>
      <c r="U8372" t="s">
        <v>55</v>
      </c>
      <c r="V8372">
        <v>2</v>
      </c>
      <c r="W8372">
        <v>1</v>
      </c>
      <c r="X8372">
        <v>2</v>
      </c>
      <c r="Y8372">
        <v>0</v>
      </c>
      <c r="Z8372">
        <v>2</v>
      </c>
      <c r="AA8372">
        <v>159.6</v>
      </c>
      <c r="AB8372">
        <v>159.6</v>
      </c>
      <c r="AC8372">
        <v>159.6</v>
      </c>
      <c r="AD8372">
        <v>0</v>
      </c>
      <c r="AE8372">
        <v>0</v>
      </c>
      <c r="AF8372">
        <v>0</v>
      </c>
      <c r="AG8372">
        <v>0</v>
      </c>
      <c r="AH8372">
        <v>0</v>
      </c>
      <c r="AI8372">
        <v>28.73</v>
      </c>
      <c r="AJ8372">
        <v>159.6</v>
      </c>
      <c r="AK8372">
        <v>0</v>
      </c>
      <c r="AL8372" t="s">
        <v>53</v>
      </c>
      <c r="AM8372" t="s">
        <v>53</v>
      </c>
      <c r="AN8372" t="s">
        <v>15827</v>
      </c>
      <c r="AO8372" t="s">
        <v>53</v>
      </c>
      <c r="AP8372" t="s">
        <v>53</v>
      </c>
    </row>
    <row r="8373" spans="2:42" x14ac:dyDescent="0.2">
      <c r="B8373" t="s">
        <v>44</v>
      </c>
      <c r="C8373" t="str">
        <f>HYPERLINK("https://us2.cloudbeds.com/connect/8493803454333002#/reservations/221161233666240?display=4P8AV4AJH0&amp;reservation_id=221161233666240", "4P8AV4AJH0")</f>
        <v>4P8AV4AJH0</v>
      </c>
      <c r="D8373" t="s">
        <v>45</v>
      </c>
      <c r="E8373" t="s">
        <v>46</v>
      </c>
      <c r="F8373" t="s">
        <v>47</v>
      </c>
      <c r="G8373" t="s">
        <v>48</v>
      </c>
      <c r="H8373" t="s">
        <v>3957</v>
      </c>
      <c r="I8373" t="s">
        <v>3958</v>
      </c>
      <c r="J8373" t="s">
        <v>13898</v>
      </c>
      <c r="K8373" t="s">
        <v>13037</v>
      </c>
      <c r="L8373" t="s">
        <v>53</v>
      </c>
      <c r="P8373" t="s">
        <v>55</v>
      </c>
      <c r="R8373" t="s">
        <v>56</v>
      </c>
      <c r="T8373" t="s">
        <v>15828</v>
      </c>
      <c r="U8373" t="s">
        <v>58</v>
      </c>
      <c r="V8373">
        <v>1</v>
      </c>
      <c r="W8373">
        <v>1</v>
      </c>
      <c r="X8373">
        <v>1</v>
      </c>
      <c r="Y8373">
        <v>0</v>
      </c>
      <c r="Z8373">
        <v>1</v>
      </c>
      <c r="AA8373">
        <v>89.43</v>
      </c>
      <c r="AB8373">
        <v>89.43</v>
      </c>
      <c r="AC8373">
        <v>78</v>
      </c>
      <c r="AD8373">
        <v>0</v>
      </c>
      <c r="AE8373">
        <v>11.43</v>
      </c>
      <c r="AF8373">
        <v>0</v>
      </c>
      <c r="AG8373">
        <v>0</v>
      </c>
      <c r="AH8373">
        <v>0</v>
      </c>
      <c r="AI8373">
        <v>0</v>
      </c>
      <c r="AJ8373">
        <v>89.43</v>
      </c>
      <c r="AK8373">
        <v>0</v>
      </c>
      <c r="AL8373" t="s">
        <v>53</v>
      </c>
      <c r="AM8373" t="s">
        <v>53</v>
      </c>
      <c r="AN8373" t="s">
        <v>53</v>
      </c>
      <c r="AO8373" t="s">
        <v>53</v>
      </c>
      <c r="AP8373" t="s">
        <v>53</v>
      </c>
    </row>
    <row r="8374" spans="2:42" x14ac:dyDescent="0.2">
      <c r="B8374" t="s">
        <v>44</v>
      </c>
      <c r="C8374" t="str">
        <f>HYPERLINK("https://us2.cloudbeds.com/connect/8493803454333002#/reservations/9080486848525089?display=4P8MFZ3BE2&amp;reservation_id=9080486848525089", "4P8MFZ3BE2")</f>
        <v>4P8MFZ3BE2</v>
      </c>
      <c r="D8374" t="s">
        <v>45</v>
      </c>
      <c r="E8374" t="s">
        <v>138</v>
      </c>
      <c r="F8374" t="s">
        <v>70</v>
      </c>
      <c r="G8374" t="s">
        <v>48</v>
      </c>
      <c r="H8374" t="s">
        <v>49</v>
      </c>
      <c r="I8374" t="s">
        <v>50</v>
      </c>
      <c r="J8374" t="s">
        <v>12835</v>
      </c>
      <c r="K8374" t="s">
        <v>9130</v>
      </c>
      <c r="L8374" t="s">
        <v>53</v>
      </c>
      <c r="N8374" t="s">
        <v>15829</v>
      </c>
      <c r="P8374" t="s">
        <v>55</v>
      </c>
      <c r="R8374" t="s">
        <v>53</v>
      </c>
      <c r="T8374" t="s">
        <v>15830</v>
      </c>
      <c r="U8374" t="s">
        <v>55</v>
      </c>
      <c r="V8374">
        <v>1</v>
      </c>
      <c r="W8374">
        <v>1</v>
      </c>
      <c r="X8374">
        <v>2</v>
      </c>
      <c r="Y8374">
        <v>0</v>
      </c>
      <c r="Z8374">
        <v>2</v>
      </c>
      <c r="AA8374">
        <v>59.69</v>
      </c>
      <c r="AB8374">
        <v>59.69</v>
      </c>
      <c r="AC8374">
        <v>54.89</v>
      </c>
      <c r="AD8374">
        <v>0</v>
      </c>
      <c r="AE8374">
        <v>4.8</v>
      </c>
      <c r="AF8374">
        <v>0</v>
      </c>
      <c r="AG8374">
        <v>0</v>
      </c>
      <c r="AH8374">
        <v>0</v>
      </c>
      <c r="AI8374">
        <v>10.74</v>
      </c>
      <c r="AJ8374">
        <v>59.69</v>
      </c>
      <c r="AK8374">
        <v>0</v>
      </c>
      <c r="AL8374" t="s">
        <v>53</v>
      </c>
      <c r="AM8374" t="s">
        <v>53</v>
      </c>
      <c r="AN8374" t="s">
        <v>53</v>
      </c>
      <c r="AO8374" t="s">
        <v>53</v>
      </c>
      <c r="AP8374" t="s">
        <v>53</v>
      </c>
    </row>
    <row r="8375" spans="2:42" x14ac:dyDescent="0.2">
      <c r="B8375" t="s">
        <v>44</v>
      </c>
      <c r="C8375" t="str">
        <f>HYPERLINK("https://us2.cloudbeds.com/connect/8493803454333002#/reservations/9080486848525455?display=4P8W5UET67&amp;reservation_id=9080486848525455", "4P8W5UET67")</f>
        <v>4P8W5UET67</v>
      </c>
      <c r="D8375" t="s">
        <v>45</v>
      </c>
      <c r="E8375" t="s">
        <v>406</v>
      </c>
      <c r="F8375" t="s">
        <v>61</v>
      </c>
      <c r="G8375" t="s">
        <v>48</v>
      </c>
      <c r="H8375" t="s">
        <v>49</v>
      </c>
      <c r="I8375" t="s">
        <v>50</v>
      </c>
      <c r="J8375" t="s">
        <v>13898</v>
      </c>
      <c r="K8375" t="s">
        <v>13037</v>
      </c>
      <c r="L8375" t="s">
        <v>53</v>
      </c>
      <c r="N8375" t="s">
        <v>15831</v>
      </c>
      <c r="P8375" t="s">
        <v>55</v>
      </c>
      <c r="R8375" t="s">
        <v>53</v>
      </c>
      <c r="T8375" t="s">
        <v>15832</v>
      </c>
      <c r="U8375" t="s">
        <v>55</v>
      </c>
      <c r="V8375">
        <v>1</v>
      </c>
      <c r="W8375">
        <v>1</v>
      </c>
      <c r="X8375">
        <v>2</v>
      </c>
      <c r="Y8375">
        <v>0</v>
      </c>
      <c r="Z8375">
        <v>2</v>
      </c>
      <c r="AA8375">
        <v>66.06</v>
      </c>
      <c r="AB8375">
        <v>66.06</v>
      </c>
      <c r="AC8375">
        <v>60.74</v>
      </c>
      <c r="AD8375">
        <v>0</v>
      </c>
      <c r="AE8375">
        <v>5.32</v>
      </c>
      <c r="AF8375">
        <v>0</v>
      </c>
      <c r="AG8375">
        <v>0</v>
      </c>
      <c r="AH8375">
        <v>0</v>
      </c>
      <c r="AI8375">
        <v>11.89</v>
      </c>
      <c r="AJ8375">
        <v>66.06</v>
      </c>
      <c r="AK8375">
        <v>0</v>
      </c>
      <c r="AL8375" t="s">
        <v>53</v>
      </c>
      <c r="AM8375" t="s">
        <v>53</v>
      </c>
      <c r="AN8375" t="s">
        <v>53</v>
      </c>
      <c r="AO8375" t="s">
        <v>53</v>
      </c>
      <c r="AP8375" t="s">
        <v>53</v>
      </c>
    </row>
    <row r="8376" spans="2:42" x14ac:dyDescent="0.2">
      <c r="B8376" t="s">
        <v>44</v>
      </c>
      <c r="C8376" t="str">
        <f>HYPERLINK("https://us2.cloudbeds.com/connect/8493803454333002#/reservations/221192452677760?display=4P923S0NU4&amp;reservation_id=221192452677760", "4P923S0NU4")</f>
        <v>4P923S0NU4</v>
      </c>
      <c r="D8376" t="s">
        <v>45</v>
      </c>
      <c r="E8376" t="s">
        <v>85</v>
      </c>
      <c r="F8376" t="s">
        <v>86</v>
      </c>
      <c r="G8376" t="s">
        <v>48</v>
      </c>
      <c r="H8376" t="s">
        <v>3957</v>
      </c>
      <c r="I8376" t="s">
        <v>3958</v>
      </c>
      <c r="J8376" t="s">
        <v>13898</v>
      </c>
      <c r="K8376" t="s">
        <v>13037</v>
      </c>
      <c r="L8376" t="s">
        <v>53</v>
      </c>
      <c r="P8376" t="s">
        <v>55</v>
      </c>
      <c r="R8376" t="s">
        <v>56</v>
      </c>
      <c r="T8376" t="s">
        <v>15833</v>
      </c>
      <c r="U8376" t="s">
        <v>58</v>
      </c>
      <c r="V8376">
        <v>1</v>
      </c>
      <c r="W8376">
        <v>1</v>
      </c>
      <c r="X8376">
        <v>1</v>
      </c>
      <c r="Y8376">
        <v>0</v>
      </c>
      <c r="Z8376">
        <v>1</v>
      </c>
      <c r="AA8376">
        <v>107.78</v>
      </c>
      <c r="AB8376">
        <v>107.78</v>
      </c>
      <c r="AC8376">
        <v>94</v>
      </c>
      <c r="AD8376">
        <v>0</v>
      </c>
      <c r="AE8376">
        <v>13.78</v>
      </c>
      <c r="AF8376">
        <v>0</v>
      </c>
      <c r="AG8376">
        <v>0</v>
      </c>
      <c r="AH8376">
        <v>0</v>
      </c>
      <c r="AI8376">
        <v>0</v>
      </c>
      <c r="AJ8376">
        <v>107.78</v>
      </c>
      <c r="AK8376">
        <v>0</v>
      </c>
      <c r="AL8376" t="s">
        <v>53</v>
      </c>
      <c r="AM8376" t="s">
        <v>53</v>
      </c>
      <c r="AN8376" t="s">
        <v>53</v>
      </c>
      <c r="AO8376" t="s">
        <v>53</v>
      </c>
      <c r="AP8376" t="s">
        <v>53</v>
      </c>
    </row>
    <row r="8377" spans="2:42" x14ac:dyDescent="0.2">
      <c r="B8377" t="s">
        <v>44</v>
      </c>
      <c r="C8377" t="str">
        <f>HYPERLINK("https://us2.cloudbeds.com/connect/8493803454333002#/reservations/221198457249920?display=4P96P977FY&amp;reservation_id=221198457249920", "4P96P977FY")</f>
        <v>4P96P977FY</v>
      </c>
      <c r="D8377" t="s">
        <v>10291</v>
      </c>
      <c r="E8377" t="s">
        <v>165</v>
      </c>
      <c r="F8377" t="s">
        <v>61</v>
      </c>
      <c r="G8377" t="s">
        <v>48</v>
      </c>
      <c r="H8377" t="s">
        <v>3957</v>
      </c>
      <c r="I8377" t="s">
        <v>3975</v>
      </c>
      <c r="J8377" t="s">
        <v>14828</v>
      </c>
      <c r="K8377" t="s">
        <v>15834</v>
      </c>
      <c r="L8377" t="s">
        <v>53</v>
      </c>
      <c r="P8377" t="s">
        <v>55</v>
      </c>
      <c r="R8377" t="s">
        <v>56</v>
      </c>
      <c r="T8377" t="s">
        <v>15835</v>
      </c>
      <c r="U8377" t="s">
        <v>58</v>
      </c>
      <c r="V8377">
        <v>2</v>
      </c>
      <c r="W8377">
        <v>1</v>
      </c>
      <c r="X8377">
        <v>2</v>
      </c>
      <c r="Y8377">
        <v>0</v>
      </c>
      <c r="Z8377">
        <v>2</v>
      </c>
      <c r="AA8377">
        <v>0</v>
      </c>
      <c r="AB8377">
        <v>0</v>
      </c>
      <c r="AC8377">
        <v>441</v>
      </c>
      <c r="AD8377">
        <v>0</v>
      </c>
      <c r="AE8377">
        <v>64.61</v>
      </c>
      <c r="AF8377">
        <v>0</v>
      </c>
      <c r="AG8377">
        <v>0</v>
      </c>
      <c r="AH8377">
        <v>0</v>
      </c>
      <c r="AI8377">
        <v>0</v>
      </c>
      <c r="AJ8377">
        <v>505.61</v>
      </c>
      <c r="AK8377">
        <v>505.61</v>
      </c>
      <c r="AL8377" t="s">
        <v>53</v>
      </c>
      <c r="AM8377" t="s">
        <v>53</v>
      </c>
      <c r="AN8377" t="s">
        <v>15836</v>
      </c>
      <c r="AO8377" t="s">
        <v>53</v>
      </c>
      <c r="AP8377" t="s">
        <v>53</v>
      </c>
    </row>
    <row r="8378" spans="2:42" x14ac:dyDescent="0.2">
      <c r="B8378" t="s">
        <v>44</v>
      </c>
      <c r="C8378" t="str">
        <f>HYPERLINK("https://us2.cloudbeds.com/connect/8493803454333002#/reservations/221207752351872?display=4P9DVQ3NED&amp;reservation_id=221207752351872", "4P9DVQ3NED")</f>
        <v>4P9DVQ3NED</v>
      </c>
      <c r="D8378" t="s">
        <v>45</v>
      </c>
      <c r="E8378" t="s">
        <v>15837</v>
      </c>
      <c r="F8378" t="s">
        <v>4628</v>
      </c>
      <c r="G8378" t="s">
        <v>4520</v>
      </c>
      <c r="H8378" t="s">
        <v>3957</v>
      </c>
      <c r="I8378" t="s">
        <v>3958</v>
      </c>
      <c r="J8378" t="s">
        <v>14623</v>
      </c>
      <c r="K8378" t="s">
        <v>15838</v>
      </c>
      <c r="L8378" t="s">
        <v>53</v>
      </c>
      <c r="P8378" t="s">
        <v>55</v>
      </c>
      <c r="R8378" t="s">
        <v>56</v>
      </c>
      <c r="T8378" t="s">
        <v>15839</v>
      </c>
      <c r="U8378" t="s">
        <v>58</v>
      </c>
      <c r="V8378">
        <v>4</v>
      </c>
      <c r="W8378">
        <v>2</v>
      </c>
      <c r="X8378">
        <v>2</v>
      </c>
      <c r="Y8378">
        <v>0</v>
      </c>
      <c r="Z8378">
        <v>2</v>
      </c>
      <c r="AA8378">
        <v>669.67</v>
      </c>
      <c r="AB8378">
        <v>669.67</v>
      </c>
      <c r="AC8378">
        <v>584.1</v>
      </c>
      <c r="AD8378">
        <v>0</v>
      </c>
      <c r="AE8378">
        <v>85.57</v>
      </c>
      <c r="AF8378">
        <v>0</v>
      </c>
      <c r="AG8378">
        <v>0</v>
      </c>
      <c r="AH8378">
        <v>0</v>
      </c>
      <c r="AI8378">
        <v>0</v>
      </c>
      <c r="AJ8378">
        <v>669.67</v>
      </c>
      <c r="AK8378">
        <v>0</v>
      </c>
      <c r="AL8378" t="s">
        <v>53</v>
      </c>
      <c r="AM8378" t="s">
        <v>53</v>
      </c>
      <c r="AN8378" t="s">
        <v>53</v>
      </c>
      <c r="AO8378" t="s">
        <v>53</v>
      </c>
      <c r="AP8378" t="s">
        <v>53</v>
      </c>
    </row>
    <row r="8379" spans="2:42" x14ac:dyDescent="0.2">
      <c r="B8379" t="s">
        <v>44</v>
      </c>
      <c r="C8379" t="str">
        <f>HYPERLINK("https://us2.cloudbeds.com/connect/8493803454333002#/reservations/9080486848526477?display=4P9RMZKTFX&amp;reservation_id=9080486848526477", "4P9RMZKTFX")</f>
        <v>4P9RMZKTFX</v>
      </c>
      <c r="D8379" t="s">
        <v>45</v>
      </c>
      <c r="E8379" t="s">
        <v>190</v>
      </c>
      <c r="F8379" t="s">
        <v>61</v>
      </c>
      <c r="G8379" t="s">
        <v>48</v>
      </c>
      <c r="H8379" t="s">
        <v>49</v>
      </c>
      <c r="I8379" t="s">
        <v>62</v>
      </c>
      <c r="J8379" t="s">
        <v>13898</v>
      </c>
      <c r="K8379" t="s">
        <v>13037</v>
      </c>
      <c r="L8379" t="s">
        <v>53</v>
      </c>
      <c r="N8379" t="s">
        <v>15840</v>
      </c>
      <c r="P8379" t="s">
        <v>55</v>
      </c>
      <c r="R8379" t="s">
        <v>56</v>
      </c>
      <c r="T8379" t="s">
        <v>15841</v>
      </c>
      <c r="U8379" t="s">
        <v>55</v>
      </c>
      <c r="V8379">
        <v>1</v>
      </c>
      <c r="W8379">
        <v>1</v>
      </c>
      <c r="X8379">
        <v>2</v>
      </c>
      <c r="Y8379">
        <v>0</v>
      </c>
      <c r="Z8379">
        <v>2</v>
      </c>
      <c r="AA8379">
        <v>87.15</v>
      </c>
      <c r="AB8379">
        <v>87.15</v>
      </c>
      <c r="AC8379">
        <v>87.15</v>
      </c>
      <c r="AD8379">
        <v>0</v>
      </c>
      <c r="AE8379">
        <v>0</v>
      </c>
      <c r="AF8379">
        <v>0</v>
      </c>
      <c r="AG8379">
        <v>0</v>
      </c>
      <c r="AH8379">
        <v>0</v>
      </c>
      <c r="AI8379">
        <v>15.69</v>
      </c>
      <c r="AJ8379">
        <v>87.15</v>
      </c>
      <c r="AK8379">
        <v>0</v>
      </c>
      <c r="AL8379" t="s">
        <v>53</v>
      </c>
      <c r="AM8379" t="s">
        <v>53</v>
      </c>
      <c r="AN8379" t="s">
        <v>53</v>
      </c>
      <c r="AO8379" t="s">
        <v>53</v>
      </c>
      <c r="AP8379" t="s">
        <v>53</v>
      </c>
    </row>
    <row r="8380" spans="2:42" x14ac:dyDescent="0.2">
      <c r="B8380" t="s">
        <v>44</v>
      </c>
      <c r="C8380" t="str">
        <f>HYPERLINK("https://us2.cloudbeds.com/connect/8493803454333002#/reservations/9080486848531519?display=4PEF6VRRNK&amp;reservation_id=9080486848531519", "4PEF6VRRNK")</f>
        <v>4PEF6VRRNK</v>
      </c>
      <c r="D8380" t="s">
        <v>45</v>
      </c>
      <c r="E8380" t="s">
        <v>190</v>
      </c>
      <c r="F8380" t="s">
        <v>61</v>
      </c>
      <c r="G8380" t="s">
        <v>48</v>
      </c>
      <c r="H8380" t="s">
        <v>49</v>
      </c>
      <c r="I8380" t="s">
        <v>50</v>
      </c>
      <c r="J8380" t="s">
        <v>13037</v>
      </c>
      <c r="K8380" t="s">
        <v>14176</v>
      </c>
      <c r="L8380" t="s">
        <v>53</v>
      </c>
      <c r="N8380" t="s">
        <v>15842</v>
      </c>
      <c r="P8380" t="s">
        <v>55</v>
      </c>
      <c r="R8380" t="s">
        <v>53</v>
      </c>
      <c r="T8380" t="s">
        <v>15843</v>
      </c>
      <c r="U8380" t="s">
        <v>55</v>
      </c>
      <c r="V8380">
        <v>1</v>
      </c>
      <c r="W8380">
        <v>1</v>
      </c>
      <c r="X8380">
        <v>2</v>
      </c>
      <c r="Y8380">
        <v>0</v>
      </c>
      <c r="Z8380">
        <v>2</v>
      </c>
      <c r="AA8380">
        <v>134.5</v>
      </c>
      <c r="AB8380">
        <v>134.5</v>
      </c>
      <c r="AC8380">
        <v>123.68</v>
      </c>
      <c r="AD8380">
        <v>0</v>
      </c>
      <c r="AE8380">
        <v>10.82</v>
      </c>
      <c r="AF8380">
        <v>0</v>
      </c>
      <c r="AG8380">
        <v>0</v>
      </c>
      <c r="AH8380">
        <v>0</v>
      </c>
      <c r="AI8380">
        <v>24.21</v>
      </c>
      <c r="AJ8380">
        <v>134.5</v>
      </c>
      <c r="AK8380">
        <v>0</v>
      </c>
      <c r="AL8380" t="s">
        <v>53</v>
      </c>
      <c r="AM8380" t="s">
        <v>53</v>
      </c>
      <c r="AN8380" t="s">
        <v>53</v>
      </c>
      <c r="AO8380" t="s">
        <v>53</v>
      </c>
      <c r="AP8380" t="s">
        <v>53</v>
      </c>
    </row>
    <row r="8381" spans="2:42" x14ac:dyDescent="0.2">
      <c r="B8381" t="s">
        <v>44</v>
      </c>
      <c r="C8381" t="str">
        <f>HYPERLINK("https://us2.cloudbeds.com/connect/8493803454333002#/reservations/9080486848531940?display=4PEJC7E2S3&amp;reservation_id=9080486848531940", "4PEJC7E2S3")</f>
        <v>4PEJC7E2S3</v>
      </c>
      <c r="D8381" t="s">
        <v>45</v>
      </c>
      <c r="E8381" t="s">
        <v>179</v>
      </c>
      <c r="F8381" t="s">
        <v>47</v>
      </c>
      <c r="G8381" t="s">
        <v>48</v>
      </c>
      <c r="H8381" t="s">
        <v>49</v>
      </c>
      <c r="I8381" t="s">
        <v>50</v>
      </c>
      <c r="J8381" t="s">
        <v>14979</v>
      </c>
      <c r="K8381" t="s">
        <v>14344</v>
      </c>
      <c r="L8381" t="s">
        <v>53</v>
      </c>
      <c r="N8381" t="s">
        <v>15844</v>
      </c>
      <c r="P8381" t="s">
        <v>55</v>
      </c>
      <c r="R8381" t="s">
        <v>53</v>
      </c>
      <c r="T8381" t="s">
        <v>15845</v>
      </c>
      <c r="U8381" t="s">
        <v>55</v>
      </c>
      <c r="V8381">
        <v>5</v>
      </c>
      <c r="W8381">
        <v>1</v>
      </c>
      <c r="X8381">
        <v>1</v>
      </c>
      <c r="Y8381">
        <v>0</v>
      </c>
      <c r="Z8381">
        <v>1</v>
      </c>
      <c r="AA8381">
        <v>734.94</v>
      </c>
      <c r="AB8381">
        <v>734.94</v>
      </c>
      <c r="AC8381">
        <v>675.8</v>
      </c>
      <c r="AD8381">
        <v>0</v>
      </c>
      <c r="AE8381">
        <v>59.14</v>
      </c>
      <c r="AF8381">
        <v>0</v>
      </c>
      <c r="AG8381">
        <v>0</v>
      </c>
      <c r="AH8381">
        <v>0</v>
      </c>
      <c r="AI8381">
        <v>132.29</v>
      </c>
      <c r="AJ8381">
        <v>734.94</v>
      </c>
      <c r="AK8381">
        <v>0</v>
      </c>
      <c r="AL8381" t="s">
        <v>53</v>
      </c>
      <c r="AM8381" t="s">
        <v>53</v>
      </c>
      <c r="AN8381" t="s">
        <v>53</v>
      </c>
      <c r="AO8381" t="s">
        <v>53</v>
      </c>
      <c r="AP8381" t="s">
        <v>53</v>
      </c>
    </row>
    <row r="8382" spans="2:42" x14ac:dyDescent="0.2">
      <c r="B8382" t="s">
        <v>44</v>
      </c>
      <c r="C8382" t="str">
        <f>HYPERLINK("https://us2.cloudbeds.com/connect/8493803454333002#/reservations/9080486848535422?display=4PGP253RJ2&amp;reservation_id=9080486848535422", "4PGP253RJ2")</f>
        <v>4PGP253RJ2</v>
      </c>
      <c r="D8382" t="s">
        <v>45</v>
      </c>
      <c r="E8382" t="s">
        <v>78</v>
      </c>
      <c r="F8382" t="s">
        <v>61</v>
      </c>
      <c r="G8382" t="s">
        <v>48</v>
      </c>
      <c r="H8382" t="s">
        <v>49</v>
      </c>
      <c r="I8382" t="s">
        <v>50</v>
      </c>
      <c r="J8382" t="s">
        <v>9130</v>
      </c>
      <c r="K8382" t="s">
        <v>13719</v>
      </c>
      <c r="L8382" t="s">
        <v>53</v>
      </c>
      <c r="N8382" t="s">
        <v>15846</v>
      </c>
      <c r="P8382" t="s">
        <v>55</v>
      </c>
      <c r="R8382" t="s">
        <v>53</v>
      </c>
      <c r="T8382" t="s">
        <v>15847</v>
      </c>
      <c r="U8382" t="s">
        <v>55</v>
      </c>
      <c r="V8382">
        <v>2</v>
      </c>
      <c r="W8382">
        <v>1</v>
      </c>
      <c r="X8382">
        <v>1</v>
      </c>
      <c r="Y8382">
        <v>0</v>
      </c>
      <c r="Z8382">
        <v>1</v>
      </c>
      <c r="AA8382">
        <v>97.06</v>
      </c>
      <c r="AB8382">
        <v>97.06</v>
      </c>
      <c r="AC8382">
        <v>89.26</v>
      </c>
      <c r="AD8382">
        <v>0</v>
      </c>
      <c r="AE8382">
        <v>7.8</v>
      </c>
      <c r="AF8382">
        <v>0</v>
      </c>
      <c r="AG8382">
        <v>0</v>
      </c>
      <c r="AH8382">
        <v>0</v>
      </c>
      <c r="AI8382">
        <v>17.47</v>
      </c>
      <c r="AJ8382">
        <v>97.06</v>
      </c>
      <c r="AK8382">
        <v>0</v>
      </c>
      <c r="AL8382" t="s">
        <v>53</v>
      </c>
      <c r="AM8382" t="s">
        <v>53</v>
      </c>
      <c r="AN8382" t="s">
        <v>53</v>
      </c>
      <c r="AO8382" t="s">
        <v>53</v>
      </c>
      <c r="AP8382" t="s">
        <v>53</v>
      </c>
    </row>
    <row r="8383" spans="2:42" x14ac:dyDescent="0.2">
      <c r="B8383" t="s">
        <v>44</v>
      </c>
      <c r="C8383" t="str">
        <f>HYPERLINK("https://us2.cloudbeds.com/connect/8493803454333002#/reservations/9080486848536822?display=4PHVEF89MF&amp;reservation_id=9080486848536822", "4PHVEF89MF")</f>
        <v>4PHVEF89MF</v>
      </c>
      <c r="D8383" t="s">
        <v>45</v>
      </c>
      <c r="E8383" t="s">
        <v>487</v>
      </c>
      <c r="F8383" t="s">
        <v>61</v>
      </c>
      <c r="G8383" t="s">
        <v>48</v>
      </c>
      <c r="H8383" t="s">
        <v>49</v>
      </c>
      <c r="I8383" t="s">
        <v>50</v>
      </c>
      <c r="J8383" t="s">
        <v>14349</v>
      </c>
      <c r="K8383" t="s">
        <v>14979</v>
      </c>
      <c r="L8383" t="s">
        <v>53</v>
      </c>
      <c r="N8383" t="s">
        <v>15848</v>
      </c>
      <c r="P8383" t="s">
        <v>55</v>
      </c>
      <c r="R8383" t="s">
        <v>53</v>
      </c>
      <c r="T8383" t="s">
        <v>15849</v>
      </c>
      <c r="U8383" t="s">
        <v>58</v>
      </c>
      <c r="V8383">
        <v>2</v>
      </c>
      <c r="W8383">
        <v>1</v>
      </c>
      <c r="X8383">
        <v>2</v>
      </c>
      <c r="Y8383">
        <v>0</v>
      </c>
      <c r="Z8383">
        <v>2</v>
      </c>
      <c r="AA8383">
        <v>247.33</v>
      </c>
      <c r="AB8383">
        <v>247.33</v>
      </c>
      <c r="AC8383">
        <v>215.72</v>
      </c>
      <c r="AD8383">
        <v>0</v>
      </c>
      <c r="AE8383">
        <v>31.61</v>
      </c>
      <c r="AF8383">
        <v>0</v>
      </c>
      <c r="AG8383">
        <v>0</v>
      </c>
      <c r="AH8383">
        <v>0</v>
      </c>
      <c r="AI8383">
        <v>44.52</v>
      </c>
      <c r="AJ8383">
        <v>247.33</v>
      </c>
      <c r="AK8383">
        <v>0</v>
      </c>
      <c r="AL8383" t="s">
        <v>53</v>
      </c>
      <c r="AM8383" t="s">
        <v>53</v>
      </c>
      <c r="AN8383" t="s">
        <v>53</v>
      </c>
      <c r="AO8383" t="s">
        <v>53</v>
      </c>
      <c r="AP8383" t="s">
        <v>53</v>
      </c>
    </row>
    <row r="8384" spans="2:42" x14ac:dyDescent="0.2">
      <c r="B8384" t="s">
        <v>44</v>
      </c>
      <c r="C8384" t="str">
        <f>HYPERLINK("https://us2.cloudbeds.com/connect/8493803454333002#/reservations/9080486848537108?display=4PX6SKMN59&amp;reservation_id=9080486848537108", "4PX6SKMN59")</f>
        <v>4PX6SKMN59</v>
      </c>
      <c r="D8384" t="s">
        <v>45</v>
      </c>
      <c r="E8384" t="s">
        <v>110</v>
      </c>
      <c r="F8384" t="s">
        <v>47</v>
      </c>
      <c r="G8384" t="s">
        <v>48</v>
      </c>
      <c r="H8384" t="s">
        <v>49</v>
      </c>
      <c r="I8384" t="s">
        <v>62</v>
      </c>
      <c r="J8384" t="s">
        <v>14176</v>
      </c>
      <c r="K8384" t="s">
        <v>13038</v>
      </c>
      <c r="L8384" t="s">
        <v>53</v>
      </c>
      <c r="N8384" t="s">
        <v>15850</v>
      </c>
      <c r="P8384" t="s">
        <v>55</v>
      </c>
      <c r="R8384" t="s">
        <v>56</v>
      </c>
      <c r="T8384" t="s">
        <v>15851</v>
      </c>
      <c r="U8384" t="s">
        <v>55</v>
      </c>
      <c r="V8384">
        <v>1</v>
      </c>
      <c r="W8384">
        <v>1</v>
      </c>
      <c r="X8384">
        <v>2</v>
      </c>
      <c r="Y8384">
        <v>0</v>
      </c>
      <c r="Z8384">
        <v>2</v>
      </c>
      <c r="AA8384">
        <v>121.8</v>
      </c>
      <c r="AB8384">
        <v>121.8</v>
      </c>
      <c r="AC8384">
        <v>121.8</v>
      </c>
      <c r="AD8384">
        <v>0</v>
      </c>
      <c r="AE8384">
        <v>0</v>
      </c>
      <c r="AF8384">
        <v>0</v>
      </c>
      <c r="AG8384">
        <v>0</v>
      </c>
      <c r="AH8384">
        <v>0</v>
      </c>
      <c r="AI8384">
        <v>21.92</v>
      </c>
      <c r="AJ8384">
        <v>121.8</v>
      </c>
      <c r="AK8384">
        <v>0</v>
      </c>
      <c r="AL8384" t="s">
        <v>53</v>
      </c>
      <c r="AM8384" t="s">
        <v>53</v>
      </c>
      <c r="AN8384" t="s">
        <v>15852</v>
      </c>
      <c r="AO8384" t="s">
        <v>53</v>
      </c>
      <c r="AP8384" t="s">
        <v>53</v>
      </c>
    </row>
    <row r="8385" spans="2:42" x14ac:dyDescent="0.2">
      <c r="B8385" t="s">
        <v>44</v>
      </c>
      <c r="C8385" t="str">
        <f>HYPERLINK("https://us2.cloudbeds.com/connect/8493803454333002#/reservations/9080486848537411?display=4PXFYM13X1&amp;reservation_id=9080486848537411", "4PXFYM13X1")</f>
        <v>4PXFYM13X1</v>
      </c>
      <c r="D8385" t="s">
        <v>45</v>
      </c>
      <c r="E8385" t="s">
        <v>85</v>
      </c>
      <c r="F8385" t="s">
        <v>86</v>
      </c>
      <c r="G8385" t="s">
        <v>48</v>
      </c>
      <c r="H8385" t="s">
        <v>49</v>
      </c>
      <c r="I8385" t="s">
        <v>50</v>
      </c>
      <c r="J8385" t="s">
        <v>14176</v>
      </c>
      <c r="K8385" t="s">
        <v>13038</v>
      </c>
      <c r="L8385" t="s">
        <v>53</v>
      </c>
      <c r="N8385" t="s">
        <v>15853</v>
      </c>
      <c r="P8385" t="s">
        <v>55</v>
      </c>
      <c r="R8385" t="s">
        <v>53</v>
      </c>
      <c r="T8385" t="s">
        <v>15854</v>
      </c>
      <c r="U8385" t="s">
        <v>55</v>
      </c>
      <c r="V8385">
        <v>1</v>
      </c>
      <c r="W8385">
        <v>1</v>
      </c>
      <c r="X8385">
        <v>1</v>
      </c>
      <c r="Y8385">
        <v>0</v>
      </c>
      <c r="Z8385">
        <v>1</v>
      </c>
      <c r="AA8385">
        <v>126.55</v>
      </c>
      <c r="AB8385">
        <v>126.55</v>
      </c>
      <c r="AC8385">
        <v>116.37</v>
      </c>
      <c r="AD8385">
        <v>0</v>
      </c>
      <c r="AE8385">
        <v>10.18</v>
      </c>
      <c r="AF8385">
        <v>0</v>
      </c>
      <c r="AG8385">
        <v>0</v>
      </c>
      <c r="AH8385">
        <v>0</v>
      </c>
      <c r="AI8385">
        <v>22.78</v>
      </c>
      <c r="AJ8385">
        <v>126.55</v>
      </c>
      <c r="AK8385">
        <v>0</v>
      </c>
      <c r="AL8385" t="s">
        <v>53</v>
      </c>
      <c r="AM8385" t="s">
        <v>53</v>
      </c>
      <c r="AN8385" t="s">
        <v>53</v>
      </c>
      <c r="AO8385" t="s">
        <v>53</v>
      </c>
      <c r="AP8385" t="s">
        <v>53</v>
      </c>
    </row>
    <row r="8386" spans="2:42" x14ac:dyDescent="0.2">
      <c r="B8386" t="s">
        <v>44</v>
      </c>
      <c r="C8386" t="str">
        <f>HYPERLINK("https://us2.cloudbeds.com/connect/8493803454333002#/reservations/9080486848544640?display=4PZRDN72JG&amp;reservation_id=9080486848544640", "4PZRDN72JG")</f>
        <v>4PZRDN72JG</v>
      </c>
      <c r="D8386" t="s">
        <v>45</v>
      </c>
      <c r="E8386" t="s">
        <v>265</v>
      </c>
      <c r="F8386" t="s">
        <v>61</v>
      </c>
      <c r="G8386" t="s">
        <v>48</v>
      </c>
      <c r="H8386" t="s">
        <v>49</v>
      </c>
      <c r="I8386" t="s">
        <v>50</v>
      </c>
      <c r="J8386" t="s">
        <v>15439</v>
      </c>
      <c r="K8386" t="s">
        <v>14929</v>
      </c>
      <c r="L8386" t="s">
        <v>53</v>
      </c>
      <c r="N8386" t="s">
        <v>15855</v>
      </c>
      <c r="P8386" t="s">
        <v>55</v>
      </c>
      <c r="R8386" t="s">
        <v>53</v>
      </c>
      <c r="T8386" t="s">
        <v>15856</v>
      </c>
      <c r="U8386" t="s">
        <v>55</v>
      </c>
      <c r="V8386">
        <v>1</v>
      </c>
      <c r="W8386">
        <v>1</v>
      </c>
      <c r="X8386">
        <v>2</v>
      </c>
      <c r="Y8386">
        <v>0</v>
      </c>
      <c r="Z8386">
        <v>2</v>
      </c>
      <c r="AA8386">
        <v>75.61</v>
      </c>
      <c r="AB8386">
        <v>75.61</v>
      </c>
      <c r="AC8386">
        <v>69.53</v>
      </c>
      <c r="AD8386">
        <v>0</v>
      </c>
      <c r="AE8386">
        <v>6.08</v>
      </c>
      <c r="AF8386">
        <v>0</v>
      </c>
      <c r="AG8386">
        <v>0</v>
      </c>
      <c r="AH8386">
        <v>0</v>
      </c>
      <c r="AI8386">
        <v>13.61</v>
      </c>
      <c r="AJ8386">
        <v>75.61</v>
      </c>
      <c r="AK8386">
        <v>0</v>
      </c>
      <c r="AL8386" t="s">
        <v>53</v>
      </c>
      <c r="AM8386" t="s">
        <v>53</v>
      </c>
      <c r="AN8386" t="s">
        <v>53</v>
      </c>
      <c r="AO8386" t="s">
        <v>53</v>
      </c>
      <c r="AP8386" t="s">
        <v>53</v>
      </c>
    </row>
    <row r="8387" spans="2:42" x14ac:dyDescent="0.2">
      <c r="B8387" t="s">
        <v>44</v>
      </c>
      <c r="C8387" t="str">
        <f>HYPERLINK("https://us2.cloudbeds.com/connect/8493803454333002#/reservations/221894949032064?display=4PPX28X3Y5&amp;reservation_id=221894949032064", "4PPX28X3Y5")</f>
        <v>4PPX28X3Y5</v>
      </c>
      <c r="D8387" t="s">
        <v>45</v>
      </c>
      <c r="E8387" t="s">
        <v>113</v>
      </c>
      <c r="F8387" t="s">
        <v>61</v>
      </c>
      <c r="G8387" t="s">
        <v>48</v>
      </c>
      <c r="H8387" t="s">
        <v>3957</v>
      </c>
      <c r="I8387" t="s">
        <v>3958</v>
      </c>
      <c r="J8387" t="s">
        <v>13038</v>
      </c>
      <c r="K8387" t="s">
        <v>12835</v>
      </c>
      <c r="L8387" t="s">
        <v>53</v>
      </c>
      <c r="P8387" t="s">
        <v>55</v>
      </c>
      <c r="R8387" t="s">
        <v>56</v>
      </c>
      <c r="T8387" t="s">
        <v>15857</v>
      </c>
      <c r="U8387" t="s">
        <v>58</v>
      </c>
      <c r="V8387">
        <v>1</v>
      </c>
      <c r="W8387">
        <v>1</v>
      </c>
      <c r="X8387">
        <v>1</v>
      </c>
      <c r="Y8387">
        <v>0</v>
      </c>
      <c r="Z8387">
        <v>1</v>
      </c>
      <c r="AA8387">
        <v>92.87</v>
      </c>
      <c r="AB8387">
        <v>92.87</v>
      </c>
      <c r="AC8387">
        <v>81</v>
      </c>
      <c r="AD8387">
        <v>0</v>
      </c>
      <c r="AE8387">
        <v>11.87</v>
      </c>
      <c r="AF8387">
        <v>0</v>
      </c>
      <c r="AG8387">
        <v>0</v>
      </c>
      <c r="AH8387">
        <v>0</v>
      </c>
      <c r="AI8387">
        <v>0</v>
      </c>
      <c r="AJ8387">
        <v>92.87</v>
      </c>
      <c r="AK8387">
        <v>0</v>
      </c>
      <c r="AL8387" t="s">
        <v>53</v>
      </c>
      <c r="AM8387" t="s">
        <v>53</v>
      </c>
      <c r="AN8387" t="s">
        <v>15858</v>
      </c>
      <c r="AO8387" t="s">
        <v>53</v>
      </c>
      <c r="AP8387" t="s">
        <v>53</v>
      </c>
    </row>
    <row r="8388" spans="2:42" x14ac:dyDescent="0.2">
      <c r="B8388" t="s">
        <v>44</v>
      </c>
      <c r="C8388" t="str">
        <f>HYPERLINK("https://us2.cloudbeds.com/connect/8493803454333002#/reservations/9080486848545647?display=4PPNAE8FQA&amp;reservation_id=9080486848545647", "4PPNAE8FQA")</f>
        <v>4PPNAE8FQA</v>
      </c>
      <c r="D8388" t="s">
        <v>45</v>
      </c>
      <c r="E8388" t="s">
        <v>69</v>
      </c>
      <c r="F8388" t="s">
        <v>70</v>
      </c>
      <c r="G8388" t="s">
        <v>48</v>
      </c>
      <c r="H8388" t="s">
        <v>49</v>
      </c>
      <c r="I8388" t="s">
        <v>50</v>
      </c>
      <c r="J8388" t="s">
        <v>14831</v>
      </c>
      <c r="K8388" t="s">
        <v>14348</v>
      </c>
      <c r="L8388" t="s">
        <v>53</v>
      </c>
      <c r="N8388" t="s">
        <v>15859</v>
      </c>
      <c r="P8388" t="s">
        <v>55</v>
      </c>
      <c r="R8388" t="s">
        <v>53</v>
      </c>
      <c r="T8388" t="s">
        <v>15860</v>
      </c>
      <c r="U8388" t="s">
        <v>55</v>
      </c>
      <c r="V8388">
        <v>2</v>
      </c>
      <c r="W8388">
        <v>1</v>
      </c>
      <c r="X8388">
        <v>2</v>
      </c>
      <c r="Y8388">
        <v>0</v>
      </c>
      <c r="Z8388">
        <v>2</v>
      </c>
      <c r="AA8388">
        <v>183.87</v>
      </c>
      <c r="AB8388">
        <v>183.87</v>
      </c>
      <c r="AC8388">
        <v>169.08</v>
      </c>
      <c r="AD8388">
        <v>0</v>
      </c>
      <c r="AE8388">
        <v>14.79</v>
      </c>
      <c r="AF8388">
        <v>0</v>
      </c>
      <c r="AG8388">
        <v>0</v>
      </c>
      <c r="AH8388">
        <v>0</v>
      </c>
      <c r="AI8388">
        <v>33.1</v>
      </c>
      <c r="AJ8388">
        <v>183.87</v>
      </c>
      <c r="AK8388">
        <v>0</v>
      </c>
      <c r="AL8388" t="s">
        <v>53</v>
      </c>
      <c r="AM8388" t="s">
        <v>53</v>
      </c>
      <c r="AN8388" t="s">
        <v>53</v>
      </c>
      <c r="AO8388" t="s">
        <v>53</v>
      </c>
      <c r="AP8388" t="s">
        <v>53</v>
      </c>
    </row>
    <row r="8389" spans="2:42" x14ac:dyDescent="0.2">
      <c r="B8389" t="s">
        <v>44</v>
      </c>
      <c r="C8389" t="str">
        <f>HYPERLINK("https://us2.cloudbeds.com/connect/8493803454333002#/reservations/9080486848546149?display=4PQ7DGX0SN&amp;reservation_id=9080486848546149", "4PQ7DGX0SN")</f>
        <v>4PQ7DGX0SN</v>
      </c>
      <c r="D8389" t="s">
        <v>45</v>
      </c>
      <c r="E8389" t="s">
        <v>14402</v>
      </c>
      <c r="F8389" t="s">
        <v>14403</v>
      </c>
      <c r="G8389" t="s">
        <v>48</v>
      </c>
      <c r="H8389" t="s">
        <v>49</v>
      </c>
      <c r="I8389" t="s">
        <v>50</v>
      </c>
      <c r="J8389" t="s">
        <v>14206</v>
      </c>
      <c r="K8389" t="s">
        <v>13082</v>
      </c>
      <c r="L8389" t="s">
        <v>53</v>
      </c>
      <c r="N8389" t="s">
        <v>15861</v>
      </c>
      <c r="P8389" t="s">
        <v>55</v>
      </c>
      <c r="R8389" t="s">
        <v>53</v>
      </c>
      <c r="T8389" t="s">
        <v>15862</v>
      </c>
      <c r="U8389" t="s">
        <v>55</v>
      </c>
      <c r="V8389">
        <v>2</v>
      </c>
      <c r="W8389">
        <v>1</v>
      </c>
      <c r="X8389">
        <v>2</v>
      </c>
      <c r="Y8389">
        <v>0</v>
      </c>
      <c r="Z8389">
        <v>2</v>
      </c>
      <c r="AA8389">
        <v>395.66</v>
      </c>
      <c r="AB8389">
        <v>399.49</v>
      </c>
      <c r="AC8389">
        <v>363.83</v>
      </c>
      <c r="AD8389">
        <v>3.5</v>
      </c>
      <c r="AE8389">
        <v>32.159999999999997</v>
      </c>
      <c r="AF8389">
        <v>0</v>
      </c>
      <c r="AG8389">
        <v>0</v>
      </c>
      <c r="AH8389">
        <v>0</v>
      </c>
      <c r="AI8389">
        <v>71.91</v>
      </c>
      <c r="AJ8389">
        <v>399.49</v>
      </c>
      <c r="AK8389">
        <v>0</v>
      </c>
      <c r="AL8389" t="s">
        <v>53</v>
      </c>
      <c r="AM8389" t="s">
        <v>53</v>
      </c>
      <c r="AN8389" t="s">
        <v>15863</v>
      </c>
      <c r="AO8389" t="s">
        <v>53</v>
      </c>
      <c r="AP8389" t="s">
        <v>53</v>
      </c>
    </row>
    <row r="8390" spans="2:42" x14ac:dyDescent="0.2">
      <c r="B8390" t="s">
        <v>44</v>
      </c>
      <c r="C8390" t="str">
        <f>HYPERLINK("https://us2.cloudbeds.com/connect/8493803454333002#/reservations/9080486848547192?display=4PRBUH7SET&amp;reservation_id=9080486848547192", "4PRBUH7SET")</f>
        <v>4PRBUH7SET</v>
      </c>
      <c r="D8390" t="s">
        <v>45</v>
      </c>
      <c r="E8390" t="s">
        <v>110</v>
      </c>
      <c r="F8390" t="s">
        <v>47</v>
      </c>
      <c r="G8390" t="s">
        <v>48</v>
      </c>
      <c r="H8390" t="s">
        <v>49</v>
      </c>
      <c r="I8390" t="s">
        <v>50</v>
      </c>
      <c r="J8390" t="s">
        <v>13719</v>
      </c>
      <c r="K8390" t="s">
        <v>15369</v>
      </c>
      <c r="L8390" t="s">
        <v>53</v>
      </c>
      <c r="N8390" t="s">
        <v>15864</v>
      </c>
      <c r="P8390" t="s">
        <v>55</v>
      </c>
      <c r="R8390" t="s">
        <v>53</v>
      </c>
      <c r="T8390" t="s">
        <v>15865</v>
      </c>
      <c r="U8390" t="s">
        <v>55</v>
      </c>
      <c r="V8390">
        <v>1</v>
      </c>
      <c r="W8390">
        <v>1</v>
      </c>
      <c r="X8390">
        <v>2</v>
      </c>
      <c r="Y8390">
        <v>0</v>
      </c>
      <c r="Z8390">
        <v>2</v>
      </c>
      <c r="AA8390">
        <v>58.43</v>
      </c>
      <c r="AB8390">
        <v>58.43</v>
      </c>
      <c r="AC8390">
        <v>53.73</v>
      </c>
      <c r="AD8390">
        <v>0</v>
      </c>
      <c r="AE8390">
        <v>4.7</v>
      </c>
      <c r="AF8390">
        <v>0</v>
      </c>
      <c r="AG8390">
        <v>0</v>
      </c>
      <c r="AH8390">
        <v>0</v>
      </c>
      <c r="AI8390">
        <v>10.52</v>
      </c>
      <c r="AJ8390">
        <v>58.43</v>
      </c>
      <c r="AK8390">
        <v>0</v>
      </c>
      <c r="AL8390" t="s">
        <v>53</v>
      </c>
      <c r="AM8390" t="s">
        <v>53</v>
      </c>
      <c r="AN8390" t="s">
        <v>15866</v>
      </c>
      <c r="AO8390" t="s">
        <v>53</v>
      </c>
      <c r="AP8390" t="s">
        <v>53</v>
      </c>
    </row>
    <row r="8391" spans="2:42" x14ac:dyDescent="0.2">
      <c r="B8391" t="s">
        <v>44</v>
      </c>
      <c r="C8391" t="str">
        <f>HYPERLINK("https://us2.cloudbeds.com/connect/8493803454333002#/reservations/222162529583296?display=4PVR8XX1GC&amp;reservation_id=222162529583296", "4PVR8XX1GC")</f>
        <v>4PVR8XX1GC</v>
      </c>
      <c r="D8391" t="s">
        <v>45</v>
      </c>
      <c r="E8391" t="s">
        <v>128</v>
      </c>
      <c r="F8391" t="s">
        <v>86</v>
      </c>
      <c r="G8391" t="s">
        <v>3974</v>
      </c>
      <c r="H8391" t="s">
        <v>3957</v>
      </c>
      <c r="I8391" t="s">
        <v>3975</v>
      </c>
      <c r="J8391" t="s">
        <v>14130</v>
      </c>
      <c r="K8391" t="s">
        <v>15867</v>
      </c>
      <c r="L8391" t="s">
        <v>53</v>
      </c>
      <c r="P8391" t="s">
        <v>55</v>
      </c>
      <c r="R8391" t="s">
        <v>56</v>
      </c>
      <c r="T8391" t="s">
        <v>15868</v>
      </c>
      <c r="U8391" t="s">
        <v>58</v>
      </c>
      <c r="V8391">
        <v>2</v>
      </c>
      <c r="W8391">
        <v>1</v>
      </c>
      <c r="X8391">
        <v>2</v>
      </c>
      <c r="Y8391">
        <v>0</v>
      </c>
      <c r="Z8391">
        <v>2</v>
      </c>
      <c r="AA8391">
        <v>604.49</v>
      </c>
      <c r="AB8391">
        <v>604.49</v>
      </c>
      <c r="AC8391">
        <v>527.25</v>
      </c>
      <c r="AD8391">
        <v>0</v>
      </c>
      <c r="AE8391">
        <v>77.239999999999995</v>
      </c>
      <c r="AF8391">
        <v>0</v>
      </c>
      <c r="AG8391">
        <v>0</v>
      </c>
      <c r="AH8391">
        <v>0</v>
      </c>
      <c r="AI8391">
        <v>0</v>
      </c>
      <c r="AJ8391">
        <v>604.49</v>
      </c>
      <c r="AK8391">
        <v>0</v>
      </c>
      <c r="AL8391" t="s">
        <v>53</v>
      </c>
      <c r="AM8391" t="s">
        <v>53</v>
      </c>
      <c r="AN8391" t="s">
        <v>15869</v>
      </c>
      <c r="AO8391" t="s">
        <v>53</v>
      </c>
      <c r="AP8391" t="s">
        <v>53</v>
      </c>
    </row>
    <row r="8392" spans="2:42" x14ac:dyDescent="0.2">
      <c r="B8392" t="s">
        <v>44</v>
      </c>
      <c r="C8392" t="str">
        <f>HYPERLINK("https://us2.cloudbeds.com/connect/8493803454333002#/reservations/9080486848554134?display=4Q006NXT2K&amp;reservation_id=9080486848554134", "4Q006NXT2K")</f>
        <v>4Q006NXT2K</v>
      </c>
      <c r="D8392" t="s">
        <v>45</v>
      </c>
      <c r="E8392" t="s">
        <v>69</v>
      </c>
      <c r="F8392" t="s">
        <v>70</v>
      </c>
      <c r="G8392" t="s">
        <v>48</v>
      </c>
      <c r="H8392" t="s">
        <v>49</v>
      </c>
      <c r="I8392" t="s">
        <v>50</v>
      </c>
      <c r="J8392" t="s">
        <v>12958</v>
      </c>
      <c r="K8392" t="s">
        <v>12863</v>
      </c>
      <c r="L8392" t="s">
        <v>53</v>
      </c>
      <c r="N8392" t="s">
        <v>15870</v>
      </c>
      <c r="P8392" t="s">
        <v>55</v>
      </c>
      <c r="R8392" t="s">
        <v>53</v>
      </c>
      <c r="T8392" t="s">
        <v>15871</v>
      </c>
      <c r="U8392" t="s">
        <v>55</v>
      </c>
      <c r="V8392">
        <v>1</v>
      </c>
      <c r="W8392">
        <v>1</v>
      </c>
      <c r="X8392">
        <v>2</v>
      </c>
      <c r="Y8392">
        <v>0</v>
      </c>
      <c r="Z8392">
        <v>2</v>
      </c>
      <c r="AA8392">
        <v>219.27</v>
      </c>
      <c r="AB8392">
        <v>219.27</v>
      </c>
      <c r="AC8392">
        <v>201.62</v>
      </c>
      <c r="AD8392">
        <v>0</v>
      </c>
      <c r="AE8392">
        <v>17.649999999999999</v>
      </c>
      <c r="AF8392">
        <v>0</v>
      </c>
      <c r="AG8392">
        <v>0</v>
      </c>
      <c r="AH8392">
        <v>0</v>
      </c>
      <c r="AI8392">
        <v>39.47</v>
      </c>
      <c r="AJ8392">
        <v>219.27</v>
      </c>
      <c r="AK8392">
        <v>0</v>
      </c>
      <c r="AL8392" t="s">
        <v>53</v>
      </c>
      <c r="AM8392" t="s">
        <v>53</v>
      </c>
      <c r="AN8392" t="s">
        <v>53</v>
      </c>
      <c r="AO8392" t="s">
        <v>53</v>
      </c>
      <c r="AP8392" t="s">
        <v>53</v>
      </c>
    </row>
    <row r="8393" spans="2:42" x14ac:dyDescent="0.2">
      <c r="B8393" t="s">
        <v>44</v>
      </c>
      <c r="C8393" t="str">
        <f>HYPERLINK("https://us2.cloudbeds.com/connect/8493803454333002#/reservations/9080486848555442?display=4Q0TZ5TMG5&amp;reservation_id=9080486848555442", "4Q0TZ5TMG5")</f>
        <v>4Q0TZ5TMG5</v>
      </c>
      <c r="D8393" t="s">
        <v>45</v>
      </c>
      <c r="E8393" t="s">
        <v>138</v>
      </c>
      <c r="F8393" t="s">
        <v>70</v>
      </c>
      <c r="G8393" t="s">
        <v>48</v>
      </c>
      <c r="H8393" t="s">
        <v>49</v>
      </c>
      <c r="I8393" t="s">
        <v>50</v>
      </c>
      <c r="J8393" t="s">
        <v>13038</v>
      </c>
      <c r="K8393" t="s">
        <v>12835</v>
      </c>
      <c r="L8393" t="s">
        <v>53</v>
      </c>
      <c r="N8393" t="s">
        <v>15872</v>
      </c>
      <c r="P8393" t="s">
        <v>55</v>
      </c>
      <c r="R8393" t="s">
        <v>53</v>
      </c>
      <c r="T8393" t="s">
        <v>15873</v>
      </c>
      <c r="U8393" t="s">
        <v>55</v>
      </c>
      <c r="V8393">
        <v>1</v>
      </c>
      <c r="W8393">
        <v>1</v>
      </c>
      <c r="X8393">
        <v>2</v>
      </c>
      <c r="Y8393">
        <v>0</v>
      </c>
      <c r="Z8393">
        <v>2</v>
      </c>
      <c r="AA8393">
        <v>56.18</v>
      </c>
      <c r="AB8393">
        <v>56.18</v>
      </c>
      <c r="AC8393">
        <v>51.66</v>
      </c>
      <c r="AD8393">
        <v>0</v>
      </c>
      <c r="AE8393">
        <v>4.5199999999999996</v>
      </c>
      <c r="AF8393">
        <v>0</v>
      </c>
      <c r="AG8393">
        <v>0</v>
      </c>
      <c r="AH8393">
        <v>0</v>
      </c>
      <c r="AI8393">
        <v>10.11</v>
      </c>
      <c r="AJ8393">
        <v>56.18</v>
      </c>
      <c r="AK8393">
        <v>0</v>
      </c>
      <c r="AL8393" t="s">
        <v>53</v>
      </c>
      <c r="AM8393" t="s">
        <v>53</v>
      </c>
      <c r="AN8393" t="s">
        <v>53</v>
      </c>
      <c r="AO8393" t="s">
        <v>53</v>
      </c>
      <c r="AP8393" t="s">
        <v>53</v>
      </c>
    </row>
    <row r="8394" spans="2:42" x14ac:dyDescent="0.2">
      <c r="B8394" t="s">
        <v>44</v>
      </c>
      <c r="C8394" t="str">
        <f>HYPERLINK("https://us2.cloudbeds.com/connect/8493803454333002#/reservations/9080486848555510?display=4Q0VDSURFX&amp;reservation_id=9080486848555510", "4Q0VDSURFX")</f>
        <v>4Q0VDSURFX</v>
      </c>
      <c r="D8394" t="s">
        <v>45</v>
      </c>
      <c r="E8394" t="s">
        <v>69</v>
      </c>
      <c r="F8394" t="s">
        <v>70</v>
      </c>
      <c r="G8394" t="s">
        <v>48</v>
      </c>
      <c r="H8394" t="s">
        <v>49</v>
      </c>
      <c r="I8394" t="s">
        <v>50</v>
      </c>
      <c r="J8394" t="s">
        <v>13038</v>
      </c>
      <c r="K8394" t="s">
        <v>12835</v>
      </c>
      <c r="L8394" t="s">
        <v>53</v>
      </c>
      <c r="N8394" t="s">
        <v>15874</v>
      </c>
      <c r="P8394" t="s">
        <v>55</v>
      </c>
      <c r="R8394" t="s">
        <v>53</v>
      </c>
      <c r="T8394" t="s">
        <v>15875</v>
      </c>
      <c r="U8394" t="s">
        <v>55</v>
      </c>
      <c r="V8394">
        <v>1</v>
      </c>
      <c r="W8394">
        <v>1</v>
      </c>
      <c r="X8394">
        <v>2</v>
      </c>
      <c r="Y8394">
        <v>0</v>
      </c>
      <c r="Z8394">
        <v>2</v>
      </c>
      <c r="AA8394">
        <v>44.95</v>
      </c>
      <c r="AB8394">
        <v>44.95</v>
      </c>
      <c r="AC8394">
        <v>41.33</v>
      </c>
      <c r="AD8394">
        <v>0</v>
      </c>
      <c r="AE8394">
        <v>3.62</v>
      </c>
      <c r="AF8394">
        <v>0</v>
      </c>
      <c r="AG8394">
        <v>0</v>
      </c>
      <c r="AH8394">
        <v>0</v>
      </c>
      <c r="AI8394">
        <v>8.09</v>
      </c>
      <c r="AJ8394">
        <v>44.95</v>
      </c>
      <c r="AK8394">
        <v>0</v>
      </c>
      <c r="AL8394" t="s">
        <v>53</v>
      </c>
      <c r="AM8394" t="s">
        <v>53</v>
      </c>
      <c r="AN8394" t="s">
        <v>53</v>
      </c>
      <c r="AO8394" t="s">
        <v>53</v>
      </c>
      <c r="AP8394" t="s">
        <v>53</v>
      </c>
    </row>
    <row r="8395" spans="2:42" x14ac:dyDescent="0.2">
      <c r="B8395" t="s">
        <v>44</v>
      </c>
      <c r="C8395" t="str">
        <f>HYPERLINK("https://us2.cloudbeds.com/connect/8493803454333002#/reservations/9080486848555704?display=4Q13NA3VHA&amp;reservation_id=9080486848555704", "4Q13NA3VHA")</f>
        <v>4Q13NA3VHA</v>
      </c>
      <c r="D8395" t="s">
        <v>45</v>
      </c>
      <c r="E8395" t="s">
        <v>110</v>
      </c>
      <c r="F8395" t="s">
        <v>47</v>
      </c>
      <c r="G8395" t="s">
        <v>48</v>
      </c>
      <c r="H8395" t="s">
        <v>49</v>
      </c>
      <c r="I8395" t="s">
        <v>50</v>
      </c>
      <c r="J8395" t="s">
        <v>14970</v>
      </c>
      <c r="K8395" t="s">
        <v>15876</v>
      </c>
      <c r="L8395" t="s">
        <v>53</v>
      </c>
      <c r="N8395" t="s">
        <v>15877</v>
      </c>
      <c r="P8395" t="s">
        <v>55</v>
      </c>
      <c r="R8395" t="s">
        <v>53</v>
      </c>
      <c r="T8395" t="s">
        <v>15878</v>
      </c>
      <c r="U8395" t="s">
        <v>58</v>
      </c>
      <c r="V8395">
        <v>3</v>
      </c>
      <c r="W8395">
        <v>1</v>
      </c>
      <c r="X8395">
        <v>2</v>
      </c>
      <c r="Y8395">
        <v>0</v>
      </c>
      <c r="Z8395">
        <v>2</v>
      </c>
      <c r="AA8395">
        <v>579.77</v>
      </c>
      <c r="AB8395">
        <v>579.77</v>
      </c>
      <c r="AC8395">
        <v>505.68</v>
      </c>
      <c r="AD8395">
        <v>0</v>
      </c>
      <c r="AE8395">
        <v>74.09</v>
      </c>
      <c r="AF8395">
        <v>0</v>
      </c>
      <c r="AG8395">
        <v>0</v>
      </c>
      <c r="AH8395">
        <v>0</v>
      </c>
      <c r="AI8395">
        <v>104.36</v>
      </c>
      <c r="AJ8395">
        <v>579.77</v>
      </c>
      <c r="AK8395">
        <v>0</v>
      </c>
      <c r="AL8395" t="s">
        <v>53</v>
      </c>
      <c r="AM8395" t="s">
        <v>53</v>
      </c>
      <c r="AN8395" t="s">
        <v>15879</v>
      </c>
      <c r="AO8395" t="s">
        <v>53</v>
      </c>
      <c r="AP8395" t="s">
        <v>53</v>
      </c>
    </row>
    <row r="8396" spans="2:42" x14ac:dyDescent="0.2">
      <c r="B8396" t="s">
        <v>44</v>
      </c>
      <c r="C8396" t="str">
        <f>HYPERLINK("https://us2.cloudbeds.com/connect/8493803454333002#/reservations/222267100541056?display=4Q197JXX8X&amp;reservation_id=222267100541056", "4Q197JXX8X")</f>
        <v>4Q197JXX8X</v>
      </c>
      <c r="D8396" t="s">
        <v>45</v>
      </c>
      <c r="E8396" t="s">
        <v>185</v>
      </c>
      <c r="F8396" t="s">
        <v>47</v>
      </c>
      <c r="G8396" t="s">
        <v>48</v>
      </c>
      <c r="H8396" t="s">
        <v>3957</v>
      </c>
      <c r="I8396" t="s">
        <v>3975</v>
      </c>
      <c r="J8396" t="s">
        <v>12835</v>
      </c>
      <c r="K8396" t="s">
        <v>9130</v>
      </c>
      <c r="L8396" t="s">
        <v>53</v>
      </c>
      <c r="P8396" t="s">
        <v>55</v>
      </c>
      <c r="R8396" t="s">
        <v>56</v>
      </c>
      <c r="T8396" t="s">
        <v>15880</v>
      </c>
      <c r="U8396" t="s">
        <v>58</v>
      </c>
      <c r="V8396">
        <v>1</v>
      </c>
      <c r="W8396">
        <v>1</v>
      </c>
      <c r="X8396">
        <v>1</v>
      </c>
      <c r="Y8396">
        <v>0</v>
      </c>
      <c r="Z8396">
        <v>1</v>
      </c>
      <c r="AA8396">
        <v>89.43</v>
      </c>
      <c r="AB8396">
        <v>89.43</v>
      </c>
      <c r="AC8396">
        <v>78</v>
      </c>
      <c r="AD8396">
        <v>0</v>
      </c>
      <c r="AE8396">
        <v>11.43</v>
      </c>
      <c r="AF8396">
        <v>0</v>
      </c>
      <c r="AG8396">
        <v>0</v>
      </c>
      <c r="AH8396">
        <v>0</v>
      </c>
      <c r="AI8396">
        <v>0</v>
      </c>
      <c r="AJ8396">
        <v>89.43</v>
      </c>
      <c r="AK8396">
        <v>0</v>
      </c>
      <c r="AL8396" t="s">
        <v>53</v>
      </c>
      <c r="AM8396" t="s">
        <v>53</v>
      </c>
      <c r="AN8396" t="s">
        <v>15881</v>
      </c>
      <c r="AO8396" t="s">
        <v>53</v>
      </c>
      <c r="AP8396" t="s">
        <v>53</v>
      </c>
    </row>
    <row r="8397" spans="2:42" x14ac:dyDescent="0.2">
      <c r="B8397" t="s">
        <v>44</v>
      </c>
      <c r="C8397" t="str">
        <f>HYPERLINK("https://us2.cloudbeds.com/connect/8493803454333002#/reservations/222283092459712?display=4Q1YK7BQHS&amp;reservation_id=222283092459712", "4Q1YK7BQHS")</f>
        <v>4Q1YK7BQHS</v>
      </c>
      <c r="D8397" t="s">
        <v>45</v>
      </c>
      <c r="E8397" t="s">
        <v>138</v>
      </c>
      <c r="F8397" t="s">
        <v>70</v>
      </c>
      <c r="G8397" t="s">
        <v>48</v>
      </c>
      <c r="H8397" t="s">
        <v>3957</v>
      </c>
      <c r="I8397" t="s">
        <v>3975</v>
      </c>
      <c r="J8397" t="s">
        <v>14349</v>
      </c>
      <c r="K8397" t="s">
        <v>15838</v>
      </c>
      <c r="L8397" t="s">
        <v>53</v>
      </c>
      <c r="P8397" t="s">
        <v>55</v>
      </c>
      <c r="R8397" t="s">
        <v>56</v>
      </c>
      <c r="T8397" t="s">
        <v>15882</v>
      </c>
      <c r="U8397" t="s">
        <v>58</v>
      </c>
      <c r="V8397">
        <v>1</v>
      </c>
      <c r="W8397">
        <v>1</v>
      </c>
      <c r="X8397">
        <v>2</v>
      </c>
      <c r="Y8397">
        <v>0</v>
      </c>
      <c r="Z8397">
        <v>2</v>
      </c>
      <c r="AA8397">
        <v>0</v>
      </c>
      <c r="AB8397">
        <v>165.1</v>
      </c>
      <c r="AC8397">
        <v>144</v>
      </c>
      <c r="AD8397">
        <v>0</v>
      </c>
      <c r="AE8397">
        <v>21.1</v>
      </c>
      <c r="AF8397">
        <v>0</v>
      </c>
      <c r="AG8397">
        <v>0</v>
      </c>
      <c r="AH8397">
        <v>0</v>
      </c>
      <c r="AI8397">
        <v>0</v>
      </c>
      <c r="AJ8397">
        <v>165.1</v>
      </c>
      <c r="AK8397">
        <v>0</v>
      </c>
      <c r="AL8397" t="s">
        <v>53</v>
      </c>
      <c r="AM8397" t="s">
        <v>53</v>
      </c>
      <c r="AN8397" t="s">
        <v>15883</v>
      </c>
      <c r="AO8397" t="s">
        <v>53</v>
      </c>
      <c r="AP8397" t="s">
        <v>53</v>
      </c>
    </row>
    <row r="8398" spans="2:42" x14ac:dyDescent="0.2">
      <c r="B8398" t="s">
        <v>44</v>
      </c>
      <c r="C8398" t="str">
        <f>HYPERLINK("https://us2.cloudbeds.com/connect/8493803454333002#/reservations/9080486848556346?display=4Q1MTTEGH2&amp;reservation_id=9080486848556346", "4Q1MTTEGH2")</f>
        <v>4Q1MTTEGH2</v>
      </c>
      <c r="D8398" t="s">
        <v>45</v>
      </c>
      <c r="E8398" t="s">
        <v>110</v>
      </c>
      <c r="F8398" t="s">
        <v>47</v>
      </c>
      <c r="G8398" t="s">
        <v>48</v>
      </c>
      <c r="H8398" t="s">
        <v>49</v>
      </c>
      <c r="I8398" t="s">
        <v>50</v>
      </c>
      <c r="J8398" t="s">
        <v>13038</v>
      </c>
      <c r="K8398" t="s">
        <v>12835</v>
      </c>
      <c r="L8398" t="s">
        <v>53</v>
      </c>
      <c r="N8398" t="s">
        <v>15884</v>
      </c>
      <c r="P8398" t="s">
        <v>55</v>
      </c>
      <c r="R8398" t="s">
        <v>53</v>
      </c>
      <c r="T8398" t="s">
        <v>15885</v>
      </c>
      <c r="U8398" t="s">
        <v>55</v>
      </c>
      <c r="V8398">
        <v>1</v>
      </c>
      <c r="W8398">
        <v>1</v>
      </c>
      <c r="X8398">
        <v>2</v>
      </c>
      <c r="Y8398">
        <v>0</v>
      </c>
      <c r="Z8398">
        <v>2</v>
      </c>
      <c r="AA8398">
        <v>52.58</v>
      </c>
      <c r="AB8398">
        <v>52.58</v>
      </c>
      <c r="AC8398">
        <v>48.35</v>
      </c>
      <c r="AD8398">
        <v>0</v>
      </c>
      <c r="AE8398">
        <v>4.2300000000000004</v>
      </c>
      <c r="AF8398">
        <v>0</v>
      </c>
      <c r="AG8398">
        <v>0</v>
      </c>
      <c r="AH8398">
        <v>0</v>
      </c>
      <c r="AI8398">
        <v>9.4600000000000009</v>
      </c>
      <c r="AJ8398">
        <v>52.58</v>
      </c>
      <c r="AK8398">
        <v>0</v>
      </c>
      <c r="AL8398" t="s">
        <v>53</v>
      </c>
      <c r="AM8398" t="s">
        <v>53</v>
      </c>
      <c r="AN8398" t="s">
        <v>53</v>
      </c>
      <c r="AO8398" t="s">
        <v>53</v>
      </c>
      <c r="AP8398" t="s">
        <v>53</v>
      </c>
    </row>
    <row r="8399" spans="2:42" x14ac:dyDescent="0.2">
      <c r="B8399" t="s">
        <v>44</v>
      </c>
      <c r="C8399" t="str">
        <f>HYPERLINK("https://us2.cloudbeds.com/connect/8493803454333002#/reservations/9080486848556756?display=4Q1WJZ6A24&amp;reservation_id=9080486848556756", "4Q1WJZ6A24")</f>
        <v>4Q1WJZ6A24</v>
      </c>
      <c r="D8399" t="s">
        <v>45</v>
      </c>
      <c r="E8399" t="s">
        <v>14402</v>
      </c>
      <c r="F8399" t="s">
        <v>14403</v>
      </c>
      <c r="G8399" t="s">
        <v>48</v>
      </c>
      <c r="H8399" t="s">
        <v>49</v>
      </c>
      <c r="I8399" t="s">
        <v>50</v>
      </c>
      <c r="J8399" t="s">
        <v>9131</v>
      </c>
      <c r="K8399" t="s">
        <v>14929</v>
      </c>
      <c r="L8399" t="s">
        <v>53</v>
      </c>
      <c r="N8399" t="s">
        <v>15886</v>
      </c>
      <c r="P8399" t="s">
        <v>55</v>
      </c>
      <c r="R8399" t="s">
        <v>53</v>
      </c>
      <c r="T8399" t="s">
        <v>15887</v>
      </c>
      <c r="U8399" t="s">
        <v>55</v>
      </c>
      <c r="V8399">
        <v>4</v>
      </c>
      <c r="W8399">
        <v>1</v>
      </c>
      <c r="X8399">
        <v>2</v>
      </c>
      <c r="Y8399">
        <v>0</v>
      </c>
      <c r="Z8399">
        <v>2</v>
      </c>
      <c r="AA8399">
        <v>286.08999999999997</v>
      </c>
      <c r="AB8399">
        <v>286.08999999999997</v>
      </c>
      <c r="AC8399">
        <v>263.05</v>
      </c>
      <c r="AD8399">
        <v>0</v>
      </c>
      <c r="AE8399">
        <v>23.04</v>
      </c>
      <c r="AF8399">
        <v>0</v>
      </c>
      <c r="AG8399">
        <v>0</v>
      </c>
      <c r="AH8399">
        <v>0</v>
      </c>
      <c r="AI8399">
        <v>51.5</v>
      </c>
      <c r="AJ8399">
        <v>286.08999999999997</v>
      </c>
      <c r="AK8399">
        <v>0</v>
      </c>
      <c r="AL8399" t="s">
        <v>53</v>
      </c>
      <c r="AM8399" t="s">
        <v>53</v>
      </c>
      <c r="AN8399" t="s">
        <v>53</v>
      </c>
      <c r="AO8399" t="s">
        <v>53</v>
      </c>
      <c r="AP8399" t="s">
        <v>53</v>
      </c>
    </row>
    <row r="8400" spans="2:42" x14ac:dyDescent="0.2">
      <c r="B8400" t="s">
        <v>44</v>
      </c>
      <c r="C8400" t="str">
        <f>HYPERLINK("https://us2.cloudbeds.com/connect/8493803454333002#/reservations/9080486848556942?display=4Q24TV7EA1&amp;reservation_id=9080486848556942", "4Q24TV7EA1")</f>
        <v>4Q24TV7EA1</v>
      </c>
      <c r="D8400" t="s">
        <v>45</v>
      </c>
      <c r="E8400" t="s">
        <v>190</v>
      </c>
      <c r="F8400" t="s">
        <v>61</v>
      </c>
      <c r="G8400" t="s">
        <v>48</v>
      </c>
      <c r="H8400" t="s">
        <v>49</v>
      </c>
      <c r="I8400" t="s">
        <v>50</v>
      </c>
      <c r="J8400" t="s">
        <v>15439</v>
      </c>
      <c r="K8400" t="s">
        <v>14929</v>
      </c>
      <c r="L8400" t="s">
        <v>53</v>
      </c>
      <c r="N8400" t="s">
        <v>15888</v>
      </c>
      <c r="P8400" t="s">
        <v>55</v>
      </c>
      <c r="R8400" t="s">
        <v>53</v>
      </c>
      <c r="T8400" t="s">
        <v>15889</v>
      </c>
      <c r="U8400" t="s">
        <v>55</v>
      </c>
      <c r="V8400">
        <v>1</v>
      </c>
      <c r="W8400">
        <v>1</v>
      </c>
      <c r="X8400">
        <v>2</v>
      </c>
      <c r="Y8400">
        <v>0</v>
      </c>
      <c r="Z8400">
        <v>2</v>
      </c>
      <c r="AA8400">
        <v>62.03</v>
      </c>
      <c r="AB8400">
        <v>70.790000000000006</v>
      </c>
      <c r="AC8400">
        <v>57.04</v>
      </c>
      <c r="AD8400">
        <v>8</v>
      </c>
      <c r="AE8400">
        <v>5.75</v>
      </c>
      <c r="AF8400">
        <v>0</v>
      </c>
      <c r="AG8400">
        <v>0</v>
      </c>
      <c r="AH8400">
        <v>0</v>
      </c>
      <c r="AI8400">
        <v>12.74</v>
      </c>
      <c r="AJ8400">
        <v>70.790000000000006</v>
      </c>
      <c r="AK8400">
        <v>0</v>
      </c>
      <c r="AL8400" t="s">
        <v>53</v>
      </c>
      <c r="AM8400" t="s">
        <v>53</v>
      </c>
      <c r="AN8400" t="s">
        <v>15890</v>
      </c>
      <c r="AO8400" t="s">
        <v>53</v>
      </c>
      <c r="AP8400" t="s">
        <v>53</v>
      </c>
    </row>
    <row r="8401" spans="2:42" x14ac:dyDescent="0.2">
      <c r="B8401" t="s">
        <v>44</v>
      </c>
      <c r="C8401" t="str">
        <f>HYPERLINK("https://us2.cloudbeds.com/connect/8493803454333002#/reservations/9080486848557647?display=4Q2QFPSPBU&amp;reservation_id=9080486848557647", "4Q2QFPSPBU")</f>
        <v>4Q2QFPSPBU</v>
      </c>
      <c r="D8401" t="s">
        <v>45</v>
      </c>
      <c r="E8401" t="s">
        <v>110</v>
      </c>
      <c r="F8401" t="s">
        <v>47</v>
      </c>
      <c r="G8401" t="s">
        <v>48</v>
      </c>
      <c r="H8401" t="s">
        <v>49</v>
      </c>
      <c r="I8401" t="s">
        <v>50</v>
      </c>
      <c r="J8401" t="s">
        <v>12835</v>
      </c>
      <c r="K8401" t="s">
        <v>9131</v>
      </c>
      <c r="L8401" t="s">
        <v>53</v>
      </c>
      <c r="N8401" t="s">
        <v>15891</v>
      </c>
      <c r="P8401" t="s">
        <v>55</v>
      </c>
      <c r="R8401" t="s">
        <v>53</v>
      </c>
      <c r="T8401" t="s">
        <v>15892</v>
      </c>
      <c r="U8401" t="s">
        <v>55</v>
      </c>
      <c r="V8401">
        <v>2</v>
      </c>
      <c r="W8401">
        <v>1</v>
      </c>
      <c r="X8401">
        <v>2</v>
      </c>
      <c r="Y8401">
        <v>0</v>
      </c>
      <c r="Z8401">
        <v>2</v>
      </c>
      <c r="AA8401">
        <v>109.54</v>
      </c>
      <c r="AB8401">
        <v>109.54</v>
      </c>
      <c r="AC8401">
        <v>100.74</v>
      </c>
      <c r="AD8401">
        <v>0</v>
      </c>
      <c r="AE8401">
        <v>8.8000000000000007</v>
      </c>
      <c r="AF8401">
        <v>0</v>
      </c>
      <c r="AG8401">
        <v>0</v>
      </c>
      <c r="AH8401">
        <v>0</v>
      </c>
      <c r="AI8401">
        <v>19.72</v>
      </c>
      <c r="AJ8401">
        <v>109.54</v>
      </c>
      <c r="AK8401">
        <v>0</v>
      </c>
      <c r="AL8401" t="s">
        <v>53</v>
      </c>
      <c r="AM8401" t="s">
        <v>53</v>
      </c>
      <c r="AN8401" t="s">
        <v>53</v>
      </c>
      <c r="AO8401" t="s">
        <v>53</v>
      </c>
      <c r="AP8401" t="s">
        <v>53</v>
      </c>
    </row>
    <row r="8402" spans="2:42" x14ac:dyDescent="0.2">
      <c r="B8402" t="s">
        <v>44</v>
      </c>
      <c r="C8402" t="str">
        <f>HYPERLINK("https://us2.cloudbeds.com/connect/8493803454333002#/reservations/222483792466112?display=4Q6C0XUQ42&amp;reservation_id=222483792466112", "4Q6C0XUQ42")</f>
        <v>4Q6C0XUQ42</v>
      </c>
      <c r="D8402" t="s">
        <v>45</v>
      </c>
      <c r="E8402" t="s">
        <v>14402</v>
      </c>
      <c r="F8402" t="s">
        <v>14403</v>
      </c>
      <c r="G8402" t="s">
        <v>48</v>
      </c>
      <c r="H8402" t="s">
        <v>3957</v>
      </c>
      <c r="I8402" t="s">
        <v>3975</v>
      </c>
      <c r="J8402" t="s">
        <v>12835</v>
      </c>
      <c r="K8402" t="s">
        <v>9130</v>
      </c>
      <c r="L8402" t="s">
        <v>53</v>
      </c>
      <c r="P8402" t="s">
        <v>55</v>
      </c>
      <c r="R8402" t="s">
        <v>56</v>
      </c>
      <c r="T8402" t="s">
        <v>15893</v>
      </c>
      <c r="U8402" t="s">
        <v>58</v>
      </c>
      <c r="V8402">
        <v>1</v>
      </c>
      <c r="W8402">
        <v>1</v>
      </c>
      <c r="X8402">
        <v>2</v>
      </c>
      <c r="Y8402">
        <v>0</v>
      </c>
      <c r="Z8402">
        <v>2</v>
      </c>
      <c r="AA8402">
        <v>99.75</v>
      </c>
      <c r="AB8402">
        <v>99.75</v>
      </c>
      <c r="AC8402">
        <v>87</v>
      </c>
      <c r="AD8402">
        <v>0</v>
      </c>
      <c r="AE8402">
        <v>12.75</v>
      </c>
      <c r="AF8402">
        <v>0</v>
      </c>
      <c r="AG8402">
        <v>0</v>
      </c>
      <c r="AH8402">
        <v>0</v>
      </c>
      <c r="AI8402">
        <v>0</v>
      </c>
      <c r="AJ8402">
        <v>99.75</v>
      </c>
      <c r="AK8402">
        <v>0</v>
      </c>
      <c r="AL8402" t="s">
        <v>53</v>
      </c>
      <c r="AM8402" t="s">
        <v>53</v>
      </c>
      <c r="AN8402" t="s">
        <v>53</v>
      </c>
      <c r="AO8402" t="s">
        <v>53</v>
      </c>
      <c r="AP8402" t="s">
        <v>53</v>
      </c>
    </row>
    <row r="8403" spans="2:42" x14ac:dyDescent="0.2">
      <c r="B8403" t="s">
        <v>44</v>
      </c>
      <c r="C8403" t="str">
        <f>HYPERLINK("https://us2.cloudbeds.com/connect/8493803454333002#/reservations/9080486848562283?display=4Q6ZDPC9MJ&amp;reservation_id=9080486848562283", "4Q6ZDPC9MJ")</f>
        <v>4Q6ZDPC9MJ</v>
      </c>
      <c r="D8403" t="s">
        <v>45</v>
      </c>
      <c r="E8403" t="s">
        <v>85</v>
      </c>
      <c r="F8403" t="s">
        <v>86</v>
      </c>
      <c r="G8403" t="s">
        <v>48</v>
      </c>
      <c r="H8403" t="s">
        <v>49</v>
      </c>
      <c r="I8403" t="s">
        <v>50</v>
      </c>
      <c r="J8403" t="s">
        <v>9763</v>
      </c>
      <c r="K8403" t="s">
        <v>10598</v>
      </c>
      <c r="L8403" t="s">
        <v>53</v>
      </c>
      <c r="N8403" t="s">
        <v>15894</v>
      </c>
      <c r="P8403" t="s">
        <v>55</v>
      </c>
      <c r="R8403" t="s">
        <v>53</v>
      </c>
      <c r="T8403" t="s">
        <v>15895</v>
      </c>
      <c r="U8403" t="s">
        <v>55</v>
      </c>
      <c r="V8403">
        <v>2</v>
      </c>
      <c r="W8403">
        <v>1</v>
      </c>
      <c r="X8403">
        <v>2</v>
      </c>
      <c r="Y8403">
        <v>2</v>
      </c>
      <c r="Z8403">
        <v>4</v>
      </c>
      <c r="AA8403">
        <v>300.02999999999997</v>
      </c>
      <c r="AB8403">
        <v>300.02999999999997</v>
      </c>
      <c r="AC8403">
        <v>275.89</v>
      </c>
      <c r="AD8403">
        <v>0</v>
      </c>
      <c r="AE8403">
        <v>24.14</v>
      </c>
      <c r="AF8403">
        <v>0</v>
      </c>
      <c r="AG8403">
        <v>0</v>
      </c>
      <c r="AH8403">
        <v>0</v>
      </c>
      <c r="AI8403">
        <v>54.01</v>
      </c>
      <c r="AJ8403">
        <v>300.02999999999997</v>
      </c>
      <c r="AK8403">
        <v>0</v>
      </c>
      <c r="AL8403" t="s">
        <v>53</v>
      </c>
      <c r="AM8403" t="s">
        <v>53</v>
      </c>
      <c r="AN8403" t="s">
        <v>53</v>
      </c>
      <c r="AO8403" t="s">
        <v>53</v>
      </c>
      <c r="AP8403" t="s">
        <v>53</v>
      </c>
    </row>
    <row r="8404" spans="2:42" x14ac:dyDescent="0.2">
      <c r="B8404" t="s">
        <v>44</v>
      </c>
      <c r="C8404" t="str">
        <f>HYPERLINK("https://us2.cloudbeds.com/connect/8493803454333002#/reservations/9080486848562537?display=4Q6SKE3RW0&amp;reservation_id=9080486848562537", "4Q6SKE3RW0")</f>
        <v>4Q6SKE3RW0</v>
      </c>
      <c r="D8404" t="s">
        <v>45</v>
      </c>
      <c r="E8404" t="s">
        <v>85</v>
      </c>
      <c r="F8404" t="s">
        <v>86</v>
      </c>
      <c r="G8404" t="s">
        <v>48</v>
      </c>
      <c r="H8404" t="s">
        <v>49</v>
      </c>
      <c r="I8404" t="s">
        <v>50</v>
      </c>
      <c r="J8404" t="s">
        <v>14656</v>
      </c>
      <c r="K8404" t="s">
        <v>14971</v>
      </c>
      <c r="L8404" t="s">
        <v>53</v>
      </c>
      <c r="N8404" t="s">
        <v>15896</v>
      </c>
      <c r="P8404" t="s">
        <v>55</v>
      </c>
      <c r="R8404" t="s">
        <v>53</v>
      </c>
      <c r="T8404" t="s">
        <v>15897</v>
      </c>
      <c r="U8404" t="s">
        <v>58</v>
      </c>
      <c r="V8404">
        <v>2</v>
      </c>
      <c r="W8404">
        <v>1</v>
      </c>
      <c r="X8404">
        <v>2</v>
      </c>
      <c r="Y8404">
        <v>0</v>
      </c>
      <c r="Z8404">
        <v>2</v>
      </c>
      <c r="AA8404">
        <v>396.02</v>
      </c>
      <c r="AB8404">
        <v>396.02</v>
      </c>
      <c r="AC8404">
        <v>345.41</v>
      </c>
      <c r="AD8404">
        <v>0</v>
      </c>
      <c r="AE8404">
        <v>50.61</v>
      </c>
      <c r="AF8404">
        <v>0</v>
      </c>
      <c r="AG8404">
        <v>0</v>
      </c>
      <c r="AH8404">
        <v>0</v>
      </c>
      <c r="AI8404">
        <v>71.28</v>
      </c>
      <c r="AJ8404">
        <v>396.02</v>
      </c>
      <c r="AK8404">
        <v>0</v>
      </c>
      <c r="AL8404" t="s">
        <v>53</v>
      </c>
      <c r="AM8404" t="s">
        <v>53</v>
      </c>
      <c r="AN8404" t="s">
        <v>53</v>
      </c>
      <c r="AO8404" t="s">
        <v>53</v>
      </c>
      <c r="AP8404" t="s">
        <v>53</v>
      </c>
    </row>
    <row r="8405" spans="2:42" x14ac:dyDescent="0.2">
      <c r="B8405" t="s">
        <v>44</v>
      </c>
      <c r="C8405" t="str">
        <f>HYPERLINK("https://us2.cloudbeds.com/connect/8493803454333002#/reservations/9080486848562965?display=4Q70RTQ3BR&amp;reservation_id=9080486848562965", "4Q70RTQ3BR")</f>
        <v>4Q70RTQ3BR</v>
      </c>
      <c r="D8405" t="s">
        <v>45</v>
      </c>
      <c r="E8405" t="s">
        <v>138</v>
      </c>
      <c r="F8405" t="s">
        <v>70</v>
      </c>
      <c r="G8405" t="s">
        <v>48</v>
      </c>
      <c r="H8405" t="s">
        <v>49</v>
      </c>
      <c r="I8405" t="s">
        <v>50</v>
      </c>
      <c r="J8405" t="s">
        <v>9131</v>
      </c>
      <c r="K8405" t="s">
        <v>13719</v>
      </c>
      <c r="L8405" t="s">
        <v>53</v>
      </c>
      <c r="N8405" t="s">
        <v>15898</v>
      </c>
      <c r="P8405" t="s">
        <v>55</v>
      </c>
      <c r="R8405" t="s">
        <v>53</v>
      </c>
      <c r="T8405" t="s">
        <v>15899</v>
      </c>
      <c r="U8405" t="s">
        <v>55</v>
      </c>
      <c r="V8405">
        <v>1</v>
      </c>
      <c r="W8405">
        <v>1</v>
      </c>
      <c r="X8405">
        <v>2</v>
      </c>
      <c r="Y8405">
        <v>0</v>
      </c>
      <c r="Z8405">
        <v>2</v>
      </c>
      <c r="AA8405">
        <v>48.46</v>
      </c>
      <c r="AB8405">
        <v>48.46</v>
      </c>
      <c r="AC8405">
        <v>44.56</v>
      </c>
      <c r="AD8405">
        <v>0</v>
      </c>
      <c r="AE8405">
        <v>3.9</v>
      </c>
      <c r="AF8405">
        <v>0</v>
      </c>
      <c r="AG8405">
        <v>0</v>
      </c>
      <c r="AH8405">
        <v>0</v>
      </c>
      <c r="AI8405">
        <v>8.7200000000000006</v>
      </c>
      <c r="AJ8405">
        <v>48.46</v>
      </c>
      <c r="AK8405">
        <v>0</v>
      </c>
      <c r="AL8405" t="s">
        <v>53</v>
      </c>
      <c r="AM8405" t="s">
        <v>53</v>
      </c>
      <c r="AN8405" t="s">
        <v>53</v>
      </c>
      <c r="AO8405" t="s">
        <v>53</v>
      </c>
      <c r="AP8405" t="s">
        <v>53</v>
      </c>
    </row>
    <row r="8406" spans="2:42" x14ac:dyDescent="0.2">
      <c r="B8406" t="s">
        <v>44</v>
      </c>
      <c r="C8406" t="str">
        <f>HYPERLINK("https://us2.cloudbeds.com/connect/8493803454333002#/reservations/9080486848563817?display=4Q7GR7RMRU&amp;reservation_id=9080486848563817", "4Q7GR7RMRU")</f>
        <v>4Q7GR7RMRU</v>
      </c>
      <c r="D8406" t="s">
        <v>45</v>
      </c>
      <c r="E8406" t="s">
        <v>128</v>
      </c>
      <c r="F8406" t="s">
        <v>86</v>
      </c>
      <c r="G8406" t="s">
        <v>48</v>
      </c>
      <c r="H8406" t="s">
        <v>49</v>
      </c>
      <c r="I8406" t="s">
        <v>8964</v>
      </c>
      <c r="J8406" t="s">
        <v>12835</v>
      </c>
      <c r="K8406" t="s">
        <v>9130</v>
      </c>
      <c r="L8406" t="s">
        <v>53</v>
      </c>
      <c r="N8406" t="s">
        <v>15900</v>
      </c>
      <c r="P8406" t="s">
        <v>55</v>
      </c>
      <c r="R8406" t="s">
        <v>53</v>
      </c>
      <c r="T8406" t="s">
        <v>15901</v>
      </c>
      <c r="U8406" t="s">
        <v>55</v>
      </c>
      <c r="V8406">
        <v>1</v>
      </c>
      <c r="W8406">
        <v>1</v>
      </c>
      <c r="X8406">
        <v>2</v>
      </c>
      <c r="Y8406">
        <v>0</v>
      </c>
      <c r="Z8406">
        <v>2</v>
      </c>
      <c r="AA8406">
        <v>0</v>
      </c>
      <c r="AB8406">
        <v>0</v>
      </c>
      <c r="AC8406">
        <v>101</v>
      </c>
      <c r="AD8406">
        <v>0</v>
      </c>
      <c r="AE8406">
        <v>0</v>
      </c>
      <c r="AF8406">
        <v>0</v>
      </c>
      <c r="AG8406">
        <v>0</v>
      </c>
      <c r="AH8406">
        <v>0</v>
      </c>
      <c r="AI8406">
        <v>15.15</v>
      </c>
      <c r="AJ8406">
        <v>101</v>
      </c>
      <c r="AK8406">
        <v>101</v>
      </c>
      <c r="AL8406" t="s">
        <v>53</v>
      </c>
      <c r="AM8406" t="s">
        <v>53</v>
      </c>
      <c r="AN8406" t="s">
        <v>15902</v>
      </c>
      <c r="AO8406" t="s">
        <v>53</v>
      </c>
      <c r="AP8406" t="s">
        <v>53</v>
      </c>
    </row>
    <row r="8407" spans="2:42" x14ac:dyDescent="0.2">
      <c r="B8407" t="s">
        <v>44</v>
      </c>
      <c r="C8407" t="str">
        <f>HYPERLINK("https://us2.cloudbeds.com/connect/8493803454333002#/reservations/222539893710976?display=4Q7MF2W22G&amp;reservation_id=222539893710976", "4Q7MF2W22G")</f>
        <v>4Q7MF2W22G</v>
      </c>
      <c r="D8407" t="s">
        <v>45</v>
      </c>
      <c r="E8407" t="s">
        <v>185</v>
      </c>
      <c r="F8407" t="s">
        <v>47</v>
      </c>
      <c r="G8407" t="s">
        <v>4520</v>
      </c>
      <c r="H8407" t="s">
        <v>3957</v>
      </c>
      <c r="I8407" t="s">
        <v>3989</v>
      </c>
      <c r="J8407" t="s">
        <v>9130</v>
      </c>
      <c r="K8407" t="s">
        <v>9131</v>
      </c>
      <c r="L8407" t="s">
        <v>53</v>
      </c>
      <c r="P8407" t="s">
        <v>55</v>
      </c>
      <c r="R8407" t="s">
        <v>56</v>
      </c>
      <c r="T8407" t="s">
        <v>15903</v>
      </c>
      <c r="U8407" t="s">
        <v>58</v>
      </c>
      <c r="V8407">
        <v>1</v>
      </c>
      <c r="W8407">
        <v>1</v>
      </c>
      <c r="X8407">
        <v>1</v>
      </c>
      <c r="Y8407">
        <v>0</v>
      </c>
      <c r="Z8407">
        <v>1</v>
      </c>
      <c r="AA8407">
        <v>80.5</v>
      </c>
      <c r="AB8407">
        <v>80.5</v>
      </c>
      <c r="AC8407">
        <v>70.2</v>
      </c>
      <c r="AD8407">
        <v>0</v>
      </c>
      <c r="AE8407">
        <v>10.3</v>
      </c>
      <c r="AF8407">
        <v>0</v>
      </c>
      <c r="AG8407">
        <v>0</v>
      </c>
      <c r="AH8407">
        <v>0</v>
      </c>
      <c r="AI8407">
        <v>0</v>
      </c>
      <c r="AJ8407">
        <v>80.5</v>
      </c>
      <c r="AK8407">
        <v>0</v>
      </c>
      <c r="AL8407" t="s">
        <v>53</v>
      </c>
      <c r="AM8407" t="s">
        <v>53</v>
      </c>
      <c r="AN8407" t="s">
        <v>15904</v>
      </c>
      <c r="AO8407" t="s">
        <v>53</v>
      </c>
      <c r="AP8407" t="s">
        <v>53</v>
      </c>
    </row>
    <row r="8408" spans="2:42" x14ac:dyDescent="0.2">
      <c r="B8408" t="s">
        <v>44</v>
      </c>
      <c r="C8408" t="str">
        <f>HYPERLINK("https://us2.cloudbeds.com/connect/8493803454333002#/reservations/9080486848565343?display=4Q8BQXDNXD&amp;reservation_id=9080486848565343", "4Q8BQXDNXD")</f>
        <v>4Q8BQXDNXD</v>
      </c>
      <c r="D8408" t="s">
        <v>45</v>
      </c>
      <c r="E8408" t="s">
        <v>165</v>
      </c>
      <c r="F8408" t="s">
        <v>61</v>
      </c>
      <c r="G8408" t="s">
        <v>48</v>
      </c>
      <c r="H8408" t="s">
        <v>49</v>
      </c>
      <c r="I8408" t="s">
        <v>50</v>
      </c>
      <c r="J8408" t="s">
        <v>9130</v>
      </c>
      <c r="K8408" t="s">
        <v>9131</v>
      </c>
      <c r="L8408" t="s">
        <v>53</v>
      </c>
      <c r="N8408" t="s">
        <v>15905</v>
      </c>
      <c r="P8408" t="s">
        <v>55</v>
      </c>
      <c r="R8408" t="s">
        <v>53</v>
      </c>
      <c r="T8408" t="s">
        <v>15906</v>
      </c>
      <c r="U8408" t="s">
        <v>55</v>
      </c>
      <c r="V8408">
        <v>1</v>
      </c>
      <c r="W8408">
        <v>1</v>
      </c>
      <c r="X8408">
        <v>2</v>
      </c>
      <c r="Y8408">
        <v>0</v>
      </c>
      <c r="Z8408">
        <v>2</v>
      </c>
      <c r="AA8408">
        <v>56.13</v>
      </c>
      <c r="AB8408">
        <v>56.13</v>
      </c>
      <c r="AC8408">
        <v>51.61</v>
      </c>
      <c r="AD8408">
        <v>0</v>
      </c>
      <c r="AE8408">
        <v>4.5199999999999996</v>
      </c>
      <c r="AF8408">
        <v>0</v>
      </c>
      <c r="AG8408">
        <v>0</v>
      </c>
      <c r="AH8408">
        <v>0</v>
      </c>
      <c r="AI8408">
        <v>10.1</v>
      </c>
      <c r="AJ8408">
        <v>56.13</v>
      </c>
      <c r="AK8408">
        <v>0</v>
      </c>
      <c r="AL8408" t="s">
        <v>53</v>
      </c>
      <c r="AM8408" t="s">
        <v>53</v>
      </c>
      <c r="AN8408" t="s">
        <v>53</v>
      </c>
      <c r="AO8408" t="s">
        <v>53</v>
      </c>
      <c r="AP8408" t="s">
        <v>53</v>
      </c>
    </row>
    <row r="8409" spans="2:42" x14ac:dyDescent="0.2">
      <c r="B8409" t="s">
        <v>44</v>
      </c>
      <c r="C8409" t="str">
        <f>HYPERLINK("https://us2.cloudbeds.com/connect/8493803454333002#/reservations/9080486848565924?display=4Q8MX5TVC5&amp;reservation_id=9080486848565924", "4Q8MX5TVC5")</f>
        <v>4Q8MX5TVC5</v>
      </c>
      <c r="D8409" t="s">
        <v>45</v>
      </c>
      <c r="E8409" t="s">
        <v>85</v>
      </c>
      <c r="F8409" t="s">
        <v>86</v>
      </c>
      <c r="G8409" t="s">
        <v>48</v>
      </c>
      <c r="H8409" t="s">
        <v>49</v>
      </c>
      <c r="I8409" t="s">
        <v>50</v>
      </c>
      <c r="J8409" t="s">
        <v>9131</v>
      </c>
      <c r="K8409" t="s">
        <v>13719</v>
      </c>
      <c r="L8409" t="s">
        <v>53</v>
      </c>
      <c r="N8409" t="s">
        <v>15907</v>
      </c>
      <c r="P8409" t="s">
        <v>55</v>
      </c>
      <c r="R8409" t="s">
        <v>53</v>
      </c>
      <c r="T8409" t="s">
        <v>15908</v>
      </c>
      <c r="U8409" t="s">
        <v>55</v>
      </c>
      <c r="V8409">
        <v>1</v>
      </c>
      <c r="W8409">
        <v>1</v>
      </c>
      <c r="X8409">
        <v>2</v>
      </c>
      <c r="Y8409">
        <v>0</v>
      </c>
      <c r="Z8409">
        <v>2</v>
      </c>
      <c r="AA8409">
        <v>72.430000000000007</v>
      </c>
      <c r="AB8409">
        <v>72.430000000000007</v>
      </c>
      <c r="AC8409">
        <v>66.599999999999994</v>
      </c>
      <c r="AD8409">
        <v>0</v>
      </c>
      <c r="AE8409">
        <v>5.83</v>
      </c>
      <c r="AF8409">
        <v>0</v>
      </c>
      <c r="AG8409">
        <v>0</v>
      </c>
      <c r="AH8409">
        <v>0</v>
      </c>
      <c r="AI8409">
        <v>13.04</v>
      </c>
      <c r="AJ8409">
        <v>72.430000000000007</v>
      </c>
      <c r="AK8409">
        <v>0</v>
      </c>
      <c r="AL8409" t="s">
        <v>53</v>
      </c>
      <c r="AM8409" t="s">
        <v>53</v>
      </c>
      <c r="AN8409" t="s">
        <v>53</v>
      </c>
      <c r="AO8409" t="s">
        <v>53</v>
      </c>
      <c r="AP8409" t="s">
        <v>53</v>
      </c>
    </row>
    <row r="8410" spans="2:42" x14ac:dyDescent="0.2">
      <c r="B8410" t="s">
        <v>44</v>
      </c>
      <c r="C8410" t="str">
        <f>HYPERLINK("https://us2.cloudbeds.com/connect/8493803454333002#/reservations/9080486848566147?display=4Q8RV59AJY&amp;reservation_id=9080486848566147", "4Q8RV59AJY")</f>
        <v>4Q8RV59AJY</v>
      </c>
      <c r="D8410" t="s">
        <v>45</v>
      </c>
      <c r="E8410" t="s">
        <v>113</v>
      </c>
      <c r="F8410" t="s">
        <v>61</v>
      </c>
      <c r="G8410" t="s">
        <v>48</v>
      </c>
      <c r="H8410" t="s">
        <v>49</v>
      </c>
      <c r="I8410" t="s">
        <v>50</v>
      </c>
      <c r="J8410" t="s">
        <v>12835</v>
      </c>
      <c r="K8410" t="s">
        <v>9130</v>
      </c>
      <c r="L8410" t="s">
        <v>53</v>
      </c>
      <c r="N8410" t="s">
        <v>15909</v>
      </c>
      <c r="P8410" t="s">
        <v>55</v>
      </c>
      <c r="R8410" t="s">
        <v>53</v>
      </c>
      <c r="T8410" t="s">
        <v>15910</v>
      </c>
      <c r="U8410" t="s">
        <v>55</v>
      </c>
      <c r="V8410">
        <v>1</v>
      </c>
      <c r="W8410">
        <v>1</v>
      </c>
      <c r="X8410">
        <v>2</v>
      </c>
      <c r="Y8410">
        <v>0</v>
      </c>
      <c r="Z8410">
        <v>2</v>
      </c>
      <c r="AA8410">
        <v>56.14</v>
      </c>
      <c r="AB8410">
        <v>56.14</v>
      </c>
      <c r="AC8410">
        <v>51.62</v>
      </c>
      <c r="AD8410">
        <v>0</v>
      </c>
      <c r="AE8410">
        <v>4.5199999999999996</v>
      </c>
      <c r="AF8410">
        <v>0</v>
      </c>
      <c r="AG8410">
        <v>0</v>
      </c>
      <c r="AH8410">
        <v>0</v>
      </c>
      <c r="AI8410">
        <v>10.11</v>
      </c>
      <c r="AJ8410">
        <v>56.14</v>
      </c>
      <c r="AK8410">
        <v>0</v>
      </c>
      <c r="AL8410" t="s">
        <v>53</v>
      </c>
      <c r="AM8410" t="s">
        <v>53</v>
      </c>
      <c r="AN8410" t="s">
        <v>53</v>
      </c>
      <c r="AO8410" t="s">
        <v>53</v>
      </c>
      <c r="AP8410" t="s">
        <v>53</v>
      </c>
    </row>
    <row r="8411" spans="2:42" x14ac:dyDescent="0.2">
      <c r="B8411" t="s">
        <v>44</v>
      </c>
      <c r="C8411" t="str">
        <f>HYPERLINK("https://us2.cloudbeds.com/connect/8493803454333002#/reservations/9080486848566186?display=4Q8SMPAD1N&amp;reservation_id=9080486848566186", "4Q8SMPAD1N")</f>
        <v>4Q8SMPAD1N</v>
      </c>
      <c r="D8411" t="s">
        <v>45</v>
      </c>
      <c r="E8411" t="s">
        <v>69</v>
      </c>
      <c r="F8411" t="s">
        <v>70</v>
      </c>
      <c r="G8411" t="s">
        <v>48</v>
      </c>
      <c r="H8411" t="s">
        <v>49</v>
      </c>
      <c r="I8411" t="s">
        <v>50</v>
      </c>
      <c r="J8411" t="s">
        <v>12835</v>
      </c>
      <c r="K8411" t="s">
        <v>9130</v>
      </c>
      <c r="L8411" t="s">
        <v>53</v>
      </c>
      <c r="N8411" t="s">
        <v>15911</v>
      </c>
      <c r="P8411" t="s">
        <v>55</v>
      </c>
      <c r="R8411" t="s">
        <v>53</v>
      </c>
      <c r="T8411" t="s">
        <v>15912</v>
      </c>
      <c r="U8411" t="s">
        <v>55</v>
      </c>
      <c r="V8411">
        <v>1</v>
      </c>
      <c r="W8411">
        <v>1</v>
      </c>
      <c r="X8411">
        <v>2</v>
      </c>
      <c r="Y8411">
        <v>0</v>
      </c>
      <c r="Z8411">
        <v>2</v>
      </c>
      <c r="AA8411">
        <v>44.95</v>
      </c>
      <c r="AB8411">
        <v>44.95</v>
      </c>
      <c r="AC8411">
        <v>41.33</v>
      </c>
      <c r="AD8411">
        <v>0</v>
      </c>
      <c r="AE8411">
        <v>3.62</v>
      </c>
      <c r="AF8411">
        <v>0</v>
      </c>
      <c r="AG8411">
        <v>0</v>
      </c>
      <c r="AH8411">
        <v>0</v>
      </c>
      <c r="AI8411">
        <v>8.09</v>
      </c>
      <c r="AJ8411">
        <v>44.95</v>
      </c>
      <c r="AK8411">
        <v>0</v>
      </c>
      <c r="AL8411" t="s">
        <v>53</v>
      </c>
      <c r="AM8411" t="s">
        <v>53</v>
      </c>
      <c r="AN8411" t="s">
        <v>53</v>
      </c>
      <c r="AO8411" t="s">
        <v>53</v>
      </c>
      <c r="AP8411" t="s">
        <v>53</v>
      </c>
    </row>
    <row r="8412" spans="2:42" x14ac:dyDescent="0.2">
      <c r="B8412" t="s">
        <v>44</v>
      </c>
      <c r="C8412" t="str">
        <f>HYPERLINK("https://us2.cloudbeds.com/connect/8493803454333002#/reservations/222605681479872?display=4Q97D3WKE1&amp;reservation_id=222605681479872", "4Q97D3WKE1")</f>
        <v>4Q97D3WKE1</v>
      </c>
      <c r="D8412" t="s">
        <v>45</v>
      </c>
      <c r="E8412" t="s">
        <v>105</v>
      </c>
      <c r="F8412" t="s">
        <v>47</v>
      </c>
      <c r="G8412" t="s">
        <v>13757</v>
      </c>
      <c r="H8412" t="s">
        <v>3957</v>
      </c>
      <c r="I8412" t="s">
        <v>3975</v>
      </c>
      <c r="J8412" t="s">
        <v>12835</v>
      </c>
      <c r="K8412" t="s">
        <v>9131</v>
      </c>
      <c r="L8412" t="s">
        <v>53</v>
      </c>
      <c r="P8412" t="s">
        <v>55</v>
      </c>
      <c r="R8412" t="s">
        <v>56</v>
      </c>
      <c r="T8412" t="s">
        <v>15913</v>
      </c>
      <c r="U8412" t="s">
        <v>58</v>
      </c>
      <c r="V8412">
        <v>2</v>
      </c>
      <c r="W8412">
        <v>1</v>
      </c>
      <c r="X8412">
        <v>1</v>
      </c>
      <c r="Y8412">
        <v>0</v>
      </c>
      <c r="Z8412">
        <v>1</v>
      </c>
      <c r="AA8412">
        <v>161</v>
      </c>
      <c r="AB8412">
        <v>161</v>
      </c>
      <c r="AC8412">
        <v>140.4</v>
      </c>
      <c r="AD8412">
        <v>0</v>
      </c>
      <c r="AE8412">
        <v>20.6</v>
      </c>
      <c r="AF8412">
        <v>0</v>
      </c>
      <c r="AG8412">
        <v>0</v>
      </c>
      <c r="AH8412">
        <v>0</v>
      </c>
      <c r="AI8412">
        <v>0</v>
      </c>
      <c r="AJ8412">
        <v>161</v>
      </c>
      <c r="AK8412">
        <v>0</v>
      </c>
      <c r="AL8412" t="s">
        <v>53</v>
      </c>
      <c r="AM8412" t="s">
        <v>53</v>
      </c>
      <c r="AN8412" t="s">
        <v>53</v>
      </c>
      <c r="AO8412" t="s">
        <v>53</v>
      </c>
      <c r="AP8412" t="s">
        <v>53</v>
      </c>
    </row>
    <row r="8413" spans="2:42" x14ac:dyDescent="0.2">
      <c r="B8413" t="s">
        <v>44</v>
      </c>
      <c r="C8413" t="str">
        <f>HYPERLINK("https://us2.cloudbeds.com/connect/8493803454333002#/reservations/9080486848566814?display=4Q9BBCXRNJ&amp;reservation_id=9080486848566814", "4Q9BBCXRNJ")</f>
        <v>4Q9BBCXRNJ</v>
      </c>
      <c r="D8413" t="s">
        <v>45</v>
      </c>
      <c r="E8413" t="s">
        <v>85</v>
      </c>
      <c r="F8413" t="s">
        <v>86</v>
      </c>
      <c r="G8413" t="s">
        <v>48</v>
      </c>
      <c r="H8413" t="s">
        <v>49</v>
      </c>
      <c r="I8413" t="s">
        <v>50</v>
      </c>
      <c r="J8413" t="s">
        <v>12835</v>
      </c>
      <c r="K8413" t="s">
        <v>9130</v>
      </c>
      <c r="L8413" t="s">
        <v>53</v>
      </c>
      <c r="N8413" t="s">
        <v>15914</v>
      </c>
      <c r="P8413" t="s">
        <v>55</v>
      </c>
      <c r="R8413" t="s">
        <v>53</v>
      </c>
      <c r="T8413" t="s">
        <v>15915</v>
      </c>
      <c r="U8413" t="s">
        <v>55</v>
      </c>
      <c r="V8413">
        <v>1</v>
      </c>
      <c r="W8413">
        <v>1</v>
      </c>
      <c r="X8413">
        <v>2</v>
      </c>
      <c r="Y8413">
        <v>0</v>
      </c>
      <c r="Z8413">
        <v>2</v>
      </c>
      <c r="AA8413">
        <v>58.79</v>
      </c>
      <c r="AB8413">
        <v>58.79</v>
      </c>
      <c r="AC8413">
        <v>54.06</v>
      </c>
      <c r="AD8413">
        <v>0</v>
      </c>
      <c r="AE8413">
        <v>4.7300000000000004</v>
      </c>
      <c r="AF8413">
        <v>0</v>
      </c>
      <c r="AG8413">
        <v>0</v>
      </c>
      <c r="AH8413">
        <v>0</v>
      </c>
      <c r="AI8413">
        <v>10.58</v>
      </c>
      <c r="AJ8413">
        <v>58.79</v>
      </c>
      <c r="AK8413">
        <v>0</v>
      </c>
      <c r="AL8413" t="s">
        <v>53</v>
      </c>
      <c r="AM8413" t="s">
        <v>53</v>
      </c>
      <c r="AN8413" t="s">
        <v>53</v>
      </c>
      <c r="AO8413" t="s">
        <v>53</v>
      </c>
      <c r="AP8413" t="s">
        <v>53</v>
      </c>
    </row>
    <row r="8414" spans="2:42" x14ac:dyDescent="0.2">
      <c r="B8414" t="s">
        <v>44</v>
      </c>
      <c r="C8414" t="str">
        <f>HYPERLINK("https://us2.cloudbeds.com/connect/8493803454333002#/reservations/9080486848567391?display=4Q9SG34ABH&amp;reservation_id=9080486848567391", "4Q9SG34ABH")</f>
        <v>4Q9SG34ABH</v>
      </c>
      <c r="D8414" t="s">
        <v>45</v>
      </c>
      <c r="E8414" t="s">
        <v>78</v>
      </c>
      <c r="F8414" t="s">
        <v>61</v>
      </c>
      <c r="G8414" t="s">
        <v>48</v>
      </c>
      <c r="H8414" t="s">
        <v>49</v>
      </c>
      <c r="I8414" t="s">
        <v>50</v>
      </c>
      <c r="J8414" t="s">
        <v>15439</v>
      </c>
      <c r="K8414" t="s">
        <v>14929</v>
      </c>
      <c r="L8414" t="s">
        <v>53</v>
      </c>
      <c r="N8414" t="s">
        <v>15916</v>
      </c>
      <c r="P8414" t="s">
        <v>55</v>
      </c>
      <c r="R8414" t="s">
        <v>53</v>
      </c>
      <c r="T8414" t="s">
        <v>15917</v>
      </c>
      <c r="U8414" t="s">
        <v>55</v>
      </c>
      <c r="V8414">
        <v>1</v>
      </c>
      <c r="W8414">
        <v>1</v>
      </c>
      <c r="X8414">
        <v>2</v>
      </c>
      <c r="Y8414">
        <v>0</v>
      </c>
      <c r="Z8414">
        <v>2</v>
      </c>
      <c r="AA8414">
        <v>75.61</v>
      </c>
      <c r="AB8414">
        <v>75.61</v>
      </c>
      <c r="AC8414">
        <v>69.53</v>
      </c>
      <c r="AD8414">
        <v>0</v>
      </c>
      <c r="AE8414">
        <v>6.08</v>
      </c>
      <c r="AF8414">
        <v>0</v>
      </c>
      <c r="AG8414">
        <v>0</v>
      </c>
      <c r="AH8414">
        <v>0</v>
      </c>
      <c r="AI8414">
        <v>13.61</v>
      </c>
      <c r="AJ8414">
        <v>75.61</v>
      </c>
      <c r="AK8414">
        <v>0</v>
      </c>
      <c r="AL8414" t="s">
        <v>53</v>
      </c>
      <c r="AM8414" t="s">
        <v>53</v>
      </c>
      <c r="AN8414" t="s">
        <v>53</v>
      </c>
      <c r="AO8414" t="s">
        <v>53</v>
      </c>
      <c r="AP8414" t="s">
        <v>53</v>
      </c>
    </row>
    <row r="8415" spans="2:42" x14ac:dyDescent="0.2">
      <c r="B8415" t="s">
        <v>44</v>
      </c>
      <c r="C8415" t="str">
        <f>HYPERLINK("https://us2.cloudbeds.com/connect/8493803454333002#/reservations/9080486848567461?display=4Q9USXGKBU&amp;reservation_id=9080486848567461", "4Q9USXGKBU")</f>
        <v>4Q9USXGKBU</v>
      </c>
      <c r="D8415" t="s">
        <v>45</v>
      </c>
      <c r="E8415" t="s">
        <v>190</v>
      </c>
      <c r="F8415" t="s">
        <v>61</v>
      </c>
      <c r="G8415" t="s">
        <v>48</v>
      </c>
      <c r="H8415" t="s">
        <v>49</v>
      </c>
      <c r="I8415" t="s">
        <v>50</v>
      </c>
      <c r="J8415" t="s">
        <v>9130</v>
      </c>
      <c r="K8415" t="s">
        <v>15439</v>
      </c>
      <c r="L8415" t="s">
        <v>53</v>
      </c>
      <c r="N8415" t="s">
        <v>15918</v>
      </c>
      <c r="P8415" t="s">
        <v>55</v>
      </c>
      <c r="R8415" t="s">
        <v>53</v>
      </c>
      <c r="T8415" t="s">
        <v>15919</v>
      </c>
      <c r="U8415" t="s">
        <v>55</v>
      </c>
      <c r="V8415">
        <v>4</v>
      </c>
      <c r="W8415">
        <v>1</v>
      </c>
      <c r="X8415">
        <v>2</v>
      </c>
      <c r="Y8415">
        <v>0</v>
      </c>
      <c r="Z8415">
        <v>2</v>
      </c>
      <c r="AA8415">
        <v>185.14</v>
      </c>
      <c r="AB8415">
        <v>185.14</v>
      </c>
      <c r="AC8415">
        <v>170.25</v>
      </c>
      <c r="AD8415">
        <v>0</v>
      </c>
      <c r="AE8415">
        <v>14.89</v>
      </c>
      <c r="AF8415">
        <v>0</v>
      </c>
      <c r="AG8415">
        <v>0</v>
      </c>
      <c r="AH8415">
        <v>0</v>
      </c>
      <c r="AI8415">
        <v>33.33</v>
      </c>
      <c r="AJ8415">
        <v>185.14</v>
      </c>
      <c r="AK8415">
        <v>0</v>
      </c>
      <c r="AL8415" t="s">
        <v>53</v>
      </c>
      <c r="AM8415" t="s">
        <v>53</v>
      </c>
      <c r="AN8415" t="s">
        <v>53</v>
      </c>
      <c r="AO8415" t="s">
        <v>53</v>
      </c>
      <c r="AP8415" t="s">
        <v>53</v>
      </c>
    </row>
    <row r="8416" spans="2:42" x14ac:dyDescent="0.2">
      <c r="B8416" t="s">
        <v>44</v>
      </c>
      <c r="C8416" t="str">
        <f>HYPERLINK("https://us2.cloudbeds.com/connect/8493803454333002#/reservations/9080486848567505?display=4Q9W6A22TA&amp;reservation_id=9080486848567505", "4Q9W6A22TA")</f>
        <v>4Q9W6A22TA</v>
      </c>
      <c r="D8416" t="s">
        <v>45</v>
      </c>
      <c r="E8416" t="s">
        <v>179</v>
      </c>
      <c r="F8416" t="s">
        <v>47</v>
      </c>
      <c r="G8416" t="s">
        <v>48</v>
      </c>
      <c r="H8416" t="s">
        <v>49</v>
      </c>
      <c r="I8416" t="s">
        <v>50</v>
      </c>
      <c r="J8416" t="s">
        <v>12835</v>
      </c>
      <c r="K8416" t="s">
        <v>9130</v>
      </c>
      <c r="L8416" t="s">
        <v>53</v>
      </c>
      <c r="N8416" t="s">
        <v>15920</v>
      </c>
      <c r="P8416" t="s">
        <v>55</v>
      </c>
      <c r="R8416" t="s">
        <v>53</v>
      </c>
      <c r="T8416" t="s">
        <v>15921</v>
      </c>
      <c r="U8416" t="s">
        <v>55</v>
      </c>
      <c r="V8416">
        <v>1</v>
      </c>
      <c r="W8416">
        <v>1</v>
      </c>
      <c r="X8416">
        <v>2</v>
      </c>
      <c r="Y8416">
        <v>0</v>
      </c>
      <c r="Z8416">
        <v>2</v>
      </c>
      <c r="AA8416">
        <v>58.43</v>
      </c>
      <c r="AB8416">
        <v>58.43</v>
      </c>
      <c r="AC8416">
        <v>53.73</v>
      </c>
      <c r="AD8416">
        <v>0</v>
      </c>
      <c r="AE8416">
        <v>4.7</v>
      </c>
      <c r="AF8416">
        <v>0</v>
      </c>
      <c r="AG8416">
        <v>0</v>
      </c>
      <c r="AH8416">
        <v>0</v>
      </c>
      <c r="AI8416">
        <v>10.52</v>
      </c>
      <c r="AJ8416">
        <v>58.43</v>
      </c>
      <c r="AK8416">
        <v>0</v>
      </c>
      <c r="AL8416" t="s">
        <v>53</v>
      </c>
      <c r="AM8416" t="s">
        <v>53</v>
      </c>
      <c r="AN8416" t="s">
        <v>53</v>
      </c>
      <c r="AO8416" t="s">
        <v>53</v>
      </c>
      <c r="AP8416" t="s">
        <v>53</v>
      </c>
    </row>
    <row r="8417" spans="2:42" x14ac:dyDescent="0.2">
      <c r="B8417" t="s">
        <v>44</v>
      </c>
      <c r="C8417" t="str">
        <f>HYPERLINK("https://us2.cloudbeds.com/connect/8493803454333002#/reservations/9080486848567659?display=4QA44RR5J2&amp;reservation_id=9080486848567659", "4QA44RR5J2")</f>
        <v>4QA44RR5J2</v>
      </c>
      <c r="D8417" t="s">
        <v>45</v>
      </c>
      <c r="E8417" t="s">
        <v>487</v>
      </c>
      <c r="F8417" t="s">
        <v>61</v>
      </c>
      <c r="G8417" t="s">
        <v>48</v>
      </c>
      <c r="H8417" t="s">
        <v>49</v>
      </c>
      <c r="I8417" t="s">
        <v>62</v>
      </c>
      <c r="J8417" t="s">
        <v>13719</v>
      </c>
      <c r="K8417" t="s">
        <v>15369</v>
      </c>
      <c r="L8417" t="s">
        <v>53</v>
      </c>
      <c r="N8417" t="s">
        <v>15922</v>
      </c>
      <c r="P8417" t="s">
        <v>55</v>
      </c>
      <c r="R8417" t="s">
        <v>56</v>
      </c>
      <c r="T8417" t="s">
        <v>15923</v>
      </c>
      <c r="U8417" t="s">
        <v>55</v>
      </c>
      <c r="V8417">
        <v>1</v>
      </c>
      <c r="W8417">
        <v>1</v>
      </c>
      <c r="X8417">
        <v>2</v>
      </c>
      <c r="Y8417">
        <v>0</v>
      </c>
      <c r="Z8417">
        <v>2</v>
      </c>
      <c r="AA8417">
        <v>99.75</v>
      </c>
      <c r="AB8417">
        <v>99.75</v>
      </c>
      <c r="AC8417">
        <v>99.75</v>
      </c>
      <c r="AD8417">
        <v>0</v>
      </c>
      <c r="AE8417">
        <v>0</v>
      </c>
      <c r="AF8417">
        <v>0</v>
      </c>
      <c r="AG8417">
        <v>0</v>
      </c>
      <c r="AH8417">
        <v>0</v>
      </c>
      <c r="AI8417">
        <v>17.96</v>
      </c>
      <c r="AJ8417">
        <v>99.75</v>
      </c>
      <c r="AK8417">
        <v>0</v>
      </c>
      <c r="AL8417" t="s">
        <v>53</v>
      </c>
      <c r="AM8417" t="s">
        <v>53</v>
      </c>
      <c r="AN8417" t="s">
        <v>53</v>
      </c>
      <c r="AO8417" t="s">
        <v>53</v>
      </c>
      <c r="AP8417" t="s">
        <v>53</v>
      </c>
    </row>
    <row r="8418" spans="2:42" x14ac:dyDescent="0.2">
      <c r="B8418" t="s">
        <v>44</v>
      </c>
      <c r="C8418" t="str">
        <f>HYPERLINK("https://us2.cloudbeds.com/connect/8493803454333002#/reservations/9080486848569287?display=4QBFQUSJFX&amp;reservation_id=9080486848569287", "4QBFQUSJFX")</f>
        <v>4QBFQUSJFX</v>
      </c>
      <c r="D8418" t="s">
        <v>45</v>
      </c>
      <c r="E8418" t="s">
        <v>487</v>
      </c>
      <c r="F8418" t="s">
        <v>61</v>
      </c>
      <c r="G8418" t="s">
        <v>48</v>
      </c>
      <c r="H8418" t="s">
        <v>49</v>
      </c>
      <c r="I8418" t="s">
        <v>50</v>
      </c>
      <c r="J8418" t="s">
        <v>14206</v>
      </c>
      <c r="K8418" t="s">
        <v>13082</v>
      </c>
      <c r="L8418" t="s">
        <v>53</v>
      </c>
      <c r="N8418" t="s">
        <v>15924</v>
      </c>
      <c r="P8418" t="s">
        <v>55</v>
      </c>
      <c r="R8418" t="s">
        <v>53</v>
      </c>
      <c r="T8418" t="s">
        <v>15925</v>
      </c>
      <c r="U8418" t="s">
        <v>58</v>
      </c>
      <c r="V8418">
        <v>2</v>
      </c>
      <c r="W8418">
        <v>1</v>
      </c>
      <c r="X8418">
        <v>2</v>
      </c>
      <c r="Y8418">
        <v>0</v>
      </c>
      <c r="Z8418">
        <v>2</v>
      </c>
      <c r="AA8418">
        <v>626.95000000000005</v>
      </c>
      <c r="AB8418">
        <v>626.95000000000005</v>
      </c>
      <c r="AC8418">
        <v>546.84</v>
      </c>
      <c r="AD8418">
        <v>0</v>
      </c>
      <c r="AE8418">
        <v>80.11</v>
      </c>
      <c r="AF8418">
        <v>0</v>
      </c>
      <c r="AG8418">
        <v>0</v>
      </c>
      <c r="AH8418">
        <v>0</v>
      </c>
      <c r="AI8418">
        <v>112.85</v>
      </c>
      <c r="AJ8418">
        <v>626.95000000000005</v>
      </c>
      <c r="AK8418">
        <v>0</v>
      </c>
      <c r="AL8418" t="s">
        <v>53</v>
      </c>
      <c r="AM8418" t="s">
        <v>53</v>
      </c>
      <c r="AN8418" t="s">
        <v>53</v>
      </c>
      <c r="AO8418" t="s">
        <v>53</v>
      </c>
      <c r="AP8418" t="s">
        <v>53</v>
      </c>
    </row>
    <row r="8419" spans="2:42" x14ac:dyDescent="0.2">
      <c r="B8419" t="s">
        <v>44</v>
      </c>
      <c r="C8419" t="str">
        <f>HYPERLINK("https://us2.cloudbeds.com/connect/8493803454333002#/reservations/9080486848569382?display=4QBJXDVMKS&amp;reservation_id=9080486848569382", "4QBJXDVMKS")</f>
        <v>4QBJXDVMKS</v>
      </c>
      <c r="D8419" t="s">
        <v>45</v>
      </c>
      <c r="E8419" t="s">
        <v>185</v>
      </c>
      <c r="F8419" t="s">
        <v>47</v>
      </c>
      <c r="G8419" t="s">
        <v>48</v>
      </c>
      <c r="H8419" t="s">
        <v>49</v>
      </c>
      <c r="I8419" t="s">
        <v>50</v>
      </c>
      <c r="J8419" t="s">
        <v>15439</v>
      </c>
      <c r="K8419" t="s">
        <v>14929</v>
      </c>
      <c r="L8419" t="s">
        <v>53</v>
      </c>
      <c r="N8419" t="s">
        <v>15926</v>
      </c>
      <c r="P8419" t="s">
        <v>55</v>
      </c>
      <c r="R8419" t="s">
        <v>53</v>
      </c>
      <c r="T8419" t="s">
        <v>15927</v>
      </c>
      <c r="U8419" t="s">
        <v>58</v>
      </c>
      <c r="V8419">
        <v>1</v>
      </c>
      <c r="W8419">
        <v>1</v>
      </c>
      <c r="X8419">
        <v>2</v>
      </c>
      <c r="Y8419">
        <v>0</v>
      </c>
      <c r="Z8419">
        <v>2</v>
      </c>
      <c r="AA8419">
        <v>66.45</v>
      </c>
      <c r="AB8419">
        <v>66.45</v>
      </c>
      <c r="AC8419">
        <v>57.96</v>
      </c>
      <c r="AD8419">
        <v>0</v>
      </c>
      <c r="AE8419">
        <v>8.49</v>
      </c>
      <c r="AF8419">
        <v>0</v>
      </c>
      <c r="AG8419">
        <v>0</v>
      </c>
      <c r="AH8419">
        <v>0</v>
      </c>
      <c r="AI8419">
        <v>11.96</v>
      </c>
      <c r="AJ8419">
        <v>66.45</v>
      </c>
      <c r="AK8419">
        <v>0</v>
      </c>
      <c r="AL8419" t="s">
        <v>53</v>
      </c>
      <c r="AM8419" t="s">
        <v>53</v>
      </c>
      <c r="AN8419" t="s">
        <v>15928</v>
      </c>
      <c r="AO8419" t="s">
        <v>53</v>
      </c>
      <c r="AP8419" t="s">
        <v>53</v>
      </c>
    </row>
    <row r="8420" spans="2:42" x14ac:dyDescent="0.2">
      <c r="B8420" t="s">
        <v>44</v>
      </c>
      <c r="C8420" t="str">
        <f>HYPERLINK("https://us2.cloudbeds.com/connect/8493803454333002#/reservations/9080486848572893?display=4QEJ64Q0TW&amp;reservation_id=9080486848572893", "4QEJ64Q0TW")</f>
        <v>4QEJ64Q0TW</v>
      </c>
      <c r="D8420" t="s">
        <v>45</v>
      </c>
      <c r="E8420" t="s">
        <v>223</v>
      </c>
      <c r="F8420" t="s">
        <v>47</v>
      </c>
      <c r="G8420" t="s">
        <v>48</v>
      </c>
      <c r="H8420" t="s">
        <v>49</v>
      </c>
      <c r="I8420" t="s">
        <v>62</v>
      </c>
      <c r="J8420" t="s">
        <v>15369</v>
      </c>
      <c r="K8420" t="s">
        <v>14929</v>
      </c>
      <c r="L8420" t="s">
        <v>53</v>
      </c>
      <c r="N8420" t="s">
        <v>15929</v>
      </c>
      <c r="P8420" t="s">
        <v>55</v>
      </c>
      <c r="R8420" t="s">
        <v>56</v>
      </c>
      <c r="T8420" t="s">
        <v>15930</v>
      </c>
      <c r="U8420" t="s">
        <v>55</v>
      </c>
      <c r="V8420">
        <v>2</v>
      </c>
      <c r="W8420">
        <v>1</v>
      </c>
      <c r="X8420">
        <v>2</v>
      </c>
      <c r="Y8420">
        <v>0</v>
      </c>
      <c r="Z8420">
        <v>2</v>
      </c>
      <c r="AA8420">
        <v>168</v>
      </c>
      <c r="AB8420">
        <v>168</v>
      </c>
      <c r="AC8420">
        <v>168</v>
      </c>
      <c r="AD8420">
        <v>0</v>
      </c>
      <c r="AE8420">
        <v>0</v>
      </c>
      <c r="AF8420">
        <v>0</v>
      </c>
      <c r="AG8420">
        <v>0</v>
      </c>
      <c r="AH8420">
        <v>0</v>
      </c>
      <c r="AI8420">
        <v>30.24</v>
      </c>
      <c r="AJ8420">
        <v>168</v>
      </c>
      <c r="AK8420">
        <v>0</v>
      </c>
      <c r="AL8420" t="s">
        <v>53</v>
      </c>
      <c r="AM8420" t="s">
        <v>53</v>
      </c>
      <c r="AN8420" t="s">
        <v>15931</v>
      </c>
      <c r="AO8420" t="s">
        <v>53</v>
      </c>
      <c r="AP8420" t="s">
        <v>53</v>
      </c>
    </row>
    <row r="8421" spans="2:42" x14ac:dyDescent="0.2">
      <c r="B8421" t="s">
        <v>44</v>
      </c>
      <c r="C8421" t="str">
        <f>HYPERLINK("https://us2.cloudbeds.com/connect/8493803454333002#/reservations/222835273367682?display=4QEK5NUX0K&amp;reservation_id=222835273367682", "4QEK5NUX0K")</f>
        <v>4QEK5NUX0K</v>
      </c>
      <c r="D8421" t="s">
        <v>45</v>
      </c>
      <c r="E8421" t="s">
        <v>46</v>
      </c>
      <c r="F8421" t="s">
        <v>47</v>
      </c>
      <c r="G8421" t="s">
        <v>48</v>
      </c>
      <c r="H8421" t="s">
        <v>3957</v>
      </c>
      <c r="I8421" t="s">
        <v>3989</v>
      </c>
      <c r="J8421" t="s">
        <v>9130</v>
      </c>
      <c r="K8421" t="s">
        <v>9131</v>
      </c>
      <c r="L8421" t="s">
        <v>53</v>
      </c>
      <c r="P8421" t="s">
        <v>55</v>
      </c>
      <c r="R8421" t="s">
        <v>56</v>
      </c>
      <c r="T8421" t="s">
        <v>15932</v>
      </c>
      <c r="U8421" t="s">
        <v>58</v>
      </c>
      <c r="V8421">
        <v>1</v>
      </c>
      <c r="W8421">
        <v>1</v>
      </c>
      <c r="X8421">
        <v>1</v>
      </c>
      <c r="Y8421">
        <v>0</v>
      </c>
      <c r="Z8421">
        <v>1</v>
      </c>
      <c r="AA8421">
        <v>89.43</v>
      </c>
      <c r="AB8421">
        <v>89.43</v>
      </c>
      <c r="AC8421">
        <v>78</v>
      </c>
      <c r="AD8421">
        <v>0</v>
      </c>
      <c r="AE8421">
        <v>11.43</v>
      </c>
      <c r="AF8421">
        <v>0</v>
      </c>
      <c r="AG8421">
        <v>0</v>
      </c>
      <c r="AH8421">
        <v>0</v>
      </c>
      <c r="AI8421">
        <v>0</v>
      </c>
      <c r="AJ8421">
        <v>89.43</v>
      </c>
      <c r="AK8421">
        <v>0</v>
      </c>
      <c r="AL8421" t="s">
        <v>53</v>
      </c>
      <c r="AM8421" t="s">
        <v>53</v>
      </c>
      <c r="AN8421" t="s">
        <v>53</v>
      </c>
      <c r="AO8421" t="s">
        <v>53</v>
      </c>
      <c r="AP8421" t="s">
        <v>53</v>
      </c>
    </row>
    <row r="8422" spans="2:42" x14ac:dyDescent="0.2">
      <c r="B8422" t="s">
        <v>44</v>
      </c>
      <c r="C8422" t="str">
        <f>HYPERLINK("https://us2.cloudbeds.com/connect/8493803454333002#/reservations/9080486848573267?display=4QEP56CT70&amp;reservation_id=9080486848573267", "4QEP56CT70")</f>
        <v>4QEP56CT70</v>
      </c>
      <c r="D8422" t="s">
        <v>45</v>
      </c>
      <c r="E8422" t="s">
        <v>113</v>
      </c>
      <c r="F8422" t="s">
        <v>61</v>
      </c>
      <c r="G8422" t="s">
        <v>48</v>
      </c>
      <c r="H8422" t="s">
        <v>49</v>
      </c>
      <c r="I8422" t="s">
        <v>50</v>
      </c>
      <c r="J8422" t="s">
        <v>9130</v>
      </c>
      <c r="K8422" t="s">
        <v>9131</v>
      </c>
      <c r="L8422" t="s">
        <v>53</v>
      </c>
      <c r="N8422" t="s">
        <v>15933</v>
      </c>
      <c r="P8422" t="s">
        <v>55</v>
      </c>
      <c r="R8422" t="s">
        <v>53</v>
      </c>
      <c r="T8422" t="s">
        <v>15934</v>
      </c>
      <c r="U8422" t="s">
        <v>55</v>
      </c>
      <c r="V8422">
        <v>1</v>
      </c>
      <c r="W8422">
        <v>1</v>
      </c>
      <c r="X8422">
        <v>2</v>
      </c>
      <c r="Y8422">
        <v>0</v>
      </c>
      <c r="Z8422">
        <v>2</v>
      </c>
      <c r="AA8422">
        <v>48.53</v>
      </c>
      <c r="AB8422">
        <v>48.53</v>
      </c>
      <c r="AC8422">
        <v>44.63</v>
      </c>
      <c r="AD8422">
        <v>0</v>
      </c>
      <c r="AE8422">
        <v>3.9</v>
      </c>
      <c r="AF8422">
        <v>0</v>
      </c>
      <c r="AG8422">
        <v>0</v>
      </c>
      <c r="AH8422">
        <v>0</v>
      </c>
      <c r="AI8422">
        <v>8.74</v>
      </c>
      <c r="AJ8422">
        <v>48.53</v>
      </c>
      <c r="AK8422">
        <v>0</v>
      </c>
      <c r="AL8422" t="s">
        <v>53</v>
      </c>
      <c r="AM8422" t="s">
        <v>53</v>
      </c>
      <c r="AN8422" t="s">
        <v>15935</v>
      </c>
      <c r="AO8422" t="s">
        <v>53</v>
      </c>
      <c r="AP8422" t="s">
        <v>53</v>
      </c>
    </row>
    <row r="8423" spans="2:42" x14ac:dyDescent="0.2">
      <c r="B8423" t="s">
        <v>44</v>
      </c>
      <c r="C8423" t="str">
        <f>HYPERLINK("https://us2.cloudbeds.com/connect/8493803454333002#/reservations/9080486848574364?display=4QFDQN07B3&amp;reservation_id=9080486848574364", "4QFDQN07B3")</f>
        <v>4QFDQN07B3</v>
      </c>
      <c r="D8423" t="s">
        <v>10291</v>
      </c>
      <c r="E8423" t="s">
        <v>69</v>
      </c>
      <c r="F8423" t="s">
        <v>70</v>
      </c>
      <c r="G8423" t="s">
        <v>48</v>
      </c>
      <c r="H8423" t="s">
        <v>49</v>
      </c>
      <c r="I8423" t="s">
        <v>50</v>
      </c>
      <c r="J8423" t="s">
        <v>15748</v>
      </c>
      <c r="K8423" t="s">
        <v>15936</v>
      </c>
      <c r="L8423" t="s">
        <v>53</v>
      </c>
      <c r="N8423" t="s">
        <v>15937</v>
      </c>
      <c r="P8423" t="s">
        <v>55</v>
      </c>
      <c r="R8423" t="s">
        <v>53</v>
      </c>
      <c r="T8423" t="s">
        <v>15938</v>
      </c>
      <c r="U8423" t="s">
        <v>55</v>
      </c>
      <c r="V8423">
        <v>2</v>
      </c>
      <c r="W8423">
        <v>1</v>
      </c>
      <c r="X8423">
        <v>2</v>
      </c>
      <c r="Y8423">
        <v>0</v>
      </c>
      <c r="Z8423">
        <v>2</v>
      </c>
      <c r="AA8423">
        <v>213.86</v>
      </c>
      <c r="AB8423">
        <v>0</v>
      </c>
      <c r="AC8423">
        <v>196.65</v>
      </c>
      <c r="AD8423">
        <v>0</v>
      </c>
      <c r="AE8423">
        <v>17.21</v>
      </c>
      <c r="AF8423">
        <v>0</v>
      </c>
      <c r="AG8423">
        <v>0</v>
      </c>
      <c r="AH8423">
        <v>0</v>
      </c>
      <c r="AI8423">
        <v>38.49</v>
      </c>
      <c r="AJ8423">
        <v>213.86</v>
      </c>
      <c r="AK8423">
        <v>213.86</v>
      </c>
      <c r="AL8423" t="s">
        <v>53</v>
      </c>
      <c r="AM8423" t="s">
        <v>53</v>
      </c>
      <c r="AN8423" t="s">
        <v>53</v>
      </c>
      <c r="AO8423" t="s">
        <v>53</v>
      </c>
      <c r="AP8423" t="s">
        <v>53</v>
      </c>
    </row>
    <row r="8424" spans="2:42" x14ac:dyDescent="0.2">
      <c r="B8424" t="s">
        <v>44</v>
      </c>
      <c r="C8424" t="str">
        <f>HYPERLINK("https://us2.cloudbeds.com/connect/8493803454333002#/reservations/222872477958336?display=4QFFWCR7ZU&amp;reservation_id=222872477958336", "4QFFWCR7ZU")</f>
        <v>4QFFWCR7ZU</v>
      </c>
      <c r="D8424" t="s">
        <v>45</v>
      </c>
      <c r="E8424" t="s">
        <v>15939</v>
      </c>
      <c r="F8424" t="s">
        <v>2145</v>
      </c>
      <c r="G8424" t="s">
        <v>3974</v>
      </c>
      <c r="H8424" t="s">
        <v>3957</v>
      </c>
      <c r="I8424" t="s">
        <v>3975</v>
      </c>
      <c r="J8424" t="s">
        <v>11652</v>
      </c>
      <c r="K8424" t="s">
        <v>14732</v>
      </c>
      <c r="L8424" t="s">
        <v>53</v>
      </c>
      <c r="P8424" t="s">
        <v>55</v>
      </c>
      <c r="R8424" t="s">
        <v>56</v>
      </c>
      <c r="T8424" t="s">
        <v>15940</v>
      </c>
      <c r="U8424" t="s">
        <v>58</v>
      </c>
      <c r="V8424">
        <v>6</v>
      </c>
      <c r="W8424">
        <v>2</v>
      </c>
      <c r="X8424">
        <v>4</v>
      </c>
      <c r="Y8424">
        <v>0</v>
      </c>
      <c r="Z8424">
        <v>4</v>
      </c>
      <c r="AA8424">
        <v>1617.42</v>
      </c>
      <c r="AB8424">
        <v>1617.42</v>
      </c>
      <c r="AC8424">
        <v>1410.75</v>
      </c>
      <c r="AD8424">
        <v>0</v>
      </c>
      <c r="AE8424">
        <v>206.67</v>
      </c>
      <c r="AF8424">
        <v>0</v>
      </c>
      <c r="AG8424">
        <v>0</v>
      </c>
      <c r="AH8424">
        <v>0</v>
      </c>
      <c r="AI8424">
        <v>0</v>
      </c>
      <c r="AJ8424">
        <v>1617.42</v>
      </c>
      <c r="AK8424">
        <v>0</v>
      </c>
      <c r="AL8424" t="s">
        <v>53</v>
      </c>
      <c r="AM8424" t="s">
        <v>53</v>
      </c>
      <c r="AN8424" t="s">
        <v>15941</v>
      </c>
      <c r="AO8424" t="s">
        <v>53</v>
      </c>
      <c r="AP8424" t="s">
        <v>53</v>
      </c>
    </row>
    <row r="8425" spans="2:42" x14ac:dyDescent="0.2">
      <c r="B8425" t="s">
        <v>44</v>
      </c>
      <c r="C8425" t="str">
        <f>HYPERLINK("https://us2.cloudbeds.com/connect/8493803454333002#/reservations/9080486848575914?display=4QGARYH91T&amp;reservation_id=9080486848575914", "4QGARYH91T")</f>
        <v>4QGARYH91T</v>
      </c>
      <c r="D8425" t="s">
        <v>45</v>
      </c>
      <c r="E8425" t="s">
        <v>105</v>
      </c>
      <c r="F8425" t="s">
        <v>47</v>
      </c>
      <c r="G8425" t="s">
        <v>48</v>
      </c>
      <c r="H8425" t="s">
        <v>49</v>
      </c>
      <c r="I8425" t="s">
        <v>50</v>
      </c>
      <c r="J8425" t="s">
        <v>13719</v>
      </c>
      <c r="K8425" t="s">
        <v>15369</v>
      </c>
      <c r="L8425" t="s">
        <v>53</v>
      </c>
      <c r="N8425" t="s">
        <v>15942</v>
      </c>
      <c r="P8425" t="s">
        <v>55</v>
      </c>
      <c r="R8425" t="s">
        <v>53</v>
      </c>
      <c r="T8425" t="s">
        <v>15943</v>
      </c>
      <c r="U8425" t="s">
        <v>55</v>
      </c>
      <c r="V8425">
        <v>1</v>
      </c>
      <c r="W8425">
        <v>1</v>
      </c>
      <c r="X8425">
        <v>1</v>
      </c>
      <c r="Y8425">
        <v>0</v>
      </c>
      <c r="Z8425">
        <v>1</v>
      </c>
      <c r="AA8425">
        <v>50.39</v>
      </c>
      <c r="AB8425">
        <v>50.39</v>
      </c>
      <c r="AC8425">
        <v>46.34</v>
      </c>
      <c r="AD8425">
        <v>0</v>
      </c>
      <c r="AE8425">
        <v>4.05</v>
      </c>
      <c r="AF8425">
        <v>0</v>
      </c>
      <c r="AG8425">
        <v>0</v>
      </c>
      <c r="AH8425">
        <v>0</v>
      </c>
      <c r="AI8425">
        <v>9.07</v>
      </c>
      <c r="AJ8425">
        <v>50.39</v>
      </c>
      <c r="AK8425">
        <v>0</v>
      </c>
      <c r="AL8425" t="s">
        <v>53</v>
      </c>
      <c r="AM8425" t="s">
        <v>53</v>
      </c>
      <c r="AN8425" t="s">
        <v>53</v>
      </c>
      <c r="AO8425" t="s">
        <v>53</v>
      </c>
      <c r="AP8425" t="s">
        <v>53</v>
      </c>
    </row>
    <row r="8426" spans="2:42" x14ac:dyDescent="0.2">
      <c r="B8426" t="s">
        <v>44</v>
      </c>
      <c r="C8426" t="str">
        <f>HYPERLINK("https://us2.cloudbeds.com/connect/8493803454333002#/reservations/9080486848575944?display=4QGBQ520W6&amp;reservation_id=9080486848575944", "4QGBQ520W6")</f>
        <v>4QGBQ520W6</v>
      </c>
      <c r="D8426" t="s">
        <v>45</v>
      </c>
      <c r="E8426" t="s">
        <v>487</v>
      </c>
      <c r="F8426" t="s">
        <v>61</v>
      </c>
      <c r="G8426" t="s">
        <v>48</v>
      </c>
      <c r="H8426" t="s">
        <v>49</v>
      </c>
      <c r="I8426" t="s">
        <v>8964</v>
      </c>
      <c r="J8426" t="s">
        <v>9130</v>
      </c>
      <c r="K8426" t="s">
        <v>9131</v>
      </c>
      <c r="L8426" t="s">
        <v>53</v>
      </c>
      <c r="N8426" t="s">
        <v>15944</v>
      </c>
      <c r="P8426" t="s">
        <v>55</v>
      </c>
      <c r="R8426" t="s">
        <v>53</v>
      </c>
      <c r="T8426" t="s">
        <v>15945</v>
      </c>
      <c r="U8426" t="s">
        <v>55</v>
      </c>
      <c r="V8426">
        <v>1</v>
      </c>
      <c r="W8426">
        <v>1</v>
      </c>
      <c r="X8426">
        <v>1</v>
      </c>
      <c r="Y8426">
        <v>0</v>
      </c>
      <c r="Z8426">
        <v>1</v>
      </c>
      <c r="AA8426">
        <v>0</v>
      </c>
      <c r="AB8426">
        <v>0</v>
      </c>
      <c r="AC8426">
        <v>90</v>
      </c>
      <c r="AD8426">
        <v>0</v>
      </c>
      <c r="AE8426">
        <v>0</v>
      </c>
      <c r="AF8426">
        <v>0</v>
      </c>
      <c r="AG8426">
        <v>0</v>
      </c>
      <c r="AH8426">
        <v>0</v>
      </c>
      <c r="AI8426">
        <v>13.5</v>
      </c>
      <c r="AJ8426">
        <v>90</v>
      </c>
      <c r="AK8426">
        <v>90</v>
      </c>
      <c r="AL8426" t="s">
        <v>53</v>
      </c>
      <c r="AM8426" t="s">
        <v>53</v>
      </c>
      <c r="AN8426" t="s">
        <v>15946</v>
      </c>
      <c r="AO8426" t="s">
        <v>53</v>
      </c>
      <c r="AP8426" t="s">
        <v>53</v>
      </c>
    </row>
    <row r="8427" spans="2:42" x14ac:dyDescent="0.2">
      <c r="B8427" t="s">
        <v>44</v>
      </c>
      <c r="C8427" t="str">
        <f>HYPERLINK("https://us2.cloudbeds.com/connect/8493803454333002#/reservations/222912798204032?display=4QGE6YUKY3&amp;reservation_id=222912798204032", "4QGE6YUKY3")</f>
        <v>4QGE6YUKY3</v>
      </c>
      <c r="D8427" t="s">
        <v>45</v>
      </c>
      <c r="E8427" t="s">
        <v>406</v>
      </c>
      <c r="F8427" t="s">
        <v>61</v>
      </c>
      <c r="G8427" t="s">
        <v>3974</v>
      </c>
      <c r="H8427" t="s">
        <v>3957</v>
      </c>
      <c r="I8427" t="s">
        <v>3975</v>
      </c>
      <c r="J8427" t="s">
        <v>14971</v>
      </c>
      <c r="K8427" t="s">
        <v>15947</v>
      </c>
      <c r="L8427" t="s">
        <v>53</v>
      </c>
      <c r="P8427" t="s">
        <v>55</v>
      </c>
      <c r="R8427" t="s">
        <v>56</v>
      </c>
      <c r="T8427" t="s">
        <v>15948</v>
      </c>
      <c r="U8427" t="s">
        <v>58</v>
      </c>
      <c r="V8427">
        <v>1</v>
      </c>
      <c r="W8427">
        <v>1</v>
      </c>
      <c r="X8427">
        <v>2</v>
      </c>
      <c r="Y8427">
        <v>0</v>
      </c>
      <c r="Z8427">
        <v>2</v>
      </c>
      <c r="AA8427">
        <v>241.8</v>
      </c>
      <c r="AB8427">
        <v>241.8</v>
      </c>
      <c r="AC8427">
        <v>210.9</v>
      </c>
      <c r="AD8427">
        <v>0</v>
      </c>
      <c r="AE8427">
        <v>30.9</v>
      </c>
      <c r="AF8427">
        <v>0</v>
      </c>
      <c r="AG8427">
        <v>0</v>
      </c>
      <c r="AH8427">
        <v>0</v>
      </c>
      <c r="AI8427">
        <v>0</v>
      </c>
      <c r="AJ8427">
        <v>241.8</v>
      </c>
      <c r="AK8427">
        <v>0</v>
      </c>
      <c r="AL8427" t="s">
        <v>53</v>
      </c>
      <c r="AM8427" t="s">
        <v>53</v>
      </c>
      <c r="AN8427" t="s">
        <v>15949</v>
      </c>
      <c r="AO8427" t="s">
        <v>53</v>
      </c>
      <c r="AP8427" t="s">
        <v>53</v>
      </c>
    </row>
    <row r="8428" spans="2:42" x14ac:dyDescent="0.2">
      <c r="B8428" t="s">
        <v>44</v>
      </c>
      <c r="C8428" t="str">
        <f>HYPERLINK("https://us2.cloudbeds.com/connect/8493803454333002#/reservations/9080486848576599?display=4QGZ6JBV2Y&amp;reservation_id=9080486848576599", "4QGZ6JBV2Y")</f>
        <v>4QGZ6JBV2Y</v>
      </c>
      <c r="D8428" t="s">
        <v>45</v>
      </c>
      <c r="E8428" t="s">
        <v>406</v>
      </c>
      <c r="F8428" t="s">
        <v>61</v>
      </c>
      <c r="G8428" t="s">
        <v>48</v>
      </c>
      <c r="H8428" t="s">
        <v>49</v>
      </c>
      <c r="I8428" t="s">
        <v>50</v>
      </c>
      <c r="J8428" t="s">
        <v>9130</v>
      </c>
      <c r="K8428" t="s">
        <v>9131</v>
      </c>
      <c r="L8428" t="s">
        <v>53</v>
      </c>
      <c r="N8428" t="s">
        <v>15950</v>
      </c>
      <c r="P8428" t="s">
        <v>55</v>
      </c>
      <c r="R8428" t="s">
        <v>56</v>
      </c>
      <c r="T8428" t="s">
        <v>15951</v>
      </c>
      <c r="U8428" t="s">
        <v>55</v>
      </c>
      <c r="V8428">
        <v>1</v>
      </c>
      <c r="W8428">
        <v>1</v>
      </c>
      <c r="X8428">
        <v>2</v>
      </c>
      <c r="Y8428">
        <v>0</v>
      </c>
      <c r="Z8428">
        <v>2</v>
      </c>
      <c r="AA8428">
        <v>56.88</v>
      </c>
      <c r="AB8428">
        <v>56.88</v>
      </c>
      <c r="AC8428">
        <v>52.3</v>
      </c>
      <c r="AD8428">
        <v>0</v>
      </c>
      <c r="AE8428">
        <v>4.58</v>
      </c>
      <c r="AF8428">
        <v>0</v>
      </c>
      <c r="AG8428">
        <v>0</v>
      </c>
      <c r="AH8428">
        <v>0</v>
      </c>
      <c r="AI8428">
        <v>10.24</v>
      </c>
      <c r="AJ8428">
        <v>56.88</v>
      </c>
      <c r="AK8428">
        <v>0</v>
      </c>
      <c r="AL8428" t="s">
        <v>53</v>
      </c>
      <c r="AM8428" t="s">
        <v>53</v>
      </c>
      <c r="AN8428" t="s">
        <v>15952</v>
      </c>
      <c r="AO8428" t="s">
        <v>53</v>
      </c>
      <c r="AP8428" t="s">
        <v>53</v>
      </c>
    </row>
    <row r="8429" spans="2:42" x14ac:dyDescent="0.2">
      <c r="B8429" t="s">
        <v>44</v>
      </c>
      <c r="C8429" t="str">
        <f>HYPERLINK("https://us2.cloudbeds.com/connect/8493803454333002#/reservations/9080486848576758?display=4QGRWUR2DF&amp;reservation_id=9080486848576758", "4QGRWUR2DF")</f>
        <v>4QGRWUR2DF</v>
      </c>
      <c r="D8429" t="s">
        <v>45</v>
      </c>
      <c r="E8429" t="s">
        <v>78</v>
      </c>
      <c r="F8429" t="s">
        <v>61</v>
      </c>
      <c r="G8429" t="s">
        <v>48</v>
      </c>
      <c r="H8429" t="s">
        <v>49</v>
      </c>
      <c r="I8429" t="s">
        <v>50</v>
      </c>
      <c r="J8429" t="s">
        <v>14628</v>
      </c>
      <c r="K8429" t="s">
        <v>9762</v>
      </c>
      <c r="L8429" t="s">
        <v>53</v>
      </c>
      <c r="N8429" t="s">
        <v>15953</v>
      </c>
      <c r="P8429" t="s">
        <v>55</v>
      </c>
      <c r="R8429" t="s">
        <v>53</v>
      </c>
      <c r="T8429" t="s">
        <v>15954</v>
      </c>
      <c r="U8429" t="s">
        <v>55</v>
      </c>
      <c r="V8429">
        <v>1</v>
      </c>
      <c r="W8429">
        <v>1</v>
      </c>
      <c r="X8429">
        <v>2</v>
      </c>
      <c r="Y8429">
        <v>0</v>
      </c>
      <c r="Z8429">
        <v>2</v>
      </c>
      <c r="AA8429">
        <v>53.32</v>
      </c>
      <c r="AB8429">
        <v>53.32</v>
      </c>
      <c r="AC8429">
        <v>49.03</v>
      </c>
      <c r="AD8429">
        <v>0</v>
      </c>
      <c r="AE8429">
        <v>4.29</v>
      </c>
      <c r="AF8429">
        <v>0</v>
      </c>
      <c r="AG8429">
        <v>0</v>
      </c>
      <c r="AH8429">
        <v>0</v>
      </c>
      <c r="AI8429">
        <v>9.6</v>
      </c>
      <c r="AJ8429">
        <v>53.32</v>
      </c>
      <c r="AK8429">
        <v>0</v>
      </c>
      <c r="AL8429" t="s">
        <v>53</v>
      </c>
      <c r="AM8429" t="s">
        <v>53</v>
      </c>
      <c r="AN8429" t="s">
        <v>53</v>
      </c>
      <c r="AO8429" t="s">
        <v>53</v>
      </c>
      <c r="AP8429" t="s">
        <v>53</v>
      </c>
    </row>
    <row r="8430" spans="2:42" x14ac:dyDescent="0.2">
      <c r="B8430" t="s">
        <v>44</v>
      </c>
      <c r="C8430" t="str">
        <f>HYPERLINK("https://us2.cloudbeds.com/connect/8493803454333002#/reservations/9080486848577622?display=4QHF3GFFWH&amp;reservation_id=9080486848577622", "4QHF3GFFWH")</f>
        <v>4QHF3GFFWH</v>
      </c>
      <c r="D8430" t="s">
        <v>45</v>
      </c>
      <c r="E8430" t="s">
        <v>78</v>
      </c>
      <c r="F8430" t="s">
        <v>61</v>
      </c>
      <c r="G8430" t="s">
        <v>48</v>
      </c>
      <c r="H8430" t="s">
        <v>49</v>
      </c>
      <c r="I8430" t="s">
        <v>50</v>
      </c>
      <c r="J8430" t="s">
        <v>13082</v>
      </c>
      <c r="K8430" t="s">
        <v>14362</v>
      </c>
      <c r="L8430" t="s">
        <v>53</v>
      </c>
      <c r="N8430" t="s">
        <v>15955</v>
      </c>
      <c r="P8430" t="s">
        <v>55</v>
      </c>
      <c r="R8430" t="s">
        <v>53</v>
      </c>
      <c r="T8430" t="s">
        <v>15956</v>
      </c>
      <c r="U8430" t="s">
        <v>58</v>
      </c>
      <c r="V8430">
        <v>1</v>
      </c>
      <c r="W8430">
        <v>1</v>
      </c>
      <c r="X8430">
        <v>2</v>
      </c>
      <c r="Y8430">
        <v>0</v>
      </c>
      <c r="Z8430">
        <v>2</v>
      </c>
      <c r="AA8430">
        <v>114.61</v>
      </c>
      <c r="AB8430">
        <v>114.61</v>
      </c>
      <c r="AC8430">
        <v>99.96</v>
      </c>
      <c r="AD8430">
        <v>0</v>
      </c>
      <c r="AE8430">
        <v>14.65</v>
      </c>
      <c r="AF8430">
        <v>0</v>
      </c>
      <c r="AG8430">
        <v>0</v>
      </c>
      <c r="AH8430">
        <v>0</v>
      </c>
      <c r="AI8430">
        <v>20.63</v>
      </c>
      <c r="AJ8430">
        <v>114.61</v>
      </c>
      <c r="AK8430">
        <v>0</v>
      </c>
      <c r="AL8430" t="s">
        <v>53</v>
      </c>
      <c r="AM8430" t="s">
        <v>53</v>
      </c>
      <c r="AN8430" t="s">
        <v>53</v>
      </c>
      <c r="AO8430" t="s">
        <v>53</v>
      </c>
      <c r="AP8430" t="s">
        <v>53</v>
      </c>
    </row>
    <row r="8431" spans="2:42" x14ac:dyDescent="0.2">
      <c r="B8431" t="s">
        <v>44</v>
      </c>
      <c r="C8431" t="str">
        <f>HYPERLINK("https://us2.cloudbeds.com/connect/8493803454333002#/reservations/9080486848577742?display=4QHH9XGW9C&amp;reservation_id=9080486848577742", "4QHH9XGW9C")</f>
        <v>4QHH9XGW9C</v>
      </c>
      <c r="D8431" t="s">
        <v>45</v>
      </c>
      <c r="E8431" t="s">
        <v>179</v>
      </c>
      <c r="F8431" t="s">
        <v>47</v>
      </c>
      <c r="G8431" t="s">
        <v>48</v>
      </c>
      <c r="H8431" t="s">
        <v>49</v>
      </c>
      <c r="I8431" t="s">
        <v>50</v>
      </c>
      <c r="J8431" t="s">
        <v>9130</v>
      </c>
      <c r="K8431" t="s">
        <v>9131</v>
      </c>
      <c r="L8431" t="s">
        <v>53</v>
      </c>
      <c r="N8431" t="s">
        <v>15957</v>
      </c>
      <c r="P8431" t="s">
        <v>55</v>
      </c>
      <c r="R8431" t="s">
        <v>53</v>
      </c>
      <c r="T8431" t="s">
        <v>15958</v>
      </c>
      <c r="U8431" t="s">
        <v>55</v>
      </c>
      <c r="V8431">
        <v>1</v>
      </c>
      <c r="W8431">
        <v>1</v>
      </c>
      <c r="X8431">
        <v>2</v>
      </c>
      <c r="Y8431">
        <v>0</v>
      </c>
      <c r="Z8431">
        <v>2</v>
      </c>
      <c r="AA8431">
        <v>46.74</v>
      </c>
      <c r="AB8431">
        <v>46.74</v>
      </c>
      <c r="AC8431">
        <v>42.98</v>
      </c>
      <c r="AD8431">
        <v>0</v>
      </c>
      <c r="AE8431">
        <v>3.76</v>
      </c>
      <c r="AF8431">
        <v>0</v>
      </c>
      <c r="AG8431">
        <v>0</v>
      </c>
      <c r="AH8431">
        <v>0</v>
      </c>
      <c r="AI8431">
        <v>8.41</v>
      </c>
      <c r="AJ8431">
        <v>46.74</v>
      </c>
      <c r="AK8431">
        <v>0</v>
      </c>
      <c r="AL8431" t="s">
        <v>53</v>
      </c>
      <c r="AM8431" t="s">
        <v>53</v>
      </c>
      <c r="AN8431" t="s">
        <v>53</v>
      </c>
      <c r="AO8431" t="s">
        <v>53</v>
      </c>
      <c r="AP8431" t="s">
        <v>53</v>
      </c>
    </row>
    <row r="8432" spans="2:42" x14ac:dyDescent="0.2">
      <c r="B8432" t="s">
        <v>44</v>
      </c>
      <c r="C8432" t="str">
        <f>HYPERLINK("https://us2.cloudbeds.com/connect/8493803454333002#/reservations/222965714124992?display=4QHM5PWSQ7&amp;reservation_id=222965714124992", "4QHM5PWSQ7")</f>
        <v>4QHM5PWSQ7</v>
      </c>
      <c r="D8432" t="s">
        <v>45</v>
      </c>
      <c r="E8432" t="s">
        <v>213</v>
      </c>
      <c r="F8432" t="s">
        <v>86</v>
      </c>
      <c r="G8432" t="s">
        <v>48</v>
      </c>
      <c r="H8432" t="s">
        <v>3957</v>
      </c>
      <c r="I8432" t="s">
        <v>3958</v>
      </c>
      <c r="J8432" t="s">
        <v>9130</v>
      </c>
      <c r="K8432" t="s">
        <v>13719</v>
      </c>
      <c r="L8432" t="s">
        <v>53</v>
      </c>
      <c r="P8432" t="s">
        <v>55</v>
      </c>
      <c r="R8432" t="s">
        <v>56</v>
      </c>
      <c r="T8432" t="s">
        <v>15959</v>
      </c>
      <c r="U8432" t="s">
        <v>58</v>
      </c>
      <c r="V8432">
        <v>2</v>
      </c>
      <c r="W8432">
        <v>1</v>
      </c>
      <c r="X8432">
        <v>1</v>
      </c>
      <c r="Y8432">
        <v>0</v>
      </c>
      <c r="Z8432">
        <v>1</v>
      </c>
      <c r="AA8432">
        <v>208.68</v>
      </c>
      <c r="AB8432">
        <v>208.68</v>
      </c>
      <c r="AC8432">
        <v>182</v>
      </c>
      <c r="AD8432">
        <v>0</v>
      </c>
      <c r="AE8432">
        <v>26.68</v>
      </c>
      <c r="AF8432">
        <v>0</v>
      </c>
      <c r="AG8432">
        <v>0</v>
      </c>
      <c r="AH8432">
        <v>0</v>
      </c>
      <c r="AI8432">
        <v>0</v>
      </c>
      <c r="AJ8432">
        <v>208.68</v>
      </c>
      <c r="AK8432">
        <v>0</v>
      </c>
      <c r="AL8432" t="s">
        <v>53</v>
      </c>
      <c r="AM8432" t="s">
        <v>53</v>
      </c>
      <c r="AN8432" t="s">
        <v>53</v>
      </c>
      <c r="AO8432" t="s">
        <v>53</v>
      </c>
      <c r="AP8432" t="s">
        <v>53</v>
      </c>
    </row>
    <row r="8433" spans="2:42" x14ac:dyDescent="0.2">
      <c r="B8433" t="s">
        <v>44</v>
      </c>
      <c r="C8433" t="str">
        <f>HYPERLINK("https://us2.cloudbeds.com/connect/8493803454333002#/reservations/9080486848577955?display=4QHN25TZ7N&amp;reservation_id=9080486848577955", "4QHN25TZ7N")</f>
        <v>4QHN25TZ7N</v>
      </c>
      <c r="D8433" t="s">
        <v>45</v>
      </c>
      <c r="E8433" t="s">
        <v>128</v>
      </c>
      <c r="F8433" t="s">
        <v>86</v>
      </c>
      <c r="G8433" t="s">
        <v>48</v>
      </c>
      <c r="H8433" t="s">
        <v>49</v>
      </c>
      <c r="I8433" t="s">
        <v>8964</v>
      </c>
      <c r="J8433" t="s">
        <v>14627</v>
      </c>
      <c r="K8433" t="s">
        <v>14628</v>
      </c>
      <c r="L8433" t="s">
        <v>53</v>
      </c>
      <c r="N8433" t="s">
        <v>15960</v>
      </c>
      <c r="P8433" t="s">
        <v>55</v>
      </c>
      <c r="R8433" t="s">
        <v>53</v>
      </c>
      <c r="T8433" t="s">
        <v>15961</v>
      </c>
      <c r="U8433" t="s">
        <v>55</v>
      </c>
      <c r="V8433">
        <v>1</v>
      </c>
      <c r="W8433">
        <v>1</v>
      </c>
      <c r="X8433">
        <v>2</v>
      </c>
      <c r="Y8433">
        <v>0</v>
      </c>
      <c r="Z8433">
        <v>2</v>
      </c>
      <c r="AA8433">
        <v>101</v>
      </c>
      <c r="AB8433">
        <v>5.48</v>
      </c>
      <c r="AC8433">
        <v>101</v>
      </c>
      <c r="AD8433">
        <v>5</v>
      </c>
      <c r="AE8433">
        <v>0.48</v>
      </c>
      <c r="AF8433">
        <v>0</v>
      </c>
      <c r="AG8433">
        <v>0</v>
      </c>
      <c r="AH8433">
        <v>0</v>
      </c>
      <c r="AI8433">
        <v>15.97</v>
      </c>
      <c r="AJ8433">
        <v>106.48</v>
      </c>
      <c r="AK8433">
        <v>101</v>
      </c>
      <c r="AL8433" t="s">
        <v>53</v>
      </c>
      <c r="AM8433" t="s">
        <v>53</v>
      </c>
      <c r="AN8433" t="s">
        <v>15962</v>
      </c>
      <c r="AO8433" t="s">
        <v>53</v>
      </c>
      <c r="AP8433" t="s">
        <v>53</v>
      </c>
    </row>
    <row r="8434" spans="2:42" x14ac:dyDescent="0.2">
      <c r="B8434" t="s">
        <v>44</v>
      </c>
      <c r="C8434" t="str">
        <f>HYPERLINK("https://us2.cloudbeds.com/connect/8493803454333002#/reservations/9080486848578453?display=4QX4HXJ7HU&amp;reservation_id=9080486848578453", "4QX4HXJ7HU")</f>
        <v>4QX4HXJ7HU</v>
      </c>
      <c r="D8434" t="s">
        <v>45</v>
      </c>
      <c r="E8434" t="s">
        <v>128</v>
      </c>
      <c r="F8434" t="s">
        <v>86</v>
      </c>
      <c r="G8434" t="s">
        <v>48</v>
      </c>
      <c r="H8434" t="s">
        <v>49</v>
      </c>
      <c r="I8434" t="s">
        <v>8964</v>
      </c>
      <c r="J8434" t="s">
        <v>9130</v>
      </c>
      <c r="K8434" t="s">
        <v>9131</v>
      </c>
      <c r="L8434" t="s">
        <v>53</v>
      </c>
      <c r="N8434" t="s">
        <v>15963</v>
      </c>
      <c r="P8434" t="s">
        <v>55</v>
      </c>
      <c r="R8434" t="s">
        <v>53</v>
      </c>
      <c r="T8434" t="s">
        <v>15964</v>
      </c>
      <c r="U8434" t="s">
        <v>55</v>
      </c>
      <c r="V8434">
        <v>1</v>
      </c>
      <c r="W8434">
        <v>1</v>
      </c>
      <c r="X8434">
        <v>2</v>
      </c>
      <c r="Y8434">
        <v>0</v>
      </c>
      <c r="Z8434">
        <v>2</v>
      </c>
      <c r="AA8434">
        <v>0</v>
      </c>
      <c r="AB8434">
        <v>0</v>
      </c>
      <c r="AC8434">
        <v>101</v>
      </c>
      <c r="AD8434">
        <v>0</v>
      </c>
      <c r="AE8434">
        <v>0</v>
      </c>
      <c r="AF8434">
        <v>0</v>
      </c>
      <c r="AG8434">
        <v>0</v>
      </c>
      <c r="AH8434">
        <v>0</v>
      </c>
      <c r="AI8434">
        <v>15.15</v>
      </c>
      <c r="AJ8434">
        <v>101</v>
      </c>
      <c r="AK8434">
        <v>101</v>
      </c>
      <c r="AL8434" t="s">
        <v>53</v>
      </c>
      <c r="AM8434" t="s">
        <v>53</v>
      </c>
      <c r="AN8434" t="s">
        <v>53</v>
      </c>
      <c r="AO8434" t="s">
        <v>53</v>
      </c>
      <c r="AP8434" t="s">
        <v>53</v>
      </c>
    </row>
    <row r="8435" spans="2:42" x14ac:dyDescent="0.2">
      <c r="B8435" t="s">
        <v>44</v>
      </c>
      <c r="C8435" t="str">
        <f>HYPERLINK("https://us2.cloudbeds.com/connect/8493803454333002#/reservations/222991748100224?display=4QX9B0XZSM&amp;reservation_id=222991748100224", "4QX9B0XZSM")</f>
        <v>4QX9B0XZSM</v>
      </c>
      <c r="D8435" t="s">
        <v>45</v>
      </c>
      <c r="E8435" t="s">
        <v>487</v>
      </c>
      <c r="F8435" t="s">
        <v>61</v>
      </c>
      <c r="G8435" t="s">
        <v>48</v>
      </c>
      <c r="H8435" t="s">
        <v>3957</v>
      </c>
      <c r="I8435" t="s">
        <v>3975</v>
      </c>
      <c r="J8435" t="s">
        <v>9131</v>
      </c>
      <c r="K8435" t="s">
        <v>13719</v>
      </c>
      <c r="L8435" t="s">
        <v>53</v>
      </c>
      <c r="P8435" t="s">
        <v>55</v>
      </c>
      <c r="R8435" t="s">
        <v>56</v>
      </c>
      <c r="T8435" t="s">
        <v>15965</v>
      </c>
      <c r="U8435" t="s">
        <v>58</v>
      </c>
      <c r="V8435">
        <v>1</v>
      </c>
      <c r="W8435">
        <v>1</v>
      </c>
      <c r="X8435">
        <v>2</v>
      </c>
      <c r="Y8435">
        <v>0</v>
      </c>
      <c r="Z8435">
        <v>2</v>
      </c>
      <c r="AA8435">
        <v>92.87</v>
      </c>
      <c r="AB8435">
        <v>92.87</v>
      </c>
      <c r="AC8435">
        <v>81</v>
      </c>
      <c r="AD8435">
        <v>0</v>
      </c>
      <c r="AE8435">
        <v>11.87</v>
      </c>
      <c r="AF8435">
        <v>0</v>
      </c>
      <c r="AG8435">
        <v>0</v>
      </c>
      <c r="AH8435">
        <v>0</v>
      </c>
      <c r="AI8435">
        <v>0</v>
      </c>
      <c r="AJ8435">
        <v>92.87</v>
      </c>
      <c r="AK8435">
        <v>0</v>
      </c>
      <c r="AL8435" t="s">
        <v>53</v>
      </c>
      <c r="AM8435" t="s">
        <v>53</v>
      </c>
      <c r="AN8435" t="s">
        <v>15966</v>
      </c>
      <c r="AO8435" t="s">
        <v>53</v>
      </c>
      <c r="AP8435" t="s">
        <v>53</v>
      </c>
    </row>
    <row r="8436" spans="2:42" x14ac:dyDescent="0.2">
      <c r="B8436" t="s">
        <v>44</v>
      </c>
      <c r="C8436" t="str">
        <f>HYPERLINK("https://us2.cloudbeds.com/connect/8493803454333002#/reservations/222996168474752?display=4QXCZVV69W&amp;reservation_id=222996168474752", "4QXCZVV69W")</f>
        <v>4QXCZVV69W</v>
      </c>
      <c r="D8436" t="s">
        <v>45</v>
      </c>
      <c r="E8436" t="s">
        <v>105</v>
      </c>
      <c r="F8436" t="s">
        <v>47</v>
      </c>
      <c r="G8436" t="s">
        <v>48</v>
      </c>
      <c r="H8436" t="s">
        <v>3957</v>
      </c>
      <c r="I8436" t="s">
        <v>3958</v>
      </c>
      <c r="J8436" t="s">
        <v>14205</v>
      </c>
      <c r="K8436" t="s">
        <v>14206</v>
      </c>
      <c r="L8436" t="s">
        <v>53</v>
      </c>
      <c r="O8436" t="s">
        <v>15967</v>
      </c>
      <c r="P8436" t="s">
        <v>55</v>
      </c>
      <c r="R8436" t="s">
        <v>56</v>
      </c>
      <c r="T8436" t="s">
        <v>15968</v>
      </c>
      <c r="U8436" t="s">
        <v>58</v>
      </c>
      <c r="V8436">
        <v>1</v>
      </c>
      <c r="W8436">
        <v>1</v>
      </c>
      <c r="X8436">
        <v>1</v>
      </c>
      <c r="Y8436">
        <v>0</v>
      </c>
      <c r="Z8436">
        <v>1</v>
      </c>
      <c r="AA8436">
        <v>120.39</v>
      </c>
      <c r="AB8436">
        <v>120.39</v>
      </c>
      <c r="AC8436">
        <v>105</v>
      </c>
      <c r="AD8436">
        <v>0</v>
      </c>
      <c r="AE8436">
        <v>15.39</v>
      </c>
      <c r="AF8436">
        <v>0</v>
      </c>
      <c r="AG8436">
        <v>0</v>
      </c>
      <c r="AH8436">
        <v>0</v>
      </c>
      <c r="AI8436">
        <v>0</v>
      </c>
      <c r="AJ8436">
        <v>120.39</v>
      </c>
      <c r="AK8436">
        <v>0</v>
      </c>
      <c r="AL8436" t="s">
        <v>53</v>
      </c>
      <c r="AM8436" t="s">
        <v>53</v>
      </c>
      <c r="AN8436" t="s">
        <v>53</v>
      </c>
      <c r="AO8436" t="s">
        <v>53</v>
      </c>
      <c r="AP8436" t="s">
        <v>53</v>
      </c>
    </row>
    <row r="8437" spans="2:42" x14ac:dyDescent="0.2">
      <c r="B8437" t="s">
        <v>44</v>
      </c>
      <c r="C8437" t="str">
        <f>HYPERLINK("https://us2.cloudbeds.com/connect/8493803454333002#/reservations/9080486848578890?display=4QXFEB9NQE&amp;reservation_id=9080486848578890", "4QXFEB9NQE")</f>
        <v>4QXFEB9NQE</v>
      </c>
      <c r="D8437" t="s">
        <v>45</v>
      </c>
      <c r="E8437" t="s">
        <v>381</v>
      </c>
      <c r="F8437" t="s">
        <v>47</v>
      </c>
      <c r="G8437" t="s">
        <v>48</v>
      </c>
      <c r="H8437" t="s">
        <v>49</v>
      </c>
      <c r="I8437" t="s">
        <v>50</v>
      </c>
      <c r="J8437" t="s">
        <v>15439</v>
      </c>
      <c r="K8437" t="s">
        <v>14929</v>
      </c>
      <c r="L8437" t="s">
        <v>53</v>
      </c>
      <c r="N8437" t="s">
        <v>15969</v>
      </c>
      <c r="P8437" t="s">
        <v>55</v>
      </c>
      <c r="R8437" t="s">
        <v>53</v>
      </c>
      <c r="T8437" t="s">
        <v>15970</v>
      </c>
      <c r="U8437" t="s">
        <v>58</v>
      </c>
      <c r="V8437">
        <v>1</v>
      </c>
      <c r="W8437">
        <v>1</v>
      </c>
      <c r="X8437">
        <v>1</v>
      </c>
      <c r="Y8437">
        <v>0</v>
      </c>
      <c r="Z8437">
        <v>1</v>
      </c>
      <c r="AA8437">
        <v>66.45</v>
      </c>
      <c r="AB8437">
        <v>86.45</v>
      </c>
      <c r="AC8437">
        <v>57.96</v>
      </c>
      <c r="AD8437">
        <v>0</v>
      </c>
      <c r="AE8437">
        <v>8.49</v>
      </c>
      <c r="AF8437">
        <v>0</v>
      </c>
      <c r="AG8437">
        <v>0</v>
      </c>
      <c r="AH8437">
        <v>0</v>
      </c>
      <c r="AI8437">
        <v>11.96</v>
      </c>
      <c r="AJ8437">
        <v>66.45</v>
      </c>
      <c r="AK8437">
        <v>-20</v>
      </c>
      <c r="AL8437" t="s">
        <v>53</v>
      </c>
      <c r="AM8437" t="s">
        <v>53</v>
      </c>
      <c r="AN8437" t="s">
        <v>53</v>
      </c>
      <c r="AO8437" t="s">
        <v>53</v>
      </c>
      <c r="AP8437" t="s">
        <v>53</v>
      </c>
    </row>
    <row r="8438" spans="2:42" x14ac:dyDescent="0.2">
      <c r="B8438" t="s">
        <v>44</v>
      </c>
      <c r="C8438" t="str">
        <f>HYPERLINK("https://us2.cloudbeds.com/connect/8493803454333002#/reservations/9080486848579021?display=4QXXUKR60B&amp;reservation_id=9080486848579021", "4QXXUKR60B")</f>
        <v>4QXXUKR60B</v>
      </c>
      <c r="D8438" t="s">
        <v>45</v>
      </c>
      <c r="E8438" t="s">
        <v>190</v>
      </c>
      <c r="F8438" t="s">
        <v>61</v>
      </c>
      <c r="G8438" t="s">
        <v>48</v>
      </c>
      <c r="H8438" t="s">
        <v>49</v>
      </c>
      <c r="I8438" t="s">
        <v>62</v>
      </c>
      <c r="J8438" t="s">
        <v>14627</v>
      </c>
      <c r="K8438" t="s">
        <v>14628</v>
      </c>
      <c r="L8438" t="s">
        <v>53</v>
      </c>
      <c r="N8438" t="s">
        <v>15971</v>
      </c>
      <c r="P8438" t="s">
        <v>55</v>
      </c>
      <c r="R8438" t="s">
        <v>56</v>
      </c>
      <c r="T8438" t="s">
        <v>15972</v>
      </c>
      <c r="U8438" t="s">
        <v>55</v>
      </c>
      <c r="V8438">
        <v>1</v>
      </c>
      <c r="W8438">
        <v>1</v>
      </c>
      <c r="X8438">
        <v>2</v>
      </c>
      <c r="Y8438">
        <v>0</v>
      </c>
      <c r="Z8438">
        <v>2</v>
      </c>
      <c r="AA8438">
        <v>80.8</v>
      </c>
      <c r="AB8438">
        <v>80.8</v>
      </c>
      <c r="AC8438">
        <v>80.8</v>
      </c>
      <c r="AD8438">
        <v>0</v>
      </c>
      <c r="AE8438">
        <v>0</v>
      </c>
      <c r="AF8438">
        <v>0</v>
      </c>
      <c r="AG8438">
        <v>0</v>
      </c>
      <c r="AH8438">
        <v>0</v>
      </c>
      <c r="AI8438">
        <v>14.54</v>
      </c>
      <c r="AJ8438">
        <v>80.8</v>
      </c>
      <c r="AK8438">
        <v>0</v>
      </c>
      <c r="AL8438" t="s">
        <v>53</v>
      </c>
      <c r="AM8438" t="s">
        <v>53</v>
      </c>
      <c r="AN8438" t="s">
        <v>15973</v>
      </c>
      <c r="AO8438" t="s">
        <v>53</v>
      </c>
      <c r="AP8438" t="s">
        <v>53</v>
      </c>
    </row>
    <row r="8439" spans="2:42" x14ac:dyDescent="0.2">
      <c r="B8439" t="s">
        <v>44</v>
      </c>
      <c r="C8439" t="str">
        <f>HYPERLINK("https://us2.cloudbeds.com/connect/8493803454333002#/reservations/9080486848579056?display=4QXJGAVZYN&amp;reservation_id=9080486848579056", "4QXJGAVZYN")</f>
        <v>4QXJGAVZYN</v>
      </c>
      <c r="D8439" t="s">
        <v>45</v>
      </c>
      <c r="E8439" t="s">
        <v>105</v>
      </c>
      <c r="F8439" t="s">
        <v>47</v>
      </c>
      <c r="G8439" t="s">
        <v>48</v>
      </c>
      <c r="H8439" t="s">
        <v>49</v>
      </c>
      <c r="I8439" t="s">
        <v>50</v>
      </c>
      <c r="J8439" t="s">
        <v>14362</v>
      </c>
      <c r="K8439" t="s">
        <v>15237</v>
      </c>
      <c r="L8439" t="s">
        <v>53</v>
      </c>
      <c r="N8439" t="s">
        <v>15974</v>
      </c>
      <c r="P8439" t="s">
        <v>55</v>
      </c>
      <c r="R8439" t="s">
        <v>53</v>
      </c>
      <c r="T8439" t="s">
        <v>15975</v>
      </c>
      <c r="U8439" t="s">
        <v>55</v>
      </c>
      <c r="V8439">
        <v>1</v>
      </c>
      <c r="W8439">
        <v>1</v>
      </c>
      <c r="X8439">
        <v>2</v>
      </c>
      <c r="Y8439">
        <v>0</v>
      </c>
      <c r="Z8439">
        <v>2</v>
      </c>
      <c r="AA8439">
        <v>47.93</v>
      </c>
      <c r="AB8439">
        <v>47.93</v>
      </c>
      <c r="AC8439">
        <v>44.08</v>
      </c>
      <c r="AD8439">
        <v>0</v>
      </c>
      <c r="AE8439">
        <v>3.85</v>
      </c>
      <c r="AF8439">
        <v>0</v>
      </c>
      <c r="AG8439">
        <v>0</v>
      </c>
      <c r="AH8439">
        <v>0</v>
      </c>
      <c r="AI8439">
        <v>8.6300000000000008</v>
      </c>
      <c r="AJ8439">
        <v>47.93</v>
      </c>
      <c r="AK8439">
        <v>0</v>
      </c>
      <c r="AL8439" t="s">
        <v>53</v>
      </c>
      <c r="AM8439" t="s">
        <v>53</v>
      </c>
      <c r="AN8439" t="s">
        <v>15976</v>
      </c>
      <c r="AO8439" t="s">
        <v>53</v>
      </c>
      <c r="AP8439" t="s">
        <v>53</v>
      </c>
    </row>
    <row r="8440" spans="2:42" x14ac:dyDescent="0.2">
      <c r="B8440" t="s">
        <v>44</v>
      </c>
      <c r="C8440" t="str">
        <f>HYPERLINK("https://us2.cloudbeds.com/connect/8493803454333002#/reservations/9080486848579249?display=4QXZ15AW8W&amp;reservation_id=9080486848579249", "4QXZ15AW8W")</f>
        <v>4QXZ15AW8W</v>
      </c>
      <c r="D8440" t="s">
        <v>45</v>
      </c>
      <c r="E8440" t="s">
        <v>373</v>
      </c>
      <c r="F8440" t="s">
        <v>47</v>
      </c>
      <c r="G8440" t="s">
        <v>48</v>
      </c>
      <c r="H8440" t="s">
        <v>49</v>
      </c>
      <c r="I8440" t="s">
        <v>50</v>
      </c>
      <c r="J8440" t="s">
        <v>9130</v>
      </c>
      <c r="K8440" t="s">
        <v>9131</v>
      </c>
      <c r="L8440" t="s">
        <v>53</v>
      </c>
      <c r="N8440" t="s">
        <v>15977</v>
      </c>
      <c r="P8440" t="s">
        <v>55</v>
      </c>
      <c r="R8440" t="s">
        <v>53</v>
      </c>
      <c r="T8440" t="s">
        <v>15978</v>
      </c>
      <c r="U8440" t="s">
        <v>55</v>
      </c>
      <c r="V8440">
        <v>1</v>
      </c>
      <c r="W8440">
        <v>1</v>
      </c>
      <c r="X8440">
        <v>2</v>
      </c>
      <c r="Y8440">
        <v>0</v>
      </c>
      <c r="Z8440">
        <v>2</v>
      </c>
      <c r="AA8440">
        <v>62.09</v>
      </c>
      <c r="AB8440">
        <v>62.09</v>
      </c>
      <c r="AC8440">
        <v>57.09</v>
      </c>
      <c r="AD8440">
        <v>0</v>
      </c>
      <c r="AE8440">
        <v>5</v>
      </c>
      <c r="AF8440">
        <v>0</v>
      </c>
      <c r="AG8440">
        <v>0</v>
      </c>
      <c r="AH8440">
        <v>0</v>
      </c>
      <c r="AI8440">
        <v>11.18</v>
      </c>
      <c r="AJ8440">
        <v>62.09</v>
      </c>
      <c r="AK8440">
        <v>0</v>
      </c>
      <c r="AL8440" t="s">
        <v>53</v>
      </c>
      <c r="AM8440" t="s">
        <v>53</v>
      </c>
      <c r="AN8440" t="s">
        <v>53</v>
      </c>
      <c r="AO8440" t="s">
        <v>53</v>
      </c>
      <c r="AP8440" t="s">
        <v>53</v>
      </c>
    </row>
    <row r="8441" spans="2:42" x14ac:dyDescent="0.2">
      <c r="B8441" t="s">
        <v>44</v>
      </c>
      <c r="C8441" t="str">
        <f>HYPERLINK("https://us2.cloudbeds.com/connect/8493803454333002#/reservations/9080486848579329?display=4QXPZ5GE1R&amp;reservation_id=9080486848579329", "4QXPZ5GE1R")</f>
        <v>4QXPZ5GE1R</v>
      </c>
      <c r="D8441" t="s">
        <v>45</v>
      </c>
      <c r="E8441" t="s">
        <v>305</v>
      </c>
      <c r="F8441" t="s">
        <v>61</v>
      </c>
      <c r="G8441" t="s">
        <v>48</v>
      </c>
      <c r="H8441" t="s">
        <v>49</v>
      </c>
      <c r="I8441" t="s">
        <v>50</v>
      </c>
      <c r="J8441" t="s">
        <v>9130</v>
      </c>
      <c r="K8441" t="s">
        <v>9131</v>
      </c>
      <c r="L8441" t="s">
        <v>53</v>
      </c>
      <c r="N8441" t="s">
        <v>15979</v>
      </c>
      <c r="P8441" t="s">
        <v>55</v>
      </c>
      <c r="R8441" t="s">
        <v>53</v>
      </c>
      <c r="T8441" t="s">
        <v>15980</v>
      </c>
      <c r="U8441" t="s">
        <v>55</v>
      </c>
      <c r="V8441">
        <v>1</v>
      </c>
      <c r="W8441">
        <v>1</v>
      </c>
      <c r="X8441">
        <v>2</v>
      </c>
      <c r="Y8441">
        <v>0</v>
      </c>
      <c r="Z8441">
        <v>2</v>
      </c>
      <c r="AA8441">
        <v>56.88</v>
      </c>
      <c r="AB8441">
        <v>56.88</v>
      </c>
      <c r="AC8441">
        <v>52.3</v>
      </c>
      <c r="AD8441">
        <v>0</v>
      </c>
      <c r="AE8441">
        <v>4.58</v>
      </c>
      <c r="AF8441">
        <v>0</v>
      </c>
      <c r="AG8441">
        <v>0</v>
      </c>
      <c r="AH8441">
        <v>0</v>
      </c>
      <c r="AI8441">
        <v>10.24</v>
      </c>
      <c r="AJ8441">
        <v>56.88</v>
      </c>
      <c r="AK8441">
        <v>0</v>
      </c>
      <c r="AL8441" t="s">
        <v>53</v>
      </c>
      <c r="AM8441" t="s">
        <v>53</v>
      </c>
      <c r="AN8441" t="s">
        <v>53</v>
      </c>
      <c r="AO8441" t="s">
        <v>53</v>
      </c>
      <c r="AP8441" t="s">
        <v>53</v>
      </c>
    </row>
    <row r="8442" spans="2:42" x14ac:dyDescent="0.2">
      <c r="B8442" t="s">
        <v>44</v>
      </c>
      <c r="C8442" t="str">
        <f>HYPERLINK("https://us2.cloudbeds.com/connect/8493803454333002#/reservations/9080486848579837?display=4QJ80SM05G&amp;reservation_id=9080486848579837", "4QJ80SM05G")</f>
        <v>4QJ80SM05G</v>
      </c>
      <c r="D8442" t="s">
        <v>45</v>
      </c>
      <c r="E8442" t="s">
        <v>185</v>
      </c>
      <c r="F8442" t="s">
        <v>47</v>
      </c>
      <c r="G8442" t="s">
        <v>48</v>
      </c>
      <c r="H8442" t="s">
        <v>49</v>
      </c>
      <c r="I8442" t="s">
        <v>50</v>
      </c>
      <c r="J8442" t="s">
        <v>14362</v>
      </c>
      <c r="K8442" t="s">
        <v>13068</v>
      </c>
      <c r="L8442" t="s">
        <v>53</v>
      </c>
      <c r="N8442" t="s">
        <v>15981</v>
      </c>
      <c r="P8442" t="s">
        <v>55</v>
      </c>
      <c r="R8442" t="s">
        <v>53</v>
      </c>
      <c r="T8442" t="s">
        <v>15982</v>
      </c>
      <c r="U8442" t="s">
        <v>55</v>
      </c>
      <c r="V8442">
        <v>3</v>
      </c>
      <c r="W8442">
        <v>1</v>
      </c>
      <c r="X8442">
        <v>1</v>
      </c>
      <c r="Y8442">
        <v>0</v>
      </c>
      <c r="Z8442">
        <v>1</v>
      </c>
      <c r="AA8442">
        <v>153.75</v>
      </c>
      <c r="AB8442">
        <v>153.75</v>
      </c>
      <c r="AC8442">
        <v>141.38999999999999</v>
      </c>
      <c r="AD8442">
        <v>0</v>
      </c>
      <c r="AE8442">
        <v>12.36</v>
      </c>
      <c r="AF8442">
        <v>0</v>
      </c>
      <c r="AG8442">
        <v>0</v>
      </c>
      <c r="AH8442">
        <v>0</v>
      </c>
      <c r="AI8442">
        <v>27.68</v>
      </c>
      <c r="AJ8442">
        <v>153.75</v>
      </c>
      <c r="AK8442">
        <v>0</v>
      </c>
      <c r="AL8442" t="s">
        <v>53</v>
      </c>
      <c r="AM8442" t="s">
        <v>53</v>
      </c>
      <c r="AN8442" t="s">
        <v>53</v>
      </c>
      <c r="AO8442" t="s">
        <v>53</v>
      </c>
      <c r="AP8442" t="s">
        <v>53</v>
      </c>
    </row>
    <row r="8443" spans="2:42" x14ac:dyDescent="0.2">
      <c r="B8443" t="s">
        <v>44</v>
      </c>
      <c r="C8443" t="str">
        <f>HYPERLINK("https://us2.cloudbeds.com/connect/8493803454333002#/reservations/9080486848579971?display=4QJBCGHZ5Q&amp;reservation_id=9080486848579971", "4QJBCGHZ5Q")</f>
        <v>4QJBCGHZ5Q</v>
      </c>
      <c r="D8443" t="s">
        <v>45</v>
      </c>
      <c r="E8443" t="s">
        <v>305</v>
      </c>
      <c r="F8443" t="s">
        <v>61</v>
      </c>
      <c r="G8443" t="s">
        <v>48</v>
      </c>
      <c r="H8443" t="s">
        <v>49</v>
      </c>
      <c r="I8443" t="s">
        <v>50</v>
      </c>
      <c r="J8443" t="s">
        <v>13085</v>
      </c>
      <c r="K8443" t="s">
        <v>13086</v>
      </c>
      <c r="L8443" t="s">
        <v>53</v>
      </c>
      <c r="N8443" t="s">
        <v>15983</v>
      </c>
      <c r="P8443" t="s">
        <v>55</v>
      </c>
      <c r="R8443" t="s">
        <v>53</v>
      </c>
      <c r="T8443" t="s">
        <v>15984</v>
      </c>
      <c r="U8443" t="s">
        <v>55</v>
      </c>
      <c r="V8443">
        <v>3</v>
      </c>
      <c r="W8443">
        <v>1</v>
      </c>
      <c r="X8443">
        <v>2</v>
      </c>
      <c r="Y8443">
        <v>0</v>
      </c>
      <c r="Z8443">
        <v>2</v>
      </c>
      <c r="AA8443">
        <v>455.67</v>
      </c>
      <c r="AB8443">
        <v>442.88</v>
      </c>
      <c r="AC8443">
        <v>419</v>
      </c>
      <c r="AD8443">
        <v>0</v>
      </c>
      <c r="AE8443">
        <v>36.67</v>
      </c>
      <c r="AF8443">
        <v>0</v>
      </c>
      <c r="AG8443">
        <v>0</v>
      </c>
      <c r="AH8443">
        <v>0</v>
      </c>
      <c r="AI8443">
        <v>82.02</v>
      </c>
      <c r="AJ8443">
        <v>455.67</v>
      </c>
      <c r="AK8443">
        <v>12.79</v>
      </c>
      <c r="AL8443" t="s">
        <v>53</v>
      </c>
      <c r="AM8443" t="s">
        <v>53</v>
      </c>
      <c r="AN8443" t="s">
        <v>15985</v>
      </c>
      <c r="AO8443" t="s">
        <v>53</v>
      </c>
      <c r="AP8443" t="s">
        <v>53</v>
      </c>
    </row>
    <row r="8444" spans="2:42" x14ac:dyDescent="0.2">
      <c r="B8444" t="s">
        <v>44</v>
      </c>
      <c r="C8444" t="str">
        <f>HYPERLINK("https://us2.cloudbeds.com/connect/8493803454333002#/reservations/9080486848579995?display=4QJBTREHSH&amp;reservation_id=9080486848579995", "4QJBTREHSH")</f>
        <v>4QJBTREHSH</v>
      </c>
      <c r="D8444" t="s">
        <v>45</v>
      </c>
      <c r="E8444" t="s">
        <v>165</v>
      </c>
      <c r="F8444" t="s">
        <v>61</v>
      </c>
      <c r="G8444" t="s">
        <v>48</v>
      </c>
      <c r="H8444" t="s">
        <v>49</v>
      </c>
      <c r="I8444" t="s">
        <v>50</v>
      </c>
      <c r="J8444" t="s">
        <v>13719</v>
      </c>
      <c r="K8444" t="s">
        <v>15369</v>
      </c>
      <c r="L8444" t="s">
        <v>53</v>
      </c>
      <c r="N8444" t="s">
        <v>15986</v>
      </c>
      <c r="P8444" t="s">
        <v>55</v>
      </c>
      <c r="R8444" t="s">
        <v>53</v>
      </c>
      <c r="T8444" t="s">
        <v>15987</v>
      </c>
      <c r="U8444" t="s">
        <v>55</v>
      </c>
      <c r="V8444">
        <v>1</v>
      </c>
      <c r="W8444">
        <v>1</v>
      </c>
      <c r="X8444">
        <v>1</v>
      </c>
      <c r="Y8444">
        <v>0</v>
      </c>
      <c r="Z8444">
        <v>1</v>
      </c>
      <c r="AA8444">
        <v>60.67</v>
      </c>
      <c r="AB8444">
        <v>60.67</v>
      </c>
      <c r="AC8444">
        <v>55.79</v>
      </c>
      <c r="AD8444">
        <v>0</v>
      </c>
      <c r="AE8444">
        <v>4.88</v>
      </c>
      <c r="AF8444">
        <v>0</v>
      </c>
      <c r="AG8444">
        <v>0</v>
      </c>
      <c r="AH8444">
        <v>0</v>
      </c>
      <c r="AI8444">
        <v>10.92</v>
      </c>
      <c r="AJ8444">
        <v>60.67</v>
      </c>
      <c r="AK8444">
        <v>0</v>
      </c>
      <c r="AL8444" t="s">
        <v>53</v>
      </c>
      <c r="AM8444" t="s">
        <v>53</v>
      </c>
      <c r="AN8444" t="s">
        <v>15988</v>
      </c>
      <c r="AO8444" t="s">
        <v>53</v>
      </c>
      <c r="AP8444" t="s">
        <v>53</v>
      </c>
    </row>
    <row r="8445" spans="2:42" x14ac:dyDescent="0.2">
      <c r="B8445" t="s">
        <v>44</v>
      </c>
      <c r="C8445" t="str">
        <f>HYPERLINK("https://us2.cloudbeds.com/connect/8493803454333002#/reservations/9080486848580513?display=4QJS4NA3B0&amp;reservation_id=9080486848580513", "4QJS4NA3B0")</f>
        <v>4QJS4NA3B0</v>
      </c>
      <c r="D8445" t="s">
        <v>45</v>
      </c>
      <c r="E8445" t="s">
        <v>78</v>
      </c>
      <c r="F8445" t="s">
        <v>61</v>
      </c>
      <c r="G8445" t="s">
        <v>48</v>
      </c>
      <c r="H8445" t="s">
        <v>49</v>
      </c>
      <c r="I8445" t="s">
        <v>50</v>
      </c>
      <c r="J8445" t="s">
        <v>13719</v>
      </c>
      <c r="K8445" t="s">
        <v>15369</v>
      </c>
      <c r="L8445" t="s">
        <v>53</v>
      </c>
      <c r="N8445" t="s">
        <v>15989</v>
      </c>
      <c r="P8445" t="s">
        <v>55</v>
      </c>
      <c r="R8445" t="s">
        <v>53</v>
      </c>
      <c r="T8445" t="s">
        <v>15990</v>
      </c>
      <c r="U8445" t="s">
        <v>55</v>
      </c>
      <c r="V8445">
        <v>1</v>
      </c>
      <c r="W8445">
        <v>1</v>
      </c>
      <c r="X8445">
        <v>2</v>
      </c>
      <c r="Y8445">
        <v>0</v>
      </c>
      <c r="Z8445">
        <v>2</v>
      </c>
      <c r="AA8445">
        <v>48.53</v>
      </c>
      <c r="AB8445">
        <v>48.53</v>
      </c>
      <c r="AC8445">
        <v>44.63</v>
      </c>
      <c r="AD8445">
        <v>0</v>
      </c>
      <c r="AE8445">
        <v>3.9</v>
      </c>
      <c r="AF8445">
        <v>0</v>
      </c>
      <c r="AG8445">
        <v>0</v>
      </c>
      <c r="AH8445">
        <v>0</v>
      </c>
      <c r="AI8445">
        <v>8.74</v>
      </c>
      <c r="AJ8445">
        <v>48.53</v>
      </c>
      <c r="AK8445">
        <v>0</v>
      </c>
      <c r="AL8445" t="s">
        <v>53</v>
      </c>
      <c r="AM8445" t="s">
        <v>53</v>
      </c>
      <c r="AN8445" t="s">
        <v>15991</v>
      </c>
      <c r="AO8445" t="s">
        <v>53</v>
      </c>
      <c r="AP8445" t="s">
        <v>53</v>
      </c>
    </row>
    <row r="8446" spans="2:42" x14ac:dyDescent="0.2">
      <c r="B8446" t="s">
        <v>44</v>
      </c>
      <c r="C8446" t="str">
        <f>HYPERLINK("https://us2.cloudbeds.com/connect/8493803454333002#/reservations/9080486848583178?display=4QMDH1G7D9&amp;reservation_id=9080486848583178", "4QMDH1G7D9")</f>
        <v>4QMDH1G7D9</v>
      </c>
      <c r="D8446" t="s">
        <v>45</v>
      </c>
      <c r="E8446" t="s">
        <v>185</v>
      </c>
      <c r="F8446" t="s">
        <v>47</v>
      </c>
      <c r="G8446" t="s">
        <v>48</v>
      </c>
      <c r="H8446" t="s">
        <v>49</v>
      </c>
      <c r="I8446" t="s">
        <v>50</v>
      </c>
      <c r="J8446" t="s">
        <v>13719</v>
      </c>
      <c r="K8446" t="s">
        <v>15369</v>
      </c>
      <c r="L8446" t="s">
        <v>53</v>
      </c>
      <c r="N8446" t="s">
        <v>15992</v>
      </c>
      <c r="P8446" t="s">
        <v>55</v>
      </c>
      <c r="R8446" t="s">
        <v>53</v>
      </c>
      <c r="T8446" t="s">
        <v>15993</v>
      </c>
      <c r="U8446" t="s">
        <v>55</v>
      </c>
      <c r="V8446">
        <v>1</v>
      </c>
      <c r="W8446">
        <v>1</v>
      </c>
      <c r="X8446">
        <v>2</v>
      </c>
      <c r="Y8446">
        <v>0</v>
      </c>
      <c r="Z8446">
        <v>2</v>
      </c>
      <c r="AA8446">
        <v>54.06</v>
      </c>
      <c r="AB8446">
        <v>54.06</v>
      </c>
      <c r="AC8446">
        <v>49.71</v>
      </c>
      <c r="AD8446">
        <v>0</v>
      </c>
      <c r="AE8446">
        <v>4.3499999999999996</v>
      </c>
      <c r="AF8446">
        <v>0</v>
      </c>
      <c r="AG8446">
        <v>0</v>
      </c>
      <c r="AH8446">
        <v>0</v>
      </c>
      <c r="AI8446">
        <v>9.73</v>
      </c>
      <c r="AJ8446">
        <v>54.06</v>
      </c>
      <c r="AK8446">
        <v>0</v>
      </c>
      <c r="AL8446" t="s">
        <v>53</v>
      </c>
      <c r="AM8446" t="s">
        <v>53</v>
      </c>
      <c r="AN8446" t="s">
        <v>53</v>
      </c>
      <c r="AO8446" t="s">
        <v>53</v>
      </c>
      <c r="AP8446" t="s">
        <v>53</v>
      </c>
    </row>
    <row r="8447" spans="2:42" x14ac:dyDescent="0.2">
      <c r="B8447" t="s">
        <v>44</v>
      </c>
      <c r="C8447" t="str">
        <f>HYPERLINK("https://us2.cloudbeds.com/connect/8493803454333002#/reservations/9080486848583753?display=4QMR4NS6UM&amp;reservation_id=9080486848583753", "4QMR4NS6UM")</f>
        <v>4QMR4NS6UM</v>
      </c>
      <c r="D8447" t="s">
        <v>45</v>
      </c>
      <c r="E8447" t="s">
        <v>223</v>
      </c>
      <c r="F8447" t="s">
        <v>47</v>
      </c>
      <c r="G8447" t="s">
        <v>48</v>
      </c>
      <c r="H8447" t="s">
        <v>49</v>
      </c>
      <c r="I8447" t="s">
        <v>50</v>
      </c>
      <c r="J8447" t="s">
        <v>13085</v>
      </c>
      <c r="K8447" t="s">
        <v>13086</v>
      </c>
      <c r="L8447" t="s">
        <v>53</v>
      </c>
      <c r="N8447" t="s">
        <v>15994</v>
      </c>
      <c r="P8447" t="s">
        <v>55</v>
      </c>
      <c r="R8447" t="s">
        <v>53</v>
      </c>
      <c r="T8447" t="s">
        <v>15995</v>
      </c>
      <c r="U8447" t="s">
        <v>55</v>
      </c>
      <c r="V8447">
        <v>3</v>
      </c>
      <c r="W8447">
        <v>1</v>
      </c>
      <c r="X8447">
        <v>1</v>
      </c>
      <c r="Y8447">
        <v>0</v>
      </c>
      <c r="Z8447">
        <v>1</v>
      </c>
      <c r="AA8447">
        <v>318.58</v>
      </c>
      <c r="AB8447">
        <v>318.58</v>
      </c>
      <c r="AC8447">
        <v>292.95</v>
      </c>
      <c r="AD8447">
        <v>0</v>
      </c>
      <c r="AE8447">
        <v>25.63</v>
      </c>
      <c r="AF8447">
        <v>0</v>
      </c>
      <c r="AG8447">
        <v>0</v>
      </c>
      <c r="AH8447">
        <v>0</v>
      </c>
      <c r="AI8447">
        <v>57.34</v>
      </c>
      <c r="AJ8447">
        <v>318.58</v>
      </c>
      <c r="AK8447">
        <v>0</v>
      </c>
      <c r="AL8447" t="s">
        <v>53</v>
      </c>
      <c r="AM8447" t="s">
        <v>53</v>
      </c>
      <c r="AN8447" t="s">
        <v>53</v>
      </c>
      <c r="AO8447" t="s">
        <v>53</v>
      </c>
      <c r="AP8447" t="s">
        <v>53</v>
      </c>
    </row>
    <row r="8448" spans="2:42" x14ac:dyDescent="0.2">
      <c r="B8448" t="s">
        <v>44</v>
      </c>
      <c r="C8448" t="str">
        <f>HYPERLINK("https://us2.cloudbeds.com/connect/8493803454333002#/reservations/9080486848585071?display=4QNXZ4JEWS&amp;reservation_id=9080486848585071", "4QNXZ4JEWS")</f>
        <v>4QNXZ4JEWS</v>
      </c>
      <c r="D8448" t="s">
        <v>45</v>
      </c>
      <c r="E8448" t="s">
        <v>406</v>
      </c>
      <c r="F8448" t="s">
        <v>61</v>
      </c>
      <c r="G8448" t="s">
        <v>48</v>
      </c>
      <c r="H8448" t="s">
        <v>49</v>
      </c>
      <c r="I8448" t="s">
        <v>50</v>
      </c>
      <c r="J8448" t="s">
        <v>9131</v>
      </c>
      <c r="K8448" t="s">
        <v>13719</v>
      </c>
      <c r="L8448" t="s">
        <v>53</v>
      </c>
      <c r="N8448" t="s">
        <v>15996</v>
      </c>
      <c r="P8448" t="s">
        <v>55</v>
      </c>
      <c r="R8448" t="s">
        <v>53</v>
      </c>
      <c r="T8448" t="s">
        <v>15997</v>
      </c>
      <c r="U8448" t="s">
        <v>55</v>
      </c>
      <c r="V8448">
        <v>1</v>
      </c>
      <c r="W8448">
        <v>1</v>
      </c>
      <c r="X8448">
        <v>2</v>
      </c>
      <c r="Y8448">
        <v>0</v>
      </c>
      <c r="Z8448">
        <v>2</v>
      </c>
      <c r="AA8448">
        <v>51.2</v>
      </c>
      <c r="AB8448">
        <v>51.2</v>
      </c>
      <c r="AC8448">
        <v>47.08</v>
      </c>
      <c r="AD8448">
        <v>0</v>
      </c>
      <c r="AE8448">
        <v>4.12</v>
      </c>
      <c r="AF8448">
        <v>0</v>
      </c>
      <c r="AG8448">
        <v>0</v>
      </c>
      <c r="AH8448">
        <v>0</v>
      </c>
      <c r="AI8448">
        <v>9.2200000000000006</v>
      </c>
      <c r="AJ8448">
        <v>51.2</v>
      </c>
      <c r="AK8448">
        <v>0</v>
      </c>
      <c r="AL8448" t="s">
        <v>53</v>
      </c>
      <c r="AM8448" t="s">
        <v>53</v>
      </c>
      <c r="AN8448" t="s">
        <v>15998</v>
      </c>
      <c r="AO8448" t="s">
        <v>53</v>
      </c>
      <c r="AP8448" t="s">
        <v>53</v>
      </c>
    </row>
    <row r="8449" spans="2:42" x14ac:dyDescent="0.2">
      <c r="B8449" t="s">
        <v>44</v>
      </c>
      <c r="C8449" t="str">
        <f>HYPERLINK("https://us2.cloudbeds.com/connect/8493803454333002#/reservations/9080486848585201?display=4QNY82NR1P&amp;reservation_id=9080486848585201", "4QNY82NR1P")</f>
        <v>4QNY82NR1P</v>
      </c>
      <c r="D8449" t="s">
        <v>45</v>
      </c>
      <c r="E8449" t="s">
        <v>110</v>
      </c>
      <c r="F8449" t="s">
        <v>47</v>
      </c>
      <c r="G8449" t="s">
        <v>48</v>
      </c>
      <c r="H8449" t="s">
        <v>49</v>
      </c>
      <c r="I8449" t="s">
        <v>50</v>
      </c>
      <c r="J8449" t="s">
        <v>13849</v>
      </c>
      <c r="K8449" t="s">
        <v>14205</v>
      </c>
      <c r="L8449" t="s">
        <v>53</v>
      </c>
      <c r="N8449" t="s">
        <v>15999</v>
      </c>
      <c r="P8449" t="s">
        <v>55</v>
      </c>
      <c r="R8449" t="s">
        <v>53</v>
      </c>
      <c r="T8449" t="s">
        <v>16000</v>
      </c>
      <c r="U8449" t="s">
        <v>55</v>
      </c>
      <c r="V8449">
        <v>1</v>
      </c>
      <c r="W8449">
        <v>1</v>
      </c>
      <c r="X8449">
        <v>2</v>
      </c>
      <c r="Y8449">
        <v>0</v>
      </c>
      <c r="Z8449">
        <v>2</v>
      </c>
      <c r="AA8449">
        <v>45.56</v>
      </c>
      <c r="AB8449">
        <v>45.56</v>
      </c>
      <c r="AC8449">
        <v>41.89</v>
      </c>
      <c r="AD8449">
        <v>0</v>
      </c>
      <c r="AE8449">
        <v>3.67</v>
      </c>
      <c r="AF8449">
        <v>0</v>
      </c>
      <c r="AG8449">
        <v>0</v>
      </c>
      <c r="AH8449">
        <v>0</v>
      </c>
      <c r="AI8449">
        <v>8.1999999999999993</v>
      </c>
      <c r="AJ8449">
        <v>45.56</v>
      </c>
      <c r="AK8449">
        <v>0</v>
      </c>
      <c r="AL8449" t="s">
        <v>53</v>
      </c>
      <c r="AM8449" t="s">
        <v>53</v>
      </c>
      <c r="AN8449" t="s">
        <v>53</v>
      </c>
      <c r="AO8449" t="s">
        <v>53</v>
      </c>
      <c r="AP8449" t="s">
        <v>53</v>
      </c>
    </row>
    <row r="8450" spans="2:42" x14ac:dyDescent="0.2">
      <c r="B8450" t="s">
        <v>44</v>
      </c>
      <c r="C8450" t="str">
        <f>HYPERLINK("https://us2.cloudbeds.com/connect/8493803454333002#/reservations/9080486848586493?display=4QZD4KF07F&amp;reservation_id=9080486848586493", "4QZD4KF07F")</f>
        <v>4QZD4KF07F</v>
      </c>
      <c r="D8450" t="s">
        <v>45</v>
      </c>
      <c r="E8450" t="s">
        <v>128</v>
      </c>
      <c r="F8450" t="s">
        <v>86</v>
      </c>
      <c r="G8450" t="s">
        <v>48</v>
      </c>
      <c r="H8450" t="s">
        <v>49</v>
      </c>
      <c r="I8450" t="s">
        <v>50</v>
      </c>
      <c r="J8450" t="s">
        <v>13719</v>
      </c>
      <c r="K8450" t="s">
        <v>15369</v>
      </c>
      <c r="L8450" t="s">
        <v>53</v>
      </c>
      <c r="N8450" t="s">
        <v>16001</v>
      </c>
      <c r="P8450" t="s">
        <v>55</v>
      </c>
      <c r="R8450" t="s">
        <v>53</v>
      </c>
      <c r="T8450" t="s">
        <v>16002</v>
      </c>
      <c r="U8450" t="s">
        <v>55</v>
      </c>
      <c r="V8450">
        <v>1</v>
      </c>
      <c r="W8450">
        <v>1</v>
      </c>
      <c r="X8450">
        <v>2</v>
      </c>
      <c r="Y8450">
        <v>0</v>
      </c>
      <c r="Z8450">
        <v>2</v>
      </c>
      <c r="AA8450">
        <v>54.52</v>
      </c>
      <c r="AB8450">
        <v>54.52</v>
      </c>
      <c r="AC8450">
        <v>50.14</v>
      </c>
      <c r="AD8450">
        <v>0</v>
      </c>
      <c r="AE8450">
        <v>4.38</v>
      </c>
      <c r="AF8450">
        <v>0</v>
      </c>
      <c r="AG8450">
        <v>0</v>
      </c>
      <c r="AH8450">
        <v>0</v>
      </c>
      <c r="AI8450">
        <v>9.81</v>
      </c>
      <c r="AJ8450">
        <v>54.52</v>
      </c>
      <c r="AK8450">
        <v>0</v>
      </c>
      <c r="AL8450" t="s">
        <v>53</v>
      </c>
      <c r="AM8450" t="s">
        <v>53</v>
      </c>
      <c r="AN8450" t="s">
        <v>53</v>
      </c>
      <c r="AO8450" t="s">
        <v>53</v>
      </c>
      <c r="AP8450" t="s">
        <v>53</v>
      </c>
    </row>
    <row r="8451" spans="2:42" x14ac:dyDescent="0.2">
      <c r="B8451" t="s">
        <v>44</v>
      </c>
      <c r="C8451" t="str">
        <f>HYPERLINK("https://us2.cloudbeds.com/connect/8493803454333002#/reservations/9080486848586498?display=4QZD5CV580&amp;reservation_id=9080486848586498", "4QZD5CV580")</f>
        <v>4QZD5CV580</v>
      </c>
      <c r="D8451" t="s">
        <v>45</v>
      </c>
      <c r="E8451" t="s">
        <v>85</v>
      </c>
      <c r="F8451" t="s">
        <v>86</v>
      </c>
      <c r="G8451" t="s">
        <v>48</v>
      </c>
      <c r="H8451" t="s">
        <v>49</v>
      </c>
      <c r="I8451" t="s">
        <v>50</v>
      </c>
      <c r="J8451" t="s">
        <v>13719</v>
      </c>
      <c r="K8451" t="s">
        <v>15369</v>
      </c>
      <c r="L8451" t="s">
        <v>53</v>
      </c>
      <c r="N8451" t="s">
        <v>16003</v>
      </c>
      <c r="P8451" t="s">
        <v>55</v>
      </c>
      <c r="R8451" t="s">
        <v>53</v>
      </c>
      <c r="T8451" t="s">
        <v>16004</v>
      </c>
      <c r="U8451" t="s">
        <v>55</v>
      </c>
      <c r="V8451">
        <v>1</v>
      </c>
      <c r="W8451">
        <v>1</v>
      </c>
      <c r="X8451">
        <v>1</v>
      </c>
      <c r="Y8451">
        <v>0</v>
      </c>
      <c r="Z8451">
        <v>1</v>
      </c>
      <c r="AA8451">
        <v>54.52</v>
      </c>
      <c r="AB8451">
        <v>58.9</v>
      </c>
      <c r="AC8451">
        <v>50.14</v>
      </c>
      <c r="AD8451">
        <v>4</v>
      </c>
      <c r="AE8451">
        <v>4.76</v>
      </c>
      <c r="AF8451">
        <v>0</v>
      </c>
      <c r="AG8451">
        <v>0</v>
      </c>
      <c r="AH8451">
        <v>0</v>
      </c>
      <c r="AI8451">
        <v>10.6</v>
      </c>
      <c r="AJ8451">
        <v>58.9</v>
      </c>
      <c r="AK8451">
        <v>0</v>
      </c>
      <c r="AL8451" t="s">
        <v>53</v>
      </c>
      <c r="AM8451" t="s">
        <v>53</v>
      </c>
      <c r="AN8451" t="s">
        <v>53</v>
      </c>
      <c r="AO8451" t="s">
        <v>53</v>
      </c>
      <c r="AP8451" t="s">
        <v>53</v>
      </c>
    </row>
    <row r="8452" spans="2:42" x14ac:dyDescent="0.2">
      <c r="B8452" t="s">
        <v>44</v>
      </c>
      <c r="C8452" t="str">
        <f>HYPERLINK("https://us2.cloudbeds.com/connect/8493803454333002#/reservations/9080486848586656?display=4QZGDADDPG&amp;reservation_id=9080486848586656", "4QZGDADDPG")</f>
        <v>4QZGDADDPG</v>
      </c>
      <c r="D8452" t="s">
        <v>45</v>
      </c>
      <c r="E8452" t="s">
        <v>155</v>
      </c>
      <c r="F8452" t="s">
        <v>86</v>
      </c>
      <c r="G8452" t="s">
        <v>48</v>
      </c>
      <c r="H8452" t="s">
        <v>49</v>
      </c>
      <c r="I8452" t="s">
        <v>50</v>
      </c>
      <c r="J8452" t="s">
        <v>9131</v>
      </c>
      <c r="K8452" t="s">
        <v>15369</v>
      </c>
      <c r="L8452" t="s">
        <v>53</v>
      </c>
      <c r="N8452" t="s">
        <v>16005</v>
      </c>
      <c r="P8452" t="s">
        <v>55</v>
      </c>
      <c r="R8452" t="s">
        <v>53</v>
      </c>
      <c r="T8452" t="s">
        <v>16006</v>
      </c>
      <c r="U8452" t="s">
        <v>55</v>
      </c>
      <c r="V8452">
        <v>2</v>
      </c>
      <c r="W8452">
        <v>1</v>
      </c>
      <c r="X8452">
        <v>2</v>
      </c>
      <c r="Y8452">
        <v>0</v>
      </c>
      <c r="Z8452">
        <v>2</v>
      </c>
      <c r="AA8452">
        <v>107.36</v>
      </c>
      <c r="AB8452">
        <v>56.59</v>
      </c>
      <c r="AC8452">
        <v>98.72</v>
      </c>
      <c r="AD8452">
        <v>0</v>
      </c>
      <c r="AE8452">
        <v>8.64</v>
      </c>
      <c r="AF8452">
        <v>0</v>
      </c>
      <c r="AG8452">
        <v>0</v>
      </c>
      <c r="AH8452">
        <v>0</v>
      </c>
      <c r="AI8452">
        <v>19.32</v>
      </c>
      <c r="AJ8452">
        <v>107.36</v>
      </c>
      <c r="AK8452">
        <v>50.77</v>
      </c>
      <c r="AL8452" t="s">
        <v>53</v>
      </c>
      <c r="AM8452" t="s">
        <v>53</v>
      </c>
      <c r="AN8452" t="s">
        <v>53</v>
      </c>
      <c r="AO8452" t="s">
        <v>53</v>
      </c>
      <c r="AP8452" t="s">
        <v>53</v>
      </c>
    </row>
    <row r="8453" spans="2:42" x14ac:dyDescent="0.2">
      <c r="B8453" t="s">
        <v>44</v>
      </c>
      <c r="C8453" t="str">
        <f>HYPERLINK("https://us2.cloudbeds.com/connect/8493803454333002#/reservations/223261310492801?display=4QZK1VMPNG&amp;reservation_id=223261310492801", "4QZK1VMPNG")</f>
        <v>4QZK1VMPNG</v>
      </c>
      <c r="D8453" t="s">
        <v>45</v>
      </c>
      <c r="E8453" t="s">
        <v>179</v>
      </c>
      <c r="F8453" t="s">
        <v>47</v>
      </c>
      <c r="G8453" t="s">
        <v>48</v>
      </c>
      <c r="H8453" t="s">
        <v>3957</v>
      </c>
      <c r="I8453" t="s">
        <v>3975</v>
      </c>
      <c r="J8453" t="s">
        <v>9131</v>
      </c>
      <c r="K8453" t="s">
        <v>15369</v>
      </c>
      <c r="L8453" t="s">
        <v>53</v>
      </c>
      <c r="P8453" t="s">
        <v>55</v>
      </c>
      <c r="R8453" t="s">
        <v>56</v>
      </c>
      <c r="T8453" t="s">
        <v>16007</v>
      </c>
      <c r="U8453" t="s">
        <v>58</v>
      </c>
      <c r="V8453">
        <v>2</v>
      </c>
      <c r="W8453">
        <v>1</v>
      </c>
      <c r="X8453">
        <v>2</v>
      </c>
      <c r="Y8453">
        <v>0</v>
      </c>
      <c r="Z8453">
        <v>2</v>
      </c>
      <c r="AA8453">
        <v>183.44</v>
      </c>
      <c r="AB8453">
        <v>183.44</v>
      </c>
      <c r="AC8453">
        <v>160</v>
      </c>
      <c r="AD8453">
        <v>0</v>
      </c>
      <c r="AE8453">
        <v>23.44</v>
      </c>
      <c r="AF8453">
        <v>0</v>
      </c>
      <c r="AG8453">
        <v>0</v>
      </c>
      <c r="AH8453">
        <v>0</v>
      </c>
      <c r="AI8453">
        <v>0</v>
      </c>
      <c r="AJ8453">
        <v>183.44</v>
      </c>
      <c r="AK8453">
        <v>0</v>
      </c>
      <c r="AL8453" t="s">
        <v>53</v>
      </c>
      <c r="AM8453" t="s">
        <v>53</v>
      </c>
      <c r="AN8453" t="s">
        <v>16008</v>
      </c>
      <c r="AO8453" t="s">
        <v>53</v>
      </c>
      <c r="AP8453" t="s">
        <v>53</v>
      </c>
    </row>
    <row r="8454" spans="2:42" x14ac:dyDescent="0.2">
      <c r="B8454" t="s">
        <v>44</v>
      </c>
      <c r="C8454" t="str">
        <f>HYPERLINK("https://us2.cloudbeds.com/connect/8493803454333002#/reservations/9080486848588700?display=4QPTX17A9V&amp;reservation_id=9080486848588700", "4QPTX17A9V")</f>
        <v>4QPTX17A9V</v>
      </c>
      <c r="D8454" t="s">
        <v>45</v>
      </c>
      <c r="E8454" t="s">
        <v>110</v>
      </c>
      <c r="F8454" t="s">
        <v>47</v>
      </c>
      <c r="G8454" t="s">
        <v>48</v>
      </c>
      <c r="H8454" t="s">
        <v>49</v>
      </c>
      <c r="I8454" t="s">
        <v>50</v>
      </c>
      <c r="J8454" t="s">
        <v>9131</v>
      </c>
      <c r="K8454" t="s">
        <v>13719</v>
      </c>
      <c r="L8454" t="s">
        <v>53</v>
      </c>
      <c r="N8454" t="s">
        <v>16009</v>
      </c>
      <c r="P8454" t="s">
        <v>55</v>
      </c>
      <c r="R8454" t="s">
        <v>53</v>
      </c>
      <c r="T8454" t="s">
        <v>16010</v>
      </c>
      <c r="U8454" t="s">
        <v>55</v>
      </c>
      <c r="V8454">
        <v>1</v>
      </c>
      <c r="W8454">
        <v>1</v>
      </c>
      <c r="X8454">
        <v>2</v>
      </c>
      <c r="Y8454">
        <v>0</v>
      </c>
      <c r="Z8454">
        <v>2</v>
      </c>
      <c r="AA8454">
        <v>69.73</v>
      </c>
      <c r="AB8454">
        <v>69.73</v>
      </c>
      <c r="AC8454">
        <v>64.12</v>
      </c>
      <c r="AD8454">
        <v>0</v>
      </c>
      <c r="AE8454">
        <v>5.61</v>
      </c>
      <c r="AF8454">
        <v>0</v>
      </c>
      <c r="AG8454">
        <v>0</v>
      </c>
      <c r="AH8454">
        <v>0</v>
      </c>
      <c r="AI8454">
        <v>12.55</v>
      </c>
      <c r="AJ8454">
        <v>69.73</v>
      </c>
      <c r="AK8454">
        <v>0</v>
      </c>
      <c r="AL8454" t="s">
        <v>53</v>
      </c>
      <c r="AM8454" t="s">
        <v>53</v>
      </c>
      <c r="AN8454" t="s">
        <v>53</v>
      </c>
      <c r="AO8454" t="s">
        <v>53</v>
      </c>
      <c r="AP8454" t="s">
        <v>53</v>
      </c>
    </row>
    <row r="8455" spans="2:42" x14ac:dyDescent="0.2">
      <c r="B8455" t="s">
        <v>44</v>
      </c>
      <c r="C8455" t="str">
        <f>HYPERLINK("https://us2.cloudbeds.com/connect/8493803454333002#/reservations/223338596917376?display=4QQDTQM546&amp;reservation_id=223338596917376", "4QQDTQM546")</f>
        <v>4QQDTQM546</v>
      </c>
      <c r="D8455" t="s">
        <v>45</v>
      </c>
      <c r="E8455" t="s">
        <v>46</v>
      </c>
      <c r="F8455" t="s">
        <v>47</v>
      </c>
      <c r="G8455" t="s">
        <v>13757</v>
      </c>
      <c r="H8455" t="s">
        <v>3957</v>
      </c>
      <c r="I8455" t="s">
        <v>3958</v>
      </c>
      <c r="J8455" t="s">
        <v>9131</v>
      </c>
      <c r="K8455" t="s">
        <v>13067</v>
      </c>
      <c r="L8455" t="s">
        <v>53</v>
      </c>
      <c r="P8455" t="s">
        <v>55</v>
      </c>
      <c r="R8455" t="s">
        <v>56</v>
      </c>
      <c r="T8455" t="s">
        <v>16011</v>
      </c>
      <c r="U8455" t="s">
        <v>58</v>
      </c>
      <c r="V8455">
        <v>21</v>
      </c>
      <c r="W8455">
        <v>1</v>
      </c>
      <c r="X8455">
        <v>1</v>
      </c>
      <c r="Y8455">
        <v>0</v>
      </c>
      <c r="Z8455">
        <v>1</v>
      </c>
      <c r="AA8455">
        <v>1733.55</v>
      </c>
      <c r="AB8455">
        <v>1733.55</v>
      </c>
      <c r="AC8455">
        <v>1512</v>
      </c>
      <c r="AD8455">
        <v>0</v>
      </c>
      <c r="AE8455">
        <v>221.55</v>
      </c>
      <c r="AF8455">
        <v>0</v>
      </c>
      <c r="AG8455">
        <v>0</v>
      </c>
      <c r="AH8455">
        <v>0</v>
      </c>
      <c r="AI8455">
        <v>0</v>
      </c>
      <c r="AJ8455">
        <v>1733.55</v>
      </c>
      <c r="AK8455">
        <v>0</v>
      </c>
      <c r="AL8455" t="s">
        <v>53</v>
      </c>
      <c r="AM8455" t="s">
        <v>53</v>
      </c>
      <c r="AN8455" t="s">
        <v>53</v>
      </c>
      <c r="AO8455" t="s">
        <v>53</v>
      </c>
      <c r="AP8455" t="s">
        <v>53</v>
      </c>
    </row>
    <row r="8456" spans="2:42" x14ac:dyDescent="0.2">
      <c r="B8456" t="s">
        <v>44</v>
      </c>
      <c r="C8456" t="str">
        <f>HYPERLINK("https://us2.cloudbeds.com/connect/8493803454333002#/reservations/223339115552896?display=4QQEA209ZD&amp;reservation_id=223339115552896", "4QQEA209ZD")</f>
        <v>4QQEA209ZD</v>
      </c>
      <c r="D8456" t="s">
        <v>45</v>
      </c>
      <c r="E8456" t="s">
        <v>373</v>
      </c>
      <c r="F8456" t="s">
        <v>47</v>
      </c>
      <c r="G8456" t="s">
        <v>15366</v>
      </c>
      <c r="H8456" t="s">
        <v>3957</v>
      </c>
      <c r="I8456" t="s">
        <v>3958</v>
      </c>
      <c r="J8456" t="s">
        <v>9131</v>
      </c>
      <c r="K8456" t="s">
        <v>13067</v>
      </c>
      <c r="L8456" t="s">
        <v>53</v>
      </c>
      <c r="P8456" t="s">
        <v>55</v>
      </c>
      <c r="R8456" t="s">
        <v>56</v>
      </c>
      <c r="T8456" t="s">
        <v>16012</v>
      </c>
      <c r="U8456" t="s">
        <v>58</v>
      </c>
      <c r="V8456">
        <v>21</v>
      </c>
      <c r="W8456">
        <v>1</v>
      </c>
      <c r="X8456">
        <v>1</v>
      </c>
      <c r="Y8456">
        <v>0</v>
      </c>
      <c r="Z8456">
        <v>1</v>
      </c>
      <c r="AA8456">
        <v>1733.55</v>
      </c>
      <c r="AB8456">
        <v>1733.55</v>
      </c>
      <c r="AC8456">
        <v>1512</v>
      </c>
      <c r="AD8456">
        <v>0</v>
      </c>
      <c r="AE8456">
        <v>221.55</v>
      </c>
      <c r="AF8456">
        <v>0</v>
      </c>
      <c r="AG8456">
        <v>0</v>
      </c>
      <c r="AH8456">
        <v>0</v>
      </c>
      <c r="AI8456">
        <v>0</v>
      </c>
      <c r="AJ8456">
        <v>1733.55</v>
      </c>
      <c r="AK8456">
        <v>0</v>
      </c>
      <c r="AL8456" t="s">
        <v>53</v>
      </c>
      <c r="AM8456" t="s">
        <v>53</v>
      </c>
      <c r="AN8456" t="s">
        <v>53</v>
      </c>
      <c r="AO8456" t="s">
        <v>53</v>
      </c>
      <c r="AP8456" t="s">
        <v>53</v>
      </c>
    </row>
    <row r="8457" spans="2:42" x14ac:dyDescent="0.2">
      <c r="B8457" t="s">
        <v>44</v>
      </c>
      <c r="C8457" t="str">
        <f>HYPERLINK("https://us2.cloudbeds.com/connect/8493803454333002#/reservations/223340540485760?display=4QQFDFXCXD&amp;reservation_id=223340540485760", "4QQFDFXCXD")</f>
        <v>4QQFDFXCXD</v>
      </c>
      <c r="D8457" t="s">
        <v>45</v>
      </c>
      <c r="E8457" t="s">
        <v>16013</v>
      </c>
      <c r="F8457" t="s">
        <v>47</v>
      </c>
      <c r="G8457" t="s">
        <v>48</v>
      </c>
      <c r="H8457" t="s">
        <v>3957</v>
      </c>
      <c r="I8457" t="s">
        <v>3958</v>
      </c>
      <c r="J8457" t="s">
        <v>9131</v>
      </c>
      <c r="K8457" t="s">
        <v>13067</v>
      </c>
      <c r="L8457" t="s">
        <v>53</v>
      </c>
      <c r="P8457" t="s">
        <v>55</v>
      </c>
      <c r="R8457" t="s">
        <v>56</v>
      </c>
      <c r="T8457" t="s">
        <v>16014</v>
      </c>
      <c r="U8457" t="s">
        <v>58</v>
      </c>
      <c r="V8457">
        <v>21</v>
      </c>
      <c r="W8457">
        <v>2</v>
      </c>
      <c r="X8457">
        <v>1</v>
      </c>
      <c r="Y8457">
        <v>0</v>
      </c>
      <c r="Z8457">
        <v>1</v>
      </c>
      <c r="AA8457">
        <v>1779.4</v>
      </c>
      <c r="AB8457">
        <v>1733.55</v>
      </c>
      <c r="AC8457">
        <v>1506.15</v>
      </c>
      <c r="AD8457">
        <v>0</v>
      </c>
      <c r="AE8457">
        <v>227.4</v>
      </c>
      <c r="AF8457">
        <v>0</v>
      </c>
      <c r="AG8457">
        <v>0</v>
      </c>
      <c r="AH8457">
        <v>0</v>
      </c>
      <c r="AI8457">
        <v>0</v>
      </c>
      <c r="AJ8457">
        <v>1733.55</v>
      </c>
      <c r="AK8457">
        <v>0</v>
      </c>
      <c r="AL8457" t="s">
        <v>53</v>
      </c>
      <c r="AM8457" t="s">
        <v>53</v>
      </c>
      <c r="AN8457" t="s">
        <v>53</v>
      </c>
      <c r="AO8457" t="s">
        <v>53</v>
      </c>
      <c r="AP8457" t="s">
        <v>53</v>
      </c>
    </row>
    <row r="8458" spans="2:42" x14ac:dyDescent="0.2">
      <c r="B8458" t="s">
        <v>44</v>
      </c>
      <c r="C8458" t="str">
        <f>HYPERLINK("https://us2.cloudbeds.com/connect/8493803454333002#/reservations/9080486848589724?display=4QQP5V8TNF&amp;reservation_id=9080486848589724", "4QQP5V8TNF")</f>
        <v>4QQP5V8TNF</v>
      </c>
      <c r="D8458" t="s">
        <v>45</v>
      </c>
      <c r="E8458" t="s">
        <v>487</v>
      </c>
      <c r="F8458" t="s">
        <v>61</v>
      </c>
      <c r="G8458" t="s">
        <v>48</v>
      </c>
      <c r="H8458" t="s">
        <v>49</v>
      </c>
      <c r="I8458" t="s">
        <v>8964</v>
      </c>
      <c r="J8458" t="s">
        <v>15369</v>
      </c>
      <c r="K8458" t="s">
        <v>14929</v>
      </c>
      <c r="L8458" t="s">
        <v>53</v>
      </c>
      <c r="N8458" t="s">
        <v>16015</v>
      </c>
      <c r="P8458" t="s">
        <v>55</v>
      </c>
      <c r="R8458" t="s">
        <v>53</v>
      </c>
      <c r="T8458" t="s">
        <v>16016</v>
      </c>
      <c r="U8458" t="s">
        <v>55</v>
      </c>
      <c r="V8458">
        <v>2</v>
      </c>
      <c r="W8458">
        <v>1</v>
      </c>
      <c r="X8458">
        <v>1</v>
      </c>
      <c r="Y8458">
        <v>0</v>
      </c>
      <c r="Z8458">
        <v>1</v>
      </c>
      <c r="AA8458">
        <v>0</v>
      </c>
      <c r="AB8458">
        <v>0</v>
      </c>
      <c r="AC8458">
        <v>218</v>
      </c>
      <c r="AD8458">
        <v>0</v>
      </c>
      <c r="AE8458">
        <v>0</v>
      </c>
      <c r="AF8458">
        <v>0</v>
      </c>
      <c r="AG8458">
        <v>0</v>
      </c>
      <c r="AH8458">
        <v>0</v>
      </c>
      <c r="AI8458">
        <v>32.700000000000003</v>
      </c>
      <c r="AJ8458">
        <v>218</v>
      </c>
      <c r="AK8458">
        <v>218</v>
      </c>
      <c r="AL8458" t="s">
        <v>53</v>
      </c>
      <c r="AM8458" t="s">
        <v>53</v>
      </c>
      <c r="AN8458" t="s">
        <v>53</v>
      </c>
      <c r="AO8458" t="s">
        <v>53</v>
      </c>
      <c r="AP8458" t="s">
        <v>53</v>
      </c>
    </row>
    <row r="8459" spans="2:42" x14ac:dyDescent="0.2">
      <c r="B8459" t="s">
        <v>44</v>
      </c>
      <c r="C8459" t="str">
        <f>HYPERLINK("https://us2.cloudbeds.com/connect/8493803454333002#/reservations/9080486848598921?display=4R0F3GQTXM&amp;reservation_id=9080486848598921", "4R0F3GQTXM")</f>
        <v>4R0F3GQTXM</v>
      </c>
      <c r="D8459" t="s">
        <v>10291</v>
      </c>
      <c r="E8459" t="s">
        <v>138</v>
      </c>
      <c r="F8459" t="s">
        <v>70</v>
      </c>
      <c r="G8459" t="s">
        <v>48</v>
      </c>
      <c r="H8459" t="s">
        <v>49</v>
      </c>
      <c r="I8459" t="s">
        <v>50</v>
      </c>
      <c r="J8459" t="s">
        <v>16017</v>
      </c>
      <c r="K8459" t="s">
        <v>16018</v>
      </c>
      <c r="L8459" t="s">
        <v>53</v>
      </c>
      <c r="N8459" t="s">
        <v>16019</v>
      </c>
      <c r="P8459" t="s">
        <v>55</v>
      </c>
      <c r="R8459" t="s">
        <v>53</v>
      </c>
      <c r="T8459" t="s">
        <v>16020</v>
      </c>
      <c r="U8459" t="s">
        <v>55</v>
      </c>
      <c r="V8459">
        <v>1</v>
      </c>
      <c r="W8459">
        <v>1</v>
      </c>
      <c r="X8459">
        <v>1</v>
      </c>
      <c r="Y8459">
        <v>0</v>
      </c>
      <c r="Z8459">
        <v>1</v>
      </c>
      <c r="AA8459">
        <v>144.66999999999999</v>
      </c>
      <c r="AB8459">
        <v>0</v>
      </c>
      <c r="AC8459">
        <v>133.03</v>
      </c>
      <c r="AD8459">
        <v>0</v>
      </c>
      <c r="AE8459">
        <v>11.64</v>
      </c>
      <c r="AF8459">
        <v>0</v>
      </c>
      <c r="AG8459">
        <v>0</v>
      </c>
      <c r="AH8459">
        <v>0</v>
      </c>
      <c r="AI8459">
        <v>26.04</v>
      </c>
      <c r="AJ8459">
        <v>144.66999999999999</v>
      </c>
      <c r="AK8459">
        <v>144.66999999999999</v>
      </c>
      <c r="AL8459" t="s">
        <v>53</v>
      </c>
      <c r="AM8459" t="s">
        <v>53</v>
      </c>
      <c r="AN8459" t="s">
        <v>53</v>
      </c>
      <c r="AO8459" t="s">
        <v>53</v>
      </c>
      <c r="AP8459" t="s">
        <v>53</v>
      </c>
    </row>
    <row r="8460" spans="2:42" x14ac:dyDescent="0.2">
      <c r="B8460" t="s">
        <v>44</v>
      </c>
      <c r="C8460" t="str">
        <f>HYPERLINK("https://us2.cloudbeds.com/connect/8493803454333002#/reservations/9080486848598942?display=4R0FG8G6U6&amp;reservation_id=9080486848598942", "4R0FG8G6U6")</f>
        <v>4R0FG8G6U6</v>
      </c>
      <c r="D8460" t="s">
        <v>10291</v>
      </c>
      <c r="E8460" t="s">
        <v>138</v>
      </c>
      <c r="F8460" t="s">
        <v>70</v>
      </c>
      <c r="G8460" t="s">
        <v>48</v>
      </c>
      <c r="H8460" t="s">
        <v>49</v>
      </c>
      <c r="I8460" t="s">
        <v>50</v>
      </c>
      <c r="J8460" t="s">
        <v>16021</v>
      </c>
      <c r="K8460" t="s">
        <v>16022</v>
      </c>
      <c r="L8460" t="s">
        <v>53</v>
      </c>
      <c r="N8460" t="s">
        <v>16023</v>
      </c>
      <c r="P8460" t="s">
        <v>55</v>
      </c>
      <c r="R8460" t="s">
        <v>53</v>
      </c>
      <c r="T8460" t="s">
        <v>16024</v>
      </c>
      <c r="U8460" t="s">
        <v>55</v>
      </c>
      <c r="V8460">
        <v>1</v>
      </c>
      <c r="W8460">
        <v>1</v>
      </c>
      <c r="X8460">
        <v>1</v>
      </c>
      <c r="Y8460">
        <v>0</v>
      </c>
      <c r="Z8460">
        <v>1</v>
      </c>
      <c r="AA8460">
        <v>145.77000000000001</v>
      </c>
      <c r="AB8460">
        <v>0</v>
      </c>
      <c r="AC8460">
        <v>134.04</v>
      </c>
      <c r="AD8460">
        <v>0</v>
      </c>
      <c r="AE8460">
        <v>11.73</v>
      </c>
      <c r="AF8460">
        <v>0</v>
      </c>
      <c r="AG8460">
        <v>0</v>
      </c>
      <c r="AH8460">
        <v>0</v>
      </c>
      <c r="AI8460">
        <v>26.24</v>
      </c>
      <c r="AJ8460">
        <v>145.77000000000001</v>
      </c>
      <c r="AK8460">
        <v>145.77000000000001</v>
      </c>
      <c r="AL8460" t="s">
        <v>53</v>
      </c>
      <c r="AM8460" t="s">
        <v>53</v>
      </c>
      <c r="AN8460" t="s">
        <v>53</v>
      </c>
      <c r="AO8460" t="s">
        <v>53</v>
      </c>
      <c r="AP8460" t="s">
        <v>53</v>
      </c>
    </row>
    <row r="8461" spans="2:42" x14ac:dyDescent="0.2">
      <c r="B8461" t="s">
        <v>44</v>
      </c>
      <c r="C8461" t="str">
        <f>HYPERLINK("https://us2.cloudbeds.com/connect/8493803454333002#/reservations/9080486848599349?display=4R0ZVXE6QB&amp;reservation_id=9080486848599349", "4R0ZVXE6QB")</f>
        <v>4R0ZVXE6QB</v>
      </c>
      <c r="D8461" t="s">
        <v>45</v>
      </c>
      <c r="E8461" t="s">
        <v>223</v>
      </c>
      <c r="F8461" t="s">
        <v>47</v>
      </c>
      <c r="G8461" t="s">
        <v>48</v>
      </c>
      <c r="H8461" t="s">
        <v>49</v>
      </c>
      <c r="I8461" t="s">
        <v>62</v>
      </c>
      <c r="J8461" t="s">
        <v>13719</v>
      </c>
      <c r="K8461" t="s">
        <v>15369</v>
      </c>
      <c r="L8461" t="s">
        <v>53</v>
      </c>
      <c r="N8461" t="s">
        <v>16025</v>
      </c>
      <c r="P8461" t="s">
        <v>55</v>
      </c>
      <c r="R8461" t="s">
        <v>56</v>
      </c>
      <c r="T8461" t="s">
        <v>16026</v>
      </c>
      <c r="U8461" t="s">
        <v>55</v>
      </c>
      <c r="V8461">
        <v>1</v>
      </c>
      <c r="W8461">
        <v>1</v>
      </c>
      <c r="X8461">
        <v>2</v>
      </c>
      <c r="Y8461">
        <v>0</v>
      </c>
      <c r="Z8461">
        <v>2</v>
      </c>
      <c r="AA8461">
        <v>92</v>
      </c>
      <c r="AB8461">
        <v>92</v>
      </c>
      <c r="AC8461">
        <v>92</v>
      </c>
      <c r="AD8461">
        <v>0</v>
      </c>
      <c r="AE8461">
        <v>0</v>
      </c>
      <c r="AF8461">
        <v>0</v>
      </c>
      <c r="AG8461">
        <v>0</v>
      </c>
      <c r="AH8461">
        <v>0</v>
      </c>
      <c r="AI8461">
        <v>16.559999999999999</v>
      </c>
      <c r="AJ8461">
        <v>92</v>
      </c>
      <c r="AK8461">
        <v>0</v>
      </c>
      <c r="AL8461" t="s">
        <v>53</v>
      </c>
      <c r="AM8461" t="s">
        <v>53</v>
      </c>
      <c r="AN8461" t="s">
        <v>16027</v>
      </c>
      <c r="AO8461" t="s">
        <v>53</v>
      </c>
      <c r="AP8461" t="s">
        <v>53</v>
      </c>
    </row>
    <row r="8462" spans="2:42" x14ac:dyDescent="0.2">
      <c r="B8462" t="s">
        <v>44</v>
      </c>
      <c r="C8462" t="str">
        <f>HYPERLINK("https://us2.cloudbeds.com/connect/8493803454333002#/reservations/223674527682752?display=4R1A0KDUE9&amp;reservation_id=223674527682752", "4R1A0KDUE9")</f>
        <v>4R1A0KDUE9</v>
      </c>
      <c r="D8462" t="s">
        <v>45</v>
      </c>
      <c r="E8462" t="s">
        <v>406</v>
      </c>
      <c r="F8462" t="s">
        <v>61</v>
      </c>
      <c r="G8462" t="s">
        <v>48</v>
      </c>
      <c r="H8462" t="s">
        <v>3957</v>
      </c>
      <c r="I8462" t="s">
        <v>3958</v>
      </c>
      <c r="J8462" t="s">
        <v>13719</v>
      </c>
      <c r="K8462" t="s">
        <v>15369</v>
      </c>
      <c r="L8462" t="s">
        <v>53</v>
      </c>
      <c r="P8462" t="s">
        <v>55</v>
      </c>
      <c r="R8462" t="s">
        <v>56</v>
      </c>
      <c r="T8462" t="s">
        <v>16028</v>
      </c>
      <c r="U8462" t="s">
        <v>58</v>
      </c>
      <c r="V8462">
        <v>1</v>
      </c>
      <c r="W8462">
        <v>1</v>
      </c>
      <c r="X8462">
        <v>1</v>
      </c>
      <c r="Y8462">
        <v>0</v>
      </c>
      <c r="Z8462">
        <v>1</v>
      </c>
      <c r="AA8462">
        <v>108.93</v>
      </c>
      <c r="AB8462">
        <v>108.93</v>
      </c>
      <c r="AC8462">
        <v>95</v>
      </c>
      <c r="AD8462">
        <v>0</v>
      </c>
      <c r="AE8462">
        <v>13.93</v>
      </c>
      <c r="AF8462">
        <v>0</v>
      </c>
      <c r="AG8462">
        <v>0</v>
      </c>
      <c r="AH8462">
        <v>0</v>
      </c>
      <c r="AI8462">
        <v>0</v>
      </c>
      <c r="AJ8462">
        <v>108.93</v>
      </c>
      <c r="AK8462">
        <v>0</v>
      </c>
      <c r="AL8462" t="s">
        <v>53</v>
      </c>
      <c r="AM8462" t="s">
        <v>53</v>
      </c>
      <c r="AN8462" t="s">
        <v>53</v>
      </c>
      <c r="AO8462" t="s">
        <v>53</v>
      </c>
      <c r="AP8462" t="s">
        <v>53</v>
      </c>
    </row>
    <row r="8463" spans="2:42" x14ac:dyDescent="0.2">
      <c r="B8463" t="s">
        <v>44</v>
      </c>
      <c r="C8463" t="str">
        <f>HYPERLINK("https://us2.cloudbeds.com/connect/8493803454333002#/reservations/9080486848600687?display=4R1VY7KW3E&amp;reservation_id=9080486848600687", "4R1VY7KW3E")</f>
        <v>4R1VY7KW3E</v>
      </c>
      <c r="D8463" t="s">
        <v>45</v>
      </c>
      <c r="E8463" t="s">
        <v>213</v>
      </c>
      <c r="F8463" t="s">
        <v>86</v>
      </c>
      <c r="G8463" t="s">
        <v>48</v>
      </c>
      <c r="H8463" t="s">
        <v>49</v>
      </c>
      <c r="I8463" t="s">
        <v>50</v>
      </c>
      <c r="J8463" t="s">
        <v>14656</v>
      </c>
      <c r="K8463" t="s">
        <v>14971</v>
      </c>
      <c r="L8463" t="s">
        <v>53</v>
      </c>
      <c r="N8463" t="s">
        <v>16029</v>
      </c>
      <c r="P8463" t="s">
        <v>55</v>
      </c>
      <c r="R8463" t="s">
        <v>53</v>
      </c>
      <c r="T8463" t="s">
        <v>16030</v>
      </c>
      <c r="U8463" t="s">
        <v>55</v>
      </c>
      <c r="V8463">
        <v>2</v>
      </c>
      <c r="W8463">
        <v>1</v>
      </c>
      <c r="X8463">
        <v>2</v>
      </c>
      <c r="Y8463">
        <v>0</v>
      </c>
      <c r="Z8463">
        <v>2</v>
      </c>
      <c r="AA8463">
        <v>415.69</v>
      </c>
      <c r="AB8463">
        <v>415.69</v>
      </c>
      <c r="AC8463">
        <v>382.25</v>
      </c>
      <c r="AD8463">
        <v>0</v>
      </c>
      <c r="AE8463">
        <v>33.44</v>
      </c>
      <c r="AF8463">
        <v>0</v>
      </c>
      <c r="AG8463">
        <v>0</v>
      </c>
      <c r="AH8463">
        <v>0</v>
      </c>
      <c r="AI8463">
        <v>74.819999999999993</v>
      </c>
      <c r="AJ8463">
        <v>415.69</v>
      </c>
      <c r="AK8463">
        <v>0</v>
      </c>
      <c r="AL8463" t="s">
        <v>53</v>
      </c>
      <c r="AM8463" t="s">
        <v>53</v>
      </c>
      <c r="AN8463" t="s">
        <v>53</v>
      </c>
      <c r="AO8463" t="s">
        <v>53</v>
      </c>
      <c r="AP8463" t="s">
        <v>53</v>
      </c>
    </row>
    <row r="8464" spans="2:42" x14ac:dyDescent="0.2">
      <c r="B8464" t="s">
        <v>44</v>
      </c>
      <c r="C8464" t="str">
        <f>HYPERLINK("https://us2.cloudbeds.com/connect/8493803454333002#/reservations/223713819652289?display=4R27EKEX8E&amp;reservation_id=223713819652289", "4R27EKEX8E")</f>
        <v>4R27EKEX8E</v>
      </c>
      <c r="D8464" t="s">
        <v>45</v>
      </c>
      <c r="E8464" t="s">
        <v>305</v>
      </c>
      <c r="F8464" t="s">
        <v>61</v>
      </c>
      <c r="G8464" t="s">
        <v>48</v>
      </c>
      <c r="H8464" t="s">
        <v>3957</v>
      </c>
      <c r="I8464" t="s">
        <v>3975</v>
      </c>
      <c r="J8464" t="s">
        <v>15369</v>
      </c>
      <c r="K8464" t="s">
        <v>14929</v>
      </c>
      <c r="L8464" t="s">
        <v>53</v>
      </c>
      <c r="P8464" t="s">
        <v>55</v>
      </c>
      <c r="R8464" t="s">
        <v>56</v>
      </c>
      <c r="T8464" t="s">
        <v>16031</v>
      </c>
      <c r="U8464" t="s">
        <v>58</v>
      </c>
      <c r="V8464">
        <v>2</v>
      </c>
      <c r="W8464">
        <v>1</v>
      </c>
      <c r="X8464">
        <v>2</v>
      </c>
      <c r="Y8464">
        <v>0</v>
      </c>
      <c r="Z8464">
        <v>2</v>
      </c>
      <c r="AA8464">
        <v>217.86</v>
      </c>
      <c r="AB8464">
        <v>217.86</v>
      </c>
      <c r="AC8464">
        <v>190</v>
      </c>
      <c r="AD8464">
        <v>0</v>
      </c>
      <c r="AE8464">
        <v>27.86</v>
      </c>
      <c r="AF8464">
        <v>0</v>
      </c>
      <c r="AG8464">
        <v>0</v>
      </c>
      <c r="AH8464">
        <v>0</v>
      </c>
      <c r="AI8464">
        <v>0</v>
      </c>
      <c r="AJ8464">
        <v>217.86</v>
      </c>
      <c r="AK8464">
        <v>0</v>
      </c>
      <c r="AL8464" t="s">
        <v>53</v>
      </c>
      <c r="AM8464" t="s">
        <v>53</v>
      </c>
      <c r="AN8464" t="s">
        <v>16032</v>
      </c>
      <c r="AO8464" t="s">
        <v>53</v>
      </c>
      <c r="AP8464" t="s">
        <v>53</v>
      </c>
    </row>
    <row r="8465" spans="2:42" x14ac:dyDescent="0.2">
      <c r="B8465" t="s">
        <v>44</v>
      </c>
      <c r="C8465" t="str">
        <f>HYPERLINK("https://us2.cloudbeds.com/connect/8493803454333002#/reservations/9080486848601751?display=4R2J4SQ0JV&amp;reservation_id=9080486848601751", "4R2J4SQ0JV")</f>
        <v>4R2J4SQ0JV</v>
      </c>
      <c r="D8465" t="s">
        <v>45</v>
      </c>
      <c r="E8465" t="s">
        <v>110</v>
      </c>
      <c r="F8465" t="s">
        <v>47</v>
      </c>
      <c r="G8465" t="s">
        <v>48</v>
      </c>
      <c r="H8465" t="s">
        <v>49</v>
      </c>
      <c r="I8465" t="s">
        <v>50</v>
      </c>
      <c r="J8465" t="s">
        <v>15369</v>
      </c>
      <c r="K8465" t="s">
        <v>15439</v>
      </c>
      <c r="L8465" t="s">
        <v>53</v>
      </c>
      <c r="N8465" t="s">
        <v>16033</v>
      </c>
      <c r="P8465" t="s">
        <v>55</v>
      </c>
      <c r="R8465" t="s">
        <v>53</v>
      </c>
      <c r="T8465" t="s">
        <v>16034</v>
      </c>
      <c r="U8465" t="s">
        <v>55</v>
      </c>
      <c r="V8465">
        <v>1</v>
      </c>
      <c r="W8465">
        <v>1</v>
      </c>
      <c r="X8465">
        <v>1</v>
      </c>
      <c r="Y8465">
        <v>0</v>
      </c>
      <c r="Z8465">
        <v>1</v>
      </c>
      <c r="AA8465">
        <v>69.73</v>
      </c>
      <c r="AB8465">
        <v>69.73</v>
      </c>
      <c r="AC8465">
        <v>64.12</v>
      </c>
      <c r="AD8465">
        <v>0</v>
      </c>
      <c r="AE8465">
        <v>5.61</v>
      </c>
      <c r="AF8465">
        <v>0</v>
      </c>
      <c r="AG8465">
        <v>0</v>
      </c>
      <c r="AH8465">
        <v>0</v>
      </c>
      <c r="AI8465">
        <v>12.55</v>
      </c>
      <c r="AJ8465">
        <v>69.73</v>
      </c>
      <c r="AK8465">
        <v>0</v>
      </c>
      <c r="AL8465" t="s">
        <v>53</v>
      </c>
      <c r="AM8465" t="s">
        <v>53</v>
      </c>
      <c r="AN8465" t="s">
        <v>16035</v>
      </c>
      <c r="AO8465" t="s">
        <v>53</v>
      </c>
      <c r="AP8465" t="s">
        <v>53</v>
      </c>
    </row>
    <row r="8466" spans="2:42" x14ac:dyDescent="0.2">
      <c r="B8466" t="s">
        <v>44</v>
      </c>
      <c r="C8466" t="str">
        <f>HYPERLINK("https://us2.cloudbeds.com/connect/8493803454333002#/reservations/223906516242625?display=4R6ZYF8DXP&amp;reservation_id=223906516242625", "4R6ZYF8DXP")</f>
        <v>4R6ZYF8DXP</v>
      </c>
      <c r="D8466" t="s">
        <v>45</v>
      </c>
      <c r="E8466" t="s">
        <v>69</v>
      </c>
      <c r="F8466" t="s">
        <v>70</v>
      </c>
      <c r="G8466" t="s">
        <v>48</v>
      </c>
      <c r="H8466" t="s">
        <v>3957</v>
      </c>
      <c r="I8466" t="s">
        <v>3975</v>
      </c>
      <c r="J8466" t="s">
        <v>15369</v>
      </c>
      <c r="K8466" t="s">
        <v>14929</v>
      </c>
      <c r="L8466" t="s">
        <v>53</v>
      </c>
      <c r="P8466" t="s">
        <v>55</v>
      </c>
      <c r="R8466" t="s">
        <v>56</v>
      </c>
      <c r="T8466" t="s">
        <v>16036</v>
      </c>
      <c r="U8466" t="s">
        <v>58</v>
      </c>
      <c r="V8466">
        <v>2</v>
      </c>
      <c r="W8466">
        <v>1</v>
      </c>
      <c r="X8466">
        <v>2</v>
      </c>
      <c r="Y8466">
        <v>0</v>
      </c>
      <c r="Z8466">
        <v>2</v>
      </c>
      <c r="AA8466">
        <v>172</v>
      </c>
      <c r="AB8466">
        <v>172</v>
      </c>
      <c r="AC8466">
        <v>150</v>
      </c>
      <c r="AD8466">
        <v>0</v>
      </c>
      <c r="AE8466">
        <v>22</v>
      </c>
      <c r="AF8466">
        <v>0</v>
      </c>
      <c r="AG8466">
        <v>0</v>
      </c>
      <c r="AH8466">
        <v>0</v>
      </c>
      <c r="AI8466">
        <v>0</v>
      </c>
      <c r="AJ8466">
        <v>172</v>
      </c>
      <c r="AK8466">
        <v>0</v>
      </c>
      <c r="AL8466" t="s">
        <v>53</v>
      </c>
      <c r="AM8466" t="s">
        <v>53</v>
      </c>
      <c r="AN8466" t="s">
        <v>53</v>
      </c>
      <c r="AO8466" t="s">
        <v>53</v>
      </c>
      <c r="AP8466" t="s">
        <v>53</v>
      </c>
    </row>
    <row r="8467" spans="2:42" x14ac:dyDescent="0.2">
      <c r="B8467" t="s">
        <v>44</v>
      </c>
      <c r="C8467" t="str">
        <f>HYPERLINK("https://us2.cloudbeds.com/connect/8493803454333002#/reservations/223917515907200?display=4R705HH04F&amp;reservation_id=223917515907200", "4R705HH04F")</f>
        <v>4R705HH04F</v>
      </c>
      <c r="D8467" t="s">
        <v>45</v>
      </c>
      <c r="E8467" t="s">
        <v>265</v>
      </c>
      <c r="F8467" t="s">
        <v>61</v>
      </c>
      <c r="G8467" t="s">
        <v>48</v>
      </c>
      <c r="H8467" t="s">
        <v>3957</v>
      </c>
      <c r="I8467" t="s">
        <v>3958</v>
      </c>
      <c r="J8467" t="s">
        <v>15369</v>
      </c>
      <c r="K8467" t="s">
        <v>15439</v>
      </c>
      <c r="L8467" t="s">
        <v>53</v>
      </c>
      <c r="P8467" t="s">
        <v>55</v>
      </c>
      <c r="R8467" t="s">
        <v>56</v>
      </c>
      <c r="T8467" t="s">
        <v>16037</v>
      </c>
      <c r="U8467" t="s">
        <v>58</v>
      </c>
      <c r="V8467">
        <v>1</v>
      </c>
      <c r="W8467">
        <v>1</v>
      </c>
      <c r="X8467">
        <v>1</v>
      </c>
      <c r="Y8467">
        <v>0</v>
      </c>
      <c r="Z8467">
        <v>1</v>
      </c>
      <c r="AA8467">
        <v>108.93</v>
      </c>
      <c r="AB8467">
        <v>108.93</v>
      </c>
      <c r="AC8467">
        <v>95</v>
      </c>
      <c r="AD8467">
        <v>0</v>
      </c>
      <c r="AE8467">
        <v>13.93</v>
      </c>
      <c r="AF8467">
        <v>0</v>
      </c>
      <c r="AG8467">
        <v>0</v>
      </c>
      <c r="AH8467">
        <v>0</v>
      </c>
      <c r="AI8467">
        <v>0</v>
      </c>
      <c r="AJ8467">
        <v>108.93</v>
      </c>
      <c r="AK8467">
        <v>0</v>
      </c>
      <c r="AL8467" t="s">
        <v>53</v>
      </c>
      <c r="AM8467" t="s">
        <v>53</v>
      </c>
      <c r="AN8467" t="s">
        <v>16038</v>
      </c>
      <c r="AO8467" t="s">
        <v>53</v>
      </c>
      <c r="AP8467" t="s">
        <v>53</v>
      </c>
    </row>
    <row r="8468" spans="2:42" x14ac:dyDescent="0.2">
      <c r="B8468" t="s">
        <v>44</v>
      </c>
      <c r="C8468" t="str">
        <f>HYPERLINK("https://us2.cloudbeds.com/connect/8493803454333002#/reservations/9080486848609900?display=4R8R08U2E8&amp;reservation_id=9080486848609900", "4R8R08U2E8")</f>
        <v>4R8R08U2E8</v>
      </c>
      <c r="D8468" t="s">
        <v>45</v>
      </c>
      <c r="E8468" t="s">
        <v>105</v>
      </c>
      <c r="F8468" t="s">
        <v>47</v>
      </c>
      <c r="G8468" t="s">
        <v>48</v>
      </c>
      <c r="H8468" t="s">
        <v>49</v>
      </c>
      <c r="I8468" t="s">
        <v>62</v>
      </c>
      <c r="J8468" t="s">
        <v>11652</v>
      </c>
      <c r="K8468" t="s">
        <v>14806</v>
      </c>
      <c r="L8468" t="s">
        <v>53</v>
      </c>
      <c r="N8468" t="s">
        <v>16039</v>
      </c>
      <c r="P8468" t="s">
        <v>55</v>
      </c>
      <c r="R8468" t="s">
        <v>56</v>
      </c>
      <c r="T8468" t="s">
        <v>16040</v>
      </c>
      <c r="U8468" t="s">
        <v>55</v>
      </c>
      <c r="V8468">
        <v>1</v>
      </c>
      <c r="W8468">
        <v>1</v>
      </c>
      <c r="X8468">
        <v>2</v>
      </c>
      <c r="Y8468">
        <v>0</v>
      </c>
      <c r="Z8468">
        <v>2</v>
      </c>
      <c r="AA8468">
        <v>196.65</v>
      </c>
      <c r="AB8468">
        <v>196.65</v>
      </c>
      <c r="AC8468">
        <v>196.65</v>
      </c>
      <c r="AD8468">
        <v>0</v>
      </c>
      <c r="AE8468">
        <v>0</v>
      </c>
      <c r="AF8468">
        <v>0</v>
      </c>
      <c r="AG8468">
        <v>0</v>
      </c>
      <c r="AH8468">
        <v>0</v>
      </c>
      <c r="AI8468">
        <v>35.4</v>
      </c>
      <c r="AJ8468">
        <v>196.65</v>
      </c>
      <c r="AK8468">
        <v>0</v>
      </c>
      <c r="AL8468" t="s">
        <v>53</v>
      </c>
      <c r="AM8468" t="s">
        <v>53</v>
      </c>
      <c r="AN8468" t="s">
        <v>53</v>
      </c>
      <c r="AO8468" t="s">
        <v>53</v>
      </c>
      <c r="AP8468" t="s">
        <v>53</v>
      </c>
    </row>
    <row r="8469" spans="2:42" x14ac:dyDescent="0.2">
      <c r="B8469" t="s">
        <v>44</v>
      </c>
      <c r="C8469" t="str">
        <f>HYPERLINK("https://us2.cloudbeds.com/connect/8493803454333002#/reservations/9080486848609935?display=4R8RNWBJER&amp;reservation_id=9080486848609935", "4R8RNWBJER")</f>
        <v>4R8RNWBJER</v>
      </c>
      <c r="D8469" t="s">
        <v>45</v>
      </c>
      <c r="E8469" t="s">
        <v>265</v>
      </c>
      <c r="F8469" t="s">
        <v>61</v>
      </c>
      <c r="G8469" t="s">
        <v>48</v>
      </c>
      <c r="H8469" t="s">
        <v>49</v>
      </c>
      <c r="I8469" t="s">
        <v>50</v>
      </c>
      <c r="J8469" t="s">
        <v>15237</v>
      </c>
      <c r="K8469" t="s">
        <v>13067</v>
      </c>
      <c r="L8469" t="s">
        <v>53</v>
      </c>
      <c r="N8469" t="s">
        <v>16041</v>
      </c>
      <c r="P8469" t="s">
        <v>55</v>
      </c>
      <c r="R8469" t="s">
        <v>53</v>
      </c>
      <c r="T8469" t="s">
        <v>16042</v>
      </c>
      <c r="U8469" t="s">
        <v>55</v>
      </c>
      <c r="V8469">
        <v>1</v>
      </c>
      <c r="W8469">
        <v>1</v>
      </c>
      <c r="X8469">
        <v>2</v>
      </c>
      <c r="Y8469">
        <v>0</v>
      </c>
      <c r="Z8469">
        <v>2</v>
      </c>
      <c r="AA8469">
        <v>105.42</v>
      </c>
      <c r="AB8469">
        <v>105.42</v>
      </c>
      <c r="AC8469">
        <v>96.94</v>
      </c>
      <c r="AD8469">
        <v>0</v>
      </c>
      <c r="AE8469">
        <v>8.48</v>
      </c>
      <c r="AF8469">
        <v>0</v>
      </c>
      <c r="AG8469">
        <v>0</v>
      </c>
      <c r="AH8469">
        <v>0</v>
      </c>
      <c r="AI8469">
        <v>18.98</v>
      </c>
      <c r="AJ8469">
        <v>105.42</v>
      </c>
      <c r="AK8469">
        <v>0</v>
      </c>
      <c r="AL8469" t="s">
        <v>53</v>
      </c>
      <c r="AM8469" t="s">
        <v>53</v>
      </c>
      <c r="AN8469" t="s">
        <v>53</v>
      </c>
      <c r="AO8469" t="s">
        <v>53</v>
      </c>
      <c r="AP8469" t="s">
        <v>53</v>
      </c>
    </row>
    <row r="8470" spans="2:42" x14ac:dyDescent="0.2">
      <c r="B8470" t="s">
        <v>44</v>
      </c>
      <c r="C8470" t="str">
        <f>HYPERLINK("https://us2.cloudbeds.com/connect/8493803454333002#/reservations/9080486848611446?display=4RA49ZA99M&amp;reservation_id=9080486848611446", "4RA49ZA99M")</f>
        <v>4RA49ZA99M</v>
      </c>
      <c r="D8470" t="s">
        <v>45</v>
      </c>
      <c r="E8470" t="s">
        <v>165</v>
      </c>
      <c r="F8470" t="s">
        <v>61</v>
      </c>
      <c r="G8470" t="s">
        <v>48</v>
      </c>
      <c r="H8470" t="s">
        <v>49</v>
      </c>
      <c r="I8470" t="s">
        <v>62</v>
      </c>
      <c r="J8470" t="s">
        <v>15369</v>
      </c>
      <c r="K8470" t="s">
        <v>15439</v>
      </c>
      <c r="L8470" t="s">
        <v>53</v>
      </c>
      <c r="N8470" t="s">
        <v>16043</v>
      </c>
      <c r="P8470" t="s">
        <v>55</v>
      </c>
      <c r="R8470" t="s">
        <v>56</v>
      </c>
      <c r="T8470" t="s">
        <v>16044</v>
      </c>
      <c r="U8470" t="s">
        <v>55</v>
      </c>
      <c r="V8470">
        <v>1</v>
      </c>
      <c r="W8470">
        <v>1</v>
      </c>
      <c r="X8470">
        <v>2</v>
      </c>
      <c r="Y8470">
        <v>0</v>
      </c>
      <c r="Z8470">
        <v>2</v>
      </c>
      <c r="AA8470">
        <v>109.25</v>
      </c>
      <c r="AB8470">
        <v>109.25</v>
      </c>
      <c r="AC8470">
        <v>109.25</v>
      </c>
      <c r="AD8470">
        <v>0</v>
      </c>
      <c r="AE8470">
        <v>0</v>
      </c>
      <c r="AF8470">
        <v>0</v>
      </c>
      <c r="AG8470">
        <v>0</v>
      </c>
      <c r="AH8470">
        <v>0</v>
      </c>
      <c r="AI8470">
        <v>19.670000000000002</v>
      </c>
      <c r="AJ8470">
        <v>109.25</v>
      </c>
      <c r="AK8470">
        <v>0</v>
      </c>
      <c r="AL8470" t="s">
        <v>53</v>
      </c>
      <c r="AM8470" t="s">
        <v>53</v>
      </c>
      <c r="AN8470" t="s">
        <v>53</v>
      </c>
      <c r="AO8470" t="s">
        <v>53</v>
      </c>
      <c r="AP8470" t="s">
        <v>53</v>
      </c>
    </row>
    <row r="8471" spans="2:42" x14ac:dyDescent="0.2">
      <c r="B8471" t="s">
        <v>44</v>
      </c>
      <c r="C8471" t="str">
        <f>HYPERLINK("https://us2.cloudbeds.com/connect/8493803454333002#/reservations/9080486848617695?display=4RFZZCUTDE&amp;reservation_id=9080486848617695", "4RFZZCUTDE")</f>
        <v>4RFZZCUTDE</v>
      </c>
      <c r="D8471" t="s">
        <v>45</v>
      </c>
      <c r="E8471" t="s">
        <v>60</v>
      </c>
      <c r="F8471" t="s">
        <v>61</v>
      </c>
      <c r="G8471" t="s">
        <v>48</v>
      </c>
      <c r="H8471" t="s">
        <v>49</v>
      </c>
      <c r="I8471" t="s">
        <v>62</v>
      </c>
      <c r="J8471" t="s">
        <v>15439</v>
      </c>
      <c r="K8471" t="s">
        <v>14929</v>
      </c>
      <c r="L8471" t="s">
        <v>53</v>
      </c>
      <c r="N8471" t="s">
        <v>16045</v>
      </c>
      <c r="P8471" t="s">
        <v>55</v>
      </c>
      <c r="R8471" t="s">
        <v>56</v>
      </c>
      <c r="T8471" t="s">
        <v>16046</v>
      </c>
      <c r="U8471" t="s">
        <v>55</v>
      </c>
      <c r="V8471">
        <v>2</v>
      </c>
      <c r="W8471">
        <v>2</v>
      </c>
      <c r="X8471">
        <v>3</v>
      </c>
      <c r="Y8471">
        <v>1</v>
      </c>
      <c r="Z8471">
        <v>4</v>
      </c>
      <c r="AA8471">
        <v>218.5</v>
      </c>
      <c r="AB8471">
        <v>223.98</v>
      </c>
      <c r="AC8471">
        <v>218.5</v>
      </c>
      <c r="AD8471">
        <v>5</v>
      </c>
      <c r="AE8471">
        <v>0.48</v>
      </c>
      <c r="AF8471">
        <v>0</v>
      </c>
      <c r="AG8471">
        <v>0</v>
      </c>
      <c r="AH8471">
        <v>0</v>
      </c>
      <c r="AI8471">
        <v>40.32</v>
      </c>
      <c r="AJ8471">
        <v>223.98</v>
      </c>
      <c r="AK8471">
        <v>0</v>
      </c>
      <c r="AL8471" t="s">
        <v>53</v>
      </c>
      <c r="AM8471" t="s">
        <v>53</v>
      </c>
      <c r="AN8471" t="s">
        <v>53</v>
      </c>
      <c r="AO8471" t="s">
        <v>53</v>
      </c>
      <c r="AP8471" t="s">
        <v>53</v>
      </c>
    </row>
    <row r="8472" spans="2:42" x14ac:dyDescent="0.2">
      <c r="B8472" t="s">
        <v>44</v>
      </c>
      <c r="C8472" t="str">
        <f>HYPERLINK("https://us2.cloudbeds.com/connect/8493803454333002#/reservations/224374263972032?display=4RHNRGJAE3&amp;reservation_id=224374263972032", "4RHNRGJAE3")</f>
        <v>4RHNRGJAE3</v>
      </c>
      <c r="D8472" t="s">
        <v>45</v>
      </c>
      <c r="E8472" t="s">
        <v>85</v>
      </c>
      <c r="F8472" t="s">
        <v>86</v>
      </c>
      <c r="G8472" t="s">
        <v>48</v>
      </c>
      <c r="H8472" t="s">
        <v>3957</v>
      </c>
      <c r="I8472" t="s">
        <v>3958</v>
      </c>
      <c r="J8472" t="s">
        <v>15439</v>
      </c>
      <c r="K8472" t="s">
        <v>14929</v>
      </c>
      <c r="L8472" t="s">
        <v>53</v>
      </c>
      <c r="P8472" t="s">
        <v>55</v>
      </c>
      <c r="R8472" t="s">
        <v>56</v>
      </c>
      <c r="T8472" t="s">
        <v>16047</v>
      </c>
      <c r="U8472" t="s">
        <v>58</v>
      </c>
      <c r="V8472">
        <v>1</v>
      </c>
      <c r="W8472">
        <v>1</v>
      </c>
      <c r="X8472">
        <v>1</v>
      </c>
      <c r="Y8472">
        <v>0</v>
      </c>
      <c r="Z8472">
        <v>1</v>
      </c>
      <c r="AA8472">
        <v>126.12</v>
      </c>
      <c r="AB8472">
        <v>126.12</v>
      </c>
      <c r="AC8472">
        <v>110</v>
      </c>
      <c r="AD8472">
        <v>0</v>
      </c>
      <c r="AE8472">
        <v>16.12</v>
      </c>
      <c r="AF8472">
        <v>0</v>
      </c>
      <c r="AG8472">
        <v>0</v>
      </c>
      <c r="AH8472">
        <v>0</v>
      </c>
      <c r="AI8472">
        <v>0</v>
      </c>
      <c r="AJ8472">
        <v>126.12</v>
      </c>
      <c r="AK8472">
        <v>0</v>
      </c>
      <c r="AL8472" t="s">
        <v>53</v>
      </c>
      <c r="AM8472" t="s">
        <v>53</v>
      </c>
      <c r="AN8472" t="s">
        <v>53</v>
      </c>
      <c r="AO8472" t="s">
        <v>53</v>
      </c>
      <c r="AP8472" t="s">
        <v>53</v>
      </c>
    </row>
    <row r="8473" spans="2:42" x14ac:dyDescent="0.2">
      <c r="B8473" t="s">
        <v>44</v>
      </c>
      <c r="C8473" t="str">
        <f>HYPERLINK("https://us2.cloudbeds.com/connect/8493803454333002#/reservations/9080486848621247?display=4RXXJ2K5D2&amp;reservation_id=9080486848621247", "4RXXJ2K5D2")</f>
        <v>4RXXJ2K5D2</v>
      </c>
      <c r="D8473" t="s">
        <v>45</v>
      </c>
      <c r="E8473" t="s">
        <v>165</v>
      </c>
      <c r="F8473" t="s">
        <v>61</v>
      </c>
      <c r="G8473" t="s">
        <v>48</v>
      </c>
      <c r="H8473" t="s">
        <v>49</v>
      </c>
      <c r="I8473" t="s">
        <v>8964</v>
      </c>
      <c r="J8473" t="s">
        <v>14205</v>
      </c>
      <c r="K8473" t="s">
        <v>14206</v>
      </c>
      <c r="L8473" t="s">
        <v>53</v>
      </c>
      <c r="N8473" t="s">
        <v>16048</v>
      </c>
      <c r="P8473" t="s">
        <v>55</v>
      </c>
      <c r="R8473" t="s">
        <v>53</v>
      </c>
      <c r="T8473" t="s">
        <v>16049</v>
      </c>
      <c r="U8473" t="s">
        <v>55</v>
      </c>
      <c r="V8473">
        <v>1</v>
      </c>
      <c r="W8473">
        <v>1</v>
      </c>
      <c r="X8473">
        <v>2</v>
      </c>
      <c r="Y8473">
        <v>0</v>
      </c>
      <c r="Z8473">
        <v>2</v>
      </c>
      <c r="AA8473">
        <v>0</v>
      </c>
      <c r="AB8473">
        <v>0</v>
      </c>
      <c r="AC8473">
        <v>125</v>
      </c>
      <c r="AD8473">
        <v>0</v>
      </c>
      <c r="AE8473">
        <v>0</v>
      </c>
      <c r="AF8473">
        <v>0</v>
      </c>
      <c r="AG8473">
        <v>0</v>
      </c>
      <c r="AH8473">
        <v>0</v>
      </c>
      <c r="AI8473">
        <v>18.75</v>
      </c>
      <c r="AJ8473">
        <v>125</v>
      </c>
      <c r="AK8473">
        <v>125</v>
      </c>
      <c r="AL8473" t="s">
        <v>53</v>
      </c>
      <c r="AM8473" t="s">
        <v>53</v>
      </c>
      <c r="AN8473" t="s">
        <v>53</v>
      </c>
      <c r="AO8473" t="s">
        <v>53</v>
      </c>
      <c r="AP8473" t="s">
        <v>53</v>
      </c>
    </row>
    <row r="8474" spans="2:42" x14ac:dyDescent="0.2">
      <c r="B8474" t="s">
        <v>44</v>
      </c>
      <c r="C8474" t="str">
        <f>HYPERLINK("https://us2.cloudbeds.com/connect/8493803454333002#/reservations/9080486848625144?display=4RMHHHA392&amp;reservation_id=9080486848625144", "4RMHHHA392")</f>
        <v>4RMHHHA392</v>
      </c>
      <c r="D8474" t="s">
        <v>10291</v>
      </c>
      <c r="E8474" t="s">
        <v>165</v>
      </c>
      <c r="F8474" t="s">
        <v>61</v>
      </c>
      <c r="G8474" t="s">
        <v>48</v>
      </c>
      <c r="H8474" t="s">
        <v>49</v>
      </c>
      <c r="I8474" t="s">
        <v>50</v>
      </c>
      <c r="J8474" t="s">
        <v>16050</v>
      </c>
      <c r="K8474" t="s">
        <v>16017</v>
      </c>
      <c r="L8474" t="s">
        <v>53</v>
      </c>
      <c r="N8474" t="s">
        <v>16051</v>
      </c>
      <c r="P8474" t="s">
        <v>55</v>
      </c>
      <c r="R8474" t="s">
        <v>53</v>
      </c>
      <c r="T8474" t="s">
        <v>16052</v>
      </c>
      <c r="U8474" t="s">
        <v>55</v>
      </c>
      <c r="V8474">
        <v>1</v>
      </c>
      <c r="W8474">
        <v>1</v>
      </c>
      <c r="X8474">
        <v>2</v>
      </c>
      <c r="Y8474">
        <v>0</v>
      </c>
      <c r="Z8474">
        <v>2</v>
      </c>
      <c r="AA8474">
        <v>131.94</v>
      </c>
      <c r="AB8474">
        <v>0</v>
      </c>
      <c r="AC8474">
        <v>121.32</v>
      </c>
      <c r="AD8474">
        <v>0</v>
      </c>
      <c r="AE8474">
        <v>10.62</v>
      </c>
      <c r="AF8474">
        <v>0</v>
      </c>
      <c r="AG8474">
        <v>0</v>
      </c>
      <c r="AH8474">
        <v>0</v>
      </c>
      <c r="AI8474">
        <v>23.75</v>
      </c>
      <c r="AJ8474">
        <v>131.94</v>
      </c>
      <c r="AK8474">
        <v>131.94</v>
      </c>
      <c r="AL8474" t="s">
        <v>53</v>
      </c>
      <c r="AM8474" t="s">
        <v>53</v>
      </c>
      <c r="AN8474" t="s">
        <v>53</v>
      </c>
      <c r="AO8474" t="s">
        <v>53</v>
      </c>
      <c r="AP8474" t="s">
        <v>53</v>
      </c>
    </row>
    <row r="8475" spans="2:42" x14ac:dyDescent="0.2">
      <c r="B8475" t="s">
        <v>44</v>
      </c>
      <c r="C8475" t="str">
        <f>HYPERLINK("https://us2.cloudbeds.com/connect/8493803454333002#/reservations/224633142120640?display=4RNQ9EGDN5&amp;reservation_id=224633142120640", "4RNQ9EGDN5")</f>
        <v>4RNQ9EGDN5</v>
      </c>
      <c r="D8475" t="s">
        <v>45</v>
      </c>
      <c r="E8475" t="s">
        <v>16053</v>
      </c>
      <c r="F8475" t="s">
        <v>86</v>
      </c>
      <c r="G8475" t="s">
        <v>13757</v>
      </c>
      <c r="H8475" t="s">
        <v>3957</v>
      </c>
      <c r="I8475" t="s">
        <v>3975</v>
      </c>
      <c r="J8475" t="s">
        <v>14348</v>
      </c>
      <c r="K8475" t="s">
        <v>14623</v>
      </c>
      <c r="L8475" t="s">
        <v>53</v>
      </c>
      <c r="P8475" t="s">
        <v>55</v>
      </c>
      <c r="R8475" t="s">
        <v>56</v>
      </c>
      <c r="T8475" t="s">
        <v>16054</v>
      </c>
      <c r="U8475" t="s">
        <v>58</v>
      </c>
      <c r="V8475">
        <v>3</v>
      </c>
      <c r="W8475">
        <v>3</v>
      </c>
      <c r="X8475">
        <v>3</v>
      </c>
      <c r="Y8475">
        <v>0</v>
      </c>
      <c r="Z8475">
        <v>3</v>
      </c>
      <c r="AA8475">
        <v>650.07000000000005</v>
      </c>
      <c r="AB8475">
        <v>1300.1400000000001</v>
      </c>
      <c r="AC8475">
        <v>567</v>
      </c>
      <c r="AD8475">
        <v>0</v>
      </c>
      <c r="AE8475">
        <v>83.07</v>
      </c>
      <c r="AF8475">
        <v>0</v>
      </c>
      <c r="AG8475">
        <v>0</v>
      </c>
      <c r="AH8475">
        <v>0</v>
      </c>
      <c r="AI8475">
        <v>0</v>
      </c>
      <c r="AJ8475">
        <v>650.07000000000005</v>
      </c>
      <c r="AK8475">
        <v>0</v>
      </c>
      <c r="AL8475" t="s">
        <v>53</v>
      </c>
      <c r="AM8475" t="s">
        <v>53</v>
      </c>
      <c r="AN8475" t="s">
        <v>53</v>
      </c>
      <c r="AO8475" t="s">
        <v>53</v>
      </c>
      <c r="AP8475" t="s">
        <v>53</v>
      </c>
    </row>
    <row r="8476" spans="2:42" x14ac:dyDescent="0.2">
      <c r="B8476" t="s">
        <v>44</v>
      </c>
      <c r="C8476" t="str">
        <f>HYPERLINK("https://us2.cloudbeds.com/connect/8493803454333002#/reservations/9080486848627495?display=4RZ0SBMPF4&amp;reservation_id=9080486848627495", "4RZ0SBMPF4")</f>
        <v>4RZ0SBMPF4</v>
      </c>
      <c r="D8476" t="s">
        <v>45</v>
      </c>
      <c r="E8476" t="s">
        <v>105</v>
      </c>
      <c r="F8476" t="s">
        <v>47</v>
      </c>
      <c r="G8476" t="s">
        <v>48</v>
      </c>
      <c r="H8476" t="s">
        <v>49</v>
      </c>
      <c r="I8476" t="s">
        <v>50</v>
      </c>
      <c r="J8476" t="s">
        <v>14929</v>
      </c>
      <c r="K8476" t="s">
        <v>10579</v>
      </c>
      <c r="L8476" t="s">
        <v>53</v>
      </c>
      <c r="N8476" t="s">
        <v>16055</v>
      </c>
      <c r="P8476" t="s">
        <v>55</v>
      </c>
      <c r="R8476" t="s">
        <v>53</v>
      </c>
      <c r="T8476" t="s">
        <v>16056</v>
      </c>
      <c r="U8476" t="s">
        <v>55</v>
      </c>
      <c r="V8476">
        <v>1</v>
      </c>
      <c r="W8476">
        <v>1</v>
      </c>
      <c r="X8476">
        <v>1</v>
      </c>
      <c r="Y8476">
        <v>0</v>
      </c>
      <c r="Z8476">
        <v>1</v>
      </c>
      <c r="AA8476">
        <v>61.53</v>
      </c>
      <c r="AB8476">
        <v>61.53</v>
      </c>
      <c r="AC8476">
        <v>56.58</v>
      </c>
      <c r="AD8476">
        <v>0</v>
      </c>
      <c r="AE8476">
        <v>4.95</v>
      </c>
      <c r="AF8476">
        <v>0</v>
      </c>
      <c r="AG8476">
        <v>0</v>
      </c>
      <c r="AH8476">
        <v>0</v>
      </c>
      <c r="AI8476">
        <v>11.08</v>
      </c>
      <c r="AJ8476">
        <v>61.53</v>
      </c>
      <c r="AK8476">
        <v>0</v>
      </c>
      <c r="AL8476" t="s">
        <v>53</v>
      </c>
      <c r="AM8476" t="s">
        <v>53</v>
      </c>
      <c r="AN8476" t="s">
        <v>53</v>
      </c>
      <c r="AO8476" t="s">
        <v>53</v>
      </c>
      <c r="AP8476" t="s">
        <v>53</v>
      </c>
    </row>
    <row r="8477" spans="2:42" x14ac:dyDescent="0.2">
      <c r="B8477" t="s">
        <v>44</v>
      </c>
      <c r="C8477" t="str">
        <f>HYPERLINK("https://us2.cloudbeds.com/connect/8493803454333002#/reservations/9080486848628694?display=4RZPYAPYU5&amp;reservation_id=9080486848628694", "4RZPYAPYU5")</f>
        <v>4RZPYAPYU5</v>
      </c>
      <c r="D8477" t="s">
        <v>45</v>
      </c>
      <c r="E8477" t="s">
        <v>165</v>
      </c>
      <c r="F8477" t="s">
        <v>61</v>
      </c>
      <c r="G8477" t="s">
        <v>48</v>
      </c>
      <c r="H8477" t="s">
        <v>49</v>
      </c>
      <c r="I8477" t="s">
        <v>50</v>
      </c>
      <c r="J8477" t="s">
        <v>14929</v>
      </c>
      <c r="K8477" t="s">
        <v>10579</v>
      </c>
      <c r="L8477" t="s">
        <v>53</v>
      </c>
      <c r="N8477" t="s">
        <v>16057</v>
      </c>
      <c r="P8477" t="s">
        <v>55</v>
      </c>
      <c r="R8477" t="s">
        <v>53</v>
      </c>
      <c r="T8477" t="s">
        <v>16058</v>
      </c>
      <c r="U8477" t="s">
        <v>55</v>
      </c>
      <c r="V8477">
        <v>1</v>
      </c>
      <c r="W8477">
        <v>1</v>
      </c>
      <c r="X8477">
        <v>1</v>
      </c>
      <c r="Y8477">
        <v>0</v>
      </c>
      <c r="Z8477">
        <v>1</v>
      </c>
      <c r="AA8477">
        <v>70.150000000000006</v>
      </c>
      <c r="AB8477">
        <v>70.150000000000006</v>
      </c>
      <c r="AC8477">
        <v>64.5</v>
      </c>
      <c r="AD8477">
        <v>0</v>
      </c>
      <c r="AE8477">
        <v>5.65</v>
      </c>
      <c r="AF8477">
        <v>0</v>
      </c>
      <c r="AG8477">
        <v>0</v>
      </c>
      <c r="AH8477">
        <v>0</v>
      </c>
      <c r="AI8477">
        <v>12.63</v>
      </c>
      <c r="AJ8477">
        <v>70.150000000000006</v>
      </c>
      <c r="AK8477">
        <v>0</v>
      </c>
      <c r="AL8477" t="s">
        <v>53</v>
      </c>
      <c r="AM8477" t="s">
        <v>53</v>
      </c>
      <c r="AN8477" t="s">
        <v>53</v>
      </c>
      <c r="AO8477" t="s">
        <v>53</v>
      </c>
      <c r="AP8477" t="s">
        <v>53</v>
      </c>
    </row>
    <row r="8478" spans="2:42" x14ac:dyDescent="0.2">
      <c r="B8478" t="s">
        <v>44</v>
      </c>
      <c r="C8478" t="str">
        <f>HYPERLINK("https://us2.cloudbeds.com/connect/8493803454333002#/reservations/9080486848630574?display=4RQ1R9WJNZ&amp;reservation_id=9080486848630574", "4RQ1R9WJNZ")</f>
        <v>4RQ1R9WJNZ</v>
      </c>
      <c r="D8478" t="s">
        <v>45</v>
      </c>
      <c r="E8478" t="s">
        <v>85</v>
      </c>
      <c r="F8478" t="s">
        <v>86</v>
      </c>
      <c r="G8478" t="s">
        <v>48</v>
      </c>
      <c r="H8478" t="s">
        <v>49</v>
      </c>
      <c r="I8478" t="s">
        <v>50</v>
      </c>
      <c r="J8478" t="s">
        <v>14628</v>
      </c>
      <c r="K8478" t="s">
        <v>9762</v>
      </c>
      <c r="L8478" t="s">
        <v>53</v>
      </c>
      <c r="N8478" t="s">
        <v>16059</v>
      </c>
      <c r="P8478" t="s">
        <v>55</v>
      </c>
      <c r="R8478" t="s">
        <v>53</v>
      </c>
      <c r="T8478" t="s">
        <v>16060</v>
      </c>
      <c r="U8478" t="s">
        <v>58</v>
      </c>
      <c r="V8478">
        <v>1</v>
      </c>
      <c r="W8478">
        <v>1</v>
      </c>
      <c r="X8478">
        <v>1</v>
      </c>
      <c r="Y8478">
        <v>0</v>
      </c>
      <c r="Z8478">
        <v>1</v>
      </c>
      <c r="AA8478">
        <v>108.77</v>
      </c>
      <c r="AB8478">
        <v>108.77</v>
      </c>
      <c r="AC8478">
        <v>94.87</v>
      </c>
      <c r="AD8478">
        <v>0</v>
      </c>
      <c r="AE8478">
        <v>13.9</v>
      </c>
      <c r="AF8478">
        <v>0</v>
      </c>
      <c r="AG8478">
        <v>0</v>
      </c>
      <c r="AH8478">
        <v>0</v>
      </c>
      <c r="AI8478">
        <v>19.579999999999998</v>
      </c>
      <c r="AJ8478">
        <v>108.77</v>
      </c>
      <c r="AK8478">
        <v>0</v>
      </c>
      <c r="AL8478" t="s">
        <v>53</v>
      </c>
      <c r="AM8478" t="s">
        <v>53</v>
      </c>
      <c r="AN8478" t="s">
        <v>53</v>
      </c>
      <c r="AO8478" t="s">
        <v>53</v>
      </c>
      <c r="AP8478" t="s">
        <v>53</v>
      </c>
    </row>
    <row r="8479" spans="2:42" x14ac:dyDescent="0.2">
      <c r="B8479" t="s">
        <v>44</v>
      </c>
      <c r="C8479" t="str">
        <f>HYPERLINK("https://us2.cloudbeds.com/connect/8493803454333002#/reservations/9080486848631133?display=4RQK96WZ0C&amp;reservation_id=9080486848631133", "4RQK96WZ0C")</f>
        <v>4RQK96WZ0C</v>
      </c>
      <c r="D8479" t="s">
        <v>45</v>
      </c>
      <c r="E8479" t="s">
        <v>69</v>
      </c>
      <c r="F8479" t="s">
        <v>70</v>
      </c>
      <c r="G8479" t="s">
        <v>48</v>
      </c>
      <c r="H8479" t="s">
        <v>49</v>
      </c>
      <c r="I8479" t="s">
        <v>8964</v>
      </c>
      <c r="J8479" t="s">
        <v>10579</v>
      </c>
      <c r="K8479" t="s">
        <v>14627</v>
      </c>
      <c r="L8479" t="s">
        <v>53</v>
      </c>
      <c r="N8479" t="s">
        <v>16061</v>
      </c>
      <c r="P8479" t="s">
        <v>55</v>
      </c>
      <c r="R8479" t="s">
        <v>53</v>
      </c>
      <c r="T8479" t="s">
        <v>16062</v>
      </c>
      <c r="U8479" t="s">
        <v>55</v>
      </c>
      <c r="V8479">
        <v>1</v>
      </c>
      <c r="W8479">
        <v>1</v>
      </c>
      <c r="X8479">
        <v>2</v>
      </c>
      <c r="Y8479">
        <v>0</v>
      </c>
      <c r="Z8479">
        <v>2</v>
      </c>
      <c r="AA8479">
        <v>86</v>
      </c>
      <c r="AB8479">
        <v>0</v>
      </c>
      <c r="AC8479">
        <v>86</v>
      </c>
      <c r="AD8479">
        <v>0</v>
      </c>
      <c r="AE8479">
        <v>0</v>
      </c>
      <c r="AF8479">
        <v>0</v>
      </c>
      <c r="AG8479">
        <v>0</v>
      </c>
      <c r="AH8479">
        <v>0</v>
      </c>
      <c r="AI8479">
        <v>12.9</v>
      </c>
      <c r="AJ8479">
        <v>86</v>
      </c>
      <c r="AK8479">
        <v>86</v>
      </c>
      <c r="AL8479" t="s">
        <v>53</v>
      </c>
      <c r="AM8479" t="s">
        <v>53</v>
      </c>
      <c r="AN8479" t="s">
        <v>16063</v>
      </c>
      <c r="AO8479" t="s">
        <v>53</v>
      </c>
      <c r="AP8479" t="s">
        <v>53</v>
      </c>
    </row>
    <row r="8480" spans="2:42" x14ac:dyDescent="0.2">
      <c r="B8480" t="s">
        <v>44</v>
      </c>
      <c r="C8480" t="str">
        <f>HYPERLINK("https://us2.cloudbeds.com/connect/8493803454333002#/reservations/224771235963073?display=4RR171SF8A&amp;reservation_id=224771235963073", "4RR171SF8A")</f>
        <v>4RR171SF8A</v>
      </c>
      <c r="D8480" t="s">
        <v>45</v>
      </c>
      <c r="E8480" t="s">
        <v>406</v>
      </c>
      <c r="F8480" t="s">
        <v>61</v>
      </c>
      <c r="G8480" t="s">
        <v>4520</v>
      </c>
      <c r="H8480" t="s">
        <v>3957</v>
      </c>
      <c r="I8480" t="s">
        <v>3958</v>
      </c>
      <c r="J8480" t="s">
        <v>14206</v>
      </c>
      <c r="K8480" t="s">
        <v>13082</v>
      </c>
      <c r="L8480" t="s">
        <v>53</v>
      </c>
      <c r="P8480" t="s">
        <v>55</v>
      </c>
      <c r="R8480" t="s">
        <v>56</v>
      </c>
      <c r="T8480" t="s">
        <v>16064</v>
      </c>
      <c r="U8480" t="s">
        <v>58</v>
      </c>
      <c r="V8480">
        <v>2</v>
      </c>
      <c r="W8480">
        <v>1</v>
      </c>
      <c r="X8480">
        <v>1</v>
      </c>
      <c r="Y8480">
        <v>0</v>
      </c>
      <c r="Z8480">
        <v>1</v>
      </c>
      <c r="AA8480">
        <v>584.02</v>
      </c>
      <c r="AB8480">
        <v>584.02</v>
      </c>
      <c r="AC8480">
        <v>509.4</v>
      </c>
      <c r="AD8480">
        <v>0</v>
      </c>
      <c r="AE8480">
        <v>74.62</v>
      </c>
      <c r="AF8480">
        <v>0</v>
      </c>
      <c r="AG8480">
        <v>0</v>
      </c>
      <c r="AH8480">
        <v>0</v>
      </c>
      <c r="AI8480">
        <v>0</v>
      </c>
      <c r="AJ8480">
        <v>584.02</v>
      </c>
      <c r="AK8480">
        <v>0</v>
      </c>
      <c r="AL8480" t="s">
        <v>53</v>
      </c>
      <c r="AM8480" t="s">
        <v>53</v>
      </c>
      <c r="AN8480" t="s">
        <v>16065</v>
      </c>
      <c r="AO8480" t="s">
        <v>53</v>
      </c>
      <c r="AP8480" t="s">
        <v>53</v>
      </c>
    </row>
    <row r="8481" spans="2:42" x14ac:dyDescent="0.2">
      <c r="B8481" t="s">
        <v>44</v>
      </c>
      <c r="C8481" t="str">
        <f>HYPERLINK("https://us2.cloudbeds.com/connect/8493803454333002#/reservations/224772934521024?display=4RR2HF50R4&amp;reservation_id=224772934521024", "4RR2HF50R4")</f>
        <v>4RR2HF50R4</v>
      </c>
      <c r="D8481" t="s">
        <v>45</v>
      </c>
      <c r="E8481" t="s">
        <v>138</v>
      </c>
      <c r="F8481" t="s">
        <v>70</v>
      </c>
      <c r="G8481" t="s">
        <v>48</v>
      </c>
      <c r="H8481" t="s">
        <v>3957</v>
      </c>
      <c r="I8481" t="s">
        <v>3958</v>
      </c>
      <c r="J8481" t="s">
        <v>14929</v>
      </c>
      <c r="K8481" t="s">
        <v>10579</v>
      </c>
      <c r="L8481" t="s">
        <v>53</v>
      </c>
      <c r="P8481" t="s">
        <v>55</v>
      </c>
      <c r="R8481" t="s">
        <v>56</v>
      </c>
      <c r="T8481" t="s">
        <v>16066</v>
      </c>
      <c r="U8481" t="s">
        <v>58</v>
      </c>
      <c r="V8481">
        <v>1</v>
      </c>
      <c r="W8481">
        <v>1</v>
      </c>
      <c r="X8481">
        <v>1</v>
      </c>
      <c r="Y8481">
        <v>0</v>
      </c>
      <c r="Z8481">
        <v>1</v>
      </c>
      <c r="AA8481">
        <v>86</v>
      </c>
      <c r="AB8481">
        <v>86</v>
      </c>
      <c r="AC8481">
        <v>75</v>
      </c>
      <c r="AD8481">
        <v>0</v>
      </c>
      <c r="AE8481">
        <v>11</v>
      </c>
      <c r="AF8481">
        <v>0</v>
      </c>
      <c r="AG8481">
        <v>0</v>
      </c>
      <c r="AH8481">
        <v>0</v>
      </c>
      <c r="AI8481">
        <v>0</v>
      </c>
      <c r="AJ8481">
        <v>86</v>
      </c>
      <c r="AK8481">
        <v>0</v>
      </c>
      <c r="AL8481" t="s">
        <v>53</v>
      </c>
      <c r="AM8481" t="s">
        <v>53</v>
      </c>
      <c r="AN8481" t="s">
        <v>53</v>
      </c>
      <c r="AO8481" t="s">
        <v>53</v>
      </c>
      <c r="AP8481" t="s">
        <v>53</v>
      </c>
    </row>
    <row r="8482" spans="2:42" x14ac:dyDescent="0.2">
      <c r="B8482" t="s">
        <v>44</v>
      </c>
      <c r="C8482" t="str">
        <f>HYPERLINK("https://us2.cloudbeds.com/connect/8493803454333002#/reservations/9080486848631697?display=4RR3C1E27W&amp;reservation_id=9080486848631697", "4RR3C1E27W")</f>
        <v>4RR3C1E27W</v>
      </c>
      <c r="D8482" t="s">
        <v>45</v>
      </c>
      <c r="E8482" t="s">
        <v>69</v>
      </c>
      <c r="F8482" t="s">
        <v>70</v>
      </c>
      <c r="G8482" t="s">
        <v>48</v>
      </c>
      <c r="H8482" t="s">
        <v>49</v>
      </c>
      <c r="I8482" t="s">
        <v>50</v>
      </c>
      <c r="J8482" t="s">
        <v>14929</v>
      </c>
      <c r="K8482" t="s">
        <v>10579</v>
      </c>
      <c r="L8482" t="s">
        <v>53</v>
      </c>
      <c r="N8482" t="s">
        <v>16067</v>
      </c>
      <c r="P8482" t="s">
        <v>55</v>
      </c>
      <c r="R8482" t="s">
        <v>53</v>
      </c>
      <c r="T8482" t="s">
        <v>16068</v>
      </c>
      <c r="U8482" t="s">
        <v>55</v>
      </c>
      <c r="V8482">
        <v>1</v>
      </c>
      <c r="W8482">
        <v>1</v>
      </c>
      <c r="X8482">
        <v>2</v>
      </c>
      <c r="Y8482">
        <v>0</v>
      </c>
      <c r="Z8482">
        <v>2</v>
      </c>
      <c r="AA8482">
        <v>55.38</v>
      </c>
      <c r="AB8482">
        <v>55.38</v>
      </c>
      <c r="AC8482">
        <v>50.93</v>
      </c>
      <c r="AD8482">
        <v>0</v>
      </c>
      <c r="AE8482">
        <v>4.45</v>
      </c>
      <c r="AF8482">
        <v>0</v>
      </c>
      <c r="AG8482">
        <v>0</v>
      </c>
      <c r="AH8482">
        <v>0</v>
      </c>
      <c r="AI8482">
        <v>9.9700000000000006</v>
      </c>
      <c r="AJ8482">
        <v>55.38</v>
      </c>
      <c r="AK8482">
        <v>0</v>
      </c>
      <c r="AL8482" t="s">
        <v>53</v>
      </c>
      <c r="AM8482" t="s">
        <v>53</v>
      </c>
      <c r="AN8482" t="s">
        <v>53</v>
      </c>
      <c r="AO8482" t="s">
        <v>53</v>
      </c>
      <c r="AP8482" t="s">
        <v>53</v>
      </c>
    </row>
    <row r="8483" spans="2:42" x14ac:dyDescent="0.2">
      <c r="B8483" t="s">
        <v>44</v>
      </c>
      <c r="C8483" t="str">
        <f>HYPERLINK("https://us2.cloudbeds.com/connect/8493803454333002#/reservations/9080486848633269?display=4RSK0WXP15&amp;reservation_id=9080486848633269", "4RSK0WXP15")</f>
        <v>4RSK0WXP15</v>
      </c>
      <c r="D8483" t="s">
        <v>10291</v>
      </c>
      <c r="E8483" t="s">
        <v>165</v>
      </c>
      <c r="F8483" t="s">
        <v>61</v>
      </c>
      <c r="G8483" t="s">
        <v>48</v>
      </c>
      <c r="H8483" t="s">
        <v>49</v>
      </c>
      <c r="I8483" t="s">
        <v>50</v>
      </c>
      <c r="J8483" t="s">
        <v>16069</v>
      </c>
      <c r="K8483" t="s">
        <v>16070</v>
      </c>
      <c r="L8483" t="s">
        <v>53</v>
      </c>
      <c r="N8483" t="s">
        <v>16071</v>
      </c>
      <c r="P8483" t="s">
        <v>55</v>
      </c>
      <c r="R8483" t="s">
        <v>53</v>
      </c>
      <c r="T8483" t="s">
        <v>16072</v>
      </c>
      <c r="U8483" t="s">
        <v>58</v>
      </c>
      <c r="V8483">
        <v>2</v>
      </c>
      <c r="W8483">
        <v>1</v>
      </c>
      <c r="X8483">
        <v>2</v>
      </c>
      <c r="Y8483">
        <v>0</v>
      </c>
      <c r="Z8483">
        <v>2</v>
      </c>
      <c r="AA8483">
        <v>394.92</v>
      </c>
      <c r="AB8483">
        <v>0</v>
      </c>
      <c r="AC8483">
        <v>344.45</v>
      </c>
      <c r="AD8483">
        <v>0</v>
      </c>
      <c r="AE8483">
        <v>50.47</v>
      </c>
      <c r="AF8483">
        <v>0</v>
      </c>
      <c r="AG8483">
        <v>0</v>
      </c>
      <c r="AH8483">
        <v>0</v>
      </c>
      <c r="AI8483">
        <v>71.09</v>
      </c>
      <c r="AJ8483">
        <v>394.92</v>
      </c>
      <c r="AK8483">
        <v>394.92</v>
      </c>
      <c r="AL8483" t="s">
        <v>53</v>
      </c>
      <c r="AM8483" t="s">
        <v>53</v>
      </c>
      <c r="AN8483" t="s">
        <v>53</v>
      </c>
      <c r="AO8483" t="s">
        <v>53</v>
      </c>
      <c r="AP8483" t="s">
        <v>53</v>
      </c>
    </row>
    <row r="8484" spans="2:42" x14ac:dyDescent="0.2">
      <c r="B8484" t="s">
        <v>44</v>
      </c>
      <c r="C8484" t="str">
        <f>HYPERLINK("https://us2.cloudbeds.com/connect/8493803454333002#/reservations/225070263918784?display=4S11ZU5JA6&amp;reservation_id=225070263918784", "4S11ZU5JA6")</f>
        <v>4S11ZU5JA6</v>
      </c>
      <c r="D8484" t="s">
        <v>45</v>
      </c>
      <c r="E8484" t="s">
        <v>113</v>
      </c>
      <c r="F8484" t="s">
        <v>61</v>
      </c>
      <c r="G8484" t="s">
        <v>48</v>
      </c>
      <c r="H8484" t="s">
        <v>3957</v>
      </c>
      <c r="I8484" t="s">
        <v>3958</v>
      </c>
      <c r="J8484" t="s">
        <v>10579</v>
      </c>
      <c r="K8484" t="s">
        <v>14627</v>
      </c>
      <c r="L8484" t="s">
        <v>53</v>
      </c>
      <c r="P8484" t="s">
        <v>55</v>
      </c>
      <c r="R8484" t="s">
        <v>56</v>
      </c>
      <c r="T8484" t="s">
        <v>16073</v>
      </c>
      <c r="U8484" t="s">
        <v>58</v>
      </c>
      <c r="V8484">
        <v>1</v>
      </c>
      <c r="W8484">
        <v>1</v>
      </c>
      <c r="X8484">
        <v>1</v>
      </c>
      <c r="Y8484">
        <v>0</v>
      </c>
      <c r="Z8484">
        <v>1</v>
      </c>
      <c r="AA8484">
        <v>108.93</v>
      </c>
      <c r="AB8484">
        <v>108.93</v>
      </c>
      <c r="AC8484">
        <v>95</v>
      </c>
      <c r="AD8484">
        <v>0</v>
      </c>
      <c r="AE8484">
        <v>13.93</v>
      </c>
      <c r="AF8484">
        <v>0</v>
      </c>
      <c r="AG8484">
        <v>0</v>
      </c>
      <c r="AH8484">
        <v>0</v>
      </c>
      <c r="AI8484">
        <v>0</v>
      </c>
      <c r="AJ8484">
        <v>108.93</v>
      </c>
      <c r="AK8484">
        <v>0</v>
      </c>
      <c r="AL8484" t="s">
        <v>53</v>
      </c>
      <c r="AM8484" t="s">
        <v>53</v>
      </c>
      <c r="AN8484" t="s">
        <v>53</v>
      </c>
      <c r="AO8484" t="s">
        <v>53</v>
      </c>
      <c r="AP8484" t="s">
        <v>53</v>
      </c>
    </row>
    <row r="8485" spans="2:42" x14ac:dyDescent="0.2">
      <c r="B8485" t="s">
        <v>44</v>
      </c>
      <c r="C8485" t="str">
        <f>HYPERLINK("https://us2.cloudbeds.com/connect/8493803454333002#/reservations/9080486848644690?display=4S1P7EK42N&amp;reservation_id=9080486848644690", "4S1P7EK42N")</f>
        <v>4S1P7EK42N</v>
      </c>
      <c r="D8485" t="s">
        <v>45</v>
      </c>
      <c r="E8485" t="s">
        <v>185</v>
      </c>
      <c r="F8485" t="s">
        <v>47</v>
      </c>
      <c r="G8485" t="s">
        <v>48</v>
      </c>
      <c r="H8485" t="s">
        <v>49</v>
      </c>
      <c r="I8485" t="s">
        <v>50</v>
      </c>
      <c r="J8485" t="s">
        <v>14627</v>
      </c>
      <c r="K8485" t="s">
        <v>9762</v>
      </c>
      <c r="L8485" t="s">
        <v>53</v>
      </c>
      <c r="N8485" t="s">
        <v>16074</v>
      </c>
      <c r="P8485" t="s">
        <v>55</v>
      </c>
      <c r="R8485" t="s">
        <v>53</v>
      </c>
      <c r="T8485" t="s">
        <v>16075</v>
      </c>
      <c r="U8485" t="s">
        <v>55</v>
      </c>
      <c r="V8485">
        <v>2</v>
      </c>
      <c r="W8485">
        <v>1</v>
      </c>
      <c r="X8485">
        <v>1</v>
      </c>
      <c r="Y8485">
        <v>0</v>
      </c>
      <c r="Z8485">
        <v>1</v>
      </c>
      <c r="AA8485">
        <v>105</v>
      </c>
      <c r="AB8485">
        <v>105</v>
      </c>
      <c r="AC8485">
        <v>96.56</v>
      </c>
      <c r="AD8485">
        <v>0</v>
      </c>
      <c r="AE8485">
        <v>8.44</v>
      </c>
      <c r="AF8485">
        <v>0</v>
      </c>
      <c r="AG8485">
        <v>0</v>
      </c>
      <c r="AH8485">
        <v>0</v>
      </c>
      <c r="AI8485">
        <v>18.899999999999999</v>
      </c>
      <c r="AJ8485">
        <v>105</v>
      </c>
      <c r="AK8485">
        <v>0</v>
      </c>
      <c r="AL8485" t="s">
        <v>53</v>
      </c>
      <c r="AM8485" t="s">
        <v>53</v>
      </c>
      <c r="AN8485" t="s">
        <v>16076</v>
      </c>
      <c r="AO8485" t="s">
        <v>53</v>
      </c>
      <c r="AP8485" t="s">
        <v>53</v>
      </c>
    </row>
    <row r="8486" spans="2:42" x14ac:dyDescent="0.2">
      <c r="B8486" t="s">
        <v>44</v>
      </c>
      <c r="C8486" t="str">
        <f>HYPERLINK("https://us2.cloudbeds.com/connect/8493803454333002#/reservations/9080486848645869?display=4S2YDCERU9&amp;reservation_id=9080486848645869", "4S2YDCERU9")</f>
        <v>4S2YDCERU9</v>
      </c>
      <c r="D8486" t="s">
        <v>45</v>
      </c>
      <c r="E8486" t="s">
        <v>128</v>
      </c>
      <c r="F8486" t="s">
        <v>86</v>
      </c>
      <c r="G8486" t="s">
        <v>48</v>
      </c>
      <c r="H8486" t="s">
        <v>49</v>
      </c>
      <c r="I8486" t="s">
        <v>50</v>
      </c>
      <c r="J8486" t="s">
        <v>10579</v>
      </c>
      <c r="K8486" t="s">
        <v>14627</v>
      </c>
      <c r="L8486" t="s">
        <v>53</v>
      </c>
      <c r="N8486" t="s">
        <v>16077</v>
      </c>
      <c r="P8486" t="s">
        <v>55</v>
      </c>
      <c r="R8486" t="s">
        <v>53</v>
      </c>
      <c r="T8486" t="s">
        <v>16078</v>
      </c>
      <c r="U8486" t="s">
        <v>55</v>
      </c>
      <c r="V8486">
        <v>1</v>
      </c>
      <c r="W8486">
        <v>1</v>
      </c>
      <c r="X8486">
        <v>2</v>
      </c>
      <c r="Y8486">
        <v>0</v>
      </c>
      <c r="Z8486">
        <v>2</v>
      </c>
      <c r="AA8486">
        <v>72.2</v>
      </c>
      <c r="AB8486">
        <v>72.2</v>
      </c>
      <c r="AC8486">
        <v>66.39</v>
      </c>
      <c r="AD8486">
        <v>0</v>
      </c>
      <c r="AE8486">
        <v>5.81</v>
      </c>
      <c r="AF8486">
        <v>0</v>
      </c>
      <c r="AG8486">
        <v>0</v>
      </c>
      <c r="AH8486">
        <v>0</v>
      </c>
      <c r="AI8486">
        <v>13</v>
      </c>
      <c r="AJ8486">
        <v>72.2</v>
      </c>
      <c r="AK8486">
        <v>0</v>
      </c>
      <c r="AL8486" t="s">
        <v>53</v>
      </c>
      <c r="AM8486" t="s">
        <v>53</v>
      </c>
      <c r="AN8486" t="s">
        <v>16079</v>
      </c>
      <c r="AO8486" t="s">
        <v>53</v>
      </c>
      <c r="AP8486" t="s">
        <v>53</v>
      </c>
    </row>
    <row r="8487" spans="2:42" x14ac:dyDescent="0.2">
      <c r="B8487" t="s">
        <v>44</v>
      </c>
      <c r="C8487" t="str">
        <f>HYPERLINK("https://us2.cloudbeds.com/connect/8493803454333002#/reservations/9080486848646065?display=4S2Q1GAAR4&amp;reservation_id=9080486848646065", "4S2Q1GAAR4")</f>
        <v>4S2Q1GAAR4</v>
      </c>
      <c r="D8487" t="s">
        <v>45</v>
      </c>
      <c r="E8487" t="s">
        <v>110</v>
      </c>
      <c r="F8487" t="s">
        <v>47</v>
      </c>
      <c r="G8487" t="s">
        <v>48</v>
      </c>
      <c r="H8487" t="s">
        <v>49</v>
      </c>
      <c r="I8487" t="s">
        <v>50</v>
      </c>
      <c r="J8487" t="s">
        <v>13638</v>
      </c>
      <c r="K8487" t="s">
        <v>13849</v>
      </c>
      <c r="L8487" t="s">
        <v>53</v>
      </c>
      <c r="N8487" t="s">
        <v>16080</v>
      </c>
      <c r="P8487" t="s">
        <v>55</v>
      </c>
      <c r="R8487" t="s">
        <v>53</v>
      </c>
      <c r="T8487" t="s">
        <v>16081</v>
      </c>
      <c r="U8487" t="s">
        <v>55</v>
      </c>
      <c r="V8487">
        <v>1</v>
      </c>
      <c r="W8487">
        <v>1</v>
      </c>
      <c r="X8487">
        <v>2</v>
      </c>
      <c r="Y8487">
        <v>0</v>
      </c>
      <c r="Z8487">
        <v>2</v>
      </c>
      <c r="AA8487">
        <v>67.77</v>
      </c>
      <c r="AB8487">
        <v>67.77</v>
      </c>
      <c r="AC8487">
        <v>62.32</v>
      </c>
      <c r="AD8487">
        <v>0</v>
      </c>
      <c r="AE8487">
        <v>5.45</v>
      </c>
      <c r="AF8487">
        <v>0</v>
      </c>
      <c r="AG8487">
        <v>0</v>
      </c>
      <c r="AH8487">
        <v>0</v>
      </c>
      <c r="AI8487">
        <v>12.2</v>
      </c>
      <c r="AJ8487">
        <v>67.77</v>
      </c>
      <c r="AK8487">
        <v>0</v>
      </c>
      <c r="AL8487" t="s">
        <v>53</v>
      </c>
      <c r="AM8487" t="s">
        <v>53</v>
      </c>
      <c r="AN8487" t="s">
        <v>53</v>
      </c>
      <c r="AO8487" t="s">
        <v>53</v>
      </c>
      <c r="AP8487" t="s">
        <v>53</v>
      </c>
    </row>
    <row r="8488" spans="2:42" x14ac:dyDescent="0.2">
      <c r="B8488" t="s">
        <v>44</v>
      </c>
      <c r="C8488" t="str">
        <f>HYPERLINK("https://us2.cloudbeds.com/connect/8493803454333002#/reservations/225350135402688?display=4S7KF96VJY&amp;reservation_id=225350135402688", "4S7KF96VJY")</f>
        <v>4S7KF96VJY</v>
      </c>
      <c r="D8488" t="s">
        <v>45</v>
      </c>
      <c r="E8488" t="s">
        <v>487</v>
      </c>
      <c r="F8488" t="s">
        <v>61</v>
      </c>
      <c r="G8488" t="s">
        <v>15366</v>
      </c>
      <c r="H8488" t="s">
        <v>3957</v>
      </c>
      <c r="I8488" t="s">
        <v>3989</v>
      </c>
      <c r="J8488" t="s">
        <v>14095</v>
      </c>
      <c r="K8488" t="s">
        <v>12823</v>
      </c>
      <c r="L8488" t="s">
        <v>53</v>
      </c>
      <c r="P8488" t="s">
        <v>55</v>
      </c>
      <c r="R8488" t="s">
        <v>56</v>
      </c>
      <c r="T8488" t="s">
        <v>16082</v>
      </c>
      <c r="U8488" t="s">
        <v>58</v>
      </c>
      <c r="V8488">
        <v>4</v>
      </c>
      <c r="W8488">
        <v>1</v>
      </c>
      <c r="X8488">
        <v>1</v>
      </c>
      <c r="Y8488">
        <v>0</v>
      </c>
      <c r="Z8488">
        <v>1</v>
      </c>
      <c r="AA8488">
        <v>857.47</v>
      </c>
      <c r="AB8488">
        <v>1714.94</v>
      </c>
      <c r="AC8488">
        <v>747.9</v>
      </c>
      <c r="AD8488">
        <v>0</v>
      </c>
      <c r="AE8488">
        <v>109.57</v>
      </c>
      <c r="AF8488">
        <v>0</v>
      </c>
      <c r="AG8488">
        <v>0</v>
      </c>
      <c r="AH8488">
        <v>0</v>
      </c>
      <c r="AI8488">
        <v>0</v>
      </c>
      <c r="AJ8488">
        <v>857.47</v>
      </c>
      <c r="AK8488">
        <v>0</v>
      </c>
      <c r="AL8488" t="s">
        <v>53</v>
      </c>
      <c r="AM8488" t="s">
        <v>53</v>
      </c>
      <c r="AN8488" t="s">
        <v>53</v>
      </c>
      <c r="AO8488" t="s">
        <v>53</v>
      </c>
      <c r="AP8488" t="s">
        <v>53</v>
      </c>
    </row>
    <row r="8489" spans="2:42" x14ac:dyDescent="0.2">
      <c r="B8489" t="s">
        <v>44</v>
      </c>
      <c r="C8489" t="str">
        <f>HYPERLINK("https://us2.cloudbeds.com/connect/8493803454333002#/reservations/9080486848655412?display=4S9FSXQ9E9&amp;reservation_id=9080486848655412", "4S9FSXQ9E9")</f>
        <v>4S9FSXQ9E9</v>
      </c>
      <c r="D8489" t="s">
        <v>45</v>
      </c>
      <c r="E8489" t="s">
        <v>179</v>
      </c>
      <c r="F8489" t="s">
        <v>47</v>
      </c>
      <c r="G8489" t="s">
        <v>48</v>
      </c>
      <c r="H8489" t="s">
        <v>49</v>
      </c>
      <c r="I8489" t="s">
        <v>50</v>
      </c>
      <c r="J8489" t="s">
        <v>14627</v>
      </c>
      <c r="K8489" t="s">
        <v>14628</v>
      </c>
      <c r="L8489" t="s">
        <v>53</v>
      </c>
      <c r="N8489" t="s">
        <v>16083</v>
      </c>
      <c r="P8489" t="s">
        <v>55</v>
      </c>
      <c r="R8489" t="s">
        <v>53</v>
      </c>
      <c r="T8489" t="s">
        <v>16084</v>
      </c>
      <c r="U8489" t="s">
        <v>55</v>
      </c>
      <c r="V8489">
        <v>1</v>
      </c>
      <c r="W8489">
        <v>1</v>
      </c>
      <c r="X8489">
        <v>2</v>
      </c>
      <c r="Y8489">
        <v>0</v>
      </c>
      <c r="Z8489">
        <v>2</v>
      </c>
      <c r="AA8489">
        <v>65.63</v>
      </c>
      <c r="AB8489">
        <v>65.63</v>
      </c>
      <c r="AC8489">
        <v>60.35</v>
      </c>
      <c r="AD8489">
        <v>0</v>
      </c>
      <c r="AE8489">
        <v>5.28</v>
      </c>
      <c r="AF8489">
        <v>0</v>
      </c>
      <c r="AG8489">
        <v>0</v>
      </c>
      <c r="AH8489">
        <v>0</v>
      </c>
      <c r="AI8489">
        <v>11.81</v>
      </c>
      <c r="AJ8489">
        <v>65.63</v>
      </c>
      <c r="AK8489">
        <v>0</v>
      </c>
      <c r="AL8489" t="s">
        <v>53</v>
      </c>
      <c r="AM8489" t="s">
        <v>53</v>
      </c>
      <c r="AN8489" t="s">
        <v>53</v>
      </c>
      <c r="AO8489" t="s">
        <v>53</v>
      </c>
      <c r="AP8489" t="s">
        <v>53</v>
      </c>
    </row>
    <row r="8490" spans="2:42" x14ac:dyDescent="0.2">
      <c r="B8490" t="s">
        <v>44</v>
      </c>
      <c r="C8490" t="str">
        <f>HYPERLINK("https://us2.cloudbeds.com/connect/8493803454333002#/reservations/9080486848656699?display=4SAF48XDQ2&amp;reservation_id=9080486848656699", "4SAF48XDQ2")</f>
        <v>4SAF48XDQ2</v>
      </c>
      <c r="D8490" t="s">
        <v>45</v>
      </c>
      <c r="E8490" t="s">
        <v>105</v>
      </c>
      <c r="F8490" t="s">
        <v>47</v>
      </c>
      <c r="G8490" t="s">
        <v>48</v>
      </c>
      <c r="H8490" t="s">
        <v>49</v>
      </c>
      <c r="I8490" t="s">
        <v>50</v>
      </c>
      <c r="J8490" t="s">
        <v>15947</v>
      </c>
      <c r="K8490" t="s">
        <v>15876</v>
      </c>
      <c r="L8490" t="s">
        <v>53</v>
      </c>
      <c r="N8490" t="s">
        <v>16085</v>
      </c>
      <c r="P8490" t="s">
        <v>55</v>
      </c>
      <c r="R8490" t="s">
        <v>53</v>
      </c>
      <c r="T8490" t="s">
        <v>16086</v>
      </c>
      <c r="U8490" t="s">
        <v>58</v>
      </c>
      <c r="V8490">
        <v>1</v>
      </c>
      <c r="W8490">
        <v>1</v>
      </c>
      <c r="X8490">
        <v>2</v>
      </c>
      <c r="Y8490">
        <v>0</v>
      </c>
      <c r="Z8490">
        <v>2</v>
      </c>
      <c r="AA8490">
        <v>201.73</v>
      </c>
      <c r="AB8490">
        <v>201.73</v>
      </c>
      <c r="AC8490">
        <v>175.95</v>
      </c>
      <c r="AD8490">
        <v>0</v>
      </c>
      <c r="AE8490">
        <v>25.78</v>
      </c>
      <c r="AF8490">
        <v>0</v>
      </c>
      <c r="AG8490">
        <v>0</v>
      </c>
      <c r="AH8490">
        <v>0</v>
      </c>
      <c r="AI8490">
        <v>36.31</v>
      </c>
      <c r="AJ8490">
        <v>201.73</v>
      </c>
      <c r="AK8490">
        <v>0</v>
      </c>
      <c r="AL8490" t="s">
        <v>53</v>
      </c>
      <c r="AM8490" t="s">
        <v>53</v>
      </c>
      <c r="AN8490" t="s">
        <v>16087</v>
      </c>
      <c r="AO8490" t="s">
        <v>53</v>
      </c>
      <c r="AP8490" t="s">
        <v>53</v>
      </c>
    </row>
    <row r="8491" spans="2:42" x14ac:dyDescent="0.2">
      <c r="B8491" t="s">
        <v>44</v>
      </c>
      <c r="C8491" t="str">
        <f>HYPERLINK("https://us2.cloudbeds.com/connect/8493803454333002#/reservations/225471515869312?display=4SAFERF5KM&amp;reservation_id=225471515869312", "4SAFERF5KM")</f>
        <v>4SAFERF5KM</v>
      </c>
      <c r="D8491" t="s">
        <v>45</v>
      </c>
      <c r="E8491" t="s">
        <v>78</v>
      </c>
      <c r="F8491" t="s">
        <v>61</v>
      </c>
      <c r="G8491" t="s">
        <v>4520</v>
      </c>
      <c r="H8491" t="s">
        <v>3957</v>
      </c>
      <c r="I8491" t="s">
        <v>3958</v>
      </c>
      <c r="J8491" t="s">
        <v>14627</v>
      </c>
      <c r="K8491" t="s">
        <v>14628</v>
      </c>
      <c r="L8491" t="s">
        <v>53</v>
      </c>
      <c r="P8491" t="s">
        <v>55</v>
      </c>
      <c r="R8491" t="s">
        <v>56</v>
      </c>
      <c r="T8491" t="s">
        <v>16088</v>
      </c>
      <c r="U8491" t="s">
        <v>58</v>
      </c>
      <c r="V8491">
        <v>1</v>
      </c>
      <c r="W8491">
        <v>1</v>
      </c>
      <c r="X8491">
        <v>1</v>
      </c>
      <c r="Y8491">
        <v>0</v>
      </c>
      <c r="Z8491">
        <v>1</v>
      </c>
      <c r="AA8491">
        <v>98.03</v>
      </c>
      <c r="AB8491">
        <v>98.03</v>
      </c>
      <c r="AC8491">
        <v>85.5</v>
      </c>
      <c r="AD8491">
        <v>0</v>
      </c>
      <c r="AE8491">
        <v>12.53</v>
      </c>
      <c r="AF8491">
        <v>0</v>
      </c>
      <c r="AG8491">
        <v>0</v>
      </c>
      <c r="AH8491">
        <v>0</v>
      </c>
      <c r="AI8491">
        <v>0</v>
      </c>
      <c r="AJ8491">
        <v>98.03</v>
      </c>
      <c r="AK8491">
        <v>0</v>
      </c>
      <c r="AL8491" t="s">
        <v>53</v>
      </c>
      <c r="AM8491" t="s">
        <v>53</v>
      </c>
      <c r="AN8491" t="s">
        <v>53</v>
      </c>
      <c r="AO8491" t="s">
        <v>53</v>
      </c>
      <c r="AP8491" t="s">
        <v>53</v>
      </c>
    </row>
    <row r="8492" spans="2:42" x14ac:dyDescent="0.2">
      <c r="B8492" t="s">
        <v>44</v>
      </c>
      <c r="C8492" t="str">
        <f>HYPERLINK("https://us2.cloudbeds.com/connect/8493803454333002#/reservations/9080486848660752?display=4SDWBSQDGY&amp;reservation_id=9080486848660752", "4SDWBSQDGY")</f>
        <v>4SDWBSQDGY</v>
      </c>
      <c r="D8492" t="s">
        <v>45</v>
      </c>
      <c r="E8492" t="s">
        <v>105</v>
      </c>
      <c r="F8492" t="s">
        <v>47</v>
      </c>
      <c r="G8492" t="s">
        <v>48</v>
      </c>
      <c r="H8492" t="s">
        <v>49</v>
      </c>
      <c r="I8492" t="s">
        <v>50</v>
      </c>
      <c r="J8492" t="s">
        <v>9762</v>
      </c>
      <c r="K8492" t="s">
        <v>9763</v>
      </c>
      <c r="L8492" t="s">
        <v>53</v>
      </c>
      <c r="N8492" t="s">
        <v>16089</v>
      </c>
      <c r="P8492" t="s">
        <v>55</v>
      </c>
      <c r="R8492" t="s">
        <v>53</v>
      </c>
      <c r="T8492" t="s">
        <v>16090</v>
      </c>
      <c r="U8492" t="s">
        <v>55</v>
      </c>
      <c r="V8492">
        <v>1</v>
      </c>
      <c r="W8492">
        <v>1</v>
      </c>
      <c r="X8492">
        <v>2</v>
      </c>
      <c r="Y8492">
        <v>0</v>
      </c>
      <c r="Z8492">
        <v>2</v>
      </c>
      <c r="AA8492">
        <v>60.86</v>
      </c>
      <c r="AB8492">
        <v>60.86</v>
      </c>
      <c r="AC8492">
        <v>55.96</v>
      </c>
      <c r="AD8492">
        <v>0</v>
      </c>
      <c r="AE8492">
        <v>4.9000000000000004</v>
      </c>
      <c r="AF8492">
        <v>0</v>
      </c>
      <c r="AG8492">
        <v>0</v>
      </c>
      <c r="AH8492">
        <v>0</v>
      </c>
      <c r="AI8492">
        <v>10.95</v>
      </c>
      <c r="AJ8492">
        <v>60.86</v>
      </c>
      <c r="AK8492">
        <v>0</v>
      </c>
      <c r="AL8492" t="s">
        <v>53</v>
      </c>
      <c r="AM8492" t="s">
        <v>53</v>
      </c>
      <c r="AN8492" t="s">
        <v>16091</v>
      </c>
      <c r="AO8492" t="s">
        <v>53</v>
      </c>
      <c r="AP8492" t="s">
        <v>53</v>
      </c>
    </row>
    <row r="8493" spans="2:42" x14ac:dyDescent="0.2">
      <c r="B8493" t="s">
        <v>44</v>
      </c>
      <c r="C8493" t="str">
        <f>HYPERLINK("https://us2.cloudbeds.com/connect/8493803454333002#/reservations/225724348264641?display=4SGD79DUJM&amp;reservation_id=225724348264641", "4SGD79DUJM")</f>
        <v>4SGD79DUJM</v>
      </c>
      <c r="D8493" t="s">
        <v>45</v>
      </c>
      <c r="E8493" t="s">
        <v>113</v>
      </c>
      <c r="F8493" t="s">
        <v>61</v>
      </c>
      <c r="G8493" t="s">
        <v>48</v>
      </c>
      <c r="H8493" t="s">
        <v>3957</v>
      </c>
      <c r="I8493" t="s">
        <v>3975</v>
      </c>
      <c r="J8493" t="s">
        <v>9762</v>
      </c>
      <c r="K8493" t="s">
        <v>9763</v>
      </c>
      <c r="L8493" t="s">
        <v>53</v>
      </c>
      <c r="P8493" t="s">
        <v>55</v>
      </c>
      <c r="R8493" t="s">
        <v>56</v>
      </c>
      <c r="T8493" t="s">
        <v>16092</v>
      </c>
      <c r="U8493" t="s">
        <v>58</v>
      </c>
      <c r="V8493">
        <v>1</v>
      </c>
      <c r="W8493">
        <v>1</v>
      </c>
      <c r="X8493">
        <v>2</v>
      </c>
      <c r="Y8493">
        <v>0</v>
      </c>
      <c r="Z8493">
        <v>2</v>
      </c>
      <c r="AA8493">
        <v>98.6</v>
      </c>
      <c r="AB8493">
        <v>98.6</v>
      </c>
      <c r="AC8493">
        <v>86</v>
      </c>
      <c r="AD8493">
        <v>0</v>
      </c>
      <c r="AE8493">
        <v>12.6</v>
      </c>
      <c r="AF8493">
        <v>0</v>
      </c>
      <c r="AG8493">
        <v>0</v>
      </c>
      <c r="AH8493">
        <v>0</v>
      </c>
      <c r="AI8493">
        <v>0</v>
      </c>
      <c r="AJ8493">
        <v>98.6</v>
      </c>
      <c r="AK8493">
        <v>0</v>
      </c>
      <c r="AL8493" t="s">
        <v>53</v>
      </c>
      <c r="AM8493" t="s">
        <v>53</v>
      </c>
      <c r="AN8493" t="s">
        <v>16093</v>
      </c>
      <c r="AO8493" t="s">
        <v>53</v>
      </c>
      <c r="AP8493" t="s">
        <v>53</v>
      </c>
    </row>
    <row r="8494" spans="2:42" x14ac:dyDescent="0.2">
      <c r="B8494" t="s">
        <v>44</v>
      </c>
      <c r="C8494" t="str">
        <f>HYPERLINK("https://us2.cloudbeds.com/connect/8493803454333002#/reservations/9080486848666016?display=4SH1VRSG35&amp;reservation_id=9080486848666016", "4SH1VRSG35")</f>
        <v>4SH1VRSG35</v>
      </c>
      <c r="D8494" t="s">
        <v>45</v>
      </c>
      <c r="E8494" t="s">
        <v>165</v>
      </c>
      <c r="F8494" t="s">
        <v>61</v>
      </c>
      <c r="G8494" t="s">
        <v>48</v>
      </c>
      <c r="H8494" t="s">
        <v>49</v>
      </c>
      <c r="I8494" t="s">
        <v>50</v>
      </c>
      <c r="J8494" t="s">
        <v>13638</v>
      </c>
      <c r="K8494" t="s">
        <v>14205</v>
      </c>
      <c r="L8494" t="s">
        <v>53</v>
      </c>
      <c r="N8494" t="s">
        <v>16094</v>
      </c>
      <c r="P8494" t="s">
        <v>55</v>
      </c>
      <c r="R8494" t="s">
        <v>53</v>
      </c>
      <c r="T8494" t="s">
        <v>16095</v>
      </c>
      <c r="U8494" t="s">
        <v>55</v>
      </c>
      <c r="V8494">
        <v>2</v>
      </c>
      <c r="W8494">
        <v>1</v>
      </c>
      <c r="X8494">
        <v>2</v>
      </c>
      <c r="Y8494">
        <v>0</v>
      </c>
      <c r="Z8494">
        <v>2</v>
      </c>
      <c r="AA8494">
        <v>135.16999999999999</v>
      </c>
      <c r="AB8494">
        <v>135.16999999999999</v>
      </c>
      <c r="AC8494">
        <v>124.29</v>
      </c>
      <c r="AD8494">
        <v>0</v>
      </c>
      <c r="AE8494">
        <v>10.88</v>
      </c>
      <c r="AF8494">
        <v>0</v>
      </c>
      <c r="AG8494">
        <v>0</v>
      </c>
      <c r="AH8494">
        <v>0</v>
      </c>
      <c r="AI8494">
        <v>24.33</v>
      </c>
      <c r="AJ8494">
        <v>135.16999999999999</v>
      </c>
      <c r="AK8494">
        <v>0</v>
      </c>
      <c r="AL8494" t="s">
        <v>53</v>
      </c>
      <c r="AM8494" t="s">
        <v>53</v>
      </c>
      <c r="AN8494" t="s">
        <v>16096</v>
      </c>
      <c r="AO8494" t="s">
        <v>53</v>
      </c>
      <c r="AP8494" t="s">
        <v>53</v>
      </c>
    </row>
    <row r="8495" spans="2:42" x14ac:dyDescent="0.2">
      <c r="B8495" t="s">
        <v>44</v>
      </c>
      <c r="C8495" t="str">
        <f>HYPERLINK("https://us2.cloudbeds.com/connect/8493803454333002#/reservations/225778994028736?display=4SHMHK5HAK&amp;reservation_id=225778994028736", "4SHMHK5HAK")</f>
        <v>4SHMHK5HAK</v>
      </c>
      <c r="D8495" t="s">
        <v>45</v>
      </c>
      <c r="E8495" t="s">
        <v>78</v>
      </c>
      <c r="F8495" t="s">
        <v>61</v>
      </c>
      <c r="G8495" t="s">
        <v>48</v>
      </c>
      <c r="H8495" t="s">
        <v>3957</v>
      </c>
      <c r="I8495" t="s">
        <v>3975</v>
      </c>
      <c r="J8495" t="s">
        <v>9762</v>
      </c>
      <c r="K8495" t="s">
        <v>13612</v>
      </c>
      <c r="L8495" t="s">
        <v>53</v>
      </c>
      <c r="P8495" t="s">
        <v>55</v>
      </c>
      <c r="R8495" t="s">
        <v>56</v>
      </c>
      <c r="T8495" t="s">
        <v>16097</v>
      </c>
      <c r="U8495" t="s">
        <v>58</v>
      </c>
      <c r="V8495">
        <v>2</v>
      </c>
      <c r="W8495">
        <v>1</v>
      </c>
      <c r="X8495">
        <v>1</v>
      </c>
      <c r="Y8495">
        <v>0</v>
      </c>
      <c r="Z8495">
        <v>1</v>
      </c>
      <c r="AA8495">
        <v>282.06</v>
      </c>
      <c r="AB8495">
        <v>282.06</v>
      </c>
      <c r="AC8495">
        <v>246</v>
      </c>
      <c r="AD8495">
        <v>0</v>
      </c>
      <c r="AE8495">
        <v>36.06</v>
      </c>
      <c r="AF8495">
        <v>0</v>
      </c>
      <c r="AG8495">
        <v>0</v>
      </c>
      <c r="AH8495">
        <v>0</v>
      </c>
      <c r="AI8495">
        <v>0</v>
      </c>
      <c r="AJ8495">
        <v>282.06</v>
      </c>
      <c r="AK8495">
        <v>0</v>
      </c>
      <c r="AL8495" t="s">
        <v>53</v>
      </c>
      <c r="AM8495" t="s">
        <v>53</v>
      </c>
      <c r="AN8495" t="s">
        <v>16098</v>
      </c>
      <c r="AO8495" t="s">
        <v>53</v>
      </c>
      <c r="AP8495" t="s">
        <v>53</v>
      </c>
    </row>
    <row r="8496" spans="2:42" x14ac:dyDescent="0.2">
      <c r="B8496" t="s">
        <v>44</v>
      </c>
      <c r="C8496" t="str">
        <f>HYPERLINK("https://us2.cloudbeds.com/connect/8493803454333002#/reservations/9080486848668258?display=4SXYAVCZUG&amp;reservation_id=9080486848668258", "4SXYAVCZUG")</f>
        <v>4SXYAVCZUG</v>
      </c>
      <c r="D8496" t="s">
        <v>45</v>
      </c>
      <c r="E8496" t="s">
        <v>69</v>
      </c>
      <c r="F8496" t="s">
        <v>70</v>
      </c>
      <c r="G8496" t="s">
        <v>48</v>
      </c>
      <c r="H8496" t="s">
        <v>49</v>
      </c>
      <c r="I8496" t="s">
        <v>50</v>
      </c>
      <c r="J8496" t="s">
        <v>14628</v>
      </c>
      <c r="K8496" t="s">
        <v>9762</v>
      </c>
      <c r="L8496" t="s">
        <v>53</v>
      </c>
      <c r="N8496" t="s">
        <v>16099</v>
      </c>
      <c r="P8496" t="s">
        <v>55</v>
      </c>
      <c r="R8496" t="s">
        <v>53</v>
      </c>
      <c r="T8496" t="s">
        <v>16100</v>
      </c>
      <c r="U8496" t="s">
        <v>55</v>
      </c>
      <c r="V8496">
        <v>1</v>
      </c>
      <c r="W8496">
        <v>1</v>
      </c>
      <c r="X8496">
        <v>1</v>
      </c>
      <c r="Y8496">
        <v>0</v>
      </c>
      <c r="Z8496">
        <v>1</v>
      </c>
      <c r="AA8496">
        <v>51.93</v>
      </c>
      <c r="AB8496">
        <v>51.93</v>
      </c>
      <c r="AC8496">
        <v>47.75</v>
      </c>
      <c r="AD8496">
        <v>0</v>
      </c>
      <c r="AE8496">
        <v>4.18</v>
      </c>
      <c r="AF8496">
        <v>0</v>
      </c>
      <c r="AG8496">
        <v>0</v>
      </c>
      <c r="AH8496">
        <v>0</v>
      </c>
      <c r="AI8496">
        <v>9.35</v>
      </c>
      <c r="AJ8496">
        <v>51.93</v>
      </c>
      <c r="AK8496">
        <v>0</v>
      </c>
      <c r="AL8496" t="s">
        <v>53</v>
      </c>
      <c r="AM8496" t="s">
        <v>53</v>
      </c>
      <c r="AN8496" t="s">
        <v>53</v>
      </c>
      <c r="AO8496" t="s">
        <v>53</v>
      </c>
      <c r="AP8496" t="s">
        <v>53</v>
      </c>
    </row>
    <row r="8497" spans="2:42" x14ac:dyDescent="0.2">
      <c r="B8497" t="s">
        <v>44</v>
      </c>
      <c r="C8497" t="str">
        <f>HYPERLINK("https://us2.cloudbeds.com/connect/8493803454333002#/reservations/9080486848668349?display=4SXN06VXS4&amp;reservation_id=9080486848668349", "4SXN06VXS4")</f>
        <v>4SXN06VXS4</v>
      </c>
      <c r="D8497" t="s">
        <v>45</v>
      </c>
      <c r="E8497" t="s">
        <v>128</v>
      </c>
      <c r="F8497" t="s">
        <v>86</v>
      </c>
      <c r="G8497" t="s">
        <v>48</v>
      </c>
      <c r="H8497" t="s">
        <v>49</v>
      </c>
      <c r="I8497" t="s">
        <v>50</v>
      </c>
      <c r="J8497" t="s">
        <v>9762</v>
      </c>
      <c r="K8497" t="s">
        <v>9763</v>
      </c>
      <c r="L8497" t="s">
        <v>53</v>
      </c>
      <c r="N8497" t="s">
        <v>16101</v>
      </c>
      <c r="P8497" t="s">
        <v>55</v>
      </c>
      <c r="R8497" t="s">
        <v>53</v>
      </c>
      <c r="T8497" t="s">
        <v>16102</v>
      </c>
      <c r="U8497" t="s">
        <v>55</v>
      </c>
      <c r="V8497">
        <v>1</v>
      </c>
      <c r="W8497">
        <v>1</v>
      </c>
      <c r="X8497">
        <v>2</v>
      </c>
      <c r="Y8497">
        <v>0</v>
      </c>
      <c r="Z8497">
        <v>2</v>
      </c>
      <c r="AA8497">
        <v>78.959999999999994</v>
      </c>
      <c r="AB8497">
        <v>78.959999999999994</v>
      </c>
      <c r="AC8497">
        <v>72.61</v>
      </c>
      <c r="AD8497">
        <v>0</v>
      </c>
      <c r="AE8497">
        <v>6.35</v>
      </c>
      <c r="AF8497">
        <v>0</v>
      </c>
      <c r="AG8497">
        <v>0</v>
      </c>
      <c r="AH8497">
        <v>0</v>
      </c>
      <c r="AI8497">
        <v>14.21</v>
      </c>
      <c r="AJ8497">
        <v>78.959999999999994</v>
      </c>
      <c r="AK8497">
        <v>0</v>
      </c>
      <c r="AL8497" t="s">
        <v>53</v>
      </c>
      <c r="AM8497" t="s">
        <v>53</v>
      </c>
      <c r="AN8497" t="s">
        <v>16103</v>
      </c>
      <c r="AO8497" t="s">
        <v>53</v>
      </c>
      <c r="AP8497" t="s">
        <v>53</v>
      </c>
    </row>
    <row r="8498" spans="2:42" x14ac:dyDescent="0.2">
      <c r="B8498" t="s">
        <v>44</v>
      </c>
      <c r="C8498" t="str">
        <f>HYPERLINK("https://us2.cloudbeds.com/connect/8493803454333002#/reservations/226001253019840?display=4SMTKRRFJ1&amp;reservation_id=226001253019840", "4SMTKRRFJ1")</f>
        <v>4SMTKRRFJ1</v>
      </c>
      <c r="D8498" t="s">
        <v>45</v>
      </c>
      <c r="E8498" t="s">
        <v>305</v>
      </c>
      <c r="F8498" t="s">
        <v>61</v>
      </c>
      <c r="G8498" t="s">
        <v>3974</v>
      </c>
      <c r="H8498" t="s">
        <v>3957</v>
      </c>
      <c r="I8498" t="s">
        <v>3975</v>
      </c>
      <c r="J8498" t="s">
        <v>14206</v>
      </c>
      <c r="K8498" t="s">
        <v>13082</v>
      </c>
      <c r="L8498" t="s">
        <v>53</v>
      </c>
      <c r="P8498" t="s">
        <v>55</v>
      </c>
      <c r="R8498" t="s">
        <v>53</v>
      </c>
      <c r="T8498" t="s">
        <v>16104</v>
      </c>
      <c r="U8498" t="s">
        <v>58</v>
      </c>
      <c r="V8498">
        <v>2</v>
      </c>
      <c r="W8498">
        <v>1</v>
      </c>
      <c r="X8498">
        <v>2</v>
      </c>
      <c r="Y8498">
        <v>0</v>
      </c>
      <c r="Z8498">
        <v>2</v>
      </c>
      <c r="AA8498">
        <v>578.36</v>
      </c>
      <c r="AB8498">
        <v>578.36</v>
      </c>
      <c r="AC8498">
        <v>504.45</v>
      </c>
      <c r="AD8498">
        <v>0</v>
      </c>
      <c r="AE8498">
        <v>73.91</v>
      </c>
      <c r="AF8498">
        <v>0</v>
      </c>
      <c r="AG8498">
        <v>0</v>
      </c>
      <c r="AH8498">
        <v>0</v>
      </c>
      <c r="AI8498">
        <v>0</v>
      </c>
      <c r="AJ8498">
        <v>578.36</v>
      </c>
      <c r="AK8498">
        <v>0</v>
      </c>
      <c r="AL8498" t="s">
        <v>53</v>
      </c>
      <c r="AM8498" t="s">
        <v>53</v>
      </c>
      <c r="AN8498" t="s">
        <v>16105</v>
      </c>
      <c r="AO8498" t="s">
        <v>53</v>
      </c>
      <c r="AP8498" t="s">
        <v>53</v>
      </c>
    </row>
    <row r="8499" spans="2:42" x14ac:dyDescent="0.2">
      <c r="B8499" t="s">
        <v>44</v>
      </c>
      <c r="C8499" t="str">
        <f>HYPERLINK("https://us2.cloudbeds.com/connect/8493803454333002#/reservations/226014087434368?display=4SN6XQ2N2S&amp;reservation_id=226014087434368", "4SN6XQ2N2S")</f>
        <v>4SN6XQ2N2S</v>
      </c>
      <c r="D8499" t="s">
        <v>45</v>
      </c>
      <c r="E8499" t="s">
        <v>165</v>
      </c>
      <c r="F8499" t="s">
        <v>61</v>
      </c>
      <c r="G8499" t="s">
        <v>48</v>
      </c>
      <c r="H8499" t="s">
        <v>3957</v>
      </c>
      <c r="I8499" t="s">
        <v>3975</v>
      </c>
      <c r="J8499" t="s">
        <v>9762</v>
      </c>
      <c r="K8499" t="s">
        <v>9763</v>
      </c>
      <c r="L8499" t="s">
        <v>53</v>
      </c>
      <c r="P8499" t="s">
        <v>55</v>
      </c>
      <c r="R8499" t="s">
        <v>56</v>
      </c>
      <c r="T8499" t="s">
        <v>16106</v>
      </c>
      <c r="U8499" t="s">
        <v>58</v>
      </c>
      <c r="V8499">
        <v>1</v>
      </c>
      <c r="W8499">
        <v>1</v>
      </c>
      <c r="X8499">
        <v>2</v>
      </c>
      <c r="Y8499">
        <v>0</v>
      </c>
      <c r="Z8499">
        <v>2</v>
      </c>
      <c r="AA8499">
        <v>108.93</v>
      </c>
      <c r="AB8499">
        <v>108.93</v>
      </c>
      <c r="AC8499">
        <v>95</v>
      </c>
      <c r="AD8499">
        <v>0</v>
      </c>
      <c r="AE8499">
        <v>13.93</v>
      </c>
      <c r="AF8499">
        <v>0</v>
      </c>
      <c r="AG8499">
        <v>0</v>
      </c>
      <c r="AH8499">
        <v>0</v>
      </c>
      <c r="AI8499">
        <v>0</v>
      </c>
      <c r="AJ8499">
        <v>108.93</v>
      </c>
      <c r="AK8499">
        <v>0</v>
      </c>
      <c r="AL8499" t="s">
        <v>53</v>
      </c>
      <c r="AM8499" t="s">
        <v>53</v>
      </c>
      <c r="AN8499" t="s">
        <v>16107</v>
      </c>
      <c r="AO8499" t="s">
        <v>53</v>
      </c>
      <c r="AP8499" t="s">
        <v>53</v>
      </c>
    </row>
    <row r="8500" spans="2:42" x14ac:dyDescent="0.2">
      <c r="B8500" t="s">
        <v>44</v>
      </c>
      <c r="C8500" t="str">
        <f>HYPERLINK("https://us2.cloudbeds.com/connect/8493803454333002#/reservations/226017714770048?display=4SN9CFRZD6&amp;reservation_id=226017714770048", "4SN9CFRZD6")</f>
        <v>4SN9CFRZD6</v>
      </c>
      <c r="D8500" t="s">
        <v>45</v>
      </c>
      <c r="E8500" t="s">
        <v>213</v>
      </c>
      <c r="F8500" t="s">
        <v>86</v>
      </c>
      <c r="G8500" t="s">
        <v>13757</v>
      </c>
      <c r="H8500" t="s">
        <v>3957</v>
      </c>
      <c r="I8500" t="s">
        <v>3958</v>
      </c>
      <c r="J8500" t="s">
        <v>13637</v>
      </c>
      <c r="K8500" t="s">
        <v>13638</v>
      </c>
      <c r="L8500" t="s">
        <v>53</v>
      </c>
      <c r="P8500" t="s">
        <v>55</v>
      </c>
      <c r="R8500" t="s">
        <v>56</v>
      </c>
      <c r="T8500" t="s">
        <v>16108</v>
      </c>
      <c r="U8500" t="s">
        <v>58</v>
      </c>
      <c r="V8500">
        <v>1</v>
      </c>
      <c r="W8500">
        <v>1</v>
      </c>
      <c r="X8500">
        <v>1</v>
      </c>
      <c r="Y8500">
        <v>0</v>
      </c>
      <c r="Z8500">
        <v>1</v>
      </c>
      <c r="AA8500">
        <v>113.51</v>
      </c>
      <c r="AB8500">
        <v>0</v>
      </c>
      <c r="AC8500">
        <v>-18.34</v>
      </c>
      <c r="AD8500">
        <v>3.5</v>
      </c>
      <c r="AE8500">
        <v>14.84</v>
      </c>
      <c r="AF8500">
        <v>0</v>
      </c>
      <c r="AG8500">
        <v>0</v>
      </c>
      <c r="AH8500">
        <v>0</v>
      </c>
      <c r="AI8500">
        <v>0</v>
      </c>
      <c r="AJ8500">
        <v>0</v>
      </c>
      <c r="AK8500">
        <v>0</v>
      </c>
      <c r="AL8500" t="s">
        <v>53</v>
      </c>
      <c r="AM8500" t="s">
        <v>53</v>
      </c>
      <c r="AN8500" t="s">
        <v>16109</v>
      </c>
      <c r="AO8500" t="s">
        <v>53</v>
      </c>
      <c r="AP8500" t="s">
        <v>53</v>
      </c>
    </row>
    <row r="8501" spans="2:42" x14ac:dyDescent="0.2">
      <c r="B8501" t="s">
        <v>44</v>
      </c>
      <c r="C8501" t="str">
        <f>HYPERLINK("https://us2.cloudbeds.com/connect/8493803454333002#/reservations/9080486848674573?display=4SNPCBJF5X&amp;reservation_id=9080486848674573", "4SNPCBJF5X")</f>
        <v>4SNPCBJF5X</v>
      </c>
      <c r="D8501" t="s">
        <v>10291</v>
      </c>
      <c r="E8501" t="s">
        <v>113</v>
      </c>
      <c r="F8501" t="s">
        <v>61</v>
      </c>
      <c r="G8501" t="s">
        <v>48</v>
      </c>
      <c r="H8501" t="s">
        <v>49</v>
      </c>
      <c r="I8501" t="s">
        <v>50</v>
      </c>
      <c r="J8501" t="s">
        <v>16110</v>
      </c>
      <c r="K8501" t="s">
        <v>16111</v>
      </c>
      <c r="L8501" t="s">
        <v>53</v>
      </c>
      <c r="N8501" t="s">
        <v>16112</v>
      </c>
      <c r="P8501" t="s">
        <v>55</v>
      </c>
      <c r="R8501" t="s">
        <v>53</v>
      </c>
      <c r="T8501" t="s">
        <v>16113</v>
      </c>
      <c r="U8501" t="s">
        <v>55</v>
      </c>
      <c r="V8501">
        <v>2</v>
      </c>
      <c r="W8501">
        <v>1</v>
      </c>
      <c r="X8501">
        <v>2</v>
      </c>
      <c r="Y8501">
        <v>0</v>
      </c>
      <c r="Z8501">
        <v>2</v>
      </c>
      <c r="AA8501">
        <v>261.26</v>
      </c>
      <c r="AB8501">
        <v>0</v>
      </c>
      <c r="AC8501">
        <v>240.24</v>
      </c>
      <c r="AD8501">
        <v>0</v>
      </c>
      <c r="AE8501">
        <v>21.02</v>
      </c>
      <c r="AF8501">
        <v>0</v>
      </c>
      <c r="AG8501">
        <v>0</v>
      </c>
      <c r="AH8501">
        <v>0</v>
      </c>
      <c r="AI8501">
        <v>47.03</v>
      </c>
      <c r="AJ8501">
        <v>261.26</v>
      </c>
      <c r="AK8501">
        <v>261.26</v>
      </c>
      <c r="AL8501" t="s">
        <v>53</v>
      </c>
      <c r="AM8501" t="s">
        <v>53</v>
      </c>
      <c r="AN8501" t="s">
        <v>53</v>
      </c>
      <c r="AO8501" t="s">
        <v>53</v>
      </c>
      <c r="AP8501" t="s">
        <v>53</v>
      </c>
    </row>
    <row r="8502" spans="2:42" x14ac:dyDescent="0.2">
      <c r="B8502" t="s">
        <v>44</v>
      </c>
      <c r="C8502" t="str">
        <f>HYPERLINK("https://us2.cloudbeds.com/connect/8493803454333002#/reservations/9080486848676514?display=4SZU273WGE&amp;reservation_id=9080486848676514", "4SZU273WGE")</f>
        <v>4SZU273WGE</v>
      </c>
      <c r="D8502" t="s">
        <v>45</v>
      </c>
      <c r="E8502" t="s">
        <v>381</v>
      </c>
      <c r="F8502" t="s">
        <v>47</v>
      </c>
      <c r="G8502" t="s">
        <v>48</v>
      </c>
      <c r="H8502" t="s">
        <v>49</v>
      </c>
      <c r="I8502" t="s">
        <v>62</v>
      </c>
      <c r="J8502" t="s">
        <v>9762</v>
      </c>
      <c r="K8502" t="s">
        <v>9763</v>
      </c>
      <c r="L8502" t="s">
        <v>53</v>
      </c>
      <c r="N8502" t="s">
        <v>16114</v>
      </c>
      <c r="P8502" t="s">
        <v>55</v>
      </c>
      <c r="R8502" t="s">
        <v>56</v>
      </c>
      <c r="T8502" t="s">
        <v>16115</v>
      </c>
      <c r="U8502" t="s">
        <v>55</v>
      </c>
      <c r="V8502">
        <v>1</v>
      </c>
      <c r="W8502">
        <v>1</v>
      </c>
      <c r="X8502">
        <v>1</v>
      </c>
      <c r="Y8502">
        <v>0</v>
      </c>
      <c r="Z8502">
        <v>1</v>
      </c>
      <c r="AA8502">
        <v>95.45</v>
      </c>
      <c r="AB8502">
        <v>98.19</v>
      </c>
      <c r="AC8502">
        <v>95.45</v>
      </c>
      <c r="AD8502">
        <v>2.5</v>
      </c>
      <c r="AE8502">
        <v>0.24</v>
      </c>
      <c r="AF8502">
        <v>0</v>
      </c>
      <c r="AG8502">
        <v>0</v>
      </c>
      <c r="AH8502">
        <v>0</v>
      </c>
      <c r="AI8502">
        <v>17.670000000000002</v>
      </c>
      <c r="AJ8502">
        <v>98.19</v>
      </c>
      <c r="AK8502">
        <v>0</v>
      </c>
      <c r="AL8502" t="s">
        <v>53</v>
      </c>
      <c r="AM8502" t="s">
        <v>53</v>
      </c>
      <c r="AN8502" t="s">
        <v>53</v>
      </c>
      <c r="AO8502" t="s">
        <v>53</v>
      </c>
      <c r="AP8502" t="s">
        <v>53</v>
      </c>
    </row>
    <row r="8503" spans="2:42" x14ac:dyDescent="0.2">
      <c r="B8503" t="s">
        <v>44</v>
      </c>
      <c r="C8503" t="str">
        <f>HYPERLINK("https://us2.cloudbeds.com/connect/8493803454333002#/reservations/226099579801792?display=4SP6PAXX9H&amp;reservation_id=226099579801792", "4SP6PAXX9H")</f>
        <v>4SP6PAXX9H</v>
      </c>
      <c r="D8503" t="s">
        <v>45</v>
      </c>
      <c r="E8503" t="s">
        <v>16116</v>
      </c>
      <c r="F8503" t="s">
        <v>1076</v>
      </c>
      <c r="G8503" t="s">
        <v>48</v>
      </c>
      <c r="H8503" t="s">
        <v>3957</v>
      </c>
      <c r="I8503" t="s">
        <v>3975</v>
      </c>
      <c r="J8503" t="s">
        <v>9762</v>
      </c>
      <c r="K8503" t="s">
        <v>9763</v>
      </c>
      <c r="L8503" t="s">
        <v>53</v>
      </c>
      <c r="P8503" t="s">
        <v>55</v>
      </c>
      <c r="R8503" t="s">
        <v>56</v>
      </c>
      <c r="T8503" t="s">
        <v>16117</v>
      </c>
      <c r="U8503" t="s">
        <v>58</v>
      </c>
      <c r="V8503">
        <v>2</v>
      </c>
      <c r="W8503">
        <v>2</v>
      </c>
      <c r="X8503">
        <v>2</v>
      </c>
      <c r="Y8503">
        <v>0</v>
      </c>
      <c r="Z8503">
        <v>2</v>
      </c>
      <c r="AA8503">
        <v>213.27</v>
      </c>
      <c r="AB8503">
        <v>213.27</v>
      </c>
      <c r="AC8503">
        <v>186</v>
      </c>
      <c r="AD8503">
        <v>0</v>
      </c>
      <c r="AE8503">
        <v>27.27</v>
      </c>
      <c r="AF8503">
        <v>0</v>
      </c>
      <c r="AG8503">
        <v>0</v>
      </c>
      <c r="AH8503">
        <v>0</v>
      </c>
      <c r="AI8503">
        <v>0</v>
      </c>
      <c r="AJ8503">
        <v>213.27</v>
      </c>
      <c r="AK8503">
        <v>0</v>
      </c>
      <c r="AL8503" t="s">
        <v>53</v>
      </c>
      <c r="AM8503" t="s">
        <v>53</v>
      </c>
      <c r="AN8503" t="s">
        <v>16118</v>
      </c>
      <c r="AO8503" t="s">
        <v>53</v>
      </c>
      <c r="AP8503" t="s">
        <v>53</v>
      </c>
    </row>
    <row r="8504" spans="2:42" x14ac:dyDescent="0.2">
      <c r="B8504" t="s">
        <v>44</v>
      </c>
      <c r="C8504" t="str">
        <f>HYPERLINK("https://us2.cloudbeds.com/connect/8493803454333002#/reservations/226110285271168?display=4SPF1SZCUP&amp;reservation_id=226110285271168", "4SPF1SZCUP")</f>
        <v>4SPF1SZCUP</v>
      </c>
      <c r="D8504" t="s">
        <v>45</v>
      </c>
      <c r="E8504" t="s">
        <v>487</v>
      </c>
      <c r="F8504" t="s">
        <v>61</v>
      </c>
      <c r="G8504" t="s">
        <v>4520</v>
      </c>
      <c r="H8504" t="s">
        <v>3957</v>
      </c>
      <c r="I8504" t="s">
        <v>3958</v>
      </c>
      <c r="J8504" t="s">
        <v>9762</v>
      </c>
      <c r="K8504" t="s">
        <v>9763</v>
      </c>
      <c r="L8504" t="s">
        <v>53</v>
      </c>
      <c r="P8504" t="s">
        <v>55</v>
      </c>
      <c r="R8504" t="s">
        <v>56</v>
      </c>
      <c r="T8504" t="s">
        <v>16119</v>
      </c>
      <c r="U8504" t="s">
        <v>58</v>
      </c>
      <c r="V8504">
        <v>1</v>
      </c>
      <c r="W8504">
        <v>1</v>
      </c>
      <c r="X8504">
        <v>1</v>
      </c>
      <c r="Y8504">
        <v>0</v>
      </c>
      <c r="Z8504">
        <v>1</v>
      </c>
      <c r="AA8504">
        <v>98.03</v>
      </c>
      <c r="AB8504">
        <v>98.03</v>
      </c>
      <c r="AC8504">
        <v>85.5</v>
      </c>
      <c r="AD8504">
        <v>0</v>
      </c>
      <c r="AE8504">
        <v>12.53</v>
      </c>
      <c r="AF8504">
        <v>0</v>
      </c>
      <c r="AG8504">
        <v>0</v>
      </c>
      <c r="AH8504">
        <v>0</v>
      </c>
      <c r="AI8504">
        <v>0</v>
      </c>
      <c r="AJ8504">
        <v>98.03</v>
      </c>
      <c r="AK8504">
        <v>0</v>
      </c>
      <c r="AL8504" t="s">
        <v>53</v>
      </c>
      <c r="AM8504" t="s">
        <v>53</v>
      </c>
      <c r="AN8504" t="s">
        <v>53</v>
      </c>
      <c r="AO8504" t="s">
        <v>53</v>
      </c>
      <c r="AP8504" t="s">
        <v>53</v>
      </c>
    </row>
    <row r="8505" spans="2:42" x14ac:dyDescent="0.2">
      <c r="B8505" t="s">
        <v>44</v>
      </c>
      <c r="C8505" t="str">
        <f>HYPERLINK("https://us2.cloudbeds.com/connect/8493803454333002#/reservations/226142277271744?display=4SQ6RB7D06&amp;reservation_id=226142277271744", "4SQ6RB7D06")</f>
        <v>4SQ6RB7D06</v>
      </c>
      <c r="D8505" t="s">
        <v>45</v>
      </c>
      <c r="E8505" t="s">
        <v>265</v>
      </c>
      <c r="F8505" t="s">
        <v>61</v>
      </c>
      <c r="G8505" t="s">
        <v>48</v>
      </c>
      <c r="H8505" t="s">
        <v>3957</v>
      </c>
      <c r="I8505" t="s">
        <v>3975</v>
      </c>
      <c r="J8505" t="s">
        <v>13612</v>
      </c>
      <c r="K8505" t="s">
        <v>13081</v>
      </c>
      <c r="L8505" t="s">
        <v>53</v>
      </c>
      <c r="P8505" t="s">
        <v>55</v>
      </c>
      <c r="R8505" t="s">
        <v>56</v>
      </c>
      <c r="T8505" t="s">
        <v>16120</v>
      </c>
      <c r="U8505" t="s">
        <v>58</v>
      </c>
      <c r="V8505">
        <v>7</v>
      </c>
      <c r="W8505">
        <v>1</v>
      </c>
      <c r="X8505">
        <v>2</v>
      </c>
      <c r="Y8505">
        <v>0</v>
      </c>
      <c r="Z8505">
        <v>2</v>
      </c>
      <c r="AA8505">
        <v>1066.31</v>
      </c>
      <c r="AB8505">
        <v>1071.79</v>
      </c>
      <c r="AC8505">
        <v>930</v>
      </c>
      <c r="AD8505">
        <v>5</v>
      </c>
      <c r="AE8505">
        <v>136.79</v>
      </c>
      <c r="AF8505">
        <v>0</v>
      </c>
      <c r="AG8505">
        <v>0</v>
      </c>
      <c r="AH8505">
        <v>0</v>
      </c>
      <c r="AI8505">
        <v>0</v>
      </c>
      <c r="AJ8505">
        <v>1071.79</v>
      </c>
      <c r="AK8505">
        <v>0</v>
      </c>
      <c r="AL8505" t="s">
        <v>53</v>
      </c>
      <c r="AM8505" t="s">
        <v>53</v>
      </c>
      <c r="AN8505" t="s">
        <v>53</v>
      </c>
      <c r="AO8505" t="s">
        <v>53</v>
      </c>
      <c r="AP8505" t="s">
        <v>53</v>
      </c>
    </row>
    <row r="8506" spans="2:42" x14ac:dyDescent="0.2">
      <c r="B8506" t="s">
        <v>44</v>
      </c>
      <c r="C8506" t="str">
        <f>HYPERLINK("https://us2.cloudbeds.com/connect/8493803454333002#/reservations/226154185937088?display=4SQG1KUQ27&amp;reservation_id=226154185937088", "4SQG1KUQ27")</f>
        <v>4SQG1KUQ27</v>
      </c>
      <c r="D8506" t="s">
        <v>45</v>
      </c>
      <c r="E8506" t="s">
        <v>406</v>
      </c>
      <c r="F8506" t="s">
        <v>61</v>
      </c>
      <c r="G8506" t="s">
        <v>48</v>
      </c>
      <c r="H8506" t="s">
        <v>3957</v>
      </c>
      <c r="I8506" t="s">
        <v>3958</v>
      </c>
      <c r="J8506" t="s">
        <v>9762</v>
      </c>
      <c r="K8506" t="s">
        <v>9763</v>
      </c>
      <c r="L8506" t="s">
        <v>53</v>
      </c>
      <c r="P8506" t="s">
        <v>55</v>
      </c>
      <c r="R8506" t="s">
        <v>56</v>
      </c>
      <c r="T8506" t="s">
        <v>16121</v>
      </c>
      <c r="U8506" t="s">
        <v>58</v>
      </c>
      <c r="V8506">
        <v>1</v>
      </c>
      <c r="W8506">
        <v>1</v>
      </c>
      <c r="X8506">
        <v>1</v>
      </c>
      <c r="Y8506">
        <v>0</v>
      </c>
      <c r="Z8506">
        <v>1</v>
      </c>
      <c r="AA8506">
        <v>108.93</v>
      </c>
      <c r="AB8506">
        <v>108.93</v>
      </c>
      <c r="AC8506">
        <v>95</v>
      </c>
      <c r="AD8506">
        <v>0</v>
      </c>
      <c r="AE8506">
        <v>13.93</v>
      </c>
      <c r="AF8506">
        <v>0</v>
      </c>
      <c r="AG8506">
        <v>0</v>
      </c>
      <c r="AH8506">
        <v>0</v>
      </c>
      <c r="AI8506">
        <v>0</v>
      </c>
      <c r="AJ8506">
        <v>108.93</v>
      </c>
      <c r="AK8506">
        <v>0</v>
      </c>
      <c r="AL8506" t="s">
        <v>53</v>
      </c>
      <c r="AM8506" t="s">
        <v>53</v>
      </c>
      <c r="AN8506" t="s">
        <v>53</v>
      </c>
      <c r="AO8506" t="s">
        <v>53</v>
      </c>
      <c r="AP8506" t="s">
        <v>53</v>
      </c>
    </row>
    <row r="8507" spans="2:42" x14ac:dyDescent="0.2">
      <c r="B8507" t="s">
        <v>44</v>
      </c>
      <c r="C8507" t="str">
        <f>HYPERLINK("https://us2.cloudbeds.com/connect/8493803454333002#/reservations/9080486848678851?display=4SQJYCKE4C&amp;reservation_id=9080486848678851", "4SQJYCKE4C")</f>
        <v>4SQJYCKE4C</v>
      </c>
      <c r="D8507" t="s">
        <v>45</v>
      </c>
      <c r="E8507" t="s">
        <v>121</v>
      </c>
      <c r="F8507" t="s">
        <v>86</v>
      </c>
      <c r="G8507" t="s">
        <v>48</v>
      </c>
      <c r="H8507" t="s">
        <v>49</v>
      </c>
      <c r="I8507" t="s">
        <v>8964</v>
      </c>
      <c r="J8507" t="s">
        <v>13612</v>
      </c>
      <c r="K8507" t="s">
        <v>10598</v>
      </c>
      <c r="L8507" t="s">
        <v>53</v>
      </c>
      <c r="N8507" t="s">
        <v>16122</v>
      </c>
      <c r="P8507" t="s">
        <v>55</v>
      </c>
      <c r="R8507" t="s">
        <v>53</v>
      </c>
      <c r="T8507" t="s">
        <v>16123</v>
      </c>
      <c r="U8507" t="s">
        <v>55</v>
      </c>
      <c r="V8507">
        <v>1</v>
      </c>
      <c r="W8507">
        <v>1</v>
      </c>
      <c r="X8507">
        <v>2</v>
      </c>
      <c r="Y8507">
        <v>0</v>
      </c>
      <c r="Z8507">
        <v>2</v>
      </c>
      <c r="AA8507">
        <v>0</v>
      </c>
      <c r="AB8507">
        <v>0</v>
      </c>
      <c r="AC8507">
        <v>217</v>
      </c>
      <c r="AD8507">
        <v>0</v>
      </c>
      <c r="AE8507">
        <v>0</v>
      </c>
      <c r="AF8507">
        <v>0</v>
      </c>
      <c r="AG8507">
        <v>0</v>
      </c>
      <c r="AH8507">
        <v>0</v>
      </c>
      <c r="AI8507">
        <v>32.549999999999997</v>
      </c>
      <c r="AJ8507">
        <v>217</v>
      </c>
      <c r="AK8507">
        <v>217</v>
      </c>
      <c r="AL8507" t="s">
        <v>53</v>
      </c>
      <c r="AM8507" t="s">
        <v>53</v>
      </c>
      <c r="AN8507" t="s">
        <v>53</v>
      </c>
      <c r="AO8507" t="s">
        <v>53</v>
      </c>
      <c r="AP8507" t="s">
        <v>53</v>
      </c>
    </row>
    <row r="8508" spans="2:42" x14ac:dyDescent="0.2">
      <c r="B8508" t="s">
        <v>44</v>
      </c>
      <c r="C8508" t="str">
        <f>HYPERLINK("https://us2.cloudbeds.com/connect/8493803454333002#/reservations/9080486848678884?display=4SQKKM9SV4&amp;reservation_id=9080486848678884", "4SQKKM9SV4")</f>
        <v>4SQKKM9SV4</v>
      </c>
      <c r="D8508" t="s">
        <v>45</v>
      </c>
      <c r="E8508" t="s">
        <v>165</v>
      </c>
      <c r="F8508" t="s">
        <v>61</v>
      </c>
      <c r="G8508" t="s">
        <v>48</v>
      </c>
      <c r="H8508" t="s">
        <v>49</v>
      </c>
      <c r="I8508" t="s">
        <v>62</v>
      </c>
      <c r="J8508" t="s">
        <v>9763</v>
      </c>
      <c r="K8508" t="s">
        <v>13612</v>
      </c>
      <c r="L8508" t="s">
        <v>53</v>
      </c>
      <c r="N8508" t="s">
        <v>16124</v>
      </c>
      <c r="P8508" t="s">
        <v>55</v>
      </c>
      <c r="R8508" t="s">
        <v>56</v>
      </c>
      <c r="T8508" t="s">
        <v>16125</v>
      </c>
      <c r="U8508" t="s">
        <v>55</v>
      </c>
      <c r="V8508">
        <v>1</v>
      </c>
      <c r="W8508">
        <v>1</v>
      </c>
      <c r="X8508">
        <v>2</v>
      </c>
      <c r="Y8508">
        <v>0</v>
      </c>
      <c r="Z8508">
        <v>2</v>
      </c>
      <c r="AA8508">
        <v>173.65</v>
      </c>
      <c r="AB8508">
        <v>173.65</v>
      </c>
      <c r="AC8508">
        <v>173.65</v>
      </c>
      <c r="AD8508">
        <v>0</v>
      </c>
      <c r="AE8508">
        <v>0</v>
      </c>
      <c r="AF8508">
        <v>0</v>
      </c>
      <c r="AG8508">
        <v>0</v>
      </c>
      <c r="AH8508">
        <v>0</v>
      </c>
      <c r="AI8508">
        <v>31.26</v>
      </c>
      <c r="AJ8508">
        <v>173.65</v>
      </c>
      <c r="AK8508">
        <v>0</v>
      </c>
      <c r="AL8508" t="s">
        <v>53</v>
      </c>
      <c r="AM8508" t="s">
        <v>53</v>
      </c>
      <c r="AN8508" t="s">
        <v>53</v>
      </c>
      <c r="AO8508" t="s">
        <v>53</v>
      </c>
      <c r="AP8508" t="s">
        <v>53</v>
      </c>
    </row>
    <row r="8509" spans="2:42" x14ac:dyDescent="0.2">
      <c r="B8509" t="s">
        <v>44</v>
      </c>
      <c r="C8509" t="str">
        <f>HYPERLINK("https://us2.cloudbeds.com/connect/8493803454333002#/reservations/226175308382400?display=4SQWDBUKY7&amp;reservation_id=226175308382400", "4SQWDBUKY7")</f>
        <v>4SQWDBUKY7</v>
      </c>
      <c r="D8509" t="s">
        <v>45</v>
      </c>
      <c r="E8509" t="s">
        <v>85</v>
      </c>
      <c r="F8509" t="s">
        <v>86</v>
      </c>
      <c r="G8509" t="s">
        <v>4520</v>
      </c>
      <c r="H8509" t="s">
        <v>3957</v>
      </c>
      <c r="I8509" t="s">
        <v>3958</v>
      </c>
      <c r="J8509" t="s">
        <v>9762</v>
      </c>
      <c r="K8509" t="s">
        <v>9763</v>
      </c>
      <c r="L8509" t="s">
        <v>53</v>
      </c>
      <c r="P8509" t="s">
        <v>55</v>
      </c>
      <c r="R8509" t="s">
        <v>56</v>
      </c>
      <c r="T8509" t="s">
        <v>16126</v>
      </c>
      <c r="U8509" t="s">
        <v>58</v>
      </c>
      <c r="V8509">
        <v>1</v>
      </c>
      <c r="W8509">
        <v>1</v>
      </c>
      <c r="X8509">
        <v>1</v>
      </c>
      <c r="Y8509">
        <v>0</v>
      </c>
      <c r="Z8509">
        <v>1</v>
      </c>
      <c r="AA8509">
        <v>113.51</v>
      </c>
      <c r="AB8509">
        <v>113.51</v>
      </c>
      <c r="AC8509">
        <v>99</v>
      </c>
      <c r="AD8509">
        <v>0</v>
      </c>
      <c r="AE8509">
        <v>14.51</v>
      </c>
      <c r="AF8509">
        <v>0</v>
      </c>
      <c r="AG8509">
        <v>0</v>
      </c>
      <c r="AH8509">
        <v>0</v>
      </c>
      <c r="AI8509">
        <v>0</v>
      </c>
      <c r="AJ8509">
        <v>113.51</v>
      </c>
      <c r="AK8509">
        <v>0</v>
      </c>
      <c r="AL8509" t="s">
        <v>53</v>
      </c>
      <c r="AM8509" t="s">
        <v>53</v>
      </c>
      <c r="AN8509" t="s">
        <v>53</v>
      </c>
      <c r="AO8509" t="s">
        <v>53</v>
      </c>
      <c r="AP8509" t="s">
        <v>53</v>
      </c>
    </row>
    <row r="8510" spans="2:42" x14ac:dyDescent="0.2">
      <c r="B8510" t="s">
        <v>44</v>
      </c>
      <c r="C8510" t="str">
        <f>HYPERLINK("https://us2.cloudbeds.com/connect/8493803454333002#/reservations/9080486848679666?display=4SR7CB46Y8&amp;reservation_id=9080486848679666", "4SR7CB46Y8")</f>
        <v>4SR7CB46Y8</v>
      </c>
      <c r="D8510" t="s">
        <v>45</v>
      </c>
      <c r="E8510" t="s">
        <v>305</v>
      </c>
      <c r="F8510" t="s">
        <v>61</v>
      </c>
      <c r="G8510" t="s">
        <v>48</v>
      </c>
      <c r="H8510" t="s">
        <v>49</v>
      </c>
      <c r="I8510" t="s">
        <v>50</v>
      </c>
      <c r="J8510" t="s">
        <v>9762</v>
      </c>
      <c r="K8510" t="s">
        <v>9763</v>
      </c>
      <c r="L8510" t="s">
        <v>53</v>
      </c>
      <c r="N8510" t="s">
        <v>16127</v>
      </c>
      <c r="P8510" t="s">
        <v>55</v>
      </c>
      <c r="R8510" t="s">
        <v>53</v>
      </c>
      <c r="T8510" t="s">
        <v>16128</v>
      </c>
      <c r="U8510" t="s">
        <v>55</v>
      </c>
      <c r="V8510">
        <v>1</v>
      </c>
      <c r="W8510">
        <v>1</v>
      </c>
      <c r="X8510">
        <v>2</v>
      </c>
      <c r="Y8510">
        <v>0</v>
      </c>
      <c r="Z8510">
        <v>2</v>
      </c>
      <c r="AA8510">
        <v>77.94</v>
      </c>
      <c r="AB8510">
        <v>77.94</v>
      </c>
      <c r="AC8510">
        <v>71.67</v>
      </c>
      <c r="AD8510">
        <v>0</v>
      </c>
      <c r="AE8510">
        <v>6.27</v>
      </c>
      <c r="AF8510">
        <v>0</v>
      </c>
      <c r="AG8510">
        <v>0</v>
      </c>
      <c r="AH8510">
        <v>0</v>
      </c>
      <c r="AI8510">
        <v>14.03</v>
      </c>
      <c r="AJ8510">
        <v>77.94</v>
      </c>
      <c r="AK8510">
        <v>0</v>
      </c>
      <c r="AL8510" t="s">
        <v>53</v>
      </c>
      <c r="AM8510" t="s">
        <v>53</v>
      </c>
      <c r="AN8510" t="s">
        <v>16129</v>
      </c>
      <c r="AO8510" t="s">
        <v>53</v>
      </c>
      <c r="AP8510" t="s">
        <v>53</v>
      </c>
    </row>
    <row r="8511" spans="2:42" x14ac:dyDescent="0.2">
      <c r="B8511" t="s">
        <v>44</v>
      </c>
      <c r="C8511" t="str">
        <f>HYPERLINK("https://us2.cloudbeds.com/connect/8493803454333002#/reservations/226392973770880?display=4SW2V751A8&amp;reservation_id=226392973770880", "4SW2V751A8")</f>
        <v>4SW2V751A8</v>
      </c>
      <c r="D8511" t="s">
        <v>45</v>
      </c>
      <c r="E8511" t="s">
        <v>113</v>
      </c>
      <c r="F8511" t="s">
        <v>61</v>
      </c>
      <c r="G8511" t="s">
        <v>48</v>
      </c>
      <c r="H8511" t="s">
        <v>3957</v>
      </c>
      <c r="I8511" t="s">
        <v>3958</v>
      </c>
      <c r="J8511" t="s">
        <v>12863</v>
      </c>
      <c r="K8511" t="s">
        <v>13085</v>
      </c>
      <c r="L8511" t="s">
        <v>53</v>
      </c>
      <c r="P8511" t="s">
        <v>55</v>
      </c>
      <c r="R8511" t="s">
        <v>56</v>
      </c>
      <c r="T8511" t="s">
        <v>16130</v>
      </c>
      <c r="U8511" t="s">
        <v>58</v>
      </c>
      <c r="V8511">
        <v>1</v>
      </c>
      <c r="W8511">
        <v>1</v>
      </c>
      <c r="X8511">
        <v>1</v>
      </c>
      <c r="Y8511">
        <v>0</v>
      </c>
      <c r="Z8511">
        <v>1</v>
      </c>
      <c r="AA8511">
        <v>229.3</v>
      </c>
      <c r="AB8511">
        <v>229.3</v>
      </c>
      <c r="AC8511">
        <v>200</v>
      </c>
      <c r="AD8511">
        <v>0</v>
      </c>
      <c r="AE8511">
        <v>29.3</v>
      </c>
      <c r="AF8511">
        <v>0</v>
      </c>
      <c r="AG8511">
        <v>0</v>
      </c>
      <c r="AH8511">
        <v>0</v>
      </c>
      <c r="AI8511">
        <v>0</v>
      </c>
      <c r="AJ8511">
        <v>229.3</v>
      </c>
      <c r="AK8511">
        <v>0</v>
      </c>
      <c r="AL8511" t="s">
        <v>53</v>
      </c>
      <c r="AM8511" t="s">
        <v>53</v>
      </c>
      <c r="AN8511" t="s">
        <v>16131</v>
      </c>
      <c r="AO8511" t="s">
        <v>53</v>
      </c>
      <c r="AP8511" t="s">
        <v>53</v>
      </c>
    </row>
    <row r="8512" spans="2:42" x14ac:dyDescent="0.2">
      <c r="B8512" t="s">
        <v>44</v>
      </c>
      <c r="C8512" t="str">
        <f>HYPERLINK("https://us2.cloudbeds.com/connect/8493803454333002#/reservations/9080486848689327?display=4T1ABAV1JC&amp;reservation_id=9080486848689327", "4T1ABAV1JC")</f>
        <v>4T1ABAV1JC</v>
      </c>
      <c r="D8512" t="s">
        <v>45</v>
      </c>
      <c r="E8512" t="s">
        <v>121</v>
      </c>
      <c r="F8512" t="s">
        <v>86</v>
      </c>
      <c r="G8512" t="s">
        <v>48</v>
      </c>
      <c r="H8512" t="s">
        <v>49</v>
      </c>
      <c r="I8512" t="s">
        <v>50</v>
      </c>
      <c r="J8512" t="s">
        <v>9763</v>
      </c>
      <c r="K8512" t="s">
        <v>13612</v>
      </c>
      <c r="L8512" t="s">
        <v>53</v>
      </c>
      <c r="N8512" t="s">
        <v>16132</v>
      </c>
      <c r="P8512" t="s">
        <v>55</v>
      </c>
      <c r="R8512" t="s">
        <v>53</v>
      </c>
      <c r="T8512" t="s">
        <v>16133</v>
      </c>
      <c r="U8512" t="s">
        <v>55</v>
      </c>
      <c r="V8512">
        <v>1</v>
      </c>
      <c r="W8512">
        <v>1</v>
      </c>
      <c r="X8512">
        <v>2</v>
      </c>
      <c r="Y8512">
        <v>0</v>
      </c>
      <c r="Z8512">
        <v>2</v>
      </c>
      <c r="AA8512">
        <v>157.78</v>
      </c>
      <c r="AB8512">
        <v>157.78</v>
      </c>
      <c r="AC8512">
        <v>145.08000000000001</v>
      </c>
      <c r="AD8512">
        <v>0</v>
      </c>
      <c r="AE8512">
        <v>12.7</v>
      </c>
      <c r="AF8512">
        <v>0</v>
      </c>
      <c r="AG8512">
        <v>0</v>
      </c>
      <c r="AH8512">
        <v>0</v>
      </c>
      <c r="AI8512">
        <v>28.4</v>
      </c>
      <c r="AJ8512">
        <v>157.78</v>
      </c>
      <c r="AK8512">
        <v>0</v>
      </c>
      <c r="AL8512" t="s">
        <v>53</v>
      </c>
      <c r="AM8512" t="s">
        <v>53</v>
      </c>
      <c r="AN8512" t="s">
        <v>53</v>
      </c>
      <c r="AO8512" t="s">
        <v>53</v>
      </c>
      <c r="AP8512" t="s">
        <v>53</v>
      </c>
    </row>
    <row r="8513" spans="2:42" x14ac:dyDescent="0.2">
      <c r="B8513" t="s">
        <v>44</v>
      </c>
      <c r="C8513" t="str">
        <f>HYPERLINK("https://us2.cloudbeds.com/connect/8493803454333002#/reservations/9080486848690655?display=4T2E2GZMYQ&amp;reservation_id=9080486848690655", "4T2E2GZMYQ")</f>
        <v>4T2E2GZMYQ</v>
      </c>
      <c r="D8513" t="s">
        <v>45</v>
      </c>
      <c r="E8513" t="s">
        <v>14402</v>
      </c>
      <c r="F8513" t="s">
        <v>14403</v>
      </c>
      <c r="G8513" t="s">
        <v>48</v>
      </c>
      <c r="H8513" t="s">
        <v>49</v>
      </c>
      <c r="I8513" t="s">
        <v>50</v>
      </c>
      <c r="J8513" t="s">
        <v>9763</v>
      </c>
      <c r="K8513" t="s">
        <v>13612</v>
      </c>
      <c r="L8513" t="s">
        <v>53</v>
      </c>
      <c r="N8513" t="s">
        <v>16134</v>
      </c>
      <c r="P8513" t="s">
        <v>55</v>
      </c>
      <c r="R8513" t="s">
        <v>53</v>
      </c>
      <c r="T8513" t="s">
        <v>16135</v>
      </c>
      <c r="U8513" t="s">
        <v>55</v>
      </c>
      <c r="V8513">
        <v>1</v>
      </c>
      <c r="W8513">
        <v>1</v>
      </c>
      <c r="X8513">
        <v>1</v>
      </c>
      <c r="Y8513">
        <v>0</v>
      </c>
      <c r="Z8513">
        <v>1</v>
      </c>
      <c r="AA8513">
        <v>125.52</v>
      </c>
      <c r="AB8513">
        <v>125.52</v>
      </c>
      <c r="AC8513">
        <v>115.42</v>
      </c>
      <c r="AD8513">
        <v>0</v>
      </c>
      <c r="AE8513">
        <v>10.1</v>
      </c>
      <c r="AF8513">
        <v>0</v>
      </c>
      <c r="AG8513">
        <v>0</v>
      </c>
      <c r="AH8513">
        <v>0</v>
      </c>
      <c r="AI8513">
        <v>22.59</v>
      </c>
      <c r="AJ8513">
        <v>125.52</v>
      </c>
      <c r="AK8513">
        <v>0</v>
      </c>
      <c r="AL8513" t="s">
        <v>53</v>
      </c>
      <c r="AM8513" t="s">
        <v>53</v>
      </c>
      <c r="AN8513" t="s">
        <v>53</v>
      </c>
      <c r="AO8513" t="s">
        <v>53</v>
      </c>
      <c r="AP8513" t="s">
        <v>53</v>
      </c>
    </row>
    <row r="8514" spans="2:42" x14ac:dyDescent="0.2">
      <c r="B8514" t="s">
        <v>44</v>
      </c>
      <c r="C8514" t="str">
        <f>HYPERLINK("https://us2.cloudbeds.com/connect/8493803454333002#/reservations/9080486848690657?display=4T2E5K9XAH&amp;reservation_id=9080486848690657", "4T2E5K9XAH")</f>
        <v>4T2E5K9XAH</v>
      </c>
      <c r="D8514" t="s">
        <v>45</v>
      </c>
      <c r="E8514" t="s">
        <v>381</v>
      </c>
      <c r="F8514" t="s">
        <v>47</v>
      </c>
      <c r="G8514" t="s">
        <v>48</v>
      </c>
      <c r="H8514" t="s">
        <v>49</v>
      </c>
      <c r="I8514" t="s">
        <v>50</v>
      </c>
      <c r="J8514" t="s">
        <v>9763</v>
      </c>
      <c r="K8514" t="s">
        <v>13612</v>
      </c>
      <c r="L8514" t="s">
        <v>53</v>
      </c>
      <c r="N8514" t="s">
        <v>16136</v>
      </c>
      <c r="P8514" t="s">
        <v>55</v>
      </c>
      <c r="R8514" t="s">
        <v>53</v>
      </c>
      <c r="T8514" t="s">
        <v>16137</v>
      </c>
      <c r="U8514" t="s">
        <v>55</v>
      </c>
      <c r="V8514">
        <v>1</v>
      </c>
      <c r="W8514">
        <v>1</v>
      </c>
      <c r="X8514">
        <v>1</v>
      </c>
      <c r="Y8514">
        <v>0</v>
      </c>
      <c r="Z8514">
        <v>1</v>
      </c>
      <c r="AA8514">
        <v>130.75</v>
      </c>
      <c r="AB8514">
        <v>130.75</v>
      </c>
      <c r="AC8514">
        <v>120.23</v>
      </c>
      <c r="AD8514">
        <v>0</v>
      </c>
      <c r="AE8514">
        <v>10.52</v>
      </c>
      <c r="AF8514">
        <v>0</v>
      </c>
      <c r="AG8514">
        <v>0</v>
      </c>
      <c r="AH8514">
        <v>0</v>
      </c>
      <c r="AI8514">
        <v>23.54</v>
      </c>
      <c r="AJ8514">
        <v>130.75</v>
      </c>
      <c r="AK8514">
        <v>0</v>
      </c>
      <c r="AL8514" t="s">
        <v>53</v>
      </c>
      <c r="AM8514" t="s">
        <v>53</v>
      </c>
      <c r="AN8514" t="s">
        <v>53</v>
      </c>
      <c r="AO8514" t="s">
        <v>53</v>
      </c>
      <c r="AP8514" t="s">
        <v>53</v>
      </c>
    </row>
    <row r="8515" spans="2:42" x14ac:dyDescent="0.2">
      <c r="B8515" t="s">
        <v>44</v>
      </c>
      <c r="C8515" t="str">
        <f>HYPERLINK("https://us2.cloudbeds.com/connect/8493803454333002#/reservations/9080486848690668?display=4T2EX2BTMT&amp;reservation_id=9080486848690668", "4T2EX2BTMT")</f>
        <v>4T2EX2BTMT</v>
      </c>
      <c r="D8515" t="s">
        <v>45</v>
      </c>
      <c r="E8515" t="s">
        <v>69</v>
      </c>
      <c r="F8515" t="s">
        <v>70</v>
      </c>
      <c r="G8515" t="s">
        <v>48</v>
      </c>
      <c r="H8515" t="s">
        <v>49</v>
      </c>
      <c r="I8515" t="s">
        <v>50</v>
      </c>
      <c r="J8515" t="s">
        <v>9763</v>
      </c>
      <c r="K8515" t="s">
        <v>13612</v>
      </c>
      <c r="L8515" t="s">
        <v>53</v>
      </c>
      <c r="N8515" t="s">
        <v>16138</v>
      </c>
      <c r="P8515" t="s">
        <v>55</v>
      </c>
      <c r="R8515" t="s">
        <v>53</v>
      </c>
      <c r="T8515" t="s">
        <v>16139</v>
      </c>
      <c r="U8515" t="s">
        <v>55</v>
      </c>
      <c r="V8515">
        <v>1</v>
      </c>
      <c r="W8515">
        <v>1</v>
      </c>
      <c r="X8515">
        <v>1</v>
      </c>
      <c r="Y8515">
        <v>0</v>
      </c>
      <c r="Z8515">
        <v>1</v>
      </c>
      <c r="AA8515">
        <v>133.37</v>
      </c>
      <c r="AB8515">
        <v>133.37</v>
      </c>
      <c r="AC8515">
        <v>122.64</v>
      </c>
      <c r="AD8515">
        <v>0</v>
      </c>
      <c r="AE8515">
        <v>10.73</v>
      </c>
      <c r="AF8515">
        <v>0</v>
      </c>
      <c r="AG8515">
        <v>0</v>
      </c>
      <c r="AH8515">
        <v>0</v>
      </c>
      <c r="AI8515">
        <v>24.01</v>
      </c>
      <c r="AJ8515">
        <v>133.37</v>
      </c>
      <c r="AK8515">
        <v>0</v>
      </c>
      <c r="AL8515" t="s">
        <v>53</v>
      </c>
      <c r="AM8515" t="s">
        <v>53</v>
      </c>
      <c r="AN8515" t="s">
        <v>53</v>
      </c>
      <c r="AO8515" t="s">
        <v>53</v>
      </c>
      <c r="AP8515" t="s">
        <v>53</v>
      </c>
    </row>
    <row r="8516" spans="2:42" x14ac:dyDescent="0.2">
      <c r="B8516" t="s">
        <v>44</v>
      </c>
      <c r="C8516" t="str">
        <f>HYPERLINK("https://us2.cloudbeds.com/connect/8493803454333002#/reservations/226554444075200?display=4T2SW56967&amp;reservation_id=226554444075200", "4T2SW56967")</f>
        <v>4T2SW56967</v>
      </c>
      <c r="D8516" t="s">
        <v>45</v>
      </c>
      <c r="E8516" t="s">
        <v>78</v>
      </c>
      <c r="F8516" t="s">
        <v>61</v>
      </c>
      <c r="G8516" t="s">
        <v>48</v>
      </c>
      <c r="H8516" t="s">
        <v>3957</v>
      </c>
      <c r="I8516" t="s">
        <v>3958</v>
      </c>
      <c r="J8516" t="s">
        <v>13612</v>
      </c>
      <c r="K8516" t="s">
        <v>10598</v>
      </c>
      <c r="L8516" t="s">
        <v>53</v>
      </c>
      <c r="P8516" t="s">
        <v>55</v>
      </c>
      <c r="R8516" t="s">
        <v>56</v>
      </c>
      <c r="T8516" t="s">
        <v>16140</v>
      </c>
      <c r="U8516" t="s">
        <v>58</v>
      </c>
      <c r="V8516">
        <v>1</v>
      </c>
      <c r="W8516">
        <v>1</v>
      </c>
      <c r="X8516">
        <v>1</v>
      </c>
      <c r="Y8516">
        <v>0</v>
      </c>
      <c r="Z8516">
        <v>1</v>
      </c>
      <c r="AA8516">
        <v>182.3</v>
      </c>
      <c r="AB8516">
        <v>182.3</v>
      </c>
      <c r="AC8516">
        <v>159</v>
      </c>
      <c r="AD8516">
        <v>0</v>
      </c>
      <c r="AE8516">
        <v>23.3</v>
      </c>
      <c r="AF8516">
        <v>0</v>
      </c>
      <c r="AG8516">
        <v>0</v>
      </c>
      <c r="AH8516">
        <v>0</v>
      </c>
      <c r="AI8516">
        <v>0</v>
      </c>
      <c r="AJ8516">
        <v>182.3</v>
      </c>
      <c r="AK8516">
        <v>0</v>
      </c>
      <c r="AL8516" t="s">
        <v>53</v>
      </c>
      <c r="AM8516" t="s">
        <v>53</v>
      </c>
      <c r="AN8516" t="s">
        <v>16141</v>
      </c>
      <c r="AO8516" t="s">
        <v>53</v>
      </c>
      <c r="AP8516" t="s">
        <v>53</v>
      </c>
    </row>
    <row r="8517" spans="2:42" x14ac:dyDescent="0.2">
      <c r="B8517" t="s">
        <v>44</v>
      </c>
      <c r="C8517" t="str">
        <f>HYPERLINK("https://us2.cloudbeds.com/connect/8493803454333002#/reservations/9080486848694074?display=4T5S3C9N3E&amp;reservation_id=9080486848694074", "4T5S3C9N3E")</f>
        <v>4T5S3C9N3E</v>
      </c>
      <c r="D8517" t="s">
        <v>45</v>
      </c>
      <c r="E8517" t="s">
        <v>105</v>
      </c>
      <c r="F8517" t="s">
        <v>47</v>
      </c>
      <c r="G8517" t="s">
        <v>48</v>
      </c>
      <c r="H8517" t="s">
        <v>49</v>
      </c>
      <c r="I8517" t="s">
        <v>50</v>
      </c>
      <c r="J8517" t="s">
        <v>15548</v>
      </c>
      <c r="K8517" t="s">
        <v>14391</v>
      </c>
      <c r="L8517" t="s">
        <v>53</v>
      </c>
      <c r="N8517" t="s">
        <v>16142</v>
      </c>
      <c r="P8517" t="s">
        <v>55</v>
      </c>
      <c r="R8517" t="s">
        <v>53</v>
      </c>
      <c r="T8517" t="s">
        <v>16143</v>
      </c>
      <c r="U8517" t="s">
        <v>55</v>
      </c>
      <c r="V8517">
        <v>3</v>
      </c>
      <c r="W8517">
        <v>1</v>
      </c>
      <c r="X8517">
        <v>1</v>
      </c>
      <c r="Y8517">
        <v>0</v>
      </c>
      <c r="Z8517">
        <v>1</v>
      </c>
      <c r="AA8517">
        <v>580.54</v>
      </c>
      <c r="AB8517">
        <v>580.54</v>
      </c>
      <c r="AC8517">
        <v>533.83000000000004</v>
      </c>
      <c r="AD8517">
        <v>0</v>
      </c>
      <c r="AE8517">
        <v>46.71</v>
      </c>
      <c r="AF8517">
        <v>0</v>
      </c>
      <c r="AG8517">
        <v>0</v>
      </c>
      <c r="AH8517">
        <v>0</v>
      </c>
      <c r="AI8517">
        <v>104.5</v>
      </c>
      <c r="AJ8517">
        <v>580.54</v>
      </c>
      <c r="AK8517">
        <v>0</v>
      </c>
      <c r="AL8517" t="s">
        <v>53</v>
      </c>
      <c r="AM8517" t="s">
        <v>53</v>
      </c>
      <c r="AN8517" t="s">
        <v>16144</v>
      </c>
      <c r="AO8517" t="s">
        <v>53</v>
      </c>
      <c r="AP8517" t="s">
        <v>53</v>
      </c>
    </row>
    <row r="8518" spans="2:42" x14ac:dyDescent="0.2">
      <c r="B8518" t="s">
        <v>44</v>
      </c>
      <c r="C8518" t="str">
        <f>HYPERLINK("https://us2.cloudbeds.com/connect/8493803454333002#/reservations/9080486848697036?display=4T7V3QNM0F&amp;reservation_id=9080486848697036", "4T7V3QNM0F")</f>
        <v>4T7V3QNM0F</v>
      </c>
      <c r="D8518" t="s">
        <v>45</v>
      </c>
      <c r="E8518" t="s">
        <v>85</v>
      </c>
      <c r="F8518" t="s">
        <v>86</v>
      </c>
      <c r="G8518" t="s">
        <v>48</v>
      </c>
      <c r="H8518" t="s">
        <v>49</v>
      </c>
      <c r="I8518" t="s">
        <v>50</v>
      </c>
      <c r="J8518" t="s">
        <v>14205</v>
      </c>
      <c r="K8518" t="s">
        <v>14206</v>
      </c>
      <c r="L8518" t="s">
        <v>53</v>
      </c>
      <c r="N8518" t="s">
        <v>16145</v>
      </c>
      <c r="P8518" t="s">
        <v>55</v>
      </c>
      <c r="R8518" t="s">
        <v>53</v>
      </c>
      <c r="T8518" t="s">
        <v>16146</v>
      </c>
      <c r="U8518" t="s">
        <v>55</v>
      </c>
      <c r="V8518">
        <v>1</v>
      </c>
      <c r="W8518">
        <v>1</v>
      </c>
      <c r="X8518">
        <v>2</v>
      </c>
      <c r="Y8518">
        <v>0</v>
      </c>
      <c r="Z8518">
        <v>2</v>
      </c>
      <c r="AA8518">
        <v>75.48</v>
      </c>
      <c r="AB8518">
        <v>75.48</v>
      </c>
      <c r="AC8518">
        <v>69.41</v>
      </c>
      <c r="AD8518">
        <v>0</v>
      </c>
      <c r="AE8518">
        <v>6.07</v>
      </c>
      <c r="AF8518">
        <v>0</v>
      </c>
      <c r="AG8518">
        <v>0</v>
      </c>
      <c r="AH8518">
        <v>0</v>
      </c>
      <c r="AI8518">
        <v>13.59</v>
      </c>
      <c r="AJ8518">
        <v>75.48</v>
      </c>
      <c r="AK8518">
        <v>0</v>
      </c>
      <c r="AL8518" t="s">
        <v>53</v>
      </c>
      <c r="AM8518" t="s">
        <v>53</v>
      </c>
      <c r="AN8518" t="s">
        <v>16147</v>
      </c>
      <c r="AO8518" t="s">
        <v>53</v>
      </c>
      <c r="AP8518" t="s">
        <v>53</v>
      </c>
    </row>
    <row r="8519" spans="2:42" x14ac:dyDescent="0.2">
      <c r="B8519" t="s">
        <v>44</v>
      </c>
      <c r="C8519" t="str">
        <f>HYPERLINK("https://us2.cloudbeds.com/connect/8493803454333002#/reservations/9080486848697994?display=4T8J1HBV26&amp;reservation_id=9080486848697994", "4T8J1HBV26")</f>
        <v>4T8J1HBV26</v>
      </c>
      <c r="D8519" t="s">
        <v>45</v>
      </c>
      <c r="E8519" t="s">
        <v>105</v>
      </c>
      <c r="F8519" t="s">
        <v>47</v>
      </c>
      <c r="G8519" t="s">
        <v>48</v>
      </c>
      <c r="H8519" t="s">
        <v>49</v>
      </c>
      <c r="I8519" t="s">
        <v>62</v>
      </c>
      <c r="J8519" t="s">
        <v>13612</v>
      </c>
      <c r="K8519" t="s">
        <v>10598</v>
      </c>
      <c r="L8519" t="s">
        <v>53</v>
      </c>
      <c r="N8519" t="s">
        <v>16148</v>
      </c>
      <c r="P8519" t="s">
        <v>55</v>
      </c>
      <c r="R8519" t="s">
        <v>56</v>
      </c>
      <c r="T8519" t="s">
        <v>16149</v>
      </c>
      <c r="U8519" t="s">
        <v>55</v>
      </c>
      <c r="V8519">
        <v>1</v>
      </c>
      <c r="W8519">
        <v>1</v>
      </c>
      <c r="X8519">
        <v>2</v>
      </c>
      <c r="Y8519">
        <v>0</v>
      </c>
      <c r="Z8519">
        <v>2</v>
      </c>
      <c r="AA8519">
        <v>174.8</v>
      </c>
      <c r="AB8519">
        <v>174.8</v>
      </c>
      <c r="AC8519">
        <v>174.8</v>
      </c>
      <c r="AD8519">
        <v>0</v>
      </c>
      <c r="AE8519">
        <v>0</v>
      </c>
      <c r="AF8519">
        <v>0</v>
      </c>
      <c r="AG8519">
        <v>0</v>
      </c>
      <c r="AH8519">
        <v>0</v>
      </c>
      <c r="AI8519">
        <v>31.46</v>
      </c>
      <c r="AJ8519">
        <v>174.8</v>
      </c>
      <c r="AK8519">
        <v>0</v>
      </c>
      <c r="AL8519" t="s">
        <v>53</v>
      </c>
      <c r="AM8519" t="s">
        <v>53</v>
      </c>
      <c r="AN8519" t="s">
        <v>53</v>
      </c>
      <c r="AO8519" t="s">
        <v>53</v>
      </c>
      <c r="AP8519" t="s">
        <v>53</v>
      </c>
    </row>
    <row r="8520" spans="2:42" x14ac:dyDescent="0.2">
      <c r="B8520" t="s">
        <v>44</v>
      </c>
      <c r="C8520" t="str">
        <f>HYPERLINK("https://us2.cloudbeds.com/connect/8493803454333002#/reservations/226798379557056?display=4T8JS912J9&amp;reservation_id=226798379557056", "4T8JS912J9")</f>
        <v>4T8JS912J9</v>
      </c>
      <c r="D8520" t="s">
        <v>45</v>
      </c>
      <c r="E8520" t="s">
        <v>14402</v>
      </c>
      <c r="F8520" t="s">
        <v>14403</v>
      </c>
      <c r="G8520" t="s">
        <v>3974</v>
      </c>
      <c r="H8520" t="s">
        <v>3957</v>
      </c>
      <c r="I8520" t="s">
        <v>3975</v>
      </c>
      <c r="J8520" t="s">
        <v>14349</v>
      </c>
      <c r="K8520" t="s">
        <v>15838</v>
      </c>
      <c r="L8520" t="s">
        <v>53</v>
      </c>
      <c r="P8520" t="s">
        <v>55</v>
      </c>
      <c r="R8520" t="s">
        <v>56</v>
      </c>
      <c r="T8520" t="s">
        <v>16150</v>
      </c>
      <c r="U8520" t="s">
        <v>58</v>
      </c>
      <c r="V8520">
        <v>1</v>
      </c>
      <c r="W8520">
        <v>1</v>
      </c>
      <c r="X8520">
        <v>2</v>
      </c>
      <c r="Y8520">
        <v>0</v>
      </c>
      <c r="Z8520">
        <v>2</v>
      </c>
      <c r="AA8520">
        <v>175.36</v>
      </c>
      <c r="AB8520">
        <v>175.36</v>
      </c>
      <c r="AC8520">
        <v>152.94999999999999</v>
      </c>
      <c r="AD8520">
        <v>0</v>
      </c>
      <c r="AE8520">
        <v>22.41</v>
      </c>
      <c r="AF8520">
        <v>0</v>
      </c>
      <c r="AG8520">
        <v>0</v>
      </c>
      <c r="AH8520">
        <v>0</v>
      </c>
      <c r="AI8520">
        <v>0</v>
      </c>
      <c r="AJ8520">
        <v>175.36</v>
      </c>
      <c r="AK8520">
        <v>0</v>
      </c>
      <c r="AL8520" t="s">
        <v>53</v>
      </c>
      <c r="AM8520" t="s">
        <v>53</v>
      </c>
      <c r="AN8520" t="s">
        <v>16151</v>
      </c>
      <c r="AO8520" t="s">
        <v>53</v>
      </c>
      <c r="AP8520" t="s">
        <v>53</v>
      </c>
    </row>
    <row r="8521" spans="2:42" x14ac:dyDescent="0.2">
      <c r="B8521" t="s">
        <v>44</v>
      </c>
      <c r="C8521" t="str">
        <f>HYPERLINK("https://us2.cloudbeds.com/connect/8493803454333002#/reservations/9080486848700338?display=4TADMSRARM&amp;reservation_id=9080486848700338", "4TADMSRARM")</f>
        <v>4TADMSRARM</v>
      </c>
      <c r="D8521" t="s">
        <v>45</v>
      </c>
      <c r="E8521" t="s">
        <v>165</v>
      </c>
      <c r="F8521" t="s">
        <v>61</v>
      </c>
      <c r="G8521" t="s">
        <v>15636</v>
      </c>
      <c r="H8521" t="s">
        <v>49</v>
      </c>
      <c r="I8521" t="s">
        <v>8964</v>
      </c>
      <c r="J8521" t="s">
        <v>13612</v>
      </c>
      <c r="K8521" t="s">
        <v>13637</v>
      </c>
      <c r="L8521" t="s">
        <v>53</v>
      </c>
      <c r="N8521" t="s">
        <v>16152</v>
      </c>
      <c r="P8521" t="s">
        <v>55</v>
      </c>
      <c r="R8521" t="s">
        <v>53</v>
      </c>
      <c r="T8521" t="s">
        <v>16153</v>
      </c>
      <c r="U8521" t="s">
        <v>55</v>
      </c>
      <c r="V8521">
        <v>2</v>
      </c>
      <c r="W8521">
        <v>2</v>
      </c>
      <c r="X8521">
        <v>2</v>
      </c>
      <c r="Y8521">
        <v>0</v>
      </c>
      <c r="Z8521">
        <v>2</v>
      </c>
      <c r="AA8521">
        <v>187</v>
      </c>
      <c r="AB8521">
        <v>0</v>
      </c>
      <c r="AC8521">
        <v>316.60000000000002</v>
      </c>
      <c r="AD8521">
        <v>0</v>
      </c>
      <c r="AE8521">
        <v>0</v>
      </c>
      <c r="AF8521">
        <v>0</v>
      </c>
      <c r="AG8521">
        <v>0</v>
      </c>
      <c r="AH8521">
        <v>0</v>
      </c>
      <c r="AI8521">
        <v>47.49</v>
      </c>
      <c r="AJ8521">
        <v>316.60000000000002</v>
      </c>
      <c r="AK8521">
        <v>316.60000000000002</v>
      </c>
      <c r="AL8521" t="s">
        <v>53</v>
      </c>
      <c r="AM8521" t="s">
        <v>53</v>
      </c>
      <c r="AN8521" t="s">
        <v>53</v>
      </c>
      <c r="AO8521" t="s">
        <v>53</v>
      </c>
      <c r="AP8521" t="s">
        <v>53</v>
      </c>
    </row>
    <row r="8522" spans="2:42" x14ac:dyDescent="0.2">
      <c r="B8522" t="s">
        <v>44</v>
      </c>
      <c r="C8522" t="str">
        <f>HYPERLINK("https://us2.cloudbeds.com/connect/8493803454333002#/reservations/9080486848700902?display=4TAW7DNEY7&amp;reservation_id=9080486848700902", "4TAW7DNEY7")</f>
        <v>4TAW7DNEY7</v>
      </c>
      <c r="D8522" t="s">
        <v>45</v>
      </c>
      <c r="E8522" t="s">
        <v>85</v>
      </c>
      <c r="F8522" t="s">
        <v>86</v>
      </c>
      <c r="G8522" t="s">
        <v>48</v>
      </c>
      <c r="H8522" t="s">
        <v>49</v>
      </c>
      <c r="I8522" t="s">
        <v>50</v>
      </c>
      <c r="J8522" t="s">
        <v>15594</v>
      </c>
      <c r="K8522" t="s">
        <v>14655</v>
      </c>
      <c r="L8522" t="s">
        <v>53</v>
      </c>
      <c r="N8522" t="s">
        <v>16154</v>
      </c>
      <c r="P8522" t="s">
        <v>55</v>
      </c>
      <c r="R8522" t="s">
        <v>53</v>
      </c>
      <c r="T8522" t="s">
        <v>16155</v>
      </c>
      <c r="U8522" t="s">
        <v>58</v>
      </c>
      <c r="V8522">
        <v>1</v>
      </c>
      <c r="W8522">
        <v>1</v>
      </c>
      <c r="X8522">
        <v>3</v>
      </c>
      <c r="Y8522">
        <v>0</v>
      </c>
      <c r="Z8522">
        <v>3</v>
      </c>
      <c r="AA8522">
        <v>167.92</v>
      </c>
      <c r="AB8522">
        <v>167.92</v>
      </c>
      <c r="AC8522">
        <v>146.46</v>
      </c>
      <c r="AD8522">
        <v>0</v>
      </c>
      <c r="AE8522">
        <v>21.46</v>
      </c>
      <c r="AF8522">
        <v>0</v>
      </c>
      <c r="AG8522">
        <v>0</v>
      </c>
      <c r="AH8522">
        <v>0</v>
      </c>
      <c r="AI8522">
        <v>30.23</v>
      </c>
      <c r="AJ8522">
        <v>167.92</v>
      </c>
      <c r="AK8522">
        <v>0</v>
      </c>
      <c r="AL8522" t="s">
        <v>53</v>
      </c>
      <c r="AM8522" t="s">
        <v>53</v>
      </c>
      <c r="AN8522" t="s">
        <v>53</v>
      </c>
      <c r="AO8522" t="s">
        <v>53</v>
      </c>
      <c r="AP8522" t="s">
        <v>53</v>
      </c>
    </row>
    <row r="8523" spans="2:42" x14ac:dyDescent="0.2">
      <c r="B8523" t="s">
        <v>44</v>
      </c>
      <c r="C8523" t="str">
        <f>HYPERLINK("https://us2.cloudbeds.com/connect/8493803454333002#/reservations/9080486848701895?display=4TBUZWFFGG&amp;reservation_id=9080486848701895", "4TBUZWFFGG")</f>
        <v>4TBUZWFFGG</v>
      </c>
      <c r="D8523" t="s">
        <v>45</v>
      </c>
      <c r="E8523" t="s">
        <v>113</v>
      </c>
      <c r="F8523" t="s">
        <v>61</v>
      </c>
      <c r="G8523" t="s">
        <v>48</v>
      </c>
      <c r="H8523" t="s">
        <v>49</v>
      </c>
      <c r="I8523" t="s">
        <v>50</v>
      </c>
      <c r="J8523" t="s">
        <v>13637</v>
      </c>
      <c r="K8523" t="s">
        <v>13849</v>
      </c>
      <c r="L8523" t="s">
        <v>53</v>
      </c>
      <c r="N8523" t="s">
        <v>16156</v>
      </c>
      <c r="P8523" t="s">
        <v>55</v>
      </c>
      <c r="R8523" t="s">
        <v>53</v>
      </c>
      <c r="T8523" t="s">
        <v>16157</v>
      </c>
      <c r="U8523" t="s">
        <v>55</v>
      </c>
      <c r="V8523">
        <v>2</v>
      </c>
      <c r="W8523">
        <v>1</v>
      </c>
      <c r="X8523">
        <v>2</v>
      </c>
      <c r="Y8523">
        <v>0</v>
      </c>
      <c r="Z8523">
        <v>2</v>
      </c>
      <c r="AA8523">
        <v>145.71</v>
      </c>
      <c r="AB8523">
        <v>145.71</v>
      </c>
      <c r="AC8523">
        <v>133.99</v>
      </c>
      <c r="AD8523">
        <v>0</v>
      </c>
      <c r="AE8523">
        <v>11.72</v>
      </c>
      <c r="AF8523">
        <v>0</v>
      </c>
      <c r="AG8523">
        <v>0</v>
      </c>
      <c r="AH8523">
        <v>0</v>
      </c>
      <c r="AI8523">
        <v>26.23</v>
      </c>
      <c r="AJ8523">
        <v>145.71</v>
      </c>
      <c r="AK8523">
        <v>0</v>
      </c>
      <c r="AL8523" t="s">
        <v>53</v>
      </c>
      <c r="AM8523" t="s">
        <v>53</v>
      </c>
      <c r="AN8523" t="s">
        <v>53</v>
      </c>
      <c r="AO8523" t="s">
        <v>53</v>
      </c>
      <c r="AP8523" t="s">
        <v>53</v>
      </c>
    </row>
    <row r="8524" spans="2:42" x14ac:dyDescent="0.2">
      <c r="B8524" t="s">
        <v>44</v>
      </c>
      <c r="C8524" t="str">
        <f>HYPERLINK("https://us2.cloudbeds.com/connect/8493803454333002#/reservations/9080486848706068?display=4TFJTQXTG8&amp;reservation_id=9080486848706068", "4TFJTQXTG8")</f>
        <v>4TFJTQXTG8</v>
      </c>
      <c r="D8524" t="s">
        <v>45</v>
      </c>
      <c r="E8524" t="s">
        <v>69</v>
      </c>
      <c r="F8524" t="s">
        <v>70</v>
      </c>
      <c r="G8524" t="s">
        <v>48</v>
      </c>
      <c r="H8524" t="s">
        <v>49</v>
      </c>
      <c r="I8524" t="s">
        <v>50</v>
      </c>
      <c r="J8524" t="s">
        <v>15391</v>
      </c>
      <c r="K8524" t="s">
        <v>13977</v>
      </c>
      <c r="L8524" t="s">
        <v>53</v>
      </c>
      <c r="N8524" t="s">
        <v>16158</v>
      </c>
      <c r="P8524" t="s">
        <v>55</v>
      </c>
      <c r="R8524" t="s">
        <v>53</v>
      </c>
      <c r="T8524" t="s">
        <v>16159</v>
      </c>
      <c r="U8524" t="s">
        <v>55</v>
      </c>
      <c r="V8524">
        <v>3</v>
      </c>
      <c r="W8524">
        <v>1</v>
      </c>
      <c r="X8524">
        <v>2</v>
      </c>
      <c r="Y8524">
        <v>0</v>
      </c>
      <c r="Z8524">
        <v>2</v>
      </c>
      <c r="AA8524">
        <v>238.66</v>
      </c>
      <c r="AB8524">
        <v>238.66</v>
      </c>
      <c r="AC8524">
        <v>219.45</v>
      </c>
      <c r="AD8524">
        <v>0</v>
      </c>
      <c r="AE8524">
        <v>19.21</v>
      </c>
      <c r="AF8524">
        <v>0</v>
      </c>
      <c r="AG8524">
        <v>0</v>
      </c>
      <c r="AH8524">
        <v>0</v>
      </c>
      <c r="AI8524">
        <v>42.96</v>
      </c>
      <c r="AJ8524">
        <v>238.66</v>
      </c>
      <c r="AK8524">
        <v>0</v>
      </c>
      <c r="AL8524" t="s">
        <v>53</v>
      </c>
      <c r="AM8524" t="s">
        <v>53</v>
      </c>
      <c r="AN8524" t="s">
        <v>16160</v>
      </c>
      <c r="AO8524" t="s">
        <v>53</v>
      </c>
      <c r="AP8524" t="s">
        <v>53</v>
      </c>
    </row>
    <row r="8525" spans="2:42" x14ac:dyDescent="0.2">
      <c r="B8525" t="s">
        <v>44</v>
      </c>
      <c r="C8525" t="str">
        <f>HYPERLINK("https://us2.cloudbeds.com/connect/8493803454333002#/reservations/227123821813888?display=4TG7S2XZ1V&amp;reservation_id=227123821813888", "4TG7S2XZ1V")</f>
        <v>4TG7S2XZ1V</v>
      </c>
      <c r="D8525" t="s">
        <v>45</v>
      </c>
      <c r="E8525" t="s">
        <v>381</v>
      </c>
      <c r="F8525" t="s">
        <v>47</v>
      </c>
      <c r="G8525" t="s">
        <v>48</v>
      </c>
      <c r="H8525" t="s">
        <v>3957</v>
      </c>
      <c r="I8525" t="s">
        <v>3975</v>
      </c>
      <c r="J8525" t="s">
        <v>14205</v>
      </c>
      <c r="K8525" t="s">
        <v>14362</v>
      </c>
      <c r="L8525" t="s">
        <v>53</v>
      </c>
      <c r="P8525" t="s">
        <v>55</v>
      </c>
      <c r="R8525" t="s">
        <v>56</v>
      </c>
      <c r="T8525" t="s">
        <v>16161</v>
      </c>
      <c r="U8525" t="s">
        <v>58</v>
      </c>
      <c r="V8525">
        <v>4</v>
      </c>
      <c r="W8525">
        <v>1</v>
      </c>
      <c r="X8525">
        <v>1</v>
      </c>
      <c r="Y8525">
        <v>0</v>
      </c>
      <c r="Z8525">
        <v>1</v>
      </c>
      <c r="AA8525">
        <v>0</v>
      </c>
      <c r="AB8525">
        <v>802.57</v>
      </c>
      <c r="AC8525">
        <v>700</v>
      </c>
      <c r="AD8525">
        <v>0</v>
      </c>
      <c r="AE8525">
        <v>102.57</v>
      </c>
      <c r="AF8525">
        <v>0</v>
      </c>
      <c r="AG8525">
        <v>0</v>
      </c>
      <c r="AH8525">
        <v>0</v>
      </c>
      <c r="AI8525">
        <v>0</v>
      </c>
      <c r="AJ8525">
        <v>802.57</v>
      </c>
      <c r="AK8525">
        <v>0</v>
      </c>
      <c r="AL8525" t="s">
        <v>53</v>
      </c>
      <c r="AM8525" t="s">
        <v>53</v>
      </c>
      <c r="AN8525" t="s">
        <v>53</v>
      </c>
      <c r="AO8525" t="s">
        <v>53</v>
      </c>
      <c r="AP8525" t="s">
        <v>53</v>
      </c>
    </row>
    <row r="8526" spans="2:42" x14ac:dyDescent="0.2">
      <c r="B8526" t="s">
        <v>44</v>
      </c>
      <c r="C8526" t="str">
        <f>HYPERLINK("https://us2.cloudbeds.com/connect/8493803454333002#/reservations/227199208911040?display=4TX07CVV7Y&amp;reservation_id=227199208911040", "4TX07CVV7Y")</f>
        <v>4TX07CVV7Y</v>
      </c>
      <c r="D8526" t="s">
        <v>45</v>
      </c>
      <c r="E8526" t="s">
        <v>113</v>
      </c>
      <c r="F8526" t="s">
        <v>61</v>
      </c>
      <c r="G8526" t="s">
        <v>48</v>
      </c>
      <c r="H8526" t="s">
        <v>3957</v>
      </c>
      <c r="I8526" t="s">
        <v>3975</v>
      </c>
      <c r="J8526" t="s">
        <v>10598</v>
      </c>
      <c r="K8526" t="s">
        <v>13637</v>
      </c>
      <c r="L8526" t="s">
        <v>53</v>
      </c>
      <c r="P8526" t="s">
        <v>55</v>
      </c>
      <c r="R8526" t="s">
        <v>56</v>
      </c>
      <c r="T8526" t="s">
        <v>16162</v>
      </c>
      <c r="U8526" t="s">
        <v>58</v>
      </c>
      <c r="V8526">
        <v>1</v>
      </c>
      <c r="W8526">
        <v>1</v>
      </c>
      <c r="X8526">
        <v>2</v>
      </c>
      <c r="Y8526">
        <v>0</v>
      </c>
      <c r="Z8526">
        <v>2</v>
      </c>
      <c r="AA8526">
        <v>165.1</v>
      </c>
      <c r="AB8526">
        <v>165.1</v>
      </c>
      <c r="AC8526">
        <v>144</v>
      </c>
      <c r="AD8526">
        <v>0</v>
      </c>
      <c r="AE8526">
        <v>21.1</v>
      </c>
      <c r="AF8526">
        <v>0</v>
      </c>
      <c r="AG8526">
        <v>0</v>
      </c>
      <c r="AH8526">
        <v>0</v>
      </c>
      <c r="AI8526">
        <v>0</v>
      </c>
      <c r="AJ8526">
        <v>165.1</v>
      </c>
      <c r="AK8526">
        <v>0</v>
      </c>
      <c r="AL8526" t="s">
        <v>53</v>
      </c>
      <c r="AM8526" t="s">
        <v>53</v>
      </c>
      <c r="AN8526" t="s">
        <v>53</v>
      </c>
      <c r="AO8526" t="s">
        <v>53</v>
      </c>
      <c r="AP8526" t="s">
        <v>53</v>
      </c>
    </row>
    <row r="8527" spans="2:42" x14ac:dyDescent="0.2">
      <c r="B8527" t="s">
        <v>44</v>
      </c>
      <c r="C8527" t="str">
        <f>HYPERLINK("https://us2.cloudbeds.com/connect/8493803454333002#/reservations/9080486848710809?display=4TXFN4GKVW&amp;reservation_id=9080486848710809", "4TXFN4GKVW")</f>
        <v>4TXFN4GKVW</v>
      </c>
      <c r="D8527" t="s">
        <v>45</v>
      </c>
      <c r="E8527" t="s">
        <v>128</v>
      </c>
      <c r="F8527" t="s">
        <v>86</v>
      </c>
      <c r="G8527" t="s">
        <v>48</v>
      </c>
      <c r="H8527" t="s">
        <v>49</v>
      </c>
      <c r="I8527" t="s">
        <v>50</v>
      </c>
      <c r="J8527" t="s">
        <v>15876</v>
      </c>
      <c r="K8527" t="s">
        <v>16163</v>
      </c>
      <c r="L8527" t="s">
        <v>53</v>
      </c>
      <c r="N8527" t="s">
        <v>16164</v>
      </c>
      <c r="P8527" t="s">
        <v>55</v>
      </c>
      <c r="R8527" t="s">
        <v>53</v>
      </c>
      <c r="T8527" t="s">
        <v>16165</v>
      </c>
      <c r="U8527" t="s">
        <v>55</v>
      </c>
      <c r="V8527">
        <v>1</v>
      </c>
      <c r="W8527">
        <v>1</v>
      </c>
      <c r="X8527">
        <v>2</v>
      </c>
      <c r="Y8527">
        <v>0</v>
      </c>
      <c r="Z8527">
        <v>2</v>
      </c>
      <c r="AA8527">
        <v>141.85</v>
      </c>
      <c r="AB8527">
        <v>141.85</v>
      </c>
      <c r="AC8527">
        <v>130.43</v>
      </c>
      <c r="AD8527">
        <v>0</v>
      </c>
      <c r="AE8527">
        <v>11.42</v>
      </c>
      <c r="AF8527">
        <v>0</v>
      </c>
      <c r="AG8527">
        <v>0</v>
      </c>
      <c r="AH8527">
        <v>0</v>
      </c>
      <c r="AI8527">
        <v>25.53</v>
      </c>
      <c r="AJ8527">
        <v>141.85</v>
      </c>
      <c r="AK8527">
        <v>0</v>
      </c>
      <c r="AL8527" t="s">
        <v>53</v>
      </c>
      <c r="AM8527" t="s">
        <v>53</v>
      </c>
      <c r="AN8527" t="s">
        <v>16166</v>
      </c>
      <c r="AO8527" t="s">
        <v>53</v>
      </c>
      <c r="AP8527" t="s">
        <v>53</v>
      </c>
    </row>
    <row r="8528" spans="2:42" x14ac:dyDescent="0.2">
      <c r="B8528" t="s">
        <v>44</v>
      </c>
      <c r="C8528" t="str">
        <f>HYPERLINK("https://us2.cloudbeds.com/connect/8493803454333002#/reservations/9080486848711347?display=4TXTZHTM9B&amp;reservation_id=9080486848711347", "4TXTZHTM9B")</f>
        <v>4TXTZHTM9B</v>
      </c>
      <c r="D8528" t="s">
        <v>45</v>
      </c>
      <c r="E8528" t="s">
        <v>69</v>
      </c>
      <c r="F8528" t="s">
        <v>70</v>
      </c>
      <c r="G8528" t="s">
        <v>48</v>
      </c>
      <c r="H8528" t="s">
        <v>49</v>
      </c>
      <c r="I8528" t="s">
        <v>50</v>
      </c>
      <c r="J8528" t="s">
        <v>10598</v>
      </c>
      <c r="K8528" t="s">
        <v>13638</v>
      </c>
      <c r="L8528" t="s">
        <v>53</v>
      </c>
      <c r="N8528" t="s">
        <v>16167</v>
      </c>
      <c r="P8528" t="s">
        <v>55</v>
      </c>
      <c r="R8528" t="s">
        <v>53</v>
      </c>
      <c r="T8528" t="s">
        <v>16168</v>
      </c>
      <c r="U8528" t="s">
        <v>55</v>
      </c>
      <c r="V8528">
        <v>2</v>
      </c>
      <c r="W8528">
        <v>1</v>
      </c>
      <c r="X8528">
        <v>1</v>
      </c>
      <c r="Y8528">
        <v>0</v>
      </c>
      <c r="Z8528">
        <v>1</v>
      </c>
      <c r="AA8528">
        <v>148.44999999999999</v>
      </c>
      <c r="AB8528">
        <v>148.44999999999999</v>
      </c>
      <c r="AC8528">
        <v>136.5</v>
      </c>
      <c r="AD8528">
        <v>0</v>
      </c>
      <c r="AE8528">
        <v>11.95</v>
      </c>
      <c r="AF8528">
        <v>0</v>
      </c>
      <c r="AG8528">
        <v>0</v>
      </c>
      <c r="AH8528">
        <v>0</v>
      </c>
      <c r="AI8528">
        <v>26.72</v>
      </c>
      <c r="AJ8528">
        <v>148.44999999999999</v>
      </c>
      <c r="AK8528">
        <v>0</v>
      </c>
      <c r="AL8528" t="s">
        <v>53</v>
      </c>
      <c r="AM8528" t="s">
        <v>53</v>
      </c>
      <c r="AN8528" t="s">
        <v>53</v>
      </c>
      <c r="AO8528" t="s">
        <v>53</v>
      </c>
      <c r="AP8528" t="s">
        <v>53</v>
      </c>
    </row>
    <row r="8529" spans="2:42" x14ac:dyDescent="0.2">
      <c r="B8529" t="s">
        <v>44</v>
      </c>
      <c r="C8529" t="str">
        <f>HYPERLINK("https://us2.cloudbeds.com/connect/8493803454333002#/reservations/227246205108416?display=4TJ3K8DHG0&amp;reservation_id=227246205108416", "4TJ3K8DHG0")</f>
        <v>4TJ3K8DHG0</v>
      </c>
      <c r="D8529" t="s">
        <v>45</v>
      </c>
      <c r="E8529" t="s">
        <v>69</v>
      </c>
      <c r="F8529" t="s">
        <v>70</v>
      </c>
      <c r="G8529" t="s">
        <v>48</v>
      </c>
      <c r="H8529" t="s">
        <v>3957</v>
      </c>
      <c r="I8529" t="s">
        <v>3975</v>
      </c>
      <c r="J8529" t="s">
        <v>15738</v>
      </c>
      <c r="K8529" t="s">
        <v>15594</v>
      </c>
      <c r="L8529" t="s">
        <v>53</v>
      </c>
      <c r="P8529" t="s">
        <v>55</v>
      </c>
      <c r="R8529" t="s">
        <v>56</v>
      </c>
      <c r="T8529" t="s">
        <v>16169</v>
      </c>
      <c r="U8529" t="s">
        <v>58</v>
      </c>
      <c r="V8529">
        <v>2</v>
      </c>
      <c r="W8529">
        <v>1</v>
      </c>
      <c r="X8529">
        <v>2</v>
      </c>
      <c r="Y8529">
        <v>0</v>
      </c>
      <c r="Z8529">
        <v>2</v>
      </c>
      <c r="AA8529">
        <v>0</v>
      </c>
      <c r="AB8529">
        <v>356.57</v>
      </c>
      <c r="AC8529">
        <v>311</v>
      </c>
      <c r="AD8529">
        <v>0</v>
      </c>
      <c r="AE8529">
        <v>45.57</v>
      </c>
      <c r="AF8529">
        <v>0</v>
      </c>
      <c r="AG8529">
        <v>0</v>
      </c>
      <c r="AH8529">
        <v>0</v>
      </c>
      <c r="AI8529">
        <v>0</v>
      </c>
      <c r="AJ8529">
        <v>356.57</v>
      </c>
      <c r="AK8529">
        <v>0</v>
      </c>
      <c r="AL8529" t="s">
        <v>53</v>
      </c>
      <c r="AM8529" t="s">
        <v>53</v>
      </c>
      <c r="AN8529" t="s">
        <v>16170</v>
      </c>
      <c r="AO8529" t="s">
        <v>53</v>
      </c>
      <c r="AP8529" t="s">
        <v>53</v>
      </c>
    </row>
    <row r="8530" spans="2:42" x14ac:dyDescent="0.2">
      <c r="B8530" t="s">
        <v>44</v>
      </c>
      <c r="C8530" t="str">
        <f>HYPERLINK("https://us2.cloudbeds.com/connect/8493803454333002#/reservations/9080486848711730?display=4TJ7RGK7JC&amp;reservation_id=9080486848711730", "4TJ7RGK7JC")</f>
        <v>4TJ7RGK7JC</v>
      </c>
      <c r="D8530" t="s">
        <v>45</v>
      </c>
      <c r="E8530" t="s">
        <v>113</v>
      </c>
      <c r="F8530" t="s">
        <v>61</v>
      </c>
      <c r="G8530" t="s">
        <v>48</v>
      </c>
      <c r="H8530" t="s">
        <v>49</v>
      </c>
      <c r="I8530" t="s">
        <v>8964</v>
      </c>
      <c r="J8530" t="s">
        <v>13849</v>
      </c>
      <c r="K8530" t="s">
        <v>14205</v>
      </c>
      <c r="L8530" t="s">
        <v>53</v>
      </c>
      <c r="N8530" t="s">
        <v>16171</v>
      </c>
      <c r="P8530" t="s">
        <v>58</v>
      </c>
      <c r="R8530" t="s">
        <v>53</v>
      </c>
      <c r="T8530" t="s">
        <v>16172</v>
      </c>
      <c r="U8530" t="s">
        <v>55</v>
      </c>
      <c r="V8530">
        <v>1</v>
      </c>
      <c r="W8530">
        <v>1</v>
      </c>
      <c r="X8530">
        <v>2</v>
      </c>
      <c r="Y8530">
        <v>0</v>
      </c>
      <c r="Z8530">
        <v>2</v>
      </c>
      <c r="AA8530">
        <v>0</v>
      </c>
      <c r="AB8530">
        <v>0</v>
      </c>
      <c r="AC8530">
        <v>115</v>
      </c>
      <c r="AD8530">
        <v>0</v>
      </c>
      <c r="AE8530">
        <v>0</v>
      </c>
      <c r="AF8530">
        <v>0</v>
      </c>
      <c r="AG8530">
        <v>0</v>
      </c>
      <c r="AH8530">
        <v>0</v>
      </c>
      <c r="AI8530">
        <v>17.25</v>
      </c>
      <c r="AJ8530">
        <v>115</v>
      </c>
      <c r="AK8530">
        <v>115</v>
      </c>
      <c r="AL8530" t="s">
        <v>53</v>
      </c>
      <c r="AM8530" t="s">
        <v>53</v>
      </c>
      <c r="AN8530" t="s">
        <v>16173</v>
      </c>
      <c r="AO8530" t="s">
        <v>53</v>
      </c>
      <c r="AP8530" t="s">
        <v>53</v>
      </c>
    </row>
    <row r="8531" spans="2:42" x14ac:dyDescent="0.2">
      <c r="B8531" t="s">
        <v>44</v>
      </c>
      <c r="C8531" t="str">
        <f>HYPERLINK("https://us2.cloudbeds.com/connect/8493803454333002#/reservations/9080486848712161?display=4TJJ7P7ZX8&amp;reservation_id=9080486848712161", "4TJJ7P7ZX8")</f>
        <v>4TJJ7P7ZX8</v>
      </c>
      <c r="D8531" t="s">
        <v>45</v>
      </c>
      <c r="E8531" t="s">
        <v>138</v>
      </c>
      <c r="F8531" t="s">
        <v>70</v>
      </c>
      <c r="G8531" t="s">
        <v>13757</v>
      </c>
      <c r="H8531" t="s">
        <v>49</v>
      </c>
      <c r="I8531" t="s">
        <v>50</v>
      </c>
      <c r="J8531" t="s">
        <v>13638</v>
      </c>
      <c r="K8531" t="s">
        <v>14205</v>
      </c>
      <c r="L8531" t="s">
        <v>53</v>
      </c>
      <c r="N8531" t="s">
        <v>16174</v>
      </c>
      <c r="P8531" t="s">
        <v>55</v>
      </c>
      <c r="R8531" t="s">
        <v>53</v>
      </c>
      <c r="T8531" t="s">
        <v>16175</v>
      </c>
      <c r="U8531" t="s">
        <v>55</v>
      </c>
      <c r="V8531">
        <v>2</v>
      </c>
      <c r="W8531">
        <v>1</v>
      </c>
      <c r="X8531">
        <v>1</v>
      </c>
      <c r="Y8531">
        <v>0</v>
      </c>
      <c r="Z8531">
        <v>1</v>
      </c>
      <c r="AA8531">
        <v>181.07</v>
      </c>
      <c r="AB8531">
        <v>181.07</v>
      </c>
      <c r="AC8531">
        <v>166.5</v>
      </c>
      <c r="AD8531">
        <v>0</v>
      </c>
      <c r="AE8531">
        <v>14.57</v>
      </c>
      <c r="AF8531">
        <v>0</v>
      </c>
      <c r="AG8531">
        <v>0</v>
      </c>
      <c r="AH8531">
        <v>0</v>
      </c>
      <c r="AI8531">
        <v>32.590000000000003</v>
      </c>
      <c r="AJ8531">
        <v>181.07</v>
      </c>
      <c r="AK8531">
        <v>0</v>
      </c>
      <c r="AL8531" t="s">
        <v>53</v>
      </c>
      <c r="AM8531" t="s">
        <v>53</v>
      </c>
      <c r="AN8531" t="s">
        <v>53</v>
      </c>
      <c r="AO8531" t="s">
        <v>53</v>
      </c>
      <c r="AP8531" t="s">
        <v>53</v>
      </c>
    </row>
    <row r="8532" spans="2:42" x14ac:dyDescent="0.2">
      <c r="B8532" t="s">
        <v>44</v>
      </c>
      <c r="C8532" t="str">
        <f>HYPERLINK("https://us2.cloudbeds.com/connect/8493803454333002#/reservations/9080486848713427?display=4TKQRKVEPS&amp;reservation_id=9080486848713427", "4TKQRKVEPS")</f>
        <v>4TKQRKVEPS</v>
      </c>
      <c r="D8532" t="s">
        <v>45</v>
      </c>
      <c r="E8532" t="s">
        <v>110</v>
      </c>
      <c r="F8532" t="s">
        <v>47</v>
      </c>
      <c r="G8532" t="s">
        <v>48</v>
      </c>
      <c r="H8532" t="s">
        <v>49</v>
      </c>
      <c r="I8532" t="s">
        <v>50</v>
      </c>
      <c r="J8532" t="s">
        <v>13637</v>
      </c>
      <c r="K8532" t="s">
        <v>13638</v>
      </c>
      <c r="L8532" t="s">
        <v>53</v>
      </c>
      <c r="N8532" t="s">
        <v>16176</v>
      </c>
      <c r="P8532" t="s">
        <v>55</v>
      </c>
      <c r="R8532" t="s">
        <v>53</v>
      </c>
      <c r="T8532" t="s">
        <v>16177</v>
      </c>
      <c r="U8532" t="s">
        <v>55</v>
      </c>
      <c r="V8532">
        <v>1</v>
      </c>
      <c r="W8532">
        <v>1</v>
      </c>
      <c r="X8532">
        <v>1</v>
      </c>
      <c r="Y8532">
        <v>0</v>
      </c>
      <c r="Z8532">
        <v>1</v>
      </c>
      <c r="AA8532">
        <v>62.76</v>
      </c>
      <c r="AB8532">
        <v>62.76</v>
      </c>
      <c r="AC8532">
        <v>57.71</v>
      </c>
      <c r="AD8532">
        <v>0</v>
      </c>
      <c r="AE8532">
        <v>5.05</v>
      </c>
      <c r="AF8532">
        <v>0</v>
      </c>
      <c r="AG8532">
        <v>0</v>
      </c>
      <c r="AH8532">
        <v>0</v>
      </c>
      <c r="AI8532">
        <v>11.3</v>
      </c>
      <c r="AJ8532">
        <v>62.76</v>
      </c>
      <c r="AK8532">
        <v>0</v>
      </c>
      <c r="AL8532" t="s">
        <v>53</v>
      </c>
      <c r="AM8532" t="s">
        <v>53</v>
      </c>
      <c r="AN8532" t="s">
        <v>53</v>
      </c>
      <c r="AO8532" t="s">
        <v>53</v>
      </c>
      <c r="AP8532" t="s">
        <v>53</v>
      </c>
    </row>
    <row r="8533" spans="2:42" x14ac:dyDescent="0.2">
      <c r="B8533" t="s">
        <v>44</v>
      </c>
      <c r="C8533" t="str">
        <f>HYPERLINK("https://us2.cloudbeds.com/connect/8493803454333002#/reservations/227467946721472?display=4TZAA8PDZD&amp;reservation_id=227467946721472", "4TZAA8PDZD")</f>
        <v>4TZAA8PDZD</v>
      </c>
      <c r="D8533" t="s">
        <v>45</v>
      </c>
      <c r="E8533" t="s">
        <v>190</v>
      </c>
      <c r="F8533" t="s">
        <v>61</v>
      </c>
      <c r="G8533" t="s">
        <v>48</v>
      </c>
      <c r="H8533" t="s">
        <v>3957</v>
      </c>
      <c r="I8533" t="s">
        <v>3975</v>
      </c>
      <c r="J8533" t="s">
        <v>13637</v>
      </c>
      <c r="K8533" t="s">
        <v>13638</v>
      </c>
      <c r="L8533" t="s">
        <v>53</v>
      </c>
      <c r="P8533" t="s">
        <v>55</v>
      </c>
      <c r="R8533" t="s">
        <v>56</v>
      </c>
      <c r="T8533" t="s">
        <v>16178</v>
      </c>
      <c r="U8533" t="s">
        <v>58</v>
      </c>
      <c r="V8533">
        <v>1</v>
      </c>
      <c r="W8533">
        <v>1</v>
      </c>
      <c r="X8533">
        <v>1</v>
      </c>
      <c r="Y8533">
        <v>0</v>
      </c>
      <c r="Z8533">
        <v>1</v>
      </c>
      <c r="AA8533">
        <v>131.86000000000001</v>
      </c>
      <c r="AB8533">
        <v>131.86000000000001</v>
      </c>
      <c r="AC8533">
        <v>115</v>
      </c>
      <c r="AD8533">
        <v>0</v>
      </c>
      <c r="AE8533">
        <v>16.86</v>
      </c>
      <c r="AF8533">
        <v>0</v>
      </c>
      <c r="AG8533">
        <v>0</v>
      </c>
      <c r="AH8533">
        <v>0</v>
      </c>
      <c r="AI8533">
        <v>0</v>
      </c>
      <c r="AJ8533">
        <v>131.86000000000001</v>
      </c>
      <c r="AK8533">
        <v>0</v>
      </c>
      <c r="AL8533" t="s">
        <v>53</v>
      </c>
      <c r="AM8533" t="s">
        <v>53</v>
      </c>
      <c r="AN8533" t="s">
        <v>53</v>
      </c>
      <c r="AO8533" t="s">
        <v>53</v>
      </c>
      <c r="AP8533" t="s">
        <v>53</v>
      </c>
    </row>
    <row r="8534" spans="2:42" x14ac:dyDescent="0.2">
      <c r="B8534" t="s">
        <v>44</v>
      </c>
      <c r="C8534" t="str">
        <f>HYPERLINK("https://us2.cloudbeds.com/connect/8493803454333002#/reservations/9080486848719066?display=4TZGYR1CSV&amp;reservation_id=9080486848719066", "4TZGYR1CSV")</f>
        <v>4TZGYR1CSV</v>
      </c>
      <c r="D8534" t="s">
        <v>45</v>
      </c>
      <c r="E8534" t="s">
        <v>105</v>
      </c>
      <c r="F8534" t="s">
        <v>47</v>
      </c>
      <c r="G8534" t="s">
        <v>48</v>
      </c>
      <c r="H8534" t="s">
        <v>49</v>
      </c>
      <c r="I8534" t="s">
        <v>50</v>
      </c>
      <c r="J8534" t="s">
        <v>13637</v>
      </c>
      <c r="K8534" t="s">
        <v>13638</v>
      </c>
      <c r="L8534" t="s">
        <v>53</v>
      </c>
      <c r="N8534" t="s">
        <v>16179</v>
      </c>
      <c r="P8534" t="s">
        <v>55</v>
      </c>
      <c r="R8534" t="s">
        <v>53</v>
      </c>
      <c r="T8534" t="s">
        <v>16180</v>
      </c>
      <c r="U8534" t="s">
        <v>55</v>
      </c>
      <c r="V8534">
        <v>1</v>
      </c>
      <c r="W8534">
        <v>1</v>
      </c>
      <c r="X8534">
        <v>1</v>
      </c>
      <c r="Y8534">
        <v>0</v>
      </c>
      <c r="Z8534">
        <v>1</v>
      </c>
      <c r="AA8534">
        <v>79.75</v>
      </c>
      <c r="AB8534">
        <v>79.75</v>
      </c>
      <c r="AC8534">
        <v>73.33</v>
      </c>
      <c r="AD8534">
        <v>0</v>
      </c>
      <c r="AE8534">
        <v>6.42</v>
      </c>
      <c r="AF8534">
        <v>0</v>
      </c>
      <c r="AG8534">
        <v>0</v>
      </c>
      <c r="AH8534">
        <v>0</v>
      </c>
      <c r="AI8534">
        <v>14.36</v>
      </c>
      <c r="AJ8534">
        <v>79.75</v>
      </c>
      <c r="AK8534">
        <v>0</v>
      </c>
      <c r="AL8534" t="s">
        <v>53</v>
      </c>
      <c r="AM8534" t="s">
        <v>53</v>
      </c>
      <c r="AN8534" t="s">
        <v>53</v>
      </c>
      <c r="AO8534" t="s">
        <v>53</v>
      </c>
      <c r="AP8534" t="s">
        <v>53</v>
      </c>
    </row>
    <row r="8535" spans="2:42" x14ac:dyDescent="0.2">
      <c r="B8535" t="s">
        <v>44</v>
      </c>
      <c r="C8535" t="str">
        <f>HYPERLINK("https://us2.cloudbeds.com/connect/8493803454333002#/reservations/9080486848720527?display=4TP74E6D5Y&amp;reservation_id=9080486848720527", "4TP74E6D5Y")</f>
        <v>4TP74E6D5Y</v>
      </c>
      <c r="D8535" t="s">
        <v>45</v>
      </c>
      <c r="E8535" t="s">
        <v>138</v>
      </c>
      <c r="F8535" t="s">
        <v>70</v>
      </c>
      <c r="G8535" t="s">
        <v>48</v>
      </c>
      <c r="H8535" t="s">
        <v>49</v>
      </c>
      <c r="I8535" t="s">
        <v>50</v>
      </c>
      <c r="J8535" t="s">
        <v>13086</v>
      </c>
      <c r="K8535" t="s">
        <v>14831</v>
      </c>
      <c r="L8535" t="s">
        <v>53</v>
      </c>
      <c r="N8535" t="s">
        <v>16181</v>
      </c>
      <c r="P8535" t="s">
        <v>55</v>
      </c>
      <c r="R8535" t="s">
        <v>53</v>
      </c>
      <c r="T8535" t="s">
        <v>16182</v>
      </c>
      <c r="U8535" t="s">
        <v>58</v>
      </c>
      <c r="V8535">
        <v>1</v>
      </c>
      <c r="W8535">
        <v>1</v>
      </c>
      <c r="X8535">
        <v>1</v>
      </c>
      <c r="Y8535">
        <v>0</v>
      </c>
      <c r="Z8535">
        <v>1</v>
      </c>
      <c r="AA8535">
        <v>134.49</v>
      </c>
      <c r="AB8535">
        <v>134.49</v>
      </c>
      <c r="AC8535">
        <v>117.3</v>
      </c>
      <c r="AD8535">
        <v>0</v>
      </c>
      <c r="AE8535">
        <v>17.190000000000001</v>
      </c>
      <c r="AF8535">
        <v>0</v>
      </c>
      <c r="AG8535">
        <v>0</v>
      </c>
      <c r="AH8535">
        <v>0</v>
      </c>
      <c r="AI8535">
        <v>24.21</v>
      </c>
      <c r="AJ8535">
        <v>134.49</v>
      </c>
      <c r="AK8535">
        <v>0</v>
      </c>
      <c r="AL8535" t="s">
        <v>53</v>
      </c>
      <c r="AM8535" t="s">
        <v>53</v>
      </c>
      <c r="AN8535" t="s">
        <v>53</v>
      </c>
      <c r="AO8535" t="s">
        <v>53</v>
      </c>
      <c r="AP8535" t="s">
        <v>53</v>
      </c>
    </row>
    <row r="8536" spans="2:42" x14ac:dyDescent="0.2">
      <c r="B8536" t="s">
        <v>44</v>
      </c>
      <c r="C8536" t="str">
        <f>HYPERLINK("https://us2.cloudbeds.com/connect/8493803454333002#/reservations/227531915600064?display=4TPQRR2N0T&amp;reservation_id=227531915600064", "4TPQRR2N0T")</f>
        <v>4TPQRR2N0T</v>
      </c>
      <c r="D8536" t="s">
        <v>45</v>
      </c>
      <c r="E8536" t="s">
        <v>487</v>
      </c>
      <c r="F8536" t="s">
        <v>61</v>
      </c>
      <c r="G8536" t="s">
        <v>13757</v>
      </c>
      <c r="H8536" t="s">
        <v>3957</v>
      </c>
      <c r="I8536" t="s">
        <v>3958</v>
      </c>
      <c r="J8536" t="s">
        <v>13637</v>
      </c>
      <c r="K8536" t="s">
        <v>13638</v>
      </c>
      <c r="L8536" t="s">
        <v>53</v>
      </c>
      <c r="P8536" t="s">
        <v>55</v>
      </c>
      <c r="R8536" t="s">
        <v>56</v>
      </c>
      <c r="T8536" t="s">
        <v>16183</v>
      </c>
      <c r="U8536" t="s">
        <v>58</v>
      </c>
      <c r="V8536">
        <v>1</v>
      </c>
      <c r="W8536">
        <v>1</v>
      </c>
      <c r="X8536">
        <v>1</v>
      </c>
      <c r="Y8536">
        <v>0</v>
      </c>
      <c r="Z8536">
        <v>1</v>
      </c>
      <c r="AA8536">
        <v>118.66</v>
      </c>
      <c r="AB8536">
        <v>118.66</v>
      </c>
      <c r="AC8536">
        <v>103.5</v>
      </c>
      <c r="AD8536">
        <v>0</v>
      </c>
      <c r="AE8536">
        <v>15.16</v>
      </c>
      <c r="AF8536">
        <v>0</v>
      </c>
      <c r="AG8536">
        <v>0</v>
      </c>
      <c r="AH8536">
        <v>0</v>
      </c>
      <c r="AI8536">
        <v>0</v>
      </c>
      <c r="AJ8536">
        <v>118.66</v>
      </c>
      <c r="AK8536">
        <v>0</v>
      </c>
      <c r="AL8536" t="s">
        <v>53</v>
      </c>
      <c r="AM8536" t="s">
        <v>53</v>
      </c>
      <c r="AN8536" t="s">
        <v>53</v>
      </c>
      <c r="AO8536" t="s">
        <v>53</v>
      </c>
      <c r="AP8536" t="s">
        <v>53</v>
      </c>
    </row>
    <row r="8537" spans="2:42" x14ac:dyDescent="0.2">
      <c r="B8537" t="s">
        <v>44</v>
      </c>
      <c r="C8537" t="str">
        <f>HYPERLINK("https://us2.cloudbeds.com/connect/8493803454333002#/reservations/227544081031360?display=4TQ38M9SZ7&amp;reservation_id=227544081031360", "4TQ38M9SZ7")</f>
        <v>4TQ38M9SZ7</v>
      </c>
      <c r="D8537" t="s">
        <v>45</v>
      </c>
      <c r="E8537" t="s">
        <v>185</v>
      </c>
      <c r="F8537" t="s">
        <v>47</v>
      </c>
      <c r="G8537" t="s">
        <v>48</v>
      </c>
      <c r="H8537" t="s">
        <v>3957</v>
      </c>
      <c r="I8537" t="s">
        <v>3958</v>
      </c>
      <c r="J8537" t="s">
        <v>13637</v>
      </c>
      <c r="K8537" t="s">
        <v>14205</v>
      </c>
      <c r="L8537" t="s">
        <v>53</v>
      </c>
      <c r="P8537" t="s">
        <v>55</v>
      </c>
      <c r="R8537" t="s">
        <v>56</v>
      </c>
      <c r="T8537" t="s">
        <v>16184</v>
      </c>
      <c r="U8537" t="s">
        <v>58</v>
      </c>
      <c r="V8537">
        <v>3</v>
      </c>
      <c r="W8537">
        <v>1</v>
      </c>
      <c r="X8537">
        <v>1</v>
      </c>
      <c r="Y8537">
        <v>0</v>
      </c>
      <c r="Z8537">
        <v>1</v>
      </c>
      <c r="AA8537">
        <v>369.17</v>
      </c>
      <c r="AB8537">
        <v>373.86</v>
      </c>
      <c r="AC8537">
        <v>324.5</v>
      </c>
      <c r="AD8537">
        <v>2</v>
      </c>
      <c r="AE8537">
        <v>47.36</v>
      </c>
      <c r="AF8537">
        <v>0</v>
      </c>
      <c r="AG8537">
        <v>0</v>
      </c>
      <c r="AH8537">
        <v>0</v>
      </c>
      <c r="AI8537">
        <v>0</v>
      </c>
      <c r="AJ8537">
        <v>373.86</v>
      </c>
      <c r="AK8537">
        <v>0</v>
      </c>
      <c r="AL8537" t="s">
        <v>53</v>
      </c>
      <c r="AM8537" t="s">
        <v>53</v>
      </c>
      <c r="AN8537" t="s">
        <v>53</v>
      </c>
      <c r="AO8537" t="s">
        <v>53</v>
      </c>
      <c r="AP8537" t="s">
        <v>53</v>
      </c>
    </row>
    <row r="8538" spans="2:42" x14ac:dyDescent="0.2">
      <c r="B8538" t="s">
        <v>44</v>
      </c>
      <c r="C8538" t="str">
        <f>HYPERLINK("https://us2.cloudbeds.com/connect/8493803454333002#/reservations/227846667718784?display=4U06XFD542&amp;reservation_id=227846667718784", "4U06XFD542")</f>
        <v>4U06XFD542</v>
      </c>
      <c r="D8538" t="s">
        <v>45</v>
      </c>
      <c r="E8538" t="s">
        <v>138</v>
      </c>
      <c r="F8538" t="s">
        <v>70</v>
      </c>
      <c r="G8538" t="s">
        <v>48</v>
      </c>
      <c r="H8538" t="s">
        <v>3957</v>
      </c>
      <c r="I8538" t="s">
        <v>3975</v>
      </c>
      <c r="J8538" t="s">
        <v>16163</v>
      </c>
      <c r="K8538" t="s">
        <v>14131</v>
      </c>
      <c r="L8538" t="s">
        <v>53</v>
      </c>
      <c r="P8538" t="s">
        <v>55</v>
      </c>
      <c r="R8538" t="s">
        <v>56</v>
      </c>
      <c r="T8538" t="s">
        <v>16185</v>
      </c>
      <c r="U8538" t="s">
        <v>58</v>
      </c>
      <c r="V8538">
        <v>2</v>
      </c>
      <c r="W8538">
        <v>1</v>
      </c>
      <c r="X8538">
        <v>2</v>
      </c>
      <c r="Y8538">
        <v>0</v>
      </c>
      <c r="Z8538">
        <v>2</v>
      </c>
      <c r="AA8538">
        <v>0</v>
      </c>
      <c r="AB8538">
        <v>373.76</v>
      </c>
      <c r="AC8538">
        <v>326</v>
      </c>
      <c r="AD8538">
        <v>0</v>
      </c>
      <c r="AE8538">
        <v>47.76</v>
      </c>
      <c r="AF8538">
        <v>0</v>
      </c>
      <c r="AG8538">
        <v>0</v>
      </c>
      <c r="AH8538">
        <v>0</v>
      </c>
      <c r="AI8538">
        <v>0</v>
      </c>
      <c r="AJ8538">
        <v>373.76</v>
      </c>
      <c r="AK8538">
        <v>0</v>
      </c>
      <c r="AL8538" t="s">
        <v>53</v>
      </c>
      <c r="AM8538" t="s">
        <v>53</v>
      </c>
      <c r="AN8538" t="s">
        <v>53</v>
      </c>
      <c r="AO8538" t="s">
        <v>53</v>
      </c>
      <c r="AP8538" t="s">
        <v>53</v>
      </c>
    </row>
    <row r="8539" spans="2:42" x14ac:dyDescent="0.2">
      <c r="B8539" t="s">
        <v>44</v>
      </c>
      <c r="C8539" t="str">
        <f>HYPERLINK("https://us2.cloudbeds.com/connect/8493803454333002#/reservations/9080486848736449?display=4U0AU4KBNS&amp;reservation_id=9080486848736449", "4U0AU4KBNS")</f>
        <v>4U0AU4KBNS</v>
      </c>
      <c r="D8539" t="s">
        <v>45</v>
      </c>
      <c r="E8539" t="s">
        <v>105</v>
      </c>
      <c r="F8539" t="s">
        <v>47</v>
      </c>
      <c r="G8539" t="s">
        <v>48</v>
      </c>
      <c r="H8539" t="s">
        <v>49</v>
      </c>
      <c r="I8539" t="s">
        <v>50</v>
      </c>
      <c r="J8539" t="s">
        <v>13849</v>
      </c>
      <c r="K8539" t="s">
        <v>14205</v>
      </c>
      <c r="L8539" t="s">
        <v>53</v>
      </c>
      <c r="N8539" t="s">
        <v>16186</v>
      </c>
      <c r="P8539" t="s">
        <v>55</v>
      </c>
      <c r="R8539" t="s">
        <v>53</v>
      </c>
      <c r="T8539" t="s">
        <v>16187</v>
      </c>
      <c r="U8539" t="s">
        <v>55</v>
      </c>
      <c r="V8539">
        <v>1</v>
      </c>
      <c r="W8539">
        <v>1</v>
      </c>
      <c r="X8539">
        <v>2</v>
      </c>
      <c r="Y8539">
        <v>0</v>
      </c>
      <c r="Z8539">
        <v>2</v>
      </c>
      <c r="AA8539">
        <v>77.94</v>
      </c>
      <c r="AB8539">
        <v>77.94</v>
      </c>
      <c r="AC8539">
        <v>71.67</v>
      </c>
      <c r="AD8539">
        <v>0</v>
      </c>
      <c r="AE8539">
        <v>6.27</v>
      </c>
      <c r="AF8539">
        <v>0</v>
      </c>
      <c r="AG8539">
        <v>0</v>
      </c>
      <c r="AH8539">
        <v>0</v>
      </c>
      <c r="AI8539">
        <v>14.03</v>
      </c>
      <c r="AJ8539">
        <v>77.94</v>
      </c>
      <c r="AK8539">
        <v>0</v>
      </c>
      <c r="AL8539" t="s">
        <v>53</v>
      </c>
      <c r="AM8539" t="s">
        <v>53</v>
      </c>
      <c r="AN8539" t="s">
        <v>16188</v>
      </c>
      <c r="AO8539" t="s">
        <v>53</v>
      </c>
      <c r="AP8539" t="s">
        <v>53</v>
      </c>
    </row>
    <row r="8540" spans="2:42" x14ac:dyDescent="0.2">
      <c r="B8540" t="s">
        <v>44</v>
      </c>
      <c r="C8540" t="str">
        <f>HYPERLINK("https://us2.cloudbeds.com/connect/8493803454333002#/reservations/9080486848739678?display=4U28FABB6V&amp;reservation_id=9080486848739678", "4U28FABB6V")</f>
        <v>4U28FABB6V</v>
      </c>
      <c r="D8540" t="s">
        <v>45</v>
      </c>
      <c r="E8540" t="s">
        <v>14402</v>
      </c>
      <c r="F8540" t="s">
        <v>14403</v>
      </c>
      <c r="G8540" t="s">
        <v>48</v>
      </c>
      <c r="H8540" t="s">
        <v>49</v>
      </c>
      <c r="I8540" t="s">
        <v>50</v>
      </c>
      <c r="J8540" t="s">
        <v>13638</v>
      </c>
      <c r="K8540" t="s">
        <v>13849</v>
      </c>
      <c r="L8540" t="s">
        <v>53</v>
      </c>
      <c r="N8540" t="s">
        <v>16189</v>
      </c>
      <c r="P8540" t="s">
        <v>55</v>
      </c>
      <c r="R8540" t="s">
        <v>53</v>
      </c>
      <c r="T8540" t="s">
        <v>16190</v>
      </c>
      <c r="U8540" t="s">
        <v>55</v>
      </c>
      <c r="V8540">
        <v>1</v>
      </c>
      <c r="W8540">
        <v>1</v>
      </c>
      <c r="X8540">
        <v>1</v>
      </c>
      <c r="Y8540">
        <v>0</v>
      </c>
      <c r="Z8540">
        <v>1</v>
      </c>
      <c r="AA8540">
        <v>86.15</v>
      </c>
      <c r="AB8540">
        <v>86.15</v>
      </c>
      <c r="AC8540">
        <v>79.22</v>
      </c>
      <c r="AD8540">
        <v>0</v>
      </c>
      <c r="AE8540">
        <v>6.93</v>
      </c>
      <c r="AF8540">
        <v>0</v>
      </c>
      <c r="AG8540">
        <v>0</v>
      </c>
      <c r="AH8540">
        <v>0</v>
      </c>
      <c r="AI8540">
        <v>15.51</v>
      </c>
      <c r="AJ8540">
        <v>86.15</v>
      </c>
      <c r="AK8540">
        <v>0</v>
      </c>
      <c r="AL8540" t="s">
        <v>53</v>
      </c>
      <c r="AM8540" t="s">
        <v>53</v>
      </c>
      <c r="AN8540" t="s">
        <v>53</v>
      </c>
      <c r="AO8540" t="s">
        <v>53</v>
      </c>
      <c r="AP8540" t="s">
        <v>53</v>
      </c>
    </row>
    <row r="8541" spans="2:42" x14ac:dyDescent="0.2">
      <c r="B8541" t="s">
        <v>44</v>
      </c>
      <c r="C8541" t="str">
        <f>HYPERLINK("https://us2.cloudbeds.com/connect/8493803454333002#/reservations/227941376077952?display=4U2DTFW9X8&amp;reservation_id=227941376077952", "4U2DTFW9X8")</f>
        <v>4U2DTFW9X8</v>
      </c>
      <c r="D8541" t="s">
        <v>45</v>
      </c>
      <c r="E8541" t="s">
        <v>213</v>
      </c>
      <c r="F8541" t="s">
        <v>86</v>
      </c>
      <c r="G8541" t="s">
        <v>48</v>
      </c>
      <c r="H8541" t="s">
        <v>3957</v>
      </c>
      <c r="I8541" t="s">
        <v>3975</v>
      </c>
      <c r="J8541" t="s">
        <v>14623</v>
      </c>
      <c r="K8541" t="s">
        <v>14847</v>
      </c>
      <c r="L8541" t="s">
        <v>53</v>
      </c>
      <c r="P8541" t="s">
        <v>55</v>
      </c>
      <c r="R8541" t="s">
        <v>56</v>
      </c>
      <c r="T8541" t="s">
        <v>16191</v>
      </c>
      <c r="U8541" t="s">
        <v>58</v>
      </c>
      <c r="V8541">
        <v>4</v>
      </c>
      <c r="W8541">
        <v>1</v>
      </c>
      <c r="X8541">
        <v>3</v>
      </c>
      <c r="Y8541">
        <v>0</v>
      </c>
      <c r="Z8541">
        <v>3</v>
      </c>
      <c r="AA8541">
        <v>1090.33</v>
      </c>
      <c r="AB8541">
        <v>1112.79</v>
      </c>
      <c r="AC8541">
        <v>951</v>
      </c>
      <c r="AD8541">
        <v>20.5</v>
      </c>
      <c r="AE8541">
        <v>141.29</v>
      </c>
      <c r="AF8541">
        <v>0</v>
      </c>
      <c r="AG8541">
        <v>0</v>
      </c>
      <c r="AH8541">
        <v>0</v>
      </c>
      <c r="AI8541">
        <v>0</v>
      </c>
      <c r="AJ8541">
        <v>1112.79</v>
      </c>
      <c r="AK8541">
        <v>0</v>
      </c>
      <c r="AL8541" t="s">
        <v>53</v>
      </c>
      <c r="AM8541" t="s">
        <v>53</v>
      </c>
      <c r="AN8541" t="s">
        <v>53</v>
      </c>
      <c r="AO8541" t="s">
        <v>53</v>
      </c>
      <c r="AP8541" t="s">
        <v>53</v>
      </c>
    </row>
    <row r="8542" spans="2:42" x14ac:dyDescent="0.2">
      <c r="B8542" t="s">
        <v>44</v>
      </c>
      <c r="C8542" t="str">
        <f>HYPERLINK("https://us2.cloudbeds.com/connect/8493803454333002#/reservations/228126937792704?display=4U6PJ0HWP2&amp;reservation_id=228126937792704", "4U6PJ0HWP2")</f>
        <v>4U6PJ0HWP2</v>
      </c>
      <c r="D8542" t="s">
        <v>45</v>
      </c>
      <c r="E8542" t="s">
        <v>85</v>
      </c>
      <c r="F8542" t="s">
        <v>86</v>
      </c>
      <c r="G8542" t="s">
        <v>13757</v>
      </c>
      <c r="H8542" t="s">
        <v>3957</v>
      </c>
      <c r="I8542" t="s">
        <v>3958</v>
      </c>
      <c r="J8542" t="s">
        <v>13849</v>
      </c>
      <c r="K8542" t="s">
        <v>14205</v>
      </c>
      <c r="L8542" t="s">
        <v>53</v>
      </c>
      <c r="P8542" t="s">
        <v>55</v>
      </c>
      <c r="R8542" t="s">
        <v>56</v>
      </c>
      <c r="T8542" t="s">
        <v>16192</v>
      </c>
      <c r="U8542" t="s">
        <v>58</v>
      </c>
      <c r="V8542">
        <v>1</v>
      </c>
      <c r="W8542">
        <v>1</v>
      </c>
      <c r="X8542">
        <v>1</v>
      </c>
      <c r="Y8542">
        <v>0</v>
      </c>
      <c r="Z8542">
        <v>1</v>
      </c>
      <c r="AA8542">
        <v>137.22999999999999</v>
      </c>
      <c r="AB8542">
        <v>137.22999999999999</v>
      </c>
      <c r="AC8542">
        <v>119.7</v>
      </c>
      <c r="AD8542">
        <v>0</v>
      </c>
      <c r="AE8542">
        <v>17.53</v>
      </c>
      <c r="AF8542">
        <v>0</v>
      </c>
      <c r="AG8542">
        <v>0</v>
      </c>
      <c r="AH8542">
        <v>0</v>
      </c>
      <c r="AI8542">
        <v>0</v>
      </c>
      <c r="AJ8542">
        <v>137.22999999999999</v>
      </c>
      <c r="AK8542">
        <v>0</v>
      </c>
      <c r="AL8542" t="s">
        <v>53</v>
      </c>
      <c r="AM8542" t="s">
        <v>53</v>
      </c>
      <c r="AN8542" t="s">
        <v>53</v>
      </c>
      <c r="AO8542" t="s">
        <v>53</v>
      </c>
      <c r="AP8542" t="s">
        <v>53</v>
      </c>
    </row>
    <row r="8543" spans="2:42" x14ac:dyDescent="0.2">
      <c r="B8543" t="s">
        <v>44</v>
      </c>
      <c r="C8543" t="str">
        <f>HYPERLINK("https://us2.cloudbeds.com/connect/8493803454333002#/reservations/228161281089664?display=4U7J5XZ2TM&amp;reservation_id=228161281089664", "4U7J5XZ2TM")</f>
        <v>4U7J5XZ2TM</v>
      </c>
      <c r="D8543" t="s">
        <v>45</v>
      </c>
      <c r="E8543" t="s">
        <v>14402</v>
      </c>
      <c r="F8543" t="s">
        <v>14403</v>
      </c>
      <c r="G8543" t="s">
        <v>48</v>
      </c>
      <c r="H8543" t="s">
        <v>3957</v>
      </c>
      <c r="I8543" t="s">
        <v>3975</v>
      </c>
      <c r="J8543" t="s">
        <v>14362</v>
      </c>
      <c r="K8543" t="s">
        <v>13068</v>
      </c>
      <c r="L8543" t="s">
        <v>53</v>
      </c>
      <c r="P8543" t="s">
        <v>55</v>
      </c>
      <c r="R8543" t="s">
        <v>56</v>
      </c>
      <c r="T8543" t="s">
        <v>16193</v>
      </c>
      <c r="U8543" t="s">
        <v>58</v>
      </c>
      <c r="V8543">
        <v>3</v>
      </c>
      <c r="W8543">
        <v>1</v>
      </c>
      <c r="X8543">
        <v>1</v>
      </c>
      <c r="Y8543">
        <v>0</v>
      </c>
      <c r="Z8543">
        <v>1</v>
      </c>
      <c r="AA8543">
        <v>0</v>
      </c>
      <c r="AB8543">
        <v>517.08000000000004</v>
      </c>
      <c r="AC8543">
        <v>451</v>
      </c>
      <c r="AD8543">
        <v>0</v>
      </c>
      <c r="AE8543">
        <v>66.08</v>
      </c>
      <c r="AF8543">
        <v>0</v>
      </c>
      <c r="AG8543">
        <v>0</v>
      </c>
      <c r="AH8543">
        <v>0</v>
      </c>
      <c r="AI8543">
        <v>0</v>
      </c>
      <c r="AJ8543">
        <v>517.08000000000004</v>
      </c>
      <c r="AK8543">
        <v>0</v>
      </c>
      <c r="AL8543" t="s">
        <v>53</v>
      </c>
      <c r="AM8543" t="s">
        <v>53</v>
      </c>
      <c r="AN8543" t="s">
        <v>53</v>
      </c>
      <c r="AO8543" t="s">
        <v>53</v>
      </c>
      <c r="AP8543" t="s">
        <v>53</v>
      </c>
    </row>
    <row r="8544" spans="2:42" x14ac:dyDescent="0.2">
      <c r="B8544" t="s">
        <v>44</v>
      </c>
      <c r="C8544" t="str">
        <f>HYPERLINK("https://us2.cloudbeds.com/connect/8493803454333002#/reservations/9080486848747507?display=4U85BX4TJ0&amp;reservation_id=9080486848747507", "4U85BX4TJ0")</f>
        <v>4U85BX4TJ0</v>
      </c>
      <c r="D8544" t="s">
        <v>45</v>
      </c>
      <c r="E8544" t="s">
        <v>121</v>
      </c>
      <c r="F8544" t="s">
        <v>86</v>
      </c>
      <c r="G8544" t="s">
        <v>48</v>
      </c>
      <c r="H8544" t="s">
        <v>49</v>
      </c>
      <c r="I8544" t="s">
        <v>8964</v>
      </c>
      <c r="J8544" t="s">
        <v>14206</v>
      </c>
      <c r="K8544" t="s">
        <v>13081</v>
      </c>
      <c r="L8544" t="s">
        <v>53</v>
      </c>
      <c r="N8544" t="s">
        <v>16194</v>
      </c>
      <c r="P8544" t="s">
        <v>55</v>
      </c>
      <c r="R8544" t="s">
        <v>53</v>
      </c>
      <c r="T8544" t="s">
        <v>16195</v>
      </c>
      <c r="U8544" t="s">
        <v>55</v>
      </c>
      <c r="V8544">
        <v>1</v>
      </c>
      <c r="W8544">
        <v>1</v>
      </c>
      <c r="X8544">
        <v>4</v>
      </c>
      <c r="Y8544">
        <v>0</v>
      </c>
      <c r="Z8544">
        <v>4</v>
      </c>
      <c r="AA8544">
        <v>0</v>
      </c>
      <c r="AB8544">
        <v>0</v>
      </c>
      <c r="AC8544">
        <v>423</v>
      </c>
      <c r="AD8544">
        <v>0</v>
      </c>
      <c r="AE8544">
        <v>0</v>
      </c>
      <c r="AF8544">
        <v>0</v>
      </c>
      <c r="AG8544">
        <v>0</v>
      </c>
      <c r="AH8544">
        <v>0</v>
      </c>
      <c r="AI8544">
        <v>63.45</v>
      </c>
      <c r="AJ8544">
        <v>423</v>
      </c>
      <c r="AK8544">
        <v>423</v>
      </c>
      <c r="AL8544" t="s">
        <v>53</v>
      </c>
      <c r="AM8544" t="s">
        <v>53</v>
      </c>
      <c r="AN8544" t="s">
        <v>16196</v>
      </c>
      <c r="AO8544" t="s">
        <v>53</v>
      </c>
      <c r="AP8544" t="s">
        <v>53</v>
      </c>
    </row>
    <row r="8545" spans="2:42" x14ac:dyDescent="0.2">
      <c r="B8545" t="s">
        <v>44</v>
      </c>
      <c r="C8545" t="str">
        <f>HYPERLINK("https://us2.cloudbeds.com/connect/8493803454333002#/reservations/228254634737792?display=4U9PEVWKDE&amp;reservation_id=228254634737792", "4U9PEVWKDE")</f>
        <v>4U9PEVWKDE</v>
      </c>
      <c r="D8545" t="s">
        <v>45</v>
      </c>
      <c r="E8545" t="s">
        <v>138</v>
      </c>
      <c r="F8545" t="s">
        <v>70</v>
      </c>
      <c r="G8545" t="s">
        <v>12517</v>
      </c>
      <c r="H8545" t="s">
        <v>3957</v>
      </c>
      <c r="I8545" t="s">
        <v>3975</v>
      </c>
      <c r="J8545" t="s">
        <v>16197</v>
      </c>
      <c r="K8545" t="s">
        <v>15231</v>
      </c>
      <c r="L8545" t="s">
        <v>53</v>
      </c>
      <c r="P8545" t="s">
        <v>55</v>
      </c>
      <c r="R8545" t="s">
        <v>56</v>
      </c>
      <c r="T8545" t="s">
        <v>16198</v>
      </c>
      <c r="U8545" t="s">
        <v>58</v>
      </c>
      <c r="V8545">
        <v>2</v>
      </c>
      <c r="W8545">
        <v>1</v>
      </c>
      <c r="X8545">
        <v>2</v>
      </c>
      <c r="Y8545">
        <v>0</v>
      </c>
      <c r="Z8545">
        <v>2</v>
      </c>
      <c r="AA8545">
        <v>0</v>
      </c>
      <c r="AB8545">
        <v>385.57</v>
      </c>
      <c r="AC8545">
        <v>336.3</v>
      </c>
      <c r="AD8545">
        <v>0</v>
      </c>
      <c r="AE8545">
        <v>49.27</v>
      </c>
      <c r="AF8545">
        <v>0</v>
      </c>
      <c r="AG8545">
        <v>0</v>
      </c>
      <c r="AH8545">
        <v>0</v>
      </c>
      <c r="AI8545">
        <v>0</v>
      </c>
      <c r="AJ8545">
        <v>385.57</v>
      </c>
      <c r="AK8545">
        <v>0</v>
      </c>
      <c r="AL8545" t="s">
        <v>53</v>
      </c>
      <c r="AM8545" t="s">
        <v>53</v>
      </c>
      <c r="AN8545" t="s">
        <v>16199</v>
      </c>
      <c r="AO8545" t="s">
        <v>53</v>
      </c>
      <c r="AP8545" t="s">
        <v>53</v>
      </c>
    </row>
    <row r="8546" spans="2:42" x14ac:dyDescent="0.2">
      <c r="B8546" t="s">
        <v>44</v>
      </c>
      <c r="C8546" t="str">
        <f>HYPERLINK("https://us2.cloudbeds.com/connect/8493803454333002#/reservations/9080486848753376?display=4UC4SS3PAH&amp;reservation_id=9080486848753376", "4UC4SS3PAH")</f>
        <v>4UC4SS3PAH</v>
      </c>
      <c r="D8546" t="s">
        <v>45</v>
      </c>
      <c r="E8546" t="s">
        <v>69</v>
      </c>
      <c r="F8546" t="s">
        <v>70</v>
      </c>
      <c r="G8546" t="s">
        <v>48</v>
      </c>
      <c r="H8546" t="s">
        <v>49</v>
      </c>
      <c r="I8546" t="s">
        <v>50</v>
      </c>
      <c r="J8546" t="s">
        <v>14344</v>
      </c>
      <c r="K8546" t="s">
        <v>14154</v>
      </c>
      <c r="L8546" t="s">
        <v>53</v>
      </c>
      <c r="N8546" t="s">
        <v>16200</v>
      </c>
      <c r="P8546" t="s">
        <v>55</v>
      </c>
      <c r="R8546" t="s">
        <v>53</v>
      </c>
      <c r="T8546" t="s">
        <v>16201</v>
      </c>
      <c r="U8546" t="s">
        <v>55</v>
      </c>
      <c r="V8546">
        <v>1</v>
      </c>
      <c r="W8546">
        <v>1</v>
      </c>
      <c r="X8546">
        <v>2</v>
      </c>
      <c r="Y8546">
        <v>0</v>
      </c>
      <c r="Z8546">
        <v>2</v>
      </c>
      <c r="AA8546">
        <v>115.62</v>
      </c>
      <c r="AB8546">
        <v>115.62</v>
      </c>
      <c r="AC8546">
        <v>106.32</v>
      </c>
      <c r="AD8546">
        <v>0</v>
      </c>
      <c r="AE8546">
        <v>9.3000000000000007</v>
      </c>
      <c r="AF8546">
        <v>0</v>
      </c>
      <c r="AG8546">
        <v>0</v>
      </c>
      <c r="AH8546">
        <v>0</v>
      </c>
      <c r="AI8546">
        <v>20.81</v>
      </c>
      <c r="AJ8546">
        <v>115.62</v>
      </c>
      <c r="AK8546">
        <v>0</v>
      </c>
      <c r="AL8546" t="s">
        <v>53</v>
      </c>
      <c r="AM8546" t="s">
        <v>53</v>
      </c>
      <c r="AN8546" t="s">
        <v>53</v>
      </c>
      <c r="AO8546" t="s">
        <v>53</v>
      </c>
      <c r="AP8546" t="s">
        <v>53</v>
      </c>
    </row>
    <row r="8547" spans="2:42" x14ac:dyDescent="0.2">
      <c r="B8547" t="s">
        <v>44</v>
      </c>
      <c r="C8547" t="str">
        <f>HYPERLINK("https://us2.cloudbeds.com/connect/8493803454333002#/reservations/228605304905856?display=4UHWWDBW0Y&amp;reservation_id=228605304905856", "4UHWWDBW0Y")</f>
        <v>4UHWWDBW0Y</v>
      </c>
      <c r="D8547" t="s">
        <v>45</v>
      </c>
      <c r="E8547" t="s">
        <v>6486</v>
      </c>
      <c r="F8547" t="s">
        <v>47</v>
      </c>
      <c r="G8547" t="s">
        <v>48</v>
      </c>
      <c r="H8547" t="s">
        <v>3957</v>
      </c>
      <c r="I8547" t="s">
        <v>3975</v>
      </c>
      <c r="J8547" t="s">
        <v>13082</v>
      </c>
      <c r="K8547" t="s">
        <v>14362</v>
      </c>
      <c r="L8547" t="s">
        <v>53</v>
      </c>
      <c r="P8547" t="s">
        <v>55</v>
      </c>
      <c r="R8547" t="s">
        <v>56</v>
      </c>
      <c r="T8547" t="s">
        <v>16202</v>
      </c>
      <c r="U8547" t="s">
        <v>58</v>
      </c>
      <c r="V8547">
        <v>2</v>
      </c>
      <c r="W8547">
        <v>2</v>
      </c>
      <c r="X8547">
        <v>4</v>
      </c>
      <c r="Y8547">
        <v>0</v>
      </c>
      <c r="Z8547">
        <v>4</v>
      </c>
      <c r="AA8547">
        <v>0</v>
      </c>
      <c r="AB8547">
        <v>325.62</v>
      </c>
      <c r="AC8547">
        <v>284</v>
      </c>
      <c r="AD8547">
        <v>0</v>
      </c>
      <c r="AE8547">
        <v>41.62</v>
      </c>
      <c r="AF8547">
        <v>0</v>
      </c>
      <c r="AG8547">
        <v>0</v>
      </c>
      <c r="AH8547">
        <v>0</v>
      </c>
      <c r="AI8547">
        <v>0</v>
      </c>
      <c r="AJ8547">
        <v>325.62</v>
      </c>
      <c r="AK8547">
        <v>0</v>
      </c>
      <c r="AL8547" t="s">
        <v>53</v>
      </c>
      <c r="AM8547" t="s">
        <v>53</v>
      </c>
      <c r="AN8547" t="s">
        <v>53</v>
      </c>
      <c r="AO8547" t="s">
        <v>53</v>
      </c>
      <c r="AP8547" t="s">
        <v>53</v>
      </c>
    </row>
    <row r="8548" spans="2:42" x14ac:dyDescent="0.2">
      <c r="B8548" t="s">
        <v>44</v>
      </c>
      <c r="C8548" t="str">
        <f>HYPERLINK("https://us2.cloudbeds.com/connect/8493803454333002#/reservations/228619917578432?display=4UXB9Q5FA0&amp;reservation_id=228619917578432", "4UXB9Q5FA0")</f>
        <v>4UXB9Q5FA0</v>
      </c>
      <c r="D8548" t="s">
        <v>45</v>
      </c>
      <c r="E8548" t="s">
        <v>113</v>
      </c>
      <c r="F8548" t="s">
        <v>61</v>
      </c>
      <c r="G8548" t="s">
        <v>48</v>
      </c>
      <c r="H8548" t="s">
        <v>3957</v>
      </c>
      <c r="I8548" t="s">
        <v>3958</v>
      </c>
      <c r="J8548" t="s">
        <v>14205</v>
      </c>
      <c r="K8548" t="s">
        <v>14206</v>
      </c>
      <c r="L8548" t="s">
        <v>53</v>
      </c>
      <c r="P8548" t="s">
        <v>55</v>
      </c>
      <c r="R8548" t="s">
        <v>56</v>
      </c>
      <c r="T8548" t="s">
        <v>16203</v>
      </c>
      <c r="U8548" t="s">
        <v>58</v>
      </c>
      <c r="V8548">
        <v>1</v>
      </c>
      <c r="W8548">
        <v>1</v>
      </c>
      <c r="X8548">
        <v>1</v>
      </c>
      <c r="Y8548">
        <v>0</v>
      </c>
      <c r="Z8548">
        <v>1</v>
      </c>
      <c r="AA8548">
        <v>168.54</v>
      </c>
      <c r="AB8548">
        <v>168.54</v>
      </c>
      <c r="AC8548">
        <v>147</v>
      </c>
      <c r="AD8548">
        <v>0</v>
      </c>
      <c r="AE8548">
        <v>21.54</v>
      </c>
      <c r="AF8548">
        <v>0</v>
      </c>
      <c r="AG8548">
        <v>0</v>
      </c>
      <c r="AH8548">
        <v>0</v>
      </c>
      <c r="AI8548">
        <v>0</v>
      </c>
      <c r="AJ8548">
        <v>168.54</v>
      </c>
      <c r="AK8548">
        <v>0</v>
      </c>
      <c r="AL8548" t="s">
        <v>53</v>
      </c>
      <c r="AM8548" t="s">
        <v>53</v>
      </c>
      <c r="AN8548" t="s">
        <v>53</v>
      </c>
      <c r="AO8548" t="s">
        <v>53</v>
      </c>
      <c r="AP8548" t="s">
        <v>53</v>
      </c>
    </row>
    <row r="8549" spans="2:42" x14ac:dyDescent="0.2">
      <c r="B8549" t="s">
        <v>44</v>
      </c>
      <c r="C8549" t="str">
        <f>HYPERLINK("https://us2.cloudbeds.com/connect/8493803454333002#/reservations/228627078348928?display=4UXGRP9ED4&amp;reservation_id=228627078348928", "4UXGRP9ED4")</f>
        <v>4UXGRP9ED4</v>
      </c>
      <c r="D8549" t="s">
        <v>45</v>
      </c>
      <c r="E8549" t="s">
        <v>16204</v>
      </c>
      <c r="F8549" t="s">
        <v>5444</v>
      </c>
      <c r="G8549" t="s">
        <v>3974</v>
      </c>
      <c r="H8549" t="s">
        <v>3957</v>
      </c>
      <c r="I8549" t="s">
        <v>3975</v>
      </c>
      <c r="J8549" t="s">
        <v>16205</v>
      </c>
      <c r="K8549" t="s">
        <v>14806</v>
      </c>
      <c r="L8549" t="s">
        <v>53</v>
      </c>
      <c r="P8549" t="s">
        <v>55</v>
      </c>
      <c r="R8549" t="s">
        <v>56</v>
      </c>
      <c r="T8549" t="s">
        <v>16206</v>
      </c>
      <c r="U8549" t="s">
        <v>58</v>
      </c>
      <c r="V8549">
        <v>18</v>
      </c>
      <c r="W8549">
        <v>6</v>
      </c>
      <c r="X8549">
        <v>12</v>
      </c>
      <c r="Y8549">
        <v>0</v>
      </c>
      <c r="Z8549">
        <v>12</v>
      </c>
      <c r="AA8549">
        <v>4108.32</v>
      </c>
      <c r="AB8549">
        <v>6569.33</v>
      </c>
      <c r="AC8549">
        <v>3767.7</v>
      </c>
      <c r="AD8549">
        <v>3.5</v>
      </c>
      <c r="AE8549">
        <v>552.25</v>
      </c>
      <c r="AF8549">
        <v>0</v>
      </c>
      <c r="AG8549">
        <v>0</v>
      </c>
      <c r="AH8549">
        <v>0</v>
      </c>
      <c r="AI8549">
        <v>0</v>
      </c>
      <c r="AJ8549">
        <v>4323.45</v>
      </c>
      <c r="AK8549">
        <v>-420.42</v>
      </c>
      <c r="AL8549" t="s">
        <v>53</v>
      </c>
      <c r="AM8549" t="s">
        <v>53</v>
      </c>
      <c r="AN8549" t="s">
        <v>53</v>
      </c>
      <c r="AO8549" t="s">
        <v>53</v>
      </c>
      <c r="AP8549" t="s">
        <v>53</v>
      </c>
    </row>
    <row r="8550" spans="2:42" x14ac:dyDescent="0.2">
      <c r="B8550" t="s">
        <v>44</v>
      </c>
      <c r="C8550" t="str">
        <f>HYPERLINK("https://us2.cloudbeds.com/connect/8493803454333002#/reservations/9080486848764555?display=4UJDHV61YX&amp;reservation_id=9080486848764555", "4UJDHV61YX")</f>
        <v>4UJDHV61YX</v>
      </c>
      <c r="D8550" t="s">
        <v>45</v>
      </c>
      <c r="E8550" t="s">
        <v>69</v>
      </c>
      <c r="F8550" t="s">
        <v>70</v>
      </c>
      <c r="G8550" t="s">
        <v>48</v>
      </c>
      <c r="H8550" t="s">
        <v>49</v>
      </c>
      <c r="I8550" t="s">
        <v>50</v>
      </c>
      <c r="J8550" t="s">
        <v>13086</v>
      </c>
      <c r="K8550" t="s">
        <v>14831</v>
      </c>
      <c r="L8550" t="s">
        <v>53</v>
      </c>
      <c r="N8550" t="s">
        <v>16207</v>
      </c>
      <c r="P8550" t="s">
        <v>55</v>
      </c>
      <c r="R8550" t="s">
        <v>53</v>
      </c>
      <c r="T8550" t="s">
        <v>16208</v>
      </c>
      <c r="U8550" t="s">
        <v>55</v>
      </c>
      <c r="V8550">
        <v>1</v>
      </c>
      <c r="W8550">
        <v>1</v>
      </c>
      <c r="X8550">
        <v>1</v>
      </c>
      <c r="Y8550">
        <v>0</v>
      </c>
      <c r="Z8550">
        <v>1</v>
      </c>
      <c r="AA8550">
        <v>101.98</v>
      </c>
      <c r="AB8550">
        <v>101.98</v>
      </c>
      <c r="AC8550">
        <v>93.78</v>
      </c>
      <c r="AD8550">
        <v>0</v>
      </c>
      <c r="AE8550">
        <v>8.1999999999999993</v>
      </c>
      <c r="AF8550">
        <v>0</v>
      </c>
      <c r="AG8550">
        <v>0</v>
      </c>
      <c r="AH8550">
        <v>0</v>
      </c>
      <c r="AI8550">
        <v>18.36</v>
      </c>
      <c r="AJ8550">
        <v>101.98</v>
      </c>
      <c r="AK8550">
        <v>0</v>
      </c>
      <c r="AL8550" t="s">
        <v>53</v>
      </c>
      <c r="AM8550" t="s">
        <v>53</v>
      </c>
      <c r="AN8550" t="s">
        <v>16209</v>
      </c>
      <c r="AO8550" t="s">
        <v>53</v>
      </c>
      <c r="AP8550" t="s">
        <v>53</v>
      </c>
    </row>
    <row r="8551" spans="2:42" x14ac:dyDescent="0.2">
      <c r="B8551" t="s">
        <v>44</v>
      </c>
      <c r="C8551" t="str">
        <f>HYPERLINK("https://us2.cloudbeds.com/connect/8493803454333002#/reservations/9080486848765020?display=4UJZAS5AJB&amp;reservation_id=9080486848765020", "4UJZAS5AJB")</f>
        <v>4UJZAS5AJB</v>
      </c>
      <c r="D8551" t="s">
        <v>10291</v>
      </c>
      <c r="E8551" t="s">
        <v>110</v>
      </c>
      <c r="F8551" t="s">
        <v>47</v>
      </c>
      <c r="G8551" t="s">
        <v>48</v>
      </c>
      <c r="H8551" t="s">
        <v>49</v>
      </c>
      <c r="I8551" t="s">
        <v>50</v>
      </c>
      <c r="J8551" t="s">
        <v>15748</v>
      </c>
      <c r="K8551" t="s">
        <v>15024</v>
      </c>
      <c r="L8551" t="s">
        <v>53</v>
      </c>
      <c r="N8551" t="s">
        <v>16210</v>
      </c>
      <c r="P8551" t="s">
        <v>55</v>
      </c>
      <c r="R8551" t="s">
        <v>53</v>
      </c>
      <c r="T8551" t="s">
        <v>16211</v>
      </c>
      <c r="U8551" t="s">
        <v>58</v>
      </c>
      <c r="V8551">
        <v>1</v>
      </c>
      <c r="W8551">
        <v>1</v>
      </c>
      <c r="X8551">
        <v>1</v>
      </c>
      <c r="Y8551">
        <v>0</v>
      </c>
      <c r="Z8551">
        <v>1</v>
      </c>
      <c r="AA8551">
        <v>166.22</v>
      </c>
      <c r="AB8551">
        <v>0</v>
      </c>
      <c r="AC8551">
        <v>144.99</v>
      </c>
      <c r="AD8551">
        <v>0</v>
      </c>
      <c r="AE8551">
        <v>21.23</v>
      </c>
      <c r="AF8551">
        <v>0</v>
      </c>
      <c r="AG8551">
        <v>0</v>
      </c>
      <c r="AH8551">
        <v>0</v>
      </c>
      <c r="AI8551">
        <v>29.92</v>
      </c>
      <c r="AJ8551">
        <v>166.22</v>
      </c>
      <c r="AK8551">
        <v>166.22</v>
      </c>
      <c r="AL8551" t="s">
        <v>53</v>
      </c>
      <c r="AM8551" t="s">
        <v>53</v>
      </c>
      <c r="AN8551" t="s">
        <v>16212</v>
      </c>
      <c r="AO8551" t="s">
        <v>53</v>
      </c>
      <c r="AP8551" t="s">
        <v>53</v>
      </c>
    </row>
    <row r="8552" spans="2:42" x14ac:dyDescent="0.2">
      <c r="B8552" t="s">
        <v>44</v>
      </c>
      <c r="C8552" t="str">
        <f>HYPERLINK("https://us2.cloudbeds.com/connect/8493803454333002#/reservations/9080486848769110?display=4UN8SDEWHN&amp;reservation_id=9080486848769110", "4UN8SDEWHN")</f>
        <v>4UN8SDEWHN</v>
      </c>
      <c r="D8552" t="s">
        <v>45</v>
      </c>
      <c r="E8552" t="s">
        <v>179</v>
      </c>
      <c r="F8552" t="s">
        <v>47</v>
      </c>
      <c r="G8552" t="s">
        <v>48</v>
      </c>
      <c r="H8552" t="s">
        <v>49</v>
      </c>
      <c r="I8552" t="s">
        <v>50</v>
      </c>
      <c r="J8552" t="s">
        <v>13081</v>
      </c>
      <c r="K8552" t="s">
        <v>13068</v>
      </c>
      <c r="L8552" t="s">
        <v>53</v>
      </c>
      <c r="N8552" t="s">
        <v>16213</v>
      </c>
      <c r="P8552" t="s">
        <v>55</v>
      </c>
      <c r="R8552" t="s">
        <v>53</v>
      </c>
      <c r="T8552" t="s">
        <v>16214</v>
      </c>
      <c r="U8552" t="s">
        <v>55</v>
      </c>
      <c r="V8552">
        <v>5</v>
      </c>
      <c r="W8552">
        <v>1</v>
      </c>
      <c r="X8552">
        <v>2</v>
      </c>
      <c r="Y8552">
        <v>0</v>
      </c>
      <c r="Z8552">
        <v>2</v>
      </c>
      <c r="AA8552">
        <v>389.92</v>
      </c>
      <c r="AB8552">
        <v>398.13</v>
      </c>
      <c r="AC8552">
        <v>358.54</v>
      </c>
      <c r="AD8552">
        <v>7.5</v>
      </c>
      <c r="AE8552">
        <v>32.090000000000003</v>
      </c>
      <c r="AF8552">
        <v>0</v>
      </c>
      <c r="AG8552">
        <v>0</v>
      </c>
      <c r="AH8552">
        <v>0</v>
      </c>
      <c r="AI8552">
        <v>71.66</v>
      </c>
      <c r="AJ8552">
        <v>398.13</v>
      </c>
      <c r="AK8552">
        <v>0</v>
      </c>
      <c r="AL8552" t="s">
        <v>53</v>
      </c>
      <c r="AM8552" t="s">
        <v>53</v>
      </c>
      <c r="AN8552" t="s">
        <v>53</v>
      </c>
      <c r="AO8552" t="s">
        <v>53</v>
      </c>
      <c r="AP8552" t="s">
        <v>53</v>
      </c>
    </row>
    <row r="8553" spans="2:42" x14ac:dyDescent="0.2">
      <c r="B8553" t="s">
        <v>44</v>
      </c>
      <c r="C8553" t="str">
        <f>HYPERLINK("https://us2.cloudbeds.com/connect/8493803454333002#/reservations/9080486848769208?display=4UNB0A78U5&amp;reservation_id=9080486848769208", "4UNB0A78U5")</f>
        <v>4UNB0A78U5</v>
      </c>
      <c r="D8553" t="s">
        <v>45</v>
      </c>
      <c r="E8553" t="s">
        <v>110</v>
      </c>
      <c r="F8553" t="s">
        <v>47</v>
      </c>
      <c r="G8553" t="s">
        <v>48</v>
      </c>
      <c r="H8553" t="s">
        <v>49</v>
      </c>
      <c r="I8553" t="s">
        <v>50</v>
      </c>
      <c r="J8553" t="s">
        <v>14206</v>
      </c>
      <c r="K8553" t="s">
        <v>13081</v>
      </c>
      <c r="L8553" t="s">
        <v>53</v>
      </c>
      <c r="N8553" t="s">
        <v>16215</v>
      </c>
      <c r="P8553" t="s">
        <v>55</v>
      </c>
      <c r="R8553" t="s">
        <v>53</v>
      </c>
      <c r="T8553" t="s">
        <v>16216</v>
      </c>
      <c r="U8553" t="s">
        <v>55</v>
      </c>
      <c r="V8553">
        <v>1</v>
      </c>
      <c r="W8553">
        <v>1</v>
      </c>
      <c r="X8553">
        <v>2</v>
      </c>
      <c r="Y8553">
        <v>0</v>
      </c>
      <c r="Z8553">
        <v>2</v>
      </c>
      <c r="AA8553">
        <v>95.71</v>
      </c>
      <c r="AB8553">
        <v>95.71</v>
      </c>
      <c r="AC8553">
        <v>88.01</v>
      </c>
      <c r="AD8553">
        <v>0</v>
      </c>
      <c r="AE8553">
        <v>7.7</v>
      </c>
      <c r="AF8553">
        <v>0</v>
      </c>
      <c r="AG8553">
        <v>0</v>
      </c>
      <c r="AH8553">
        <v>0</v>
      </c>
      <c r="AI8553">
        <v>17.23</v>
      </c>
      <c r="AJ8553">
        <v>95.71</v>
      </c>
      <c r="AK8553">
        <v>0</v>
      </c>
      <c r="AL8553" t="s">
        <v>53</v>
      </c>
      <c r="AM8553" t="s">
        <v>53</v>
      </c>
      <c r="AN8553" t="s">
        <v>53</v>
      </c>
      <c r="AO8553" t="s">
        <v>53</v>
      </c>
      <c r="AP8553" t="s">
        <v>53</v>
      </c>
    </row>
    <row r="8554" spans="2:42" x14ac:dyDescent="0.2">
      <c r="B8554" t="s">
        <v>44</v>
      </c>
      <c r="C8554" t="str">
        <f>HYPERLINK("https://us2.cloudbeds.com/connect/8493803454333002#/reservations/9080486848769698?display=4UNY3TPYYF&amp;reservation_id=9080486848769698", "4UNY3TPYYF")</f>
        <v>4UNY3TPYYF</v>
      </c>
      <c r="D8554" t="s">
        <v>45</v>
      </c>
      <c r="E8554" t="s">
        <v>110</v>
      </c>
      <c r="F8554" t="s">
        <v>47</v>
      </c>
      <c r="G8554" t="s">
        <v>48</v>
      </c>
      <c r="H8554" t="s">
        <v>49</v>
      </c>
      <c r="I8554" t="s">
        <v>50</v>
      </c>
      <c r="J8554" t="s">
        <v>13081</v>
      </c>
      <c r="K8554" t="s">
        <v>13082</v>
      </c>
      <c r="L8554" t="s">
        <v>53</v>
      </c>
      <c r="N8554" t="s">
        <v>16217</v>
      </c>
      <c r="P8554" t="s">
        <v>55</v>
      </c>
      <c r="R8554" t="s">
        <v>53</v>
      </c>
      <c r="T8554" t="s">
        <v>16218</v>
      </c>
      <c r="U8554" t="s">
        <v>55</v>
      </c>
      <c r="V8554">
        <v>1</v>
      </c>
      <c r="W8554">
        <v>1</v>
      </c>
      <c r="X8554">
        <v>2</v>
      </c>
      <c r="Y8554">
        <v>0</v>
      </c>
      <c r="Z8554">
        <v>2</v>
      </c>
      <c r="AA8554">
        <v>107.47</v>
      </c>
      <c r="AB8554">
        <v>107.47</v>
      </c>
      <c r="AC8554">
        <v>98.82</v>
      </c>
      <c r="AD8554">
        <v>0</v>
      </c>
      <c r="AE8554">
        <v>8.65</v>
      </c>
      <c r="AF8554">
        <v>0</v>
      </c>
      <c r="AG8554">
        <v>0</v>
      </c>
      <c r="AH8554">
        <v>0</v>
      </c>
      <c r="AI8554">
        <v>19.34</v>
      </c>
      <c r="AJ8554">
        <v>107.47</v>
      </c>
      <c r="AK8554">
        <v>0</v>
      </c>
      <c r="AL8554" t="s">
        <v>53</v>
      </c>
      <c r="AM8554" t="s">
        <v>53</v>
      </c>
      <c r="AN8554" t="s">
        <v>16219</v>
      </c>
      <c r="AO8554" t="s">
        <v>53</v>
      </c>
      <c r="AP8554" t="s">
        <v>53</v>
      </c>
    </row>
    <row r="8555" spans="2:42" x14ac:dyDescent="0.2">
      <c r="B8555" t="s">
        <v>44</v>
      </c>
      <c r="C8555" t="str">
        <f>HYPERLINK("https://us2.cloudbeds.com/connect/8493803454333002#/reservations/228861589090496?display=4UZ0E1W6G1&amp;reservation_id=228861589090496", "4UZ0E1W6G1")</f>
        <v>4UZ0E1W6G1</v>
      </c>
      <c r="D8555" t="s">
        <v>45</v>
      </c>
      <c r="E8555" t="s">
        <v>69</v>
      </c>
      <c r="F8555" t="s">
        <v>70</v>
      </c>
      <c r="G8555" t="s">
        <v>48</v>
      </c>
      <c r="H8555" t="s">
        <v>3957</v>
      </c>
      <c r="I8555" t="s">
        <v>3975</v>
      </c>
      <c r="J8555" t="s">
        <v>13081</v>
      </c>
      <c r="K8555" t="s">
        <v>13082</v>
      </c>
      <c r="L8555" t="s">
        <v>53</v>
      </c>
      <c r="P8555" t="s">
        <v>55</v>
      </c>
      <c r="R8555" t="s">
        <v>56</v>
      </c>
      <c r="T8555" t="s">
        <v>16220</v>
      </c>
      <c r="U8555" t="s">
        <v>58</v>
      </c>
      <c r="V8555">
        <v>1</v>
      </c>
      <c r="W8555">
        <v>1</v>
      </c>
      <c r="X8555">
        <v>1</v>
      </c>
      <c r="Y8555">
        <v>0</v>
      </c>
      <c r="Z8555">
        <v>1</v>
      </c>
      <c r="AA8555">
        <v>147.9</v>
      </c>
      <c r="AB8555">
        <v>147.9</v>
      </c>
      <c r="AC8555">
        <v>129</v>
      </c>
      <c r="AD8555">
        <v>0</v>
      </c>
      <c r="AE8555">
        <v>18.899999999999999</v>
      </c>
      <c r="AF8555">
        <v>0</v>
      </c>
      <c r="AG8555">
        <v>0</v>
      </c>
      <c r="AH8555">
        <v>0</v>
      </c>
      <c r="AI8555">
        <v>0</v>
      </c>
      <c r="AJ8555">
        <v>147.9</v>
      </c>
      <c r="AK8555">
        <v>0</v>
      </c>
      <c r="AL8555" t="s">
        <v>53</v>
      </c>
      <c r="AM8555" t="s">
        <v>53</v>
      </c>
      <c r="AN8555" t="s">
        <v>53</v>
      </c>
      <c r="AO8555" t="s">
        <v>53</v>
      </c>
      <c r="AP8555" t="s">
        <v>53</v>
      </c>
    </row>
    <row r="8556" spans="2:42" x14ac:dyDescent="0.2">
      <c r="B8556" t="s">
        <v>44</v>
      </c>
      <c r="C8556" t="str">
        <f>HYPERLINK("https://us2.cloudbeds.com/connect/8493803454333002#/reservations/9080486848770376?display=4UZ11FFHG7&amp;reservation_id=9080486848770376", "4UZ11FFHG7")</f>
        <v>4UZ11FFHG7</v>
      </c>
      <c r="D8556" t="s">
        <v>45</v>
      </c>
      <c r="E8556" t="s">
        <v>69</v>
      </c>
      <c r="F8556" t="s">
        <v>70</v>
      </c>
      <c r="G8556" t="s">
        <v>48</v>
      </c>
      <c r="H8556" t="s">
        <v>49</v>
      </c>
      <c r="I8556" t="s">
        <v>50</v>
      </c>
      <c r="J8556" t="s">
        <v>14362</v>
      </c>
      <c r="K8556" t="s">
        <v>15237</v>
      </c>
      <c r="L8556" t="s">
        <v>53</v>
      </c>
      <c r="N8556" t="s">
        <v>16221</v>
      </c>
      <c r="P8556" t="s">
        <v>55</v>
      </c>
      <c r="R8556" t="s">
        <v>53</v>
      </c>
      <c r="T8556" t="s">
        <v>16222</v>
      </c>
      <c r="U8556" t="s">
        <v>58</v>
      </c>
      <c r="V8556">
        <v>1</v>
      </c>
      <c r="W8556">
        <v>1</v>
      </c>
      <c r="X8556">
        <v>1</v>
      </c>
      <c r="Y8556">
        <v>0</v>
      </c>
      <c r="Z8556">
        <v>1</v>
      </c>
      <c r="AA8556">
        <v>84.06</v>
      </c>
      <c r="AB8556">
        <v>84.06</v>
      </c>
      <c r="AC8556">
        <v>73.31</v>
      </c>
      <c r="AD8556">
        <v>0</v>
      </c>
      <c r="AE8556">
        <v>10.75</v>
      </c>
      <c r="AF8556">
        <v>0</v>
      </c>
      <c r="AG8556">
        <v>0</v>
      </c>
      <c r="AH8556">
        <v>0</v>
      </c>
      <c r="AI8556">
        <v>15.13</v>
      </c>
      <c r="AJ8556">
        <v>84.06</v>
      </c>
      <c r="AK8556">
        <v>0</v>
      </c>
      <c r="AL8556" t="s">
        <v>53</v>
      </c>
      <c r="AM8556" t="s">
        <v>53</v>
      </c>
      <c r="AN8556" t="s">
        <v>16223</v>
      </c>
      <c r="AO8556" t="s">
        <v>53</v>
      </c>
      <c r="AP8556" t="s">
        <v>53</v>
      </c>
    </row>
    <row r="8557" spans="2:42" x14ac:dyDescent="0.2">
      <c r="B8557" t="s">
        <v>44</v>
      </c>
      <c r="C8557" t="str">
        <f>HYPERLINK("https://us2.cloudbeds.com/connect/8493803454333002#/reservations/228864447815808?display=4UZ2Y3HTN7&amp;reservation_id=228864447815808", "4UZ2Y3HTN7")</f>
        <v>4UZ2Y3HTN7</v>
      </c>
      <c r="D8557" t="s">
        <v>45</v>
      </c>
      <c r="E8557" t="s">
        <v>265</v>
      </c>
      <c r="F8557" t="s">
        <v>61</v>
      </c>
      <c r="G8557" t="s">
        <v>48</v>
      </c>
      <c r="H8557" t="s">
        <v>3957</v>
      </c>
      <c r="I8557" t="s">
        <v>3975</v>
      </c>
      <c r="J8557" t="s">
        <v>13081</v>
      </c>
      <c r="K8557" t="s">
        <v>13082</v>
      </c>
      <c r="L8557" t="s">
        <v>53</v>
      </c>
      <c r="P8557" t="s">
        <v>55</v>
      </c>
      <c r="R8557" t="s">
        <v>56</v>
      </c>
      <c r="T8557" t="s">
        <v>16224</v>
      </c>
      <c r="U8557" t="s">
        <v>58</v>
      </c>
      <c r="V8557">
        <v>1</v>
      </c>
      <c r="W8557">
        <v>1</v>
      </c>
      <c r="X8557">
        <v>2</v>
      </c>
      <c r="Y8557">
        <v>0</v>
      </c>
      <c r="Z8557">
        <v>2</v>
      </c>
      <c r="AA8557">
        <v>198.35</v>
      </c>
      <c r="AB8557">
        <v>198.35</v>
      </c>
      <c r="AC8557">
        <v>173</v>
      </c>
      <c r="AD8557">
        <v>0</v>
      </c>
      <c r="AE8557">
        <v>25.35</v>
      </c>
      <c r="AF8557">
        <v>0</v>
      </c>
      <c r="AG8557">
        <v>0</v>
      </c>
      <c r="AH8557">
        <v>0</v>
      </c>
      <c r="AI8557">
        <v>0</v>
      </c>
      <c r="AJ8557">
        <v>198.35</v>
      </c>
      <c r="AK8557">
        <v>0</v>
      </c>
      <c r="AL8557" t="s">
        <v>53</v>
      </c>
      <c r="AM8557" t="s">
        <v>53</v>
      </c>
      <c r="AN8557" t="s">
        <v>16225</v>
      </c>
      <c r="AO8557" t="s">
        <v>53</v>
      </c>
      <c r="AP8557" t="s">
        <v>53</v>
      </c>
    </row>
    <row r="8558" spans="2:42" x14ac:dyDescent="0.2">
      <c r="B8558" t="s">
        <v>44</v>
      </c>
      <c r="C8558" t="str">
        <f>HYPERLINK("https://us2.cloudbeds.com/connect/8493803454333002#/reservations/9080486848770795?display=4UZ8D2JGJP&amp;reservation_id=9080486848770795", "4UZ8D2JGJP")</f>
        <v>4UZ8D2JGJP</v>
      </c>
      <c r="D8558" t="s">
        <v>45</v>
      </c>
      <c r="E8558" t="s">
        <v>179</v>
      </c>
      <c r="F8558" t="s">
        <v>47</v>
      </c>
      <c r="G8558" t="s">
        <v>48</v>
      </c>
      <c r="H8558" t="s">
        <v>49</v>
      </c>
      <c r="I8558" t="s">
        <v>50</v>
      </c>
      <c r="J8558" t="s">
        <v>14206</v>
      </c>
      <c r="K8558" t="s">
        <v>13081</v>
      </c>
      <c r="L8558" t="s">
        <v>53</v>
      </c>
      <c r="N8558" t="s">
        <v>16226</v>
      </c>
      <c r="P8558" t="s">
        <v>55</v>
      </c>
      <c r="R8558" t="s">
        <v>53</v>
      </c>
      <c r="T8558" t="s">
        <v>16227</v>
      </c>
      <c r="U8558" t="s">
        <v>55</v>
      </c>
      <c r="V8558">
        <v>1</v>
      </c>
      <c r="W8558">
        <v>1</v>
      </c>
      <c r="X8558">
        <v>2</v>
      </c>
      <c r="Y8558">
        <v>0</v>
      </c>
      <c r="Z8558">
        <v>2</v>
      </c>
      <c r="AA8558">
        <v>95.71</v>
      </c>
      <c r="AB8558">
        <v>95.71</v>
      </c>
      <c r="AC8558">
        <v>88.01</v>
      </c>
      <c r="AD8558">
        <v>0</v>
      </c>
      <c r="AE8558">
        <v>7.7</v>
      </c>
      <c r="AF8558">
        <v>0</v>
      </c>
      <c r="AG8558">
        <v>0</v>
      </c>
      <c r="AH8558">
        <v>0</v>
      </c>
      <c r="AI8558">
        <v>17.23</v>
      </c>
      <c r="AJ8558">
        <v>95.71</v>
      </c>
      <c r="AK8558">
        <v>0</v>
      </c>
      <c r="AL8558" t="s">
        <v>53</v>
      </c>
      <c r="AM8558" t="s">
        <v>53</v>
      </c>
      <c r="AN8558" t="s">
        <v>16228</v>
      </c>
      <c r="AO8558" t="s">
        <v>53</v>
      </c>
      <c r="AP8558" t="s">
        <v>53</v>
      </c>
    </row>
    <row r="8559" spans="2:42" x14ac:dyDescent="0.2">
      <c r="B8559" t="s">
        <v>44</v>
      </c>
      <c r="C8559" t="str">
        <f>HYPERLINK("https://us2.cloudbeds.com/connect/8493803454333002#/reservations/9080486848771083?display=4UZDQNM3F0&amp;reservation_id=9080486848771083", "4UZDQNM3F0")</f>
        <v>4UZDQNM3F0</v>
      </c>
      <c r="D8559" t="s">
        <v>45</v>
      </c>
      <c r="E8559" t="s">
        <v>138</v>
      </c>
      <c r="F8559" t="s">
        <v>70</v>
      </c>
      <c r="G8559" t="s">
        <v>48</v>
      </c>
      <c r="H8559" t="s">
        <v>49</v>
      </c>
      <c r="I8559" t="s">
        <v>50</v>
      </c>
      <c r="J8559" t="s">
        <v>14669</v>
      </c>
      <c r="K8559" t="s">
        <v>14655</v>
      </c>
      <c r="L8559" t="s">
        <v>53</v>
      </c>
      <c r="N8559" t="s">
        <v>16229</v>
      </c>
      <c r="P8559" t="s">
        <v>55</v>
      </c>
      <c r="R8559" t="s">
        <v>53</v>
      </c>
      <c r="T8559" t="s">
        <v>16230</v>
      </c>
      <c r="U8559" t="s">
        <v>55</v>
      </c>
      <c r="V8559">
        <v>2</v>
      </c>
      <c r="W8559">
        <v>1</v>
      </c>
      <c r="X8559">
        <v>1</v>
      </c>
      <c r="Y8559">
        <v>0</v>
      </c>
      <c r="Z8559">
        <v>1</v>
      </c>
      <c r="AA8559">
        <v>236.01</v>
      </c>
      <c r="AB8559">
        <v>236.01</v>
      </c>
      <c r="AC8559">
        <v>217.01</v>
      </c>
      <c r="AD8559">
        <v>0</v>
      </c>
      <c r="AE8559">
        <v>19</v>
      </c>
      <c r="AF8559">
        <v>0</v>
      </c>
      <c r="AG8559">
        <v>0</v>
      </c>
      <c r="AH8559">
        <v>0</v>
      </c>
      <c r="AI8559">
        <v>42.48</v>
      </c>
      <c r="AJ8559">
        <v>236.01</v>
      </c>
      <c r="AK8559">
        <v>0</v>
      </c>
      <c r="AL8559" t="s">
        <v>53</v>
      </c>
      <c r="AM8559" t="s">
        <v>53</v>
      </c>
      <c r="AN8559" t="s">
        <v>16231</v>
      </c>
      <c r="AO8559" t="s">
        <v>53</v>
      </c>
      <c r="AP8559" t="s">
        <v>53</v>
      </c>
    </row>
    <row r="8560" spans="2:42" x14ac:dyDescent="0.2">
      <c r="B8560" t="s">
        <v>44</v>
      </c>
      <c r="C8560" t="str">
        <f>HYPERLINK("https://us2.cloudbeds.com/connect/8493803454333002#/reservations/9080486848771925?display=4UZU1Z8FK4&amp;reservation_id=9080486848771925", "4UZU1Z8FK4")</f>
        <v>4UZU1Z8FK4</v>
      </c>
      <c r="D8560" t="s">
        <v>45</v>
      </c>
      <c r="E8560" t="s">
        <v>128</v>
      </c>
      <c r="F8560" t="s">
        <v>86</v>
      </c>
      <c r="G8560" t="s">
        <v>48</v>
      </c>
      <c r="H8560" t="s">
        <v>49</v>
      </c>
      <c r="I8560" t="s">
        <v>50</v>
      </c>
      <c r="J8560" t="s">
        <v>13081</v>
      </c>
      <c r="K8560" t="s">
        <v>13082</v>
      </c>
      <c r="L8560" t="s">
        <v>53</v>
      </c>
      <c r="N8560" t="s">
        <v>16232</v>
      </c>
      <c r="P8560" t="s">
        <v>55</v>
      </c>
      <c r="R8560" t="s">
        <v>53</v>
      </c>
      <c r="T8560" t="s">
        <v>16233</v>
      </c>
      <c r="U8560" t="s">
        <v>55</v>
      </c>
      <c r="V8560">
        <v>1</v>
      </c>
      <c r="W8560">
        <v>1</v>
      </c>
      <c r="X8560">
        <v>2</v>
      </c>
      <c r="Y8560">
        <v>1</v>
      </c>
      <c r="Z8560">
        <v>3</v>
      </c>
      <c r="AA8560">
        <v>188.29</v>
      </c>
      <c r="AB8560">
        <v>188.29</v>
      </c>
      <c r="AC8560">
        <v>173.14</v>
      </c>
      <c r="AD8560">
        <v>0</v>
      </c>
      <c r="AE8560">
        <v>15.15</v>
      </c>
      <c r="AF8560">
        <v>0</v>
      </c>
      <c r="AG8560">
        <v>0</v>
      </c>
      <c r="AH8560">
        <v>0</v>
      </c>
      <c r="AI8560">
        <v>33.89</v>
      </c>
      <c r="AJ8560">
        <v>188.29</v>
      </c>
      <c r="AK8560">
        <v>0</v>
      </c>
      <c r="AL8560" t="s">
        <v>53</v>
      </c>
      <c r="AM8560" t="s">
        <v>53</v>
      </c>
      <c r="AN8560" t="s">
        <v>16234</v>
      </c>
      <c r="AO8560" t="s">
        <v>53</v>
      </c>
      <c r="AP8560" t="s">
        <v>53</v>
      </c>
    </row>
    <row r="8561" spans="2:42" x14ac:dyDescent="0.2">
      <c r="B8561" t="s">
        <v>44</v>
      </c>
      <c r="C8561" t="str">
        <f>HYPERLINK("https://us2.cloudbeds.com/connect/8493803454333002#/reservations/9080486848772308?display=4UP4PKEBN4&amp;reservation_id=9080486848772308", "4UP4PKEBN4")</f>
        <v>4UP4PKEBN4</v>
      </c>
      <c r="D8561" t="s">
        <v>45</v>
      </c>
      <c r="E8561" t="s">
        <v>14695</v>
      </c>
      <c r="F8561" t="s">
        <v>47</v>
      </c>
      <c r="G8561" t="s">
        <v>48</v>
      </c>
      <c r="H8561" t="s">
        <v>49</v>
      </c>
      <c r="I8561" t="s">
        <v>50</v>
      </c>
      <c r="J8561" t="s">
        <v>13081</v>
      </c>
      <c r="K8561" t="s">
        <v>13082</v>
      </c>
      <c r="L8561" t="s">
        <v>53</v>
      </c>
      <c r="N8561" t="s">
        <v>16235</v>
      </c>
      <c r="P8561" t="s">
        <v>55</v>
      </c>
      <c r="R8561" t="s">
        <v>53</v>
      </c>
      <c r="T8561" t="s">
        <v>16236</v>
      </c>
      <c r="U8561" t="s">
        <v>55</v>
      </c>
      <c r="V8561">
        <v>1</v>
      </c>
      <c r="W8561">
        <v>1</v>
      </c>
      <c r="X8561">
        <v>1</v>
      </c>
      <c r="Y8561">
        <v>0</v>
      </c>
      <c r="Z8561">
        <v>1</v>
      </c>
      <c r="AA8561">
        <v>114.19</v>
      </c>
      <c r="AB8561">
        <v>114.19</v>
      </c>
      <c r="AC8561">
        <v>105</v>
      </c>
      <c r="AD8561">
        <v>0</v>
      </c>
      <c r="AE8561">
        <v>9.19</v>
      </c>
      <c r="AF8561">
        <v>0</v>
      </c>
      <c r="AG8561">
        <v>0</v>
      </c>
      <c r="AH8561">
        <v>0</v>
      </c>
      <c r="AI8561">
        <v>20.55</v>
      </c>
      <c r="AJ8561">
        <v>114.19</v>
      </c>
      <c r="AK8561">
        <v>0</v>
      </c>
      <c r="AL8561" t="s">
        <v>53</v>
      </c>
      <c r="AM8561" t="s">
        <v>53</v>
      </c>
      <c r="AN8561" t="s">
        <v>16237</v>
      </c>
      <c r="AO8561" t="s">
        <v>53</v>
      </c>
      <c r="AP8561" t="s">
        <v>53</v>
      </c>
    </row>
    <row r="8562" spans="2:42" x14ac:dyDescent="0.2">
      <c r="B8562" t="s">
        <v>44</v>
      </c>
      <c r="C8562" t="str">
        <f>HYPERLINK("https://us2.cloudbeds.com/connect/8493803454333002#/reservations/228967344816320?display=4UQGABWUQ8&amp;reservation_id=228967344816320", "4UQGABWUQ8")</f>
        <v>4UQGABWUQ8</v>
      </c>
      <c r="D8562" t="s">
        <v>45</v>
      </c>
      <c r="E8562" t="s">
        <v>16238</v>
      </c>
      <c r="F8562" t="s">
        <v>1514</v>
      </c>
      <c r="G8562" t="s">
        <v>48</v>
      </c>
      <c r="H8562" t="s">
        <v>3957</v>
      </c>
      <c r="I8562" t="s">
        <v>3975</v>
      </c>
      <c r="J8562" t="s">
        <v>15594</v>
      </c>
      <c r="K8562" t="s">
        <v>14655</v>
      </c>
      <c r="L8562" t="s">
        <v>53</v>
      </c>
      <c r="P8562" t="s">
        <v>55</v>
      </c>
      <c r="R8562" t="s">
        <v>56</v>
      </c>
      <c r="T8562" t="s">
        <v>16239</v>
      </c>
      <c r="U8562" t="s">
        <v>58</v>
      </c>
      <c r="V8562">
        <v>2</v>
      </c>
      <c r="W8562">
        <v>2</v>
      </c>
      <c r="X8562">
        <v>2</v>
      </c>
      <c r="Y8562">
        <v>0</v>
      </c>
      <c r="Z8562">
        <v>2</v>
      </c>
      <c r="AA8562">
        <v>0</v>
      </c>
      <c r="AB8562">
        <v>338.23</v>
      </c>
      <c r="AC8562">
        <v>295</v>
      </c>
      <c r="AD8562">
        <v>0</v>
      </c>
      <c r="AE8562">
        <v>43.23</v>
      </c>
      <c r="AF8562">
        <v>0</v>
      </c>
      <c r="AG8562">
        <v>0</v>
      </c>
      <c r="AH8562">
        <v>0</v>
      </c>
      <c r="AI8562">
        <v>0</v>
      </c>
      <c r="AJ8562">
        <v>338.23</v>
      </c>
      <c r="AK8562">
        <v>0</v>
      </c>
      <c r="AL8562" t="s">
        <v>53</v>
      </c>
      <c r="AM8562" t="s">
        <v>53</v>
      </c>
      <c r="AN8562" t="s">
        <v>16240</v>
      </c>
      <c r="AO8562" t="s">
        <v>53</v>
      </c>
      <c r="AP8562" t="s">
        <v>53</v>
      </c>
    </row>
    <row r="8563" spans="2:42" x14ac:dyDescent="0.2">
      <c r="B8563" t="s">
        <v>44</v>
      </c>
      <c r="C8563" t="str">
        <f>HYPERLINK("https://us2.cloudbeds.com/connect/8493803454333002#/reservations/9080486848775041?display=4UR2VUQ8GX&amp;reservation_id=9080486848775041", "4UR2VUQ8GX")</f>
        <v>4UR2VUQ8GX</v>
      </c>
      <c r="D8563" t="s">
        <v>45</v>
      </c>
      <c r="E8563" t="s">
        <v>138</v>
      </c>
      <c r="F8563" t="s">
        <v>70</v>
      </c>
      <c r="G8563" t="s">
        <v>48</v>
      </c>
      <c r="H8563" t="s">
        <v>49</v>
      </c>
      <c r="I8563" t="s">
        <v>50</v>
      </c>
      <c r="J8563" t="s">
        <v>12863</v>
      </c>
      <c r="K8563" t="s">
        <v>13085</v>
      </c>
      <c r="L8563" t="s">
        <v>53</v>
      </c>
      <c r="N8563" t="s">
        <v>16241</v>
      </c>
      <c r="P8563" t="s">
        <v>55</v>
      </c>
      <c r="R8563" t="s">
        <v>53</v>
      </c>
      <c r="T8563" t="s">
        <v>16242</v>
      </c>
      <c r="U8563" t="s">
        <v>55</v>
      </c>
      <c r="V8563">
        <v>1</v>
      </c>
      <c r="W8563">
        <v>1</v>
      </c>
      <c r="X8563">
        <v>2</v>
      </c>
      <c r="Y8563">
        <v>0</v>
      </c>
      <c r="Z8563">
        <v>2</v>
      </c>
      <c r="AA8563">
        <v>138.07</v>
      </c>
      <c r="AB8563">
        <v>138.07</v>
      </c>
      <c r="AC8563">
        <v>126.96</v>
      </c>
      <c r="AD8563">
        <v>0</v>
      </c>
      <c r="AE8563">
        <v>11.11</v>
      </c>
      <c r="AF8563">
        <v>0</v>
      </c>
      <c r="AG8563">
        <v>0</v>
      </c>
      <c r="AH8563">
        <v>0</v>
      </c>
      <c r="AI8563">
        <v>24.85</v>
      </c>
      <c r="AJ8563">
        <v>138.07</v>
      </c>
      <c r="AK8563">
        <v>0</v>
      </c>
      <c r="AL8563" t="s">
        <v>53</v>
      </c>
      <c r="AM8563" t="s">
        <v>53</v>
      </c>
      <c r="AN8563" t="s">
        <v>53</v>
      </c>
      <c r="AO8563" t="s">
        <v>53</v>
      </c>
      <c r="AP8563" t="s">
        <v>53</v>
      </c>
    </row>
    <row r="8564" spans="2:42" x14ac:dyDescent="0.2">
      <c r="B8564" t="s">
        <v>44</v>
      </c>
      <c r="C8564" t="str">
        <f>HYPERLINK("https://us2.cloudbeds.com/connect/8493803454333002#/reservations/9080486848775079?display=4UR3W5WZPA&amp;reservation_id=9080486848775079", "4UR3W5WZPA")</f>
        <v>4UR3W5WZPA</v>
      </c>
      <c r="D8564" t="s">
        <v>45</v>
      </c>
      <c r="E8564" t="s">
        <v>105</v>
      </c>
      <c r="F8564" t="s">
        <v>47</v>
      </c>
      <c r="G8564" t="s">
        <v>48</v>
      </c>
      <c r="H8564" t="s">
        <v>49</v>
      </c>
      <c r="I8564" t="s">
        <v>50</v>
      </c>
      <c r="J8564" t="s">
        <v>13081</v>
      </c>
      <c r="K8564" t="s">
        <v>13082</v>
      </c>
      <c r="L8564" t="s">
        <v>53</v>
      </c>
      <c r="N8564" t="s">
        <v>16243</v>
      </c>
      <c r="P8564" t="s">
        <v>55</v>
      </c>
      <c r="R8564" t="s">
        <v>53</v>
      </c>
      <c r="T8564" t="s">
        <v>16244</v>
      </c>
      <c r="U8564" t="s">
        <v>55</v>
      </c>
      <c r="V8564">
        <v>1</v>
      </c>
      <c r="W8564">
        <v>1</v>
      </c>
      <c r="X8564">
        <v>1</v>
      </c>
      <c r="Y8564">
        <v>0</v>
      </c>
      <c r="Z8564">
        <v>1</v>
      </c>
      <c r="AA8564">
        <v>114.19</v>
      </c>
      <c r="AB8564">
        <v>114.19</v>
      </c>
      <c r="AC8564">
        <v>105</v>
      </c>
      <c r="AD8564">
        <v>0</v>
      </c>
      <c r="AE8564">
        <v>9.19</v>
      </c>
      <c r="AF8564">
        <v>0</v>
      </c>
      <c r="AG8564">
        <v>0</v>
      </c>
      <c r="AH8564">
        <v>0</v>
      </c>
      <c r="AI8564">
        <v>20.55</v>
      </c>
      <c r="AJ8564">
        <v>114.19</v>
      </c>
      <c r="AK8564">
        <v>0</v>
      </c>
      <c r="AL8564" t="s">
        <v>53</v>
      </c>
      <c r="AM8564" t="s">
        <v>53</v>
      </c>
      <c r="AN8564" t="s">
        <v>53</v>
      </c>
      <c r="AO8564" t="s">
        <v>53</v>
      </c>
      <c r="AP8564" t="s">
        <v>53</v>
      </c>
    </row>
    <row r="8565" spans="2:42" x14ac:dyDescent="0.2">
      <c r="B8565" t="s">
        <v>44</v>
      </c>
      <c r="C8565" t="str">
        <f>HYPERLINK("https://us2.cloudbeds.com/connect/8493803454333002#/reservations/9080486848776240?display=4US3KWW1ES&amp;reservation_id=9080486848776240", "4US3KWW1ES")</f>
        <v>4US3KWW1ES</v>
      </c>
      <c r="D8565" t="s">
        <v>45</v>
      </c>
      <c r="E8565" t="s">
        <v>113</v>
      </c>
      <c r="F8565" t="s">
        <v>61</v>
      </c>
      <c r="G8565" t="s">
        <v>48</v>
      </c>
      <c r="H8565" t="s">
        <v>49</v>
      </c>
      <c r="I8565" t="s">
        <v>50</v>
      </c>
      <c r="J8565" t="s">
        <v>14348</v>
      </c>
      <c r="K8565" t="s">
        <v>14623</v>
      </c>
      <c r="L8565" t="s">
        <v>53</v>
      </c>
      <c r="N8565" t="s">
        <v>16245</v>
      </c>
      <c r="P8565" t="s">
        <v>55</v>
      </c>
      <c r="R8565" t="s">
        <v>53</v>
      </c>
      <c r="T8565" t="s">
        <v>16246</v>
      </c>
      <c r="U8565" t="s">
        <v>55</v>
      </c>
      <c r="V8565">
        <v>1</v>
      </c>
      <c r="W8565">
        <v>1</v>
      </c>
      <c r="X8565">
        <v>2</v>
      </c>
      <c r="Y8565">
        <v>0</v>
      </c>
      <c r="Z8565">
        <v>2</v>
      </c>
      <c r="AA8565">
        <v>140.58000000000001</v>
      </c>
      <c r="AB8565">
        <v>140.58000000000001</v>
      </c>
      <c r="AC8565">
        <v>129.27000000000001</v>
      </c>
      <c r="AD8565">
        <v>0</v>
      </c>
      <c r="AE8565">
        <v>11.31</v>
      </c>
      <c r="AF8565">
        <v>0</v>
      </c>
      <c r="AG8565">
        <v>0</v>
      </c>
      <c r="AH8565">
        <v>0</v>
      </c>
      <c r="AI8565">
        <v>25.3</v>
      </c>
      <c r="AJ8565">
        <v>140.58000000000001</v>
      </c>
      <c r="AK8565">
        <v>0</v>
      </c>
      <c r="AL8565" t="s">
        <v>53</v>
      </c>
      <c r="AM8565" t="s">
        <v>53</v>
      </c>
      <c r="AN8565" t="s">
        <v>53</v>
      </c>
      <c r="AO8565" t="s">
        <v>53</v>
      </c>
      <c r="AP8565" t="s">
        <v>53</v>
      </c>
    </row>
    <row r="8566" spans="2:42" x14ac:dyDescent="0.2">
      <c r="B8566" t="s">
        <v>44</v>
      </c>
      <c r="C8566" t="str">
        <f>HYPERLINK("https://us2.cloudbeds.com/connect/8493803454333002#/reservations/9080486848782741?display=4V0CJ0BS4J&amp;reservation_id=9080486848782741", "4V0CJ0BS4J")</f>
        <v>4V0CJ0BS4J</v>
      </c>
      <c r="D8566" t="s">
        <v>45</v>
      </c>
      <c r="E8566" t="s">
        <v>113</v>
      </c>
      <c r="F8566" t="s">
        <v>61</v>
      </c>
      <c r="G8566" t="s">
        <v>48</v>
      </c>
      <c r="H8566" t="s">
        <v>49</v>
      </c>
      <c r="I8566" t="s">
        <v>50</v>
      </c>
      <c r="J8566" t="s">
        <v>13082</v>
      </c>
      <c r="K8566" t="s">
        <v>14362</v>
      </c>
      <c r="L8566" t="s">
        <v>53</v>
      </c>
      <c r="N8566" t="s">
        <v>16247</v>
      </c>
      <c r="P8566" t="s">
        <v>55</v>
      </c>
      <c r="R8566" t="s">
        <v>53</v>
      </c>
      <c r="T8566" t="s">
        <v>16248</v>
      </c>
      <c r="U8566" t="s">
        <v>55</v>
      </c>
      <c r="V8566">
        <v>1</v>
      </c>
      <c r="W8566">
        <v>1</v>
      </c>
      <c r="X8566">
        <v>1</v>
      </c>
      <c r="Y8566">
        <v>0</v>
      </c>
      <c r="Z8566">
        <v>1</v>
      </c>
      <c r="AA8566">
        <v>74.819999999999993</v>
      </c>
      <c r="AB8566">
        <v>74.819999999999993</v>
      </c>
      <c r="AC8566">
        <v>68.8</v>
      </c>
      <c r="AD8566">
        <v>0</v>
      </c>
      <c r="AE8566">
        <v>6.02</v>
      </c>
      <c r="AF8566">
        <v>0</v>
      </c>
      <c r="AG8566">
        <v>0</v>
      </c>
      <c r="AH8566">
        <v>0</v>
      </c>
      <c r="AI8566">
        <v>13.47</v>
      </c>
      <c r="AJ8566">
        <v>74.819999999999993</v>
      </c>
      <c r="AK8566">
        <v>0</v>
      </c>
      <c r="AL8566" t="s">
        <v>53</v>
      </c>
      <c r="AM8566" t="s">
        <v>53</v>
      </c>
      <c r="AN8566" t="s">
        <v>16249</v>
      </c>
      <c r="AO8566" t="s">
        <v>53</v>
      </c>
      <c r="AP8566" t="s">
        <v>53</v>
      </c>
    </row>
    <row r="8567" spans="2:42" x14ac:dyDescent="0.2">
      <c r="B8567" t="s">
        <v>44</v>
      </c>
      <c r="C8567" t="str">
        <f>HYPERLINK("https://us2.cloudbeds.com/connect/8493803454333002#/reservations/9080486848783734?display=4V1148NZEX&amp;reservation_id=9080486848783734", "4V1148NZEX")</f>
        <v>4V1148NZEX</v>
      </c>
      <c r="D8567" t="s">
        <v>45</v>
      </c>
      <c r="E8567" t="s">
        <v>113</v>
      </c>
      <c r="F8567" t="s">
        <v>61</v>
      </c>
      <c r="G8567" t="s">
        <v>48</v>
      </c>
      <c r="H8567" t="s">
        <v>49</v>
      </c>
      <c r="I8567" t="s">
        <v>50</v>
      </c>
      <c r="J8567" t="s">
        <v>16197</v>
      </c>
      <c r="K8567" t="s">
        <v>14637</v>
      </c>
      <c r="L8567" t="s">
        <v>53</v>
      </c>
      <c r="N8567" t="s">
        <v>16250</v>
      </c>
      <c r="P8567" t="s">
        <v>55</v>
      </c>
      <c r="R8567" t="s">
        <v>53</v>
      </c>
      <c r="T8567" t="s">
        <v>16251</v>
      </c>
      <c r="U8567" t="s">
        <v>55</v>
      </c>
      <c r="V8567">
        <v>1</v>
      </c>
      <c r="W8567">
        <v>1</v>
      </c>
      <c r="X8567">
        <v>2</v>
      </c>
      <c r="Y8567">
        <v>0</v>
      </c>
      <c r="Z8567">
        <v>2</v>
      </c>
      <c r="AA8567">
        <v>146.44</v>
      </c>
      <c r="AB8567">
        <v>146.44</v>
      </c>
      <c r="AC8567">
        <v>134.66</v>
      </c>
      <c r="AD8567">
        <v>0</v>
      </c>
      <c r="AE8567">
        <v>11.78</v>
      </c>
      <c r="AF8567">
        <v>0</v>
      </c>
      <c r="AG8567">
        <v>0</v>
      </c>
      <c r="AH8567">
        <v>0</v>
      </c>
      <c r="AI8567">
        <v>26.36</v>
      </c>
      <c r="AJ8567">
        <v>146.44</v>
      </c>
      <c r="AK8567">
        <v>0</v>
      </c>
      <c r="AL8567" t="s">
        <v>53</v>
      </c>
      <c r="AM8567" t="s">
        <v>53</v>
      </c>
      <c r="AN8567" t="s">
        <v>53</v>
      </c>
      <c r="AO8567" t="s">
        <v>53</v>
      </c>
      <c r="AP8567" t="s">
        <v>53</v>
      </c>
    </row>
    <row r="8568" spans="2:42" x14ac:dyDescent="0.2">
      <c r="B8568" t="s">
        <v>44</v>
      </c>
      <c r="C8568" t="str">
        <f>HYPERLINK("https://us2.cloudbeds.com/connect/8493803454333002#/reservations/9080486848785946?display=4V2SSGYBE5&amp;reservation_id=9080486848785946", "4V2SSGYBE5")</f>
        <v>4V2SSGYBE5</v>
      </c>
      <c r="D8568" t="s">
        <v>45</v>
      </c>
      <c r="E8568" t="s">
        <v>69</v>
      </c>
      <c r="F8568" t="s">
        <v>70</v>
      </c>
      <c r="G8568" t="s">
        <v>48</v>
      </c>
      <c r="H8568" t="s">
        <v>49</v>
      </c>
      <c r="I8568" t="s">
        <v>50</v>
      </c>
      <c r="J8568" t="s">
        <v>14636</v>
      </c>
      <c r="K8568" t="s">
        <v>14637</v>
      </c>
      <c r="L8568" t="s">
        <v>53</v>
      </c>
      <c r="N8568" t="s">
        <v>16252</v>
      </c>
      <c r="P8568" t="s">
        <v>55</v>
      </c>
      <c r="R8568" t="s">
        <v>53</v>
      </c>
      <c r="T8568" t="s">
        <v>16253</v>
      </c>
      <c r="U8568" t="s">
        <v>55</v>
      </c>
      <c r="V8568">
        <v>2</v>
      </c>
      <c r="W8568">
        <v>1</v>
      </c>
      <c r="X8568">
        <v>2</v>
      </c>
      <c r="Y8568">
        <v>0</v>
      </c>
      <c r="Z8568">
        <v>2</v>
      </c>
      <c r="AA8568">
        <v>217.25</v>
      </c>
      <c r="AB8568">
        <v>217.25</v>
      </c>
      <c r="AC8568">
        <v>199.77</v>
      </c>
      <c r="AD8568">
        <v>0</v>
      </c>
      <c r="AE8568">
        <v>17.48</v>
      </c>
      <c r="AF8568">
        <v>0</v>
      </c>
      <c r="AG8568">
        <v>0</v>
      </c>
      <c r="AH8568">
        <v>0</v>
      </c>
      <c r="AI8568">
        <v>39.11</v>
      </c>
      <c r="AJ8568">
        <v>217.25</v>
      </c>
      <c r="AK8568">
        <v>0</v>
      </c>
      <c r="AL8568" t="s">
        <v>53</v>
      </c>
      <c r="AM8568" t="s">
        <v>53</v>
      </c>
      <c r="AN8568" t="s">
        <v>53</v>
      </c>
      <c r="AO8568" t="s">
        <v>53</v>
      </c>
      <c r="AP8568" t="s">
        <v>53</v>
      </c>
    </row>
    <row r="8569" spans="2:42" x14ac:dyDescent="0.2">
      <c r="B8569" t="s">
        <v>44</v>
      </c>
      <c r="C8569" t="str">
        <f>HYPERLINK("https://us2.cloudbeds.com/connect/8493803454333002#/reservations/229371607969920?display=4V2WB7CHUG&amp;reservation_id=229371607969920", "4V2WB7CHUG")</f>
        <v>4V2WB7CHUG</v>
      </c>
      <c r="D8569" t="s">
        <v>45</v>
      </c>
      <c r="E8569" t="s">
        <v>110</v>
      </c>
      <c r="F8569" t="s">
        <v>47</v>
      </c>
      <c r="G8569" t="s">
        <v>48</v>
      </c>
      <c r="H8569" t="s">
        <v>3957</v>
      </c>
      <c r="I8569" t="s">
        <v>3975</v>
      </c>
      <c r="J8569" t="s">
        <v>14669</v>
      </c>
      <c r="K8569" t="s">
        <v>15594</v>
      </c>
      <c r="L8569" t="s">
        <v>53</v>
      </c>
      <c r="P8569" t="s">
        <v>55</v>
      </c>
      <c r="R8569" t="s">
        <v>56</v>
      </c>
      <c r="T8569" t="s">
        <v>16254</v>
      </c>
      <c r="U8569" t="s">
        <v>58</v>
      </c>
      <c r="V8569">
        <v>1</v>
      </c>
      <c r="W8569">
        <v>1</v>
      </c>
      <c r="X8569">
        <v>2</v>
      </c>
      <c r="Y8569">
        <v>0</v>
      </c>
      <c r="Z8569">
        <v>2</v>
      </c>
      <c r="AA8569">
        <v>0</v>
      </c>
      <c r="AB8569">
        <v>168.54</v>
      </c>
      <c r="AC8569">
        <v>147</v>
      </c>
      <c r="AD8569">
        <v>0</v>
      </c>
      <c r="AE8569">
        <v>21.54</v>
      </c>
      <c r="AF8569">
        <v>0</v>
      </c>
      <c r="AG8569">
        <v>0</v>
      </c>
      <c r="AH8569">
        <v>0</v>
      </c>
      <c r="AI8569">
        <v>0</v>
      </c>
      <c r="AJ8569">
        <v>168.54</v>
      </c>
      <c r="AK8569">
        <v>0</v>
      </c>
      <c r="AL8569" t="s">
        <v>53</v>
      </c>
      <c r="AM8569" t="s">
        <v>53</v>
      </c>
      <c r="AN8569" t="s">
        <v>16255</v>
      </c>
      <c r="AO8569" t="s">
        <v>53</v>
      </c>
      <c r="AP8569" t="s">
        <v>53</v>
      </c>
    </row>
    <row r="8570" spans="2:42" x14ac:dyDescent="0.2">
      <c r="B8570" t="s">
        <v>44</v>
      </c>
      <c r="C8570" t="str">
        <f>HYPERLINK("https://us2.cloudbeds.com/connect/8493803454333002#/reservations/9080486848787131?display=4V401NNU84&amp;reservation_id=9080486848787131", "4V401NNU84")</f>
        <v>4V401NNU84</v>
      </c>
      <c r="D8570" t="s">
        <v>45</v>
      </c>
      <c r="E8570" t="s">
        <v>98</v>
      </c>
      <c r="F8570" t="s">
        <v>86</v>
      </c>
      <c r="G8570" t="s">
        <v>48</v>
      </c>
      <c r="H8570" t="s">
        <v>49</v>
      </c>
      <c r="I8570" t="s">
        <v>50</v>
      </c>
      <c r="J8570" t="s">
        <v>14154</v>
      </c>
      <c r="K8570" t="s">
        <v>14976</v>
      </c>
      <c r="L8570" t="s">
        <v>53</v>
      </c>
      <c r="N8570" t="s">
        <v>16256</v>
      </c>
      <c r="P8570" t="s">
        <v>55</v>
      </c>
      <c r="R8570" t="s">
        <v>53</v>
      </c>
      <c r="T8570" t="s">
        <v>16257</v>
      </c>
      <c r="U8570" t="s">
        <v>55</v>
      </c>
      <c r="V8570">
        <v>1</v>
      </c>
      <c r="W8570">
        <v>1</v>
      </c>
      <c r="X8570">
        <v>2</v>
      </c>
      <c r="Y8570">
        <v>0</v>
      </c>
      <c r="Z8570">
        <v>2</v>
      </c>
      <c r="AA8570">
        <v>145.63999999999999</v>
      </c>
      <c r="AB8570">
        <v>291.27999999999997</v>
      </c>
      <c r="AC8570">
        <v>133.91999999999999</v>
      </c>
      <c r="AD8570">
        <v>0</v>
      </c>
      <c r="AE8570">
        <v>11.72</v>
      </c>
      <c r="AF8570">
        <v>0</v>
      </c>
      <c r="AG8570">
        <v>0</v>
      </c>
      <c r="AH8570">
        <v>0</v>
      </c>
      <c r="AI8570">
        <v>26.22</v>
      </c>
      <c r="AJ8570">
        <v>145.63999999999999</v>
      </c>
      <c r="AK8570">
        <v>0</v>
      </c>
      <c r="AL8570" t="s">
        <v>53</v>
      </c>
      <c r="AM8570" t="s">
        <v>53</v>
      </c>
      <c r="AN8570" t="s">
        <v>53</v>
      </c>
      <c r="AO8570" t="s">
        <v>53</v>
      </c>
      <c r="AP8570" t="s">
        <v>53</v>
      </c>
    </row>
    <row r="8571" spans="2:42" x14ac:dyDescent="0.2">
      <c r="B8571" t="s">
        <v>44</v>
      </c>
      <c r="C8571" t="str">
        <f>HYPERLINK("https://us2.cloudbeds.com/connect/8493803454333002#/reservations/9080486848788470?display=4V5EN8KF27&amp;reservation_id=9080486848788470", "4V5EN8KF27")</f>
        <v>4V5EN8KF27</v>
      </c>
      <c r="D8571" t="s">
        <v>45</v>
      </c>
      <c r="E8571" t="s">
        <v>185</v>
      </c>
      <c r="F8571" t="s">
        <v>47</v>
      </c>
      <c r="G8571" t="s">
        <v>48</v>
      </c>
      <c r="H8571" t="s">
        <v>49</v>
      </c>
      <c r="I8571" t="s">
        <v>50</v>
      </c>
      <c r="J8571" t="s">
        <v>14344</v>
      </c>
      <c r="K8571" t="s">
        <v>14976</v>
      </c>
      <c r="L8571" t="s">
        <v>53</v>
      </c>
      <c r="N8571" t="s">
        <v>16258</v>
      </c>
      <c r="P8571" t="s">
        <v>55</v>
      </c>
      <c r="R8571" t="s">
        <v>53</v>
      </c>
      <c r="T8571" t="s">
        <v>16259</v>
      </c>
      <c r="U8571" t="s">
        <v>55</v>
      </c>
      <c r="V8571">
        <v>2</v>
      </c>
      <c r="W8571">
        <v>1</v>
      </c>
      <c r="X8571">
        <v>2</v>
      </c>
      <c r="Y8571">
        <v>0</v>
      </c>
      <c r="Z8571">
        <v>2</v>
      </c>
      <c r="AA8571">
        <v>185.39</v>
      </c>
      <c r="AB8571">
        <v>185.39</v>
      </c>
      <c r="AC8571">
        <v>170.47</v>
      </c>
      <c r="AD8571">
        <v>0</v>
      </c>
      <c r="AE8571">
        <v>14.92</v>
      </c>
      <c r="AF8571">
        <v>0</v>
      </c>
      <c r="AG8571">
        <v>0</v>
      </c>
      <c r="AH8571">
        <v>0</v>
      </c>
      <c r="AI8571">
        <v>33.369999999999997</v>
      </c>
      <c r="AJ8571">
        <v>185.39</v>
      </c>
      <c r="AK8571">
        <v>0</v>
      </c>
      <c r="AL8571" t="s">
        <v>53</v>
      </c>
      <c r="AM8571" t="s">
        <v>53</v>
      </c>
      <c r="AN8571" t="s">
        <v>16260</v>
      </c>
      <c r="AO8571" t="s">
        <v>53</v>
      </c>
      <c r="AP8571" t="s">
        <v>53</v>
      </c>
    </row>
    <row r="8572" spans="2:42" x14ac:dyDescent="0.2">
      <c r="B8572" t="s">
        <v>44</v>
      </c>
      <c r="C8572" t="str">
        <f>HYPERLINK("https://us2.cloudbeds.com/connect/8493803454333002#/reservations/229594380091520?display=4V86RXZPTK&amp;reservation_id=229594380091520", "4V86RXZPTK")</f>
        <v>4V86RXZPTK</v>
      </c>
      <c r="D8572" t="s">
        <v>45</v>
      </c>
      <c r="E8572" t="s">
        <v>190</v>
      </c>
      <c r="F8572" t="s">
        <v>61</v>
      </c>
      <c r="G8572" t="s">
        <v>48</v>
      </c>
      <c r="H8572" t="s">
        <v>3957</v>
      </c>
      <c r="I8572" t="s">
        <v>3989</v>
      </c>
      <c r="J8572" t="s">
        <v>13082</v>
      </c>
      <c r="K8572" t="s">
        <v>14362</v>
      </c>
      <c r="L8572" t="s">
        <v>53</v>
      </c>
      <c r="P8572" t="s">
        <v>55</v>
      </c>
      <c r="R8572" t="s">
        <v>56</v>
      </c>
      <c r="T8572" t="s">
        <v>16261</v>
      </c>
      <c r="U8572" t="s">
        <v>58</v>
      </c>
      <c r="V8572">
        <v>1</v>
      </c>
      <c r="W8572">
        <v>1</v>
      </c>
      <c r="X8572">
        <v>1</v>
      </c>
      <c r="Y8572">
        <v>0</v>
      </c>
      <c r="Z8572">
        <v>1</v>
      </c>
      <c r="AA8572">
        <v>119.24</v>
      </c>
      <c r="AB8572">
        <v>119.24</v>
      </c>
      <c r="AC8572">
        <v>104</v>
      </c>
      <c r="AD8572">
        <v>0</v>
      </c>
      <c r="AE8572">
        <v>15.24</v>
      </c>
      <c r="AF8572">
        <v>0</v>
      </c>
      <c r="AG8572">
        <v>0</v>
      </c>
      <c r="AH8572">
        <v>0</v>
      </c>
      <c r="AI8572">
        <v>0</v>
      </c>
      <c r="AJ8572">
        <v>119.24</v>
      </c>
      <c r="AK8572">
        <v>0</v>
      </c>
      <c r="AL8572" t="s">
        <v>53</v>
      </c>
      <c r="AM8572" t="s">
        <v>53</v>
      </c>
      <c r="AN8572" t="s">
        <v>53</v>
      </c>
      <c r="AO8572" t="s">
        <v>53</v>
      </c>
      <c r="AP8572" t="s">
        <v>53</v>
      </c>
    </row>
    <row r="8573" spans="2:42" x14ac:dyDescent="0.2">
      <c r="B8573" t="s">
        <v>44</v>
      </c>
      <c r="C8573" t="str">
        <f>HYPERLINK("https://us2.cloudbeds.com/connect/8493803454333002#/reservations/9080486848793116?display=4V8K4YYPRV&amp;reservation_id=9080486848793116", "4V8K4YYPRV")</f>
        <v>4V8K4YYPRV</v>
      </c>
      <c r="D8573" t="s">
        <v>45</v>
      </c>
      <c r="E8573" t="s">
        <v>69</v>
      </c>
      <c r="F8573" t="s">
        <v>70</v>
      </c>
      <c r="G8573" t="s">
        <v>48</v>
      </c>
      <c r="H8573" t="s">
        <v>49</v>
      </c>
      <c r="I8573" t="s">
        <v>50</v>
      </c>
      <c r="J8573" t="s">
        <v>16262</v>
      </c>
      <c r="K8573" t="s">
        <v>12958</v>
      </c>
      <c r="L8573" t="s">
        <v>53</v>
      </c>
      <c r="N8573" t="s">
        <v>16263</v>
      </c>
      <c r="P8573" t="s">
        <v>55</v>
      </c>
      <c r="R8573" t="s">
        <v>53</v>
      </c>
      <c r="T8573" t="s">
        <v>16264</v>
      </c>
      <c r="U8573" t="s">
        <v>55</v>
      </c>
      <c r="V8573">
        <v>2</v>
      </c>
      <c r="W8573">
        <v>1</v>
      </c>
      <c r="X8573">
        <v>2</v>
      </c>
      <c r="Y8573">
        <v>0</v>
      </c>
      <c r="Z8573">
        <v>2</v>
      </c>
      <c r="AA8573">
        <v>263.82</v>
      </c>
      <c r="AB8573">
        <v>263.82</v>
      </c>
      <c r="AC8573">
        <v>242.6</v>
      </c>
      <c r="AD8573">
        <v>0</v>
      </c>
      <c r="AE8573">
        <v>21.22</v>
      </c>
      <c r="AF8573">
        <v>0</v>
      </c>
      <c r="AG8573">
        <v>0</v>
      </c>
      <c r="AH8573">
        <v>0</v>
      </c>
      <c r="AI8573">
        <v>47.49</v>
      </c>
      <c r="AJ8573">
        <v>263.82</v>
      </c>
      <c r="AK8573">
        <v>0</v>
      </c>
      <c r="AL8573" t="s">
        <v>53</v>
      </c>
      <c r="AM8573" t="s">
        <v>53</v>
      </c>
      <c r="AN8573" t="s">
        <v>53</v>
      </c>
      <c r="AO8573" t="s">
        <v>53</v>
      </c>
      <c r="AP8573" t="s">
        <v>53</v>
      </c>
    </row>
    <row r="8574" spans="2:42" x14ac:dyDescent="0.2">
      <c r="B8574" t="s">
        <v>44</v>
      </c>
      <c r="C8574" t="str">
        <f>HYPERLINK("https://us2.cloudbeds.com/connect/8493803454333002#/reservations/9080486848793731?display=4V8VWDYJNA&amp;reservation_id=9080486848793731", "4V8VWDYJNA")</f>
        <v>4V8VWDYJNA</v>
      </c>
      <c r="D8574" t="s">
        <v>45</v>
      </c>
      <c r="E8574" t="s">
        <v>105</v>
      </c>
      <c r="F8574" t="s">
        <v>47</v>
      </c>
      <c r="G8574" t="s">
        <v>48</v>
      </c>
      <c r="H8574" t="s">
        <v>49</v>
      </c>
      <c r="I8574" t="s">
        <v>50</v>
      </c>
      <c r="J8574" t="s">
        <v>16262</v>
      </c>
      <c r="K8574" t="s">
        <v>12958</v>
      </c>
      <c r="L8574" t="s">
        <v>53</v>
      </c>
      <c r="N8574" t="s">
        <v>16265</v>
      </c>
      <c r="P8574" t="s">
        <v>55</v>
      </c>
      <c r="R8574" t="s">
        <v>53</v>
      </c>
      <c r="T8574" t="s">
        <v>16266</v>
      </c>
      <c r="U8574" t="s">
        <v>55</v>
      </c>
      <c r="V8574">
        <v>2</v>
      </c>
      <c r="W8574">
        <v>1</v>
      </c>
      <c r="X8574">
        <v>1</v>
      </c>
      <c r="Y8574">
        <v>0</v>
      </c>
      <c r="Z8574">
        <v>1</v>
      </c>
      <c r="AA8574">
        <v>323.79000000000002</v>
      </c>
      <c r="AB8574">
        <v>323.79000000000002</v>
      </c>
      <c r="AC8574">
        <v>297.74</v>
      </c>
      <c r="AD8574">
        <v>0</v>
      </c>
      <c r="AE8574">
        <v>26.05</v>
      </c>
      <c r="AF8574">
        <v>0</v>
      </c>
      <c r="AG8574">
        <v>0</v>
      </c>
      <c r="AH8574">
        <v>0</v>
      </c>
      <c r="AI8574">
        <v>58.28</v>
      </c>
      <c r="AJ8574">
        <v>323.79000000000002</v>
      </c>
      <c r="AK8574">
        <v>0</v>
      </c>
      <c r="AL8574" t="s">
        <v>53</v>
      </c>
      <c r="AM8574" t="s">
        <v>53</v>
      </c>
      <c r="AN8574" t="s">
        <v>53</v>
      </c>
      <c r="AO8574" t="s">
        <v>53</v>
      </c>
      <c r="AP8574" t="s">
        <v>53</v>
      </c>
    </row>
    <row r="8575" spans="2:42" x14ac:dyDescent="0.2">
      <c r="B8575" t="s">
        <v>44</v>
      </c>
      <c r="C8575" t="str">
        <f>HYPERLINK("https://us2.cloudbeds.com/connect/8493803454333002#/reservations/9080486848794936?display=4V9N5V9WC4&amp;reservation_id=9080486848794936", "4V9N5V9WC4")</f>
        <v>4V9N5V9WC4</v>
      </c>
      <c r="D8575" t="s">
        <v>45</v>
      </c>
      <c r="E8575" t="s">
        <v>98</v>
      </c>
      <c r="F8575" t="s">
        <v>86</v>
      </c>
      <c r="G8575" t="s">
        <v>48</v>
      </c>
      <c r="H8575" t="s">
        <v>49</v>
      </c>
      <c r="I8575" t="s">
        <v>62</v>
      </c>
      <c r="J8575" t="s">
        <v>15237</v>
      </c>
      <c r="K8575" t="s">
        <v>13067</v>
      </c>
      <c r="L8575" t="s">
        <v>53</v>
      </c>
      <c r="N8575" t="s">
        <v>16267</v>
      </c>
      <c r="P8575" t="s">
        <v>55</v>
      </c>
      <c r="R8575" t="s">
        <v>56</v>
      </c>
      <c r="T8575" t="s">
        <v>16268</v>
      </c>
      <c r="U8575" t="s">
        <v>55</v>
      </c>
      <c r="V8575">
        <v>1</v>
      </c>
      <c r="W8575">
        <v>1</v>
      </c>
      <c r="X8575">
        <v>2</v>
      </c>
      <c r="Y8575">
        <v>0</v>
      </c>
      <c r="Z8575">
        <v>2</v>
      </c>
      <c r="AA8575">
        <v>109.25</v>
      </c>
      <c r="AB8575">
        <v>109.25</v>
      </c>
      <c r="AC8575">
        <v>109.25</v>
      </c>
      <c r="AD8575">
        <v>0</v>
      </c>
      <c r="AE8575">
        <v>0</v>
      </c>
      <c r="AF8575">
        <v>0</v>
      </c>
      <c r="AG8575">
        <v>0</v>
      </c>
      <c r="AH8575">
        <v>0</v>
      </c>
      <c r="AI8575">
        <v>19.670000000000002</v>
      </c>
      <c r="AJ8575">
        <v>109.25</v>
      </c>
      <c r="AK8575">
        <v>0</v>
      </c>
      <c r="AL8575" t="s">
        <v>53</v>
      </c>
      <c r="AM8575" t="s">
        <v>53</v>
      </c>
      <c r="AN8575" t="s">
        <v>16269</v>
      </c>
      <c r="AO8575" t="s">
        <v>53</v>
      </c>
      <c r="AP8575" t="s">
        <v>53</v>
      </c>
    </row>
    <row r="8576" spans="2:42" x14ac:dyDescent="0.2">
      <c r="B8576" t="s">
        <v>44</v>
      </c>
      <c r="C8576" t="str">
        <f>HYPERLINK("https://us2.cloudbeds.com/connect/8493803454333002#/reservations/9080486848795363?display=4V9WUEKZ9J&amp;reservation_id=9080486848795363", "4V9WUEKZ9J")</f>
        <v>4V9WUEKZ9J</v>
      </c>
      <c r="D8576" t="s">
        <v>45</v>
      </c>
      <c r="E8576" t="s">
        <v>85</v>
      </c>
      <c r="F8576" t="s">
        <v>86</v>
      </c>
      <c r="G8576" t="s">
        <v>48</v>
      </c>
      <c r="H8576" t="s">
        <v>49</v>
      </c>
      <c r="I8576" t="s">
        <v>50</v>
      </c>
      <c r="J8576" t="s">
        <v>14623</v>
      </c>
      <c r="K8576" t="s">
        <v>14349</v>
      </c>
      <c r="L8576" t="s">
        <v>53</v>
      </c>
      <c r="N8576" t="s">
        <v>16270</v>
      </c>
      <c r="P8576" t="s">
        <v>55</v>
      </c>
      <c r="R8576" t="s">
        <v>53</v>
      </c>
      <c r="T8576" t="s">
        <v>16271</v>
      </c>
      <c r="U8576" t="s">
        <v>55</v>
      </c>
      <c r="V8576">
        <v>1</v>
      </c>
      <c r="W8576">
        <v>1</v>
      </c>
      <c r="X8576">
        <v>2</v>
      </c>
      <c r="Y8576">
        <v>0</v>
      </c>
      <c r="Z8576">
        <v>2</v>
      </c>
      <c r="AA8576">
        <v>158.16999999999999</v>
      </c>
      <c r="AB8576">
        <v>158.16999999999999</v>
      </c>
      <c r="AC8576">
        <v>145.44</v>
      </c>
      <c r="AD8576">
        <v>0</v>
      </c>
      <c r="AE8576">
        <v>12.73</v>
      </c>
      <c r="AF8576">
        <v>0</v>
      </c>
      <c r="AG8576">
        <v>0</v>
      </c>
      <c r="AH8576">
        <v>0</v>
      </c>
      <c r="AI8576">
        <v>28.47</v>
      </c>
      <c r="AJ8576">
        <v>158.16999999999999</v>
      </c>
      <c r="AK8576">
        <v>0</v>
      </c>
      <c r="AL8576" t="s">
        <v>53</v>
      </c>
      <c r="AM8576" t="s">
        <v>53</v>
      </c>
      <c r="AN8576" t="s">
        <v>53</v>
      </c>
      <c r="AO8576" t="s">
        <v>53</v>
      </c>
      <c r="AP8576" t="s">
        <v>53</v>
      </c>
    </row>
    <row r="8577" spans="2:42" x14ac:dyDescent="0.2">
      <c r="B8577" t="s">
        <v>44</v>
      </c>
      <c r="C8577" t="str">
        <f>HYPERLINK("https://us2.cloudbeds.com/connect/8493803454333002#/reservations/9080486848795548?display=4VA573ZPZR&amp;reservation_id=9080486848795548", "4VA573ZPZR")</f>
        <v>4VA573ZPZR</v>
      </c>
      <c r="D8577" t="s">
        <v>45</v>
      </c>
      <c r="E8577" t="s">
        <v>406</v>
      </c>
      <c r="F8577" t="s">
        <v>61</v>
      </c>
      <c r="G8577" t="s">
        <v>48</v>
      </c>
      <c r="H8577" t="s">
        <v>49</v>
      </c>
      <c r="I8577" t="s">
        <v>8964</v>
      </c>
      <c r="J8577" t="s">
        <v>13082</v>
      </c>
      <c r="K8577" t="s">
        <v>14362</v>
      </c>
      <c r="L8577" t="s">
        <v>53</v>
      </c>
      <c r="N8577" t="s">
        <v>16272</v>
      </c>
      <c r="P8577" t="s">
        <v>58</v>
      </c>
      <c r="R8577" t="s">
        <v>53</v>
      </c>
      <c r="T8577" t="s">
        <v>16273</v>
      </c>
      <c r="U8577" t="s">
        <v>55</v>
      </c>
      <c r="V8577">
        <v>1</v>
      </c>
      <c r="W8577">
        <v>1</v>
      </c>
      <c r="X8577">
        <v>2</v>
      </c>
      <c r="Y8577">
        <v>0</v>
      </c>
      <c r="Z8577">
        <v>2</v>
      </c>
      <c r="AA8577">
        <v>0</v>
      </c>
      <c r="AB8577">
        <v>0</v>
      </c>
      <c r="AC8577">
        <v>119</v>
      </c>
      <c r="AD8577">
        <v>0</v>
      </c>
      <c r="AE8577">
        <v>0</v>
      </c>
      <c r="AF8577">
        <v>0</v>
      </c>
      <c r="AG8577">
        <v>0</v>
      </c>
      <c r="AH8577">
        <v>0</v>
      </c>
      <c r="AI8577">
        <v>17.850000000000001</v>
      </c>
      <c r="AJ8577">
        <v>119</v>
      </c>
      <c r="AK8577">
        <v>119</v>
      </c>
      <c r="AL8577" t="s">
        <v>53</v>
      </c>
      <c r="AM8577" t="s">
        <v>53</v>
      </c>
      <c r="AN8577" t="s">
        <v>16274</v>
      </c>
      <c r="AO8577" t="s">
        <v>53</v>
      </c>
      <c r="AP8577" t="s">
        <v>53</v>
      </c>
    </row>
    <row r="8578" spans="2:42" x14ac:dyDescent="0.2">
      <c r="B8578" t="s">
        <v>44</v>
      </c>
      <c r="C8578" t="str">
        <f>HYPERLINK("https://us2.cloudbeds.com/connect/8493803454333002#/reservations/9080486848795796?display=4VABHV0GAU&amp;reservation_id=9080486848795796", "4VABHV0GAU")</f>
        <v>4VABHV0GAU</v>
      </c>
      <c r="D8578" t="s">
        <v>45</v>
      </c>
      <c r="E8578" t="s">
        <v>213</v>
      </c>
      <c r="F8578" t="s">
        <v>86</v>
      </c>
      <c r="G8578" t="s">
        <v>48</v>
      </c>
      <c r="H8578" t="s">
        <v>49</v>
      </c>
      <c r="I8578" t="s">
        <v>50</v>
      </c>
      <c r="J8578" t="s">
        <v>13870</v>
      </c>
      <c r="K8578" t="s">
        <v>14637</v>
      </c>
      <c r="L8578" t="s">
        <v>53</v>
      </c>
      <c r="N8578" t="s">
        <v>16275</v>
      </c>
      <c r="P8578" t="s">
        <v>55</v>
      </c>
      <c r="R8578" t="s">
        <v>53</v>
      </c>
      <c r="T8578" t="s">
        <v>16276</v>
      </c>
      <c r="U8578" t="s">
        <v>58</v>
      </c>
      <c r="V8578">
        <v>3</v>
      </c>
      <c r="W8578">
        <v>1</v>
      </c>
      <c r="X8578">
        <v>4</v>
      </c>
      <c r="Y8578">
        <v>0</v>
      </c>
      <c r="Z8578">
        <v>4</v>
      </c>
      <c r="AA8578">
        <v>896.55</v>
      </c>
      <c r="AB8578">
        <v>896.55</v>
      </c>
      <c r="AC8578">
        <v>781.99</v>
      </c>
      <c r="AD8578">
        <v>0</v>
      </c>
      <c r="AE8578">
        <v>114.56</v>
      </c>
      <c r="AF8578">
        <v>0</v>
      </c>
      <c r="AG8578">
        <v>0</v>
      </c>
      <c r="AH8578">
        <v>0</v>
      </c>
      <c r="AI8578">
        <v>161.38</v>
      </c>
      <c r="AJ8578">
        <v>896.55</v>
      </c>
      <c r="AK8578">
        <v>0</v>
      </c>
      <c r="AL8578" t="s">
        <v>53</v>
      </c>
      <c r="AM8578" t="s">
        <v>53</v>
      </c>
      <c r="AN8578" t="s">
        <v>53</v>
      </c>
      <c r="AO8578" t="s">
        <v>53</v>
      </c>
      <c r="AP8578" t="s">
        <v>53</v>
      </c>
    </row>
    <row r="8579" spans="2:42" x14ac:dyDescent="0.2">
      <c r="B8579" t="s">
        <v>44</v>
      </c>
      <c r="C8579" t="str">
        <f>HYPERLINK("https://us2.cloudbeds.com/connect/8493803454333002#/reservations/9080486848797117?display=4VBEF4EG0J&amp;reservation_id=9080486848797117", "4VBEF4EG0J")</f>
        <v>4VBEF4EG0J</v>
      </c>
      <c r="D8579" t="s">
        <v>45</v>
      </c>
      <c r="E8579" t="s">
        <v>110</v>
      </c>
      <c r="F8579" t="s">
        <v>47</v>
      </c>
      <c r="G8579" t="s">
        <v>48</v>
      </c>
      <c r="H8579" t="s">
        <v>49</v>
      </c>
      <c r="I8579" t="s">
        <v>50</v>
      </c>
      <c r="J8579" t="s">
        <v>15838</v>
      </c>
      <c r="K8579" t="s">
        <v>14979</v>
      </c>
      <c r="L8579" t="s">
        <v>53</v>
      </c>
      <c r="N8579" t="s">
        <v>16277</v>
      </c>
      <c r="P8579" t="s">
        <v>55</v>
      </c>
      <c r="R8579" t="s">
        <v>53</v>
      </c>
      <c r="T8579" t="s">
        <v>16278</v>
      </c>
      <c r="U8579" t="s">
        <v>55</v>
      </c>
      <c r="V8579">
        <v>1</v>
      </c>
      <c r="W8579">
        <v>1</v>
      </c>
      <c r="X8579">
        <v>1</v>
      </c>
      <c r="Y8579">
        <v>0</v>
      </c>
      <c r="Z8579">
        <v>1</v>
      </c>
      <c r="AA8579">
        <v>88.79</v>
      </c>
      <c r="AB8579">
        <v>88.79</v>
      </c>
      <c r="AC8579">
        <v>81.64</v>
      </c>
      <c r="AD8579">
        <v>0</v>
      </c>
      <c r="AE8579">
        <v>7.15</v>
      </c>
      <c r="AF8579">
        <v>0</v>
      </c>
      <c r="AG8579">
        <v>0</v>
      </c>
      <c r="AH8579">
        <v>0</v>
      </c>
      <c r="AI8579">
        <v>15.98</v>
      </c>
      <c r="AJ8579">
        <v>88.79</v>
      </c>
      <c r="AK8579">
        <v>0</v>
      </c>
      <c r="AL8579" t="s">
        <v>53</v>
      </c>
      <c r="AM8579" t="s">
        <v>53</v>
      </c>
      <c r="AN8579" t="s">
        <v>16279</v>
      </c>
      <c r="AO8579" t="s">
        <v>53</v>
      </c>
      <c r="AP8579" t="s">
        <v>53</v>
      </c>
    </row>
    <row r="8580" spans="2:42" x14ac:dyDescent="0.2">
      <c r="B8580" t="s">
        <v>44</v>
      </c>
      <c r="C8580" t="str">
        <f>HYPERLINK("https://us2.cloudbeds.com/connect/8493803454333002#/reservations/9080486848797400?display=4VBMY3ZZ7E&amp;reservation_id=9080486848797400", "4VBMY3ZZ7E")</f>
        <v>4VBMY3ZZ7E</v>
      </c>
      <c r="D8580" t="s">
        <v>45</v>
      </c>
      <c r="E8580" t="s">
        <v>138</v>
      </c>
      <c r="F8580" t="s">
        <v>70</v>
      </c>
      <c r="G8580" t="s">
        <v>48</v>
      </c>
      <c r="H8580" t="s">
        <v>49</v>
      </c>
      <c r="I8580" t="s">
        <v>50</v>
      </c>
      <c r="J8580" t="s">
        <v>15838</v>
      </c>
      <c r="K8580" t="s">
        <v>14979</v>
      </c>
      <c r="L8580" t="s">
        <v>53</v>
      </c>
      <c r="N8580" t="s">
        <v>16280</v>
      </c>
      <c r="P8580" t="s">
        <v>55</v>
      </c>
      <c r="R8580" t="s">
        <v>53</v>
      </c>
      <c r="T8580" t="s">
        <v>16281</v>
      </c>
      <c r="U8580" t="s">
        <v>58</v>
      </c>
      <c r="V8580">
        <v>1</v>
      </c>
      <c r="W8580">
        <v>1</v>
      </c>
      <c r="X8580">
        <v>2</v>
      </c>
      <c r="Y8580">
        <v>0</v>
      </c>
      <c r="Z8580">
        <v>2</v>
      </c>
      <c r="AA8580">
        <v>115.7</v>
      </c>
      <c r="AB8580">
        <v>115.7</v>
      </c>
      <c r="AC8580">
        <v>100.91</v>
      </c>
      <c r="AD8580">
        <v>0</v>
      </c>
      <c r="AE8580">
        <v>14.79</v>
      </c>
      <c r="AF8580">
        <v>0</v>
      </c>
      <c r="AG8580">
        <v>0</v>
      </c>
      <c r="AH8580">
        <v>0</v>
      </c>
      <c r="AI8580">
        <v>20.83</v>
      </c>
      <c r="AJ8580">
        <v>115.7</v>
      </c>
      <c r="AK8580">
        <v>0</v>
      </c>
      <c r="AL8580" t="s">
        <v>53</v>
      </c>
      <c r="AM8580" t="s">
        <v>53</v>
      </c>
      <c r="AN8580" t="s">
        <v>16282</v>
      </c>
      <c r="AO8580" t="s">
        <v>53</v>
      </c>
      <c r="AP8580" t="s">
        <v>53</v>
      </c>
    </row>
    <row r="8581" spans="2:42" x14ac:dyDescent="0.2">
      <c r="B8581" t="s">
        <v>44</v>
      </c>
      <c r="C8581" t="str">
        <f>HYPERLINK("https://us2.cloudbeds.com/connect/8493803454333002#/reservations/229743954174144?display=4VBNYHJMPJ&amp;reservation_id=229743954174144", "4VBNYHJMPJ")</f>
        <v>4VBNYHJMPJ</v>
      </c>
      <c r="D8581" t="s">
        <v>45</v>
      </c>
      <c r="E8581" t="s">
        <v>46</v>
      </c>
      <c r="F8581" t="s">
        <v>47</v>
      </c>
      <c r="G8581" t="s">
        <v>3974</v>
      </c>
      <c r="H8581" t="s">
        <v>3957</v>
      </c>
      <c r="I8581" t="s">
        <v>3975</v>
      </c>
      <c r="J8581" t="s">
        <v>14847</v>
      </c>
      <c r="K8581" t="s">
        <v>14848</v>
      </c>
      <c r="L8581" t="s">
        <v>53</v>
      </c>
      <c r="P8581" t="s">
        <v>55</v>
      </c>
      <c r="R8581" t="s">
        <v>56</v>
      </c>
      <c r="T8581" t="s">
        <v>16283</v>
      </c>
      <c r="U8581" t="s">
        <v>58</v>
      </c>
      <c r="V8581">
        <v>1</v>
      </c>
      <c r="W8581">
        <v>1</v>
      </c>
      <c r="X8581">
        <v>1</v>
      </c>
      <c r="Y8581">
        <v>0</v>
      </c>
      <c r="Z8581">
        <v>1</v>
      </c>
      <c r="AA8581">
        <v>210.22</v>
      </c>
      <c r="AB8581">
        <v>233.15</v>
      </c>
      <c r="AC8581">
        <v>183.35</v>
      </c>
      <c r="AD8581">
        <v>20</v>
      </c>
      <c r="AE8581">
        <v>29.8</v>
      </c>
      <c r="AF8581">
        <v>0</v>
      </c>
      <c r="AG8581">
        <v>0</v>
      </c>
      <c r="AH8581">
        <v>0</v>
      </c>
      <c r="AI8581">
        <v>0</v>
      </c>
      <c r="AJ8581">
        <v>233.15</v>
      </c>
      <c r="AK8581">
        <v>0</v>
      </c>
      <c r="AL8581" t="s">
        <v>53</v>
      </c>
      <c r="AM8581" t="s">
        <v>53</v>
      </c>
      <c r="AN8581" t="s">
        <v>16284</v>
      </c>
      <c r="AO8581" t="s">
        <v>53</v>
      </c>
      <c r="AP8581" t="s">
        <v>53</v>
      </c>
    </row>
    <row r="8582" spans="2:42" x14ac:dyDescent="0.2">
      <c r="B8582" t="s">
        <v>44</v>
      </c>
      <c r="C8582" t="str">
        <f>HYPERLINK("https://us2.cloudbeds.com/connect/8493803454333002#/reservations/229757916414144?display=4VC1F9UG19&amp;reservation_id=229757916414144", "4VC1F9UG19")</f>
        <v>4VC1F9UG19</v>
      </c>
      <c r="D8582" t="s">
        <v>45</v>
      </c>
      <c r="E8582" t="s">
        <v>110</v>
      </c>
      <c r="F8582" t="s">
        <v>47</v>
      </c>
      <c r="G8582" t="s">
        <v>48</v>
      </c>
      <c r="H8582" t="s">
        <v>3957</v>
      </c>
      <c r="I8582" t="s">
        <v>3975</v>
      </c>
      <c r="J8582" t="s">
        <v>14362</v>
      </c>
      <c r="K8582" t="s">
        <v>15237</v>
      </c>
      <c r="L8582" t="s">
        <v>53</v>
      </c>
      <c r="P8582" t="s">
        <v>55</v>
      </c>
      <c r="R8582" t="s">
        <v>56</v>
      </c>
      <c r="T8582" t="s">
        <v>16285</v>
      </c>
      <c r="U8582" t="s">
        <v>58</v>
      </c>
      <c r="V8582">
        <v>1</v>
      </c>
      <c r="W8582">
        <v>1</v>
      </c>
      <c r="X8582">
        <v>1</v>
      </c>
      <c r="Y8582">
        <v>0</v>
      </c>
      <c r="Z8582">
        <v>1</v>
      </c>
      <c r="AA8582">
        <v>97.46</v>
      </c>
      <c r="AB8582">
        <v>97.46</v>
      </c>
      <c r="AC8582">
        <v>85</v>
      </c>
      <c r="AD8582">
        <v>0</v>
      </c>
      <c r="AE8582">
        <v>12.46</v>
      </c>
      <c r="AF8582">
        <v>0</v>
      </c>
      <c r="AG8582">
        <v>0</v>
      </c>
      <c r="AH8582">
        <v>0</v>
      </c>
      <c r="AI8582">
        <v>0</v>
      </c>
      <c r="AJ8582">
        <v>97.46</v>
      </c>
      <c r="AK8582">
        <v>0</v>
      </c>
      <c r="AL8582" t="s">
        <v>53</v>
      </c>
      <c r="AM8582" t="s">
        <v>53</v>
      </c>
      <c r="AN8582" t="s">
        <v>53</v>
      </c>
      <c r="AO8582" t="s">
        <v>53</v>
      </c>
      <c r="AP8582" t="s">
        <v>53</v>
      </c>
    </row>
    <row r="8583" spans="2:42" x14ac:dyDescent="0.2">
      <c r="B8583" t="s">
        <v>44</v>
      </c>
      <c r="C8583" t="str">
        <f>HYPERLINK("https://us2.cloudbeds.com/connect/8493803454333002#/reservations/9080486848800769?display=4VEQMYBRBP&amp;reservation_id=9080486848800769", "4VEQMYBRBP")</f>
        <v>4VEQMYBRBP</v>
      </c>
      <c r="D8583" t="s">
        <v>45</v>
      </c>
      <c r="E8583" t="s">
        <v>113</v>
      </c>
      <c r="F8583" t="s">
        <v>61</v>
      </c>
      <c r="G8583" t="s">
        <v>48</v>
      </c>
      <c r="H8583" t="s">
        <v>49</v>
      </c>
      <c r="I8583" t="s">
        <v>50</v>
      </c>
      <c r="J8583" t="s">
        <v>14362</v>
      </c>
      <c r="K8583" t="s">
        <v>15237</v>
      </c>
      <c r="L8583" t="s">
        <v>53</v>
      </c>
      <c r="N8583" t="s">
        <v>16286</v>
      </c>
      <c r="P8583" t="s">
        <v>55</v>
      </c>
      <c r="R8583" t="s">
        <v>53</v>
      </c>
      <c r="T8583" t="s">
        <v>16287</v>
      </c>
      <c r="U8583" t="s">
        <v>58</v>
      </c>
      <c r="V8583">
        <v>1</v>
      </c>
      <c r="W8583">
        <v>1</v>
      </c>
      <c r="X8583">
        <v>2</v>
      </c>
      <c r="Y8583">
        <v>0</v>
      </c>
      <c r="Z8583">
        <v>2</v>
      </c>
      <c r="AA8583">
        <v>106.47</v>
      </c>
      <c r="AB8583">
        <v>212.94</v>
      </c>
      <c r="AC8583">
        <v>68.86</v>
      </c>
      <c r="AD8583">
        <v>0</v>
      </c>
      <c r="AE8583">
        <v>13.61</v>
      </c>
      <c r="AF8583">
        <v>0</v>
      </c>
      <c r="AG8583">
        <v>0</v>
      </c>
      <c r="AH8583">
        <v>0</v>
      </c>
      <c r="AI8583">
        <v>14.84</v>
      </c>
      <c r="AJ8583">
        <v>82.47</v>
      </c>
      <c r="AK8583">
        <v>0</v>
      </c>
      <c r="AL8583" t="s">
        <v>53</v>
      </c>
      <c r="AM8583" t="s">
        <v>53</v>
      </c>
      <c r="AN8583" t="s">
        <v>53</v>
      </c>
      <c r="AO8583" t="s">
        <v>53</v>
      </c>
      <c r="AP8583" t="s">
        <v>53</v>
      </c>
    </row>
    <row r="8584" spans="2:42" x14ac:dyDescent="0.2">
      <c r="B8584" t="s">
        <v>44</v>
      </c>
      <c r="C8584" t="str">
        <f>HYPERLINK("https://us2.cloudbeds.com/connect/8493803454333002#/reservations/9080486848803884?display=4VGFG5ETJB&amp;reservation_id=9080486848803884", "4VGFG5ETJB")</f>
        <v>4VGFG5ETJB</v>
      </c>
      <c r="D8584" t="s">
        <v>45</v>
      </c>
      <c r="E8584" t="s">
        <v>110</v>
      </c>
      <c r="F8584" t="s">
        <v>47</v>
      </c>
      <c r="G8584" t="s">
        <v>48</v>
      </c>
      <c r="H8584" t="s">
        <v>49</v>
      </c>
      <c r="I8584" t="s">
        <v>50</v>
      </c>
      <c r="J8584" t="s">
        <v>13805</v>
      </c>
      <c r="K8584" t="s">
        <v>13977</v>
      </c>
      <c r="L8584" t="s">
        <v>53</v>
      </c>
      <c r="N8584" t="s">
        <v>16288</v>
      </c>
      <c r="P8584" t="s">
        <v>55</v>
      </c>
      <c r="R8584" t="s">
        <v>53</v>
      </c>
      <c r="T8584" t="s">
        <v>16289</v>
      </c>
      <c r="U8584" t="s">
        <v>55</v>
      </c>
      <c r="V8584">
        <v>1</v>
      </c>
      <c r="W8584">
        <v>1</v>
      </c>
      <c r="X8584">
        <v>2</v>
      </c>
      <c r="Y8584">
        <v>0</v>
      </c>
      <c r="Z8584">
        <v>2</v>
      </c>
      <c r="AA8584">
        <v>77.59</v>
      </c>
      <c r="AB8584">
        <v>77.59</v>
      </c>
      <c r="AC8584">
        <v>71.34</v>
      </c>
      <c r="AD8584">
        <v>0</v>
      </c>
      <c r="AE8584">
        <v>6.25</v>
      </c>
      <c r="AF8584">
        <v>0</v>
      </c>
      <c r="AG8584">
        <v>0</v>
      </c>
      <c r="AH8584">
        <v>0</v>
      </c>
      <c r="AI8584">
        <v>13.97</v>
      </c>
      <c r="AJ8584">
        <v>77.59</v>
      </c>
      <c r="AK8584">
        <v>0</v>
      </c>
      <c r="AL8584" t="s">
        <v>53</v>
      </c>
      <c r="AM8584" t="s">
        <v>53</v>
      </c>
      <c r="AN8584" t="s">
        <v>16290</v>
      </c>
      <c r="AO8584" t="s">
        <v>53</v>
      </c>
      <c r="AP8584" t="s">
        <v>53</v>
      </c>
    </row>
    <row r="8585" spans="2:42" x14ac:dyDescent="0.2">
      <c r="B8585" t="s">
        <v>44</v>
      </c>
      <c r="C8585" t="str">
        <f>HYPERLINK("https://us2.cloudbeds.com/connect/8493803454333002#/reservations/229969702568064?display=4VH0EUKP2H&amp;reservation_id=229969702568064", "4VH0EUKP2H")</f>
        <v>4VH0EUKP2H</v>
      </c>
      <c r="D8585" t="s">
        <v>45</v>
      </c>
      <c r="E8585" t="s">
        <v>190</v>
      </c>
      <c r="F8585" t="s">
        <v>61</v>
      </c>
      <c r="G8585" t="s">
        <v>48</v>
      </c>
      <c r="H8585" t="s">
        <v>3957</v>
      </c>
      <c r="I8585" t="s">
        <v>3958</v>
      </c>
      <c r="J8585" t="s">
        <v>13068</v>
      </c>
      <c r="K8585" t="s">
        <v>12822</v>
      </c>
      <c r="L8585" t="s">
        <v>53</v>
      </c>
      <c r="P8585" t="s">
        <v>55</v>
      </c>
      <c r="R8585" t="s">
        <v>56</v>
      </c>
      <c r="T8585" t="s">
        <v>16291</v>
      </c>
      <c r="U8585" t="s">
        <v>58</v>
      </c>
      <c r="V8585">
        <v>1</v>
      </c>
      <c r="W8585">
        <v>1</v>
      </c>
      <c r="X8585">
        <v>1</v>
      </c>
      <c r="Y8585">
        <v>0</v>
      </c>
      <c r="Z8585">
        <v>1</v>
      </c>
      <c r="AA8585">
        <v>145.61000000000001</v>
      </c>
      <c r="AB8585">
        <v>145.61000000000001</v>
      </c>
      <c r="AC8585">
        <v>127</v>
      </c>
      <c r="AD8585">
        <v>0</v>
      </c>
      <c r="AE8585">
        <v>18.61</v>
      </c>
      <c r="AF8585">
        <v>0</v>
      </c>
      <c r="AG8585">
        <v>0</v>
      </c>
      <c r="AH8585">
        <v>0</v>
      </c>
      <c r="AI8585">
        <v>0</v>
      </c>
      <c r="AJ8585">
        <v>145.61000000000001</v>
      </c>
      <c r="AK8585">
        <v>0</v>
      </c>
      <c r="AL8585" t="s">
        <v>53</v>
      </c>
      <c r="AM8585" t="s">
        <v>53</v>
      </c>
      <c r="AN8585" t="s">
        <v>53</v>
      </c>
      <c r="AO8585" t="s">
        <v>53</v>
      </c>
      <c r="AP8585" t="s">
        <v>53</v>
      </c>
    </row>
    <row r="8586" spans="2:42" x14ac:dyDescent="0.2">
      <c r="B8586" t="s">
        <v>44</v>
      </c>
      <c r="C8586" t="str">
        <f>HYPERLINK("https://us2.cloudbeds.com/connect/8493803454333002#/reservations/229970173005952?display=4VH0QVACQ3&amp;reservation_id=229970173005952", "4VH0QVACQ3")</f>
        <v>4VH0QVACQ3</v>
      </c>
      <c r="D8586" t="s">
        <v>45</v>
      </c>
      <c r="E8586" t="s">
        <v>78</v>
      </c>
      <c r="F8586" t="s">
        <v>61</v>
      </c>
      <c r="G8586" t="s">
        <v>48</v>
      </c>
      <c r="H8586" t="s">
        <v>3957</v>
      </c>
      <c r="I8586" t="s">
        <v>3958</v>
      </c>
      <c r="J8586" t="s">
        <v>14362</v>
      </c>
      <c r="K8586" t="s">
        <v>15237</v>
      </c>
      <c r="L8586" t="s">
        <v>53</v>
      </c>
      <c r="P8586" t="s">
        <v>55</v>
      </c>
      <c r="R8586" t="s">
        <v>56</v>
      </c>
      <c r="T8586" t="s">
        <v>16292</v>
      </c>
      <c r="U8586" t="s">
        <v>58</v>
      </c>
      <c r="V8586">
        <v>1</v>
      </c>
      <c r="W8586">
        <v>1</v>
      </c>
      <c r="X8586">
        <v>1</v>
      </c>
      <c r="Y8586">
        <v>0</v>
      </c>
      <c r="Z8586">
        <v>1</v>
      </c>
      <c r="AA8586">
        <v>108.93</v>
      </c>
      <c r="AB8586">
        <v>108.93</v>
      </c>
      <c r="AC8586">
        <v>95</v>
      </c>
      <c r="AD8586">
        <v>0</v>
      </c>
      <c r="AE8586">
        <v>13.93</v>
      </c>
      <c r="AF8586">
        <v>0</v>
      </c>
      <c r="AG8586">
        <v>0</v>
      </c>
      <c r="AH8586">
        <v>0</v>
      </c>
      <c r="AI8586">
        <v>0</v>
      </c>
      <c r="AJ8586">
        <v>108.93</v>
      </c>
      <c r="AK8586">
        <v>0</v>
      </c>
      <c r="AL8586" t="s">
        <v>53</v>
      </c>
      <c r="AM8586" t="s">
        <v>53</v>
      </c>
      <c r="AN8586" t="s">
        <v>53</v>
      </c>
      <c r="AO8586" t="s">
        <v>53</v>
      </c>
      <c r="AP8586" t="s">
        <v>53</v>
      </c>
    </row>
    <row r="8587" spans="2:42" x14ac:dyDescent="0.2">
      <c r="B8587" t="s">
        <v>44</v>
      </c>
      <c r="C8587" t="str">
        <f>HYPERLINK("https://us2.cloudbeds.com/connect/8493803454333002#/reservations/9080486848805583?display=4VHA3NEF0B&amp;reservation_id=9080486848805583", "4VHA3NEF0B")</f>
        <v>4VHA3NEF0B</v>
      </c>
      <c r="D8587" t="s">
        <v>45</v>
      </c>
      <c r="E8587" t="s">
        <v>128</v>
      </c>
      <c r="F8587" t="s">
        <v>86</v>
      </c>
      <c r="G8587" t="s">
        <v>48</v>
      </c>
      <c r="H8587" t="s">
        <v>49</v>
      </c>
      <c r="I8587" t="s">
        <v>50</v>
      </c>
      <c r="J8587" t="s">
        <v>15838</v>
      </c>
      <c r="K8587" t="s">
        <v>14979</v>
      </c>
      <c r="L8587" t="s">
        <v>53</v>
      </c>
      <c r="N8587" t="s">
        <v>16293</v>
      </c>
      <c r="P8587" t="s">
        <v>55</v>
      </c>
      <c r="R8587" t="s">
        <v>53</v>
      </c>
      <c r="T8587" t="s">
        <v>16294</v>
      </c>
      <c r="U8587" t="s">
        <v>58</v>
      </c>
      <c r="V8587">
        <v>1</v>
      </c>
      <c r="W8587">
        <v>1</v>
      </c>
      <c r="X8587">
        <v>2</v>
      </c>
      <c r="Y8587">
        <v>2</v>
      </c>
      <c r="Z8587">
        <v>4</v>
      </c>
      <c r="AA8587">
        <v>202.51</v>
      </c>
      <c r="AB8587">
        <v>202.51</v>
      </c>
      <c r="AC8587">
        <v>176.64</v>
      </c>
      <c r="AD8587">
        <v>0</v>
      </c>
      <c r="AE8587">
        <v>25.87</v>
      </c>
      <c r="AF8587">
        <v>0</v>
      </c>
      <c r="AG8587">
        <v>0</v>
      </c>
      <c r="AH8587">
        <v>0</v>
      </c>
      <c r="AI8587">
        <v>36.450000000000003</v>
      </c>
      <c r="AJ8587">
        <v>202.51</v>
      </c>
      <c r="AK8587">
        <v>0</v>
      </c>
      <c r="AL8587" t="s">
        <v>53</v>
      </c>
      <c r="AM8587" t="s">
        <v>53</v>
      </c>
      <c r="AN8587" t="s">
        <v>16295</v>
      </c>
      <c r="AO8587" t="s">
        <v>53</v>
      </c>
      <c r="AP8587" t="s">
        <v>53</v>
      </c>
    </row>
    <row r="8588" spans="2:42" x14ac:dyDescent="0.2">
      <c r="B8588" t="s">
        <v>44</v>
      </c>
      <c r="C8588" t="str">
        <f>HYPERLINK("https://us2.cloudbeds.com/connect/8493803454333002#/reservations/230002654347392?display=4VHPVUENA7&amp;reservation_id=230002654347392", "4VHPVUENA7")</f>
        <v>4VHPVUENA7</v>
      </c>
      <c r="D8588" t="s">
        <v>45</v>
      </c>
      <c r="E8588" t="s">
        <v>190</v>
      </c>
      <c r="F8588" t="s">
        <v>61</v>
      </c>
      <c r="G8588" t="s">
        <v>48</v>
      </c>
      <c r="H8588" t="s">
        <v>3957</v>
      </c>
      <c r="I8588" t="s">
        <v>3989</v>
      </c>
      <c r="J8588" t="s">
        <v>14362</v>
      </c>
      <c r="K8588" t="s">
        <v>15237</v>
      </c>
      <c r="L8588" t="s">
        <v>53</v>
      </c>
      <c r="P8588" t="s">
        <v>55</v>
      </c>
      <c r="R8588" t="s">
        <v>56</v>
      </c>
      <c r="T8588" t="s">
        <v>16296</v>
      </c>
      <c r="U8588" t="s">
        <v>58</v>
      </c>
      <c r="V8588">
        <v>1</v>
      </c>
      <c r="W8588">
        <v>1</v>
      </c>
      <c r="X8588">
        <v>1</v>
      </c>
      <c r="Y8588">
        <v>0</v>
      </c>
      <c r="Z8588">
        <v>1</v>
      </c>
      <c r="AA8588">
        <v>108.93</v>
      </c>
      <c r="AB8588">
        <v>108.93</v>
      </c>
      <c r="AC8588">
        <v>95</v>
      </c>
      <c r="AD8588">
        <v>0</v>
      </c>
      <c r="AE8588">
        <v>13.93</v>
      </c>
      <c r="AF8588">
        <v>0</v>
      </c>
      <c r="AG8588">
        <v>0</v>
      </c>
      <c r="AH8588">
        <v>0</v>
      </c>
      <c r="AI8588">
        <v>0</v>
      </c>
      <c r="AJ8588">
        <v>108.93</v>
      </c>
      <c r="AK8588">
        <v>0</v>
      </c>
      <c r="AL8588" t="s">
        <v>53</v>
      </c>
      <c r="AM8588" t="s">
        <v>53</v>
      </c>
      <c r="AN8588" t="s">
        <v>16297</v>
      </c>
      <c r="AO8588" t="s">
        <v>53</v>
      </c>
      <c r="AP8588" t="s">
        <v>53</v>
      </c>
    </row>
    <row r="8589" spans="2:42" x14ac:dyDescent="0.2">
      <c r="B8589" t="s">
        <v>44</v>
      </c>
      <c r="C8589" t="str">
        <f>HYPERLINK("https://us2.cloudbeds.com/connect/8493803454333002#/reservations/9080486848807690?display=4VXC8TEC00&amp;reservation_id=9080486848807690", "4VXC8TEC00")</f>
        <v>4VXC8TEC00</v>
      </c>
      <c r="D8589" t="s">
        <v>45</v>
      </c>
      <c r="E8589" t="s">
        <v>138</v>
      </c>
      <c r="F8589" t="s">
        <v>70</v>
      </c>
      <c r="G8589" t="s">
        <v>48</v>
      </c>
      <c r="H8589" t="s">
        <v>49</v>
      </c>
      <c r="I8589" t="s">
        <v>50</v>
      </c>
      <c r="J8589" t="s">
        <v>14362</v>
      </c>
      <c r="K8589" t="s">
        <v>15237</v>
      </c>
      <c r="L8589" t="s">
        <v>53</v>
      </c>
      <c r="N8589" t="s">
        <v>16298</v>
      </c>
      <c r="P8589" t="s">
        <v>55</v>
      </c>
      <c r="R8589" t="s">
        <v>53</v>
      </c>
      <c r="T8589" t="s">
        <v>16299</v>
      </c>
      <c r="U8589" t="s">
        <v>55</v>
      </c>
      <c r="V8589">
        <v>1</v>
      </c>
      <c r="W8589">
        <v>1</v>
      </c>
      <c r="X8589">
        <v>1</v>
      </c>
      <c r="Y8589">
        <v>0</v>
      </c>
      <c r="Z8589">
        <v>1</v>
      </c>
      <c r="AA8589">
        <v>57.43</v>
      </c>
      <c r="AB8589">
        <v>57.43</v>
      </c>
      <c r="AC8589">
        <v>52.81</v>
      </c>
      <c r="AD8589">
        <v>0</v>
      </c>
      <c r="AE8589">
        <v>4.62</v>
      </c>
      <c r="AF8589">
        <v>0</v>
      </c>
      <c r="AG8589">
        <v>0</v>
      </c>
      <c r="AH8589">
        <v>0</v>
      </c>
      <c r="AI8589">
        <v>10.34</v>
      </c>
      <c r="AJ8589">
        <v>57.43</v>
      </c>
      <c r="AK8589">
        <v>0</v>
      </c>
      <c r="AL8589" t="s">
        <v>53</v>
      </c>
      <c r="AM8589" t="s">
        <v>53</v>
      </c>
      <c r="AN8589" t="s">
        <v>53</v>
      </c>
      <c r="AO8589" t="s">
        <v>53</v>
      </c>
      <c r="AP8589" t="s">
        <v>53</v>
      </c>
    </row>
    <row r="8590" spans="2:42" x14ac:dyDescent="0.2">
      <c r="B8590" t="s">
        <v>44</v>
      </c>
      <c r="C8590" t="str">
        <f>HYPERLINK("https://us2.cloudbeds.com/connect/8493803454333002#/reservations/9080486848807941?display=4VXXMVRHQU&amp;reservation_id=9080486848807941", "4VXXMVRHQU")</f>
        <v>4VXXMVRHQU</v>
      </c>
      <c r="D8590" t="s">
        <v>45</v>
      </c>
      <c r="E8590" t="s">
        <v>406</v>
      </c>
      <c r="F8590" t="s">
        <v>61</v>
      </c>
      <c r="G8590" t="s">
        <v>48</v>
      </c>
      <c r="H8590" t="s">
        <v>49</v>
      </c>
      <c r="I8590" t="s">
        <v>62</v>
      </c>
      <c r="J8590" t="s">
        <v>14362</v>
      </c>
      <c r="K8590" t="s">
        <v>15237</v>
      </c>
      <c r="L8590" t="s">
        <v>53</v>
      </c>
      <c r="N8590" t="s">
        <v>16300</v>
      </c>
      <c r="P8590" t="s">
        <v>55</v>
      </c>
      <c r="R8590" t="s">
        <v>56</v>
      </c>
      <c r="T8590" t="s">
        <v>16301</v>
      </c>
      <c r="U8590" t="s">
        <v>55</v>
      </c>
      <c r="V8590">
        <v>1</v>
      </c>
      <c r="W8590">
        <v>1</v>
      </c>
      <c r="X8590">
        <v>2</v>
      </c>
      <c r="Y8590">
        <v>0</v>
      </c>
      <c r="Z8590">
        <v>2</v>
      </c>
      <c r="AA8590">
        <v>109.25</v>
      </c>
      <c r="AB8590">
        <v>109.25</v>
      </c>
      <c r="AC8590">
        <v>109.25</v>
      </c>
      <c r="AD8590">
        <v>0</v>
      </c>
      <c r="AE8590">
        <v>0</v>
      </c>
      <c r="AF8590">
        <v>0</v>
      </c>
      <c r="AG8590">
        <v>0</v>
      </c>
      <c r="AH8590">
        <v>0</v>
      </c>
      <c r="AI8590">
        <v>19.670000000000002</v>
      </c>
      <c r="AJ8590">
        <v>109.25</v>
      </c>
      <c r="AK8590">
        <v>0</v>
      </c>
      <c r="AL8590" t="s">
        <v>53</v>
      </c>
      <c r="AM8590" t="s">
        <v>53</v>
      </c>
      <c r="AN8590" t="s">
        <v>53</v>
      </c>
      <c r="AO8590" t="s">
        <v>53</v>
      </c>
      <c r="AP8590" t="s">
        <v>53</v>
      </c>
    </row>
    <row r="8591" spans="2:42" x14ac:dyDescent="0.2">
      <c r="B8591" t="s">
        <v>44</v>
      </c>
      <c r="C8591" t="str">
        <f>HYPERLINK("https://us2.cloudbeds.com/connect/8493803454333002#/reservations/230073481707648?display=4VJEQNV2CU&amp;reservation_id=230073481707648", "4VJEQNV2CU")</f>
        <v>4VJEQNV2CU</v>
      </c>
      <c r="D8591" t="s">
        <v>45</v>
      </c>
      <c r="E8591" t="s">
        <v>155</v>
      </c>
      <c r="F8591" t="s">
        <v>86</v>
      </c>
      <c r="G8591" t="s">
        <v>48</v>
      </c>
      <c r="H8591" t="s">
        <v>3957</v>
      </c>
      <c r="I8591" t="s">
        <v>3975</v>
      </c>
      <c r="J8591" t="s">
        <v>15237</v>
      </c>
      <c r="K8591" t="s">
        <v>13068</v>
      </c>
      <c r="L8591" t="s">
        <v>53</v>
      </c>
      <c r="P8591" t="s">
        <v>55</v>
      </c>
      <c r="R8591" t="s">
        <v>56</v>
      </c>
      <c r="T8591" t="s">
        <v>16302</v>
      </c>
      <c r="U8591" t="s">
        <v>58</v>
      </c>
      <c r="V8591">
        <v>2</v>
      </c>
      <c r="W8591">
        <v>1</v>
      </c>
      <c r="X8591">
        <v>4</v>
      </c>
      <c r="Y8591">
        <v>0</v>
      </c>
      <c r="Z8591">
        <v>4</v>
      </c>
      <c r="AA8591">
        <v>275.16000000000003</v>
      </c>
      <c r="AB8591">
        <v>275.16000000000003</v>
      </c>
      <c r="AC8591">
        <v>240</v>
      </c>
      <c r="AD8591">
        <v>0</v>
      </c>
      <c r="AE8591">
        <v>35.159999999999997</v>
      </c>
      <c r="AF8591">
        <v>0</v>
      </c>
      <c r="AG8591">
        <v>0</v>
      </c>
      <c r="AH8591">
        <v>0</v>
      </c>
      <c r="AI8591">
        <v>0</v>
      </c>
      <c r="AJ8591">
        <v>275.16000000000003</v>
      </c>
      <c r="AK8591">
        <v>0</v>
      </c>
      <c r="AL8591" t="s">
        <v>53</v>
      </c>
      <c r="AM8591" t="s">
        <v>53</v>
      </c>
      <c r="AN8591" t="s">
        <v>53</v>
      </c>
      <c r="AO8591" t="s">
        <v>53</v>
      </c>
      <c r="AP8591" t="s">
        <v>53</v>
      </c>
    </row>
    <row r="8592" spans="2:42" x14ac:dyDescent="0.2">
      <c r="B8592" t="s">
        <v>44</v>
      </c>
      <c r="C8592" t="str">
        <f>HYPERLINK("https://us2.cloudbeds.com/connect/8493803454333002#/reservations/230081445765312?display=4VJKW7ER9T&amp;reservation_id=230081445765312", "4VJKW7ER9T")</f>
        <v>4VJKW7ER9T</v>
      </c>
      <c r="D8592" t="s">
        <v>45</v>
      </c>
      <c r="E8592" t="s">
        <v>213</v>
      </c>
      <c r="F8592" t="s">
        <v>86</v>
      </c>
      <c r="G8592" t="s">
        <v>4520</v>
      </c>
      <c r="H8592" t="s">
        <v>3957</v>
      </c>
      <c r="I8592" t="s">
        <v>3958</v>
      </c>
      <c r="J8592" t="s">
        <v>15237</v>
      </c>
      <c r="K8592" t="s">
        <v>13067</v>
      </c>
      <c r="L8592" t="s">
        <v>53</v>
      </c>
      <c r="P8592" t="s">
        <v>55</v>
      </c>
      <c r="R8592" t="s">
        <v>56</v>
      </c>
      <c r="T8592" t="s">
        <v>16303</v>
      </c>
      <c r="U8592" t="s">
        <v>58</v>
      </c>
      <c r="V8592">
        <v>1</v>
      </c>
      <c r="W8592">
        <v>1</v>
      </c>
      <c r="X8592">
        <v>1</v>
      </c>
      <c r="Y8592">
        <v>0</v>
      </c>
      <c r="Z8592">
        <v>1</v>
      </c>
      <c r="AA8592">
        <v>119.69</v>
      </c>
      <c r="AB8592">
        <v>119.69</v>
      </c>
      <c r="AC8592">
        <v>104.4</v>
      </c>
      <c r="AD8592">
        <v>0</v>
      </c>
      <c r="AE8592">
        <v>15.29</v>
      </c>
      <c r="AF8592">
        <v>0</v>
      </c>
      <c r="AG8592">
        <v>0</v>
      </c>
      <c r="AH8592">
        <v>0</v>
      </c>
      <c r="AI8592">
        <v>0</v>
      </c>
      <c r="AJ8592">
        <v>119.69</v>
      </c>
      <c r="AK8592">
        <v>0</v>
      </c>
      <c r="AL8592" t="s">
        <v>53</v>
      </c>
      <c r="AM8592" t="s">
        <v>53</v>
      </c>
      <c r="AN8592" t="s">
        <v>53</v>
      </c>
      <c r="AO8592" t="s">
        <v>53</v>
      </c>
      <c r="AP8592" t="s">
        <v>53</v>
      </c>
    </row>
    <row r="8593" spans="2:42" x14ac:dyDescent="0.2">
      <c r="B8593" t="s">
        <v>44</v>
      </c>
      <c r="C8593" t="str">
        <f>HYPERLINK("https://us2.cloudbeds.com/connect/8493803454333002#/reservations/9080486848810656?display=4VKCWJK15G&amp;reservation_id=9080486848810656", "4VKCWJK15G")</f>
        <v>4VKCWJK15G</v>
      </c>
      <c r="D8593" t="s">
        <v>45</v>
      </c>
      <c r="E8593" t="s">
        <v>69</v>
      </c>
      <c r="F8593" t="s">
        <v>70</v>
      </c>
      <c r="G8593" t="s">
        <v>48</v>
      </c>
      <c r="H8593" t="s">
        <v>49</v>
      </c>
      <c r="I8593" t="s">
        <v>50</v>
      </c>
      <c r="J8593" t="s">
        <v>15231</v>
      </c>
      <c r="K8593" t="s">
        <v>15735</v>
      </c>
      <c r="L8593" t="s">
        <v>53</v>
      </c>
      <c r="N8593" t="s">
        <v>16304</v>
      </c>
      <c r="P8593" t="s">
        <v>55</v>
      </c>
      <c r="R8593" t="s">
        <v>53</v>
      </c>
      <c r="T8593" t="s">
        <v>16305</v>
      </c>
      <c r="U8593" t="s">
        <v>55</v>
      </c>
      <c r="V8593">
        <v>2</v>
      </c>
      <c r="W8593">
        <v>1</v>
      </c>
      <c r="X8593">
        <v>2</v>
      </c>
      <c r="Y8593">
        <v>0</v>
      </c>
      <c r="Z8593">
        <v>2</v>
      </c>
      <c r="AA8593">
        <v>248.63</v>
      </c>
      <c r="AB8593">
        <v>248.63</v>
      </c>
      <c r="AC8593">
        <v>228.62</v>
      </c>
      <c r="AD8593">
        <v>0</v>
      </c>
      <c r="AE8593">
        <v>20.010000000000002</v>
      </c>
      <c r="AF8593">
        <v>0</v>
      </c>
      <c r="AG8593">
        <v>0</v>
      </c>
      <c r="AH8593">
        <v>0</v>
      </c>
      <c r="AI8593">
        <v>44.75</v>
      </c>
      <c r="AJ8593">
        <v>248.63</v>
      </c>
      <c r="AK8593">
        <v>0</v>
      </c>
      <c r="AL8593" t="s">
        <v>53</v>
      </c>
      <c r="AM8593" t="s">
        <v>53</v>
      </c>
      <c r="AN8593" t="s">
        <v>16306</v>
      </c>
      <c r="AO8593" t="s">
        <v>53</v>
      </c>
      <c r="AP8593" t="s">
        <v>53</v>
      </c>
    </row>
    <row r="8594" spans="2:42" x14ac:dyDescent="0.2">
      <c r="B8594" t="s">
        <v>44</v>
      </c>
      <c r="C8594" t="str">
        <f>HYPERLINK("https://us2.cloudbeds.com/connect/8493803454333002#/reservations/9080486848810791?display=4VKGSQ6K90&amp;reservation_id=9080486848810791", "4VKGSQ6K90")</f>
        <v>4VKGSQ6K90</v>
      </c>
      <c r="D8594" t="s">
        <v>45</v>
      </c>
      <c r="E8594" t="s">
        <v>78</v>
      </c>
      <c r="F8594" t="s">
        <v>61</v>
      </c>
      <c r="G8594" t="s">
        <v>48</v>
      </c>
      <c r="H8594" t="s">
        <v>49</v>
      </c>
      <c r="I8594" t="s">
        <v>50</v>
      </c>
      <c r="J8594" t="s">
        <v>11627</v>
      </c>
      <c r="K8594" t="s">
        <v>11628</v>
      </c>
      <c r="L8594" t="s">
        <v>53</v>
      </c>
      <c r="N8594" t="s">
        <v>16307</v>
      </c>
      <c r="P8594" t="s">
        <v>55</v>
      </c>
      <c r="R8594" t="s">
        <v>53</v>
      </c>
      <c r="T8594" t="s">
        <v>16308</v>
      </c>
      <c r="U8594" t="s">
        <v>58</v>
      </c>
      <c r="V8594">
        <v>1</v>
      </c>
      <c r="W8594">
        <v>1</v>
      </c>
      <c r="X8594">
        <v>1</v>
      </c>
      <c r="Y8594">
        <v>0</v>
      </c>
      <c r="Z8594">
        <v>1</v>
      </c>
      <c r="AA8594">
        <v>114.76</v>
      </c>
      <c r="AB8594">
        <v>114.76</v>
      </c>
      <c r="AC8594">
        <v>100.1</v>
      </c>
      <c r="AD8594">
        <v>0</v>
      </c>
      <c r="AE8594">
        <v>14.66</v>
      </c>
      <c r="AF8594">
        <v>0</v>
      </c>
      <c r="AG8594">
        <v>0</v>
      </c>
      <c r="AH8594">
        <v>0</v>
      </c>
      <c r="AI8594">
        <v>20.66</v>
      </c>
      <c r="AJ8594">
        <v>114.76</v>
      </c>
      <c r="AK8594">
        <v>0</v>
      </c>
      <c r="AL8594" t="s">
        <v>53</v>
      </c>
      <c r="AM8594" t="s">
        <v>53</v>
      </c>
      <c r="AN8594" t="s">
        <v>16309</v>
      </c>
      <c r="AO8594" t="s">
        <v>53</v>
      </c>
      <c r="AP8594" t="s">
        <v>53</v>
      </c>
    </row>
    <row r="8595" spans="2:42" x14ac:dyDescent="0.2">
      <c r="B8595" t="s">
        <v>44</v>
      </c>
      <c r="C8595" t="str">
        <f>HYPERLINK("https://us2.cloudbeds.com/connect/8493803454333002#/reservations/9080486848811610?display=4VYAEYJ044&amp;reservation_id=9080486848811610", "4VYAEYJ044")</f>
        <v>4VYAEYJ044</v>
      </c>
      <c r="D8595" t="s">
        <v>45</v>
      </c>
      <c r="E8595" t="s">
        <v>487</v>
      </c>
      <c r="F8595" t="s">
        <v>61</v>
      </c>
      <c r="G8595" t="s">
        <v>48</v>
      </c>
      <c r="H8595" t="s">
        <v>49</v>
      </c>
      <c r="I8595" t="s">
        <v>50</v>
      </c>
      <c r="J8595" t="s">
        <v>14344</v>
      </c>
      <c r="K8595" t="s">
        <v>14154</v>
      </c>
      <c r="L8595" t="s">
        <v>53</v>
      </c>
      <c r="N8595" t="s">
        <v>16310</v>
      </c>
      <c r="P8595" t="s">
        <v>55</v>
      </c>
      <c r="R8595" t="s">
        <v>53</v>
      </c>
      <c r="T8595" t="s">
        <v>16311</v>
      </c>
      <c r="U8595" t="s">
        <v>58</v>
      </c>
      <c r="V8595">
        <v>1</v>
      </c>
      <c r="W8595">
        <v>1</v>
      </c>
      <c r="X8595">
        <v>2</v>
      </c>
      <c r="Y8595">
        <v>0</v>
      </c>
      <c r="Z8595">
        <v>2</v>
      </c>
      <c r="AA8595">
        <v>132.91</v>
      </c>
      <c r="AB8595">
        <v>132.91</v>
      </c>
      <c r="AC8595">
        <v>115.92</v>
      </c>
      <c r="AD8595">
        <v>0</v>
      </c>
      <c r="AE8595">
        <v>16.989999999999998</v>
      </c>
      <c r="AF8595">
        <v>0</v>
      </c>
      <c r="AG8595">
        <v>0</v>
      </c>
      <c r="AH8595">
        <v>0</v>
      </c>
      <c r="AI8595">
        <v>23.92</v>
      </c>
      <c r="AJ8595">
        <v>132.91</v>
      </c>
      <c r="AK8595">
        <v>0</v>
      </c>
      <c r="AL8595" t="s">
        <v>53</v>
      </c>
      <c r="AM8595" t="s">
        <v>53</v>
      </c>
      <c r="AN8595" t="s">
        <v>53</v>
      </c>
      <c r="AO8595" t="s">
        <v>53</v>
      </c>
      <c r="AP8595" t="s">
        <v>53</v>
      </c>
    </row>
    <row r="8596" spans="2:42" x14ac:dyDescent="0.2">
      <c r="B8596" t="s">
        <v>44</v>
      </c>
      <c r="C8596" t="str">
        <f>HYPERLINK("https://us2.cloudbeds.com/connect/8493803454333002#/reservations/9080486848812254?display=4VYWJFXWVY&amp;reservation_id=9080486848812254", "4VYWJFXWVY")</f>
        <v>4VYWJFXWVY</v>
      </c>
      <c r="D8596" t="s">
        <v>45</v>
      </c>
      <c r="E8596" t="s">
        <v>69</v>
      </c>
      <c r="F8596" t="s">
        <v>70</v>
      </c>
      <c r="G8596" t="s">
        <v>48</v>
      </c>
      <c r="H8596" t="s">
        <v>49</v>
      </c>
      <c r="I8596" t="s">
        <v>50</v>
      </c>
      <c r="J8596" t="s">
        <v>14655</v>
      </c>
      <c r="K8596" t="s">
        <v>14656</v>
      </c>
      <c r="L8596" t="s">
        <v>53</v>
      </c>
      <c r="N8596" t="s">
        <v>16312</v>
      </c>
      <c r="P8596" t="s">
        <v>55</v>
      </c>
      <c r="R8596" t="s">
        <v>53</v>
      </c>
      <c r="T8596" t="s">
        <v>16313</v>
      </c>
      <c r="U8596" t="s">
        <v>55</v>
      </c>
      <c r="V8596">
        <v>1</v>
      </c>
      <c r="W8596">
        <v>1</v>
      </c>
      <c r="X8596">
        <v>2</v>
      </c>
      <c r="Y8596">
        <v>0</v>
      </c>
      <c r="Z8596">
        <v>2</v>
      </c>
      <c r="AA8596">
        <v>99.77</v>
      </c>
      <c r="AB8596">
        <v>99.77</v>
      </c>
      <c r="AC8596">
        <v>91.74</v>
      </c>
      <c r="AD8596">
        <v>0</v>
      </c>
      <c r="AE8596">
        <v>8.0299999999999994</v>
      </c>
      <c r="AF8596">
        <v>0</v>
      </c>
      <c r="AG8596">
        <v>0</v>
      </c>
      <c r="AH8596">
        <v>0</v>
      </c>
      <c r="AI8596">
        <v>17.96</v>
      </c>
      <c r="AJ8596">
        <v>99.77</v>
      </c>
      <c r="AK8596">
        <v>0</v>
      </c>
      <c r="AL8596" t="s">
        <v>53</v>
      </c>
      <c r="AM8596" t="s">
        <v>53</v>
      </c>
      <c r="AN8596" t="s">
        <v>53</v>
      </c>
      <c r="AO8596" t="s">
        <v>53</v>
      </c>
      <c r="AP8596" t="s">
        <v>53</v>
      </c>
    </row>
    <row r="8597" spans="2:42" x14ac:dyDescent="0.2">
      <c r="B8597" t="s">
        <v>44</v>
      </c>
      <c r="C8597" t="str">
        <f>HYPERLINK("https://us2.cloudbeds.com/connect/8493803454333002#/reservations/9080486848815024?display=4VZ0671E46&amp;reservation_id=9080486848815024", "4VZ0671E46")</f>
        <v>4VZ0671E46</v>
      </c>
      <c r="D8597" t="s">
        <v>45</v>
      </c>
      <c r="E8597" t="s">
        <v>105</v>
      </c>
      <c r="F8597" t="s">
        <v>47</v>
      </c>
      <c r="G8597" t="s">
        <v>48</v>
      </c>
      <c r="H8597" t="s">
        <v>49</v>
      </c>
      <c r="I8597" t="s">
        <v>50</v>
      </c>
      <c r="J8597" t="s">
        <v>15237</v>
      </c>
      <c r="K8597" t="s">
        <v>13068</v>
      </c>
      <c r="L8597" t="s">
        <v>53</v>
      </c>
      <c r="N8597" t="s">
        <v>16314</v>
      </c>
      <c r="P8597" t="s">
        <v>55</v>
      </c>
      <c r="R8597" t="s">
        <v>53</v>
      </c>
      <c r="T8597" t="s">
        <v>16315</v>
      </c>
      <c r="U8597" t="s">
        <v>55</v>
      </c>
      <c r="V8597">
        <v>2</v>
      </c>
      <c r="W8597">
        <v>1</v>
      </c>
      <c r="X8597">
        <v>1</v>
      </c>
      <c r="Y8597">
        <v>0</v>
      </c>
      <c r="Z8597">
        <v>1</v>
      </c>
      <c r="AA8597">
        <v>103.38</v>
      </c>
      <c r="AB8597">
        <v>103.38</v>
      </c>
      <c r="AC8597">
        <v>95.06</v>
      </c>
      <c r="AD8597">
        <v>0</v>
      </c>
      <c r="AE8597">
        <v>8.32</v>
      </c>
      <c r="AF8597">
        <v>0</v>
      </c>
      <c r="AG8597">
        <v>0</v>
      </c>
      <c r="AH8597">
        <v>0</v>
      </c>
      <c r="AI8597">
        <v>18.61</v>
      </c>
      <c r="AJ8597">
        <v>103.38</v>
      </c>
      <c r="AK8597">
        <v>0</v>
      </c>
      <c r="AL8597" t="s">
        <v>53</v>
      </c>
      <c r="AM8597" t="s">
        <v>53</v>
      </c>
      <c r="AN8597" t="s">
        <v>53</v>
      </c>
      <c r="AO8597" t="s">
        <v>53</v>
      </c>
      <c r="AP8597" t="s">
        <v>53</v>
      </c>
    </row>
    <row r="8598" spans="2:42" x14ac:dyDescent="0.2">
      <c r="B8598" t="s">
        <v>44</v>
      </c>
      <c r="C8598" t="str">
        <f>HYPERLINK("https://us2.cloudbeds.com/connect/8493803454333002#/reservations/9080486848815215?display=4VZ2SAJT85&amp;reservation_id=9080486848815215", "4VZ2SAJT85")</f>
        <v>4VZ2SAJT85</v>
      </c>
      <c r="D8598" t="s">
        <v>45</v>
      </c>
      <c r="E8598" t="s">
        <v>69</v>
      </c>
      <c r="F8598" t="s">
        <v>70</v>
      </c>
      <c r="G8598" t="s">
        <v>48</v>
      </c>
      <c r="H8598" t="s">
        <v>49</v>
      </c>
      <c r="I8598" t="s">
        <v>62</v>
      </c>
      <c r="J8598" t="s">
        <v>15237</v>
      </c>
      <c r="K8598" t="s">
        <v>13067</v>
      </c>
      <c r="L8598" t="s">
        <v>53</v>
      </c>
      <c r="N8598" t="s">
        <v>16316</v>
      </c>
      <c r="P8598" t="s">
        <v>55</v>
      </c>
      <c r="R8598" t="s">
        <v>56</v>
      </c>
      <c r="T8598" t="s">
        <v>16317</v>
      </c>
      <c r="U8598" t="s">
        <v>55</v>
      </c>
      <c r="V8598">
        <v>1</v>
      </c>
      <c r="W8598">
        <v>1</v>
      </c>
      <c r="X8598">
        <v>2</v>
      </c>
      <c r="Y8598">
        <v>0</v>
      </c>
      <c r="Z8598">
        <v>2</v>
      </c>
      <c r="AA8598">
        <v>92</v>
      </c>
      <c r="AB8598">
        <v>92</v>
      </c>
      <c r="AC8598">
        <v>92</v>
      </c>
      <c r="AD8598">
        <v>0</v>
      </c>
      <c r="AE8598">
        <v>0</v>
      </c>
      <c r="AF8598">
        <v>0</v>
      </c>
      <c r="AG8598">
        <v>0</v>
      </c>
      <c r="AH8598">
        <v>0</v>
      </c>
      <c r="AI8598">
        <v>16.559999999999999</v>
      </c>
      <c r="AJ8598">
        <v>92</v>
      </c>
      <c r="AK8598">
        <v>0</v>
      </c>
      <c r="AL8598" t="s">
        <v>53</v>
      </c>
      <c r="AM8598" t="s">
        <v>53</v>
      </c>
      <c r="AN8598" t="s">
        <v>53</v>
      </c>
      <c r="AO8598" t="s">
        <v>53</v>
      </c>
      <c r="AP8598" t="s">
        <v>53</v>
      </c>
    </row>
    <row r="8599" spans="2:42" x14ac:dyDescent="0.2">
      <c r="B8599" t="s">
        <v>44</v>
      </c>
      <c r="C8599" t="str">
        <f>HYPERLINK("https://us2.cloudbeds.com/connect/8493803454333002#/reservations/9080486848815756?display=4VZC4CV1GP&amp;reservation_id=9080486848815756", "4VZC4CV1GP")</f>
        <v>4VZC4CV1GP</v>
      </c>
      <c r="D8599" t="s">
        <v>45</v>
      </c>
      <c r="E8599" t="s">
        <v>110</v>
      </c>
      <c r="F8599" t="s">
        <v>47</v>
      </c>
      <c r="G8599" t="s">
        <v>48</v>
      </c>
      <c r="H8599" t="s">
        <v>49</v>
      </c>
      <c r="I8599" t="s">
        <v>50</v>
      </c>
      <c r="J8599" t="s">
        <v>13067</v>
      </c>
      <c r="K8599" t="s">
        <v>13068</v>
      </c>
      <c r="L8599" t="s">
        <v>53</v>
      </c>
      <c r="N8599" t="s">
        <v>16318</v>
      </c>
      <c r="P8599" t="s">
        <v>55</v>
      </c>
      <c r="R8599" t="s">
        <v>53</v>
      </c>
      <c r="T8599" t="s">
        <v>16319</v>
      </c>
      <c r="U8599" t="s">
        <v>55</v>
      </c>
      <c r="V8599">
        <v>1</v>
      </c>
      <c r="W8599">
        <v>1</v>
      </c>
      <c r="X8599">
        <v>2</v>
      </c>
      <c r="Y8599">
        <v>0</v>
      </c>
      <c r="Z8599">
        <v>2</v>
      </c>
      <c r="AA8599">
        <v>69.739999999999995</v>
      </c>
      <c r="AB8599">
        <v>69.739999999999995</v>
      </c>
      <c r="AC8599">
        <v>64.13</v>
      </c>
      <c r="AD8599">
        <v>0</v>
      </c>
      <c r="AE8599">
        <v>5.61</v>
      </c>
      <c r="AF8599">
        <v>0</v>
      </c>
      <c r="AG8599">
        <v>0</v>
      </c>
      <c r="AH8599">
        <v>0</v>
      </c>
      <c r="AI8599">
        <v>12.55</v>
      </c>
      <c r="AJ8599">
        <v>69.739999999999995</v>
      </c>
      <c r="AK8599">
        <v>0</v>
      </c>
      <c r="AL8599" t="s">
        <v>53</v>
      </c>
      <c r="AM8599" t="s">
        <v>53</v>
      </c>
      <c r="AN8599" t="s">
        <v>53</v>
      </c>
      <c r="AO8599" t="s">
        <v>53</v>
      </c>
      <c r="AP8599" t="s">
        <v>53</v>
      </c>
    </row>
    <row r="8600" spans="2:42" x14ac:dyDescent="0.2">
      <c r="B8600" t="s">
        <v>44</v>
      </c>
      <c r="C8600" t="str">
        <f>HYPERLINK("https://us2.cloudbeds.com/connect/8493803454333002#/reservations/230306050814080?display=4VZTTDBRX6&amp;reservation_id=230306050814080", "4VZTTDBRX6")</f>
        <v>4VZTTDBRX6</v>
      </c>
      <c r="D8600" t="s">
        <v>45</v>
      </c>
      <c r="E8600" t="s">
        <v>128</v>
      </c>
      <c r="F8600" t="s">
        <v>86</v>
      </c>
      <c r="G8600" t="s">
        <v>48</v>
      </c>
      <c r="H8600" t="s">
        <v>3957</v>
      </c>
      <c r="I8600" t="s">
        <v>3975</v>
      </c>
      <c r="J8600" t="s">
        <v>15237</v>
      </c>
      <c r="K8600" t="s">
        <v>13067</v>
      </c>
      <c r="L8600" t="s">
        <v>53</v>
      </c>
      <c r="P8600" t="s">
        <v>55</v>
      </c>
      <c r="R8600" t="s">
        <v>56</v>
      </c>
      <c r="T8600" t="s">
        <v>16320</v>
      </c>
      <c r="U8600" t="s">
        <v>58</v>
      </c>
      <c r="V8600">
        <v>1</v>
      </c>
      <c r="W8600">
        <v>1</v>
      </c>
      <c r="X8600">
        <v>2</v>
      </c>
      <c r="Y8600">
        <v>0</v>
      </c>
      <c r="Z8600">
        <v>2</v>
      </c>
      <c r="AA8600">
        <v>129.56</v>
      </c>
      <c r="AB8600">
        <v>129.56</v>
      </c>
      <c r="AC8600">
        <v>113</v>
      </c>
      <c r="AD8600">
        <v>0</v>
      </c>
      <c r="AE8600">
        <v>16.559999999999999</v>
      </c>
      <c r="AF8600">
        <v>0</v>
      </c>
      <c r="AG8600">
        <v>0</v>
      </c>
      <c r="AH8600">
        <v>0</v>
      </c>
      <c r="AI8600">
        <v>0</v>
      </c>
      <c r="AJ8600">
        <v>129.56</v>
      </c>
      <c r="AK8600">
        <v>0</v>
      </c>
      <c r="AL8600" t="s">
        <v>53</v>
      </c>
      <c r="AM8600" t="s">
        <v>53</v>
      </c>
      <c r="AN8600" t="s">
        <v>53</v>
      </c>
      <c r="AO8600" t="s">
        <v>53</v>
      </c>
      <c r="AP8600" t="s">
        <v>53</v>
      </c>
    </row>
    <row r="8601" spans="2:42" x14ac:dyDescent="0.2">
      <c r="B8601" t="s">
        <v>44</v>
      </c>
      <c r="C8601" t="str">
        <f>HYPERLINK("https://us2.cloudbeds.com/connect/8493803454333002#/reservations/230311808163968?display=4VP1BH4GA9&amp;reservation_id=230311808163968", "4VP1BH4GA9")</f>
        <v>4VP1BH4GA9</v>
      </c>
      <c r="D8601" t="s">
        <v>45</v>
      </c>
      <c r="E8601" t="s">
        <v>113</v>
      </c>
      <c r="F8601" t="s">
        <v>61</v>
      </c>
      <c r="G8601" t="s">
        <v>48</v>
      </c>
      <c r="H8601" t="s">
        <v>3957</v>
      </c>
      <c r="I8601" t="s">
        <v>3958</v>
      </c>
      <c r="J8601" t="s">
        <v>15237</v>
      </c>
      <c r="K8601" t="s">
        <v>13067</v>
      </c>
      <c r="L8601" t="s">
        <v>53</v>
      </c>
      <c r="P8601" t="s">
        <v>55</v>
      </c>
      <c r="R8601" t="s">
        <v>56</v>
      </c>
      <c r="T8601" t="s">
        <v>16321</v>
      </c>
      <c r="U8601" t="s">
        <v>58</v>
      </c>
      <c r="V8601">
        <v>1</v>
      </c>
      <c r="W8601">
        <v>1</v>
      </c>
      <c r="X8601">
        <v>1</v>
      </c>
      <c r="Y8601">
        <v>0</v>
      </c>
      <c r="Z8601">
        <v>1</v>
      </c>
      <c r="AA8601">
        <v>94.55</v>
      </c>
      <c r="AB8601">
        <v>94.55</v>
      </c>
      <c r="AC8601">
        <v>82.47</v>
      </c>
      <c r="AD8601">
        <v>0</v>
      </c>
      <c r="AE8601">
        <v>12.08</v>
      </c>
      <c r="AF8601">
        <v>0</v>
      </c>
      <c r="AG8601">
        <v>0</v>
      </c>
      <c r="AH8601">
        <v>0</v>
      </c>
      <c r="AI8601">
        <v>0</v>
      </c>
      <c r="AJ8601">
        <v>94.55</v>
      </c>
      <c r="AK8601">
        <v>0</v>
      </c>
      <c r="AL8601" t="s">
        <v>53</v>
      </c>
      <c r="AM8601" t="s">
        <v>53</v>
      </c>
      <c r="AN8601" t="s">
        <v>53</v>
      </c>
      <c r="AO8601" t="s">
        <v>53</v>
      </c>
      <c r="AP8601" t="s">
        <v>53</v>
      </c>
    </row>
    <row r="8602" spans="2:42" x14ac:dyDescent="0.2">
      <c r="B8602" t="s">
        <v>44</v>
      </c>
      <c r="C8602" t="str">
        <f>HYPERLINK("https://us2.cloudbeds.com/connect/8493803454333002#/reservations/9080486848818203?display=4VPN0BUE8E&amp;reservation_id=9080486848818203", "4VPN0BUE8E")</f>
        <v>4VPN0BUE8E</v>
      </c>
      <c r="D8602" t="s">
        <v>45</v>
      </c>
      <c r="E8602" t="s">
        <v>110</v>
      </c>
      <c r="F8602" t="s">
        <v>47</v>
      </c>
      <c r="G8602" t="s">
        <v>48</v>
      </c>
      <c r="H8602" t="s">
        <v>49</v>
      </c>
      <c r="I8602" t="s">
        <v>50</v>
      </c>
      <c r="J8602" t="s">
        <v>14349</v>
      </c>
      <c r="K8602" t="s">
        <v>15838</v>
      </c>
      <c r="L8602" t="s">
        <v>53</v>
      </c>
      <c r="N8602" t="s">
        <v>16322</v>
      </c>
      <c r="P8602" t="s">
        <v>55</v>
      </c>
      <c r="R8602" t="s">
        <v>53</v>
      </c>
      <c r="T8602" t="s">
        <v>16323</v>
      </c>
      <c r="U8602" t="s">
        <v>58</v>
      </c>
      <c r="V8602">
        <v>1</v>
      </c>
      <c r="W8602">
        <v>1</v>
      </c>
      <c r="X8602">
        <v>2</v>
      </c>
      <c r="Y8602">
        <v>0</v>
      </c>
      <c r="Z8602">
        <v>2</v>
      </c>
      <c r="AA8602">
        <v>126.64</v>
      </c>
      <c r="AB8602">
        <v>126.64</v>
      </c>
      <c r="AC8602">
        <v>110.46</v>
      </c>
      <c r="AD8602">
        <v>0</v>
      </c>
      <c r="AE8602">
        <v>16.18</v>
      </c>
      <c r="AF8602">
        <v>0</v>
      </c>
      <c r="AG8602">
        <v>0</v>
      </c>
      <c r="AH8602">
        <v>0</v>
      </c>
      <c r="AI8602">
        <v>22.8</v>
      </c>
      <c r="AJ8602">
        <v>126.64</v>
      </c>
      <c r="AK8602">
        <v>0</v>
      </c>
      <c r="AL8602" t="s">
        <v>53</v>
      </c>
      <c r="AM8602" t="s">
        <v>53</v>
      </c>
      <c r="AN8602" t="s">
        <v>16324</v>
      </c>
      <c r="AO8602" t="s">
        <v>53</v>
      </c>
      <c r="AP8602" t="s">
        <v>53</v>
      </c>
    </row>
    <row r="8603" spans="2:42" x14ac:dyDescent="0.2">
      <c r="B8603" t="s">
        <v>44</v>
      </c>
      <c r="C8603" t="str">
        <f>HYPERLINK("https://us2.cloudbeds.com/connect/8493803454333002#/reservations/9080486848818284?display=4VPZB236J3&amp;reservation_id=9080486848818284", "4VPZB236J3")</f>
        <v>4VPZB236J3</v>
      </c>
      <c r="D8603" t="s">
        <v>45</v>
      </c>
      <c r="E8603" t="s">
        <v>110</v>
      </c>
      <c r="F8603" t="s">
        <v>47</v>
      </c>
      <c r="G8603" t="s">
        <v>48</v>
      </c>
      <c r="H8603" t="s">
        <v>49</v>
      </c>
      <c r="I8603" t="s">
        <v>50</v>
      </c>
      <c r="J8603" t="s">
        <v>14095</v>
      </c>
      <c r="K8603" t="s">
        <v>13805</v>
      </c>
      <c r="L8603" t="s">
        <v>53</v>
      </c>
      <c r="N8603" t="s">
        <v>16325</v>
      </c>
      <c r="P8603" t="s">
        <v>55</v>
      </c>
      <c r="R8603" t="s">
        <v>53</v>
      </c>
      <c r="T8603" t="s">
        <v>16326</v>
      </c>
      <c r="U8603" t="s">
        <v>55</v>
      </c>
      <c r="V8603">
        <v>1</v>
      </c>
      <c r="W8603">
        <v>1</v>
      </c>
      <c r="X8603">
        <v>2</v>
      </c>
      <c r="Y8603">
        <v>0</v>
      </c>
      <c r="Z8603">
        <v>2</v>
      </c>
      <c r="AA8603">
        <v>60.86</v>
      </c>
      <c r="AB8603">
        <v>60.86</v>
      </c>
      <c r="AC8603">
        <v>55.96</v>
      </c>
      <c r="AD8603">
        <v>0</v>
      </c>
      <c r="AE8603">
        <v>4.9000000000000004</v>
      </c>
      <c r="AF8603">
        <v>0</v>
      </c>
      <c r="AG8603">
        <v>0</v>
      </c>
      <c r="AH8603">
        <v>0</v>
      </c>
      <c r="AI8603">
        <v>10.95</v>
      </c>
      <c r="AJ8603">
        <v>60.86</v>
      </c>
      <c r="AK8603">
        <v>0</v>
      </c>
      <c r="AL8603" t="s">
        <v>53</v>
      </c>
      <c r="AM8603" t="s">
        <v>53</v>
      </c>
      <c r="AN8603" t="s">
        <v>53</v>
      </c>
      <c r="AO8603" t="s">
        <v>53</v>
      </c>
      <c r="AP8603" t="s">
        <v>53</v>
      </c>
    </row>
    <row r="8604" spans="2:42" x14ac:dyDescent="0.2">
      <c r="B8604" t="s">
        <v>44</v>
      </c>
      <c r="C8604" t="str">
        <f>HYPERLINK("https://us2.cloudbeds.com/connect/8493803454333002#/reservations/9080486848818486?display=4VPRBVAGW5&amp;reservation_id=9080486848818486", "4VPRBVAGW5")</f>
        <v>4VPRBVAGW5</v>
      </c>
      <c r="D8604" t="s">
        <v>45</v>
      </c>
      <c r="E8604" t="s">
        <v>110</v>
      </c>
      <c r="F8604" t="s">
        <v>47</v>
      </c>
      <c r="G8604" t="s">
        <v>48</v>
      </c>
      <c r="H8604" t="s">
        <v>49</v>
      </c>
      <c r="I8604" t="s">
        <v>50</v>
      </c>
      <c r="J8604" t="s">
        <v>12822</v>
      </c>
      <c r="K8604" t="s">
        <v>12862</v>
      </c>
      <c r="L8604" t="s">
        <v>53</v>
      </c>
      <c r="N8604" t="s">
        <v>16327</v>
      </c>
      <c r="P8604" t="s">
        <v>55</v>
      </c>
      <c r="R8604" t="s">
        <v>53</v>
      </c>
      <c r="T8604" t="s">
        <v>16328</v>
      </c>
      <c r="U8604" t="s">
        <v>58</v>
      </c>
      <c r="V8604">
        <v>1</v>
      </c>
      <c r="W8604">
        <v>1</v>
      </c>
      <c r="X8604">
        <v>2</v>
      </c>
      <c r="Y8604">
        <v>0</v>
      </c>
      <c r="Z8604">
        <v>2</v>
      </c>
      <c r="AA8604">
        <v>117.68</v>
      </c>
      <c r="AB8604">
        <v>117.68</v>
      </c>
      <c r="AC8604">
        <v>102.64</v>
      </c>
      <c r="AD8604">
        <v>0</v>
      </c>
      <c r="AE8604">
        <v>15.04</v>
      </c>
      <c r="AF8604">
        <v>0</v>
      </c>
      <c r="AG8604">
        <v>0</v>
      </c>
      <c r="AH8604">
        <v>0</v>
      </c>
      <c r="AI8604">
        <v>21.18</v>
      </c>
      <c r="AJ8604">
        <v>117.68</v>
      </c>
      <c r="AK8604">
        <v>0</v>
      </c>
      <c r="AL8604" t="s">
        <v>53</v>
      </c>
      <c r="AM8604" t="s">
        <v>53</v>
      </c>
      <c r="AN8604" t="s">
        <v>53</v>
      </c>
      <c r="AO8604" t="s">
        <v>53</v>
      </c>
      <c r="AP8604" t="s">
        <v>53</v>
      </c>
    </row>
    <row r="8605" spans="2:42" x14ac:dyDescent="0.2">
      <c r="B8605" t="s">
        <v>44</v>
      </c>
      <c r="C8605" t="str">
        <f>HYPERLINK("https://us2.cloudbeds.com/connect/8493803454333002#/reservations/230371639271552?display=4VQEMB9F8K&amp;reservation_id=230371639271552", "4VQEMB9F8K")</f>
        <v>4VQEMB9F8K</v>
      </c>
      <c r="D8605" t="s">
        <v>45</v>
      </c>
      <c r="E8605" t="s">
        <v>46</v>
      </c>
      <c r="F8605" t="s">
        <v>47</v>
      </c>
      <c r="G8605" t="s">
        <v>48</v>
      </c>
      <c r="H8605" t="s">
        <v>3957</v>
      </c>
      <c r="I8605" t="s">
        <v>3975</v>
      </c>
      <c r="J8605" t="s">
        <v>14976</v>
      </c>
      <c r="K8605" t="s">
        <v>13870</v>
      </c>
      <c r="L8605" t="s">
        <v>53</v>
      </c>
      <c r="P8605" t="s">
        <v>55</v>
      </c>
      <c r="R8605" t="s">
        <v>56</v>
      </c>
      <c r="T8605" t="s">
        <v>16329</v>
      </c>
      <c r="U8605" t="s">
        <v>58</v>
      </c>
      <c r="V8605">
        <v>2</v>
      </c>
      <c r="W8605">
        <v>1</v>
      </c>
      <c r="X8605">
        <v>1</v>
      </c>
      <c r="Y8605">
        <v>0</v>
      </c>
      <c r="Z8605">
        <v>1</v>
      </c>
      <c r="AA8605">
        <v>380.65</v>
      </c>
      <c r="AB8605">
        <v>597.02</v>
      </c>
      <c r="AC8605">
        <v>332</v>
      </c>
      <c r="AD8605">
        <v>0</v>
      </c>
      <c r="AE8605">
        <v>48.65</v>
      </c>
      <c r="AF8605">
        <v>0</v>
      </c>
      <c r="AG8605">
        <v>0</v>
      </c>
      <c r="AH8605">
        <v>0</v>
      </c>
      <c r="AI8605">
        <v>0</v>
      </c>
      <c r="AJ8605">
        <v>380.65</v>
      </c>
      <c r="AK8605">
        <v>0</v>
      </c>
      <c r="AL8605" t="s">
        <v>53</v>
      </c>
      <c r="AM8605" t="s">
        <v>53</v>
      </c>
      <c r="AN8605" t="s">
        <v>16330</v>
      </c>
      <c r="AO8605" t="s">
        <v>53</v>
      </c>
      <c r="AP8605" t="s">
        <v>53</v>
      </c>
    </row>
    <row r="8606" spans="2:42" x14ac:dyDescent="0.2">
      <c r="B8606" t="s">
        <v>44</v>
      </c>
      <c r="C8606" t="str">
        <f>HYPERLINK("https://us2.cloudbeds.com/connect/8493803454333002#/reservations/230399404433536?display=4VR35QJU0F&amp;reservation_id=230399404433536", "4VR35QJU0F")</f>
        <v>4VR35QJU0F</v>
      </c>
      <c r="D8606" t="s">
        <v>45</v>
      </c>
      <c r="E8606" t="s">
        <v>190</v>
      </c>
      <c r="F8606" t="s">
        <v>61</v>
      </c>
      <c r="G8606" t="s">
        <v>48</v>
      </c>
      <c r="H8606" t="s">
        <v>3957</v>
      </c>
      <c r="I8606" t="s">
        <v>3958</v>
      </c>
      <c r="J8606" t="s">
        <v>15237</v>
      </c>
      <c r="K8606" t="s">
        <v>13067</v>
      </c>
      <c r="L8606" t="s">
        <v>53</v>
      </c>
      <c r="P8606" t="s">
        <v>55</v>
      </c>
      <c r="R8606" t="s">
        <v>56</v>
      </c>
      <c r="T8606" t="s">
        <v>16331</v>
      </c>
      <c r="U8606" t="s">
        <v>58</v>
      </c>
      <c r="V8606">
        <v>1</v>
      </c>
      <c r="W8606">
        <v>1</v>
      </c>
      <c r="X8606">
        <v>1</v>
      </c>
      <c r="Y8606">
        <v>0</v>
      </c>
      <c r="Z8606">
        <v>1</v>
      </c>
      <c r="AA8606">
        <v>108.93</v>
      </c>
      <c r="AB8606">
        <v>108.93</v>
      </c>
      <c r="AC8606">
        <v>95</v>
      </c>
      <c r="AD8606">
        <v>0</v>
      </c>
      <c r="AE8606">
        <v>13.93</v>
      </c>
      <c r="AF8606">
        <v>0</v>
      </c>
      <c r="AG8606">
        <v>0</v>
      </c>
      <c r="AH8606">
        <v>0</v>
      </c>
      <c r="AI8606">
        <v>0</v>
      </c>
      <c r="AJ8606">
        <v>108.93</v>
      </c>
      <c r="AK8606">
        <v>0</v>
      </c>
      <c r="AL8606" t="s">
        <v>53</v>
      </c>
      <c r="AM8606" t="s">
        <v>53</v>
      </c>
      <c r="AN8606" t="s">
        <v>16332</v>
      </c>
      <c r="AO8606" t="s">
        <v>53</v>
      </c>
      <c r="AP8606" t="s">
        <v>53</v>
      </c>
    </row>
    <row r="8607" spans="2:42" x14ac:dyDescent="0.2">
      <c r="B8607" t="s">
        <v>44</v>
      </c>
      <c r="C8607" t="str">
        <f>HYPERLINK("https://us2.cloudbeds.com/connect/8493803454333002#/reservations/9080486848821421?display=4VRNZNER7C&amp;reservation_id=9080486848821421", "4VRNZNER7C")</f>
        <v>4VRNZNER7C</v>
      </c>
      <c r="D8607" t="s">
        <v>45</v>
      </c>
      <c r="E8607" t="s">
        <v>110</v>
      </c>
      <c r="F8607" t="s">
        <v>47</v>
      </c>
      <c r="G8607" t="s">
        <v>48</v>
      </c>
      <c r="H8607" t="s">
        <v>49</v>
      </c>
      <c r="I8607" t="s">
        <v>50</v>
      </c>
      <c r="J8607" t="s">
        <v>15237</v>
      </c>
      <c r="K8607" t="s">
        <v>13067</v>
      </c>
      <c r="L8607" t="s">
        <v>53</v>
      </c>
      <c r="N8607" t="s">
        <v>16333</v>
      </c>
      <c r="P8607" t="s">
        <v>55</v>
      </c>
      <c r="R8607" t="s">
        <v>53</v>
      </c>
      <c r="T8607" t="s">
        <v>16334</v>
      </c>
      <c r="U8607" t="s">
        <v>55</v>
      </c>
      <c r="V8607">
        <v>1</v>
      </c>
      <c r="W8607">
        <v>1</v>
      </c>
      <c r="X8607">
        <v>1</v>
      </c>
      <c r="Y8607">
        <v>0</v>
      </c>
      <c r="Z8607">
        <v>1</v>
      </c>
      <c r="AA8607">
        <v>61.02</v>
      </c>
      <c r="AB8607">
        <v>61.02</v>
      </c>
      <c r="AC8607">
        <v>56.11</v>
      </c>
      <c r="AD8607">
        <v>0</v>
      </c>
      <c r="AE8607">
        <v>4.91</v>
      </c>
      <c r="AF8607">
        <v>0</v>
      </c>
      <c r="AG8607">
        <v>0</v>
      </c>
      <c r="AH8607">
        <v>0</v>
      </c>
      <c r="AI8607">
        <v>10.98</v>
      </c>
      <c r="AJ8607">
        <v>61.02</v>
      </c>
      <c r="AK8607">
        <v>0</v>
      </c>
      <c r="AL8607" t="s">
        <v>53</v>
      </c>
      <c r="AM8607" t="s">
        <v>53</v>
      </c>
      <c r="AN8607" t="s">
        <v>16335</v>
      </c>
      <c r="AO8607" t="s">
        <v>53</v>
      </c>
      <c r="AP8607" t="s">
        <v>53</v>
      </c>
    </row>
    <row r="8608" spans="2:42" x14ac:dyDescent="0.2">
      <c r="B8608" t="s">
        <v>44</v>
      </c>
      <c r="C8608" t="str">
        <f>HYPERLINK("https://us2.cloudbeds.com/connect/8493803454333002#/reservations/9080486848821651?display=4VRSMMZ49N&amp;reservation_id=9080486848821651", "4VRSMMZ49N")</f>
        <v>4VRSMMZ49N</v>
      </c>
      <c r="D8608" t="s">
        <v>45</v>
      </c>
      <c r="E8608" t="s">
        <v>69</v>
      </c>
      <c r="F8608" t="s">
        <v>70</v>
      </c>
      <c r="G8608" t="s">
        <v>48</v>
      </c>
      <c r="H8608" t="s">
        <v>49</v>
      </c>
      <c r="I8608" t="s">
        <v>50</v>
      </c>
      <c r="J8608" t="s">
        <v>13977</v>
      </c>
      <c r="K8608" t="s">
        <v>16262</v>
      </c>
      <c r="L8608" t="s">
        <v>53</v>
      </c>
      <c r="N8608" t="s">
        <v>16336</v>
      </c>
      <c r="P8608" t="s">
        <v>55</v>
      </c>
      <c r="R8608" t="s">
        <v>53</v>
      </c>
      <c r="T8608" t="s">
        <v>16337</v>
      </c>
      <c r="U8608" t="s">
        <v>55</v>
      </c>
      <c r="V8608">
        <v>1</v>
      </c>
      <c r="W8608">
        <v>1</v>
      </c>
      <c r="X8608">
        <v>2</v>
      </c>
      <c r="Y8608">
        <v>0</v>
      </c>
      <c r="Z8608">
        <v>2</v>
      </c>
      <c r="AA8608">
        <v>64.17</v>
      </c>
      <c r="AB8608">
        <v>64.17</v>
      </c>
      <c r="AC8608">
        <v>59</v>
      </c>
      <c r="AD8608">
        <v>0</v>
      </c>
      <c r="AE8608">
        <v>5.17</v>
      </c>
      <c r="AF8608">
        <v>0</v>
      </c>
      <c r="AG8608">
        <v>0</v>
      </c>
      <c r="AH8608">
        <v>0</v>
      </c>
      <c r="AI8608">
        <v>11.55</v>
      </c>
      <c r="AJ8608">
        <v>64.17</v>
      </c>
      <c r="AK8608">
        <v>0</v>
      </c>
      <c r="AL8608" t="s">
        <v>53</v>
      </c>
      <c r="AM8608" t="s">
        <v>53</v>
      </c>
      <c r="AN8608" t="s">
        <v>53</v>
      </c>
      <c r="AO8608" t="s">
        <v>53</v>
      </c>
      <c r="AP8608" t="s">
        <v>53</v>
      </c>
    </row>
    <row r="8609" spans="2:42" x14ac:dyDescent="0.2">
      <c r="B8609" t="s">
        <v>44</v>
      </c>
      <c r="C8609" t="str">
        <f>HYPERLINK("https://us2.cloudbeds.com/connect/8493803454333002#/reservations/230436733788352?display=4VRW2YNXU4&amp;reservation_id=230436733788352", "4VRW2YNXU4")</f>
        <v>4VRW2YNXU4</v>
      </c>
      <c r="D8609" t="s">
        <v>45</v>
      </c>
      <c r="E8609" t="s">
        <v>381</v>
      </c>
      <c r="F8609" t="s">
        <v>47</v>
      </c>
      <c r="G8609" t="s">
        <v>48</v>
      </c>
      <c r="H8609" t="s">
        <v>3957</v>
      </c>
      <c r="I8609" t="s">
        <v>3958</v>
      </c>
      <c r="J8609" t="s">
        <v>15237</v>
      </c>
      <c r="K8609" t="s">
        <v>13067</v>
      </c>
      <c r="L8609" t="s">
        <v>53</v>
      </c>
      <c r="P8609" t="s">
        <v>55</v>
      </c>
      <c r="R8609" t="s">
        <v>56</v>
      </c>
      <c r="T8609" t="s">
        <v>16338</v>
      </c>
      <c r="U8609" t="s">
        <v>58</v>
      </c>
      <c r="V8609">
        <v>1</v>
      </c>
      <c r="W8609">
        <v>1</v>
      </c>
      <c r="X8609">
        <v>1</v>
      </c>
      <c r="Y8609">
        <v>0</v>
      </c>
      <c r="Z8609">
        <v>1</v>
      </c>
      <c r="AA8609">
        <v>97.46</v>
      </c>
      <c r="AB8609">
        <v>97.46</v>
      </c>
      <c r="AC8609">
        <v>85</v>
      </c>
      <c r="AD8609">
        <v>0</v>
      </c>
      <c r="AE8609">
        <v>12.46</v>
      </c>
      <c r="AF8609">
        <v>0</v>
      </c>
      <c r="AG8609">
        <v>0</v>
      </c>
      <c r="AH8609">
        <v>0</v>
      </c>
      <c r="AI8609">
        <v>0</v>
      </c>
      <c r="AJ8609">
        <v>97.46</v>
      </c>
      <c r="AK8609">
        <v>0</v>
      </c>
      <c r="AL8609" t="s">
        <v>53</v>
      </c>
      <c r="AM8609" t="s">
        <v>53</v>
      </c>
      <c r="AN8609" t="s">
        <v>53</v>
      </c>
      <c r="AO8609" t="s">
        <v>53</v>
      </c>
      <c r="AP8609" t="s">
        <v>53</v>
      </c>
    </row>
    <row r="8610" spans="2:42" x14ac:dyDescent="0.2">
      <c r="B8610" t="s">
        <v>44</v>
      </c>
      <c r="C8610" t="str">
        <f>HYPERLINK("https://us2.cloudbeds.com/connect/8493803454333002#/reservations/9080486848821965?display=4VS31ASNW0&amp;reservation_id=9080486848821965", "4VS31ASNW0")</f>
        <v>4VS31ASNW0</v>
      </c>
      <c r="D8610" t="s">
        <v>45</v>
      </c>
      <c r="E8610" t="s">
        <v>14695</v>
      </c>
      <c r="F8610" t="s">
        <v>47</v>
      </c>
      <c r="G8610" t="s">
        <v>48</v>
      </c>
      <c r="H8610" t="s">
        <v>49</v>
      </c>
      <c r="I8610" t="s">
        <v>50</v>
      </c>
      <c r="J8610" t="s">
        <v>15237</v>
      </c>
      <c r="K8610" t="s">
        <v>13067</v>
      </c>
      <c r="L8610" t="s">
        <v>53</v>
      </c>
      <c r="N8610" t="s">
        <v>16339</v>
      </c>
      <c r="P8610" t="s">
        <v>55</v>
      </c>
      <c r="R8610" t="s">
        <v>53</v>
      </c>
      <c r="T8610" t="s">
        <v>16340</v>
      </c>
      <c r="U8610" t="s">
        <v>55</v>
      </c>
      <c r="V8610">
        <v>1</v>
      </c>
      <c r="W8610">
        <v>1</v>
      </c>
      <c r="X8610">
        <v>2</v>
      </c>
      <c r="Y8610">
        <v>0</v>
      </c>
      <c r="Z8610">
        <v>2</v>
      </c>
      <c r="AA8610">
        <v>74.099999999999994</v>
      </c>
      <c r="AB8610">
        <v>74.099999999999994</v>
      </c>
      <c r="AC8610">
        <v>68.14</v>
      </c>
      <c r="AD8610">
        <v>0</v>
      </c>
      <c r="AE8610">
        <v>5.96</v>
      </c>
      <c r="AF8610">
        <v>0</v>
      </c>
      <c r="AG8610">
        <v>0</v>
      </c>
      <c r="AH8610">
        <v>0</v>
      </c>
      <c r="AI8610">
        <v>13.34</v>
      </c>
      <c r="AJ8610">
        <v>74.099999999999994</v>
      </c>
      <c r="AK8610">
        <v>0</v>
      </c>
      <c r="AL8610" t="s">
        <v>53</v>
      </c>
      <c r="AM8610" t="s">
        <v>53</v>
      </c>
      <c r="AN8610" t="s">
        <v>53</v>
      </c>
      <c r="AO8610" t="s">
        <v>53</v>
      </c>
      <c r="AP8610" t="s">
        <v>53</v>
      </c>
    </row>
    <row r="8611" spans="2:42" x14ac:dyDescent="0.2">
      <c r="B8611" t="s">
        <v>44</v>
      </c>
      <c r="C8611" t="str">
        <f>HYPERLINK("https://us2.cloudbeds.com/connect/8493803454333002#/reservations/9080486848821974?display=4VS366EZTF&amp;reservation_id=9080486848821974", "4VS366EZTF")</f>
        <v>4VS366EZTF</v>
      </c>
      <c r="D8611" t="s">
        <v>45</v>
      </c>
      <c r="E8611" t="s">
        <v>85</v>
      </c>
      <c r="F8611" t="s">
        <v>86</v>
      </c>
      <c r="G8611" t="s">
        <v>48</v>
      </c>
      <c r="H8611" t="s">
        <v>49</v>
      </c>
      <c r="I8611" t="s">
        <v>50</v>
      </c>
      <c r="J8611" t="s">
        <v>15237</v>
      </c>
      <c r="K8611" t="s">
        <v>13067</v>
      </c>
      <c r="L8611" t="s">
        <v>53</v>
      </c>
      <c r="N8611" t="s">
        <v>16341</v>
      </c>
      <c r="P8611" t="s">
        <v>55</v>
      </c>
      <c r="R8611" t="s">
        <v>53</v>
      </c>
      <c r="T8611" t="s">
        <v>16342</v>
      </c>
      <c r="U8611" t="s">
        <v>55</v>
      </c>
      <c r="V8611">
        <v>1</v>
      </c>
      <c r="W8611">
        <v>1</v>
      </c>
      <c r="X8611">
        <v>1</v>
      </c>
      <c r="Y8611">
        <v>0</v>
      </c>
      <c r="Z8611">
        <v>1</v>
      </c>
      <c r="AA8611">
        <v>86.92</v>
      </c>
      <c r="AB8611">
        <v>86.92</v>
      </c>
      <c r="AC8611">
        <v>79.92</v>
      </c>
      <c r="AD8611">
        <v>0</v>
      </c>
      <c r="AE8611">
        <v>7</v>
      </c>
      <c r="AF8611">
        <v>0</v>
      </c>
      <c r="AG8611">
        <v>0</v>
      </c>
      <c r="AH8611">
        <v>0</v>
      </c>
      <c r="AI8611">
        <v>15.65</v>
      </c>
      <c r="AJ8611">
        <v>86.92</v>
      </c>
      <c r="AK8611">
        <v>0</v>
      </c>
      <c r="AL8611" t="s">
        <v>53</v>
      </c>
      <c r="AM8611" t="s">
        <v>53</v>
      </c>
      <c r="AN8611" t="s">
        <v>53</v>
      </c>
      <c r="AO8611" t="s">
        <v>53</v>
      </c>
      <c r="AP8611" t="s">
        <v>53</v>
      </c>
    </row>
    <row r="8612" spans="2:42" x14ac:dyDescent="0.2">
      <c r="B8612" t="s">
        <v>44</v>
      </c>
      <c r="C8612" t="str">
        <f>HYPERLINK("https://us2.cloudbeds.com/connect/8493803454333002#/reservations/230443593388160?display=4VS4CUUKXF&amp;reservation_id=230443593388160", "4VS4CUUKXF")</f>
        <v>4VS4CUUKXF</v>
      </c>
      <c r="D8612" t="s">
        <v>45</v>
      </c>
      <c r="E8612" t="s">
        <v>8404</v>
      </c>
      <c r="F8612" t="s">
        <v>61</v>
      </c>
      <c r="G8612" t="s">
        <v>4520</v>
      </c>
      <c r="H8612" t="s">
        <v>3957</v>
      </c>
      <c r="I8612" t="s">
        <v>3958</v>
      </c>
      <c r="J8612" t="s">
        <v>15237</v>
      </c>
      <c r="K8612" t="s">
        <v>13067</v>
      </c>
      <c r="L8612" t="s">
        <v>53</v>
      </c>
      <c r="P8612" t="s">
        <v>55</v>
      </c>
      <c r="R8612" t="s">
        <v>56</v>
      </c>
      <c r="T8612" t="s">
        <v>16343</v>
      </c>
      <c r="U8612" t="s">
        <v>58</v>
      </c>
      <c r="V8612">
        <v>2</v>
      </c>
      <c r="W8612">
        <v>2</v>
      </c>
      <c r="X8612">
        <v>2</v>
      </c>
      <c r="Y8612">
        <v>0</v>
      </c>
      <c r="Z8612">
        <v>2</v>
      </c>
      <c r="AA8612">
        <v>196.06</v>
      </c>
      <c r="AB8612">
        <v>196.06</v>
      </c>
      <c r="AC8612">
        <v>171</v>
      </c>
      <c r="AD8612">
        <v>0</v>
      </c>
      <c r="AE8612">
        <v>25.06</v>
      </c>
      <c r="AF8612">
        <v>0</v>
      </c>
      <c r="AG8612">
        <v>0</v>
      </c>
      <c r="AH8612">
        <v>0</v>
      </c>
      <c r="AI8612">
        <v>0</v>
      </c>
      <c r="AJ8612">
        <v>196.06</v>
      </c>
      <c r="AK8612">
        <v>0</v>
      </c>
      <c r="AL8612" t="s">
        <v>53</v>
      </c>
      <c r="AM8612" t="s">
        <v>53</v>
      </c>
      <c r="AN8612" t="s">
        <v>53</v>
      </c>
      <c r="AO8612" t="s">
        <v>53</v>
      </c>
      <c r="AP8612" t="s">
        <v>53</v>
      </c>
    </row>
    <row r="8613" spans="2:42" x14ac:dyDescent="0.2">
      <c r="B8613" t="s">
        <v>44</v>
      </c>
      <c r="C8613" t="str">
        <f>HYPERLINK("https://us2.cloudbeds.com/connect/8493803454333002#/reservations/9080486848822029?display=4VS4EN8QZU&amp;reservation_id=9080486848822029", "4VS4EN8QZU")</f>
        <v>4VS4EN8QZU</v>
      </c>
      <c r="D8613" t="s">
        <v>45</v>
      </c>
      <c r="E8613" t="s">
        <v>110</v>
      </c>
      <c r="F8613" t="s">
        <v>47</v>
      </c>
      <c r="G8613" t="s">
        <v>48</v>
      </c>
      <c r="H8613" t="s">
        <v>49</v>
      </c>
      <c r="I8613" t="s">
        <v>50</v>
      </c>
      <c r="J8613" t="s">
        <v>12862</v>
      </c>
      <c r="K8613" t="s">
        <v>15391</v>
      </c>
      <c r="L8613" t="s">
        <v>53</v>
      </c>
      <c r="N8613" t="s">
        <v>16344</v>
      </c>
      <c r="P8613" t="s">
        <v>55</v>
      </c>
      <c r="R8613" t="s">
        <v>53</v>
      </c>
      <c r="T8613" t="s">
        <v>16345</v>
      </c>
      <c r="U8613" t="s">
        <v>55</v>
      </c>
      <c r="V8613">
        <v>1</v>
      </c>
      <c r="W8613">
        <v>1</v>
      </c>
      <c r="X8613">
        <v>2</v>
      </c>
      <c r="Y8613">
        <v>0</v>
      </c>
      <c r="Z8613">
        <v>2</v>
      </c>
      <c r="AA8613">
        <v>87.08</v>
      </c>
      <c r="AB8613">
        <v>87.08</v>
      </c>
      <c r="AC8613">
        <v>80.08</v>
      </c>
      <c r="AD8613">
        <v>0</v>
      </c>
      <c r="AE8613">
        <v>7</v>
      </c>
      <c r="AF8613">
        <v>0</v>
      </c>
      <c r="AG8613">
        <v>0</v>
      </c>
      <c r="AH8613">
        <v>0</v>
      </c>
      <c r="AI8613">
        <v>15.67</v>
      </c>
      <c r="AJ8613">
        <v>87.08</v>
      </c>
      <c r="AK8613">
        <v>0</v>
      </c>
      <c r="AL8613" t="s">
        <v>53</v>
      </c>
      <c r="AM8613" t="s">
        <v>53</v>
      </c>
      <c r="AN8613" t="s">
        <v>16346</v>
      </c>
      <c r="AO8613" t="s">
        <v>53</v>
      </c>
      <c r="AP8613" t="s">
        <v>53</v>
      </c>
    </row>
    <row r="8614" spans="2:42" x14ac:dyDescent="0.2">
      <c r="B8614" t="s">
        <v>44</v>
      </c>
      <c r="C8614" t="str">
        <f>HYPERLINK("https://us2.cloudbeds.com/connect/8493803454333002#/reservations/9080486848822354?display=4VSC4ZAQJ2&amp;reservation_id=9080486848822354", "4VSC4ZAQJ2")</f>
        <v>4VSC4ZAQJ2</v>
      </c>
      <c r="D8614" t="s">
        <v>45</v>
      </c>
      <c r="E8614" t="s">
        <v>105</v>
      </c>
      <c r="F8614" t="s">
        <v>47</v>
      </c>
      <c r="G8614" t="s">
        <v>48</v>
      </c>
      <c r="H8614" t="s">
        <v>49</v>
      </c>
      <c r="I8614" t="s">
        <v>50</v>
      </c>
      <c r="J8614" t="s">
        <v>12862</v>
      </c>
      <c r="K8614" t="s">
        <v>15391</v>
      </c>
      <c r="L8614" t="s">
        <v>53</v>
      </c>
      <c r="N8614" t="s">
        <v>16347</v>
      </c>
      <c r="P8614" t="s">
        <v>55</v>
      </c>
      <c r="R8614" t="s">
        <v>53</v>
      </c>
      <c r="T8614" t="s">
        <v>16348</v>
      </c>
      <c r="U8614" t="s">
        <v>55</v>
      </c>
      <c r="V8614">
        <v>1</v>
      </c>
      <c r="W8614">
        <v>1</v>
      </c>
      <c r="X8614">
        <v>2</v>
      </c>
      <c r="Y8614">
        <v>0</v>
      </c>
      <c r="Z8614">
        <v>2</v>
      </c>
      <c r="AA8614">
        <v>96.75</v>
      </c>
      <c r="AB8614">
        <v>96.75</v>
      </c>
      <c r="AC8614">
        <v>88.97</v>
      </c>
      <c r="AD8614">
        <v>0</v>
      </c>
      <c r="AE8614">
        <v>7.78</v>
      </c>
      <c r="AF8614">
        <v>0</v>
      </c>
      <c r="AG8614">
        <v>0</v>
      </c>
      <c r="AH8614">
        <v>0</v>
      </c>
      <c r="AI8614">
        <v>17.420000000000002</v>
      </c>
      <c r="AJ8614">
        <v>96.75</v>
      </c>
      <c r="AK8614">
        <v>0</v>
      </c>
      <c r="AL8614" t="s">
        <v>53</v>
      </c>
      <c r="AM8614" t="s">
        <v>53</v>
      </c>
      <c r="AN8614" t="s">
        <v>16349</v>
      </c>
      <c r="AO8614" t="s">
        <v>53</v>
      </c>
      <c r="AP8614" t="s">
        <v>53</v>
      </c>
    </row>
    <row r="8615" spans="2:42" x14ac:dyDescent="0.2">
      <c r="B8615" t="s">
        <v>44</v>
      </c>
      <c r="C8615" t="str">
        <f>HYPERLINK("https://us2.cloudbeds.com/connect/8493803454333002#/reservations/9080486848822843?display=4VSZ83AZFD&amp;reservation_id=9080486848822843", "4VSZ83AZFD")</f>
        <v>4VSZ83AZFD</v>
      </c>
      <c r="D8615" t="s">
        <v>45</v>
      </c>
      <c r="E8615" t="s">
        <v>92</v>
      </c>
      <c r="F8615" t="s">
        <v>86</v>
      </c>
      <c r="G8615" t="s">
        <v>48</v>
      </c>
      <c r="H8615" t="s">
        <v>49</v>
      </c>
      <c r="I8615" t="s">
        <v>50</v>
      </c>
      <c r="J8615" t="s">
        <v>15838</v>
      </c>
      <c r="K8615" t="s">
        <v>14979</v>
      </c>
      <c r="L8615" t="s">
        <v>53</v>
      </c>
      <c r="N8615" t="s">
        <v>16350</v>
      </c>
      <c r="P8615" t="s">
        <v>55</v>
      </c>
      <c r="R8615" t="s">
        <v>53</v>
      </c>
      <c r="T8615" t="s">
        <v>16351</v>
      </c>
      <c r="U8615" t="s">
        <v>58</v>
      </c>
      <c r="V8615">
        <v>1</v>
      </c>
      <c r="W8615">
        <v>1</v>
      </c>
      <c r="X8615">
        <v>2</v>
      </c>
      <c r="Y8615">
        <v>0</v>
      </c>
      <c r="Z8615">
        <v>2</v>
      </c>
      <c r="AA8615">
        <v>214.04</v>
      </c>
      <c r="AB8615">
        <v>214.04</v>
      </c>
      <c r="AC8615">
        <v>186.7</v>
      </c>
      <c r="AD8615">
        <v>0</v>
      </c>
      <c r="AE8615">
        <v>27.34</v>
      </c>
      <c r="AF8615">
        <v>0</v>
      </c>
      <c r="AG8615">
        <v>0</v>
      </c>
      <c r="AH8615">
        <v>0</v>
      </c>
      <c r="AI8615">
        <v>38.53</v>
      </c>
      <c r="AJ8615">
        <v>214.04</v>
      </c>
      <c r="AK8615">
        <v>0</v>
      </c>
      <c r="AL8615" t="s">
        <v>53</v>
      </c>
      <c r="AM8615" t="s">
        <v>53</v>
      </c>
      <c r="AN8615" t="s">
        <v>16352</v>
      </c>
      <c r="AO8615" t="s">
        <v>53</v>
      </c>
      <c r="AP8615" t="s">
        <v>53</v>
      </c>
    </row>
    <row r="8616" spans="2:42" x14ac:dyDescent="0.2">
      <c r="B8616" t="s">
        <v>44</v>
      </c>
      <c r="C8616" t="str">
        <f>HYPERLINK("https://us2.cloudbeds.com/connect/8493803454333002#/reservations/9080486848823129?display=4VSVUJ8BKA&amp;reservation_id=9080486848823129", "4VSVUJ8BKA")</f>
        <v>4VSVUJ8BKA</v>
      </c>
      <c r="D8616" t="s">
        <v>45</v>
      </c>
      <c r="E8616" t="s">
        <v>185</v>
      </c>
      <c r="F8616" t="s">
        <v>47</v>
      </c>
      <c r="G8616" t="s">
        <v>48</v>
      </c>
      <c r="H8616" t="s">
        <v>49</v>
      </c>
      <c r="I8616" t="s">
        <v>50</v>
      </c>
      <c r="J8616" t="s">
        <v>12862</v>
      </c>
      <c r="K8616" t="s">
        <v>12823</v>
      </c>
      <c r="L8616" t="s">
        <v>53</v>
      </c>
      <c r="N8616" t="s">
        <v>16353</v>
      </c>
      <c r="P8616" t="s">
        <v>55</v>
      </c>
      <c r="R8616" t="s">
        <v>53</v>
      </c>
      <c r="T8616" t="s">
        <v>16354</v>
      </c>
      <c r="U8616" t="s">
        <v>55</v>
      </c>
      <c r="V8616">
        <v>6</v>
      </c>
      <c r="W8616">
        <v>1</v>
      </c>
      <c r="X8616">
        <v>2</v>
      </c>
      <c r="Y8616">
        <v>0</v>
      </c>
      <c r="Z8616">
        <v>2</v>
      </c>
      <c r="AA8616">
        <v>478.47</v>
      </c>
      <c r="AB8616">
        <v>478.47</v>
      </c>
      <c r="AC8616">
        <v>439.96</v>
      </c>
      <c r="AD8616">
        <v>0</v>
      </c>
      <c r="AE8616">
        <v>38.51</v>
      </c>
      <c r="AF8616">
        <v>0</v>
      </c>
      <c r="AG8616">
        <v>0</v>
      </c>
      <c r="AH8616">
        <v>0</v>
      </c>
      <c r="AI8616">
        <v>86.12</v>
      </c>
      <c r="AJ8616">
        <v>478.47</v>
      </c>
      <c r="AK8616">
        <v>0</v>
      </c>
      <c r="AL8616" t="s">
        <v>53</v>
      </c>
      <c r="AM8616" t="s">
        <v>53</v>
      </c>
      <c r="AN8616" t="s">
        <v>53</v>
      </c>
      <c r="AO8616" t="s">
        <v>53</v>
      </c>
      <c r="AP8616" t="s">
        <v>53</v>
      </c>
    </row>
    <row r="8617" spans="2:42" x14ac:dyDescent="0.2">
      <c r="B8617" t="s">
        <v>44</v>
      </c>
      <c r="C8617" t="str">
        <f>HYPERLINK("https://us2.cloudbeds.com/connect/8493803454333002#/reservations/9080486848826256?display=4VVNPV1RD6&amp;reservation_id=9080486848826256", "4VVNPV1RD6")</f>
        <v>4VVNPV1RD6</v>
      </c>
      <c r="D8617" t="s">
        <v>45</v>
      </c>
      <c r="E8617" t="s">
        <v>190</v>
      </c>
      <c r="F8617" t="s">
        <v>61</v>
      </c>
      <c r="G8617" t="s">
        <v>48</v>
      </c>
      <c r="H8617" t="s">
        <v>49</v>
      </c>
      <c r="I8617" t="s">
        <v>50</v>
      </c>
      <c r="J8617" t="s">
        <v>14636</v>
      </c>
      <c r="K8617" t="s">
        <v>15075</v>
      </c>
      <c r="L8617" t="s">
        <v>53</v>
      </c>
      <c r="N8617" t="s">
        <v>16355</v>
      </c>
      <c r="P8617" t="s">
        <v>55</v>
      </c>
      <c r="R8617" t="s">
        <v>53</v>
      </c>
      <c r="T8617" t="s">
        <v>16356</v>
      </c>
      <c r="U8617" t="s">
        <v>58</v>
      </c>
      <c r="V8617">
        <v>4</v>
      </c>
      <c r="W8617">
        <v>1</v>
      </c>
      <c r="X8617">
        <v>2</v>
      </c>
      <c r="Y8617">
        <v>0</v>
      </c>
      <c r="Z8617">
        <v>2</v>
      </c>
      <c r="AA8617">
        <v>594.05999999999995</v>
      </c>
      <c r="AB8617">
        <v>594.05999999999995</v>
      </c>
      <c r="AC8617">
        <v>518.15</v>
      </c>
      <c r="AD8617">
        <v>0</v>
      </c>
      <c r="AE8617">
        <v>75.91</v>
      </c>
      <c r="AF8617">
        <v>0</v>
      </c>
      <c r="AG8617">
        <v>0</v>
      </c>
      <c r="AH8617">
        <v>0</v>
      </c>
      <c r="AI8617">
        <v>106.93</v>
      </c>
      <c r="AJ8617">
        <v>594.05999999999995</v>
      </c>
      <c r="AK8617">
        <v>0</v>
      </c>
      <c r="AL8617" t="s">
        <v>53</v>
      </c>
      <c r="AM8617" t="s">
        <v>53</v>
      </c>
      <c r="AN8617" t="s">
        <v>53</v>
      </c>
      <c r="AO8617" t="s">
        <v>53</v>
      </c>
      <c r="AP8617" t="s">
        <v>53</v>
      </c>
    </row>
    <row r="8618" spans="2:42" x14ac:dyDescent="0.2">
      <c r="B8618" t="s">
        <v>44</v>
      </c>
      <c r="C8618" t="str">
        <f>HYPERLINK("https://us2.cloudbeds.com/connect/8493803454333002#/reservations/9080486848826515?display=4VVT9EK1QR&amp;reservation_id=9080486848826515", "4VVT9EK1QR")</f>
        <v>4VVT9EK1QR</v>
      </c>
      <c r="D8618" t="s">
        <v>45</v>
      </c>
      <c r="E8618" t="s">
        <v>223</v>
      </c>
      <c r="F8618" t="s">
        <v>47</v>
      </c>
      <c r="G8618" t="s">
        <v>48</v>
      </c>
      <c r="H8618" t="s">
        <v>49</v>
      </c>
      <c r="I8618" t="s">
        <v>50</v>
      </c>
      <c r="J8618" t="s">
        <v>13068</v>
      </c>
      <c r="K8618" t="s">
        <v>15391</v>
      </c>
      <c r="L8618" t="s">
        <v>53</v>
      </c>
      <c r="N8618" t="s">
        <v>16357</v>
      </c>
      <c r="P8618" t="s">
        <v>55</v>
      </c>
      <c r="R8618" t="s">
        <v>53</v>
      </c>
      <c r="T8618" t="s">
        <v>16358</v>
      </c>
      <c r="U8618" t="s">
        <v>55</v>
      </c>
      <c r="V8618">
        <v>3</v>
      </c>
      <c r="W8618">
        <v>1</v>
      </c>
      <c r="X8618">
        <v>1</v>
      </c>
      <c r="Y8618">
        <v>0</v>
      </c>
      <c r="Z8618">
        <v>1</v>
      </c>
      <c r="AA8618">
        <v>258.02999999999997</v>
      </c>
      <c r="AB8618">
        <v>258.02999999999997</v>
      </c>
      <c r="AC8618">
        <v>237.27</v>
      </c>
      <c r="AD8618">
        <v>0</v>
      </c>
      <c r="AE8618">
        <v>20.76</v>
      </c>
      <c r="AF8618">
        <v>0</v>
      </c>
      <c r="AG8618">
        <v>0</v>
      </c>
      <c r="AH8618">
        <v>0</v>
      </c>
      <c r="AI8618">
        <v>46.45</v>
      </c>
      <c r="AJ8618">
        <v>258.02999999999997</v>
      </c>
      <c r="AK8618">
        <v>0</v>
      </c>
      <c r="AL8618" t="s">
        <v>53</v>
      </c>
      <c r="AM8618" t="s">
        <v>53</v>
      </c>
      <c r="AN8618" t="s">
        <v>53</v>
      </c>
      <c r="AO8618" t="s">
        <v>53</v>
      </c>
      <c r="AP8618" t="s">
        <v>53</v>
      </c>
    </row>
    <row r="8619" spans="2:42" x14ac:dyDescent="0.2">
      <c r="B8619" t="s">
        <v>44</v>
      </c>
      <c r="C8619" t="str">
        <f>HYPERLINK("https://us2.cloudbeds.com/connect/8493803454333002#/reservations/9080486848828475?display=4VWWVY0HH7&amp;reservation_id=9080486848828475", "4VWWVY0HH7")</f>
        <v>4VWWVY0HH7</v>
      </c>
      <c r="D8619" t="s">
        <v>45</v>
      </c>
      <c r="E8619" t="s">
        <v>14402</v>
      </c>
      <c r="F8619" t="s">
        <v>14403</v>
      </c>
      <c r="G8619" t="s">
        <v>48</v>
      </c>
      <c r="H8619" t="s">
        <v>49</v>
      </c>
      <c r="I8619" t="s">
        <v>50</v>
      </c>
      <c r="J8619" t="s">
        <v>16262</v>
      </c>
      <c r="K8619" t="s">
        <v>12958</v>
      </c>
      <c r="L8619" t="s">
        <v>53</v>
      </c>
      <c r="N8619" t="s">
        <v>16359</v>
      </c>
      <c r="P8619" t="s">
        <v>55</v>
      </c>
      <c r="R8619" t="s">
        <v>53</v>
      </c>
      <c r="T8619" t="s">
        <v>16360</v>
      </c>
      <c r="U8619" t="s">
        <v>55</v>
      </c>
      <c r="V8619">
        <v>2</v>
      </c>
      <c r="W8619">
        <v>1</v>
      </c>
      <c r="X8619">
        <v>2</v>
      </c>
      <c r="Y8619">
        <v>0</v>
      </c>
      <c r="Z8619">
        <v>2</v>
      </c>
      <c r="AA8619">
        <v>253.4</v>
      </c>
      <c r="AB8619">
        <v>253.4</v>
      </c>
      <c r="AC8619">
        <v>233.01</v>
      </c>
      <c r="AD8619">
        <v>0</v>
      </c>
      <c r="AE8619">
        <v>20.39</v>
      </c>
      <c r="AF8619">
        <v>0</v>
      </c>
      <c r="AG8619">
        <v>0</v>
      </c>
      <c r="AH8619">
        <v>0</v>
      </c>
      <c r="AI8619">
        <v>45.61</v>
      </c>
      <c r="AJ8619">
        <v>253.4</v>
      </c>
      <c r="AK8619">
        <v>0</v>
      </c>
      <c r="AL8619" t="s">
        <v>53</v>
      </c>
      <c r="AM8619" t="s">
        <v>53</v>
      </c>
      <c r="AN8619" t="s">
        <v>53</v>
      </c>
      <c r="AO8619" t="s">
        <v>53</v>
      </c>
      <c r="AP8619" t="s">
        <v>53</v>
      </c>
    </row>
    <row r="8620" spans="2:42" x14ac:dyDescent="0.2">
      <c r="B8620" t="s">
        <v>44</v>
      </c>
      <c r="C8620" t="str">
        <f>HYPERLINK("https://us2.cloudbeds.com/connect/8493803454333002#/reservations/9080486848829108?display=4W0BGP7DZT&amp;reservation_id=9080486848829108", "4W0BGP7DZT")</f>
        <v>4W0BGP7DZT</v>
      </c>
      <c r="D8620" t="s">
        <v>45</v>
      </c>
      <c r="E8620" t="s">
        <v>190</v>
      </c>
      <c r="F8620" t="s">
        <v>61</v>
      </c>
      <c r="G8620" t="s">
        <v>48</v>
      </c>
      <c r="H8620" t="s">
        <v>49</v>
      </c>
      <c r="I8620" t="s">
        <v>62</v>
      </c>
      <c r="J8620" t="s">
        <v>12822</v>
      </c>
      <c r="K8620" t="s">
        <v>12862</v>
      </c>
      <c r="L8620" t="s">
        <v>53</v>
      </c>
      <c r="N8620" t="s">
        <v>16361</v>
      </c>
      <c r="P8620" t="s">
        <v>55</v>
      </c>
      <c r="R8620" t="s">
        <v>56</v>
      </c>
      <c r="T8620" t="s">
        <v>16362</v>
      </c>
      <c r="U8620" t="s">
        <v>55</v>
      </c>
      <c r="V8620">
        <v>1</v>
      </c>
      <c r="W8620">
        <v>1</v>
      </c>
      <c r="X8620">
        <v>2</v>
      </c>
      <c r="Y8620">
        <v>0</v>
      </c>
      <c r="Z8620">
        <v>2</v>
      </c>
      <c r="AA8620">
        <v>138</v>
      </c>
      <c r="AB8620">
        <v>138</v>
      </c>
      <c r="AC8620">
        <v>138</v>
      </c>
      <c r="AD8620">
        <v>0</v>
      </c>
      <c r="AE8620">
        <v>0</v>
      </c>
      <c r="AF8620">
        <v>0</v>
      </c>
      <c r="AG8620">
        <v>0</v>
      </c>
      <c r="AH8620">
        <v>0</v>
      </c>
      <c r="AI8620">
        <v>24.84</v>
      </c>
      <c r="AJ8620">
        <v>138</v>
      </c>
      <c r="AK8620">
        <v>0</v>
      </c>
      <c r="AL8620" t="s">
        <v>53</v>
      </c>
      <c r="AM8620" t="s">
        <v>53</v>
      </c>
      <c r="AN8620" t="s">
        <v>53</v>
      </c>
      <c r="AO8620" t="s">
        <v>53</v>
      </c>
      <c r="AP8620" t="s">
        <v>53</v>
      </c>
    </row>
    <row r="8621" spans="2:42" x14ac:dyDescent="0.2">
      <c r="B8621" t="s">
        <v>44</v>
      </c>
      <c r="C8621" t="str">
        <f>HYPERLINK("https://us2.cloudbeds.com/connect/8493803454333002#/reservations/9080486848829141?display=4W0C1XXFY8&amp;reservation_id=9080486848829141", "4W0C1XXFY8")</f>
        <v>4W0C1XXFY8</v>
      </c>
      <c r="D8621" t="s">
        <v>45</v>
      </c>
      <c r="E8621" t="s">
        <v>69</v>
      </c>
      <c r="F8621" t="s">
        <v>70</v>
      </c>
      <c r="G8621" t="s">
        <v>48</v>
      </c>
      <c r="H8621" t="s">
        <v>49</v>
      </c>
      <c r="I8621" t="s">
        <v>50</v>
      </c>
      <c r="J8621" t="s">
        <v>13067</v>
      </c>
      <c r="K8621" t="s">
        <v>13068</v>
      </c>
      <c r="L8621" t="s">
        <v>53</v>
      </c>
      <c r="N8621" t="s">
        <v>16363</v>
      </c>
      <c r="P8621" t="s">
        <v>55</v>
      </c>
      <c r="R8621" t="s">
        <v>53</v>
      </c>
      <c r="T8621" t="s">
        <v>16364</v>
      </c>
      <c r="U8621" t="s">
        <v>55</v>
      </c>
      <c r="V8621">
        <v>1</v>
      </c>
      <c r="W8621">
        <v>1</v>
      </c>
      <c r="X8621">
        <v>2</v>
      </c>
      <c r="Y8621">
        <v>0</v>
      </c>
      <c r="Z8621">
        <v>2</v>
      </c>
      <c r="AA8621">
        <v>69.73</v>
      </c>
      <c r="AB8621">
        <v>69.73</v>
      </c>
      <c r="AC8621">
        <v>64.12</v>
      </c>
      <c r="AD8621">
        <v>0</v>
      </c>
      <c r="AE8621">
        <v>5.61</v>
      </c>
      <c r="AF8621">
        <v>0</v>
      </c>
      <c r="AG8621">
        <v>0</v>
      </c>
      <c r="AH8621">
        <v>0</v>
      </c>
      <c r="AI8621">
        <v>12.55</v>
      </c>
      <c r="AJ8621">
        <v>69.73</v>
      </c>
      <c r="AK8621">
        <v>0</v>
      </c>
      <c r="AL8621" t="s">
        <v>53</v>
      </c>
      <c r="AM8621" t="s">
        <v>53</v>
      </c>
      <c r="AN8621" t="s">
        <v>53</v>
      </c>
      <c r="AO8621" t="s">
        <v>53</v>
      </c>
      <c r="AP8621" t="s">
        <v>53</v>
      </c>
    </row>
    <row r="8622" spans="2:42" x14ac:dyDescent="0.2">
      <c r="B8622" t="s">
        <v>44</v>
      </c>
      <c r="C8622" t="str">
        <f>HYPERLINK("https://us2.cloudbeds.com/connect/8493803454333002#/reservations/9080486848829492?display=4W0X7Q7VHX&amp;reservation_id=9080486848829492", "4W0X7Q7VHX")</f>
        <v>4W0X7Q7VHX</v>
      </c>
      <c r="D8622" t="s">
        <v>10291</v>
      </c>
      <c r="E8622" t="s">
        <v>113</v>
      </c>
      <c r="F8622" t="s">
        <v>61</v>
      </c>
      <c r="G8622" t="s">
        <v>48</v>
      </c>
      <c r="H8622" t="s">
        <v>49</v>
      </c>
      <c r="I8622" t="s">
        <v>50</v>
      </c>
      <c r="J8622" t="s">
        <v>16069</v>
      </c>
      <c r="K8622" t="s">
        <v>16365</v>
      </c>
      <c r="L8622" t="s">
        <v>53</v>
      </c>
      <c r="N8622" t="s">
        <v>16366</v>
      </c>
      <c r="P8622" t="s">
        <v>55</v>
      </c>
      <c r="R8622" t="s">
        <v>53</v>
      </c>
      <c r="T8622" t="s">
        <v>16367</v>
      </c>
      <c r="U8622" t="s">
        <v>58</v>
      </c>
      <c r="V8622">
        <v>1</v>
      </c>
      <c r="W8622">
        <v>1</v>
      </c>
      <c r="X8622">
        <v>2</v>
      </c>
      <c r="Y8622">
        <v>0</v>
      </c>
      <c r="Z8622">
        <v>2</v>
      </c>
      <c r="AA8622">
        <v>184.68</v>
      </c>
      <c r="AB8622">
        <v>0</v>
      </c>
      <c r="AC8622">
        <v>161.08000000000001</v>
      </c>
      <c r="AD8622">
        <v>0</v>
      </c>
      <c r="AE8622">
        <v>23.6</v>
      </c>
      <c r="AF8622">
        <v>0</v>
      </c>
      <c r="AG8622">
        <v>0</v>
      </c>
      <c r="AH8622">
        <v>0</v>
      </c>
      <c r="AI8622">
        <v>33.24</v>
      </c>
      <c r="AJ8622">
        <v>184.68</v>
      </c>
      <c r="AK8622">
        <v>184.68</v>
      </c>
      <c r="AL8622" t="s">
        <v>53</v>
      </c>
      <c r="AM8622" t="s">
        <v>53</v>
      </c>
      <c r="AN8622" t="s">
        <v>53</v>
      </c>
      <c r="AO8622" t="s">
        <v>53</v>
      </c>
      <c r="AP8622" t="s">
        <v>53</v>
      </c>
    </row>
    <row r="8623" spans="2:42" x14ac:dyDescent="0.2">
      <c r="B8623" t="s">
        <v>44</v>
      </c>
      <c r="C8623" t="str">
        <f>HYPERLINK("https://us2.cloudbeds.com/connect/8493803454333002#/reservations/9080486848829688?display=4W0M8C1YJ9&amp;reservation_id=9080486848829688", "4W0M8C1YJ9")</f>
        <v>4W0M8C1YJ9</v>
      </c>
      <c r="D8623" t="s">
        <v>45</v>
      </c>
      <c r="E8623" t="s">
        <v>138</v>
      </c>
      <c r="F8623" t="s">
        <v>70</v>
      </c>
      <c r="G8623" t="s">
        <v>48</v>
      </c>
      <c r="H8623" t="s">
        <v>49</v>
      </c>
      <c r="I8623" t="s">
        <v>50</v>
      </c>
      <c r="J8623" t="s">
        <v>13977</v>
      </c>
      <c r="K8623" t="s">
        <v>12823</v>
      </c>
      <c r="L8623" t="s">
        <v>53</v>
      </c>
      <c r="N8623" t="s">
        <v>16368</v>
      </c>
      <c r="P8623" t="s">
        <v>55</v>
      </c>
      <c r="R8623" t="s">
        <v>53</v>
      </c>
      <c r="T8623" t="s">
        <v>16369</v>
      </c>
      <c r="U8623" t="s">
        <v>55</v>
      </c>
      <c r="V8623">
        <v>2</v>
      </c>
      <c r="W8623">
        <v>1</v>
      </c>
      <c r="X8623">
        <v>2</v>
      </c>
      <c r="Y8623">
        <v>0</v>
      </c>
      <c r="Z8623">
        <v>2</v>
      </c>
      <c r="AA8623">
        <v>178.05</v>
      </c>
      <c r="AB8623">
        <v>178.05</v>
      </c>
      <c r="AC8623">
        <v>163.72</v>
      </c>
      <c r="AD8623">
        <v>0</v>
      </c>
      <c r="AE8623">
        <v>14.33</v>
      </c>
      <c r="AF8623">
        <v>0</v>
      </c>
      <c r="AG8623">
        <v>0</v>
      </c>
      <c r="AH8623">
        <v>0</v>
      </c>
      <c r="AI8623">
        <v>32.049999999999997</v>
      </c>
      <c r="AJ8623">
        <v>178.05</v>
      </c>
      <c r="AK8623">
        <v>0</v>
      </c>
      <c r="AL8623" t="s">
        <v>53</v>
      </c>
      <c r="AM8623" t="s">
        <v>53</v>
      </c>
      <c r="AN8623" t="s">
        <v>16370</v>
      </c>
      <c r="AO8623" t="s">
        <v>53</v>
      </c>
      <c r="AP8623" t="s">
        <v>53</v>
      </c>
    </row>
    <row r="8624" spans="2:42" x14ac:dyDescent="0.2">
      <c r="B8624" t="s">
        <v>44</v>
      </c>
      <c r="C8624" t="str">
        <f>HYPERLINK("https://us2.cloudbeds.com/connect/8493803454333002#/reservations/230698250555584?display=4W13J0XTK2&amp;reservation_id=230698250555584", "4W13J0XTK2")</f>
        <v>4W13J0XTK2</v>
      </c>
      <c r="D8624" t="s">
        <v>45</v>
      </c>
      <c r="E8624" t="s">
        <v>185</v>
      </c>
      <c r="F8624" t="s">
        <v>47</v>
      </c>
      <c r="G8624" t="s">
        <v>3974</v>
      </c>
      <c r="H8624" t="s">
        <v>3957</v>
      </c>
      <c r="I8624" t="s">
        <v>3975</v>
      </c>
      <c r="J8624" t="s">
        <v>12823</v>
      </c>
      <c r="K8624" t="s">
        <v>12863</v>
      </c>
      <c r="L8624" t="s">
        <v>53</v>
      </c>
      <c r="P8624" t="s">
        <v>55</v>
      </c>
      <c r="R8624" t="s">
        <v>56</v>
      </c>
      <c r="T8624" t="s">
        <v>16371</v>
      </c>
      <c r="U8624" t="s">
        <v>58</v>
      </c>
      <c r="V8624">
        <v>2</v>
      </c>
      <c r="W8624">
        <v>1</v>
      </c>
      <c r="X8624">
        <v>1</v>
      </c>
      <c r="Y8624">
        <v>0</v>
      </c>
      <c r="Z8624">
        <v>1</v>
      </c>
      <c r="AA8624">
        <v>466.16</v>
      </c>
      <c r="AB8624">
        <v>489.09</v>
      </c>
      <c r="AC8624">
        <v>406.6</v>
      </c>
      <c r="AD8624">
        <v>20</v>
      </c>
      <c r="AE8624">
        <v>62.49</v>
      </c>
      <c r="AF8624">
        <v>0</v>
      </c>
      <c r="AG8624">
        <v>0</v>
      </c>
      <c r="AH8624">
        <v>0</v>
      </c>
      <c r="AI8624">
        <v>0</v>
      </c>
      <c r="AJ8624">
        <v>489.09</v>
      </c>
      <c r="AK8624">
        <v>0</v>
      </c>
      <c r="AL8624" t="s">
        <v>53</v>
      </c>
      <c r="AM8624" t="s">
        <v>53</v>
      </c>
      <c r="AN8624" t="s">
        <v>16372</v>
      </c>
      <c r="AO8624" t="s">
        <v>53</v>
      </c>
      <c r="AP8624" t="s">
        <v>53</v>
      </c>
    </row>
    <row r="8625" spans="2:42" x14ac:dyDescent="0.2">
      <c r="B8625" t="s">
        <v>44</v>
      </c>
      <c r="C8625" t="str">
        <f>HYPERLINK("https://us2.cloudbeds.com/connect/8493803454333002#/reservations/9080486848830735?display=4W17PX71FX&amp;reservation_id=9080486848830735", "4W17PX71FX")</f>
        <v>4W17PX71FX</v>
      </c>
      <c r="D8625" t="s">
        <v>45</v>
      </c>
      <c r="E8625" t="s">
        <v>78</v>
      </c>
      <c r="F8625" t="s">
        <v>61</v>
      </c>
      <c r="G8625" t="s">
        <v>48</v>
      </c>
      <c r="H8625" t="s">
        <v>49</v>
      </c>
      <c r="I8625" t="s">
        <v>50</v>
      </c>
      <c r="J8625" t="s">
        <v>13086</v>
      </c>
      <c r="K8625" t="s">
        <v>14623</v>
      </c>
      <c r="L8625" t="s">
        <v>53</v>
      </c>
      <c r="N8625" t="s">
        <v>16373</v>
      </c>
      <c r="P8625" t="s">
        <v>55</v>
      </c>
      <c r="R8625" t="s">
        <v>53</v>
      </c>
      <c r="T8625" t="s">
        <v>16374</v>
      </c>
      <c r="U8625" t="s">
        <v>55</v>
      </c>
      <c r="V8625">
        <v>4</v>
      </c>
      <c r="W8625">
        <v>1</v>
      </c>
      <c r="X8625">
        <v>2</v>
      </c>
      <c r="Y8625">
        <v>0</v>
      </c>
      <c r="Z8625">
        <v>2</v>
      </c>
      <c r="AA8625">
        <v>450.33</v>
      </c>
      <c r="AB8625">
        <v>450.33</v>
      </c>
      <c r="AC8625">
        <v>414.1</v>
      </c>
      <c r="AD8625">
        <v>0</v>
      </c>
      <c r="AE8625">
        <v>36.229999999999997</v>
      </c>
      <c r="AF8625">
        <v>0</v>
      </c>
      <c r="AG8625">
        <v>0</v>
      </c>
      <c r="AH8625">
        <v>0</v>
      </c>
      <c r="AI8625">
        <v>81.06</v>
      </c>
      <c r="AJ8625">
        <v>450.33</v>
      </c>
      <c r="AK8625">
        <v>0</v>
      </c>
      <c r="AL8625" t="s">
        <v>53</v>
      </c>
      <c r="AM8625" t="s">
        <v>53</v>
      </c>
      <c r="AN8625" t="s">
        <v>16375</v>
      </c>
      <c r="AO8625" t="s">
        <v>53</v>
      </c>
      <c r="AP8625" t="s">
        <v>53</v>
      </c>
    </row>
    <row r="8626" spans="2:42" x14ac:dyDescent="0.2">
      <c r="B8626" t="s">
        <v>44</v>
      </c>
      <c r="C8626" t="str">
        <f>HYPERLINK("https://us2.cloudbeds.com/connect/8493803454333002#/reservations/9080486848830852?display=4W19Q2M4DF&amp;reservation_id=9080486848830852", "4W19Q2M4DF")</f>
        <v>4W19Q2M4DF</v>
      </c>
      <c r="D8626" t="s">
        <v>45</v>
      </c>
      <c r="E8626" t="s">
        <v>138</v>
      </c>
      <c r="F8626" t="s">
        <v>70</v>
      </c>
      <c r="G8626" t="s">
        <v>48</v>
      </c>
      <c r="H8626" t="s">
        <v>49</v>
      </c>
      <c r="I8626" t="s">
        <v>50</v>
      </c>
      <c r="J8626" t="s">
        <v>12822</v>
      </c>
      <c r="K8626" t="s">
        <v>12862</v>
      </c>
      <c r="L8626" t="s">
        <v>53</v>
      </c>
      <c r="N8626" t="s">
        <v>16376</v>
      </c>
      <c r="P8626" t="s">
        <v>55</v>
      </c>
      <c r="R8626" t="s">
        <v>53</v>
      </c>
      <c r="T8626" t="s">
        <v>16377</v>
      </c>
      <c r="U8626" t="s">
        <v>55</v>
      </c>
      <c r="V8626">
        <v>1</v>
      </c>
      <c r="W8626">
        <v>1</v>
      </c>
      <c r="X8626">
        <v>2</v>
      </c>
      <c r="Y8626">
        <v>0</v>
      </c>
      <c r="Z8626">
        <v>2</v>
      </c>
      <c r="AA8626">
        <v>95.02</v>
      </c>
      <c r="AB8626">
        <v>95.02</v>
      </c>
      <c r="AC8626">
        <v>87.37</v>
      </c>
      <c r="AD8626">
        <v>0</v>
      </c>
      <c r="AE8626">
        <v>7.65</v>
      </c>
      <c r="AF8626">
        <v>0</v>
      </c>
      <c r="AG8626">
        <v>0</v>
      </c>
      <c r="AH8626">
        <v>0</v>
      </c>
      <c r="AI8626">
        <v>17.100000000000001</v>
      </c>
      <c r="AJ8626">
        <v>95.02</v>
      </c>
      <c r="AK8626">
        <v>0</v>
      </c>
      <c r="AL8626" t="s">
        <v>53</v>
      </c>
      <c r="AM8626" t="s">
        <v>53</v>
      </c>
      <c r="AN8626" t="s">
        <v>53</v>
      </c>
      <c r="AO8626" t="s">
        <v>53</v>
      </c>
      <c r="AP8626" t="s">
        <v>53</v>
      </c>
    </row>
    <row r="8627" spans="2:42" x14ac:dyDescent="0.2">
      <c r="B8627" t="s">
        <v>44</v>
      </c>
      <c r="C8627" t="str">
        <f>HYPERLINK("https://us2.cloudbeds.com/connect/8493803454333002#/reservations/9080486848830984?display=4W1C0FHE4U&amp;reservation_id=9080486848830984", "4W1C0FHE4U")</f>
        <v>4W1C0FHE4U</v>
      </c>
      <c r="D8627" t="s">
        <v>45</v>
      </c>
      <c r="E8627" t="s">
        <v>381</v>
      </c>
      <c r="F8627" t="s">
        <v>47</v>
      </c>
      <c r="G8627" t="s">
        <v>48</v>
      </c>
      <c r="H8627" t="s">
        <v>49</v>
      </c>
      <c r="I8627" t="s">
        <v>50</v>
      </c>
      <c r="J8627" t="s">
        <v>13067</v>
      </c>
      <c r="K8627" t="s">
        <v>13068</v>
      </c>
      <c r="L8627" t="s">
        <v>53</v>
      </c>
      <c r="N8627" t="s">
        <v>16378</v>
      </c>
      <c r="P8627" t="s">
        <v>55</v>
      </c>
      <c r="R8627" t="s">
        <v>53</v>
      </c>
      <c r="T8627" t="s">
        <v>16379</v>
      </c>
      <c r="U8627" t="s">
        <v>55</v>
      </c>
      <c r="V8627">
        <v>1</v>
      </c>
      <c r="W8627">
        <v>1</v>
      </c>
      <c r="X8627">
        <v>2</v>
      </c>
      <c r="Y8627">
        <v>0</v>
      </c>
      <c r="Z8627">
        <v>2</v>
      </c>
      <c r="AA8627">
        <v>61.02</v>
      </c>
      <c r="AB8627">
        <v>61.02</v>
      </c>
      <c r="AC8627">
        <v>56.11</v>
      </c>
      <c r="AD8627">
        <v>0</v>
      </c>
      <c r="AE8627">
        <v>4.91</v>
      </c>
      <c r="AF8627">
        <v>0</v>
      </c>
      <c r="AG8627">
        <v>0</v>
      </c>
      <c r="AH8627">
        <v>0</v>
      </c>
      <c r="AI8627">
        <v>10.98</v>
      </c>
      <c r="AJ8627">
        <v>61.02</v>
      </c>
      <c r="AK8627">
        <v>0</v>
      </c>
      <c r="AL8627" t="s">
        <v>53</v>
      </c>
      <c r="AM8627" t="s">
        <v>53</v>
      </c>
      <c r="AN8627" t="s">
        <v>16380</v>
      </c>
      <c r="AO8627" t="s">
        <v>53</v>
      </c>
      <c r="AP8627" t="s">
        <v>53</v>
      </c>
    </row>
    <row r="8628" spans="2:42" x14ac:dyDescent="0.2">
      <c r="B8628" t="s">
        <v>44</v>
      </c>
      <c r="C8628" t="str">
        <f>HYPERLINK("https://us2.cloudbeds.com/connect/8493803454333002#/reservations/9080486848831480?display=4W1KSCYHWP&amp;reservation_id=9080486848831480", "4W1KSCYHWP")</f>
        <v>4W1KSCYHWP</v>
      </c>
      <c r="D8628" t="s">
        <v>45</v>
      </c>
      <c r="E8628" t="s">
        <v>14695</v>
      </c>
      <c r="F8628" t="s">
        <v>47</v>
      </c>
      <c r="G8628" t="s">
        <v>48</v>
      </c>
      <c r="H8628" t="s">
        <v>49</v>
      </c>
      <c r="I8628" t="s">
        <v>50</v>
      </c>
      <c r="J8628" t="s">
        <v>13067</v>
      </c>
      <c r="K8628" t="s">
        <v>12822</v>
      </c>
      <c r="L8628" t="s">
        <v>53</v>
      </c>
      <c r="N8628" t="s">
        <v>16381</v>
      </c>
      <c r="P8628" t="s">
        <v>55</v>
      </c>
      <c r="R8628" t="s">
        <v>53</v>
      </c>
      <c r="T8628" t="s">
        <v>16382</v>
      </c>
      <c r="U8628" t="s">
        <v>55</v>
      </c>
      <c r="V8628">
        <v>2</v>
      </c>
      <c r="W8628">
        <v>1</v>
      </c>
      <c r="X8628">
        <v>1</v>
      </c>
      <c r="Y8628">
        <v>0</v>
      </c>
      <c r="Z8628">
        <v>1</v>
      </c>
      <c r="AA8628">
        <v>143.68</v>
      </c>
      <c r="AB8628">
        <v>143.68</v>
      </c>
      <c r="AC8628">
        <v>132.12</v>
      </c>
      <c r="AD8628">
        <v>0</v>
      </c>
      <c r="AE8628">
        <v>11.56</v>
      </c>
      <c r="AF8628">
        <v>0</v>
      </c>
      <c r="AG8628">
        <v>0</v>
      </c>
      <c r="AH8628">
        <v>0</v>
      </c>
      <c r="AI8628">
        <v>25.86</v>
      </c>
      <c r="AJ8628">
        <v>143.68</v>
      </c>
      <c r="AK8628">
        <v>0</v>
      </c>
      <c r="AL8628" t="s">
        <v>53</v>
      </c>
      <c r="AM8628" t="s">
        <v>53</v>
      </c>
      <c r="AN8628" t="s">
        <v>53</v>
      </c>
      <c r="AO8628" t="s">
        <v>53</v>
      </c>
      <c r="AP8628" t="s">
        <v>53</v>
      </c>
    </row>
    <row r="8629" spans="2:42" x14ac:dyDescent="0.2">
      <c r="B8629" t="s">
        <v>44</v>
      </c>
      <c r="C8629" t="str">
        <f>HYPERLINK("https://us2.cloudbeds.com/connect/8493803454333002#/reservations/9080486848831669?display=4W1P1D0J10&amp;reservation_id=9080486848831669", "4W1P1D0J10")</f>
        <v>4W1P1D0J10</v>
      </c>
      <c r="D8629" t="s">
        <v>45</v>
      </c>
      <c r="E8629" t="s">
        <v>138</v>
      </c>
      <c r="F8629" t="s">
        <v>70</v>
      </c>
      <c r="G8629" t="s">
        <v>48</v>
      </c>
      <c r="H8629" t="s">
        <v>49</v>
      </c>
      <c r="I8629" t="s">
        <v>62</v>
      </c>
      <c r="J8629" t="s">
        <v>13067</v>
      </c>
      <c r="K8629" t="s">
        <v>13068</v>
      </c>
      <c r="L8629" t="s">
        <v>53</v>
      </c>
      <c r="N8629" t="s">
        <v>16383</v>
      </c>
      <c r="P8629" t="s">
        <v>55</v>
      </c>
      <c r="R8629" t="s">
        <v>56</v>
      </c>
      <c r="T8629" t="s">
        <v>16384</v>
      </c>
      <c r="U8629" t="s">
        <v>55</v>
      </c>
      <c r="V8629">
        <v>1</v>
      </c>
      <c r="W8629">
        <v>1</v>
      </c>
      <c r="X8629">
        <v>2</v>
      </c>
      <c r="Y8629">
        <v>0</v>
      </c>
      <c r="Z8629">
        <v>2</v>
      </c>
      <c r="AA8629">
        <v>92</v>
      </c>
      <c r="AB8629">
        <v>184</v>
      </c>
      <c r="AC8629">
        <v>92</v>
      </c>
      <c r="AD8629">
        <v>0</v>
      </c>
      <c r="AE8629">
        <v>0</v>
      </c>
      <c r="AF8629">
        <v>0</v>
      </c>
      <c r="AG8629">
        <v>0</v>
      </c>
      <c r="AH8629">
        <v>0</v>
      </c>
      <c r="AI8629">
        <v>16.559999999999999</v>
      </c>
      <c r="AJ8629">
        <v>92</v>
      </c>
      <c r="AK8629">
        <v>0</v>
      </c>
      <c r="AL8629" t="s">
        <v>53</v>
      </c>
      <c r="AM8629" t="s">
        <v>53</v>
      </c>
      <c r="AN8629" t="s">
        <v>53</v>
      </c>
      <c r="AO8629" t="s">
        <v>53</v>
      </c>
      <c r="AP8629" t="s">
        <v>53</v>
      </c>
    </row>
    <row r="8630" spans="2:42" x14ac:dyDescent="0.2">
      <c r="B8630" t="s">
        <v>44</v>
      </c>
      <c r="C8630" t="str">
        <f>HYPERLINK("https://us2.cloudbeds.com/connect/8493803454333002#/reservations/9080486848831672?display=4W1P2FB7AY&amp;reservation_id=9080486848831672", "4W1P2FB7AY")</f>
        <v>4W1P2FB7AY</v>
      </c>
      <c r="D8630" t="s">
        <v>45</v>
      </c>
      <c r="E8630" t="s">
        <v>190</v>
      </c>
      <c r="F8630" t="s">
        <v>61</v>
      </c>
      <c r="G8630" t="s">
        <v>13757</v>
      </c>
      <c r="H8630" t="s">
        <v>49</v>
      </c>
      <c r="I8630" t="s">
        <v>8964</v>
      </c>
      <c r="J8630" t="s">
        <v>13067</v>
      </c>
      <c r="K8630" t="s">
        <v>13068</v>
      </c>
      <c r="L8630" t="s">
        <v>53</v>
      </c>
      <c r="N8630" t="s">
        <v>16385</v>
      </c>
      <c r="P8630" t="s">
        <v>55</v>
      </c>
      <c r="R8630" t="s">
        <v>53</v>
      </c>
      <c r="T8630" t="s">
        <v>16386</v>
      </c>
      <c r="U8630" t="s">
        <v>55</v>
      </c>
      <c r="V8630">
        <v>1</v>
      </c>
      <c r="W8630">
        <v>1</v>
      </c>
      <c r="X8630">
        <v>1</v>
      </c>
      <c r="Y8630">
        <v>0</v>
      </c>
      <c r="Z8630">
        <v>1</v>
      </c>
      <c r="AA8630">
        <v>85.5</v>
      </c>
      <c r="AB8630">
        <v>0</v>
      </c>
      <c r="AC8630">
        <v>85.5</v>
      </c>
      <c r="AD8630">
        <v>0</v>
      </c>
      <c r="AE8630">
        <v>0</v>
      </c>
      <c r="AF8630">
        <v>0</v>
      </c>
      <c r="AG8630">
        <v>0</v>
      </c>
      <c r="AH8630">
        <v>0</v>
      </c>
      <c r="AI8630">
        <v>12.83</v>
      </c>
      <c r="AJ8630">
        <v>85.5</v>
      </c>
      <c r="AK8630">
        <v>85.5</v>
      </c>
      <c r="AL8630" t="s">
        <v>53</v>
      </c>
      <c r="AM8630" t="s">
        <v>53</v>
      </c>
      <c r="AN8630" t="s">
        <v>53</v>
      </c>
      <c r="AO8630" t="s">
        <v>53</v>
      </c>
      <c r="AP8630" t="s">
        <v>53</v>
      </c>
    </row>
    <row r="8631" spans="2:42" x14ac:dyDescent="0.2">
      <c r="B8631" t="s">
        <v>44</v>
      </c>
      <c r="C8631" t="str">
        <f>HYPERLINK("https://us2.cloudbeds.com/connect/8493803454333002#/reservations/230732594573504?display=4W1U5JBR4R&amp;reservation_id=230732594573504", "4W1U5JBR4R")</f>
        <v>4W1U5JBR4R</v>
      </c>
      <c r="D8631" t="s">
        <v>45</v>
      </c>
      <c r="E8631" t="s">
        <v>487</v>
      </c>
      <c r="F8631" t="s">
        <v>61</v>
      </c>
      <c r="G8631" t="s">
        <v>48</v>
      </c>
      <c r="H8631" t="s">
        <v>3957</v>
      </c>
      <c r="I8631" t="s">
        <v>3958</v>
      </c>
      <c r="J8631" t="s">
        <v>13067</v>
      </c>
      <c r="K8631" t="s">
        <v>13068</v>
      </c>
      <c r="L8631" t="s">
        <v>53</v>
      </c>
      <c r="P8631" t="s">
        <v>55</v>
      </c>
      <c r="R8631" t="s">
        <v>56</v>
      </c>
      <c r="T8631" t="s">
        <v>16387</v>
      </c>
      <c r="U8631" t="s">
        <v>58</v>
      </c>
      <c r="V8631">
        <v>1</v>
      </c>
      <c r="W8631">
        <v>1</v>
      </c>
      <c r="X8631">
        <v>1</v>
      </c>
      <c r="Y8631">
        <v>0</v>
      </c>
      <c r="Z8631">
        <v>1</v>
      </c>
      <c r="AA8631">
        <v>108.93</v>
      </c>
      <c r="AB8631">
        <v>108.93</v>
      </c>
      <c r="AC8631">
        <v>95</v>
      </c>
      <c r="AD8631">
        <v>0</v>
      </c>
      <c r="AE8631">
        <v>13.93</v>
      </c>
      <c r="AF8631">
        <v>0</v>
      </c>
      <c r="AG8631">
        <v>0</v>
      </c>
      <c r="AH8631">
        <v>0</v>
      </c>
      <c r="AI8631">
        <v>0</v>
      </c>
      <c r="AJ8631">
        <v>108.93</v>
      </c>
      <c r="AK8631">
        <v>0</v>
      </c>
      <c r="AL8631" t="s">
        <v>53</v>
      </c>
      <c r="AM8631" t="s">
        <v>53</v>
      </c>
      <c r="AN8631" t="s">
        <v>53</v>
      </c>
      <c r="AO8631" t="s">
        <v>53</v>
      </c>
      <c r="AP8631" t="s">
        <v>53</v>
      </c>
    </row>
    <row r="8632" spans="2:42" x14ac:dyDescent="0.2">
      <c r="B8632" t="s">
        <v>44</v>
      </c>
      <c r="C8632" t="str">
        <f>HYPERLINK("https://us2.cloudbeds.com/connect/8493803454333002#/reservations/9080486848832075?display=4W20YZ9J6B&amp;reservation_id=9080486848832075", "4W20YZ9J6B")</f>
        <v>4W20YZ9J6B</v>
      </c>
      <c r="D8632" t="s">
        <v>45</v>
      </c>
      <c r="E8632" t="s">
        <v>113</v>
      </c>
      <c r="F8632" t="s">
        <v>61</v>
      </c>
      <c r="G8632" t="s">
        <v>48</v>
      </c>
      <c r="H8632" t="s">
        <v>49</v>
      </c>
      <c r="I8632" t="s">
        <v>50</v>
      </c>
      <c r="J8632" t="s">
        <v>13067</v>
      </c>
      <c r="K8632" t="s">
        <v>13068</v>
      </c>
      <c r="L8632" t="s">
        <v>53</v>
      </c>
      <c r="N8632" t="s">
        <v>16388</v>
      </c>
      <c r="P8632" t="s">
        <v>55</v>
      </c>
      <c r="R8632" t="s">
        <v>53</v>
      </c>
      <c r="T8632" t="s">
        <v>16389</v>
      </c>
      <c r="U8632" t="s">
        <v>55</v>
      </c>
      <c r="V8632">
        <v>1</v>
      </c>
      <c r="W8632">
        <v>1</v>
      </c>
      <c r="X8632">
        <v>2</v>
      </c>
      <c r="Y8632">
        <v>0</v>
      </c>
      <c r="Z8632">
        <v>2</v>
      </c>
      <c r="AA8632">
        <v>67.23</v>
      </c>
      <c r="AB8632">
        <v>67.23</v>
      </c>
      <c r="AC8632">
        <v>61.82</v>
      </c>
      <c r="AD8632">
        <v>0</v>
      </c>
      <c r="AE8632">
        <v>5.41</v>
      </c>
      <c r="AF8632">
        <v>0</v>
      </c>
      <c r="AG8632">
        <v>0</v>
      </c>
      <c r="AH8632">
        <v>0</v>
      </c>
      <c r="AI8632">
        <v>12.1</v>
      </c>
      <c r="AJ8632">
        <v>67.23</v>
      </c>
      <c r="AK8632">
        <v>0</v>
      </c>
      <c r="AL8632" t="s">
        <v>53</v>
      </c>
      <c r="AM8632" t="s">
        <v>53</v>
      </c>
      <c r="AN8632" t="s">
        <v>53</v>
      </c>
      <c r="AO8632" t="s">
        <v>53</v>
      </c>
      <c r="AP8632" t="s">
        <v>53</v>
      </c>
    </row>
    <row r="8633" spans="2:42" x14ac:dyDescent="0.2">
      <c r="B8633" t="s">
        <v>44</v>
      </c>
      <c r="C8633" t="str">
        <f>HYPERLINK("https://us2.cloudbeds.com/connect/8493803454333002#/reservations/9080486848832336?display=4W26UAS4FT&amp;reservation_id=9080486848832336", "4W26UAS4FT")</f>
        <v>4W26UAS4FT</v>
      </c>
      <c r="D8633" t="s">
        <v>45</v>
      </c>
      <c r="E8633" t="s">
        <v>406</v>
      </c>
      <c r="F8633" t="s">
        <v>61</v>
      </c>
      <c r="G8633" t="s">
        <v>48</v>
      </c>
      <c r="H8633" t="s">
        <v>49</v>
      </c>
      <c r="I8633" t="s">
        <v>50</v>
      </c>
      <c r="J8633" t="s">
        <v>13067</v>
      </c>
      <c r="K8633" t="s">
        <v>13068</v>
      </c>
      <c r="L8633" t="s">
        <v>53</v>
      </c>
      <c r="N8633" t="s">
        <v>16390</v>
      </c>
      <c r="P8633" t="s">
        <v>55</v>
      </c>
      <c r="R8633" t="s">
        <v>53</v>
      </c>
      <c r="T8633" t="s">
        <v>16391</v>
      </c>
      <c r="U8633" t="s">
        <v>55</v>
      </c>
      <c r="V8633">
        <v>1</v>
      </c>
      <c r="W8633">
        <v>1</v>
      </c>
      <c r="X8633">
        <v>2</v>
      </c>
      <c r="Y8633">
        <v>0</v>
      </c>
      <c r="Z8633">
        <v>2</v>
      </c>
      <c r="AA8633">
        <v>82.82</v>
      </c>
      <c r="AB8633">
        <v>82.82</v>
      </c>
      <c r="AC8633">
        <v>76.150000000000006</v>
      </c>
      <c r="AD8633">
        <v>0</v>
      </c>
      <c r="AE8633">
        <v>6.67</v>
      </c>
      <c r="AF8633">
        <v>0</v>
      </c>
      <c r="AG8633">
        <v>0</v>
      </c>
      <c r="AH8633">
        <v>0</v>
      </c>
      <c r="AI8633">
        <v>14.91</v>
      </c>
      <c r="AJ8633">
        <v>82.82</v>
      </c>
      <c r="AK8633">
        <v>0</v>
      </c>
      <c r="AL8633" t="s">
        <v>53</v>
      </c>
      <c r="AM8633" t="s">
        <v>53</v>
      </c>
      <c r="AN8633" t="s">
        <v>16392</v>
      </c>
      <c r="AO8633" t="s">
        <v>53</v>
      </c>
      <c r="AP8633" t="s">
        <v>53</v>
      </c>
    </row>
    <row r="8634" spans="2:42" x14ac:dyDescent="0.2">
      <c r="B8634" t="s">
        <v>44</v>
      </c>
      <c r="C8634" t="str">
        <f>HYPERLINK("https://us2.cloudbeds.com/connect/8493803454333002#/reservations/9080486848832545?display=4W2C4Y44D0&amp;reservation_id=9080486848832545", "4W2C4Y44D0")</f>
        <v>4W2C4Y44D0</v>
      </c>
      <c r="D8634" t="s">
        <v>45</v>
      </c>
      <c r="E8634" t="s">
        <v>190</v>
      </c>
      <c r="F8634" t="s">
        <v>61</v>
      </c>
      <c r="G8634" t="s">
        <v>48</v>
      </c>
      <c r="H8634" t="s">
        <v>49</v>
      </c>
      <c r="I8634" t="s">
        <v>50</v>
      </c>
      <c r="J8634" t="s">
        <v>15075</v>
      </c>
      <c r="K8634" t="s">
        <v>15735</v>
      </c>
      <c r="L8634" t="s">
        <v>53</v>
      </c>
      <c r="N8634" t="s">
        <v>16393</v>
      </c>
      <c r="P8634" t="s">
        <v>55</v>
      </c>
      <c r="R8634" t="s">
        <v>53</v>
      </c>
      <c r="T8634" t="s">
        <v>16394</v>
      </c>
      <c r="U8634" t="s">
        <v>55</v>
      </c>
      <c r="V8634">
        <v>1</v>
      </c>
      <c r="W8634">
        <v>1</v>
      </c>
      <c r="X8634">
        <v>2</v>
      </c>
      <c r="Y8634">
        <v>0</v>
      </c>
      <c r="Z8634">
        <v>2</v>
      </c>
      <c r="AA8634">
        <v>130.19999999999999</v>
      </c>
      <c r="AB8634">
        <v>130.19999999999999</v>
      </c>
      <c r="AC8634">
        <v>119.72</v>
      </c>
      <c r="AD8634">
        <v>0</v>
      </c>
      <c r="AE8634">
        <v>10.48</v>
      </c>
      <c r="AF8634">
        <v>0</v>
      </c>
      <c r="AG8634">
        <v>0</v>
      </c>
      <c r="AH8634">
        <v>0</v>
      </c>
      <c r="AI8634">
        <v>23.44</v>
      </c>
      <c r="AJ8634">
        <v>130.19999999999999</v>
      </c>
      <c r="AK8634">
        <v>0</v>
      </c>
      <c r="AL8634" t="s">
        <v>53</v>
      </c>
      <c r="AM8634" t="s">
        <v>53</v>
      </c>
      <c r="AN8634" t="s">
        <v>53</v>
      </c>
      <c r="AO8634" t="s">
        <v>53</v>
      </c>
      <c r="AP8634" t="s">
        <v>53</v>
      </c>
    </row>
    <row r="8635" spans="2:42" x14ac:dyDescent="0.2">
      <c r="B8635" t="s">
        <v>44</v>
      </c>
      <c r="C8635" t="str">
        <f>HYPERLINK("https://us2.cloudbeds.com/connect/8493803454333002#/reservations/9080486848832937?display=4W2MJG6R2U&amp;reservation_id=9080486848832937", "4W2MJG6R2U")</f>
        <v>4W2MJG6R2U</v>
      </c>
      <c r="D8635" t="s">
        <v>45</v>
      </c>
      <c r="E8635" t="s">
        <v>305</v>
      </c>
      <c r="F8635" t="s">
        <v>61</v>
      </c>
      <c r="G8635" t="s">
        <v>48</v>
      </c>
      <c r="H8635" t="s">
        <v>49</v>
      </c>
      <c r="I8635" t="s">
        <v>50</v>
      </c>
      <c r="J8635" t="s">
        <v>13067</v>
      </c>
      <c r="K8635" t="s">
        <v>13068</v>
      </c>
      <c r="L8635" t="s">
        <v>53</v>
      </c>
      <c r="N8635" t="s">
        <v>16395</v>
      </c>
      <c r="P8635" t="s">
        <v>55</v>
      </c>
      <c r="R8635" t="s">
        <v>53</v>
      </c>
      <c r="T8635" t="s">
        <v>16396</v>
      </c>
      <c r="U8635" t="s">
        <v>55</v>
      </c>
      <c r="V8635">
        <v>1</v>
      </c>
      <c r="W8635">
        <v>1</v>
      </c>
      <c r="X8635">
        <v>1</v>
      </c>
      <c r="Y8635">
        <v>0</v>
      </c>
      <c r="Z8635">
        <v>1</v>
      </c>
      <c r="AA8635">
        <v>70.150000000000006</v>
      </c>
      <c r="AB8635">
        <v>70.150000000000006</v>
      </c>
      <c r="AC8635">
        <v>64.5</v>
      </c>
      <c r="AD8635">
        <v>0</v>
      </c>
      <c r="AE8635">
        <v>5.65</v>
      </c>
      <c r="AF8635">
        <v>0</v>
      </c>
      <c r="AG8635">
        <v>0</v>
      </c>
      <c r="AH8635">
        <v>0</v>
      </c>
      <c r="AI8635">
        <v>12.63</v>
      </c>
      <c r="AJ8635">
        <v>70.150000000000006</v>
      </c>
      <c r="AK8635">
        <v>0</v>
      </c>
      <c r="AL8635" t="s">
        <v>53</v>
      </c>
      <c r="AM8635" t="s">
        <v>53</v>
      </c>
      <c r="AN8635" t="s">
        <v>53</v>
      </c>
      <c r="AO8635" t="s">
        <v>53</v>
      </c>
      <c r="AP8635" t="s">
        <v>53</v>
      </c>
    </row>
    <row r="8636" spans="2:42" x14ac:dyDescent="0.2">
      <c r="B8636" t="s">
        <v>44</v>
      </c>
      <c r="C8636" t="str">
        <f>HYPERLINK("https://us2.cloudbeds.com/connect/8493803454333002#/reservations/9080486848833379?display=4W30S40ZT4&amp;reservation_id=9080486848833379", "4W30S40ZT4")</f>
        <v>4W30S40ZT4</v>
      </c>
      <c r="D8636" t="s">
        <v>45</v>
      </c>
      <c r="E8636" t="s">
        <v>110</v>
      </c>
      <c r="F8636" t="s">
        <v>47</v>
      </c>
      <c r="G8636" t="s">
        <v>48</v>
      </c>
      <c r="H8636" t="s">
        <v>49</v>
      </c>
      <c r="I8636" t="s">
        <v>50</v>
      </c>
      <c r="J8636" t="s">
        <v>14847</v>
      </c>
      <c r="K8636" t="s">
        <v>14848</v>
      </c>
      <c r="L8636" t="s">
        <v>53</v>
      </c>
      <c r="N8636" t="s">
        <v>16397</v>
      </c>
      <c r="P8636" t="s">
        <v>55</v>
      </c>
      <c r="R8636" t="s">
        <v>53</v>
      </c>
      <c r="T8636" t="s">
        <v>16398</v>
      </c>
      <c r="U8636" t="s">
        <v>58</v>
      </c>
      <c r="V8636">
        <v>1</v>
      </c>
      <c r="W8636">
        <v>1</v>
      </c>
      <c r="X8636">
        <v>2</v>
      </c>
      <c r="Y8636">
        <v>0</v>
      </c>
      <c r="Z8636">
        <v>2</v>
      </c>
      <c r="AA8636">
        <v>173.7</v>
      </c>
      <c r="AB8636">
        <v>173.7</v>
      </c>
      <c r="AC8636">
        <v>151.51</v>
      </c>
      <c r="AD8636">
        <v>0</v>
      </c>
      <c r="AE8636">
        <v>22.19</v>
      </c>
      <c r="AF8636">
        <v>0</v>
      </c>
      <c r="AG8636">
        <v>0</v>
      </c>
      <c r="AH8636">
        <v>0</v>
      </c>
      <c r="AI8636">
        <v>31.27</v>
      </c>
      <c r="AJ8636">
        <v>173.7</v>
      </c>
      <c r="AK8636">
        <v>0</v>
      </c>
      <c r="AL8636" t="s">
        <v>53</v>
      </c>
      <c r="AM8636" t="s">
        <v>53</v>
      </c>
      <c r="AN8636" t="s">
        <v>16399</v>
      </c>
      <c r="AO8636" t="s">
        <v>53</v>
      </c>
      <c r="AP8636" t="s">
        <v>53</v>
      </c>
    </row>
    <row r="8637" spans="2:42" x14ac:dyDescent="0.2">
      <c r="B8637" t="s">
        <v>44</v>
      </c>
      <c r="C8637" t="str">
        <f>HYPERLINK("https://us2.cloudbeds.com/connect/8493803454333002#/reservations/230780261589120?display=4W312JFG13&amp;reservation_id=230780261589120", "4W312JFG13")</f>
        <v>4W312JFG13</v>
      </c>
      <c r="D8637" t="s">
        <v>45</v>
      </c>
      <c r="E8637" t="s">
        <v>265</v>
      </c>
      <c r="F8637" t="s">
        <v>61</v>
      </c>
      <c r="G8637" t="s">
        <v>48</v>
      </c>
      <c r="H8637" t="s">
        <v>3957</v>
      </c>
      <c r="I8637" t="s">
        <v>3958</v>
      </c>
      <c r="J8637" t="s">
        <v>13067</v>
      </c>
      <c r="K8637" t="s">
        <v>13068</v>
      </c>
      <c r="L8637" t="s">
        <v>53</v>
      </c>
      <c r="P8637" t="s">
        <v>55</v>
      </c>
      <c r="R8637" t="s">
        <v>56</v>
      </c>
      <c r="T8637" t="s">
        <v>16400</v>
      </c>
      <c r="U8637" t="s">
        <v>58</v>
      </c>
      <c r="V8637">
        <v>1</v>
      </c>
      <c r="W8637">
        <v>1</v>
      </c>
      <c r="X8637">
        <v>1</v>
      </c>
      <c r="Y8637">
        <v>0</v>
      </c>
      <c r="Z8637">
        <v>1</v>
      </c>
      <c r="AA8637">
        <v>108.93</v>
      </c>
      <c r="AB8637">
        <v>108.93</v>
      </c>
      <c r="AC8637">
        <v>95</v>
      </c>
      <c r="AD8637">
        <v>0</v>
      </c>
      <c r="AE8637">
        <v>13.93</v>
      </c>
      <c r="AF8637">
        <v>0</v>
      </c>
      <c r="AG8637">
        <v>0</v>
      </c>
      <c r="AH8637">
        <v>0</v>
      </c>
      <c r="AI8637">
        <v>0</v>
      </c>
      <c r="AJ8637">
        <v>108.93</v>
      </c>
      <c r="AK8637">
        <v>0</v>
      </c>
      <c r="AL8637" t="s">
        <v>53</v>
      </c>
      <c r="AM8637" t="s">
        <v>53</v>
      </c>
      <c r="AN8637" t="s">
        <v>53</v>
      </c>
      <c r="AO8637" t="s">
        <v>53</v>
      </c>
      <c r="AP8637" t="s">
        <v>53</v>
      </c>
    </row>
    <row r="8638" spans="2:42" x14ac:dyDescent="0.2">
      <c r="B8638" t="s">
        <v>44</v>
      </c>
      <c r="C8638" t="str">
        <f>HYPERLINK("https://us2.cloudbeds.com/connect/8493803454333002#/reservations/9080486848833445?display=4W32QE6BR3&amp;reservation_id=9080486848833445", "4W32QE6BR3")</f>
        <v>4W32QE6BR3</v>
      </c>
      <c r="D8638" t="s">
        <v>45</v>
      </c>
      <c r="E8638" t="s">
        <v>85</v>
      </c>
      <c r="F8638" t="s">
        <v>86</v>
      </c>
      <c r="G8638" t="s">
        <v>48</v>
      </c>
      <c r="H8638" t="s">
        <v>49</v>
      </c>
      <c r="I8638" t="s">
        <v>50</v>
      </c>
      <c r="J8638" t="s">
        <v>13068</v>
      </c>
      <c r="K8638" t="s">
        <v>12822</v>
      </c>
      <c r="L8638" t="s">
        <v>53</v>
      </c>
      <c r="N8638" t="s">
        <v>16401</v>
      </c>
      <c r="P8638" t="s">
        <v>55</v>
      </c>
      <c r="R8638" t="s">
        <v>53</v>
      </c>
      <c r="T8638" t="s">
        <v>16402</v>
      </c>
      <c r="U8638" t="s">
        <v>55</v>
      </c>
      <c r="V8638">
        <v>1</v>
      </c>
      <c r="W8638">
        <v>1</v>
      </c>
      <c r="X8638">
        <v>2</v>
      </c>
      <c r="Y8638">
        <v>0</v>
      </c>
      <c r="Z8638">
        <v>2</v>
      </c>
      <c r="AA8638">
        <v>105.46</v>
      </c>
      <c r="AB8638">
        <v>105.46</v>
      </c>
      <c r="AC8638">
        <v>96.98</v>
      </c>
      <c r="AD8638">
        <v>0</v>
      </c>
      <c r="AE8638">
        <v>8.48</v>
      </c>
      <c r="AF8638">
        <v>0</v>
      </c>
      <c r="AG8638">
        <v>0</v>
      </c>
      <c r="AH8638">
        <v>0</v>
      </c>
      <c r="AI8638">
        <v>18.98</v>
      </c>
      <c r="AJ8638">
        <v>105.46</v>
      </c>
      <c r="AK8638">
        <v>0</v>
      </c>
      <c r="AL8638" t="s">
        <v>53</v>
      </c>
      <c r="AM8638" t="s">
        <v>53</v>
      </c>
      <c r="AN8638" t="s">
        <v>16403</v>
      </c>
      <c r="AO8638" t="s">
        <v>53</v>
      </c>
      <c r="AP8638" t="s">
        <v>53</v>
      </c>
    </row>
    <row r="8639" spans="2:42" x14ac:dyDescent="0.2">
      <c r="B8639" t="s">
        <v>44</v>
      </c>
      <c r="C8639" t="str">
        <f>HYPERLINK("https://us2.cloudbeds.com/connect/8493803454333002#/reservations/9080486848833641?display=4W37JWMMH2&amp;reservation_id=9080486848833641", "4W37JWMMH2")</f>
        <v>4W37JWMMH2</v>
      </c>
      <c r="D8639" t="s">
        <v>45</v>
      </c>
      <c r="E8639" t="s">
        <v>128</v>
      </c>
      <c r="F8639" t="s">
        <v>86</v>
      </c>
      <c r="G8639" t="s">
        <v>48</v>
      </c>
      <c r="H8639" t="s">
        <v>49</v>
      </c>
      <c r="I8639" t="s">
        <v>8964</v>
      </c>
      <c r="J8639" t="s">
        <v>12958</v>
      </c>
      <c r="K8639" t="s">
        <v>13085</v>
      </c>
      <c r="L8639" t="s">
        <v>53</v>
      </c>
      <c r="N8639" t="s">
        <v>16404</v>
      </c>
      <c r="P8639" t="s">
        <v>55</v>
      </c>
      <c r="R8639" t="s">
        <v>53</v>
      </c>
      <c r="T8639" t="s">
        <v>16405</v>
      </c>
      <c r="U8639" t="s">
        <v>55</v>
      </c>
      <c r="V8639">
        <v>2</v>
      </c>
      <c r="W8639">
        <v>1</v>
      </c>
      <c r="X8639">
        <v>2</v>
      </c>
      <c r="Y8639">
        <v>0</v>
      </c>
      <c r="Z8639">
        <v>2</v>
      </c>
      <c r="AA8639">
        <v>447</v>
      </c>
      <c r="AB8639">
        <v>5.48</v>
      </c>
      <c r="AC8639">
        <v>447</v>
      </c>
      <c r="AD8639">
        <v>5</v>
      </c>
      <c r="AE8639">
        <v>0.48</v>
      </c>
      <c r="AF8639">
        <v>0</v>
      </c>
      <c r="AG8639">
        <v>0</v>
      </c>
      <c r="AH8639">
        <v>0</v>
      </c>
      <c r="AI8639">
        <v>67.87</v>
      </c>
      <c r="AJ8639">
        <v>452.48</v>
      </c>
      <c r="AK8639">
        <v>447</v>
      </c>
      <c r="AL8639" t="s">
        <v>53</v>
      </c>
      <c r="AM8639" t="s">
        <v>53</v>
      </c>
      <c r="AN8639" t="s">
        <v>16406</v>
      </c>
      <c r="AO8639" t="s">
        <v>53</v>
      </c>
      <c r="AP8639" t="s">
        <v>53</v>
      </c>
    </row>
    <row r="8640" spans="2:42" x14ac:dyDescent="0.2">
      <c r="B8640" t="s">
        <v>44</v>
      </c>
      <c r="C8640" t="str">
        <f>HYPERLINK("https://us2.cloudbeds.com/connect/8493803454333002#/reservations/9080486848834166?display=4W3KG5PCA1&amp;reservation_id=9080486848834166", "4W3KG5PCA1")</f>
        <v>4W3KG5PCA1</v>
      </c>
      <c r="D8640" t="s">
        <v>45</v>
      </c>
      <c r="E8640" t="s">
        <v>155</v>
      </c>
      <c r="F8640" t="s">
        <v>86</v>
      </c>
      <c r="G8640" t="s">
        <v>48</v>
      </c>
      <c r="H8640" t="s">
        <v>49</v>
      </c>
      <c r="I8640" t="s">
        <v>62</v>
      </c>
      <c r="J8640" t="s">
        <v>12823</v>
      </c>
      <c r="K8640" t="s">
        <v>12958</v>
      </c>
      <c r="L8640" t="s">
        <v>53</v>
      </c>
      <c r="N8640" t="s">
        <v>16407</v>
      </c>
      <c r="P8640" t="s">
        <v>55</v>
      </c>
      <c r="R8640" t="s">
        <v>56</v>
      </c>
      <c r="T8640" t="s">
        <v>16408</v>
      </c>
      <c r="U8640" t="s">
        <v>55</v>
      </c>
      <c r="V8640">
        <v>1</v>
      </c>
      <c r="W8640">
        <v>1</v>
      </c>
      <c r="X8640">
        <v>4</v>
      </c>
      <c r="Y8640">
        <v>0</v>
      </c>
      <c r="Z8640">
        <v>4</v>
      </c>
      <c r="AA8640">
        <v>207.57</v>
      </c>
      <c r="AB8640">
        <v>213.05</v>
      </c>
      <c r="AC8640">
        <v>207.57</v>
      </c>
      <c r="AD8640">
        <v>5</v>
      </c>
      <c r="AE8640">
        <v>0.48</v>
      </c>
      <c r="AF8640">
        <v>0</v>
      </c>
      <c r="AG8640">
        <v>0</v>
      </c>
      <c r="AH8640">
        <v>0</v>
      </c>
      <c r="AI8640">
        <v>38.35</v>
      </c>
      <c r="AJ8640">
        <v>213.05</v>
      </c>
      <c r="AK8640">
        <v>0</v>
      </c>
      <c r="AL8640" t="s">
        <v>53</v>
      </c>
      <c r="AM8640" t="s">
        <v>53</v>
      </c>
      <c r="AN8640" t="s">
        <v>53</v>
      </c>
      <c r="AO8640" t="s">
        <v>53</v>
      </c>
      <c r="AP8640" t="s">
        <v>53</v>
      </c>
    </row>
    <row r="8641" spans="2:42" x14ac:dyDescent="0.2">
      <c r="B8641" t="s">
        <v>44</v>
      </c>
      <c r="C8641" t="str">
        <f>HYPERLINK("https://us2.cloudbeds.com/connect/8493803454333002#/reservations/230813250707584?display=4W3QKHZP9W&amp;reservation_id=230813250707584", "4W3QKHZP9W")</f>
        <v>4W3QKHZP9W</v>
      </c>
      <c r="D8641" t="s">
        <v>45</v>
      </c>
      <c r="E8641" t="s">
        <v>98</v>
      </c>
      <c r="F8641" t="s">
        <v>86</v>
      </c>
      <c r="G8641" t="s">
        <v>48</v>
      </c>
      <c r="H8641" t="s">
        <v>3957</v>
      </c>
      <c r="I8641" t="s">
        <v>3958</v>
      </c>
      <c r="J8641" t="s">
        <v>13067</v>
      </c>
      <c r="K8641" t="s">
        <v>13068</v>
      </c>
      <c r="L8641" t="s">
        <v>53</v>
      </c>
      <c r="P8641" t="s">
        <v>55</v>
      </c>
      <c r="R8641" t="s">
        <v>56</v>
      </c>
      <c r="T8641" t="s">
        <v>16409</v>
      </c>
      <c r="U8641" t="s">
        <v>58</v>
      </c>
      <c r="V8641">
        <v>1</v>
      </c>
      <c r="W8641">
        <v>1</v>
      </c>
      <c r="X8641">
        <v>1</v>
      </c>
      <c r="Y8641">
        <v>0</v>
      </c>
      <c r="Z8641">
        <v>1</v>
      </c>
      <c r="AA8641">
        <v>126.12</v>
      </c>
      <c r="AB8641">
        <v>126.12</v>
      </c>
      <c r="AC8641">
        <v>110</v>
      </c>
      <c r="AD8641">
        <v>0</v>
      </c>
      <c r="AE8641">
        <v>16.12</v>
      </c>
      <c r="AF8641">
        <v>0</v>
      </c>
      <c r="AG8641">
        <v>0</v>
      </c>
      <c r="AH8641">
        <v>0</v>
      </c>
      <c r="AI8641">
        <v>0</v>
      </c>
      <c r="AJ8641">
        <v>126.12</v>
      </c>
      <c r="AK8641">
        <v>0</v>
      </c>
      <c r="AL8641" t="s">
        <v>53</v>
      </c>
      <c r="AM8641" t="s">
        <v>53</v>
      </c>
      <c r="AN8641" t="s">
        <v>53</v>
      </c>
      <c r="AO8641" t="s">
        <v>53</v>
      </c>
      <c r="AP8641" t="s">
        <v>53</v>
      </c>
    </row>
    <row r="8642" spans="2:42" x14ac:dyDescent="0.2">
      <c r="B8642" t="s">
        <v>44</v>
      </c>
      <c r="C8642" t="str">
        <f>HYPERLINK("https://us2.cloudbeds.com/connect/8493803454333002#/reservations/9080486848835557?display=4W4QMM6Y1Z&amp;reservation_id=9080486848835557", "4W4QMM6Y1Z")</f>
        <v>4W4QMM6Y1Z</v>
      </c>
      <c r="D8642" t="s">
        <v>45</v>
      </c>
      <c r="E8642" t="s">
        <v>179</v>
      </c>
      <c r="F8642" t="s">
        <v>47</v>
      </c>
      <c r="G8642" t="s">
        <v>48</v>
      </c>
      <c r="H8642" t="s">
        <v>49</v>
      </c>
      <c r="I8642" t="s">
        <v>50</v>
      </c>
      <c r="J8642" t="s">
        <v>14344</v>
      </c>
      <c r="K8642" t="s">
        <v>14154</v>
      </c>
      <c r="L8642" t="s">
        <v>53</v>
      </c>
      <c r="N8642" t="s">
        <v>16410</v>
      </c>
      <c r="P8642" t="s">
        <v>55</v>
      </c>
      <c r="R8642" t="s">
        <v>53</v>
      </c>
      <c r="T8642" t="s">
        <v>16411</v>
      </c>
      <c r="U8642" t="s">
        <v>55</v>
      </c>
      <c r="V8642">
        <v>1</v>
      </c>
      <c r="W8642">
        <v>1</v>
      </c>
      <c r="X8642">
        <v>2</v>
      </c>
      <c r="Y8642">
        <v>0</v>
      </c>
      <c r="Z8642">
        <v>2</v>
      </c>
      <c r="AA8642">
        <v>90.11</v>
      </c>
      <c r="AB8642">
        <v>90.11</v>
      </c>
      <c r="AC8642">
        <v>82.86</v>
      </c>
      <c r="AD8642">
        <v>0</v>
      </c>
      <c r="AE8642">
        <v>7.25</v>
      </c>
      <c r="AF8642">
        <v>0</v>
      </c>
      <c r="AG8642">
        <v>0</v>
      </c>
      <c r="AH8642">
        <v>0</v>
      </c>
      <c r="AI8642">
        <v>16.22</v>
      </c>
      <c r="AJ8642">
        <v>90.11</v>
      </c>
      <c r="AK8642">
        <v>0</v>
      </c>
      <c r="AL8642" t="s">
        <v>53</v>
      </c>
      <c r="AM8642" t="s">
        <v>53</v>
      </c>
      <c r="AN8642" t="s">
        <v>53</v>
      </c>
      <c r="AO8642" t="s">
        <v>53</v>
      </c>
      <c r="AP8642" t="s">
        <v>53</v>
      </c>
    </row>
    <row r="8643" spans="2:42" x14ac:dyDescent="0.2">
      <c r="B8643" t="s">
        <v>44</v>
      </c>
      <c r="C8643" t="str">
        <f>HYPERLINK("https://us2.cloudbeds.com/connect/8493803454333002#/reservations/9080486848835600?display=4W4S5UURN9&amp;reservation_id=9080486848835600", "4W4S5UURN9")</f>
        <v>4W4S5UURN9</v>
      </c>
      <c r="D8643" t="s">
        <v>45</v>
      </c>
      <c r="E8643" t="s">
        <v>223</v>
      </c>
      <c r="F8643" t="s">
        <v>47</v>
      </c>
      <c r="G8643" t="s">
        <v>48</v>
      </c>
      <c r="H8643" t="s">
        <v>49</v>
      </c>
      <c r="I8643" t="s">
        <v>50</v>
      </c>
      <c r="J8643" t="s">
        <v>14344</v>
      </c>
      <c r="K8643" t="s">
        <v>14154</v>
      </c>
      <c r="L8643" t="s">
        <v>53</v>
      </c>
      <c r="N8643" t="s">
        <v>16412</v>
      </c>
      <c r="P8643" t="s">
        <v>55</v>
      </c>
      <c r="R8643" t="s">
        <v>53</v>
      </c>
      <c r="T8643" t="s">
        <v>16413</v>
      </c>
      <c r="U8643" t="s">
        <v>55</v>
      </c>
      <c r="V8643">
        <v>1</v>
      </c>
      <c r="W8643">
        <v>1</v>
      </c>
      <c r="X8643">
        <v>2</v>
      </c>
      <c r="Y8643">
        <v>0</v>
      </c>
      <c r="Z8643">
        <v>2</v>
      </c>
      <c r="AA8643">
        <v>84.03</v>
      </c>
      <c r="AB8643">
        <v>84.03</v>
      </c>
      <c r="AC8643">
        <v>77.27</v>
      </c>
      <c r="AD8643">
        <v>0</v>
      </c>
      <c r="AE8643">
        <v>6.76</v>
      </c>
      <c r="AF8643">
        <v>0</v>
      </c>
      <c r="AG8643">
        <v>0</v>
      </c>
      <c r="AH8643">
        <v>0</v>
      </c>
      <c r="AI8643">
        <v>15.13</v>
      </c>
      <c r="AJ8643">
        <v>84.03</v>
      </c>
      <c r="AK8643">
        <v>0</v>
      </c>
      <c r="AL8643" t="s">
        <v>53</v>
      </c>
      <c r="AM8643" t="s">
        <v>53</v>
      </c>
      <c r="AN8643" t="s">
        <v>16414</v>
      </c>
      <c r="AO8643" t="s">
        <v>53</v>
      </c>
      <c r="AP8643" t="s">
        <v>53</v>
      </c>
    </row>
    <row r="8644" spans="2:42" x14ac:dyDescent="0.2">
      <c r="B8644" t="s">
        <v>44</v>
      </c>
      <c r="C8644" t="str">
        <f>HYPERLINK("https://us2.cloudbeds.com/connect/8493803454333002#/reservations/9080486848838524?display=4W77RBHKKF&amp;reservation_id=9080486848838524", "4W77RBHKKF")</f>
        <v>4W77RBHKKF</v>
      </c>
      <c r="D8644" t="s">
        <v>45</v>
      </c>
      <c r="E8644" t="s">
        <v>185</v>
      </c>
      <c r="F8644" t="s">
        <v>47</v>
      </c>
      <c r="G8644" t="s">
        <v>48</v>
      </c>
      <c r="H8644" t="s">
        <v>49</v>
      </c>
      <c r="I8644" t="s">
        <v>50</v>
      </c>
      <c r="J8644" t="s">
        <v>14623</v>
      </c>
      <c r="K8644" t="s">
        <v>15838</v>
      </c>
      <c r="L8644" t="s">
        <v>53</v>
      </c>
      <c r="N8644" t="s">
        <v>16415</v>
      </c>
      <c r="P8644" t="s">
        <v>55</v>
      </c>
      <c r="R8644" t="s">
        <v>53</v>
      </c>
      <c r="T8644" t="s">
        <v>16416</v>
      </c>
      <c r="U8644" t="s">
        <v>55</v>
      </c>
      <c r="V8644">
        <v>2</v>
      </c>
      <c r="W8644">
        <v>1</v>
      </c>
      <c r="X8644">
        <v>1</v>
      </c>
      <c r="Y8644">
        <v>0</v>
      </c>
      <c r="Z8644">
        <v>1</v>
      </c>
      <c r="AA8644">
        <v>159.91999999999999</v>
      </c>
      <c r="AB8644">
        <v>159.91999999999999</v>
      </c>
      <c r="AC8644">
        <v>147.06</v>
      </c>
      <c r="AD8644">
        <v>0</v>
      </c>
      <c r="AE8644">
        <v>12.86</v>
      </c>
      <c r="AF8644">
        <v>0</v>
      </c>
      <c r="AG8644">
        <v>0</v>
      </c>
      <c r="AH8644">
        <v>0</v>
      </c>
      <c r="AI8644">
        <v>28.79</v>
      </c>
      <c r="AJ8644">
        <v>159.91999999999999</v>
      </c>
      <c r="AK8644">
        <v>0</v>
      </c>
      <c r="AL8644" t="s">
        <v>53</v>
      </c>
      <c r="AM8644" t="s">
        <v>53</v>
      </c>
      <c r="AN8644" t="s">
        <v>53</v>
      </c>
      <c r="AO8644" t="s">
        <v>53</v>
      </c>
      <c r="AP8644" t="s">
        <v>53</v>
      </c>
    </row>
    <row r="8645" spans="2:42" x14ac:dyDescent="0.2">
      <c r="B8645" t="s">
        <v>44</v>
      </c>
      <c r="C8645" t="str">
        <f>HYPERLINK("https://us2.cloudbeds.com/connect/8493803454333002#/reservations/9080486848838930?display=4W7FG1ZB1H&amp;reservation_id=9080486848838930", "4W7FG1ZB1H")</f>
        <v>4W7FG1ZB1H</v>
      </c>
      <c r="D8645" t="s">
        <v>45</v>
      </c>
      <c r="E8645" t="s">
        <v>69</v>
      </c>
      <c r="F8645" t="s">
        <v>70</v>
      </c>
      <c r="G8645" t="s">
        <v>48</v>
      </c>
      <c r="H8645" t="s">
        <v>49</v>
      </c>
      <c r="I8645" t="s">
        <v>62</v>
      </c>
      <c r="J8645" t="s">
        <v>12822</v>
      </c>
      <c r="K8645" t="s">
        <v>15391</v>
      </c>
      <c r="L8645" t="s">
        <v>53</v>
      </c>
      <c r="N8645" t="s">
        <v>16417</v>
      </c>
      <c r="P8645" t="s">
        <v>55</v>
      </c>
      <c r="R8645" t="s">
        <v>56</v>
      </c>
      <c r="T8645" t="s">
        <v>16418</v>
      </c>
      <c r="U8645" t="s">
        <v>55</v>
      </c>
      <c r="V8645">
        <v>2</v>
      </c>
      <c r="W8645">
        <v>1</v>
      </c>
      <c r="X8645">
        <v>1</v>
      </c>
      <c r="Y8645">
        <v>0</v>
      </c>
      <c r="Z8645">
        <v>1</v>
      </c>
      <c r="AA8645">
        <v>220.8</v>
      </c>
      <c r="AB8645">
        <v>220.8</v>
      </c>
      <c r="AC8645">
        <v>220.8</v>
      </c>
      <c r="AD8645">
        <v>0</v>
      </c>
      <c r="AE8645">
        <v>0</v>
      </c>
      <c r="AF8645">
        <v>0</v>
      </c>
      <c r="AG8645">
        <v>0</v>
      </c>
      <c r="AH8645">
        <v>0</v>
      </c>
      <c r="AI8645">
        <v>39.74</v>
      </c>
      <c r="AJ8645">
        <v>220.8</v>
      </c>
      <c r="AK8645">
        <v>0</v>
      </c>
      <c r="AL8645" t="s">
        <v>53</v>
      </c>
      <c r="AM8645" t="s">
        <v>53</v>
      </c>
      <c r="AN8645" t="s">
        <v>53</v>
      </c>
      <c r="AO8645" t="s">
        <v>53</v>
      </c>
      <c r="AP8645" t="s">
        <v>53</v>
      </c>
    </row>
    <row r="8646" spans="2:42" x14ac:dyDescent="0.2">
      <c r="B8646" t="s">
        <v>44</v>
      </c>
      <c r="C8646" t="str">
        <f>HYPERLINK("https://us2.cloudbeds.com/connect/8493803454333002#/reservations/230975700455552?display=4W7KDGMJBG&amp;reservation_id=230975700455552", "4W7KDGMJBG")</f>
        <v>4W7KDGMJBG</v>
      </c>
      <c r="D8646" t="s">
        <v>45</v>
      </c>
      <c r="E8646" t="s">
        <v>179</v>
      </c>
      <c r="F8646" t="s">
        <v>47</v>
      </c>
      <c r="G8646" t="s">
        <v>13757</v>
      </c>
      <c r="H8646" t="s">
        <v>3957</v>
      </c>
      <c r="I8646" t="s">
        <v>3958</v>
      </c>
      <c r="J8646" t="s">
        <v>13068</v>
      </c>
      <c r="K8646" t="s">
        <v>16262</v>
      </c>
      <c r="L8646" t="s">
        <v>53</v>
      </c>
      <c r="P8646" t="s">
        <v>55</v>
      </c>
      <c r="R8646" t="s">
        <v>56</v>
      </c>
      <c r="T8646" t="s">
        <v>16419</v>
      </c>
      <c r="U8646" t="s">
        <v>58</v>
      </c>
      <c r="V8646">
        <v>7</v>
      </c>
      <c r="W8646">
        <v>1</v>
      </c>
      <c r="X8646">
        <v>1</v>
      </c>
      <c r="Y8646">
        <v>0</v>
      </c>
      <c r="Z8646">
        <v>1</v>
      </c>
      <c r="AA8646">
        <v>697.42</v>
      </c>
      <c r="AB8646">
        <v>697.42</v>
      </c>
      <c r="AC8646">
        <v>608.29999999999995</v>
      </c>
      <c r="AD8646">
        <v>0</v>
      </c>
      <c r="AE8646">
        <v>89.12</v>
      </c>
      <c r="AF8646">
        <v>0</v>
      </c>
      <c r="AG8646">
        <v>0</v>
      </c>
      <c r="AH8646">
        <v>0</v>
      </c>
      <c r="AI8646">
        <v>0</v>
      </c>
      <c r="AJ8646">
        <v>697.42</v>
      </c>
      <c r="AK8646">
        <v>0</v>
      </c>
      <c r="AL8646" t="s">
        <v>53</v>
      </c>
      <c r="AM8646" t="s">
        <v>53</v>
      </c>
      <c r="AN8646" t="s">
        <v>53</v>
      </c>
      <c r="AO8646" t="s">
        <v>53</v>
      </c>
      <c r="AP8646" t="s">
        <v>53</v>
      </c>
    </row>
    <row r="8647" spans="2:42" x14ac:dyDescent="0.2">
      <c r="B8647" t="s">
        <v>44</v>
      </c>
      <c r="C8647" t="str">
        <f>HYPERLINK("https://us2.cloudbeds.com/connect/8493803454333002#/reservations/9080486848839576?display=4W7QZW2VJF&amp;reservation_id=9080486848839576", "4W7QZW2VJF")</f>
        <v>4W7QZW2VJF</v>
      </c>
      <c r="D8647" t="s">
        <v>45</v>
      </c>
      <c r="E8647" t="s">
        <v>381</v>
      </c>
      <c r="F8647" t="s">
        <v>47</v>
      </c>
      <c r="G8647" t="s">
        <v>48</v>
      </c>
      <c r="H8647" t="s">
        <v>49</v>
      </c>
      <c r="I8647" t="s">
        <v>50</v>
      </c>
      <c r="J8647" t="s">
        <v>12822</v>
      </c>
      <c r="K8647" t="s">
        <v>15391</v>
      </c>
      <c r="L8647" t="s">
        <v>53</v>
      </c>
      <c r="N8647" t="s">
        <v>16420</v>
      </c>
      <c r="P8647" t="s">
        <v>55</v>
      </c>
      <c r="R8647" t="s">
        <v>53</v>
      </c>
      <c r="T8647" t="s">
        <v>16421</v>
      </c>
      <c r="U8647" t="s">
        <v>55</v>
      </c>
      <c r="V8647">
        <v>2</v>
      </c>
      <c r="W8647">
        <v>1</v>
      </c>
      <c r="X8647">
        <v>1</v>
      </c>
      <c r="Y8647">
        <v>0</v>
      </c>
      <c r="Z8647">
        <v>1</v>
      </c>
      <c r="AA8647">
        <v>193.53</v>
      </c>
      <c r="AB8647">
        <v>193.53</v>
      </c>
      <c r="AC8647">
        <v>177.95</v>
      </c>
      <c r="AD8647">
        <v>0</v>
      </c>
      <c r="AE8647">
        <v>15.58</v>
      </c>
      <c r="AF8647">
        <v>0</v>
      </c>
      <c r="AG8647">
        <v>0</v>
      </c>
      <c r="AH8647">
        <v>0</v>
      </c>
      <c r="AI8647">
        <v>34.840000000000003</v>
      </c>
      <c r="AJ8647">
        <v>193.53</v>
      </c>
      <c r="AK8647">
        <v>0</v>
      </c>
      <c r="AL8647" t="s">
        <v>53</v>
      </c>
      <c r="AM8647" t="s">
        <v>53</v>
      </c>
      <c r="AN8647" t="s">
        <v>16422</v>
      </c>
      <c r="AO8647" t="s">
        <v>53</v>
      </c>
      <c r="AP8647" t="s">
        <v>53</v>
      </c>
    </row>
    <row r="8648" spans="2:42" x14ac:dyDescent="0.2">
      <c r="B8648" t="s">
        <v>44</v>
      </c>
      <c r="C8648" t="str">
        <f>HYPERLINK("https://us2.cloudbeds.com/connect/8493803454333002#/reservations/9080486848840540?display=4W890A7K9T&amp;reservation_id=9080486848840540", "4W890A7K9T")</f>
        <v>4W890A7K9T</v>
      </c>
      <c r="D8648" t="s">
        <v>45</v>
      </c>
      <c r="E8648" t="s">
        <v>165</v>
      </c>
      <c r="F8648" t="s">
        <v>61</v>
      </c>
      <c r="G8648" t="s">
        <v>48</v>
      </c>
      <c r="H8648" t="s">
        <v>49</v>
      </c>
      <c r="I8648" t="s">
        <v>50</v>
      </c>
      <c r="J8648" t="s">
        <v>14344</v>
      </c>
      <c r="K8648" t="s">
        <v>14154</v>
      </c>
      <c r="L8648" t="s">
        <v>53</v>
      </c>
      <c r="N8648" t="s">
        <v>16423</v>
      </c>
      <c r="P8648" t="s">
        <v>55</v>
      </c>
      <c r="R8648" t="s">
        <v>53</v>
      </c>
      <c r="T8648" t="s">
        <v>16424</v>
      </c>
      <c r="U8648" t="s">
        <v>55</v>
      </c>
      <c r="V8648">
        <v>1</v>
      </c>
      <c r="W8648">
        <v>1</v>
      </c>
      <c r="X8648">
        <v>2</v>
      </c>
      <c r="Y8648">
        <v>0</v>
      </c>
      <c r="Z8648">
        <v>2</v>
      </c>
      <c r="AA8648">
        <v>91.65</v>
      </c>
      <c r="AB8648">
        <v>91.65</v>
      </c>
      <c r="AC8648">
        <v>84.28</v>
      </c>
      <c r="AD8648">
        <v>0</v>
      </c>
      <c r="AE8648">
        <v>7.37</v>
      </c>
      <c r="AF8648">
        <v>0</v>
      </c>
      <c r="AG8648">
        <v>0</v>
      </c>
      <c r="AH8648">
        <v>0</v>
      </c>
      <c r="AI8648">
        <v>16.5</v>
      </c>
      <c r="AJ8648">
        <v>91.65</v>
      </c>
      <c r="AK8648">
        <v>0</v>
      </c>
      <c r="AL8648" t="s">
        <v>53</v>
      </c>
      <c r="AM8648" t="s">
        <v>53</v>
      </c>
      <c r="AN8648" t="s">
        <v>16425</v>
      </c>
      <c r="AO8648" t="s">
        <v>53</v>
      </c>
      <c r="AP8648" t="s">
        <v>53</v>
      </c>
    </row>
    <row r="8649" spans="2:42" x14ac:dyDescent="0.2">
      <c r="B8649" t="s">
        <v>44</v>
      </c>
      <c r="C8649" t="str">
        <f>HYPERLINK("https://us2.cloudbeds.com/connect/8493803454333002#/reservations/231010111688896?display=4W8E1Q4YD5&amp;reservation_id=231010111688896", "4W8E1Q4YD5")</f>
        <v>4W8E1Q4YD5</v>
      </c>
      <c r="D8649" t="s">
        <v>45</v>
      </c>
      <c r="E8649" t="s">
        <v>190</v>
      </c>
      <c r="F8649" t="s">
        <v>61</v>
      </c>
      <c r="G8649" t="s">
        <v>48</v>
      </c>
      <c r="H8649" t="s">
        <v>3957</v>
      </c>
      <c r="I8649" t="s">
        <v>3989</v>
      </c>
      <c r="J8649" t="s">
        <v>14349</v>
      </c>
      <c r="K8649" t="s">
        <v>14979</v>
      </c>
      <c r="L8649" t="s">
        <v>53</v>
      </c>
      <c r="P8649" t="s">
        <v>55</v>
      </c>
      <c r="R8649" t="s">
        <v>56</v>
      </c>
      <c r="T8649" t="s">
        <v>16426</v>
      </c>
      <c r="U8649" t="s">
        <v>58</v>
      </c>
      <c r="V8649">
        <v>2</v>
      </c>
      <c r="W8649">
        <v>1</v>
      </c>
      <c r="X8649">
        <v>1</v>
      </c>
      <c r="Y8649">
        <v>0</v>
      </c>
      <c r="Z8649">
        <v>1</v>
      </c>
      <c r="AA8649">
        <v>309.56</v>
      </c>
      <c r="AB8649">
        <v>270</v>
      </c>
      <c r="AC8649">
        <v>230.44</v>
      </c>
      <c r="AD8649">
        <v>0</v>
      </c>
      <c r="AE8649">
        <v>39.56</v>
      </c>
      <c r="AF8649">
        <v>0</v>
      </c>
      <c r="AG8649">
        <v>0</v>
      </c>
      <c r="AH8649">
        <v>0</v>
      </c>
      <c r="AI8649">
        <v>0</v>
      </c>
      <c r="AJ8649">
        <v>270</v>
      </c>
      <c r="AK8649">
        <v>0</v>
      </c>
      <c r="AL8649" t="s">
        <v>53</v>
      </c>
      <c r="AM8649" t="s">
        <v>53</v>
      </c>
      <c r="AN8649" t="s">
        <v>53</v>
      </c>
      <c r="AO8649" t="s">
        <v>53</v>
      </c>
      <c r="AP8649" t="s">
        <v>53</v>
      </c>
    </row>
    <row r="8650" spans="2:42" x14ac:dyDescent="0.2">
      <c r="B8650" t="s">
        <v>44</v>
      </c>
      <c r="C8650" t="str">
        <f>HYPERLINK("https://us2.cloudbeds.com/connect/8493803454333002#/reservations/231033782222976?display=4W8WCKP54X&amp;reservation_id=231033782222976", "4W8WCKP54X")</f>
        <v>4W8WCKP54X</v>
      </c>
      <c r="D8650" t="s">
        <v>45</v>
      </c>
      <c r="E8650" t="s">
        <v>105</v>
      </c>
      <c r="F8650" t="s">
        <v>47</v>
      </c>
      <c r="G8650" t="s">
        <v>48</v>
      </c>
      <c r="H8650" t="s">
        <v>3957</v>
      </c>
      <c r="I8650" t="s">
        <v>3975</v>
      </c>
      <c r="J8650" t="s">
        <v>12822</v>
      </c>
      <c r="K8650" t="s">
        <v>12862</v>
      </c>
      <c r="L8650" t="s">
        <v>53</v>
      </c>
      <c r="P8650" t="s">
        <v>55</v>
      </c>
      <c r="R8650" t="s">
        <v>56</v>
      </c>
      <c r="T8650" t="s">
        <v>16427</v>
      </c>
      <c r="U8650" t="s">
        <v>58</v>
      </c>
      <c r="V8650">
        <v>1</v>
      </c>
      <c r="W8650">
        <v>1</v>
      </c>
      <c r="X8650">
        <v>2</v>
      </c>
      <c r="Y8650">
        <v>0</v>
      </c>
      <c r="Z8650">
        <v>2</v>
      </c>
      <c r="AA8650">
        <v>129.56</v>
      </c>
      <c r="AB8650">
        <v>129.56</v>
      </c>
      <c r="AC8650">
        <v>113</v>
      </c>
      <c r="AD8650">
        <v>0</v>
      </c>
      <c r="AE8650">
        <v>16.559999999999999</v>
      </c>
      <c r="AF8650">
        <v>0</v>
      </c>
      <c r="AG8650">
        <v>0</v>
      </c>
      <c r="AH8650">
        <v>0</v>
      </c>
      <c r="AI8650">
        <v>0</v>
      </c>
      <c r="AJ8650">
        <v>129.56</v>
      </c>
      <c r="AK8650">
        <v>0</v>
      </c>
      <c r="AL8650" t="s">
        <v>53</v>
      </c>
      <c r="AM8650" t="s">
        <v>53</v>
      </c>
      <c r="AN8650" t="s">
        <v>53</v>
      </c>
      <c r="AO8650" t="s">
        <v>53</v>
      </c>
      <c r="AP8650" t="s">
        <v>53</v>
      </c>
    </row>
    <row r="8651" spans="2:42" x14ac:dyDescent="0.2">
      <c r="B8651" t="s">
        <v>44</v>
      </c>
      <c r="C8651" t="str">
        <f>HYPERLINK("https://us2.cloudbeds.com/connect/8493803454333002#/reservations/9080486848843041?display=4W9J4T0JSG&amp;reservation_id=9080486848843041", "4W9J4T0JSG")</f>
        <v>4W9J4T0JSG</v>
      </c>
      <c r="D8651" t="s">
        <v>45</v>
      </c>
      <c r="E8651" t="s">
        <v>138</v>
      </c>
      <c r="F8651" t="s">
        <v>70</v>
      </c>
      <c r="G8651" t="s">
        <v>48</v>
      </c>
      <c r="H8651" t="s">
        <v>49</v>
      </c>
      <c r="I8651" t="s">
        <v>8964</v>
      </c>
      <c r="J8651" t="s">
        <v>12862</v>
      </c>
      <c r="K8651" t="s">
        <v>15391</v>
      </c>
      <c r="L8651" t="s">
        <v>53</v>
      </c>
      <c r="N8651" t="s">
        <v>16428</v>
      </c>
      <c r="P8651" t="s">
        <v>55</v>
      </c>
      <c r="R8651" t="s">
        <v>53</v>
      </c>
      <c r="T8651" t="s">
        <v>16429</v>
      </c>
      <c r="U8651" t="s">
        <v>55</v>
      </c>
      <c r="V8651">
        <v>1</v>
      </c>
      <c r="W8651">
        <v>1</v>
      </c>
      <c r="X8651">
        <v>1</v>
      </c>
      <c r="Y8651">
        <v>0</v>
      </c>
      <c r="Z8651">
        <v>1</v>
      </c>
      <c r="AA8651">
        <v>0</v>
      </c>
      <c r="AB8651">
        <v>0</v>
      </c>
      <c r="AC8651">
        <v>102</v>
      </c>
      <c r="AD8651">
        <v>0</v>
      </c>
      <c r="AE8651">
        <v>0</v>
      </c>
      <c r="AF8651">
        <v>0</v>
      </c>
      <c r="AG8651">
        <v>0</v>
      </c>
      <c r="AH8651">
        <v>0</v>
      </c>
      <c r="AI8651">
        <v>15.3</v>
      </c>
      <c r="AJ8651">
        <v>102</v>
      </c>
      <c r="AK8651">
        <v>102</v>
      </c>
      <c r="AL8651" t="s">
        <v>53</v>
      </c>
      <c r="AM8651" t="s">
        <v>53</v>
      </c>
      <c r="AN8651" t="s">
        <v>53</v>
      </c>
      <c r="AO8651" t="s">
        <v>53</v>
      </c>
      <c r="AP8651" t="s">
        <v>53</v>
      </c>
    </row>
    <row r="8652" spans="2:42" x14ac:dyDescent="0.2">
      <c r="B8652" t="s">
        <v>44</v>
      </c>
      <c r="C8652" t="str">
        <f>HYPERLINK("https://us2.cloudbeds.com/connect/8493803454333002#/reservations/9080486848844587?display=4WAHTJQJT8&amp;reservation_id=9080486848844587", "4WAHTJQJT8")</f>
        <v>4WAHTJQJT8</v>
      </c>
      <c r="D8652" t="s">
        <v>45</v>
      </c>
      <c r="E8652" t="s">
        <v>46</v>
      </c>
      <c r="F8652" t="s">
        <v>47</v>
      </c>
      <c r="G8652" t="s">
        <v>48</v>
      </c>
      <c r="H8652" t="s">
        <v>49</v>
      </c>
      <c r="I8652" t="s">
        <v>62</v>
      </c>
      <c r="J8652" t="s">
        <v>14344</v>
      </c>
      <c r="K8652" t="s">
        <v>14976</v>
      </c>
      <c r="L8652" t="s">
        <v>53</v>
      </c>
      <c r="N8652" t="s">
        <v>16430</v>
      </c>
      <c r="P8652" t="s">
        <v>55</v>
      </c>
      <c r="R8652" t="s">
        <v>56</v>
      </c>
      <c r="T8652" t="s">
        <v>16431</v>
      </c>
      <c r="U8652" t="s">
        <v>55</v>
      </c>
      <c r="V8652">
        <v>2</v>
      </c>
      <c r="W8652">
        <v>1</v>
      </c>
      <c r="X8652">
        <v>2</v>
      </c>
      <c r="Y8652">
        <v>0</v>
      </c>
      <c r="Z8652">
        <v>2</v>
      </c>
      <c r="AA8652">
        <v>286.35000000000002</v>
      </c>
      <c r="AB8652">
        <v>300.58</v>
      </c>
      <c r="AC8652">
        <v>286.35000000000002</v>
      </c>
      <c r="AD8652">
        <v>13</v>
      </c>
      <c r="AE8652">
        <v>1.23</v>
      </c>
      <c r="AF8652">
        <v>0</v>
      </c>
      <c r="AG8652">
        <v>0</v>
      </c>
      <c r="AH8652">
        <v>0</v>
      </c>
      <c r="AI8652">
        <v>54.1</v>
      </c>
      <c r="AJ8652">
        <v>300.58</v>
      </c>
      <c r="AK8652">
        <v>0</v>
      </c>
      <c r="AL8652" t="s">
        <v>53</v>
      </c>
      <c r="AM8652" t="s">
        <v>53</v>
      </c>
      <c r="AN8652" t="s">
        <v>16432</v>
      </c>
      <c r="AO8652" t="s">
        <v>53</v>
      </c>
      <c r="AP8652" t="s">
        <v>53</v>
      </c>
    </row>
    <row r="8653" spans="2:42" x14ac:dyDescent="0.2">
      <c r="B8653" t="s">
        <v>44</v>
      </c>
      <c r="C8653" t="str">
        <f>HYPERLINK("https://us2.cloudbeds.com/connect/8493803454333002#/reservations/231143948574848?display=4WBXMKVKW2&amp;reservation_id=231143948574848", "4WBXMKVKW2")</f>
        <v>4WBXMKVKW2</v>
      </c>
      <c r="D8653" t="s">
        <v>45</v>
      </c>
      <c r="E8653" t="s">
        <v>213</v>
      </c>
      <c r="F8653" t="s">
        <v>86</v>
      </c>
      <c r="G8653" t="s">
        <v>48</v>
      </c>
      <c r="H8653" t="s">
        <v>3957</v>
      </c>
      <c r="I8653" t="s">
        <v>3958</v>
      </c>
      <c r="J8653" t="s">
        <v>13068</v>
      </c>
      <c r="K8653" t="s">
        <v>12822</v>
      </c>
      <c r="L8653" t="s">
        <v>53</v>
      </c>
      <c r="P8653" t="s">
        <v>55</v>
      </c>
      <c r="R8653" t="s">
        <v>56</v>
      </c>
      <c r="T8653" t="s">
        <v>16433</v>
      </c>
      <c r="U8653" t="s">
        <v>58</v>
      </c>
      <c r="V8653">
        <v>1</v>
      </c>
      <c r="W8653">
        <v>1</v>
      </c>
      <c r="X8653">
        <v>1</v>
      </c>
      <c r="Y8653">
        <v>0</v>
      </c>
      <c r="Z8653">
        <v>1</v>
      </c>
      <c r="AA8653">
        <v>127.27</v>
      </c>
      <c r="AB8653">
        <v>127.27</v>
      </c>
      <c r="AC8653">
        <v>111</v>
      </c>
      <c r="AD8653">
        <v>0</v>
      </c>
      <c r="AE8653">
        <v>16.27</v>
      </c>
      <c r="AF8653">
        <v>0</v>
      </c>
      <c r="AG8653">
        <v>0</v>
      </c>
      <c r="AH8653">
        <v>0</v>
      </c>
      <c r="AI8653">
        <v>0</v>
      </c>
      <c r="AJ8653">
        <v>127.27</v>
      </c>
      <c r="AK8653">
        <v>0</v>
      </c>
      <c r="AL8653" t="s">
        <v>53</v>
      </c>
      <c r="AM8653" t="s">
        <v>53</v>
      </c>
      <c r="AN8653" t="s">
        <v>53</v>
      </c>
      <c r="AO8653" t="s">
        <v>53</v>
      </c>
      <c r="AP8653" t="s">
        <v>53</v>
      </c>
    </row>
    <row r="8654" spans="2:42" x14ac:dyDescent="0.2">
      <c r="B8654" t="s">
        <v>44</v>
      </c>
      <c r="C8654" t="str">
        <f>HYPERLINK("https://us2.cloudbeds.com/connect/8493803454333002#/reservations/9080486848846648?display=4WBVATSC40&amp;reservation_id=9080486848846648", "4WBVATSC40")</f>
        <v>4WBVATSC40</v>
      </c>
      <c r="D8654" t="s">
        <v>45</v>
      </c>
      <c r="E8654" t="s">
        <v>98</v>
      </c>
      <c r="F8654" t="s">
        <v>86</v>
      </c>
      <c r="G8654" t="s">
        <v>48</v>
      </c>
      <c r="H8654" t="s">
        <v>49</v>
      </c>
      <c r="I8654" t="s">
        <v>62</v>
      </c>
      <c r="J8654" t="s">
        <v>12823</v>
      </c>
      <c r="K8654" t="s">
        <v>12958</v>
      </c>
      <c r="L8654" t="s">
        <v>53</v>
      </c>
      <c r="N8654" t="s">
        <v>16434</v>
      </c>
      <c r="P8654" t="s">
        <v>55</v>
      </c>
      <c r="R8654" t="s">
        <v>56</v>
      </c>
      <c r="T8654" t="s">
        <v>16435</v>
      </c>
      <c r="U8654" t="s">
        <v>55</v>
      </c>
      <c r="V8654">
        <v>1</v>
      </c>
      <c r="W8654">
        <v>1</v>
      </c>
      <c r="X8654">
        <v>3</v>
      </c>
      <c r="Y8654">
        <v>0</v>
      </c>
      <c r="Z8654">
        <v>3</v>
      </c>
      <c r="AA8654">
        <v>220.8</v>
      </c>
      <c r="AB8654">
        <v>232.27</v>
      </c>
      <c r="AC8654">
        <v>220.8</v>
      </c>
      <c r="AD8654">
        <v>10</v>
      </c>
      <c r="AE8654">
        <v>1.47</v>
      </c>
      <c r="AF8654">
        <v>0</v>
      </c>
      <c r="AG8654">
        <v>0</v>
      </c>
      <c r="AH8654">
        <v>0</v>
      </c>
      <c r="AI8654">
        <v>41.81</v>
      </c>
      <c r="AJ8654">
        <v>232.27</v>
      </c>
      <c r="AK8654">
        <v>0</v>
      </c>
      <c r="AL8654" t="s">
        <v>53</v>
      </c>
      <c r="AM8654" t="s">
        <v>53</v>
      </c>
      <c r="AN8654" t="s">
        <v>16436</v>
      </c>
      <c r="AO8654" t="s">
        <v>53</v>
      </c>
      <c r="AP8654" t="s">
        <v>53</v>
      </c>
    </row>
    <row r="8655" spans="2:42" x14ac:dyDescent="0.2">
      <c r="B8655" t="s">
        <v>44</v>
      </c>
      <c r="C8655" t="str">
        <f>HYPERLINK("https://us2.cloudbeds.com/connect/8493803454333002#/reservations/9080486848847282?display=4WCF2FBH7D&amp;reservation_id=9080486848847282", "4WCF2FBH7D")</f>
        <v>4WCF2FBH7D</v>
      </c>
      <c r="D8655" t="s">
        <v>45</v>
      </c>
      <c r="E8655" t="s">
        <v>110</v>
      </c>
      <c r="F8655" t="s">
        <v>47</v>
      </c>
      <c r="G8655" t="s">
        <v>48</v>
      </c>
      <c r="H8655" t="s">
        <v>49</v>
      </c>
      <c r="I8655" t="s">
        <v>62</v>
      </c>
      <c r="J8655" t="s">
        <v>12958</v>
      </c>
      <c r="K8655" t="s">
        <v>13085</v>
      </c>
      <c r="L8655" t="s">
        <v>53</v>
      </c>
      <c r="N8655" t="s">
        <v>16437</v>
      </c>
      <c r="P8655" t="s">
        <v>55</v>
      </c>
      <c r="R8655" t="s">
        <v>56</v>
      </c>
      <c r="T8655" t="s">
        <v>16438</v>
      </c>
      <c r="U8655" t="s">
        <v>55</v>
      </c>
      <c r="V8655">
        <v>2</v>
      </c>
      <c r="W8655">
        <v>1</v>
      </c>
      <c r="X8655">
        <v>2</v>
      </c>
      <c r="Y8655">
        <v>0</v>
      </c>
      <c r="Z8655">
        <v>2</v>
      </c>
      <c r="AA8655">
        <v>415.15</v>
      </c>
      <c r="AB8655">
        <v>415.15</v>
      </c>
      <c r="AC8655">
        <v>415.15</v>
      </c>
      <c r="AD8655">
        <v>0</v>
      </c>
      <c r="AE8655">
        <v>0</v>
      </c>
      <c r="AF8655">
        <v>0</v>
      </c>
      <c r="AG8655">
        <v>0</v>
      </c>
      <c r="AH8655">
        <v>0</v>
      </c>
      <c r="AI8655">
        <v>74.73</v>
      </c>
      <c r="AJ8655">
        <v>415.15</v>
      </c>
      <c r="AK8655">
        <v>0</v>
      </c>
      <c r="AL8655" t="s">
        <v>53</v>
      </c>
      <c r="AM8655" t="s">
        <v>53</v>
      </c>
      <c r="AN8655" t="s">
        <v>16439</v>
      </c>
      <c r="AO8655" t="s">
        <v>53</v>
      </c>
      <c r="AP8655" t="s">
        <v>53</v>
      </c>
    </row>
    <row r="8656" spans="2:42" x14ac:dyDescent="0.2">
      <c r="B8656" t="s">
        <v>44</v>
      </c>
      <c r="C8656" t="str">
        <f>HYPERLINK("https://us2.cloudbeds.com/connect/8493803454333002#/reservations/9080486848847557?display=4WCNA6084U&amp;reservation_id=9080486848847557", "4WCNA6084U")</f>
        <v>4WCNA6084U</v>
      </c>
      <c r="D8656" t="s">
        <v>45</v>
      </c>
      <c r="E8656" t="s">
        <v>105</v>
      </c>
      <c r="F8656" t="s">
        <v>47</v>
      </c>
      <c r="G8656" t="s">
        <v>48</v>
      </c>
      <c r="H8656" t="s">
        <v>49</v>
      </c>
      <c r="I8656" t="s">
        <v>8964</v>
      </c>
      <c r="J8656" t="s">
        <v>14095</v>
      </c>
      <c r="K8656" t="s">
        <v>13805</v>
      </c>
      <c r="L8656" t="s">
        <v>53</v>
      </c>
      <c r="N8656" t="s">
        <v>16440</v>
      </c>
      <c r="P8656" t="s">
        <v>55</v>
      </c>
      <c r="R8656" t="s">
        <v>53</v>
      </c>
      <c r="T8656" t="s">
        <v>16441</v>
      </c>
      <c r="U8656" t="s">
        <v>55</v>
      </c>
      <c r="V8656">
        <v>1</v>
      </c>
      <c r="W8656">
        <v>1</v>
      </c>
      <c r="X8656">
        <v>1</v>
      </c>
      <c r="Y8656">
        <v>0</v>
      </c>
      <c r="Z8656">
        <v>1</v>
      </c>
      <c r="AA8656">
        <v>0</v>
      </c>
      <c r="AB8656">
        <v>0</v>
      </c>
      <c r="AC8656">
        <v>108</v>
      </c>
      <c r="AD8656">
        <v>0</v>
      </c>
      <c r="AE8656">
        <v>0</v>
      </c>
      <c r="AF8656">
        <v>0</v>
      </c>
      <c r="AG8656">
        <v>0</v>
      </c>
      <c r="AH8656">
        <v>0</v>
      </c>
      <c r="AI8656">
        <v>16.2</v>
      </c>
      <c r="AJ8656">
        <v>108</v>
      </c>
      <c r="AK8656">
        <v>108</v>
      </c>
      <c r="AL8656" t="s">
        <v>53</v>
      </c>
      <c r="AM8656" t="s">
        <v>53</v>
      </c>
      <c r="AN8656" t="s">
        <v>53</v>
      </c>
      <c r="AO8656" t="s">
        <v>53</v>
      </c>
      <c r="AP8656" t="s">
        <v>53</v>
      </c>
    </row>
    <row r="8657" spans="2:42" x14ac:dyDescent="0.2">
      <c r="B8657" t="s">
        <v>44</v>
      </c>
      <c r="C8657" t="str">
        <f>HYPERLINK("https://us2.cloudbeds.com/connect/8493803454333002#/reservations/9080486848851874?display=4WG5BQ4BD6&amp;reservation_id=9080486848851874", "4WG5BQ4BD6")</f>
        <v>4WG5BQ4BD6</v>
      </c>
      <c r="D8657" t="s">
        <v>45</v>
      </c>
      <c r="E8657" t="s">
        <v>14402</v>
      </c>
      <c r="F8657" t="s">
        <v>14403</v>
      </c>
      <c r="G8657" t="s">
        <v>48</v>
      </c>
      <c r="H8657" t="s">
        <v>49</v>
      </c>
      <c r="I8657" t="s">
        <v>50</v>
      </c>
      <c r="J8657" t="s">
        <v>12862</v>
      </c>
      <c r="K8657" t="s">
        <v>15391</v>
      </c>
      <c r="L8657" t="s">
        <v>53</v>
      </c>
      <c r="N8657" t="s">
        <v>16442</v>
      </c>
      <c r="P8657" t="s">
        <v>55</v>
      </c>
      <c r="R8657" t="s">
        <v>53</v>
      </c>
      <c r="T8657" t="s">
        <v>16443</v>
      </c>
      <c r="U8657" t="s">
        <v>55</v>
      </c>
      <c r="V8657">
        <v>1</v>
      </c>
      <c r="W8657">
        <v>1</v>
      </c>
      <c r="X8657">
        <v>1</v>
      </c>
      <c r="Y8657">
        <v>0</v>
      </c>
      <c r="Z8657">
        <v>1</v>
      </c>
      <c r="AA8657">
        <v>86.15</v>
      </c>
      <c r="AB8657">
        <v>86.15</v>
      </c>
      <c r="AC8657">
        <v>79.22</v>
      </c>
      <c r="AD8657">
        <v>0</v>
      </c>
      <c r="AE8657">
        <v>6.93</v>
      </c>
      <c r="AF8657">
        <v>0</v>
      </c>
      <c r="AG8657">
        <v>0</v>
      </c>
      <c r="AH8657">
        <v>0</v>
      </c>
      <c r="AI8657">
        <v>15.51</v>
      </c>
      <c r="AJ8657">
        <v>86.15</v>
      </c>
      <c r="AK8657">
        <v>0</v>
      </c>
      <c r="AL8657" t="s">
        <v>53</v>
      </c>
      <c r="AM8657" t="s">
        <v>53</v>
      </c>
      <c r="AN8657" t="s">
        <v>16444</v>
      </c>
      <c r="AO8657" t="s">
        <v>53</v>
      </c>
      <c r="AP8657" t="s">
        <v>53</v>
      </c>
    </row>
    <row r="8658" spans="2:42" x14ac:dyDescent="0.2">
      <c r="B8658" t="s">
        <v>44</v>
      </c>
      <c r="C8658" t="str">
        <f>HYPERLINK("https://us2.cloudbeds.com/connect/8493803454333002#/reservations/231361665859712?display=4WGM8QUQAX&amp;reservation_id=231361665859712", "4WGM8QUQAX")</f>
        <v>4WGM8QUQAX</v>
      </c>
      <c r="D8658" t="s">
        <v>45</v>
      </c>
      <c r="E8658" t="s">
        <v>190</v>
      </c>
      <c r="F8658" t="s">
        <v>61</v>
      </c>
      <c r="G8658" t="s">
        <v>48</v>
      </c>
      <c r="H8658" t="s">
        <v>3957</v>
      </c>
      <c r="I8658" t="s">
        <v>3975</v>
      </c>
      <c r="J8658" t="s">
        <v>12862</v>
      </c>
      <c r="K8658" t="s">
        <v>13805</v>
      </c>
      <c r="L8658" t="s">
        <v>53</v>
      </c>
      <c r="P8658" t="s">
        <v>55</v>
      </c>
      <c r="R8658" t="s">
        <v>56</v>
      </c>
      <c r="T8658" t="s">
        <v>16445</v>
      </c>
      <c r="U8658" t="s">
        <v>58</v>
      </c>
      <c r="V8658">
        <v>3</v>
      </c>
      <c r="W8658">
        <v>1</v>
      </c>
      <c r="X8658">
        <v>2</v>
      </c>
      <c r="Y8658">
        <v>0</v>
      </c>
      <c r="Z8658">
        <v>2</v>
      </c>
      <c r="AA8658">
        <v>378.35</v>
      </c>
      <c r="AB8658">
        <v>398.35</v>
      </c>
      <c r="AC8658">
        <v>330</v>
      </c>
      <c r="AD8658">
        <v>0</v>
      </c>
      <c r="AE8658">
        <v>48.35</v>
      </c>
      <c r="AF8658">
        <v>0</v>
      </c>
      <c r="AG8658">
        <v>0</v>
      </c>
      <c r="AH8658">
        <v>0</v>
      </c>
      <c r="AI8658">
        <v>0</v>
      </c>
      <c r="AJ8658">
        <v>378.35</v>
      </c>
      <c r="AK8658">
        <v>-20</v>
      </c>
      <c r="AL8658" t="s">
        <v>53</v>
      </c>
      <c r="AM8658" t="s">
        <v>53</v>
      </c>
      <c r="AN8658" t="s">
        <v>16446</v>
      </c>
      <c r="AO8658" t="s">
        <v>53</v>
      </c>
      <c r="AP8658" t="s">
        <v>53</v>
      </c>
    </row>
    <row r="8659" spans="2:42" x14ac:dyDescent="0.2">
      <c r="B8659" t="s">
        <v>44</v>
      </c>
      <c r="C8659" t="str">
        <f>HYPERLINK("https://us2.cloudbeds.com/connect/8493803454333002#/reservations/231378645028992?display=4WH2DM7X94&amp;reservation_id=231378645028992", "4WH2DM7X94")</f>
        <v>4WH2DM7X94</v>
      </c>
      <c r="D8659" t="s">
        <v>45</v>
      </c>
      <c r="E8659" t="s">
        <v>179</v>
      </c>
      <c r="F8659" t="s">
        <v>47</v>
      </c>
      <c r="G8659" t="s">
        <v>48</v>
      </c>
      <c r="H8659" t="s">
        <v>3957</v>
      </c>
      <c r="I8659" t="s">
        <v>3958</v>
      </c>
      <c r="J8659" t="s">
        <v>12823</v>
      </c>
      <c r="K8659" t="s">
        <v>12958</v>
      </c>
      <c r="L8659" t="s">
        <v>53</v>
      </c>
      <c r="P8659" t="s">
        <v>55</v>
      </c>
      <c r="R8659" t="s">
        <v>56</v>
      </c>
      <c r="T8659" t="s">
        <v>16447</v>
      </c>
      <c r="U8659" t="s">
        <v>58</v>
      </c>
      <c r="V8659">
        <v>1</v>
      </c>
      <c r="W8659">
        <v>1</v>
      </c>
      <c r="X8659">
        <v>1</v>
      </c>
      <c r="Y8659">
        <v>0</v>
      </c>
      <c r="Z8659">
        <v>1</v>
      </c>
      <c r="AA8659">
        <v>263.7</v>
      </c>
      <c r="AB8659">
        <v>263.7</v>
      </c>
      <c r="AC8659">
        <v>230</v>
      </c>
      <c r="AD8659">
        <v>0</v>
      </c>
      <c r="AE8659">
        <v>33.700000000000003</v>
      </c>
      <c r="AF8659">
        <v>0</v>
      </c>
      <c r="AG8659">
        <v>0</v>
      </c>
      <c r="AH8659">
        <v>0</v>
      </c>
      <c r="AI8659">
        <v>0</v>
      </c>
      <c r="AJ8659">
        <v>263.7</v>
      </c>
      <c r="AK8659">
        <v>0</v>
      </c>
      <c r="AL8659" t="s">
        <v>53</v>
      </c>
      <c r="AM8659" t="s">
        <v>53</v>
      </c>
      <c r="AN8659" t="s">
        <v>16448</v>
      </c>
      <c r="AO8659" t="s">
        <v>53</v>
      </c>
      <c r="AP8659" t="s">
        <v>53</v>
      </c>
    </row>
    <row r="8660" spans="2:42" x14ac:dyDescent="0.2">
      <c r="B8660" t="s">
        <v>44</v>
      </c>
      <c r="C8660" t="str">
        <f>HYPERLINK("https://us2.cloudbeds.com/connect/8493803454333002#/reservations/9080486848853777?display=4WH7BCP51E&amp;reservation_id=9080486848853777", "4WH7BCP51E")</f>
        <v>4WH7BCP51E</v>
      </c>
      <c r="D8660" t="s">
        <v>45</v>
      </c>
      <c r="E8660" t="s">
        <v>105</v>
      </c>
      <c r="F8660" t="s">
        <v>47</v>
      </c>
      <c r="G8660" t="s">
        <v>48</v>
      </c>
      <c r="H8660" t="s">
        <v>49</v>
      </c>
      <c r="I8660" t="s">
        <v>50</v>
      </c>
      <c r="J8660" t="s">
        <v>12958</v>
      </c>
      <c r="K8660" t="s">
        <v>12863</v>
      </c>
      <c r="L8660" t="s">
        <v>53</v>
      </c>
      <c r="N8660" t="s">
        <v>16449</v>
      </c>
      <c r="P8660" t="s">
        <v>55</v>
      </c>
      <c r="R8660" t="s">
        <v>53</v>
      </c>
      <c r="T8660" t="s">
        <v>16450</v>
      </c>
      <c r="U8660" t="s">
        <v>55</v>
      </c>
      <c r="V8660">
        <v>1</v>
      </c>
      <c r="W8660">
        <v>1</v>
      </c>
      <c r="X8660">
        <v>2</v>
      </c>
      <c r="Y8660">
        <v>0</v>
      </c>
      <c r="Z8660">
        <v>2</v>
      </c>
      <c r="AA8660">
        <v>185.49</v>
      </c>
      <c r="AB8660">
        <v>185.49</v>
      </c>
      <c r="AC8660">
        <v>170.57</v>
      </c>
      <c r="AD8660">
        <v>0</v>
      </c>
      <c r="AE8660">
        <v>14.92</v>
      </c>
      <c r="AF8660">
        <v>0</v>
      </c>
      <c r="AG8660">
        <v>0</v>
      </c>
      <c r="AH8660">
        <v>0</v>
      </c>
      <c r="AI8660">
        <v>33.39</v>
      </c>
      <c r="AJ8660">
        <v>185.49</v>
      </c>
      <c r="AK8660">
        <v>0</v>
      </c>
      <c r="AL8660" t="s">
        <v>53</v>
      </c>
      <c r="AM8660" t="s">
        <v>53</v>
      </c>
      <c r="AN8660" t="s">
        <v>16451</v>
      </c>
      <c r="AO8660" t="s">
        <v>53</v>
      </c>
      <c r="AP8660" t="s">
        <v>53</v>
      </c>
    </row>
    <row r="8661" spans="2:42" x14ac:dyDescent="0.2">
      <c r="B8661" t="s">
        <v>44</v>
      </c>
      <c r="C8661" t="str">
        <f>HYPERLINK("https://us2.cloudbeds.com/connect/8493803454333002#/reservations/9080486848854332?display=4WHX1JYVA7&amp;reservation_id=9080486848854332", "4WHX1JYVA7")</f>
        <v>4WHX1JYVA7</v>
      </c>
      <c r="D8661" t="s">
        <v>45</v>
      </c>
      <c r="E8661" t="s">
        <v>487</v>
      </c>
      <c r="F8661" t="s">
        <v>61</v>
      </c>
      <c r="G8661" t="s">
        <v>48</v>
      </c>
      <c r="H8661" t="s">
        <v>49</v>
      </c>
      <c r="I8661" t="s">
        <v>50</v>
      </c>
      <c r="J8661" t="s">
        <v>12822</v>
      </c>
      <c r="K8661" t="s">
        <v>12862</v>
      </c>
      <c r="L8661" t="s">
        <v>53</v>
      </c>
      <c r="N8661" t="s">
        <v>16452</v>
      </c>
      <c r="P8661" t="s">
        <v>55</v>
      </c>
      <c r="R8661" t="s">
        <v>53</v>
      </c>
      <c r="T8661" t="s">
        <v>16453</v>
      </c>
      <c r="U8661" t="s">
        <v>55</v>
      </c>
      <c r="V8661">
        <v>1</v>
      </c>
      <c r="W8661">
        <v>1</v>
      </c>
      <c r="X8661">
        <v>1</v>
      </c>
      <c r="Y8661">
        <v>0</v>
      </c>
      <c r="Z8661">
        <v>1</v>
      </c>
      <c r="AA8661">
        <v>109.84</v>
      </c>
      <c r="AB8661">
        <v>109.84</v>
      </c>
      <c r="AC8661">
        <v>101</v>
      </c>
      <c r="AD8661">
        <v>0</v>
      </c>
      <c r="AE8661">
        <v>8.84</v>
      </c>
      <c r="AF8661">
        <v>0</v>
      </c>
      <c r="AG8661">
        <v>0</v>
      </c>
      <c r="AH8661">
        <v>0</v>
      </c>
      <c r="AI8661">
        <v>19.77</v>
      </c>
      <c r="AJ8661">
        <v>109.84</v>
      </c>
      <c r="AK8661">
        <v>0</v>
      </c>
      <c r="AL8661" t="s">
        <v>53</v>
      </c>
      <c r="AM8661" t="s">
        <v>53</v>
      </c>
      <c r="AN8661" t="s">
        <v>53</v>
      </c>
      <c r="AO8661" t="s">
        <v>53</v>
      </c>
      <c r="AP8661" t="s">
        <v>53</v>
      </c>
    </row>
    <row r="8662" spans="2:42" x14ac:dyDescent="0.2">
      <c r="B8662" t="s">
        <v>44</v>
      </c>
      <c r="C8662" t="str">
        <f>HYPERLINK("https://us2.cloudbeds.com/connect/8493803454333002#/reservations/231459940360384?display=4WXWBVJWFU&amp;reservation_id=231459940360384", "4WXWBVJWFU")</f>
        <v>4WXWBVJWFU</v>
      </c>
      <c r="D8662" t="s">
        <v>45</v>
      </c>
      <c r="E8662" t="s">
        <v>406</v>
      </c>
      <c r="F8662" t="s">
        <v>61</v>
      </c>
      <c r="G8662" t="s">
        <v>48</v>
      </c>
      <c r="H8662" t="s">
        <v>3957</v>
      </c>
      <c r="I8662" t="s">
        <v>3958</v>
      </c>
      <c r="J8662" t="s">
        <v>12822</v>
      </c>
      <c r="K8662" t="s">
        <v>15391</v>
      </c>
      <c r="L8662" t="s">
        <v>53</v>
      </c>
      <c r="P8662" t="s">
        <v>55</v>
      </c>
      <c r="R8662" t="s">
        <v>56</v>
      </c>
      <c r="T8662" t="s">
        <v>16454</v>
      </c>
      <c r="U8662" t="s">
        <v>58</v>
      </c>
      <c r="V8662">
        <v>2</v>
      </c>
      <c r="W8662">
        <v>1</v>
      </c>
      <c r="X8662">
        <v>1</v>
      </c>
      <c r="Y8662">
        <v>0</v>
      </c>
      <c r="Z8662">
        <v>1</v>
      </c>
      <c r="AA8662">
        <v>276.32</v>
      </c>
      <c r="AB8662">
        <v>276.32</v>
      </c>
      <c r="AC8662">
        <v>241</v>
      </c>
      <c r="AD8662">
        <v>0</v>
      </c>
      <c r="AE8662">
        <v>35.32</v>
      </c>
      <c r="AF8662">
        <v>0</v>
      </c>
      <c r="AG8662">
        <v>0</v>
      </c>
      <c r="AH8662">
        <v>0</v>
      </c>
      <c r="AI8662">
        <v>0</v>
      </c>
      <c r="AJ8662">
        <v>276.32</v>
      </c>
      <c r="AK8662">
        <v>0</v>
      </c>
      <c r="AL8662" t="s">
        <v>53</v>
      </c>
      <c r="AM8662" t="s">
        <v>53</v>
      </c>
      <c r="AN8662" t="s">
        <v>53</v>
      </c>
      <c r="AO8662" t="s">
        <v>53</v>
      </c>
      <c r="AP8662" t="s">
        <v>53</v>
      </c>
    </row>
    <row r="8663" spans="2:42" x14ac:dyDescent="0.2">
      <c r="B8663" t="s">
        <v>44</v>
      </c>
      <c r="C8663" t="str">
        <f>HYPERLINK("https://us2.cloudbeds.com/connect/8493803454333002#/reservations/231461274484928?display=4WJ0D1XGRU&amp;reservation_id=231461274484928", "4WJ0D1XGRU")</f>
        <v>4WJ0D1XGRU</v>
      </c>
      <c r="D8663" t="s">
        <v>45</v>
      </c>
      <c r="E8663" t="s">
        <v>113</v>
      </c>
      <c r="F8663" t="s">
        <v>61</v>
      </c>
      <c r="G8663" t="s">
        <v>48</v>
      </c>
      <c r="H8663" t="s">
        <v>3957</v>
      </c>
      <c r="I8663" t="s">
        <v>3975</v>
      </c>
      <c r="J8663" t="s">
        <v>14153</v>
      </c>
      <c r="K8663" t="s">
        <v>14154</v>
      </c>
      <c r="L8663" t="s">
        <v>53</v>
      </c>
      <c r="P8663" t="s">
        <v>55</v>
      </c>
      <c r="R8663" t="s">
        <v>56</v>
      </c>
      <c r="T8663" t="s">
        <v>16455</v>
      </c>
      <c r="U8663" t="s">
        <v>58</v>
      </c>
      <c r="V8663">
        <v>2</v>
      </c>
      <c r="W8663">
        <v>1</v>
      </c>
      <c r="X8663">
        <v>2</v>
      </c>
      <c r="Y8663">
        <v>0</v>
      </c>
      <c r="Z8663">
        <v>2</v>
      </c>
      <c r="AA8663">
        <v>0</v>
      </c>
      <c r="AB8663">
        <v>371.48</v>
      </c>
      <c r="AC8663">
        <v>324</v>
      </c>
      <c r="AD8663">
        <v>0</v>
      </c>
      <c r="AE8663">
        <v>47.48</v>
      </c>
      <c r="AF8663">
        <v>0</v>
      </c>
      <c r="AG8663">
        <v>0</v>
      </c>
      <c r="AH8663">
        <v>0</v>
      </c>
      <c r="AI8663">
        <v>0</v>
      </c>
      <c r="AJ8663">
        <v>371.48</v>
      </c>
      <c r="AK8663">
        <v>0</v>
      </c>
      <c r="AL8663" t="s">
        <v>53</v>
      </c>
      <c r="AM8663" t="s">
        <v>53</v>
      </c>
      <c r="AN8663" t="s">
        <v>16456</v>
      </c>
      <c r="AO8663" t="s">
        <v>53</v>
      </c>
      <c r="AP8663" t="s">
        <v>53</v>
      </c>
    </row>
    <row r="8664" spans="2:42" x14ac:dyDescent="0.2">
      <c r="B8664" t="s">
        <v>44</v>
      </c>
      <c r="C8664" t="str">
        <f>HYPERLINK("https://us2.cloudbeds.com/connect/8493803454333002#/reservations/9080486848857560?display=4WJZN001K6&amp;reservation_id=9080486848857560", "4WJZN001K6")</f>
        <v>4WJZN001K6</v>
      </c>
      <c r="D8664" t="s">
        <v>45</v>
      </c>
      <c r="E8664" t="s">
        <v>98</v>
      </c>
      <c r="F8664" t="s">
        <v>86</v>
      </c>
      <c r="G8664" t="s">
        <v>48</v>
      </c>
      <c r="H8664" t="s">
        <v>49</v>
      </c>
      <c r="I8664" t="s">
        <v>50</v>
      </c>
      <c r="J8664" t="s">
        <v>14348</v>
      </c>
      <c r="K8664" t="s">
        <v>15838</v>
      </c>
      <c r="L8664" t="s">
        <v>53</v>
      </c>
      <c r="N8664" t="s">
        <v>16457</v>
      </c>
      <c r="P8664" t="s">
        <v>55</v>
      </c>
      <c r="R8664" t="s">
        <v>53</v>
      </c>
      <c r="T8664" t="s">
        <v>16458</v>
      </c>
      <c r="U8664" t="s">
        <v>58</v>
      </c>
      <c r="V8664">
        <v>3</v>
      </c>
      <c r="W8664">
        <v>1</v>
      </c>
      <c r="X8664">
        <v>2</v>
      </c>
      <c r="Y8664">
        <v>0</v>
      </c>
      <c r="Z8664">
        <v>2</v>
      </c>
      <c r="AA8664">
        <v>469.17</v>
      </c>
      <c r="AB8664">
        <v>469.17</v>
      </c>
      <c r="AC8664">
        <v>409.21</v>
      </c>
      <c r="AD8664">
        <v>0</v>
      </c>
      <c r="AE8664">
        <v>59.96</v>
      </c>
      <c r="AF8664">
        <v>0</v>
      </c>
      <c r="AG8664">
        <v>0</v>
      </c>
      <c r="AH8664">
        <v>0</v>
      </c>
      <c r="AI8664">
        <v>84.45</v>
      </c>
      <c r="AJ8664">
        <v>469.17</v>
      </c>
      <c r="AK8664">
        <v>0</v>
      </c>
      <c r="AL8664" t="s">
        <v>53</v>
      </c>
      <c r="AM8664" t="s">
        <v>53</v>
      </c>
      <c r="AN8664" t="s">
        <v>16459</v>
      </c>
      <c r="AO8664" t="s">
        <v>53</v>
      </c>
      <c r="AP8664" t="s">
        <v>53</v>
      </c>
    </row>
    <row r="8665" spans="2:42" x14ac:dyDescent="0.2">
      <c r="B8665" t="s">
        <v>44</v>
      </c>
      <c r="C8665" t="str">
        <f>HYPERLINK("https://us2.cloudbeds.com/connect/8493803454333002#/reservations/231493299159232?display=4WJP6BKVRH&amp;reservation_id=231493299159232", "4WJP6BKVRH")</f>
        <v>4WJP6BKVRH</v>
      </c>
      <c r="D8665" t="s">
        <v>45</v>
      </c>
      <c r="E8665" t="s">
        <v>185</v>
      </c>
      <c r="F8665" t="s">
        <v>47</v>
      </c>
      <c r="G8665" t="s">
        <v>48</v>
      </c>
      <c r="H8665" t="s">
        <v>3957</v>
      </c>
      <c r="I8665" t="s">
        <v>3975</v>
      </c>
      <c r="J8665" t="s">
        <v>12822</v>
      </c>
      <c r="K8665" t="s">
        <v>12862</v>
      </c>
      <c r="L8665" t="s">
        <v>53</v>
      </c>
      <c r="P8665" t="s">
        <v>55</v>
      </c>
      <c r="R8665" t="s">
        <v>56</v>
      </c>
      <c r="T8665" t="s">
        <v>16460</v>
      </c>
      <c r="U8665" t="s">
        <v>58</v>
      </c>
      <c r="V8665">
        <v>1</v>
      </c>
      <c r="W8665">
        <v>1</v>
      </c>
      <c r="X8665">
        <v>2</v>
      </c>
      <c r="Y8665">
        <v>0</v>
      </c>
      <c r="Z8665">
        <v>2</v>
      </c>
      <c r="AA8665">
        <v>138.72999999999999</v>
      </c>
      <c r="AB8665">
        <v>138.72999999999999</v>
      </c>
      <c r="AC8665">
        <v>121</v>
      </c>
      <c r="AD8665">
        <v>0</v>
      </c>
      <c r="AE8665">
        <v>17.73</v>
      </c>
      <c r="AF8665">
        <v>0</v>
      </c>
      <c r="AG8665">
        <v>0</v>
      </c>
      <c r="AH8665">
        <v>0</v>
      </c>
      <c r="AI8665">
        <v>0</v>
      </c>
      <c r="AJ8665">
        <v>138.72999999999999</v>
      </c>
      <c r="AK8665">
        <v>0</v>
      </c>
      <c r="AL8665" t="s">
        <v>53</v>
      </c>
      <c r="AM8665" t="s">
        <v>53</v>
      </c>
      <c r="AN8665" t="s">
        <v>53</v>
      </c>
      <c r="AO8665" t="s">
        <v>53</v>
      </c>
      <c r="AP8665" t="s">
        <v>53</v>
      </c>
    </row>
    <row r="8666" spans="2:42" x14ac:dyDescent="0.2">
      <c r="B8666" t="s">
        <v>44</v>
      </c>
      <c r="C8666" t="str">
        <f>HYPERLINK("https://us2.cloudbeds.com/connect/8493803454333002#/reservations/9080486848858443?display=4WKG979NV9&amp;reservation_id=9080486848858443", "4WKG979NV9")</f>
        <v>4WKG979NV9</v>
      </c>
      <c r="D8666" t="s">
        <v>45</v>
      </c>
      <c r="E8666" t="s">
        <v>190</v>
      </c>
      <c r="F8666" t="s">
        <v>61</v>
      </c>
      <c r="G8666" t="s">
        <v>48</v>
      </c>
      <c r="H8666" t="s">
        <v>49</v>
      </c>
      <c r="I8666" t="s">
        <v>50</v>
      </c>
      <c r="J8666" t="s">
        <v>14623</v>
      </c>
      <c r="K8666" t="s">
        <v>14349</v>
      </c>
      <c r="L8666" t="s">
        <v>53</v>
      </c>
      <c r="N8666" t="s">
        <v>16461</v>
      </c>
      <c r="P8666" t="s">
        <v>55</v>
      </c>
      <c r="R8666" t="s">
        <v>53</v>
      </c>
      <c r="T8666" t="s">
        <v>16462</v>
      </c>
      <c r="U8666" t="s">
        <v>58</v>
      </c>
      <c r="V8666">
        <v>1</v>
      </c>
      <c r="W8666">
        <v>1</v>
      </c>
      <c r="X8666">
        <v>2</v>
      </c>
      <c r="Y8666">
        <v>0</v>
      </c>
      <c r="Z8666">
        <v>2</v>
      </c>
      <c r="AA8666">
        <v>119.83</v>
      </c>
      <c r="AB8666">
        <v>119.83</v>
      </c>
      <c r="AC8666">
        <v>104.51</v>
      </c>
      <c r="AD8666">
        <v>0</v>
      </c>
      <c r="AE8666">
        <v>15.32</v>
      </c>
      <c r="AF8666">
        <v>0</v>
      </c>
      <c r="AG8666">
        <v>0</v>
      </c>
      <c r="AH8666">
        <v>0</v>
      </c>
      <c r="AI8666">
        <v>21.57</v>
      </c>
      <c r="AJ8666">
        <v>119.83</v>
      </c>
      <c r="AK8666">
        <v>0</v>
      </c>
      <c r="AL8666" t="s">
        <v>53</v>
      </c>
      <c r="AM8666" t="s">
        <v>53</v>
      </c>
      <c r="AN8666" t="s">
        <v>16463</v>
      </c>
      <c r="AO8666" t="s">
        <v>53</v>
      </c>
      <c r="AP8666" t="s">
        <v>53</v>
      </c>
    </row>
    <row r="8667" spans="2:42" x14ac:dyDescent="0.2">
      <c r="B8667" t="s">
        <v>44</v>
      </c>
      <c r="C8667" t="str">
        <f>HYPERLINK("https://us2.cloudbeds.com/connect/8493803454333002#/reservations/9080486848861585?display=4WNHX16JW9&amp;reservation_id=9080486848861585", "4WNHX16JW9")</f>
        <v>4WNHX16JW9</v>
      </c>
      <c r="D8667" t="s">
        <v>45</v>
      </c>
      <c r="E8667" t="s">
        <v>190</v>
      </c>
      <c r="F8667" t="s">
        <v>61</v>
      </c>
      <c r="G8667" t="s">
        <v>48</v>
      </c>
      <c r="H8667" t="s">
        <v>49</v>
      </c>
      <c r="I8667" t="s">
        <v>50</v>
      </c>
      <c r="J8667" t="s">
        <v>11628</v>
      </c>
      <c r="K8667" t="s">
        <v>14348</v>
      </c>
      <c r="L8667" t="s">
        <v>53</v>
      </c>
      <c r="N8667" t="s">
        <v>16464</v>
      </c>
      <c r="P8667" t="s">
        <v>55</v>
      </c>
      <c r="R8667" t="s">
        <v>53</v>
      </c>
      <c r="T8667" t="s">
        <v>16465</v>
      </c>
      <c r="U8667" t="s">
        <v>55</v>
      </c>
      <c r="V8667">
        <v>4</v>
      </c>
      <c r="W8667">
        <v>1</v>
      </c>
      <c r="X8667">
        <v>2</v>
      </c>
      <c r="Y8667">
        <v>0</v>
      </c>
      <c r="Z8667">
        <v>2</v>
      </c>
      <c r="AA8667">
        <v>430.78</v>
      </c>
      <c r="AB8667">
        <v>430.78</v>
      </c>
      <c r="AC8667">
        <v>396.11</v>
      </c>
      <c r="AD8667">
        <v>0</v>
      </c>
      <c r="AE8667">
        <v>34.67</v>
      </c>
      <c r="AF8667">
        <v>0</v>
      </c>
      <c r="AG8667">
        <v>0</v>
      </c>
      <c r="AH8667">
        <v>0</v>
      </c>
      <c r="AI8667">
        <v>77.540000000000006</v>
      </c>
      <c r="AJ8667">
        <v>430.78</v>
      </c>
      <c r="AK8667">
        <v>0</v>
      </c>
      <c r="AL8667" t="s">
        <v>53</v>
      </c>
      <c r="AM8667" t="s">
        <v>53</v>
      </c>
      <c r="AN8667" t="s">
        <v>53</v>
      </c>
      <c r="AO8667" t="s">
        <v>53</v>
      </c>
      <c r="AP8667" t="s">
        <v>53</v>
      </c>
    </row>
    <row r="8668" spans="2:42" x14ac:dyDescent="0.2">
      <c r="B8668" t="s">
        <v>44</v>
      </c>
      <c r="C8668" t="str">
        <f>HYPERLINK("https://us2.cloudbeds.com/connect/8493803454333002#/reservations/9080486848861891?display=4WNZUMZFMS&amp;reservation_id=9080486848861891", "4WNZUMZFMS")</f>
        <v>4WNZUMZFMS</v>
      </c>
      <c r="D8668" t="s">
        <v>45</v>
      </c>
      <c r="E8668" t="s">
        <v>110</v>
      </c>
      <c r="F8668" t="s">
        <v>47</v>
      </c>
      <c r="G8668" t="s">
        <v>48</v>
      </c>
      <c r="H8668" t="s">
        <v>49</v>
      </c>
      <c r="I8668" t="s">
        <v>50</v>
      </c>
      <c r="J8668" t="s">
        <v>14637</v>
      </c>
      <c r="K8668" t="s">
        <v>15231</v>
      </c>
      <c r="L8668" t="s">
        <v>53</v>
      </c>
      <c r="N8668" t="s">
        <v>16466</v>
      </c>
      <c r="P8668" t="s">
        <v>55</v>
      </c>
      <c r="R8668" t="s">
        <v>53</v>
      </c>
      <c r="T8668" t="s">
        <v>16467</v>
      </c>
      <c r="U8668" t="s">
        <v>58</v>
      </c>
      <c r="V8668">
        <v>1</v>
      </c>
      <c r="W8668">
        <v>1</v>
      </c>
      <c r="X8668">
        <v>2</v>
      </c>
      <c r="Y8668">
        <v>0</v>
      </c>
      <c r="Z8668">
        <v>2</v>
      </c>
      <c r="AA8668">
        <v>177.07</v>
      </c>
      <c r="AB8668">
        <v>177.07</v>
      </c>
      <c r="AC8668">
        <v>154.44</v>
      </c>
      <c r="AD8668">
        <v>0</v>
      </c>
      <c r="AE8668">
        <v>22.63</v>
      </c>
      <c r="AF8668">
        <v>0</v>
      </c>
      <c r="AG8668">
        <v>0</v>
      </c>
      <c r="AH8668">
        <v>0</v>
      </c>
      <c r="AI8668">
        <v>31.87</v>
      </c>
      <c r="AJ8668">
        <v>177.07</v>
      </c>
      <c r="AK8668">
        <v>0</v>
      </c>
      <c r="AL8668" t="s">
        <v>53</v>
      </c>
      <c r="AM8668" t="s">
        <v>53</v>
      </c>
      <c r="AN8668" t="s">
        <v>53</v>
      </c>
      <c r="AO8668" t="s">
        <v>53</v>
      </c>
      <c r="AP8668" t="s">
        <v>53</v>
      </c>
    </row>
    <row r="8669" spans="2:42" x14ac:dyDescent="0.2">
      <c r="B8669" t="s">
        <v>44</v>
      </c>
      <c r="C8669" t="str">
        <f>HYPERLINK("https://us2.cloudbeds.com/connect/8493803454333002#/reservations/231669682921664?display=4WNTPC289G&amp;reservation_id=231669682921664", "4WNTPC289G")</f>
        <v>4WNTPC289G</v>
      </c>
      <c r="D8669" t="s">
        <v>45</v>
      </c>
      <c r="E8669" t="s">
        <v>110</v>
      </c>
      <c r="F8669" t="s">
        <v>47</v>
      </c>
      <c r="G8669" t="s">
        <v>4520</v>
      </c>
      <c r="H8669" t="s">
        <v>3957</v>
      </c>
      <c r="I8669" t="s">
        <v>3989</v>
      </c>
      <c r="J8669" t="s">
        <v>14868</v>
      </c>
      <c r="K8669" t="s">
        <v>14154</v>
      </c>
      <c r="L8669" t="s">
        <v>53</v>
      </c>
      <c r="P8669" t="s">
        <v>55</v>
      </c>
      <c r="R8669" t="s">
        <v>56</v>
      </c>
      <c r="T8669" t="s">
        <v>16468</v>
      </c>
      <c r="U8669" t="s">
        <v>58</v>
      </c>
      <c r="V8669">
        <v>3</v>
      </c>
      <c r="W8669">
        <v>1</v>
      </c>
      <c r="X8669">
        <v>1</v>
      </c>
      <c r="Y8669">
        <v>0</v>
      </c>
      <c r="Z8669">
        <v>1</v>
      </c>
      <c r="AA8669">
        <v>432.35</v>
      </c>
      <c r="AB8669">
        <v>432.35</v>
      </c>
      <c r="AC8669">
        <v>377.1</v>
      </c>
      <c r="AD8669">
        <v>0</v>
      </c>
      <c r="AE8669">
        <v>55.25</v>
      </c>
      <c r="AF8669">
        <v>0</v>
      </c>
      <c r="AG8669">
        <v>0</v>
      </c>
      <c r="AH8669">
        <v>0</v>
      </c>
      <c r="AI8669">
        <v>0</v>
      </c>
      <c r="AJ8669">
        <v>432.35</v>
      </c>
      <c r="AK8669">
        <v>0</v>
      </c>
      <c r="AL8669" t="s">
        <v>53</v>
      </c>
      <c r="AM8669" t="s">
        <v>53</v>
      </c>
      <c r="AN8669" t="s">
        <v>16469</v>
      </c>
      <c r="AO8669" t="s">
        <v>53</v>
      </c>
      <c r="AP8669" t="s">
        <v>53</v>
      </c>
    </row>
    <row r="8670" spans="2:42" x14ac:dyDescent="0.2">
      <c r="B8670" t="s">
        <v>44</v>
      </c>
      <c r="C8670" t="str">
        <f>HYPERLINK("https://us2.cloudbeds.com/connect/8493803454333002#/reservations/9080486848862384?display=4WZ2MWS8MX&amp;reservation_id=9080486848862384", "4WZ2MWS8MX")</f>
        <v>4WZ2MWS8MX</v>
      </c>
      <c r="D8670" t="s">
        <v>45</v>
      </c>
      <c r="E8670" t="s">
        <v>110</v>
      </c>
      <c r="F8670" t="s">
        <v>47</v>
      </c>
      <c r="G8670" t="s">
        <v>48</v>
      </c>
      <c r="H8670" t="s">
        <v>49</v>
      </c>
      <c r="I8670" t="s">
        <v>50</v>
      </c>
      <c r="J8670" t="s">
        <v>16197</v>
      </c>
      <c r="K8670" t="s">
        <v>14637</v>
      </c>
      <c r="L8670" t="s">
        <v>53</v>
      </c>
      <c r="N8670" t="s">
        <v>16470</v>
      </c>
      <c r="P8670" t="s">
        <v>55</v>
      </c>
      <c r="R8670" t="s">
        <v>53</v>
      </c>
      <c r="T8670" t="s">
        <v>16471</v>
      </c>
      <c r="U8670" t="s">
        <v>58</v>
      </c>
      <c r="V8670">
        <v>1</v>
      </c>
      <c r="W8670">
        <v>1</v>
      </c>
      <c r="X8670">
        <v>2</v>
      </c>
      <c r="Y8670">
        <v>0</v>
      </c>
      <c r="Z8670">
        <v>2</v>
      </c>
      <c r="AA8670">
        <v>158.02000000000001</v>
      </c>
      <c r="AB8670">
        <v>158.02000000000001</v>
      </c>
      <c r="AC8670">
        <v>137.83000000000001</v>
      </c>
      <c r="AD8670">
        <v>0</v>
      </c>
      <c r="AE8670">
        <v>20.190000000000001</v>
      </c>
      <c r="AF8670">
        <v>0</v>
      </c>
      <c r="AG8670">
        <v>0</v>
      </c>
      <c r="AH8670">
        <v>0</v>
      </c>
      <c r="AI8670">
        <v>28.44</v>
      </c>
      <c r="AJ8670">
        <v>158.02000000000001</v>
      </c>
      <c r="AK8670">
        <v>0</v>
      </c>
      <c r="AL8670" t="s">
        <v>53</v>
      </c>
      <c r="AM8670" t="s">
        <v>53</v>
      </c>
      <c r="AN8670" t="s">
        <v>53</v>
      </c>
      <c r="AO8670" t="s">
        <v>53</v>
      </c>
      <c r="AP8670" t="s">
        <v>53</v>
      </c>
    </row>
    <row r="8671" spans="2:42" x14ac:dyDescent="0.2">
      <c r="B8671" t="s">
        <v>44</v>
      </c>
      <c r="C8671" t="str">
        <f>HYPERLINK("https://us2.cloudbeds.com/connect/8493803454333002#/reservations/9080486848863841?display=4WZVJJ9GKX&amp;reservation_id=9080486848863841", "4WZVJJ9GKX")</f>
        <v>4WZVJJ9GKX</v>
      </c>
      <c r="D8671" t="s">
        <v>45</v>
      </c>
      <c r="E8671" t="s">
        <v>110</v>
      </c>
      <c r="F8671" t="s">
        <v>47</v>
      </c>
      <c r="G8671" t="s">
        <v>48</v>
      </c>
      <c r="H8671" t="s">
        <v>49</v>
      </c>
      <c r="I8671" t="s">
        <v>50</v>
      </c>
      <c r="J8671" t="s">
        <v>15391</v>
      </c>
      <c r="K8671" t="s">
        <v>14095</v>
      </c>
      <c r="L8671" t="s">
        <v>53</v>
      </c>
      <c r="N8671" t="s">
        <v>16472</v>
      </c>
      <c r="P8671" t="s">
        <v>55</v>
      </c>
      <c r="R8671" t="s">
        <v>53</v>
      </c>
      <c r="T8671" t="s">
        <v>16473</v>
      </c>
      <c r="U8671" t="s">
        <v>55</v>
      </c>
      <c r="V8671">
        <v>1</v>
      </c>
      <c r="W8671">
        <v>1</v>
      </c>
      <c r="X8671">
        <v>1</v>
      </c>
      <c r="Y8671">
        <v>0</v>
      </c>
      <c r="Z8671">
        <v>1</v>
      </c>
      <c r="AA8671">
        <v>62.26</v>
      </c>
      <c r="AB8671">
        <v>62.26</v>
      </c>
      <c r="AC8671">
        <v>57.25</v>
      </c>
      <c r="AD8671">
        <v>0</v>
      </c>
      <c r="AE8671">
        <v>5.01</v>
      </c>
      <c r="AF8671">
        <v>0</v>
      </c>
      <c r="AG8671">
        <v>0</v>
      </c>
      <c r="AH8671">
        <v>0</v>
      </c>
      <c r="AI8671">
        <v>11.21</v>
      </c>
      <c r="AJ8671">
        <v>62.26</v>
      </c>
      <c r="AK8671">
        <v>0</v>
      </c>
      <c r="AL8671" t="s">
        <v>53</v>
      </c>
      <c r="AM8671" t="s">
        <v>53</v>
      </c>
      <c r="AN8671" t="s">
        <v>16474</v>
      </c>
      <c r="AO8671" t="s">
        <v>53</v>
      </c>
      <c r="AP8671" t="s">
        <v>53</v>
      </c>
    </row>
    <row r="8672" spans="2:42" x14ac:dyDescent="0.2">
      <c r="B8672" t="s">
        <v>44</v>
      </c>
      <c r="C8672" t="str">
        <f>HYPERLINK("https://us2.cloudbeds.com/connect/8493803454333002#/reservations/9080486848863918?display=4WZWVREXUD&amp;reservation_id=9080486848863918", "4WZWVREXUD")</f>
        <v>4WZWVREXUD</v>
      </c>
      <c r="D8672" t="s">
        <v>45</v>
      </c>
      <c r="E8672" t="s">
        <v>179</v>
      </c>
      <c r="F8672" t="s">
        <v>47</v>
      </c>
      <c r="G8672" t="s">
        <v>48</v>
      </c>
      <c r="H8672" t="s">
        <v>49</v>
      </c>
      <c r="I8672" t="s">
        <v>50</v>
      </c>
      <c r="J8672" t="s">
        <v>14623</v>
      </c>
      <c r="K8672" t="s">
        <v>14349</v>
      </c>
      <c r="L8672" t="s">
        <v>53</v>
      </c>
      <c r="N8672" t="s">
        <v>16475</v>
      </c>
      <c r="P8672" t="s">
        <v>55</v>
      </c>
      <c r="R8672" t="s">
        <v>53</v>
      </c>
      <c r="T8672" t="s">
        <v>16476</v>
      </c>
      <c r="U8672" t="s">
        <v>58</v>
      </c>
      <c r="V8672">
        <v>1</v>
      </c>
      <c r="W8672">
        <v>1</v>
      </c>
      <c r="X8672">
        <v>2</v>
      </c>
      <c r="Y8672">
        <v>0</v>
      </c>
      <c r="Z8672">
        <v>2</v>
      </c>
      <c r="AA8672">
        <v>97.03</v>
      </c>
      <c r="AB8672">
        <v>97.03</v>
      </c>
      <c r="AC8672">
        <v>84.64</v>
      </c>
      <c r="AD8672">
        <v>0</v>
      </c>
      <c r="AE8672">
        <v>12.39</v>
      </c>
      <c r="AF8672">
        <v>0</v>
      </c>
      <c r="AG8672">
        <v>0</v>
      </c>
      <c r="AH8672">
        <v>0</v>
      </c>
      <c r="AI8672">
        <v>17.47</v>
      </c>
      <c r="AJ8672">
        <v>97.03</v>
      </c>
      <c r="AK8672">
        <v>0</v>
      </c>
      <c r="AL8672" t="s">
        <v>53</v>
      </c>
      <c r="AM8672" t="s">
        <v>53</v>
      </c>
      <c r="AN8672" t="s">
        <v>53</v>
      </c>
      <c r="AO8672" t="s">
        <v>53</v>
      </c>
      <c r="AP8672" t="s">
        <v>53</v>
      </c>
    </row>
    <row r="8673" spans="2:42" x14ac:dyDescent="0.2">
      <c r="B8673" t="s">
        <v>44</v>
      </c>
      <c r="C8673" t="str">
        <f>HYPERLINK("https://us2.cloudbeds.com/connect/8493803454333002#/reservations/231718129684608?display=4WP199MHJM&amp;reservation_id=231718129684608", "4WP199MHJM")</f>
        <v>4WP199MHJM</v>
      </c>
      <c r="D8673" t="s">
        <v>45</v>
      </c>
      <c r="E8673" t="s">
        <v>179</v>
      </c>
      <c r="F8673" t="s">
        <v>47</v>
      </c>
      <c r="G8673" t="s">
        <v>48</v>
      </c>
      <c r="H8673" t="s">
        <v>3957</v>
      </c>
      <c r="I8673" t="s">
        <v>3975</v>
      </c>
      <c r="J8673" t="s">
        <v>12958</v>
      </c>
      <c r="K8673" t="s">
        <v>13085</v>
      </c>
      <c r="L8673" t="s">
        <v>53</v>
      </c>
      <c r="P8673" t="s">
        <v>55</v>
      </c>
      <c r="R8673" t="s">
        <v>56</v>
      </c>
      <c r="T8673" t="s">
        <v>16477</v>
      </c>
      <c r="U8673" t="s">
        <v>58</v>
      </c>
      <c r="V8673">
        <v>2</v>
      </c>
      <c r="W8673">
        <v>1</v>
      </c>
      <c r="X8673">
        <v>2</v>
      </c>
      <c r="Y8673">
        <v>0</v>
      </c>
      <c r="Z8673">
        <v>2</v>
      </c>
      <c r="AA8673">
        <v>0</v>
      </c>
      <c r="AB8673">
        <v>450.58</v>
      </c>
      <c r="AC8673">
        <v>393</v>
      </c>
      <c r="AD8673">
        <v>0</v>
      </c>
      <c r="AE8673">
        <v>57.58</v>
      </c>
      <c r="AF8673">
        <v>0</v>
      </c>
      <c r="AG8673">
        <v>0</v>
      </c>
      <c r="AH8673">
        <v>0</v>
      </c>
      <c r="AI8673">
        <v>0</v>
      </c>
      <c r="AJ8673">
        <v>450.58</v>
      </c>
      <c r="AK8673">
        <v>0</v>
      </c>
      <c r="AL8673" t="s">
        <v>53</v>
      </c>
      <c r="AM8673" t="s">
        <v>53</v>
      </c>
      <c r="AN8673" t="s">
        <v>16478</v>
      </c>
      <c r="AO8673" t="s">
        <v>53</v>
      </c>
      <c r="AP8673" t="s">
        <v>53</v>
      </c>
    </row>
    <row r="8674" spans="2:42" x14ac:dyDescent="0.2">
      <c r="B8674" t="s">
        <v>44</v>
      </c>
      <c r="C8674" t="str">
        <f>HYPERLINK("https://us2.cloudbeds.com/connect/8493803454333002#/reservations/9080486848865378?display=4WPU8N3VCZ&amp;reservation_id=9080486848865378", "4WPU8N3VCZ")</f>
        <v>4WPU8N3VCZ</v>
      </c>
      <c r="D8674" t="s">
        <v>45</v>
      </c>
      <c r="E8674" t="s">
        <v>223</v>
      </c>
      <c r="F8674" t="s">
        <v>47</v>
      </c>
      <c r="G8674" t="s">
        <v>48</v>
      </c>
      <c r="H8674" t="s">
        <v>49</v>
      </c>
      <c r="I8674" t="s">
        <v>50</v>
      </c>
      <c r="J8674" t="s">
        <v>14154</v>
      </c>
      <c r="K8674" t="s">
        <v>13869</v>
      </c>
      <c r="L8674" t="s">
        <v>53</v>
      </c>
      <c r="N8674" t="s">
        <v>16479</v>
      </c>
      <c r="P8674" t="s">
        <v>55</v>
      </c>
      <c r="R8674" t="s">
        <v>53</v>
      </c>
      <c r="T8674" t="s">
        <v>16480</v>
      </c>
      <c r="U8674" t="s">
        <v>55</v>
      </c>
      <c r="V8674">
        <v>2</v>
      </c>
      <c r="W8674">
        <v>1</v>
      </c>
      <c r="X8674">
        <v>2</v>
      </c>
      <c r="Y8674">
        <v>0</v>
      </c>
      <c r="Z8674">
        <v>2</v>
      </c>
      <c r="AA8674">
        <v>219.89</v>
      </c>
      <c r="AB8674">
        <v>219.89</v>
      </c>
      <c r="AC8674">
        <v>202.2</v>
      </c>
      <c r="AD8674">
        <v>0</v>
      </c>
      <c r="AE8674">
        <v>17.690000000000001</v>
      </c>
      <c r="AF8674">
        <v>0</v>
      </c>
      <c r="AG8674">
        <v>0</v>
      </c>
      <c r="AH8674">
        <v>0</v>
      </c>
      <c r="AI8674">
        <v>39.58</v>
      </c>
      <c r="AJ8674">
        <v>219.89</v>
      </c>
      <c r="AK8674">
        <v>0</v>
      </c>
      <c r="AL8674" t="s">
        <v>53</v>
      </c>
      <c r="AM8674" t="s">
        <v>53</v>
      </c>
      <c r="AN8674" t="s">
        <v>53</v>
      </c>
      <c r="AO8674" t="s">
        <v>53</v>
      </c>
      <c r="AP8674" t="s">
        <v>53</v>
      </c>
    </row>
    <row r="8675" spans="2:42" x14ac:dyDescent="0.2">
      <c r="B8675" t="s">
        <v>44</v>
      </c>
      <c r="C8675" t="str">
        <f>HYPERLINK("https://us2.cloudbeds.com/connect/8493803454333002#/reservations/9080486848865454?display=4WPVRDP27Q&amp;reservation_id=9080486848865454", "4WPVRDP27Q")</f>
        <v>4WPVRDP27Q</v>
      </c>
      <c r="D8675" t="s">
        <v>45</v>
      </c>
      <c r="E8675" t="s">
        <v>190</v>
      </c>
      <c r="F8675" t="s">
        <v>61</v>
      </c>
      <c r="G8675" t="s">
        <v>48</v>
      </c>
      <c r="H8675" t="s">
        <v>49</v>
      </c>
      <c r="I8675" t="s">
        <v>62</v>
      </c>
      <c r="J8675" t="s">
        <v>12958</v>
      </c>
      <c r="K8675" t="s">
        <v>13085</v>
      </c>
      <c r="L8675" t="s">
        <v>53</v>
      </c>
      <c r="N8675" t="s">
        <v>16481</v>
      </c>
      <c r="P8675" t="s">
        <v>55</v>
      </c>
      <c r="R8675" t="s">
        <v>56</v>
      </c>
      <c r="T8675" t="s">
        <v>16482</v>
      </c>
      <c r="U8675" t="s">
        <v>55</v>
      </c>
      <c r="V8675">
        <v>2</v>
      </c>
      <c r="W8675">
        <v>1</v>
      </c>
      <c r="X8675">
        <v>2</v>
      </c>
      <c r="Y8675">
        <v>0</v>
      </c>
      <c r="Z8675">
        <v>2</v>
      </c>
      <c r="AA8675">
        <v>557.75</v>
      </c>
      <c r="AB8675">
        <v>557.75</v>
      </c>
      <c r="AC8675">
        <v>557.75</v>
      </c>
      <c r="AD8675">
        <v>0</v>
      </c>
      <c r="AE8675">
        <v>0</v>
      </c>
      <c r="AF8675">
        <v>0</v>
      </c>
      <c r="AG8675">
        <v>0</v>
      </c>
      <c r="AH8675">
        <v>0</v>
      </c>
      <c r="AI8675">
        <v>100.4</v>
      </c>
      <c r="AJ8675">
        <v>557.75</v>
      </c>
      <c r="AK8675">
        <v>0</v>
      </c>
      <c r="AL8675" t="s">
        <v>53</v>
      </c>
      <c r="AM8675" t="s">
        <v>53</v>
      </c>
      <c r="AN8675" t="s">
        <v>53</v>
      </c>
      <c r="AO8675" t="s">
        <v>53</v>
      </c>
      <c r="AP8675" t="s">
        <v>53</v>
      </c>
    </row>
    <row r="8676" spans="2:42" x14ac:dyDescent="0.2">
      <c r="B8676" t="s">
        <v>44</v>
      </c>
      <c r="C8676" t="str">
        <f>HYPERLINK("https://us2.cloudbeds.com/connect/8493803454333002#/reservations/231773179453568?display=4WQATV35B9&amp;reservation_id=231773179453568", "4WQATV35B9")</f>
        <v>4WQATV35B9</v>
      </c>
      <c r="D8676" t="s">
        <v>45</v>
      </c>
      <c r="E8676" t="s">
        <v>128</v>
      </c>
      <c r="F8676" t="s">
        <v>86</v>
      </c>
      <c r="G8676" t="s">
        <v>4520</v>
      </c>
      <c r="H8676" t="s">
        <v>3957</v>
      </c>
      <c r="I8676" t="s">
        <v>3958</v>
      </c>
      <c r="J8676" t="s">
        <v>12862</v>
      </c>
      <c r="K8676" t="s">
        <v>15391</v>
      </c>
      <c r="L8676" t="s">
        <v>53</v>
      </c>
      <c r="P8676" t="s">
        <v>55</v>
      </c>
      <c r="R8676" t="s">
        <v>56</v>
      </c>
      <c r="T8676" t="s">
        <v>16483</v>
      </c>
      <c r="U8676" t="s">
        <v>58</v>
      </c>
      <c r="V8676">
        <v>1</v>
      </c>
      <c r="W8676">
        <v>1</v>
      </c>
      <c r="X8676">
        <v>1</v>
      </c>
      <c r="Y8676">
        <v>0</v>
      </c>
      <c r="Z8676">
        <v>1</v>
      </c>
      <c r="AA8676">
        <v>119.69</v>
      </c>
      <c r="AB8676">
        <v>119.69</v>
      </c>
      <c r="AC8676">
        <v>104.4</v>
      </c>
      <c r="AD8676">
        <v>0</v>
      </c>
      <c r="AE8676">
        <v>15.29</v>
      </c>
      <c r="AF8676">
        <v>0</v>
      </c>
      <c r="AG8676">
        <v>0</v>
      </c>
      <c r="AH8676">
        <v>0</v>
      </c>
      <c r="AI8676">
        <v>0</v>
      </c>
      <c r="AJ8676">
        <v>119.69</v>
      </c>
      <c r="AK8676">
        <v>0</v>
      </c>
      <c r="AL8676" t="s">
        <v>53</v>
      </c>
      <c r="AM8676" t="s">
        <v>53</v>
      </c>
      <c r="AN8676" t="s">
        <v>53</v>
      </c>
      <c r="AO8676" t="s">
        <v>53</v>
      </c>
      <c r="AP8676" t="s">
        <v>53</v>
      </c>
    </row>
    <row r="8677" spans="2:42" x14ac:dyDescent="0.2">
      <c r="B8677" t="s">
        <v>44</v>
      </c>
      <c r="C8677" t="str">
        <f>HYPERLINK("https://us2.cloudbeds.com/connect/8493803454333002#/reservations/9080486848866104?display=4WQD7VHQXX&amp;reservation_id=9080486848866104", "4WQD7VHQXX")</f>
        <v>4WQD7VHQXX</v>
      </c>
      <c r="D8677" t="s">
        <v>45</v>
      </c>
      <c r="E8677" t="s">
        <v>223</v>
      </c>
      <c r="F8677" t="s">
        <v>47</v>
      </c>
      <c r="G8677" t="s">
        <v>48</v>
      </c>
      <c r="H8677" t="s">
        <v>49</v>
      </c>
      <c r="I8677" t="s">
        <v>50</v>
      </c>
      <c r="J8677" t="s">
        <v>12823</v>
      </c>
      <c r="K8677" t="s">
        <v>12958</v>
      </c>
      <c r="L8677" t="s">
        <v>53</v>
      </c>
      <c r="N8677" t="s">
        <v>16484</v>
      </c>
      <c r="P8677" t="s">
        <v>55</v>
      </c>
      <c r="R8677" t="s">
        <v>53</v>
      </c>
      <c r="T8677" t="s">
        <v>16485</v>
      </c>
      <c r="U8677" t="s">
        <v>55</v>
      </c>
      <c r="V8677">
        <v>1</v>
      </c>
      <c r="W8677">
        <v>1</v>
      </c>
      <c r="X8677">
        <v>2</v>
      </c>
      <c r="Y8677">
        <v>0</v>
      </c>
      <c r="Z8677">
        <v>2</v>
      </c>
      <c r="AA8677">
        <v>167.11</v>
      </c>
      <c r="AB8677">
        <v>167.11</v>
      </c>
      <c r="AC8677">
        <v>153.66</v>
      </c>
      <c r="AD8677">
        <v>0</v>
      </c>
      <c r="AE8677">
        <v>13.45</v>
      </c>
      <c r="AF8677">
        <v>0</v>
      </c>
      <c r="AG8677">
        <v>0</v>
      </c>
      <c r="AH8677">
        <v>0</v>
      </c>
      <c r="AI8677">
        <v>30.08</v>
      </c>
      <c r="AJ8677">
        <v>167.11</v>
      </c>
      <c r="AK8677">
        <v>0</v>
      </c>
      <c r="AL8677" t="s">
        <v>53</v>
      </c>
      <c r="AM8677" t="s">
        <v>53</v>
      </c>
      <c r="AN8677" t="s">
        <v>16486</v>
      </c>
      <c r="AO8677" t="s">
        <v>53</v>
      </c>
      <c r="AP8677" t="s">
        <v>53</v>
      </c>
    </row>
    <row r="8678" spans="2:42" x14ac:dyDescent="0.2">
      <c r="B8678" t="s">
        <v>44</v>
      </c>
      <c r="C8678" t="str">
        <f>HYPERLINK("https://us2.cloudbeds.com/connect/8493803454333002#/reservations/9080486848866515?display=4WQM1PUJNA&amp;reservation_id=9080486848866515", "4WQM1PUJNA")</f>
        <v>4WQM1PUJNA</v>
      </c>
      <c r="D8678" t="s">
        <v>45</v>
      </c>
      <c r="E8678" t="s">
        <v>223</v>
      </c>
      <c r="F8678" t="s">
        <v>47</v>
      </c>
      <c r="G8678" t="s">
        <v>48</v>
      </c>
      <c r="H8678" t="s">
        <v>49</v>
      </c>
      <c r="I8678" t="s">
        <v>50</v>
      </c>
      <c r="J8678" t="s">
        <v>15391</v>
      </c>
      <c r="K8678" t="s">
        <v>13977</v>
      </c>
      <c r="L8678" t="s">
        <v>53</v>
      </c>
      <c r="N8678" t="s">
        <v>16487</v>
      </c>
      <c r="P8678" t="s">
        <v>55</v>
      </c>
      <c r="R8678" t="s">
        <v>53</v>
      </c>
      <c r="T8678" t="s">
        <v>16488</v>
      </c>
      <c r="U8678" t="s">
        <v>55</v>
      </c>
      <c r="V8678">
        <v>3</v>
      </c>
      <c r="W8678">
        <v>1</v>
      </c>
      <c r="X8678">
        <v>2</v>
      </c>
      <c r="Y8678">
        <v>0</v>
      </c>
      <c r="Z8678">
        <v>2</v>
      </c>
      <c r="AA8678">
        <v>219.84</v>
      </c>
      <c r="AB8678">
        <v>219.84</v>
      </c>
      <c r="AC8678">
        <v>202.17</v>
      </c>
      <c r="AD8678">
        <v>0</v>
      </c>
      <c r="AE8678">
        <v>17.670000000000002</v>
      </c>
      <c r="AF8678">
        <v>0</v>
      </c>
      <c r="AG8678">
        <v>0</v>
      </c>
      <c r="AH8678">
        <v>0</v>
      </c>
      <c r="AI8678">
        <v>39.57</v>
      </c>
      <c r="AJ8678">
        <v>219.84</v>
      </c>
      <c r="AK8678">
        <v>0</v>
      </c>
      <c r="AL8678" t="s">
        <v>53</v>
      </c>
      <c r="AM8678" t="s">
        <v>53</v>
      </c>
      <c r="AN8678" t="s">
        <v>16489</v>
      </c>
      <c r="AO8678" t="s">
        <v>53</v>
      </c>
      <c r="AP8678" t="s">
        <v>53</v>
      </c>
    </row>
    <row r="8679" spans="2:42" x14ac:dyDescent="0.2">
      <c r="B8679" t="s">
        <v>44</v>
      </c>
      <c r="C8679" t="str">
        <f>HYPERLINK("https://us2.cloudbeds.com/connect/8493803454333002#/reservations/231865893281920?display=4WSGMWRSW3&amp;reservation_id=231865893281920", "4WSGMWRSW3")</f>
        <v>4WSGMWRSW3</v>
      </c>
      <c r="D8679" t="s">
        <v>45</v>
      </c>
      <c r="E8679" t="s">
        <v>105</v>
      </c>
      <c r="F8679" t="s">
        <v>47</v>
      </c>
      <c r="G8679" t="s">
        <v>48</v>
      </c>
      <c r="H8679" t="s">
        <v>3957</v>
      </c>
      <c r="I8679" t="s">
        <v>3975</v>
      </c>
      <c r="J8679" t="s">
        <v>15391</v>
      </c>
      <c r="K8679" t="s">
        <v>14095</v>
      </c>
      <c r="L8679" t="s">
        <v>53</v>
      </c>
      <c r="P8679" t="s">
        <v>55</v>
      </c>
      <c r="R8679" t="s">
        <v>56</v>
      </c>
      <c r="T8679" t="s">
        <v>16490</v>
      </c>
      <c r="U8679" t="s">
        <v>58</v>
      </c>
      <c r="V8679">
        <v>1</v>
      </c>
      <c r="W8679">
        <v>1</v>
      </c>
      <c r="X8679">
        <v>1</v>
      </c>
      <c r="Y8679">
        <v>0</v>
      </c>
      <c r="Z8679">
        <v>1</v>
      </c>
      <c r="AA8679">
        <v>100.89</v>
      </c>
      <c r="AB8679">
        <v>100.89</v>
      </c>
      <c r="AC8679">
        <v>88</v>
      </c>
      <c r="AD8679">
        <v>0</v>
      </c>
      <c r="AE8679">
        <v>12.89</v>
      </c>
      <c r="AF8679">
        <v>0</v>
      </c>
      <c r="AG8679">
        <v>0</v>
      </c>
      <c r="AH8679">
        <v>0</v>
      </c>
      <c r="AI8679">
        <v>0</v>
      </c>
      <c r="AJ8679">
        <v>100.89</v>
      </c>
      <c r="AK8679">
        <v>0</v>
      </c>
      <c r="AL8679" t="s">
        <v>53</v>
      </c>
      <c r="AM8679" t="s">
        <v>53</v>
      </c>
      <c r="AN8679" t="s">
        <v>53</v>
      </c>
      <c r="AO8679" t="s">
        <v>53</v>
      </c>
      <c r="AP8679" t="s">
        <v>53</v>
      </c>
    </row>
    <row r="8680" spans="2:42" x14ac:dyDescent="0.2">
      <c r="B8680" t="s">
        <v>44</v>
      </c>
      <c r="C8680" t="str">
        <f>HYPERLINK("https://us2.cloudbeds.com/connect/8493803454333002#/reservations/9080486848869628?display=4WTH1J9HS4&amp;reservation_id=9080486848869628", "4WTH1J9HS4")</f>
        <v>4WTH1J9HS4</v>
      </c>
      <c r="D8680" t="s">
        <v>45</v>
      </c>
      <c r="E8680" t="s">
        <v>223</v>
      </c>
      <c r="F8680" t="s">
        <v>47</v>
      </c>
      <c r="G8680" t="s">
        <v>48</v>
      </c>
      <c r="H8680" t="s">
        <v>49</v>
      </c>
      <c r="I8680" t="s">
        <v>50</v>
      </c>
      <c r="J8680" t="s">
        <v>12958</v>
      </c>
      <c r="K8680" t="s">
        <v>12863</v>
      </c>
      <c r="L8680" t="s">
        <v>53</v>
      </c>
      <c r="N8680" t="s">
        <v>16491</v>
      </c>
      <c r="P8680" t="s">
        <v>55</v>
      </c>
      <c r="R8680" t="s">
        <v>53</v>
      </c>
      <c r="T8680" t="s">
        <v>16492</v>
      </c>
      <c r="U8680" t="s">
        <v>55</v>
      </c>
      <c r="V8680">
        <v>1</v>
      </c>
      <c r="W8680">
        <v>1</v>
      </c>
      <c r="X8680">
        <v>2</v>
      </c>
      <c r="Y8680">
        <v>0</v>
      </c>
      <c r="Z8680">
        <v>2</v>
      </c>
      <c r="AA8680">
        <v>179.57</v>
      </c>
      <c r="AB8680">
        <v>179.57</v>
      </c>
      <c r="AC8680">
        <v>165.12</v>
      </c>
      <c r="AD8680">
        <v>0</v>
      </c>
      <c r="AE8680">
        <v>14.45</v>
      </c>
      <c r="AF8680">
        <v>0</v>
      </c>
      <c r="AG8680">
        <v>0</v>
      </c>
      <c r="AH8680">
        <v>0</v>
      </c>
      <c r="AI8680">
        <v>32.32</v>
      </c>
      <c r="AJ8680">
        <v>179.57</v>
      </c>
      <c r="AK8680">
        <v>0</v>
      </c>
      <c r="AL8680" t="s">
        <v>53</v>
      </c>
      <c r="AM8680" t="s">
        <v>53</v>
      </c>
      <c r="AN8680" t="s">
        <v>16493</v>
      </c>
      <c r="AO8680" t="s">
        <v>53</v>
      </c>
      <c r="AP8680" t="s">
        <v>53</v>
      </c>
    </row>
    <row r="8681" spans="2:42" x14ac:dyDescent="0.2">
      <c r="B8681" t="s">
        <v>44</v>
      </c>
      <c r="C8681" t="str">
        <f>HYPERLINK("https://us2.cloudbeds.com/connect/8493803454333002#/reservations/9080486848872725?display=4WW9NT3A1H&amp;reservation_id=9080486848872725", "4WW9NT3A1H")</f>
        <v>4WW9NT3A1H</v>
      </c>
      <c r="D8681" t="s">
        <v>45</v>
      </c>
      <c r="E8681" t="s">
        <v>128</v>
      </c>
      <c r="F8681" t="s">
        <v>86</v>
      </c>
      <c r="G8681" t="s">
        <v>48</v>
      </c>
      <c r="H8681" t="s">
        <v>49</v>
      </c>
      <c r="I8681" t="s">
        <v>50</v>
      </c>
      <c r="J8681" t="s">
        <v>15391</v>
      </c>
      <c r="K8681" t="s">
        <v>14095</v>
      </c>
      <c r="L8681" t="s">
        <v>53</v>
      </c>
      <c r="N8681" t="s">
        <v>16494</v>
      </c>
      <c r="P8681" t="s">
        <v>55</v>
      </c>
      <c r="R8681" t="s">
        <v>53</v>
      </c>
      <c r="T8681" t="s">
        <v>16495</v>
      </c>
      <c r="U8681" t="s">
        <v>55</v>
      </c>
      <c r="V8681">
        <v>1</v>
      </c>
      <c r="W8681">
        <v>1</v>
      </c>
      <c r="X8681">
        <v>2</v>
      </c>
      <c r="Y8681">
        <v>0</v>
      </c>
      <c r="Z8681">
        <v>2</v>
      </c>
      <c r="AA8681">
        <v>96.81</v>
      </c>
      <c r="AB8681">
        <v>96.81</v>
      </c>
      <c r="AC8681">
        <v>89.02</v>
      </c>
      <c r="AD8681">
        <v>0</v>
      </c>
      <c r="AE8681">
        <v>7.79</v>
      </c>
      <c r="AF8681">
        <v>0</v>
      </c>
      <c r="AG8681">
        <v>0</v>
      </c>
      <c r="AH8681">
        <v>0</v>
      </c>
      <c r="AI8681">
        <v>17.43</v>
      </c>
      <c r="AJ8681">
        <v>96.81</v>
      </c>
      <c r="AK8681">
        <v>0</v>
      </c>
      <c r="AL8681" t="s">
        <v>53</v>
      </c>
      <c r="AM8681" t="s">
        <v>53</v>
      </c>
      <c r="AN8681" t="s">
        <v>53</v>
      </c>
      <c r="AO8681" t="s">
        <v>53</v>
      </c>
      <c r="AP8681" t="s">
        <v>53</v>
      </c>
    </row>
    <row r="8682" spans="2:42" x14ac:dyDescent="0.2">
      <c r="B8682" t="s">
        <v>44</v>
      </c>
      <c r="C8682" t="str">
        <f>HYPERLINK("https://us2.cloudbeds.com/connect/8493803454333002#/reservations/9080486848872726?display=4WW9P2N1P8&amp;reservation_id=9080486848872726", "4WW9P2N1P8")</f>
        <v>4WW9P2N1P8</v>
      </c>
      <c r="D8682" t="s">
        <v>45</v>
      </c>
      <c r="E8682" t="s">
        <v>85</v>
      </c>
      <c r="F8682" t="s">
        <v>86</v>
      </c>
      <c r="G8682" t="s">
        <v>48</v>
      </c>
      <c r="H8682" t="s">
        <v>49</v>
      </c>
      <c r="I8682" t="s">
        <v>50</v>
      </c>
      <c r="J8682" t="s">
        <v>15391</v>
      </c>
      <c r="K8682" t="s">
        <v>14095</v>
      </c>
      <c r="L8682" t="s">
        <v>53</v>
      </c>
      <c r="N8682" t="s">
        <v>16496</v>
      </c>
      <c r="P8682" t="s">
        <v>55</v>
      </c>
      <c r="R8682" t="s">
        <v>53</v>
      </c>
      <c r="T8682" t="s">
        <v>16497</v>
      </c>
      <c r="U8682" t="s">
        <v>55</v>
      </c>
      <c r="V8682">
        <v>1</v>
      </c>
      <c r="W8682">
        <v>1</v>
      </c>
      <c r="X8682">
        <v>2</v>
      </c>
      <c r="Y8682">
        <v>0</v>
      </c>
      <c r="Z8682">
        <v>2</v>
      </c>
      <c r="AA8682">
        <v>96.81</v>
      </c>
      <c r="AB8682">
        <v>96.81</v>
      </c>
      <c r="AC8682">
        <v>89.02</v>
      </c>
      <c r="AD8682">
        <v>0</v>
      </c>
      <c r="AE8682">
        <v>7.79</v>
      </c>
      <c r="AF8682">
        <v>0</v>
      </c>
      <c r="AG8682">
        <v>0</v>
      </c>
      <c r="AH8682">
        <v>0</v>
      </c>
      <c r="AI8682">
        <v>17.43</v>
      </c>
      <c r="AJ8682">
        <v>96.81</v>
      </c>
      <c r="AK8682">
        <v>0</v>
      </c>
      <c r="AL8682" t="s">
        <v>53</v>
      </c>
      <c r="AM8682" t="s">
        <v>53</v>
      </c>
      <c r="AN8682" t="s">
        <v>53</v>
      </c>
      <c r="AO8682" t="s">
        <v>53</v>
      </c>
      <c r="AP8682" t="s">
        <v>53</v>
      </c>
    </row>
    <row r="8683" spans="2:42" x14ac:dyDescent="0.2">
      <c r="B8683" t="s">
        <v>44</v>
      </c>
      <c r="C8683" t="str">
        <f>HYPERLINK("https://us2.cloudbeds.com/connect/8493803454333002#/reservations/232059989582016?display=5001WK03ZB&amp;reservation_id=232059989582016", "5001WK03ZB")</f>
        <v>5001WK03ZB</v>
      </c>
      <c r="D8683" t="s">
        <v>10291</v>
      </c>
      <c r="E8683" t="s">
        <v>16498</v>
      </c>
      <c r="F8683" t="s">
        <v>47</v>
      </c>
      <c r="G8683" t="s">
        <v>13757</v>
      </c>
      <c r="H8683" t="s">
        <v>3957</v>
      </c>
      <c r="I8683" t="s">
        <v>3989</v>
      </c>
      <c r="J8683" t="s">
        <v>16499</v>
      </c>
      <c r="K8683" t="s">
        <v>16500</v>
      </c>
      <c r="L8683" t="s">
        <v>53</v>
      </c>
      <c r="P8683" t="s">
        <v>55</v>
      </c>
      <c r="R8683" t="s">
        <v>56</v>
      </c>
      <c r="T8683" t="s">
        <v>16501</v>
      </c>
      <c r="U8683" t="s">
        <v>58</v>
      </c>
      <c r="V8683">
        <v>8</v>
      </c>
      <c r="W8683">
        <v>8</v>
      </c>
      <c r="X8683">
        <v>8</v>
      </c>
      <c r="Y8683">
        <v>0</v>
      </c>
      <c r="Z8683">
        <v>8</v>
      </c>
      <c r="AA8683">
        <v>2625.12</v>
      </c>
      <c r="AB8683">
        <v>0</v>
      </c>
      <c r="AC8683">
        <v>2289.6</v>
      </c>
      <c r="AD8683">
        <v>0</v>
      </c>
      <c r="AE8683">
        <v>335.52</v>
      </c>
      <c r="AF8683">
        <v>0</v>
      </c>
      <c r="AG8683">
        <v>0</v>
      </c>
      <c r="AH8683">
        <v>0</v>
      </c>
      <c r="AI8683">
        <v>0</v>
      </c>
      <c r="AJ8683">
        <v>2625.12</v>
      </c>
      <c r="AK8683">
        <v>2625.12</v>
      </c>
      <c r="AL8683" t="s">
        <v>53</v>
      </c>
      <c r="AM8683" t="s">
        <v>53</v>
      </c>
      <c r="AN8683" t="s">
        <v>53</v>
      </c>
      <c r="AO8683" t="s">
        <v>53</v>
      </c>
      <c r="AP8683" t="s">
        <v>53</v>
      </c>
    </row>
    <row r="8684" spans="2:42" x14ac:dyDescent="0.2">
      <c r="B8684" t="s">
        <v>44</v>
      </c>
      <c r="C8684" t="str">
        <f>HYPERLINK("https://us2.cloudbeds.com/connect/8493803454333002#/reservations/232060552278144?display=5002DWG2Y5&amp;reservation_id=232060552278144", "5002DWG2Y5")</f>
        <v>5002DWG2Y5</v>
      </c>
      <c r="D8684" t="s">
        <v>10291</v>
      </c>
      <c r="E8684" t="s">
        <v>16502</v>
      </c>
      <c r="F8684" t="s">
        <v>47</v>
      </c>
      <c r="G8684" t="s">
        <v>13757</v>
      </c>
      <c r="H8684" t="s">
        <v>3957</v>
      </c>
      <c r="I8684" t="s">
        <v>3989</v>
      </c>
      <c r="J8684" t="s">
        <v>16503</v>
      </c>
      <c r="K8684" t="s">
        <v>16504</v>
      </c>
      <c r="L8684" t="s">
        <v>53</v>
      </c>
      <c r="P8684" t="s">
        <v>55</v>
      </c>
      <c r="R8684" t="s">
        <v>56</v>
      </c>
      <c r="T8684" t="s">
        <v>16505</v>
      </c>
      <c r="U8684" t="s">
        <v>58</v>
      </c>
      <c r="V8684">
        <v>8</v>
      </c>
      <c r="W8684">
        <v>8</v>
      </c>
      <c r="X8684">
        <v>8</v>
      </c>
      <c r="Y8684">
        <v>0</v>
      </c>
      <c r="Z8684">
        <v>8</v>
      </c>
      <c r="AA8684">
        <v>2814.88</v>
      </c>
      <c r="AB8684">
        <v>0</v>
      </c>
      <c r="AC8684">
        <v>2455.1999999999998</v>
      </c>
      <c r="AD8684">
        <v>0</v>
      </c>
      <c r="AE8684">
        <v>359.68</v>
      </c>
      <c r="AF8684">
        <v>0</v>
      </c>
      <c r="AG8684">
        <v>0</v>
      </c>
      <c r="AH8684">
        <v>0</v>
      </c>
      <c r="AI8684">
        <v>0</v>
      </c>
      <c r="AJ8684">
        <v>2814.88</v>
      </c>
      <c r="AK8684">
        <v>2814.88</v>
      </c>
      <c r="AL8684" t="s">
        <v>53</v>
      </c>
      <c r="AM8684" t="s">
        <v>53</v>
      </c>
      <c r="AN8684" t="s">
        <v>53</v>
      </c>
      <c r="AO8684" t="s">
        <v>53</v>
      </c>
      <c r="AP8684" t="s">
        <v>53</v>
      </c>
    </row>
    <row r="8685" spans="2:42" x14ac:dyDescent="0.2">
      <c r="B8685" t="s">
        <v>44</v>
      </c>
      <c r="C8685" t="str">
        <f>HYPERLINK("https://us2.cloudbeds.com/connect/8493803454333002#/reservations/9080486848874353?display=5004QVAV1K&amp;reservation_id=9080486848874353", "5004QVAV1K")</f>
        <v>5004QVAV1K</v>
      </c>
      <c r="D8685" t="s">
        <v>45</v>
      </c>
      <c r="E8685" t="s">
        <v>165</v>
      </c>
      <c r="F8685" t="s">
        <v>61</v>
      </c>
      <c r="G8685" t="s">
        <v>48</v>
      </c>
      <c r="H8685" t="s">
        <v>49</v>
      </c>
      <c r="I8685" t="s">
        <v>62</v>
      </c>
      <c r="J8685" t="s">
        <v>16163</v>
      </c>
      <c r="K8685" t="s">
        <v>14130</v>
      </c>
      <c r="L8685" t="s">
        <v>53</v>
      </c>
      <c r="N8685" t="s">
        <v>16506</v>
      </c>
      <c r="P8685" t="s">
        <v>55</v>
      </c>
      <c r="R8685" t="s">
        <v>56</v>
      </c>
      <c r="T8685" t="s">
        <v>16507</v>
      </c>
      <c r="U8685" t="s">
        <v>55</v>
      </c>
      <c r="V8685">
        <v>1</v>
      </c>
      <c r="W8685">
        <v>1</v>
      </c>
      <c r="X8685">
        <v>2</v>
      </c>
      <c r="Y8685">
        <v>0</v>
      </c>
      <c r="Z8685">
        <v>2</v>
      </c>
      <c r="AA8685">
        <v>215.05</v>
      </c>
      <c r="AB8685">
        <v>215.05</v>
      </c>
      <c r="AC8685">
        <v>215.05</v>
      </c>
      <c r="AD8685">
        <v>0</v>
      </c>
      <c r="AE8685">
        <v>0</v>
      </c>
      <c r="AF8685">
        <v>0</v>
      </c>
      <c r="AG8685">
        <v>0</v>
      </c>
      <c r="AH8685">
        <v>0</v>
      </c>
      <c r="AI8685">
        <v>38.71</v>
      </c>
      <c r="AJ8685">
        <v>215.05</v>
      </c>
      <c r="AK8685">
        <v>0</v>
      </c>
      <c r="AL8685" t="s">
        <v>53</v>
      </c>
      <c r="AM8685" t="s">
        <v>53</v>
      </c>
      <c r="AN8685" t="s">
        <v>16508</v>
      </c>
      <c r="AO8685" t="s">
        <v>53</v>
      </c>
      <c r="AP8685" t="s">
        <v>53</v>
      </c>
    </row>
    <row r="8686" spans="2:42" x14ac:dyDescent="0.2">
      <c r="B8686" t="s">
        <v>44</v>
      </c>
      <c r="C8686" t="str">
        <f>HYPERLINK("https://us2.cloudbeds.com/connect/8493803454333002#/reservations/232096474001600?display=500U7SKSNJ&amp;reservation_id=232096474001600", "500U7SKSNJ")</f>
        <v>500U7SKSNJ</v>
      </c>
      <c r="D8686" t="s">
        <v>45</v>
      </c>
      <c r="E8686" t="s">
        <v>373</v>
      </c>
      <c r="F8686" t="s">
        <v>47</v>
      </c>
      <c r="G8686" t="s">
        <v>48</v>
      </c>
      <c r="H8686" t="s">
        <v>3957</v>
      </c>
      <c r="I8686" t="s">
        <v>3975</v>
      </c>
      <c r="J8686" t="s">
        <v>13977</v>
      </c>
      <c r="K8686" t="s">
        <v>12823</v>
      </c>
      <c r="L8686" t="s">
        <v>53</v>
      </c>
      <c r="P8686" t="s">
        <v>55</v>
      </c>
      <c r="R8686" t="s">
        <v>56</v>
      </c>
      <c r="T8686" t="s">
        <v>16509</v>
      </c>
      <c r="U8686" t="s">
        <v>58</v>
      </c>
      <c r="V8686">
        <v>2</v>
      </c>
      <c r="W8686">
        <v>1</v>
      </c>
      <c r="X8686">
        <v>1</v>
      </c>
      <c r="Y8686">
        <v>0</v>
      </c>
      <c r="Z8686">
        <v>1</v>
      </c>
      <c r="AA8686">
        <v>0</v>
      </c>
      <c r="AB8686">
        <v>277.45999999999998</v>
      </c>
      <c r="AC8686">
        <v>242</v>
      </c>
      <c r="AD8686">
        <v>0</v>
      </c>
      <c r="AE8686">
        <v>35.46</v>
      </c>
      <c r="AF8686">
        <v>0</v>
      </c>
      <c r="AG8686">
        <v>0</v>
      </c>
      <c r="AH8686">
        <v>0</v>
      </c>
      <c r="AI8686">
        <v>0</v>
      </c>
      <c r="AJ8686">
        <v>277.45999999999998</v>
      </c>
      <c r="AK8686">
        <v>0</v>
      </c>
      <c r="AL8686" t="s">
        <v>53</v>
      </c>
      <c r="AM8686" t="s">
        <v>53</v>
      </c>
      <c r="AN8686" t="s">
        <v>16510</v>
      </c>
      <c r="AO8686" t="s">
        <v>53</v>
      </c>
      <c r="AP8686" t="s">
        <v>53</v>
      </c>
    </row>
    <row r="8687" spans="2:42" x14ac:dyDescent="0.2">
      <c r="B8687" t="s">
        <v>44</v>
      </c>
      <c r="C8687" t="str">
        <f>HYPERLINK("https://us2.cloudbeds.com/connect/8493803454333002#/reservations/232102240440512?display=5011N71P3U&amp;reservation_id=232102240440512", "5011N71P3U")</f>
        <v>5011N71P3U</v>
      </c>
      <c r="D8687" t="s">
        <v>45</v>
      </c>
      <c r="E8687" t="s">
        <v>78</v>
      </c>
      <c r="F8687" t="s">
        <v>61</v>
      </c>
      <c r="G8687" t="s">
        <v>48</v>
      </c>
      <c r="H8687" t="s">
        <v>3957</v>
      </c>
      <c r="I8687" t="s">
        <v>3975</v>
      </c>
      <c r="J8687" t="s">
        <v>15391</v>
      </c>
      <c r="K8687" t="s">
        <v>13805</v>
      </c>
      <c r="L8687" t="s">
        <v>53</v>
      </c>
      <c r="P8687" t="s">
        <v>55</v>
      </c>
      <c r="R8687" t="s">
        <v>56</v>
      </c>
      <c r="T8687" t="s">
        <v>16511</v>
      </c>
      <c r="U8687" t="s">
        <v>58</v>
      </c>
      <c r="V8687">
        <v>2</v>
      </c>
      <c r="W8687">
        <v>1</v>
      </c>
      <c r="X8687">
        <v>2</v>
      </c>
      <c r="Y8687">
        <v>0</v>
      </c>
      <c r="Z8687">
        <v>2</v>
      </c>
      <c r="AA8687">
        <v>222.42</v>
      </c>
      <c r="AB8687">
        <v>222.42</v>
      </c>
      <c r="AC8687">
        <v>194</v>
      </c>
      <c r="AD8687">
        <v>0</v>
      </c>
      <c r="AE8687">
        <v>28.42</v>
      </c>
      <c r="AF8687">
        <v>0</v>
      </c>
      <c r="AG8687">
        <v>0</v>
      </c>
      <c r="AH8687">
        <v>0</v>
      </c>
      <c r="AI8687">
        <v>0</v>
      </c>
      <c r="AJ8687">
        <v>222.42</v>
      </c>
      <c r="AK8687">
        <v>0</v>
      </c>
      <c r="AL8687" t="s">
        <v>53</v>
      </c>
      <c r="AM8687" t="s">
        <v>53</v>
      </c>
      <c r="AN8687" t="s">
        <v>53</v>
      </c>
      <c r="AO8687" t="s">
        <v>53</v>
      </c>
      <c r="AP8687" t="s">
        <v>53</v>
      </c>
    </row>
    <row r="8688" spans="2:42" x14ac:dyDescent="0.2">
      <c r="B8688" t="s">
        <v>44</v>
      </c>
      <c r="C8688" t="str">
        <f>HYPERLINK("https://us2.cloudbeds.com/connect/8493803454333002#/reservations/9080486848876485?display=5018NVAZ1P&amp;reservation_id=9080486848876485", "5018NVAZ1P")</f>
        <v>5018NVAZ1P</v>
      </c>
      <c r="D8688" t="s">
        <v>45</v>
      </c>
      <c r="E8688" t="s">
        <v>105</v>
      </c>
      <c r="F8688" t="s">
        <v>47</v>
      </c>
      <c r="G8688" t="s">
        <v>48</v>
      </c>
      <c r="H8688" t="s">
        <v>49</v>
      </c>
      <c r="I8688" t="s">
        <v>50</v>
      </c>
      <c r="J8688" t="s">
        <v>15838</v>
      </c>
      <c r="K8688" t="s">
        <v>14979</v>
      </c>
      <c r="L8688" t="s">
        <v>53</v>
      </c>
      <c r="N8688" t="s">
        <v>16512</v>
      </c>
      <c r="P8688" t="s">
        <v>55</v>
      </c>
      <c r="R8688" t="s">
        <v>53</v>
      </c>
      <c r="T8688" t="s">
        <v>16513</v>
      </c>
      <c r="U8688" t="s">
        <v>58</v>
      </c>
      <c r="V8688">
        <v>1</v>
      </c>
      <c r="W8688">
        <v>1</v>
      </c>
      <c r="X8688">
        <v>2</v>
      </c>
      <c r="Y8688">
        <v>0</v>
      </c>
      <c r="Z8688">
        <v>2</v>
      </c>
      <c r="AA8688">
        <v>97.03</v>
      </c>
      <c r="AB8688">
        <v>97.03</v>
      </c>
      <c r="AC8688">
        <v>84.64</v>
      </c>
      <c r="AD8688">
        <v>0</v>
      </c>
      <c r="AE8688">
        <v>12.39</v>
      </c>
      <c r="AF8688">
        <v>0</v>
      </c>
      <c r="AG8688">
        <v>0</v>
      </c>
      <c r="AH8688">
        <v>0</v>
      </c>
      <c r="AI8688">
        <v>17.47</v>
      </c>
      <c r="AJ8688">
        <v>97.03</v>
      </c>
      <c r="AK8688">
        <v>0</v>
      </c>
      <c r="AL8688" t="s">
        <v>53</v>
      </c>
      <c r="AM8688" t="s">
        <v>53</v>
      </c>
      <c r="AN8688" t="s">
        <v>16514</v>
      </c>
      <c r="AO8688" t="s">
        <v>53</v>
      </c>
      <c r="AP8688" t="s">
        <v>53</v>
      </c>
    </row>
    <row r="8689" spans="2:42" x14ac:dyDescent="0.2">
      <c r="B8689" t="s">
        <v>44</v>
      </c>
      <c r="C8689" t="str">
        <f>HYPERLINK("https://us2.cloudbeds.com/connect/8493803454333002#/reservations/9080486848876567?display=501A5HH5ND&amp;reservation_id=9080486848876567", "501A5HH5ND")</f>
        <v>501A5HH5ND</v>
      </c>
      <c r="D8689" t="s">
        <v>45</v>
      </c>
      <c r="E8689" t="s">
        <v>213</v>
      </c>
      <c r="F8689" t="s">
        <v>86</v>
      </c>
      <c r="G8689" t="s">
        <v>48</v>
      </c>
      <c r="H8689" t="s">
        <v>49</v>
      </c>
      <c r="I8689" t="s">
        <v>50</v>
      </c>
      <c r="J8689" t="s">
        <v>15391</v>
      </c>
      <c r="K8689" t="s">
        <v>14095</v>
      </c>
      <c r="L8689" t="s">
        <v>53</v>
      </c>
      <c r="N8689" t="s">
        <v>16515</v>
      </c>
      <c r="P8689" t="s">
        <v>55</v>
      </c>
      <c r="R8689" t="s">
        <v>53</v>
      </c>
      <c r="T8689" t="s">
        <v>16516</v>
      </c>
      <c r="U8689" t="s">
        <v>55</v>
      </c>
      <c r="V8689">
        <v>1</v>
      </c>
      <c r="W8689">
        <v>1</v>
      </c>
      <c r="X8689">
        <v>2</v>
      </c>
      <c r="Y8689">
        <v>0</v>
      </c>
      <c r="Z8689">
        <v>2</v>
      </c>
      <c r="AA8689">
        <v>87.13</v>
      </c>
      <c r="AB8689">
        <v>87.13</v>
      </c>
      <c r="AC8689">
        <v>80.12</v>
      </c>
      <c r="AD8689">
        <v>0</v>
      </c>
      <c r="AE8689">
        <v>7.01</v>
      </c>
      <c r="AF8689">
        <v>0</v>
      </c>
      <c r="AG8689">
        <v>0</v>
      </c>
      <c r="AH8689">
        <v>0</v>
      </c>
      <c r="AI8689">
        <v>15.68</v>
      </c>
      <c r="AJ8689">
        <v>87.13</v>
      </c>
      <c r="AK8689">
        <v>0</v>
      </c>
      <c r="AL8689" t="s">
        <v>53</v>
      </c>
      <c r="AM8689" t="s">
        <v>53</v>
      </c>
      <c r="AN8689" t="s">
        <v>53</v>
      </c>
      <c r="AO8689" t="s">
        <v>53</v>
      </c>
      <c r="AP8689" t="s">
        <v>53</v>
      </c>
    </row>
    <row r="8690" spans="2:42" x14ac:dyDescent="0.2">
      <c r="B8690" t="s">
        <v>44</v>
      </c>
      <c r="C8690" t="str">
        <f>HYPERLINK("https://us2.cloudbeds.com/connect/8493803454333002#/reservations/9080486848876634?display=501BA5HRRP&amp;reservation_id=9080486848876634", "501BA5HRRP")</f>
        <v>501BA5HRRP</v>
      </c>
      <c r="D8690" t="s">
        <v>45</v>
      </c>
      <c r="E8690" t="s">
        <v>165</v>
      </c>
      <c r="F8690" t="s">
        <v>61</v>
      </c>
      <c r="G8690" t="s">
        <v>48</v>
      </c>
      <c r="H8690" t="s">
        <v>49</v>
      </c>
      <c r="I8690" t="s">
        <v>50</v>
      </c>
      <c r="J8690" t="s">
        <v>14153</v>
      </c>
      <c r="K8690" t="s">
        <v>14344</v>
      </c>
      <c r="L8690" t="s">
        <v>53</v>
      </c>
      <c r="N8690" t="s">
        <v>16517</v>
      </c>
      <c r="P8690" t="s">
        <v>55</v>
      </c>
      <c r="R8690" t="s">
        <v>53</v>
      </c>
      <c r="T8690" t="s">
        <v>16518</v>
      </c>
      <c r="U8690" t="s">
        <v>58</v>
      </c>
      <c r="V8690">
        <v>1</v>
      </c>
      <c r="W8690">
        <v>1</v>
      </c>
      <c r="X8690">
        <v>2</v>
      </c>
      <c r="Y8690">
        <v>0</v>
      </c>
      <c r="Z8690">
        <v>2</v>
      </c>
      <c r="AA8690">
        <v>140.28</v>
      </c>
      <c r="AB8690">
        <v>140.28</v>
      </c>
      <c r="AC8690">
        <v>122.36</v>
      </c>
      <c r="AD8690">
        <v>0</v>
      </c>
      <c r="AE8690">
        <v>17.920000000000002</v>
      </c>
      <c r="AF8690">
        <v>0</v>
      </c>
      <c r="AG8690">
        <v>0</v>
      </c>
      <c r="AH8690">
        <v>0</v>
      </c>
      <c r="AI8690">
        <v>25.25</v>
      </c>
      <c r="AJ8690">
        <v>140.28</v>
      </c>
      <c r="AK8690">
        <v>0</v>
      </c>
      <c r="AL8690" t="s">
        <v>53</v>
      </c>
      <c r="AM8690" t="s">
        <v>53</v>
      </c>
      <c r="AN8690" t="s">
        <v>16519</v>
      </c>
      <c r="AO8690" t="s">
        <v>53</v>
      </c>
      <c r="AP8690" t="s">
        <v>53</v>
      </c>
    </row>
    <row r="8691" spans="2:42" x14ac:dyDescent="0.2">
      <c r="B8691" t="s">
        <v>44</v>
      </c>
      <c r="C8691" t="str">
        <f>HYPERLINK("https://us2.cloudbeds.com/connect/8493803454333002#/reservations/9080486848876896?display=501FS0WZNW&amp;reservation_id=9080486848876896", "501FS0WZNW")</f>
        <v>501FS0WZNW</v>
      </c>
      <c r="D8691" t="s">
        <v>45</v>
      </c>
      <c r="E8691" t="s">
        <v>46</v>
      </c>
      <c r="F8691" t="s">
        <v>47</v>
      </c>
      <c r="G8691" t="s">
        <v>48</v>
      </c>
      <c r="H8691" t="s">
        <v>49</v>
      </c>
      <c r="I8691" t="s">
        <v>50</v>
      </c>
      <c r="J8691" t="s">
        <v>12958</v>
      </c>
      <c r="K8691" t="s">
        <v>13085</v>
      </c>
      <c r="L8691" t="s">
        <v>53</v>
      </c>
      <c r="N8691" t="s">
        <v>16520</v>
      </c>
      <c r="P8691" t="s">
        <v>55</v>
      </c>
      <c r="R8691" t="s">
        <v>53</v>
      </c>
      <c r="T8691" t="s">
        <v>16521</v>
      </c>
      <c r="U8691" t="s">
        <v>55</v>
      </c>
      <c r="V8691">
        <v>2</v>
      </c>
      <c r="W8691">
        <v>1</v>
      </c>
      <c r="X8691">
        <v>2</v>
      </c>
      <c r="Y8691">
        <v>0</v>
      </c>
      <c r="Z8691">
        <v>2</v>
      </c>
      <c r="AA8691">
        <v>310.68</v>
      </c>
      <c r="AB8691">
        <v>310.68</v>
      </c>
      <c r="AC8691">
        <v>285.68</v>
      </c>
      <c r="AD8691">
        <v>0</v>
      </c>
      <c r="AE8691">
        <v>25</v>
      </c>
      <c r="AF8691">
        <v>0</v>
      </c>
      <c r="AG8691">
        <v>0</v>
      </c>
      <c r="AH8691">
        <v>0</v>
      </c>
      <c r="AI8691">
        <v>55.92</v>
      </c>
      <c r="AJ8691">
        <v>310.68</v>
      </c>
      <c r="AK8691">
        <v>0</v>
      </c>
      <c r="AL8691" t="s">
        <v>53</v>
      </c>
      <c r="AM8691" t="s">
        <v>53</v>
      </c>
      <c r="AN8691" t="s">
        <v>53</v>
      </c>
      <c r="AO8691" t="s">
        <v>53</v>
      </c>
      <c r="AP8691" t="s">
        <v>53</v>
      </c>
    </row>
    <row r="8692" spans="2:42" x14ac:dyDescent="0.2">
      <c r="B8692" t="s">
        <v>44</v>
      </c>
      <c r="C8692" t="str">
        <f>HYPERLINK("https://us2.cloudbeds.com/connect/8493803454333002#/reservations/232135202275520?display=501R7FA1CX&amp;reservation_id=232135202275520", "501R7FA1CX")</f>
        <v>501R7FA1CX</v>
      </c>
      <c r="D8692" t="s">
        <v>45</v>
      </c>
      <c r="E8692" t="s">
        <v>46</v>
      </c>
      <c r="F8692" t="s">
        <v>47</v>
      </c>
      <c r="G8692" t="s">
        <v>48</v>
      </c>
      <c r="H8692" t="s">
        <v>3957</v>
      </c>
      <c r="I8692" t="s">
        <v>3975</v>
      </c>
      <c r="J8692" t="s">
        <v>16262</v>
      </c>
      <c r="K8692" t="s">
        <v>12958</v>
      </c>
      <c r="L8692" t="s">
        <v>53</v>
      </c>
      <c r="P8692" t="s">
        <v>58</v>
      </c>
      <c r="R8692" t="s">
        <v>56</v>
      </c>
      <c r="T8692" t="s">
        <v>16522</v>
      </c>
      <c r="U8692" t="s">
        <v>58</v>
      </c>
      <c r="V8692">
        <v>2</v>
      </c>
      <c r="W8692">
        <v>1</v>
      </c>
      <c r="X8692">
        <v>1</v>
      </c>
      <c r="Y8692">
        <v>0</v>
      </c>
      <c r="Z8692">
        <v>1</v>
      </c>
      <c r="AA8692">
        <v>0</v>
      </c>
      <c r="AB8692">
        <v>409.3</v>
      </c>
      <c r="AC8692">
        <v>357</v>
      </c>
      <c r="AD8692">
        <v>0</v>
      </c>
      <c r="AE8692">
        <v>52.3</v>
      </c>
      <c r="AF8692">
        <v>0</v>
      </c>
      <c r="AG8692">
        <v>0</v>
      </c>
      <c r="AH8692">
        <v>0</v>
      </c>
      <c r="AI8692">
        <v>0</v>
      </c>
      <c r="AJ8692">
        <v>409.3</v>
      </c>
      <c r="AK8692">
        <v>0</v>
      </c>
      <c r="AL8692" t="s">
        <v>53</v>
      </c>
      <c r="AM8692" t="s">
        <v>53</v>
      </c>
      <c r="AN8692" t="s">
        <v>53</v>
      </c>
      <c r="AO8692" t="s">
        <v>53</v>
      </c>
      <c r="AP8692" t="s">
        <v>53</v>
      </c>
    </row>
    <row r="8693" spans="2:42" x14ac:dyDescent="0.2">
      <c r="B8693" t="s">
        <v>44</v>
      </c>
      <c r="C8693" t="str">
        <f>HYPERLINK("https://us2.cloudbeds.com/connect/8493803454333002#/reservations/232162844352704?display=502FKPSGF2&amp;reservation_id=232162844352704", "502FKPSGF2")</f>
        <v>502FKPSGF2</v>
      </c>
      <c r="D8693" t="s">
        <v>45</v>
      </c>
      <c r="E8693" t="s">
        <v>110</v>
      </c>
      <c r="F8693" t="s">
        <v>47</v>
      </c>
      <c r="G8693" t="s">
        <v>4520</v>
      </c>
      <c r="H8693" t="s">
        <v>3957</v>
      </c>
      <c r="I8693" t="s">
        <v>3958</v>
      </c>
      <c r="J8693" t="s">
        <v>15735</v>
      </c>
      <c r="K8693" t="s">
        <v>15738</v>
      </c>
      <c r="L8693" t="s">
        <v>53</v>
      </c>
      <c r="P8693" t="s">
        <v>55</v>
      </c>
      <c r="R8693" t="s">
        <v>56</v>
      </c>
      <c r="T8693" t="s">
        <v>16523</v>
      </c>
      <c r="U8693" t="s">
        <v>58</v>
      </c>
      <c r="V8693">
        <v>2</v>
      </c>
      <c r="W8693">
        <v>1</v>
      </c>
      <c r="X8693">
        <v>1</v>
      </c>
      <c r="Y8693">
        <v>0</v>
      </c>
      <c r="Z8693">
        <v>1</v>
      </c>
      <c r="AA8693">
        <v>436.48</v>
      </c>
      <c r="AB8693">
        <v>436.48</v>
      </c>
      <c r="AC8693">
        <v>380.7</v>
      </c>
      <c r="AD8693">
        <v>0</v>
      </c>
      <c r="AE8693">
        <v>55.78</v>
      </c>
      <c r="AF8693">
        <v>0</v>
      </c>
      <c r="AG8693">
        <v>0</v>
      </c>
      <c r="AH8693">
        <v>0</v>
      </c>
      <c r="AI8693">
        <v>0</v>
      </c>
      <c r="AJ8693">
        <v>436.48</v>
      </c>
      <c r="AK8693">
        <v>0</v>
      </c>
      <c r="AL8693" t="s">
        <v>53</v>
      </c>
      <c r="AM8693" t="s">
        <v>53</v>
      </c>
      <c r="AN8693" t="s">
        <v>53</v>
      </c>
      <c r="AO8693" t="s">
        <v>53</v>
      </c>
      <c r="AP8693" t="s">
        <v>53</v>
      </c>
    </row>
    <row r="8694" spans="2:42" x14ac:dyDescent="0.2">
      <c r="B8694" t="s">
        <v>44</v>
      </c>
      <c r="C8694" t="str">
        <f>HYPERLINK("https://us2.cloudbeds.com/connect/8493803454333002#/reservations/9080486848878839?display=502PZ41G7C&amp;reservation_id=9080486848878839", "502PZ41G7C")</f>
        <v>502PZ41G7C</v>
      </c>
      <c r="D8694" t="s">
        <v>45</v>
      </c>
      <c r="E8694" t="s">
        <v>165</v>
      </c>
      <c r="F8694" t="s">
        <v>61</v>
      </c>
      <c r="G8694" t="s">
        <v>48</v>
      </c>
      <c r="H8694" t="s">
        <v>49</v>
      </c>
      <c r="I8694" t="s">
        <v>50</v>
      </c>
      <c r="J8694" t="s">
        <v>12958</v>
      </c>
      <c r="K8694" t="s">
        <v>12863</v>
      </c>
      <c r="L8694" t="s">
        <v>53</v>
      </c>
      <c r="N8694" t="s">
        <v>16524</v>
      </c>
      <c r="P8694" t="s">
        <v>55</v>
      </c>
      <c r="R8694" t="s">
        <v>53</v>
      </c>
      <c r="T8694" t="s">
        <v>16525</v>
      </c>
      <c r="U8694" t="s">
        <v>58</v>
      </c>
      <c r="V8694">
        <v>1</v>
      </c>
      <c r="W8694">
        <v>1</v>
      </c>
      <c r="X8694">
        <v>2</v>
      </c>
      <c r="Y8694">
        <v>0</v>
      </c>
      <c r="Z8694">
        <v>2</v>
      </c>
      <c r="AA8694">
        <v>295.86</v>
      </c>
      <c r="AB8694">
        <v>295.86</v>
      </c>
      <c r="AC8694">
        <v>258.06</v>
      </c>
      <c r="AD8694">
        <v>0</v>
      </c>
      <c r="AE8694">
        <v>37.799999999999997</v>
      </c>
      <c r="AF8694">
        <v>0</v>
      </c>
      <c r="AG8694">
        <v>0</v>
      </c>
      <c r="AH8694">
        <v>0</v>
      </c>
      <c r="AI8694">
        <v>53.25</v>
      </c>
      <c r="AJ8694">
        <v>295.86</v>
      </c>
      <c r="AK8694">
        <v>0</v>
      </c>
      <c r="AL8694" t="s">
        <v>53</v>
      </c>
      <c r="AM8694" t="s">
        <v>53</v>
      </c>
      <c r="AN8694" t="s">
        <v>16526</v>
      </c>
      <c r="AO8694" t="s">
        <v>53</v>
      </c>
      <c r="AP8694" t="s">
        <v>53</v>
      </c>
    </row>
    <row r="8695" spans="2:42" x14ac:dyDescent="0.2">
      <c r="B8695" t="s">
        <v>44</v>
      </c>
      <c r="C8695" t="str">
        <f>HYPERLINK("https://us2.cloudbeds.com/connect/8493803454333002#/reservations/9080486848879722?display=503EA1SMKP&amp;reservation_id=9080486848879722", "503EA1SMKP")</f>
        <v>503EA1SMKP</v>
      </c>
      <c r="D8695" t="s">
        <v>45</v>
      </c>
      <c r="E8695" t="s">
        <v>46</v>
      </c>
      <c r="F8695" t="s">
        <v>47</v>
      </c>
      <c r="G8695" t="s">
        <v>48</v>
      </c>
      <c r="H8695" t="s">
        <v>49</v>
      </c>
      <c r="I8695" t="s">
        <v>62</v>
      </c>
      <c r="J8695" t="s">
        <v>14095</v>
      </c>
      <c r="K8695" t="s">
        <v>13805</v>
      </c>
      <c r="L8695" t="s">
        <v>53</v>
      </c>
      <c r="N8695" t="s">
        <v>16527</v>
      </c>
      <c r="P8695" t="s">
        <v>55</v>
      </c>
      <c r="R8695" t="s">
        <v>201</v>
      </c>
      <c r="T8695" t="s">
        <v>16528</v>
      </c>
      <c r="U8695" t="s">
        <v>55</v>
      </c>
      <c r="V8695">
        <v>1</v>
      </c>
      <c r="W8695">
        <v>1</v>
      </c>
      <c r="X8695">
        <v>2</v>
      </c>
      <c r="Y8695">
        <v>0</v>
      </c>
      <c r="Z8695">
        <v>2</v>
      </c>
      <c r="AA8695">
        <v>100.05</v>
      </c>
      <c r="AB8695">
        <v>100.05</v>
      </c>
      <c r="AC8695">
        <v>100.05</v>
      </c>
      <c r="AD8695">
        <v>0</v>
      </c>
      <c r="AE8695">
        <v>0</v>
      </c>
      <c r="AF8695">
        <v>0</v>
      </c>
      <c r="AG8695">
        <v>0</v>
      </c>
      <c r="AH8695">
        <v>0</v>
      </c>
      <c r="AI8695">
        <v>18.010000000000002</v>
      </c>
      <c r="AJ8695">
        <v>100.05</v>
      </c>
      <c r="AK8695">
        <v>0</v>
      </c>
      <c r="AL8695" t="s">
        <v>53</v>
      </c>
      <c r="AM8695" t="s">
        <v>53</v>
      </c>
      <c r="AN8695" t="s">
        <v>53</v>
      </c>
      <c r="AO8695" t="s">
        <v>53</v>
      </c>
      <c r="AP8695" t="s">
        <v>53</v>
      </c>
    </row>
    <row r="8696" spans="2:42" x14ac:dyDescent="0.2">
      <c r="B8696" t="s">
        <v>44</v>
      </c>
      <c r="C8696" t="str">
        <f>HYPERLINK("https://us2.cloudbeds.com/connect/8493803454333002#/reservations/9080486848879782?display=503FUP7Q3F&amp;reservation_id=9080486848879782", "503FUP7Q3F")</f>
        <v>503FUP7Q3F</v>
      </c>
      <c r="D8696" t="s">
        <v>45</v>
      </c>
      <c r="E8696" t="s">
        <v>128</v>
      </c>
      <c r="F8696" t="s">
        <v>86</v>
      </c>
      <c r="G8696" t="s">
        <v>48</v>
      </c>
      <c r="H8696" t="s">
        <v>49</v>
      </c>
      <c r="I8696" t="s">
        <v>50</v>
      </c>
      <c r="J8696" t="s">
        <v>14847</v>
      </c>
      <c r="K8696" t="s">
        <v>14848</v>
      </c>
      <c r="L8696" t="s">
        <v>53</v>
      </c>
      <c r="N8696" t="s">
        <v>16529</v>
      </c>
      <c r="P8696" t="s">
        <v>55</v>
      </c>
      <c r="R8696" t="s">
        <v>53</v>
      </c>
      <c r="T8696" t="s">
        <v>16530</v>
      </c>
      <c r="U8696" t="s">
        <v>55</v>
      </c>
      <c r="V8696">
        <v>1</v>
      </c>
      <c r="W8696">
        <v>1</v>
      </c>
      <c r="X8696">
        <v>2</v>
      </c>
      <c r="Y8696">
        <v>0</v>
      </c>
      <c r="Z8696">
        <v>2</v>
      </c>
      <c r="AA8696">
        <v>139.47</v>
      </c>
      <c r="AB8696">
        <v>139.47</v>
      </c>
      <c r="AC8696">
        <v>128.25</v>
      </c>
      <c r="AD8696">
        <v>0</v>
      </c>
      <c r="AE8696">
        <v>11.22</v>
      </c>
      <c r="AF8696">
        <v>0</v>
      </c>
      <c r="AG8696">
        <v>0</v>
      </c>
      <c r="AH8696">
        <v>0</v>
      </c>
      <c r="AI8696">
        <v>25.1</v>
      </c>
      <c r="AJ8696">
        <v>139.47</v>
      </c>
      <c r="AK8696">
        <v>0</v>
      </c>
      <c r="AL8696" t="s">
        <v>53</v>
      </c>
      <c r="AM8696" t="s">
        <v>53</v>
      </c>
      <c r="AN8696" t="s">
        <v>53</v>
      </c>
      <c r="AO8696" t="s">
        <v>53</v>
      </c>
      <c r="AP8696" t="s">
        <v>53</v>
      </c>
    </row>
    <row r="8697" spans="2:42" x14ac:dyDescent="0.2">
      <c r="B8697" t="s">
        <v>44</v>
      </c>
      <c r="C8697" t="str">
        <f>HYPERLINK("https://us2.cloudbeds.com/connect/8493803454333002#/reservations/9080486848879964?display=503KYCRNE3&amp;reservation_id=9080486848879964", "503KYCRNE3")</f>
        <v>503KYCRNE3</v>
      </c>
      <c r="D8697" t="s">
        <v>45</v>
      </c>
      <c r="E8697" t="s">
        <v>223</v>
      </c>
      <c r="F8697" t="s">
        <v>47</v>
      </c>
      <c r="G8697" t="s">
        <v>48</v>
      </c>
      <c r="H8697" t="s">
        <v>49</v>
      </c>
      <c r="I8697" t="s">
        <v>50</v>
      </c>
      <c r="J8697" t="s">
        <v>14848</v>
      </c>
      <c r="K8697" t="s">
        <v>14344</v>
      </c>
      <c r="L8697" t="s">
        <v>53</v>
      </c>
      <c r="N8697" t="s">
        <v>16531</v>
      </c>
      <c r="P8697" t="s">
        <v>55</v>
      </c>
      <c r="R8697" t="s">
        <v>53</v>
      </c>
      <c r="T8697" t="s">
        <v>16532</v>
      </c>
      <c r="U8697" t="s">
        <v>55</v>
      </c>
      <c r="V8697">
        <v>3</v>
      </c>
      <c r="W8697">
        <v>1</v>
      </c>
      <c r="X8697">
        <v>2</v>
      </c>
      <c r="Y8697">
        <v>0</v>
      </c>
      <c r="Z8697">
        <v>2</v>
      </c>
      <c r="AA8697">
        <v>381.77</v>
      </c>
      <c r="AB8697">
        <v>381.77</v>
      </c>
      <c r="AC8697">
        <v>351.05</v>
      </c>
      <c r="AD8697">
        <v>0</v>
      </c>
      <c r="AE8697">
        <v>30.72</v>
      </c>
      <c r="AF8697">
        <v>0</v>
      </c>
      <c r="AG8697">
        <v>0</v>
      </c>
      <c r="AH8697">
        <v>0</v>
      </c>
      <c r="AI8697">
        <v>68.72</v>
      </c>
      <c r="AJ8697">
        <v>381.77</v>
      </c>
      <c r="AK8697">
        <v>0</v>
      </c>
      <c r="AL8697" t="s">
        <v>53</v>
      </c>
      <c r="AM8697" t="s">
        <v>53</v>
      </c>
      <c r="AN8697" t="s">
        <v>16533</v>
      </c>
      <c r="AO8697" t="s">
        <v>53</v>
      </c>
      <c r="AP8697" t="s">
        <v>53</v>
      </c>
    </row>
    <row r="8698" spans="2:42" x14ac:dyDescent="0.2">
      <c r="B8698" t="s">
        <v>44</v>
      </c>
      <c r="C8698" t="str">
        <f>HYPERLINK("https://us2.cloudbeds.com/connect/8493803454333002#/reservations/9080486848880177?display=503PVPP1RX&amp;reservation_id=9080486848880177", "503PVPP1RX")</f>
        <v>503PVPP1RX</v>
      </c>
      <c r="D8698" t="s">
        <v>45</v>
      </c>
      <c r="E8698" t="s">
        <v>213</v>
      </c>
      <c r="F8698" t="s">
        <v>86</v>
      </c>
      <c r="G8698" t="s">
        <v>48</v>
      </c>
      <c r="H8698" t="s">
        <v>49</v>
      </c>
      <c r="I8698" t="s">
        <v>50</v>
      </c>
      <c r="J8698" t="s">
        <v>15594</v>
      </c>
      <c r="K8698" t="s">
        <v>14655</v>
      </c>
      <c r="L8698" t="s">
        <v>53</v>
      </c>
      <c r="N8698" t="s">
        <v>16534</v>
      </c>
      <c r="P8698" t="s">
        <v>55</v>
      </c>
      <c r="R8698" t="s">
        <v>53</v>
      </c>
      <c r="T8698" t="s">
        <v>16535</v>
      </c>
      <c r="U8698" t="s">
        <v>55</v>
      </c>
      <c r="V8698">
        <v>1</v>
      </c>
      <c r="W8698">
        <v>1</v>
      </c>
      <c r="X8698">
        <v>2</v>
      </c>
      <c r="Y8698">
        <v>1</v>
      </c>
      <c r="Z8698">
        <v>3</v>
      </c>
      <c r="AA8698">
        <v>139.80000000000001</v>
      </c>
      <c r="AB8698">
        <v>139.80000000000001</v>
      </c>
      <c r="AC8698">
        <v>128.55000000000001</v>
      </c>
      <c r="AD8698">
        <v>0</v>
      </c>
      <c r="AE8698">
        <v>11.25</v>
      </c>
      <c r="AF8698">
        <v>0</v>
      </c>
      <c r="AG8698">
        <v>0</v>
      </c>
      <c r="AH8698">
        <v>0</v>
      </c>
      <c r="AI8698">
        <v>25.16</v>
      </c>
      <c r="AJ8698">
        <v>139.80000000000001</v>
      </c>
      <c r="AK8698">
        <v>0</v>
      </c>
      <c r="AL8698" t="s">
        <v>53</v>
      </c>
      <c r="AM8698" t="s">
        <v>53</v>
      </c>
      <c r="AN8698" t="s">
        <v>53</v>
      </c>
      <c r="AO8698" t="s">
        <v>53</v>
      </c>
      <c r="AP8698" t="s">
        <v>53</v>
      </c>
    </row>
    <row r="8699" spans="2:42" x14ac:dyDescent="0.2">
      <c r="B8699" t="s">
        <v>44</v>
      </c>
      <c r="C8699" t="str">
        <f>HYPERLINK("https://us2.cloudbeds.com/connect/8493803454333002#/reservations/9080486848884375?display=507A2YJ66K&amp;reservation_id=9080486848884375", "507A2YJ66K")</f>
        <v>507A2YJ66K</v>
      </c>
      <c r="D8699" t="s">
        <v>45</v>
      </c>
      <c r="E8699" t="s">
        <v>223</v>
      </c>
      <c r="F8699" t="s">
        <v>47</v>
      </c>
      <c r="G8699" t="s">
        <v>48</v>
      </c>
      <c r="H8699" t="s">
        <v>49</v>
      </c>
      <c r="I8699" t="s">
        <v>50</v>
      </c>
      <c r="J8699" t="s">
        <v>16262</v>
      </c>
      <c r="K8699" t="s">
        <v>12823</v>
      </c>
      <c r="L8699" t="s">
        <v>53</v>
      </c>
      <c r="N8699" t="s">
        <v>16536</v>
      </c>
      <c r="P8699" t="s">
        <v>55</v>
      </c>
      <c r="R8699" t="s">
        <v>53</v>
      </c>
      <c r="T8699" t="s">
        <v>16537</v>
      </c>
      <c r="U8699" t="s">
        <v>55</v>
      </c>
      <c r="V8699">
        <v>1</v>
      </c>
      <c r="W8699">
        <v>1</v>
      </c>
      <c r="X8699">
        <v>1</v>
      </c>
      <c r="Y8699">
        <v>0</v>
      </c>
      <c r="Z8699">
        <v>1</v>
      </c>
      <c r="AA8699">
        <v>113.76</v>
      </c>
      <c r="AB8699">
        <v>113.76</v>
      </c>
      <c r="AC8699">
        <v>104.61</v>
      </c>
      <c r="AD8699">
        <v>0</v>
      </c>
      <c r="AE8699">
        <v>9.15</v>
      </c>
      <c r="AF8699">
        <v>0</v>
      </c>
      <c r="AG8699">
        <v>0</v>
      </c>
      <c r="AH8699">
        <v>0</v>
      </c>
      <c r="AI8699">
        <v>20.48</v>
      </c>
      <c r="AJ8699">
        <v>113.76</v>
      </c>
      <c r="AK8699">
        <v>0</v>
      </c>
      <c r="AL8699" t="s">
        <v>53</v>
      </c>
      <c r="AM8699" t="s">
        <v>53</v>
      </c>
      <c r="AN8699" t="s">
        <v>53</v>
      </c>
      <c r="AO8699" t="s">
        <v>53</v>
      </c>
      <c r="AP8699" t="s">
        <v>53</v>
      </c>
    </row>
    <row r="8700" spans="2:42" x14ac:dyDescent="0.2">
      <c r="B8700" t="s">
        <v>44</v>
      </c>
      <c r="C8700" t="str">
        <f>HYPERLINK("https://us2.cloudbeds.com/connect/8493803454333002#/reservations/232370888212672?display=507BNPW17H&amp;reservation_id=232370888212672", "507BNPW17H")</f>
        <v>507BNPW17H</v>
      </c>
      <c r="D8700" t="s">
        <v>45</v>
      </c>
      <c r="E8700" t="s">
        <v>85</v>
      </c>
      <c r="F8700" t="s">
        <v>86</v>
      </c>
      <c r="G8700" t="s">
        <v>48</v>
      </c>
      <c r="H8700" t="s">
        <v>3957</v>
      </c>
      <c r="I8700" t="s">
        <v>3958</v>
      </c>
      <c r="J8700" t="s">
        <v>13805</v>
      </c>
      <c r="K8700" t="s">
        <v>13977</v>
      </c>
      <c r="L8700" t="s">
        <v>53</v>
      </c>
      <c r="P8700" t="s">
        <v>55</v>
      </c>
      <c r="R8700" t="s">
        <v>56</v>
      </c>
      <c r="T8700" t="s">
        <v>16538</v>
      </c>
      <c r="U8700" t="s">
        <v>58</v>
      </c>
      <c r="V8700">
        <v>1</v>
      </c>
      <c r="W8700">
        <v>1</v>
      </c>
      <c r="X8700">
        <v>1</v>
      </c>
      <c r="Y8700">
        <v>0</v>
      </c>
      <c r="Z8700">
        <v>1</v>
      </c>
      <c r="AA8700">
        <v>126.12</v>
      </c>
      <c r="AB8700">
        <v>126.12</v>
      </c>
      <c r="AC8700">
        <v>110</v>
      </c>
      <c r="AD8700">
        <v>0</v>
      </c>
      <c r="AE8700">
        <v>16.12</v>
      </c>
      <c r="AF8700">
        <v>0</v>
      </c>
      <c r="AG8700">
        <v>0</v>
      </c>
      <c r="AH8700">
        <v>0</v>
      </c>
      <c r="AI8700">
        <v>0</v>
      </c>
      <c r="AJ8700">
        <v>126.12</v>
      </c>
      <c r="AK8700">
        <v>0</v>
      </c>
      <c r="AL8700" t="s">
        <v>53</v>
      </c>
      <c r="AM8700" t="s">
        <v>53</v>
      </c>
      <c r="AN8700" t="s">
        <v>16539</v>
      </c>
      <c r="AO8700" t="s">
        <v>53</v>
      </c>
      <c r="AP8700" t="s">
        <v>53</v>
      </c>
    </row>
    <row r="8701" spans="2:42" x14ac:dyDescent="0.2">
      <c r="B8701" t="s">
        <v>44</v>
      </c>
      <c r="C8701" t="str">
        <f>HYPERLINK("https://us2.cloudbeds.com/connect/8493803454333002#/reservations/9080486848886214?display=508AYN1B2F&amp;reservation_id=9080486848886214", "508AYN1B2F")</f>
        <v>508AYN1B2F</v>
      </c>
      <c r="D8701" t="s">
        <v>45</v>
      </c>
      <c r="E8701" t="s">
        <v>190</v>
      </c>
      <c r="F8701" t="s">
        <v>61</v>
      </c>
      <c r="G8701" t="s">
        <v>48</v>
      </c>
      <c r="H8701" t="s">
        <v>49</v>
      </c>
      <c r="I8701" t="s">
        <v>50</v>
      </c>
      <c r="J8701" t="s">
        <v>14348</v>
      </c>
      <c r="K8701" t="s">
        <v>14623</v>
      </c>
      <c r="L8701" t="s">
        <v>53</v>
      </c>
      <c r="N8701" t="s">
        <v>16540</v>
      </c>
      <c r="P8701" t="s">
        <v>55</v>
      </c>
      <c r="R8701" t="s">
        <v>53</v>
      </c>
      <c r="T8701" t="s">
        <v>16541</v>
      </c>
      <c r="U8701" t="s">
        <v>55</v>
      </c>
      <c r="V8701">
        <v>1</v>
      </c>
      <c r="W8701">
        <v>1</v>
      </c>
      <c r="X8701">
        <v>2</v>
      </c>
      <c r="Y8701">
        <v>0</v>
      </c>
      <c r="Z8701">
        <v>2</v>
      </c>
      <c r="AA8701">
        <v>101.62</v>
      </c>
      <c r="AB8701">
        <v>101.62</v>
      </c>
      <c r="AC8701">
        <v>93.44</v>
      </c>
      <c r="AD8701">
        <v>0</v>
      </c>
      <c r="AE8701">
        <v>8.18</v>
      </c>
      <c r="AF8701">
        <v>0</v>
      </c>
      <c r="AG8701">
        <v>0</v>
      </c>
      <c r="AH8701">
        <v>0</v>
      </c>
      <c r="AI8701">
        <v>18.29</v>
      </c>
      <c r="AJ8701">
        <v>101.62</v>
      </c>
      <c r="AK8701">
        <v>0</v>
      </c>
      <c r="AL8701" t="s">
        <v>53</v>
      </c>
      <c r="AM8701" t="s">
        <v>53</v>
      </c>
      <c r="AN8701" t="s">
        <v>16542</v>
      </c>
      <c r="AO8701" t="s">
        <v>53</v>
      </c>
      <c r="AP8701" t="s">
        <v>53</v>
      </c>
    </row>
    <row r="8702" spans="2:42" x14ac:dyDescent="0.2">
      <c r="B8702" t="s">
        <v>44</v>
      </c>
      <c r="C8702" t="str">
        <f>HYPERLINK("https://us2.cloudbeds.com/connect/8493803454333002#/reservations/9080486848886676?display=508J2Z04ZA&amp;reservation_id=9080486848886676", "508J2Z04ZA")</f>
        <v>508J2Z04ZA</v>
      </c>
      <c r="D8702" t="s">
        <v>45</v>
      </c>
      <c r="E8702" t="s">
        <v>406</v>
      </c>
      <c r="F8702" t="s">
        <v>61</v>
      </c>
      <c r="G8702" t="s">
        <v>48</v>
      </c>
      <c r="H8702" t="s">
        <v>49</v>
      </c>
      <c r="I8702" t="s">
        <v>50</v>
      </c>
      <c r="J8702" t="s">
        <v>14095</v>
      </c>
      <c r="K8702" t="s">
        <v>13805</v>
      </c>
      <c r="L8702" t="s">
        <v>53</v>
      </c>
      <c r="N8702" t="s">
        <v>16543</v>
      </c>
      <c r="P8702" t="s">
        <v>55</v>
      </c>
      <c r="R8702" t="s">
        <v>53</v>
      </c>
      <c r="T8702" t="s">
        <v>16544</v>
      </c>
      <c r="U8702" t="s">
        <v>55</v>
      </c>
      <c r="V8702">
        <v>1</v>
      </c>
      <c r="W8702">
        <v>1</v>
      </c>
      <c r="X8702">
        <v>2</v>
      </c>
      <c r="Y8702">
        <v>0</v>
      </c>
      <c r="Z8702">
        <v>2</v>
      </c>
      <c r="AA8702">
        <v>68.19</v>
      </c>
      <c r="AB8702">
        <v>68.19</v>
      </c>
      <c r="AC8702">
        <v>62.71</v>
      </c>
      <c r="AD8702">
        <v>0</v>
      </c>
      <c r="AE8702">
        <v>5.48</v>
      </c>
      <c r="AF8702">
        <v>0</v>
      </c>
      <c r="AG8702">
        <v>0</v>
      </c>
      <c r="AH8702">
        <v>0</v>
      </c>
      <c r="AI8702">
        <v>12.27</v>
      </c>
      <c r="AJ8702">
        <v>68.19</v>
      </c>
      <c r="AK8702">
        <v>0</v>
      </c>
      <c r="AL8702" t="s">
        <v>53</v>
      </c>
      <c r="AM8702" t="s">
        <v>53</v>
      </c>
      <c r="AN8702" t="s">
        <v>53</v>
      </c>
      <c r="AO8702" t="s">
        <v>53</v>
      </c>
      <c r="AP8702" t="s">
        <v>53</v>
      </c>
    </row>
    <row r="8703" spans="2:42" x14ac:dyDescent="0.2">
      <c r="B8703" t="s">
        <v>44</v>
      </c>
      <c r="C8703" t="str">
        <f>HYPERLINK("https://us2.cloudbeds.com/connect/8493803454333002#/reservations/9080486848888541?display=509H2DP7NR&amp;reservation_id=9080486848888541", "509H2DP7NR")</f>
        <v>509H2DP7NR</v>
      </c>
      <c r="D8703" t="s">
        <v>45</v>
      </c>
      <c r="E8703" t="s">
        <v>305</v>
      </c>
      <c r="F8703" t="s">
        <v>61</v>
      </c>
      <c r="G8703" t="s">
        <v>48</v>
      </c>
      <c r="H8703" t="s">
        <v>49</v>
      </c>
      <c r="I8703" t="s">
        <v>50</v>
      </c>
      <c r="J8703" t="s">
        <v>14095</v>
      </c>
      <c r="K8703" t="s">
        <v>13805</v>
      </c>
      <c r="L8703" t="s">
        <v>53</v>
      </c>
      <c r="N8703" t="s">
        <v>16545</v>
      </c>
      <c r="P8703" t="s">
        <v>55</v>
      </c>
      <c r="R8703" t="s">
        <v>53</v>
      </c>
      <c r="T8703" t="s">
        <v>16546</v>
      </c>
      <c r="U8703" t="s">
        <v>55</v>
      </c>
      <c r="V8703">
        <v>1</v>
      </c>
      <c r="W8703">
        <v>1</v>
      </c>
      <c r="X8703">
        <v>2</v>
      </c>
      <c r="Y8703">
        <v>0</v>
      </c>
      <c r="Z8703">
        <v>2</v>
      </c>
      <c r="AA8703">
        <v>82.82</v>
      </c>
      <c r="AB8703">
        <v>82.82</v>
      </c>
      <c r="AC8703">
        <v>76.150000000000006</v>
      </c>
      <c r="AD8703">
        <v>0</v>
      </c>
      <c r="AE8703">
        <v>6.67</v>
      </c>
      <c r="AF8703">
        <v>0</v>
      </c>
      <c r="AG8703">
        <v>0</v>
      </c>
      <c r="AH8703">
        <v>0</v>
      </c>
      <c r="AI8703">
        <v>14.91</v>
      </c>
      <c r="AJ8703">
        <v>82.82</v>
      </c>
      <c r="AK8703">
        <v>0</v>
      </c>
      <c r="AL8703" t="s">
        <v>53</v>
      </c>
      <c r="AM8703" t="s">
        <v>53</v>
      </c>
      <c r="AN8703" t="s">
        <v>53</v>
      </c>
      <c r="AO8703" t="s">
        <v>53</v>
      </c>
      <c r="AP8703" t="s">
        <v>53</v>
      </c>
    </row>
    <row r="8704" spans="2:42" x14ac:dyDescent="0.2">
      <c r="B8704" t="s">
        <v>44</v>
      </c>
      <c r="C8704" t="str">
        <f>HYPERLINK("https://us2.cloudbeds.com/connect/8493803454333002#/reservations/232463659413696?display=509HXA37M5&amp;reservation_id=232463659413696", "509HXA37M5")</f>
        <v>509HXA37M5</v>
      </c>
      <c r="D8704" t="s">
        <v>45</v>
      </c>
      <c r="E8704" t="s">
        <v>373</v>
      </c>
      <c r="F8704" t="s">
        <v>47</v>
      </c>
      <c r="G8704" t="s">
        <v>48</v>
      </c>
      <c r="H8704" t="s">
        <v>3957</v>
      </c>
      <c r="I8704" t="s">
        <v>3958</v>
      </c>
      <c r="J8704" t="s">
        <v>14095</v>
      </c>
      <c r="K8704" t="s">
        <v>13805</v>
      </c>
      <c r="L8704" t="s">
        <v>53</v>
      </c>
      <c r="P8704" t="s">
        <v>55</v>
      </c>
      <c r="R8704" t="s">
        <v>56</v>
      </c>
      <c r="T8704" t="s">
        <v>16547</v>
      </c>
      <c r="U8704" t="s">
        <v>58</v>
      </c>
      <c r="V8704">
        <v>1</v>
      </c>
      <c r="W8704">
        <v>1</v>
      </c>
      <c r="X8704">
        <v>1</v>
      </c>
      <c r="Y8704">
        <v>0</v>
      </c>
      <c r="Z8704">
        <v>1</v>
      </c>
      <c r="AA8704">
        <v>88.97</v>
      </c>
      <c r="AB8704">
        <v>88.97</v>
      </c>
      <c r="AC8704">
        <v>77.599999999999994</v>
      </c>
      <c r="AD8704">
        <v>0</v>
      </c>
      <c r="AE8704">
        <v>11.37</v>
      </c>
      <c r="AF8704">
        <v>0</v>
      </c>
      <c r="AG8704">
        <v>0</v>
      </c>
      <c r="AH8704">
        <v>0</v>
      </c>
      <c r="AI8704">
        <v>0</v>
      </c>
      <c r="AJ8704">
        <v>88.97</v>
      </c>
      <c r="AK8704">
        <v>0</v>
      </c>
      <c r="AL8704" t="s">
        <v>53</v>
      </c>
      <c r="AM8704" t="s">
        <v>53</v>
      </c>
      <c r="AN8704" t="s">
        <v>53</v>
      </c>
      <c r="AO8704" t="s">
        <v>53</v>
      </c>
      <c r="AP8704" t="s">
        <v>53</v>
      </c>
    </row>
    <row r="8705" spans="2:42" x14ac:dyDescent="0.2">
      <c r="B8705" t="s">
        <v>44</v>
      </c>
      <c r="C8705" t="str">
        <f>HYPERLINK("https://us2.cloudbeds.com/connect/8493803454333002#/reservations/232510349689024?display=50AKNBJ2PD&amp;reservation_id=232510349689024", "50AKNBJ2PD")</f>
        <v>50AKNBJ2PD</v>
      </c>
      <c r="D8705" t="s">
        <v>45</v>
      </c>
      <c r="E8705" t="s">
        <v>78</v>
      </c>
      <c r="F8705" t="s">
        <v>61</v>
      </c>
      <c r="G8705" t="s">
        <v>48</v>
      </c>
      <c r="H8705" t="s">
        <v>3957</v>
      </c>
      <c r="I8705" t="s">
        <v>3975</v>
      </c>
      <c r="J8705" t="s">
        <v>13805</v>
      </c>
      <c r="K8705" t="s">
        <v>16262</v>
      </c>
      <c r="L8705" t="s">
        <v>53</v>
      </c>
      <c r="P8705" t="s">
        <v>55</v>
      </c>
      <c r="R8705" t="s">
        <v>56</v>
      </c>
      <c r="T8705" t="s">
        <v>16548</v>
      </c>
      <c r="U8705" t="s">
        <v>58</v>
      </c>
      <c r="V8705">
        <v>2</v>
      </c>
      <c r="W8705">
        <v>1</v>
      </c>
      <c r="X8705">
        <v>1</v>
      </c>
      <c r="Y8705">
        <v>0</v>
      </c>
      <c r="Z8705">
        <v>1</v>
      </c>
      <c r="AA8705">
        <v>350.83</v>
      </c>
      <c r="AB8705">
        <v>359.04</v>
      </c>
      <c r="AC8705">
        <v>306</v>
      </c>
      <c r="AD8705">
        <v>7.5</v>
      </c>
      <c r="AE8705">
        <v>45.54</v>
      </c>
      <c r="AF8705">
        <v>0</v>
      </c>
      <c r="AG8705">
        <v>0</v>
      </c>
      <c r="AH8705">
        <v>0</v>
      </c>
      <c r="AI8705">
        <v>0</v>
      </c>
      <c r="AJ8705">
        <v>359.04</v>
      </c>
      <c r="AK8705">
        <v>0</v>
      </c>
      <c r="AL8705" t="s">
        <v>53</v>
      </c>
      <c r="AM8705" t="s">
        <v>53</v>
      </c>
      <c r="AN8705" t="s">
        <v>53</v>
      </c>
      <c r="AO8705" t="s">
        <v>53</v>
      </c>
      <c r="AP8705" t="s">
        <v>53</v>
      </c>
    </row>
    <row r="8706" spans="2:42" x14ac:dyDescent="0.2">
      <c r="B8706" t="s">
        <v>44</v>
      </c>
      <c r="C8706" t="str">
        <f>HYPERLINK("https://us2.cloudbeds.com/connect/8493803454333002#/reservations/9080486848891091?display=50B0YSFSAA&amp;reservation_id=9080486848891091", "50B0YSFSAA")</f>
        <v>50B0YSFSAA</v>
      </c>
      <c r="D8706" t="s">
        <v>45</v>
      </c>
      <c r="E8706" t="s">
        <v>381</v>
      </c>
      <c r="F8706" t="s">
        <v>47</v>
      </c>
      <c r="G8706" t="s">
        <v>48</v>
      </c>
      <c r="H8706" t="s">
        <v>49</v>
      </c>
      <c r="I8706" t="s">
        <v>50</v>
      </c>
      <c r="J8706" t="s">
        <v>14095</v>
      </c>
      <c r="K8706" t="s">
        <v>13805</v>
      </c>
      <c r="L8706" t="s">
        <v>53</v>
      </c>
      <c r="N8706" t="s">
        <v>16549</v>
      </c>
      <c r="P8706" t="s">
        <v>55</v>
      </c>
      <c r="R8706" t="s">
        <v>53</v>
      </c>
      <c r="T8706" t="s">
        <v>16550</v>
      </c>
      <c r="U8706" t="s">
        <v>55</v>
      </c>
      <c r="V8706">
        <v>1</v>
      </c>
      <c r="W8706">
        <v>1</v>
      </c>
      <c r="X8706">
        <v>2</v>
      </c>
      <c r="Y8706">
        <v>0</v>
      </c>
      <c r="Z8706">
        <v>2</v>
      </c>
      <c r="AA8706">
        <v>102.86</v>
      </c>
      <c r="AB8706">
        <v>102.86</v>
      </c>
      <c r="AC8706">
        <v>94.58</v>
      </c>
      <c r="AD8706">
        <v>0</v>
      </c>
      <c r="AE8706">
        <v>8.2799999999999994</v>
      </c>
      <c r="AF8706">
        <v>0</v>
      </c>
      <c r="AG8706">
        <v>0</v>
      </c>
      <c r="AH8706">
        <v>0</v>
      </c>
      <c r="AI8706">
        <v>18.510000000000002</v>
      </c>
      <c r="AJ8706">
        <v>102.86</v>
      </c>
      <c r="AK8706">
        <v>0</v>
      </c>
      <c r="AL8706" t="s">
        <v>53</v>
      </c>
      <c r="AM8706" t="s">
        <v>53</v>
      </c>
      <c r="AN8706" t="s">
        <v>53</v>
      </c>
      <c r="AO8706" t="s">
        <v>53</v>
      </c>
      <c r="AP8706" t="s">
        <v>53</v>
      </c>
    </row>
    <row r="8707" spans="2:42" x14ac:dyDescent="0.2">
      <c r="B8707" t="s">
        <v>44</v>
      </c>
      <c r="C8707" t="str">
        <f>HYPERLINK("https://us2.cloudbeds.com/connect/8493803454333002#/reservations/9080486848891123?display=50B1DB8KK7&amp;reservation_id=9080486848891123", "50B1DB8KK7")</f>
        <v>50B1DB8KK7</v>
      </c>
      <c r="D8707" t="s">
        <v>45</v>
      </c>
      <c r="E8707" t="s">
        <v>14695</v>
      </c>
      <c r="F8707" t="s">
        <v>47</v>
      </c>
      <c r="G8707" t="s">
        <v>48</v>
      </c>
      <c r="H8707" t="s">
        <v>49</v>
      </c>
      <c r="I8707" t="s">
        <v>50</v>
      </c>
      <c r="J8707" t="s">
        <v>14095</v>
      </c>
      <c r="K8707" t="s">
        <v>13805</v>
      </c>
      <c r="L8707" t="s">
        <v>53</v>
      </c>
      <c r="N8707" t="s">
        <v>16551</v>
      </c>
      <c r="P8707" t="s">
        <v>55</v>
      </c>
      <c r="R8707" t="s">
        <v>53</v>
      </c>
      <c r="T8707" t="s">
        <v>16552</v>
      </c>
      <c r="U8707" t="s">
        <v>55</v>
      </c>
      <c r="V8707">
        <v>1</v>
      </c>
      <c r="W8707">
        <v>1</v>
      </c>
      <c r="X8707">
        <v>2</v>
      </c>
      <c r="Y8707">
        <v>0</v>
      </c>
      <c r="Z8707">
        <v>2</v>
      </c>
      <c r="AA8707">
        <v>102.86</v>
      </c>
      <c r="AB8707">
        <v>102.86</v>
      </c>
      <c r="AC8707">
        <v>94.58</v>
      </c>
      <c r="AD8707">
        <v>0</v>
      </c>
      <c r="AE8707">
        <v>8.2799999999999994</v>
      </c>
      <c r="AF8707">
        <v>0</v>
      </c>
      <c r="AG8707">
        <v>0</v>
      </c>
      <c r="AH8707">
        <v>0</v>
      </c>
      <c r="AI8707">
        <v>18.510000000000002</v>
      </c>
      <c r="AJ8707">
        <v>102.86</v>
      </c>
      <c r="AK8707">
        <v>0</v>
      </c>
      <c r="AL8707" t="s">
        <v>53</v>
      </c>
      <c r="AM8707" t="s">
        <v>53</v>
      </c>
      <c r="AN8707" t="s">
        <v>53</v>
      </c>
      <c r="AO8707" t="s">
        <v>53</v>
      </c>
      <c r="AP8707" t="s">
        <v>53</v>
      </c>
    </row>
    <row r="8708" spans="2:42" x14ac:dyDescent="0.2">
      <c r="B8708" t="s">
        <v>44</v>
      </c>
      <c r="C8708" t="str">
        <f>HYPERLINK("https://us2.cloudbeds.com/connect/8493803454333002#/reservations/9080486848891225?display=50B4ARG3QQ&amp;reservation_id=9080486848891225", "50B4ARG3QQ")</f>
        <v>50B4ARG3QQ</v>
      </c>
      <c r="D8708" t="s">
        <v>45</v>
      </c>
      <c r="E8708" t="s">
        <v>373</v>
      </c>
      <c r="F8708" t="s">
        <v>47</v>
      </c>
      <c r="G8708" t="s">
        <v>48</v>
      </c>
      <c r="H8708" t="s">
        <v>49</v>
      </c>
      <c r="I8708" t="s">
        <v>50</v>
      </c>
      <c r="J8708" t="s">
        <v>12823</v>
      </c>
      <c r="K8708" t="s">
        <v>13085</v>
      </c>
      <c r="L8708" t="s">
        <v>53</v>
      </c>
      <c r="N8708" t="s">
        <v>16553</v>
      </c>
      <c r="P8708" t="s">
        <v>55</v>
      </c>
      <c r="R8708" t="s">
        <v>53</v>
      </c>
      <c r="T8708" t="s">
        <v>16554</v>
      </c>
      <c r="U8708" t="s">
        <v>55</v>
      </c>
      <c r="V8708">
        <v>3</v>
      </c>
      <c r="W8708">
        <v>1</v>
      </c>
      <c r="X8708">
        <v>1</v>
      </c>
      <c r="Y8708">
        <v>0</v>
      </c>
      <c r="Z8708">
        <v>1</v>
      </c>
      <c r="AA8708">
        <v>546.4</v>
      </c>
      <c r="AB8708">
        <v>546.4</v>
      </c>
      <c r="AC8708">
        <v>502.44</v>
      </c>
      <c r="AD8708">
        <v>0</v>
      </c>
      <c r="AE8708">
        <v>43.96</v>
      </c>
      <c r="AF8708">
        <v>0</v>
      </c>
      <c r="AG8708">
        <v>0</v>
      </c>
      <c r="AH8708">
        <v>0</v>
      </c>
      <c r="AI8708">
        <v>98.35</v>
      </c>
      <c r="AJ8708">
        <v>546.4</v>
      </c>
      <c r="AK8708">
        <v>0</v>
      </c>
      <c r="AL8708" t="s">
        <v>53</v>
      </c>
      <c r="AM8708" t="s">
        <v>53</v>
      </c>
      <c r="AN8708" t="s">
        <v>16555</v>
      </c>
      <c r="AO8708" t="s">
        <v>53</v>
      </c>
      <c r="AP8708" t="s">
        <v>53</v>
      </c>
    </row>
    <row r="8709" spans="2:42" x14ac:dyDescent="0.2">
      <c r="B8709" t="s">
        <v>44</v>
      </c>
      <c r="C8709" t="str">
        <f>HYPERLINK("https://us2.cloudbeds.com/connect/8493803454333002#/reservations/9080486848891318?display=50B6HV57MZ&amp;reservation_id=9080486848891318", "50B6HV57MZ")</f>
        <v>50B6HV57MZ</v>
      </c>
      <c r="D8709" t="s">
        <v>45</v>
      </c>
      <c r="E8709" t="s">
        <v>14695</v>
      </c>
      <c r="F8709" t="s">
        <v>47</v>
      </c>
      <c r="G8709" t="s">
        <v>48</v>
      </c>
      <c r="H8709" t="s">
        <v>49</v>
      </c>
      <c r="I8709" t="s">
        <v>50</v>
      </c>
      <c r="J8709" t="s">
        <v>14847</v>
      </c>
      <c r="K8709" t="s">
        <v>14848</v>
      </c>
      <c r="L8709" t="s">
        <v>53</v>
      </c>
      <c r="N8709" t="s">
        <v>16556</v>
      </c>
      <c r="P8709" t="s">
        <v>55</v>
      </c>
      <c r="R8709" t="s">
        <v>53</v>
      </c>
      <c r="T8709" t="s">
        <v>16557</v>
      </c>
      <c r="U8709" t="s">
        <v>55</v>
      </c>
      <c r="V8709">
        <v>1</v>
      </c>
      <c r="W8709">
        <v>1</v>
      </c>
      <c r="X8709">
        <v>2</v>
      </c>
      <c r="Y8709">
        <v>0</v>
      </c>
      <c r="Z8709">
        <v>2</v>
      </c>
      <c r="AA8709">
        <v>139.63999999999999</v>
      </c>
      <c r="AB8709">
        <v>139.63999999999999</v>
      </c>
      <c r="AC8709">
        <v>128.41</v>
      </c>
      <c r="AD8709">
        <v>0</v>
      </c>
      <c r="AE8709">
        <v>11.23</v>
      </c>
      <c r="AF8709">
        <v>0</v>
      </c>
      <c r="AG8709">
        <v>0</v>
      </c>
      <c r="AH8709">
        <v>0</v>
      </c>
      <c r="AI8709">
        <v>25.14</v>
      </c>
      <c r="AJ8709">
        <v>139.63999999999999</v>
      </c>
      <c r="AK8709">
        <v>0</v>
      </c>
      <c r="AL8709" t="s">
        <v>53</v>
      </c>
      <c r="AM8709" t="s">
        <v>53</v>
      </c>
      <c r="AN8709" t="s">
        <v>53</v>
      </c>
      <c r="AO8709" t="s">
        <v>53</v>
      </c>
      <c r="AP8709" t="s">
        <v>53</v>
      </c>
    </row>
    <row r="8710" spans="2:42" x14ac:dyDescent="0.2">
      <c r="B8710" t="s">
        <v>44</v>
      </c>
      <c r="C8710" t="str">
        <f>HYPERLINK("https://us2.cloudbeds.com/connect/8493803454333002#/reservations/9080486848892125?display=50BPUXTR69&amp;reservation_id=9080486848892125", "50BPUXTR69")</f>
        <v>50BPUXTR69</v>
      </c>
      <c r="D8710" t="s">
        <v>45</v>
      </c>
      <c r="E8710" t="s">
        <v>14402</v>
      </c>
      <c r="F8710" t="s">
        <v>14403</v>
      </c>
      <c r="G8710" t="s">
        <v>48</v>
      </c>
      <c r="H8710" t="s">
        <v>49</v>
      </c>
      <c r="I8710" t="s">
        <v>50</v>
      </c>
      <c r="J8710" t="s">
        <v>14095</v>
      </c>
      <c r="K8710" t="s">
        <v>13805</v>
      </c>
      <c r="L8710" t="s">
        <v>53</v>
      </c>
      <c r="N8710" t="s">
        <v>16558</v>
      </c>
      <c r="P8710" t="s">
        <v>55</v>
      </c>
      <c r="R8710" t="s">
        <v>53</v>
      </c>
      <c r="T8710" t="s">
        <v>16559</v>
      </c>
      <c r="U8710" t="s">
        <v>55</v>
      </c>
      <c r="V8710">
        <v>1</v>
      </c>
      <c r="W8710">
        <v>1</v>
      </c>
      <c r="X8710">
        <v>2</v>
      </c>
      <c r="Y8710">
        <v>0</v>
      </c>
      <c r="Z8710">
        <v>2</v>
      </c>
      <c r="AA8710">
        <v>88.46</v>
      </c>
      <c r="AB8710">
        <v>88.46</v>
      </c>
      <c r="AC8710">
        <v>81.34</v>
      </c>
      <c r="AD8710">
        <v>0</v>
      </c>
      <c r="AE8710">
        <v>7.12</v>
      </c>
      <c r="AF8710">
        <v>0</v>
      </c>
      <c r="AG8710">
        <v>0</v>
      </c>
      <c r="AH8710">
        <v>0</v>
      </c>
      <c r="AI8710">
        <v>15.92</v>
      </c>
      <c r="AJ8710">
        <v>88.46</v>
      </c>
      <c r="AK8710">
        <v>0</v>
      </c>
      <c r="AL8710" t="s">
        <v>53</v>
      </c>
      <c r="AM8710" t="s">
        <v>53</v>
      </c>
      <c r="AN8710" t="s">
        <v>16560</v>
      </c>
      <c r="AO8710" t="s">
        <v>53</v>
      </c>
      <c r="AP8710" t="s">
        <v>53</v>
      </c>
    </row>
    <row r="8711" spans="2:42" x14ac:dyDescent="0.2">
      <c r="B8711" t="s">
        <v>44</v>
      </c>
      <c r="C8711" t="str">
        <f>HYPERLINK("https://us2.cloudbeds.com/connect/8493803454333002#/reservations/9080486848892421?display=50C0DNQWJV&amp;reservation_id=9080486848892421", "50C0DNQWJV")</f>
        <v>50C0DNQWJV</v>
      </c>
      <c r="D8711" t="s">
        <v>45</v>
      </c>
      <c r="E8711" t="s">
        <v>381</v>
      </c>
      <c r="F8711" t="s">
        <v>47</v>
      </c>
      <c r="G8711" t="s">
        <v>48</v>
      </c>
      <c r="H8711" t="s">
        <v>49</v>
      </c>
      <c r="I8711" t="s">
        <v>50</v>
      </c>
      <c r="J8711" t="s">
        <v>13805</v>
      </c>
      <c r="K8711" t="s">
        <v>12863</v>
      </c>
      <c r="L8711" t="s">
        <v>53</v>
      </c>
      <c r="N8711" t="s">
        <v>16561</v>
      </c>
      <c r="P8711" t="s">
        <v>55</v>
      </c>
      <c r="R8711" t="s">
        <v>53</v>
      </c>
      <c r="T8711" t="s">
        <v>16562</v>
      </c>
      <c r="U8711" t="s">
        <v>55</v>
      </c>
      <c r="V8711">
        <v>5</v>
      </c>
      <c r="W8711">
        <v>1</v>
      </c>
      <c r="X8711">
        <v>2</v>
      </c>
      <c r="Y8711">
        <v>0</v>
      </c>
      <c r="Z8711">
        <v>2</v>
      </c>
      <c r="AA8711">
        <v>755.04</v>
      </c>
      <c r="AB8711">
        <v>755.04</v>
      </c>
      <c r="AC8711">
        <v>694.29</v>
      </c>
      <c r="AD8711">
        <v>0</v>
      </c>
      <c r="AE8711">
        <v>60.75</v>
      </c>
      <c r="AF8711">
        <v>0</v>
      </c>
      <c r="AG8711">
        <v>0</v>
      </c>
      <c r="AH8711">
        <v>0</v>
      </c>
      <c r="AI8711">
        <v>135.91</v>
      </c>
      <c r="AJ8711">
        <v>755.04</v>
      </c>
      <c r="AK8711">
        <v>0</v>
      </c>
      <c r="AL8711" t="s">
        <v>53</v>
      </c>
      <c r="AM8711" t="s">
        <v>53</v>
      </c>
      <c r="AN8711" t="s">
        <v>16563</v>
      </c>
      <c r="AO8711" t="s">
        <v>53</v>
      </c>
      <c r="AP8711" t="s">
        <v>53</v>
      </c>
    </row>
    <row r="8712" spans="2:42" x14ac:dyDescent="0.2">
      <c r="B8712" t="s">
        <v>44</v>
      </c>
      <c r="C8712" t="str">
        <f>HYPERLINK("https://us2.cloudbeds.com/connect/8493803454333002#/reservations/9080486848892910?display=50CCBSJMD6&amp;reservation_id=9080486848892910", "50CCBSJMD6")</f>
        <v>50CCBSJMD6</v>
      </c>
      <c r="D8712" t="s">
        <v>45</v>
      </c>
      <c r="E8712" t="s">
        <v>128</v>
      </c>
      <c r="F8712" t="s">
        <v>86</v>
      </c>
      <c r="G8712" t="s">
        <v>48</v>
      </c>
      <c r="H8712" t="s">
        <v>49</v>
      </c>
      <c r="I8712" t="s">
        <v>50</v>
      </c>
      <c r="J8712" t="s">
        <v>13977</v>
      </c>
      <c r="K8712" t="s">
        <v>16262</v>
      </c>
      <c r="L8712" t="s">
        <v>53</v>
      </c>
      <c r="N8712" t="s">
        <v>16564</v>
      </c>
      <c r="P8712" t="s">
        <v>55</v>
      </c>
      <c r="R8712" t="s">
        <v>53</v>
      </c>
      <c r="T8712" t="s">
        <v>16565</v>
      </c>
      <c r="U8712" t="s">
        <v>55</v>
      </c>
      <c r="V8712">
        <v>1</v>
      </c>
      <c r="W8712">
        <v>1</v>
      </c>
      <c r="X8712">
        <v>4</v>
      </c>
      <c r="Y8712">
        <v>0</v>
      </c>
      <c r="Z8712">
        <v>4</v>
      </c>
      <c r="AA8712">
        <v>111.58</v>
      </c>
      <c r="AB8712">
        <v>111.58</v>
      </c>
      <c r="AC8712">
        <v>102.6</v>
      </c>
      <c r="AD8712">
        <v>0</v>
      </c>
      <c r="AE8712">
        <v>8.98</v>
      </c>
      <c r="AF8712">
        <v>0</v>
      </c>
      <c r="AG8712">
        <v>0</v>
      </c>
      <c r="AH8712">
        <v>0</v>
      </c>
      <c r="AI8712">
        <v>20.079999999999998</v>
      </c>
      <c r="AJ8712">
        <v>111.58</v>
      </c>
      <c r="AK8712">
        <v>0</v>
      </c>
      <c r="AL8712" t="s">
        <v>53</v>
      </c>
      <c r="AM8712" t="s">
        <v>53</v>
      </c>
      <c r="AN8712" t="s">
        <v>16566</v>
      </c>
      <c r="AO8712" t="s">
        <v>53</v>
      </c>
      <c r="AP8712" t="s">
        <v>53</v>
      </c>
    </row>
    <row r="8713" spans="2:42" x14ac:dyDescent="0.2">
      <c r="B8713" t="s">
        <v>44</v>
      </c>
      <c r="C8713" t="str">
        <f>HYPERLINK("https://us2.cloudbeds.com/connect/8493803454333002#/reservations/9080486848897655?display=50FFPMPSP0&amp;reservation_id=9080486848897655", "50FFPMPSP0")</f>
        <v>50FFPMPSP0</v>
      </c>
      <c r="D8713" t="s">
        <v>45</v>
      </c>
      <c r="E8713" t="s">
        <v>406</v>
      </c>
      <c r="F8713" t="s">
        <v>61</v>
      </c>
      <c r="G8713" t="s">
        <v>48</v>
      </c>
      <c r="H8713" t="s">
        <v>49</v>
      </c>
      <c r="I8713" t="s">
        <v>50</v>
      </c>
      <c r="J8713" t="s">
        <v>13805</v>
      </c>
      <c r="K8713" t="s">
        <v>13977</v>
      </c>
      <c r="L8713" t="s">
        <v>53</v>
      </c>
      <c r="N8713" t="s">
        <v>16567</v>
      </c>
      <c r="P8713" t="s">
        <v>55</v>
      </c>
      <c r="R8713" t="s">
        <v>53</v>
      </c>
      <c r="T8713" t="s">
        <v>16568</v>
      </c>
      <c r="U8713" t="s">
        <v>55</v>
      </c>
      <c r="V8713">
        <v>1</v>
      </c>
      <c r="W8713">
        <v>1</v>
      </c>
      <c r="X8713">
        <v>2</v>
      </c>
      <c r="Y8713">
        <v>0</v>
      </c>
      <c r="Z8713">
        <v>2</v>
      </c>
      <c r="AA8713">
        <v>100.49</v>
      </c>
      <c r="AB8713">
        <v>100.49</v>
      </c>
      <c r="AC8713">
        <v>92.41</v>
      </c>
      <c r="AD8713">
        <v>0</v>
      </c>
      <c r="AE8713">
        <v>8.08</v>
      </c>
      <c r="AF8713">
        <v>0</v>
      </c>
      <c r="AG8713">
        <v>0</v>
      </c>
      <c r="AH8713">
        <v>0</v>
      </c>
      <c r="AI8713">
        <v>18.09</v>
      </c>
      <c r="AJ8713">
        <v>100.49</v>
      </c>
      <c r="AK8713">
        <v>0</v>
      </c>
      <c r="AL8713" t="s">
        <v>53</v>
      </c>
      <c r="AM8713" t="s">
        <v>53</v>
      </c>
      <c r="AN8713" t="s">
        <v>53</v>
      </c>
      <c r="AO8713" t="s">
        <v>53</v>
      </c>
      <c r="AP8713" t="s">
        <v>53</v>
      </c>
    </row>
    <row r="8714" spans="2:42" x14ac:dyDescent="0.2">
      <c r="B8714" t="s">
        <v>44</v>
      </c>
      <c r="C8714" t="str">
        <f>HYPERLINK("https://us2.cloudbeds.com/connect/8493803454333002#/reservations/9080486848899326?display=50GGP2DCV8&amp;reservation_id=9080486848899326", "50GGP2DCV8")</f>
        <v>50GGP2DCV8</v>
      </c>
      <c r="D8714" t="s">
        <v>10291</v>
      </c>
      <c r="E8714" t="s">
        <v>165</v>
      </c>
      <c r="F8714" t="s">
        <v>61</v>
      </c>
      <c r="G8714" t="s">
        <v>48</v>
      </c>
      <c r="H8714" t="s">
        <v>49</v>
      </c>
      <c r="I8714" t="s">
        <v>50</v>
      </c>
      <c r="J8714" t="s">
        <v>16569</v>
      </c>
      <c r="K8714" t="s">
        <v>16570</v>
      </c>
      <c r="L8714" t="s">
        <v>53</v>
      </c>
      <c r="N8714" t="s">
        <v>16571</v>
      </c>
      <c r="P8714" t="s">
        <v>55</v>
      </c>
      <c r="R8714" t="s">
        <v>53</v>
      </c>
      <c r="T8714" t="s">
        <v>16572</v>
      </c>
      <c r="U8714" t="s">
        <v>55</v>
      </c>
      <c r="V8714">
        <v>2</v>
      </c>
      <c r="W8714">
        <v>1</v>
      </c>
      <c r="X8714">
        <v>2</v>
      </c>
      <c r="Y8714">
        <v>0</v>
      </c>
      <c r="Z8714">
        <v>2</v>
      </c>
      <c r="AA8714">
        <v>268.44</v>
      </c>
      <c r="AB8714">
        <v>0</v>
      </c>
      <c r="AC8714">
        <v>246.84</v>
      </c>
      <c r="AD8714">
        <v>0</v>
      </c>
      <c r="AE8714">
        <v>21.6</v>
      </c>
      <c r="AF8714">
        <v>0</v>
      </c>
      <c r="AG8714">
        <v>0</v>
      </c>
      <c r="AH8714">
        <v>0</v>
      </c>
      <c r="AI8714">
        <v>48.32</v>
      </c>
      <c r="AJ8714">
        <v>268.44</v>
      </c>
      <c r="AK8714">
        <v>268.44</v>
      </c>
      <c r="AL8714" t="s">
        <v>53</v>
      </c>
      <c r="AM8714" t="s">
        <v>53</v>
      </c>
      <c r="AN8714" t="s">
        <v>53</v>
      </c>
      <c r="AO8714" t="s">
        <v>53</v>
      </c>
      <c r="AP8714" t="s">
        <v>53</v>
      </c>
    </row>
    <row r="8715" spans="2:42" x14ac:dyDescent="0.2">
      <c r="B8715" t="s">
        <v>44</v>
      </c>
      <c r="C8715" t="str">
        <f>HYPERLINK("https://us2.cloudbeds.com/connect/8493803454333002#/reservations/232791222063296?display=50H769JNA0&amp;reservation_id=232791222063296", "50H769JNA0")</f>
        <v>50H769JNA0</v>
      </c>
      <c r="D8715" t="s">
        <v>45</v>
      </c>
      <c r="E8715" t="s">
        <v>14695</v>
      </c>
      <c r="F8715" t="s">
        <v>47</v>
      </c>
      <c r="G8715" t="s">
        <v>48</v>
      </c>
      <c r="H8715" t="s">
        <v>3957</v>
      </c>
      <c r="I8715" t="s">
        <v>3975</v>
      </c>
      <c r="J8715" t="s">
        <v>12823</v>
      </c>
      <c r="K8715" t="s">
        <v>12958</v>
      </c>
      <c r="L8715" t="s">
        <v>53</v>
      </c>
      <c r="P8715" t="s">
        <v>55</v>
      </c>
      <c r="R8715" t="s">
        <v>56</v>
      </c>
      <c r="T8715" t="s">
        <v>16573</v>
      </c>
      <c r="U8715" t="s">
        <v>58</v>
      </c>
      <c r="V8715">
        <v>1</v>
      </c>
      <c r="W8715">
        <v>1</v>
      </c>
      <c r="X8715">
        <v>2</v>
      </c>
      <c r="Y8715">
        <v>0</v>
      </c>
      <c r="Z8715">
        <v>2</v>
      </c>
      <c r="AA8715">
        <v>0</v>
      </c>
      <c r="AB8715">
        <v>286.60000000000002</v>
      </c>
      <c r="AC8715">
        <v>229</v>
      </c>
      <c r="AD8715">
        <v>0</v>
      </c>
      <c r="AE8715">
        <v>33.549999999999997</v>
      </c>
      <c r="AF8715">
        <v>0</v>
      </c>
      <c r="AG8715">
        <v>0</v>
      </c>
      <c r="AH8715">
        <v>0</v>
      </c>
      <c r="AI8715">
        <v>0</v>
      </c>
      <c r="AJ8715">
        <v>262.55</v>
      </c>
      <c r="AK8715">
        <v>-24.05</v>
      </c>
      <c r="AL8715" t="s">
        <v>53</v>
      </c>
      <c r="AM8715" t="s">
        <v>53</v>
      </c>
      <c r="AN8715" t="s">
        <v>16574</v>
      </c>
      <c r="AO8715" t="s">
        <v>53</v>
      </c>
      <c r="AP8715" t="s">
        <v>53</v>
      </c>
    </row>
    <row r="8716" spans="2:42" x14ac:dyDescent="0.2">
      <c r="B8716" t="s">
        <v>44</v>
      </c>
      <c r="C8716" t="str">
        <f>HYPERLINK("https://us2.cloudbeds.com/connect/8493803454333002#/reservations/9080486848902109?display=50HVFK873M&amp;reservation_id=9080486848902109", "50HVFK873M")</f>
        <v>50HVFK873M</v>
      </c>
      <c r="D8716" t="s">
        <v>45</v>
      </c>
      <c r="E8716" t="s">
        <v>128</v>
      </c>
      <c r="F8716" t="s">
        <v>86</v>
      </c>
      <c r="G8716" t="s">
        <v>48</v>
      </c>
      <c r="H8716" t="s">
        <v>49</v>
      </c>
      <c r="I8716" t="s">
        <v>50</v>
      </c>
      <c r="J8716" t="s">
        <v>13805</v>
      </c>
      <c r="K8716" t="s">
        <v>13977</v>
      </c>
      <c r="L8716" t="s">
        <v>53</v>
      </c>
      <c r="N8716" t="s">
        <v>16575</v>
      </c>
      <c r="P8716" t="s">
        <v>55</v>
      </c>
      <c r="R8716" t="s">
        <v>53</v>
      </c>
      <c r="T8716" t="s">
        <v>16576</v>
      </c>
      <c r="U8716" t="s">
        <v>55</v>
      </c>
      <c r="V8716">
        <v>1</v>
      </c>
      <c r="W8716">
        <v>1</v>
      </c>
      <c r="X8716">
        <v>2</v>
      </c>
      <c r="Y8716">
        <v>0</v>
      </c>
      <c r="Z8716">
        <v>2</v>
      </c>
      <c r="AA8716">
        <v>101.9</v>
      </c>
      <c r="AB8716">
        <v>101.9</v>
      </c>
      <c r="AC8716">
        <v>93.7</v>
      </c>
      <c r="AD8716">
        <v>0</v>
      </c>
      <c r="AE8716">
        <v>8.1999999999999993</v>
      </c>
      <c r="AF8716">
        <v>0</v>
      </c>
      <c r="AG8716">
        <v>0</v>
      </c>
      <c r="AH8716">
        <v>0</v>
      </c>
      <c r="AI8716">
        <v>18.34</v>
      </c>
      <c r="AJ8716">
        <v>101.9</v>
      </c>
      <c r="AK8716">
        <v>0</v>
      </c>
      <c r="AL8716" t="s">
        <v>53</v>
      </c>
      <c r="AM8716" t="s">
        <v>53</v>
      </c>
      <c r="AN8716" t="s">
        <v>53</v>
      </c>
      <c r="AO8716" t="s">
        <v>53</v>
      </c>
      <c r="AP8716" t="s">
        <v>53</v>
      </c>
    </row>
    <row r="8717" spans="2:42" x14ac:dyDescent="0.2">
      <c r="B8717" t="s">
        <v>44</v>
      </c>
      <c r="C8717" t="str">
        <f>HYPERLINK("https://us2.cloudbeds.com/connect/8493803454333002#/reservations/9080486848903650?display=50XJ539AGB&amp;reservation_id=9080486848903650", "50XJ539AGB")</f>
        <v>50XJ539AGB</v>
      </c>
      <c r="D8717" t="s">
        <v>45</v>
      </c>
      <c r="E8717" t="s">
        <v>105</v>
      </c>
      <c r="F8717" t="s">
        <v>47</v>
      </c>
      <c r="G8717" t="s">
        <v>48</v>
      </c>
      <c r="H8717" t="s">
        <v>49</v>
      </c>
      <c r="I8717" t="s">
        <v>50</v>
      </c>
      <c r="J8717" t="s">
        <v>13805</v>
      </c>
      <c r="K8717" t="s">
        <v>13977</v>
      </c>
      <c r="L8717" t="s">
        <v>53</v>
      </c>
      <c r="N8717" t="s">
        <v>16577</v>
      </c>
      <c r="P8717" t="s">
        <v>55</v>
      </c>
      <c r="R8717" t="s">
        <v>53</v>
      </c>
      <c r="T8717" t="s">
        <v>16578</v>
      </c>
      <c r="U8717" t="s">
        <v>55</v>
      </c>
      <c r="V8717">
        <v>1</v>
      </c>
      <c r="W8717">
        <v>1</v>
      </c>
      <c r="X8717">
        <v>1</v>
      </c>
      <c r="Y8717">
        <v>0</v>
      </c>
      <c r="Z8717">
        <v>1</v>
      </c>
      <c r="AA8717">
        <v>79.41</v>
      </c>
      <c r="AB8717">
        <v>79.41</v>
      </c>
      <c r="AC8717">
        <v>73.02</v>
      </c>
      <c r="AD8717">
        <v>0</v>
      </c>
      <c r="AE8717">
        <v>6.39</v>
      </c>
      <c r="AF8717">
        <v>0</v>
      </c>
      <c r="AG8717">
        <v>0</v>
      </c>
      <c r="AH8717">
        <v>0</v>
      </c>
      <c r="AI8717">
        <v>14.29</v>
      </c>
      <c r="AJ8717">
        <v>79.41</v>
      </c>
      <c r="AK8717">
        <v>0</v>
      </c>
      <c r="AL8717" t="s">
        <v>53</v>
      </c>
      <c r="AM8717" t="s">
        <v>53</v>
      </c>
      <c r="AN8717" t="s">
        <v>53</v>
      </c>
      <c r="AO8717" t="s">
        <v>53</v>
      </c>
      <c r="AP8717" t="s">
        <v>53</v>
      </c>
    </row>
    <row r="8718" spans="2:42" x14ac:dyDescent="0.2">
      <c r="B8718" t="s">
        <v>44</v>
      </c>
      <c r="C8718" t="str">
        <f>HYPERLINK("https://us2.cloudbeds.com/connect/8493803454333002#/reservations/9080486848904445?display=50J348W4WY&amp;reservation_id=9080486848904445", "50J348W4WY")</f>
        <v>50J348W4WY</v>
      </c>
      <c r="D8718" t="s">
        <v>45</v>
      </c>
      <c r="E8718" t="s">
        <v>165</v>
      </c>
      <c r="F8718" t="s">
        <v>61</v>
      </c>
      <c r="G8718" t="s">
        <v>48</v>
      </c>
      <c r="H8718" t="s">
        <v>49</v>
      </c>
      <c r="I8718" t="s">
        <v>50</v>
      </c>
      <c r="J8718" t="s">
        <v>14655</v>
      </c>
      <c r="K8718" t="s">
        <v>14970</v>
      </c>
      <c r="L8718" t="s">
        <v>53</v>
      </c>
      <c r="N8718" t="s">
        <v>16579</v>
      </c>
      <c r="P8718" t="s">
        <v>55</v>
      </c>
      <c r="R8718" t="s">
        <v>53</v>
      </c>
      <c r="T8718" t="s">
        <v>16580</v>
      </c>
      <c r="U8718" t="s">
        <v>58</v>
      </c>
      <c r="V8718">
        <v>2</v>
      </c>
      <c r="W8718">
        <v>1</v>
      </c>
      <c r="X8718">
        <v>2</v>
      </c>
      <c r="Y8718">
        <v>0</v>
      </c>
      <c r="Z8718">
        <v>2</v>
      </c>
      <c r="AA8718">
        <v>470.68</v>
      </c>
      <c r="AB8718">
        <v>470.68</v>
      </c>
      <c r="AC8718">
        <v>410.54</v>
      </c>
      <c r="AD8718">
        <v>0</v>
      </c>
      <c r="AE8718">
        <v>60.14</v>
      </c>
      <c r="AF8718">
        <v>0</v>
      </c>
      <c r="AG8718">
        <v>0</v>
      </c>
      <c r="AH8718">
        <v>0</v>
      </c>
      <c r="AI8718">
        <v>84.72</v>
      </c>
      <c r="AJ8718">
        <v>470.68</v>
      </c>
      <c r="AK8718">
        <v>0</v>
      </c>
      <c r="AL8718" t="s">
        <v>53</v>
      </c>
      <c r="AM8718" t="s">
        <v>53</v>
      </c>
      <c r="AN8718" t="s">
        <v>53</v>
      </c>
      <c r="AO8718" t="s">
        <v>53</v>
      </c>
      <c r="AP8718" t="s">
        <v>53</v>
      </c>
    </row>
    <row r="8719" spans="2:42" x14ac:dyDescent="0.2">
      <c r="B8719" t="s">
        <v>44</v>
      </c>
      <c r="C8719" t="str">
        <f>HYPERLINK("https://us2.cloudbeds.com/connect/8493803454333002#/reservations/9080486848904661?display=50J8CWQXFP&amp;reservation_id=9080486848904661", "50J8CWQXFP")</f>
        <v>50J8CWQXFP</v>
      </c>
      <c r="D8719" t="s">
        <v>45</v>
      </c>
      <c r="E8719" t="s">
        <v>46</v>
      </c>
      <c r="F8719" t="s">
        <v>47</v>
      </c>
      <c r="G8719" t="s">
        <v>48</v>
      </c>
      <c r="H8719" t="s">
        <v>49</v>
      </c>
      <c r="I8719" t="s">
        <v>50</v>
      </c>
      <c r="J8719" t="s">
        <v>13805</v>
      </c>
      <c r="K8719" t="s">
        <v>13977</v>
      </c>
      <c r="L8719" t="s">
        <v>53</v>
      </c>
      <c r="N8719" t="s">
        <v>16581</v>
      </c>
      <c r="P8719" t="s">
        <v>55</v>
      </c>
      <c r="R8719" t="s">
        <v>53</v>
      </c>
      <c r="T8719" t="s">
        <v>16582</v>
      </c>
      <c r="U8719" t="s">
        <v>55</v>
      </c>
      <c r="V8719">
        <v>1</v>
      </c>
      <c r="W8719">
        <v>1</v>
      </c>
      <c r="X8719">
        <v>2</v>
      </c>
      <c r="Y8719">
        <v>0</v>
      </c>
      <c r="Z8719">
        <v>2</v>
      </c>
      <c r="AA8719">
        <v>105.46</v>
      </c>
      <c r="AB8719">
        <v>105.46</v>
      </c>
      <c r="AC8719">
        <v>96.98</v>
      </c>
      <c r="AD8719">
        <v>0</v>
      </c>
      <c r="AE8719">
        <v>8.48</v>
      </c>
      <c r="AF8719">
        <v>0</v>
      </c>
      <c r="AG8719">
        <v>0</v>
      </c>
      <c r="AH8719">
        <v>0</v>
      </c>
      <c r="AI8719">
        <v>18.98</v>
      </c>
      <c r="AJ8719">
        <v>105.46</v>
      </c>
      <c r="AK8719">
        <v>0</v>
      </c>
      <c r="AL8719" t="s">
        <v>53</v>
      </c>
      <c r="AM8719" t="s">
        <v>53</v>
      </c>
      <c r="AN8719" t="s">
        <v>16583</v>
      </c>
      <c r="AO8719" t="s">
        <v>53</v>
      </c>
      <c r="AP8719" t="s">
        <v>53</v>
      </c>
    </row>
    <row r="8720" spans="2:42" x14ac:dyDescent="0.2">
      <c r="B8720" t="s">
        <v>44</v>
      </c>
      <c r="C8720" t="str">
        <f>HYPERLINK("https://us2.cloudbeds.com/connect/8493803454333002#/reservations/9080486848904754?display=50JAYNJHJR&amp;reservation_id=9080486848904754", "50JAYNJHJR")</f>
        <v>50JAYNJHJR</v>
      </c>
      <c r="D8720" t="s">
        <v>45</v>
      </c>
      <c r="E8720" t="s">
        <v>78</v>
      </c>
      <c r="F8720" t="s">
        <v>61</v>
      </c>
      <c r="G8720" t="s">
        <v>48</v>
      </c>
      <c r="H8720" t="s">
        <v>49</v>
      </c>
      <c r="I8720" t="s">
        <v>50</v>
      </c>
      <c r="J8720" t="s">
        <v>15838</v>
      </c>
      <c r="K8720" t="s">
        <v>14847</v>
      </c>
      <c r="L8720" t="s">
        <v>53</v>
      </c>
      <c r="N8720" t="s">
        <v>16584</v>
      </c>
      <c r="P8720" t="s">
        <v>55</v>
      </c>
      <c r="R8720" t="s">
        <v>53</v>
      </c>
      <c r="T8720" t="s">
        <v>16585</v>
      </c>
      <c r="U8720" t="s">
        <v>58</v>
      </c>
      <c r="V8720">
        <v>2</v>
      </c>
      <c r="W8720">
        <v>1</v>
      </c>
      <c r="X8720">
        <v>2</v>
      </c>
      <c r="Y8720">
        <v>0</v>
      </c>
      <c r="Z8720">
        <v>2</v>
      </c>
      <c r="AA8720">
        <v>317.08999999999997</v>
      </c>
      <c r="AB8720">
        <v>317.08999999999997</v>
      </c>
      <c r="AC8720">
        <v>276.57</v>
      </c>
      <c r="AD8720">
        <v>0</v>
      </c>
      <c r="AE8720">
        <v>40.520000000000003</v>
      </c>
      <c r="AF8720">
        <v>0</v>
      </c>
      <c r="AG8720">
        <v>0</v>
      </c>
      <c r="AH8720">
        <v>0</v>
      </c>
      <c r="AI8720">
        <v>57.08</v>
      </c>
      <c r="AJ8720">
        <v>317.08999999999997</v>
      </c>
      <c r="AK8720">
        <v>0</v>
      </c>
      <c r="AL8720" t="s">
        <v>53</v>
      </c>
      <c r="AM8720" t="s">
        <v>53</v>
      </c>
      <c r="AN8720" t="s">
        <v>53</v>
      </c>
      <c r="AO8720" t="s">
        <v>53</v>
      </c>
      <c r="AP8720" t="s">
        <v>53</v>
      </c>
    </row>
    <row r="8721" spans="2:42" x14ac:dyDescent="0.2">
      <c r="B8721" t="s">
        <v>44</v>
      </c>
      <c r="C8721" t="str">
        <f>HYPERLINK("https://us2.cloudbeds.com/connect/8493803454333002#/reservations/9080486848905123?display=50JJHQETQ5&amp;reservation_id=9080486848905123", "50JJHQETQ5")</f>
        <v>50JJHQETQ5</v>
      </c>
      <c r="D8721" t="s">
        <v>45</v>
      </c>
      <c r="E8721" t="s">
        <v>14695</v>
      </c>
      <c r="F8721" t="s">
        <v>47</v>
      </c>
      <c r="G8721" t="s">
        <v>48</v>
      </c>
      <c r="H8721" t="s">
        <v>49</v>
      </c>
      <c r="I8721" t="s">
        <v>50</v>
      </c>
      <c r="J8721" t="s">
        <v>12958</v>
      </c>
      <c r="K8721" t="s">
        <v>12863</v>
      </c>
      <c r="L8721" t="s">
        <v>53</v>
      </c>
      <c r="N8721" t="s">
        <v>16586</v>
      </c>
      <c r="P8721" t="s">
        <v>55</v>
      </c>
      <c r="R8721" t="s">
        <v>53</v>
      </c>
      <c r="T8721" t="s">
        <v>16587</v>
      </c>
      <c r="U8721" t="s">
        <v>55</v>
      </c>
      <c r="V8721">
        <v>1</v>
      </c>
      <c r="W8721">
        <v>1</v>
      </c>
      <c r="X8721">
        <v>2</v>
      </c>
      <c r="Y8721">
        <v>0</v>
      </c>
      <c r="Z8721">
        <v>2</v>
      </c>
      <c r="AA8721">
        <v>203.97</v>
      </c>
      <c r="AB8721">
        <v>203.97</v>
      </c>
      <c r="AC8721">
        <v>187.56</v>
      </c>
      <c r="AD8721">
        <v>0</v>
      </c>
      <c r="AE8721">
        <v>16.41</v>
      </c>
      <c r="AF8721">
        <v>0</v>
      </c>
      <c r="AG8721">
        <v>0</v>
      </c>
      <c r="AH8721">
        <v>0</v>
      </c>
      <c r="AI8721">
        <v>36.71</v>
      </c>
      <c r="AJ8721">
        <v>203.97</v>
      </c>
      <c r="AK8721">
        <v>0</v>
      </c>
      <c r="AL8721" t="s">
        <v>53</v>
      </c>
      <c r="AM8721" t="s">
        <v>53</v>
      </c>
      <c r="AN8721" t="s">
        <v>53</v>
      </c>
      <c r="AO8721" t="s">
        <v>53</v>
      </c>
      <c r="AP8721" t="s">
        <v>53</v>
      </c>
    </row>
    <row r="8722" spans="2:42" x14ac:dyDescent="0.2">
      <c r="B8722" t="s">
        <v>44</v>
      </c>
      <c r="C8722" t="str">
        <f>HYPERLINK("https://us2.cloudbeds.com/connect/8493803454333002#/reservations/233101244809408?display=50ZG82WD1R&amp;reservation_id=233101244809408", "50ZG82WD1R")</f>
        <v>50ZG82WD1R</v>
      </c>
      <c r="D8722" t="s">
        <v>45</v>
      </c>
      <c r="E8722" t="s">
        <v>105</v>
      </c>
      <c r="F8722" t="s">
        <v>47</v>
      </c>
      <c r="G8722" t="s">
        <v>15366</v>
      </c>
      <c r="H8722" t="s">
        <v>3957</v>
      </c>
      <c r="I8722" t="s">
        <v>3958</v>
      </c>
      <c r="J8722" t="s">
        <v>14669</v>
      </c>
      <c r="K8722" t="s">
        <v>14655</v>
      </c>
      <c r="L8722" t="s">
        <v>53</v>
      </c>
      <c r="P8722" t="s">
        <v>55</v>
      </c>
      <c r="R8722" t="s">
        <v>56</v>
      </c>
      <c r="T8722" t="s">
        <v>16588</v>
      </c>
      <c r="U8722" t="s">
        <v>58</v>
      </c>
      <c r="V8722">
        <v>2</v>
      </c>
      <c r="W8722">
        <v>1</v>
      </c>
      <c r="X8722">
        <v>1</v>
      </c>
      <c r="Y8722">
        <v>0</v>
      </c>
      <c r="Z8722">
        <v>1</v>
      </c>
      <c r="AA8722">
        <v>371.48</v>
      </c>
      <c r="AB8722">
        <v>371.48</v>
      </c>
      <c r="AC8722">
        <v>324</v>
      </c>
      <c r="AD8722">
        <v>0</v>
      </c>
      <c r="AE8722">
        <v>47.48</v>
      </c>
      <c r="AF8722">
        <v>0</v>
      </c>
      <c r="AG8722">
        <v>0</v>
      </c>
      <c r="AH8722">
        <v>0</v>
      </c>
      <c r="AI8722">
        <v>0</v>
      </c>
      <c r="AJ8722">
        <v>371.48</v>
      </c>
      <c r="AK8722">
        <v>0</v>
      </c>
      <c r="AL8722" t="s">
        <v>53</v>
      </c>
      <c r="AM8722" t="s">
        <v>53</v>
      </c>
      <c r="AN8722" t="s">
        <v>53</v>
      </c>
      <c r="AO8722" t="s">
        <v>53</v>
      </c>
      <c r="AP8722" t="s">
        <v>53</v>
      </c>
    </row>
    <row r="8723" spans="2:42" x14ac:dyDescent="0.2">
      <c r="B8723" t="s">
        <v>44</v>
      </c>
      <c r="C8723" t="str">
        <f>HYPERLINK("https://us2.cloudbeds.com/connect/8493803454333002#/reservations/9080486848915712?display=50QUF8DRW4&amp;reservation_id=9080486848915712", "50QUF8DRW4")</f>
        <v>50QUF8DRW4</v>
      </c>
      <c r="D8723" t="s">
        <v>45</v>
      </c>
      <c r="E8723" t="s">
        <v>92</v>
      </c>
      <c r="F8723" t="s">
        <v>86</v>
      </c>
      <c r="G8723" t="s">
        <v>48</v>
      </c>
      <c r="H8723" t="s">
        <v>49</v>
      </c>
      <c r="I8723" t="s">
        <v>50</v>
      </c>
      <c r="J8723" t="s">
        <v>13977</v>
      </c>
      <c r="K8723" t="s">
        <v>12823</v>
      </c>
      <c r="L8723" t="s">
        <v>53</v>
      </c>
      <c r="N8723" t="s">
        <v>16589</v>
      </c>
      <c r="P8723" t="s">
        <v>55</v>
      </c>
      <c r="R8723" t="s">
        <v>53</v>
      </c>
      <c r="T8723" t="s">
        <v>16590</v>
      </c>
      <c r="U8723" t="s">
        <v>55</v>
      </c>
      <c r="V8723">
        <v>2</v>
      </c>
      <c r="W8723">
        <v>1</v>
      </c>
      <c r="X8723">
        <v>3</v>
      </c>
      <c r="Y8723">
        <v>0</v>
      </c>
      <c r="Z8723">
        <v>3</v>
      </c>
      <c r="AA8723">
        <v>229.81</v>
      </c>
      <c r="AB8723">
        <v>229.81</v>
      </c>
      <c r="AC8723">
        <v>211.33</v>
      </c>
      <c r="AD8723">
        <v>0</v>
      </c>
      <c r="AE8723">
        <v>18.48</v>
      </c>
      <c r="AF8723">
        <v>0</v>
      </c>
      <c r="AG8723">
        <v>0</v>
      </c>
      <c r="AH8723">
        <v>0</v>
      </c>
      <c r="AI8723">
        <v>41.37</v>
      </c>
      <c r="AJ8723">
        <v>229.81</v>
      </c>
      <c r="AK8723">
        <v>0</v>
      </c>
      <c r="AL8723" t="s">
        <v>53</v>
      </c>
      <c r="AM8723" t="s">
        <v>53</v>
      </c>
      <c r="AN8723" t="s">
        <v>53</v>
      </c>
      <c r="AO8723" t="s">
        <v>53</v>
      </c>
      <c r="AP8723" t="s">
        <v>53</v>
      </c>
    </row>
    <row r="8724" spans="2:42" x14ac:dyDescent="0.2">
      <c r="B8724" t="s">
        <v>44</v>
      </c>
      <c r="C8724" t="str">
        <f>HYPERLINK("https://us2.cloudbeds.com/connect/8493803454333002#/reservations/233219342700672?display=50R8MP8AAD&amp;reservation_id=233219342700672", "50R8MP8AAD")</f>
        <v>50R8MP8AAD</v>
      </c>
      <c r="D8724" t="s">
        <v>45</v>
      </c>
      <c r="E8724" t="s">
        <v>223</v>
      </c>
      <c r="F8724" t="s">
        <v>47</v>
      </c>
      <c r="G8724" t="s">
        <v>13757</v>
      </c>
      <c r="H8724" t="s">
        <v>3957</v>
      </c>
      <c r="I8724" t="s">
        <v>3958</v>
      </c>
      <c r="J8724" t="s">
        <v>13977</v>
      </c>
      <c r="K8724" t="s">
        <v>16262</v>
      </c>
      <c r="L8724" t="s">
        <v>53</v>
      </c>
      <c r="P8724" t="s">
        <v>55</v>
      </c>
      <c r="R8724" t="s">
        <v>56</v>
      </c>
      <c r="T8724" t="s">
        <v>16591</v>
      </c>
      <c r="U8724" t="s">
        <v>58</v>
      </c>
      <c r="V8724">
        <v>1</v>
      </c>
      <c r="W8724">
        <v>1</v>
      </c>
      <c r="X8724">
        <v>1</v>
      </c>
      <c r="Y8724">
        <v>0</v>
      </c>
      <c r="Z8724">
        <v>1</v>
      </c>
      <c r="AA8724">
        <v>131.04</v>
      </c>
      <c r="AB8724">
        <v>131.04</v>
      </c>
      <c r="AC8724">
        <v>114.3</v>
      </c>
      <c r="AD8724">
        <v>0</v>
      </c>
      <c r="AE8724">
        <v>16.739999999999998</v>
      </c>
      <c r="AF8724">
        <v>0</v>
      </c>
      <c r="AG8724">
        <v>0</v>
      </c>
      <c r="AH8724">
        <v>0</v>
      </c>
      <c r="AI8724">
        <v>0</v>
      </c>
      <c r="AJ8724">
        <v>131.04</v>
      </c>
      <c r="AK8724">
        <v>0</v>
      </c>
      <c r="AL8724" t="s">
        <v>53</v>
      </c>
      <c r="AM8724" t="s">
        <v>53</v>
      </c>
      <c r="AN8724" t="s">
        <v>53</v>
      </c>
      <c r="AO8724" t="s">
        <v>53</v>
      </c>
      <c r="AP8724" t="s">
        <v>53</v>
      </c>
    </row>
    <row r="8725" spans="2:42" x14ac:dyDescent="0.2">
      <c r="B8725" t="s">
        <v>44</v>
      </c>
      <c r="C8725" t="str">
        <f>HYPERLINK("https://us2.cloudbeds.com/connect/8493803454333002#/reservations/9080486848916289?display=50RB3VT4A8&amp;reservation_id=9080486848916289", "50RB3VT4A8")</f>
        <v>50RB3VT4A8</v>
      </c>
      <c r="D8725" t="s">
        <v>45</v>
      </c>
      <c r="E8725" t="s">
        <v>85</v>
      </c>
      <c r="F8725" t="s">
        <v>86</v>
      </c>
      <c r="G8725" t="s">
        <v>48</v>
      </c>
      <c r="H8725" t="s">
        <v>49</v>
      </c>
      <c r="I8725" t="s">
        <v>50</v>
      </c>
      <c r="J8725" t="s">
        <v>13977</v>
      </c>
      <c r="K8725" t="s">
        <v>16262</v>
      </c>
      <c r="L8725" t="s">
        <v>53</v>
      </c>
      <c r="N8725" t="s">
        <v>16592</v>
      </c>
      <c r="P8725" t="s">
        <v>55</v>
      </c>
      <c r="R8725" t="s">
        <v>53</v>
      </c>
      <c r="T8725" t="s">
        <v>16593</v>
      </c>
      <c r="U8725" t="s">
        <v>55</v>
      </c>
      <c r="V8725">
        <v>1</v>
      </c>
      <c r="W8725">
        <v>1</v>
      </c>
      <c r="X8725">
        <v>2</v>
      </c>
      <c r="Y8725">
        <v>0</v>
      </c>
      <c r="Z8725">
        <v>2</v>
      </c>
      <c r="AA8725">
        <v>101.9</v>
      </c>
      <c r="AB8725">
        <v>101.9</v>
      </c>
      <c r="AC8725">
        <v>93.7</v>
      </c>
      <c r="AD8725">
        <v>0</v>
      </c>
      <c r="AE8725">
        <v>8.1999999999999993</v>
      </c>
      <c r="AF8725">
        <v>0</v>
      </c>
      <c r="AG8725">
        <v>0</v>
      </c>
      <c r="AH8725">
        <v>0</v>
      </c>
      <c r="AI8725">
        <v>18.34</v>
      </c>
      <c r="AJ8725">
        <v>101.9</v>
      </c>
      <c r="AK8725">
        <v>0</v>
      </c>
      <c r="AL8725" t="s">
        <v>53</v>
      </c>
      <c r="AM8725" t="s">
        <v>53</v>
      </c>
      <c r="AN8725" t="s">
        <v>53</v>
      </c>
      <c r="AO8725" t="s">
        <v>53</v>
      </c>
      <c r="AP8725" t="s">
        <v>53</v>
      </c>
    </row>
    <row r="8726" spans="2:42" x14ac:dyDescent="0.2">
      <c r="B8726" t="s">
        <v>44</v>
      </c>
      <c r="C8726" t="str">
        <f>HYPERLINK("https://us2.cloudbeds.com/connect/8493803454333002#/reservations/9080486848916767?display=50RMNP3PWU&amp;reservation_id=9080486848916767", "50RMNP3PWU")</f>
        <v>50RMNP3PWU</v>
      </c>
      <c r="D8726" t="s">
        <v>45</v>
      </c>
      <c r="E8726" t="s">
        <v>69</v>
      </c>
      <c r="F8726" t="s">
        <v>70</v>
      </c>
      <c r="G8726" t="s">
        <v>48</v>
      </c>
      <c r="H8726" t="s">
        <v>49</v>
      </c>
      <c r="I8726" t="s">
        <v>50</v>
      </c>
      <c r="J8726" t="s">
        <v>12863</v>
      </c>
      <c r="K8726" t="s">
        <v>13085</v>
      </c>
      <c r="L8726" t="s">
        <v>53</v>
      </c>
      <c r="N8726" t="s">
        <v>16594</v>
      </c>
      <c r="P8726" t="s">
        <v>55</v>
      </c>
      <c r="R8726" t="s">
        <v>53</v>
      </c>
      <c r="T8726" t="s">
        <v>16595</v>
      </c>
      <c r="U8726" t="s">
        <v>55</v>
      </c>
      <c r="V8726">
        <v>1</v>
      </c>
      <c r="W8726">
        <v>1</v>
      </c>
      <c r="X8726">
        <v>2</v>
      </c>
      <c r="Y8726">
        <v>0</v>
      </c>
      <c r="Z8726">
        <v>2</v>
      </c>
      <c r="AA8726">
        <v>117.68</v>
      </c>
      <c r="AB8726">
        <v>117.68</v>
      </c>
      <c r="AC8726">
        <v>108.21</v>
      </c>
      <c r="AD8726">
        <v>0</v>
      </c>
      <c r="AE8726">
        <v>9.4700000000000006</v>
      </c>
      <c r="AF8726">
        <v>0</v>
      </c>
      <c r="AG8726">
        <v>0</v>
      </c>
      <c r="AH8726">
        <v>0</v>
      </c>
      <c r="AI8726">
        <v>21.18</v>
      </c>
      <c r="AJ8726">
        <v>117.68</v>
      </c>
      <c r="AK8726">
        <v>0</v>
      </c>
      <c r="AL8726" t="s">
        <v>53</v>
      </c>
      <c r="AM8726" t="s">
        <v>53</v>
      </c>
      <c r="AN8726" t="s">
        <v>53</v>
      </c>
      <c r="AO8726" t="s">
        <v>53</v>
      </c>
      <c r="AP8726" t="s">
        <v>53</v>
      </c>
    </row>
    <row r="8727" spans="2:42" x14ac:dyDescent="0.2">
      <c r="B8727" t="s">
        <v>44</v>
      </c>
      <c r="C8727" t="str">
        <f>HYPERLINK("https://us2.cloudbeds.com/connect/8493803454333002#/reservations/9080486848918098?display=50SMK5CASU&amp;reservation_id=9080486848918098", "50SMK5CASU")</f>
        <v>50SMK5CASU</v>
      </c>
      <c r="D8727" t="s">
        <v>45</v>
      </c>
      <c r="E8727" t="s">
        <v>406</v>
      </c>
      <c r="F8727" t="s">
        <v>61</v>
      </c>
      <c r="G8727" t="s">
        <v>48</v>
      </c>
      <c r="H8727" t="s">
        <v>49</v>
      </c>
      <c r="I8727" t="s">
        <v>62</v>
      </c>
      <c r="J8727" t="s">
        <v>13977</v>
      </c>
      <c r="K8727" t="s">
        <v>16262</v>
      </c>
      <c r="L8727" t="s">
        <v>53</v>
      </c>
      <c r="N8727" t="s">
        <v>16596</v>
      </c>
      <c r="P8727" t="s">
        <v>55</v>
      </c>
      <c r="R8727" t="s">
        <v>56</v>
      </c>
      <c r="T8727" t="s">
        <v>16597</v>
      </c>
      <c r="U8727" t="s">
        <v>55</v>
      </c>
      <c r="V8727">
        <v>1</v>
      </c>
      <c r="W8727">
        <v>1</v>
      </c>
      <c r="X8727">
        <v>2</v>
      </c>
      <c r="Y8727">
        <v>0</v>
      </c>
      <c r="Z8727">
        <v>2</v>
      </c>
      <c r="AA8727">
        <v>162.15</v>
      </c>
      <c r="AB8727">
        <v>162.15</v>
      </c>
      <c r="AC8727">
        <v>162.15</v>
      </c>
      <c r="AD8727">
        <v>0</v>
      </c>
      <c r="AE8727">
        <v>0</v>
      </c>
      <c r="AF8727">
        <v>0</v>
      </c>
      <c r="AG8727">
        <v>0</v>
      </c>
      <c r="AH8727">
        <v>0</v>
      </c>
      <c r="AI8727">
        <v>29.19</v>
      </c>
      <c r="AJ8727">
        <v>162.15</v>
      </c>
      <c r="AK8727">
        <v>0</v>
      </c>
      <c r="AL8727" t="s">
        <v>53</v>
      </c>
      <c r="AM8727" t="s">
        <v>53</v>
      </c>
      <c r="AN8727" t="s">
        <v>53</v>
      </c>
      <c r="AO8727" t="s">
        <v>53</v>
      </c>
      <c r="AP8727" t="s">
        <v>53</v>
      </c>
    </row>
    <row r="8728" spans="2:42" x14ac:dyDescent="0.2">
      <c r="B8728" t="s">
        <v>44</v>
      </c>
      <c r="C8728" t="str">
        <f>HYPERLINK("https://us2.cloudbeds.com/connect/8493803454333002#/reservations/9080486848923086?display=50WPGC2VZD&amp;reservation_id=9080486848923086", "50WPGC2VZD")</f>
        <v>50WPGC2VZD</v>
      </c>
      <c r="D8728" t="s">
        <v>10291</v>
      </c>
      <c r="E8728" t="s">
        <v>113</v>
      </c>
      <c r="F8728" t="s">
        <v>61</v>
      </c>
      <c r="G8728" t="s">
        <v>48</v>
      </c>
      <c r="H8728" t="s">
        <v>49</v>
      </c>
      <c r="I8728" t="s">
        <v>50</v>
      </c>
      <c r="J8728" t="s">
        <v>16569</v>
      </c>
      <c r="K8728" t="s">
        <v>16570</v>
      </c>
      <c r="L8728" t="s">
        <v>53</v>
      </c>
      <c r="N8728" t="s">
        <v>16598</v>
      </c>
      <c r="P8728" t="s">
        <v>55</v>
      </c>
      <c r="R8728" t="s">
        <v>53</v>
      </c>
      <c r="T8728" t="s">
        <v>16599</v>
      </c>
      <c r="U8728" t="s">
        <v>55</v>
      </c>
      <c r="V8728">
        <v>2</v>
      </c>
      <c r="W8728">
        <v>1</v>
      </c>
      <c r="X8728">
        <v>2</v>
      </c>
      <c r="Y8728">
        <v>0</v>
      </c>
      <c r="Z8728">
        <v>2</v>
      </c>
      <c r="AA8728">
        <v>294.37</v>
      </c>
      <c r="AB8728">
        <v>0</v>
      </c>
      <c r="AC8728">
        <v>270.68</v>
      </c>
      <c r="AD8728">
        <v>0</v>
      </c>
      <c r="AE8728">
        <v>23.69</v>
      </c>
      <c r="AF8728">
        <v>0</v>
      </c>
      <c r="AG8728">
        <v>0</v>
      </c>
      <c r="AH8728">
        <v>0</v>
      </c>
      <c r="AI8728">
        <v>52.99</v>
      </c>
      <c r="AJ8728">
        <v>294.37</v>
      </c>
      <c r="AK8728">
        <v>294.37</v>
      </c>
      <c r="AL8728" t="s">
        <v>53</v>
      </c>
      <c r="AM8728" t="s">
        <v>53</v>
      </c>
      <c r="AN8728" t="s">
        <v>53</v>
      </c>
      <c r="AO8728" t="s">
        <v>53</v>
      </c>
      <c r="AP8728" t="s">
        <v>53</v>
      </c>
    </row>
    <row r="8729" spans="2:42" x14ac:dyDescent="0.2">
      <c r="B8729" t="s">
        <v>44</v>
      </c>
      <c r="C8729" t="str">
        <f>HYPERLINK("https://us2.cloudbeds.com/connect/8493803454333002#/reservations/9080486848926445?display=511K9BYVM7&amp;reservation_id=9080486848926445", "511K9BYVM7")</f>
        <v>511K9BYVM7</v>
      </c>
      <c r="D8729" t="s">
        <v>45</v>
      </c>
      <c r="E8729" t="s">
        <v>105</v>
      </c>
      <c r="F8729" t="s">
        <v>47</v>
      </c>
      <c r="G8729" t="s">
        <v>48</v>
      </c>
      <c r="H8729" t="s">
        <v>49</v>
      </c>
      <c r="I8729" t="s">
        <v>50</v>
      </c>
      <c r="J8729" t="s">
        <v>16197</v>
      </c>
      <c r="K8729" t="s">
        <v>14637</v>
      </c>
      <c r="L8729" t="s">
        <v>53</v>
      </c>
      <c r="N8729" t="s">
        <v>16600</v>
      </c>
      <c r="P8729" t="s">
        <v>55</v>
      </c>
      <c r="R8729" t="s">
        <v>53</v>
      </c>
      <c r="T8729" t="s">
        <v>16601</v>
      </c>
      <c r="U8729" t="s">
        <v>55</v>
      </c>
      <c r="V8729">
        <v>1</v>
      </c>
      <c r="W8729">
        <v>1</v>
      </c>
      <c r="X8729">
        <v>2</v>
      </c>
      <c r="Y8729">
        <v>0</v>
      </c>
      <c r="Z8729">
        <v>2</v>
      </c>
      <c r="AA8729">
        <v>115.62</v>
      </c>
      <c r="AB8729">
        <v>115.62</v>
      </c>
      <c r="AC8729">
        <v>106.32</v>
      </c>
      <c r="AD8729">
        <v>0</v>
      </c>
      <c r="AE8729">
        <v>9.3000000000000007</v>
      </c>
      <c r="AF8729">
        <v>0</v>
      </c>
      <c r="AG8729">
        <v>0</v>
      </c>
      <c r="AH8729">
        <v>0</v>
      </c>
      <c r="AI8729">
        <v>20.81</v>
      </c>
      <c r="AJ8729">
        <v>115.62</v>
      </c>
      <c r="AK8729">
        <v>0</v>
      </c>
      <c r="AL8729" t="s">
        <v>53</v>
      </c>
      <c r="AM8729" t="s">
        <v>53</v>
      </c>
      <c r="AN8729" t="s">
        <v>53</v>
      </c>
      <c r="AO8729" t="s">
        <v>53</v>
      </c>
      <c r="AP8729" t="s">
        <v>53</v>
      </c>
    </row>
    <row r="8730" spans="2:42" x14ac:dyDescent="0.2">
      <c r="B8730" t="s">
        <v>44</v>
      </c>
      <c r="C8730" t="str">
        <f>HYPERLINK("https://us2.cloudbeds.com/connect/8493803454333002#/reservations/233551117435008?display=5121JCG8BY&amp;reservation_id=233551117435008", "5121JCG8BY")</f>
        <v>5121JCG8BY</v>
      </c>
      <c r="D8730" t="s">
        <v>45</v>
      </c>
      <c r="E8730" t="s">
        <v>78</v>
      </c>
      <c r="F8730" t="s">
        <v>61</v>
      </c>
      <c r="G8730" t="s">
        <v>4520</v>
      </c>
      <c r="H8730" t="s">
        <v>3957</v>
      </c>
      <c r="I8730" t="s">
        <v>3958</v>
      </c>
      <c r="J8730" t="s">
        <v>16262</v>
      </c>
      <c r="K8730" t="s">
        <v>12863</v>
      </c>
      <c r="L8730" t="s">
        <v>53</v>
      </c>
      <c r="P8730" t="s">
        <v>55</v>
      </c>
      <c r="R8730" t="s">
        <v>56</v>
      </c>
      <c r="T8730" t="s">
        <v>16602</v>
      </c>
      <c r="U8730" t="s">
        <v>58</v>
      </c>
      <c r="V8730">
        <v>3</v>
      </c>
      <c r="W8730">
        <v>1</v>
      </c>
      <c r="X8730">
        <v>1</v>
      </c>
      <c r="Y8730">
        <v>0</v>
      </c>
      <c r="Z8730">
        <v>1</v>
      </c>
      <c r="AA8730">
        <v>745</v>
      </c>
      <c r="AB8730">
        <v>901.84</v>
      </c>
      <c r="AC8730">
        <v>649.79999999999995</v>
      </c>
      <c r="AD8730">
        <v>0</v>
      </c>
      <c r="AE8730">
        <v>95.2</v>
      </c>
      <c r="AF8730">
        <v>0</v>
      </c>
      <c r="AG8730">
        <v>0</v>
      </c>
      <c r="AH8730">
        <v>0</v>
      </c>
      <c r="AI8730">
        <v>0</v>
      </c>
      <c r="AJ8730">
        <v>745</v>
      </c>
      <c r="AK8730">
        <v>0</v>
      </c>
      <c r="AL8730" t="s">
        <v>53</v>
      </c>
      <c r="AM8730" t="s">
        <v>53</v>
      </c>
      <c r="AN8730" t="s">
        <v>53</v>
      </c>
      <c r="AO8730" t="s">
        <v>53</v>
      </c>
      <c r="AP8730" t="s">
        <v>53</v>
      </c>
    </row>
    <row r="8731" spans="2:42" x14ac:dyDescent="0.2">
      <c r="B8731" t="s">
        <v>44</v>
      </c>
      <c r="C8731" t="str">
        <f>HYPERLINK("https://us2.cloudbeds.com/connect/8493803454333002#/reservations/9080486848927559?display=5129JYKTVN&amp;reservation_id=9080486848927559", "5129JYKTVN")</f>
        <v>5129JYKTVN</v>
      </c>
      <c r="D8731" t="s">
        <v>45</v>
      </c>
      <c r="E8731" t="s">
        <v>185</v>
      </c>
      <c r="F8731" t="s">
        <v>47</v>
      </c>
      <c r="G8731" t="s">
        <v>48</v>
      </c>
      <c r="H8731" t="s">
        <v>49</v>
      </c>
      <c r="I8731" t="s">
        <v>50</v>
      </c>
      <c r="J8731" t="s">
        <v>14831</v>
      </c>
      <c r="K8731" t="s">
        <v>14623</v>
      </c>
      <c r="L8731" t="s">
        <v>53</v>
      </c>
      <c r="N8731" t="s">
        <v>16603</v>
      </c>
      <c r="P8731" t="s">
        <v>55</v>
      </c>
      <c r="R8731" t="s">
        <v>53</v>
      </c>
      <c r="T8731" t="s">
        <v>16604</v>
      </c>
      <c r="U8731" t="s">
        <v>55</v>
      </c>
      <c r="V8731">
        <v>3</v>
      </c>
      <c r="W8731">
        <v>1</v>
      </c>
      <c r="X8731">
        <v>2</v>
      </c>
      <c r="Y8731">
        <v>0</v>
      </c>
      <c r="Z8731">
        <v>2</v>
      </c>
      <c r="AA8731">
        <v>379.34</v>
      </c>
      <c r="AB8731">
        <v>382.08</v>
      </c>
      <c r="AC8731">
        <v>348.82</v>
      </c>
      <c r="AD8731">
        <v>5</v>
      </c>
      <c r="AE8731">
        <v>31</v>
      </c>
      <c r="AF8731">
        <v>0</v>
      </c>
      <c r="AG8731">
        <v>0</v>
      </c>
      <c r="AH8731">
        <v>0</v>
      </c>
      <c r="AI8731">
        <v>69.27</v>
      </c>
      <c r="AJ8731">
        <v>384.82</v>
      </c>
      <c r="AK8731">
        <v>2.74</v>
      </c>
      <c r="AL8731" t="s">
        <v>53</v>
      </c>
      <c r="AM8731" t="s">
        <v>53</v>
      </c>
      <c r="AN8731" t="s">
        <v>53</v>
      </c>
      <c r="AO8731" t="s">
        <v>53</v>
      </c>
      <c r="AP8731" t="s">
        <v>53</v>
      </c>
    </row>
    <row r="8732" spans="2:42" x14ac:dyDescent="0.2">
      <c r="B8732" t="s">
        <v>44</v>
      </c>
      <c r="C8732" t="str">
        <f>HYPERLINK("https://us2.cloudbeds.com/connect/8493803454333002#/reservations/233587198025856?display=512THAK7AR&amp;reservation_id=233587198025856", "512THAK7AR")</f>
        <v>512THAK7AR</v>
      </c>
      <c r="D8732" t="s">
        <v>45</v>
      </c>
      <c r="E8732" t="s">
        <v>14695</v>
      </c>
      <c r="F8732" t="s">
        <v>47</v>
      </c>
      <c r="G8732" t="s">
        <v>48</v>
      </c>
      <c r="H8732" t="s">
        <v>3957</v>
      </c>
      <c r="I8732" t="s">
        <v>3958</v>
      </c>
      <c r="J8732" t="s">
        <v>16262</v>
      </c>
      <c r="K8732" t="s">
        <v>12823</v>
      </c>
      <c r="L8732" t="s">
        <v>53</v>
      </c>
      <c r="P8732" t="s">
        <v>55</v>
      </c>
      <c r="R8732" t="s">
        <v>56</v>
      </c>
      <c r="T8732" t="s">
        <v>16605</v>
      </c>
      <c r="U8732" t="s">
        <v>58</v>
      </c>
      <c r="V8732">
        <v>1</v>
      </c>
      <c r="W8732">
        <v>1</v>
      </c>
      <c r="X8732">
        <v>1</v>
      </c>
      <c r="Y8732">
        <v>0</v>
      </c>
      <c r="Z8732">
        <v>1</v>
      </c>
      <c r="AA8732">
        <v>158.22</v>
      </c>
      <c r="AB8732">
        <v>158.22</v>
      </c>
      <c r="AC8732">
        <v>138</v>
      </c>
      <c r="AD8732">
        <v>0</v>
      </c>
      <c r="AE8732">
        <v>20.22</v>
      </c>
      <c r="AF8732">
        <v>0</v>
      </c>
      <c r="AG8732">
        <v>0</v>
      </c>
      <c r="AH8732">
        <v>0</v>
      </c>
      <c r="AI8732">
        <v>0</v>
      </c>
      <c r="AJ8732">
        <v>158.22</v>
      </c>
      <c r="AK8732">
        <v>0</v>
      </c>
      <c r="AL8732" t="s">
        <v>53</v>
      </c>
      <c r="AM8732" t="s">
        <v>53</v>
      </c>
      <c r="AN8732" t="s">
        <v>53</v>
      </c>
      <c r="AO8732" t="s">
        <v>53</v>
      </c>
      <c r="AP8732" t="s">
        <v>53</v>
      </c>
    </row>
    <row r="8733" spans="2:42" x14ac:dyDescent="0.2">
      <c r="B8733" t="s">
        <v>44</v>
      </c>
      <c r="C8733" t="str">
        <f>HYPERLINK("https://us2.cloudbeds.com/connect/8493803454333002#/reservations/233634366263488?display=51401J35DD&amp;reservation_id=233634366263488", "51401J35DD")</f>
        <v>51401J35DD</v>
      </c>
      <c r="D8733" t="s">
        <v>45</v>
      </c>
      <c r="E8733" t="s">
        <v>14402</v>
      </c>
      <c r="F8733" t="s">
        <v>14403</v>
      </c>
      <c r="G8733" t="s">
        <v>48</v>
      </c>
      <c r="H8733" t="s">
        <v>3957</v>
      </c>
      <c r="I8733" t="s">
        <v>3975</v>
      </c>
      <c r="J8733" t="s">
        <v>12958</v>
      </c>
      <c r="K8733" t="s">
        <v>13085</v>
      </c>
      <c r="L8733" t="s">
        <v>53</v>
      </c>
      <c r="P8733" t="s">
        <v>55</v>
      </c>
      <c r="R8733" t="s">
        <v>56</v>
      </c>
      <c r="T8733" t="s">
        <v>16606</v>
      </c>
      <c r="U8733" t="s">
        <v>58</v>
      </c>
      <c r="V8733">
        <v>2</v>
      </c>
      <c r="W8733">
        <v>1</v>
      </c>
      <c r="X8733">
        <v>2</v>
      </c>
      <c r="Y8733">
        <v>0</v>
      </c>
      <c r="Z8733">
        <v>2</v>
      </c>
      <c r="AA8733">
        <v>0</v>
      </c>
      <c r="AB8733">
        <v>509.06</v>
      </c>
      <c r="AC8733">
        <v>444</v>
      </c>
      <c r="AD8733">
        <v>0</v>
      </c>
      <c r="AE8733">
        <v>65.06</v>
      </c>
      <c r="AF8733">
        <v>0</v>
      </c>
      <c r="AG8733">
        <v>0</v>
      </c>
      <c r="AH8733">
        <v>0</v>
      </c>
      <c r="AI8733">
        <v>0</v>
      </c>
      <c r="AJ8733">
        <v>509.06</v>
      </c>
      <c r="AK8733">
        <v>0</v>
      </c>
      <c r="AL8733" t="s">
        <v>53</v>
      </c>
      <c r="AM8733" t="s">
        <v>53</v>
      </c>
      <c r="AN8733" t="s">
        <v>16607</v>
      </c>
      <c r="AO8733" t="s">
        <v>53</v>
      </c>
      <c r="AP8733" t="s">
        <v>53</v>
      </c>
    </row>
    <row r="8734" spans="2:42" x14ac:dyDescent="0.2">
      <c r="B8734" t="s">
        <v>44</v>
      </c>
      <c r="C8734" t="str">
        <f>HYPERLINK("https://us2.cloudbeds.com/connect/8493803454333002#/reservations/9080486848930943?display=5150PE1K9G&amp;reservation_id=9080486848930943", "5150PE1K9G")</f>
        <v>5150PE1K9G</v>
      </c>
      <c r="D8734" t="s">
        <v>45</v>
      </c>
      <c r="E8734" t="s">
        <v>406</v>
      </c>
      <c r="F8734" t="s">
        <v>61</v>
      </c>
      <c r="G8734" t="s">
        <v>48</v>
      </c>
      <c r="H8734" t="s">
        <v>49</v>
      </c>
      <c r="I8734" t="s">
        <v>50</v>
      </c>
      <c r="J8734" t="s">
        <v>12863</v>
      </c>
      <c r="K8734" t="s">
        <v>13085</v>
      </c>
      <c r="L8734" t="s">
        <v>53</v>
      </c>
      <c r="N8734" t="s">
        <v>16608</v>
      </c>
      <c r="P8734" t="s">
        <v>55</v>
      </c>
      <c r="R8734" t="s">
        <v>53</v>
      </c>
      <c r="T8734" t="s">
        <v>16609</v>
      </c>
      <c r="U8734" t="s">
        <v>55</v>
      </c>
      <c r="V8734">
        <v>1</v>
      </c>
      <c r="W8734">
        <v>1</v>
      </c>
      <c r="X8734">
        <v>2</v>
      </c>
      <c r="Y8734">
        <v>0</v>
      </c>
      <c r="Z8734">
        <v>2</v>
      </c>
      <c r="AA8734">
        <v>156.03</v>
      </c>
      <c r="AB8734">
        <v>156.03</v>
      </c>
      <c r="AC8734">
        <v>143.47999999999999</v>
      </c>
      <c r="AD8734">
        <v>0</v>
      </c>
      <c r="AE8734">
        <v>12.55</v>
      </c>
      <c r="AF8734">
        <v>0</v>
      </c>
      <c r="AG8734">
        <v>0</v>
      </c>
      <c r="AH8734">
        <v>0</v>
      </c>
      <c r="AI8734">
        <v>28.09</v>
      </c>
      <c r="AJ8734">
        <v>156.03</v>
      </c>
      <c r="AK8734">
        <v>0</v>
      </c>
      <c r="AL8734" t="s">
        <v>53</v>
      </c>
      <c r="AM8734" t="s">
        <v>53</v>
      </c>
      <c r="AN8734" t="s">
        <v>16610</v>
      </c>
      <c r="AO8734" t="s">
        <v>53</v>
      </c>
      <c r="AP8734" t="s">
        <v>53</v>
      </c>
    </row>
    <row r="8735" spans="2:42" x14ac:dyDescent="0.2">
      <c r="B8735" t="s">
        <v>44</v>
      </c>
      <c r="C8735" t="str">
        <f>HYPERLINK("https://us2.cloudbeds.com/connect/8493803454333002#/reservations/9080486848931374?display=515G7CTWVM&amp;reservation_id=9080486848931374", "515G7CTWVM")</f>
        <v>515G7CTWVM</v>
      </c>
      <c r="D8735" t="s">
        <v>45</v>
      </c>
      <c r="E8735" t="s">
        <v>85</v>
      </c>
      <c r="F8735" t="s">
        <v>86</v>
      </c>
      <c r="G8735" t="s">
        <v>48</v>
      </c>
      <c r="H8735" t="s">
        <v>49</v>
      </c>
      <c r="I8735" t="s">
        <v>8964</v>
      </c>
      <c r="J8735" t="s">
        <v>14976</v>
      </c>
      <c r="K8735" t="s">
        <v>14637</v>
      </c>
      <c r="L8735" t="s">
        <v>53</v>
      </c>
      <c r="N8735" t="s">
        <v>16611</v>
      </c>
      <c r="P8735" t="s">
        <v>55</v>
      </c>
      <c r="R8735" t="s">
        <v>53</v>
      </c>
      <c r="T8735" t="s">
        <v>16612</v>
      </c>
      <c r="U8735" t="s">
        <v>55</v>
      </c>
      <c r="V8735">
        <v>5</v>
      </c>
      <c r="W8735">
        <v>1</v>
      </c>
      <c r="X8735">
        <v>2</v>
      </c>
      <c r="Y8735">
        <v>0</v>
      </c>
      <c r="Z8735">
        <v>2</v>
      </c>
      <c r="AA8735">
        <v>0</v>
      </c>
      <c r="AB8735">
        <v>0</v>
      </c>
      <c r="AC8735">
        <v>1571</v>
      </c>
      <c r="AD8735">
        <v>0</v>
      </c>
      <c r="AE8735">
        <v>0</v>
      </c>
      <c r="AF8735">
        <v>0</v>
      </c>
      <c r="AG8735">
        <v>0</v>
      </c>
      <c r="AH8735">
        <v>0</v>
      </c>
      <c r="AI8735">
        <v>235.65</v>
      </c>
      <c r="AJ8735">
        <v>1571</v>
      </c>
      <c r="AK8735">
        <v>1571</v>
      </c>
      <c r="AL8735" t="s">
        <v>53</v>
      </c>
      <c r="AM8735" t="s">
        <v>53</v>
      </c>
      <c r="AN8735" t="s">
        <v>16613</v>
      </c>
      <c r="AO8735" t="s">
        <v>53</v>
      </c>
      <c r="AP8735" t="s">
        <v>53</v>
      </c>
    </row>
    <row r="8736" spans="2:42" x14ac:dyDescent="0.2">
      <c r="B8736" t="s">
        <v>44</v>
      </c>
      <c r="C8736" t="str">
        <f>HYPERLINK("https://us2.cloudbeds.com/connect/8493803454333002#/reservations/9080486848936344?display=5192P6QVUP&amp;reservation_id=9080486848936344", "5192P6QVUP")</f>
        <v>5192P6QVUP</v>
      </c>
      <c r="D8736" t="s">
        <v>45</v>
      </c>
      <c r="E8736" t="s">
        <v>105</v>
      </c>
      <c r="F8736" t="s">
        <v>47</v>
      </c>
      <c r="G8736" t="s">
        <v>48</v>
      </c>
      <c r="H8736" t="s">
        <v>49</v>
      </c>
      <c r="I8736" t="s">
        <v>50</v>
      </c>
      <c r="J8736" t="s">
        <v>14349</v>
      </c>
      <c r="K8736" t="s">
        <v>15838</v>
      </c>
      <c r="L8736" t="s">
        <v>53</v>
      </c>
      <c r="N8736" t="s">
        <v>16614</v>
      </c>
      <c r="P8736" t="s">
        <v>55</v>
      </c>
      <c r="R8736" t="s">
        <v>53</v>
      </c>
      <c r="T8736" t="s">
        <v>16615</v>
      </c>
      <c r="U8736" t="s">
        <v>55</v>
      </c>
      <c r="V8736">
        <v>1</v>
      </c>
      <c r="W8736">
        <v>1</v>
      </c>
      <c r="X8736">
        <v>2</v>
      </c>
      <c r="Y8736">
        <v>0</v>
      </c>
      <c r="Z8736">
        <v>2</v>
      </c>
      <c r="AA8736">
        <v>95.72</v>
      </c>
      <c r="AB8736">
        <v>95.72</v>
      </c>
      <c r="AC8736">
        <v>88.02</v>
      </c>
      <c r="AD8736">
        <v>0</v>
      </c>
      <c r="AE8736">
        <v>7.7</v>
      </c>
      <c r="AF8736">
        <v>0</v>
      </c>
      <c r="AG8736">
        <v>0</v>
      </c>
      <c r="AH8736">
        <v>0</v>
      </c>
      <c r="AI8736">
        <v>17.23</v>
      </c>
      <c r="AJ8736">
        <v>95.72</v>
      </c>
      <c r="AK8736">
        <v>0</v>
      </c>
      <c r="AL8736" t="s">
        <v>53</v>
      </c>
      <c r="AM8736" t="s">
        <v>53</v>
      </c>
      <c r="AN8736" t="s">
        <v>53</v>
      </c>
      <c r="AO8736" t="s">
        <v>53</v>
      </c>
      <c r="AP8736" t="s">
        <v>53</v>
      </c>
    </row>
    <row r="8737" spans="2:42" x14ac:dyDescent="0.2">
      <c r="B8737" t="s">
        <v>44</v>
      </c>
      <c r="C8737" t="str">
        <f>HYPERLINK("https://us2.cloudbeds.com/connect/8493803454333002#/reservations/9080486848936807?display=519BKHM8XH&amp;reservation_id=9080486848936807", "519BKHM8XH")</f>
        <v>519BKHM8XH</v>
      </c>
      <c r="D8737" t="s">
        <v>45</v>
      </c>
      <c r="E8737" t="s">
        <v>179</v>
      </c>
      <c r="F8737" t="s">
        <v>47</v>
      </c>
      <c r="G8737" t="s">
        <v>48</v>
      </c>
      <c r="H8737" t="s">
        <v>49</v>
      </c>
      <c r="I8737" t="s">
        <v>50</v>
      </c>
      <c r="J8737" t="s">
        <v>14349</v>
      </c>
      <c r="K8737" t="s">
        <v>14979</v>
      </c>
      <c r="L8737" t="s">
        <v>53</v>
      </c>
      <c r="N8737" t="s">
        <v>16616</v>
      </c>
      <c r="P8737" t="s">
        <v>55</v>
      </c>
      <c r="R8737" t="s">
        <v>53</v>
      </c>
      <c r="T8737" t="s">
        <v>16617</v>
      </c>
      <c r="U8737" t="s">
        <v>58</v>
      </c>
      <c r="V8737">
        <v>2</v>
      </c>
      <c r="W8737">
        <v>1</v>
      </c>
      <c r="X8737">
        <v>2</v>
      </c>
      <c r="Y8737">
        <v>0</v>
      </c>
      <c r="Z8737">
        <v>2</v>
      </c>
      <c r="AA8737">
        <v>295.86</v>
      </c>
      <c r="AB8737">
        <v>295.86</v>
      </c>
      <c r="AC8737">
        <v>258.06</v>
      </c>
      <c r="AD8737">
        <v>0</v>
      </c>
      <c r="AE8737">
        <v>37.799999999999997</v>
      </c>
      <c r="AF8737">
        <v>0</v>
      </c>
      <c r="AG8737">
        <v>0</v>
      </c>
      <c r="AH8737">
        <v>0</v>
      </c>
      <c r="AI8737">
        <v>53.25</v>
      </c>
      <c r="AJ8737">
        <v>295.86</v>
      </c>
      <c r="AK8737">
        <v>0</v>
      </c>
      <c r="AL8737" t="s">
        <v>53</v>
      </c>
      <c r="AM8737" t="s">
        <v>53</v>
      </c>
      <c r="AN8737" t="s">
        <v>16618</v>
      </c>
      <c r="AO8737" t="s">
        <v>53</v>
      </c>
      <c r="AP8737" t="s">
        <v>53</v>
      </c>
    </row>
    <row r="8738" spans="2:42" x14ac:dyDescent="0.2">
      <c r="B8738" t="s">
        <v>44</v>
      </c>
      <c r="C8738" t="str">
        <f>HYPERLINK("https://us2.cloudbeds.com/connect/8493803454333002#/reservations/9080486848937277?display=519KP2YBS6&amp;reservation_id=9080486848937277", "519KP2YBS6")</f>
        <v>519KP2YBS6</v>
      </c>
      <c r="D8738" t="s">
        <v>45</v>
      </c>
      <c r="E8738" t="s">
        <v>105</v>
      </c>
      <c r="F8738" t="s">
        <v>47</v>
      </c>
      <c r="G8738" t="s">
        <v>48</v>
      </c>
      <c r="H8738" t="s">
        <v>49</v>
      </c>
      <c r="I8738" t="s">
        <v>50</v>
      </c>
      <c r="J8738" t="s">
        <v>12863</v>
      </c>
      <c r="K8738" t="s">
        <v>13085</v>
      </c>
      <c r="L8738" t="s">
        <v>53</v>
      </c>
      <c r="N8738" t="s">
        <v>16619</v>
      </c>
      <c r="P8738" t="s">
        <v>55</v>
      </c>
      <c r="R8738" t="s">
        <v>53</v>
      </c>
      <c r="T8738" t="s">
        <v>16620</v>
      </c>
      <c r="U8738" t="s">
        <v>55</v>
      </c>
      <c r="V8738">
        <v>1</v>
      </c>
      <c r="W8738">
        <v>1</v>
      </c>
      <c r="X8738">
        <v>2</v>
      </c>
      <c r="Y8738">
        <v>0</v>
      </c>
      <c r="Z8738">
        <v>2</v>
      </c>
      <c r="AA8738">
        <v>117.68</v>
      </c>
      <c r="AB8738">
        <v>117.68</v>
      </c>
      <c r="AC8738">
        <v>108.21</v>
      </c>
      <c r="AD8738">
        <v>0</v>
      </c>
      <c r="AE8738">
        <v>9.4700000000000006</v>
      </c>
      <c r="AF8738">
        <v>0</v>
      </c>
      <c r="AG8738">
        <v>0</v>
      </c>
      <c r="AH8738">
        <v>0</v>
      </c>
      <c r="AI8738">
        <v>21.18</v>
      </c>
      <c r="AJ8738">
        <v>117.68</v>
      </c>
      <c r="AK8738">
        <v>0</v>
      </c>
      <c r="AL8738" t="s">
        <v>53</v>
      </c>
      <c r="AM8738" t="s">
        <v>53</v>
      </c>
      <c r="AN8738" t="s">
        <v>53</v>
      </c>
      <c r="AO8738" t="s">
        <v>53</v>
      </c>
      <c r="AP8738" t="s">
        <v>53</v>
      </c>
    </row>
    <row r="8739" spans="2:42" x14ac:dyDescent="0.2">
      <c r="B8739" t="s">
        <v>44</v>
      </c>
      <c r="C8739" t="str">
        <f>HYPERLINK("https://us2.cloudbeds.com/connect/8493803454333002#/reservations/233893641867456?display=51A2QM5VX8&amp;reservation_id=233893641867456", "51A2QM5VX8")</f>
        <v>51A2QM5VX8</v>
      </c>
      <c r="D8739" t="s">
        <v>45</v>
      </c>
      <c r="E8739" t="s">
        <v>373</v>
      </c>
      <c r="F8739" t="s">
        <v>47</v>
      </c>
      <c r="G8739" t="s">
        <v>3974</v>
      </c>
      <c r="H8739" t="s">
        <v>3957</v>
      </c>
      <c r="I8739" t="s">
        <v>3975</v>
      </c>
      <c r="J8739" t="s">
        <v>14831</v>
      </c>
      <c r="K8739" t="s">
        <v>14623</v>
      </c>
      <c r="L8739" t="s">
        <v>53</v>
      </c>
      <c r="P8739" t="s">
        <v>55</v>
      </c>
      <c r="R8739" t="s">
        <v>56</v>
      </c>
      <c r="T8739" t="s">
        <v>16621</v>
      </c>
      <c r="U8739" t="s">
        <v>58</v>
      </c>
      <c r="V8739">
        <v>3</v>
      </c>
      <c r="W8739">
        <v>1</v>
      </c>
      <c r="X8739">
        <v>1</v>
      </c>
      <c r="Y8739">
        <v>0</v>
      </c>
      <c r="Z8739">
        <v>1</v>
      </c>
      <c r="AA8739">
        <v>490.12</v>
      </c>
      <c r="AB8739">
        <v>490.12</v>
      </c>
      <c r="AC8739">
        <v>364.88</v>
      </c>
      <c r="AD8739">
        <v>0</v>
      </c>
      <c r="AE8739">
        <v>62.62</v>
      </c>
      <c r="AF8739">
        <v>0</v>
      </c>
      <c r="AG8739">
        <v>0</v>
      </c>
      <c r="AH8739">
        <v>0</v>
      </c>
      <c r="AI8739">
        <v>0</v>
      </c>
      <c r="AJ8739">
        <v>427.5</v>
      </c>
      <c r="AK8739">
        <v>0</v>
      </c>
      <c r="AL8739" t="s">
        <v>53</v>
      </c>
      <c r="AM8739" t="s">
        <v>53</v>
      </c>
      <c r="AN8739" t="s">
        <v>53</v>
      </c>
      <c r="AO8739" t="s">
        <v>53</v>
      </c>
      <c r="AP8739" t="s">
        <v>53</v>
      </c>
    </row>
    <row r="8740" spans="2:42" x14ac:dyDescent="0.2">
      <c r="B8740" t="s">
        <v>44</v>
      </c>
      <c r="C8740" t="str">
        <f>HYPERLINK("https://us2.cloudbeds.com/connect/8493803454333002#/reservations/9080486848938479?display=51AAFPN5DY&amp;reservation_id=9080486848938479", "51AAFPN5DY")</f>
        <v>51AAFPN5DY</v>
      </c>
      <c r="D8740" t="s">
        <v>45</v>
      </c>
      <c r="E8740" t="s">
        <v>14402</v>
      </c>
      <c r="F8740" t="s">
        <v>14403</v>
      </c>
      <c r="G8740" t="s">
        <v>48</v>
      </c>
      <c r="H8740" t="s">
        <v>49</v>
      </c>
      <c r="I8740" t="s">
        <v>50</v>
      </c>
      <c r="J8740" t="s">
        <v>14831</v>
      </c>
      <c r="K8740" t="s">
        <v>14348</v>
      </c>
      <c r="L8740" t="s">
        <v>53</v>
      </c>
      <c r="N8740" t="s">
        <v>16622</v>
      </c>
      <c r="P8740" t="s">
        <v>55</v>
      </c>
      <c r="R8740" t="s">
        <v>53</v>
      </c>
      <c r="T8740" t="s">
        <v>16623</v>
      </c>
      <c r="U8740" t="s">
        <v>55</v>
      </c>
      <c r="V8740">
        <v>2</v>
      </c>
      <c r="W8740">
        <v>1</v>
      </c>
      <c r="X8740">
        <v>2</v>
      </c>
      <c r="Y8740">
        <v>0</v>
      </c>
      <c r="Z8740">
        <v>2</v>
      </c>
      <c r="AA8740">
        <v>269.88</v>
      </c>
      <c r="AB8740">
        <v>269.88</v>
      </c>
      <c r="AC8740">
        <v>248.16</v>
      </c>
      <c r="AD8740">
        <v>0</v>
      </c>
      <c r="AE8740">
        <v>21.72</v>
      </c>
      <c r="AF8740">
        <v>0</v>
      </c>
      <c r="AG8740">
        <v>0</v>
      </c>
      <c r="AH8740">
        <v>0</v>
      </c>
      <c r="AI8740">
        <v>48.58</v>
      </c>
      <c r="AJ8740">
        <v>269.88</v>
      </c>
      <c r="AK8740">
        <v>0</v>
      </c>
      <c r="AL8740" t="s">
        <v>53</v>
      </c>
      <c r="AM8740" t="s">
        <v>53</v>
      </c>
      <c r="AN8740" t="s">
        <v>16624</v>
      </c>
      <c r="AO8740" t="s">
        <v>53</v>
      </c>
      <c r="AP8740" t="s">
        <v>53</v>
      </c>
    </row>
    <row r="8741" spans="2:42" x14ac:dyDescent="0.2">
      <c r="B8741" t="s">
        <v>44</v>
      </c>
      <c r="C8741" t="str">
        <f>HYPERLINK("https://us2.cloudbeds.com/connect/8493803454333002#/reservations/9080486848938861?display=51AJ2ETZCC&amp;reservation_id=9080486848938861", "51AJ2ETZCC")</f>
        <v>51AJ2ETZCC</v>
      </c>
      <c r="D8741" t="s">
        <v>45</v>
      </c>
      <c r="E8741" t="s">
        <v>14402</v>
      </c>
      <c r="F8741" t="s">
        <v>14403</v>
      </c>
      <c r="G8741" t="s">
        <v>48</v>
      </c>
      <c r="H8741" t="s">
        <v>49</v>
      </c>
      <c r="I8741" t="s">
        <v>50</v>
      </c>
      <c r="J8741" t="s">
        <v>13085</v>
      </c>
      <c r="K8741" t="s">
        <v>13086</v>
      </c>
      <c r="L8741" t="s">
        <v>53</v>
      </c>
      <c r="N8741" t="s">
        <v>16625</v>
      </c>
      <c r="P8741" t="s">
        <v>55</v>
      </c>
      <c r="R8741" t="s">
        <v>53</v>
      </c>
      <c r="T8741" t="s">
        <v>16626</v>
      </c>
      <c r="U8741" t="s">
        <v>55</v>
      </c>
      <c r="V8741">
        <v>3</v>
      </c>
      <c r="W8741">
        <v>1</v>
      </c>
      <c r="X8741">
        <v>1</v>
      </c>
      <c r="Y8741">
        <v>0</v>
      </c>
      <c r="Z8741">
        <v>1</v>
      </c>
      <c r="AA8741">
        <v>226.44</v>
      </c>
      <c r="AB8741">
        <v>249.37</v>
      </c>
      <c r="AC8741">
        <v>208.22</v>
      </c>
      <c r="AD8741">
        <v>20</v>
      </c>
      <c r="AE8741">
        <v>21.15</v>
      </c>
      <c r="AF8741">
        <v>0</v>
      </c>
      <c r="AG8741">
        <v>0</v>
      </c>
      <c r="AH8741">
        <v>0</v>
      </c>
      <c r="AI8741">
        <v>44.89</v>
      </c>
      <c r="AJ8741">
        <v>249.37</v>
      </c>
      <c r="AK8741">
        <v>0</v>
      </c>
      <c r="AL8741" t="s">
        <v>53</v>
      </c>
      <c r="AM8741" t="s">
        <v>53</v>
      </c>
      <c r="AN8741" t="s">
        <v>16627</v>
      </c>
      <c r="AO8741" t="s">
        <v>53</v>
      </c>
      <c r="AP8741" t="s">
        <v>53</v>
      </c>
    </row>
    <row r="8742" spans="2:42" x14ac:dyDescent="0.2">
      <c r="B8742" t="s">
        <v>44</v>
      </c>
      <c r="C8742" t="str">
        <f>HYPERLINK("https://us2.cloudbeds.com/connect/8493803454333002#/reservations/9080486848939003?display=51AM9NZ58Y&amp;reservation_id=9080486848939003", "51AM9NZ58Y")</f>
        <v>51AM9NZ58Y</v>
      </c>
      <c r="D8742" t="s">
        <v>45</v>
      </c>
      <c r="E8742" t="s">
        <v>78</v>
      </c>
      <c r="F8742" t="s">
        <v>61</v>
      </c>
      <c r="G8742" t="s">
        <v>48</v>
      </c>
      <c r="H8742" t="s">
        <v>49</v>
      </c>
      <c r="I8742" t="s">
        <v>50</v>
      </c>
      <c r="J8742" t="s">
        <v>14623</v>
      </c>
      <c r="K8742" t="s">
        <v>15838</v>
      </c>
      <c r="L8742" t="s">
        <v>53</v>
      </c>
      <c r="N8742" t="s">
        <v>16628</v>
      </c>
      <c r="P8742" t="s">
        <v>55</v>
      </c>
      <c r="R8742" t="s">
        <v>53</v>
      </c>
      <c r="T8742" t="s">
        <v>16629</v>
      </c>
      <c r="U8742" t="s">
        <v>55</v>
      </c>
      <c r="V8742">
        <v>2</v>
      </c>
      <c r="W8742">
        <v>1</v>
      </c>
      <c r="X8742">
        <v>2</v>
      </c>
      <c r="Y8742">
        <v>0</v>
      </c>
      <c r="Z8742">
        <v>2</v>
      </c>
      <c r="AA8742">
        <v>232.7</v>
      </c>
      <c r="AB8742">
        <v>232.7</v>
      </c>
      <c r="AC8742">
        <v>213.97</v>
      </c>
      <c r="AD8742">
        <v>0</v>
      </c>
      <c r="AE8742">
        <v>18.73</v>
      </c>
      <c r="AF8742">
        <v>0</v>
      </c>
      <c r="AG8742">
        <v>0</v>
      </c>
      <c r="AH8742">
        <v>0</v>
      </c>
      <c r="AI8742">
        <v>41.89</v>
      </c>
      <c r="AJ8742">
        <v>232.7</v>
      </c>
      <c r="AK8742">
        <v>0</v>
      </c>
      <c r="AL8742" t="s">
        <v>53</v>
      </c>
      <c r="AM8742" t="s">
        <v>53</v>
      </c>
      <c r="AN8742" t="s">
        <v>16630</v>
      </c>
      <c r="AO8742" t="s">
        <v>53</v>
      </c>
      <c r="AP8742" t="s">
        <v>53</v>
      </c>
    </row>
    <row r="8743" spans="2:42" x14ac:dyDescent="0.2">
      <c r="B8743" t="s">
        <v>44</v>
      </c>
      <c r="C8743" t="str">
        <f>HYPERLINK("https://us2.cloudbeds.com/connect/8493803454333002#/reservations/9080486848939429?display=51AWGQKUK0&amp;reservation_id=9080486848939429", "51AWGQKUK0")</f>
        <v>51AWGQKUK0</v>
      </c>
      <c r="D8743" t="s">
        <v>45</v>
      </c>
      <c r="E8743" t="s">
        <v>305</v>
      </c>
      <c r="F8743" t="s">
        <v>61</v>
      </c>
      <c r="G8743" t="s">
        <v>48</v>
      </c>
      <c r="H8743" t="s">
        <v>49</v>
      </c>
      <c r="I8743" t="s">
        <v>50</v>
      </c>
      <c r="J8743" t="s">
        <v>12823</v>
      </c>
      <c r="K8743" t="s">
        <v>12958</v>
      </c>
      <c r="L8743" t="s">
        <v>53</v>
      </c>
      <c r="N8743" t="s">
        <v>16631</v>
      </c>
      <c r="P8743" t="s">
        <v>55</v>
      </c>
      <c r="R8743" t="s">
        <v>53</v>
      </c>
      <c r="T8743" t="s">
        <v>16632</v>
      </c>
      <c r="U8743" t="s">
        <v>55</v>
      </c>
      <c r="V8743">
        <v>1</v>
      </c>
      <c r="W8743">
        <v>1</v>
      </c>
      <c r="X8743">
        <v>1</v>
      </c>
      <c r="Y8743">
        <v>0</v>
      </c>
      <c r="Z8743">
        <v>1</v>
      </c>
      <c r="AA8743">
        <v>182.79</v>
      </c>
      <c r="AB8743">
        <v>182.79</v>
      </c>
      <c r="AC8743">
        <v>168.09</v>
      </c>
      <c r="AD8743">
        <v>0</v>
      </c>
      <c r="AE8743">
        <v>14.7</v>
      </c>
      <c r="AF8743">
        <v>0</v>
      </c>
      <c r="AG8743">
        <v>0</v>
      </c>
      <c r="AH8743">
        <v>0</v>
      </c>
      <c r="AI8743">
        <v>32.9</v>
      </c>
      <c r="AJ8743">
        <v>182.79</v>
      </c>
      <c r="AK8743">
        <v>0</v>
      </c>
      <c r="AL8743" t="s">
        <v>53</v>
      </c>
      <c r="AM8743" t="s">
        <v>53</v>
      </c>
      <c r="AN8743" t="s">
        <v>53</v>
      </c>
      <c r="AO8743" t="s">
        <v>53</v>
      </c>
      <c r="AP8743" t="s">
        <v>53</v>
      </c>
    </row>
    <row r="8744" spans="2:42" x14ac:dyDescent="0.2">
      <c r="B8744" t="s">
        <v>44</v>
      </c>
      <c r="C8744" t="str">
        <f>HYPERLINK("https://us2.cloudbeds.com/connect/8493803454333002#/reservations/233937279660224?display=51B3JNNSJS&amp;reservation_id=233937279660224", "51B3JNNSJS")</f>
        <v>51B3JNNSJS</v>
      </c>
      <c r="D8744" t="s">
        <v>45</v>
      </c>
      <c r="E8744" t="s">
        <v>265</v>
      </c>
      <c r="F8744" t="s">
        <v>61</v>
      </c>
      <c r="G8744" t="s">
        <v>48</v>
      </c>
      <c r="H8744" t="s">
        <v>3957</v>
      </c>
      <c r="I8744" t="s">
        <v>3958</v>
      </c>
      <c r="J8744" t="s">
        <v>12823</v>
      </c>
      <c r="K8744" t="s">
        <v>12958</v>
      </c>
      <c r="L8744" t="s">
        <v>53</v>
      </c>
      <c r="P8744" t="s">
        <v>55</v>
      </c>
      <c r="R8744" t="s">
        <v>56</v>
      </c>
      <c r="T8744" t="s">
        <v>16633</v>
      </c>
      <c r="U8744" t="s">
        <v>58</v>
      </c>
      <c r="V8744">
        <v>1</v>
      </c>
      <c r="W8744">
        <v>1</v>
      </c>
      <c r="X8744">
        <v>1</v>
      </c>
      <c r="Y8744">
        <v>0</v>
      </c>
      <c r="Z8744">
        <v>1</v>
      </c>
      <c r="AA8744">
        <v>267.14</v>
      </c>
      <c r="AB8744">
        <v>267.14</v>
      </c>
      <c r="AC8744">
        <v>233</v>
      </c>
      <c r="AD8744">
        <v>0</v>
      </c>
      <c r="AE8744">
        <v>34.14</v>
      </c>
      <c r="AF8744">
        <v>0</v>
      </c>
      <c r="AG8744">
        <v>0</v>
      </c>
      <c r="AH8744">
        <v>0</v>
      </c>
      <c r="AI8744">
        <v>0</v>
      </c>
      <c r="AJ8744">
        <v>267.14</v>
      </c>
      <c r="AK8744">
        <v>0</v>
      </c>
      <c r="AL8744" t="s">
        <v>53</v>
      </c>
      <c r="AM8744" t="s">
        <v>53</v>
      </c>
      <c r="AN8744" t="s">
        <v>53</v>
      </c>
      <c r="AO8744" t="s">
        <v>53</v>
      </c>
      <c r="AP8744" t="s">
        <v>53</v>
      </c>
    </row>
    <row r="8745" spans="2:42" x14ac:dyDescent="0.2">
      <c r="B8745" t="s">
        <v>44</v>
      </c>
      <c r="C8745" t="str">
        <f>HYPERLINK("https://us2.cloudbeds.com/connect/8493803454333002#/reservations/9080486848939833?display=51BAPR4NWM&amp;reservation_id=9080486848939833", "51BAPR4NWM")</f>
        <v>51BAPR4NWM</v>
      </c>
      <c r="D8745" t="s">
        <v>45</v>
      </c>
      <c r="E8745" t="s">
        <v>138</v>
      </c>
      <c r="F8745" t="s">
        <v>70</v>
      </c>
      <c r="G8745" t="s">
        <v>48</v>
      </c>
      <c r="H8745" t="s">
        <v>49</v>
      </c>
      <c r="I8745" t="s">
        <v>8964</v>
      </c>
      <c r="J8745" t="s">
        <v>13085</v>
      </c>
      <c r="K8745" t="s">
        <v>11628</v>
      </c>
      <c r="L8745" t="s">
        <v>53</v>
      </c>
      <c r="N8745" t="s">
        <v>16634</v>
      </c>
      <c r="P8745" t="s">
        <v>55</v>
      </c>
      <c r="R8745" t="s">
        <v>53</v>
      </c>
      <c r="T8745" t="s">
        <v>16635</v>
      </c>
      <c r="U8745" t="s">
        <v>55</v>
      </c>
      <c r="V8745">
        <v>2</v>
      </c>
      <c r="W8745">
        <v>1</v>
      </c>
      <c r="X8745">
        <v>2</v>
      </c>
      <c r="Y8745">
        <v>0</v>
      </c>
      <c r="Z8745">
        <v>2</v>
      </c>
      <c r="AA8745">
        <v>0</v>
      </c>
      <c r="AB8745">
        <v>0</v>
      </c>
      <c r="AC8745">
        <v>223</v>
      </c>
      <c r="AD8745">
        <v>0</v>
      </c>
      <c r="AE8745">
        <v>0</v>
      </c>
      <c r="AF8745">
        <v>0</v>
      </c>
      <c r="AG8745">
        <v>0</v>
      </c>
      <c r="AH8745">
        <v>0</v>
      </c>
      <c r="AI8745">
        <v>33.450000000000003</v>
      </c>
      <c r="AJ8745">
        <v>223</v>
      </c>
      <c r="AK8745">
        <v>223</v>
      </c>
      <c r="AL8745" t="s">
        <v>53</v>
      </c>
      <c r="AM8745" t="s">
        <v>53</v>
      </c>
      <c r="AN8745" t="s">
        <v>16636</v>
      </c>
      <c r="AO8745" t="s">
        <v>53</v>
      </c>
      <c r="AP8745" t="s">
        <v>53</v>
      </c>
    </row>
    <row r="8746" spans="2:42" x14ac:dyDescent="0.2">
      <c r="B8746" t="s">
        <v>44</v>
      </c>
      <c r="C8746" t="str">
        <f>HYPERLINK("https://us2.cloudbeds.com/connect/8493803454333002#/reservations/9080486848940940?display=51C834JN4H&amp;reservation_id=9080486848940940", "51C834JN4H")</f>
        <v>51C834JN4H</v>
      </c>
      <c r="D8746" t="s">
        <v>45</v>
      </c>
      <c r="E8746" t="s">
        <v>185</v>
      </c>
      <c r="F8746" t="s">
        <v>47</v>
      </c>
      <c r="G8746" t="s">
        <v>48</v>
      </c>
      <c r="H8746" t="s">
        <v>49</v>
      </c>
      <c r="I8746" t="s">
        <v>50</v>
      </c>
      <c r="J8746" t="s">
        <v>12863</v>
      </c>
      <c r="K8746" t="s">
        <v>13085</v>
      </c>
      <c r="L8746" t="s">
        <v>53</v>
      </c>
      <c r="N8746" t="s">
        <v>16637</v>
      </c>
      <c r="P8746" t="s">
        <v>55</v>
      </c>
      <c r="R8746" t="s">
        <v>53</v>
      </c>
      <c r="T8746" t="s">
        <v>16638</v>
      </c>
      <c r="U8746" t="s">
        <v>55</v>
      </c>
      <c r="V8746">
        <v>1</v>
      </c>
      <c r="W8746">
        <v>1</v>
      </c>
      <c r="X8746">
        <v>2</v>
      </c>
      <c r="Y8746">
        <v>0</v>
      </c>
      <c r="Z8746">
        <v>2</v>
      </c>
      <c r="AA8746">
        <v>119.98</v>
      </c>
      <c r="AB8746">
        <v>119.98</v>
      </c>
      <c r="AC8746">
        <v>110.33</v>
      </c>
      <c r="AD8746">
        <v>0</v>
      </c>
      <c r="AE8746">
        <v>9.65</v>
      </c>
      <c r="AF8746">
        <v>0</v>
      </c>
      <c r="AG8746">
        <v>0</v>
      </c>
      <c r="AH8746">
        <v>0</v>
      </c>
      <c r="AI8746">
        <v>21.6</v>
      </c>
      <c r="AJ8746">
        <v>119.98</v>
      </c>
      <c r="AK8746">
        <v>0</v>
      </c>
      <c r="AL8746" t="s">
        <v>53</v>
      </c>
      <c r="AM8746" t="s">
        <v>53</v>
      </c>
      <c r="AN8746" t="s">
        <v>16639</v>
      </c>
      <c r="AO8746" t="s">
        <v>53</v>
      </c>
      <c r="AP8746" t="s">
        <v>53</v>
      </c>
    </row>
    <row r="8747" spans="2:42" x14ac:dyDescent="0.2">
      <c r="B8747" t="s">
        <v>44</v>
      </c>
      <c r="C8747" t="str">
        <f>HYPERLINK("https://us2.cloudbeds.com/connect/8493803454333002#/reservations/9080486848941009?display=51C9JF6AWK&amp;reservation_id=9080486848941009", "51C9JF6AWK")</f>
        <v>51C9JF6AWK</v>
      </c>
      <c r="D8747" t="s">
        <v>45</v>
      </c>
      <c r="E8747" t="s">
        <v>213</v>
      </c>
      <c r="F8747" t="s">
        <v>86</v>
      </c>
      <c r="G8747" t="s">
        <v>48</v>
      </c>
      <c r="H8747" t="s">
        <v>49</v>
      </c>
      <c r="I8747" t="s">
        <v>50</v>
      </c>
      <c r="J8747" t="s">
        <v>12823</v>
      </c>
      <c r="K8747" t="s">
        <v>12958</v>
      </c>
      <c r="L8747" t="s">
        <v>53</v>
      </c>
      <c r="N8747" t="s">
        <v>16640</v>
      </c>
      <c r="P8747" t="s">
        <v>55</v>
      </c>
      <c r="R8747" t="s">
        <v>53</v>
      </c>
      <c r="T8747" t="s">
        <v>16641</v>
      </c>
      <c r="U8747" t="s">
        <v>55</v>
      </c>
      <c r="V8747">
        <v>1</v>
      </c>
      <c r="W8747">
        <v>1</v>
      </c>
      <c r="X8747">
        <v>2</v>
      </c>
      <c r="Y8747">
        <v>0</v>
      </c>
      <c r="Z8747">
        <v>2</v>
      </c>
      <c r="AA8747">
        <v>218.23</v>
      </c>
      <c r="AB8747">
        <v>218.23</v>
      </c>
      <c r="AC8747">
        <v>200.67</v>
      </c>
      <c r="AD8747">
        <v>0</v>
      </c>
      <c r="AE8747">
        <v>17.559999999999999</v>
      </c>
      <c r="AF8747">
        <v>0</v>
      </c>
      <c r="AG8747">
        <v>0</v>
      </c>
      <c r="AH8747">
        <v>0</v>
      </c>
      <c r="AI8747">
        <v>39.28</v>
      </c>
      <c r="AJ8747">
        <v>218.23</v>
      </c>
      <c r="AK8747">
        <v>0</v>
      </c>
      <c r="AL8747" t="s">
        <v>53</v>
      </c>
      <c r="AM8747" t="s">
        <v>53</v>
      </c>
      <c r="AN8747" t="s">
        <v>53</v>
      </c>
      <c r="AO8747" t="s">
        <v>53</v>
      </c>
      <c r="AP8747" t="s">
        <v>53</v>
      </c>
    </row>
    <row r="8748" spans="2:42" x14ac:dyDescent="0.2">
      <c r="B8748" t="s">
        <v>44</v>
      </c>
      <c r="C8748" t="str">
        <f>HYPERLINK("https://us2.cloudbeds.com/connect/8493803454333002#/reservations/234139481682048?display=51FS5ER6ED&amp;reservation_id=234139481682048", "51FS5ER6ED")</f>
        <v>51FS5ER6ED</v>
      </c>
      <c r="D8748" t="s">
        <v>45</v>
      </c>
      <c r="E8748" t="s">
        <v>165</v>
      </c>
      <c r="F8748" t="s">
        <v>61</v>
      </c>
      <c r="G8748" t="s">
        <v>3974</v>
      </c>
      <c r="H8748" t="s">
        <v>3957</v>
      </c>
      <c r="I8748" t="s">
        <v>3975</v>
      </c>
      <c r="J8748" t="s">
        <v>15075</v>
      </c>
      <c r="K8748" t="s">
        <v>15735</v>
      </c>
      <c r="L8748" t="s">
        <v>53</v>
      </c>
      <c r="P8748" t="s">
        <v>55</v>
      </c>
      <c r="R8748" t="s">
        <v>56</v>
      </c>
      <c r="T8748" t="s">
        <v>16642</v>
      </c>
      <c r="U8748" t="s">
        <v>58</v>
      </c>
      <c r="V8748">
        <v>1</v>
      </c>
      <c r="W8748">
        <v>1</v>
      </c>
      <c r="X8748">
        <v>2</v>
      </c>
      <c r="Y8748">
        <v>0</v>
      </c>
      <c r="Z8748">
        <v>2</v>
      </c>
      <c r="AA8748">
        <v>243.97</v>
      </c>
      <c r="AB8748">
        <v>243.97</v>
      </c>
      <c r="AC8748">
        <v>212.8</v>
      </c>
      <c r="AD8748">
        <v>0</v>
      </c>
      <c r="AE8748">
        <v>31.17</v>
      </c>
      <c r="AF8748">
        <v>0</v>
      </c>
      <c r="AG8748">
        <v>0</v>
      </c>
      <c r="AH8748">
        <v>0</v>
      </c>
      <c r="AI8748">
        <v>0</v>
      </c>
      <c r="AJ8748">
        <v>243.97</v>
      </c>
      <c r="AK8748">
        <v>0</v>
      </c>
      <c r="AL8748" t="s">
        <v>53</v>
      </c>
      <c r="AM8748" t="s">
        <v>53</v>
      </c>
      <c r="AN8748" t="s">
        <v>16643</v>
      </c>
      <c r="AO8748" t="s">
        <v>53</v>
      </c>
      <c r="AP8748" t="s">
        <v>53</v>
      </c>
    </row>
    <row r="8749" spans="2:42" x14ac:dyDescent="0.2">
      <c r="B8749" t="s">
        <v>44</v>
      </c>
      <c r="C8749" t="str">
        <f>HYPERLINK("https://us2.cloudbeds.com/connect/8493803454333002#/reservations/9080486848945904?display=51GZ755V7R&amp;reservation_id=9080486848945904", "51GZ755V7R")</f>
        <v>51GZ755V7R</v>
      </c>
      <c r="D8749" t="s">
        <v>45</v>
      </c>
      <c r="E8749" t="s">
        <v>305</v>
      </c>
      <c r="F8749" t="s">
        <v>61</v>
      </c>
      <c r="G8749" t="s">
        <v>48</v>
      </c>
      <c r="H8749" t="s">
        <v>49</v>
      </c>
      <c r="I8749" t="s">
        <v>50</v>
      </c>
      <c r="J8749" t="s">
        <v>12958</v>
      </c>
      <c r="K8749" t="s">
        <v>12863</v>
      </c>
      <c r="L8749" t="s">
        <v>53</v>
      </c>
      <c r="N8749" t="s">
        <v>16644</v>
      </c>
      <c r="P8749" t="s">
        <v>55</v>
      </c>
      <c r="R8749" t="s">
        <v>53</v>
      </c>
      <c r="T8749" t="s">
        <v>16645</v>
      </c>
      <c r="U8749" t="s">
        <v>55</v>
      </c>
      <c r="V8749">
        <v>1</v>
      </c>
      <c r="W8749">
        <v>1</v>
      </c>
      <c r="X8749">
        <v>2</v>
      </c>
      <c r="Y8749">
        <v>0</v>
      </c>
      <c r="Z8749">
        <v>2</v>
      </c>
      <c r="AA8749">
        <v>194.39</v>
      </c>
      <c r="AB8749">
        <v>194.39</v>
      </c>
      <c r="AC8749">
        <v>178.75</v>
      </c>
      <c r="AD8749">
        <v>0</v>
      </c>
      <c r="AE8749">
        <v>15.64</v>
      </c>
      <c r="AF8749">
        <v>0</v>
      </c>
      <c r="AG8749">
        <v>0</v>
      </c>
      <c r="AH8749">
        <v>0</v>
      </c>
      <c r="AI8749">
        <v>34.99</v>
      </c>
      <c r="AJ8749">
        <v>194.39</v>
      </c>
      <c r="AK8749">
        <v>0</v>
      </c>
      <c r="AL8749" t="s">
        <v>53</v>
      </c>
      <c r="AM8749" t="s">
        <v>53</v>
      </c>
      <c r="AN8749" t="s">
        <v>16646</v>
      </c>
      <c r="AO8749" t="s">
        <v>53</v>
      </c>
      <c r="AP8749" t="s">
        <v>53</v>
      </c>
    </row>
    <row r="8750" spans="2:42" x14ac:dyDescent="0.2">
      <c r="B8750" t="s">
        <v>44</v>
      </c>
      <c r="C8750" t="str">
        <f>HYPERLINK("https://us2.cloudbeds.com/connect/8493803454333002#/reservations/9080486848946059?display=51GRBNYYU5&amp;reservation_id=9080486848946059", "51GRBNYYU5")</f>
        <v>51GRBNYYU5</v>
      </c>
      <c r="D8750" t="s">
        <v>45</v>
      </c>
      <c r="E8750" t="s">
        <v>213</v>
      </c>
      <c r="F8750" t="s">
        <v>86</v>
      </c>
      <c r="G8750" t="s">
        <v>48</v>
      </c>
      <c r="H8750" t="s">
        <v>49</v>
      </c>
      <c r="I8750" t="s">
        <v>50</v>
      </c>
      <c r="J8750" t="s">
        <v>14831</v>
      </c>
      <c r="K8750" t="s">
        <v>14348</v>
      </c>
      <c r="L8750" t="s">
        <v>53</v>
      </c>
      <c r="N8750" t="s">
        <v>16647</v>
      </c>
      <c r="P8750" t="s">
        <v>55</v>
      </c>
      <c r="R8750" t="s">
        <v>53</v>
      </c>
      <c r="T8750" t="s">
        <v>16648</v>
      </c>
      <c r="U8750" t="s">
        <v>55</v>
      </c>
      <c r="V8750">
        <v>2</v>
      </c>
      <c r="W8750">
        <v>1</v>
      </c>
      <c r="X8750">
        <v>2</v>
      </c>
      <c r="Y8750">
        <v>0</v>
      </c>
      <c r="Z8750">
        <v>2</v>
      </c>
      <c r="AA8750">
        <v>320.77999999999997</v>
      </c>
      <c r="AB8750">
        <v>320.77999999999997</v>
      </c>
      <c r="AC8750">
        <v>294.95999999999998</v>
      </c>
      <c r="AD8750">
        <v>0</v>
      </c>
      <c r="AE8750">
        <v>25.82</v>
      </c>
      <c r="AF8750">
        <v>0</v>
      </c>
      <c r="AG8750">
        <v>0</v>
      </c>
      <c r="AH8750">
        <v>0</v>
      </c>
      <c r="AI8750">
        <v>57.74</v>
      </c>
      <c r="AJ8750">
        <v>320.77999999999997</v>
      </c>
      <c r="AK8750">
        <v>0</v>
      </c>
      <c r="AL8750" t="s">
        <v>53</v>
      </c>
      <c r="AM8750" t="s">
        <v>53</v>
      </c>
      <c r="AN8750" t="s">
        <v>53</v>
      </c>
      <c r="AO8750" t="s">
        <v>53</v>
      </c>
      <c r="AP8750" t="s">
        <v>53</v>
      </c>
    </row>
    <row r="8751" spans="2:42" x14ac:dyDescent="0.2">
      <c r="B8751" t="s">
        <v>44</v>
      </c>
      <c r="C8751" t="str">
        <f>HYPERLINK("https://us2.cloudbeds.com/connect/8493803454333002#/reservations/9080486848948367?display=51X96EY3UY&amp;reservation_id=9080486848948367", "51X96EY3UY")</f>
        <v>51X96EY3UY</v>
      </c>
      <c r="D8751" t="s">
        <v>45</v>
      </c>
      <c r="E8751" t="s">
        <v>113</v>
      </c>
      <c r="F8751" t="s">
        <v>61</v>
      </c>
      <c r="G8751" t="s">
        <v>48</v>
      </c>
      <c r="H8751" t="s">
        <v>49</v>
      </c>
      <c r="I8751" t="s">
        <v>50</v>
      </c>
      <c r="J8751" t="s">
        <v>14656</v>
      </c>
      <c r="K8751" t="s">
        <v>14970</v>
      </c>
      <c r="L8751" t="s">
        <v>53</v>
      </c>
      <c r="N8751" t="s">
        <v>16649</v>
      </c>
      <c r="P8751" t="s">
        <v>55</v>
      </c>
      <c r="R8751" t="s">
        <v>53</v>
      </c>
      <c r="T8751" t="s">
        <v>16650</v>
      </c>
      <c r="U8751" t="s">
        <v>58</v>
      </c>
      <c r="V8751">
        <v>1</v>
      </c>
      <c r="W8751">
        <v>1</v>
      </c>
      <c r="X8751">
        <v>2</v>
      </c>
      <c r="Y8751">
        <v>0</v>
      </c>
      <c r="Z8751">
        <v>2</v>
      </c>
      <c r="AA8751">
        <v>196.6</v>
      </c>
      <c r="AB8751">
        <v>196.6</v>
      </c>
      <c r="AC8751">
        <v>171.49</v>
      </c>
      <c r="AD8751">
        <v>0</v>
      </c>
      <c r="AE8751">
        <v>25.11</v>
      </c>
      <c r="AF8751">
        <v>0</v>
      </c>
      <c r="AG8751">
        <v>0</v>
      </c>
      <c r="AH8751">
        <v>0</v>
      </c>
      <c r="AI8751">
        <v>35.39</v>
      </c>
      <c r="AJ8751">
        <v>196.6</v>
      </c>
      <c r="AK8751">
        <v>0</v>
      </c>
      <c r="AL8751" t="s">
        <v>53</v>
      </c>
      <c r="AM8751" t="s">
        <v>53</v>
      </c>
      <c r="AN8751" t="s">
        <v>16651</v>
      </c>
      <c r="AO8751" t="s">
        <v>53</v>
      </c>
      <c r="AP8751" t="s">
        <v>53</v>
      </c>
    </row>
    <row r="8752" spans="2:42" x14ac:dyDescent="0.2">
      <c r="B8752" t="s">
        <v>44</v>
      </c>
      <c r="C8752" t="str">
        <f>HYPERLINK("https://us2.cloudbeds.com/connect/8493803454333002#/reservations/9080486848948466?display=51XBBEWC6X&amp;reservation_id=9080486848948466", "51XBBEWC6X")</f>
        <v>51XBBEWC6X</v>
      </c>
      <c r="D8752" t="s">
        <v>45</v>
      </c>
      <c r="E8752" t="s">
        <v>213</v>
      </c>
      <c r="F8752" t="s">
        <v>86</v>
      </c>
      <c r="G8752" t="s">
        <v>48</v>
      </c>
      <c r="H8752" t="s">
        <v>49</v>
      </c>
      <c r="I8752" t="s">
        <v>50</v>
      </c>
      <c r="J8752" t="s">
        <v>12958</v>
      </c>
      <c r="K8752" t="s">
        <v>12863</v>
      </c>
      <c r="L8752" t="s">
        <v>53</v>
      </c>
      <c r="N8752" t="s">
        <v>16652</v>
      </c>
      <c r="P8752" t="s">
        <v>55</v>
      </c>
      <c r="R8752" t="s">
        <v>53</v>
      </c>
      <c r="T8752" t="s">
        <v>16653</v>
      </c>
      <c r="U8752" t="s">
        <v>55</v>
      </c>
      <c r="V8752">
        <v>1</v>
      </c>
      <c r="W8752">
        <v>1</v>
      </c>
      <c r="X8752">
        <v>2</v>
      </c>
      <c r="Y8752">
        <v>0</v>
      </c>
      <c r="Z8752">
        <v>2</v>
      </c>
      <c r="AA8752">
        <v>208.39</v>
      </c>
      <c r="AB8752">
        <v>208.39</v>
      </c>
      <c r="AC8752">
        <v>191.62</v>
      </c>
      <c r="AD8752">
        <v>0</v>
      </c>
      <c r="AE8752">
        <v>16.77</v>
      </c>
      <c r="AF8752">
        <v>0</v>
      </c>
      <c r="AG8752">
        <v>0</v>
      </c>
      <c r="AH8752">
        <v>0</v>
      </c>
      <c r="AI8752">
        <v>37.51</v>
      </c>
      <c r="AJ8752">
        <v>208.39</v>
      </c>
      <c r="AK8752">
        <v>0</v>
      </c>
      <c r="AL8752" t="s">
        <v>53</v>
      </c>
      <c r="AM8752" t="s">
        <v>53</v>
      </c>
      <c r="AN8752" t="s">
        <v>16654</v>
      </c>
      <c r="AO8752" t="s">
        <v>53</v>
      </c>
      <c r="AP8752" t="s">
        <v>53</v>
      </c>
    </row>
    <row r="8753" spans="2:42" x14ac:dyDescent="0.2">
      <c r="B8753" t="s">
        <v>44</v>
      </c>
      <c r="C8753" t="str">
        <f>HYPERLINK("https://us2.cloudbeds.com/connect/8493803454333002#/reservations/9080486848948476?display=51XBJ5RKUZ&amp;reservation_id=9080486848948476", "51XBJ5RKUZ")</f>
        <v>51XBJ5RKUZ</v>
      </c>
      <c r="D8753" t="s">
        <v>45</v>
      </c>
      <c r="E8753" t="s">
        <v>98</v>
      </c>
      <c r="F8753" t="s">
        <v>86</v>
      </c>
      <c r="G8753" t="s">
        <v>48</v>
      </c>
      <c r="H8753" t="s">
        <v>49</v>
      </c>
      <c r="I8753" t="s">
        <v>50</v>
      </c>
      <c r="J8753" t="s">
        <v>12863</v>
      </c>
      <c r="K8753" t="s">
        <v>13085</v>
      </c>
      <c r="L8753" t="s">
        <v>53</v>
      </c>
      <c r="N8753" t="s">
        <v>16655</v>
      </c>
      <c r="P8753" t="s">
        <v>55</v>
      </c>
      <c r="R8753" t="s">
        <v>53</v>
      </c>
      <c r="T8753" t="s">
        <v>16656</v>
      </c>
      <c r="U8753" t="s">
        <v>55</v>
      </c>
      <c r="V8753">
        <v>1</v>
      </c>
      <c r="W8753">
        <v>1</v>
      </c>
      <c r="X8753">
        <v>3</v>
      </c>
      <c r="Y8753">
        <v>0</v>
      </c>
      <c r="Z8753">
        <v>3</v>
      </c>
      <c r="AA8753">
        <v>123.47</v>
      </c>
      <c r="AB8753">
        <v>123.47</v>
      </c>
      <c r="AC8753">
        <v>113.54</v>
      </c>
      <c r="AD8753">
        <v>0</v>
      </c>
      <c r="AE8753">
        <v>9.93</v>
      </c>
      <c r="AF8753">
        <v>0</v>
      </c>
      <c r="AG8753">
        <v>0</v>
      </c>
      <c r="AH8753">
        <v>0</v>
      </c>
      <c r="AI8753">
        <v>22.22</v>
      </c>
      <c r="AJ8753">
        <v>123.47</v>
      </c>
      <c r="AK8753">
        <v>0</v>
      </c>
      <c r="AL8753" t="s">
        <v>53</v>
      </c>
      <c r="AM8753" t="s">
        <v>53</v>
      </c>
      <c r="AN8753" t="s">
        <v>53</v>
      </c>
      <c r="AO8753" t="s">
        <v>53</v>
      </c>
      <c r="AP8753" t="s">
        <v>53</v>
      </c>
    </row>
    <row r="8754" spans="2:42" x14ac:dyDescent="0.2">
      <c r="B8754" t="s">
        <v>44</v>
      </c>
      <c r="C8754" t="str">
        <f>HYPERLINK("https://us2.cloudbeds.com/connect/8493803454333002#/reservations/9080486848948578?display=51XDRZEZV3&amp;reservation_id=9080486848948578", "51XDRZEZV3")</f>
        <v>51XDRZEZV3</v>
      </c>
      <c r="D8754" t="s">
        <v>45</v>
      </c>
      <c r="E8754" t="s">
        <v>128</v>
      </c>
      <c r="F8754" t="s">
        <v>86</v>
      </c>
      <c r="G8754" t="s">
        <v>48</v>
      </c>
      <c r="H8754" t="s">
        <v>49</v>
      </c>
      <c r="I8754" t="s">
        <v>50</v>
      </c>
      <c r="J8754" t="s">
        <v>13085</v>
      </c>
      <c r="K8754" t="s">
        <v>11628</v>
      </c>
      <c r="L8754" t="s">
        <v>53</v>
      </c>
      <c r="N8754" t="s">
        <v>16657</v>
      </c>
      <c r="P8754" t="s">
        <v>55</v>
      </c>
      <c r="R8754" t="s">
        <v>53</v>
      </c>
      <c r="T8754" t="s">
        <v>16658</v>
      </c>
      <c r="U8754" t="s">
        <v>55</v>
      </c>
      <c r="V8754">
        <v>2</v>
      </c>
      <c r="W8754">
        <v>1</v>
      </c>
      <c r="X8754">
        <v>2</v>
      </c>
      <c r="Y8754">
        <v>0</v>
      </c>
      <c r="Z8754">
        <v>2</v>
      </c>
      <c r="AA8754">
        <v>154.25</v>
      </c>
      <c r="AB8754">
        <v>154.25</v>
      </c>
      <c r="AC8754">
        <v>141.83000000000001</v>
      </c>
      <c r="AD8754">
        <v>0</v>
      </c>
      <c r="AE8754">
        <v>12.42</v>
      </c>
      <c r="AF8754">
        <v>0</v>
      </c>
      <c r="AG8754">
        <v>0</v>
      </c>
      <c r="AH8754">
        <v>0</v>
      </c>
      <c r="AI8754">
        <v>27.77</v>
      </c>
      <c r="AJ8754">
        <v>154.25</v>
      </c>
      <c r="AK8754">
        <v>0</v>
      </c>
      <c r="AL8754" t="s">
        <v>53</v>
      </c>
      <c r="AM8754" t="s">
        <v>53</v>
      </c>
      <c r="AN8754" t="s">
        <v>16659</v>
      </c>
      <c r="AO8754" t="s">
        <v>53</v>
      </c>
      <c r="AP8754" t="s">
        <v>53</v>
      </c>
    </row>
    <row r="8755" spans="2:42" x14ac:dyDescent="0.2">
      <c r="B8755" t="s">
        <v>44</v>
      </c>
      <c r="C8755" t="str">
        <f>HYPERLINK("https://us2.cloudbeds.com/connect/8493803454333002#/reservations/9080486848948586?display=51XE0ERZVQ&amp;reservation_id=9080486848948586", "51XE0ERZVQ")</f>
        <v>51XE0ERZVQ</v>
      </c>
      <c r="D8755" t="s">
        <v>45</v>
      </c>
      <c r="E8755" t="s">
        <v>223</v>
      </c>
      <c r="F8755" t="s">
        <v>47</v>
      </c>
      <c r="G8755" t="s">
        <v>48</v>
      </c>
      <c r="H8755" t="s">
        <v>49</v>
      </c>
      <c r="I8755" t="s">
        <v>50</v>
      </c>
      <c r="J8755" t="s">
        <v>12863</v>
      </c>
      <c r="K8755" t="s">
        <v>13085</v>
      </c>
      <c r="L8755" t="s">
        <v>53</v>
      </c>
      <c r="N8755" t="s">
        <v>16660</v>
      </c>
      <c r="P8755" t="s">
        <v>55</v>
      </c>
      <c r="R8755" t="s">
        <v>53</v>
      </c>
      <c r="T8755" t="s">
        <v>16661</v>
      </c>
      <c r="U8755" t="s">
        <v>55</v>
      </c>
      <c r="V8755">
        <v>1</v>
      </c>
      <c r="W8755">
        <v>1</v>
      </c>
      <c r="X8755">
        <v>2</v>
      </c>
      <c r="Y8755">
        <v>0</v>
      </c>
      <c r="Z8755">
        <v>2</v>
      </c>
      <c r="AA8755">
        <v>125.52</v>
      </c>
      <c r="AB8755">
        <v>125.52</v>
      </c>
      <c r="AC8755">
        <v>115.42</v>
      </c>
      <c r="AD8755">
        <v>0</v>
      </c>
      <c r="AE8755">
        <v>10.1</v>
      </c>
      <c r="AF8755">
        <v>0</v>
      </c>
      <c r="AG8755">
        <v>0</v>
      </c>
      <c r="AH8755">
        <v>0</v>
      </c>
      <c r="AI8755">
        <v>22.59</v>
      </c>
      <c r="AJ8755">
        <v>125.52</v>
      </c>
      <c r="AK8755">
        <v>0</v>
      </c>
      <c r="AL8755" t="s">
        <v>53</v>
      </c>
      <c r="AM8755" t="s">
        <v>53</v>
      </c>
      <c r="AN8755" t="s">
        <v>16662</v>
      </c>
      <c r="AO8755" t="s">
        <v>53</v>
      </c>
      <c r="AP8755" t="s">
        <v>53</v>
      </c>
    </row>
    <row r="8756" spans="2:42" x14ac:dyDescent="0.2">
      <c r="B8756" t="s">
        <v>44</v>
      </c>
      <c r="C8756" t="str">
        <f>HYPERLINK("https://us2.cloudbeds.com/connect/8493803454333002#/reservations/9080486848948629?display=51XEWDWF6Z&amp;reservation_id=9080486848948629", "51XEWDWF6Z")</f>
        <v>51XEWDWF6Z</v>
      </c>
      <c r="D8756" t="s">
        <v>45</v>
      </c>
      <c r="E8756" t="s">
        <v>98</v>
      </c>
      <c r="F8756" t="s">
        <v>86</v>
      </c>
      <c r="G8756" t="s">
        <v>48</v>
      </c>
      <c r="H8756" t="s">
        <v>49</v>
      </c>
      <c r="I8756" t="s">
        <v>50</v>
      </c>
      <c r="J8756" t="s">
        <v>12958</v>
      </c>
      <c r="K8756" t="s">
        <v>12863</v>
      </c>
      <c r="L8756" t="s">
        <v>53</v>
      </c>
      <c r="N8756" t="s">
        <v>16663</v>
      </c>
      <c r="P8756" t="s">
        <v>55</v>
      </c>
      <c r="R8756" t="s">
        <v>53</v>
      </c>
      <c r="T8756" t="s">
        <v>16664</v>
      </c>
      <c r="U8756" t="s">
        <v>55</v>
      </c>
      <c r="V8756">
        <v>1</v>
      </c>
      <c r="W8756">
        <v>1</v>
      </c>
      <c r="X8756">
        <v>3</v>
      </c>
      <c r="Y8756">
        <v>0</v>
      </c>
      <c r="Z8756">
        <v>3</v>
      </c>
      <c r="AA8756">
        <v>187.55</v>
      </c>
      <c r="AB8756">
        <v>187.55</v>
      </c>
      <c r="AC8756">
        <v>172.46</v>
      </c>
      <c r="AD8756">
        <v>0</v>
      </c>
      <c r="AE8756">
        <v>15.09</v>
      </c>
      <c r="AF8756">
        <v>0</v>
      </c>
      <c r="AG8756">
        <v>0</v>
      </c>
      <c r="AH8756">
        <v>0</v>
      </c>
      <c r="AI8756">
        <v>33.76</v>
      </c>
      <c r="AJ8756">
        <v>187.55</v>
      </c>
      <c r="AK8756">
        <v>0</v>
      </c>
      <c r="AL8756" t="s">
        <v>53</v>
      </c>
      <c r="AM8756" t="s">
        <v>53</v>
      </c>
      <c r="AN8756" t="s">
        <v>53</v>
      </c>
      <c r="AO8756" t="s">
        <v>53</v>
      </c>
      <c r="AP8756" t="s">
        <v>53</v>
      </c>
    </row>
    <row r="8757" spans="2:42" x14ac:dyDescent="0.2">
      <c r="B8757" t="s">
        <v>44</v>
      </c>
      <c r="C8757" t="str">
        <f>HYPERLINK("https://us2.cloudbeds.com/connect/8493803454333002#/reservations/9080486848948704?display=51XG4J0BPT&amp;reservation_id=9080486848948704", "51XG4J0BPT")</f>
        <v>51XG4J0BPT</v>
      </c>
      <c r="D8757" t="s">
        <v>45</v>
      </c>
      <c r="E8757" t="s">
        <v>487</v>
      </c>
      <c r="F8757" t="s">
        <v>61</v>
      </c>
      <c r="G8757" t="s">
        <v>48</v>
      </c>
      <c r="H8757" t="s">
        <v>49</v>
      </c>
      <c r="I8757" t="s">
        <v>50</v>
      </c>
      <c r="J8757" t="s">
        <v>12958</v>
      </c>
      <c r="K8757" t="s">
        <v>13085</v>
      </c>
      <c r="L8757" t="s">
        <v>53</v>
      </c>
      <c r="N8757" t="s">
        <v>16665</v>
      </c>
      <c r="P8757" t="s">
        <v>55</v>
      </c>
      <c r="R8757" t="s">
        <v>53</v>
      </c>
      <c r="T8757" t="s">
        <v>16666</v>
      </c>
      <c r="U8757" t="s">
        <v>55</v>
      </c>
      <c r="V8757">
        <v>2</v>
      </c>
      <c r="W8757">
        <v>1</v>
      </c>
      <c r="X8757">
        <v>2</v>
      </c>
      <c r="Y8757">
        <v>0</v>
      </c>
      <c r="Z8757">
        <v>2</v>
      </c>
      <c r="AA8757">
        <v>326.89</v>
      </c>
      <c r="AB8757">
        <v>326.89</v>
      </c>
      <c r="AC8757">
        <v>300.58999999999997</v>
      </c>
      <c r="AD8757">
        <v>0</v>
      </c>
      <c r="AE8757">
        <v>26.3</v>
      </c>
      <c r="AF8757">
        <v>0</v>
      </c>
      <c r="AG8757">
        <v>0</v>
      </c>
      <c r="AH8757">
        <v>0</v>
      </c>
      <c r="AI8757">
        <v>58.84</v>
      </c>
      <c r="AJ8757">
        <v>326.89</v>
      </c>
      <c r="AK8757">
        <v>0</v>
      </c>
      <c r="AL8757" t="s">
        <v>53</v>
      </c>
      <c r="AM8757" t="s">
        <v>53</v>
      </c>
      <c r="AN8757" t="s">
        <v>53</v>
      </c>
      <c r="AO8757" t="s">
        <v>53</v>
      </c>
      <c r="AP8757" t="s">
        <v>53</v>
      </c>
    </row>
    <row r="8758" spans="2:42" x14ac:dyDescent="0.2">
      <c r="B8758" t="s">
        <v>44</v>
      </c>
      <c r="C8758" t="str">
        <f>HYPERLINK("https://us2.cloudbeds.com/connect/8493803454333002#/reservations/234253216477312?display=51XH7Y09WX&amp;reservation_id=234253216477312", "51XH7Y09WX")</f>
        <v>51XH7Y09WX</v>
      </c>
      <c r="D8758" t="s">
        <v>45</v>
      </c>
      <c r="E8758" t="s">
        <v>265</v>
      </c>
      <c r="F8758" t="s">
        <v>61</v>
      </c>
      <c r="G8758" t="s">
        <v>48</v>
      </c>
      <c r="H8758" t="s">
        <v>3957</v>
      </c>
      <c r="I8758" t="s">
        <v>3958</v>
      </c>
      <c r="J8758" t="s">
        <v>12958</v>
      </c>
      <c r="K8758" t="s">
        <v>12863</v>
      </c>
      <c r="L8758" t="s">
        <v>53</v>
      </c>
      <c r="P8758" t="s">
        <v>55</v>
      </c>
      <c r="R8758" t="s">
        <v>56</v>
      </c>
      <c r="T8758" t="s">
        <v>16667</v>
      </c>
      <c r="U8758" t="s">
        <v>58</v>
      </c>
      <c r="V8758">
        <v>1</v>
      </c>
      <c r="W8758">
        <v>1</v>
      </c>
      <c r="X8758">
        <v>1</v>
      </c>
      <c r="Y8758">
        <v>0</v>
      </c>
      <c r="Z8758">
        <v>1</v>
      </c>
      <c r="AA8758">
        <v>255.68</v>
      </c>
      <c r="AB8758">
        <v>255.68</v>
      </c>
      <c r="AC8758">
        <v>223</v>
      </c>
      <c r="AD8758">
        <v>0</v>
      </c>
      <c r="AE8758">
        <v>32.68</v>
      </c>
      <c r="AF8758">
        <v>0</v>
      </c>
      <c r="AG8758">
        <v>0</v>
      </c>
      <c r="AH8758">
        <v>0</v>
      </c>
      <c r="AI8758">
        <v>0</v>
      </c>
      <c r="AJ8758">
        <v>255.68</v>
      </c>
      <c r="AK8758">
        <v>0</v>
      </c>
      <c r="AL8758" t="s">
        <v>53</v>
      </c>
      <c r="AM8758" t="s">
        <v>53</v>
      </c>
      <c r="AN8758" t="s">
        <v>53</v>
      </c>
      <c r="AO8758" t="s">
        <v>53</v>
      </c>
      <c r="AP8758" t="s">
        <v>53</v>
      </c>
    </row>
    <row r="8759" spans="2:42" x14ac:dyDescent="0.2">
      <c r="B8759" t="s">
        <v>44</v>
      </c>
      <c r="C8759" t="str">
        <f>HYPERLINK("https://us2.cloudbeds.com/connect/8493803454333002#/reservations/234256177815680?display=51XJHA2MEM&amp;reservation_id=234256177815680", "51XJHA2MEM")</f>
        <v>51XJHA2MEM</v>
      </c>
      <c r="D8759" t="s">
        <v>45</v>
      </c>
      <c r="E8759" t="s">
        <v>92</v>
      </c>
      <c r="F8759" t="s">
        <v>86</v>
      </c>
      <c r="G8759" t="s">
        <v>48</v>
      </c>
      <c r="H8759" t="s">
        <v>3957</v>
      </c>
      <c r="I8759" t="s">
        <v>3975</v>
      </c>
      <c r="J8759" t="s">
        <v>12958</v>
      </c>
      <c r="K8759" t="s">
        <v>12863</v>
      </c>
      <c r="L8759" t="s">
        <v>53</v>
      </c>
      <c r="P8759" t="s">
        <v>55</v>
      </c>
      <c r="R8759" t="s">
        <v>56</v>
      </c>
      <c r="T8759" t="s">
        <v>16668</v>
      </c>
      <c r="U8759" t="s">
        <v>58</v>
      </c>
      <c r="V8759">
        <v>1</v>
      </c>
      <c r="W8759">
        <v>1</v>
      </c>
      <c r="X8759">
        <v>2</v>
      </c>
      <c r="Y8759">
        <v>1</v>
      </c>
      <c r="Z8759">
        <v>3</v>
      </c>
      <c r="AA8759">
        <v>291.22000000000003</v>
      </c>
      <c r="AB8759">
        <v>291.22000000000003</v>
      </c>
      <c r="AC8759">
        <v>254</v>
      </c>
      <c r="AD8759">
        <v>0</v>
      </c>
      <c r="AE8759">
        <v>37.22</v>
      </c>
      <c r="AF8759">
        <v>0</v>
      </c>
      <c r="AG8759">
        <v>0</v>
      </c>
      <c r="AH8759">
        <v>0</v>
      </c>
      <c r="AI8759">
        <v>0</v>
      </c>
      <c r="AJ8759">
        <v>291.22000000000003</v>
      </c>
      <c r="AK8759">
        <v>0</v>
      </c>
      <c r="AL8759" t="s">
        <v>53</v>
      </c>
      <c r="AM8759" t="s">
        <v>53</v>
      </c>
      <c r="AN8759" t="s">
        <v>16669</v>
      </c>
      <c r="AO8759" t="s">
        <v>53</v>
      </c>
      <c r="AP8759" t="s">
        <v>53</v>
      </c>
    </row>
    <row r="8760" spans="2:42" x14ac:dyDescent="0.2">
      <c r="B8760" t="s">
        <v>44</v>
      </c>
      <c r="C8760" t="str">
        <f>HYPERLINK("https://us2.cloudbeds.com/connect/8493803454333002#/reservations/234256195707072?display=51XJHP6ARW&amp;reservation_id=234256195707072", "51XJHP6ARW")</f>
        <v>51XJHP6ARW</v>
      </c>
      <c r="D8760" t="s">
        <v>45</v>
      </c>
      <c r="E8760" t="s">
        <v>121</v>
      </c>
      <c r="F8760" t="s">
        <v>86</v>
      </c>
      <c r="G8760" t="s">
        <v>48</v>
      </c>
      <c r="H8760" t="s">
        <v>3957</v>
      </c>
      <c r="I8760" t="s">
        <v>3958</v>
      </c>
      <c r="J8760" t="s">
        <v>12958</v>
      </c>
      <c r="K8760" t="s">
        <v>12863</v>
      </c>
      <c r="L8760" t="s">
        <v>53</v>
      </c>
      <c r="P8760" t="s">
        <v>55</v>
      </c>
      <c r="R8760" t="s">
        <v>56</v>
      </c>
      <c r="T8760" t="s">
        <v>16670</v>
      </c>
      <c r="U8760" t="s">
        <v>58</v>
      </c>
      <c r="V8760">
        <v>1</v>
      </c>
      <c r="W8760">
        <v>1</v>
      </c>
      <c r="X8760">
        <v>1</v>
      </c>
      <c r="Y8760">
        <v>0</v>
      </c>
      <c r="Z8760">
        <v>1</v>
      </c>
      <c r="AA8760">
        <v>291.22000000000003</v>
      </c>
      <c r="AB8760">
        <v>293.41000000000003</v>
      </c>
      <c r="AC8760">
        <v>254</v>
      </c>
      <c r="AD8760">
        <v>2</v>
      </c>
      <c r="AE8760">
        <v>37.409999999999997</v>
      </c>
      <c r="AF8760">
        <v>0</v>
      </c>
      <c r="AG8760">
        <v>0</v>
      </c>
      <c r="AH8760">
        <v>0</v>
      </c>
      <c r="AI8760">
        <v>0</v>
      </c>
      <c r="AJ8760">
        <v>293.41000000000003</v>
      </c>
      <c r="AK8760">
        <v>0</v>
      </c>
      <c r="AL8760" t="s">
        <v>53</v>
      </c>
      <c r="AM8760" t="s">
        <v>53</v>
      </c>
      <c r="AN8760" t="s">
        <v>53</v>
      </c>
      <c r="AO8760" t="s">
        <v>53</v>
      </c>
      <c r="AP8760" t="s">
        <v>53</v>
      </c>
    </row>
    <row r="8761" spans="2:42" x14ac:dyDescent="0.2">
      <c r="B8761" t="s">
        <v>44</v>
      </c>
      <c r="C8761" t="str">
        <f>HYPERLINK("https://us2.cloudbeds.com/connect/8493803454333002#/reservations/9080486848949063?display=51XZN50794&amp;reservation_id=9080486848949063", "51XZN50794")</f>
        <v>51XZN50794</v>
      </c>
      <c r="D8761" t="s">
        <v>45</v>
      </c>
      <c r="E8761" t="s">
        <v>128</v>
      </c>
      <c r="F8761" t="s">
        <v>86</v>
      </c>
      <c r="G8761" t="s">
        <v>48</v>
      </c>
      <c r="H8761" t="s">
        <v>49</v>
      </c>
      <c r="I8761" t="s">
        <v>50</v>
      </c>
      <c r="J8761" t="s">
        <v>11628</v>
      </c>
      <c r="K8761" t="s">
        <v>14831</v>
      </c>
      <c r="L8761" t="s">
        <v>53</v>
      </c>
      <c r="N8761" t="s">
        <v>16671</v>
      </c>
      <c r="P8761" t="s">
        <v>55</v>
      </c>
      <c r="R8761" t="s">
        <v>53</v>
      </c>
      <c r="T8761" t="s">
        <v>16672</v>
      </c>
      <c r="U8761" t="s">
        <v>55</v>
      </c>
      <c r="V8761">
        <v>2</v>
      </c>
      <c r="W8761">
        <v>1</v>
      </c>
      <c r="X8761">
        <v>1</v>
      </c>
      <c r="Y8761">
        <v>1</v>
      </c>
      <c r="Z8761">
        <v>2</v>
      </c>
      <c r="AA8761">
        <v>197.55</v>
      </c>
      <c r="AB8761">
        <v>197.55</v>
      </c>
      <c r="AC8761">
        <v>181.66</v>
      </c>
      <c r="AD8761">
        <v>0</v>
      </c>
      <c r="AE8761">
        <v>15.89</v>
      </c>
      <c r="AF8761">
        <v>0</v>
      </c>
      <c r="AG8761">
        <v>0</v>
      </c>
      <c r="AH8761">
        <v>0</v>
      </c>
      <c r="AI8761">
        <v>35.56</v>
      </c>
      <c r="AJ8761">
        <v>197.55</v>
      </c>
      <c r="AK8761">
        <v>0</v>
      </c>
      <c r="AL8761" t="s">
        <v>53</v>
      </c>
      <c r="AM8761" t="s">
        <v>53</v>
      </c>
      <c r="AN8761" t="s">
        <v>16673</v>
      </c>
      <c r="AO8761" t="s">
        <v>53</v>
      </c>
      <c r="AP8761" t="s">
        <v>53</v>
      </c>
    </row>
    <row r="8762" spans="2:42" x14ac:dyDescent="0.2">
      <c r="B8762" t="s">
        <v>44</v>
      </c>
      <c r="C8762" t="str">
        <f>HYPERLINK("https://us2.cloudbeds.com/connect/8493803454333002#/reservations/9080486848949065?display=51XZZDQ7MK&amp;reservation_id=9080486848949065", "51XZZDQ7MK")</f>
        <v>51XZZDQ7MK</v>
      </c>
      <c r="D8762" t="s">
        <v>45</v>
      </c>
      <c r="E8762" t="s">
        <v>213</v>
      </c>
      <c r="F8762" t="s">
        <v>86</v>
      </c>
      <c r="G8762" t="s">
        <v>48</v>
      </c>
      <c r="H8762" t="s">
        <v>49</v>
      </c>
      <c r="I8762" t="s">
        <v>50</v>
      </c>
      <c r="J8762" t="s">
        <v>11628</v>
      </c>
      <c r="K8762" t="s">
        <v>14831</v>
      </c>
      <c r="L8762" t="s">
        <v>53</v>
      </c>
      <c r="N8762" t="s">
        <v>16674</v>
      </c>
      <c r="P8762" t="s">
        <v>55</v>
      </c>
      <c r="R8762" t="s">
        <v>53</v>
      </c>
      <c r="T8762" t="s">
        <v>16675</v>
      </c>
      <c r="U8762" t="s">
        <v>55</v>
      </c>
      <c r="V8762">
        <v>2</v>
      </c>
      <c r="W8762">
        <v>1</v>
      </c>
      <c r="X8762">
        <v>1</v>
      </c>
      <c r="Y8762">
        <v>0</v>
      </c>
      <c r="Z8762">
        <v>1</v>
      </c>
      <c r="AA8762">
        <v>197.55</v>
      </c>
      <c r="AB8762">
        <v>197.55</v>
      </c>
      <c r="AC8762">
        <v>181.66</v>
      </c>
      <c r="AD8762">
        <v>0</v>
      </c>
      <c r="AE8762">
        <v>15.89</v>
      </c>
      <c r="AF8762">
        <v>0</v>
      </c>
      <c r="AG8762">
        <v>0</v>
      </c>
      <c r="AH8762">
        <v>0</v>
      </c>
      <c r="AI8762">
        <v>35.56</v>
      </c>
      <c r="AJ8762">
        <v>197.55</v>
      </c>
      <c r="AK8762">
        <v>0</v>
      </c>
      <c r="AL8762" t="s">
        <v>53</v>
      </c>
      <c r="AM8762" t="s">
        <v>53</v>
      </c>
      <c r="AN8762" t="s">
        <v>16676</v>
      </c>
      <c r="AO8762" t="s">
        <v>53</v>
      </c>
      <c r="AP8762" t="s">
        <v>53</v>
      </c>
    </row>
    <row r="8763" spans="2:42" x14ac:dyDescent="0.2">
      <c r="B8763" t="s">
        <v>44</v>
      </c>
      <c r="C8763" t="str">
        <f>HYPERLINK("https://us2.cloudbeds.com/connect/8493803454333002#/reservations/234279470739584?display=51J4XG99A5&amp;reservation_id=234279470739584", "51J4XG99A5")</f>
        <v>51J4XG99A5</v>
      </c>
      <c r="D8763" t="s">
        <v>45</v>
      </c>
      <c r="E8763" t="s">
        <v>155</v>
      </c>
      <c r="F8763" t="s">
        <v>86</v>
      </c>
      <c r="G8763" t="s">
        <v>3974</v>
      </c>
      <c r="H8763" t="s">
        <v>3957</v>
      </c>
      <c r="I8763" t="s">
        <v>3975</v>
      </c>
      <c r="J8763" t="s">
        <v>15594</v>
      </c>
      <c r="K8763" t="s">
        <v>14655</v>
      </c>
      <c r="L8763" t="s">
        <v>53</v>
      </c>
      <c r="P8763" t="s">
        <v>55</v>
      </c>
      <c r="R8763" t="s">
        <v>56</v>
      </c>
      <c r="T8763" t="s">
        <v>16677</v>
      </c>
      <c r="U8763" t="s">
        <v>58</v>
      </c>
      <c r="V8763">
        <v>1</v>
      </c>
      <c r="W8763">
        <v>1</v>
      </c>
      <c r="X8763">
        <v>3</v>
      </c>
      <c r="Y8763">
        <v>0</v>
      </c>
      <c r="Z8763">
        <v>3</v>
      </c>
      <c r="AA8763">
        <v>251.59</v>
      </c>
      <c r="AB8763">
        <v>251.59</v>
      </c>
      <c r="AC8763">
        <v>219.45</v>
      </c>
      <c r="AD8763">
        <v>0</v>
      </c>
      <c r="AE8763">
        <v>32.14</v>
      </c>
      <c r="AF8763">
        <v>0</v>
      </c>
      <c r="AG8763">
        <v>0</v>
      </c>
      <c r="AH8763">
        <v>0</v>
      </c>
      <c r="AI8763">
        <v>0</v>
      </c>
      <c r="AJ8763">
        <v>251.59</v>
      </c>
      <c r="AK8763">
        <v>0</v>
      </c>
      <c r="AL8763" t="s">
        <v>53</v>
      </c>
      <c r="AM8763" t="s">
        <v>53</v>
      </c>
      <c r="AN8763" t="s">
        <v>53</v>
      </c>
      <c r="AO8763" t="s">
        <v>53</v>
      </c>
      <c r="AP8763" t="s">
        <v>53</v>
      </c>
    </row>
    <row r="8764" spans="2:42" x14ac:dyDescent="0.2">
      <c r="B8764" t="s">
        <v>44</v>
      </c>
      <c r="C8764" t="str">
        <f>HYPERLINK("https://us2.cloudbeds.com/connect/8493803454333002#/reservations/9080486848949626?display=51J5M9CAWD&amp;reservation_id=9080486848949626", "51J5M9CAWD")</f>
        <v>51J5M9CAWD</v>
      </c>
      <c r="D8764" t="s">
        <v>45</v>
      </c>
      <c r="E8764" t="s">
        <v>78</v>
      </c>
      <c r="F8764" t="s">
        <v>61</v>
      </c>
      <c r="G8764" t="s">
        <v>48</v>
      </c>
      <c r="H8764" t="s">
        <v>49</v>
      </c>
      <c r="I8764" t="s">
        <v>50</v>
      </c>
      <c r="J8764" t="s">
        <v>16197</v>
      </c>
      <c r="K8764" t="s">
        <v>14637</v>
      </c>
      <c r="L8764" t="s">
        <v>53</v>
      </c>
      <c r="N8764" t="s">
        <v>16678</v>
      </c>
      <c r="P8764" t="s">
        <v>55</v>
      </c>
      <c r="R8764" t="s">
        <v>53</v>
      </c>
      <c r="T8764" t="s">
        <v>16679</v>
      </c>
      <c r="U8764" t="s">
        <v>55</v>
      </c>
      <c r="V8764">
        <v>1</v>
      </c>
      <c r="W8764">
        <v>1</v>
      </c>
      <c r="X8764">
        <v>2</v>
      </c>
      <c r="Y8764">
        <v>0</v>
      </c>
      <c r="Z8764">
        <v>2</v>
      </c>
      <c r="AA8764">
        <v>114.1</v>
      </c>
      <c r="AB8764">
        <v>114.1</v>
      </c>
      <c r="AC8764">
        <v>104.92</v>
      </c>
      <c r="AD8764">
        <v>0</v>
      </c>
      <c r="AE8764">
        <v>9.18</v>
      </c>
      <c r="AF8764">
        <v>0</v>
      </c>
      <c r="AG8764">
        <v>0</v>
      </c>
      <c r="AH8764">
        <v>0</v>
      </c>
      <c r="AI8764">
        <v>20.54</v>
      </c>
      <c r="AJ8764">
        <v>114.1</v>
      </c>
      <c r="AK8764">
        <v>0</v>
      </c>
      <c r="AL8764" t="s">
        <v>53</v>
      </c>
      <c r="AM8764" t="s">
        <v>53</v>
      </c>
      <c r="AN8764" t="s">
        <v>53</v>
      </c>
      <c r="AO8764" t="s">
        <v>53</v>
      </c>
      <c r="AP8764" t="s">
        <v>53</v>
      </c>
    </row>
    <row r="8765" spans="2:42" x14ac:dyDescent="0.2">
      <c r="B8765" t="s">
        <v>44</v>
      </c>
      <c r="C8765" t="str">
        <f>HYPERLINK("https://us2.cloudbeds.com/connect/8493803454333002#/reservations/9080486848949710?display=51J7WG8V63&amp;reservation_id=9080486848949710", "51J7WG8V63")</f>
        <v>51J7WG8V63</v>
      </c>
      <c r="D8765" t="s">
        <v>45</v>
      </c>
      <c r="E8765" t="s">
        <v>78</v>
      </c>
      <c r="F8765" t="s">
        <v>61</v>
      </c>
      <c r="G8765" t="s">
        <v>48</v>
      </c>
      <c r="H8765" t="s">
        <v>49</v>
      </c>
      <c r="I8765" t="s">
        <v>50</v>
      </c>
      <c r="J8765" t="s">
        <v>14847</v>
      </c>
      <c r="K8765" t="s">
        <v>14868</v>
      </c>
      <c r="L8765" t="s">
        <v>53</v>
      </c>
      <c r="N8765" t="s">
        <v>16680</v>
      </c>
      <c r="P8765" t="s">
        <v>55</v>
      </c>
      <c r="R8765" t="s">
        <v>53</v>
      </c>
      <c r="T8765" t="s">
        <v>16681</v>
      </c>
      <c r="U8765" t="s">
        <v>55</v>
      </c>
      <c r="V8765">
        <v>2</v>
      </c>
      <c r="W8765">
        <v>1</v>
      </c>
      <c r="X8765">
        <v>2</v>
      </c>
      <c r="Y8765">
        <v>0</v>
      </c>
      <c r="Z8765">
        <v>2</v>
      </c>
      <c r="AA8765">
        <v>262.12</v>
      </c>
      <c r="AB8765">
        <v>262.12</v>
      </c>
      <c r="AC8765">
        <v>241.03</v>
      </c>
      <c r="AD8765">
        <v>0</v>
      </c>
      <c r="AE8765">
        <v>21.09</v>
      </c>
      <c r="AF8765">
        <v>0</v>
      </c>
      <c r="AG8765">
        <v>0</v>
      </c>
      <c r="AH8765">
        <v>0</v>
      </c>
      <c r="AI8765">
        <v>47.18</v>
      </c>
      <c r="AJ8765">
        <v>262.12</v>
      </c>
      <c r="AK8765">
        <v>0</v>
      </c>
      <c r="AL8765" t="s">
        <v>53</v>
      </c>
      <c r="AM8765" t="s">
        <v>53</v>
      </c>
      <c r="AN8765" t="s">
        <v>53</v>
      </c>
      <c r="AO8765" t="s">
        <v>53</v>
      </c>
      <c r="AP8765" t="s">
        <v>53</v>
      </c>
    </row>
    <row r="8766" spans="2:42" x14ac:dyDescent="0.2">
      <c r="B8766" t="s">
        <v>44</v>
      </c>
      <c r="C8766" t="str">
        <f>HYPERLINK("https://us2.cloudbeds.com/connect/8493803454333002#/reservations/9080486848949847?display=51JBQG5SSY&amp;reservation_id=9080486848949847", "51JBQG5SSY")</f>
        <v>51JBQG5SSY</v>
      </c>
      <c r="D8766" t="s">
        <v>45</v>
      </c>
      <c r="E8766" t="s">
        <v>46</v>
      </c>
      <c r="F8766" t="s">
        <v>47</v>
      </c>
      <c r="G8766" t="s">
        <v>48</v>
      </c>
      <c r="H8766" t="s">
        <v>49</v>
      </c>
      <c r="I8766" t="s">
        <v>50</v>
      </c>
      <c r="J8766" t="s">
        <v>13085</v>
      </c>
      <c r="K8766" t="s">
        <v>11628</v>
      </c>
      <c r="L8766" t="s">
        <v>53</v>
      </c>
      <c r="N8766" t="s">
        <v>16682</v>
      </c>
      <c r="P8766" t="s">
        <v>55</v>
      </c>
      <c r="R8766" t="s">
        <v>53</v>
      </c>
      <c r="T8766" t="s">
        <v>16683</v>
      </c>
      <c r="U8766" t="s">
        <v>55</v>
      </c>
      <c r="V8766">
        <v>2</v>
      </c>
      <c r="W8766">
        <v>1</v>
      </c>
      <c r="X8766">
        <v>2</v>
      </c>
      <c r="Y8766">
        <v>0</v>
      </c>
      <c r="Z8766">
        <v>2</v>
      </c>
      <c r="AA8766">
        <v>161.62</v>
      </c>
      <c r="AB8766">
        <v>161.62</v>
      </c>
      <c r="AC8766">
        <v>148.62</v>
      </c>
      <c r="AD8766">
        <v>0</v>
      </c>
      <c r="AE8766">
        <v>13</v>
      </c>
      <c r="AF8766">
        <v>0</v>
      </c>
      <c r="AG8766">
        <v>0</v>
      </c>
      <c r="AH8766">
        <v>0</v>
      </c>
      <c r="AI8766">
        <v>29.09</v>
      </c>
      <c r="AJ8766">
        <v>161.62</v>
      </c>
      <c r="AK8766">
        <v>0</v>
      </c>
      <c r="AL8766" t="s">
        <v>53</v>
      </c>
      <c r="AM8766" t="s">
        <v>53</v>
      </c>
      <c r="AN8766" t="s">
        <v>16684</v>
      </c>
      <c r="AO8766" t="s">
        <v>53</v>
      </c>
      <c r="AP8766" t="s">
        <v>53</v>
      </c>
    </row>
    <row r="8767" spans="2:42" x14ac:dyDescent="0.2">
      <c r="B8767" t="s">
        <v>44</v>
      </c>
      <c r="C8767" t="str">
        <f>HYPERLINK("https://us2.cloudbeds.com/connect/8493803454333002#/reservations/9080486848951418?display=51KN4GTJ47&amp;reservation_id=9080486848951418", "51KN4GTJ47")</f>
        <v>51KN4GTJ47</v>
      </c>
      <c r="D8767" t="s">
        <v>45</v>
      </c>
      <c r="E8767" t="s">
        <v>305</v>
      </c>
      <c r="F8767" t="s">
        <v>61</v>
      </c>
      <c r="G8767" t="s">
        <v>48</v>
      </c>
      <c r="H8767" t="s">
        <v>49</v>
      </c>
      <c r="I8767" t="s">
        <v>50</v>
      </c>
      <c r="J8767" t="s">
        <v>12863</v>
      </c>
      <c r="K8767" t="s">
        <v>13085</v>
      </c>
      <c r="L8767" t="s">
        <v>53</v>
      </c>
      <c r="N8767" t="s">
        <v>16685</v>
      </c>
      <c r="P8767" t="s">
        <v>55</v>
      </c>
      <c r="R8767" t="s">
        <v>53</v>
      </c>
      <c r="T8767" t="s">
        <v>16686</v>
      </c>
      <c r="U8767" t="s">
        <v>55</v>
      </c>
      <c r="V8767">
        <v>1</v>
      </c>
      <c r="W8767">
        <v>1</v>
      </c>
      <c r="X8767">
        <v>2</v>
      </c>
      <c r="Y8767">
        <v>0</v>
      </c>
      <c r="Z8767">
        <v>2</v>
      </c>
      <c r="AA8767">
        <v>119.25</v>
      </c>
      <c r="AB8767">
        <v>119.25</v>
      </c>
      <c r="AC8767">
        <v>109.65</v>
      </c>
      <c r="AD8767">
        <v>0</v>
      </c>
      <c r="AE8767">
        <v>9.6</v>
      </c>
      <c r="AF8767">
        <v>0</v>
      </c>
      <c r="AG8767">
        <v>0</v>
      </c>
      <c r="AH8767">
        <v>0</v>
      </c>
      <c r="AI8767">
        <v>21.47</v>
      </c>
      <c r="AJ8767">
        <v>119.25</v>
      </c>
      <c r="AK8767">
        <v>0</v>
      </c>
      <c r="AL8767" t="s">
        <v>53</v>
      </c>
      <c r="AM8767" t="s">
        <v>53</v>
      </c>
      <c r="AN8767" t="s">
        <v>53</v>
      </c>
      <c r="AO8767" t="s">
        <v>53</v>
      </c>
      <c r="AP8767" t="s">
        <v>53</v>
      </c>
    </row>
    <row r="8768" spans="2:42" x14ac:dyDescent="0.2">
      <c r="B8768" t="s">
        <v>44</v>
      </c>
      <c r="C8768" t="str">
        <f>HYPERLINK("https://us2.cloudbeds.com/connect/8493803454333002#/reservations/9080486848951521?display=51KQAAZZXM&amp;reservation_id=9080486848951521", "51KQAAZZXM")</f>
        <v>51KQAAZZXM</v>
      </c>
      <c r="D8768" t="s">
        <v>45</v>
      </c>
      <c r="E8768" t="s">
        <v>190</v>
      </c>
      <c r="F8768" t="s">
        <v>61</v>
      </c>
      <c r="G8768" t="s">
        <v>48</v>
      </c>
      <c r="H8768" t="s">
        <v>49</v>
      </c>
      <c r="I8768" t="s">
        <v>50</v>
      </c>
      <c r="J8768" t="s">
        <v>14847</v>
      </c>
      <c r="K8768" t="s">
        <v>14153</v>
      </c>
      <c r="L8768" t="s">
        <v>53</v>
      </c>
      <c r="N8768" t="s">
        <v>16687</v>
      </c>
      <c r="P8768" t="s">
        <v>55</v>
      </c>
      <c r="R8768" t="s">
        <v>53</v>
      </c>
      <c r="T8768" t="s">
        <v>16688</v>
      </c>
      <c r="U8768" t="s">
        <v>55</v>
      </c>
      <c r="V8768">
        <v>3</v>
      </c>
      <c r="W8768">
        <v>1</v>
      </c>
      <c r="X8768">
        <v>2</v>
      </c>
      <c r="Y8768">
        <v>0</v>
      </c>
      <c r="Z8768">
        <v>2</v>
      </c>
      <c r="AA8768">
        <v>433.1</v>
      </c>
      <c r="AB8768">
        <v>433.1</v>
      </c>
      <c r="AC8768">
        <v>398.24</v>
      </c>
      <c r="AD8768">
        <v>0</v>
      </c>
      <c r="AE8768">
        <v>34.86</v>
      </c>
      <c r="AF8768">
        <v>0</v>
      </c>
      <c r="AG8768">
        <v>0</v>
      </c>
      <c r="AH8768">
        <v>0</v>
      </c>
      <c r="AI8768">
        <v>77.959999999999994</v>
      </c>
      <c r="AJ8768">
        <v>433.1</v>
      </c>
      <c r="AK8768">
        <v>0</v>
      </c>
      <c r="AL8768" t="s">
        <v>53</v>
      </c>
      <c r="AM8768" t="s">
        <v>53</v>
      </c>
      <c r="AN8768" t="s">
        <v>16689</v>
      </c>
      <c r="AO8768" t="s">
        <v>53</v>
      </c>
      <c r="AP8768" t="s">
        <v>53</v>
      </c>
    </row>
    <row r="8769" spans="2:42" x14ac:dyDescent="0.2">
      <c r="B8769" t="s">
        <v>44</v>
      </c>
      <c r="C8769" t="str">
        <f>HYPERLINK("https://us2.cloudbeds.com/connect/8493803454333002#/reservations/9080486848954595?display=51NTA1G0MM&amp;reservation_id=9080486848954595", "51NTA1G0MM")</f>
        <v>51NTA1G0MM</v>
      </c>
      <c r="D8769" t="s">
        <v>45</v>
      </c>
      <c r="E8769" t="s">
        <v>373</v>
      </c>
      <c r="F8769" t="s">
        <v>47</v>
      </c>
      <c r="G8769" t="s">
        <v>48</v>
      </c>
      <c r="H8769" t="s">
        <v>49</v>
      </c>
      <c r="I8769" t="s">
        <v>50</v>
      </c>
      <c r="J8769" t="s">
        <v>16197</v>
      </c>
      <c r="K8769" t="s">
        <v>14637</v>
      </c>
      <c r="L8769" t="s">
        <v>53</v>
      </c>
      <c r="N8769" t="s">
        <v>16690</v>
      </c>
      <c r="P8769" t="s">
        <v>55</v>
      </c>
      <c r="R8769" t="s">
        <v>53</v>
      </c>
      <c r="T8769" t="s">
        <v>16691</v>
      </c>
      <c r="U8769" t="s">
        <v>55</v>
      </c>
      <c r="V8769">
        <v>1</v>
      </c>
      <c r="W8769">
        <v>1</v>
      </c>
      <c r="X8769">
        <v>1</v>
      </c>
      <c r="Y8769">
        <v>0</v>
      </c>
      <c r="Z8769">
        <v>1</v>
      </c>
      <c r="AA8769">
        <v>118.39</v>
      </c>
      <c r="AB8769">
        <v>118.39</v>
      </c>
      <c r="AC8769">
        <v>108.86</v>
      </c>
      <c r="AD8769">
        <v>0</v>
      </c>
      <c r="AE8769">
        <v>9.5299999999999994</v>
      </c>
      <c r="AF8769">
        <v>0</v>
      </c>
      <c r="AG8769">
        <v>0</v>
      </c>
      <c r="AH8769">
        <v>0</v>
      </c>
      <c r="AI8769">
        <v>21.31</v>
      </c>
      <c r="AJ8769">
        <v>118.39</v>
      </c>
      <c r="AK8769">
        <v>0</v>
      </c>
      <c r="AL8769" t="s">
        <v>53</v>
      </c>
      <c r="AM8769" t="s">
        <v>53</v>
      </c>
      <c r="AN8769" t="s">
        <v>53</v>
      </c>
      <c r="AO8769" t="s">
        <v>53</v>
      </c>
      <c r="AP8769" t="s">
        <v>53</v>
      </c>
    </row>
    <row r="8770" spans="2:42" x14ac:dyDescent="0.2">
      <c r="B8770" t="s">
        <v>44</v>
      </c>
      <c r="C8770" t="str">
        <f>HYPERLINK("https://us2.cloudbeds.com/connect/8493803454333002#/reservations/9080486848955920?display=51ZR3M527W&amp;reservation_id=9080486848955920", "51ZR3M527W")</f>
        <v>51ZR3M527W</v>
      </c>
      <c r="D8770" t="s">
        <v>45</v>
      </c>
      <c r="E8770" t="s">
        <v>78</v>
      </c>
      <c r="F8770" t="s">
        <v>61</v>
      </c>
      <c r="G8770" t="s">
        <v>48</v>
      </c>
      <c r="H8770" t="s">
        <v>49</v>
      </c>
      <c r="I8770" t="s">
        <v>50</v>
      </c>
      <c r="J8770" t="s">
        <v>12863</v>
      </c>
      <c r="K8770" t="s">
        <v>13085</v>
      </c>
      <c r="L8770" t="s">
        <v>53</v>
      </c>
      <c r="N8770" t="s">
        <v>16692</v>
      </c>
      <c r="P8770" t="s">
        <v>55</v>
      </c>
      <c r="R8770" t="s">
        <v>53</v>
      </c>
      <c r="T8770" t="s">
        <v>16693</v>
      </c>
      <c r="U8770" t="s">
        <v>55</v>
      </c>
      <c r="V8770">
        <v>1</v>
      </c>
      <c r="W8770">
        <v>1</v>
      </c>
      <c r="X8770">
        <v>2</v>
      </c>
      <c r="Y8770">
        <v>0</v>
      </c>
      <c r="Z8770">
        <v>2</v>
      </c>
      <c r="AA8770">
        <v>132.5</v>
      </c>
      <c r="AB8770">
        <v>132.5</v>
      </c>
      <c r="AC8770">
        <v>121.84</v>
      </c>
      <c r="AD8770">
        <v>0</v>
      </c>
      <c r="AE8770">
        <v>10.66</v>
      </c>
      <c r="AF8770">
        <v>0</v>
      </c>
      <c r="AG8770">
        <v>0</v>
      </c>
      <c r="AH8770">
        <v>0</v>
      </c>
      <c r="AI8770">
        <v>23.85</v>
      </c>
      <c r="AJ8770">
        <v>132.5</v>
      </c>
      <c r="AK8770">
        <v>0</v>
      </c>
      <c r="AL8770" t="s">
        <v>53</v>
      </c>
      <c r="AM8770" t="s">
        <v>53</v>
      </c>
      <c r="AN8770" t="s">
        <v>16694</v>
      </c>
      <c r="AO8770" t="s">
        <v>53</v>
      </c>
      <c r="AP8770" t="s">
        <v>53</v>
      </c>
    </row>
    <row r="8771" spans="2:42" x14ac:dyDescent="0.2">
      <c r="B8771" t="s">
        <v>44</v>
      </c>
      <c r="C8771" t="str">
        <f>HYPERLINK("https://us2.cloudbeds.com/connect/8493803454333002#/reservations/234563086635200?display=51PQ5HNAA6&amp;reservation_id=234563086635200", "51PQ5HNAA6")</f>
        <v>51PQ5HNAA6</v>
      </c>
      <c r="D8771" t="s">
        <v>45</v>
      </c>
      <c r="E8771" t="s">
        <v>105</v>
      </c>
      <c r="F8771" t="s">
        <v>47</v>
      </c>
      <c r="G8771" t="s">
        <v>13757</v>
      </c>
      <c r="H8771" t="s">
        <v>3957</v>
      </c>
      <c r="I8771" t="s">
        <v>3975</v>
      </c>
      <c r="J8771" t="s">
        <v>13085</v>
      </c>
      <c r="K8771" t="s">
        <v>11627</v>
      </c>
      <c r="L8771" t="s">
        <v>53</v>
      </c>
      <c r="P8771" t="s">
        <v>55</v>
      </c>
      <c r="R8771" t="s">
        <v>56</v>
      </c>
      <c r="T8771" t="s">
        <v>16695</v>
      </c>
      <c r="U8771" t="s">
        <v>58</v>
      </c>
      <c r="V8771">
        <v>1</v>
      </c>
      <c r="W8771">
        <v>1</v>
      </c>
      <c r="X8771">
        <v>1</v>
      </c>
      <c r="Y8771">
        <v>0</v>
      </c>
      <c r="Z8771">
        <v>1</v>
      </c>
      <c r="AA8771">
        <v>95.96</v>
      </c>
      <c r="AB8771">
        <v>95.96</v>
      </c>
      <c r="AC8771">
        <v>83.7</v>
      </c>
      <c r="AD8771">
        <v>0</v>
      </c>
      <c r="AE8771">
        <v>12.26</v>
      </c>
      <c r="AF8771">
        <v>0</v>
      </c>
      <c r="AG8771">
        <v>0</v>
      </c>
      <c r="AH8771">
        <v>0</v>
      </c>
      <c r="AI8771">
        <v>0</v>
      </c>
      <c r="AJ8771">
        <v>95.96</v>
      </c>
      <c r="AK8771">
        <v>0</v>
      </c>
      <c r="AL8771" t="s">
        <v>53</v>
      </c>
      <c r="AM8771" t="s">
        <v>53</v>
      </c>
      <c r="AN8771" t="s">
        <v>16696</v>
      </c>
      <c r="AO8771" t="s">
        <v>53</v>
      </c>
      <c r="AP8771" t="s">
        <v>53</v>
      </c>
    </row>
    <row r="8772" spans="2:42" x14ac:dyDescent="0.2">
      <c r="B8772" t="s">
        <v>44</v>
      </c>
      <c r="C8772" t="str">
        <f>HYPERLINK("https://us2.cloudbeds.com/connect/8493803454333002#/reservations/234580963475584?display=51Q70AVPM1&amp;reservation_id=234580963475584", "51Q70AVPM1")</f>
        <v>51Q70AVPM1</v>
      </c>
      <c r="D8772" t="s">
        <v>45</v>
      </c>
      <c r="E8772" t="s">
        <v>381</v>
      </c>
      <c r="F8772" t="s">
        <v>47</v>
      </c>
      <c r="G8772" t="s">
        <v>4520</v>
      </c>
      <c r="H8772" t="s">
        <v>3957</v>
      </c>
      <c r="I8772" t="s">
        <v>3989</v>
      </c>
      <c r="J8772" t="s">
        <v>14344</v>
      </c>
      <c r="K8772" t="s">
        <v>14636</v>
      </c>
      <c r="L8772" t="s">
        <v>53</v>
      </c>
      <c r="P8772" t="s">
        <v>55</v>
      </c>
      <c r="R8772" t="s">
        <v>56</v>
      </c>
      <c r="T8772" t="s">
        <v>16697</v>
      </c>
      <c r="U8772" t="s">
        <v>58</v>
      </c>
      <c r="V8772">
        <v>5</v>
      </c>
      <c r="W8772">
        <v>1</v>
      </c>
      <c r="X8772">
        <v>1</v>
      </c>
      <c r="Y8772">
        <v>0</v>
      </c>
      <c r="Z8772">
        <v>1</v>
      </c>
      <c r="AA8772">
        <v>947.26</v>
      </c>
      <c r="AB8772">
        <v>947.26</v>
      </c>
      <c r="AC8772">
        <v>826.2</v>
      </c>
      <c r="AD8772">
        <v>0</v>
      </c>
      <c r="AE8772">
        <v>121.06</v>
      </c>
      <c r="AF8772">
        <v>0</v>
      </c>
      <c r="AG8772">
        <v>0</v>
      </c>
      <c r="AH8772">
        <v>0</v>
      </c>
      <c r="AI8772">
        <v>0</v>
      </c>
      <c r="AJ8772">
        <v>947.26</v>
      </c>
      <c r="AK8772">
        <v>0</v>
      </c>
      <c r="AL8772" t="s">
        <v>53</v>
      </c>
      <c r="AM8772" t="s">
        <v>53</v>
      </c>
      <c r="AN8772" t="s">
        <v>53</v>
      </c>
      <c r="AO8772" t="s">
        <v>53</v>
      </c>
      <c r="AP8772" t="s">
        <v>53</v>
      </c>
    </row>
    <row r="8773" spans="2:42" x14ac:dyDescent="0.2">
      <c r="B8773" t="s">
        <v>44</v>
      </c>
      <c r="C8773" t="str">
        <f>HYPERLINK("https://us2.cloudbeds.com/connect/8493803454333002#/reservations/9080486848958240?display=51Q7TFDKEU&amp;reservation_id=9080486848958240", "51Q7TFDKEU")</f>
        <v>51Q7TFDKEU</v>
      </c>
      <c r="D8773" t="s">
        <v>45</v>
      </c>
      <c r="E8773" t="s">
        <v>78</v>
      </c>
      <c r="F8773" t="s">
        <v>61</v>
      </c>
      <c r="G8773" t="s">
        <v>48</v>
      </c>
      <c r="H8773" t="s">
        <v>49</v>
      </c>
      <c r="I8773" t="s">
        <v>50</v>
      </c>
      <c r="J8773" t="s">
        <v>14868</v>
      </c>
      <c r="K8773" t="s">
        <v>14154</v>
      </c>
      <c r="L8773" t="s">
        <v>53</v>
      </c>
      <c r="N8773" t="s">
        <v>16698</v>
      </c>
      <c r="P8773" t="s">
        <v>55</v>
      </c>
      <c r="R8773" t="s">
        <v>53</v>
      </c>
      <c r="T8773" t="s">
        <v>16699</v>
      </c>
      <c r="U8773" t="s">
        <v>58</v>
      </c>
      <c r="V8773">
        <v>3</v>
      </c>
      <c r="W8773">
        <v>1</v>
      </c>
      <c r="X8773">
        <v>2</v>
      </c>
      <c r="Y8773">
        <v>0</v>
      </c>
      <c r="Z8773">
        <v>2</v>
      </c>
      <c r="AA8773">
        <v>466.72</v>
      </c>
      <c r="AB8773">
        <v>466.72</v>
      </c>
      <c r="AC8773">
        <v>407.07</v>
      </c>
      <c r="AD8773">
        <v>0</v>
      </c>
      <c r="AE8773">
        <v>59.65</v>
      </c>
      <c r="AF8773">
        <v>0</v>
      </c>
      <c r="AG8773">
        <v>0</v>
      </c>
      <c r="AH8773">
        <v>0</v>
      </c>
      <c r="AI8773">
        <v>84.01</v>
      </c>
      <c r="AJ8773">
        <v>466.72</v>
      </c>
      <c r="AK8773">
        <v>0</v>
      </c>
      <c r="AL8773" t="s">
        <v>53</v>
      </c>
      <c r="AM8773" t="s">
        <v>53</v>
      </c>
      <c r="AN8773" t="s">
        <v>16700</v>
      </c>
      <c r="AO8773" t="s">
        <v>53</v>
      </c>
      <c r="AP8773" t="s">
        <v>53</v>
      </c>
    </row>
    <row r="8774" spans="2:42" x14ac:dyDescent="0.2">
      <c r="B8774" t="s">
        <v>44</v>
      </c>
      <c r="C8774" t="str">
        <f>HYPERLINK("https://us2.cloudbeds.com/connect/8493803454333002#/reservations/234602416181440?display=51QNKGEFUA&amp;reservation_id=234602416181440", "51QNKGEFUA")</f>
        <v>51QNKGEFUA</v>
      </c>
      <c r="D8774" t="s">
        <v>45</v>
      </c>
      <c r="E8774" t="s">
        <v>381</v>
      </c>
      <c r="F8774" t="s">
        <v>47</v>
      </c>
      <c r="G8774" t="s">
        <v>48</v>
      </c>
      <c r="H8774" t="s">
        <v>3957</v>
      </c>
      <c r="I8774" t="s">
        <v>3958</v>
      </c>
      <c r="J8774" t="s">
        <v>12863</v>
      </c>
      <c r="K8774" t="s">
        <v>13085</v>
      </c>
      <c r="L8774" t="s">
        <v>53</v>
      </c>
      <c r="P8774" t="s">
        <v>55</v>
      </c>
      <c r="R8774" t="s">
        <v>56</v>
      </c>
      <c r="T8774" t="s">
        <v>16701</v>
      </c>
      <c r="U8774" t="s">
        <v>58</v>
      </c>
      <c r="V8774">
        <v>1</v>
      </c>
      <c r="W8774">
        <v>1</v>
      </c>
      <c r="X8774">
        <v>1</v>
      </c>
      <c r="Y8774">
        <v>0</v>
      </c>
      <c r="Z8774">
        <v>1</v>
      </c>
      <c r="AA8774">
        <v>168.54</v>
      </c>
      <c r="AB8774">
        <v>168.54</v>
      </c>
      <c r="AC8774">
        <v>147</v>
      </c>
      <c r="AD8774">
        <v>0</v>
      </c>
      <c r="AE8774">
        <v>21.54</v>
      </c>
      <c r="AF8774">
        <v>0</v>
      </c>
      <c r="AG8774">
        <v>0</v>
      </c>
      <c r="AH8774">
        <v>0</v>
      </c>
      <c r="AI8774">
        <v>0</v>
      </c>
      <c r="AJ8774">
        <v>168.54</v>
      </c>
      <c r="AK8774">
        <v>0</v>
      </c>
      <c r="AL8774" t="s">
        <v>53</v>
      </c>
      <c r="AM8774" t="s">
        <v>53</v>
      </c>
      <c r="AN8774" t="s">
        <v>53</v>
      </c>
      <c r="AO8774" t="s">
        <v>53</v>
      </c>
      <c r="AP8774" t="s">
        <v>53</v>
      </c>
    </row>
    <row r="8775" spans="2:42" x14ac:dyDescent="0.2">
      <c r="B8775" t="s">
        <v>44</v>
      </c>
      <c r="C8775" t="str">
        <f>HYPERLINK("https://us2.cloudbeds.com/connect/8493803454333002#/reservations/234607307530368?display=51QRDFSSB6&amp;reservation_id=234607307530368", "51QRDFSSB6")</f>
        <v>51QRDFSSB6</v>
      </c>
      <c r="D8775" t="s">
        <v>45</v>
      </c>
      <c r="E8775" t="s">
        <v>121</v>
      </c>
      <c r="F8775" t="s">
        <v>86</v>
      </c>
      <c r="G8775" t="s">
        <v>48</v>
      </c>
      <c r="H8775" t="s">
        <v>3957</v>
      </c>
      <c r="I8775" t="s">
        <v>3958</v>
      </c>
      <c r="J8775" t="s">
        <v>12863</v>
      </c>
      <c r="K8775" t="s">
        <v>13085</v>
      </c>
      <c r="L8775" t="s">
        <v>53</v>
      </c>
      <c r="P8775" t="s">
        <v>55</v>
      </c>
      <c r="R8775" t="s">
        <v>56</v>
      </c>
      <c r="T8775" t="s">
        <v>16702</v>
      </c>
      <c r="U8775" t="s">
        <v>58</v>
      </c>
      <c r="V8775">
        <v>1</v>
      </c>
      <c r="W8775">
        <v>1</v>
      </c>
      <c r="X8775">
        <v>1</v>
      </c>
      <c r="Y8775">
        <v>0</v>
      </c>
      <c r="Z8775">
        <v>1</v>
      </c>
      <c r="AA8775">
        <v>221.28</v>
      </c>
      <c r="AB8775">
        <v>222.43</v>
      </c>
      <c r="AC8775">
        <v>192</v>
      </c>
      <c r="AD8775">
        <v>0</v>
      </c>
      <c r="AE8775">
        <v>28.13</v>
      </c>
      <c r="AF8775">
        <v>0</v>
      </c>
      <c r="AG8775">
        <v>0</v>
      </c>
      <c r="AH8775">
        <v>0</v>
      </c>
      <c r="AI8775">
        <v>0</v>
      </c>
      <c r="AJ8775">
        <v>220.13</v>
      </c>
      <c r="AK8775">
        <v>-1.1499999999999999</v>
      </c>
      <c r="AL8775" t="s">
        <v>53</v>
      </c>
      <c r="AM8775" t="s">
        <v>53</v>
      </c>
      <c r="AN8775" t="s">
        <v>53</v>
      </c>
      <c r="AO8775" t="s">
        <v>53</v>
      </c>
      <c r="AP8775" t="s">
        <v>53</v>
      </c>
    </row>
    <row r="8776" spans="2:42" x14ac:dyDescent="0.2">
      <c r="B8776" t="s">
        <v>44</v>
      </c>
      <c r="C8776" t="str">
        <f>HYPERLINK("https://us2.cloudbeds.com/connect/8493803454333002#/reservations/9080486848959208?display=51QS62SVMB&amp;reservation_id=9080486848959208", "51QS62SVMB")</f>
        <v>51QS62SVMB</v>
      </c>
      <c r="D8776" t="s">
        <v>45</v>
      </c>
      <c r="E8776" t="s">
        <v>113</v>
      </c>
      <c r="F8776" t="s">
        <v>61</v>
      </c>
      <c r="G8776" t="s">
        <v>48</v>
      </c>
      <c r="H8776" t="s">
        <v>49</v>
      </c>
      <c r="I8776" t="s">
        <v>50</v>
      </c>
      <c r="J8776" t="s">
        <v>14623</v>
      </c>
      <c r="K8776" t="s">
        <v>14349</v>
      </c>
      <c r="L8776" t="s">
        <v>53</v>
      </c>
      <c r="N8776" t="s">
        <v>16703</v>
      </c>
      <c r="P8776" t="s">
        <v>55</v>
      </c>
      <c r="R8776" t="s">
        <v>53</v>
      </c>
      <c r="T8776" t="s">
        <v>16704</v>
      </c>
      <c r="U8776" t="s">
        <v>55</v>
      </c>
      <c r="V8776">
        <v>1</v>
      </c>
      <c r="W8776">
        <v>1</v>
      </c>
      <c r="X8776">
        <v>2</v>
      </c>
      <c r="Y8776">
        <v>0</v>
      </c>
      <c r="Z8776">
        <v>2</v>
      </c>
      <c r="AA8776">
        <v>107.56</v>
      </c>
      <c r="AB8776">
        <v>107.56</v>
      </c>
      <c r="AC8776">
        <v>98.91</v>
      </c>
      <c r="AD8776">
        <v>0</v>
      </c>
      <c r="AE8776">
        <v>8.65</v>
      </c>
      <c r="AF8776">
        <v>0</v>
      </c>
      <c r="AG8776">
        <v>0</v>
      </c>
      <c r="AH8776">
        <v>0</v>
      </c>
      <c r="AI8776">
        <v>19.36</v>
      </c>
      <c r="AJ8776">
        <v>107.56</v>
      </c>
      <c r="AK8776">
        <v>0</v>
      </c>
      <c r="AL8776" t="s">
        <v>53</v>
      </c>
      <c r="AM8776" t="s">
        <v>53</v>
      </c>
      <c r="AN8776" t="s">
        <v>53</v>
      </c>
      <c r="AO8776" t="s">
        <v>53</v>
      </c>
      <c r="AP8776" t="s">
        <v>53</v>
      </c>
    </row>
    <row r="8777" spans="2:42" x14ac:dyDescent="0.2">
      <c r="B8777" t="s">
        <v>44</v>
      </c>
      <c r="C8777" t="str">
        <f>HYPERLINK("https://us2.cloudbeds.com/connect/8493803454333002#/reservations/9080486848959209?display=51QS74UJPF&amp;reservation_id=9080486848959209", "51QS74UJPF")</f>
        <v>51QS74UJPF</v>
      </c>
      <c r="D8777" t="s">
        <v>45</v>
      </c>
      <c r="E8777" t="s">
        <v>165</v>
      </c>
      <c r="F8777" t="s">
        <v>61</v>
      </c>
      <c r="G8777" t="s">
        <v>48</v>
      </c>
      <c r="H8777" t="s">
        <v>49</v>
      </c>
      <c r="I8777" t="s">
        <v>50</v>
      </c>
      <c r="J8777" t="s">
        <v>14623</v>
      </c>
      <c r="K8777" t="s">
        <v>14349</v>
      </c>
      <c r="L8777" t="s">
        <v>53</v>
      </c>
      <c r="N8777" t="s">
        <v>16705</v>
      </c>
      <c r="P8777" t="s">
        <v>55</v>
      </c>
      <c r="R8777" t="s">
        <v>53</v>
      </c>
      <c r="T8777" t="s">
        <v>16706</v>
      </c>
      <c r="U8777" t="s">
        <v>55</v>
      </c>
      <c r="V8777">
        <v>1</v>
      </c>
      <c r="W8777">
        <v>1</v>
      </c>
      <c r="X8777">
        <v>1</v>
      </c>
      <c r="Y8777">
        <v>1</v>
      </c>
      <c r="Z8777">
        <v>2</v>
      </c>
      <c r="AA8777">
        <v>107.56</v>
      </c>
      <c r="AB8777">
        <v>107.56</v>
      </c>
      <c r="AC8777">
        <v>98.91</v>
      </c>
      <c r="AD8777">
        <v>0</v>
      </c>
      <c r="AE8777">
        <v>8.65</v>
      </c>
      <c r="AF8777">
        <v>0</v>
      </c>
      <c r="AG8777">
        <v>0</v>
      </c>
      <c r="AH8777">
        <v>0</v>
      </c>
      <c r="AI8777">
        <v>19.36</v>
      </c>
      <c r="AJ8777">
        <v>107.56</v>
      </c>
      <c r="AK8777">
        <v>0</v>
      </c>
      <c r="AL8777" t="s">
        <v>53</v>
      </c>
      <c r="AM8777" t="s">
        <v>53</v>
      </c>
      <c r="AN8777" t="s">
        <v>53</v>
      </c>
      <c r="AO8777" t="s">
        <v>53</v>
      </c>
      <c r="AP8777" t="s">
        <v>53</v>
      </c>
    </row>
    <row r="8778" spans="2:42" x14ac:dyDescent="0.2">
      <c r="B8778" t="s">
        <v>44</v>
      </c>
      <c r="C8778" t="str">
        <f>HYPERLINK("https://us2.cloudbeds.com/connect/8493803454333002#/reservations/9080486848959577?display=51R20B64V9&amp;reservation_id=9080486848959577", "51R20B64V9")</f>
        <v>51R20B64V9</v>
      </c>
      <c r="D8778" t="s">
        <v>45</v>
      </c>
      <c r="E8778" t="s">
        <v>113</v>
      </c>
      <c r="F8778" t="s">
        <v>61</v>
      </c>
      <c r="G8778" t="s">
        <v>48</v>
      </c>
      <c r="H8778" t="s">
        <v>49</v>
      </c>
      <c r="I8778" t="s">
        <v>8964</v>
      </c>
      <c r="J8778" t="s">
        <v>13085</v>
      </c>
      <c r="K8778" t="s">
        <v>11627</v>
      </c>
      <c r="L8778" t="s">
        <v>53</v>
      </c>
      <c r="N8778" t="s">
        <v>16707</v>
      </c>
      <c r="P8778" t="s">
        <v>55</v>
      </c>
      <c r="R8778" t="s">
        <v>53</v>
      </c>
      <c r="T8778" t="s">
        <v>16708</v>
      </c>
      <c r="U8778" t="s">
        <v>55</v>
      </c>
      <c r="V8778">
        <v>1</v>
      </c>
      <c r="W8778">
        <v>1</v>
      </c>
      <c r="X8778">
        <v>2</v>
      </c>
      <c r="Y8778">
        <v>0</v>
      </c>
      <c r="Z8778">
        <v>2</v>
      </c>
      <c r="AA8778">
        <v>0</v>
      </c>
      <c r="AB8778">
        <v>0</v>
      </c>
      <c r="AC8778">
        <v>111</v>
      </c>
      <c r="AD8778">
        <v>0</v>
      </c>
      <c r="AE8778">
        <v>0</v>
      </c>
      <c r="AF8778">
        <v>0</v>
      </c>
      <c r="AG8778">
        <v>0</v>
      </c>
      <c r="AH8778">
        <v>0</v>
      </c>
      <c r="AI8778">
        <v>16.649999999999999</v>
      </c>
      <c r="AJ8778">
        <v>111</v>
      </c>
      <c r="AK8778">
        <v>111</v>
      </c>
      <c r="AL8778" t="s">
        <v>53</v>
      </c>
      <c r="AM8778" t="s">
        <v>53</v>
      </c>
      <c r="AN8778" t="s">
        <v>16709</v>
      </c>
      <c r="AO8778" t="s">
        <v>53</v>
      </c>
      <c r="AP8778" t="s">
        <v>53</v>
      </c>
    </row>
    <row r="8779" spans="2:42" x14ac:dyDescent="0.2">
      <c r="B8779" t="s">
        <v>44</v>
      </c>
      <c r="C8779" t="str">
        <f>HYPERLINK("https://us2.cloudbeds.com/connect/8493803454333002#/reservations/9080486848959650?display=51R425XZXZ&amp;reservation_id=9080486848959650", "51R425XZXZ")</f>
        <v>51R425XZXZ</v>
      </c>
      <c r="D8779" t="s">
        <v>45</v>
      </c>
      <c r="E8779" t="s">
        <v>14695</v>
      </c>
      <c r="F8779" t="s">
        <v>47</v>
      </c>
      <c r="G8779" t="s">
        <v>48</v>
      </c>
      <c r="H8779" t="s">
        <v>49</v>
      </c>
      <c r="I8779" t="s">
        <v>50</v>
      </c>
      <c r="J8779" t="s">
        <v>12863</v>
      </c>
      <c r="K8779" t="s">
        <v>13085</v>
      </c>
      <c r="L8779" t="s">
        <v>53</v>
      </c>
      <c r="N8779" t="s">
        <v>16710</v>
      </c>
      <c r="P8779" t="s">
        <v>55</v>
      </c>
      <c r="R8779" t="s">
        <v>53</v>
      </c>
      <c r="T8779" t="s">
        <v>16711</v>
      </c>
      <c r="U8779" t="s">
        <v>55</v>
      </c>
      <c r="V8779">
        <v>1</v>
      </c>
      <c r="W8779">
        <v>1</v>
      </c>
      <c r="X8779">
        <v>2</v>
      </c>
      <c r="Y8779">
        <v>0</v>
      </c>
      <c r="Z8779">
        <v>2</v>
      </c>
      <c r="AA8779">
        <v>108.54</v>
      </c>
      <c r="AB8779">
        <v>108.54</v>
      </c>
      <c r="AC8779">
        <v>99.81</v>
      </c>
      <c r="AD8779">
        <v>0</v>
      </c>
      <c r="AE8779">
        <v>8.73</v>
      </c>
      <c r="AF8779">
        <v>0</v>
      </c>
      <c r="AG8779">
        <v>0</v>
      </c>
      <c r="AH8779">
        <v>0</v>
      </c>
      <c r="AI8779">
        <v>19.54</v>
      </c>
      <c r="AJ8779">
        <v>108.54</v>
      </c>
      <c r="AK8779">
        <v>0</v>
      </c>
      <c r="AL8779" t="s">
        <v>53</v>
      </c>
      <c r="AM8779" t="s">
        <v>53</v>
      </c>
      <c r="AN8779" t="s">
        <v>53</v>
      </c>
      <c r="AO8779" t="s">
        <v>53</v>
      </c>
      <c r="AP8779" t="s">
        <v>53</v>
      </c>
    </row>
    <row r="8780" spans="2:42" x14ac:dyDescent="0.2">
      <c r="B8780" t="s">
        <v>44</v>
      </c>
      <c r="C8780" t="str">
        <f>HYPERLINK("https://us2.cloudbeds.com/connect/8493803454333002#/reservations/9080486848960593?display=51RQTXW6C4&amp;reservation_id=9080486848960593", "51RQTXW6C4")</f>
        <v>51RQTXW6C4</v>
      </c>
      <c r="D8780" t="s">
        <v>45</v>
      </c>
      <c r="E8780" t="s">
        <v>113</v>
      </c>
      <c r="F8780" t="s">
        <v>61</v>
      </c>
      <c r="G8780" t="s">
        <v>48</v>
      </c>
      <c r="H8780" t="s">
        <v>49</v>
      </c>
      <c r="I8780" t="s">
        <v>50</v>
      </c>
      <c r="J8780" t="s">
        <v>14349</v>
      </c>
      <c r="K8780" t="s">
        <v>15838</v>
      </c>
      <c r="L8780" t="s">
        <v>53</v>
      </c>
      <c r="N8780" t="s">
        <v>16712</v>
      </c>
      <c r="P8780" t="s">
        <v>55</v>
      </c>
      <c r="R8780" t="s">
        <v>53</v>
      </c>
      <c r="T8780" t="s">
        <v>16713</v>
      </c>
      <c r="U8780" t="s">
        <v>55</v>
      </c>
      <c r="V8780">
        <v>1</v>
      </c>
      <c r="W8780">
        <v>1</v>
      </c>
      <c r="X8780">
        <v>2</v>
      </c>
      <c r="Y8780">
        <v>0</v>
      </c>
      <c r="Z8780">
        <v>2</v>
      </c>
      <c r="AA8780">
        <v>98.82</v>
      </c>
      <c r="AB8780">
        <v>98.82</v>
      </c>
      <c r="AC8780">
        <v>90.87</v>
      </c>
      <c r="AD8780">
        <v>0</v>
      </c>
      <c r="AE8780">
        <v>7.95</v>
      </c>
      <c r="AF8780">
        <v>0</v>
      </c>
      <c r="AG8780">
        <v>0</v>
      </c>
      <c r="AH8780">
        <v>0</v>
      </c>
      <c r="AI8780">
        <v>17.79</v>
      </c>
      <c r="AJ8780">
        <v>98.82</v>
      </c>
      <c r="AK8780">
        <v>0</v>
      </c>
      <c r="AL8780" t="s">
        <v>53</v>
      </c>
      <c r="AM8780" t="s">
        <v>53</v>
      </c>
      <c r="AN8780" t="s">
        <v>53</v>
      </c>
      <c r="AO8780" t="s">
        <v>53</v>
      </c>
      <c r="AP8780" t="s">
        <v>53</v>
      </c>
    </row>
    <row r="8781" spans="2:42" x14ac:dyDescent="0.2">
      <c r="B8781" t="s">
        <v>44</v>
      </c>
      <c r="C8781" t="str">
        <f>HYPERLINK("https://us2.cloudbeds.com/connect/8493803454333002#/reservations/9080486848960597?display=51RQV55GJP&amp;reservation_id=9080486848960597", "51RQV55GJP")</f>
        <v>51RQV55GJP</v>
      </c>
      <c r="D8781" t="s">
        <v>45</v>
      </c>
      <c r="E8781" t="s">
        <v>165</v>
      </c>
      <c r="F8781" t="s">
        <v>61</v>
      </c>
      <c r="G8781" t="s">
        <v>48</v>
      </c>
      <c r="H8781" t="s">
        <v>49</v>
      </c>
      <c r="I8781" t="s">
        <v>50</v>
      </c>
      <c r="J8781" t="s">
        <v>14349</v>
      </c>
      <c r="K8781" t="s">
        <v>15838</v>
      </c>
      <c r="L8781" t="s">
        <v>53</v>
      </c>
      <c r="N8781" t="s">
        <v>16714</v>
      </c>
      <c r="P8781" t="s">
        <v>55</v>
      </c>
      <c r="R8781" t="s">
        <v>53</v>
      </c>
      <c r="T8781" t="s">
        <v>16715</v>
      </c>
      <c r="U8781" t="s">
        <v>55</v>
      </c>
      <c r="V8781">
        <v>1</v>
      </c>
      <c r="W8781">
        <v>1</v>
      </c>
      <c r="X8781">
        <v>1</v>
      </c>
      <c r="Y8781">
        <v>1</v>
      </c>
      <c r="Z8781">
        <v>2</v>
      </c>
      <c r="AA8781">
        <v>98.82</v>
      </c>
      <c r="AB8781">
        <v>98.82</v>
      </c>
      <c r="AC8781">
        <v>90.87</v>
      </c>
      <c r="AD8781">
        <v>0</v>
      </c>
      <c r="AE8781">
        <v>7.95</v>
      </c>
      <c r="AF8781">
        <v>0</v>
      </c>
      <c r="AG8781">
        <v>0</v>
      </c>
      <c r="AH8781">
        <v>0</v>
      </c>
      <c r="AI8781">
        <v>17.79</v>
      </c>
      <c r="AJ8781">
        <v>98.82</v>
      </c>
      <c r="AK8781">
        <v>0</v>
      </c>
      <c r="AL8781" t="s">
        <v>53</v>
      </c>
      <c r="AM8781" t="s">
        <v>53</v>
      </c>
      <c r="AN8781" t="s">
        <v>53</v>
      </c>
      <c r="AO8781" t="s">
        <v>53</v>
      </c>
      <c r="AP8781" t="s">
        <v>53</v>
      </c>
    </row>
    <row r="8782" spans="2:42" x14ac:dyDescent="0.2">
      <c r="B8782" t="s">
        <v>44</v>
      </c>
      <c r="C8782" t="str">
        <f>HYPERLINK("https://us2.cloudbeds.com/connect/8493803454333002#/reservations/9080486848960603?display=51RR526986&amp;reservation_id=9080486848960603", "51RR526986")</f>
        <v>51RR526986</v>
      </c>
      <c r="D8782" t="s">
        <v>45</v>
      </c>
      <c r="E8782" t="s">
        <v>265</v>
      </c>
      <c r="F8782" t="s">
        <v>61</v>
      </c>
      <c r="G8782" t="s">
        <v>48</v>
      </c>
      <c r="H8782" t="s">
        <v>49</v>
      </c>
      <c r="I8782" t="s">
        <v>62</v>
      </c>
      <c r="J8782" t="s">
        <v>12863</v>
      </c>
      <c r="K8782" t="s">
        <v>13085</v>
      </c>
      <c r="L8782" t="s">
        <v>53</v>
      </c>
      <c r="N8782" t="s">
        <v>16716</v>
      </c>
      <c r="P8782" t="s">
        <v>55</v>
      </c>
      <c r="R8782" t="s">
        <v>56</v>
      </c>
      <c r="T8782" t="s">
        <v>16717</v>
      </c>
      <c r="U8782" t="s">
        <v>55</v>
      </c>
      <c r="V8782">
        <v>1</v>
      </c>
      <c r="W8782">
        <v>1</v>
      </c>
      <c r="X8782">
        <v>2</v>
      </c>
      <c r="Y8782">
        <v>0</v>
      </c>
      <c r="Z8782">
        <v>2</v>
      </c>
      <c r="AA8782">
        <v>174.8</v>
      </c>
      <c r="AB8782">
        <v>174.8</v>
      </c>
      <c r="AC8782">
        <v>174.8</v>
      </c>
      <c r="AD8782">
        <v>0</v>
      </c>
      <c r="AE8782">
        <v>0</v>
      </c>
      <c r="AF8782">
        <v>0</v>
      </c>
      <c r="AG8782">
        <v>0</v>
      </c>
      <c r="AH8782">
        <v>0</v>
      </c>
      <c r="AI8782">
        <v>31.46</v>
      </c>
      <c r="AJ8782">
        <v>174.8</v>
      </c>
      <c r="AK8782">
        <v>0</v>
      </c>
      <c r="AL8782" t="s">
        <v>53</v>
      </c>
      <c r="AM8782" t="s">
        <v>53</v>
      </c>
      <c r="AN8782" t="s">
        <v>16718</v>
      </c>
      <c r="AO8782" t="s">
        <v>53</v>
      </c>
      <c r="AP8782" t="s">
        <v>53</v>
      </c>
    </row>
    <row r="8783" spans="2:42" x14ac:dyDescent="0.2">
      <c r="B8783" t="s">
        <v>44</v>
      </c>
      <c r="C8783" t="str">
        <f>HYPERLINK("https://us2.cloudbeds.com/connect/8493803454333002#/reservations/234662948192448?display=51S4G7YRE5&amp;reservation_id=234662948192448", "51S4G7YRE5")</f>
        <v>51S4G7YRE5</v>
      </c>
      <c r="D8783" t="s">
        <v>45</v>
      </c>
      <c r="E8783" t="s">
        <v>487</v>
      </c>
      <c r="F8783" t="s">
        <v>61</v>
      </c>
      <c r="G8783" t="s">
        <v>4520</v>
      </c>
      <c r="H8783" t="s">
        <v>3957</v>
      </c>
      <c r="I8783" t="s">
        <v>3958</v>
      </c>
      <c r="J8783" t="s">
        <v>13085</v>
      </c>
      <c r="K8783" t="s">
        <v>13086</v>
      </c>
      <c r="L8783" t="s">
        <v>53</v>
      </c>
      <c r="P8783" t="s">
        <v>55</v>
      </c>
      <c r="R8783" t="s">
        <v>56</v>
      </c>
      <c r="T8783" t="s">
        <v>16719</v>
      </c>
      <c r="U8783" t="s">
        <v>58</v>
      </c>
      <c r="V8783">
        <v>3</v>
      </c>
      <c r="W8783">
        <v>1</v>
      </c>
      <c r="X8783">
        <v>1</v>
      </c>
      <c r="Y8783">
        <v>0</v>
      </c>
      <c r="Z8783">
        <v>1</v>
      </c>
      <c r="AA8783">
        <v>357.02</v>
      </c>
      <c r="AB8783">
        <v>357.02</v>
      </c>
      <c r="AC8783">
        <v>311.39999999999998</v>
      </c>
      <c r="AD8783">
        <v>0</v>
      </c>
      <c r="AE8783">
        <v>45.62</v>
      </c>
      <c r="AF8783">
        <v>0</v>
      </c>
      <c r="AG8783">
        <v>0</v>
      </c>
      <c r="AH8783">
        <v>0</v>
      </c>
      <c r="AI8783">
        <v>0</v>
      </c>
      <c r="AJ8783">
        <v>357.02</v>
      </c>
      <c r="AK8783">
        <v>0</v>
      </c>
      <c r="AL8783" t="s">
        <v>53</v>
      </c>
      <c r="AM8783" t="s">
        <v>53</v>
      </c>
      <c r="AN8783" t="s">
        <v>53</v>
      </c>
      <c r="AO8783" t="s">
        <v>53</v>
      </c>
      <c r="AP8783" t="s">
        <v>53</v>
      </c>
    </row>
    <row r="8784" spans="2:42" x14ac:dyDescent="0.2">
      <c r="B8784" t="s">
        <v>44</v>
      </c>
      <c r="C8784" t="str">
        <f>HYPERLINK("https://us2.cloudbeds.com/connect/8493803454333002#/reservations/9080486848961010?display=51S5R2K3QB&amp;reservation_id=9080486848961010", "51S5R2K3QB")</f>
        <v>51S5R2K3QB</v>
      </c>
      <c r="D8784" t="s">
        <v>45</v>
      </c>
      <c r="E8784" t="s">
        <v>165</v>
      </c>
      <c r="F8784" t="s">
        <v>61</v>
      </c>
      <c r="G8784" t="s">
        <v>48</v>
      </c>
      <c r="H8784" t="s">
        <v>49</v>
      </c>
      <c r="I8784" t="s">
        <v>50</v>
      </c>
      <c r="J8784" t="s">
        <v>13086</v>
      </c>
      <c r="K8784" t="s">
        <v>14831</v>
      </c>
      <c r="L8784" t="s">
        <v>53</v>
      </c>
      <c r="N8784" t="s">
        <v>16720</v>
      </c>
      <c r="P8784" t="s">
        <v>55</v>
      </c>
      <c r="R8784" t="s">
        <v>53</v>
      </c>
      <c r="T8784" t="s">
        <v>16721</v>
      </c>
      <c r="U8784" t="s">
        <v>58</v>
      </c>
      <c r="V8784">
        <v>1</v>
      </c>
      <c r="W8784">
        <v>1</v>
      </c>
      <c r="X8784">
        <v>2</v>
      </c>
      <c r="Y8784">
        <v>0</v>
      </c>
      <c r="Z8784">
        <v>2</v>
      </c>
      <c r="AA8784">
        <v>134.65</v>
      </c>
      <c r="AB8784">
        <v>134.65</v>
      </c>
      <c r="AC8784">
        <v>117.44</v>
      </c>
      <c r="AD8784">
        <v>0</v>
      </c>
      <c r="AE8784">
        <v>17.21</v>
      </c>
      <c r="AF8784">
        <v>0</v>
      </c>
      <c r="AG8784">
        <v>0</v>
      </c>
      <c r="AH8784">
        <v>0</v>
      </c>
      <c r="AI8784">
        <v>24.24</v>
      </c>
      <c r="AJ8784">
        <v>134.65</v>
      </c>
      <c r="AK8784">
        <v>0</v>
      </c>
      <c r="AL8784" t="s">
        <v>53</v>
      </c>
      <c r="AM8784" t="s">
        <v>53</v>
      </c>
      <c r="AN8784" t="s">
        <v>53</v>
      </c>
      <c r="AO8784" t="s">
        <v>53</v>
      </c>
      <c r="AP8784" t="s">
        <v>53</v>
      </c>
    </row>
    <row r="8785" spans="2:42" x14ac:dyDescent="0.2">
      <c r="B8785" t="s">
        <v>44</v>
      </c>
      <c r="C8785" t="str">
        <f>HYPERLINK("https://us2.cloudbeds.com/connect/8493803454333002#/reservations/9080486848961191?display=51SAC5D3F4&amp;reservation_id=9080486848961191", "51SAC5D3F4")</f>
        <v>51SAC5D3F4</v>
      </c>
      <c r="D8785" t="s">
        <v>45</v>
      </c>
      <c r="E8785" t="s">
        <v>373</v>
      </c>
      <c r="F8785" t="s">
        <v>47</v>
      </c>
      <c r="G8785" t="s">
        <v>48</v>
      </c>
      <c r="H8785" t="s">
        <v>49</v>
      </c>
      <c r="I8785" t="s">
        <v>50</v>
      </c>
      <c r="J8785" t="s">
        <v>13085</v>
      </c>
      <c r="K8785" t="s">
        <v>11627</v>
      </c>
      <c r="L8785" t="s">
        <v>53</v>
      </c>
      <c r="N8785" t="s">
        <v>16722</v>
      </c>
      <c r="P8785" t="s">
        <v>55</v>
      </c>
      <c r="R8785" t="s">
        <v>53</v>
      </c>
      <c r="T8785" t="s">
        <v>16723</v>
      </c>
      <c r="U8785" t="s">
        <v>55</v>
      </c>
      <c r="V8785">
        <v>1</v>
      </c>
      <c r="W8785">
        <v>1</v>
      </c>
      <c r="X8785">
        <v>1</v>
      </c>
      <c r="Y8785">
        <v>0</v>
      </c>
      <c r="Z8785">
        <v>1</v>
      </c>
      <c r="AA8785">
        <v>132.68</v>
      </c>
      <c r="AB8785">
        <v>66.760000000000005</v>
      </c>
      <c r="AC8785">
        <v>122</v>
      </c>
      <c r="AD8785">
        <v>0</v>
      </c>
      <c r="AE8785">
        <v>10.68</v>
      </c>
      <c r="AF8785">
        <v>0</v>
      </c>
      <c r="AG8785">
        <v>0</v>
      </c>
      <c r="AH8785">
        <v>0</v>
      </c>
      <c r="AI8785">
        <v>23.88</v>
      </c>
      <c r="AJ8785">
        <v>132.68</v>
      </c>
      <c r="AK8785">
        <v>65.92</v>
      </c>
      <c r="AL8785" t="s">
        <v>53</v>
      </c>
      <c r="AM8785" t="s">
        <v>53</v>
      </c>
      <c r="AN8785" t="s">
        <v>16724</v>
      </c>
      <c r="AO8785" t="s">
        <v>53</v>
      </c>
      <c r="AP8785" t="s">
        <v>53</v>
      </c>
    </row>
    <row r="8786" spans="2:42" x14ac:dyDescent="0.2">
      <c r="B8786" t="s">
        <v>44</v>
      </c>
      <c r="C8786" t="str">
        <f>HYPERLINK("https://us2.cloudbeds.com/connect/8493803454333002#/reservations/9080486848961234?display=51SBD3CZ6P&amp;reservation_id=9080486848961234", "51SBD3CZ6P")</f>
        <v>51SBD3CZ6P</v>
      </c>
      <c r="D8786" t="s">
        <v>45</v>
      </c>
      <c r="E8786" t="s">
        <v>78</v>
      </c>
      <c r="F8786" t="s">
        <v>61</v>
      </c>
      <c r="G8786" t="s">
        <v>48</v>
      </c>
      <c r="H8786" t="s">
        <v>49</v>
      </c>
      <c r="I8786" t="s">
        <v>50</v>
      </c>
      <c r="J8786" t="s">
        <v>13085</v>
      </c>
      <c r="K8786" t="s">
        <v>11627</v>
      </c>
      <c r="L8786" t="s">
        <v>53</v>
      </c>
      <c r="N8786" t="s">
        <v>16725</v>
      </c>
      <c r="P8786" t="s">
        <v>55</v>
      </c>
      <c r="R8786" t="s">
        <v>53</v>
      </c>
      <c r="T8786" t="s">
        <v>16726</v>
      </c>
      <c r="U8786" t="s">
        <v>55</v>
      </c>
      <c r="V8786">
        <v>1</v>
      </c>
      <c r="W8786">
        <v>1</v>
      </c>
      <c r="X8786">
        <v>2</v>
      </c>
      <c r="Y8786">
        <v>0</v>
      </c>
      <c r="Z8786">
        <v>2</v>
      </c>
      <c r="AA8786">
        <v>84.55</v>
      </c>
      <c r="AB8786">
        <v>84.55</v>
      </c>
      <c r="AC8786">
        <v>77.75</v>
      </c>
      <c r="AD8786">
        <v>0</v>
      </c>
      <c r="AE8786">
        <v>6.8</v>
      </c>
      <c r="AF8786">
        <v>0</v>
      </c>
      <c r="AG8786">
        <v>0</v>
      </c>
      <c r="AH8786">
        <v>0</v>
      </c>
      <c r="AI8786">
        <v>15.22</v>
      </c>
      <c r="AJ8786">
        <v>84.55</v>
      </c>
      <c r="AK8786">
        <v>0</v>
      </c>
      <c r="AL8786" t="s">
        <v>53</v>
      </c>
      <c r="AM8786" t="s">
        <v>53</v>
      </c>
      <c r="AN8786" t="s">
        <v>53</v>
      </c>
      <c r="AO8786" t="s">
        <v>53</v>
      </c>
      <c r="AP8786" t="s">
        <v>53</v>
      </c>
    </row>
    <row r="8787" spans="2:42" x14ac:dyDescent="0.2">
      <c r="B8787" t="s">
        <v>44</v>
      </c>
      <c r="C8787" t="str">
        <f>HYPERLINK("https://us2.cloudbeds.com/connect/8493803454333002#/reservations/234676986523776?display=51SFBV3RSB&amp;reservation_id=234676986523776", "51SFBV3RSB")</f>
        <v>51SFBV3RSB</v>
      </c>
      <c r="D8787" t="s">
        <v>45</v>
      </c>
      <c r="E8787" t="s">
        <v>381</v>
      </c>
      <c r="F8787" t="s">
        <v>47</v>
      </c>
      <c r="G8787" t="s">
        <v>48</v>
      </c>
      <c r="H8787" t="s">
        <v>3957</v>
      </c>
      <c r="I8787" t="s">
        <v>3975</v>
      </c>
      <c r="J8787" t="s">
        <v>13085</v>
      </c>
      <c r="K8787" t="s">
        <v>11628</v>
      </c>
      <c r="L8787" t="s">
        <v>53</v>
      </c>
      <c r="P8787" t="s">
        <v>58</v>
      </c>
      <c r="R8787" t="s">
        <v>56</v>
      </c>
      <c r="T8787" t="s">
        <v>16727</v>
      </c>
      <c r="U8787" t="s">
        <v>58</v>
      </c>
      <c r="V8787">
        <v>2</v>
      </c>
      <c r="W8787">
        <v>1</v>
      </c>
      <c r="X8787">
        <v>2</v>
      </c>
      <c r="Y8787">
        <v>0</v>
      </c>
      <c r="Z8787">
        <v>2</v>
      </c>
      <c r="AA8787">
        <v>218.99</v>
      </c>
      <c r="AB8787">
        <v>224.47</v>
      </c>
      <c r="AC8787">
        <v>191</v>
      </c>
      <c r="AD8787">
        <v>5</v>
      </c>
      <c r="AE8787">
        <v>28.47</v>
      </c>
      <c r="AF8787">
        <v>0</v>
      </c>
      <c r="AG8787">
        <v>0</v>
      </c>
      <c r="AH8787">
        <v>0</v>
      </c>
      <c r="AI8787">
        <v>0</v>
      </c>
      <c r="AJ8787">
        <v>224.47</v>
      </c>
      <c r="AK8787">
        <v>0</v>
      </c>
      <c r="AL8787" t="s">
        <v>53</v>
      </c>
      <c r="AM8787" t="s">
        <v>53</v>
      </c>
      <c r="AN8787" t="s">
        <v>53</v>
      </c>
      <c r="AO8787" t="s">
        <v>53</v>
      </c>
      <c r="AP8787" t="s">
        <v>53</v>
      </c>
    </row>
    <row r="8788" spans="2:42" x14ac:dyDescent="0.2">
      <c r="B8788" t="s">
        <v>44</v>
      </c>
      <c r="C8788" t="str">
        <f>HYPERLINK("https://us2.cloudbeds.com/connect/8493803454333002#/reservations/9080486848961525?display=51SK279RQ4&amp;reservation_id=9080486848961525", "51SK279RQ4")</f>
        <v>51SK279RQ4</v>
      </c>
      <c r="D8788" t="s">
        <v>45</v>
      </c>
      <c r="E8788" t="s">
        <v>223</v>
      </c>
      <c r="F8788" t="s">
        <v>47</v>
      </c>
      <c r="G8788" t="s">
        <v>48</v>
      </c>
      <c r="H8788" t="s">
        <v>49</v>
      </c>
      <c r="I8788" t="s">
        <v>50</v>
      </c>
      <c r="J8788" t="s">
        <v>13869</v>
      </c>
      <c r="K8788" t="s">
        <v>14636</v>
      </c>
      <c r="L8788" t="s">
        <v>53</v>
      </c>
      <c r="N8788" t="s">
        <v>16728</v>
      </c>
      <c r="P8788" t="s">
        <v>55</v>
      </c>
      <c r="R8788" t="s">
        <v>53</v>
      </c>
      <c r="T8788" t="s">
        <v>16729</v>
      </c>
      <c r="U8788" t="s">
        <v>55</v>
      </c>
      <c r="V8788">
        <v>2</v>
      </c>
      <c r="W8788">
        <v>1</v>
      </c>
      <c r="X8788">
        <v>2</v>
      </c>
      <c r="Y8788">
        <v>0</v>
      </c>
      <c r="Z8788">
        <v>2</v>
      </c>
      <c r="AA8788">
        <v>314.51</v>
      </c>
      <c r="AB8788">
        <v>314.51</v>
      </c>
      <c r="AC8788">
        <v>289.20999999999998</v>
      </c>
      <c r="AD8788">
        <v>0</v>
      </c>
      <c r="AE8788">
        <v>25.3</v>
      </c>
      <c r="AF8788">
        <v>0</v>
      </c>
      <c r="AG8788">
        <v>0</v>
      </c>
      <c r="AH8788">
        <v>0</v>
      </c>
      <c r="AI8788">
        <v>56.61</v>
      </c>
      <c r="AJ8788">
        <v>314.51</v>
      </c>
      <c r="AK8788">
        <v>0</v>
      </c>
      <c r="AL8788" t="s">
        <v>53</v>
      </c>
      <c r="AM8788" t="s">
        <v>53</v>
      </c>
      <c r="AN8788" t="s">
        <v>53</v>
      </c>
      <c r="AO8788" t="s">
        <v>53</v>
      </c>
      <c r="AP8788" t="s">
        <v>53</v>
      </c>
    </row>
    <row r="8789" spans="2:42" x14ac:dyDescent="0.2">
      <c r="B8789" t="s">
        <v>44</v>
      </c>
      <c r="C8789" t="str">
        <f>HYPERLINK("https://us2.cloudbeds.com/connect/8493803454333002#/reservations/9080486848961905?display=51SV22UU6P&amp;reservation_id=9080486848961905", "51SV22UU6P")</f>
        <v>51SV22UU6P</v>
      </c>
      <c r="D8789" t="s">
        <v>10291</v>
      </c>
      <c r="E8789" t="s">
        <v>165</v>
      </c>
      <c r="F8789" t="s">
        <v>61</v>
      </c>
      <c r="G8789" t="s">
        <v>48</v>
      </c>
      <c r="H8789" t="s">
        <v>49</v>
      </c>
      <c r="I8789" t="s">
        <v>50</v>
      </c>
      <c r="J8789" t="s">
        <v>15545</v>
      </c>
      <c r="K8789" t="s">
        <v>16111</v>
      </c>
      <c r="L8789" t="s">
        <v>53</v>
      </c>
      <c r="N8789" t="s">
        <v>16730</v>
      </c>
      <c r="P8789" t="s">
        <v>55</v>
      </c>
      <c r="R8789" t="s">
        <v>53</v>
      </c>
      <c r="T8789" t="s">
        <v>16731</v>
      </c>
      <c r="U8789" t="s">
        <v>58</v>
      </c>
      <c r="V8789">
        <v>1</v>
      </c>
      <c r="W8789">
        <v>1</v>
      </c>
      <c r="X8789">
        <v>2</v>
      </c>
      <c r="Y8789">
        <v>0</v>
      </c>
      <c r="Z8789">
        <v>2</v>
      </c>
      <c r="AA8789">
        <v>172.99</v>
      </c>
      <c r="AB8789">
        <v>0</v>
      </c>
      <c r="AC8789">
        <v>150.88</v>
      </c>
      <c r="AD8789">
        <v>0</v>
      </c>
      <c r="AE8789">
        <v>22.11</v>
      </c>
      <c r="AF8789">
        <v>0</v>
      </c>
      <c r="AG8789">
        <v>0</v>
      </c>
      <c r="AH8789">
        <v>0</v>
      </c>
      <c r="AI8789">
        <v>31.14</v>
      </c>
      <c r="AJ8789">
        <v>172.99</v>
      </c>
      <c r="AK8789">
        <v>172.99</v>
      </c>
      <c r="AL8789" t="s">
        <v>53</v>
      </c>
      <c r="AM8789" t="s">
        <v>53</v>
      </c>
      <c r="AN8789" t="s">
        <v>53</v>
      </c>
      <c r="AO8789" t="s">
        <v>53</v>
      </c>
      <c r="AP8789" t="s">
        <v>53</v>
      </c>
    </row>
    <row r="8790" spans="2:42" x14ac:dyDescent="0.2">
      <c r="B8790" t="s">
        <v>44</v>
      </c>
      <c r="C8790" t="str">
        <f>HYPERLINK("https://us2.cloudbeds.com/connect/8493803454333002#/reservations/234699806507201?display=51T011HDBJ&amp;reservation_id=234699806507201", "51T011HDBJ")</f>
        <v>51T011HDBJ</v>
      </c>
      <c r="D8790" t="s">
        <v>45</v>
      </c>
      <c r="E8790" t="s">
        <v>105</v>
      </c>
      <c r="F8790" t="s">
        <v>47</v>
      </c>
      <c r="G8790" t="s">
        <v>3974</v>
      </c>
      <c r="H8790" t="s">
        <v>3957</v>
      </c>
      <c r="I8790" t="s">
        <v>3975</v>
      </c>
      <c r="J8790" t="s">
        <v>14154</v>
      </c>
      <c r="K8790" t="s">
        <v>14976</v>
      </c>
      <c r="L8790" t="s">
        <v>53</v>
      </c>
      <c r="P8790" t="s">
        <v>55</v>
      </c>
      <c r="R8790" t="s">
        <v>56</v>
      </c>
      <c r="T8790" t="s">
        <v>16732</v>
      </c>
      <c r="U8790" t="s">
        <v>58</v>
      </c>
      <c r="V8790">
        <v>1</v>
      </c>
      <c r="W8790">
        <v>1</v>
      </c>
      <c r="X8790">
        <v>2</v>
      </c>
      <c r="Y8790">
        <v>0</v>
      </c>
      <c r="Z8790">
        <v>2</v>
      </c>
      <c r="AA8790">
        <v>174.27</v>
      </c>
      <c r="AB8790">
        <v>174.27</v>
      </c>
      <c r="AC8790">
        <v>152</v>
      </c>
      <c r="AD8790">
        <v>0</v>
      </c>
      <c r="AE8790">
        <v>22.27</v>
      </c>
      <c r="AF8790">
        <v>0</v>
      </c>
      <c r="AG8790">
        <v>0</v>
      </c>
      <c r="AH8790">
        <v>0</v>
      </c>
      <c r="AI8790">
        <v>0</v>
      </c>
      <c r="AJ8790">
        <v>174.27</v>
      </c>
      <c r="AK8790">
        <v>0</v>
      </c>
      <c r="AL8790" t="s">
        <v>53</v>
      </c>
      <c r="AM8790" t="s">
        <v>53</v>
      </c>
      <c r="AN8790" t="s">
        <v>16733</v>
      </c>
      <c r="AO8790" t="s">
        <v>53</v>
      </c>
      <c r="AP8790" t="s">
        <v>53</v>
      </c>
    </row>
    <row r="8791" spans="2:42" x14ac:dyDescent="0.2">
      <c r="B8791" t="s">
        <v>44</v>
      </c>
      <c r="C8791" t="str">
        <f>HYPERLINK("https://us2.cloudbeds.com/connect/8493803454333002#/reservations/9080486848962634?display=51TAFW8W0S&amp;reservation_id=9080486848962634", "51TAFW8W0S")</f>
        <v>51TAFW8W0S</v>
      </c>
      <c r="D8791" t="s">
        <v>45</v>
      </c>
      <c r="E8791" t="s">
        <v>14695</v>
      </c>
      <c r="F8791" t="s">
        <v>47</v>
      </c>
      <c r="G8791" t="s">
        <v>48</v>
      </c>
      <c r="H8791" t="s">
        <v>49</v>
      </c>
      <c r="I8791" t="s">
        <v>50</v>
      </c>
      <c r="J8791" t="s">
        <v>13085</v>
      </c>
      <c r="K8791" t="s">
        <v>11627</v>
      </c>
      <c r="L8791" t="s">
        <v>53</v>
      </c>
      <c r="N8791" t="s">
        <v>16734</v>
      </c>
      <c r="P8791" t="s">
        <v>55</v>
      </c>
      <c r="R8791" t="s">
        <v>53</v>
      </c>
      <c r="T8791" t="s">
        <v>16735</v>
      </c>
      <c r="U8791" t="s">
        <v>55</v>
      </c>
      <c r="V8791">
        <v>1</v>
      </c>
      <c r="W8791">
        <v>1</v>
      </c>
      <c r="X8791">
        <v>1</v>
      </c>
      <c r="Y8791">
        <v>0</v>
      </c>
      <c r="Z8791">
        <v>1</v>
      </c>
      <c r="AA8791">
        <v>76.3</v>
      </c>
      <c r="AB8791">
        <v>76.3</v>
      </c>
      <c r="AC8791">
        <v>70.16</v>
      </c>
      <c r="AD8791">
        <v>0</v>
      </c>
      <c r="AE8791">
        <v>6.14</v>
      </c>
      <c r="AF8791">
        <v>0</v>
      </c>
      <c r="AG8791">
        <v>0</v>
      </c>
      <c r="AH8791">
        <v>0</v>
      </c>
      <c r="AI8791">
        <v>13.73</v>
      </c>
      <c r="AJ8791">
        <v>76.3</v>
      </c>
      <c r="AK8791">
        <v>0</v>
      </c>
      <c r="AL8791" t="s">
        <v>53</v>
      </c>
      <c r="AM8791" t="s">
        <v>53</v>
      </c>
      <c r="AN8791" t="s">
        <v>16736</v>
      </c>
      <c r="AO8791" t="s">
        <v>53</v>
      </c>
      <c r="AP8791" t="s">
        <v>53</v>
      </c>
    </row>
    <row r="8792" spans="2:42" x14ac:dyDescent="0.2">
      <c r="B8792" t="s">
        <v>44</v>
      </c>
      <c r="C8792" t="str">
        <f>HYPERLINK("https://us2.cloudbeds.com/connect/8493803454333002#/reservations/9080486848962980?display=51TM4X7BYA&amp;reservation_id=9080486848962980", "51TM4X7BYA")</f>
        <v>51TM4X7BYA</v>
      </c>
      <c r="D8792" t="s">
        <v>45</v>
      </c>
      <c r="E8792" t="s">
        <v>128</v>
      </c>
      <c r="F8792" t="s">
        <v>86</v>
      </c>
      <c r="G8792" t="s">
        <v>48</v>
      </c>
      <c r="H8792" t="s">
        <v>49</v>
      </c>
      <c r="I8792" t="s">
        <v>50</v>
      </c>
      <c r="J8792" t="s">
        <v>16163</v>
      </c>
      <c r="K8792" t="s">
        <v>14130</v>
      </c>
      <c r="L8792" t="s">
        <v>53</v>
      </c>
      <c r="N8792" t="s">
        <v>16737</v>
      </c>
      <c r="P8792" t="s">
        <v>55</v>
      </c>
      <c r="R8792" t="s">
        <v>53</v>
      </c>
      <c r="T8792" t="s">
        <v>16738</v>
      </c>
      <c r="U8792" t="s">
        <v>58</v>
      </c>
      <c r="V8792">
        <v>1</v>
      </c>
      <c r="W8792">
        <v>1</v>
      </c>
      <c r="X8792">
        <v>2</v>
      </c>
      <c r="Y8792">
        <v>0</v>
      </c>
      <c r="Z8792">
        <v>2</v>
      </c>
      <c r="AA8792">
        <v>191.04</v>
      </c>
      <c r="AB8792">
        <v>191.04</v>
      </c>
      <c r="AC8792">
        <v>166.63</v>
      </c>
      <c r="AD8792">
        <v>0</v>
      </c>
      <c r="AE8792">
        <v>24.41</v>
      </c>
      <c r="AF8792">
        <v>0</v>
      </c>
      <c r="AG8792">
        <v>0</v>
      </c>
      <c r="AH8792">
        <v>0</v>
      </c>
      <c r="AI8792">
        <v>34.39</v>
      </c>
      <c r="AJ8792">
        <v>191.04</v>
      </c>
      <c r="AK8792">
        <v>0</v>
      </c>
      <c r="AL8792" t="s">
        <v>53</v>
      </c>
      <c r="AM8792" t="s">
        <v>53</v>
      </c>
      <c r="AN8792" t="s">
        <v>53</v>
      </c>
      <c r="AO8792" t="s">
        <v>53</v>
      </c>
      <c r="AP8792" t="s">
        <v>53</v>
      </c>
    </row>
    <row r="8793" spans="2:42" x14ac:dyDescent="0.2">
      <c r="B8793" t="s">
        <v>44</v>
      </c>
      <c r="C8793" t="str">
        <f>HYPERLINK("https://us2.cloudbeds.com/connect/8493803454333002#/reservations/9080486848967332?display=5203PTAD90&amp;reservation_id=9080486848967332", "5203PTAD90")</f>
        <v>5203PTAD90</v>
      </c>
      <c r="D8793" t="s">
        <v>45</v>
      </c>
      <c r="E8793" t="s">
        <v>213</v>
      </c>
      <c r="F8793" t="s">
        <v>86</v>
      </c>
      <c r="G8793" t="s">
        <v>48</v>
      </c>
      <c r="H8793" t="s">
        <v>49</v>
      </c>
      <c r="I8793" t="s">
        <v>62</v>
      </c>
      <c r="J8793" t="s">
        <v>13085</v>
      </c>
      <c r="K8793" t="s">
        <v>11628</v>
      </c>
      <c r="L8793" t="s">
        <v>53</v>
      </c>
      <c r="N8793" t="s">
        <v>16739</v>
      </c>
      <c r="P8793" t="s">
        <v>55</v>
      </c>
      <c r="R8793" t="s">
        <v>56</v>
      </c>
      <c r="T8793" t="s">
        <v>16740</v>
      </c>
      <c r="U8793" t="s">
        <v>55</v>
      </c>
      <c r="V8793">
        <v>2</v>
      </c>
      <c r="W8793">
        <v>1</v>
      </c>
      <c r="X8793">
        <v>3</v>
      </c>
      <c r="Y8793">
        <v>0</v>
      </c>
      <c r="Z8793">
        <v>3</v>
      </c>
      <c r="AA8793">
        <v>281.75</v>
      </c>
      <c r="AB8793">
        <v>281.75</v>
      </c>
      <c r="AC8793">
        <v>281.75</v>
      </c>
      <c r="AD8793">
        <v>0</v>
      </c>
      <c r="AE8793">
        <v>0</v>
      </c>
      <c r="AF8793">
        <v>0</v>
      </c>
      <c r="AG8793">
        <v>0</v>
      </c>
      <c r="AH8793">
        <v>0</v>
      </c>
      <c r="AI8793">
        <v>50.72</v>
      </c>
      <c r="AJ8793">
        <v>281.75</v>
      </c>
      <c r="AK8793">
        <v>0</v>
      </c>
      <c r="AL8793" t="s">
        <v>53</v>
      </c>
      <c r="AM8793" t="s">
        <v>53</v>
      </c>
      <c r="AN8793" t="s">
        <v>16741</v>
      </c>
      <c r="AO8793" t="s">
        <v>53</v>
      </c>
      <c r="AP8793" t="s">
        <v>53</v>
      </c>
    </row>
    <row r="8794" spans="2:42" x14ac:dyDescent="0.2">
      <c r="B8794" t="s">
        <v>44</v>
      </c>
      <c r="C8794" t="str">
        <f>HYPERLINK("https://us2.cloudbeds.com/connect/8493803454333002#/reservations/9080486848967683?display=52095EQQSD&amp;reservation_id=9080486848967683", "52095EQQSD")</f>
        <v>52095EQQSD</v>
      </c>
      <c r="D8794" t="s">
        <v>45</v>
      </c>
      <c r="E8794" t="s">
        <v>406</v>
      </c>
      <c r="F8794" t="s">
        <v>61</v>
      </c>
      <c r="G8794" t="s">
        <v>48</v>
      </c>
      <c r="H8794" t="s">
        <v>49</v>
      </c>
      <c r="I8794" t="s">
        <v>50</v>
      </c>
      <c r="J8794" t="s">
        <v>14349</v>
      </c>
      <c r="K8794" t="s">
        <v>14847</v>
      </c>
      <c r="L8794" t="s">
        <v>53</v>
      </c>
      <c r="N8794" t="s">
        <v>16742</v>
      </c>
      <c r="P8794" t="s">
        <v>55</v>
      </c>
      <c r="R8794" t="s">
        <v>53</v>
      </c>
      <c r="T8794" t="s">
        <v>16743</v>
      </c>
      <c r="U8794" t="s">
        <v>55</v>
      </c>
      <c r="V8794">
        <v>3</v>
      </c>
      <c r="W8794">
        <v>1</v>
      </c>
      <c r="X8794">
        <v>2</v>
      </c>
      <c r="Y8794">
        <v>0</v>
      </c>
      <c r="Z8794">
        <v>2</v>
      </c>
      <c r="AA8794">
        <v>332.47</v>
      </c>
      <c r="AB8794">
        <v>332.47</v>
      </c>
      <c r="AC8794">
        <v>305.72000000000003</v>
      </c>
      <c r="AD8794">
        <v>0</v>
      </c>
      <c r="AE8794">
        <v>26.75</v>
      </c>
      <c r="AF8794">
        <v>0</v>
      </c>
      <c r="AG8794">
        <v>0</v>
      </c>
      <c r="AH8794">
        <v>0</v>
      </c>
      <c r="AI8794">
        <v>59.84</v>
      </c>
      <c r="AJ8794">
        <v>332.47</v>
      </c>
      <c r="AK8794">
        <v>0</v>
      </c>
      <c r="AL8794" t="s">
        <v>53</v>
      </c>
      <c r="AM8794" t="s">
        <v>53</v>
      </c>
      <c r="AN8794" t="s">
        <v>16744</v>
      </c>
      <c r="AO8794" t="s">
        <v>53</v>
      </c>
      <c r="AP8794" t="s">
        <v>53</v>
      </c>
    </row>
    <row r="8795" spans="2:42" x14ac:dyDescent="0.2">
      <c r="B8795" t="s">
        <v>44</v>
      </c>
      <c r="C8795" t="str">
        <f>HYPERLINK("https://us2.cloudbeds.com/connect/8493803454333002#/reservations/9080486848967854?display=520CBGR2X3&amp;reservation_id=9080486848967854", "520CBGR2X3")</f>
        <v>520CBGR2X3</v>
      </c>
      <c r="D8795" t="s">
        <v>45</v>
      </c>
      <c r="E8795" t="s">
        <v>69</v>
      </c>
      <c r="F8795" t="s">
        <v>70</v>
      </c>
      <c r="G8795" t="s">
        <v>48</v>
      </c>
      <c r="H8795" t="s">
        <v>49</v>
      </c>
      <c r="I8795" t="s">
        <v>50</v>
      </c>
      <c r="J8795" t="s">
        <v>15838</v>
      </c>
      <c r="K8795" t="s">
        <v>14979</v>
      </c>
      <c r="L8795" t="s">
        <v>53</v>
      </c>
      <c r="N8795" t="s">
        <v>16745</v>
      </c>
      <c r="P8795" t="s">
        <v>55</v>
      </c>
      <c r="R8795" t="s">
        <v>53</v>
      </c>
      <c r="T8795" t="s">
        <v>16746</v>
      </c>
      <c r="U8795" t="s">
        <v>55</v>
      </c>
      <c r="V8795">
        <v>1</v>
      </c>
      <c r="W8795">
        <v>1</v>
      </c>
      <c r="X8795">
        <v>2</v>
      </c>
      <c r="Y8795">
        <v>0</v>
      </c>
      <c r="Z8795">
        <v>2</v>
      </c>
      <c r="AA8795">
        <v>80.03</v>
      </c>
      <c r="AB8795">
        <v>80.03</v>
      </c>
      <c r="AC8795">
        <v>73.59</v>
      </c>
      <c r="AD8795">
        <v>0</v>
      </c>
      <c r="AE8795">
        <v>6.44</v>
      </c>
      <c r="AF8795">
        <v>0</v>
      </c>
      <c r="AG8795">
        <v>0</v>
      </c>
      <c r="AH8795">
        <v>0</v>
      </c>
      <c r="AI8795">
        <v>14.41</v>
      </c>
      <c r="AJ8795">
        <v>80.03</v>
      </c>
      <c r="AK8795">
        <v>0</v>
      </c>
      <c r="AL8795" t="s">
        <v>53</v>
      </c>
      <c r="AM8795" t="s">
        <v>53</v>
      </c>
      <c r="AN8795" t="s">
        <v>53</v>
      </c>
      <c r="AO8795" t="s">
        <v>53</v>
      </c>
      <c r="AP8795" t="s">
        <v>53</v>
      </c>
    </row>
    <row r="8796" spans="2:42" x14ac:dyDescent="0.2">
      <c r="B8796" t="s">
        <v>44</v>
      </c>
      <c r="C8796" t="str">
        <f>HYPERLINK("https://us2.cloudbeds.com/connect/8493803454333002#/reservations/9080486848967864?display=520CF82MUW&amp;reservation_id=9080486848967864", "520CF82MUW")</f>
        <v>520CF82MUW</v>
      </c>
      <c r="D8796" t="s">
        <v>45</v>
      </c>
      <c r="E8796" t="s">
        <v>165</v>
      </c>
      <c r="F8796" t="s">
        <v>61</v>
      </c>
      <c r="G8796" t="s">
        <v>48</v>
      </c>
      <c r="H8796" t="s">
        <v>49</v>
      </c>
      <c r="I8796" t="s">
        <v>50</v>
      </c>
      <c r="J8796" t="s">
        <v>14831</v>
      </c>
      <c r="K8796" t="s">
        <v>14348</v>
      </c>
      <c r="L8796" t="s">
        <v>53</v>
      </c>
      <c r="N8796" t="s">
        <v>16747</v>
      </c>
      <c r="P8796" t="s">
        <v>55</v>
      </c>
      <c r="R8796" t="s">
        <v>53</v>
      </c>
      <c r="T8796" t="s">
        <v>16748</v>
      </c>
      <c r="U8796" t="s">
        <v>55</v>
      </c>
      <c r="V8796">
        <v>2</v>
      </c>
      <c r="W8796">
        <v>1</v>
      </c>
      <c r="X8796">
        <v>2</v>
      </c>
      <c r="Y8796">
        <v>0</v>
      </c>
      <c r="Z8796">
        <v>2</v>
      </c>
      <c r="AA8796">
        <v>272.85000000000002</v>
      </c>
      <c r="AB8796">
        <v>272.85000000000002</v>
      </c>
      <c r="AC8796">
        <v>250.89</v>
      </c>
      <c r="AD8796">
        <v>0</v>
      </c>
      <c r="AE8796">
        <v>21.96</v>
      </c>
      <c r="AF8796">
        <v>0</v>
      </c>
      <c r="AG8796">
        <v>0</v>
      </c>
      <c r="AH8796">
        <v>0</v>
      </c>
      <c r="AI8796">
        <v>49.11</v>
      </c>
      <c r="AJ8796">
        <v>272.85000000000002</v>
      </c>
      <c r="AK8796">
        <v>0</v>
      </c>
      <c r="AL8796" t="s">
        <v>53</v>
      </c>
      <c r="AM8796" t="s">
        <v>53</v>
      </c>
      <c r="AN8796" t="s">
        <v>16749</v>
      </c>
      <c r="AO8796" t="s">
        <v>53</v>
      </c>
      <c r="AP8796" t="s">
        <v>53</v>
      </c>
    </row>
    <row r="8797" spans="2:42" x14ac:dyDescent="0.2">
      <c r="B8797" t="s">
        <v>44</v>
      </c>
      <c r="C8797" t="str">
        <f>HYPERLINK("https://us2.cloudbeds.com/connect/8493803454333002#/reservations/234890119897216?display=520FCWRJNP&amp;reservation_id=234890119897216", "520FCWRJNP")</f>
        <v>520FCWRJNP</v>
      </c>
      <c r="D8797" t="s">
        <v>45</v>
      </c>
      <c r="E8797" t="s">
        <v>16750</v>
      </c>
      <c r="F8797" t="s">
        <v>2145</v>
      </c>
      <c r="G8797" t="s">
        <v>48</v>
      </c>
      <c r="H8797" t="s">
        <v>3957</v>
      </c>
      <c r="I8797" t="s">
        <v>3975</v>
      </c>
      <c r="J8797" t="s">
        <v>14348</v>
      </c>
      <c r="K8797" t="s">
        <v>14349</v>
      </c>
      <c r="L8797" t="s">
        <v>53</v>
      </c>
      <c r="P8797" t="s">
        <v>55</v>
      </c>
      <c r="R8797" t="s">
        <v>56</v>
      </c>
      <c r="T8797" t="s">
        <v>16751</v>
      </c>
      <c r="U8797" t="s">
        <v>58</v>
      </c>
      <c r="V8797">
        <v>6</v>
      </c>
      <c r="W8797">
        <v>3</v>
      </c>
      <c r="X8797">
        <v>6</v>
      </c>
      <c r="Y8797">
        <v>0</v>
      </c>
      <c r="Z8797">
        <v>6</v>
      </c>
      <c r="AA8797">
        <v>0</v>
      </c>
      <c r="AB8797">
        <v>1272.6300000000001</v>
      </c>
      <c r="AC8797">
        <v>1110</v>
      </c>
      <c r="AD8797">
        <v>0</v>
      </c>
      <c r="AE8797">
        <v>162.63</v>
      </c>
      <c r="AF8797">
        <v>0</v>
      </c>
      <c r="AG8797">
        <v>0</v>
      </c>
      <c r="AH8797">
        <v>0</v>
      </c>
      <c r="AI8797">
        <v>0</v>
      </c>
      <c r="AJ8797">
        <v>1272.6300000000001</v>
      </c>
      <c r="AK8797">
        <v>0</v>
      </c>
      <c r="AL8797" t="s">
        <v>53</v>
      </c>
      <c r="AM8797" t="s">
        <v>53</v>
      </c>
      <c r="AN8797" t="s">
        <v>53</v>
      </c>
      <c r="AO8797" t="s">
        <v>53</v>
      </c>
      <c r="AP8797" t="s">
        <v>53</v>
      </c>
    </row>
    <row r="8798" spans="2:42" x14ac:dyDescent="0.2">
      <c r="B8798" t="s">
        <v>44</v>
      </c>
      <c r="C8798" t="str">
        <f>HYPERLINK("https://us2.cloudbeds.com/connect/8493803454333002#/reservations/9080486848968466?display=520MU0FV0N&amp;reservation_id=9080486848968466", "520MU0FV0N")</f>
        <v>520MU0FV0N</v>
      </c>
      <c r="D8798" t="s">
        <v>45</v>
      </c>
      <c r="E8798" t="s">
        <v>223</v>
      </c>
      <c r="F8798" t="s">
        <v>47</v>
      </c>
      <c r="G8798" t="s">
        <v>48</v>
      </c>
      <c r="H8798" t="s">
        <v>49</v>
      </c>
      <c r="I8798" t="s">
        <v>50</v>
      </c>
      <c r="J8798" t="s">
        <v>15231</v>
      </c>
      <c r="K8798" t="s">
        <v>15075</v>
      </c>
      <c r="L8798" t="s">
        <v>53</v>
      </c>
      <c r="N8798" t="s">
        <v>16752</v>
      </c>
      <c r="P8798" t="s">
        <v>55</v>
      </c>
      <c r="R8798" t="s">
        <v>53</v>
      </c>
      <c r="T8798" t="s">
        <v>16753</v>
      </c>
      <c r="U8798" t="s">
        <v>58</v>
      </c>
      <c r="V8798">
        <v>1</v>
      </c>
      <c r="W8798">
        <v>1</v>
      </c>
      <c r="X8798">
        <v>2</v>
      </c>
      <c r="Y8798">
        <v>0</v>
      </c>
      <c r="Z8798">
        <v>2</v>
      </c>
      <c r="AA8798">
        <v>142.83000000000001</v>
      </c>
      <c r="AB8798">
        <v>142.83000000000001</v>
      </c>
      <c r="AC8798">
        <v>124.58</v>
      </c>
      <c r="AD8798">
        <v>0</v>
      </c>
      <c r="AE8798">
        <v>18.25</v>
      </c>
      <c r="AF8798">
        <v>0</v>
      </c>
      <c r="AG8798">
        <v>0</v>
      </c>
      <c r="AH8798">
        <v>0</v>
      </c>
      <c r="AI8798">
        <v>25.71</v>
      </c>
      <c r="AJ8798">
        <v>142.83000000000001</v>
      </c>
      <c r="AK8798">
        <v>0</v>
      </c>
      <c r="AL8798" t="s">
        <v>53</v>
      </c>
      <c r="AM8798" t="s">
        <v>53</v>
      </c>
      <c r="AN8798" t="s">
        <v>16754</v>
      </c>
      <c r="AO8798" t="s">
        <v>53</v>
      </c>
      <c r="AP8798" t="s">
        <v>53</v>
      </c>
    </row>
    <row r="8799" spans="2:42" x14ac:dyDescent="0.2">
      <c r="B8799" t="s">
        <v>44</v>
      </c>
      <c r="C8799" t="str">
        <f>HYPERLINK("https://us2.cloudbeds.com/connect/8493803454333002#/reservations/9080486848970396?display=521ZVB9Y0Z&amp;reservation_id=9080486848970396", "521ZVB9Y0Z")</f>
        <v>521ZVB9Y0Z</v>
      </c>
      <c r="D8799" t="s">
        <v>45</v>
      </c>
      <c r="E8799" t="s">
        <v>121</v>
      </c>
      <c r="F8799" t="s">
        <v>86</v>
      </c>
      <c r="G8799" t="s">
        <v>48</v>
      </c>
      <c r="H8799" t="s">
        <v>49</v>
      </c>
      <c r="I8799" t="s">
        <v>8964</v>
      </c>
      <c r="J8799" t="s">
        <v>13085</v>
      </c>
      <c r="K8799" t="s">
        <v>11627</v>
      </c>
      <c r="L8799" t="s">
        <v>53</v>
      </c>
      <c r="N8799" t="s">
        <v>16755</v>
      </c>
      <c r="P8799" t="s">
        <v>55</v>
      </c>
      <c r="R8799" t="s">
        <v>53</v>
      </c>
      <c r="T8799" t="s">
        <v>16756</v>
      </c>
      <c r="U8799" t="s">
        <v>55</v>
      </c>
      <c r="V8799">
        <v>1</v>
      </c>
      <c r="W8799">
        <v>1</v>
      </c>
      <c r="X8799">
        <v>2</v>
      </c>
      <c r="Y8799">
        <v>0</v>
      </c>
      <c r="Z8799">
        <v>2</v>
      </c>
      <c r="AA8799">
        <v>0</v>
      </c>
      <c r="AB8799">
        <v>0</v>
      </c>
      <c r="AC8799">
        <v>175</v>
      </c>
      <c r="AD8799">
        <v>0</v>
      </c>
      <c r="AE8799">
        <v>0</v>
      </c>
      <c r="AF8799">
        <v>0</v>
      </c>
      <c r="AG8799">
        <v>0</v>
      </c>
      <c r="AH8799">
        <v>0</v>
      </c>
      <c r="AI8799">
        <v>26.25</v>
      </c>
      <c r="AJ8799">
        <v>175</v>
      </c>
      <c r="AK8799">
        <v>175</v>
      </c>
      <c r="AL8799" t="s">
        <v>53</v>
      </c>
      <c r="AM8799" t="s">
        <v>53</v>
      </c>
      <c r="AN8799" t="s">
        <v>53</v>
      </c>
      <c r="AO8799" t="s">
        <v>53</v>
      </c>
      <c r="AP8799" t="s">
        <v>53</v>
      </c>
    </row>
    <row r="8800" spans="2:42" x14ac:dyDescent="0.2">
      <c r="B8800" t="s">
        <v>44</v>
      </c>
      <c r="C8800" t="str">
        <f>HYPERLINK("https://us2.cloudbeds.com/connect/8493803454333002#/reservations/9080486848971237?display=5226MJKYJC&amp;reservation_id=9080486848971237", "5226MJKYJC")</f>
        <v>5226MJKYJC</v>
      </c>
      <c r="D8800" t="s">
        <v>45</v>
      </c>
      <c r="E8800" t="s">
        <v>487</v>
      </c>
      <c r="F8800" t="s">
        <v>61</v>
      </c>
      <c r="G8800" t="s">
        <v>48</v>
      </c>
      <c r="H8800" t="s">
        <v>49</v>
      </c>
      <c r="I8800" t="s">
        <v>50</v>
      </c>
      <c r="J8800" t="s">
        <v>13086</v>
      </c>
      <c r="K8800" t="s">
        <v>14498</v>
      </c>
      <c r="L8800" t="s">
        <v>53</v>
      </c>
      <c r="N8800" t="s">
        <v>16757</v>
      </c>
      <c r="P8800" t="s">
        <v>55</v>
      </c>
      <c r="R8800" t="s">
        <v>53</v>
      </c>
      <c r="T8800" t="s">
        <v>16758</v>
      </c>
      <c r="U8800" t="s">
        <v>55</v>
      </c>
      <c r="V8800">
        <v>2</v>
      </c>
      <c r="W8800">
        <v>1</v>
      </c>
      <c r="X8800">
        <v>2</v>
      </c>
      <c r="Y8800">
        <v>0</v>
      </c>
      <c r="Z8800">
        <v>2</v>
      </c>
      <c r="AA8800">
        <v>261.25</v>
      </c>
      <c r="AB8800">
        <v>261.25</v>
      </c>
      <c r="AC8800">
        <v>240.23</v>
      </c>
      <c r="AD8800">
        <v>0</v>
      </c>
      <c r="AE8800">
        <v>21.02</v>
      </c>
      <c r="AF8800">
        <v>0</v>
      </c>
      <c r="AG8800">
        <v>0</v>
      </c>
      <c r="AH8800">
        <v>0</v>
      </c>
      <c r="AI8800">
        <v>47.03</v>
      </c>
      <c r="AJ8800">
        <v>261.25</v>
      </c>
      <c r="AK8800">
        <v>0</v>
      </c>
      <c r="AL8800" t="s">
        <v>53</v>
      </c>
      <c r="AM8800" t="s">
        <v>53</v>
      </c>
      <c r="AN8800" t="s">
        <v>53</v>
      </c>
      <c r="AO8800" t="s">
        <v>53</v>
      </c>
      <c r="AP8800" t="s">
        <v>53</v>
      </c>
    </row>
    <row r="8801" spans="2:42" x14ac:dyDescent="0.2">
      <c r="B8801" t="s">
        <v>44</v>
      </c>
      <c r="C8801" t="str">
        <f>HYPERLINK("https://us2.cloudbeds.com/connect/8493803454333002#/reservations/234971704074432?display=522CXYPN6E&amp;reservation_id=234971704074432", "522CXYPN6E")</f>
        <v>522CXYPN6E</v>
      </c>
      <c r="D8801" t="s">
        <v>45</v>
      </c>
      <c r="E8801" t="s">
        <v>113</v>
      </c>
      <c r="F8801" t="s">
        <v>61</v>
      </c>
      <c r="G8801" t="s">
        <v>3974</v>
      </c>
      <c r="H8801" t="s">
        <v>3957</v>
      </c>
      <c r="I8801" t="s">
        <v>3975</v>
      </c>
      <c r="J8801" t="s">
        <v>14970</v>
      </c>
      <c r="K8801" t="s">
        <v>15947</v>
      </c>
      <c r="L8801" t="s">
        <v>53</v>
      </c>
      <c r="P8801" t="s">
        <v>55</v>
      </c>
      <c r="R8801" t="s">
        <v>56</v>
      </c>
      <c r="T8801" t="s">
        <v>16759</v>
      </c>
      <c r="U8801" t="s">
        <v>58</v>
      </c>
      <c r="V8801">
        <v>2</v>
      </c>
      <c r="W8801">
        <v>1</v>
      </c>
      <c r="X8801">
        <v>2</v>
      </c>
      <c r="Y8801">
        <v>0</v>
      </c>
      <c r="Z8801">
        <v>2</v>
      </c>
      <c r="AA8801">
        <v>504.28</v>
      </c>
      <c r="AB8801">
        <v>504.28</v>
      </c>
      <c r="AC8801">
        <v>439.85</v>
      </c>
      <c r="AD8801">
        <v>0</v>
      </c>
      <c r="AE8801">
        <v>64.430000000000007</v>
      </c>
      <c r="AF8801">
        <v>0</v>
      </c>
      <c r="AG8801">
        <v>0</v>
      </c>
      <c r="AH8801">
        <v>0</v>
      </c>
      <c r="AI8801">
        <v>0</v>
      </c>
      <c r="AJ8801">
        <v>504.28</v>
      </c>
      <c r="AK8801">
        <v>0</v>
      </c>
      <c r="AL8801" t="s">
        <v>53</v>
      </c>
      <c r="AM8801" t="s">
        <v>53</v>
      </c>
      <c r="AN8801" t="s">
        <v>16760</v>
      </c>
      <c r="AO8801" t="s">
        <v>53</v>
      </c>
      <c r="AP8801" t="s">
        <v>53</v>
      </c>
    </row>
    <row r="8802" spans="2:42" x14ac:dyDescent="0.2">
      <c r="B8802" t="s">
        <v>44</v>
      </c>
      <c r="C8802" t="str">
        <f>HYPERLINK("https://us2.cloudbeds.com/connect/8493803454333002#/reservations/9080486848971932?display=522KDJGW2H&amp;reservation_id=9080486848971932", "522KDJGW2H")</f>
        <v>522KDJGW2H</v>
      </c>
      <c r="D8802" t="s">
        <v>45</v>
      </c>
      <c r="E8802" t="s">
        <v>190</v>
      </c>
      <c r="F8802" t="s">
        <v>61</v>
      </c>
      <c r="G8802" t="s">
        <v>48</v>
      </c>
      <c r="H8802" t="s">
        <v>49</v>
      </c>
      <c r="I8802" t="s">
        <v>50</v>
      </c>
      <c r="J8802" t="s">
        <v>13085</v>
      </c>
      <c r="K8802" t="s">
        <v>11627</v>
      </c>
      <c r="L8802" t="s">
        <v>53</v>
      </c>
      <c r="N8802" t="s">
        <v>16761</v>
      </c>
      <c r="P8802" t="s">
        <v>55</v>
      </c>
      <c r="R8802" t="s">
        <v>53</v>
      </c>
      <c r="T8802" t="s">
        <v>16762</v>
      </c>
      <c r="U8802" t="s">
        <v>55</v>
      </c>
      <c r="V8802">
        <v>1</v>
      </c>
      <c r="W8802">
        <v>1</v>
      </c>
      <c r="X8802">
        <v>2</v>
      </c>
      <c r="Y8802">
        <v>0</v>
      </c>
      <c r="Z8802">
        <v>2</v>
      </c>
      <c r="AA8802">
        <v>96.94</v>
      </c>
      <c r="AB8802">
        <v>96.94</v>
      </c>
      <c r="AC8802">
        <v>89.14</v>
      </c>
      <c r="AD8802">
        <v>0</v>
      </c>
      <c r="AE8802">
        <v>7.8</v>
      </c>
      <c r="AF8802">
        <v>0</v>
      </c>
      <c r="AG8802">
        <v>0</v>
      </c>
      <c r="AH8802">
        <v>0</v>
      </c>
      <c r="AI8802">
        <v>17.45</v>
      </c>
      <c r="AJ8802">
        <v>96.94</v>
      </c>
      <c r="AK8802">
        <v>0</v>
      </c>
      <c r="AL8802" t="s">
        <v>53</v>
      </c>
      <c r="AM8802" t="s">
        <v>53</v>
      </c>
      <c r="AN8802" t="s">
        <v>16763</v>
      </c>
      <c r="AO8802" t="s">
        <v>53</v>
      </c>
      <c r="AP8802" t="s">
        <v>53</v>
      </c>
    </row>
    <row r="8803" spans="2:42" x14ac:dyDescent="0.2">
      <c r="B8803" t="s">
        <v>44</v>
      </c>
      <c r="C8803" t="str">
        <f>HYPERLINK("https://us2.cloudbeds.com/connect/8493803454333002#/reservations/9080486848972393?display=522VF4C6H2&amp;reservation_id=9080486848972393", "522VF4C6H2")</f>
        <v>522VF4C6H2</v>
      </c>
      <c r="D8803" t="s">
        <v>45</v>
      </c>
      <c r="E8803" t="s">
        <v>110</v>
      </c>
      <c r="F8803" t="s">
        <v>47</v>
      </c>
      <c r="G8803" t="s">
        <v>48</v>
      </c>
      <c r="H8803" t="s">
        <v>49</v>
      </c>
      <c r="I8803" t="s">
        <v>50</v>
      </c>
      <c r="J8803" t="s">
        <v>13085</v>
      </c>
      <c r="K8803" t="s">
        <v>11627</v>
      </c>
      <c r="L8803" t="s">
        <v>53</v>
      </c>
      <c r="N8803" t="s">
        <v>16764</v>
      </c>
      <c r="P8803" t="s">
        <v>55</v>
      </c>
      <c r="R8803" t="s">
        <v>53</v>
      </c>
      <c r="T8803" t="s">
        <v>16765</v>
      </c>
      <c r="U8803" t="s">
        <v>55</v>
      </c>
      <c r="V8803">
        <v>1</v>
      </c>
      <c r="W8803">
        <v>1</v>
      </c>
      <c r="X8803">
        <v>2</v>
      </c>
      <c r="Y8803">
        <v>0</v>
      </c>
      <c r="Z8803">
        <v>2</v>
      </c>
      <c r="AA8803">
        <v>106.34</v>
      </c>
      <c r="AB8803">
        <v>106.34</v>
      </c>
      <c r="AC8803">
        <v>97.79</v>
      </c>
      <c r="AD8803">
        <v>0</v>
      </c>
      <c r="AE8803">
        <v>8.5500000000000007</v>
      </c>
      <c r="AF8803">
        <v>0</v>
      </c>
      <c r="AG8803">
        <v>0</v>
      </c>
      <c r="AH8803">
        <v>0</v>
      </c>
      <c r="AI8803">
        <v>19.14</v>
      </c>
      <c r="AJ8803">
        <v>106.34</v>
      </c>
      <c r="AK8803">
        <v>0</v>
      </c>
      <c r="AL8803" t="s">
        <v>53</v>
      </c>
      <c r="AM8803" t="s">
        <v>53</v>
      </c>
      <c r="AN8803" t="s">
        <v>16766</v>
      </c>
      <c r="AO8803" t="s">
        <v>53</v>
      </c>
      <c r="AP8803" t="s">
        <v>53</v>
      </c>
    </row>
    <row r="8804" spans="2:42" x14ac:dyDescent="0.2">
      <c r="B8804" t="s">
        <v>44</v>
      </c>
      <c r="C8804" t="str">
        <f>HYPERLINK("https://us2.cloudbeds.com/connect/8493803454333002#/reservations/9080486848972590?display=52332V1Q2Y&amp;reservation_id=9080486848972590", "52332V1Q2Y")</f>
        <v>52332V1Q2Y</v>
      </c>
      <c r="D8804" t="s">
        <v>45</v>
      </c>
      <c r="E8804" t="s">
        <v>305</v>
      </c>
      <c r="F8804" t="s">
        <v>61</v>
      </c>
      <c r="G8804" t="s">
        <v>48</v>
      </c>
      <c r="H8804" t="s">
        <v>49</v>
      </c>
      <c r="I8804" t="s">
        <v>50</v>
      </c>
      <c r="J8804" t="s">
        <v>14349</v>
      </c>
      <c r="K8804" t="s">
        <v>15838</v>
      </c>
      <c r="L8804" t="s">
        <v>53</v>
      </c>
      <c r="N8804" t="s">
        <v>16767</v>
      </c>
      <c r="P8804" t="s">
        <v>55</v>
      </c>
      <c r="R8804" t="s">
        <v>53</v>
      </c>
      <c r="T8804" t="s">
        <v>16768</v>
      </c>
      <c r="U8804" t="s">
        <v>55</v>
      </c>
      <c r="V8804">
        <v>1</v>
      </c>
      <c r="W8804">
        <v>1</v>
      </c>
      <c r="X8804">
        <v>2</v>
      </c>
      <c r="Y8804">
        <v>0</v>
      </c>
      <c r="Z8804">
        <v>2</v>
      </c>
      <c r="AA8804">
        <v>134.99</v>
      </c>
      <c r="AB8804">
        <v>134.99</v>
      </c>
      <c r="AC8804">
        <v>124.13</v>
      </c>
      <c r="AD8804">
        <v>0</v>
      </c>
      <c r="AE8804">
        <v>10.86</v>
      </c>
      <c r="AF8804">
        <v>0</v>
      </c>
      <c r="AG8804">
        <v>0</v>
      </c>
      <c r="AH8804">
        <v>0</v>
      </c>
      <c r="AI8804">
        <v>24.3</v>
      </c>
      <c r="AJ8804">
        <v>134.99</v>
      </c>
      <c r="AK8804">
        <v>0</v>
      </c>
      <c r="AL8804" t="s">
        <v>53</v>
      </c>
      <c r="AM8804" t="s">
        <v>53</v>
      </c>
      <c r="AN8804" t="s">
        <v>16769</v>
      </c>
      <c r="AO8804" t="s">
        <v>53</v>
      </c>
      <c r="AP8804" t="s">
        <v>53</v>
      </c>
    </row>
    <row r="8805" spans="2:42" x14ac:dyDescent="0.2">
      <c r="B8805" t="s">
        <v>44</v>
      </c>
      <c r="C8805" t="str">
        <f>HYPERLINK("https://us2.cloudbeds.com/connect/8493803454333002#/reservations/9080486848973378?display=523YTECZXW&amp;reservation_id=9080486848973378", "523YTECZXW")</f>
        <v>523YTECZXW</v>
      </c>
      <c r="D8805" t="s">
        <v>45</v>
      </c>
      <c r="E8805" t="s">
        <v>16770</v>
      </c>
      <c r="F8805" t="s">
        <v>47</v>
      </c>
      <c r="G8805" t="s">
        <v>48</v>
      </c>
      <c r="H8805" t="s">
        <v>49</v>
      </c>
      <c r="I8805" t="s">
        <v>62</v>
      </c>
      <c r="J8805" t="s">
        <v>16197</v>
      </c>
      <c r="K8805" t="s">
        <v>15231</v>
      </c>
      <c r="L8805" t="s">
        <v>53</v>
      </c>
      <c r="N8805" t="s">
        <v>16771</v>
      </c>
      <c r="P8805" t="s">
        <v>55</v>
      </c>
      <c r="R8805" t="s">
        <v>56</v>
      </c>
      <c r="T8805" t="s">
        <v>16772</v>
      </c>
      <c r="U8805" t="s">
        <v>55</v>
      </c>
      <c r="V8805">
        <v>4</v>
      </c>
      <c r="W8805">
        <v>2</v>
      </c>
      <c r="X8805">
        <v>4</v>
      </c>
      <c r="Y8805">
        <v>0</v>
      </c>
      <c r="Z8805">
        <v>4</v>
      </c>
      <c r="AA8805">
        <v>659.86</v>
      </c>
      <c r="AB8805">
        <v>659.86</v>
      </c>
      <c r="AC8805">
        <v>659.86</v>
      </c>
      <c r="AD8805">
        <v>0</v>
      </c>
      <c r="AE8805">
        <v>0</v>
      </c>
      <c r="AF8805">
        <v>0</v>
      </c>
      <c r="AG8805">
        <v>0</v>
      </c>
      <c r="AH8805">
        <v>0</v>
      </c>
      <c r="AI8805">
        <v>118.77</v>
      </c>
      <c r="AJ8805">
        <v>659.86</v>
      </c>
      <c r="AK8805">
        <v>0</v>
      </c>
      <c r="AL8805" t="s">
        <v>53</v>
      </c>
      <c r="AM8805" t="s">
        <v>53</v>
      </c>
      <c r="AN8805" t="s">
        <v>53</v>
      </c>
      <c r="AO8805" t="s">
        <v>53</v>
      </c>
      <c r="AP8805" t="s">
        <v>53</v>
      </c>
    </row>
    <row r="8806" spans="2:42" x14ac:dyDescent="0.2">
      <c r="B8806" t="s">
        <v>44</v>
      </c>
      <c r="C8806" t="str">
        <f>HYPERLINK("https://us2.cloudbeds.com/connect/8493803454333002#/reservations/235029630480512?display=523ZDQRPJG&amp;reservation_id=235029630480512", "523ZDQRPJG")</f>
        <v>523ZDQRPJG</v>
      </c>
      <c r="D8806" t="s">
        <v>45</v>
      </c>
      <c r="E8806" t="s">
        <v>69</v>
      </c>
      <c r="F8806" t="s">
        <v>70</v>
      </c>
      <c r="G8806" t="s">
        <v>48</v>
      </c>
      <c r="H8806" t="s">
        <v>3957</v>
      </c>
      <c r="I8806" t="s">
        <v>3975</v>
      </c>
      <c r="J8806" t="s">
        <v>11627</v>
      </c>
      <c r="K8806" t="s">
        <v>11628</v>
      </c>
      <c r="L8806" t="s">
        <v>53</v>
      </c>
      <c r="P8806" t="s">
        <v>55</v>
      </c>
      <c r="R8806" t="s">
        <v>56</v>
      </c>
      <c r="T8806" t="s">
        <v>16773</v>
      </c>
      <c r="U8806" t="s">
        <v>58</v>
      </c>
      <c r="V8806">
        <v>1</v>
      </c>
      <c r="W8806">
        <v>1</v>
      </c>
      <c r="X8806">
        <v>2</v>
      </c>
      <c r="Y8806">
        <v>0</v>
      </c>
      <c r="Z8806">
        <v>2</v>
      </c>
      <c r="AA8806">
        <v>97.46</v>
      </c>
      <c r="AB8806">
        <v>97.46</v>
      </c>
      <c r="AC8806">
        <v>85</v>
      </c>
      <c r="AD8806">
        <v>0</v>
      </c>
      <c r="AE8806">
        <v>12.46</v>
      </c>
      <c r="AF8806">
        <v>0</v>
      </c>
      <c r="AG8806">
        <v>0</v>
      </c>
      <c r="AH8806">
        <v>0</v>
      </c>
      <c r="AI8806">
        <v>0</v>
      </c>
      <c r="AJ8806">
        <v>97.46</v>
      </c>
      <c r="AK8806">
        <v>0</v>
      </c>
      <c r="AL8806" t="s">
        <v>53</v>
      </c>
      <c r="AM8806" t="s">
        <v>53</v>
      </c>
      <c r="AN8806" t="s">
        <v>53</v>
      </c>
      <c r="AO8806" t="s">
        <v>53</v>
      </c>
      <c r="AP8806" t="s">
        <v>53</v>
      </c>
    </row>
    <row r="8807" spans="2:42" x14ac:dyDescent="0.2">
      <c r="B8807" t="s">
        <v>44</v>
      </c>
      <c r="C8807" t="str">
        <f>HYPERLINK("https://us2.cloudbeds.com/connect/8493803454333002#/reservations/235050214527104?display=5247BPSXCG&amp;reservation_id=235050214527104", "5247BPSXCG")</f>
        <v>5247BPSXCG</v>
      </c>
      <c r="D8807" t="s">
        <v>45</v>
      </c>
      <c r="E8807" t="s">
        <v>69</v>
      </c>
      <c r="F8807" t="s">
        <v>70</v>
      </c>
      <c r="G8807" t="s">
        <v>48</v>
      </c>
      <c r="H8807" t="s">
        <v>3957</v>
      </c>
      <c r="I8807" t="s">
        <v>3958</v>
      </c>
      <c r="J8807" t="s">
        <v>13085</v>
      </c>
      <c r="K8807" t="s">
        <v>11627</v>
      </c>
      <c r="L8807" t="s">
        <v>53</v>
      </c>
      <c r="P8807" t="s">
        <v>55</v>
      </c>
      <c r="R8807" t="s">
        <v>56</v>
      </c>
      <c r="T8807" t="s">
        <v>16774</v>
      </c>
      <c r="U8807" t="s">
        <v>58</v>
      </c>
      <c r="V8807">
        <v>1</v>
      </c>
      <c r="W8807">
        <v>1</v>
      </c>
      <c r="X8807">
        <v>1</v>
      </c>
      <c r="Y8807">
        <v>0</v>
      </c>
      <c r="Z8807">
        <v>1</v>
      </c>
      <c r="AA8807">
        <v>97.46</v>
      </c>
      <c r="AB8807">
        <v>157.07</v>
      </c>
      <c r="AC8807">
        <v>85</v>
      </c>
      <c r="AD8807">
        <v>0</v>
      </c>
      <c r="AE8807">
        <v>12.46</v>
      </c>
      <c r="AF8807">
        <v>0</v>
      </c>
      <c r="AG8807">
        <v>0</v>
      </c>
      <c r="AH8807">
        <v>0</v>
      </c>
      <c r="AI8807">
        <v>0</v>
      </c>
      <c r="AJ8807">
        <v>97.46</v>
      </c>
      <c r="AK8807">
        <v>0</v>
      </c>
      <c r="AL8807" t="s">
        <v>53</v>
      </c>
      <c r="AM8807" t="s">
        <v>53</v>
      </c>
      <c r="AN8807" t="s">
        <v>16775</v>
      </c>
      <c r="AO8807" t="s">
        <v>53</v>
      </c>
      <c r="AP8807" t="s">
        <v>53</v>
      </c>
    </row>
    <row r="8808" spans="2:42" x14ac:dyDescent="0.2">
      <c r="B8808" t="s">
        <v>44</v>
      </c>
      <c r="C8808" t="str">
        <f>HYPERLINK("https://us2.cloudbeds.com/connect/8493803454333002#/reservations/9080486848983650?display=52AJ5X18Z4&amp;reservation_id=9080486848983650", "52AJ5X18Z4")</f>
        <v>52AJ5X18Z4</v>
      </c>
      <c r="D8808" t="s">
        <v>45</v>
      </c>
      <c r="E8808" t="s">
        <v>78</v>
      </c>
      <c r="F8808" t="s">
        <v>61</v>
      </c>
      <c r="G8808" t="s">
        <v>48</v>
      </c>
      <c r="H8808" t="s">
        <v>49</v>
      </c>
      <c r="I8808" t="s">
        <v>62</v>
      </c>
      <c r="J8808" t="s">
        <v>14669</v>
      </c>
      <c r="K8808" t="s">
        <v>14655</v>
      </c>
      <c r="L8808" t="s">
        <v>53</v>
      </c>
      <c r="N8808" t="s">
        <v>16776</v>
      </c>
      <c r="P8808" t="s">
        <v>55</v>
      </c>
      <c r="R8808" t="s">
        <v>56</v>
      </c>
      <c r="T8808" t="s">
        <v>16777</v>
      </c>
      <c r="U8808" t="s">
        <v>55</v>
      </c>
      <c r="V8808">
        <v>2</v>
      </c>
      <c r="W8808">
        <v>1</v>
      </c>
      <c r="X8808">
        <v>2</v>
      </c>
      <c r="Y8808">
        <v>0</v>
      </c>
      <c r="Z8808">
        <v>2</v>
      </c>
      <c r="AA8808">
        <v>443.55</v>
      </c>
      <c r="AB8808">
        <v>443.55</v>
      </c>
      <c r="AC8808">
        <v>443.55</v>
      </c>
      <c r="AD8808">
        <v>0</v>
      </c>
      <c r="AE8808">
        <v>0</v>
      </c>
      <c r="AF8808">
        <v>0</v>
      </c>
      <c r="AG8808">
        <v>0</v>
      </c>
      <c r="AH8808">
        <v>0</v>
      </c>
      <c r="AI8808">
        <v>79.84</v>
      </c>
      <c r="AJ8808">
        <v>443.55</v>
      </c>
      <c r="AK8808">
        <v>0</v>
      </c>
      <c r="AL8808" t="s">
        <v>53</v>
      </c>
      <c r="AM8808" t="s">
        <v>53</v>
      </c>
      <c r="AN8808" t="s">
        <v>16778</v>
      </c>
      <c r="AO8808" t="s">
        <v>53</v>
      </c>
      <c r="AP8808" t="s">
        <v>53</v>
      </c>
    </row>
    <row r="8809" spans="2:42" x14ac:dyDescent="0.2">
      <c r="B8809" t="s">
        <v>44</v>
      </c>
      <c r="C8809" t="str">
        <f>HYPERLINK("https://us2.cloudbeds.com/connect/8493803454333002#/reservations/235322066284672?display=52AJS7FXK5&amp;reservation_id=235322066284672", "52AJS7FXK5")</f>
        <v>52AJS7FXK5</v>
      </c>
      <c r="D8809" t="s">
        <v>45</v>
      </c>
      <c r="E8809" t="s">
        <v>305</v>
      </c>
      <c r="F8809" t="s">
        <v>61</v>
      </c>
      <c r="G8809" t="s">
        <v>4520</v>
      </c>
      <c r="H8809" t="s">
        <v>3957</v>
      </c>
      <c r="I8809" t="s">
        <v>3958</v>
      </c>
      <c r="J8809" t="s">
        <v>14623</v>
      </c>
      <c r="K8809" t="s">
        <v>14349</v>
      </c>
      <c r="L8809" t="s">
        <v>53</v>
      </c>
      <c r="P8809" t="s">
        <v>55</v>
      </c>
      <c r="R8809" t="s">
        <v>56</v>
      </c>
      <c r="T8809" t="s">
        <v>16779</v>
      </c>
      <c r="U8809" t="s">
        <v>58</v>
      </c>
      <c r="V8809">
        <v>1</v>
      </c>
      <c r="W8809">
        <v>1</v>
      </c>
      <c r="X8809">
        <v>1</v>
      </c>
      <c r="Y8809">
        <v>0</v>
      </c>
      <c r="Z8809">
        <v>1</v>
      </c>
      <c r="AA8809">
        <v>183.68</v>
      </c>
      <c r="AB8809">
        <v>183.68</v>
      </c>
      <c r="AC8809">
        <v>160.19999999999999</v>
      </c>
      <c r="AD8809">
        <v>0</v>
      </c>
      <c r="AE8809">
        <v>23.48</v>
      </c>
      <c r="AF8809">
        <v>0</v>
      </c>
      <c r="AG8809">
        <v>0</v>
      </c>
      <c r="AH8809">
        <v>0</v>
      </c>
      <c r="AI8809">
        <v>0</v>
      </c>
      <c r="AJ8809">
        <v>183.68</v>
      </c>
      <c r="AK8809">
        <v>0</v>
      </c>
      <c r="AL8809" t="s">
        <v>53</v>
      </c>
      <c r="AM8809" t="s">
        <v>53</v>
      </c>
      <c r="AN8809" t="s">
        <v>53</v>
      </c>
      <c r="AO8809" t="s">
        <v>53</v>
      </c>
      <c r="AP8809" t="s">
        <v>53</v>
      </c>
    </row>
    <row r="8810" spans="2:42" x14ac:dyDescent="0.2">
      <c r="B8810" t="s">
        <v>44</v>
      </c>
      <c r="C8810" t="str">
        <f>HYPERLINK("https://us2.cloudbeds.com/connect/8493803454333002#/reservations/9080486848984195?display=52AUD99TH4&amp;reservation_id=9080486848984195", "52AUD99TH4")</f>
        <v>52AUD99TH4</v>
      </c>
      <c r="D8810" t="s">
        <v>45</v>
      </c>
      <c r="E8810" t="s">
        <v>110</v>
      </c>
      <c r="F8810" t="s">
        <v>47</v>
      </c>
      <c r="G8810" t="s">
        <v>48</v>
      </c>
      <c r="H8810" t="s">
        <v>49</v>
      </c>
      <c r="I8810" t="s">
        <v>50</v>
      </c>
      <c r="J8810" t="s">
        <v>11627</v>
      </c>
      <c r="K8810" t="s">
        <v>11628</v>
      </c>
      <c r="L8810" t="s">
        <v>53</v>
      </c>
      <c r="N8810" t="s">
        <v>16780</v>
      </c>
      <c r="P8810" t="s">
        <v>55</v>
      </c>
      <c r="R8810" t="s">
        <v>53</v>
      </c>
      <c r="T8810" t="s">
        <v>16781</v>
      </c>
      <c r="U8810" t="s">
        <v>55</v>
      </c>
      <c r="V8810">
        <v>1</v>
      </c>
      <c r="W8810">
        <v>1</v>
      </c>
      <c r="X8810">
        <v>1</v>
      </c>
      <c r="Y8810">
        <v>0</v>
      </c>
      <c r="Z8810">
        <v>1</v>
      </c>
      <c r="AA8810">
        <v>87.67</v>
      </c>
      <c r="AB8810">
        <v>87.67</v>
      </c>
      <c r="AC8810">
        <v>80.62</v>
      </c>
      <c r="AD8810">
        <v>0</v>
      </c>
      <c r="AE8810">
        <v>7.05</v>
      </c>
      <c r="AF8810">
        <v>0</v>
      </c>
      <c r="AG8810">
        <v>0</v>
      </c>
      <c r="AH8810">
        <v>0</v>
      </c>
      <c r="AI8810">
        <v>15.78</v>
      </c>
      <c r="AJ8810">
        <v>87.67</v>
      </c>
      <c r="AK8810">
        <v>0</v>
      </c>
      <c r="AL8810" t="s">
        <v>53</v>
      </c>
      <c r="AM8810" t="s">
        <v>53</v>
      </c>
      <c r="AN8810" t="s">
        <v>53</v>
      </c>
      <c r="AO8810" t="s">
        <v>53</v>
      </c>
      <c r="AP8810" t="s">
        <v>53</v>
      </c>
    </row>
    <row r="8811" spans="2:42" x14ac:dyDescent="0.2">
      <c r="B8811" t="s">
        <v>44</v>
      </c>
      <c r="C8811" t="str">
        <f>HYPERLINK("https://us2.cloudbeds.com/connect/8493803454333002#/reservations/9080486848984391?display=52B2ADAZZS&amp;reservation_id=9080486848984391", "52B2ADAZZS")</f>
        <v>52B2ADAZZS</v>
      </c>
      <c r="D8811" t="s">
        <v>45</v>
      </c>
      <c r="E8811" t="s">
        <v>121</v>
      </c>
      <c r="F8811" t="s">
        <v>86</v>
      </c>
      <c r="G8811" t="s">
        <v>48</v>
      </c>
      <c r="H8811" t="s">
        <v>49</v>
      </c>
      <c r="I8811" t="s">
        <v>50</v>
      </c>
      <c r="J8811" t="s">
        <v>11627</v>
      </c>
      <c r="K8811" t="s">
        <v>11628</v>
      </c>
      <c r="L8811" t="s">
        <v>53</v>
      </c>
      <c r="N8811" t="s">
        <v>16782</v>
      </c>
      <c r="P8811" t="s">
        <v>55</v>
      </c>
      <c r="R8811" t="s">
        <v>53</v>
      </c>
      <c r="T8811" t="s">
        <v>16783</v>
      </c>
      <c r="U8811" t="s">
        <v>55</v>
      </c>
      <c r="V8811">
        <v>1</v>
      </c>
      <c r="W8811">
        <v>1</v>
      </c>
      <c r="X8811">
        <v>2</v>
      </c>
      <c r="Y8811">
        <v>0</v>
      </c>
      <c r="Z8811">
        <v>2</v>
      </c>
      <c r="AA8811">
        <v>110.02</v>
      </c>
      <c r="AB8811">
        <v>110.02</v>
      </c>
      <c r="AC8811">
        <v>101.17</v>
      </c>
      <c r="AD8811">
        <v>0</v>
      </c>
      <c r="AE8811">
        <v>8.85</v>
      </c>
      <c r="AF8811">
        <v>0</v>
      </c>
      <c r="AG8811">
        <v>0</v>
      </c>
      <c r="AH8811">
        <v>0</v>
      </c>
      <c r="AI8811">
        <v>19.8</v>
      </c>
      <c r="AJ8811">
        <v>110.02</v>
      </c>
      <c r="AK8811">
        <v>0</v>
      </c>
      <c r="AL8811" t="s">
        <v>53</v>
      </c>
      <c r="AM8811" t="s">
        <v>53</v>
      </c>
      <c r="AN8811" t="s">
        <v>53</v>
      </c>
      <c r="AO8811" t="s">
        <v>53</v>
      </c>
      <c r="AP8811" t="s">
        <v>53</v>
      </c>
    </row>
    <row r="8812" spans="2:42" x14ac:dyDescent="0.2">
      <c r="B8812" t="s">
        <v>44</v>
      </c>
      <c r="C8812" t="str">
        <f>HYPERLINK("https://us2.cloudbeds.com/connect/8493803454333002#/reservations/235344127365312?display=52B3UUVYED&amp;reservation_id=235344127365312", "52B3UUVYED")</f>
        <v>52B3UUVYED</v>
      </c>
      <c r="D8812" t="s">
        <v>45</v>
      </c>
      <c r="E8812" t="s">
        <v>373</v>
      </c>
      <c r="F8812" t="s">
        <v>47</v>
      </c>
      <c r="G8812" t="s">
        <v>48</v>
      </c>
      <c r="H8812" t="s">
        <v>3957</v>
      </c>
      <c r="I8812" t="s">
        <v>3958</v>
      </c>
      <c r="J8812" t="s">
        <v>11627</v>
      </c>
      <c r="K8812" t="s">
        <v>13086</v>
      </c>
      <c r="L8812" t="s">
        <v>53</v>
      </c>
      <c r="P8812" t="s">
        <v>55</v>
      </c>
      <c r="R8812" t="s">
        <v>56</v>
      </c>
      <c r="T8812" t="s">
        <v>16784</v>
      </c>
      <c r="U8812" t="s">
        <v>58</v>
      </c>
      <c r="V8812">
        <v>2</v>
      </c>
      <c r="W8812">
        <v>1</v>
      </c>
      <c r="X8812">
        <v>1</v>
      </c>
      <c r="Y8812">
        <v>0</v>
      </c>
      <c r="Z8812">
        <v>1</v>
      </c>
      <c r="AA8812">
        <v>264.85000000000002</v>
      </c>
      <c r="AB8812">
        <v>264.85000000000002</v>
      </c>
      <c r="AC8812">
        <v>231</v>
      </c>
      <c r="AD8812">
        <v>0</v>
      </c>
      <c r="AE8812">
        <v>33.85</v>
      </c>
      <c r="AF8812">
        <v>0</v>
      </c>
      <c r="AG8812">
        <v>0</v>
      </c>
      <c r="AH8812">
        <v>0</v>
      </c>
      <c r="AI8812">
        <v>0</v>
      </c>
      <c r="AJ8812">
        <v>264.85000000000002</v>
      </c>
      <c r="AK8812">
        <v>0</v>
      </c>
      <c r="AL8812" t="s">
        <v>53</v>
      </c>
      <c r="AM8812" t="s">
        <v>53</v>
      </c>
      <c r="AN8812" t="s">
        <v>53</v>
      </c>
      <c r="AO8812" t="s">
        <v>53</v>
      </c>
      <c r="AP8812" t="s">
        <v>53</v>
      </c>
    </row>
    <row r="8813" spans="2:42" x14ac:dyDescent="0.2">
      <c r="B8813" t="s">
        <v>44</v>
      </c>
      <c r="C8813" t="str">
        <f>HYPERLINK("https://us2.cloudbeds.com/connect/8493803454333002#/reservations/9080486848984470?display=52B3WP40KQ&amp;reservation_id=9080486848984470", "52B3WP40KQ")</f>
        <v>52B3WP40KQ</v>
      </c>
      <c r="D8813" t="s">
        <v>45</v>
      </c>
      <c r="E8813" t="s">
        <v>14695</v>
      </c>
      <c r="F8813" t="s">
        <v>47</v>
      </c>
      <c r="G8813" t="s">
        <v>48</v>
      </c>
      <c r="H8813" t="s">
        <v>49</v>
      </c>
      <c r="I8813" t="s">
        <v>50</v>
      </c>
      <c r="J8813" t="s">
        <v>11627</v>
      </c>
      <c r="K8813" t="s">
        <v>11628</v>
      </c>
      <c r="L8813" t="s">
        <v>53</v>
      </c>
      <c r="N8813" t="s">
        <v>16785</v>
      </c>
      <c r="P8813" t="s">
        <v>55</v>
      </c>
      <c r="R8813" t="s">
        <v>53</v>
      </c>
      <c r="T8813" t="s">
        <v>16786</v>
      </c>
      <c r="U8813" t="s">
        <v>55</v>
      </c>
      <c r="V8813">
        <v>1</v>
      </c>
      <c r="W8813">
        <v>1</v>
      </c>
      <c r="X8813">
        <v>1</v>
      </c>
      <c r="Y8813">
        <v>0</v>
      </c>
      <c r="Z8813">
        <v>1</v>
      </c>
      <c r="AA8813">
        <v>81.83</v>
      </c>
      <c r="AB8813">
        <v>81.83</v>
      </c>
      <c r="AC8813">
        <v>75.25</v>
      </c>
      <c r="AD8813">
        <v>0</v>
      </c>
      <c r="AE8813">
        <v>6.58</v>
      </c>
      <c r="AF8813">
        <v>0</v>
      </c>
      <c r="AG8813">
        <v>0</v>
      </c>
      <c r="AH8813">
        <v>0</v>
      </c>
      <c r="AI8813">
        <v>14.73</v>
      </c>
      <c r="AJ8813">
        <v>81.83</v>
      </c>
      <c r="AK8813">
        <v>0</v>
      </c>
      <c r="AL8813" t="s">
        <v>53</v>
      </c>
      <c r="AM8813" t="s">
        <v>53</v>
      </c>
      <c r="AN8813" t="s">
        <v>53</v>
      </c>
      <c r="AO8813" t="s">
        <v>53</v>
      </c>
      <c r="AP8813" t="s">
        <v>53</v>
      </c>
    </row>
    <row r="8814" spans="2:42" x14ac:dyDescent="0.2">
      <c r="B8814" t="s">
        <v>44</v>
      </c>
      <c r="C8814" t="str">
        <f>HYPERLINK("https://us2.cloudbeds.com/connect/8493803454333002#/reservations/235392786366656?display=52C8K9G9YQ&amp;reservation_id=235392786366656", "52C8K9G9YQ")</f>
        <v>52C8K9G9YQ</v>
      </c>
      <c r="D8814" t="s">
        <v>45</v>
      </c>
      <c r="E8814" t="s">
        <v>14695</v>
      </c>
      <c r="F8814" t="s">
        <v>47</v>
      </c>
      <c r="G8814" t="s">
        <v>48</v>
      </c>
      <c r="H8814" t="s">
        <v>3957</v>
      </c>
      <c r="I8814" t="s">
        <v>3975</v>
      </c>
      <c r="J8814" t="s">
        <v>11628</v>
      </c>
      <c r="K8814" t="s">
        <v>13086</v>
      </c>
      <c r="L8814" t="s">
        <v>53</v>
      </c>
      <c r="P8814" t="s">
        <v>55</v>
      </c>
      <c r="R8814" t="s">
        <v>56</v>
      </c>
      <c r="T8814" t="s">
        <v>16787</v>
      </c>
      <c r="U8814" t="s">
        <v>58</v>
      </c>
      <c r="V8814">
        <v>1</v>
      </c>
      <c r="W8814">
        <v>1</v>
      </c>
      <c r="X8814">
        <v>1</v>
      </c>
      <c r="Y8814">
        <v>0</v>
      </c>
      <c r="Z8814">
        <v>1</v>
      </c>
      <c r="AA8814">
        <v>131.86000000000001</v>
      </c>
      <c r="AB8814">
        <v>166.26</v>
      </c>
      <c r="AC8814">
        <v>115</v>
      </c>
      <c r="AD8814">
        <v>0</v>
      </c>
      <c r="AE8814">
        <v>16.86</v>
      </c>
      <c r="AF8814">
        <v>0</v>
      </c>
      <c r="AG8814">
        <v>0</v>
      </c>
      <c r="AH8814">
        <v>0</v>
      </c>
      <c r="AI8814">
        <v>0</v>
      </c>
      <c r="AJ8814">
        <v>131.86000000000001</v>
      </c>
      <c r="AK8814">
        <v>0</v>
      </c>
      <c r="AL8814" t="s">
        <v>53</v>
      </c>
      <c r="AM8814" t="s">
        <v>53</v>
      </c>
      <c r="AN8814" t="s">
        <v>53</v>
      </c>
      <c r="AO8814" t="s">
        <v>53</v>
      </c>
      <c r="AP8814" t="s">
        <v>53</v>
      </c>
    </row>
    <row r="8815" spans="2:42" x14ac:dyDescent="0.2">
      <c r="B8815" t="s">
        <v>44</v>
      </c>
      <c r="C8815" t="str">
        <f>HYPERLINK("https://us2.cloudbeds.com/connect/8493803454333002#/reservations/235407394164930?display=52CJUX75VV&amp;reservation_id=235407394164930", "52CJUX75VV")</f>
        <v>52CJUX75VV</v>
      </c>
      <c r="D8815" t="s">
        <v>45</v>
      </c>
      <c r="E8815" t="s">
        <v>92</v>
      </c>
      <c r="F8815" t="s">
        <v>86</v>
      </c>
      <c r="G8815" t="s">
        <v>48</v>
      </c>
      <c r="H8815" t="s">
        <v>3957</v>
      </c>
      <c r="I8815" t="s">
        <v>3958</v>
      </c>
      <c r="J8815" t="s">
        <v>11627</v>
      </c>
      <c r="K8815" t="s">
        <v>13086</v>
      </c>
      <c r="L8815" t="s">
        <v>53</v>
      </c>
      <c r="P8815" t="s">
        <v>55</v>
      </c>
      <c r="R8815" t="s">
        <v>56</v>
      </c>
      <c r="T8815" t="s">
        <v>16788</v>
      </c>
      <c r="U8815" t="s">
        <v>58</v>
      </c>
      <c r="V8815">
        <v>2</v>
      </c>
      <c r="W8815">
        <v>1</v>
      </c>
      <c r="X8815">
        <v>1</v>
      </c>
      <c r="Y8815">
        <v>0</v>
      </c>
      <c r="Z8815">
        <v>1</v>
      </c>
      <c r="AA8815">
        <v>340.51</v>
      </c>
      <c r="AB8815">
        <v>340.51</v>
      </c>
      <c r="AC8815">
        <v>297</v>
      </c>
      <c r="AD8815">
        <v>0</v>
      </c>
      <c r="AE8815">
        <v>43.51</v>
      </c>
      <c r="AF8815">
        <v>0</v>
      </c>
      <c r="AG8815">
        <v>0</v>
      </c>
      <c r="AH8815">
        <v>0</v>
      </c>
      <c r="AI8815">
        <v>0</v>
      </c>
      <c r="AJ8815">
        <v>340.51</v>
      </c>
      <c r="AK8815">
        <v>0</v>
      </c>
      <c r="AL8815" t="s">
        <v>53</v>
      </c>
      <c r="AM8815" t="s">
        <v>53</v>
      </c>
      <c r="AN8815" t="s">
        <v>53</v>
      </c>
      <c r="AO8815" t="s">
        <v>53</v>
      </c>
      <c r="AP8815" t="s">
        <v>53</v>
      </c>
    </row>
    <row r="8816" spans="2:42" x14ac:dyDescent="0.2">
      <c r="B8816" t="s">
        <v>44</v>
      </c>
      <c r="C8816" t="str">
        <f>HYPERLINK("https://us2.cloudbeds.com/connect/8493803454333002#/reservations/9080486848986520?display=52CMFSRD4W&amp;reservation_id=9080486848986520", "52CMFSRD4W")</f>
        <v>52CMFSRD4W</v>
      </c>
      <c r="D8816" t="s">
        <v>45</v>
      </c>
      <c r="E8816" t="s">
        <v>69</v>
      </c>
      <c r="F8816" t="s">
        <v>70</v>
      </c>
      <c r="G8816" t="s">
        <v>48</v>
      </c>
      <c r="H8816" t="s">
        <v>49</v>
      </c>
      <c r="I8816" t="s">
        <v>62</v>
      </c>
      <c r="J8816" t="s">
        <v>11628</v>
      </c>
      <c r="K8816" t="s">
        <v>13086</v>
      </c>
      <c r="L8816" t="s">
        <v>53</v>
      </c>
      <c r="N8816" t="s">
        <v>16789</v>
      </c>
      <c r="P8816" t="s">
        <v>55</v>
      </c>
      <c r="R8816" t="s">
        <v>56</v>
      </c>
      <c r="T8816" t="s">
        <v>16790</v>
      </c>
      <c r="U8816" t="s">
        <v>55</v>
      </c>
      <c r="V8816">
        <v>1</v>
      </c>
      <c r="W8816">
        <v>1</v>
      </c>
      <c r="X8816">
        <v>2</v>
      </c>
      <c r="Y8816">
        <v>0</v>
      </c>
      <c r="Z8816">
        <v>2</v>
      </c>
      <c r="AA8816">
        <v>97.75</v>
      </c>
      <c r="AB8816">
        <v>97.75</v>
      </c>
      <c r="AC8816">
        <v>97.75</v>
      </c>
      <c r="AD8816">
        <v>0</v>
      </c>
      <c r="AE8816">
        <v>0</v>
      </c>
      <c r="AF8816">
        <v>0</v>
      </c>
      <c r="AG8816">
        <v>0</v>
      </c>
      <c r="AH8816">
        <v>0</v>
      </c>
      <c r="AI8816">
        <v>17.600000000000001</v>
      </c>
      <c r="AJ8816">
        <v>97.75</v>
      </c>
      <c r="AK8816">
        <v>0</v>
      </c>
      <c r="AL8816" t="s">
        <v>53</v>
      </c>
      <c r="AM8816" t="s">
        <v>53</v>
      </c>
      <c r="AN8816" t="s">
        <v>53</v>
      </c>
      <c r="AO8816" t="s">
        <v>53</v>
      </c>
      <c r="AP8816" t="s">
        <v>53</v>
      </c>
    </row>
    <row r="8817" spans="2:42" x14ac:dyDescent="0.2">
      <c r="B8817" t="s">
        <v>44</v>
      </c>
      <c r="C8817" t="str">
        <f>HYPERLINK("https://us2.cloudbeds.com/connect/8493803454333002#/reservations/235412463751296?display=52CNS303AA&amp;reservation_id=235412463751296", "52CNS303AA")</f>
        <v>52CNS303AA</v>
      </c>
      <c r="D8817" t="s">
        <v>45</v>
      </c>
      <c r="E8817" t="s">
        <v>105</v>
      </c>
      <c r="F8817" t="s">
        <v>47</v>
      </c>
      <c r="G8817" t="s">
        <v>48</v>
      </c>
      <c r="H8817" t="s">
        <v>3957</v>
      </c>
      <c r="I8817" t="s">
        <v>3975</v>
      </c>
      <c r="J8817" t="s">
        <v>11628</v>
      </c>
      <c r="K8817" t="s">
        <v>14831</v>
      </c>
      <c r="L8817" t="s">
        <v>53</v>
      </c>
      <c r="P8817" t="s">
        <v>55</v>
      </c>
      <c r="R8817" t="s">
        <v>56</v>
      </c>
      <c r="T8817" t="s">
        <v>16791</v>
      </c>
      <c r="U8817" t="s">
        <v>58</v>
      </c>
      <c r="V8817">
        <v>2</v>
      </c>
      <c r="W8817">
        <v>1</v>
      </c>
      <c r="X8817">
        <v>1</v>
      </c>
      <c r="Y8817">
        <v>0</v>
      </c>
      <c r="Z8817">
        <v>1</v>
      </c>
      <c r="AA8817">
        <v>274.02</v>
      </c>
      <c r="AB8817">
        <v>338.68</v>
      </c>
      <c r="AC8817">
        <v>239</v>
      </c>
      <c r="AD8817">
        <v>0</v>
      </c>
      <c r="AE8817">
        <v>35.020000000000003</v>
      </c>
      <c r="AF8817">
        <v>0</v>
      </c>
      <c r="AG8817">
        <v>0</v>
      </c>
      <c r="AH8817">
        <v>0</v>
      </c>
      <c r="AI8817">
        <v>0</v>
      </c>
      <c r="AJ8817">
        <v>274.02</v>
      </c>
      <c r="AK8817">
        <v>209.36</v>
      </c>
      <c r="AL8817" t="s">
        <v>53</v>
      </c>
      <c r="AM8817" t="s">
        <v>53</v>
      </c>
      <c r="AN8817" t="s">
        <v>53</v>
      </c>
      <c r="AO8817" t="s">
        <v>53</v>
      </c>
      <c r="AP8817" t="s">
        <v>53</v>
      </c>
    </row>
    <row r="8818" spans="2:42" x14ac:dyDescent="0.2">
      <c r="B8818" t="s">
        <v>44</v>
      </c>
      <c r="C8818" t="str">
        <f>HYPERLINK("https://us2.cloudbeds.com/connect/8493803454333002#/reservations/9080486848990894?display=52GA0Y7JB5&amp;reservation_id=9080486848990894", "52GA0Y7JB5")</f>
        <v>52GA0Y7JB5</v>
      </c>
      <c r="D8818" t="s">
        <v>45</v>
      </c>
      <c r="E8818" t="s">
        <v>69</v>
      </c>
      <c r="F8818" t="s">
        <v>70</v>
      </c>
      <c r="G8818" t="s">
        <v>48</v>
      </c>
      <c r="H8818" t="s">
        <v>49</v>
      </c>
      <c r="I8818" t="s">
        <v>50</v>
      </c>
      <c r="J8818" t="s">
        <v>14153</v>
      </c>
      <c r="K8818" t="s">
        <v>14344</v>
      </c>
      <c r="L8818" t="s">
        <v>53</v>
      </c>
      <c r="N8818" t="s">
        <v>16792</v>
      </c>
      <c r="P8818" t="s">
        <v>55</v>
      </c>
      <c r="R8818" t="s">
        <v>53</v>
      </c>
      <c r="T8818" t="s">
        <v>16793</v>
      </c>
      <c r="U8818" t="s">
        <v>55</v>
      </c>
      <c r="V8818">
        <v>1</v>
      </c>
      <c r="W8818">
        <v>1</v>
      </c>
      <c r="X8818">
        <v>1</v>
      </c>
      <c r="Y8818">
        <v>0</v>
      </c>
      <c r="Z8818">
        <v>1</v>
      </c>
      <c r="AA8818">
        <v>101.64</v>
      </c>
      <c r="AB8818">
        <v>101.64</v>
      </c>
      <c r="AC8818">
        <v>93.46</v>
      </c>
      <c r="AD8818">
        <v>0</v>
      </c>
      <c r="AE8818">
        <v>8.18</v>
      </c>
      <c r="AF8818">
        <v>0</v>
      </c>
      <c r="AG8818">
        <v>0</v>
      </c>
      <c r="AH8818">
        <v>0</v>
      </c>
      <c r="AI8818">
        <v>18.3</v>
      </c>
      <c r="AJ8818">
        <v>101.64</v>
      </c>
      <c r="AK8818">
        <v>0</v>
      </c>
      <c r="AL8818" t="s">
        <v>53</v>
      </c>
      <c r="AM8818" t="s">
        <v>53</v>
      </c>
      <c r="AN8818" t="s">
        <v>16794</v>
      </c>
      <c r="AO8818" t="s">
        <v>53</v>
      </c>
      <c r="AP8818" t="s">
        <v>53</v>
      </c>
    </row>
    <row r="8819" spans="2:42" x14ac:dyDescent="0.2">
      <c r="B8819" t="s">
        <v>44</v>
      </c>
      <c r="C8819" t="str">
        <f>HYPERLINK("https://us2.cloudbeds.com/connect/8493803454333002#/reservations/235585810751680?display=52GQ2GPMYP&amp;reservation_id=235585810751680", "52GQ2GPMYP")</f>
        <v>52GQ2GPMYP</v>
      </c>
      <c r="D8819" t="s">
        <v>10291</v>
      </c>
      <c r="E8819" t="s">
        <v>138</v>
      </c>
      <c r="F8819" t="s">
        <v>70</v>
      </c>
      <c r="G8819" t="s">
        <v>3974</v>
      </c>
      <c r="H8819" t="s">
        <v>3957</v>
      </c>
      <c r="I8819" t="s">
        <v>3975</v>
      </c>
      <c r="J8819" t="s">
        <v>16795</v>
      </c>
      <c r="K8819" t="s">
        <v>15747</v>
      </c>
      <c r="L8819" t="s">
        <v>53</v>
      </c>
      <c r="P8819" t="s">
        <v>55</v>
      </c>
      <c r="R8819" t="s">
        <v>56</v>
      </c>
      <c r="T8819" t="s">
        <v>16796</v>
      </c>
      <c r="U8819" t="s">
        <v>58</v>
      </c>
      <c r="V8819">
        <v>1</v>
      </c>
      <c r="W8819">
        <v>1</v>
      </c>
      <c r="X8819">
        <v>2</v>
      </c>
      <c r="Y8819">
        <v>0</v>
      </c>
      <c r="Z8819">
        <v>2</v>
      </c>
      <c r="AA8819">
        <v>189.52</v>
      </c>
      <c r="AB8819">
        <v>189.52</v>
      </c>
      <c r="AC8819">
        <v>165.3</v>
      </c>
      <c r="AD8819">
        <v>0</v>
      </c>
      <c r="AE8819">
        <v>24.22</v>
      </c>
      <c r="AF8819">
        <v>0</v>
      </c>
      <c r="AG8819">
        <v>0</v>
      </c>
      <c r="AH8819">
        <v>0</v>
      </c>
      <c r="AI8819">
        <v>0</v>
      </c>
      <c r="AJ8819">
        <v>189.52</v>
      </c>
      <c r="AK8819">
        <v>0</v>
      </c>
      <c r="AL8819" t="s">
        <v>53</v>
      </c>
      <c r="AM8819" t="s">
        <v>53</v>
      </c>
      <c r="AN8819" t="s">
        <v>16797</v>
      </c>
      <c r="AO8819" t="s">
        <v>53</v>
      </c>
      <c r="AP8819" t="s">
        <v>53</v>
      </c>
    </row>
    <row r="8820" spans="2:42" x14ac:dyDescent="0.2">
      <c r="B8820" t="s">
        <v>44</v>
      </c>
      <c r="C8820" t="str">
        <f>HYPERLINK("https://us2.cloudbeds.com/connect/8493803454333002#/reservations/235613223125120?display=52HE9VK93X&amp;reservation_id=235613223125120", "52HE9VK93X")</f>
        <v>52HE9VK93X</v>
      </c>
      <c r="D8820" t="s">
        <v>45</v>
      </c>
      <c r="E8820" t="s">
        <v>155</v>
      </c>
      <c r="F8820" t="s">
        <v>86</v>
      </c>
      <c r="G8820" t="s">
        <v>48</v>
      </c>
      <c r="H8820" t="s">
        <v>3957</v>
      </c>
      <c r="I8820" t="s">
        <v>3975</v>
      </c>
      <c r="J8820" t="s">
        <v>14348</v>
      </c>
      <c r="K8820" t="s">
        <v>14623</v>
      </c>
      <c r="L8820" t="s">
        <v>53</v>
      </c>
      <c r="P8820" t="s">
        <v>55</v>
      </c>
      <c r="R8820" t="s">
        <v>56</v>
      </c>
      <c r="T8820" t="s">
        <v>16798</v>
      </c>
      <c r="U8820" t="s">
        <v>58</v>
      </c>
      <c r="V8820">
        <v>1</v>
      </c>
      <c r="W8820">
        <v>1</v>
      </c>
      <c r="X8820">
        <v>2</v>
      </c>
      <c r="Y8820">
        <v>2</v>
      </c>
      <c r="Z8820">
        <v>4</v>
      </c>
      <c r="AA8820">
        <v>0</v>
      </c>
      <c r="AB8820">
        <v>235.04</v>
      </c>
      <c r="AC8820">
        <v>205</v>
      </c>
      <c r="AD8820">
        <v>0</v>
      </c>
      <c r="AE8820">
        <v>30.04</v>
      </c>
      <c r="AF8820">
        <v>0</v>
      </c>
      <c r="AG8820">
        <v>0</v>
      </c>
      <c r="AH8820">
        <v>0</v>
      </c>
      <c r="AI8820">
        <v>0</v>
      </c>
      <c r="AJ8820">
        <v>235.04</v>
      </c>
      <c r="AK8820">
        <v>0</v>
      </c>
      <c r="AL8820" t="s">
        <v>53</v>
      </c>
      <c r="AM8820" t="s">
        <v>53</v>
      </c>
      <c r="AN8820" t="s">
        <v>53</v>
      </c>
      <c r="AO8820" t="s">
        <v>53</v>
      </c>
      <c r="AP8820" t="s">
        <v>53</v>
      </c>
    </row>
    <row r="8821" spans="2:42" x14ac:dyDescent="0.2">
      <c r="B8821" t="s">
        <v>44</v>
      </c>
      <c r="C8821" t="str">
        <f>HYPERLINK("https://us2.cloudbeds.com/connect/8493803454333002#/reservations/9080486848993630?display=52HQEMH8H0&amp;reservation_id=9080486848993630", "52HQEMH8H0")</f>
        <v>52HQEMH8H0</v>
      </c>
      <c r="D8821" t="s">
        <v>45</v>
      </c>
      <c r="E8821" t="s">
        <v>138</v>
      </c>
      <c r="F8821" t="s">
        <v>70</v>
      </c>
      <c r="G8821" t="s">
        <v>48</v>
      </c>
      <c r="H8821" t="s">
        <v>49</v>
      </c>
      <c r="I8821" t="s">
        <v>50</v>
      </c>
      <c r="J8821" t="s">
        <v>14498</v>
      </c>
      <c r="K8821" t="s">
        <v>14348</v>
      </c>
      <c r="L8821" t="s">
        <v>53</v>
      </c>
      <c r="N8821" t="s">
        <v>16799</v>
      </c>
      <c r="P8821" t="s">
        <v>55</v>
      </c>
      <c r="R8821" t="s">
        <v>53</v>
      </c>
      <c r="T8821" t="s">
        <v>16800</v>
      </c>
      <c r="U8821" t="s">
        <v>55</v>
      </c>
      <c r="V8821">
        <v>1</v>
      </c>
      <c r="W8821">
        <v>1</v>
      </c>
      <c r="X8821">
        <v>2</v>
      </c>
      <c r="Y8821">
        <v>0</v>
      </c>
      <c r="Z8821">
        <v>2</v>
      </c>
      <c r="AA8821">
        <v>114.63</v>
      </c>
      <c r="AB8821">
        <v>114.63</v>
      </c>
      <c r="AC8821">
        <v>105.41</v>
      </c>
      <c r="AD8821">
        <v>0</v>
      </c>
      <c r="AE8821">
        <v>9.2200000000000006</v>
      </c>
      <c r="AF8821">
        <v>0</v>
      </c>
      <c r="AG8821">
        <v>0</v>
      </c>
      <c r="AH8821">
        <v>0</v>
      </c>
      <c r="AI8821">
        <v>20.63</v>
      </c>
      <c r="AJ8821">
        <v>114.63</v>
      </c>
      <c r="AK8821">
        <v>0</v>
      </c>
      <c r="AL8821" t="s">
        <v>53</v>
      </c>
      <c r="AM8821" t="s">
        <v>53</v>
      </c>
      <c r="AN8821" t="s">
        <v>53</v>
      </c>
      <c r="AO8821" t="s">
        <v>53</v>
      </c>
      <c r="AP8821" t="s">
        <v>53</v>
      </c>
    </row>
    <row r="8822" spans="2:42" x14ac:dyDescent="0.2">
      <c r="B8822" t="s">
        <v>44</v>
      </c>
      <c r="C8822" t="str">
        <f>HYPERLINK("https://us2.cloudbeds.com/connect/8493803454333002#/reservations/9080486848993860?display=52HV4K7KH5&amp;reservation_id=9080486848993860", "52HV4K7KH5")</f>
        <v>52HV4K7KH5</v>
      </c>
      <c r="D8822" t="s">
        <v>45</v>
      </c>
      <c r="E8822" t="s">
        <v>46</v>
      </c>
      <c r="F8822" t="s">
        <v>47</v>
      </c>
      <c r="G8822" t="s">
        <v>48</v>
      </c>
      <c r="H8822" t="s">
        <v>49</v>
      </c>
      <c r="I8822" t="s">
        <v>50</v>
      </c>
      <c r="J8822" t="s">
        <v>14668</v>
      </c>
      <c r="K8822" t="s">
        <v>15738</v>
      </c>
      <c r="L8822" t="s">
        <v>53</v>
      </c>
      <c r="N8822" t="s">
        <v>16801</v>
      </c>
      <c r="P8822" t="s">
        <v>55</v>
      </c>
      <c r="R8822" t="s">
        <v>53</v>
      </c>
      <c r="T8822" t="s">
        <v>16802</v>
      </c>
      <c r="U8822" t="s">
        <v>55</v>
      </c>
      <c r="V8822">
        <v>1</v>
      </c>
      <c r="W8822">
        <v>1</v>
      </c>
      <c r="X8822">
        <v>2</v>
      </c>
      <c r="Y8822">
        <v>0</v>
      </c>
      <c r="Z8822">
        <v>2</v>
      </c>
      <c r="AA8822">
        <v>168.35</v>
      </c>
      <c r="AB8822">
        <v>168.35</v>
      </c>
      <c r="AC8822">
        <v>154.80000000000001</v>
      </c>
      <c r="AD8822">
        <v>0</v>
      </c>
      <c r="AE8822">
        <v>13.55</v>
      </c>
      <c r="AF8822">
        <v>0</v>
      </c>
      <c r="AG8822">
        <v>0</v>
      </c>
      <c r="AH8822">
        <v>0</v>
      </c>
      <c r="AI8822">
        <v>30.3</v>
      </c>
      <c r="AJ8822">
        <v>168.35</v>
      </c>
      <c r="AK8822">
        <v>0</v>
      </c>
      <c r="AL8822" t="s">
        <v>53</v>
      </c>
      <c r="AM8822" t="s">
        <v>53</v>
      </c>
      <c r="AN8822" t="s">
        <v>16803</v>
      </c>
      <c r="AO8822" t="s">
        <v>53</v>
      </c>
      <c r="AP8822" t="s">
        <v>53</v>
      </c>
    </row>
    <row r="8823" spans="2:42" x14ac:dyDescent="0.2">
      <c r="B8823" t="s">
        <v>44</v>
      </c>
      <c r="C8823" t="str">
        <f>HYPERLINK("https://us2.cloudbeds.com/connect/8493803454333002#/reservations/9080486848994358?display=52X7GD6G67&amp;reservation_id=9080486848994358", "52X7GD6G67")</f>
        <v>52X7GD6G67</v>
      </c>
      <c r="D8823" t="s">
        <v>45</v>
      </c>
      <c r="E8823" t="s">
        <v>185</v>
      </c>
      <c r="F8823" t="s">
        <v>47</v>
      </c>
      <c r="G8823" t="s">
        <v>48</v>
      </c>
      <c r="H8823" t="s">
        <v>49</v>
      </c>
      <c r="I8823" t="s">
        <v>50</v>
      </c>
      <c r="J8823" t="s">
        <v>14669</v>
      </c>
      <c r="K8823" t="s">
        <v>15594</v>
      </c>
      <c r="L8823" t="s">
        <v>53</v>
      </c>
      <c r="N8823" t="s">
        <v>16804</v>
      </c>
      <c r="P8823" t="s">
        <v>55</v>
      </c>
      <c r="R8823" t="s">
        <v>53</v>
      </c>
      <c r="T8823" t="s">
        <v>16805</v>
      </c>
      <c r="U8823" t="s">
        <v>55</v>
      </c>
      <c r="V8823">
        <v>1</v>
      </c>
      <c r="W8823">
        <v>1</v>
      </c>
      <c r="X8823">
        <v>2</v>
      </c>
      <c r="Y8823">
        <v>0</v>
      </c>
      <c r="Z8823">
        <v>2</v>
      </c>
      <c r="AA8823">
        <v>115.35</v>
      </c>
      <c r="AB8823">
        <v>115.35</v>
      </c>
      <c r="AC8823">
        <v>106.07</v>
      </c>
      <c r="AD8823">
        <v>0</v>
      </c>
      <c r="AE8823">
        <v>9.2799999999999994</v>
      </c>
      <c r="AF8823">
        <v>0</v>
      </c>
      <c r="AG8823">
        <v>0</v>
      </c>
      <c r="AH8823">
        <v>0</v>
      </c>
      <c r="AI8823">
        <v>20.76</v>
      </c>
      <c r="AJ8823">
        <v>115.35</v>
      </c>
      <c r="AK8823">
        <v>0</v>
      </c>
      <c r="AL8823" t="s">
        <v>53</v>
      </c>
      <c r="AM8823" t="s">
        <v>53</v>
      </c>
      <c r="AN8823" t="s">
        <v>53</v>
      </c>
      <c r="AO8823" t="s">
        <v>53</v>
      </c>
      <c r="AP8823" t="s">
        <v>53</v>
      </c>
    </row>
    <row r="8824" spans="2:42" x14ac:dyDescent="0.2">
      <c r="B8824" t="s">
        <v>44</v>
      </c>
      <c r="C8824" t="str">
        <f>HYPERLINK("https://us2.cloudbeds.com/connect/8493803454333002#/reservations/9080486848995519?display=52XRGHXXKJ&amp;reservation_id=9080486848995519", "52XRGHXXKJ")</f>
        <v>52XRGHXXKJ</v>
      </c>
      <c r="D8824" t="s">
        <v>45</v>
      </c>
      <c r="E8824" t="s">
        <v>110</v>
      </c>
      <c r="F8824" t="s">
        <v>47</v>
      </c>
      <c r="G8824" t="s">
        <v>48</v>
      </c>
      <c r="H8824" t="s">
        <v>49</v>
      </c>
      <c r="I8824" t="s">
        <v>50</v>
      </c>
      <c r="J8824" t="s">
        <v>11628</v>
      </c>
      <c r="K8824" t="s">
        <v>13086</v>
      </c>
      <c r="L8824" t="s">
        <v>53</v>
      </c>
      <c r="N8824" t="s">
        <v>16806</v>
      </c>
      <c r="P8824" t="s">
        <v>55</v>
      </c>
      <c r="R8824" t="s">
        <v>53</v>
      </c>
      <c r="T8824" t="s">
        <v>16807</v>
      </c>
      <c r="U8824" t="s">
        <v>55</v>
      </c>
      <c r="V8824">
        <v>1</v>
      </c>
      <c r="W8824">
        <v>1</v>
      </c>
      <c r="X8824">
        <v>2</v>
      </c>
      <c r="Y8824">
        <v>0</v>
      </c>
      <c r="Z8824">
        <v>2</v>
      </c>
      <c r="AA8824">
        <v>84.91</v>
      </c>
      <c r="AB8824">
        <v>84.91</v>
      </c>
      <c r="AC8824">
        <v>78.08</v>
      </c>
      <c r="AD8824">
        <v>0</v>
      </c>
      <c r="AE8824">
        <v>6.83</v>
      </c>
      <c r="AF8824">
        <v>0</v>
      </c>
      <c r="AG8824">
        <v>0</v>
      </c>
      <c r="AH8824">
        <v>0</v>
      </c>
      <c r="AI8824">
        <v>15.28</v>
      </c>
      <c r="AJ8824">
        <v>84.91</v>
      </c>
      <c r="AK8824">
        <v>0</v>
      </c>
      <c r="AL8824" t="s">
        <v>53</v>
      </c>
      <c r="AM8824" t="s">
        <v>53</v>
      </c>
      <c r="AN8824" t="s">
        <v>53</v>
      </c>
      <c r="AO8824" t="s">
        <v>53</v>
      </c>
      <c r="AP8824" t="s">
        <v>53</v>
      </c>
    </row>
    <row r="8825" spans="2:42" x14ac:dyDescent="0.2">
      <c r="B8825" t="s">
        <v>44</v>
      </c>
      <c r="C8825" t="str">
        <f>HYPERLINK("https://us2.cloudbeds.com/connect/8493803454333002#/reservations/9080486848995885?display=52J1JP8FV3&amp;reservation_id=9080486848995885", "52J1JP8FV3")</f>
        <v>52J1JP8FV3</v>
      </c>
      <c r="D8825" t="s">
        <v>45</v>
      </c>
      <c r="E8825" t="s">
        <v>179</v>
      </c>
      <c r="F8825" t="s">
        <v>47</v>
      </c>
      <c r="G8825" t="s">
        <v>48</v>
      </c>
      <c r="H8825" t="s">
        <v>49</v>
      </c>
      <c r="I8825" t="s">
        <v>50</v>
      </c>
      <c r="J8825" t="s">
        <v>15735</v>
      </c>
      <c r="K8825" t="s">
        <v>14668</v>
      </c>
      <c r="L8825" t="s">
        <v>53</v>
      </c>
      <c r="N8825" t="s">
        <v>16808</v>
      </c>
      <c r="P8825" t="s">
        <v>55</v>
      </c>
      <c r="R8825" t="s">
        <v>53</v>
      </c>
      <c r="T8825" t="s">
        <v>16809</v>
      </c>
      <c r="U8825" t="s">
        <v>55</v>
      </c>
      <c r="V8825">
        <v>1</v>
      </c>
      <c r="W8825">
        <v>1</v>
      </c>
      <c r="X8825">
        <v>1</v>
      </c>
      <c r="Y8825">
        <v>0</v>
      </c>
      <c r="Z8825">
        <v>1</v>
      </c>
      <c r="AA8825">
        <v>149.94</v>
      </c>
      <c r="AB8825">
        <v>149.94</v>
      </c>
      <c r="AC8825">
        <v>137.87</v>
      </c>
      <c r="AD8825">
        <v>0</v>
      </c>
      <c r="AE8825">
        <v>12.07</v>
      </c>
      <c r="AF8825">
        <v>0</v>
      </c>
      <c r="AG8825">
        <v>0</v>
      </c>
      <c r="AH8825">
        <v>0</v>
      </c>
      <c r="AI8825">
        <v>26.99</v>
      </c>
      <c r="AJ8825">
        <v>149.94</v>
      </c>
      <c r="AK8825">
        <v>0</v>
      </c>
      <c r="AL8825" t="s">
        <v>53</v>
      </c>
      <c r="AM8825" t="s">
        <v>53</v>
      </c>
      <c r="AN8825" t="s">
        <v>53</v>
      </c>
      <c r="AO8825" t="s">
        <v>53</v>
      </c>
      <c r="AP8825" t="s">
        <v>53</v>
      </c>
    </row>
    <row r="8826" spans="2:42" x14ac:dyDescent="0.2">
      <c r="B8826" t="s">
        <v>44</v>
      </c>
      <c r="C8826" t="str">
        <f>HYPERLINK("https://us2.cloudbeds.com/connect/8493803454333002#/reservations/9080486848995930?display=52J2NV6Y7C&amp;reservation_id=9080486848995930", "52J2NV6Y7C")</f>
        <v>52J2NV6Y7C</v>
      </c>
      <c r="D8826" t="s">
        <v>45</v>
      </c>
      <c r="E8826" t="s">
        <v>46</v>
      </c>
      <c r="F8826" t="s">
        <v>47</v>
      </c>
      <c r="G8826" t="s">
        <v>48</v>
      </c>
      <c r="H8826" t="s">
        <v>49</v>
      </c>
      <c r="I8826" t="s">
        <v>50</v>
      </c>
      <c r="J8826" t="s">
        <v>11628</v>
      </c>
      <c r="K8826" t="s">
        <v>13086</v>
      </c>
      <c r="L8826" t="s">
        <v>53</v>
      </c>
      <c r="N8826" t="s">
        <v>16810</v>
      </c>
      <c r="P8826" t="s">
        <v>55</v>
      </c>
      <c r="R8826" t="s">
        <v>53</v>
      </c>
      <c r="T8826" t="s">
        <v>16811</v>
      </c>
      <c r="U8826" t="s">
        <v>55</v>
      </c>
      <c r="V8826">
        <v>1</v>
      </c>
      <c r="W8826">
        <v>1</v>
      </c>
      <c r="X8826">
        <v>1</v>
      </c>
      <c r="Y8826">
        <v>0</v>
      </c>
      <c r="Z8826">
        <v>1</v>
      </c>
      <c r="AA8826">
        <v>82.57</v>
      </c>
      <c r="AB8826">
        <v>82.57</v>
      </c>
      <c r="AC8826">
        <v>75.92</v>
      </c>
      <c r="AD8826">
        <v>0</v>
      </c>
      <c r="AE8826">
        <v>6.65</v>
      </c>
      <c r="AF8826">
        <v>0</v>
      </c>
      <c r="AG8826">
        <v>0</v>
      </c>
      <c r="AH8826">
        <v>0</v>
      </c>
      <c r="AI8826">
        <v>14.86</v>
      </c>
      <c r="AJ8826">
        <v>82.57</v>
      </c>
      <c r="AK8826">
        <v>0</v>
      </c>
      <c r="AL8826" t="s">
        <v>53</v>
      </c>
      <c r="AM8826" t="s">
        <v>53</v>
      </c>
      <c r="AN8826" t="s">
        <v>53</v>
      </c>
      <c r="AO8826" t="s">
        <v>53</v>
      </c>
      <c r="AP8826" t="s">
        <v>53</v>
      </c>
    </row>
    <row r="8827" spans="2:42" x14ac:dyDescent="0.2">
      <c r="B8827" t="s">
        <v>44</v>
      </c>
      <c r="C8827" t="str">
        <f>HYPERLINK("https://us2.cloudbeds.com/connect/8493803454333002#/reservations/9080486848996196?display=52J8KCUMYY&amp;reservation_id=9080486848996196", "52J8KCUMYY")</f>
        <v>52J8KCUMYY</v>
      </c>
      <c r="D8827" t="s">
        <v>45</v>
      </c>
      <c r="E8827" t="s">
        <v>381</v>
      </c>
      <c r="F8827" t="s">
        <v>47</v>
      </c>
      <c r="G8827" t="s">
        <v>48</v>
      </c>
      <c r="H8827" t="s">
        <v>49</v>
      </c>
      <c r="I8827" t="s">
        <v>50</v>
      </c>
      <c r="J8827" t="s">
        <v>11628</v>
      </c>
      <c r="K8827" t="s">
        <v>13086</v>
      </c>
      <c r="L8827" t="s">
        <v>53</v>
      </c>
      <c r="N8827" t="s">
        <v>16812</v>
      </c>
      <c r="P8827" t="s">
        <v>55</v>
      </c>
      <c r="R8827" t="s">
        <v>53</v>
      </c>
      <c r="T8827" t="s">
        <v>16813</v>
      </c>
      <c r="U8827" t="s">
        <v>55</v>
      </c>
      <c r="V8827">
        <v>1</v>
      </c>
      <c r="W8827">
        <v>1</v>
      </c>
      <c r="X8827">
        <v>2</v>
      </c>
      <c r="Y8827">
        <v>0</v>
      </c>
      <c r="Z8827">
        <v>2</v>
      </c>
      <c r="AA8827">
        <v>84.91</v>
      </c>
      <c r="AB8827">
        <v>90.39</v>
      </c>
      <c r="AC8827">
        <v>78.08</v>
      </c>
      <c r="AD8827">
        <v>5</v>
      </c>
      <c r="AE8827">
        <v>7.31</v>
      </c>
      <c r="AF8827">
        <v>0</v>
      </c>
      <c r="AG8827">
        <v>0</v>
      </c>
      <c r="AH8827">
        <v>0</v>
      </c>
      <c r="AI8827">
        <v>16.27</v>
      </c>
      <c r="AJ8827">
        <v>90.39</v>
      </c>
      <c r="AK8827">
        <v>0</v>
      </c>
      <c r="AL8827" t="s">
        <v>53</v>
      </c>
      <c r="AM8827" t="s">
        <v>53</v>
      </c>
      <c r="AN8827" t="s">
        <v>53</v>
      </c>
      <c r="AO8827" t="s">
        <v>53</v>
      </c>
      <c r="AP8827" t="s">
        <v>53</v>
      </c>
    </row>
    <row r="8828" spans="2:42" x14ac:dyDescent="0.2">
      <c r="B8828" t="s">
        <v>44</v>
      </c>
      <c r="C8828" t="str">
        <f>HYPERLINK("https://us2.cloudbeds.com/connect/8493803454333002#/reservations/235696758857856?display=52JCWG6310&amp;reservation_id=235696758857856", "52JCWG6310")</f>
        <v>52JCWG6310</v>
      </c>
      <c r="D8828" t="s">
        <v>45</v>
      </c>
      <c r="E8828" t="s">
        <v>185</v>
      </c>
      <c r="F8828" t="s">
        <v>47</v>
      </c>
      <c r="G8828" t="s">
        <v>48</v>
      </c>
      <c r="H8828" t="s">
        <v>3957</v>
      </c>
      <c r="I8828" t="s">
        <v>3958</v>
      </c>
      <c r="J8828" t="s">
        <v>14806</v>
      </c>
      <c r="K8828" t="s">
        <v>14732</v>
      </c>
      <c r="L8828" t="s">
        <v>53</v>
      </c>
      <c r="P8828" t="s">
        <v>55</v>
      </c>
      <c r="R8828" t="s">
        <v>56</v>
      </c>
      <c r="T8828" t="s">
        <v>16814</v>
      </c>
      <c r="U8828" t="s">
        <v>58</v>
      </c>
      <c r="V8828">
        <v>2</v>
      </c>
      <c r="W8828">
        <v>1</v>
      </c>
      <c r="X8828">
        <v>1</v>
      </c>
      <c r="Y8828">
        <v>0</v>
      </c>
      <c r="Z8828">
        <v>1</v>
      </c>
      <c r="AA8828">
        <v>598.47</v>
      </c>
      <c r="AB8828">
        <v>598.47</v>
      </c>
      <c r="AC8828">
        <v>522</v>
      </c>
      <c r="AD8828">
        <v>0</v>
      </c>
      <c r="AE8828">
        <v>76.47</v>
      </c>
      <c r="AF8828">
        <v>0</v>
      </c>
      <c r="AG8828">
        <v>0</v>
      </c>
      <c r="AH8828">
        <v>0</v>
      </c>
      <c r="AI8828">
        <v>0</v>
      </c>
      <c r="AJ8828">
        <v>598.47</v>
      </c>
      <c r="AK8828">
        <v>0</v>
      </c>
      <c r="AL8828" t="s">
        <v>53</v>
      </c>
      <c r="AM8828" t="s">
        <v>53</v>
      </c>
      <c r="AN8828" t="s">
        <v>16815</v>
      </c>
      <c r="AO8828" t="s">
        <v>53</v>
      </c>
      <c r="AP8828" t="s">
        <v>53</v>
      </c>
    </row>
    <row r="8829" spans="2:42" x14ac:dyDescent="0.2">
      <c r="B8829" t="s">
        <v>44</v>
      </c>
      <c r="C8829" t="str">
        <f>HYPERLINK("https://us2.cloudbeds.com/connect/8493803454333002#/reservations/9080486848996484?display=52JERZF2K0&amp;reservation_id=9080486848996484", "52JERZF2K0")</f>
        <v>52JERZF2K0</v>
      </c>
      <c r="D8829" t="s">
        <v>45</v>
      </c>
      <c r="E8829" t="s">
        <v>138</v>
      </c>
      <c r="F8829" t="s">
        <v>70</v>
      </c>
      <c r="G8829" t="s">
        <v>48</v>
      </c>
      <c r="H8829" t="s">
        <v>49</v>
      </c>
      <c r="I8829" t="s">
        <v>8964</v>
      </c>
      <c r="J8829" t="s">
        <v>11628</v>
      </c>
      <c r="K8829" t="s">
        <v>13086</v>
      </c>
      <c r="L8829" t="s">
        <v>53</v>
      </c>
      <c r="N8829" t="s">
        <v>16816</v>
      </c>
      <c r="P8829" t="s">
        <v>55</v>
      </c>
      <c r="R8829" t="s">
        <v>53</v>
      </c>
      <c r="T8829" t="s">
        <v>16817</v>
      </c>
      <c r="U8829" t="s">
        <v>55</v>
      </c>
      <c r="V8829">
        <v>1</v>
      </c>
      <c r="W8829">
        <v>1</v>
      </c>
      <c r="X8829">
        <v>2</v>
      </c>
      <c r="Y8829">
        <v>0</v>
      </c>
      <c r="Z8829">
        <v>2</v>
      </c>
      <c r="AA8829">
        <v>0</v>
      </c>
      <c r="AB8829">
        <v>0</v>
      </c>
      <c r="AC8829">
        <v>94</v>
      </c>
      <c r="AD8829">
        <v>0</v>
      </c>
      <c r="AE8829">
        <v>0</v>
      </c>
      <c r="AF8829">
        <v>0</v>
      </c>
      <c r="AG8829">
        <v>0</v>
      </c>
      <c r="AH8829">
        <v>0</v>
      </c>
      <c r="AI8829">
        <v>14.1</v>
      </c>
      <c r="AJ8829">
        <v>94</v>
      </c>
      <c r="AK8829">
        <v>94</v>
      </c>
      <c r="AL8829" t="s">
        <v>53</v>
      </c>
      <c r="AM8829" t="s">
        <v>53</v>
      </c>
      <c r="AN8829" t="s">
        <v>53</v>
      </c>
      <c r="AO8829" t="s">
        <v>53</v>
      </c>
      <c r="AP8829" t="s">
        <v>53</v>
      </c>
    </row>
    <row r="8830" spans="2:42" x14ac:dyDescent="0.2">
      <c r="B8830" t="s">
        <v>44</v>
      </c>
      <c r="C8830" t="str">
        <f>HYPERLINK("https://us2.cloudbeds.com/connect/8493803454333002#/reservations/9080486848997105?display=52JU0DCA14&amp;reservation_id=9080486848997105", "52JU0DCA14")</f>
        <v>52JU0DCA14</v>
      </c>
      <c r="D8830" t="s">
        <v>45</v>
      </c>
      <c r="E8830" t="s">
        <v>78</v>
      </c>
      <c r="F8830" t="s">
        <v>61</v>
      </c>
      <c r="G8830" t="s">
        <v>48</v>
      </c>
      <c r="H8830" t="s">
        <v>49</v>
      </c>
      <c r="I8830" t="s">
        <v>50</v>
      </c>
      <c r="J8830" t="s">
        <v>11628</v>
      </c>
      <c r="K8830" t="s">
        <v>13086</v>
      </c>
      <c r="L8830" t="s">
        <v>53</v>
      </c>
      <c r="N8830" t="s">
        <v>16818</v>
      </c>
      <c r="P8830" t="s">
        <v>55</v>
      </c>
      <c r="R8830" t="s">
        <v>53</v>
      </c>
      <c r="T8830" t="s">
        <v>16819</v>
      </c>
      <c r="U8830" t="s">
        <v>55</v>
      </c>
      <c r="V8830">
        <v>1</v>
      </c>
      <c r="W8830">
        <v>1</v>
      </c>
      <c r="X8830">
        <v>1</v>
      </c>
      <c r="Y8830">
        <v>0</v>
      </c>
      <c r="Z8830">
        <v>1</v>
      </c>
      <c r="AA8830">
        <v>105.52</v>
      </c>
      <c r="AB8830">
        <v>105.52</v>
      </c>
      <c r="AC8830">
        <v>97.03</v>
      </c>
      <c r="AD8830">
        <v>0</v>
      </c>
      <c r="AE8830">
        <v>8.49</v>
      </c>
      <c r="AF8830">
        <v>0</v>
      </c>
      <c r="AG8830">
        <v>0</v>
      </c>
      <c r="AH8830">
        <v>0</v>
      </c>
      <c r="AI8830">
        <v>18.989999999999998</v>
      </c>
      <c r="AJ8830">
        <v>105.52</v>
      </c>
      <c r="AK8830">
        <v>0</v>
      </c>
      <c r="AL8830" t="s">
        <v>53</v>
      </c>
      <c r="AM8830" t="s">
        <v>53</v>
      </c>
      <c r="AN8830" t="s">
        <v>53</v>
      </c>
      <c r="AO8830" t="s">
        <v>53</v>
      </c>
      <c r="AP8830" t="s">
        <v>53</v>
      </c>
    </row>
    <row r="8831" spans="2:42" x14ac:dyDescent="0.2">
      <c r="B8831" t="s">
        <v>44</v>
      </c>
      <c r="C8831" t="str">
        <f>HYPERLINK("https://us2.cloudbeds.com/connect/8493803454333002#/reservations/235720951722176?display=52JVNM8YM7&amp;reservation_id=235720951722176", "52JVNM8YM7")</f>
        <v>52JVNM8YM7</v>
      </c>
      <c r="D8831" t="s">
        <v>45</v>
      </c>
      <c r="E8831" t="s">
        <v>155</v>
      </c>
      <c r="F8831" t="s">
        <v>86</v>
      </c>
      <c r="G8831" t="s">
        <v>48</v>
      </c>
      <c r="H8831" t="s">
        <v>3957</v>
      </c>
      <c r="I8831" t="s">
        <v>3958</v>
      </c>
      <c r="J8831" t="s">
        <v>11628</v>
      </c>
      <c r="K8831" t="s">
        <v>13086</v>
      </c>
      <c r="L8831" t="s">
        <v>53</v>
      </c>
      <c r="P8831" t="s">
        <v>55</v>
      </c>
      <c r="R8831" t="s">
        <v>56</v>
      </c>
      <c r="T8831" t="s">
        <v>16820</v>
      </c>
      <c r="U8831" t="s">
        <v>58</v>
      </c>
      <c r="V8831">
        <v>1</v>
      </c>
      <c r="W8831">
        <v>1</v>
      </c>
      <c r="X8831">
        <v>1</v>
      </c>
      <c r="Y8831">
        <v>0</v>
      </c>
      <c r="Z8831">
        <v>1</v>
      </c>
      <c r="AA8831">
        <v>169.68</v>
      </c>
      <c r="AB8831">
        <v>169.68</v>
      </c>
      <c r="AC8831">
        <v>148</v>
      </c>
      <c r="AD8831">
        <v>0</v>
      </c>
      <c r="AE8831">
        <v>21.68</v>
      </c>
      <c r="AF8831">
        <v>0</v>
      </c>
      <c r="AG8831">
        <v>0</v>
      </c>
      <c r="AH8831">
        <v>0</v>
      </c>
      <c r="AI8831">
        <v>0</v>
      </c>
      <c r="AJ8831">
        <v>169.68</v>
      </c>
      <c r="AK8831">
        <v>0</v>
      </c>
      <c r="AL8831" t="s">
        <v>53</v>
      </c>
      <c r="AM8831" t="s">
        <v>53</v>
      </c>
      <c r="AN8831" t="s">
        <v>53</v>
      </c>
      <c r="AO8831" t="s">
        <v>53</v>
      </c>
      <c r="AP8831" t="s">
        <v>53</v>
      </c>
    </row>
    <row r="8832" spans="2:42" x14ac:dyDescent="0.2">
      <c r="B8832" t="s">
        <v>44</v>
      </c>
      <c r="C8832" t="str">
        <f>HYPERLINK("https://us2.cloudbeds.com/connect/8493803454333002#/reservations/9080486848997365?display=52K3D6BNTG&amp;reservation_id=9080486848997365", "52K3D6BNTG")</f>
        <v>52K3D6BNTG</v>
      </c>
      <c r="D8832" t="s">
        <v>45</v>
      </c>
      <c r="E8832" t="s">
        <v>121</v>
      </c>
      <c r="F8832" t="s">
        <v>86</v>
      </c>
      <c r="G8832" t="s">
        <v>48</v>
      </c>
      <c r="H8832" t="s">
        <v>49</v>
      </c>
      <c r="I8832" t="s">
        <v>50</v>
      </c>
      <c r="J8832" t="s">
        <v>11628</v>
      </c>
      <c r="K8832" t="s">
        <v>13086</v>
      </c>
      <c r="L8832" t="s">
        <v>53</v>
      </c>
      <c r="N8832" t="s">
        <v>16821</v>
      </c>
      <c r="P8832" t="s">
        <v>55</v>
      </c>
      <c r="R8832" t="s">
        <v>53</v>
      </c>
      <c r="T8832" t="s">
        <v>16822</v>
      </c>
      <c r="U8832" t="s">
        <v>55</v>
      </c>
      <c r="V8832">
        <v>1</v>
      </c>
      <c r="W8832">
        <v>1</v>
      </c>
      <c r="X8832">
        <v>2</v>
      </c>
      <c r="Y8832">
        <v>2</v>
      </c>
      <c r="Z8832">
        <v>4</v>
      </c>
      <c r="AA8832">
        <v>102.46</v>
      </c>
      <c r="AB8832">
        <v>102.46</v>
      </c>
      <c r="AC8832">
        <v>94.21</v>
      </c>
      <c r="AD8832">
        <v>0</v>
      </c>
      <c r="AE8832">
        <v>8.25</v>
      </c>
      <c r="AF8832">
        <v>0</v>
      </c>
      <c r="AG8832">
        <v>0</v>
      </c>
      <c r="AH8832">
        <v>0</v>
      </c>
      <c r="AI8832">
        <v>18.440000000000001</v>
      </c>
      <c r="AJ8832">
        <v>102.46</v>
      </c>
      <c r="AK8832">
        <v>0</v>
      </c>
      <c r="AL8832" t="s">
        <v>53</v>
      </c>
      <c r="AM8832" t="s">
        <v>53</v>
      </c>
      <c r="AN8832" t="s">
        <v>53</v>
      </c>
      <c r="AO8832" t="s">
        <v>53</v>
      </c>
      <c r="AP8832" t="s">
        <v>53</v>
      </c>
    </row>
    <row r="8833" spans="2:42" x14ac:dyDescent="0.2">
      <c r="B8833" t="s">
        <v>44</v>
      </c>
      <c r="C8833" t="str">
        <f>HYPERLINK("https://us2.cloudbeds.com/connect/8493803454333002#/reservations/235734001188992?display=52K8R3T1T5&amp;reservation_id=235734001188992", "52K8R3T1T5")</f>
        <v>52K8R3T1T5</v>
      </c>
      <c r="D8833" t="s">
        <v>45</v>
      </c>
      <c r="E8833" t="s">
        <v>110</v>
      </c>
      <c r="F8833" t="s">
        <v>47</v>
      </c>
      <c r="G8833" t="s">
        <v>48</v>
      </c>
      <c r="H8833" t="s">
        <v>3957</v>
      </c>
      <c r="I8833" t="s">
        <v>3975</v>
      </c>
      <c r="J8833" t="s">
        <v>13086</v>
      </c>
      <c r="K8833" t="s">
        <v>14831</v>
      </c>
      <c r="L8833" t="s">
        <v>53</v>
      </c>
      <c r="P8833" t="s">
        <v>55</v>
      </c>
      <c r="R8833" t="s">
        <v>56</v>
      </c>
      <c r="T8833" t="s">
        <v>16823</v>
      </c>
      <c r="U8833" t="s">
        <v>58</v>
      </c>
      <c r="V8833">
        <v>1</v>
      </c>
      <c r="W8833">
        <v>1</v>
      </c>
      <c r="X8833">
        <v>1</v>
      </c>
      <c r="Y8833">
        <v>0</v>
      </c>
      <c r="Z8833">
        <v>1</v>
      </c>
      <c r="AA8833">
        <v>134.13999999999999</v>
      </c>
      <c r="AB8833">
        <v>134.13999999999999</v>
      </c>
      <c r="AC8833">
        <v>117</v>
      </c>
      <c r="AD8833">
        <v>0</v>
      </c>
      <c r="AE8833">
        <v>17.14</v>
      </c>
      <c r="AF8833">
        <v>0</v>
      </c>
      <c r="AG8833">
        <v>0</v>
      </c>
      <c r="AH8833">
        <v>0</v>
      </c>
      <c r="AI8833">
        <v>0</v>
      </c>
      <c r="AJ8833">
        <v>134.13999999999999</v>
      </c>
      <c r="AK8833">
        <v>0</v>
      </c>
      <c r="AL8833" t="s">
        <v>53</v>
      </c>
      <c r="AM8833" t="s">
        <v>53</v>
      </c>
      <c r="AN8833" t="s">
        <v>53</v>
      </c>
      <c r="AO8833" t="s">
        <v>53</v>
      </c>
      <c r="AP8833" t="s">
        <v>53</v>
      </c>
    </row>
    <row r="8834" spans="2:42" x14ac:dyDescent="0.2">
      <c r="B8834" t="s">
        <v>44</v>
      </c>
      <c r="C8834" t="str">
        <f>HYPERLINK("https://us2.cloudbeds.com/connect/8493803454333002#/reservations/9080486848997798?display=52KDHVFPZ8&amp;reservation_id=9080486848997798", "52KDHVFPZ8")</f>
        <v>52KDHVFPZ8</v>
      </c>
      <c r="D8834" t="s">
        <v>45</v>
      </c>
      <c r="E8834" t="s">
        <v>110</v>
      </c>
      <c r="F8834" t="s">
        <v>47</v>
      </c>
      <c r="G8834" t="s">
        <v>48</v>
      </c>
      <c r="H8834" t="s">
        <v>49</v>
      </c>
      <c r="I8834" t="s">
        <v>50</v>
      </c>
      <c r="J8834" t="s">
        <v>15075</v>
      </c>
      <c r="K8834" t="s">
        <v>15735</v>
      </c>
      <c r="L8834" t="s">
        <v>53</v>
      </c>
      <c r="N8834" t="s">
        <v>16824</v>
      </c>
      <c r="P8834" t="s">
        <v>55</v>
      </c>
      <c r="R8834" t="s">
        <v>53</v>
      </c>
      <c r="T8834" t="s">
        <v>16825</v>
      </c>
      <c r="U8834" t="s">
        <v>55</v>
      </c>
      <c r="V8834">
        <v>1</v>
      </c>
      <c r="W8834">
        <v>1</v>
      </c>
      <c r="X8834">
        <v>2</v>
      </c>
      <c r="Y8834">
        <v>0</v>
      </c>
      <c r="Z8834">
        <v>2</v>
      </c>
      <c r="AA8834">
        <v>137.16999999999999</v>
      </c>
      <c r="AB8834">
        <v>137.16999999999999</v>
      </c>
      <c r="AC8834">
        <v>126.14</v>
      </c>
      <c r="AD8834">
        <v>0</v>
      </c>
      <c r="AE8834">
        <v>11.03</v>
      </c>
      <c r="AF8834">
        <v>0</v>
      </c>
      <c r="AG8834">
        <v>0</v>
      </c>
      <c r="AH8834">
        <v>0</v>
      </c>
      <c r="AI8834">
        <v>24.69</v>
      </c>
      <c r="AJ8834">
        <v>137.16999999999999</v>
      </c>
      <c r="AK8834">
        <v>0</v>
      </c>
      <c r="AL8834" t="s">
        <v>53</v>
      </c>
      <c r="AM8834" t="s">
        <v>53</v>
      </c>
      <c r="AN8834" t="s">
        <v>53</v>
      </c>
      <c r="AO8834" t="s">
        <v>53</v>
      </c>
      <c r="AP8834" t="s">
        <v>53</v>
      </c>
    </row>
    <row r="8835" spans="2:42" x14ac:dyDescent="0.2">
      <c r="B8835" t="s">
        <v>44</v>
      </c>
      <c r="C8835" t="str">
        <f>HYPERLINK("https://us2.cloudbeds.com/connect/8493803454333002#/reservations/9080486848998178?display=52KYUFKMVQ&amp;reservation_id=9080486848998178", "52KYUFKMVQ")</f>
        <v>52KYUFKMVQ</v>
      </c>
      <c r="D8835" t="s">
        <v>45</v>
      </c>
      <c r="E8835" t="s">
        <v>185</v>
      </c>
      <c r="F8835" t="s">
        <v>47</v>
      </c>
      <c r="G8835" t="s">
        <v>48</v>
      </c>
      <c r="H8835" t="s">
        <v>49</v>
      </c>
      <c r="I8835" t="s">
        <v>50</v>
      </c>
      <c r="J8835" t="s">
        <v>13086</v>
      </c>
      <c r="K8835" t="s">
        <v>14831</v>
      </c>
      <c r="L8835" t="s">
        <v>53</v>
      </c>
      <c r="N8835" t="s">
        <v>16826</v>
      </c>
      <c r="P8835" t="s">
        <v>55</v>
      </c>
      <c r="R8835" t="s">
        <v>53</v>
      </c>
      <c r="T8835" t="s">
        <v>16827</v>
      </c>
      <c r="U8835" t="s">
        <v>55</v>
      </c>
      <c r="V8835">
        <v>1</v>
      </c>
      <c r="W8835">
        <v>1</v>
      </c>
      <c r="X8835">
        <v>2</v>
      </c>
      <c r="Y8835">
        <v>0</v>
      </c>
      <c r="Z8835">
        <v>2</v>
      </c>
      <c r="AA8835">
        <v>82.79</v>
      </c>
      <c r="AB8835">
        <v>82.79</v>
      </c>
      <c r="AC8835">
        <v>76.13</v>
      </c>
      <c r="AD8835">
        <v>0</v>
      </c>
      <c r="AE8835">
        <v>6.66</v>
      </c>
      <c r="AF8835">
        <v>0</v>
      </c>
      <c r="AG8835">
        <v>0</v>
      </c>
      <c r="AH8835">
        <v>0</v>
      </c>
      <c r="AI8835">
        <v>14.9</v>
      </c>
      <c r="AJ8835">
        <v>82.79</v>
      </c>
      <c r="AK8835">
        <v>0</v>
      </c>
      <c r="AL8835" t="s">
        <v>53</v>
      </c>
      <c r="AM8835" t="s">
        <v>53</v>
      </c>
      <c r="AN8835" t="s">
        <v>53</v>
      </c>
      <c r="AO8835" t="s">
        <v>53</v>
      </c>
      <c r="AP8835" t="s">
        <v>53</v>
      </c>
    </row>
    <row r="8836" spans="2:42" x14ac:dyDescent="0.2">
      <c r="B8836" t="s">
        <v>44</v>
      </c>
      <c r="C8836" t="str">
        <f>HYPERLINK("https://us2.cloudbeds.com/connect/8493803454333002#/reservations/9080486849004193?display=52P2TF89JE&amp;reservation_id=9080486849004193", "52P2TF89JE")</f>
        <v>52P2TF89JE</v>
      </c>
      <c r="D8836" t="s">
        <v>45</v>
      </c>
      <c r="E8836" t="s">
        <v>223</v>
      </c>
      <c r="F8836" t="s">
        <v>47</v>
      </c>
      <c r="G8836" t="s">
        <v>48</v>
      </c>
      <c r="H8836" t="s">
        <v>49</v>
      </c>
      <c r="I8836" t="s">
        <v>50</v>
      </c>
      <c r="J8836" t="s">
        <v>14623</v>
      </c>
      <c r="K8836" t="s">
        <v>14349</v>
      </c>
      <c r="L8836" t="s">
        <v>53</v>
      </c>
      <c r="N8836" t="s">
        <v>16828</v>
      </c>
      <c r="P8836" t="s">
        <v>55</v>
      </c>
      <c r="R8836" t="s">
        <v>53</v>
      </c>
      <c r="T8836" t="s">
        <v>16829</v>
      </c>
      <c r="U8836" t="s">
        <v>55</v>
      </c>
      <c r="V8836">
        <v>1</v>
      </c>
      <c r="W8836">
        <v>1</v>
      </c>
      <c r="X8836">
        <v>1</v>
      </c>
      <c r="Y8836">
        <v>0</v>
      </c>
      <c r="Z8836">
        <v>1</v>
      </c>
      <c r="AA8836">
        <v>132.91</v>
      </c>
      <c r="AB8836">
        <v>132.91</v>
      </c>
      <c r="AC8836">
        <v>122.21</v>
      </c>
      <c r="AD8836">
        <v>0</v>
      </c>
      <c r="AE8836">
        <v>10.7</v>
      </c>
      <c r="AF8836">
        <v>0</v>
      </c>
      <c r="AG8836">
        <v>0</v>
      </c>
      <c r="AH8836">
        <v>0</v>
      </c>
      <c r="AI8836">
        <v>23.92</v>
      </c>
      <c r="AJ8836">
        <v>132.91</v>
      </c>
      <c r="AK8836">
        <v>0</v>
      </c>
      <c r="AL8836" t="s">
        <v>53</v>
      </c>
      <c r="AM8836" t="s">
        <v>53</v>
      </c>
      <c r="AN8836" t="s">
        <v>16830</v>
      </c>
      <c r="AO8836" t="s">
        <v>53</v>
      </c>
      <c r="AP8836" t="s">
        <v>53</v>
      </c>
    </row>
    <row r="8837" spans="2:42" x14ac:dyDescent="0.2">
      <c r="B8837" t="s">
        <v>44</v>
      </c>
      <c r="C8837" t="str">
        <f>HYPERLINK("https://us2.cloudbeds.com/connect/8493803454333002#/reservations/9080486849005745?display=52PTXJPP2A&amp;reservation_id=9080486849005745", "52PTXJPP2A")</f>
        <v>52PTXJPP2A</v>
      </c>
      <c r="D8837" t="s">
        <v>45</v>
      </c>
      <c r="E8837" t="s">
        <v>185</v>
      </c>
      <c r="F8837" t="s">
        <v>47</v>
      </c>
      <c r="G8837" t="s">
        <v>48</v>
      </c>
      <c r="H8837" t="s">
        <v>49</v>
      </c>
      <c r="I8837" t="s">
        <v>50</v>
      </c>
      <c r="J8837" t="s">
        <v>15594</v>
      </c>
      <c r="K8837" t="s">
        <v>14655</v>
      </c>
      <c r="L8837" t="s">
        <v>53</v>
      </c>
      <c r="N8837" t="s">
        <v>16831</v>
      </c>
      <c r="P8837" t="s">
        <v>55</v>
      </c>
      <c r="R8837" t="s">
        <v>53</v>
      </c>
      <c r="T8837" t="s">
        <v>16832</v>
      </c>
      <c r="U8837" t="s">
        <v>58</v>
      </c>
      <c r="V8837">
        <v>1</v>
      </c>
      <c r="W8837">
        <v>1</v>
      </c>
      <c r="X8837">
        <v>2</v>
      </c>
      <c r="Y8837">
        <v>0</v>
      </c>
      <c r="Z8837">
        <v>2</v>
      </c>
      <c r="AA8837">
        <v>139.12</v>
      </c>
      <c r="AB8837">
        <v>144.6</v>
      </c>
      <c r="AC8837">
        <v>121.34</v>
      </c>
      <c r="AD8837">
        <v>5</v>
      </c>
      <c r="AE8837">
        <v>18.260000000000002</v>
      </c>
      <c r="AF8837">
        <v>0</v>
      </c>
      <c r="AG8837">
        <v>0</v>
      </c>
      <c r="AH8837">
        <v>0</v>
      </c>
      <c r="AI8837">
        <v>26.03</v>
      </c>
      <c r="AJ8837">
        <v>144.6</v>
      </c>
      <c r="AK8837">
        <v>0</v>
      </c>
      <c r="AL8837" t="s">
        <v>53</v>
      </c>
      <c r="AM8837" t="s">
        <v>53</v>
      </c>
      <c r="AN8837" t="s">
        <v>53</v>
      </c>
      <c r="AO8837" t="s">
        <v>53</v>
      </c>
      <c r="AP8837" t="s">
        <v>53</v>
      </c>
    </row>
    <row r="8838" spans="2:42" x14ac:dyDescent="0.2">
      <c r="B8838" t="s">
        <v>44</v>
      </c>
      <c r="C8838" t="str">
        <f>HYPERLINK("https://us2.cloudbeds.com/connect/8493803454333002#/reservations/9080486849006202?display=52Q4SZDZHH&amp;reservation_id=9080486849006202", "52Q4SZDZHH")</f>
        <v>52Q4SZDZHH</v>
      </c>
      <c r="D8838" t="s">
        <v>45</v>
      </c>
      <c r="E8838" t="s">
        <v>190</v>
      </c>
      <c r="F8838" t="s">
        <v>61</v>
      </c>
      <c r="G8838" t="s">
        <v>48</v>
      </c>
      <c r="H8838" t="s">
        <v>49</v>
      </c>
      <c r="I8838" t="s">
        <v>50</v>
      </c>
      <c r="J8838" t="s">
        <v>14344</v>
      </c>
      <c r="K8838" t="s">
        <v>14154</v>
      </c>
      <c r="L8838" t="s">
        <v>53</v>
      </c>
      <c r="N8838" t="s">
        <v>16833</v>
      </c>
      <c r="P8838" t="s">
        <v>55</v>
      </c>
      <c r="R8838" t="s">
        <v>53</v>
      </c>
      <c r="T8838" t="s">
        <v>16834</v>
      </c>
      <c r="U8838" t="s">
        <v>58</v>
      </c>
      <c r="V8838">
        <v>1</v>
      </c>
      <c r="W8838">
        <v>1</v>
      </c>
      <c r="X8838">
        <v>2</v>
      </c>
      <c r="Y8838">
        <v>0</v>
      </c>
      <c r="Z8838">
        <v>2</v>
      </c>
      <c r="AA8838">
        <v>241.46</v>
      </c>
      <c r="AB8838">
        <v>241.46</v>
      </c>
      <c r="AC8838">
        <v>210.6</v>
      </c>
      <c r="AD8838">
        <v>0</v>
      </c>
      <c r="AE8838">
        <v>30.86</v>
      </c>
      <c r="AF8838">
        <v>0</v>
      </c>
      <c r="AG8838">
        <v>0</v>
      </c>
      <c r="AH8838">
        <v>0</v>
      </c>
      <c r="AI8838">
        <v>43.46</v>
      </c>
      <c r="AJ8838">
        <v>241.46</v>
      </c>
      <c r="AK8838">
        <v>0</v>
      </c>
      <c r="AL8838" t="s">
        <v>53</v>
      </c>
      <c r="AM8838" t="s">
        <v>53</v>
      </c>
      <c r="AN8838" t="s">
        <v>53</v>
      </c>
      <c r="AO8838" t="s">
        <v>53</v>
      </c>
      <c r="AP8838" t="s">
        <v>53</v>
      </c>
    </row>
    <row r="8839" spans="2:42" x14ac:dyDescent="0.2">
      <c r="B8839" t="s">
        <v>44</v>
      </c>
      <c r="C8839" t="str">
        <f>HYPERLINK("https://us2.cloudbeds.com/connect/8493803454333002#/reservations/9080486849007219?display=52QZYXTJG0&amp;reservation_id=9080486849007219", "52QZYXTJG0")</f>
        <v>52QZYXTJG0</v>
      </c>
      <c r="D8839" t="s">
        <v>45</v>
      </c>
      <c r="E8839" t="s">
        <v>223</v>
      </c>
      <c r="F8839" t="s">
        <v>47</v>
      </c>
      <c r="G8839" t="s">
        <v>48</v>
      </c>
      <c r="H8839" t="s">
        <v>49</v>
      </c>
      <c r="I8839" t="s">
        <v>50</v>
      </c>
      <c r="J8839" t="s">
        <v>13086</v>
      </c>
      <c r="K8839" t="s">
        <v>14498</v>
      </c>
      <c r="L8839" t="s">
        <v>53</v>
      </c>
      <c r="N8839" t="s">
        <v>16835</v>
      </c>
      <c r="P8839" t="s">
        <v>55</v>
      </c>
      <c r="R8839" t="s">
        <v>53</v>
      </c>
      <c r="T8839" t="s">
        <v>16836</v>
      </c>
      <c r="U8839" t="s">
        <v>55</v>
      </c>
      <c r="V8839">
        <v>2</v>
      </c>
      <c r="W8839">
        <v>1</v>
      </c>
      <c r="X8839">
        <v>1</v>
      </c>
      <c r="Y8839">
        <v>0</v>
      </c>
      <c r="Z8839">
        <v>1</v>
      </c>
      <c r="AA8839">
        <v>237.99</v>
      </c>
      <c r="AB8839">
        <v>237.99</v>
      </c>
      <c r="AC8839">
        <v>218.84</v>
      </c>
      <c r="AD8839">
        <v>0</v>
      </c>
      <c r="AE8839">
        <v>19.149999999999999</v>
      </c>
      <c r="AF8839">
        <v>0</v>
      </c>
      <c r="AG8839">
        <v>0</v>
      </c>
      <c r="AH8839">
        <v>0</v>
      </c>
      <c r="AI8839">
        <v>42.84</v>
      </c>
      <c r="AJ8839">
        <v>237.99</v>
      </c>
      <c r="AK8839">
        <v>0</v>
      </c>
      <c r="AL8839" t="s">
        <v>53</v>
      </c>
      <c r="AM8839" t="s">
        <v>53</v>
      </c>
      <c r="AN8839" t="s">
        <v>16837</v>
      </c>
      <c r="AO8839" t="s">
        <v>53</v>
      </c>
      <c r="AP8839" t="s">
        <v>53</v>
      </c>
    </row>
    <row r="8840" spans="2:42" x14ac:dyDescent="0.2">
      <c r="B8840" t="s">
        <v>44</v>
      </c>
      <c r="C8840" t="str">
        <f>HYPERLINK("https://us2.cloudbeds.com/connect/8493803454333002#/reservations/9080486849008074?display=52R8R66W78&amp;reservation_id=9080486849008074", "52R8R66W78")</f>
        <v>52R8R66W78</v>
      </c>
      <c r="D8840" t="s">
        <v>45</v>
      </c>
      <c r="E8840" t="s">
        <v>179</v>
      </c>
      <c r="F8840" t="s">
        <v>47</v>
      </c>
      <c r="G8840" t="s">
        <v>48</v>
      </c>
      <c r="H8840" t="s">
        <v>49</v>
      </c>
      <c r="I8840" t="s">
        <v>50</v>
      </c>
      <c r="J8840" t="s">
        <v>13086</v>
      </c>
      <c r="K8840" t="s">
        <v>14831</v>
      </c>
      <c r="L8840" t="s">
        <v>53</v>
      </c>
      <c r="N8840" t="s">
        <v>16838</v>
      </c>
      <c r="P8840" t="s">
        <v>55</v>
      </c>
      <c r="R8840" t="s">
        <v>53</v>
      </c>
      <c r="T8840" t="s">
        <v>16839</v>
      </c>
      <c r="U8840" t="s">
        <v>55</v>
      </c>
      <c r="V8840">
        <v>1</v>
      </c>
      <c r="W8840">
        <v>1</v>
      </c>
      <c r="X8840">
        <v>1</v>
      </c>
      <c r="Y8840">
        <v>0</v>
      </c>
      <c r="Z8840">
        <v>1</v>
      </c>
      <c r="AA8840">
        <v>78.75</v>
      </c>
      <c r="AB8840">
        <v>78.75</v>
      </c>
      <c r="AC8840">
        <v>72.42</v>
      </c>
      <c r="AD8840">
        <v>0</v>
      </c>
      <c r="AE8840">
        <v>6.33</v>
      </c>
      <c r="AF8840">
        <v>0</v>
      </c>
      <c r="AG8840">
        <v>0</v>
      </c>
      <c r="AH8840">
        <v>0</v>
      </c>
      <c r="AI8840">
        <v>14.18</v>
      </c>
      <c r="AJ8840">
        <v>78.75</v>
      </c>
      <c r="AK8840">
        <v>0</v>
      </c>
      <c r="AL8840" t="s">
        <v>53</v>
      </c>
      <c r="AM8840" t="s">
        <v>53</v>
      </c>
      <c r="AN8840" t="s">
        <v>16840</v>
      </c>
      <c r="AO8840" t="s">
        <v>53</v>
      </c>
      <c r="AP8840" t="s">
        <v>53</v>
      </c>
    </row>
    <row r="8841" spans="2:42" x14ac:dyDescent="0.2">
      <c r="B8841" t="s">
        <v>44</v>
      </c>
      <c r="C8841" t="str">
        <f>HYPERLINK("https://us2.cloudbeds.com/connect/8493803454333002#/reservations/9080486849008149?display=52RAY9TAJS&amp;reservation_id=9080486849008149", "52RAY9TAJS")</f>
        <v>52RAY9TAJS</v>
      </c>
      <c r="D8841" t="s">
        <v>45</v>
      </c>
      <c r="E8841" t="s">
        <v>110</v>
      </c>
      <c r="F8841" t="s">
        <v>47</v>
      </c>
      <c r="G8841" t="s">
        <v>48</v>
      </c>
      <c r="H8841" t="s">
        <v>49</v>
      </c>
      <c r="I8841" t="s">
        <v>50</v>
      </c>
      <c r="J8841" t="s">
        <v>15231</v>
      </c>
      <c r="K8841" t="s">
        <v>15075</v>
      </c>
      <c r="L8841" t="s">
        <v>53</v>
      </c>
      <c r="N8841" t="s">
        <v>16841</v>
      </c>
      <c r="P8841" t="s">
        <v>55</v>
      </c>
      <c r="R8841" t="s">
        <v>53</v>
      </c>
      <c r="T8841" t="s">
        <v>16842</v>
      </c>
      <c r="U8841" t="s">
        <v>55</v>
      </c>
      <c r="V8841">
        <v>1</v>
      </c>
      <c r="W8841">
        <v>1</v>
      </c>
      <c r="X8841">
        <v>2</v>
      </c>
      <c r="Y8841">
        <v>0</v>
      </c>
      <c r="Z8841">
        <v>2</v>
      </c>
      <c r="AA8841">
        <v>125.85</v>
      </c>
      <c r="AB8841">
        <v>125.85</v>
      </c>
      <c r="AC8841">
        <v>115.72</v>
      </c>
      <c r="AD8841">
        <v>0</v>
      </c>
      <c r="AE8841">
        <v>10.130000000000001</v>
      </c>
      <c r="AF8841">
        <v>0</v>
      </c>
      <c r="AG8841">
        <v>0</v>
      </c>
      <c r="AH8841">
        <v>0</v>
      </c>
      <c r="AI8841">
        <v>22.65</v>
      </c>
      <c r="AJ8841">
        <v>125.85</v>
      </c>
      <c r="AK8841">
        <v>0</v>
      </c>
      <c r="AL8841" t="s">
        <v>53</v>
      </c>
      <c r="AM8841" t="s">
        <v>53</v>
      </c>
      <c r="AN8841" t="s">
        <v>16843</v>
      </c>
      <c r="AO8841" t="s">
        <v>53</v>
      </c>
      <c r="AP8841" t="s">
        <v>53</v>
      </c>
    </row>
    <row r="8842" spans="2:42" x14ac:dyDescent="0.2">
      <c r="B8842" t="s">
        <v>44</v>
      </c>
      <c r="C8842" t="str">
        <f>HYPERLINK("https://us2.cloudbeds.com/connect/8493803454333002#/reservations/9080486849008575?display=52RKG73P7G&amp;reservation_id=9080486849008575", "52RKG73P7G")</f>
        <v>52RKG73P7G</v>
      </c>
      <c r="D8842" t="s">
        <v>45</v>
      </c>
      <c r="E8842" t="s">
        <v>46</v>
      </c>
      <c r="F8842" t="s">
        <v>47</v>
      </c>
      <c r="G8842" t="s">
        <v>48</v>
      </c>
      <c r="H8842" t="s">
        <v>49</v>
      </c>
      <c r="I8842" t="s">
        <v>50</v>
      </c>
      <c r="J8842" t="s">
        <v>13086</v>
      </c>
      <c r="K8842" t="s">
        <v>14831</v>
      </c>
      <c r="L8842" t="s">
        <v>53</v>
      </c>
      <c r="N8842" t="s">
        <v>16844</v>
      </c>
      <c r="P8842" t="s">
        <v>55</v>
      </c>
      <c r="R8842" t="s">
        <v>53</v>
      </c>
      <c r="T8842" t="s">
        <v>16845</v>
      </c>
      <c r="U8842" t="s">
        <v>55</v>
      </c>
      <c r="V8842">
        <v>1</v>
      </c>
      <c r="W8842">
        <v>1</v>
      </c>
      <c r="X8842">
        <v>1</v>
      </c>
      <c r="Y8842">
        <v>0</v>
      </c>
      <c r="Z8842">
        <v>1</v>
      </c>
      <c r="AA8842">
        <v>110.75</v>
      </c>
      <c r="AB8842">
        <v>110.75</v>
      </c>
      <c r="AC8842">
        <v>101.84</v>
      </c>
      <c r="AD8842">
        <v>0</v>
      </c>
      <c r="AE8842">
        <v>8.91</v>
      </c>
      <c r="AF8842">
        <v>0</v>
      </c>
      <c r="AG8842">
        <v>0</v>
      </c>
      <c r="AH8842">
        <v>0</v>
      </c>
      <c r="AI8842">
        <v>19.940000000000001</v>
      </c>
      <c r="AJ8842">
        <v>110.75</v>
      </c>
      <c r="AK8842">
        <v>0</v>
      </c>
      <c r="AL8842" t="s">
        <v>53</v>
      </c>
      <c r="AM8842" t="s">
        <v>53</v>
      </c>
      <c r="AN8842" t="s">
        <v>53</v>
      </c>
      <c r="AO8842" t="s">
        <v>53</v>
      </c>
      <c r="AP8842" t="s">
        <v>53</v>
      </c>
    </row>
    <row r="8843" spans="2:42" x14ac:dyDescent="0.2">
      <c r="B8843" t="s">
        <v>44</v>
      </c>
      <c r="C8843" t="str">
        <f>HYPERLINK("https://us2.cloudbeds.com/connect/8493803454333002#/reservations/236075190272129?display=52S909XQT2&amp;reservation_id=236075190272129", "52S909XQT2")</f>
        <v>52S909XQT2</v>
      </c>
      <c r="D8843" t="s">
        <v>45</v>
      </c>
      <c r="E8843" t="s">
        <v>105</v>
      </c>
      <c r="F8843" t="s">
        <v>47</v>
      </c>
      <c r="G8843" t="s">
        <v>48</v>
      </c>
      <c r="H8843" t="s">
        <v>3957</v>
      </c>
      <c r="I8843" t="s">
        <v>3975</v>
      </c>
      <c r="J8843" t="s">
        <v>15735</v>
      </c>
      <c r="K8843" t="s">
        <v>14669</v>
      </c>
      <c r="L8843" t="s">
        <v>53</v>
      </c>
      <c r="P8843" t="s">
        <v>55</v>
      </c>
      <c r="R8843" t="s">
        <v>56</v>
      </c>
      <c r="T8843" t="s">
        <v>16846</v>
      </c>
      <c r="U8843" t="s">
        <v>58</v>
      </c>
      <c r="V8843">
        <v>3</v>
      </c>
      <c r="W8843">
        <v>1</v>
      </c>
      <c r="X8843">
        <v>2</v>
      </c>
      <c r="Y8843">
        <v>0</v>
      </c>
      <c r="Z8843">
        <v>2</v>
      </c>
      <c r="AA8843">
        <v>0</v>
      </c>
      <c r="AB8843">
        <v>630.59</v>
      </c>
      <c r="AC8843">
        <v>550</v>
      </c>
      <c r="AD8843">
        <v>0</v>
      </c>
      <c r="AE8843">
        <v>80.59</v>
      </c>
      <c r="AF8843">
        <v>0</v>
      </c>
      <c r="AG8843">
        <v>0</v>
      </c>
      <c r="AH8843">
        <v>0</v>
      </c>
      <c r="AI8843">
        <v>0</v>
      </c>
      <c r="AJ8843">
        <v>630.59</v>
      </c>
      <c r="AK8843">
        <v>0</v>
      </c>
      <c r="AL8843" t="s">
        <v>53</v>
      </c>
      <c r="AM8843" t="s">
        <v>53</v>
      </c>
      <c r="AN8843" t="s">
        <v>16847</v>
      </c>
      <c r="AO8843" t="s">
        <v>53</v>
      </c>
      <c r="AP8843" t="s">
        <v>53</v>
      </c>
    </row>
    <row r="8844" spans="2:42" x14ac:dyDescent="0.2">
      <c r="B8844" t="s">
        <v>44</v>
      </c>
      <c r="C8844" t="str">
        <f>HYPERLINK("https://us2.cloudbeds.com/connect/8493803454333002#/reservations/236084327784576?display=52SG2PJ0Q5&amp;reservation_id=236084327784576", "52SG2PJ0Q5")</f>
        <v>52SG2PJ0Q5</v>
      </c>
      <c r="D8844" t="s">
        <v>45</v>
      </c>
      <c r="E8844" t="s">
        <v>7642</v>
      </c>
      <c r="F8844" t="s">
        <v>61</v>
      </c>
      <c r="G8844" t="s">
        <v>4520</v>
      </c>
      <c r="H8844" t="s">
        <v>3957</v>
      </c>
      <c r="I8844" t="s">
        <v>3958</v>
      </c>
      <c r="J8844" t="s">
        <v>13086</v>
      </c>
      <c r="K8844" t="s">
        <v>14831</v>
      </c>
      <c r="L8844" t="s">
        <v>53</v>
      </c>
      <c r="P8844" t="s">
        <v>55</v>
      </c>
      <c r="R8844" t="s">
        <v>56</v>
      </c>
      <c r="T8844" t="s">
        <v>16848</v>
      </c>
      <c r="U8844" t="s">
        <v>58</v>
      </c>
      <c r="V8844">
        <v>2</v>
      </c>
      <c r="W8844">
        <v>2</v>
      </c>
      <c r="X8844">
        <v>2</v>
      </c>
      <c r="Y8844">
        <v>0</v>
      </c>
      <c r="Z8844">
        <v>2</v>
      </c>
      <c r="AA8844">
        <v>264.16000000000003</v>
      </c>
      <c r="AB8844">
        <v>264.16000000000003</v>
      </c>
      <c r="AC8844">
        <v>230.4</v>
      </c>
      <c r="AD8844">
        <v>0</v>
      </c>
      <c r="AE8844">
        <v>33.76</v>
      </c>
      <c r="AF8844">
        <v>0</v>
      </c>
      <c r="AG8844">
        <v>0</v>
      </c>
      <c r="AH8844">
        <v>0</v>
      </c>
      <c r="AI8844">
        <v>0</v>
      </c>
      <c r="AJ8844">
        <v>264.16000000000003</v>
      </c>
      <c r="AK8844">
        <v>0</v>
      </c>
      <c r="AL8844" t="s">
        <v>53</v>
      </c>
      <c r="AM8844" t="s">
        <v>53</v>
      </c>
      <c r="AN8844" t="s">
        <v>53</v>
      </c>
      <c r="AO8844" t="s">
        <v>53</v>
      </c>
      <c r="AP8844" t="s">
        <v>53</v>
      </c>
    </row>
    <row r="8845" spans="2:42" x14ac:dyDescent="0.2">
      <c r="B8845" t="s">
        <v>44</v>
      </c>
      <c r="C8845" t="str">
        <f>HYPERLINK("https://us2.cloudbeds.com/connect/8493803454333002#/reservations/9080486849009757?display=52SGGG47YD&amp;reservation_id=9080486849009757", "52SGGG47YD")</f>
        <v>52SGGG47YD</v>
      </c>
      <c r="D8845" t="s">
        <v>45</v>
      </c>
      <c r="E8845" t="s">
        <v>85</v>
      </c>
      <c r="F8845" t="s">
        <v>86</v>
      </c>
      <c r="G8845" t="s">
        <v>48</v>
      </c>
      <c r="H8845" t="s">
        <v>49</v>
      </c>
      <c r="I8845" t="s">
        <v>62</v>
      </c>
      <c r="J8845" t="s">
        <v>13086</v>
      </c>
      <c r="K8845" t="s">
        <v>14831</v>
      </c>
      <c r="L8845" t="s">
        <v>53</v>
      </c>
      <c r="N8845" t="s">
        <v>16849</v>
      </c>
      <c r="P8845" t="s">
        <v>55</v>
      </c>
      <c r="R8845" t="s">
        <v>56</v>
      </c>
      <c r="T8845" t="s">
        <v>16850</v>
      </c>
      <c r="U8845" t="s">
        <v>55</v>
      </c>
      <c r="V8845">
        <v>1</v>
      </c>
      <c r="W8845">
        <v>1</v>
      </c>
      <c r="X8845">
        <v>2</v>
      </c>
      <c r="Y8845">
        <v>0</v>
      </c>
      <c r="Z8845">
        <v>2</v>
      </c>
      <c r="AA8845">
        <v>167.9</v>
      </c>
      <c r="AB8845">
        <v>167.9</v>
      </c>
      <c r="AC8845">
        <v>167.9</v>
      </c>
      <c r="AD8845">
        <v>0</v>
      </c>
      <c r="AE8845">
        <v>0</v>
      </c>
      <c r="AF8845">
        <v>0</v>
      </c>
      <c r="AG8845">
        <v>0</v>
      </c>
      <c r="AH8845">
        <v>0</v>
      </c>
      <c r="AI8845">
        <v>30.22</v>
      </c>
      <c r="AJ8845">
        <v>167.9</v>
      </c>
      <c r="AK8845">
        <v>0</v>
      </c>
      <c r="AL8845" t="s">
        <v>53</v>
      </c>
      <c r="AM8845" t="s">
        <v>53</v>
      </c>
      <c r="AN8845" t="s">
        <v>53</v>
      </c>
      <c r="AO8845" t="s">
        <v>53</v>
      </c>
      <c r="AP8845" t="s">
        <v>53</v>
      </c>
    </row>
    <row r="8846" spans="2:42" x14ac:dyDescent="0.2">
      <c r="B8846" t="s">
        <v>44</v>
      </c>
      <c r="C8846" t="str">
        <f>HYPERLINK("https://us2.cloudbeds.com/connect/8493803454333002#/reservations/9080486849014203?display=52W7G24CVH&amp;reservation_id=9080486849014203", "52W7G24CVH")</f>
        <v>52W7G24CVH</v>
      </c>
      <c r="D8846" t="s">
        <v>45</v>
      </c>
      <c r="E8846" t="s">
        <v>92</v>
      </c>
      <c r="F8846" t="s">
        <v>86</v>
      </c>
      <c r="G8846" t="s">
        <v>48</v>
      </c>
      <c r="H8846" t="s">
        <v>49</v>
      </c>
      <c r="I8846" t="s">
        <v>50</v>
      </c>
      <c r="J8846" t="s">
        <v>16197</v>
      </c>
      <c r="K8846" t="s">
        <v>14637</v>
      </c>
      <c r="L8846" t="s">
        <v>53</v>
      </c>
      <c r="N8846" t="s">
        <v>16851</v>
      </c>
      <c r="P8846" t="s">
        <v>55</v>
      </c>
      <c r="R8846" t="s">
        <v>53</v>
      </c>
      <c r="T8846" t="s">
        <v>16852</v>
      </c>
      <c r="U8846" t="s">
        <v>58</v>
      </c>
      <c r="V8846">
        <v>1</v>
      </c>
      <c r="W8846">
        <v>1</v>
      </c>
      <c r="X8846">
        <v>1</v>
      </c>
      <c r="Y8846">
        <v>0</v>
      </c>
      <c r="Z8846">
        <v>1</v>
      </c>
      <c r="AA8846">
        <v>116.23</v>
      </c>
      <c r="AB8846">
        <v>116.23</v>
      </c>
      <c r="AC8846">
        <v>101.38</v>
      </c>
      <c r="AD8846">
        <v>0</v>
      </c>
      <c r="AE8846">
        <v>14.85</v>
      </c>
      <c r="AF8846">
        <v>0</v>
      </c>
      <c r="AG8846">
        <v>0</v>
      </c>
      <c r="AH8846">
        <v>0</v>
      </c>
      <c r="AI8846">
        <v>20.92</v>
      </c>
      <c r="AJ8846">
        <v>116.23</v>
      </c>
      <c r="AK8846">
        <v>0</v>
      </c>
      <c r="AL8846" t="s">
        <v>53</v>
      </c>
      <c r="AM8846" t="s">
        <v>53</v>
      </c>
      <c r="AN8846" t="s">
        <v>53</v>
      </c>
      <c r="AO8846" t="s">
        <v>53</v>
      </c>
      <c r="AP8846" t="s">
        <v>53</v>
      </c>
    </row>
    <row r="8847" spans="2:42" x14ac:dyDescent="0.2">
      <c r="B8847" t="s">
        <v>44</v>
      </c>
      <c r="C8847" t="str">
        <f>HYPERLINK("https://us2.cloudbeds.com/connect/8493803454333002#/reservations/9080486849015074?display=52WP02KRXT&amp;reservation_id=9080486849015074", "52WP02KRXT")</f>
        <v>52WP02KRXT</v>
      </c>
      <c r="D8847" t="s">
        <v>45</v>
      </c>
      <c r="E8847" t="s">
        <v>46</v>
      </c>
      <c r="F8847" t="s">
        <v>47</v>
      </c>
      <c r="G8847" t="s">
        <v>48</v>
      </c>
      <c r="H8847" t="s">
        <v>49</v>
      </c>
      <c r="I8847" t="s">
        <v>50</v>
      </c>
      <c r="J8847" t="s">
        <v>14623</v>
      </c>
      <c r="K8847" t="s">
        <v>14349</v>
      </c>
      <c r="L8847" t="s">
        <v>53</v>
      </c>
      <c r="N8847" t="s">
        <v>16853</v>
      </c>
      <c r="P8847" t="s">
        <v>55</v>
      </c>
      <c r="R8847" t="s">
        <v>53</v>
      </c>
      <c r="T8847" t="s">
        <v>16854</v>
      </c>
      <c r="U8847" t="s">
        <v>55</v>
      </c>
      <c r="V8847">
        <v>1</v>
      </c>
      <c r="W8847">
        <v>1</v>
      </c>
      <c r="X8847">
        <v>2</v>
      </c>
      <c r="Y8847">
        <v>0</v>
      </c>
      <c r="Z8847">
        <v>2</v>
      </c>
      <c r="AA8847">
        <v>123.28</v>
      </c>
      <c r="AB8847">
        <v>123.28</v>
      </c>
      <c r="AC8847">
        <v>113.36</v>
      </c>
      <c r="AD8847">
        <v>0</v>
      </c>
      <c r="AE8847">
        <v>9.92</v>
      </c>
      <c r="AF8847">
        <v>0</v>
      </c>
      <c r="AG8847">
        <v>0</v>
      </c>
      <c r="AH8847">
        <v>0</v>
      </c>
      <c r="AI8847">
        <v>22.19</v>
      </c>
      <c r="AJ8847">
        <v>123.28</v>
      </c>
      <c r="AK8847">
        <v>0</v>
      </c>
      <c r="AL8847" t="s">
        <v>53</v>
      </c>
      <c r="AM8847" t="s">
        <v>53</v>
      </c>
      <c r="AN8847" t="s">
        <v>53</v>
      </c>
      <c r="AO8847" t="s">
        <v>53</v>
      </c>
      <c r="AP8847" t="s">
        <v>53</v>
      </c>
    </row>
    <row r="8848" spans="2:42" x14ac:dyDescent="0.2">
      <c r="B8848" t="s">
        <v>44</v>
      </c>
      <c r="C8848" t="str">
        <f>HYPERLINK("https://us2.cloudbeds.com/connect/8493803454333002#/reservations/9080486849016625?display=530EDHTTH1&amp;reservation_id=9080486849016625", "530EDHTTH1")</f>
        <v>530EDHTTH1</v>
      </c>
      <c r="D8848" t="s">
        <v>45</v>
      </c>
      <c r="E8848" t="s">
        <v>105</v>
      </c>
      <c r="F8848" t="s">
        <v>47</v>
      </c>
      <c r="G8848" t="s">
        <v>48</v>
      </c>
      <c r="H8848" t="s">
        <v>49</v>
      </c>
      <c r="I8848" t="s">
        <v>50</v>
      </c>
      <c r="J8848" t="s">
        <v>14498</v>
      </c>
      <c r="K8848" t="s">
        <v>14348</v>
      </c>
      <c r="L8848" t="s">
        <v>53</v>
      </c>
      <c r="N8848" t="s">
        <v>16855</v>
      </c>
      <c r="P8848" t="s">
        <v>55</v>
      </c>
      <c r="R8848" t="s">
        <v>53</v>
      </c>
      <c r="T8848" t="s">
        <v>16856</v>
      </c>
      <c r="U8848" t="s">
        <v>55</v>
      </c>
      <c r="V8848">
        <v>1</v>
      </c>
      <c r="W8848">
        <v>1</v>
      </c>
      <c r="X8848">
        <v>2</v>
      </c>
      <c r="Y8848">
        <v>0</v>
      </c>
      <c r="Z8848">
        <v>2</v>
      </c>
      <c r="AA8848">
        <v>130.02000000000001</v>
      </c>
      <c r="AB8848">
        <v>130.02000000000001</v>
      </c>
      <c r="AC8848">
        <v>119.56</v>
      </c>
      <c r="AD8848">
        <v>0</v>
      </c>
      <c r="AE8848">
        <v>10.46</v>
      </c>
      <c r="AF8848">
        <v>0</v>
      </c>
      <c r="AG8848">
        <v>0</v>
      </c>
      <c r="AH8848">
        <v>0</v>
      </c>
      <c r="AI8848">
        <v>23.4</v>
      </c>
      <c r="AJ8848">
        <v>130.02000000000001</v>
      </c>
      <c r="AK8848">
        <v>0</v>
      </c>
      <c r="AL8848" t="s">
        <v>53</v>
      </c>
      <c r="AM8848" t="s">
        <v>53</v>
      </c>
      <c r="AN8848" t="s">
        <v>53</v>
      </c>
      <c r="AO8848" t="s">
        <v>53</v>
      </c>
      <c r="AP8848" t="s">
        <v>53</v>
      </c>
    </row>
    <row r="8849" spans="2:42" x14ac:dyDescent="0.2">
      <c r="B8849" t="s">
        <v>44</v>
      </c>
      <c r="C8849" t="str">
        <f>HYPERLINK("https://us2.cloudbeds.com/connect/8493803454333002#/reservations/236300176269440?display=530X76MUZD&amp;reservation_id=236300176269440", "530X76MUZD")</f>
        <v>530X76MUZD</v>
      </c>
      <c r="D8849" t="s">
        <v>45</v>
      </c>
      <c r="E8849" t="s">
        <v>487</v>
      </c>
      <c r="F8849" t="s">
        <v>61</v>
      </c>
      <c r="G8849" t="s">
        <v>48</v>
      </c>
      <c r="H8849" t="s">
        <v>3957</v>
      </c>
      <c r="I8849" t="s">
        <v>3975</v>
      </c>
      <c r="J8849" t="s">
        <v>14623</v>
      </c>
      <c r="K8849" t="s">
        <v>14349</v>
      </c>
      <c r="L8849" t="s">
        <v>53</v>
      </c>
      <c r="P8849" t="s">
        <v>55</v>
      </c>
      <c r="R8849" t="s">
        <v>56</v>
      </c>
      <c r="T8849" t="s">
        <v>16857</v>
      </c>
      <c r="U8849" t="s">
        <v>58</v>
      </c>
      <c r="V8849">
        <v>1</v>
      </c>
      <c r="W8849">
        <v>1</v>
      </c>
      <c r="X8849">
        <v>2</v>
      </c>
      <c r="Y8849">
        <v>0</v>
      </c>
      <c r="Z8849">
        <v>2</v>
      </c>
      <c r="AA8849">
        <v>0</v>
      </c>
      <c r="AB8849">
        <v>184.59</v>
      </c>
      <c r="AC8849">
        <v>161</v>
      </c>
      <c r="AD8849">
        <v>0</v>
      </c>
      <c r="AE8849">
        <v>23.59</v>
      </c>
      <c r="AF8849">
        <v>0</v>
      </c>
      <c r="AG8849">
        <v>0</v>
      </c>
      <c r="AH8849">
        <v>0</v>
      </c>
      <c r="AI8849">
        <v>0</v>
      </c>
      <c r="AJ8849">
        <v>184.59</v>
      </c>
      <c r="AK8849">
        <v>0</v>
      </c>
      <c r="AL8849" t="s">
        <v>53</v>
      </c>
      <c r="AM8849" t="s">
        <v>53</v>
      </c>
      <c r="AN8849" t="s">
        <v>16858</v>
      </c>
      <c r="AO8849" t="s">
        <v>53</v>
      </c>
      <c r="AP8849" t="s">
        <v>53</v>
      </c>
    </row>
    <row r="8850" spans="2:42" x14ac:dyDescent="0.2">
      <c r="B8850" t="s">
        <v>44</v>
      </c>
      <c r="C8850" t="str">
        <f>HYPERLINK("https://us2.cloudbeds.com/connect/8493803454333002#/reservations/9080486849017957?display=5312UE79M3&amp;reservation_id=9080486849017957", "5312UE79M3")</f>
        <v>5312UE79M3</v>
      </c>
      <c r="D8850" t="s">
        <v>45</v>
      </c>
      <c r="E8850" t="s">
        <v>155</v>
      </c>
      <c r="F8850" t="s">
        <v>86</v>
      </c>
      <c r="G8850" t="s">
        <v>48</v>
      </c>
      <c r="H8850" t="s">
        <v>49</v>
      </c>
      <c r="I8850" t="s">
        <v>50</v>
      </c>
      <c r="J8850" t="s">
        <v>14623</v>
      </c>
      <c r="K8850" t="s">
        <v>14349</v>
      </c>
      <c r="L8850" t="s">
        <v>53</v>
      </c>
      <c r="N8850" t="s">
        <v>16859</v>
      </c>
      <c r="P8850" t="s">
        <v>55</v>
      </c>
      <c r="R8850" t="s">
        <v>53</v>
      </c>
      <c r="T8850" t="s">
        <v>16860</v>
      </c>
      <c r="U8850" t="s">
        <v>55</v>
      </c>
      <c r="V8850">
        <v>1</v>
      </c>
      <c r="W8850">
        <v>1</v>
      </c>
      <c r="X8850">
        <v>3</v>
      </c>
      <c r="Y8850">
        <v>0</v>
      </c>
      <c r="Z8850">
        <v>3</v>
      </c>
      <c r="AA8850">
        <v>126.02</v>
      </c>
      <c r="AB8850">
        <v>126.02</v>
      </c>
      <c r="AC8850">
        <v>115.88</v>
      </c>
      <c r="AD8850">
        <v>0</v>
      </c>
      <c r="AE8850">
        <v>10.14</v>
      </c>
      <c r="AF8850">
        <v>0</v>
      </c>
      <c r="AG8850">
        <v>0</v>
      </c>
      <c r="AH8850">
        <v>0</v>
      </c>
      <c r="AI8850">
        <v>22.68</v>
      </c>
      <c r="AJ8850">
        <v>126.02</v>
      </c>
      <c r="AK8850">
        <v>0</v>
      </c>
      <c r="AL8850" t="s">
        <v>53</v>
      </c>
      <c r="AM8850" t="s">
        <v>53</v>
      </c>
      <c r="AN8850" t="s">
        <v>53</v>
      </c>
      <c r="AO8850" t="s">
        <v>53</v>
      </c>
      <c r="AP8850" t="s">
        <v>53</v>
      </c>
    </row>
    <row r="8851" spans="2:42" x14ac:dyDescent="0.2">
      <c r="B8851" t="s">
        <v>44</v>
      </c>
      <c r="C8851" t="str">
        <f>HYPERLINK("https://us2.cloudbeds.com/connect/8493803454333002#/reservations/9080486849019810?display=5326Z0D0BW&amp;reservation_id=9080486849019810", "5326Z0D0BW")</f>
        <v>5326Z0D0BW</v>
      </c>
      <c r="D8851" t="s">
        <v>45</v>
      </c>
      <c r="E8851" t="s">
        <v>110</v>
      </c>
      <c r="F8851" t="s">
        <v>47</v>
      </c>
      <c r="G8851" t="s">
        <v>48</v>
      </c>
      <c r="H8851" t="s">
        <v>49</v>
      </c>
      <c r="I8851" t="s">
        <v>50</v>
      </c>
      <c r="J8851" t="s">
        <v>14831</v>
      </c>
      <c r="K8851" t="s">
        <v>14498</v>
      </c>
      <c r="L8851" t="s">
        <v>53</v>
      </c>
      <c r="N8851" t="s">
        <v>16861</v>
      </c>
      <c r="P8851" t="s">
        <v>55</v>
      </c>
      <c r="R8851" t="s">
        <v>53</v>
      </c>
      <c r="T8851" t="s">
        <v>16862</v>
      </c>
      <c r="U8851" t="s">
        <v>55</v>
      </c>
      <c r="V8851">
        <v>1</v>
      </c>
      <c r="W8851">
        <v>1</v>
      </c>
      <c r="X8851">
        <v>1</v>
      </c>
      <c r="Y8851">
        <v>0</v>
      </c>
      <c r="Z8851">
        <v>1</v>
      </c>
      <c r="AA8851">
        <v>139.55000000000001</v>
      </c>
      <c r="AB8851">
        <v>139.55000000000001</v>
      </c>
      <c r="AC8851">
        <v>128.32</v>
      </c>
      <c r="AD8851">
        <v>0</v>
      </c>
      <c r="AE8851">
        <v>11.23</v>
      </c>
      <c r="AF8851">
        <v>0</v>
      </c>
      <c r="AG8851">
        <v>0</v>
      </c>
      <c r="AH8851">
        <v>0</v>
      </c>
      <c r="AI8851">
        <v>25.12</v>
      </c>
      <c r="AJ8851">
        <v>139.55000000000001</v>
      </c>
      <c r="AK8851">
        <v>0</v>
      </c>
      <c r="AL8851" t="s">
        <v>53</v>
      </c>
      <c r="AM8851" t="s">
        <v>53</v>
      </c>
      <c r="AN8851" t="s">
        <v>53</v>
      </c>
      <c r="AO8851" t="s">
        <v>53</v>
      </c>
      <c r="AP8851" t="s">
        <v>53</v>
      </c>
    </row>
    <row r="8852" spans="2:42" x14ac:dyDescent="0.2">
      <c r="B8852" t="s">
        <v>44</v>
      </c>
      <c r="C8852" t="str">
        <f>HYPERLINK("https://us2.cloudbeds.com/connect/8493803454333002#/reservations/9080486849021296?display=53380EBNGD&amp;reservation_id=9080486849021296", "53380EBNGD")</f>
        <v>53380EBNGD</v>
      </c>
      <c r="D8852" t="s">
        <v>45</v>
      </c>
      <c r="E8852" t="s">
        <v>179</v>
      </c>
      <c r="F8852" t="s">
        <v>47</v>
      </c>
      <c r="G8852" t="s">
        <v>48</v>
      </c>
      <c r="H8852" t="s">
        <v>49</v>
      </c>
      <c r="I8852" t="s">
        <v>50</v>
      </c>
      <c r="J8852" t="s">
        <v>14831</v>
      </c>
      <c r="K8852" t="s">
        <v>14623</v>
      </c>
      <c r="L8852" t="s">
        <v>53</v>
      </c>
      <c r="N8852" t="s">
        <v>16863</v>
      </c>
      <c r="P8852" t="s">
        <v>55</v>
      </c>
      <c r="R8852" t="s">
        <v>53</v>
      </c>
      <c r="T8852" t="s">
        <v>16864</v>
      </c>
      <c r="U8852" t="s">
        <v>55</v>
      </c>
      <c r="V8852">
        <v>3</v>
      </c>
      <c r="W8852">
        <v>1</v>
      </c>
      <c r="X8852">
        <v>1</v>
      </c>
      <c r="Y8852">
        <v>0</v>
      </c>
      <c r="Z8852">
        <v>1</v>
      </c>
      <c r="AA8852">
        <v>406.52</v>
      </c>
      <c r="AB8852">
        <v>406.52</v>
      </c>
      <c r="AC8852">
        <v>373.81</v>
      </c>
      <c r="AD8852">
        <v>0</v>
      </c>
      <c r="AE8852">
        <v>32.71</v>
      </c>
      <c r="AF8852">
        <v>0</v>
      </c>
      <c r="AG8852">
        <v>0</v>
      </c>
      <c r="AH8852">
        <v>0</v>
      </c>
      <c r="AI8852">
        <v>73.17</v>
      </c>
      <c r="AJ8852">
        <v>406.52</v>
      </c>
      <c r="AK8852">
        <v>0</v>
      </c>
      <c r="AL8852" t="s">
        <v>53</v>
      </c>
      <c r="AM8852" t="s">
        <v>53</v>
      </c>
      <c r="AN8852" t="s">
        <v>53</v>
      </c>
      <c r="AO8852" t="s">
        <v>53</v>
      </c>
      <c r="AP8852" t="s">
        <v>53</v>
      </c>
    </row>
    <row r="8853" spans="2:42" x14ac:dyDescent="0.2">
      <c r="B8853" t="s">
        <v>44</v>
      </c>
      <c r="C8853" t="str">
        <f>HYPERLINK("https://us2.cloudbeds.com/connect/8493803454333002#/reservations/236435941703808?display=533ZBAZ9V9&amp;reservation_id=236435941703808", "533ZBAZ9V9")</f>
        <v>533ZBAZ9V9</v>
      </c>
      <c r="D8853" t="s">
        <v>45</v>
      </c>
      <c r="E8853" t="s">
        <v>305</v>
      </c>
      <c r="F8853" t="s">
        <v>61</v>
      </c>
      <c r="G8853" t="s">
        <v>48</v>
      </c>
      <c r="H8853" t="s">
        <v>3957</v>
      </c>
      <c r="I8853" t="s">
        <v>3958</v>
      </c>
      <c r="J8853" t="s">
        <v>14831</v>
      </c>
      <c r="K8853" t="s">
        <v>14498</v>
      </c>
      <c r="L8853" t="s">
        <v>53</v>
      </c>
      <c r="P8853" t="s">
        <v>55</v>
      </c>
      <c r="R8853" t="s">
        <v>56</v>
      </c>
      <c r="T8853" t="s">
        <v>16865</v>
      </c>
      <c r="U8853" t="s">
        <v>58</v>
      </c>
      <c r="V8853">
        <v>1</v>
      </c>
      <c r="W8853">
        <v>1</v>
      </c>
      <c r="X8853">
        <v>1</v>
      </c>
      <c r="Y8853">
        <v>0</v>
      </c>
      <c r="Z8853">
        <v>1</v>
      </c>
      <c r="AA8853">
        <v>201.78</v>
      </c>
      <c r="AB8853">
        <v>201.78</v>
      </c>
      <c r="AC8853">
        <v>176</v>
      </c>
      <c r="AD8853">
        <v>0</v>
      </c>
      <c r="AE8853">
        <v>25.78</v>
      </c>
      <c r="AF8853">
        <v>0</v>
      </c>
      <c r="AG8853">
        <v>0</v>
      </c>
      <c r="AH8853">
        <v>0</v>
      </c>
      <c r="AI8853">
        <v>0</v>
      </c>
      <c r="AJ8853">
        <v>201.78</v>
      </c>
      <c r="AK8853">
        <v>0</v>
      </c>
      <c r="AL8853" t="s">
        <v>53</v>
      </c>
      <c r="AM8853" t="s">
        <v>53</v>
      </c>
      <c r="AN8853" t="s">
        <v>53</v>
      </c>
      <c r="AO8853" t="s">
        <v>53</v>
      </c>
      <c r="AP8853" t="s">
        <v>53</v>
      </c>
    </row>
    <row r="8854" spans="2:42" x14ac:dyDescent="0.2">
      <c r="B8854" t="s">
        <v>44</v>
      </c>
      <c r="C8854" t="str">
        <f>HYPERLINK("https://us2.cloudbeds.com/connect/8493803454333002#/reservations/9080486849024325?display=535U36C7EB&amp;reservation_id=9080486849024325", "535U36C7EB")</f>
        <v>535U36C7EB</v>
      </c>
      <c r="D8854" t="s">
        <v>45</v>
      </c>
      <c r="E8854" t="s">
        <v>223</v>
      </c>
      <c r="F8854" t="s">
        <v>47</v>
      </c>
      <c r="G8854" t="s">
        <v>48</v>
      </c>
      <c r="H8854" t="s">
        <v>49</v>
      </c>
      <c r="I8854" t="s">
        <v>50</v>
      </c>
      <c r="J8854" t="s">
        <v>14498</v>
      </c>
      <c r="K8854" t="s">
        <v>14348</v>
      </c>
      <c r="L8854" t="s">
        <v>53</v>
      </c>
      <c r="N8854" t="s">
        <v>16866</v>
      </c>
      <c r="P8854" t="s">
        <v>55</v>
      </c>
      <c r="R8854" t="s">
        <v>53</v>
      </c>
      <c r="T8854" t="s">
        <v>16867</v>
      </c>
      <c r="U8854" t="s">
        <v>55</v>
      </c>
      <c r="V8854">
        <v>1</v>
      </c>
      <c r="W8854">
        <v>1</v>
      </c>
      <c r="X8854">
        <v>2</v>
      </c>
      <c r="Y8854">
        <v>0</v>
      </c>
      <c r="Z8854">
        <v>2</v>
      </c>
      <c r="AA8854">
        <v>105.29</v>
      </c>
      <c r="AB8854">
        <v>105.29</v>
      </c>
      <c r="AC8854">
        <v>96.82</v>
      </c>
      <c r="AD8854">
        <v>0</v>
      </c>
      <c r="AE8854">
        <v>8.4700000000000006</v>
      </c>
      <c r="AF8854">
        <v>0</v>
      </c>
      <c r="AG8854">
        <v>0</v>
      </c>
      <c r="AH8854">
        <v>0</v>
      </c>
      <c r="AI8854">
        <v>18.95</v>
      </c>
      <c r="AJ8854">
        <v>105.29</v>
      </c>
      <c r="AK8854">
        <v>0</v>
      </c>
      <c r="AL8854" t="s">
        <v>53</v>
      </c>
      <c r="AM8854" t="s">
        <v>53</v>
      </c>
      <c r="AN8854" t="s">
        <v>53</v>
      </c>
      <c r="AO8854" t="s">
        <v>53</v>
      </c>
      <c r="AP8854" t="s">
        <v>53</v>
      </c>
    </row>
    <row r="8855" spans="2:42" x14ac:dyDescent="0.2">
      <c r="B8855" t="s">
        <v>44</v>
      </c>
      <c r="C8855" t="str">
        <f>HYPERLINK("https://us2.cloudbeds.com/connect/8493803454333002#/reservations/236619731214528?display=5381YXTTQK&amp;reservation_id=236619731214528", "5381YXTTQK")</f>
        <v>5381YXTTQK</v>
      </c>
      <c r="D8855" t="s">
        <v>45</v>
      </c>
      <c r="E8855" t="s">
        <v>155</v>
      </c>
      <c r="F8855" t="s">
        <v>86</v>
      </c>
      <c r="G8855" t="s">
        <v>48</v>
      </c>
      <c r="H8855" t="s">
        <v>3957</v>
      </c>
      <c r="I8855" t="s">
        <v>3975</v>
      </c>
      <c r="J8855" t="s">
        <v>14979</v>
      </c>
      <c r="K8855" t="s">
        <v>14868</v>
      </c>
      <c r="L8855" t="s">
        <v>53</v>
      </c>
      <c r="P8855" t="s">
        <v>55</v>
      </c>
      <c r="R8855" t="s">
        <v>56</v>
      </c>
      <c r="T8855" t="s">
        <v>16868</v>
      </c>
      <c r="U8855" t="s">
        <v>58</v>
      </c>
      <c r="V8855">
        <v>3</v>
      </c>
      <c r="W8855">
        <v>1</v>
      </c>
      <c r="X8855">
        <v>2</v>
      </c>
      <c r="Y8855">
        <v>0</v>
      </c>
      <c r="Z8855">
        <v>2</v>
      </c>
      <c r="AA8855">
        <v>0</v>
      </c>
      <c r="AB8855">
        <v>691.35</v>
      </c>
      <c r="AC8855">
        <v>603</v>
      </c>
      <c r="AD8855">
        <v>0</v>
      </c>
      <c r="AE8855">
        <v>88.35</v>
      </c>
      <c r="AF8855">
        <v>0</v>
      </c>
      <c r="AG8855">
        <v>0</v>
      </c>
      <c r="AH8855">
        <v>0</v>
      </c>
      <c r="AI8855">
        <v>0</v>
      </c>
      <c r="AJ8855">
        <v>691.35</v>
      </c>
      <c r="AK8855">
        <v>0</v>
      </c>
      <c r="AL8855" t="s">
        <v>53</v>
      </c>
      <c r="AM8855" t="s">
        <v>53</v>
      </c>
      <c r="AN8855" t="s">
        <v>53</v>
      </c>
      <c r="AO8855" t="s">
        <v>53</v>
      </c>
      <c r="AP8855" t="s">
        <v>53</v>
      </c>
    </row>
    <row r="8856" spans="2:42" x14ac:dyDescent="0.2">
      <c r="B8856" t="s">
        <v>44</v>
      </c>
      <c r="C8856" t="str">
        <f>HYPERLINK("https://us2.cloudbeds.com/connect/8493803454333002#/reservations/9080486849027414?display=538KCRJH89&amp;reservation_id=9080486849027414", "538KCRJH89")</f>
        <v>538KCRJH89</v>
      </c>
      <c r="D8856" t="s">
        <v>45</v>
      </c>
      <c r="E8856" t="s">
        <v>98</v>
      </c>
      <c r="F8856" t="s">
        <v>86</v>
      </c>
      <c r="G8856" t="s">
        <v>48</v>
      </c>
      <c r="H8856" t="s">
        <v>49</v>
      </c>
      <c r="I8856" t="s">
        <v>50</v>
      </c>
      <c r="J8856" t="s">
        <v>15838</v>
      </c>
      <c r="K8856" t="s">
        <v>14979</v>
      </c>
      <c r="L8856" t="s">
        <v>53</v>
      </c>
      <c r="N8856" t="s">
        <v>16869</v>
      </c>
      <c r="P8856" t="s">
        <v>55</v>
      </c>
      <c r="R8856" t="s">
        <v>53</v>
      </c>
      <c r="T8856" t="s">
        <v>16870</v>
      </c>
      <c r="U8856" t="s">
        <v>55</v>
      </c>
      <c r="V8856">
        <v>1</v>
      </c>
      <c r="W8856">
        <v>1</v>
      </c>
      <c r="X8856">
        <v>2</v>
      </c>
      <c r="Y8856">
        <v>0</v>
      </c>
      <c r="Z8856">
        <v>2</v>
      </c>
      <c r="AA8856">
        <v>109.28</v>
      </c>
      <c r="AB8856">
        <v>109.28</v>
      </c>
      <c r="AC8856">
        <v>100.48</v>
      </c>
      <c r="AD8856">
        <v>0</v>
      </c>
      <c r="AE8856">
        <v>8.8000000000000007</v>
      </c>
      <c r="AF8856">
        <v>0</v>
      </c>
      <c r="AG8856">
        <v>0</v>
      </c>
      <c r="AH8856">
        <v>0</v>
      </c>
      <c r="AI8856">
        <v>19.670000000000002</v>
      </c>
      <c r="AJ8856">
        <v>109.28</v>
      </c>
      <c r="AK8856">
        <v>0</v>
      </c>
      <c r="AL8856" t="s">
        <v>53</v>
      </c>
      <c r="AM8856" t="s">
        <v>53</v>
      </c>
      <c r="AN8856" t="s">
        <v>53</v>
      </c>
      <c r="AO8856" t="s">
        <v>53</v>
      </c>
      <c r="AP8856" t="s">
        <v>53</v>
      </c>
    </row>
    <row r="8857" spans="2:42" x14ac:dyDescent="0.2">
      <c r="B8857" t="s">
        <v>44</v>
      </c>
      <c r="C8857" t="str">
        <f>HYPERLINK("https://us2.cloudbeds.com/connect/8493803454333002#/reservations/9080486849027539?display=538MBNW28E&amp;reservation_id=9080486849027539", "538MBNW28E")</f>
        <v>538MBNW28E</v>
      </c>
      <c r="D8857" t="s">
        <v>45</v>
      </c>
      <c r="E8857" t="s">
        <v>92</v>
      </c>
      <c r="F8857" t="s">
        <v>86</v>
      </c>
      <c r="G8857" t="s">
        <v>48</v>
      </c>
      <c r="H8857" t="s">
        <v>49</v>
      </c>
      <c r="I8857" t="s">
        <v>50</v>
      </c>
      <c r="J8857" t="s">
        <v>14348</v>
      </c>
      <c r="K8857" t="s">
        <v>14623</v>
      </c>
      <c r="L8857" t="s">
        <v>53</v>
      </c>
      <c r="N8857" t="s">
        <v>16871</v>
      </c>
      <c r="P8857" t="s">
        <v>55</v>
      </c>
      <c r="R8857" t="s">
        <v>53</v>
      </c>
      <c r="T8857" t="s">
        <v>16872</v>
      </c>
      <c r="U8857" t="s">
        <v>55</v>
      </c>
      <c r="V8857">
        <v>1</v>
      </c>
      <c r="W8857">
        <v>1</v>
      </c>
      <c r="X8857">
        <v>2</v>
      </c>
      <c r="Y8857">
        <v>2</v>
      </c>
      <c r="Z8857">
        <v>4</v>
      </c>
      <c r="AA8857">
        <v>104.11</v>
      </c>
      <c r="AB8857">
        <v>104.11</v>
      </c>
      <c r="AC8857">
        <v>95.73</v>
      </c>
      <c r="AD8857">
        <v>0</v>
      </c>
      <c r="AE8857">
        <v>8.3800000000000008</v>
      </c>
      <c r="AF8857">
        <v>0</v>
      </c>
      <c r="AG8857">
        <v>0</v>
      </c>
      <c r="AH8857">
        <v>0</v>
      </c>
      <c r="AI8857">
        <v>18.739999999999998</v>
      </c>
      <c r="AJ8857">
        <v>104.11</v>
      </c>
      <c r="AK8857">
        <v>0</v>
      </c>
      <c r="AL8857" t="s">
        <v>53</v>
      </c>
      <c r="AM8857" t="s">
        <v>53</v>
      </c>
      <c r="AN8857" t="s">
        <v>16873</v>
      </c>
      <c r="AO8857" t="s">
        <v>53</v>
      </c>
      <c r="AP8857" t="s">
        <v>53</v>
      </c>
    </row>
    <row r="8858" spans="2:42" x14ac:dyDescent="0.2">
      <c r="B8858" t="s">
        <v>44</v>
      </c>
      <c r="C8858" t="str">
        <f>HYPERLINK("https://us2.cloudbeds.com/connect/8493803454333002#/reservations/9080486849028121?display=5391KRN7YC&amp;reservation_id=9080486849028121", "5391KRN7YC")</f>
        <v>5391KRN7YC</v>
      </c>
      <c r="D8858" t="s">
        <v>45</v>
      </c>
      <c r="E8858" t="s">
        <v>46</v>
      </c>
      <c r="F8858" t="s">
        <v>47</v>
      </c>
      <c r="G8858" t="s">
        <v>48</v>
      </c>
      <c r="H8858" t="s">
        <v>49</v>
      </c>
      <c r="I8858" t="s">
        <v>62</v>
      </c>
      <c r="J8858" t="s">
        <v>14498</v>
      </c>
      <c r="K8858" t="s">
        <v>14348</v>
      </c>
      <c r="L8858" t="s">
        <v>53</v>
      </c>
      <c r="N8858" t="s">
        <v>16874</v>
      </c>
      <c r="P8858" t="s">
        <v>55</v>
      </c>
      <c r="R8858" t="s">
        <v>56</v>
      </c>
      <c r="T8858" t="s">
        <v>16875</v>
      </c>
      <c r="U8858" t="s">
        <v>55</v>
      </c>
      <c r="V8858">
        <v>1</v>
      </c>
      <c r="W8858">
        <v>1</v>
      </c>
      <c r="X8858">
        <v>2</v>
      </c>
      <c r="Y8858">
        <v>0</v>
      </c>
      <c r="Z8858">
        <v>2</v>
      </c>
      <c r="AA8858">
        <v>141.44999999999999</v>
      </c>
      <c r="AB8858">
        <v>141.44999999999999</v>
      </c>
      <c r="AC8858">
        <v>141.44999999999999</v>
      </c>
      <c r="AD8858">
        <v>0</v>
      </c>
      <c r="AE8858">
        <v>0</v>
      </c>
      <c r="AF8858">
        <v>0</v>
      </c>
      <c r="AG8858">
        <v>0</v>
      </c>
      <c r="AH8858">
        <v>0</v>
      </c>
      <c r="AI8858">
        <v>25.46</v>
      </c>
      <c r="AJ8858">
        <v>141.44999999999999</v>
      </c>
      <c r="AK8858">
        <v>0</v>
      </c>
      <c r="AL8858" t="s">
        <v>53</v>
      </c>
      <c r="AM8858" t="s">
        <v>53</v>
      </c>
      <c r="AN8858" t="s">
        <v>53</v>
      </c>
      <c r="AO8858" t="s">
        <v>53</v>
      </c>
      <c r="AP8858" t="s">
        <v>53</v>
      </c>
    </row>
    <row r="8859" spans="2:42" x14ac:dyDescent="0.2">
      <c r="B8859" t="s">
        <v>44</v>
      </c>
      <c r="C8859" t="str">
        <f>HYPERLINK("https://us2.cloudbeds.com/connect/8493803454333002#/reservations/236704506179712?display=53A19PDS20&amp;reservation_id=236704506179712", "53A19PDS20")</f>
        <v>53A19PDS20</v>
      </c>
      <c r="D8859" t="s">
        <v>45</v>
      </c>
      <c r="E8859" t="s">
        <v>381</v>
      </c>
      <c r="F8859" t="s">
        <v>47</v>
      </c>
      <c r="G8859" t="s">
        <v>48</v>
      </c>
      <c r="H8859" t="s">
        <v>3957</v>
      </c>
      <c r="I8859" t="s">
        <v>3975</v>
      </c>
      <c r="J8859" t="s">
        <v>14498</v>
      </c>
      <c r="K8859" t="s">
        <v>14348</v>
      </c>
      <c r="L8859" t="s">
        <v>53</v>
      </c>
      <c r="P8859" t="s">
        <v>55</v>
      </c>
      <c r="R8859" t="s">
        <v>56</v>
      </c>
      <c r="T8859" t="s">
        <v>16876</v>
      </c>
      <c r="U8859" t="s">
        <v>58</v>
      </c>
      <c r="V8859">
        <v>1</v>
      </c>
      <c r="W8859">
        <v>1</v>
      </c>
      <c r="X8859">
        <v>2</v>
      </c>
      <c r="Y8859">
        <v>0</v>
      </c>
      <c r="Z8859">
        <v>2</v>
      </c>
      <c r="AA8859">
        <v>141.03</v>
      </c>
      <c r="AB8859">
        <v>141.03</v>
      </c>
      <c r="AC8859">
        <v>123</v>
      </c>
      <c r="AD8859">
        <v>0</v>
      </c>
      <c r="AE8859">
        <v>18.03</v>
      </c>
      <c r="AF8859">
        <v>0</v>
      </c>
      <c r="AG8859">
        <v>0</v>
      </c>
      <c r="AH8859">
        <v>0</v>
      </c>
      <c r="AI8859">
        <v>0</v>
      </c>
      <c r="AJ8859">
        <v>141.03</v>
      </c>
      <c r="AK8859">
        <v>0</v>
      </c>
      <c r="AL8859" t="s">
        <v>53</v>
      </c>
      <c r="AM8859" t="s">
        <v>53</v>
      </c>
      <c r="AN8859" t="s">
        <v>16877</v>
      </c>
      <c r="AO8859" t="s">
        <v>53</v>
      </c>
      <c r="AP8859" t="s">
        <v>53</v>
      </c>
    </row>
    <row r="8860" spans="2:42" x14ac:dyDescent="0.2">
      <c r="B8860" t="s">
        <v>44</v>
      </c>
      <c r="C8860" t="str">
        <f>HYPERLINK("https://us2.cloudbeds.com/connect/8493803454333002#/reservations/9080486849030537?display=53AJ5Q0AH1&amp;reservation_id=9080486849030537", "53AJ5Q0AH1")</f>
        <v>53AJ5Q0AH1</v>
      </c>
      <c r="D8860" t="s">
        <v>45</v>
      </c>
      <c r="E8860" t="s">
        <v>105</v>
      </c>
      <c r="F8860" t="s">
        <v>47</v>
      </c>
      <c r="G8860" t="s">
        <v>48</v>
      </c>
      <c r="H8860" t="s">
        <v>49</v>
      </c>
      <c r="I8860" t="s">
        <v>50</v>
      </c>
      <c r="J8860" t="s">
        <v>15075</v>
      </c>
      <c r="K8860" t="s">
        <v>15735</v>
      </c>
      <c r="L8860" t="s">
        <v>53</v>
      </c>
      <c r="N8860" t="s">
        <v>16878</v>
      </c>
      <c r="P8860" t="s">
        <v>55</v>
      </c>
      <c r="R8860" t="s">
        <v>53</v>
      </c>
      <c r="T8860" t="s">
        <v>16879</v>
      </c>
      <c r="U8860" t="s">
        <v>55</v>
      </c>
      <c r="V8860">
        <v>1</v>
      </c>
      <c r="W8860">
        <v>1</v>
      </c>
      <c r="X8860">
        <v>1</v>
      </c>
      <c r="Y8860">
        <v>0</v>
      </c>
      <c r="Z8860">
        <v>1</v>
      </c>
      <c r="AA8860">
        <v>128.5</v>
      </c>
      <c r="AB8860">
        <v>128.5</v>
      </c>
      <c r="AC8860">
        <v>118.16</v>
      </c>
      <c r="AD8860">
        <v>0</v>
      </c>
      <c r="AE8860">
        <v>10.34</v>
      </c>
      <c r="AF8860">
        <v>0</v>
      </c>
      <c r="AG8860">
        <v>0</v>
      </c>
      <c r="AH8860">
        <v>0</v>
      </c>
      <c r="AI8860">
        <v>23.13</v>
      </c>
      <c r="AJ8860">
        <v>128.5</v>
      </c>
      <c r="AK8860">
        <v>0</v>
      </c>
      <c r="AL8860" t="s">
        <v>53</v>
      </c>
      <c r="AM8860" t="s">
        <v>53</v>
      </c>
      <c r="AN8860" t="s">
        <v>53</v>
      </c>
      <c r="AO8860" t="s">
        <v>53</v>
      </c>
      <c r="AP8860" t="s">
        <v>53</v>
      </c>
    </row>
    <row r="8861" spans="2:42" x14ac:dyDescent="0.2">
      <c r="B8861" t="s">
        <v>44</v>
      </c>
      <c r="C8861" t="str">
        <f>HYPERLINK("https://us2.cloudbeds.com/connect/8493803454333002#/reservations/9080486849031011?display=53ATAPKBUH&amp;reservation_id=9080486849031011", "53ATAPKBUH")</f>
        <v>53ATAPKBUH</v>
      </c>
      <c r="D8861" t="s">
        <v>45</v>
      </c>
      <c r="E8861" t="s">
        <v>113</v>
      </c>
      <c r="F8861" t="s">
        <v>61</v>
      </c>
      <c r="G8861" t="s">
        <v>48</v>
      </c>
      <c r="H8861" t="s">
        <v>49</v>
      </c>
      <c r="I8861" t="s">
        <v>50</v>
      </c>
      <c r="J8861" t="s">
        <v>14498</v>
      </c>
      <c r="K8861" t="s">
        <v>14348</v>
      </c>
      <c r="L8861" t="s">
        <v>53</v>
      </c>
      <c r="N8861" t="s">
        <v>16880</v>
      </c>
      <c r="P8861" t="s">
        <v>55</v>
      </c>
      <c r="R8861" t="s">
        <v>53</v>
      </c>
      <c r="T8861" t="s">
        <v>16881</v>
      </c>
      <c r="U8861" t="s">
        <v>55</v>
      </c>
      <c r="V8861">
        <v>1</v>
      </c>
      <c r="W8861">
        <v>1</v>
      </c>
      <c r="X8861">
        <v>2</v>
      </c>
      <c r="Y8861">
        <v>0</v>
      </c>
      <c r="Z8861">
        <v>2</v>
      </c>
      <c r="AA8861">
        <v>118.75</v>
      </c>
      <c r="AB8861">
        <v>118.75</v>
      </c>
      <c r="AC8861">
        <v>109.2</v>
      </c>
      <c r="AD8861">
        <v>0</v>
      </c>
      <c r="AE8861">
        <v>9.5500000000000007</v>
      </c>
      <c r="AF8861">
        <v>0</v>
      </c>
      <c r="AG8861">
        <v>0</v>
      </c>
      <c r="AH8861">
        <v>0</v>
      </c>
      <c r="AI8861">
        <v>21.38</v>
      </c>
      <c r="AJ8861">
        <v>118.75</v>
      </c>
      <c r="AK8861">
        <v>0</v>
      </c>
      <c r="AL8861" t="s">
        <v>53</v>
      </c>
      <c r="AM8861" t="s">
        <v>53</v>
      </c>
      <c r="AN8861" t="s">
        <v>53</v>
      </c>
      <c r="AO8861" t="s">
        <v>53</v>
      </c>
      <c r="AP8861" t="s">
        <v>53</v>
      </c>
    </row>
    <row r="8862" spans="2:42" x14ac:dyDescent="0.2">
      <c r="B8862" t="s">
        <v>44</v>
      </c>
      <c r="C8862" t="str">
        <f>HYPERLINK("https://us2.cloudbeds.com/connect/8493803454333002#/reservations/9080486849031206?display=53B1MWTQGF&amp;reservation_id=9080486849031206", "53B1MWTQGF")</f>
        <v>53B1MWTQGF</v>
      </c>
      <c r="D8862" t="s">
        <v>45</v>
      </c>
      <c r="E8862" t="s">
        <v>14695</v>
      </c>
      <c r="F8862" t="s">
        <v>47</v>
      </c>
      <c r="G8862" t="s">
        <v>48</v>
      </c>
      <c r="H8862" t="s">
        <v>49</v>
      </c>
      <c r="I8862" t="s">
        <v>62</v>
      </c>
      <c r="J8862" t="s">
        <v>14498</v>
      </c>
      <c r="K8862" t="s">
        <v>14348</v>
      </c>
      <c r="L8862" t="s">
        <v>53</v>
      </c>
      <c r="N8862" t="s">
        <v>16882</v>
      </c>
      <c r="P8862" t="s">
        <v>55</v>
      </c>
      <c r="R8862" t="s">
        <v>56</v>
      </c>
      <c r="T8862" t="s">
        <v>16883</v>
      </c>
      <c r="U8862" t="s">
        <v>55</v>
      </c>
      <c r="V8862">
        <v>1</v>
      </c>
      <c r="W8862">
        <v>1</v>
      </c>
      <c r="X8862">
        <v>2</v>
      </c>
      <c r="Y8862">
        <v>0</v>
      </c>
      <c r="Z8862">
        <v>2</v>
      </c>
      <c r="AA8862">
        <v>141.44999999999999</v>
      </c>
      <c r="AB8862">
        <v>141.44999999999999</v>
      </c>
      <c r="AC8862">
        <v>141.44999999999999</v>
      </c>
      <c r="AD8862">
        <v>0</v>
      </c>
      <c r="AE8862">
        <v>0</v>
      </c>
      <c r="AF8862">
        <v>0</v>
      </c>
      <c r="AG8862">
        <v>0</v>
      </c>
      <c r="AH8862">
        <v>0</v>
      </c>
      <c r="AI8862">
        <v>25.46</v>
      </c>
      <c r="AJ8862">
        <v>141.44999999999999</v>
      </c>
      <c r="AK8862">
        <v>0</v>
      </c>
      <c r="AL8862" t="s">
        <v>53</v>
      </c>
      <c r="AM8862" t="s">
        <v>53</v>
      </c>
      <c r="AN8862" t="s">
        <v>53</v>
      </c>
      <c r="AO8862" t="s">
        <v>53</v>
      </c>
      <c r="AP8862" t="s">
        <v>53</v>
      </c>
    </row>
    <row r="8863" spans="2:42" x14ac:dyDescent="0.2">
      <c r="B8863" t="s">
        <v>44</v>
      </c>
      <c r="C8863" t="str">
        <f>HYPERLINK("https://us2.cloudbeds.com/connect/8493803454333002#/reservations/9080486849031345?display=53B6CNXA8W&amp;reservation_id=9080486849031345", "53B6CNXA8W")</f>
        <v>53B6CNXA8W</v>
      </c>
      <c r="D8863" t="s">
        <v>45</v>
      </c>
      <c r="E8863" t="s">
        <v>121</v>
      </c>
      <c r="F8863" t="s">
        <v>86</v>
      </c>
      <c r="G8863" t="s">
        <v>48</v>
      </c>
      <c r="H8863" t="s">
        <v>49</v>
      </c>
      <c r="I8863" t="s">
        <v>50</v>
      </c>
      <c r="J8863" t="s">
        <v>14349</v>
      </c>
      <c r="K8863" t="s">
        <v>14979</v>
      </c>
      <c r="L8863" t="s">
        <v>53</v>
      </c>
      <c r="N8863" t="s">
        <v>16884</v>
      </c>
      <c r="P8863" t="s">
        <v>55</v>
      </c>
      <c r="R8863" t="s">
        <v>53</v>
      </c>
      <c r="T8863" t="s">
        <v>16885</v>
      </c>
      <c r="U8863" t="s">
        <v>55</v>
      </c>
      <c r="V8863">
        <v>2</v>
      </c>
      <c r="W8863">
        <v>1</v>
      </c>
      <c r="X8863">
        <v>3</v>
      </c>
      <c r="Y8863">
        <v>0</v>
      </c>
      <c r="Z8863">
        <v>3</v>
      </c>
      <c r="AA8863">
        <v>211.19</v>
      </c>
      <c r="AB8863">
        <v>211.19</v>
      </c>
      <c r="AC8863">
        <v>194.19</v>
      </c>
      <c r="AD8863">
        <v>0</v>
      </c>
      <c r="AE8863">
        <v>17</v>
      </c>
      <c r="AF8863">
        <v>0</v>
      </c>
      <c r="AG8863">
        <v>0</v>
      </c>
      <c r="AH8863">
        <v>0</v>
      </c>
      <c r="AI8863">
        <v>38.01</v>
      </c>
      <c r="AJ8863">
        <v>211.19</v>
      </c>
      <c r="AK8863">
        <v>0</v>
      </c>
      <c r="AL8863" t="s">
        <v>53</v>
      </c>
      <c r="AM8863" t="s">
        <v>53</v>
      </c>
      <c r="AN8863" t="s">
        <v>53</v>
      </c>
      <c r="AO8863" t="s">
        <v>53</v>
      </c>
      <c r="AP8863" t="s">
        <v>53</v>
      </c>
    </row>
    <row r="8864" spans="2:42" x14ac:dyDescent="0.2">
      <c r="B8864" t="s">
        <v>44</v>
      </c>
      <c r="C8864" t="str">
        <f>HYPERLINK("https://us2.cloudbeds.com/connect/8493803454333002#/reservations/9080486849031525?display=53BAZKPG1D&amp;reservation_id=9080486849031525", "53BAZKPG1D")</f>
        <v>53BAZKPG1D</v>
      </c>
      <c r="D8864" t="s">
        <v>45</v>
      </c>
      <c r="E8864" t="s">
        <v>487</v>
      </c>
      <c r="F8864" t="s">
        <v>61</v>
      </c>
      <c r="G8864" t="s">
        <v>48</v>
      </c>
      <c r="H8864" t="s">
        <v>49</v>
      </c>
      <c r="I8864" t="s">
        <v>50</v>
      </c>
      <c r="J8864" t="s">
        <v>14498</v>
      </c>
      <c r="K8864" t="s">
        <v>14348</v>
      </c>
      <c r="L8864" t="s">
        <v>53</v>
      </c>
      <c r="N8864" t="s">
        <v>16886</v>
      </c>
      <c r="P8864" t="s">
        <v>55</v>
      </c>
      <c r="R8864" t="s">
        <v>53</v>
      </c>
      <c r="T8864" t="s">
        <v>16887</v>
      </c>
      <c r="U8864" t="s">
        <v>55</v>
      </c>
      <c r="V8864">
        <v>1</v>
      </c>
      <c r="W8864">
        <v>1</v>
      </c>
      <c r="X8864">
        <v>2</v>
      </c>
      <c r="Y8864">
        <v>0</v>
      </c>
      <c r="Z8864">
        <v>2</v>
      </c>
      <c r="AA8864">
        <v>131.94999999999999</v>
      </c>
      <c r="AB8864">
        <v>131.94999999999999</v>
      </c>
      <c r="AC8864">
        <v>121.33</v>
      </c>
      <c r="AD8864">
        <v>0</v>
      </c>
      <c r="AE8864">
        <v>10.62</v>
      </c>
      <c r="AF8864">
        <v>0</v>
      </c>
      <c r="AG8864">
        <v>0</v>
      </c>
      <c r="AH8864">
        <v>0</v>
      </c>
      <c r="AI8864">
        <v>23.75</v>
      </c>
      <c r="AJ8864">
        <v>131.94999999999999</v>
      </c>
      <c r="AK8864">
        <v>0</v>
      </c>
      <c r="AL8864" t="s">
        <v>53</v>
      </c>
      <c r="AM8864" t="s">
        <v>53</v>
      </c>
      <c r="AN8864" t="s">
        <v>53</v>
      </c>
      <c r="AO8864" t="s">
        <v>53</v>
      </c>
      <c r="AP8864" t="s">
        <v>53</v>
      </c>
    </row>
    <row r="8865" spans="2:42" x14ac:dyDescent="0.2">
      <c r="B8865" t="s">
        <v>44</v>
      </c>
      <c r="C8865" t="str">
        <f>HYPERLINK("https://us2.cloudbeds.com/connect/8493803454333002#/reservations/9080486849031581?display=53BCYF44G5&amp;reservation_id=9080486849031581", "53BCYF44G5")</f>
        <v>53BCYF44G5</v>
      </c>
      <c r="D8865" t="s">
        <v>45</v>
      </c>
      <c r="E8865" t="s">
        <v>265</v>
      </c>
      <c r="F8865" t="s">
        <v>61</v>
      </c>
      <c r="G8865" t="s">
        <v>48</v>
      </c>
      <c r="H8865" t="s">
        <v>49</v>
      </c>
      <c r="I8865" t="s">
        <v>50</v>
      </c>
      <c r="J8865" t="s">
        <v>14498</v>
      </c>
      <c r="K8865" t="s">
        <v>14348</v>
      </c>
      <c r="L8865" t="s">
        <v>53</v>
      </c>
      <c r="N8865" t="s">
        <v>16888</v>
      </c>
      <c r="P8865" t="s">
        <v>55</v>
      </c>
      <c r="R8865" t="s">
        <v>53</v>
      </c>
      <c r="T8865" t="s">
        <v>16889</v>
      </c>
      <c r="U8865" t="s">
        <v>55</v>
      </c>
      <c r="V8865">
        <v>1</v>
      </c>
      <c r="W8865">
        <v>1</v>
      </c>
      <c r="X8865">
        <v>2</v>
      </c>
      <c r="Y8865">
        <v>0</v>
      </c>
      <c r="Z8865">
        <v>2</v>
      </c>
      <c r="AA8865">
        <v>118.75</v>
      </c>
      <c r="AB8865">
        <v>118.75</v>
      </c>
      <c r="AC8865">
        <v>109.2</v>
      </c>
      <c r="AD8865">
        <v>0</v>
      </c>
      <c r="AE8865">
        <v>9.5500000000000007</v>
      </c>
      <c r="AF8865">
        <v>0</v>
      </c>
      <c r="AG8865">
        <v>0</v>
      </c>
      <c r="AH8865">
        <v>0</v>
      </c>
      <c r="AI8865">
        <v>21.38</v>
      </c>
      <c r="AJ8865">
        <v>118.75</v>
      </c>
      <c r="AK8865">
        <v>0</v>
      </c>
      <c r="AL8865" t="s">
        <v>53</v>
      </c>
      <c r="AM8865" t="s">
        <v>53</v>
      </c>
      <c r="AN8865" t="s">
        <v>53</v>
      </c>
      <c r="AO8865" t="s">
        <v>53</v>
      </c>
      <c r="AP8865" t="s">
        <v>53</v>
      </c>
    </row>
    <row r="8866" spans="2:42" x14ac:dyDescent="0.2">
      <c r="B8866" t="s">
        <v>44</v>
      </c>
      <c r="C8866" t="str">
        <f>HYPERLINK("https://us2.cloudbeds.com/connect/8493803454333002#/reservations/9080486849031812?display=53BXYGBS0F&amp;reservation_id=9080486849031812", "53BXYGBS0F")</f>
        <v>53BXYGBS0F</v>
      </c>
      <c r="D8866" t="s">
        <v>45</v>
      </c>
      <c r="E8866" t="s">
        <v>185</v>
      </c>
      <c r="F8866" t="s">
        <v>47</v>
      </c>
      <c r="G8866" t="s">
        <v>48</v>
      </c>
      <c r="H8866" t="s">
        <v>49</v>
      </c>
      <c r="I8866" t="s">
        <v>50</v>
      </c>
      <c r="J8866" t="s">
        <v>15838</v>
      </c>
      <c r="K8866" t="s">
        <v>14979</v>
      </c>
      <c r="L8866" t="s">
        <v>53</v>
      </c>
      <c r="N8866" t="s">
        <v>16890</v>
      </c>
      <c r="P8866" t="s">
        <v>55</v>
      </c>
      <c r="R8866" t="s">
        <v>53</v>
      </c>
      <c r="T8866" t="s">
        <v>16891</v>
      </c>
      <c r="U8866" t="s">
        <v>55</v>
      </c>
      <c r="V8866">
        <v>1</v>
      </c>
      <c r="W8866">
        <v>1</v>
      </c>
      <c r="X8866">
        <v>1</v>
      </c>
      <c r="Y8866">
        <v>0</v>
      </c>
      <c r="Z8866">
        <v>1</v>
      </c>
      <c r="AA8866">
        <v>109.79</v>
      </c>
      <c r="AB8866">
        <v>109.79</v>
      </c>
      <c r="AC8866">
        <v>100.96</v>
      </c>
      <c r="AD8866">
        <v>0</v>
      </c>
      <c r="AE8866">
        <v>8.83</v>
      </c>
      <c r="AF8866">
        <v>0</v>
      </c>
      <c r="AG8866">
        <v>0</v>
      </c>
      <c r="AH8866">
        <v>0</v>
      </c>
      <c r="AI8866">
        <v>19.760000000000002</v>
      </c>
      <c r="AJ8866">
        <v>109.79</v>
      </c>
      <c r="AK8866">
        <v>0</v>
      </c>
      <c r="AL8866" t="s">
        <v>53</v>
      </c>
      <c r="AM8866" t="s">
        <v>53</v>
      </c>
      <c r="AN8866" t="s">
        <v>53</v>
      </c>
      <c r="AO8866" t="s">
        <v>53</v>
      </c>
      <c r="AP8866" t="s">
        <v>53</v>
      </c>
    </row>
    <row r="8867" spans="2:42" x14ac:dyDescent="0.2">
      <c r="B8867" t="s">
        <v>44</v>
      </c>
      <c r="C8867" t="str">
        <f>HYPERLINK("https://us2.cloudbeds.com/connect/8493803454333002#/reservations/9080486849032133?display=53BRHCTY7S&amp;reservation_id=9080486849032133", "53BRHCTY7S")</f>
        <v>53BRHCTY7S</v>
      </c>
      <c r="D8867" t="s">
        <v>45</v>
      </c>
      <c r="E8867" t="s">
        <v>190</v>
      </c>
      <c r="F8867" t="s">
        <v>61</v>
      </c>
      <c r="G8867" t="s">
        <v>48</v>
      </c>
      <c r="H8867" t="s">
        <v>49</v>
      </c>
      <c r="I8867" t="s">
        <v>50</v>
      </c>
      <c r="J8867" t="s">
        <v>15594</v>
      </c>
      <c r="K8867" t="s">
        <v>14655</v>
      </c>
      <c r="L8867" t="s">
        <v>53</v>
      </c>
      <c r="N8867" t="s">
        <v>16892</v>
      </c>
      <c r="P8867" t="s">
        <v>55</v>
      </c>
      <c r="R8867" t="s">
        <v>53</v>
      </c>
      <c r="T8867" t="s">
        <v>16893</v>
      </c>
      <c r="U8867" t="s">
        <v>58</v>
      </c>
      <c r="V8867">
        <v>1</v>
      </c>
      <c r="W8867">
        <v>1</v>
      </c>
      <c r="X8867">
        <v>2</v>
      </c>
      <c r="Y8867">
        <v>0</v>
      </c>
      <c r="Z8867">
        <v>2</v>
      </c>
      <c r="AA8867">
        <v>225</v>
      </c>
      <c r="AB8867">
        <v>225</v>
      </c>
      <c r="AC8867">
        <v>196.25</v>
      </c>
      <c r="AD8867">
        <v>0</v>
      </c>
      <c r="AE8867">
        <v>28.75</v>
      </c>
      <c r="AF8867">
        <v>0</v>
      </c>
      <c r="AG8867">
        <v>0</v>
      </c>
      <c r="AH8867">
        <v>0</v>
      </c>
      <c r="AI8867">
        <v>40.5</v>
      </c>
      <c r="AJ8867">
        <v>225</v>
      </c>
      <c r="AK8867">
        <v>0</v>
      </c>
      <c r="AL8867" t="s">
        <v>53</v>
      </c>
      <c r="AM8867" t="s">
        <v>53</v>
      </c>
      <c r="AN8867" t="s">
        <v>16894</v>
      </c>
      <c r="AO8867" t="s">
        <v>53</v>
      </c>
      <c r="AP8867" t="s">
        <v>53</v>
      </c>
    </row>
    <row r="8868" spans="2:42" x14ac:dyDescent="0.2">
      <c r="B8868" t="s">
        <v>44</v>
      </c>
      <c r="C8868" t="str">
        <f>HYPERLINK("https://us2.cloudbeds.com/connect/8493803454333002#/reservations/9080486849032524?display=53C5C4R1DE&amp;reservation_id=9080486849032524", "53C5C4R1DE")</f>
        <v>53C5C4R1DE</v>
      </c>
      <c r="D8868" t="s">
        <v>45</v>
      </c>
      <c r="E8868" t="s">
        <v>305</v>
      </c>
      <c r="F8868" t="s">
        <v>61</v>
      </c>
      <c r="G8868" t="s">
        <v>48</v>
      </c>
      <c r="H8868" t="s">
        <v>49</v>
      </c>
      <c r="I8868" t="s">
        <v>50</v>
      </c>
      <c r="J8868" t="s">
        <v>14498</v>
      </c>
      <c r="K8868" t="s">
        <v>14623</v>
      </c>
      <c r="L8868" t="s">
        <v>53</v>
      </c>
      <c r="N8868" t="s">
        <v>16895</v>
      </c>
      <c r="P8868" t="s">
        <v>55</v>
      </c>
      <c r="R8868" t="s">
        <v>53</v>
      </c>
      <c r="T8868" t="s">
        <v>16896</v>
      </c>
      <c r="U8868" t="s">
        <v>55</v>
      </c>
      <c r="V8868">
        <v>2</v>
      </c>
      <c r="W8868">
        <v>1</v>
      </c>
      <c r="X8868">
        <v>2</v>
      </c>
      <c r="Y8868">
        <v>0</v>
      </c>
      <c r="Z8868">
        <v>2</v>
      </c>
      <c r="AA8868">
        <v>265.82</v>
      </c>
      <c r="AB8868">
        <v>265.82</v>
      </c>
      <c r="AC8868">
        <v>244.43</v>
      </c>
      <c r="AD8868">
        <v>0</v>
      </c>
      <c r="AE8868">
        <v>21.39</v>
      </c>
      <c r="AF8868">
        <v>0</v>
      </c>
      <c r="AG8868">
        <v>0</v>
      </c>
      <c r="AH8868">
        <v>0</v>
      </c>
      <c r="AI8868">
        <v>47.85</v>
      </c>
      <c r="AJ8868">
        <v>265.82</v>
      </c>
      <c r="AK8868">
        <v>0</v>
      </c>
      <c r="AL8868" t="s">
        <v>53</v>
      </c>
      <c r="AM8868" t="s">
        <v>53</v>
      </c>
      <c r="AN8868" t="s">
        <v>53</v>
      </c>
      <c r="AO8868" t="s">
        <v>53</v>
      </c>
      <c r="AP8868" t="s">
        <v>53</v>
      </c>
    </row>
    <row r="8869" spans="2:42" x14ac:dyDescent="0.2">
      <c r="B8869" t="s">
        <v>44</v>
      </c>
      <c r="C8869" t="str">
        <f>HYPERLINK("https://us2.cloudbeds.com/connect/8493803454333002#/reservations/236813017960576?display=53CJAGE7DT&amp;reservation_id=236813017960576", "53CJAGE7DT")</f>
        <v>53CJAGE7DT</v>
      </c>
      <c r="D8869" t="s">
        <v>45</v>
      </c>
      <c r="E8869" t="s">
        <v>487</v>
      </c>
      <c r="F8869" t="s">
        <v>61</v>
      </c>
      <c r="G8869" t="s">
        <v>48</v>
      </c>
      <c r="H8869" t="s">
        <v>3957</v>
      </c>
      <c r="I8869" t="s">
        <v>3958</v>
      </c>
      <c r="J8869" t="s">
        <v>14348</v>
      </c>
      <c r="K8869" t="s">
        <v>14623</v>
      </c>
      <c r="L8869" t="s">
        <v>53</v>
      </c>
      <c r="P8869" t="s">
        <v>55</v>
      </c>
      <c r="R8869" t="s">
        <v>56</v>
      </c>
      <c r="T8869" t="s">
        <v>16897</v>
      </c>
      <c r="U8869" t="s">
        <v>58</v>
      </c>
      <c r="V8869">
        <v>1</v>
      </c>
      <c r="W8869">
        <v>1</v>
      </c>
      <c r="X8869">
        <v>1</v>
      </c>
      <c r="Y8869">
        <v>0</v>
      </c>
      <c r="Z8869">
        <v>1</v>
      </c>
      <c r="AA8869">
        <v>159.37</v>
      </c>
      <c r="AB8869">
        <v>159.37</v>
      </c>
      <c r="AC8869">
        <v>139</v>
      </c>
      <c r="AD8869">
        <v>0</v>
      </c>
      <c r="AE8869">
        <v>20.37</v>
      </c>
      <c r="AF8869">
        <v>0</v>
      </c>
      <c r="AG8869">
        <v>0</v>
      </c>
      <c r="AH8869">
        <v>0</v>
      </c>
      <c r="AI8869">
        <v>0</v>
      </c>
      <c r="AJ8869">
        <v>159.37</v>
      </c>
      <c r="AK8869">
        <v>0</v>
      </c>
      <c r="AL8869" t="s">
        <v>53</v>
      </c>
      <c r="AM8869" t="s">
        <v>53</v>
      </c>
      <c r="AN8869" t="s">
        <v>53</v>
      </c>
      <c r="AO8869" t="s">
        <v>53</v>
      </c>
      <c r="AP8869" t="s">
        <v>53</v>
      </c>
    </row>
    <row r="8870" spans="2:42" x14ac:dyDescent="0.2">
      <c r="B8870" t="s">
        <v>44</v>
      </c>
      <c r="C8870" t="str">
        <f>HYPERLINK("https://us2.cloudbeds.com/connect/8493803454333002#/reservations/9080486849033056?display=53CKGNX7WZ&amp;reservation_id=9080486849033056", "53CKGNX7WZ")</f>
        <v>53CKGNX7WZ</v>
      </c>
      <c r="D8870" t="s">
        <v>45</v>
      </c>
      <c r="E8870" t="s">
        <v>223</v>
      </c>
      <c r="F8870" t="s">
        <v>47</v>
      </c>
      <c r="G8870" t="s">
        <v>48</v>
      </c>
      <c r="H8870" t="s">
        <v>49</v>
      </c>
      <c r="I8870" t="s">
        <v>50</v>
      </c>
      <c r="J8870" t="s">
        <v>14349</v>
      </c>
      <c r="K8870" t="s">
        <v>15838</v>
      </c>
      <c r="L8870" t="s">
        <v>53</v>
      </c>
      <c r="N8870" t="s">
        <v>16898</v>
      </c>
      <c r="P8870" t="s">
        <v>55</v>
      </c>
      <c r="R8870" t="s">
        <v>53</v>
      </c>
      <c r="T8870" t="s">
        <v>16899</v>
      </c>
      <c r="U8870" t="s">
        <v>58</v>
      </c>
      <c r="V8870">
        <v>1</v>
      </c>
      <c r="W8870">
        <v>1</v>
      </c>
      <c r="X8870">
        <v>1</v>
      </c>
      <c r="Y8870">
        <v>0</v>
      </c>
      <c r="Z8870">
        <v>1</v>
      </c>
      <c r="AA8870">
        <v>107.43</v>
      </c>
      <c r="AB8870">
        <v>107.43</v>
      </c>
      <c r="AC8870">
        <v>93.7</v>
      </c>
      <c r="AD8870">
        <v>0</v>
      </c>
      <c r="AE8870">
        <v>13.73</v>
      </c>
      <c r="AF8870">
        <v>0</v>
      </c>
      <c r="AG8870">
        <v>0</v>
      </c>
      <c r="AH8870">
        <v>0</v>
      </c>
      <c r="AI8870">
        <v>19.34</v>
      </c>
      <c r="AJ8870">
        <v>107.43</v>
      </c>
      <c r="AK8870">
        <v>0</v>
      </c>
      <c r="AL8870" t="s">
        <v>53</v>
      </c>
      <c r="AM8870" t="s">
        <v>53</v>
      </c>
      <c r="AN8870" t="s">
        <v>53</v>
      </c>
      <c r="AO8870" t="s">
        <v>53</v>
      </c>
      <c r="AP8870" t="s">
        <v>53</v>
      </c>
    </row>
    <row r="8871" spans="2:42" x14ac:dyDescent="0.2">
      <c r="B8871" t="s">
        <v>44</v>
      </c>
      <c r="C8871" t="str">
        <f>HYPERLINK("https://us2.cloudbeds.com/connect/8493803454333002#/reservations/9080486849033414?display=53CUJCNVVQ&amp;reservation_id=9080486849033414", "53CUJCNVVQ")</f>
        <v>53CUJCNVVQ</v>
      </c>
      <c r="D8871" t="s">
        <v>45</v>
      </c>
      <c r="E8871" t="s">
        <v>113</v>
      </c>
      <c r="F8871" t="s">
        <v>61</v>
      </c>
      <c r="G8871" t="s">
        <v>48</v>
      </c>
      <c r="H8871" t="s">
        <v>49</v>
      </c>
      <c r="I8871" t="s">
        <v>50</v>
      </c>
      <c r="J8871" t="s">
        <v>15838</v>
      </c>
      <c r="K8871" t="s">
        <v>14847</v>
      </c>
      <c r="L8871" t="s">
        <v>53</v>
      </c>
      <c r="N8871" t="s">
        <v>16900</v>
      </c>
      <c r="P8871" t="s">
        <v>55</v>
      </c>
      <c r="R8871" t="s">
        <v>53</v>
      </c>
      <c r="T8871" t="s">
        <v>16901</v>
      </c>
      <c r="U8871" t="s">
        <v>55</v>
      </c>
      <c r="V8871">
        <v>2</v>
      </c>
      <c r="W8871">
        <v>1</v>
      </c>
      <c r="X8871">
        <v>2</v>
      </c>
      <c r="Y8871">
        <v>0</v>
      </c>
      <c r="Z8871">
        <v>2</v>
      </c>
      <c r="AA8871">
        <v>251.05</v>
      </c>
      <c r="AB8871">
        <v>251.05</v>
      </c>
      <c r="AC8871">
        <v>230.85</v>
      </c>
      <c r="AD8871">
        <v>0</v>
      </c>
      <c r="AE8871">
        <v>20.2</v>
      </c>
      <c r="AF8871">
        <v>0</v>
      </c>
      <c r="AG8871">
        <v>0</v>
      </c>
      <c r="AH8871">
        <v>0</v>
      </c>
      <c r="AI8871">
        <v>45.19</v>
      </c>
      <c r="AJ8871">
        <v>251.05</v>
      </c>
      <c r="AK8871">
        <v>0</v>
      </c>
      <c r="AL8871" t="s">
        <v>53</v>
      </c>
      <c r="AM8871" t="s">
        <v>53</v>
      </c>
      <c r="AN8871" t="s">
        <v>16902</v>
      </c>
      <c r="AO8871" t="s">
        <v>53</v>
      </c>
      <c r="AP8871" t="s">
        <v>53</v>
      </c>
    </row>
    <row r="8872" spans="2:42" x14ac:dyDescent="0.2">
      <c r="B8872" t="s">
        <v>44</v>
      </c>
      <c r="C8872" t="str">
        <f>HYPERLINK("https://us2.cloudbeds.com/connect/8493803454333002#/reservations/236842350756032?display=53D910JMWZ&amp;reservation_id=236842350756032", "53D910JMWZ")</f>
        <v>53D910JMWZ</v>
      </c>
      <c r="D8872" t="s">
        <v>45</v>
      </c>
      <c r="E8872" t="s">
        <v>213</v>
      </c>
      <c r="F8872" t="s">
        <v>86</v>
      </c>
      <c r="G8872" t="s">
        <v>3974</v>
      </c>
      <c r="H8872" t="s">
        <v>3957</v>
      </c>
      <c r="I8872" t="s">
        <v>3975</v>
      </c>
      <c r="J8872" t="s">
        <v>14848</v>
      </c>
      <c r="K8872" t="s">
        <v>14868</v>
      </c>
      <c r="L8872" t="s">
        <v>53</v>
      </c>
      <c r="P8872" t="s">
        <v>55</v>
      </c>
      <c r="R8872" t="s">
        <v>56</v>
      </c>
      <c r="T8872" t="s">
        <v>16903</v>
      </c>
      <c r="U8872" t="s">
        <v>58</v>
      </c>
      <c r="V8872">
        <v>1</v>
      </c>
      <c r="W8872">
        <v>1</v>
      </c>
      <c r="X8872">
        <v>2</v>
      </c>
      <c r="Y8872">
        <v>0</v>
      </c>
      <c r="Z8872">
        <v>2</v>
      </c>
      <c r="AA8872">
        <v>235.26</v>
      </c>
      <c r="AB8872">
        <v>235.26</v>
      </c>
      <c r="AC8872">
        <v>205.2</v>
      </c>
      <c r="AD8872">
        <v>0</v>
      </c>
      <c r="AE8872">
        <v>30.06</v>
      </c>
      <c r="AF8872">
        <v>0</v>
      </c>
      <c r="AG8872">
        <v>0</v>
      </c>
      <c r="AH8872">
        <v>0</v>
      </c>
      <c r="AI8872">
        <v>0</v>
      </c>
      <c r="AJ8872">
        <v>235.26</v>
      </c>
      <c r="AK8872">
        <v>0</v>
      </c>
      <c r="AL8872" t="s">
        <v>53</v>
      </c>
      <c r="AM8872" t="s">
        <v>53</v>
      </c>
      <c r="AN8872" t="s">
        <v>53</v>
      </c>
      <c r="AO8872" t="s">
        <v>53</v>
      </c>
      <c r="AP8872" t="s">
        <v>53</v>
      </c>
    </row>
    <row r="8873" spans="2:42" x14ac:dyDescent="0.2">
      <c r="B8873" t="s">
        <v>44</v>
      </c>
      <c r="C8873" t="str">
        <f>HYPERLINK("https://us2.cloudbeds.com/connect/8493803454333002#/reservations/9080486849035768?display=53FAU50QZA&amp;reservation_id=9080486849035768", "53FAU50QZA")</f>
        <v>53FAU50QZA</v>
      </c>
      <c r="D8873" t="s">
        <v>45</v>
      </c>
      <c r="E8873" t="s">
        <v>406</v>
      </c>
      <c r="F8873" t="s">
        <v>61</v>
      </c>
      <c r="G8873" t="s">
        <v>48</v>
      </c>
      <c r="H8873" t="s">
        <v>49</v>
      </c>
      <c r="I8873" t="s">
        <v>50</v>
      </c>
      <c r="J8873" t="s">
        <v>16197</v>
      </c>
      <c r="K8873" t="s">
        <v>15231</v>
      </c>
      <c r="L8873" t="s">
        <v>53</v>
      </c>
      <c r="N8873" t="s">
        <v>16904</v>
      </c>
      <c r="P8873" t="s">
        <v>55</v>
      </c>
      <c r="R8873" t="s">
        <v>53</v>
      </c>
      <c r="T8873" t="s">
        <v>16905</v>
      </c>
      <c r="U8873" t="s">
        <v>55</v>
      </c>
      <c r="V8873">
        <v>2</v>
      </c>
      <c r="W8873">
        <v>1</v>
      </c>
      <c r="X8873">
        <v>2</v>
      </c>
      <c r="Y8873">
        <v>0</v>
      </c>
      <c r="Z8873">
        <v>2</v>
      </c>
      <c r="AA8873">
        <v>268.44</v>
      </c>
      <c r="AB8873">
        <v>268.44</v>
      </c>
      <c r="AC8873">
        <v>246.84</v>
      </c>
      <c r="AD8873">
        <v>0</v>
      </c>
      <c r="AE8873">
        <v>21.6</v>
      </c>
      <c r="AF8873">
        <v>0</v>
      </c>
      <c r="AG8873">
        <v>0</v>
      </c>
      <c r="AH8873">
        <v>0</v>
      </c>
      <c r="AI8873">
        <v>48.32</v>
      </c>
      <c r="AJ8873">
        <v>268.44</v>
      </c>
      <c r="AK8873">
        <v>0</v>
      </c>
      <c r="AL8873" t="s">
        <v>53</v>
      </c>
      <c r="AM8873" t="s">
        <v>53</v>
      </c>
      <c r="AN8873" t="s">
        <v>53</v>
      </c>
      <c r="AO8873" t="s">
        <v>53</v>
      </c>
      <c r="AP8873" t="s">
        <v>53</v>
      </c>
    </row>
    <row r="8874" spans="2:42" x14ac:dyDescent="0.2">
      <c r="B8874" t="s">
        <v>44</v>
      </c>
      <c r="C8874" t="str">
        <f>HYPERLINK("https://us2.cloudbeds.com/connect/8493803454333002#/reservations/236981541052544?display=53GHQYHWSR&amp;reservation_id=236981541052544", "53GHQYHWSR")</f>
        <v>53GHQYHWSR</v>
      </c>
      <c r="D8874" t="s">
        <v>45</v>
      </c>
      <c r="E8874" t="s">
        <v>138</v>
      </c>
      <c r="F8874" t="s">
        <v>70</v>
      </c>
      <c r="G8874" t="s">
        <v>48</v>
      </c>
      <c r="H8874" t="s">
        <v>3957</v>
      </c>
      <c r="I8874" t="s">
        <v>3975</v>
      </c>
      <c r="J8874" t="s">
        <v>14979</v>
      </c>
      <c r="K8874" t="s">
        <v>14847</v>
      </c>
      <c r="L8874" t="s">
        <v>53</v>
      </c>
      <c r="P8874" t="s">
        <v>55</v>
      </c>
      <c r="R8874" t="s">
        <v>56</v>
      </c>
      <c r="T8874" t="s">
        <v>16906</v>
      </c>
      <c r="U8874" t="s">
        <v>58</v>
      </c>
      <c r="V8874">
        <v>1</v>
      </c>
      <c r="W8874">
        <v>1</v>
      </c>
      <c r="X8874">
        <v>2</v>
      </c>
      <c r="Y8874">
        <v>0</v>
      </c>
      <c r="Z8874">
        <v>2</v>
      </c>
      <c r="AA8874">
        <v>0</v>
      </c>
      <c r="AB8874">
        <v>130.71</v>
      </c>
      <c r="AC8874">
        <v>114</v>
      </c>
      <c r="AD8874">
        <v>0</v>
      </c>
      <c r="AE8874">
        <v>16.71</v>
      </c>
      <c r="AF8874">
        <v>0</v>
      </c>
      <c r="AG8874">
        <v>0</v>
      </c>
      <c r="AH8874">
        <v>0</v>
      </c>
      <c r="AI8874">
        <v>0</v>
      </c>
      <c r="AJ8874">
        <v>130.71</v>
      </c>
      <c r="AK8874">
        <v>0</v>
      </c>
      <c r="AL8874" t="s">
        <v>53</v>
      </c>
      <c r="AM8874" t="s">
        <v>53</v>
      </c>
      <c r="AN8874" t="s">
        <v>16907</v>
      </c>
      <c r="AO8874" t="s">
        <v>53</v>
      </c>
      <c r="AP8874" t="s">
        <v>53</v>
      </c>
    </row>
    <row r="8875" spans="2:42" x14ac:dyDescent="0.2">
      <c r="B8875" t="s">
        <v>44</v>
      </c>
      <c r="C8875" t="str">
        <f>HYPERLINK("https://us2.cloudbeds.com/connect/8493803454333002#/reservations/236997442138304?display=53GU3VPC8R&amp;reservation_id=236997442138304", "53GU3VPC8R")</f>
        <v>53GU3VPC8R</v>
      </c>
      <c r="D8875" t="s">
        <v>45</v>
      </c>
      <c r="E8875" t="s">
        <v>46</v>
      </c>
      <c r="F8875" t="s">
        <v>47</v>
      </c>
      <c r="G8875" t="s">
        <v>3974</v>
      </c>
      <c r="H8875" t="s">
        <v>3957</v>
      </c>
      <c r="I8875" t="s">
        <v>3975</v>
      </c>
      <c r="J8875" t="s">
        <v>15738</v>
      </c>
      <c r="K8875" t="s">
        <v>14669</v>
      </c>
      <c r="L8875" t="s">
        <v>53</v>
      </c>
      <c r="P8875" t="s">
        <v>55</v>
      </c>
      <c r="R8875" t="s">
        <v>56</v>
      </c>
      <c r="T8875" t="s">
        <v>16908</v>
      </c>
      <c r="U8875" t="s">
        <v>58</v>
      </c>
      <c r="V8875">
        <v>1</v>
      </c>
      <c r="W8875">
        <v>1</v>
      </c>
      <c r="X8875">
        <v>2</v>
      </c>
      <c r="Y8875">
        <v>0</v>
      </c>
      <c r="Z8875">
        <v>2</v>
      </c>
      <c r="AA8875">
        <v>180.8</v>
      </c>
      <c r="AB8875">
        <v>180.8</v>
      </c>
      <c r="AC8875">
        <v>157.69999999999999</v>
      </c>
      <c r="AD8875">
        <v>0</v>
      </c>
      <c r="AE8875">
        <v>23.1</v>
      </c>
      <c r="AF8875">
        <v>0</v>
      </c>
      <c r="AG8875">
        <v>0</v>
      </c>
      <c r="AH8875">
        <v>0</v>
      </c>
      <c r="AI8875">
        <v>0</v>
      </c>
      <c r="AJ8875">
        <v>180.8</v>
      </c>
      <c r="AK8875">
        <v>0</v>
      </c>
      <c r="AL8875" t="s">
        <v>53</v>
      </c>
      <c r="AM8875" t="s">
        <v>53</v>
      </c>
      <c r="AN8875" t="s">
        <v>16909</v>
      </c>
      <c r="AO8875" t="s">
        <v>53</v>
      </c>
      <c r="AP8875" t="s">
        <v>53</v>
      </c>
    </row>
    <row r="8876" spans="2:42" x14ac:dyDescent="0.2">
      <c r="B8876" t="s">
        <v>44</v>
      </c>
      <c r="C8876" t="str">
        <f>HYPERLINK("https://us2.cloudbeds.com/connect/8493803454333002#/reservations/9080486849039634?display=53HPB0XD9R&amp;reservation_id=9080486849039634", "53HPB0XD9R")</f>
        <v>53HPB0XD9R</v>
      </c>
      <c r="D8876" t="s">
        <v>45</v>
      </c>
      <c r="E8876" t="s">
        <v>185</v>
      </c>
      <c r="F8876" t="s">
        <v>47</v>
      </c>
      <c r="G8876" t="s">
        <v>48</v>
      </c>
      <c r="H8876" t="s">
        <v>49</v>
      </c>
      <c r="I8876" t="s">
        <v>50</v>
      </c>
      <c r="J8876" t="s">
        <v>16197</v>
      </c>
      <c r="K8876" t="s">
        <v>15075</v>
      </c>
      <c r="L8876" t="s">
        <v>53</v>
      </c>
      <c r="N8876" t="s">
        <v>16910</v>
      </c>
      <c r="P8876" t="s">
        <v>55</v>
      </c>
      <c r="R8876" t="s">
        <v>53</v>
      </c>
      <c r="T8876" t="s">
        <v>16911</v>
      </c>
      <c r="U8876" t="s">
        <v>58</v>
      </c>
      <c r="V8876">
        <v>3</v>
      </c>
      <c r="W8876">
        <v>1</v>
      </c>
      <c r="X8876">
        <v>2</v>
      </c>
      <c r="Y8876">
        <v>0</v>
      </c>
      <c r="Z8876">
        <v>2</v>
      </c>
      <c r="AA8876">
        <v>524.99</v>
      </c>
      <c r="AB8876">
        <v>524.99</v>
      </c>
      <c r="AC8876">
        <v>457.92</v>
      </c>
      <c r="AD8876">
        <v>0</v>
      </c>
      <c r="AE8876">
        <v>67.069999999999993</v>
      </c>
      <c r="AF8876">
        <v>0</v>
      </c>
      <c r="AG8876">
        <v>0</v>
      </c>
      <c r="AH8876">
        <v>0</v>
      </c>
      <c r="AI8876">
        <v>94.5</v>
      </c>
      <c r="AJ8876">
        <v>524.99</v>
      </c>
      <c r="AK8876">
        <v>0</v>
      </c>
      <c r="AL8876" t="s">
        <v>53</v>
      </c>
      <c r="AM8876" t="s">
        <v>53</v>
      </c>
      <c r="AN8876" t="s">
        <v>53</v>
      </c>
      <c r="AO8876" t="s">
        <v>53</v>
      </c>
      <c r="AP8876" t="s">
        <v>53</v>
      </c>
    </row>
    <row r="8877" spans="2:42" x14ac:dyDescent="0.2">
      <c r="B8877" t="s">
        <v>44</v>
      </c>
      <c r="C8877" t="str">
        <f>HYPERLINK("https://us2.cloudbeds.com/connect/8493803454333002#/reservations/9080486849040093?display=53X04DWQWR&amp;reservation_id=9080486849040093", "53X04DWQWR")</f>
        <v>53X04DWQWR</v>
      </c>
      <c r="D8877" t="s">
        <v>45</v>
      </c>
      <c r="E8877" t="s">
        <v>165</v>
      </c>
      <c r="F8877" t="s">
        <v>61</v>
      </c>
      <c r="G8877" t="s">
        <v>48</v>
      </c>
      <c r="H8877" t="s">
        <v>49</v>
      </c>
      <c r="I8877" t="s">
        <v>50</v>
      </c>
      <c r="J8877" t="s">
        <v>14348</v>
      </c>
      <c r="K8877" t="s">
        <v>14623</v>
      </c>
      <c r="L8877" t="s">
        <v>53</v>
      </c>
      <c r="N8877" t="s">
        <v>16912</v>
      </c>
      <c r="P8877" t="s">
        <v>55</v>
      </c>
      <c r="R8877" t="s">
        <v>53</v>
      </c>
      <c r="T8877" t="s">
        <v>16913</v>
      </c>
      <c r="U8877" t="s">
        <v>55</v>
      </c>
      <c r="V8877">
        <v>1</v>
      </c>
      <c r="W8877">
        <v>1</v>
      </c>
      <c r="X8877">
        <v>2</v>
      </c>
      <c r="Y8877">
        <v>0</v>
      </c>
      <c r="Z8877">
        <v>2</v>
      </c>
      <c r="AA8877">
        <v>93.83</v>
      </c>
      <c r="AB8877">
        <v>93.83</v>
      </c>
      <c r="AC8877">
        <v>86.28</v>
      </c>
      <c r="AD8877">
        <v>0</v>
      </c>
      <c r="AE8877">
        <v>7.55</v>
      </c>
      <c r="AF8877">
        <v>0</v>
      </c>
      <c r="AG8877">
        <v>0</v>
      </c>
      <c r="AH8877">
        <v>0</v>
      </c>
      <c r="AI8877">
        <v>16.89</v>
      </c>
      <c r="AJ8877">
        <v>93.83</v>
      </c>
      <c r="AK8877">
        <v>0</v>
      </c>
      <c r="AL8877" t="s">
        <v>53</v>
      </c>
      <c r="AM8877" t="s">
        <v>53</v>
      </c>
      <c r="AN8877" t="s">
        <v>16914</v>
      </c>
      <c r="AO8877" t="s">
        <v>53</v>
      </c>
      <c r="AP8877" t="s">
        <v>53</v>
      </c>
    </row>
    <row r="8878" spans="2:42" x14ac:dyDescent="0.2">
      <c r="B8878" t="s">
        <v>44</v>
      </c>
      <c r="C8878" t="str">
        <f>HYPERLINK("https://us2.cloudbeds.com/connect/8493803454333002#/reservations/237075077267584?display=53XZ7NPDAW&amp;reservation_id=237075077267584", "53XZ7NPDAW")</f>
        <v>53XZ7NPDAW</v>
      </c>
      <c r="D8878" t="s">
        <v>45</v>
      </c>
      <c r="E8878" t="s">
        <v>265</v>
      </c>
      <c r="F8878" t="s">
        <v>61</v>
      </c>
      <c r="G8878" t="s">
        <v>48</v>
      </c>
      <c r="H8878" t="s">
        <v>3957</v>
      </c>
      <c r="I8878" t="s">
        <v>3975</v>
      </c>
      <c r="J8878" t="s">
        <v>14970</v>
      </c>
      <c r="K8878" t="s">
        <v>15947</v>
      </c>
      <c r="L8878" t="s">
        <v>53</v>
      </c>
      <c r="P8878" t="s">
        <v>55</v>
      </c>
      <c r="R8878" t="s">
        <v>56</v>
      </c>
      <c r="T8878" t="s">
        <v>16915</v>
      </c>
      <c r="U8878" t="s">
        <v>58</v>
      </c>
      <c r="V8878">
        <v>2</v>
      </c>
      <c r="W8878">
        <v>1</v>
      </c>
      <c r="X8878">
        <v>2</v>
      </c>
      <c r="Y8878">
        <v>0</v>
      </c>
      <c r="Z8878">
        <v>2</v>
      </c>
      <c r="AA8878">
        <v>0</v>
      </c>
      <c r="AB8878">
        <v>514.78</v>
      </c>
      <c r="AC8878">
        <v>449</v>
      </c>
      <c r="AD8878">
        <v>0</v>
      </c>
      <c r="AE8878">
        <v>65.78</v>
      </c>
      <c r="AF8878">
        <v>0</v>
      </c>
      <c r="AG8878">
        <v>0</v>
      </c>
      <c r="AH8878">
        <v>0</v>
      </c>
      <c r="AI8878">
        <v>0</v>
      </c>
      <c r="AJ8878">
        <v>514.78</v>
      </c>
      <c r="AK8878">
        <v>0</v>
      </c>
      <c r="AL8878" t="s">
        <v>53</v>
      </c>
      <c r="AM8878" t="s">
        <v>53</v>
      </c>
      <c r="AN8878" t="s">
        <v>16916</v>
      </c>
      <c r="AO8878" t="s">
        <v>53</v>
      </c>
      <c r="AP8878" t="s">
        <v>53</v>
      </c>
    </row>
    <row r="8879" spans="2:42" x14ac:dyDescent="0.2">
      <c r="B8879" t="s">
        <v>44</v>
      </c>
      <c r="C8879" t="str">
        <f>HYPERLINK("https://us2.cloudbeds.com/connect/8493803454333002#/reservations/9080486849041528?display=53XZZB3T83&amp;reservation_id=9080486849041528", "53XZZB3T83")</f>
        <v>53XZZB3T83</v>
      </c>
      <c r="D8879" t="s">
        <v>45</v>
      </c>
      <c r="E8879" t="s">
        <v>128</v>
      </c>
      <c r="F8879" t="s">
        <v>86</v>
      </c>
      <c r="G8879" t="s">
        <v>48</v>
      </c>
      <c r="H8879" t="s">
        <v>49</v>
      </c>
      <c r="I8879" t="s">
        <v>50</v>
      </c>
      <c r="J8879" t="s">
        <v>14631</v>
      </c>
      <c r="K8879" t="s">
        <v>14632</v>
      </c>
      <c r="L8879" t="s">
        <v>53</v>
      </c>
      <c r="N8879" t="s">
        <v>16917</v>
      </c>
      <c r="P8879" t="s">
        <v>55</v>
      </c>
      <c r="R8879" t="s">
        <v>53</v>
      </c>
      <c r="T8879" t="s">
        <v>16918</v>
      </c>
      <c r="U8879" t="s">
        <v>58</v>
      </c>
      <c r="V8879">
        <v>1</v>
      </c>
      <c r="W8879">
        <v>1</v>
      </c>
      <c r="X8879">
        <v>2</v>
      </c>
      <c r="Y8879">
        <v>0</v>
      </c>
      <c r="Z8879">
        <v>2</v>
      </c>
      <c r="AA8879">
        <v>240.27</v>
      </c>
      <c r="AB8879">
        <v>240.27</v>
      </c>
      <c r="AC8879">
        <v>209.57</v>
      </c>
      <c r="AD8879">
        <v>0</v>
      </c>
      <c r="AE8879">
        <v>30.7</v>
      </c>
      <c r="AF8879">
        <v>0</v>
      </c>
      <c r="AG8879">
        <v>0</v>
      </c>
      <c r="AH8879">
        <v>0</v>
      </c>
      <c r="AI8879">
        <v>43.25</v>
      </c>
      <c r="AJ8879">
        <v>240.27</v>
      </c>
      <c r="AK8879">
        <v>0</v>
      </c>
      <c r="AL8879" t="s">
        <v>53</v>
      </c>
      <c r="AM8879" t="s">
        <v>53</v>
      </c>
      <c r="AN8879" t="s">
        <v>53</v>
      </c>
      <c r="AO8879" t="s">
        <v>53</v>
      </c>
      <c r="AP8879" t="s">
        <v>53</v>
      </c>
    </row>
    <row r="8880" spans="2:42" x14ac:dyDescent="0.2">
      <c r="B8880" t="s">
        <v>44</v>
      </c>
      <c r="C8880" t="str">
        <f>HYPERLINK("https://us2.cloudbeds.com/connect/8493803454333002#/reservations/9080486849041662?display=53XRX4B0XZ&amp;reservation_id=9080486849041662", "53XRX4B0XZ")</f>
        <v>53XRX4B0XZ</v>
      </c>
      <c r="D8880" t="s">
        <v>45</v>
      </c>
      <c r="E8880" t="s">
        <v>14402</v>
      </c>
      <c r="F8880" t="s">
        <v>14403</v>
      </c>
      <c r="G8880" t="s">
        <v>48</v>
      </c>
      <c r="H8880" t="s">
        <v>49</v>
      </c>
      <c r="I8880" t="s">
        <v>62</v>
      </c>
      <c r="J8880" t="s">
        <v>14348</v>
      </c>
      <c r="K8880" t="s">
        <v>14349</v>
      </c>
      <c r="L8880" t="s">
        <v>53</v>
      </c>
      <c r="N8880" t="s">
        <v>16919</v>
      </c>
      <c r="P8880" t="s">
        <v>55</v>
      </c>
      <c r="R8880" t="s">
        <v>56</v>
      </c>
      <c r="T8880" t="s">
        <v>16920</v>
      </c>
      <c r="U8880" t="s">
        <v>55</v>
      </c>
      <c r="V8880">
        <v>2</v>
      </c>
      <c r="W8880">
        <v>1</v>
      </c>
      <c r="X8880">
        <v>2</v>
      </c>
      <c r="Y8880">
        <v>0</v>
      </c>
      <c r="Z8880">
        <v>2</v>
      </c>
      <c r="AA8880">
        <v>288.64999999999998</v>
      </c>
      <c r="AB8880">
        <v>291.39</v>
      </c>
      <c r="AC8880">
        <v>288.64999999999998</v>
      </c>
      <c r="AD8880">
        <v>2.5</v>
      </c>
      <c r="AE8880">
        <v>0.24</v>
      </c>
      <c r="AF8880">
        <v>0</v>
      </c>
      <c r="AG8880">
        <v>0</v>
      </c>
      <c r="AH8880">
        <v>0</v>
      </c>
      <c r="AI8880">
        <v>52.45</v>
      </c>
      <c r="AJ8880">
        <v>291.39</v>
      </c>
      <c r="AK8880">
        <v>0</v>
      </c>
      <c r="AL8880" t="s">
        <v>53</v>
      </c>
      <c r="AM8880" t="s">
        <v>53</v>
      </c>
      <c r="AN8880" t="s">
        <v>53</v>
      </c>
      <c r="AO8880" t="s">
        <v>53</v>
      </c>
      <c r="AP8880" t="s">
        <v>53</v>
      </c>
    </row>
    <row r="8881" spans="2:42" x14ac:dyDescent="0.2">
      <c r="B8881" t="s">
        <v>44</v>
      </c>
      <c r="C8881" t="str">
        <f>HYPERLINK("https://us2.cloudbeds.com/connect/8493803454333002#/reservations/237091880865984?display=53J4830H9S&amp;reservation_id=237091880865984", "53J4830H9S")</f>
        <v>53J4830H9S</v>
      </c>
      <c r="D8881" t="s">
        <v>45</v>
      </c>
      <c r="E8881" t="s">
        <v>179</v>
      </c>
      <c r="F8881" t="s">
        <v>47</v>
      </c>
      <c r="G8881" t="s">
        <v>4520</v>
      </c>
      <c r="H8881" t="s">
        <v>3957</v>
      </c>
      <c r="I8881" t="s">
        <v>3958</v>
      </c>
      <c r="J8881" t="s">
        <v>15231</v>
      </c>
      <c r="K8881" t="s">
        <v>15075</v>
      </c>
      <c r="L8881" t="s">
        <v>53</v>
      </c>
      <c r="P8881" t="s">
        <v>55</v>
      </c>
      <c r="R8881" t="s">
        <v>56</v>
      </c>
      <c r="T8881" t="s">
        <v>16921</v>
      </c>
      <c r="U8881" t="s">
        <v>58</v>
      </c>
      <c r="V8881">
        <v>1</v>
      </c>
      <c r="W8881">
        <v>1</v>
      </c>
      <c r="X8881">
        <v>1</v>
      </c>
      <c r="Y8881">
        <v>0</v>
      </c>
      <c r="Z8881">
        <v>1</v>
      </c>
      <c r="AA8881">
        <v>144.46</v>
      </c>
      <c r="AB8881">
        <v>149.94</v>
      </c>
      <c r="AC8881">
        <v>126</v>
      </c>
      <c r="AD8881">
        <v>5</v>
      </c>
      <c r="AE8881">
        <v>18.940000000000001</v>
      </c>
      <c r="AF8881">
        <v>0</v>
      </c>
      <c r="AG8881">
        <v>0</v>
      </c>
      <c r="AH8881">
        <v>0</v>
      </c>
      <c r="AI8881">
        <v>0</v>
      </c>
      <c r="AJ8881">
        <v>149.94</v>
      </c>
      <c r="AK8881">
        <v>0</v>
      </c>
      <c r="AL8881" t="s">
        <v>53</v>
      </c>
      <c r="AM8881" t="s">
        <v>53</v>
      </c>
      <c r="AN8881" t="s">
        <v>53</v>
      </c>
      <c r="AO8881" t="s">
        <v>53</v>
      </c>
      <c r="AP8881" t="s">
        <v>53</v>
      </c>
    </row>
    <row r="8882" spans="2:42" x14ac:dyDescent="0.2">
      <c r="B8882" t="s">
        <v>44</v>
      </c>
      <c r="C8882" t="str">
        <f>HYPERLINK("https://us2.cloudbeds.com/connect/8493803454333002#/reservations/237103439265920?display=53JD6EC8WG&amp;reservation_id=237103439265920", "53JD6EC8WG")</f>
        <v>53JD6EC8WG</v>
      </c>
      <c r="D8882" t="s">
        <v>45</v>
      </c>
      <c r="E8882" t="s">
        <v>85</v>
      </c>
      <c r="F8882" t="s">
        <v>86</v>
      </c>
      <c r="G8882" t="s">
        <v>3974</v>
      </c>
      <c r="H8882" t="s">
        <v>3957</v>
      </c>
      <c r="I8882" t="s">
        <v>3975</v>
      </c>
      <c r="J8882" t="s">
        <v>14668</v>
      </c>
      <c r="K8882" t="s">
        <v>14669</v>
      </c>
      <c r="L8882" t="s">
        <v>53</v>
      </c>
      <c r="P8882" t="s">
        <v>55</v>
      </c>
      <c r="R8882" t="s">
        <v>56</v>
      </c>
      <c r="T8882" t="s">
        <v>16922</v>
      </c>
      <c r="U8882" t="s">
        <v>58</v>
      </c>
      <c r="V8882">
        <v>2</v>
      </c>
      <c r="W8882">
        <v>1</v>
      </c>
      <c r="X8882">
        <v>2</v>
      </c>
      <c r="Y8882">
        <v>2</v>
      </c>
      <c r="Z8882">
        <v>4</v>
      </c>
      <c r="AA8882">
        <v>502.11</v>
      </c>
      <c r="AB8882">
        <v>502.11</v>
      </c>
      <c r="AC8882">
        <v>437.95</v>
      </c>
      <c r="AD8882">
        <v>0</v>
      </c>
      <c r="AE8882">
        <v>64.16</v>
      </c>
      <c r="AF8882">
        <v>0</v>
      </c>
      <c r="AG8882">
        <v>0</v>
      </c>
      <c r="AH8882">
        <v>0</v>
      </c>
      <c r="AI8882">
        <v>0</v>
      </c>
      <c r="AJ8882">
        <v>502.11</v>
      </c>
      <c r="AK8882">
        <v>0</v>
      </c>
      <c r="AL8882" t="s">
        <v>53</v>
      </c>
      <c r="AM8882" t="s">
        <v>53</v>
      </c>
      <c r="AN8882" t="s">
        <v>16923</v>
      </c>
      <c r="AO8882" t="s">
        <v>53</v>
      </c>
      <c r="AP8882" t="s">
        <v>53</v>
      </c>
    </row>
    <row r="8883" spans="2:42" x14ac:dyDescent="0.2">
      <c r="B8883" t="s">
        <v>44</v>
      </c>
      <c r="C8883" t="str">
        <f>HYPERLINK("https://us2.cloudbeds.com/connect/8493803454333002#/reservations/9080486849042811?display=53JGRX9THH&amp;reservation_id=9080486849042811", "53JGRX9THH")</f>
        <v>53JGRX9THH</v>
      </c>
      <c r="D8883" t="s">
        <v>45</v>
      </c>
      <c r="E8883" t="s">
        <v>223</v>
      </c>
      <c r="F8883" t="s">
        <v>47</v>
      </c>
      <c r="G8883" t="s">
        <v>48</v>
      </c>
      <c r="H8883" t="s">
        <v>49</v>
      </c>
      <c r="I8883" t="s">
        <v>50</v>
      </c>
      <c r="J8883" t="s">
        <v>15838</v>
      </c>
      <c r="K8883" t="s">
        <v>14979</v>
      </c>
      <c r="L8883" t="s">
        <v>53</v>
      </c>
      <c r="N8883" t="s">
        <v>16924</v>
      </c>
      <c r="P8883" t="s">
        <v>55</v>
      </c>
      <c r="R8883" t="s">
        <v>53</v>
      </c>
      <c r="T8883" t="s">
        <v>16925</v>
      </c>
      <c r="U8883" t="s">
        <v>55</v>
      </c>
      <c r="V8883">
        <v>1</v>
      </c>
      <c r="W8883">
        <v>1</v>
      </c>
      <c r="X8883">
        <v>2</v>
      </c>
      <c r="Y8883">
        <v>0</v>
      </c>
      <c r="Z8883">
        <v>2</v>
      </c>
      <c r="AA8883">
        <v>87.11</v>
      </c>
      <c r="AB8883">
        <v>87.11</v>
      </c>
      <c r="AC8883">
        <v>80.099999999999994</v>
      </c>
      <c r="AD8883">
        <v>0</v>
      </c>
      <c r="AE8883">
        <v>7.01</v>
      </c>
      <c r="AF8883">
        <v>0</v>
      </c>
      <c r="AG8883">
        <v>0</v>
      </c>
      <c r="AH8883">
        <v>0</v>
      </c>
      <c r="AI8883">
        <v>15.68</v>
      </c>
      <c r="AJ8883">
        <v>87.11</v>
      </c>
      <c r="AK8883">
        <v>0</v>
      </c>
      <c r="AL8883" t="s">
        <v>53</v>
      </c>
      <c r="AM8883" t="s">
        <v>53</v>
      </c>
      <c r="AN8883" t="s">
        <v>53</v>
      </c>
      <c r="AO8883" t="s">
        <v>53</v>
      </c>
      <c r="AP8883" t="s">
        <v>53</v>
      </c>
    </row>
    <row r="8884" spans="2:42" x14ac:dyDescent="0.2">
      <c r="B8884" t="s">
        <v>44</v>
      </c>
      <c r="C8884" t="str">
        <f>HYPERLINK("https://us2.cloudbeds.com/connect/8493803454333002#/reservations/9080486849042812?display=53JGS3HBY5&amp;reservation_id=9080486849042812", "53JGS3HBY5")</f>
        <v>53JGS3HBY5</v>
      </c>
      <c r="D8884" t="s">
        <v>45</v>
      </c>
      <c r="E8884" t="s">
        <v>46</v>
      </c>
      <c r="F8884" t="s">
        <v>47</v>
      </c>
      <c r="G8884" t="s">
        <v>48</v>
      </c>
      <c r="H8884" t="s">
        <v>49</v>
      </c>
      <c r="I8884" t="s">
        <v>50</v>
      </c>
      <c r="J8884" t="s">
        <v>15838</v>
      </c>
      <c r="K8884" t="s">
        <v>14979</v>
      </c>
      <c r="L8884" t="s">
        <v>53</v>
      </c>
      <c r="N8884" t="s">
        <v>16926</v>
      </c>
      <c r="P8884" t="s">
        <v>55</v>
      </c>
      <c r="R8884" t="s">
        <v>53</v>
      </c>
      <c r="T8884" t="s">
        <v>16927</v>
      </c>
      <c r="U8884" t="s">
        <v>55</v>
      </c>
      <c r="V8884">
        <v>1</v>
      </c>
      <c r="W8884">
        <v>1</v>
      </c>
      <c r="X8884">
        <v>2</v>
      </c>
      <c r="Y8884">
        <v>0</v>
      </c>
      <c r="Z8884">
        <v>2</v>
      </c>
      <c r="AA8884">
        <v>87.11</v>
      </c>
      <c r="AB8884">
        <v>87.11</v>
      </c>
      <c r="AC8884">
        <v>80.099999999999994</v>
      </c>
      <c r="AD8884">
        <v>0</v>
      </c>
      <c r="AE8884">
        <v>7.01</v>
      </c>
      <c r="AF8884">
        <v>0</v>
      </c>
      <c r="AG8884">
        <v>0</v>
      </c>
      <c r="AH8884">
        <v>0</v>
      </c>
      <c r="AI8884">
        <v>15.68</v>
      </c>
      <c r="AJ8884">
        <v>87.11</v>
      </c>
      <c r="AK8884">
        <v>0</v>
      </c>
      <c r="AL8884" t="s">
        <v>53</v>
      </c>
      <c r="AM8884" t="s">
        <v>53</v>
      </c>
      <c r="AN8884" t="s">
        <v>53</v>
      </c>
      <c r="AO8884" t="s">
        <v>53</v>
      </c>
      <c r="AP8884" t="s">
        <v>53</v>
      </c>
    </row>
    <row r="8885" spans="2:42" x14ac:dyDescent="0.2">
      <c r="B8885" t="s">
        <v>44</v>
      </c>
      <c r="C8885" t="str">
        <f>HYPERLINK("https://us2.cloudbeds.com/connect/8493803454333002#/reservations/9080486849043558?display=53K0FAAJZM&amp;reservation_id=9080486849043558", "53K0FAAJZM")</f>
        <v>53K0FAAJZM</v>
      </c>
      <c r="D8885" t="s">
        <v>45</v>
      </c>
      <c r="E8885" t="s">
        <v>46</v>
      </c>
      <c r="F8885" t="s">
        <v>47</v>
      </c>
      <c r="G8885" t="s">
        <v>48</v>
      </c>
      <c r="H8885" t="s">
        <v>49</v>
      </c>
      <c r="I8885" t="s">
        <v>50</v>
      </c>
      <c r="J8885" t="s">
        <v>15231</v>
      </c>
      <c r="K8885" t="s">
        <v>15735</v>
      </c>
      <c r="L8885" t="s">
        <v>53</v>
      </c>
      <c r="N8885" t="s">
        <v>16928</v>
      </c>
      <c r="P8885" t="s">
        <v>55</v>
      </c>
      <c r="R8885" t="s">
        <v>53</v>
      </c>
      <c r="T8885" t="s">
        <v>16929</v>
      </c>
      <c r="U8885" t="s">
        <v>58</v>
      </c>
      <c r="V8885">
        <v>2</v>
      </c>
      <c r="W8885">
        <v>1</v>
      </c>
      <c r="X8885">
        <v>2</v>
      </c>
      <c r="Y8885">
        <v>0</v>
      </c>
      <c r="Z8885">
        <v>2</v>
      </c>
      <c r="AA8885">
        <v>306.41000000000003</v>
      </c>
      <c r="AB8885">
        <v>306.41000000000003</v>
      </c>
      <c r="AC8885">
        <v>267.26</v>
      </c>
      <c r="AD8885">
        <v>0</v>
      </c>
      <c r="AE8885">
        <v>39.15</v>
      </c>
      <c r="AF8885">
        <v>0</v>
      </c>
      <c r="AG8885">
        <v>0</v>
      </c>
      <c r="AH8885">
        <v>0</v>
      </c>
      <c r="AI8885">
        <v>55.15</v>
      </c>
      <c r="AJ8885">
        <v>306.41000000000003</v>
      </c>
      <c r="AK8885">
        <v>0</v>
      </c>
      <c r="AL8885" t="s">
        <v>53</v>
      </c>
      <c r="AM8885" t="s">
        <v>53</v>
      </c>
      <c r="AN8885" t="s">
        <v>16930</v>
      </c>
      <c r="AO8885" t="s">
        <v>53</v>
      </c>
      <c r="AP8885" t="s">
        <v>53</v>
      </c>
    </row>
    <row r="8886" spans="2:42" x14ac:dyDescent="0.2">
      <c r="B8886" t="s">
        <v>44</v>
      </c>
      <c r="C8886" t="str">
        <f>HYPERLINK("https://us2.cloudbeds.com/connect/8493803454333002#/reservations/237143484858496?display=53KB6MSMZJ&amp;reservation_id=237143484858496", "53KB6MSMZJ")</f>
        <v>53KB6MSMZJ</v>
      </c>
      <c r="D8886" t="s">
        <v>45</v>
      </c>
      <c r="E8886" t="s">
        <v>105</v>
      </c>
      <c r="F8886" t="s">
        <v>47</v>
      </c>
      <c r="G8886" t="s">
        <v>48</v>
      </c>
      <c r="H8886" t="s">
        <v>3957</v>
      </c>
      <c r="I8886" t="s">
        <v>3975</v>
      </c>
      <c r="J8886" t="s">
        <v>14348</v>
      </c>
      <c r="K8886" t="s">
        <v>14623</v>
      </c>
      <c r="L8886" t="s">
        <v>53</v>
      </c>
      <c r="P8886" t="s">
        <v>55</v>
      </c>
      <c r="R8886" t="s">
        <v>56</v>
      </c>
      <c r="T8886" t="s">
        <v>16931</v>
      </c>
      <c r="U8886" t="s">
        <v>58</v>
      </c>
      <c r="V8886">
        <v>1</v>
      </c>
      <c r="W8886">
        <v>1</v>
      </c>
      <c r="X8886">
        <v>2</v>
      </c>
      <c r="Y8886">
        <v>0</v>
      </c>
      <c r="Z8886">
        <v>2</v>
      </c>
      <c r="AA8886">
        <v>145.61000000000001</v>
      </c>
      <c r="AB8886">
        <v>145.61000000000001</v>
      </c>
      <c r="AC8886">
        <v>127</v>
      </c>
      <c r="AD8886">
        <v>0</v>
      </c>
      <c r="AE8886">
        <v>18.61</v>
      </c>
      <c r="AF8886">
        <v>0</v>
      </c>
      <c r="AG8886">
        <v>0</v>
      </c>
      <c r="AH8886">
        <v>0</v>
      </c>
      <c r="AI8886">
        <v>0</v>
      </c>
      <c r="AJ8886">
        <v>145.61000000000001</v>
      </c>
      <c r="AK8886">
        <v>0</v>
      </c>
      <c r="AL8886" t="s">
        <v>53</v>
      </c>
      <c r="AM8886" t="s">
        <v>53</v>
      </c>
      <c r="AN8886" t="s">
        <v>53</v>
      </c>
      <c r="AO8886" t="s">
        <v>53</v>
      </c>
      <c r="AP8886" t="s">
        <v>53</v>
      </c>
    </row>
    <row r="8887" spans="2:42" x14ac:dyDescent="0.2">
      <c r="B8887" t="s">
        <v>44</v>
      </c>
      <c r="C8887" t="str">
        <f>HYPERLINK("https://us2.cloudbeds.com/connect/8493803454333002#/reservations/237146236481728?display=53KDB03E6Y&amp;reservation_id=237146236481728", "53KDB03E6Y")</f>
        <v>53KDB03E6Y</v>
      </c>
      <c r="D8887" t="s">
        <v>45</v>
      </c>
      <c r="E8887" t="s">
        <v>128</v>
      </c>
      <c r="F8887" t="s">
        <v>86</v>
      </c>
      <c r="G8887" t="s">
        <v>3974</v>
      </c>
      <c r="H8887" t="s">
        <v>3957</v>
      </c>
      <c r="I8887" t="s">
        <v>3975</v>
      </c>
      <c r="J8887" t="s">
        <v>16932</v>
      </c>
      <c r="K8887" t="s">
        <v>15625</v>
      </c>
      <c r="L8887" t="s">
        <v>53</v>
      </c>
      <c r="P8887" t="s">
        <v>55</v>
      </c>
      <c r="R8887" t="s">
        <v>56</v>
      </c>
      <c r="T8887" t="s">
        <v>16933</v>
      </c>
      <c r="U8887" t="s">
        <v>58</v>
      </c>
      <c r="V8887">
        <v>2</v>
      </c>
      <c r="W8887">
        <v>1</v>
      </c>
      <c r="X8887">
        <v>2</v>
      </c>
      <c r="Y8887">
        <v>2</v>
      </c>
      <c r="Z8887">
        <v>4</v>
      </c>
      <c r="AA8887">
        <v>666.58</v>
      </c>
      <c r="AB8887">
        <v>666.58</v>
      </c>
      <c r="AC8887">
        <v>581.4</v>
      </c>
      <c r="AD8887">
        <v>0</v>
      </c>
      <c r="AE8887">
        <v>85.18</v>
      </c>
      <c r="AF8887">
        <v>0</v>
      </c>
      <c r="AG8887">
        <v>0</v>
      </c>
      <c r="AH8887">
        <v>0</v>
      </c>
      <c r="AI8887">
        <v>0</v>
      </c>
      <c r="AJ8887">
        <v>666.58</v>
      </c>
      <c r="AK8887">
        <v>0</v>
      </c>
      <c r="AL8887" t="s">
        <v>53</v>
      </c>
      <c r="AM8887" t="s">
        <v>53</v>
      </c>
      <c r="AN8887" t="s">
        <v>53</v>
      </c>
      <c r="AO8887" t="s">
        <v>53</v>
      </c>
      <c r="AP8887" t="s">
        <v>53</v>
      </c>
    </row>
    <row r="8888" spans="2:42" x14ac:dyDescent="0.2">
      <c r="B8888" t="s">
        <v>44</v>
      </c>
      <c r="C8888" t="str">
        <f>HYPERLINK("https://us2.cloudbeds.com/connect/8493803454333002#/reservations/237165281640640?display=53KS2YGGZP&amp;reservation_id=237165281640640", "53KS2YGGZP")</f>
        <v>53KS2YGGZP</v>
      </c>
      <c r="D8888" t="s">
        <v>45</v>
      </c>
      <c r="E8888" t="s">
        <v>223</v>
      </c>
      <c r="F8888" t="s">
        <v>47</v>
      </c>
      <c r="G8888" t="s">
        <v>48</v>
      </c>
      <c r="H8888" t="s">
        <v>3957</v>
      </c>
      <c r="I8888" t="s">
        <v>3958</v>
      </c>
      <c r="J8888" t="s">
        <v>14348</v>
      </c>
      <c r="K8888" t="s">
        <v>14623</v>
      </c>
      <c r="L8888" t="s">
        <v>53</v>
      </c>
      <c r="P8888" t="s">
        <v>55</v>
      </c>
      <c r="R8888" t="s">
        <v>56</v>
      </c>
      <c r="T8888" t="s">
        <v>16934</v>
      </c>
      <c r="U8888" t="s">
        <v>58</v>
      </c>
      <c r="V8888">
        <v>1</v>
      </c>
      <c r="W8888">
        <v>1</v>
      </c>
      <c r="X8888">
        <v>1</v>
      </c>
      <c r="Y8888">
        <v>0</v>
      </c>
      <c r="Z8888">
        <v>1</v>
      </c>
      <c r="AA8888">
        <v>145.61000000000001</v>
      </c>
      <c r="AB8888">
        <v>145.61000000000001</v>
      </c>
      <c r="AC8888">
        <v>127</v>
      </c>
      <c r="AD8888">
        <v>0</v>
      </c>
      <c r="AE8888">
        <v>18.61</v>
      </c>
      <c r="AF8888">
        <v>0</v>
      </c>
      <c r="AG8888">
        <v>0</v>
      </c>
      <c r="AH8888">
        <v>0</v>
      </c>
      <c r="AI8888">
        <v>0</v>
      </c>
      <c r="AJ8888">
        <v>145.61000000000001</v>
      </c>
      <c r="AK8888">
        <v>0</v>
      </c>
      <c r="AL8888" t="s">
        <v>53</v>
      </c>
      <c r="AM8888" t="s">
        <v>53</v>
      </c>
      <c r="AN8888" t="s">
        <v>53</v>
      </c>
      <c r="AO8888" t="s">
        <v>53</v>
      </c>
      <c r="AP8888" t="s">
        <v>53</v>
      </c>
    </row>
    <row r="8889" spans="2:42" x14ac:dyDescent="0.2">
      <c r="B8889" t="s">
        <v>44</v>
      </c>
      <c r="C8889" t="str">
        <f>HYPERLINK("https://us2.cloudbeds.com/connect/8493803454333002#/reservations/9080486849048393?display=53NUWZKJ31&amp;reservation_id=9080486849048393", "53NUWZKJ31")</f>
        <v>53NUWZKJ31</v>
      </c>
      <c r="D8889" t="s">
        <v>45</v>
      </c>
      <c r="E8889" t="s">
        <v>179</v>
      </c>
      <c r="F8889" t="s">
        <v>47</v>
      </c>
      <c r="G8889" t="s">
        <v>48</v>
      </c>
      <c r="H8889" t="s">
        <v>49</v>
      </c>
      <c r="I8889" t="s">
        <v>62</v>
      </c>
      <c r="J8889" t="s">
        <v>15594</v>
      </c>
      <c r="K8889" t="s">
        <v>14656</v>
      </c>
      <c r="L8889" t="s">
        <v>53</v>
      </c>
      <c r="N8889" t="s">
        <v>16935</v>
      </c>
      <c r="P8889" t="s">
        <v>55</v>
      </c>
      <c r="R8889" t="s">
        <v>118</v>
      </c>
      <c r="T8889" t="s">
        <v>16936</v>
      </c>
      <c r="U8889" t="s">
        <v>55</v>
      </c>
      <c r="V8889">
        <v>2</v>
      </c>
      <c r="W8889">
        <v>1</v>
      </c>
      <c r="X8889">
        <v>2</v>
      </c>
      <c r="Y8889">
        <v>0</v>
      </c>
      <c r="Z8889">
        <v>2</v>
      </c>
      <c r="AA8889">
        <v>385.25</v>
      </c>
      <c r="AB8889">
        <v>385.25</v>
      </c>
      <c r="AC8889">
        <v>385.25</v>
      </c>
      <c r="AD8889">
        <v>0</v>
      </c>
      <c r="AE8889">
        <v>0</v>
      </c>
      <c r="AF8889">
        <v>0</v>
      </c>
      <c r="AG8889">
        <v>0</v>
      </c>
      <c r="AH8889">
        <v>0</v>
      </c>
      <c r="AI8889">
        <v>69.349999999999994</v>
      </c>
      <c r="AJ8889">
        <v>385.25</v>
      </c>
      <c r="AK8889">
        <v>0</v>
      </c>
      <c r="AL8889" t="s">
        <v>53</v>
      </c>
      <c r="AM8889" t="s">
        <v>53</v>
      </c>
      <c r="AN8889" t="s">
        <v>53</v>
      </c>
      <c r="AO8889" t="s">
        <v>53</v>
      </c>
      <c r="AP8889" t="s">
        <v>53</v>
      </c>
    </row>
    <row r="8890" spans="2:42" x14ac:dyDescent="0.2">
      <c r="B8890" t="s">
        <v>44</v>
      </c>
      <c r="C8890" t="str">
        <f>HYPERLINK("https://us2.cloudbeds.com/connect/8493803454333002#/reservations/9080486849049567?display=53ZNFYTQVF&amp;reservation_id=9080486849049567", "53ZNFYTQVF")</f>
        <v>53ZNFYTQVF</v>
      </c>
      <c r="D8890" t="s">
        <v>45</v>
      </c>
      <c r="E8890" t="s">
        <v>14402</v>
      </c>
      <c r="F8890" t="s">
        <v>14403</v>
      </c>
      <c r="G8890" t="s">
        <v>48</v>
      </c>
      <c r="H8890" t="s">
        <v>49</v>
      </c>
      <c r="I8890" t="s">
        <v>50</v>
      </c>
      <c r="J8890" t="s">
        <v>14847</v>
      </c>
      <c r="K8890" t="s">
        <v>14868</v>
      </c>
      <c r="L8890" t="s">
        <v>53</v>
      </c>
      <c r="N8890" t="s">
        <v>16937</v>
      </c>
      <c r="P8890" t="s">
        <v>55</v>
      </c>
      <c r="R8890" t="s">
        <v>53</v>
      </c>
      <c r="T8890" t="s">
        <v>16938</v>
      </c>
      <c r="U8890" t="s">
        <v>55</v>
      </c>
      <c r="V8890">
        <v>2</v>
      </c>
      <c r="W8890">
        <v>1</v>
      </c>
      <c r="X8890">
        <v>2</v>
      </c>
      <c r="Y8890">
        <v>0</v>
      </c>
      <c r="Z8890">
        <v>2</v>
      </c>
      <c r="AA8890">
        <v>283.36</v>
      </c>
      <c r="AB8890">
        <v>283.36</v>
      </c>
      <c r="AC8890">
        <v>260.56</v>
      </c>
      <c r="AD8890">
        <v>0</v>
      </c>
      <c r="AE8890">
        <v>22.8</v>
      </c>
      <c r="AF8890">
        <v>0</v>
      </c>
      <c r="AG8890">
        <v>0</v>
      </c>
      <c r="AH8890">
        <v>0</v>
      </c>
      <c r="AI8890">
        <v>51</v>
      </c>
      <c r="AJ8890">
        <v>283.36</v>
      </c>
      <c r="AK8890">
        <v>0</v>
      </c>
      <c r="AL8890" t="s">
        <v>53</v>
      </c>
      <c r="AM8890" t="s">
        <v>53</v>
      </c>
      <c r="AN8890" t="s">
        <v>53</v>
      </c>
      <c r="AO8890" t="s">
        <v>53</v>
      </c>
      <c r="AP8890" t="s">
        <v>53</v>
      </c>
    </row>
    <row r="8891" spans="2:42" x14ac:dyDescent="0.2">
      <c r="B8891" t="s">
        <v>44</v>
      </c>
      <c r="C8891" t="str">
        <f>HYPERLINK("https://us2.cloudbeds.com/connect/8493803454333002#/reservations/9080486849050296?display=53P03EP1QR&amp;reservation_id=9080486849050296", "53P03EP1QR")</f>
        <v>53P03EP1QR</v>
      </c>
      <c r="D8891" t="s">
        <v>45</v>
      </c>
      <c r="E8891" t="s">
        <v>128</v>
      </c>
      <c r="F8891" t="s">
        <v>86</v>
      </c>
      <c r="G8891" t="s">
        <v>48</v>
      </c>
      <c r="H8891" t="s">
        <v>49</v>
      </c>
      <c r="I8891" t="s">
        <v>50</v>
      </c>
      <c r="J8891" t="s">
        <v>15075</v>
      </c>
      <c r="K8891" t="s">
        <v>14668</v>
      </c>
      <c r="L8891" t="s">
        <v>53</v>
      </c>
      <c r="N8891" t="s">
        <v>16939</v>
      </c>
      <c r="P8891" t="s">
        <v>55</v>
      </c>
      <c r="R8891" t="s">
        <v>53</v>
      </c>
      <c r="T8891" t="s">
        <v>16940</v>
      </c>
      <c r="U8891" t="s">
        <v>55</v>
      </c>
      <c r="V8891">
        <v>2</v>
      </c>
      <c r="W8891">
        <v>1</v>
      </c>
      <c r="X8891">
        <v>2</v>
      </c>
      <c r="Y8891">
        <v>2</v>
      </c>
      <c r="Z8891">
        <v>4</v>
      </c>
      <c r="AA8891">
        <v>338.24</v>
      </c>
      <c r="AB8891">
        <v>343.72</v>
      </c>
      <c r="AC8891">
        <v>311.02</v>
      </c>
      <c r="AD8891">
        <v>5</v>
      </c>
      <c r="AE8891">
        <v>27.7</v>
      </c>
      <c r="AF8891">
        <v>0</v>
      </c>
      <c r="AG8891">
        <v>0</v>
      </c>
      <c r="AH8891">
        <v>0</v>
      </c>
      <c r="AI8891">
        <v>61.87</v>
      </c>
      <c r="AJ8891">
        <v>343.72</v>
      </c>
      <c r="AK8891">
        <v>0</v>
      </c>
      <c r="AL8891" t="s">
        <v>53</v>
      </c>
      <c r="AM8891" t="s">
        <v>53</v>
      </c>
      <c r="AN8891" t="s">
        <v>53</v>
      </c>
      <c r="AO8891" t="s">
        <v>53</v>
      </c>
      <c r="AP8891" t="s">
        <v>53</v>
      </c>
    </row>
    <row r="8892" spans="2:42" x14ac:dyDescent="0.2">
      <c r="B8892" t="s">
        <v>44</v>
      </c>
      <c r="C8892" t="str">
        <f>HYPERLINK("https://us2.cloudbeds.com/connect/8493803454333002#/reservations/9080486849051352?display=53PXTHV39K&amp;reservation_id=9080486849051352", "53PXTHV39K")</f>
        <v>53PXTHV39K</v>
      </c>
      <c r="D8892" t="s">
        <v>45</v>
      </c>
      <c r="E8892" t="s">
        <v>265</v>
      </c>
      <c r="F8892" t="s">
        <v>61</v>
      </c>
      <c r="G8892" t="s">
        <v>48</v>
      </c>
      <c r="H8892" t="s">
        <v>49</v>
      </c>
      <c r="I8892" t="s">
        <v>50</v>
      </c>
      <c r="J8892" t="s">
        <v>14349</v>
      </c>
      <c r="K8892" t="s">
        <v>15838</v>
      </c>
      <c r="L8892" t="s">
        <v>53</v>
      </c>
      <c r="N8892" t="s">
        <v>16941</v>
      </c>
      <c r="P8892" t="s">
        <v>55</v>
      </c>
      <c r="R8892" t="s">
        <v>53</v>
      </c>
      <c r="T8892" t="s">
        <v>16942</v>
      </c>
      <c r="U8892" t="s">
        <v>55</v>
      </c>
      <c r="V8892">
        <v>1</v>
      </c>
      <c r="W8892">
        <v>1</v>
      </c>
      <c r="X8892">
        <v>2</v>
      </c>
      <c r="Y8892">
        <v>0</v>
      </c>
      <c r="Z8892">
        <v>2</v>
      </c>
      <c r="AA8892">
        <v>80.13</v>
      </c>
      <c r="AB8892">
        <v>80.13</v>
      </c>
      <c r="AC8892">
        <v>73.680000000000007</v>
      </c>
      <c r="AD8892">
        <v>0</v>
      </c>
      <c r="AE8892">
        <v>6.45</v>
      </c>
      <c r="AF8892">
        <v>0</v>
      </c>
      <c r="AG8892">
        <v>0</v>
      </c>
      <c r="AH8892">
        <v>0</v>
      </c>
      <c r="AI8892">
        <v>14.42</v>
      </c>
      <c r="AJ8892">
        <v>80.13</v>
      </c>
      <c r="AK8892">
        <v>0</v>
      </c>
      <c r="AL8892" t="s">
        <v>53</v>
      </c>
      <c r="AM8892" t="s">
        <v>53</v>
      </c>
      <c r="AN8892" t="s">
        <v>53</v>
      </c>
      <c r="AO8892" t="s">
        <v>53</v>
      </c>
      <c r="AP8892" t="s">
        <v>53</v>
      </c>
    </row>
    <row r="8893" spans="2:42" x14ac:dyDescent="0.2">
      <c r="B8893" t="s">
        <v>44</v>
      </c>
      <c r="C8893" t="str">
        <f>HYPERLINK("https://us2.cloudbeds.com/connect/8493803454333002#/reservations/237371827392704?display=53PN0CAKCX&amp;reservation_id=237371827392704", "53PN0CAKCX")</f>
        <v>53PN0CAKCX</v>
      </c>
      <c r="D8893" t="s">
        <v>45</v>
      </c>
      <c r="E8893" t="s">
        <v>373</v>
      </c>
      <c r="F8893" t="s">
        <v>47</v>
      </c>
      <c r="G8893" t="s">
        <v>48</v>
      </c>
      <c r="H8893" t="s">
        <v>3957</v>
      </c>
      <c r="I8893" t="s">
        <v>3975</v>
      </c>
      <c r="J8893" t="s">
        <v>14623</v>
      </c>
      <c r="K8893" t="s">
        <v>14349</v>
      </c>
      <c r="L8893" t="s">
        <v>53</v>
      </c>
      <c r="P8893" t="s">
        <v>55</v>
      </c>
      <c r="R8893" t="s">
        <v>56</v>
      </c>
      <c r="T8893" t="s">
        <v>16943</v>
      </c>
      <c r="U8893" t="s">
        <v>58</v>
      </c>
      <c r="V8893">
        <v>1</v>
      </c>
      <c r="W8893">
        <v>1</v>
      </c>
      <c r="X8893">
        <v>1</v>
      </c>
      <c r="Y8893">
        <v>0</v>
      </c>
      <c r="Z8893">
        <v>1</v>
      </c>
      <c r="AA8893">
        <v>144.46</v>
      </c>
      <c r="AB8893">
        <v>144.46</v>
      </c>
      <c r="AC8893">
        <v>126</v>
      </c>
      <c r="AD8893">
        <v>0</v>
      </c>
      <c r="AE8893">
        <v>18.46</v>
      </c>
      <c r="AF8893">
        <v>0</v>
      </c>
      <c r="AG8893">
        <v>0</v>
      </c>
      <c r="AH8893">
        <v>0</v>
      </c>
      <c r="AI8893">
        <v>0</v>
      </c>
      <c r="AJ8893">
        <v>144.46</v>
      </c>
      <c r="AK8893">
        <v>0</v>
      </c>
      <c r="AL8893" t="s">
        <v>53</v>
      </c>
      <c r="AM8893" t="s">
        <v>53</v>
      </c>
      <c r="AN8893" t="s">
        <v>53</v>
      </c>
      <c r="AO8893" t="s">
        <v>53</v>
      </c>
      <c r="AP8893" t="s">
        <v>53</v>
      </c>
    </row>
    <row r="8894" spans="2:42" x14ac:dyDescent="0.2">
      <c r="B8894" t="s">
        <v>44</v>
      </c>
      <c r="C8894" t="str">
        <f>HYPERLINK("https://us2.cloudbeds.com/connect/8493803454333002#/reservations/9080486849053745?display=53QY1DH8DY&amp;reservation_id=9080486849053745", "53QY1DH8DY")</f>
        <v>53QY1DH8DY</v>
      </c>
      <c r="D8894" t="s">
        <v>45</v>
      </c>
      <c r="E8894" t="s">
        <v>185</v>
      </c>
      <c r="F8894" t="s">
        <v>47</v>
      </c>
      <c r="G8894" t="s">
        <v>48</v>
      </c>
      <c r="H8894" t="s">
        <v>49</v>
      </c>
      <c r="I8894" t="s">
        <v>50</v>
      </c>
      <c r="J8894" t="s">
        <v>15738</v>
      </c>
      <c r="K8894" t="s">
        <v>14669</v>
      </c>
      <c r="L8894" t="s">
        <v>53</v>
      </c>
      <c r="N8894" t="s">
        <v>16944</v>
      </c>
      <c r="P8894" t="s">
        <v>55</v>
      </c>
      <c r="R8894" t="s">
        <v>53</v>
      </c>
      <c r="T8894" t="s">
        <v>16945</v>
      </c>
      <c r="U8894" t="s">
        <v>55</v>
      </c>
      <c r="V8894">
        <v>1</v>
      </c>
      <c r="W8894">
        <v>1</v>
      </c>
      <c r="X8894">
        <v>1</v>
      </c>
      <c r="Y8894">
        <v>0</v>
      </c>
      <c r="Z8894">
        <v>1</v>
      </c>
      <c r="AA8894">
        <v>122.62</v>
      </c>
      <c r="AB8894">
        <v>122.62</v>
      </c>
      <c r="AC8894">
        <v>112.75</v>
      </c>
      <c r="AD8894">
        <v>0</v>
      </c>
      <c r="AE8894">
        <v>9.8699999999999992</v>
      </c>
      <c r="AF8894">
        <v>0</v>
      </c>
      <c r="AG8894">
        <v>0</v>
      </c>
      <c r="AH8894">
        <v>0</v>
      </c>
      <c r="AI8894">
        <v>22.07</v>
      </c>
      <c r="AJ8894">
        <v>122.62</v>
      </c>
      <c r="AK8894">
        <v>0</v>
      </c>
      <c r="AL8894" t="s">
        <v>53</v>
      </c>
      <c r="AM8894" t="s">
        <v>53</v>
      </c>
      <c r="AN8894" t="s">
        <v>16946</v>
      </c>
      <c r="AO8894" t="s">
        <v>53</v>
      </c>
      <c r="AP8894" t="s">
        <v>53</v>
      </c>
    </row>
    <row r="8895" spans="2:42" x14ac:dyDescent="0.2">
      <c r="B8895" t="s">
        <v>44</v>
      </c>
      <c r="C8895" t="str">
        <f>HYPERLINK("https://us2.cloudbeds.com/connect/8493803454333002#/reservations/237417459593408?display=53QPBCJSM9&amp;reservation_id=237417459593408", "53QPBCJSM9")</f>
        <v>53QPBCJSM9</v>
      </c>
      <c r="D8895" t="s">
        <v>45</v>
      </c>
      <c r="E8895" t="s">
        <v>16947</v>
      </c>
      <c r="F8895" t="s">
        <v>511</v>
      </c>
      <c r="G8895" t="s">
        <v>3974</v>
      </c>
      <c r="H8895" t="s">
        <v>3957</v>
      </c>
      <c r="I8895" t="s">
        <v>3975</v>
      </c>
      <c r="J8895" t="s">
        <v>15735</v>
      </c>
      <c r="K8895" t="s">
        <v>14668</v>
      </c>
      <c r="L8895" t="s">
        <v>53</v>
      </c>
      <c r="P8895" t="s">
        <v>55</v>
      </c>
      <c r="R8895" t="s">
        <v>56</v>
      </c>
      <c r="T8895" t="s">
        <v>16948</v>
      </c>
      <c r="U8895" t="s">
        <v>58</v>
      </c>
      <c r="V8895">
        <v>3</v>
      </c>
      <c r="W8895">
        <v>3</v>
      </c>
      <c r="X8895">
        <v>6</v>
      </c>
      <c r="Y8895">
        <v>0</v>
      </c>
      <c r="Z8895">
        <v>6</v>
      </c>
      <c r="AA8895">
        <v>714.5</v>
      </c>
      <c r="AB8895">
        <v>1347.33</v>
      </c>
      <c r="AC8895">
        <v>623.20000000000005</v>
      </c>
      <c r="AD8895">
        <v>0</v>
      </c>
      <c r="AE8895">
        <v>91.3</v>
      </c>
      <c r="AF8895">
        <v>0</v>
      </c>
      <c r="AG8895">
        <v>0</v>
      </c>
      <c r="AH8895">
        <v>0</v>
      </c>
      <c r="AI8895">
        <v>0</v>
      </c>
      <c r="AJ8895">
        <v>714.5</v>
      </c>
      <c r="AK8895">
        <v>0</v>
      </c>
      <c r="AL8895" t="s">
        <v>53</v>
      </c>
      <c r="AM8895" t="s">
        <v>53</v>
      </c>
      <c r="AN8895" t="s">
        <v>16949</v>
      </c>
      <c r="AO8895" t="s">
        <v>53</v>
      </c>
      <c r="AP8895" t="s">
        <v>53</v>
      </c>
    </row>
    <row r="8896" spans="2:42" x14ac:dyDescent="0.2">
      <c r="B8896" t="s">
        <v>44</v>
      </c>
      <c r="C8896" t="str">
        <f>HYPERLINK("https://us2.cloudbeds.com/connect/8493803454333002#/reservations/237446457602176?display=53REQBFZW3&amp;reservation_id=237446457602176", "53REQBFZW3")</f>
        <v>53REQBFZW3</v>
      </c>
      <c r="D8896" t="s">
        <v>45</v>
      </c>
      <c r="E8896" t="s">
        <v>381</v>
      </c>
      <c r="F8896" t="s">
        <v>47</v>
      </c>
      <c r="G8896" t="s">
        <v>48</v>
      </c>
      <c r="H8896" t="s">
        <v>3957</v>
      </c>
      <c r="I8896" t="s">
        <v>3975</v>
      </c>
      <c r="J8896" t="s">
        <v>14623</v>
      </c>
      <c r="K8896" t="s">
        <v>14349</v>
      </c>
      <c r="L8896" t="s">
        <v>53</v>
      </c>
      <c r="P8896" t="s">
        <v>55</v>
      </c>
      <c r="R8896" t="s">
        <v>56</v>
      </c>
      <c r="T8896" t="s">
        <v>16950</v>
      </c>
      <c r="U8896" t="s">
        <v>58</v>
      </c>
      <c r="V8896">
        <v>1</v>
      </c>
      <c r="W8896">
        <v>1</v>
      </c>
      <c r="X8896">
        <v>2</v>
      </c>
      <c r="Y8896">
        <v>0</v>
      </c>
      <c r="Z8896">
        <v>2</v>
      </c>
      <c r="AA8896">
        <v>142.16999999999999</v>
      </c>
      <c r="AB8896">
        <v>142.16999999999999</v>
      </c>
      <c r="AC8896">
        <v>124</v>
      </c>
      <c r="AD8896">
        <v>0</v>
      </c>
      <c r="AE8896">
        <v>18.170000000000002</v>
      </c>
      <c r="AF8896">
        <v>0</v>
      </c>
      <c r="AG8896">
        <v>0</v>
      </c>
      <c r="AH8896">
        <v>0</v>
      </c>
      <c r="AI8896">
        <v>0</v>
      </c>
      <c r="AJ8896">
        <v>142.16999999999999</v>
      </c>
      <c r="AK8896">
        <v>0</v>
      </c>
      <c r="AL8896" t="s">
        <v>53</v>
      </c>
      <c r="AM8896" t="s">
        <v>53</v>
      </c>
      <c r="AN8896" t="s">
        <v>16951</v>
      </c>
      <c r="AO8896" t="s">
        <v>53</v>
      </c>
      <c r="AP8896" t="s">
        <v>53</v>
      </c>
    </row>
    <row r="8897" spans="2:42" x14ac:dyDescent="0.2">
      <c r="B8897" t="s">
        <v>44</v>
      </c>
      <c r="C8897" t="str">
        <f>HYPERLINK("https://us2.cloudbeds.com/connect/8493803454333002#/reservations/9080486849055574?display=53RFJU2ZZB&amp;reservation_id=9080486849055574", "53RFJU2ZZB")</f>
        <v>53RFJU2ZZB</v>
      </c>
      <c r="D8897" t="s">
        <v>45</v>
      </c>
      <c r="E8897" t="s">
        <v>46</v>
      </c>
      <c r="F8897" t="s">
        <v>47</v>
      </c>
      <c r="G8897" t="s">
        <v>48</v>
      </c>
      <c r="H8897" t="s">
        <v>49</v>
      </c>
      <c r="I8897" t="s">
        <v>50</v>
      </c>
      <c r="J8897" t="s">
        <v>14971</v>
      </c>
      <c r="K8897" t="s">
        <v>14131</v>
      </c>
      <c r="L8897" t="s">
        <v>53</v>
      </c>
      <c r="N8897" t="s">
        <v>16952</v>
      </c>
      <c r="P8897" t="s">
        <v>55</v>
      </c>
      <c r="R8897" t="s">
        <v>53</v>
      </c>
      <c r="T8897" t="s">
        <v>16953</v>
      </c>
      <c r="U8897" t="s">
        <v>55</v>
      </c>
      <c r="V8897">
        <v>5</v>
      </c>
      <c r="W8897">
        <v>1</v>
      </c>
      <c r="X8897">
        <v>2</v>
      </c>
      <c r="Y8897">
        <v>0</v>
      </c>
      <c r="Z8897">
        <v>2</v>
      </c>
      <c r="AA8897">
        <v>610.98</v>
      </c>
      <c r="AB8897">
        <v>610.98</v>
      </c>
      <c r="AC8897">
        <v>561.83000000000004</v>
      </c>
      <c r="AD8897">
        <v>0</v>
      </c>
      <c r="AE8897">
        <v>49.15</v>
      </c>
      <c r="AF8897">
        <v>0</v>
      </c>
      <c r="AG8897">
        <v>0</v>
      </c>
      <c r="AH8897">
        <v>0</v>
      </c>
      <c r="AI8897">
        <v>109.98</v>
      </c>
      <c r="AJ8897">
        <v>610.98</v>
      </c>
      <c r="AK8897">
        <v>0</v>
      </c>
      <c r="AL8897" t="s">
        <v>53</v>
      </c>
      <c r="AM8897" t="s">
        <v>53</v>
      </c>
      <c r="AN8897" t="s">
        <v>16954</v>
      </c>
      <c r="AO8897" t="s">
        <v>53</v>
      </c>
      <c r="AP8897" t="s">
        <v>53</v>
      </c>
    </row>
    <row r="8898" spans="2:42" x14ac:dyDescent="0.2">
      <c r="B8898" t="s">
        <v>44</v>
      </c>
      <c r="C8898" t="str">
        <f>HYPERLINK("https://us2.cloudbeds.com/connect/8493803454333002#/reservations/9080486849055627?display=53RGCNCSBN&amp;reservation_id=9080486849055627", "53RGCNCSBN")</f>
        <v>53RGCNCSBN</v>
      </c>
      <c r="D8898" t="s">
        <v>45</v>
      </c>
      <c r="E8898" t="s">
        <v>14695</v>
      </c>
      <c r="F8898" t="s">
        <v>47</v>
      </c>
      <c r="G8898" t="s">
        <v>48</v>
      </c>
      <c r="H8898" t="s">
        <v>49</v>
      </c>
      <c r="I8898" t="s">
        <v>8964</v>
      </c>
      <c r="J8898" t="s">
        <v>14623</v>
      </c>
      <c r="K8898" t="s">
        <v>14349</v>
      </c>
      <c r="L8898" t="s">
        <v>53</v>
      </c>
      <c r="N8898" t="s">
        <v>16955</v>
      </c>
      <c r="P8898" t="s">
        <v>55</v>
      </c>
      <c r="R8898" t="s">
        <v>53</v>
      </c>
      <c r="T8898" t="s">
        <v>16956</v>
      </c>
      <c r="U8898" t="s">
        <v>55</v>
      </c>
      <c r="V8898">
        <v>1</v>
      </c>
      <c r="W8898">
        <v>1</v>
      </c>
      <c r="X8898">
        <v>2</v>
      </c>
      <c r="Y8898">
        <v>0</v>
      </c>
      <c r="Z8898">
        <v>2</v>
      </c>
      <c r="AA8898">
        <v>0</v>
      </c>
      <c r="AB8898">
        <v>0</v>
      </c>
      <c r="AC8898">
        <v>142</v>
      </c>
      <c r="AD8898">
        <v>0</v>
      </c>
      <c r="AE8898">
        <v>0</v>
      </c>
      <c r="AF8898">
        <v>0</v>
      </c>
      <c r="AG8898">
        <v>0</v>
      </c>
      <c r="AH8898">
        <v>0</v>
      </c>
      <c r="AI8898">
        <v>21.3</v>
      </c>
      <c r="AJ8898">
        <v>142</v>
      </c>
      <c r="AK8898">
        <v>142</v>
      </c>
      <c r="AL8898" t="s">
        <v>53</v>
      </c>
      <c r="AM8898" t="s">
        <v>53</v>
      </c>
      <c r="AN8898" t="s">
        <v>16957</v>
      </c>
      <c r="AO8898" t="s">
        <v>53</v>
      </c>
      <c r="AP8898" t="s">
        <v>53</v>
      </c>
    </row>
    <row r="8899" spans="2:42" x14ac:dyDescent="0.2">
      <c r="B8899" t="s">
        <v>44</v>
      </c>
      <c r="C8899" t="str">
        <f>HYPERLINK("https://us2.cloudbeds.com/connect/8493803454333002#/reservations/9080486849057315?display=53SXKBR42A&amp;reservation_id=9080486849057315", "53SXKBR42A")</f>
        <v>53SXKBR42A</v>
      </c>
      <c r="D8899" t="s">
        <v>10291</v>
      </c>
      <c r="E8899" t="s">
        <v>128</v>
      </c>
      <c r="F8899" t="s">
        <v>86</v>
      </c>
      <c r="G8899" t="s">
        <v>48</v>
      </c>
      <c r="H8899" t="s">
        <v>49</v>
      </c>
      <c r="I8899" t="s">
        <v>50</v>
      </c>
      <c r="J8899" t="s">
        <v>15747</v>
      </c>
      <c r="K8899" t="s">
        <v>15748</v>
      </c>
      <c r="L8899" t="s">
        <v>53</v>
      </c>
      <c r="N8899" t="s">
        <v>16958</v>
      </c>
      <c r="P8899" t="s">
        <v>55</v>
      </c>
      <c r="R8899" t="s">
        <v>53</v>
      </c>
      <c r="T8899" t="s">
        <v>16959</v>
      </c>
      <c r="U8899" t="s">
        <v>55</v>
      </c>
      <c r="V8899">
        <v>1</v>
      </c>
      <c r="W8899">
        <v>1</v>
      </c>
      <c r="X8899">
        <v>3</v>
      </c>
      <c r="Y8899">
        <v>0</v>
      </c>
      <c r="Z8899">
        <v>3</v>
      </c>
      <c r="AA8899">
        <v>181.29</v>
      </c>
      <c r="AB8899">
        <v>0</v>
      </c>
      <c r="AC8899">
        <v>166.71</v>
      </c>
      <c r="AD8899">
        <v>0</v>
      </c>
      <c r="AE8899">
        <v>14.58</v>
      </c>
      <c r="AF8899">
        <v>0</v>
      </c>
      <c r="AG8899">
        <v>0</v>
      </c>
      <c r="AH8899">
        <v>0</v>
      </c>
      <c r="AI8899">
        <v>32.630000000000003</v>
      </c>
      <c r="AJ8899">
        <v>181.29</v>
      </c>
      <c r="AK8899">
        <v>181.29</v>
      </c>
      <c r="AL8899" t="s">
        <v>53</v>
      </c>
      <c r="AM8899" t="s">
        <v>53</v>
      </c>
      <c r="AN8899" t="s">
        <v>53</v>
      </c>
      <c r="AO8899" t="s">
        <v>53</v>
      </c>
      <c r="AP8899" t="s">
        <v>53</v>
      </c>
    </row>
    <row r="8900" spans="2:42" x14ac:dyDescent="0.2">
      <c r="B8900" t="s">
        <v>44</v>
      </c>
      <c r="C8900" t="str">
        <f>HYPERLINK("https://us2.cloudbeds.com/connect/8493803454333002#/reservations/9080486849058020?display=53T12Y0Y59&amp;reservation_id=9080486849058020", "53T12Y0Y59")</f>
        <v>53T12Y0Y59</v>
      </c>
      <c r="D8900" t="s">
        <v>45</v>
      </c>
      <c r="E8900" t="s">
        <v>85</v>
      </c>
      <c r="F8900" t="s">
        <v>86</v>
      </c>
      <c r="G8900" t="s">
        <v>48</v>
      </c>
      <c r="H8900" t="s">
        <v>49</v>
      </c>
      <c r="I8900" t="s">
        <v>50</v>
      </c>
      <c r="J8900" t="s">
        <v>15231</v>
      </c>
      <c r="K8900" t="s">
        <v>15075</v>
      </c>
      <c r="L8900" t="s">
        <v>53</v>
      </c>
      <c r="N8900" t="s">
        <v>16960</v>
      </c>
      <c r="P8900" t="s">
        <v>55</v>
      </c>
      <c r="R8900" t="s">
        <v>53</v>
      </c>
      <c r="T8900" t="s">
        <v>16961</v>
      </c>
      <c r="U8900" t="s">
        <v>55</v>
      </c>
      <c r="V8900">
        <v>1</v>
      </c>
      <c r="W8900">
        <v>1</v>
      </c>
      <c r="X8900">
        <v>4</v>
      </c>
      <c r="Y8900">
        <v>0</v>
      </c>
      <c r="Z8900">
        <v>4</v>
      </c>
      <c r="AA8900">
        <v>138.88</v>
      </c>
      <c r="AB8900">
        <v>138.88</v>
      </c>
      <c r="AC8900">
        <v>127.71</v>
      </c>
      <c r="AD8900">
        <v>0</v>
      </c>
      <c r="AE8900">
        <v>11.17</v>
      </c>
      <c r="AF8900">
        <v>0</v>
      </c>
      <c r="AG8900">
        <v>0</v>
      </c>
      <c r="AH8900">
        <v>0</v>
      </c>
      <c r="AI8900">
        <v>25</v>
      </c>
      <c r="AJ8900">
        <v>138.88</v>
      </c>
      <c r="AK8900">
        <v>0</v>
      </c>
      <c r="AL8900" t="s">
        <v>53</v>
      </c>
      <c r="AM8900" t="s">
        <v>53</v>
      </c>
      <c r="AN8900" t="s">
        <v>16962</v>
      </c>
      <c r="AO8900" t="s">
        <v>53</v>
      </c>
      <c r="AP8900" t="s">
        <v>53</v>
      </c>
    </row>
    <row r="8901" spans="2:42" x14ac:dyDescent="0.2">
      <c r="B8901" t="s">
        <v>44</v>
      </c>
      <c r="C8901" t="str">
        <f>HYPERLINK("https://us2.cloudbeds.com/connect/8493803454333002#/reservations/237525119283329?display=53T9NB3Q0J&amp;reservation_id=237525119283329", "53T9NB3Q0J")</f>
        <v>53T9NB3Q0J</v>
      </c>
      <c r="D8901" t="s">
        <v>45</v>
      </c>
      <c r="E8901" t="s">
        <v>3998</v>
      </c>
      <c r="F8901" t="s">
        <v>61</v>
      </c>
      <c r="G8901" t="s">
        <v>3974</v>
      </c>
      <c r="H8901" t="s">
        <v>3957</v>
      </c>
      <c r="I8901" t="s">
        <v>3975</v>
      </c>
      <c r="J8901" t="s">
        <v>15735</v>
      </c>
      <c r="K8901" t="s">
        <v>14668</v>
      </c>
      <c r="L8901" t="s">
        <v>53</v>
      </c>
      <c r="P8901" t="s">
        <v>55</v>
      </c>
      <c r="R8901" t="s">
        <v>56</v>
      </c>
      <c r="T8901" t="s">
        <v>16963</v>
      </c>
      <c r="U8901" t="s">
        <v>58</v>
      </c>
      <c r="V8901">
        <v>2</v>
      </c>
      <c r="W8901">
        <v>2</v>
      </c>
      <c r="X8901">
        <v>4</v>
      </c>
      <c r="Y8901">
        <v>0</v>
      </c>
      <c r="Z8901">
        <v>4</v>
      </c>
      <c r="AA8901">
        <v>440.04</v>
      </c>
      <c r="AB8901">
        <v>440.04</v>
      </c>
      <c r="AC8901">
        <v>383.8</v>
      </c>
      <c r="AD8901">
        <v>0</v>
      </c>
      <c r="AE8901">
        <v>56.24</v>
      </c>
      <c r="AF8901">
        <v>0</v>
      </c>
      <c r="AG8901">
        <v>0</v>
      </c>
      <c r="AH8901">
        <v>0</v>
      </c>
      <c r="AI8901">
        <v>0</v>
      </c>
      <c r="AJ8901">
        <v>440.04</v>
      </c>
      <c r="AK8901">
        <v>220.02</v>
      </c>
      <c r="AL8901" t="s">
        <v>53</v>
      </c>
      <c r="AM8901" t="s">
        <v>53</v>
      </c>
      <c r="AN8901" t="s">
        <v>53</v>
      </c>
      <c r="AO8901" t="s">
        <v>53</v>
      </c>
      <c r="AP8901" t="s">
        <v>53</v>
      </c>
    </row>
    <row r="8902" spans="2:42" x14ac:dyDescent="0.2">
      <c r="B8902" t="s">
        <v>44</v>
      </c>
      <c r="C8902" t="str">
        <f>HYPERLINK("https://us2.cloudbeds.com/connect/8493803454333002#/reservations/9080486849063556?display=53WT7KEVH2&amp;reservation_id=9080486849063556", "53WT7KEVH2")</f>
        <v>53WT7KEVH2</v>
      </c>
      <c r="D8902" t="s">
        <v>45</v>
      </c>
      <c r="E8902" t="s">
        <v>155</v>
      </c>
      <c r="F8902" t="s">
        <v>86</v>
      </c>
      <c r="G8902" t="s">
        <v>48</v>
      </c>
      <c r="H8902" t="s">
        <v>49</v>
      </c>
      <c r="I8902" t="s">
        <v>50</v>
      </c>
      <c r="J8902" t="s">
        <v>14349</v>
      </c>
      <c r="K8902" t="s">
        <v>14979</v>
      </c>
      <c r="L8902" t="s">
        <v>53</v>
      </c>
      <c r="N8902" t="s">
        <v>16964</v>
      </c>
      <c r="P8902" t="s">
        <v>55</v>
      </c>
      <c r="R8902" t="s">
        <v>53</v>
      </c>
      <c r="T8902" t="s">
        <v>16965</v>
      </c>
      <c r="U8902" t="s">
        <v>55</v>
      </c>
      <c r="V8902">
        <v>2</v>
      </c>
      <c r="W8902">
        <v>1</v>
      </c>
      <c r="X8902">
        <v>2</v>
      </c>
      <c r="Y8902">
        <v>0</v>
      </c>
      <c r="Z8902">
        <v>2</v>
      </c>
      <c r="AA8902">
        <v>222.25</v>
      </c>
      <c r="AB8902">
        <v>222.25</v>
      </c>
      <c r="AC8902">
        <v>204.36</v>
      </c>
      <c r="AD8902">
        <v>0</v>
      </c>
      <c r="AE8902">
        <v>17.89</v>
      </c>
      <c r="AF8902">
        <v>0</v>
      </c>
      <c r="AG8902">
        <v>0</v>
      </c>
      <c r="AH8902">
        <v>0</v>
      </c>
      <c r="AI8902">
        <v>40.01</v>
      </c>
      <c r="AJ8902">
        <v>222.25</v>
      </c>
      <c r="AK8902">
        <v>0</v>
      </c>
      <c r="AL8902" t="s">
        <v>53</v>
      </c>
      <c r="AM8902" t="s">
        <v>53</v>
      </c>
      <c r="AN8902" t="s">
        <v>53</v>
      </c>
      <c r="AO8902" t="s">
        <v>53</v>
      </c>
      <c r="AP8902" t="s">
        <v>53</v>
      </c>
    </row>
    <row r="8903" spans="2:42" x14ac:dyDescent="0.2">
      <c r="B8903" t="s">
        <v>44</v>
      </c>
      <c r="C8903" t="str">
        <f>HYPERLINK("https://us2.cloudbeds.com/connect/8493803454333002#/reservations/9080486849064770?display=540F016JUG&amp;reservation_id=9080486849064770", "540F016JUG")</f>
        <v>540F016JUG</v>
      </c>
      <c r="D8903" t="s">
        <v>45</v>
      </c>
      <c r="E8903" t="s">
        <v>265</v>
      </c>
      <c r="F8903" t="s">
        <v>61</v>
      </c>
      <c r="G8903" t="s">
        <v>48</v>
      </c>
      <c r="H8903" t="s">
        <v>49</v>
      </c>
      <c r="I8903" t="s">
        <v>50</v>
      </c>
      <c r="J8903" t="s">
        <v>14868</v>
      </c>
      <c r="K8903" t="s">
        <v>14153</v>
      </c>
      <c r="L8903" t="s">
        <v>53</v>
      </c>
      <c r="N8903" t="s">
        <v>16966</v>
      </c>
      <c r="P8903" t="s">
        <v>55</v>
      </c>
      <c r="R8903" t="s">
        <v>53</v>
      </c>
      <c r="T8903" t="s">
        <v>16967</v>
      </c>
      <c r="U8903" t="s">
        <v>58</v>
      </c>
      <c r="V8903">
        <v>1</v>
      </c>
      <c r="W8903">
        <v>1</v>
      </c>
      <c r="X8903">
        <v>2</v>
      </c>
      <c r="Y8903">
        <v>0</v>
      </c>
      <c r="Z8903">
        <v>2</v>
      </c>
      <c r="AA8903">
        <v>132.35</v>
      </c>
      <c r="AB8903">
        <v>132.35</v>
      </c>
      <c r="AC8903">
        <v>115.44</v>
      </c>
      <c r="AD8903">
        <v>0</v>
      </c>
      <c r="AE8903">
        <v>16.91</v>
      </c>
      <c r="AF8903">
        <v>0</v>
      </c>
      <c r="AG8903">
        <v>0</v>
      </c>
      <c r="AH8903">
        <v>0</v>
      </c>
      <c r="AI8903">
        <v>23.82</v>
      </c>
      <c r="AJ8903">
        <v>132.35</v>
      </c>
      <c r="AK8903">
        <v>0</v>
      </c>
      <c r="AL8903" t="s">
        <v>53</v>
      </c>
      <c r="AM8903" t="s">
        <v>53</v>
      </c>
      <c r="AN8903" t="s">
        <v>53</v>
      </c>
      <c r="AO8903" t="s">
        <v>53</v>
      </c>
      <c r="AP8903" t="s">
        <v>53</v>
      </c>
    </row>
    <row r="8904" spans="2:42" x14ac:dyDescent="0.2">
      <c r="B8904" t="s">
        <v>44</v>
      </c>
      <c r="C8904" t="str">
        <f>HYPERLINK("https://us2.cloudbeds.com/connect/8493803454333002#/reservations/9080486849066557?display=5419KT1TWU&amp;reservation_id=9080486849066557", "5419KT1TWU")</f>
        <v>5419KT1TWU</v>
      </c>
      <c r="D8904" t="s">
        <v>45</v>
      </c>
      <c r="E8904" t="s">
        <v>128</v>
      </c>
      <c r="F8904" t="s">
        <v>86</v>
      </c>
      <c r="G8904" t="s">
        <v>48</v>
      </c>
      <c r="H8904" t="s">
        <v>49</v>
      </c>
      <c r="I8904" t="s">
        <v>50</v>
      </c>
      <c r="J8904" t="s">
        <v>14349</v>
      </c>
      <c r="K8904" t="s">
        <v>15838</v>
      </c>
      <c r="L8904" t="s">
        <v>53</v>
      </c>
      <c r="N8904" t="s">
        <v>16968</v>
      </c>
      <c r="P8904" t="s">
        <v>55</v>
      </c>
      <c r="R8904" t="s">
        <v>53</v>
      </c>
      <c r="T8904" t="s">
        <v>16969</v>
      </c>
      <c r="U8904" t="s">
        <v>55</v>
      </c>
      <c r="V8904">
        <v>1</v>
      </c>
      <c r="W8904">
        <v>1</v>
      </c>
      <c r="X8904">
        <v>2</v>
      </c>
      <c r="Y8904">
        <v>0</v>
      </c>
      <c r="Z8904">
        <v>2</v>
      </c>
      <c r="AA8904">
        <v>113.86</v>
      </c>
      <c r="AB8904">
        <v>113.86</v>
      </c>
      <c r="AC8904">
        <v>104.7</v>
      </c>
      <c r="AD8904">
        <v>0</v>
      </c>
      <c r="AE8904">
        <v>9.16</v>
      </c>
      <c r="AF8904">
        <v>0</v>
      </c>
      <c r="AG8904">
        <v>0</v>
      </c>
      <c r="AH8904">
        <v>0</v>
      </c>
      <c r="AI8904">
        <v>20.49</v>
      </c>
      <c r="AJ8904">
        <v>113.86</v>
      </c>
      <c r="AK8904">
        <v>0</v>
      </c>
      <c r="AL8904" t="s">
        <v>53</v>
      </c>
      <c r="AM8904" t="s">
        <v>53</v>
      </c>
      <c r="AN8904" t="s">
        <v>16970</v>
      </c>
      <c r="AO8904" t="s">
        <v>53</v>
      </c>
      <c r="AP8904" t="s">
        <v>53</v>
      </c>
    </row>
    <row r="8905" spans="2:42" x14ac:dyDescent="0.2">
      <c r="B8905" t="s">
        <v>44</v>
      </c>
      <c r="C8905" t="str">
        <f>HYPERLINK("https://us2.cloudbeds.com/connect/8493803454333002#/reservations/9080486849066646?display=541ARS0HPC&amp;reservation_id=9080486849066646", "541ARS0HPC")</f>
        <v>541ARS0HPC</v>
      </c>
      <c r="D8905" t="s">
        <v>45</v>
      </c>
      <c r="E8905" t="s">
        <v>155</v>
      </c>
      <c r="F8905" t="s">
        <v>86</v>
      </c>
      <c r="G8905" t="s">
        <v>48</v>
      </c>
      <c r="H8905" t="s">
        <v>49</v>
      </c>
      <c r="I8905" t="s">
        <v>62</v>
      </c>
      <c r="J8905" t="s">
        <v>16197</v>
      </c>
      <c r="K8905" t="s">
        <v>14637</v>
      </c>
      <c r="L8905" t="s">
        <v>53</v>
      </c>
      <c r="N8905" t="s">
        <v>16971</v>
      </c>
      <c r="P8905" t="s">
        <v>55</v>
      </c>
      <c r="R8905" t="s">
        <v>56</v>
      </c>
      <c r="T8905" t="s">
        <v>16972</v>
      </c>
      <c r="U8905" t="s">
        <v>55</v>
      </c>
      <c r="V8905">
        <v>1</v>
      </c>
      <c r="W8905">
        <v>1</v>
      </c>
      <c r="X8905">
        <v>2</v>
      </c>
      <c r="Y8905">
        <v>0</v>
      </c>
      <c r="Z8905">
        <v>2</v>
      </c>
      <c r="AA8905">
        <v>184.63</v>
      </c>
      <c r="AB8905">
        <v>184.63</v>
      </c>
      <c r="AC8905">
        <v>184.63</v>
      </c>
      <c r="AD8905">
        <v>0</v>
      </c>
      <c r="AE8905">
        <v>0</v>
      </c>
      <c r="AF8905">
        <v>0</v>
      </c>
      <c r="AG8905">
        <v>0</v>
      </c>
      <c r="AH8905">
        <v>0</v>
      </c>
      <c r="AI8905">
        <v>33.229999999999997</v>
      </c>
      <c r="AJ8905">
        <v>184.63</v>
      </c>
      <c r="AK8905">
        <v>0</v>
      </c>
      <c r="AL8905" t="s">
        <v>53</v>
      </c>
      <c r="AM8905" t="s">
        <v>53</v>
      </c>
      <c r="AN8905" t="s">
        <v>53</v>
      </c>
      <c r="AO8905" t="s">
        <v>53</v>
      </c>
      <c r="AP8905" t="s">
        <v>53</v>
      </c>
    </row>
    <row r="8906" spans="2:42" x14ac:dyDescent="0.2">
      <c r="B8906" t="s">
        <v>44</v>
      </c>
      <c r="C8906" t="str">
        <f>HYPERLINK("https://us2.cloudbeds.com/connect/8493803454333002#/reservations/237742952632512?display=541DCFVG9M&amp;reservation_id=237742952632512", "541DCFVG9M")</f>
        <v>541DCFVG9M</v>
      </c>
      <c r="D8906" t="s">
        <v>45</v>
      </c>
      <c r="E8906" t="s">
        <v>381</v>
      </c>
      <c r="F8906" t="s">
        <v>47</v>
      </c>
      <c r="G8906" t="s">
        <v>3974</v>
      </c>
      <c r="H8906" t="s">
        <v>3957</v>
      </c>
      <c r="I8906" t="s">
        <v>3975</v>
      </c>
      <c r="J8906" t="s">
        <v>15735</v>
      </c>
      <c r="K8906" t="s">
        <v>15738</v>
      </c>
      <c r="L8906" t="s">
        <v>53</v>
      </c>
      <c r="P8906" t="s">
        <v>55</v>
      </c>
      <c r="R8906" t="s">
        <v>56</v>
      </c>
      <c r="T8906" t="s">
        <v>16973</v>
      </c>
      <c r="U8906" t="s">
        <v>58</v>
      </c>
      <c r="V8906">
        <v>2</v>
      </c>
      <c r="W8906">
        <v>1</v>
      </c>
      <c r="X8906">
        <v>2</v>
      </c>
      <c r="Y8906">
        <v>0</v>
      </c>
      <c r="Z8906">
        <v>2</v>
      </c>
      <c r="AA8906">
        <v>371.42</v>
      </c>
      <c r="AB8906">
        <v>371.42</v>
      </c>
      <c r="AC8906">
        <v>323.95</v>
      </c>
      <c r="AD8906">
        <v>0</v>
      </c>
      <c r="AE8906">
        <v>47.47</v>
      </c>
      <c r="AF8906">
        <v>0</v>
      </c>
      <c r="AG8906">
        <v>0</v>
      </c>
      <c r="AH8906">
        <v>0</v>
      </c>
      <c r="AI8906">
        <v>0</v>
      </c>
      <c r="AJ8906">
        <v>371.42</v>
      </c>
      <c r="AK8906">
        <v>0</v>
      </c>
      <c r="AL8906" t="s">
        <v>53</v>
      </c>
      <c r="AM8906" t="s">
        <v>53</v>
      </c>
      <c r="AN8906" t="s">
        <v>16974</v>
      </c>
      <c r="AO8906" t="s">
        <v>53</v>
      </c>
      <c r="AP8906" t="s">
        <v>53</v>
      </c>
    </row>
    <row r="8907" spans="2:42" x14ac:dyDescent="0.2">
      <c r="B8907" t="s">
        <v>44</v>
      </c>
      <c r="C8907" t="str">
        <f>HYPERLINK("https://us2.cloudbeds.com/connect/8493803454333002#/reservations/9080486849068779?display=542B4QW8PB&amp;reservation_id=9080486849068779", "542B4QW8PB")</f>
        <v>542B4QW8PB</v>
      </c>
      <c r="D8907" t="s">
        <v>45</v>
      </c>
      <c r="E8907" t="s">
        <v>373</v>
      </c>
      <c r="F8907" t="s">
        <v>47</v>
      </c>
      <c r="G8907" t="s">
        <v>48</v>
      </c>
      <c r="H8907" t="s">
        <v>49</v>
      </c>
      <c r="I8907" t="s">
        <v>50</v>
      </c>
      <c r="J8907" t="s">
        <v>14349</v>
      </c>
      <c r="K8907" t="s">
        <v>14979</v>
      </c>
      <c r="L8907" t="s">
        <v>53</v>
      </c>
      <c r="N8907" t="s">
        <v>16975</v>
      </c>
      <c r="P8907" t="s">
        <v>55</v>
      </c>
      <c r="R8907" t="s">
        <v>53</v>
      </c>
      <c r="T8907" t="s">
        <v>16976</v>
      </c>
      <c r="U8907" t="s">
        <v>55</v>
      </c>
      <c r="V8907">
        <v>2</v>
      </c>
      <c r="W8907">
        <v>1</v>
      </c>
      <c r="X8907">
        <v>1</v>
      </c>
      <c r="Y8907">
        <v>0</v>
      </c>
      <c r="Z8907">
        <v>1</v>
      </c>
      <c r="AA8907">
        <v>231.13</v>
      </c>
      <c r="AB8907">
        <v>231.13</v>
      </c>
      <c r="AC8907">
        <v>212.54</v>
      </c>
      <c r="AD8907">
        <v>0</v>
      </c>
      <c r="AE8907">
        <v>18.59</v>
      </c>
      <c r="AF8907">
        <v>0</v>
      </c>
      <c r="AG8907">
        <v>0</v>
      </c>
      <c r="AH8907">
        <v>0</v>
      </c>
      <c r="AI8907">
        <v>41.6</v>
      </c>
      <c r="AJ8907">
        <v>231.13</v>
      </c>
      <c r="AK8907">
        <v>0</v>
      </c>
      <c r="AL8907" t="s">
        <v>53</v>
      </c>
      <c r="AM8907" t="s">
        <v>53</v>
      </c>
      <c r="AN8907" t="s">
        <v>53</v>
      </c>
      <c r="AO8907" t="s">
        <v>53</v>
      </c>
      <c r="AP8907" t="s">
        <v>53</v>
      </c>
    </row>
    <row r="8908" spans="2:42" x14ac:dyDescent="0.2">
      <c r="B8908" t="s">
        <v>44</v>
      </c>
      <c r="C8908" t="str">
        <f>HYPERLINK("https://us2.cloudbeds.com/connect/8493803454333002#/reservations/9080486849069323?display=542JAAVB6U&amp;reservation_id=9080486849069323", "542JAAVB6U")</f>
        <v>542JAAVB6U</v>
      </c>
      <c r="D8908" t="s">
        <v>45</v>
      </c>
      <c r="E8908" t="s">
        <v>165</v>
      </c>
      <c r="F8908" t="s">
        <v>61</v>
      </c>
      <c r="G8908" t="s">
        <v>48</v>
      </c>
      <c r="H8908" t="s">
        <v>49</v>
      </c>
      <c r="I8908" t="s">
        <v>50</v>
      </c>
      <c r="J8908" t="s">
        <v>15838</v>
      </c>
      <c r="K8908" t="s">
        <v>14979</v>
      </c>
      <c r="L8908" t="s">
        <v>53</v>
      </c>
      <c r="N8908" t="s">
        <v>16977</v>
      </c>
      <c r="P8908" t="s">
        <v>55</v>
      </c>
      <c r="R8908" t="s">
        <v>53</v>
      </c>
      <c r="T8908" t="s">
        <v>16978</v>
      </c>
      <c r="U8908" t="s">
        <v>55</v>
      </c>
      <c r="V8908">
        <v>1</v>
      </c>
      <c r="W8908">
        <v>1</v>
      </c>
      <c r="X8908">
        <v>2</v>
      </c>
      <c r="Y8908">
        <v>0</v>
      </c>
      <c r="Z8908">
        <v>2</v>
      </c>
      <c r="AA8908">
        <v>110.75</v>
      </c>
      <c r="AB8908">
        <v>110.75</v>
      </c>
      <c r="AC8908">
        <v>101.84</v>
      </c>
      <c r="AD8908">
        <v>0</v>
      </c>
      <c r="AE8908">
        <v>8.91</v>
      </c>
      <c r="AF8908">
        <v>0</v>
      </c>
      <c r="AG8908">
        <v>0</v>
      </c>
      <c r="AH8908">
        <v>0</v>
      </c>
      <c r="AI8908">
        <v>19.940000000000001</v>
      </c>
      <c r="AJ8908">
        <v>110.75</v>
      </c>
      <c r="AK8908">
        <v>0</v>
      </c>
      <c r="AL8908" t="s">
        <v>53</v>
      </c>
      <c r="AM8908" t="s">
        <v>53</v>
      </c>
      <c r="AN8908" t="s">
        <v>16979</v>
      </c>
      <c r="AO8908" t="s">
        <v>53</v>
      </c>
      <c r="AP8908" t="s">
        <v>53</v>
      </c>
    </row>
    <row r="8909" spans="2:42" x14ac:dyDescent="0.2">
      <c r="B8909" t="s">
        <v>44</v>
      </c>
      <c r="C8909" t="str">
        <f>HYPERLINK("https://us2.cloudbeds.com/connect/8493803454333002#/reservations/237796835041472?display=542M3A1DEN&amp;reservation_id=237796835041472", "542M3A1DEN")</f>
        <v>542M3A1DEN</v>
      </c>
      <c r="D8909" t="s">
        <v>45</v>
      </c>
      <c r="E8909" t="s">
        <v>85</v>
      </c>
      <c r="F8909" t="s">
        <v>86</v>
      </c>
      <c r="G8909" t="s">
        <v>48</v>
      </c>
      <c r="H8909" t="s">
        <v>3957</v>
      </c>
      <c r="I8909" t="s">
        <v>3975</v>
      </c>
      <c r="J8909" t="s">
        <v>14349</v>
      </c>
      <c r="K8909" t="s">
        <v>14868</v>
      </c>
      <c r="L8909" t="s">
        <v>53</v>
      </c>
      <c r="P8909" t="s">
        <v>55</v>
      </c>
      <c r="R8909" t="s">
        <v>56</v>
      </c>
      <c r="T8909" t="s">
        <v>16980</v>
      </c>
      <c r="U8909" t="s">
        <v>58</v>
      </c>
      <c r="V8909">
        <v>5</v>
      </c>
      <c r="W8909">
        <v>1</v>
      </c>
      <c r="X8909">
        <v>2</v>
      </c>
      <c r="Y8909">
        <v>0</v>
      </c>
      <c r="Z8909">
        <v>2</v>
      </c>
      <c r="AA8909">
        <v>965.38</v>
      </c>
      <c r="AB8909">
        <v>965.38</v>
      </c>
      <c r="AC8909">
        <v>842</v>
      </c>
      <c r="AD8909">
        <v>0</v>
      </c>
      <c r="AE8909">
        <v>123.38</v>
      </c>
      <c r="AF8909">
        <v>0</v>
      </c>
      <c r="AG8909">
        <v>0</v>
      </c>
      <c r="AH8909">
        <v>0</v>
      </c>
      <c r="AI8909">
        <v>0</v>
      </c>
      <c r="AJ8909">
        <v>965.38</v>
      </c>
      <c r="AK8909">
        <v>0</v>
      </c>
      <c r="AL8909" t="s">
        <v>53</v>
      </c>
      <c r="AM8909" t="s">
        <v>53</v>
      </c>
      <c r="AN8909" t="s">
        <v>16981</v>
      </c>
      <c r="AO8909" t="s">
        <v>53</v>
      </c>
      <c r="AP8909" t="s">
        <v>53</v>
      </c>
    </row>
    <row r="8910" spans="2:42" x14ac:dyDescent="0.2">
      <c r="B8910" t="s">
        <v>44</v>
      </c>
      <c r="C8910" t="str">
        <f>HYPERLINK("https://us2.cloudbeds.com/connect/8493803454333002#/reservations/237798394491072?display=542NA4WUSM&amp;reservation_id=237798394491072", "542NA4WUSM")</f>
        <v>542NA4WUSM</v>
      </c>
      <c r="D8910" t="s">
        <v>45</v>
      </c>
      <c r="E8910" t="s">
        <v>46</v>
      </c>
      <c r="F8910" t="s">
        <v>47</v>
      </c>
      <c r="G8910" t="s">
        <v>48</v>
      </c>
      <c r="H8910" t="s">
        <v>3957</v>
      </c>
      <c r="I8910" t="s">
        <v>3975</v>
      </c>
      <c r="J8910" t="s">
        <v>14349</v>
      </c>
      <c r="K8910" t="s">
        <v>15838</v>
      </c>
      <c r="L8910" t="s">
        <v>53</v>
      </c>
      <c r="P8910" t="s">
        <v>55</v>
      </c>
      <c r="R8910" t="s">
        <v>56</v>
      </c>
      <c r="T8910" t="s">
        <v>16982</v>
      </c>
      <c r="U8910" t="s">
        <v>58</v>
      </c>
      <c r="V8910">
        <v>1</v>
      </c>
      <c r="W8910">
        <v>1</v>
      </c>
      <c r="X8910">
        <v>1</v>
      </c>
      <c r="Y8910">
        <v>0</v>
      </c>
      <c r="Z8910">
        <v>1</v>
      </c>
      <c r="AA8910">
        <v>143.32</v>
      </c>
      <c r="AB8910">
        <v>143.32</v>
      </c>
      <c r="AC8910">
        <v>125</v>
      </c>
      <c r="AD8910">
        <v>0</v>
      </c>
      <c r="AE8910">
        <v>18.32</v>
      </c>
      <c r="AF8910">
        <v>0</v>
      </c>
      <c r="AG8910">
        <v>0</v>
      </c>
      <c r="AH8910">
        <v>0</v>
      </c>
      <c r="AI8910">
        <v>0</v>
      </c>
      <c r="AJ8910">
        <v>143.32</v>
      </c>
      <c r="AK8910">
        <v>0</v>
      </c>
      <c r="AL8910" t="s">
        <v>53</v>
      </c>
      <c r="AM8910" t="s">
        <v>53</v>
      </c>
      <c r="AN8910" t="s">
        <v>53</v>
      </c>
      <c r="AO8910" t="s">
        <v>53</v>
      </c>
      <c r="AP8910" t="s">
        <v>53</v>
      </c>
    </row>
    <row r="8911" spans="2:42" x14ac:dyDescent="0.2">
      <c r="B8911" t="s">
        <v>44</v>
      </c>
      <c r="C8911" t="str">
        <f>HYPERLINK("https://us2.cloudbeds.com/connect/8493803454333002#/reservations/9080486849070327?display=5435ECHGPS&amp;reservation_id=9080486849070327", "5435ECHGPS")</f>
        <v>5435ECHGPS</v>
      </c>
      <c r="D8911" t="s">
        <v>45</v>
      </c>
      <c r="E8911" t="s">
        <v>185</v>
      </c>
      <c r="F8911" t="s">
        <v>47</v>
      </c>
      <c r="G8911" t="s">
        <v>48</v>
      </c>
      <c r="H8911" t="s">
        <v>49</v>
      </c>
      <c r="I8911" t="s">
        <v>50</v>
      </c>
      <c r="J8911" t="s">
        <v>15735</v>
      </c>
      <c r="K8911" t="s">
        <v>14668</v>
      </c>
      <c r="L8911" t="s">
        <v>53</v>
      </c>
      <c r="N8911" t="s">
        <v>16983</v>
      </c>
      <c r="P8911" t="s">
        <v>55</v>
      </c>
      <c r="R8911" t="s">
        <v>53</v>
      </c>
      <c r="T8911" t="s">
        <v>16984</v>
      </c>
      <c r="U8911" t="s">
        <v>55</v>
      </c>
      <c r="V8911">
        <v>1</v>
      </c>
      <c r="W8911">
        <v>1</v>
      </c>
      <c r="X8911">
        <v>2</v>
      </c>
      <c r="Y8911">
        <v>0</v>
      </c>
      <c r="Z8911">
        <v>2</v>
      </c>
      <c r="AA8911">
        <v>162.77000000000001</v>
      </c>
      <c r="AB8911">
        <v>162.77000000000001</v>
      </c>
      <c r="AC8911">
        <v>149.66999999999999</v>
      </c>
      <c r="AD8911">
        <v>0</v>
      </c>
      <c r="AE8911">
        <v>13.1</v>
      </c>
      <c r="AF8911">
        <v>0</v>
      </c>
      <c r="AG8911">
        <v>0</v>
      </c>
      <c r="AH8911">
        <v>0</v>
      </c>
      <c r="AI8911">
        <v>29.3</v>
      </c>
      <c r="AJ8911">
        <v>162.77000000000001</v>
      </c>
      <c r="AK8911">
        <v>0</v>
      </c>
      <c r="AL8911" t="s">
        <v>53</v>
      </c>
      <c r="AM8911" t="s">
        <v>53</v>
      </c>
      <c r="AN8911" t="s">
        <v>16985</v>
      </c>
      <c r="AO8911" t="s">
        <v>53</v>
      </c>
      <c r="AP8911" t="s">
        <v>53</v>
      </c>
    </row>
    <row r="8912" spans="2:42" x14ac:dyDescent="0.2">
      <c r="B8912" t="s">
        <v>44</v>
      </c>
      <c r="C8912" t="str">
        <f>HYPERLINK("https://us2.cloudbeds.com/connect/8493803454333002#/reservations/9080486849070872?display=543GWHQVDD&amp;reservation_id=9080486849070872", "543GWHQVDD")</f>
        <v>543GWHQVDD</v>
      </c>
      <c r="D8912" t="s">
        <v>45</v>
      </c>
      <c r="E8912" t="s">
        <v>121</v>
      </c>
      <c r="F8912" t="s">
        <v>86</v>
      </c>
      <c r="G8912" t="s">
        <v>48</v>
      </c>
      <c r="H8912" t="s">
        <v>49</v>
      </c>
      <c r="I8912" t="s">
        <v>50</v>
      </c>
      <c r="J8912" t="s">
        <v>15594</v>
      </c>
      <c r="K8912" t="s">
        <v>14656</v>
      </c>
      <c r="L8912" t="s">
        <v>53</v>
      </c>
      <c r="N8912" t="s">
        <v>16986</v>
      </c>
      <c r="P8912" t="s">
        <v>55</v>
      </c>
      <c r="R8912" t="s">
        <v>53</v>
      </c>
      <c r="T8912" t="s">
        <v>16987</v>
      </c>
      <c r="U8912" t="s">
        <v>55</v>
      </c>
      <c r="V8912">
        <v>2</v>
      </c>
      <c r="W8912">
        <v>1</v>
      </c>
      <c r="X8912">
        <v>3</v>
      </c>
      <c r="Y8912">
        <v>0</v>
      </c>
      <c r="Z8912">
        <v>3</v>
      </c>
      <c r="AA8912">
        <v>307.75</v>
      </c>
      <c r="AB8912">
        <v>307.75</v>
      </c>
      <c r="AC8912">
        <v>282.98</v>
      </c>
      <c r="AD8912">
        <v>0</v>
      </c>
      <c r="AE8912">
        <v>24.77</v>
      </c>
      <c r="AF8912">
        <v>0</v>
      </c>
      <c r="AG8912">
        <v>0</v>
      </c>
      <c r="AH8912">
        <v>0</v>
      </c>
      <c r="AI8912">
        <v>55.4</v>
      </c>
      <c r="AJ8912">
        <v>307.75</v>
      </c>
      <c r="AK8912">
        <v>0</v>
      </c>
      <c r="AL8912" t="s">
        <v>53</v>
      </c>
      <c r="AM8912" t="s">
        <v>53</v>
      </c>
      <c r="AN8912" t="s">
        <v>53</v>
      </c>
      <c r="AO8912" t="s">
        <v>53</v>
      </c>
      <c r="AP8912" t="s">
        <v>53</v>
      </c>
    </row>
    <row r="8913" spans="2:42" x14ac:dyDescent="0.2">
      <c r="B8913" t="s">
        <v>44</v>
      </c>
      <c r="C8913" t="str">
        <f>HYPERLINK("https://us2.cloudbeds.com/connect/8493803454333002#/reservations/237851585876160?display=543VGACH6Z&amp;reservation_id=237851585876160", "543VGACH6Z")</f>
        <v>543VGACH6Z</v>
      </c>
      <c r="D8913" t="s">
        <v>45</v>
      </c>
      <c r="E8913" t="s">
        <v>16988</v>
      </c>
      <c r="F8913" t="s">
        <v>61</v>
      </c>
      <c r="G8913" t="s">
        <v>3974</v>
      </c>
      <c r="H8913" t="s">
        <v>3957</v>
      </c>
      <c r="I8913" t="s">
        <v>3975</v>
      </c>
      <c r="J8913" t="s">
        <v>14668</v>
      </c>
      <c r="K8913" t="s">
        <v>14669</v>
      </c>
      <c r="L8913" t="s">
        <v>53</v>
      </c>
      <c r="P8913" t="s">
        <v>55</v>
      </c>
      <c r="R8913" t="s">
        <v>56</v>
      </c>
      <c r="T8913" t="s">
        <v>16989</v>
      </c>
      <c r="U8913" t="s">
        <v>58</v>
      </c>
      <c r="V8913">
        <v>4</v>
      </c>
      <c r="W8913">
        <v>2</v>
      </c>
      <c r="X8913">
        <v>4</v>
      </c>
      <c r="Y8913">
        <v>0</v>
      </c>
      <c r="Z8913">
        <v>4</v>
      </c>
      <c r="AA8913">
        <v>840.84</v>
      </c>
      <c r="AB8913">
        <v>840.84</v>
      </c>
      <c r="AC8913">
        <v>733.4</v>
      </c>
      <c r="AD8913">
        <v>0</v>
      </c>
      <c r="AE8913">
        <v>107.44</v>
      </c>
      <c r="AF8913">
        <v>0</v>
      </c>
      <c r="AG8913">
        <v>0</v>
      </c>
      <c r="AH8913">
        <v>0</v>
      </c>
      <c r="AI8913">
        <v>0</v>
      </c>
      <c r="AJ8913">
        <v>840.84</v>
      </c>
      <c r="AK8913">
        <v>0</v>
      </c>
      <c r="AL8913" t="s">
        <v>53</v>
      </c>
      <c r="AM8913" t="s">
        <v>53</v>
      </c>
      <c r="AN8913" t="s">
        <v>16990</v>
      </c>
      <c r="AO8913" t="s">
        <v>53</v>
      </c>
      <c r="AP8913" t="s">
        <v>53</v>
      </c>
    </row>
    <row r="8914" spans="2:42" x14ac:dyDescent="0.2">
      <c r="B8914" t="s">
        <v>44</v>
      </c>
      <c r="C8914" t="str">
        <f>HYPERLINK("https://us2.cloudbeds.com/connect/8493803454333002#/reservations/237860086685825?display=54452HGAAN&amp;reservation_id=237860086685825", "54452HGAAN")</f>
        <v>54452HGAAN</v>
      </c>
      <c r="D8914" t="s">
        <v>45</v>
      </c>
      <c r="E8914" t="s">
        <v>128</v>
      </c>
      <c r="F8914" t="s">
        <v>86</v>
      </c>
      <c r="G8914" t="s">
        <v>3974</v>
      </c>
      <c r="H8914" t="s">
        <v>3957</v>
      </c>
      <c r="I8914" t="s">
        <v>3975</v>
      </c>
      <c r="J8914" t="s">
        <v>14656</v>
      </c>
      <c r="K8914" t="s">
        <v>14971</v>
      </c>
      <c r="L8914" t="s">
        <v>53</v>
      </c>
      <c r="P8914" t="s">
        <v>55</v>
      </c>
      <c r="R8914" t="s">
        <v>56</v>
      </c>
      <c r="T8914" t="s">
        <v>16991</v>
      </c>
      <c r="U8914" t="s">
        <v>58</v>
      </c>
      <c r="V8914">
        <v>2</v>
      </c>
      <c r="W8914">
        <v>1</v>
      </c>
      <c r="X8914">
        <v>3</v>
      </c>
      <c r="Y8914">
        <v>0</v>
      </c>
      <c r="Z8914">
        <v>3</v>
      </c>
      <c r="AA8914">
        <v>587.05999999999995</v>
      </c>
      <c r="AB8914">
        <v>587.05999999999995</v>
      </c>
      <c r="AC8914">
        <v>512.04999999999995</v>
      </c>
      <c r="AD8914">
        <v>0</v>
      </c>
      <c r="AE8914">
        <v>75.010000000000005</v>
      </c>
      <c r="AF8914">
        <v>0</v>
      </c>
      <c r="AG8914">
        <v>0</v>
      </c>
      <c r="AH8914">
        <v>0</v>
      </c>
      <c r="AI8914">
        <v>0</v>
      </c>
      <c r="AJ8914">
        <v>587.05999999999995</v>
      </c>
      <c r="AK8914">
        <v>0</v>
      </c>
      <c r="AL8914" t="s">
        <v>53</v>
      </c>
      <c r="AM8914" t="s">
        <v>53</v>
      </c>
      <c r="AN8914" t="s">
        <v>16992</v>
      </c>
      <c r="AO8914" t="s">
        <v>53</v>
      </c>
      <c r="AP8914" t="s">
        <v>53</v>
      </c>
    </row>
    <row r="8915" spans="2:42" x14ac:dyDescent="0.2">
      <c r="B8915" t="s">
        <v>44</v>
      </c>
      <c r="C8915" t="str">
        <f>HYPERLINK("https://us2.cloudbeds.com/connect/8493803454333002#/reservations/9080486849071956?display=544774QSKN&amp;reservation_id=9080486849071956", "544774QSKN")</f>
        <v>544774QSKN</v>
      </c>
      <c r="D8915" t="s">
        <v>45</v>
      </c>
      <c r="E8915" t="s">
        <v>113</v>
      </c>
      <c r="F8915" t="s">
        <v>61</v>
      </c>
      <c r="G8915" t="s">
        <v>48</v>
      </c>
      <c r="H8915" t="s">
        <v>49</v>
      </c>
      <c r="I8915" t="s">
        <v>50</v>
      </c>
      <c r="J8915" t="s">
        <v>14847</v>
      </c>
      <c r="K8915" t="s">
        <v>14848</v>
      </c>
      <c r="L8915" t="s">
        <v>53</v>
      </c>
      <c r="N8915" t="s">
        <v>16993</v>
      </c>
      <c r="P8915" t="s">
        <v>55</v>
      </c>
      <c r="R8915" t="s">
        <v>53</v>
      </c>
      <c r="T8915" t="s">
        <v>16994</v>
      </c>
      <c r="U8915" t="s">
        <v>55</v>
      </c>
      <c r="V8915">
        <v>1</v>
      </c>
      <c r="W8915">
        <v>1</v>
      </c>
      <c r="X8915">
        <v>1</v>
      </c>
      <c r="Y8915">
        <v>0</v>
      </c>
      <c r="Z8915">
        <v>1</v>
      </c>
      <c r="AA8915">
        <v>180.1</v>
      </c>
      <c r="AB8915">
        <v>191.06</v>
      </c>
      <c r="AC8915">
        <v>165.61</v>
      </c>
      <c r="AD8915">
        <v>10</v>
      </c>
      <c r="AE8915">
        <v>15.45</v>
      </c>
      <c r="AF8915">
        <v>0</v>
      </c>
      <c r="AG8915">
        <v>0</v>
      </c>
      <c r="AH8915">
        <v>0</v>
      </c>
      <c r="AI8915">
        <v>34.39</v>
      </c>
      <c r="AJ8915">
        <v>191.06</v>
      </c>
      <c r="AK8915">
        <v>0</v>
      </c>
      <c r="AL8915" t="s">
        <v>53</v>
      </c>
      <c r="AM8915" t="s">
        <v>53</v>
      </c>
      <c r="AN8915" t="s">
        <v>53</v>
      </c>
      <c r="AO8915" t="s">
        <v>53</v>
      </c>
      <c r="AP8915" t="s">
        <v>53</v>
      </c>
    </row>
    <row r="8916" spans="2:42" x14ac:dyDescent="0.2">
      <c r="B8916" t="s">
        <v>44</v>
      </c>
      <c r="C8916" t="str">
        <f>HYPERLINK("https://us2.cloudbeds.com/connect/8493803454333002#/reservations/237867937693824?display=544B54MY3H&amp;reservation_id=237867937693824", "544B54MY3H")</f>
        <v>544B54MY3H</v>
      </c>
      <c r="D8916" t="s">
        <v>45</v>
      </c>
      <c r="E8916" t="s">
        <v>305</v>
      </c>
      <c r="F8916" t="s">
        <v>61</v>
      </c>
      <c r="G8916" t="s">
        <v>48</v>
      </c>
      <c r="H8916" t="s">
        <v>3957</v>
      </c>
      <c r="I8916" t="s">
        <v>3958</v>
      </c>
      <c r="J8916" t="s">
        <v>15838</v>
      </c>
      <c r="K8916" t="s">
        <v>14979</v>
      </c>
      <c r="L8916" t="s">
        <v>53</v>
      </c>
      <c r="P8916" t="s">
        <v>55</v>
      </c>
      <c r="R8916" t="s">
        <v>56</v>
      </c>
      <c r="T8916" t="s">
        <v>16995</v>
      </c>
      <c r="U8916" t="s">
        <v>58</v>
      </c>
      <c r="V8916">
        <v>1</v>
      </c>
      <c r="W8916">
        <v>1</v>
      </c>
      <c r="X8916">
        <v>1</v>
      </c>
      <c r="Y8916">
        <v>0</v>
      </c>
      <c r="Z8916">
        <v>1</v>
      </c>
      <c r="AA8916">
        <v>131.86000000000001</v>
      </c>
      <c r="AB8916">
        <v>263.72000000000003</v>
      </c>
      <c r="AC8916">
        <v>115</v>
      </c>
      <c r="AD8916">
        <v>0</v>
      </c>
      <c r="AE8916">
        <v>16.86</v>
      </c>
      <c r="AF8916">
        <v>0</v>
      </c>
      <c r="AG8916">
        <v>0</v>
      </c>
      <c r="AH8916">
        <v>0</v>
      </c>
      <c r="AI8916">
        <v>0</v>
      </c>
      <c r="AJ8916">
        <v>131.86000000000001</v>
      </c>
      <c r="AK8916">
        <v>0</v>
      </c>
      <c r="AL8916" t="s">
        <v>53</v>
      </c>
      <c r="AM8916" t="s">
        <v>53</v>
      </c>
      <c r="AN8916" t="s">
        <v>53</v>
      </c>
      <c r="AO8916" t="s">
        <v>53</v>
      </c>
      <c r="AP8916" t="s">
        <v>53</v>
      </c>
    </row>
    <row r="8917" spans="2:42" x14ac:dyDescent="0.2">
      <c r="B8917" t="s">
        <v>44</v>
      </c>
      <c r="C8917" t="str">
        <f>HYPERLINK("https://us2.cloudbeds.com/connect/8493803454333002#/reservations/237870724079809?display=544DAB7R1E&amp;reservation_id=237870724079809", "544DAB7R1E")</f>
        <v>544DAB7R1E</v>
      </c>
      <c r="D8917" t="s">
        <v>45</v>
      </c>
      <c r="E8917" t="s">
        <v>381</v>
      </c>
      <c r="F8917" t="s">
        <v>47</v>
      </c>
      <c r="G8917" t="s">
        <v>48</v>
      </c>
      <c r="H8917" t="s">
        <v>3957</v>
      </c>
      <c r="I8917" t="s">
        <v>3975</v>
      </c>
      <c r="J8917" t="s">
        <v>15838</v>
      </c>
      <c r="K8917" t="s">
        <v>14979</v>
      </c>
      <c r="L8917" t="s">
        <v>53</v>
      </c>
      <c r="P8917" t="s">
        <v>55</v>
      </c>
      <c r="R8917" t="s">
        <v>56</v>
      </c>
      <c r="T8917" t="s">
        <v>16996</v>
      </c>
      <c r="U8917" t="s">
        <v>58</v>
      </c>
      <c r="V8917">
        <v>1</v>
      </c>
      <c r="W8917">
        <v>1</v>
      </c>
      <c r="X8917">
        <v>1</v>
      </c>
      <c r="Y8917">
        <v>0</v>
      </c>
      <c r="Z8917">
        <v>1</v>
      </c>
      <c r="AA8917">
        <v>131.86000000000001</v>
      </c>
      <c r="AB8917">
        <v>131.86000000000001</v>
      </c>
      <c r="AC8917">
        <v>115</v>
      </c>
      <c r="AD8917">
        <v>0</v>
      </c>
      <c r="AE8917">
        <v>16.86</v>
      </c>
      <c r="AF8917">
        <v>0</v>
      </c>
      <c r="AG8917">
        <v>0</v>
      </c>
      <c r="AH8917">
        <v>0</v>
      </c>
      <c r="AI8917">
        <v>0</v>
      </c>
      <c r="AJ8917">
        <v>131.86000000000001</v>
      </c>
      <c r="AK8917">
        <v>0</v>
      </c>
      <c r="AL8917" t="s">
        <v>53</v>
      </c>
      <c r="AM8917" t="s">
        <v>53</v>
      </c>
      <c r="AN8917" t="s">
        <v>16997</v>
      </c>
      <c r="AO8917" t="s">
        <v>53</v>
      </c>
      <c r="AP8917" t="s">
        <v>53</v>
      </c>
    </row>
    <row r="8918" spans="2:42" x14ac:dyDescent="0.2">
      <c r="B8918" t="s">
        <v>44</v>
      </c>
      <c r="C8918" t="str">
        <f>HYPERLINK("https://us2.cloudbeds.com/connect/8493803454333002#/reservations/238020622409920?display=547UCJFR36&amp;reservation_id=238020622409920", "547UCJFR36")</f>
        <v>547UCJFR36</v>
      </c>
      <c r="D8918" t="s">
        <v>45</v>
      </c>
      <c r="E8918" t="s">
        <v>265</v>
      </c>
      <c r="F8918" t="s">
        <v>61</v>
      </c>
      <c r="G8918" t="s">
        <v>48</v>
      </c>
      <c r="H8918" t="s">
        <v>3957</v>
      </c>
      <c r="I8918" t="s">
        <v>3975</v>
      </c>
      <c r="J8918" t="s">
        <v>15838</v>
      </c>
      <c r="K8918" t="s">
        <v>14979</v>
      </c>
      <c r="L8918" t="s">
        <v>53</v>
      </c>
      <c r="P8918" t="s">
        <v>55</v>
      </c>
      <c r="R8918" t="s">
        <v>56</v>
      </c>
      <c r="T8918" t="s">
        <v>16998</v>
      </c>
      <c r="U8918" t="s">
        <v>58</v>
      </c>
      <c r="V8918">
        <v>1</v>
      </c>
      <c r="W8918">
        <v>1</v>
      </c>
      <c r="X8918">
        <v>2</v>
      </c>
      <c r="Y8918">
        <v>0</v>
      </c>
      <c r="Z8918">
        <v>2</v>
      </c>
      <c r="AA8918">
        <v>131.86000000000001</v>
      </c>
      <c r="AB8918">
        <v>131.86000000000001</v>
      </c>
      <c r="AC8918">
        <v>115</v>
      </c>
      <c r="AD8918">
        <v>0</v>
      </c>
      <c r="AE8918">
        <v>16.86</v>
      </c>
      <c r="AF8918">
        <v>0</v>
      </c>
      <c r="AG8918">
        <v>0</v>
      </c>
      <c r="AH8918">
        <v>0</v>
      </c>
      <c r="AI8918">
        <v>0</v>
      </c>
      <c r="AJ8918">
        <v>131.86000000000001</v>
      </c>
      <c r="AK8918">
        <v>0</v>
      </c>
      <c r="AL8918" t="s">
        <v>53</v>
      </c>
      <c r="AM8918" t="s">
        <v>53</v>
      </c>
      <c r="AN8918" t="s">
        <v>53</v>
      </c>
      <c r="AO8918" t="s">
        <v>53</v>
      </c>
      <c r="AP8918" t="s">
        <v>53</v>
      </c>
    </row>
    <row r="8919" spans="2:42" x14ac:dyDescent="0.2">
      <c r="B8919" t="s">
        <v>44</v>
      </c>
      <c r="C8919" t="str">
        <f>HYPERLINK("https://us2.cloudbeds.com/connect/8493803454333002#/reservations/238087065325696?display=549FRBUFGS&amp;reservation_id=238087065325696", "549FRBUFGS")</f>
        <v>549FRBUFGS</v>
      </c>
      <c r="D8919" t="s">
        <v>45</v>
      </c>
      <c r="E8919" t="s">
        <v>14695</v>
      </c>
      <c r="F8919" t="s">
        <v>47</v>
      </c>
      <c r="G8919" t="s">
        <v>48</v>
      </c>
      <c r="H8919" t="s">
        <v>3957</v>
      </c>
      <c r="I8919" t="s">
        <v>3958</v>
      </c>
      <c r="J8919" t="s">
        <v>15838</v>
      </c>
      <c r="K8919" t="s">
        <v>14979</v>
      </c>
      <c r="L8919" t="s">
        <v>53</v>
      </c>
      <c r="P8919" t="s">
        <v>55</v>
      </c>
      <c r="R8919" t="s">
        <v>56</v>
      </c>
      <c r="T8919" t="s">
        <v>16999</v>
      </c>
      <c r="U8919" t="s">
        <v>58</v>
      </c>
      <c r="V8919">
        <v>1</v>
      </c>
      <c r="W8919">
        <v>1</v>
      </c>
      <c r="X8919">
        <v>1</v>
      </c>
      <c r="Y8919">
        <v>0</v>
      </c>
      <c r="Z8919">
        <v>1</v>
      </c>
      <c r="AA8919">
        <v>126.12</v>
      </c>
      <c r="AB8919">
        <v>126.12</v>
      </c>
      <c r="AC8919">
        <v>110</v>
      </c>
      <c r="AD8919">
        <v>0</v>
      </c>
      <c r="AE8919">
        <v>16.12</v>
      </c>
      <c r="AF8919">
        <v>0</v>
      </c>
      <c r="AG8919">
        <v>0</v>
      </c>
      <c r="AH8919">
        <v>0</v>
      </c>
      <c r="AI8919">
        <v>0</v>
      </c>
      <c r="AJ8919">
        <v>126.12</v>
      </c>
      <c r="AK8919">
        <v>0</v>
      </c>
      <c r="AL8919" t="s">
        <v>53</v>
      </c>
      <c r="AM8919" t="s">
        <v>53</v>
      </c>
      <c r="AN8919" t="s">
        <v>53</v>
      </c>
      <c r="AO8919" t="s">
        <v>53</v>
      </c>
      <c r="AP8919" t="s">
        <v>53</v>
      </c>
    </row>
    <row r="8920" spans="2:42" x14ac:dyDescent="0.2">
      <c r="B8920" t="s">
        <v>44</v>
      </c>
      <c r="C8920" t="str">
        <f>HYPERLINK("https://us2.cloudbeds.com/connect/8493803454333002#/reservations/9080486849080287?display=549KPMP0TY&amp;reservation_id=9080486849080287", "549KPMP0TY")</f>
        <v>549KPMP0TY</v>
      </c>
      <c r="D8920" t="s">
        <v>45</v>
      </c>
      <c r="E8920" t="s">
        <v>14402</v>
      </c>
      <c r="F8920" t="s">
        <v>14403</v>
      </c>
      <c r="G8920" t="s">
        <v>48</v>
      </c>
      <c r="H8920" t="s">
        <v>49</v>
      </c>
      <c r="I8920" t="s">
        <v>50</v>
      </c>
      <c r="J8920" t="s">
        <v>15838</v>
      </c>
      <c r="K8920" t="s">
        <v>14979</v>
      </c>
      <c r="L8920" t="s">
        <v>53</v>
      </c>
      <c r="N8920" t="s">
        <v>17000</v>
      </c>
      <c r="P8920" t="s">
        <v>55</v>
      </c>
      <c r="R8920" t="s">
        <v>53</v>
      </c>
      <c r="T8920" t="s">
        <v>17001</v>
      </c>
      <c r="U8920" t="s">
        <v>55</v>
      </c>
      <c r="V8920">
        <v>1</v>
      </c>
      <c r="W8920">
        <v>1</v>
      </c>
      <c r="X8920">
        <v>1</v>
      </c>
      <c r="Y8920">
        <v>0</v>
      </c>
      <c r="Z8920">
        <v>1</v>
      </c>
      <c r="AA8920">
        <v>81.5</v>
      </c>
      <c r="AB8920">
        <v>81.5</v>
      </c>
      <c r="AC8920">
        <v>74.95</v>
      </c>
      <c r="AD8920">
        <v>0</v>
      </c>
      <c r="AE8920">
        <v>6.55</v>
      </c>
      <c r="AF8920">
        <v>0</v>
      </c>
      <c r="AG8920">
        <v>0</v>
      </c>
      <c r="AH8920">
        <v>0</v>
      </c>
      <c r="AI8920">
        <v>14.67</v>
      </c>
      <c r="AJ8920">
        <v>81.5</v>
      </c>
      <c r="AK8920">
        <v>0</v>
      </c>
      <c r="AL8920" t="s">
        <v>53</v>
      </c>
      <c r="AM8920" t="s">
        <v>53</v>
      </c>
      <c r="AN8920" t="s">
        <v>53</v>
      </c>
      <c r="AO8920" t="s">
        <v>53</v>
      </c>
      <c r="AP8920" t="s">
        <v>53</v>
      </c>
    </row>
    <row r="8921" spans="2:42" x14ac:dyDescent="0.2">
      <c r="B8921" t="s">
        <v>44</v>
      </c>
      <c r="C8921" t="str">
        <f>HYPERLINK("https://us2.cloudbeds.com/connect/8493803454333002#/reservations/9080486849080310?display=549Y5BCJA1&amp;reservation_id=9080486849080310", "549Y5BCJA1")</f>
        <v>549Y5BCJA1</v>
      </c>
      <c r="D8921" t="s">
        <v>45</v>
      </c>
      <c r="E8921" t="s">
        <v>14402</v>
      </c>
      <c r="F8921" t="s">
        <v>14403</v>
      </c>
      <c r="G8921" t="s">
        <v>48</v>
      </c>
      <c r="H8921" t="s">
        <v>49</v>
      </c>
      <c r="I8921" t="s">
        <v>50</v>
      </c>
      <c r="J8921" t="s">
        <v>14979</v>
      </c>
      <c r="K8921" t="s">
        <v>14847</v>
      </c>
      <c r="L8921" t="s">
        <v>53</v>
      </c>
      <c r="N8921" t="s">
        <v>17002</v>
      </c>
      <c r="P8921" t="s">
        <v>55</v>
      </c>
      <c r="R8921" t="s">
        <v>53</v>
      </c>
      <c r="T8921" t="s">
        <v>17003</v>
      </c>
      <c r="U8921" t="s">
        <v>55</v>
      </c>
      <c r="V8921">
        <v>1</v>
      </c>
      <c r="W8921">
        <v>1</v>
      </c>
      <c r="X8921">
        <v>1</v>
      </c>
      <c r="Y8921">
        <v>0</v>
      </c>
      <c r="Z8921">
        <v>1</v>
      </c>
      <c r="AA8921">
        <v>82.18</v>
      </c>
      <c r="AB8921">
        <v>122.18</v>
      </c>
      <c r="AC8921">
        <v>115.57</v>
      </c>
      <c r="AD8921">
        <v>0</v>
      </c>
      <c r="AE8921">
        <v>6.61</v>
      </c>
      <c r="AF8921">
        <v>0</v>
      </c>
      <c r="AG8921">
        <v>0</v>
      </c>
      <c r="AH8921">
        <v>0</v>
      </c>
      <c r="AI8921">
        <v>21.99</v>
      </c>
      <c r="AJ8921">
        <v>122.18</v>
      </c>
      <c r="AK8921">
        <v>0</v>
      </c>
      <c r="AL8921" t="s">
        <v>53</v>
      </c>
      <c r="AM8921" t="s">
        <v>53</v>
      </c>
      <c r="AN8921" t="s">
        <v>53</v>
      </c>
      <c r="AO8921" t="s">
        <v>53</v>
      </c>
      <c r="AP8921" t="s">
        <v>53</v>
      </c>
    </row>
    <row r="8922" spans="2:42" x14ac:dyDescent="0.2">
      <c r="B8922" t="s">
        <v>44</v>
      </c>
      <c r="C8922" t="str">
        <f>HYPERLINK("https://us2.cloudbeds.com/connect/8493803454333002#/reservations/238434181496960?display=54HKJWER6G&amp;reservation_id=238434181496960", "54HKJWER6G")</f>
        <v>54HKJWER6G</v>
      </c>
      <c r="D8922" t="s">
        <v>45</v>
      </c>
      <c r="E8922" t="s">
        <v>14402</v>
      </c>
      <c r="F8922" t="s">
        <v>14403</v>
      </c>
      <c r="G8922" t="s">
        <v>48</v>
      </c>
      <c r="H8922" t="s">
        <v>3957</v>
      </c>
      <c r="I8922" t="s">
        <v>3975</v>
      </c>
      <c r="J8922" t="s">
        <v>14153</v>
      </c>
      <c r="K8922" t="s">
        <v>13869</v>
      </c>
      <c r="L8922" t="s">
        <v>53</v>
      </c>
      <c r="P8922" t="s">
        <v>58</v>
      </c>
      <c r="R8922" t="s">
        <v>56</v>
      </c>
      <c r="T8922" t="s">
        <v>17004</v>
      </c>
      <c r="U8922" t="s">
        <v>58</v>
      </c>
      <c r="V8922">
        <v>4</v>
      </c>
      <c r="W8922">
        <v>1</v>
      </c>
      <c r="X8922">
        <v>1</v>
      </c>
      <c r="Y8922">
        <v>0</v>
      </c>
      <c r="Z8922">
        <v>1</v>
      </c>
      <c r="AA8922">
        <v>0</v>
      </c>
      <c r="AB8922">
        <v>887.41</v>
      </c>
      <c r="AC8922">
        <v>774</v>
      </c>
      <c r="AD8922">
        <v>0</v>
      </c>
      <c r="AE8922">
        <v>113.41</v>
      </c>
      <c r="AF8922">
        <v>0</v>
      </c>
      <c r="AG8922">
        <v>0</v>
      </c>
      <c r="AH8922">
        <v>0</v>
      </c>
      <c r="AI8922">
        <v>0</v>
      </c>
      <c r="AJ8922">
        <v>887.41</v>
      </c>
      <c r="AK8922">
        <v>0</v>
      </c>
      <c r="AL8922" t="s">
        <v>53</v>
      </c>
      <c r="AM8922" t="s">
        <v>53</v>
      </c>
      <c r="AN8922" t="s">
        <v>53</v>
      </c>
      <c r="AO8922" t="s">
        <v>53</v>
      </c>
      <c r="AP8922" t="s">
        <v>53</v>
      </c>
    </row>
    <row r="8923" spans="2:42" x14ac:dyDescent="0.2">
      <c r="B8923" t="s">
        <v>44</v>
      </c>
      <c r="C8923" t="str">
        <f>HYPERLINK("https://us2.cloudbeds.com/connect/8493803454333002#/reservations/238512390242432?display=54JF5D5FSJ&amp;reservation_id=238512390242432", "54JF5D5FSJ")</f>
        <v>54JF5D5FSJ</v>
      </c>
      <c r="D8923" t="s">
        <v>45</v>
      </c>
      <c r="E8923" t="s">
        <v>110</v>
      </c>
      <c r="F8923" t="s">
        <v>47</v>
      </c>
      <c r="G8923" t="s">
        <v>48</v>
      </c>
      <c r="H8923" t="s">
        <v>3957</v>
      </c>
      <c r="I8923" t="s">
        <v>3958</v>
      </c>
      <c r="J8923" t="s">
        <v>14979</v>
      </c>
      <c r="K8923" t="s">
        <v>14847</v>
      </c>
      <c r="L8923" t="s">
        <v>53</v>
      </c>
      <c r="P8923" t="s">
        <v>55</v>
      </c>
      <c r="R8923" t="s">
        <v>56</v>
      </c>
      <c r="T8923" t="s">
        <v>17005</v>
      </c>
      <c r="U8923" t="s">
        <v>58</v>
      </c>
      <c r="V8923">
        <v>1</v>
      </c>
      <c r="W8923">
        <v>1</v>
      </c>
      <c r="X8923">
        <v>1</v>
      </c>
      <c r="Y8923">
        <v>0</v>
      </c>
      <c r="Z8923">
        <v>1</v>
      </c>
      <c r="AA8923">
        <v>153.63999999999999</v>
      </c>
      <c r="AB8923">
        <v>153.63999999999999</v>
      </c>
      <c r="AC8923">
        <v>134</v>
      </c>
      <c r="AD8923">
        <v>0</v>
      </c>
      <c r="AE8923">
        <v>19.64</v>
      </c>
      <c r="AF8923">
        <v>0</v>
      </c>
      <c r="AG8923">
        <v>0</v>
      </c>
      <c r="AH8923">
        <v>0</v>
      </c>
      <c r="AI8923">
        <v>0</v>
      </c>
      <c r="AJ8923">
        <v>153.63999999999999</v>
      </c>
      <c r="AK8923">
        <v>0</v>
      </c>
      <c r="AL8923" t="s">
        <v>53</v>
      </c>
      <c r="AM8923" t="s">
        <v>53</v>
      </c>
      <c r="AN8923" t="s">
        <v>17006</v>
      </c>
      <c r="AO8923" t="s">
        <v>53</v>
      </c>
      <c r="AP8923" t="s">
        <v>53</v>
      </c>
    </row>
    <row r="8924" spans="2:42" x14ac:dyDescent="0.2">
      <c r="B8924" t="s">
        <v>44</v>
      </c>
      <c r="C8924" t="str">
        <f>HYPERLINK("https://us2.cloudbeds.com/connect/8493803454333002#/reservations/9080486849097758?display=54KCW05HEJ&amp;reservation_id=9080486849097758", "54KCW05HEJ")</f>
        <v>54KCW05HEJ</v>
      </c>
      <c r="D8924" t="s">
        <v>45</v>
      </c>
      <c r="E8924" t="s">
        <v>69</v>
      </c>
      <c r="F8924" t="s">
        <v>70</v>
      </c>
      <c r="G8924" t="s">
        <v>48</v>
      </c>
      <c r="H8924" t="s">
        <v>49</v>
      </c>
      <c r="I8924" t="s">
        <v>62</v>
      </c>
      <c r="J8924" t="s">
        <v>14979</v>
      </c>
      <c r="K8924" t="s">
        <v>14847</v>
      </c>
      <c r="L8924" t="s">
        <v>53</v>
      </c>
      <c r="N8924" t="s">
        <v>17007</v>
      </c>
      <c r="P8924" t="s">
        <v>55</v>
      </c>
      <c r="R8924" t="s">
        <v>56</v>
      </c>
      <c r="T8924" t="s">
        <v>17008</v>
      </c>
      <c r="U8924" t="s">
        <v>55</v>
      </c>
      <c r="V8924">
        <v>1</v>
      </c>
      <c r="W8924">
        <v>1</v>
      </c>
      <c r="X8924">
        <v>2</v>
      </c>
      <c r="Y8924">
        <v>0</v>
      </c>
      <c r="Z8924">
        <v>2</v>
      </c>
      <c r="AA8924">
        <v>135.69999999999999</v>
      </c>
      <c r="AB8924">
        <v>135.69999999999999</v>
      </c>
      <c r="AC8924">
        <v>135.69999999999999</v>
      </c>
      <c r="AD8924">
        <v>0</v>
      </c>
      <c r="AE8924">
        <v>0</v>
      </c>
      <c r="AF8924">
        <v>0</v>
      </c>
      <c r="AG8924">
        <v>0</v>
      </c>
      <c r="AH8924">
        <v>0</v>
      </c>
      <c r="AI8924">
        <v>24.43</v>
      </c>
      <c r="AJ8924">
        <v>135.69999999999999</v>
      </c>
      <c r="AK8924">
        <v>0</v>
      </c>
      <c r="AL8924" t="s">
        <v>53</v>
      </c>
      <c r="AM8924" t="s">
        <v>53</v>
      </c>
      <c r="AN8924" t="s">
        <v>53</v>
      </c>
      <c r="AO8924" t="s">
        <v>53</v>
      </c>
      <c r="AP8924" t="s">
        <v>53</v>
      </c>
    </row>
    <row r="8925" spans="2:42" x14ac:dyDescent="0.2">
      <c r="B8925" t="s">
        <v>44</v>
      </c>
      <c r="C8925" t="str">
        <f>HYPERLINK("https://us2.cloudbeds.com/connect/8493803454333002#/reservations/238565023092865?display=54KMU9XAWA&amp;reservation_id=238565023092865", "54KMU9XAWA")</f>
        <v>54KMU9XAWA</v>
      </c>
      <c r="D8925" t="s">
        <v>45</v>
      </c>
      <c r="E8925" t="s">
        <v>223</v>
      </c>
      <c r="F8925" t="s">
        <v>47</v>
      </c>
      <c r="G8925" t="s">
        <v>48</v>
      </c>
      <c r="H8925" t="s">
        <v>3957</v>
      </c>
      <c r="I8925" t="s">
        <v>3958</v>
      </c>
      <c r="J8925" t="s">
        <v>14979</v>
      </c>
      <c r="K8925" t="s">
        <v>14847</v>
      </c>
      <c r="L8925" t="s">
        <v>53</v>
      </c>
      <c r="P8925" t="s">
        <v>55</v>
      </c>
      <c r="R8925" t="s">
        <v>56</v>
      </c>
      <c r="T8925" t="s">
        <v>17009</v>
      </c>
      <c r="U8925" t="s">
        <v>58</v>
      </c>
      <c r="V8925">
        <v>1</v>
      </c>
      <c r="W8925">
        <v>1</v>
      </c>
      <c r="X8925">
        <v>1</v>
      </c>
      <c r="Y8925">
        <v>0</v>
      </c>
      <c r="Z8925">
        <v>1</v>
      </c>
      <c r="AA8925">
        <v>154.79</v>
      </c>
      <c r="AB8925">
        <v>154.79</v>
      </c>
      <c r="AC8925">
        <v>135</v>
      </c>
      <c r="AD8925">
        <v>0</v>
      </c>
      <c r="AE8925">
        <v>19.79</v>
      </c>
      <c r="AF8925">
        <v>0</v>
      </c>
      <c r="AG8925">
        <v>0</v>
      </c>
      <c r="AH8925">
        <v>0</v>
      </c>
      <c r="AI8925">
        <v>0</v>
      </c>
      <c r="AJ8925">
        <v>154.79</v>
      </c>
      <c r="AK8925">
        <v>0</v>
      </c>
      <c r="AL8925" t="s">
        <v>53</v>
      </c>
      <c r="AM8925" t="s">
        <v>53</v>
      </c>
      <c r="AN8925" t="s">
        <v>53</v>
      </c>
      <c r="AO8925" t="s">
        <v>53</v>
      </c>
      <c r="AP8925" t="s">
        <v>53</v>
      </c>
    </row>
    <row r="8926" spans="2:42" x14ac:dyDescent="0.2">
      <c r="B8926" t="s">
        <v>44</v>
      </c>
      <c r="C8926" t="str">
        <f>HYPERLINK("https://us2.cloudbeds.com/connect/8493803454333002#/reservations/9080486849098304?display=54KPGEF2Q1&amp;reservation_id=9080486849098304", "54KPGEF2Q1")</f>
        <v>54KPGEF2Q1</v>
      </c>
      <c r="D8926" t="s">
        <v>45</v>
      </c>
      <c r="E8926" t="s">
        <v>487</v>
      </c>
      <c r="F8926" t="s">
        <v>61</v>
      </c>
      <c r="G8926" t="s">
        <v>48</v>
      </c>
      <c r="H8926" t="s">
        <v>49</v>
      </c>
      <c r="I8926" t="s">
        <v>50</v>
      </c>
      <c r="J8926" t="s">
        <v>15735</v>
      </c>
      <c r="K8926" t="s">
        <v>14669</v>
      </c>
      <c r="L8926" t="s">
        <v>53</v>
      </c>
      <c r="N8926" t="s">
        <v>17010</v>
      </c>
      <c r="P8926" t="s">
        <v>55</v>
      </c>
      <c r="R8926" t="s">
        <v>53</v>
      </c>
      <c r="T8926" t="s">
        <v>17011</v>
      </c>
      <c r="U8926" t="s">
        <v>55</v>
      </c>
      <c r="V8926">
        <v>3</v>
      </c>
      <c r="W8926">
        <v>1</v>
      </c>
      <c r="X8926">
        <v>2</v>
      </c>
      <c r="Y8926">
        <v>0</v>
      </c>
      <c r="Z8926">
        <v>2</v>
      </c>
      <c r="AA8926">
        <v>644.20000000000005</v>
      </c>
      <c r="AB8926">
        <v>644.20000000000005</v>
      </c>
      <c r="AC8926">
        <v>592.37</v>
      </c>
      <c r="AD8926">
        <v>0</v>
      </c>
      <c r="AE8926">
        <v>51.83</v>
      </c>
      <c r="AF8926">
        <v>0</v>
      </c>
      <c r="AG8926">
        <v>0</v>
      </c>
      <c r="AH8926">
        <v>0</v>
      </c>
      <c r="AI8926">
        <v>115.96</v>
      </c>
      <c r="AJ8926">
        <v>644.20000000000005</v>
      </c>
      <c r="AK8926">
        <v>0</v>
      </c>
      <c r="AL8926" t="s">
        <v>53</v>
      </c>
      <c r="AM8926" t="s">
        <v>53</v>
      </c>
      <c r="AN8926" t="s">
        <v>17012</v>
      </c>
      <c r="AO8926" t="s">
        <v>53</v>
      </c>
      <c r="AP8926" t="s">
        <v>53</v>
      </c>
    </row>
    <row r="8927" spans="2:42" x14ac:dyDescent="0.2">
      <c r="B8927" t="s">
        <v>44</v>
      </c>
      <c r="C8927" t="str">
        <f>HYPERLINK("https://us2.cloudbeds.com/connect/8493803454333002#/reservations/9080486849098307?display=54KPHGTV67&amp;reservation_id=9080486849098307", "54KPHGTV67")</f>
        <v>54KPHGTV67</v>
      </c>
      <c r="D8927" t="s">
        <v>45</v>
      </c>
      <c r="E8927" t="s">
        <v>406</v>
      </c>
      <c r="F8927" t="s">
        <v>61</v>
      </c>
      <c r="G8927" t="s">
        <v>48</v>
      </c>
      <c r="H8927" t="s">
        <v>49</v>
      </c>
      <c r="I8927" t="s">
        <v>50</v>
      </c>
      <c r="J8927" t="s">
        <v>15735</v>
      </c>
      <c r="K8927" t="s">
        <v>14669</v>
      </c>
      <c r="L8927" t="s">
        <v>53</v>
      </c>
      <c r="N8927" t="s">
        <v>17013</v>
      </c>
      <c r="P8927" t="s">
        <v>55</v>
      </c>
      <c r="R8927" t="s">
        <v>53</v>
      </c>
      <c r="T8927" t="s">
        <v>17014</v>
      </c>
      <c r="U8927" t="s">
        <v>55</v>
      </c>
      <c r="V8927">
        <v>3</v>
      </c>
      <c r="W8927">
        <v>1</v>
      </c>
      <c r="X8927">
        <v>2</v>
      </c>
      <c r="Y8927">
        <v>0</v>
      </c>
      <c r="Z8927">
        <v>2</v>
      </c>
      <c r="AA8927">
        <v>644.20000000000005</v>
      </c>
      <c r="AB8927">
        <v>644.20000000000005</v>
      </c>
      <c r="AC8927">
        <v>592.37</v>
      </c>
      <c r="AD8927">
        <v>0</v>
      </c>
      <c r="AE8927">
        <v>51.83</v>
      </c>
      <c r="AF8927">
        <v>0</v>
      </c>
      <c r="AG8927">
        <v>0</v>
      </c>
      <c r="AH8927">
        <v>0</v>
      </c>
      <c r="AI8927">
        <v>115.96</v>
      </c>
      <c r="AJ8927">
        <v>644.20000000000005</v>
      </c>
      <c r="AK8927">
        <v>0</v>
      </c>
      <c r="AL8927" t="s">
        <v>53</v>
      </c>
      <c r="AM8927" t="s">
        <v>53</v>
      </c>
      <c r="AN8927" t="s">
        <v>53</v>
      </c>
      <c r="AO8927" t="s">
        <v>53</v>
      </c>
      <c r="AP8927" t="s">
        <v>53</v>
      </c>
    </row>
    <row r="8928" spans="2:42" x14ac:dyDescent="0.2">
      <c r="B8928" t="s">
        <v>44</v>
      </c>
      <c r="C8928" t="str">
        <f>HYPERLINK("https://us2.cloudbeds.com/connect/8493803454333002#/reservations/9080486849099589?display=54YNFNPQH1&amp;reservation_id=9080486849099589", "54YNFNPQH1")</f>
        <v>54YNFNPQH1</v>
      </c>
      <c r="D8928" t="s">
        <v>45</v>
      </c>
      <c r="E8928" t="s">
        <v>487</v>
      </c>
      <c r="F8928" t="s">
        <v>61</v>
      </c>
      <c r="G8928" t="s">
        <v>48</v>
      </c>
      <c r="H8928" t="s">
        <v>49</v>
      </c>
      <c r="I8928" t="s">
        <v>8964</v>
      </c>
      <c r="J8928" t="s">
        <v>14847</v>
      </c>
      <c r="K8928" t="s">
        <v>14848</v>
      </c>
      <c r="L8928" t="s">
        <v>53</v>
      </c>
      <c r="N8928" t="s">
        <v>17015</v>
      </c>
      <c r="P8928" t="s">
        <v>55</v>
      </c>
      <c r="R8928" t="s">
        <v>53</v>
      </c>
      <c r="T8928" t="s">
        <v>17016</v>
      </c>
      <c r="U8928" t="s">
        <v>55</v>
      </c>
      <c r="V8928">
        <v>1</v>
      </c>
      <c r="W8928">
        <v>1</v>
      </c>
      <c r="X8928">
        <v>1</v>
      </c>
      <c r="Y8928">
        <v>0</v>
      </c>
      <c r="Z8928">
        <v>1</v>
      </c>
      <c r="AA8928">
        <v>0</v>
      </c>
      <c r="AB8928">
        <v>0</v>
      </c>
      <c r="AC8928">
        <v>194</v>
      </c>
      <c r="AD8928">
        <v>0</v>
      </c>
      <c r="AE8928">
        <v>0</v>
      </c>
      <c r="AF8928">
        <v>0</v>
      </c>
      <c r="AG8928">
        <v>0</v>
      </c>
      <c r="AH8928">
        <v>0</v>
      </c>
      <c r="AI8928">
        <v>29.1</v>
      </c>
      <c r="AJ8928">
        <v>194</v>
      </c>
      <c r="AK8928">
        <v>194</v>
      </c>
      <c r="AL8928" t="s">
        <v>53</v>
      </c>
      <c r="AM8928" t="s">
        <v>53</v>
      </c>
      <c r="AN8928" t="s">
        <v>53</v>
      </c>
      <c r="AO8928" t="s">
        <v>53</v>
      </c>
      <c r="AP8928" t="s">
        <v>53</v>
      </c>
    </row>
    <row r="8929" spans="2:42" x14ac:dyDescent="0.2">
      <c r="B8929" t="s">
        <v>44</v>
      </c>
      <c r="C8929" t="str">
        <f>HYPERLINK("https://us2.cloudbeds.com/connect/8493803454333002#/reservations/9080486849099653?display=54YP2MA9Z6&amp;reservation_id=9080486849099653", "54YP2MA9Z6")</f>
        <v>54YP2MA9Z6</v>
      </c>
      <c r="D8929" t="s">
        <v>45</v>
      </c>
      <c r="E8929" t="s">
        <v>138</v>
      </c>
      <c r="F8929" t="s">
        <v>70</v>
      </c>
      <c r="G8929" t="s">
        <v>48</v>
      </c>
      <c r="H8929" t="s">
        <v>49</v>
      </c>
      <c r="I8929" t="s">
        <v>50</v>
      </c>
      <c r="J8929" t="s">
        <v>14868</v>
      </c>
      <c r="K8929" t="s">
        <v>14153</v>
      </c>
      <c r="L8929" t="s">
        <v>53</v>
      </c>
      <c r="N8929" t="s">
        <v>17017</v>
      </c>
      <c r="P8929" t="s">
        <v>55</v>
      </c>
      <c r="R8929" t="s">
        <v>53</v>
      </c>
      <c r="T8929" t="s">
        <v>17018</v>
      </c>
      <c r="U8929" t="s">
        <v>55</v>
      </c>
      <c r="V8929">
        <v>1</v>
      </c>
      <c r="W8929">
        <v>1</v>
      </c>
      <c r="X8929">
        <v>2</v>
      </c>
      <c r="Y8929">
        <v>0</v>
      </c>
      <c r="Z8929">
        <v>2</v>
      </c>
      <c r="AA8929">
        <v>124.12</v>
      </c>
      <c r="AB8929">
        <v>124.12</v>
      </c>
      <c r="AC8929">
        <v>114.14</v>
      </c>
      <c r="AD8929">
        <v>0</v>
      </c>
      <c r="AE8929">
        <v>9.98</v>
      </c>
      <c r="AF8929">
        <v>0</v>
      </c>
      <c r="AG8929">
        <v>0</v>
      </c>
      <c r="AH8929">
        <v>0</v>
      </c>
      <c r="AI8929">
        <v>22.34</v>
      </c>
      <c r="AJ8929">
        <v>124.12</v>
      </c>
      <c r="AK8929">
        <v>0</v>
      </c>
      <c r="AL8929" t="s">
        <v>53</v>
      </c>
      <c r="AM8929" t="s">
        <v>53</v>
      </c>
      <c r="AN8929" t="s">
        <v>17019</v>
      </c>
      <c r="AO8929" t="s">
        <v>53</v>
      </c>
      <c r="AP8929" t="s">
        <v>53</v>
      </c>
    </row>
    <row r="8930" spans="2:42" x14ac:dyDescent="0.2">
      <c r="B8930" t="s">
        <v>44</v>
      </c>
      <c r="C8930" t="str">
        <f>HYPERLINK("https://us2.cloudbeds.com/connect/8493803454333002#/reservations/9080486849100091?display=54M4MHGJZR&amp;reservation_id=9080486849100091", "54M4MHGJZR")</f>
        <v>54M4MHGJZR</v>
      </c>
      <c r="D8930" t="s">
        <v>45</v>
      </c>
      <c r="E8930" t="s">
        <v>105</v>
      </c>
      <c r="F8930" t="s">
        <v>47</v>
      </c>
      <c r="G8930" t="s">
        <v>48</v>
      </c>
      <c r="H8930" t="s">
        <v>49</v>
      </c>
      <c r="I8930" t="s">
        <v>50</v>
      </c>
      <c r="J8930" t="s">
        <v>14971</v>
      </c>
      <c r="K8930" t="s">
        <v>15947</v>
      </c>
      <c r="L8930" t="s">
        <v>53</v>
      </c>
      <c r="N8930" t="s">
        <v>17020</v>
      </c>
      <c r="P8930" t="s">
        <v>55</v>
      </c>
      <c r="R8930" t="s">
        <v>53</v>
      </c>
      <c r="T8930" t="s">
        <v>17021</v>
      </c>
      <c r="U8930" t="s">
        <v>55</v>
      </c>
      <c r="V8930">
        <v>1</v>
      </c>
      <c r="W8930">
        <v>1</v>
      </c>
      <c r="X8930">
        <v>2</v>
      </c>
      <c r="Y8930">
        <v>0</v>
      </c>
      <c r="Z8930">
        <v>2</v>
      </c>
      <c r="AA8930">
        <v>176.58</v>
      </c>
      <c r="AB8930">
        <v>176.58</v>
      </c>
      <c r="AC8930">
        <v>162.38</v>
      </c>
      <c r="AD8930">
        <v>0</v>
      </c>
      <c r="AE8930">
        <v>14.2</v>
      </c>
      <c r="AF8930">
        <v>0</v>
      </c>
      <c r="AG8930">
        <v>0</v>
      </c>
      <c r="AH8930">
        <v>0</v>
      </c>
      <c r="AI8930">
        <v>31.78</v>
      </c>
      <c r="AJ8930">
        <v>176.58</v>
      </c>
      <c r="AK8930">
        <v>0</v>
      </c>
      <c r="AL8930" t="s">
        <v>53</v>
      </c>
      <c r="AM8930" t="s">
        <v>53</v>
      </c>
      <c r="AN8930" t="s">
        <v>53</v>
      </c>
      <c r="AO8930" t="s">
        <v>53</v>
      </c>
      <c r="AP8930" t="s">
        <v>53</v>
      </c>
    </row>
    <row r="8931" spans="2:42" x14ac:dyDescent="0.2">
      <c r="B8931" t="s">
        <v>44</v>
      </c>
      <c r="C8931" t="str">
        <f>HYPERLINK("https://us2.cloudbeds.com/connect/8493803454333002#/reservations/238755935215744?display=54P5ZHNBGU&amp;reservation_id=238755935215744", "54P5ZHNBGU")</f>
        <v>54P5ZHNBGU</v>
      </c>
      <c r="D8931" t="s">
        <v>45</v>
      </c>
      <c r="E8931" t="s">
        <v>14695</v>
      </c>
      <c r="F8931" t="s">
        <v>47</v>
      </c>
      <c r="G8931" t="s">
        <v>48</v>
      </c>
      <c r="H8931" t="s">
        <v>3957</v>
      </c>
      <c r="I8931" t="s">
        <v>3975</v>
      </c>
      <c r="J8931" t="s">
        <v>14868</v>
      </c>
      <c r="K8931" t="s">
        <v>14154</v>
      </c>
      <c r="L8931" t="s">
        <v>53</v>
      </c>
      <c r="P8931" t="s">
        <v>55</v>
      </c>
      <c r="R8931" t="s">
        <v>56</v>
      </c>
      <c r="T8931" t="s">
        <v>17022</v>
      </c>
      <c r="U8931" t="s">
        <v>58</v>
      </c>
      <c r="V8931">
        <v>3</v>
      </c>
      <c r="W8931">
        <v>1</v>
      </c>
      <c r="X8931">
        <v>1</v>
      </c>
      <c r="Y8931">
        <v>0</v>
      </c>
      <c r="Z8931">
        <v>1</v>
      </c>
      <c r="AA8931">
        <v>0</v>
      </c>
      <c r="AB8931">
        <v>529.69000000000005</v>
      </c>
      <c r="AC8931">
        <v>462</v>
      </c>
      <c r="AD8931">
        <v>0</v>
      </c>
      <c r="AE8931">
        <v>67.69</v>
      </c>
      <c r="AF8931">
        <v>0</v>
      </c>
      <c r="AG8931">
        <v>0</v>
      </c>
      <c r="AH8931">
        <v>0</v>
      </c>
      <c r="AI8931">
        <v>0</v>
      </c>
      <c r="AJ8931">
        <v>529.69000000000005</v>
      </c>
      <c r="AK8931">
        <v>0</v>
      </c>
      <c r="AL8931" t="s">
        <v>53</v>
      </c>
      <c r="AM8931" t="s">
        <v>53</v>
      </c>
      <c r="AN8931" t="s">
        <v>17023</v>
      </c>
      <c r="AO8931" t="s">
        <v>53</v>
      </c>
      <c r="AP8931" t="s">
        <v>53</v>
      </c>
    </row>
    <row r="8932" spans="2:42" x14ac:dyDescent="0.2">
      <c r="B8932" t="s">
        <v>44</v>
      </c>
      <c r="C8932" t="str">
        <f>HYPERLINK("https://us2.cloudbeds.com/connect/8493803454333002#/reservations/9080486849104166?display=54PE0XDBBS&amp;reservation_id=9080486849104166", "54PE0XDBBS")</f>
        <v>54PE0XDBBS</v>
      </c>
      <c r="D8932" t="s">
        <v>45</v>
      </c>
      <c r="E8932" t="s">
        <v>406</v>
      </c>
      <c r="F8932" t="s">
        <v>61</v>
      </c>
      <c r="G8932" t="s">
        <v>48</v>
      </c>
      <c r="H8932" t="s">
        <v>49</v>
      </c>
      <c r="I8932" t="s">
        <v>8964</v>
      </c>
      <c r="J8932" t="s">
        <v>14847</v>
      </c>
      <c r="K8932" t="s">
        <v>14848</v>
      </c>
      <c r="L8932" t="s">
        <v>53</v>
      </c>
      <c r="N8932" t="s">
        <v>17024</v>
      </c>
      <c r="P8932" t="s">
        <v>55</v>
      </c>
      <c r="R8932" t="s">
        <v>53</v>
      </c>
      <c r="T8932" t="s">
        <v>17025</v>
      </c>
      <c r="U8932" t="s">
        <v>55</v>
      </c>
      <c r="V8932">
        <v>1</v>
      </c>
      <c r="W8932">
        <v>1</v>
      </c>
      <c r="X8932">
        <v>1</v>
      </c>
      <c r="Y8932">
        <v>0</v>
      </c>
      <c r="Z8932">
        <v>1</v>
      </c>
      <c r="AA8932">
        <v>0</v>
      </c>
      <c r="AB8932">
        <v>0</v>
      </c>
      <c r="AC8932">
        <v>184</v>
      </c>
      <c r="AD8932">
        <v>0</v>
      </c>
      <c r="AE8932">
        <v>0</v>
      </c>
      <c r="AF8932">
        <v>0</v>
      </c>
      <c r="AG8932">
        <v>0</v>
      </c>
      <c r="AH8932">
        <v>0</v>
      </c>
      <c r="AI8932">
        <v>27.6</v>
      </c>
      <c r="AJ8932">
        <v>184</v>
      </c>
      <c r="AK8932">
        <v>184</v>
      </c>
      <c r="AL8932" t="s">
        <v>53</v>
      </c>
      <c r="AM8932" t="s">
        <v>53</v>
      </c>
      <c r="AN8932" t="s">
        <v>17026</v>
      </c>
      <c r="AO8932" t="s">
        <v>53</v>
      </c>
      <c r="AP8932" t="s">
        <v>53</v>
      </c>
    </row>
    <row r="8933" spans="2:42" x14ac:dyDescent="0.2">
      <c r="B8933" t="s">
        <v>44</v>
      </c>
      <c r="C8933" t="str">
        <f>HYPERLINK("https://us2.cloudbeds.com/connect/8493803454333002#/reservations/238773688934528?display=54PJG64HU2&amp;reservation_id=238773688934528", "54PJG64HU2")</f>
        <v>54PJG64HU2</v>
      </c>
      <c r="D8933" t="s">
        <v>45</v>
      </c>
      <c r="E8933" t="s">
        <v>98</v>
      </c>
      <c r="F8933" t="s">
        <v>86</v>
      </c>
      <c r="G8933" t="s">
        <v>48</v>
      </c>
      <c r="H8933" t="s">
        <v>3957</v>
      </c>
      <c r="I8933" t="s">
        <v>3958</v>
      </c>
      <c r="J8933" t="s">
        <v>14847</v>
      </c>
      <c r="K8933" t="s">
        <v>14848</v>
      </c>
      <c r="L8933" t="s">
        <v>53</v>
      </c>
      <c r="P8933" t="s">
        <v>55</v>
      </c>
      <c r="R8933" t="s">
        <v>56</v>
      </c>
      <c r="T8933" t="s">
        <v>17027</v>
      </c>
      <c r="U8933" t="s">
        <v>58</v>
      </c>
      <c r="V8933">
        <v>1</v>
      </c>
      <c r="W8933">
        <v>1</v>
      </c>
      <c r="X8933">
        <v>1</v>
      </c>
      <c r="Y8933">
        <v>0</v>
      </c>
      <c r="Z8933">
        <v>1</v>
      </c>
      <c r="AA8933">
        <v>177.72</v>
      </c>
      <c r="AB8933">
        <v>189.19</v>
      </c>
      <c r="AC8933">
        <v>155</v>
      </c>
      <c r="AD8933">
        <v>10</v>
      </c>
      <c r="AE8933">
        <v>24.19</v>
      </c>
      <c r="AF8933">
        <v>0</v>
      </c>
      <c r="AG8933">
        <v>0</v>
      </c>
      <c r="AH8933">
        <v>0</v>
      </c>
      <c r="AI8933">
        <v>0</v>
      </c>
      <c r="AJ8933">
        <v>189.19</v>
      </c>
      <c r="AK8933">
        <v>0</v>
      </c>
      <c r="AL8933" t="s">
        <v>53</v>
      </c>
      <c r="AM8933" t="s">
        <v>53</v>
      </c>
      <c r="AN8933" t="s">
        <v>53</v>
      </c>
      <c r="AO8933" t="s">
        <v>53</v>
      </c>
      <c r="AP8933" t="s">
        <v>53</v>
      </c>
    </row>
    <row r="8934" spans="2:42" x14ac:dyDescent="0.2">
      <c r="B8934" t="s">
        <v>44</v>
      </c>
      <c r="C8934" t="str">
        <f>HYPERLINK("https://us2.cloudbeds.com/connect/8493803454333002#/reservations/238786037047425?display=54PT1NCY8W&amp;reservation_id=238786037047425", "54PT1NCY8W")</f>
        <v>54PT1NCY8W</v>
      </c>
      <c r="D8934" t="s">
        <v>45</v>
      </c>
      <c r="E8934" t="s">
        <v>305</v>
      </c>
      <c r="F8934" t="s">
        <v>61</v>
      </c>
      <c r="G8934" t="s">
        <v>4520</v>
      </c>
      <c r="H8934" t="s">
        <v>3957</v>
      </c>
      <c r="I8934" t="s">
        <v>3958</v>
      </c>
      <c r="J8934" t="s">
        <v>14847</v>
      </c>
      <c r="K8934" t="s">
        <v>14848</v>
      </c>
      <c r="L8934" t="s">
        <v>53</v>
      </c>
      <c r="P8934" t="s">
        <v>55</v>
      </c>
      <c r="R8934" t="s">
        <v>56</v>
      </c>
      <c r="T8934" t="s">
        <v>17028</v>
      </c>
      <c r="U8934" t="s">
        <v>58</v>
      </c>
      <c r="V8934">
        <v>1</v>
      </c>
      <c r="W8934">
        <v>1</v>
      </c>
      <c r="X8934">
        <v>1</v>
      </c>
      <c r="Y8934">
        <v>0</v>
      </c>
      <c r="Z8934">
        <v>1</v>
      </c>
      <c r="AA8934">
        <v>165.1</v>
      </c>
      <c r="AB8934">
        <v>165.1</v>
      </c>
      <c r="AC8934">
        <v>144</v>
      </c>
      <c r="AD8934">
        <v>0</v>
      </c>
      <c r="AE8934">
        <v>21.1</v>
      </c>
      <c r="AF8934">
        <v>0</v>
      </c>
      <c r="AG8934">
        <v>0</v>
      </c>
      <c r="AH8934">
        <v>0</v>
      </c>
      <c r="AI8934">
        <v>0</v>
      </c>
      <c r="AJ8934">
        <v>165.1</v>
      </c>
      <c r="AK8934">
        <v>0</v>
      </c>
      <c r="AL8934" t="s">
        <v>53</v>
      </c>
      <c r="AM8934" t="s">
        <v>53</v>
      </c>
      <c r="AN8934" t="s">
        <v>17029</v>
      </c>
      <c r="AO8934" t="s">
        <v>53</v>
      </c>
      <c r="AP8934" t="s">
        <v>53</v>
      </c>
    </row>
    <row r="8935" spans="2:42" x14ac:dyDescent="0.2">
      <c r="B8935" t="s">
        <v>44</v>
      </c>
      <c r="C8935" t="str">
        <f>HYPERLINK("https://us2.cloudbeds.com/connect/8493803454333002#/reservations/238846064824512?display=54R9HXCQAW&amp;reservation_id=238846064824512", "54R9HXCQAW")</f>
        <v>54R9HXCQAW</v>
      </c>
      <c r="D8935" t="s">
        <v>45</v>
      </c>
      <c r="E8935" t="s">
        <v>98</v>
      </c>
      <c r="F8935" t="s">
        <v>86</v>
      </c>
      <c r="G8935" t="s">
        <v>4520</v>
      </c>
      <c r="H8935" t="s">
        <v>3957</v>
      </c>
      <c r="I8935" t="s">
        <v>3958</v>
      </c>
      <c r="J8935" t="s">
        <v>14848</v>
      </c>
      <c r="K8935" t="s">
        <v>14868</v>
      </c>
      <c r="L8935" t="s">
        <v>53</v>
      </c>
      <c r="P8935" t="s">
        <v>55</v>
      </c>
      <c r="R8935" t="s">
        <v>56</v>
      </c>
      <c r="T8935" t="s">
        <v>17030</v>
      </c>
      <c r="U8935" t="s">
        <v>58</v>
      </c>
      <c r="V8935">
        <v>1</v>
      </c>
      <c r="W8935">
        <v>1</v>
      </c>
      <c r="X8935">
        <v>1</v>
      </c>
      <c r="Y8935">
        <v>0</v>
      </c>
      <c r="Z8935">
        <v>1</v>
      </c>
      <c r="AA8935">
        <v>166.13</v>
      </c>
      <c r="AB8935">
        <v>166.13</v>
      </c>
      <c r="AC8935">
        <v>144.9</v>
      </c>
      <c r="AD8935">
        <v>0</v>
      </c>
      <c r="AE8935">
        <v>21.23</v>
      </c>
      <c r="AF8935">
        <v>0</v>
      </c>
      <c r="AG8935">
        <v>0</v>
      </c>
      <c r="AH8935">
        <v>0</v>
      </c>
      <c r="AI8935">
        <v>0</v>
      </c>
      <c r="AJ8935">
        <v>166.13</v>
      </c>
      <c r="AK8935">
        <v>0</v>
      </c>
      <c r="AL8935" t="s">
        <v>53</v>
      </c>
      <c r="AM8935" t="s">
        <v>53</v>
      </c>
      <c r="AN8935" t="s">
        <v>17031</v>
      </c>
      <c r="AO8935" t="s">
        <v>53</v>
      </c>
      <c r="AP8935" t="s">
        <v>53</v>
      </c>
    </row>
    <row r="8936" spans="2:42" x14ac:dyDescent="0.2">
      <c r="B8936" t="s">
        <v>44</v>
      </c>
      <c r="C8936" t="str">
        <f>HYPERLINK("https://us2.cloudbeds.com/connect/8493803454333002#/reservations/238846739210432?display=54RA1Q1UEA&amp;reservation_id=238846739210432", "54RA1Q1UEA")</f>
        <v>54RA1Q1UEA</v>
      </c>
      <c r="D8936" t="s">
        <v>45</v>
      </c>
      <c r="E8936" t="s">
        <v>487</v>
      </c>
      <c r="F8936" t="s">
        <v>61</v>
      </c>
      <c r="G8936" t="s">
        <v>4520</v>
      </c>
      <c r="H8936" t="s">
        <v>3957</v>
      </c>
      <c r="I8936" t="s">
        <v>3958</v>
      </c>
      <c r="J8936" t="s">
        <v>14848</v>
      </c>
      <c r="K8936" t="s">
        <v>14868</v>
      </c>
      <c r="L8936" t="s">
        <v>53</v>
      </c>
      <c r="P8936" t="s">
        <v>55</v>
      </c>
      <c r="R8936" t="s">
        <v>56</v>
      </c>
      <c r="T8936" t="s">
        <v>17032</v>
      </c>
      <c r="U8936" t="s">
        <v>58</v>
      </c>
      <c r="V8936">
        <v>1</v>
      </c>
      <c r="W8936">
        <v>1</v>
      </c>
      <c r="X8936">
        <v>1</v>
      </c>
      <c r="Y8936">
        <v>0</v>
      </c>
      <c r="Z8936">
        <v>1</v>
      </c>
      <c r="AA8936">
        <v>170.27</v>
      </c>
      <c r="AB8936">
        <v>170.27</v>
      </c>
      <c r="AC8936">
        <v>148.5</v>
      </c>
      <c r="AD8936">
        <v>0</v>
      </c>
      <c r="AE8936">
        <v>21.77</v>
      </c>
      <c r="AF8936">
        <v>0</v>
      </c>
      <c r="AG8936">
        <v>0</v>
      </c>
      <c r="AH8936">
        <v>0</v>
      </c>
      <c r="AI8936">
        <v>0</v>
      </c>
      <c r="AJ8936">
        <v>170.27</v>
      </c>
      <c r="AK8936">
        <v>0</v>
      </c>
      <c r="AL8936" t="s">
        <v>53</v>
      </c>
      <c r="AM8936" t="s">
        <v>53</v>
      </c>
      <c r="AN8936" t="s">
        <v>53</v>
      </c>
      <c r="AO8936" t="s">
        <v>53</v>
      </c>
      <c r="AP8936" t="s">
        <v>53</v>
      </c>
    </row>
    <row r="8937" spans="2:42" x14ac:dyDescent="0.2">
      <c r="B8937" t="s">
        <v>44</v>
      </c>
      <c r="C8937" t="str">
        <f>HYPERLINK("https://us2.cloudbeds.com/connect/8493803454333002#/reservations/238941874184384?display=54THNNC816&amp;reservation_id=238941874184384", "54THNNC816")</f>
        <v>54THNNC816</v>
      </c>
      <c r="D8937" t="s">
        <v>45</v>
      </c>
      <c r="E8937" t="s">
        <v>13601</v>
      </c>
      <c r="F8937" t="s">
        <v>47</v>
      </c>
      <c r="G8937" t="s">
        <v>48</v>
      </c>
      <c r="H8937" t="s">
        <v>3957</v>
      </c>
      <c r="I8937" t="s">
        <v>3975</v>
      </c>
      <c r="J8937" t="s">
        <v>14153</v>
      </c>
      <c r="K8937" t="s">
        <v>14344</v>
      </c>
      <c r="L8937" t="s">
        <v>53</v>
      </c>
      <c r="P8937" t="s">
        <v>58</v>
      </c>
      <c r="R8937" t="s">
        <v>56</v>
      </c>
      <c r="T8937" t="s">
        <v>17033</v>
      </c>
      <c r="U8937" t="s">
        <v>58</v>
      </c>
      <c r="V8937">
        <v>2</v>
      </c>
      <c r="W8937">
        <v>2</v>
      </c>
      <c r="X8937">
        <v>4</v>
      </c>
      <c r="Y8937">
        <v>0</v>
      </c>
      <c r="Z8937">
        <v>4</v>
      </c>
      <c r="AA8937">
        <v>0</v>
      </c>
      <c r="AB8937">
        <v>465.5</v>
      </c>
      <c r="AC8937">
        <v>406</v>
      </c>
      <c r="AD8937">
        <v>0</v>
      </c>
      <c r="AE8937">
        <v>59.5</v>
      </c>
      <c r="AF8937">
        <v>0</v>
      </c>
      <c r="AG8937">
        <v>0</v>
      </c>
      <c r="AH8937">
        <v>0</v>
      </c>
      <c r="AI8937">
        <v>0</v>
      </c>
      <c r="AJ8937">
        <v>465.5</v>
      </c>
      <c r="AK8937">
        <v>0</v>
      </c>
      <c r="AL8937" t="s">
        <v>53</v>
      </c>
      <c r="AM8937" t="s">
        <v>53</v>
      </c>
      <c r="AN8937" t="s">
        <v>53</v>
      </c>
      <c r="AO8937" t="s">
        <v>53</v>
      </c>
      <c r="AP8937" t="s">
        <v>53</v>
      </c>
    </row>
    <row r="8938" spans="2:42" x14ac:dyDescent="0.2">
      <c r="B8938" t="s">
        <v>44</v>
      </c>
      <c r="C8938" t="str">
        <f>HYPERLINK("https://us2.cloudbeds.com/connect/8493803454333002#/reservations/9080486849116589?display=5512Y4FRSK&amp;reservation_id=9080486849116589", "5512Y4FRSK")</f>
        <v>5512Y4FRSK</v>
      </c>
      <c r="D8938" t="s">
        <v>45</v>
      </c>
      <c r="E8938" t="s">
        <v>69</v>
      </c>
      <c r="F8938" t="s">
        <v>70</v>
      </c>
      <c r="G8938" t="s">
        <v>48</v>
      </c>
      <c r="H8938" t="s">
        <v>49</v>
      </c>
      <c r="I8938" t="s">
        <v>50</v>
      </c>
      <c r="J8938" t="s">
        <v>14848</v>
      </c>
      <c r="K8938" t="s">
        <v>14153</v>
      </c>
      <c r="L8938" t="s">
        <v>53</v>
      </c>
      <c r="N8938" t="s">
        <v>17034</v>
      </c>
      <c r="P8938" t="s">
        <v>55</v>
      </c>
      <c r="R8938" t="s">
        <v>53</v>
      </c>
      <c r="T8938" t="s">
        <v>17035</v>
      </c>
      <c r="U8938" t="s">
        <v>55</v>
      </c>
      <c r="V8938">
        <v>2</v>
      </c>
      <c r="W8938">
        <v>1</v>
      </c>
      <c r="X8938">
        <v>1</v>
      </c>
      <c r="Y8938">
        <v>0</v>
      </c>
      <c r="Z8938">
        <v>1</v>
      </c>
      <c r="AA8938">
        <v>302.31</v>
      </c>
      <c r="AB8938">
        <v>302.31</v>
      </c>
      <c r="AC8938">
        <v>277.98</v>
      </c>
      <c r="AD8938">
        <v>0</v>
      </c>
      <c r="AE8938">
        <v>24.33</v>
      </c>
      <c r="AF8938">
        <v>0</v>
      </c>
      <c r="AG8938">
        <v>0</v>
      </c>
      <c r="AH8938">
        <v>0</v>
      </c>
      <c r="AI8938">
        <v>54.42</v>
      </c>
      <c r="AJ8938">
        <v>302.31</v>
      </c>
      <c r="AK8938">
        <v>0</v>
      </c>
      <c r="AL8938" t="s">
        <v>53</v>
      </c>
      <c r="AM8938" t="s">
        <v>53</v>
      </c>
      <c r="AN8938" t="s">
        <v>53</v>
      </c>
      <c r="AO8938" t="s">
        <v>53</v>
      </c>
      <c r="AP8938" t="s">
        <v>53</v>
      </c>
    </row>
    <row r="8939" spans="2:42" x14ac:dyDescent="0.2">
      <c r="B8939" t="s">
        <v>44</v>
      </c>
      <c r="C8939" t="str">
        <f>HYPERLINK("https://us2.cloudbeds.com/connect/8493803454333002#/reservations/239245510934720?display=553YRAV36H&amp;reservation_id=239245510934720", "553YRAV36H")</f>
        <v>553YRAV36H</v>
      </c>
      <c r="D8939" t="s">
        <v>45</v>
      </c>
      <c r="E8939" t="s">
        <v>15147</v>
      </c>
      <c r="F8939" t="s">
        <v>61</v>
      </c>
      <c r="G8939" t="s">
        <v>48</v>
      </c>
      <c r="H8939" t="s">
        <v>3957</v>
      </c>
      <c r="I8939" t="s">
        <v>3958</v>
      </c>
      <c r="J8939" t="s">
        <v>14848</v>
      </c>
      <c r="K8939" t="s">
        <v>14868</v>
      </c>
      <c r="L8939" t="s">
        <v>53</v>
      </c>
      <c r="P8939" t="s">
        <v>55</v>
      </c>
      <c r="R8939" t="s">
        <v>56</v>
      </c>
      <c r="T8939" t="s">
        <v>17036</v>
      </c>
      <c r="U8939" t="s">
        <v>58</v>
      </c>
      <c r="V8939">
        <v>2</v>
      </c>
      <c r="W8939">
        <v>2</v>
      </c>
      <c r="X8939">
        <v>2</v>
      </c>
      <c r="Y8939">
        <v>0</v>
      </c>
      <c r="Z8939">
        <v>2</v>
      </c>
      <c r="AA8939">
        <v>513.64</v>
      </c>
      <c r="AB8939">
        <v>523.64</v>
      </c>
      <c r="AC8939">
        <v>448</v>
      </c>
      <c r="AD8939">
        <v>0</v>
      </c>
      <c r="AE8939">
        <v>65.64</v>
      </c>
      <c r="AF8939">
        <v>0</v>
      </c>
      <c r="AG8939">
        <v>0</v>
      </c>
      <c r="AH8939">
        <v>0</v>
      </c>
      <c r="AI8939">
        <v>0</v>
      </c>
      <c r="AJ8939">
        <v>513.64</v>
      </c>
      <c r="AK8939">
        <v>-10</v>
      </c>
      <c r="AL8939" t="s">
        <v>53</v>
      </c>
      <c r="AM8939" t="s">
        <v>53</v>
      </c>
      <c r="AN8939" t="s">
        <v>53</v>
      </c>
      <c r="AO8939" t="s">
        <v>53</v>
      </c>
      <c r="AP8939" t="s">
        <v>53</v>
      </c>
    </row>
    <row r="8940" spans="2:42" x14ac:dyDescent="0.2">
      <c r="B8940" t="s">
        <v>44</v>
      </c>
      <c r="C8940" t="str">
        <f>HYPERLINK("https://us2.cloudbeds.com/connect/8493803454333002#/reservations/239246500401344?display=553MJK97QC&amp;reservation_id=239246500401344", "553MJK97QC")</f>
        <v>553MJK97QC</v>
      </c>
      <c r="D8940" t="s">
        <v>45</v>
      </c>
      <c r="E8940" t="s">
        <v>406</v>
      </c>
      <c r="F8940" t="s">
        <v>61</v>
      </c>
      <c r="G8940" t="s">
        <v>48</v>
      </c>
      <c r="H8940" t="s">
        <v>3957</v>
      </c>
      <c r="I8940" t="s">
        <v>3975</v>
      </c>
      <c r="J8940" t="s">
        <v>14868</v>
      </c>
      <c r="K8940" t="s">
        <v>14153</v>
      </c>
      <c r="L8940" t="s">
        <v>53</v>
      </c>
      <c r="P8940" t="s">
        <v>55</v>
      </c>
      <c r="R8940" t="s">
        <v>56</v>
      </c>
      <c r="T8940" t="s">
        <v>17037</v>
      </c>
      <c r="U8940" t="s">
        <v>58</v>
      </c>
      <c r="V8940">
        <v>1</v>
      </c>
      <c r="W8940">
        <v>1</v>
      </c>
      <c r="X8940">
        <v>2</v>
      </c>
      <c r="Y8940">
        <v>0</v>
      </c>
      <c r="Z8940">
        <v>2</v>
      </c>
      <c r="AA8940">
        <v>174.27</v>
      </c>
      <c r="AB8940">
        <v>174.27</v>
      </c>
      <c r="AC8940">
        <v>152</v>
      </c>
      <c r="AD8940">
        <v>0</v>
      </c>
      <c r="AE8940">
        <v>22.27</v>
      </c>
      <c r="AF8940">
        <v>0</v>
      </c>
      <c r="AG8940">
        <v>0</v>
      </c>
      <c r="AH8940">
        <v>0</v>
      </c>
      <c r="AI8940">
        <v>0</v>
      </c>
      <c r="AJ8940">
        <v>174.27</v>
      </c>
      <c r="AK8940">
        <v>0</v>
      </c>
      <c r="AL8940" t="s">
        <v>53</v>
      </c>
      <c r="AM8940" t="s">
        <v>53</v>
      </c>
      <c r="AN8940" t="s">
        <v>17038</v>
      </c>
      <c r="AO8940" t="s">
        <v>53</v>
      </c>
      <c r="AP8940" t="s">
        <v>53</v>
      </c>
    </row>
    <row r="8941" spans="2:42" x14ac:dyDescent="0.2">
      <c r="B8941" t="s">
        <v>44</v>
      </c>
      <c r="C8941" t="str">
        <f>HYPERLINK("https://us2.cloudbeds.com/connect/8493803454333002#/reservations/9080486849125118?display=557JJXS29G&amp;reservation_id=9080486849125118", "557JJXS29G")</f>
        <v>557JJXS29G</v>
      </c>
      <c r="D8941" t="s">
        <v>45</v>
      </c>
      <c r="E8941" t="s">
        <v>113</v>
      </c>
      <c r="F8941" t="s">
        <v>61</v>
      </c>
      <c r="G8941" t="s">
        <v>48</v>
      </c>
      <c r="H8941" t="s">
        <v>49</v>
      </c>
      <c r="I8941" t="s">
        <v>50</v>
      </c>
      <c r="J8941" t="s">
        <v>14154</v>
      </c>
      <c r="K8941" t="s">
        <v>14976</v>
      </c>
      <c r="L8941" t="s">
        <v>53</v>
      </c>
      <c r="N8941" t="s">
        <v>17039</v>
      </c>
      <c r="P8941" t="s">
        <v>55</v>
      </c>
      <c r="R8941" t="s">
        <v>53</v>
      </c>
      <c r="T8941" t="s">
        <v>17040</v>
      </c>
      <c r="U8941" t="s">
        <v>55</v>
      </c>
      <c r="V8941">
        <v>1</v>
      </c>
      <c r="W8941">
        <v>1</v>
      </c>
      <c r="X8941">
        <v>2</v>
      </c>
      <c r="Y8941">
        <v>0</v>
      </c>
      <c r="Z8941">
        <v>2</v>
      </c>
      <c r="AA8941">
        <v>165.54</v>
      </c>
      <c r="AB8941">
        <v>177.01</v>
      </c>
      <c r="AC8941">
        <v>152.22</v>
      </c>
      <c r="AD8941">
        <v>10</v>
      </c>
      <c r="AE8941">
        <v>14.79</v>
      </c>
      <c r="AF8941">
        <v>0</v>
      </c>
      <c r="AG8941">
        <v>0</v>
      </c>
      <c r="AH8941">
        <v>0</v>
      </c>
      <c r="AI8941">
        <v>31.86</v>
      </c>
      <c r="AJ8941">
        <v>177.01</v>
      </c>
      <c r="AK8941">
        <v>0</v>
      </c>
      <c r="AL8941" t="s">
        <v>53</v>
      </c>
      <c r="AM8941" t="s">
        <v>53</v>
      </c>
      <c r="AN8941" t="s">
        <v>17041</v>
      </c>
      <c r="AO8941" t="s">
        <v>53</v>
      </c>
      <c r="AP8941" t="s">
        <v>53</v>
      </c>
    </row>
    <row r="8942" spans="2:42" x14ac:dyDescent="0.2">
      <c r="B8942" t="s">
        <v>44</v>
      </c>
      <c r="C8942" t="str">
        <f>HYPERLINK("https://us2.cloudbeds.com/connect/8493803454333002#/reservations/9080486849126204?display=558E0SCHBS&amp;reservation_id=9080486849126204", "558E0SCHBS")</f>
        <v>558E0SCHBS</v>
      </c>
      <c r="D8942" t="s">
        <v>45</v>
      </c>
      <c r="E8942" t="s">
        <v>487</v>
      </c>
      <c r="F8942" t="s">
        <v>61</v>
      </c>
      <c r="G8942" t="s">
        <v>48</v>
      </c>
      <c r="H8942" t="s">
        <v>49</v>
      </c>
      <c r="I8942" t="s">
        <v>50</v>
      </c>
      <c r="J8942" t="s">
        <v>14868</v>
      </c>
      <c r="K8942" t="s">
        <v>14344</v>
      </c>
      <c r="L8942" t="s">
        <v>53</v>
      </c>
      <c r="N8942" t="s">
        <v>17042</v>
      </c>
      <c r="P8942" t="s">
        <v>55</v>
      </c>
      <c r="R8942" t="s">
        <v>53</v>
      </c>
      <c r="T8942" t="s">
        <v>17043</v>
      </c>
      <c r="U8942" t="s">
        <v>55</v>
      </c>
      <c r="V8942">
        <v>2</v>
      </c>
      <c r="W8942">
        <v>1</v>
      </c>
      <c r="X8942">
        <v>2</v>
      </c>
      <c r="Y8942">
        <v>0</v>
      </c>
      <c r="Z8942">
        <v>2</v>
      </c>
      <c r="AA8942">
        <v>308.62</v>
      </c>
      <c r="AB8942">
        <v>308.62</v>
      </c>
      <c r="AC8942">
        <v>283.79000000000002</v>
      </c>
      <c r="AD8942">
        <v>0</v>
      </c>
      <c r="AE8942">
        <v>24.83</v>
      </c>
      <c r="AF8942">
        <v>0</v>
      </c>
      <c r="AG8942">
        <v>0</v>
      </c>
      <c r="AH8942">
        <v>0</v>
      </c>
      <c r="AI8942">
        <v>55.55</v>
      </c>
      <c r="AJ8942">
        <v>308.62</v>
      </c>
      <c r="AK8942">
        <v>0</v>
      </c>
      <c r="AL8942" t="s">
        <v>53</v>
      </c>
      <c r="AM8942" t="s">
        <v>53</v>
      </c>
      <c r="AN8942" t="s">
        <v>53</v>
      </c>
      <c r="AO8942" t="s">
        <v>53</v>
      </c>
      <c r="AP8942" t="s">
        <v>53</v>
      </c>
    </row>
    <row r="8943" spans="2:42" x14ac:dyDescent="0.2">
      <c r="B8943" t="s">
        <v>44</v>
      </c>
      <c r="C8943" t="str">
        <f>HYPERLINK("https://us2.cloudbeds.com/connect/8493803454333002#/reservations/9080486849127825?display=559BEQHK1K&amp;reservation_id=9080486849127825", "559BEQHK1K")</f>
        <v>559BEQHK1K</v>
      </c>
      <c r="D8943" t="s">
        <v>45</v>
      </c>
      <c r="E8943" t="s">
        <v>15147</v>
      </c>
      <c r="F8943" t="s">
        <v>61</v>
      </c>
      <c r="G8943" t="s">
        <v>48</v>
      </c>
      <c r="H8943" t="s">
        <v>49</v>
      </c>
      <c r="I8943" t="s">
        <v>62</v>
      </c>
      <c r="J8943" t="s">
        <v>14868</v>
      </c>
      <c r="K8943" t="s">
        <v>14153</v>
      </c>
      <c r="L8943" t="s">
        <v>53</v>
      </c>
      <c r="N8943" t="s">
        <v>17044</v>
      </c>
      <c r="P8943" t="s">
        <v>55</v>
      </c>
      <c r="R8943" t="s">
        <v>17045</v>
      </c>
      <c r="T8943" t="s">
        <v>17046</v>
      </c>
      <c r="U8943" t="s">
        <v>55</v>
      </c>
      <c r="V8943">
        <v>2</v>
      </c>
      <c r="W8943">
        <v>2</v>
      </c>
      <c r="X8943">
        <v>4</v>
      </c>
      <c r="Y8943">
        <v>0</v>
      </c>
      <c r="Z8943">
        <v>4</v>
      </c>
      <c r="AA8943">
        <v>356</v>
      </c>
      <c r="AB8943">
        <v>356</v>
      </c>
      <c r="AC8943">
        <v>356</v>
      </c>
      <c r="AD8943">
        <v>0</v>
      </c>
      <c r="AE8943">
        <v>0</v>
      </c>
      <c r="AF8943">
        <v>0</v>
      </c>
      <c r="AG8943">
        <v>0</v>
      </c>
      <c r="AH8943">
        <v>0</v>
      </c>
      <c r="AI8943">
        <v>64.08</v>
      </c>
      <c r="AJ8943">
        <v>356</v>
      </c>
      <c r="AK8943">
        <v>0</v>
      </c>
      <c r="AL8943" t="s">
        <v>53</v>
      </c>
      <c r="AM8943" t="s">
        <v>53</v>
      </c>
      <c r="AN8943" t="s">
        <v>53</v>
      </c>
      <c r="AO8943" t="s">
        <v>53</v>
      </c>
      <c r="AP8943" t="s">
        <v>53</v>
      </c>
    </row>
    <row r="8944" spans="2:42" x14ac:dyDescent="0.2">
      <c r="B8944" t="s">
        <v>44</v>
      </c>
      <c r="C8944" t="str">
        <f>HYPERLINK("https://us2.cloudbeds.com/connect/8493803454333002#/reservations/9080486849131166?display=55B1TY88BT&amp;reservation_id=9080486849131166", "55B1TY88BT")</f>
        <v>55B1TY88BT</v>
      </c>
      <c r="D8944" t="s">
        <v>45</v>
      </c>
      <c r="E8944" t="s">
        <v>138</v>
      </c>
      <c r="F8944" t="s">
        <v>70</v>
      </c>
      <c r="G8944" t="s">
        <v>48</v>
      </c>
      <c r="H8944" t="s">
        <v>49</v>
      </c>
      <c r="I8944" t="s">
        <v>50</v>
      </c>
      <c r="J8944" t="s">
        <v>15735</v>
      </c>
      <c r="K8944" t="s">
        <v>14668</v>
      </c>
      <c r="L8944" t="s">
        <v>53</v>
      </c>
      <c r="N8944" t="s">
        <v>17047</v>
      </c>
      <c r="P8944" t="s">
        <v>55</v>
      </c>
      <c r="R8944" t="s">
        <v>53</v>
      </c>
      <c r="T8944" t="s">
        <v>17048</v>
      </c>
      <c r="U8944" t="s">
        <v>55</v>
      </c>
      <c r="V8944">
        <v>1</v>
      </c>
      <c r="W8944">
        <v>1</v>
      </c>
      <c r="X8944">
        <v>1</v>
      </c>
      <c r="Y8944">
        <v>0</v>
      </c>
      <c r="Z8944">
        <v>1</v>
      </c>
      <c r="AA8944">
        <v>165.47</v>
      </c>
      <c r="AB8944">
        <v>165.47</v>
      </c>
      <c r="AC8944">
        <v>152.15</v>
      </c>
      <c r="AD8944">
        <v>0</v>
      </c>
      <c r="AE8944">
        <v>13.32</v>
      </c>
      <c r="AF8944">
        <v>0</v>
      </c>
      <c r="AG8944">
        <v>0</v>
      </c>
      <c r="AH8944">
        <v>0</v>
      </c>
      <c r="AI8944">
        <v>29.78</v>
      </c>
      <c r="AJ8944">
        <v>165.47</v>
      </c>
      <c r="AK8944">
        <v>0</v>
      </c>
      <c r="AL8944" t="s">
        <v>53</v>
      </c>
      <c r="AM8944" t="s">
        <v>53</v>
      </c>
      <c r="AN8944" t="s">
        <v>17049</v>
      </c>
      <c r="AO8944" t="s">
        <v>53</v>
      </c>
      <c r="AP8944" t="s">
        <v>53</v>
      </c>
    </row>
    <row r="8945" spans="2:42" x14ac:dyDescent="0.2">
      <c r="B8945" t="s">
        <v>44</v>
      </c>
      <c r="C8945" t="str">
        <f>HYPERLINK("https://us2.cloudbeds.com/connect/8493803454333002#/reservations/9080486849131421?display=55B6GW9DYA&amp;reservation_id=9080486849131421", "55B6GW9DYA")</f>
        <v>55B6GW9DYA</v>
      </c>
      <c r="D8945" t="s">
        <v>45</v>
      </c>
      <c r="E8945" t="s">
        <v>14402</v>
      </c>
      <c r="F8945" t="s">
        <v>14403</v>
      </c>
      <c r="G8945" t="s">
        <v>48</v>
      </c>
      <c r="H8945" t="s">
        <v>49</v>
      </c>
      <c r="I8945" t="s">
        <v>50</v>
      </c>
      <c r="J8945" t="s">
        <v>15735</v>
      </c>
      <c r="K8945" t="s">
        <v>15594</v>
      </c>
      <c r="L8945" t="s">
        <v>53</v>
      </c>
      <c r="N8945" t="s">
        <v>17050</v>
      </c>
      <c r="P8945" t="s">
        <v>55</v>
      </c>
      <c r="R8945" t="s">
        <v>53</v>
      </c>
      <c r="T8945" t="s">
        <v>17051</v>
      </c>
      <c r="U8945" t="s">
        <v>55</v>
      </c>
      <c r="V8945">
        <v>4</v>
      </c>
      <c r="W8945">
        <v>1</v>
      </c>
      <c r="X8945">
        <v>2</v>
      </c>
      <c r="Y8945">
        <v>0</v>
      </c>
      <c r="Z8945">
        <v>2</v>
      </c>
      <c r="AA8945">
        <v>775.38</v>
      </c>
      <c r="AB8945">
        <v>775.38</v>
      </c>
      <c r="AC8945">
        <v>712.99</v>
      </c>
      <c r="AD8945">
        <v>0</v>
      </c>
      <c r="AE8945">
        <v>62.39</v>
      </c>
      <c r="AF8945">
        <v>0</v>
      </c>
      <c r="AG8945">
        <v>0</v>
      </c>
      <c r="AH8945">
        <v>0</v>
      </c>
      <c r="AI8945">
        <v>139.57</v>
      </c>
      <c r="AJ8945">
        <v>775.38</v>
      </c>
      <c r="AK8945">
        <v>0</v>
      </c>
      <c r="AL8945" t="s">
        <v>53</v>
      </c>
      <c r="AM8945" t="s">
        <v>53</v>
      </c>
      <c r="AN8945" t="s">
        <v>17052</v>
      </c>
      <c r="AO8945" t="s">
        <v>53</v>
      </c>
      <c r="AP8945" t="s">
        <v>53</v>
      </c>
    </row>
    <row r="8946" spans="2:42" x14ac:dyDescent="0.2">
      <c r="B8946" t="s">
        <v>44</v>
      </c>
      <c r="C8946" t="str">
        <f>HYPERLINK("https://us2.cloudbeds.com/connect/8493803454333002#/reservations/9080486849131873?display=55BFNX0QN2&amp;reservation_id=9080486849131873", "55BFNX0QN2")</f>
        <v>55BFNX0QN2</v>
      </c>
      <c r="D8946" t="s">
        <v>45</v>
      </c>
      <c r="E8946" t="s">
        <v>381</v>
      </c>
      <c r="F8946" t="s">
        <v>47</v>
      </c>
      <c r="G8946" t="s">
        <v>48</v>
      </c>
      <c r="H8946" t="s">
        <v>49</v>
      </c>
      <c r="I8946" t="s">
        <v>62</v>
      </c>
      <c r="J8946" t="s">
        <v>14970</v>
      </c>
      <c r="K8946" t="s">
        <v>15947</v>
      </c>
      <c r="L8946" t="s">
        <v>53</v>
      </c>
      <c r="N8946" t="s">
        <v>17053</v>
      </c>
      <c r="P8946" t="s">
        <v>55</v>
      </c>
      <c r="R8946" t="s">
        <v>56</v>
      </c>
      <c r="T8946" t="s">
        <v>17054</v>
      </c>
      <c r="U8946" t="s">
        <v>55</v>
      </c>
      <c r="V8946">
        <v>2</v>
      </c>
      <c r="W8946">
        <v>1</v>
      </c>
      <c r="X8946">
        <v>2</v>
      </c>
      <c r="Y8946">
        <v>0</v>
      </c>
      <c r="Z8946">
        <v>2</v>
      </c>
      <c r="AA8946">
        <v>408.15</v>
      </c>
      <c r="AB8946">
        <v>408.15</v>
      </c>
      <c r="AC8946">
        <v>408.15</v>
      </c>
      <c r="AD8946">
        <v>0</v>
      </c>
      <c r="AE8946">
        <v>0</v>
      </c>
      <c r="AF8946">
        <v>0</v>
      </c>
      <c r="AG8946">
        <v>0</v>
      </c>
      <c r="AH8946">
        <v>0</v>
      </c>
      <c r="AI8946">
        <v>73.47</v>
      </c>
      <c r="AJ8946">
        <v>408.15</v>
      </c>
      <c r="AK8946">
        <v>0</v>
      </c>
      <c r="AL8946" t="s">
        <v>53</v>
      </c>
      <c r="AM8946" t="s">
        <v>53</v>
      </c>
      <c r="AN8946" t="s">
        <v>53</v>
      </c>
      <c r="AO8946" t="s">
        <v>53</v>
      </c>
      <c r="AP8946" t="s">
        <v>53</v>
      </c>
    </row>
    <row r="8947" spans="2:42" x14ac:dyDescent="0.2">
      <c r="B8947" t="s">
        <v>44</v>
      </c>
      <c r="C8947" t="str">
        <f>HYPERLINK("https://us2.cloudbeds.com/connect/8493803454333002#/reservations/9080486849132346?display=55BQ59WMQJ&amp;reservation_id=9080486849132346", "55BQ59WMQJ")</f>
        <v>55BQ59WMQJ</v>
      </c>
      <c r="D8947" t="s">
        <v>45</v>
      </c>
      <c r="E8947" t="s">
        <v>110</v>
      </c>
      <c r="F8947" t="s">
        <v>47</v>
      </c>
      <c r="G8947" t="s">
        <v>48</v>
      </c>
      <c r="H8947" t="s">
        <v>49</v>
      </c>
      <c r="I8947" t="s">
        <v>50</v>
      </c>
      <c r="J8947" t="s">
        <v>14656</v>
      </c>
      <c r="K8947" t="s">
        <v>14970</v>
      </c>
      <c r="L8947" t="s">
        <v>53</v>
      </c>
      <c r="N8947" t="s">
        <v>17055</v>
      </c>
      <c r="P8947" t="s">
        <v>55</v>
      </c>
      <c r="R8947" t="s">
        <v>53</v>
      </c>
      <c r="T8947" t="s">
        <v>17056</v>
      </c>
      <c r="U8947" t="s">
        <v>55</v>
      </c>
      <c r="V8947">
        <v>1</v>
      </c>
      <c r="W8947">
        <v>1</v>
      </c>
      <c r="X8947">
        <v>2</v>
      </c>
      <c r="Y8947">
        <v>0</v>
      </c>
      <c r="Z8947">
        <v>2</v>
      </c>
      <c r="AA8947">
        <v>175.63</v>
      </c>
      <c r="AB8947">
        <v>175.63</v>
      </c>
      <c r="AC8947">
        <v>161.5</v>
      </c>
      <c r="AD8947">
        <v>0</v>
      </c>
      <c r="AE8947">
        <v>14.13</v>
      </c>
      <c r="AF8947">
        <v>0</v>
      </c>
      <c r="AG8947">
        <v>0</v>
      </c>
      <c r="AH8947">
        <v>0</v>
      </c>
      <c r="AI8947">
        <v>31.61</v>
      </c>
      <c r="AJ8947">
        <v>175.63</v>
      </c>
      <c r="AK8947">
        <v>0</v>
      </c>
      <c r="AL8947" t="s">
        <v>53</v>
      </c>
      <c r="AM8947" t="s">
        <v>53</v>
      </c>
      <c r="AN8947" t="s">
        <v>17057</v>
      </c>
      <c r="AO8947" t="s">
        <v>53</v>
      </c>
      <c r="AP8947" t="s">
        <v>53</v>
      </c>
    </row>
    <row r="8948" spans="2:42" x14ac:dyDescent="0.2">
      <c r="B8948" t="s">
        <v>44</v>
      </c>
      <c r="C8948" t="str">
        <f>HYPERLINK("https://us2.cloudbeds.com/connect/8493803454333002#/reservations/239593498464384?display=55BR9782PT&amp;reservation_id=239593498464384", "55BR9782PT")</f>
        <v>55BR9782PT</v>
      </c>
      <c r="D8948" t="s">
        <v>45</v>
      </c>
      <c r="E8948" t="s">
        <v>305</v>
      </c>
      <c r="F8948" t="s">
        <v>61</v>
      </c>
      <c r="G8948" t="s">
        <v>48</v>
      </c>
      <c r="H8948" t="s">
        <v>3957</v>
      </c>
      <c r="I8948" t="s">
        <v>3958</v>
      </c>
      <c r="J8948" t="s">
        <v>14868</v>
      </c>
      <c r="K8948" t="s">
        <v>14153</v>
      </c>
      <c r="L8948" t="s">
        <v>53</v>
      </c>
      <c r="P8948" t="s">
        <v>55</v>
      </c>
      <c r="R8948" t="s">
        <v>56</v>
      </c>
      <c r="T8948" t="s">
        <v>17058</v>
      </c>
      <c r="U8948" t="s">
        <v>58</v>
      </c>
      <c r="V8948">
        <v>1</v>
      </c>
      <c r="W8948">
        <v>1</v>
      </c>
      <c r="X8948">
        <v>1</v>
      </c>
      <c r="Y8948">
        <v>0</v>
      </c>
      <c r="Z8948">
        <v>1</v>
      </c>
      <c r="AA8948">
        <v>175.42</v>
      </c>
      <c r="AB8948">
        <v>175.42</v>
      </c>
      <c r="AC8948">
        <v>153</v>
      </c>
      <c r="AD8948">
        <v>0</v>
      </c>
      <c r="AE8948">
        <v>22.42</v>
      </c>
      <c r="AF8948">
        <v>0</v>
      </c>
      <c r="AG8948">
        <v>0</v>
      </c>
      <c r="AH8948">
        <v>0</v>
      </c>
      <c r="AI8948">
        <v>0</v>
      </c>
      <c r="AJ8948">
        <v>175.42</v>
      </c>
      <c r="AK8948">
        <v>0</v>
      </c>
      <c r="AL8948" t="s">
        <v>53</v>
      </c>
      <c r="AM8948" t="s">
        <v>53</v>
      </c>
      <c r="AN8948" t="s">
        <v>53</v>
      </c>
      <c r="AO8948" t="s">
        <v>53</v>
      </c>
      <c r="AP8948" t="s">
        <v>53</v>
      </c>
    </row>
    <row r="8949" spans="2:42" x14ac:dyDescent="0.2">
      <c r="B8949" t="s">
        <v>44</v>
      </c>
      <c r="C8949" t="str">
        <f>HYPERLINK("https://us2.cloudbeds.com/connect/8493803454333002#/reservations/239632895447169?display=55CZPTR30V&amp;reservation_id=239632895447169", "55CZPTR30V")</f>
        <v>55CZPTR30V</v>
      </c>
      <c r="D8949" t="s">
        <v>45</v>
      </c>
      <c r="E8949" t="s">
        <v>105</v>
      </c>
      <c r="F8949" t="s">
        <v>47</v>
      </c>
      <c r="G8949" t="s">
        <v>48</v>
      </c>
      <c r="H8949" t="s">
        <v>3957</v>
      </c>
      <c r="I8949" t="s">
        <v>3958</v>
      </c>
      <c r="J8949" t="s">
        <v>14868</v>
      </c>
      <c r="K8949" t="s">
        <v>14153</v>
      </c>
      <c r="L8949" t="s">
        <v>53</v>
      </c>
      <c r="P8949" t="s">
        <v>55</v>
      </c>
      <c r="R8949" t="s">
        <v>56</v>
      </c>
      <c r="T8949" t="s">
        <v>17059</v>
      </c>
      <c r="U8949" t="s">
        <v>58</v>
      </c>
      <c r="V8949">
        <v>1</v>
      </c>
      <c r="W8949">
        <v>1</v>
      </c>
      <c r="X8949">
        <v>1</v>
      </c>
      <c r="Y8949">
        <v>0</v>
      </c>
      <c r="Z8949">
        <v>1</v>
      </c>
      <c r="AA8949">
        <v>183.44</v>
      </c>
      <c r="AB8949">
        <v>183.44</v>
      </c>
      <c r="AC8949">
        <v>160</v>
      </c>
      <c r="AD8949">
        <v>0</v>
      </c>
      <c r="AE8949">
        <v>23.44</v>
      </c>
      <c r="AF8949">
        <v>0</v>
      </c>
      <c r="AG8949">
        <v>0</v>
      </c>
      <c r="AH8949">
        <v>0</v>
      </c>
      <c r="AI8949">
        <v>0</v>
      </c>
      <c r="AJ8949">
        <v>183.44</v>
      </c>
      <c r="AK8949">
        <v>0</v>
      </c>
      <c r="AL8949" t="s">
        <v>53</v>
      </c>
      <c r="AM8949" t="s">
        <v>53</v>
      </c>
      <c r="AN8949" t="s">
        <v>53</v>
      </c>
      <c r="AO8949" t="s">
        <v>53</v>
      </c>
      <c r="AP8949" t="s">
        <v>53</v>
      </c>
    </row>
    <row r="8950" spans="2:42" x14ac:dyDescent="0.2">
      <c r="B8950" t="s">
        <v>44</v>
      </c>
      <c r="C8950" t="str">
        <f>HYPERLINK("https://us2.cloudbeds.com/connect/8493803454333002#/reservations/239951743033472?display=55K7M6HVVG&amp;reservation_id=239951743033472", "55K7M6HVVG")</f>
        <v>55K7M6HVVG</v>
      </c>
      <c r="D8950" t="s">
        <v>45</v>
      </c>
      <c r="E8950" t="s">
        <v>406</v>
      </c>
      <c r="F8950" t="s">
        <v>61</v>
      </c>
      <c r="G8950" t="s">
        <v>48</v>
      </c>
      <c r="H8950" t="s">
        <v>3957</v>
      </c>
      <c r="I8950" t="s">
        <v>3958</v>
      </c>
      <c r="J8950" t="s">
        <v>14153</v>
      </c>
      <c r="K8950" t="s">
        <v>14344</v>
      </c>
      <c r="L8950" t="s">
        <v>53</v>
      </c>
      <c r="P8950" t="s">
        <v>55</v>
      </c>
      <c r="R8950" t="s">
        <v>56</v>
      </c>
      <c r="T8950" t="s">
        <v>17060</v>
      </c>
      <c r="U8950" t="s">
        <v>58</v>
      </c>
      <c r="V8950">
        <v>1</v>
      </c>
      <c r="W8950">
        <v>1</v>
      </c>
      <c r="X8950">
        <v>1</v>
      </c>
      <c r="Y8950">
        <v>0</v>
      </c>
      <c r="Z8950">
        <v>1</v>
      </c>
      <c r="AA8950">
        <v>238.47</v>
      </c>
      <c r="AB8950">
        <v>238.47</v>
      </c>
      <c r="AC8950">
        <v>208</v>
      </c>
      <c r="AD8950">
        <v>0</v>
      </c>
      <c r="AE8950">
        <v>30.47</v>
      </c>
      <c r="AF8950">
        <v>0</v>
      </c>
      <c r="AG8950">
        <v>0</v>
      </c>
      <c r="AH8950">
        <v>0</v>
      </c>
      <c r="AI8950">
        <v>0</v>
      </c>
      <c r="AJ8950">
        <v>238.47</v>
      </c>
      <c r="AK8950">
        <v>0</v>
      </c>
      <c r="AL8950" t="s">
        <v>53</v>
      </c>
      <c r="AM8950" t="s">
        <v>53</v>
      </c>
      <c r="AN8950" t="s">
        <v>53</v>
      </c>
      <c r="AO8950" t="s">
        <v>53</v>
      </c>
      <c r="AP8950" t="s">
        <v>53</v>
      </c>
    </row>
    <row r="8951" spans="2:42" x14ac:dyDescent="0.2">
      <c r="B8951" t="s">
        <v>44</v>
      </c>
      <c r="C8951" t="str">
        <f>HYPERLINK("https://us2.cloudbeds.com/connect/8493803454333002#/reservations/240220479914176?display=55QHP1J85H&amp;reservation_id=240220479914176", "55QHP1J85H")</f>
        <v>55QHP1J85H</v>
      </c>
      <c r="D8951" t="s">
        <v>45</v>
      </c>
      <c r="E8951" t="s">
        <v>373</v>
      </c>
      <c r="F8951" t="s">
        <v>47</v>
      </c>
      <c r="G8951" t="s">
        <v>48</v>
      </c>
      <c r="H8951" t="s">
        <v>3957</v>
      </c>
      <c r="I8951" t="s">
        <v>3975</v>
      </c>
      <c r="J8951" t="s">
        <v>15231</v>
      </c>
      <c r="K8951" t="s">
        <v>15075</v>
      </c>
      <c r="L8951" t="s">
        <v>53</v>
      </c>
      <c r="P8951" t="s">
        <v>55</v>
      </c>
      <c r="R8951" t="s">
        <v>56</v>
      </c>
      <c r="T8951" t="s">
        <v>17061</v>
      </c>
      <c r="U8951" t="s">
        <v>58</v>
      </c>
      <c r="V8951">
        <v>1</v>
      </c>
      <c r="W8951">
        <v>1</v>
      </c>
      <c r="X8951">
        <v>2</v>
      </c>
      <c r="Y8951">
        <v>0</v>
      </c>
      <c r="Z8951">
        <v>2</v>
      </c>
      <c r="AA8951">
        <v>0</v>
      </c>
      <c r="AB8951">
        <v>198.35</v>
      </c>
      <c r="AC8951">
        <v>173</v>
      </c>
      <c r="AD8951">
        <v>0</v>
      </c>
      <c r="AE8951">
        <v>25.35</v>
      </c>
      <c r="AF8951">
        <v>0</v>
      </c>
      <c r="AG8951">
        <v>0</v>
      </c>
      <c r="AH8951">
        <v>0</v>
      </c>
      <c r="AI8951">
        <v>0</v>
      </c>
      <c r="AJ8951">
        <v>198.35</v>
      </c>
      <c r="AK8951">
        <v>0</v>
      </c>
      <c r="AL8951" t="s">
        <v>53</v>
      </c>
      <c r="AM8951" t="s">
        <v>53</v>
      </c>
      <c r="AN8951" t="s">
        <v>53</v>
      </c>
      <c r="AO8951" t="s">
        <v>53</v>
      </c>
      <c r="AP8951" t="s">
        <v>53</v>
      </c>
    </row>
    <row r="8952" spans="2:42" x14ac:dyDescent="0.2">
      <c r="B8952" t="s">
        <v>44</v>
      </c>
      <c r="C8952" t="str">
        <f>HYPERLINK("https://us2.cloudbeds.com/connect/8493803454333002#/reservations/240241124724928?display=55R0ZXSXYE&amp;reservation_id=240241124724928", "55R0ZXSXYE")</f>
        <v>55R0ZXSXYE</v>
      </c>
      <c r="D8952" t="s">
        <v>45</v>
      </c>
      <c r="E8952" t="s">
        <v>17062</v>
      </c>
      <c r="F8952" t="s">
        <v>511</v>
      </c>
      <c r="G8952" t="s">
        <v>4520</v>
      </c>
      <c r="H8952" t="s">
        <v>3957</v>
      </c>
      <c r="I8952" t="s">
        <v>3989</v>
      </c>
      <c r="J8952" t="s">
        <v>14154</v>
      </c>
      <c r="K8952" t="s">
        <v>14976</v>
      </c>
      <c r="L8952" t="s">
        <v>53</v>
      </c>
      <c r="P8952" t="s">
        <v>55</v>
      </c>
      <c r="R8952" t="s">
        <v>56</v>
      </c>
      <c r="T8952" t="s">
        <v>17063</v>
      </c>
      <c r="U8952" t="s">
        <v>58</v>
      </c>
      <c r="V8952">
        <v>2</v>
      </c>
      <c r="W8952">
        <v>2</v>
      </c>
      <c r="X8952">
        <v>2</v>
      </c>
      <c r="Y8952">
        <v>0</v>
      </c>
      <c r="Z8952">
        <v>2</v>
      </c>
      <c r="AA8952">
        <v>404.49</v>
      </c>
      <c r="AB8952">
        <v>404.49</v>
      </c>
      <c r="AC8952">
        <v>352.8</v>
      </c>
      <c r="AD8952">
        <v>0</v>
      </c>
      <c r="AE8952">
        <v>51.69</v>
      </c>
      <c r="AF8952">
        <v>0</v>
      </c>
      <c r="AG8952">
        <v>0</v>
      </c>
      <c r="AH8952">
        <v>0</v>
      </c>
      <c r="AI8952">
        <v>0</v>
      </c>
      <c r="AJ8952">
        <v>404.49</v>
      </c>
      <c r="AK8952">
        <v>0</v>
      </c>
      <c r="AL8952" t="s">
        <v>53</v>
      </c>
      <c r="AM8952" t="s">
        <v>53</v>
      </c>
      <c r="AN8952" t="s">
        <v>53</v>
      </c>
      <c r="AO8952" t="s">
        <v>53</v>
      </c>
      <c r="AP8952" t="s">
        <v>53</v>
      </c>
    </row>
    <row r="8953" spans="2:42" x14ac:dyDescent="0.2">
      <c r="B8953" t="s">
        <v>44</v>
      </c>
      <c r="C8953" t="str">
        <f>HYPERLINK("https://us2.cloudbeds.com/connect/8493803454333002#/reservations/240248573968576?display=55R6GU7RMF&amp;reservation_id=240248573968576", "55R6GU7RMF")</f>
        <v>55R6GU7RMF</v>
      </c>
      <c r="D8953" t="s">
        <v>45</v>
      </c>
      <c r="E8953" t="s">
        <v>138</v>
      </c>
      <c r="F8953" t="s">
        <v>70</v>
      </c>
      <c r="G8953" t="s">
        <v>3974</v>
      </c>
      <c r="H8953" t="s">
        <v>3957</v>
      </c>
      <c r="I8953" t="s">
        <v>3975</v>
      </c>
      <c r="J8953" t="s">
        <v>14668</v>
      </c>
      <c r="K8953" t="s">
        <v>15738</v>
      </c>
      <c r="L8953" t="s">
        <v>53</v>
      </c>
      <c r="P8953" t="s">
        <v>55</v>
      </c>
      <c r="R8953" t="s">
        <v>56</v>
      </c>
      <c r="T8953" t="s">
        <v>17064</v>
      </c>
      <c r="U8953" t="s">
        <v>58</v>
      </c>
      <c r="V8953">
        <v>1</v>
      </c>
      <c r="W8953">
        <v>1</v>
      </c>
      <c r="X8953">
        <v>2</v>
      </c>
      <c r="Y8953">
        <v>0</v>
      </c>
      <c r="Z8953">
        <v>2</v>
      </c>
      <c r="AA8953">
        <v>179.72</v>
      </c>
      <c r="AB8953">
        <v>179.72</v>
      </c>
      <c r="AC8953">
        <v>156.75</v>
      </c>
      <c r="AD8953">
        <v>0</v>
      </c>
      <c r="AE8953">
        <v>22.97</v>
      </c>
      <c r="AF8953">
        <v>0</v>
      </c>
      <c r="AG8953">
        <v>0</v>
      </c>
      <c r="AH8953">
        <v>0</v>
      </c>
      <c r="AI8953">
        <v>0</v>
      </c>
      <c r="AJ8953">
        <v>179.72</v>
      </c>
      <c r="AK8953">
        <v>0</v>
      </c>
      <c r="AL8953" t="s">
        <v>53</v>
      </c>
      <c r="AM8953" t="s">
        <v>53</v>
      </c>
      <c r="AN8953" t="s">
        <v>53</v>
      </c>
      <c r="AO8953" t="s">
        <v>53</v>
      </c>
      <c r="AP8953" t="s">
        <v>53</v>
      </c>
    </row>
    <row r="8954" spans="2:42" x14ac:dyDescent="0.2">
      <c r="B8954" t="s">
        <v>44</v>
      </c>
      <c r="C8954" t="str">
        <f>HYPERLINK("https://us2.cloudbeds.com/connect/8493803454333002#/reservations/240298983121024?display=55SCHWJ58T&amp;reservation_id=240298983121024", "55SCHWJ58T")</f>
        <v>55SCHWJ58T</v>
      </c>
      <c r="D8954" t="s">
        <v>45</v>
      </c>
      <c r="E8954" t="s">
        <v>381</v>
      </c>
      <c r="F8954" t="s">
        <v>47</v>
      </c>
      <c r="G8954" t="s">
        <v>13757</v>
      </c>
      <c r="H8954" t="s">
        <v>3957</v>
      </c>
      <c r="I8954" t="s">
        <v>3975</v>
      </c>
      <c r="J8954" t="s">
        <v>14669</v>
      </c>
      <c r="K8954" t="s">
        <v>14656</v>
      </c>
      <c r="L8954" t="s">
        <v>53</v>
      </c>
      <c r="P8954" t="s">
        <v>55</v>
      </c>
      <c r="R8954" t="s">
        <v>56</v>
      </c>
      <c r="T8954" t="s">
        <v>17065</v>
      </c>
      <c r="U8954" t="s">
        <v>58</v>
      </c>
      <c r="V8954">
        <v>3</v>
      </c>
      <c r="W8954">
        <v>1</v>
      </c>
      <c r="X8954">
        <v>2</v>
      </c>
      <c r="Y8954">
        <v>0</v>
      </c>
      <c r="Z8954">
        <v>2</v>
      </c>
      <c r="AA8954">
        <v>0</v>
      </c>
      <c r="AB8954">
        <v>523.15</v>
      </c>
      <c r="AC8954">
        <v>456.3</v>
      </c>
      <c r="AD8954">
        <v>0</v>
      </c>
      <c r="AE8954">
        <v>66.849999999999994</v>
      </c>
      <c r="AF8954">
        <v>0</v>
      </c>
      <c r="AG8954">
        <v>0</v>
      </c>
      <c r="AH8954">
        <v>0</v>
      </c>
      <c r="AI8954">
        <v>0</v>
      </c>
      <c r="AJ8954">
        <v>523.15</v>
      </c>
      <c r="AK8954">
        <v>0</v>
      </c>
      <c r="AL8954" t="s">
        <v>53</v>
      </c>
      <c r="AM8954" t="s">
        <v>53</v>
      </c>
      <c r="AN8954" t="s">
        <v>17066</v>
      </c>
      <c r="AO8954" t="s">
        <v>53</v>
      </c>
      <c r="AP8954" t="s">
        <v>53</v>
      </c>
    </row>
    <row r="8955" spans="2:42" x14ac:dyDescent="0.2">
      <c r="B8955" t="s">
        <v>44</v>
      </c>
      <c r="C8955" t="str">
        <f>HYPERLINK("https://us2.cloudbeds.com/connect/8493803454333002#/reservations/240317104058496?display=55SQJ0KK9T&amp;reservation_id=240317104058496", "55SQJ0KK9T")</f>
        <v>55SQJ0KK9T</v>
      </c>
      <c r="D8955" t="s">
        <v>45</v>
      </c>
      <c r="E8955" t="s">
        <v>223</v>
      </c>
      <c r="F8955" t="s">
        <v>47</v>
      </c>
      <c r="G8955" t="s">
        <v>3974</v>
      </c>
      <c r="H8955" t="s">
        <v>3957</v>
      </c>
      <c r="I8955" t="s">
        <v>3975</v>
      </c>
      <c r="J8955" t="s">
        <v>15738</v>
      </c>
      <c r="K8955" t="s">
        <v>14970</v>
      </c>
      <c r="L8955" t="s">
        <v>53</v>
      </c>
      <c r="P8955" t="s">
        <v>55</v>
      </c>
      <c r="R8955" t="s">
        <v>56</v>
      </c>
      <c r="T8955" t="s">
        <v>17067</v>
      </c>
      <c r="U8955" t="s">
        <v>58</v>
      </c>
      <c r="V8955">
        <v>5</v>
      </c>
      <c r="W8955">
        <v>1</v>
      </c>
      <c r="X8955">
        <v>1</v>
      </c>
      <c r="Y8955">
        <v>0</v>
      </c>
      <c r="Z8955">
        <v>1</v>
      </c>
      <c r="AA8955">
        <v>939.98</v>
      </c>
      <c r="AB8955">
        <v>939.98</v>
      </c>
      <c r="AC8955">
        <v>819.85</v>
      </c>
      <c r="AD8955">
        <v>0</v>
      </c>
      <c r="AE8955">
        <v>120.13</v>
      </c>
      <c r="AF8955">
        <v>0</v>
      </c>
      <c r="AG8955">
        <v>0</v>
      </c>
      <c r="AH8955">
        <v>0</v>
      </c>
      <c r="AI8955">
        <v>0</v>
      </c>
      <c r="AJ8955">
        <v>939.98</v>
      </c>
      <c r="AK8955">
        <v>0</v>
      </c>
      <c r="AL8955" t="s">
        <v>53</v>
      </c>
      <c r="AM8955" t="s">
        <v>53</v>
      </c>
      <c r="AN8955" t="s">
        <v>17068</v>
      </c>
      <c r="AO8955" t="s">
        <v>53</v>
      </c>
      <c r="AP8955" t="s">
        <v>53</v>
      </c>
    </row>
    <row r="8956" spans="2:42" x14ac:dyDescent="0.2">
      <c r="B8956" t="s">
        <v>44</v>
      </c>
      <c r="C8956" t="str">
        <f>HYPERLINK("https://us2.cloudbeds.com/connect/8493803454333002#/reservations/240338355744960?display=55TA11Y0SS&amp;reservation_id=240338355744960", "55TA11Y0SS")</f>
        <v>55TA11Y0SS</v>
      </c>
      <c r="D8956" t="s">
        <v>45</v>
      </c>
      <c r="E8956" t="s">
        <v>69</v>
      </c>
      <c r="F8956" t="s">
        <v>70</v>
      </c>
      <c r="G8956" t="s">
        <v>4520</v>
      </c>
      <c r="H8956" t="s">
        <v>3957</v>
      </c>
      <c r="I8956" t="s">
        <v>3958</v>
      </c>
      <c r="J8956" t="s">
        <v>14154</v>
      </c>
      <c r="K8956" t="s">
        <v>14976</v>
      </c>
      <c r="L8956" t="s">
        <v>53</v>
      </c>
      <c r="P8956" t="s">
        <v>55</v>
      </c>
      <c r="R8956" t="s">
        <v>56</v>
      </c>
      <c r="T8956" t="s">
        <v>17069</v>
      </c>
      <c r="U8956" t="s">
        <v>58</v>
      </c>
      <c r="V8956">
        <v>1</v>
      </c>
      <c r="W8956">
        <v>1</v>
      </c>
      <c r="X8956">
        <v>1</v>
      </c>
      <c r="Y8956">
        <v>0</v>
      </c>
      <c r="Z8956">
        <v>1</v>
      </c>
      <c r="AA8956">
        <v>162.01</v>
      </c>
      <c r="AB8956">
        <v>162.01</v>
      </c>
      <c r="AC8956">
        <v>141.30000000000001</v>
      </c>
      <c r="AD8956">
        <v>0</v>
      </c>
      <c r="AE8956">
        <v>20.71</v>
      </c>
      <c r="AF8956">
        <v>0</v>
      </c>
      <c r="AG8956">
        <v>0</v>
      </c>
      <c r="AH8956">
        <v>0</v>
      </c>
      <c r="AI8956">
        <v>0</v>
      </c>
      <c r="AJ8956">
        <v>162.01</v>
      </c>
      <c r="AK8956">
        <v>0</v>
      </c>
      <c r="AL8956" t="s">
        <v>53</v>
      </c>
      <c r="AM8956" t="s">
        <v>53</v>
      </c>
      <c r="AN8956" t="s">
        <v>53</v>
      </c>
      <c r="AO8956" t="s">
        <v>53</v>
      </c>
      <c r="AP8956" t="s">
        <v>53</v>
      </c>
    </row>
    <row r="8957" spans="2:42" x14ac:dyDescent="0.2">
      <c r="B8957" t="s">
        <v>44</v>
      </c>
      <c r="C8957" t="str">
        <f>HYPERLINK("https://us2.cloudbeds.com/connect/8493803454333002#/reservations/9080486849161537?display=55U7PS591D&amp;reservation_id=9080486849161537", "55U7PS591D")</f>
        <v>55U7PS591D</v>
      </c>
      <c r="D8957" t="s">
        <v>45</v>
      </c>
      <c r="E8957" t="s">
        <v>69</v>
      </c>
      <c r="F8957" t="s">
        <v>70</v>
      </c>
      <c r="G8957" t="s">
        <v>48</v>
      </c>
      <c r="H8957" t="s">
        <v>49</v>
      </c>
      <c r="I8957" t="s">
        <v>50</v>
      </c>
      <c r="J8957" t="s">
        <v>14637</v>
      </c>
      <c r="K8957" t="s">
        <v>15231</v>
      </c>
      <c r="L8957" t="s">
        <v>53</v>
      </c>
      <c r="N8957" t="s">
        <v>17070</v>
      </c>
      <c r="P8957" t="s">
        <v>55</v>
      </c>
      <c r="R8957" t="s">
        <v>53</v>
      </c>
      <c r="T8957" t="s">
        <v>17071</v>
      </c>
      <c r="U8957" t="s">
        <v>55</v>
      </c>
      <c r="V8957">
        <v>1</v>
      </c>
      <c r="W8957">
        <v>1</v>
      </c>
      <c r="X8957">
        <v>1</v>
      </c>
      <c r="Y8957">
        <v>0</v>
      </c>
      <c r="Z8957">
        <v>1</v>
      </c>
      <c r="AA8957">
        <v>95.28</v>
      </c>
      <c r="AB8957">
        <v>95.28</v>
      </c>
      <c r="AC8957">
        <v>87.61</v>
      </c>
      <c r="AD8957">
        <v>0</v>
      </c>
      <c r="AE8957">
        <v>7.67</v>
      </c>
      <c r="AF8957">
        <v>0</v>
      </c>
      <c r="AG8957">
        <v>0</v>
      </c>
      <c r="AH8957">
        <v>0</v>
      </c>
      <c r="AI8957">
        <v>17.149999999999999</v>
      </c>
      <c r="AJ8957">
        <v>95.28</v>
      </c>
      <c r="AK8957">
        <v>0</v>
      </c>
      <c r="AL8957" t="s">
        <v>53</v>
      </c>
      <c r="AM8957" t="s">
        <v>53</v>
      </c>
      <c r="AN8957" t="s">
        <v>17072</v>
      </c>
      <c r="AO8957" t="s">
        <v>53</v>
      </c>
      <c r="AP8957" t="s">
        <v>53</v>
      </c>
    </row>
    <row r="8958" spans="2:42" x14ac:dyDescent="0.2">
      <c r="B8958" t="s">
        <v>44</v>
      </c>
      <c r="C8958" t="str">
        <f>HYPERLINK("https://us2.cloudbeds.com/connect/8493803454333002#/reservations/9080486849167277?display=561ETMUREC&amp;reservation_id=9080486849167277", "561ETMUREC")</f>
        <v>561ETMUREC</v>
      </c>
      <c r="D8958" t="s">
        <v>45</v>
      </c>
      <c r="E8958" t="s">
        <v>110</v>
      </c>
      <c r="F8958" t="s">
        <v>47</v>
      </c>
      <c r="G8958" t="s">
        <v>48</v>
      </c>
      <c r="H8958" t="s">
        <v>49</v>
      </c>
      <c r="I8958" t="s">
        <v>50</v>
      </c>
      <c r="J8958" t="s">
        <v>13870</v>
      </c>
      <c r="K8958" t="s">
        <v>14636</v>
      </c>
      <c r="L8958" t="s">
        <v>53</v>
      </c>
      <c r="N8958" t="s">
        <v>17073</v>
      </c>
      <c r="P8958" t="s">
        <v>55</v>
      </c>
      <c r="R8958" t="s">
        <v>53</v>
      </c>
      <c r="T8958" t="s">
        <v>17074</v>
      </c>
      <c r="U8958" t="s">
        <v>58</v>
      </c>
      <c r="V8958">
        <v>1</v>
      </c>
      <c r="W8958">
        <v>1</v>
      </c>
      <c r="X8958">
        <v>2</v>
      </c>
      <c r="Y8958">
        <v>0</v>
      </c>
      <c r="Z8958">
        <v>2</v>
      </c>
      <c r="AA8958">
        <v>208.32</v>
      </c>
      <c r="AB8958">
        <v>208.32</v>
      </c>
      <c r="AC8958">
        <v>181.7</v>
      </c>
      <c r="AD8958">
        <v>0</v>
      </c>
      <c r="AE8958">
        <v>26.62</v>
      </c>
      <c r="AF8958">
        <v>0</v>
      </c>
      <c r="AG8958">
        <v>0</v>
      </c>
      <c r="AH8958">
        <v>0</v>
      </c>
      <c r="AI8958">
        <v>37.5</v>
      </c>
      <c r="AJ8958">
        <v>208.32</v>
      </c>
      <c r="AK8958">
        <v>0</v>
      </c>
      <c r="AL8958" t="s">
        <v>53</v>
      </c>
      <c r="AM8958" t="s">
        <v>53</v>
      </c>
      <c r="AN8958" t="s">
        <v>53</v>
      </c>
      <c r="AO8958" t="s">
        <v>53</v>
      </c>
      <c r="AP8958" t="s">
        <v>53</v>
      </c>
    </row>
    <row r="8959" spans="2:42" x14ac:dyDescent="0.2">
      <c r="B8959" t="s">
        <v>44</v>
      </c>
      <c r="C8959" t="str">
        <f>HYPERLINK("https://us2.cloudbeds.com/connect/8493803454333002#/reservations/9080486849168387?display=5620ZDZNJC&amp;reservation_id=9080486849168387", "5620ZDZNJC")</f>
        <v>5620ZDZNJC</v>
      </c>
      <c r="D8959" t="s">
        <v>45</v>
      </c>
      <c r="E8959" t="s">
        <v>138</v>
      </c>
      <c r="F8959" t="s">
        <v>70</v>
      </c>
      <c r="G8959" t="s">
        <v>48</v>
      </c>
      <c r="H8959" t="s">
        <v>49</v>
      </c>
      <c r="I8959" t="s">
        <v>62</v>
      </c>
      <c r="J8959" t="s">
        <v>14656</v>
      </c>
      <c r="K8959" t="s">
        <v>14971</v>
      </c>
      <c r="L8959" t="s">
        <v>53</v>
      </c>
      <c r="N8959" t="s">
        <v>17075</v>
      </c>
      <c r="P8959" t="s">
        <v>55</v>
      </c>
      <c r="R8959" t="s">
        <v>56</v>
      </c>
      <c r="T8959" t="s">
        <v>17076</v>
      </c>
      <c r="U8959" t="s">
        <v>55</v>
      </c>
      <c r="V8959">
        <v>2</v>
      </c>
      <c r="W8959">
        <v>1</v>
      </c>
      <c r="X8959">
        <v>2</v>
      </c>
      <c r="Y8959">
        <v>0</v>
      </c>
      <c r="Z8959">
        <v>2</v>
      </c>
      <c r="AA8959">
        <v>310.26</v>
      </c>
      <c r="AB8959">
        <v>310.26</v>
      </c>
      <c r="AC8959">
        <v>310.26</v>
      </c>
      <c r="AD8959">
        <v>0</v>
      </c>
      <c r="AE8959">
        <v>0</v>
      </c>
      <c r="AF8959">
        <v>0</v>
      </c>
      <c r="AG8959">
        <v>0</v>
      </c>
      <c r="AH8959">
        <v>0</v>
      </c>
      <c r="AI8959">
        <v>55.85</v>
      </c>
      <c r="AJ8959">
        <v>310.26</v>
      </c>
      <c r="AK8959">
        <v>0</v>
      </c>
      <c r="AL8959" t="s">
        <v>53</v>
      </c>
      <c r="AM8959" t="s">
        <v>53</v>
      </c>
      <c r="AN8959" t="s">
        <v>53</v>
      </c>
      <c r="AO8959" t="s">
        <v>53</v>
      </c>
      <c r="AP8959" t="s">
        <v>53</v>
      </c>
    </row>
    <row r="8960" spans="2:42" x14ac:dyDescent="0.2">
      <c r="B8960" t="s">
        <v>44</v>
      </c>
      <c r="C8960" t="str">
        <f>HYPERLINK("https://us2.cloudbeds.com/connect/8493803454333002#/reservations/9080486849168933?display=5629F61VRQ&amp;reservation_id=9080486849168933", "5629F61VRQ")</f>
        <v>5629F61VRQ</v>
      </c>
      <c r="D8960" t="s">
        <v>45</v>
      </c>
      <c r="E8960" t="s">
        <v>69</v>
      </c>
      <c r="F8960" t="s">
        <v>70</v>
      </c>
      <c r="G8960" t="s">
        <v>48</v>
      </c>
      <c r="H8960" t="s">
        <v>49</v>
      </c>
      <c r="I8960" t="s">
        <v>50</v>
      </c>
      <c r="J8960" t="s">
        <v>17077</v>
      </c>
      <c r="K8960" t="s">
        <v>17078</v>
      </c>
      <c r="L8960" t="s">
        <v>53</v>
      </c>
      <c r="N8960" t="s">
        <v>17079</v>
      </c>
      <c r="P8960" t="s">
        <v>55</v>
      </c>
      <c r="R8960" t="s">
        <v>53</v>
      </c>
      <c r="T8960" t="s">
        <v>17080</v>
      </c>
      <c r="U8960" t="s">
        <v>55</v>
      </c>
      <c r="V8960">
        <v>1</v>
      </c>
      <c r="W8960">
        <v>1</v>
      </c>
      <c r="X8960">
        <v>2</v>
      </c>
      <c r="Y8960">
        <v>0</v>
      </c>
      <c r="Z8960">
        <v>2</v>
      </c>
      <c r="AA8960">
        <v>163.08000000000001</v>
      </c>
      <c r="AB8960">
        <v>163.08000000000001</v>
      </c>
      <c r="AC8960">
        <v>149.96</v>
      </c>
      <c r="AD8960">
        <v>0</v>
      </c>
      <c r="AE8960">
        <v>13.12</v>
      </c>
      <c r="AF8960">
        <v>0</v>
      </c>
      <c r="AG8960">
        <v>0</v>
      </c>
      <c r="AH8960">
        <v>0</v>
      </c>
      <c r="AI8960">
        <v>29.35</v>
      </c>
      <c r="AJ8960">
        <v>163.08000000000001</v>
      </c>
      <c r="AK8960">
        <v>0</v>
      </c>
      <c r="AL8960" t="s">
        <v>53</v>
      </c>
      <c r="AM8960" t="s">
        <v>53</v>
      </c>
      <c r="AN8960" t="s">
        <v>53</v>
      </c>
      <c r="AO8960" t="s">
        <v>53</v>
      </c>
      <c r="AP8960" t="s">
        <v>53</v>
      </c>
    </row>
    <row r="8961" spans="2:42" x14ac:dyDescent="0.2">
      <c r="B8961" t="s">
        <v>44</v>
      </c>
      <c r="C8961" t="str">
        <f>HYPERLINK("https://us2.cloudbeds.com/connect/8493803454333002#/reservations/9080486849170239?display=562UMQ2DD9&amp;reservation_id=9080486849170239", "562UMQ2DD9")</f>
        <v>562UMQ2DD9</v>
      </c>
      <c r="D8961" t="s">
        <v>45</v>
      </c>
      <c r="E8961" t="s">
        <v>98</v>
      </c>
      <c r="F8961" t="s">
        <v>86</v>
      </c>
      <c r="G8961" t="s">
        <v>48</v>
      </c>
      <c r="H8961" t="s">
        <v>49</v>
      </c>
      <c r="I8961" t="s">
        <v>50</v>
      </c>
      <c r="J8961" t="s">
        <v>13870</v>
      </c>
      <c r="K8961" t="s">
        <v>14636</v>
      </c>
      <c r="L8961" t="s">
        <v>53</v>
      </c>
      <c r="N8961" t="s">
        <v>17081</v>
      </c>
      <c r="P8961" t="s">
        <v>55</v>
      </c>
      <c r="R8961" t="s">
        <v>53</v>
      </c>
      <c r="T8961" t="s">
        <v>17082</v>
      </c>
      <c r="U8961" t="s">
        <v>55</v>
      </c>
      <c r="V8961">
        <v>1</v>
      </c>
      <c r="W8961">
        <v>1</v>
      </c>
      <c r="X8961">
        <v>1</v>
      </c>
      <c r="Y8961">
        <v>1</v>
      </c>
      <c r="Z8961">
        <v>2</v>
      </c>
      <c r="AA8961">
        <v>180.49</v>
      </c>
      <c r="AB8961">
        <v>180.49</v>
      </c>
      <c r="AC8961">
        <v>165.97</v>
      </c>
      <c r="AD8961">
        <v>0</v>
      </c>
      <c r="AE8961">
        <v>14.52</v>
      </c>
      <c r="AF8961">
        <v>0</v>
      </c>
      <c r="AG8961">
        <v>0</v>
      </c>
      <c r="AH8961">
        <v>0</v>
      </c>
      <c r="AI8961">
        <v>32.49</v>
      </c>
      <c r="AJ8961">
        <v>180.49</v>
      </c>
      <c r="AK8961">
        <v>0</v>
      </c>
      <c r="AL8961" t="s">
        <v>53</v>
      </c>
      <c r="AM8961" t="s">
        <v>53</v>
      </c>
      <c r="AN8961" t="s">
        <v>17083</v>
      </c>
      <c r="AO8961" t="s">
        <v>53</v>
      </c>
      <c r="AP8961" t="s">
        <v>53</v>
      </c>
    </row>
    <row r="8962" spans="2:42" x14ac:dyDescent="0.2">
      <c r="B8962" t="s">
        <v>44</v>
      </c>
      <c r="C8962" t="str">
        <f>HYPERLINK("https://us2.cloudbeds.com/connect/8493803454333002#/reservations/240644712673472?display=563G85TUUS&amp;reservation_id=240644712673472", "563G85TUUS")</f>
        <v>563G85TUUS</v>
      </c>
      <c r="D8962" t="s">
        <v>45</v>
      </c>
      <c r="E8962" t="s">
        <v>14695</v>
      </c>
      <c r="F8962" t="s">
        <v>47</v>
      </c>
      <c r="G8962" t="s">
        <v>48</v>
      </c>
      <c r="H8962" t="s">
        <v>3957</v>
      </c>
      <c r="I8962" t="s">
        <v>3975</v>
      </c>
      <c r="J8962" t="s">
        <v>14154</v>
      </c>
      <c r="K8962" t="s">
        <v>14976</v>
      </c>
      <c r="L8962" t="s">
        <v>53</v>
      </c>
      <c r="P8962" t="s">
        <v>55</v>
      </c>
      <c r="R8962" t="s">
        <v>56</v>
      </c>
      <c r="T8962" t="s">
        <v>17084</v>
      </c>
      <c r="U8962" t="s">
        <v>58</v>
      </c>
      <c r="V8962">
        <v>1</v>
      </c>
      <c r="W8962">
        <v>1</v>
      </c>
      <c r="X8962">
        <v>2</v>
      </c>
      <c r="Y8962">
        <v>0</v>
      </c>
      <c r="Z8962">
        <v>2</v>
      </c>
      <c r="AA8962">
        <v>175.42</v>
      </c>
      <c r="AB8962">
        <v>175.42</v>
      </c>
      <c r="AC8962">
        <v>153</v>
      </c>
      <c r="AD8962">
        <v>0</v>
      </c>
      <c r="AE8962">
        <v>22.42</v>
      </c>
      <c r="AF8962">
        <v>0</v>
      </c>
      <c r="AG8962">
        <v>0</v>
      </c>
      <c r="AH8962">
        <v>0</v>
      </c>
      <c r="AI8962">
        <v>0</v>
      </c>
      <c r="AJ8962">
        <v>175.42</v>
      </c>
      <c r="AK8962">
        <v>0</v>
      </c>
      <c r="AL8962" t="s">
        <v>53</v>
      </c>
      <c r="AM8962" t="s">
        <v>53</v>
      </c>
      <c r="AN8962" t="s">
        <v>17085</v>
      </c>
      <c r="AO8962" t="s">
        <v>53</v>
      </c>
      <c r="AP8962" t="s">
        <v>53</v>
      </c>
    </row>
    <row r="8963" spans="2:42" x14ac:dyDescent="0.2">
      <c r="B8963" t="s">
        <v>44</v>
      </c>
      <c r="C8963" t="str">
        <f>HYPERLINK("https://us2.cloudbeds.com/connect/8493803454333002#/reservations/9080486849171384?display=563XWH42GP&amp;reservation_id=9080486849171384", "563XWH42GP")</f>
        <v>563XWH42GP</v>
      </c>
      <c r="D8963" t="s">
        <v>45</v>
      </c>
      <c r="E8963" t="s">
        <v>69</v>
      </c>
      <c r="F8963" t="s">
        <v>70</v>
      </c>
      <c r="G8963" t="s">
        <v>48</v>
      </c>
      <c r="H8963" t="s">
        <v>49</v>
      </c>
      <c r="I8963" t="s">
        <v>50</v>
      </c>
      <c r="J8963" t="s">
        <v>16163</v>
      </c>
      <c r="K8963" t="s">
        <v>14130</v>
      </c>
      <c r="L8963" t="s">
        <v>53</v>
      </c>
      <c r="N8963" t="s">
        <v>17086</v>
      </c>
      <c r="P8963" t="s">
        <v>55</v>
      </c>
      <c r="R8963" t="s">
        <v>53</v>
      </c>
      <c r="T8963" t="s">
        <v>17087</v>
      </c>
      <c r="U8963" t="s">
        <v>55</v>
      </c>
      <c r="V8963">
        <v>1</v>
      </c>
      <c r="W8963">
        <v>1</v>
      </c>
      <c r="X8963">
        <v>2</v>
      </c>
      <c r="Y8963">
        <v>0</v>
      </c>
      <c r="Z8963">
        <v>2</v>
      </c>
      <c r="AA8963">
        <v>87.57</v>
      </c>
      <c r="AB8963">
        <v>87.57</v>
      </c>
      <c r="AC8963">
        <v>80.52</v>
      </c>
      <c r="AD8963">
        <v>0</v>
      </c>
      <c r="AE8963">
        <v>7.05</v>
      </c>
      <c r="AF8963">
        <v>0</v>
      </c>
      <c r="AG8963">
        <v>0</v>
      </c>
      <c r="AH8963">
        <v>0</v>
      </c>
      <c r="AI8963">
        <v>15.76</v>
      </c>
      <c r="AJ8963">
        <v>87.57</v>
      </c>
      <c r="AK8963">
        <v>0</v>
      </c>
      <c r="AL8963" t="s">
        <v>53</v>
      </c>
      <c r="AM8963" t="s">
        <v>53</v>
      </c>
      <c r="AN8963" t="s">
        <v>53</v>
      </c>
      <c r="AO8963" t="s">
        <v>53</v>
      </c>
      <c r="AP8963" t="s">
        <v>53</v>
      </c>
    </row>
    <row r="8964" spans="2:42" x14ac:dyDescent="0.2">
      <c r="B8964" t="s">
        <v>44</v>
      </c>
      <c r="C8964" t="str">
        <f>HYPERLINK("https://us2.cloudbeds.com/connect/8493803454333002#/reservations/240654612529344?display=563NU4NESZ&amp;reservation_id=240654612529344", "563NU4NESZ")</f>
        <v>563NU4NESZ</v>
      </c>
      <c r="D8964" t="s">
        <v>45</v>
      </c>
      <c r="E8964" t="s">
        <v>78</v>
      </c>
      <c r="F8964" t="s">
        <v>61</v>
      </c>
      <c r="G8964" t="s">
        <v>48</v>
      </c>
      <c r="H8964" t="s">
        <v>3957</v>
      </c>
      <c r="I8964" t="s">
        <v>3975</v>
      </c>
      <c r="J8964" t="s">
        <v>14154</v>
      </c>
      <c r="K8964" t="s">
        <v>14976</v>
      </c>
      <c r="L8964" t="s">
        <v>53</v>
      </c>
      <c r="P8964" t="s">
        <v>55</v>
      </c>
      <c r="R8964" t="s">
        <v>946</v>
      </c>
      <c r="T8964" t="s">
        <v>17088</v>
      </c>
      <c r="U8964" t="s">
        <v>58</v>
      </c>
      <c r="V8964">
        <v>1</v>
      </c>
      <c r="W8964">
        <v>1</v>
      </c>
      <c r="X8964">
        <v>2</v>
      </c>
      <c r="Y8964">
        <v>0</v>
      </c>
      <c r="Z8964">
        <v>2</v>
      </c>
      <c r="AA8964">
        <v>213.25</v>
      </c>
      <c r="AB8964">
        <v>213.25</v>
      </c>
      <c r="AC8964">
        <v>186</v>
      </c>
      <c r="AD8964">
        <v>0</v>
      </c>
      <c r="AE8964">
        <v>27.25</v>
      </c>
      <c r="AF8964">
        <v>0</v>
      </c>
      <c r="AG8964">
        <v>0</v>
      </c>
      <c r="AH8964">
        <v>0</v>
      </c>
      <c r="AI8964">
        <v>0</v>
      </c>
      <c r="AJ8964">
        <v>213.25</v>
      </c>
      <c r="AK8964">
        <v>0</v>
      </c>
      <c r="AL8964" t="s">
        <v>53</v>
      </c>
      <c r="AM8964" t="s">
        <v>53</v>
      </c>
      <c r="AN8964" t="s">
        <v>53</v>
      </c>
      <c r="AO8964" t="s">
        <v>53</v>
      </c>
      <c r="AP8964" t="s">
        <v>53</v>
      </c>
    </row>
    <row r="8965" spans="2:42" x14ac:dyDescent="0.2">
      <c r="B8965" t="s">
        <v>44</v>
      </c>
      <c r="C8965" t="str">
        <f>HYPERLINK("https://us2.cloudbeds.com/connect/8493803454333002#/reservations/240665749332096?display=563WHNXZZ8&amp;reservation_id=240665749332096", "563WHNXZZ8")</f>
        <v>563WHNXZZ8</v>
      </c>
      <c r="D8965" t="s">
        <v>45</v>
      </c>
      <c r="E8965" t="s">
        <v>223</v>
      </c>
      <c r="F8965" t="s">
        <v>47</v>
      </c>
      <c r="G8965" t="s">
        <v>3974</v>
      </c>
      <c r="H8965" t="s">
        <v>3957</v>
      </c>
      <c r="I8965" t="s">
        <v>3975</v>
      </c>
      <c r="J8965" t="s">
        <v>15947</v>
      </c>
      <c r="K8965" t="s">
        <v>16163</v>
      </c>
      <c r="L8965" t="s">
        <v>53</v>
      </c>
      <c r="P8965" t="s">
        <v>55</v>
      </c>
      <c r="R8965" t="s">
        <v>56</v>
      </c>
      <c r="T8965" t="s">
        <v>17089</v>
      </c>
      <c r="U8965" t="s">
        <v>58</v>
      </c>
      <c r="V8965">
        <v>2</v>
      </c>
      <c r="W8965">
        <v>1</v>
      </c>
      <c r="X8965">
        <v>1</v>
      </c>
      <c r="Y8965">
        <v>0</v>
      </c>
      <c r="Z8965">
        <v>1</v>
      </c>
      <c r="AA8965">
        <v>265.75</v>
      </c>
      <c r="AB8965">
        <v>265.75</v>
      </c>
      <c r="AC8965">
        <v>231.8</v>
      </c>
      <c r="AD8965">
        <v>0</v>
      </c>
      <c r="AE8965">
        <v>33.950000000000003</v>
      </c>
      <c r="AF8965">
        <v>0</v>
      </c>
      <c r="AG8965">
        <v>0</v>
      </c>
      <c r="AH8965">
        <v>0</v>
      </c>
      <c r="AI8965">
        <v>0</v>
      </c>
      <c r="AJ8965">
        <v>265.75</v>
      </c>
      <c r="AK8965">
        <v>0</v>
      </c>
      <c r="AL8965" t="s">
        <v>53</v>
      </c>
      <c r="AM8965" t="s">
        <v>53</v>
      </c>
      <c r="AN8965" t="s">
        <v>17090</v>
      </c>
      <c r="AO8965" t="s">
        <v>53</v>
      </c>
      <c r="AP8965" t="s">
        <v>53</v>
      </c>
    </row>
    <row r="8966" spans="2:42" x14ac:dyDescent="0.2">
      <c r="B8966" t="s">
        <v>44</v>
      </c>
      <c r="C8966" t="str">
        <f>HYPERLINK("https://us2.cloudbeds.com/connect/8493803454333002#/reservations/240666562441345?display=56405G6G06&amp;reservation_id=240666562441345", "56405G6G06")</f>
        <v>56405G6G06</v>
      </c>
      <c r="D8966" t="s">
        <v>45</v>
      </c>
      <c r="E8966" t="s">
        <v>98</v>
      </c>
      <c r="F8966" t="s">
        <v>86</v>
      </c>
      <c r="G8966" t="s">
        <v>48</v>
      </c>
      <c r="H8966" t="s">
        <v>3957</v>
      </c>
      <c r="I8966" t="s">
        <v>3975</v>
      </c>
      <c r="J8966" t="s">
        <v>15947</v>
      </c>
      <c r="K8966" t="s">
        <v>16163</v>
      </c>
      <c r="L8966" t="s">
        <v>53</v>
      </c>
      <c r="P8966" t="s">
        <v>55</v>
      </c>
      <c r="R8966" t="s">
        <v>56</v>
      </c>
      <c r="T8966" t="s">
        <v>17091</v>
      </c>
      <c r="U8966" t="s">
        <v>58</v>
      </c>
      <c r="V8966">
        <v>2</v>
      </c>
      <c r="W8966">
        <v>1</v>
      </c>
      <c r="X8966">
        <v>2</v>
      </c>
      <c r="Y8966">
        <v>0</v>
      </c>
      <c r="Z8966">
        <v>2</v>
      </c>
      <c r="AA8966">
        <v>0</v>
      </c>
      <c r="AB8966">
        <v>385.23</v>
      </c>
      <c r="AC8966">
        <v>336</v>
      </c>
      <c r="AD8966">
        <v>0</v>
      </c>
      <c r="AE8966">
        <v>49.23</v>
      </c>
      <c r="AF8966">
        <v>0</v>
      </c>
      <c r="AG8966">
        <v>0</v>
      </c>
      <c r="AH8966">
        <v>0</v>
      </c>
      <c r="AI8966">
        <v>0</v>
      </c>
      <c r="AJ8966">
        <v>385.23</v>
      </c>
      <c r="AK8966">
        <v>0</v>
      </c>
      <c r="AL8966" t="s">
        <v>53</v>
      </c>
      <c r="AM8966" t="s">
        <v>53</v>
      </c>
      <c r="AN8966" t="s">
        <v>17092</v>
      </c>
      <c r="AO8966" t="s">
        <v>53</v>
      </c>
      <c r="AP8966" t="s">
        <v>53</v>
      </c>
    </row>
    <row r="8967" spans="2:42" x14ac:dyDescent="0.2">
      <c r="B8967" t="s">
        <v>44</v>
      </c>
      <c r="C8967" t="str">
        <f>HYPERLINK("https://us2.cloudbeds.com/connect/8493803454333002#/reservations/240682480582784?display=564CG7Q08C&amp;reservation_id=240682480582784", "564CG7Q08C")</f>
        <v>564CG7Q08C</v>
      </c>
      <c r="D8967" t="s">
        <v>45</v>
      </c>
      <c r="E8967" t="s">
        <v>14402</v>
      </c>
      <c r="F8967" t="s">
        <v>14403</v>
      </c>
      <c r="G8967" t="s">
        <v>48</v>
      </c>
      <c r="H8967" t="s">
        <v>3957</v>
      </c>
      <c r="I8967" t="s">
        <v>3975</v>
      </c>
      <c r="J8967" t="s">
        <v>13869</v>
      </c>
      <c r="K8967" t="s">
        <v>14636</v>
      </c>
      <c r="L8967" t="s">
        <v>53</v>
      </c>
      <c r="P8967" t="s">
        <v>55</v>
      </c>
      <c r="R8967" t="s">
        <v>53</v>
      </c>
      <c r="T8967" t="s">
        <v>17093</v>
      </c>
      <c r="U8967" t="s">
        <v>58</v>
      </c>
      <c r="V8967">
        <v>2</v>
      </c>
      <c r="W8967">
        <v>1</v>
      </c>
      <c r="X8967">
        <v>2</v>
      </c>
      <c r="Y8967">
        <v>0</v>
      </c>
      <c r="Z8967">
        <v>2</v>
      </c>
      <c r="AA8967">
        <v>0</v>
      </c>
      <c r="AB8967">
        <v>351.98</v>
      </c>
      <c r="AC8967">
        <v>307</v>
      </c>
      <c r="AD8967">
        <v>0</v>
      </c>
      <c r="AE8967">
        <v>44.98</v>
      </c>
      <c r="AF8967">
        <v>0</v>
      </c>
      <c r="AG8967">
        <v>0</v>
      </c>
      <c r="AH8967">
        <v>0</v>
      </c>
      <c r="AI8967">
        <v>0</v>
      </c>
      <c r="AJ8967">
        <v>351.98</v>
      </c>
      <c r="AK8967">
        <v>0</v>
      </c>
      <c r="AL8967" t="s">
        <v>53</v>
      </c>
      <c r="AM8967" t="s">
        <v>53</v>
      </c>
      <c r="AN8967" t="s">
        <v>17094</v>
      </c>
      <c r="AO8967" t="s">
        <v>53</v>
      </c>
      <c r="AP8967" t="s">
        <v>53</v>
      </c>
    </row>
    <row r="8968" spans="2:42" x14ac:dyDescent="0.2">
      <c r="B8968" t="s">
        <v>44</v>
      </c>
      <c r="C8968" t="str">
        <f>HYPERLINK("https://us2.cloudbeds.com/connect/8493803454333002#/reservations/240682662404224?display=564CKT3U4F&amp;reservation_id=240682662404224", "564CKT3U4F")</f>
        <v>564CKT3U4F</v>
      </c>
      <c r="D8968" t="s">
        <v>45</v>
      </c>
      <c r="E8968" t="s">
        <v>190</v>
      </c>
      <c r="F8968" t="s">
        <v>61</v>
      </c>
      <c r="G8968" t="s">
        <v>48</v>
      </c>
      <c r="H8968" t="s">
        <v>3957</v>
      </c>
      <c r="I8968" t="s">
        <v>3975</v>
      </c>
      <c r="J8968" t="s">
        <v>14154</v>
      </c>
      <c r="K8968" t="s">
        <v>14976</v>
      </c>
      <c r="L8968" t="s">
        <v>53</v>
      </c>
      <c r="P8968" t="s">
        <v>55</v>
      </c>
      <c r="R8968" t="s">
        <v>56</v>
      </c>
      <c r="T8968" t="s">
        <v>17095</v>
      </c>
      <c r="U8968" t="s">
        <v>58</v>
      </c>
      <c r="V8968">
        <v>1</v>
      </c>
      <c r="W8968">
        <v>1</v>
      </c>
      <c r="X8968">
        <v>2</v>
      </c>
      <c r="Y8968">
        <v>0</v>
      </c>
      <c r="Z8968">
        <v>2</v>
      </c>
      <c r="AA8968">
        <v>213.25</v>
      </c>
      <c r="AB8968">
        <v>213.25</v>
      </c>
      <c r="AC8968">
        <v>186</v>
      </c>
      <c r="AD8968">
        <v>0</v>
      </c>
      <c r="AE8968">
        <v>27.25</v>
      </c>
      <c r="AF8968">
        <v>0</v>
      </c>
      <c r="AG8968">
        <v>0</v>
      </c>
      <c r="AH8968">
        <v>0</v>
      </c>
      <c r="AI8968">
        <v>0</v>
      </c>
      <c r="AJ8968">
        <v>213.25</v>
      </c>
      <c r="AK8968">
        <v>0</v>
      </c>
      <c r="AL8968" t="s">
        <v>53</v>
      </c>
      <c r="AM8968" t="s">
        <v>53</v>
      </c>
      <c r="AN8968" t="s">
        <v>53</v>
      </c>
      <c r="AO8968" t="s">
        <v>53</v>
      </c>
      <c r="AP8968" t="s">
        <v>53</v>
      </c>
    </row>
    <row r="8969" spans="2:42" x14ac:dyDescent="0.2">
      <c r="B8969" t="s">
        <v>44</v>
      </c>
      <c r="C8969" t="str">
        <f>HYPERLINK("https://us2.cloudbeds.com/connect/8493803454333002#/reservations/240687431397569?display=564GAZFDEY&amp;reservation_id=240687431397569", "564GAZFDEY")</f>
        <v>564GAZFDEY</v>
      </c>
      <c r="D8969" t="s">
        <v>45</v>
      </c>
      <c r="E8969" t="s">
        <v>128</v>
      </c>
      <c r="F8969" t="s">
        <v>86</v>
      </c>
      <c r="G8969" t="s">
        <v>3974</v>
      </c>
      <c r="H8969" t="s">
        <v>3957</v>
      </c>
      <c r="I8969" t="s">
        <v>3975</v>
      </c>
      <c r="J8969" t="s">
        <v>17096</v>
      </c>
      <c r="K8969" t="s">
        <v>17077</v>
      </c>
      <c r="L8969" t="s">
        <v>53</v>
      </c>
      <c r="P8969" t="s">
        <v>55</v>
      </c>
      <c r="R8969" t="s">
        <v>56</v>
      </c>
      <c r="T8969" t="s">
        <v>17097</v>
      </c>
      <c r="U8969" t="s">
        <v>58</v>
      </c>
      <c r="V8969">
        <v>1</v>
      </c>
      <c r="W8969">
        <v>1</v>
      </c>
      <c r="X8969">
        <v>2</v>
      </c>
      <c r="Y8969">
        <v>0</v>
      </c>
      <c r="Z8969">
        <v>2</v>
      </c>
      <c r="AA8969">
        <v>276.66000000000003</v>
      </c>
      <c r="AB8969">
        <v>276.66000000000003</v>
      </c>
      <c r="AC8969">
        <v>241.3</v>
      </c>
      <c r="AD8969">
        <v>0</v>
      </c>
      <c r="AE8969">
        <v>35.36</v>
      </c>
      <c r="AF8969">
        <v>0</v>
      </c>
      <c r="AG8969">
        <v>0</v>
      </c>
      <c r="AH8969">
        <v>0</v>
      </c>
      <c r="AI8969">
        <v>0</v>
      </c>
      <c r="AJ8969">
        <v>276.66000000000003</v>
      </c>
      <c r="AK8969">
        <v>0</v>
      </c>
      <c r="AL8969" t="s">
        <v>53</v>
      </c>
      <c r="AM8969" t="s">
        <v>53</v>
      </c>
      <c r="AN8969" t="s">
        <v>53</v>
      </c>
      <c r="AO8969" t="s">
        <v>53</v>
      </c>
      <c r="AP8969" t="s">
        <v>53</v>
      </c>
    </row>
    <row r="8970" spans="2:42" x14ac:dyDescent="0.2">
      <c r="B8970" t="s">
        <v>44</v>
      </c>
      <c r="C8970" t="str">
        <f>HYPERLINK("https://us2.cloudbeds.com/connect/8493803454333002#/reservations/9080486849173088?display=564NPXJF1D&amp;reservation_id=9080486849173088", "564NPXJF1D")</f>
        <v>564NPXJF1D</v>
      </c>
      <c r="D8970" t="s">
        <v>45</v>
      </c>
      <c r="E8970" t="s">
        <v>128</v>
      </c>
      <c r="F8970" t="s">
        <v>86</v>
      </c>
      <c r="G8970" t="s">
        <v>48</v>
      </c>
      <c r="H8970" t="s">
        <v>49</v>
      </c>
      <c r="I8970" t="s">
        <v>62</v>
      </c>
      <c r="J8970" t="s">
        <v>14154</v>
      </c>
      <c r="K8970" t="s">
        <v>13869</v>
      </c>
      <c r="L8970" t="s">
        <v>53</v>
      </c>
      <c r="N8970" t="s">
        <v>17098</v>
      </c>
      <c r="P8970" t="s">
        <v>55</v>
      </c>
      <c r="R8970" t="s">
        <v>56</v>
      </c>
      <c r="T8970" t="s">
        <v>17099</v>
      </c>
      <c r="U8970" t="s">
        <v>55</v>
      </c>
      <c r="V8970">
        <v>2</v>
      </c>
      <c r="W8970">
        <v>1</v>
      </c>
      <c r="X8970">
        <v>4</v>
      </c>
      <c r="Y8970">
        <v>0</v>
      </c>
      <c r="Z8970">
        <v>4</v>
      </c>
      <c r="AA8970">
        <v>491.05</v>
      </c>
      <c r="AB8970">
        <v>491.05</v>
      </c>
      <c r="AC8970">
        <v>491.05</v>
      </c>
      <c r="AD8970">
        <v>0</v>
      </c>
      <c r="AE8970">
        <v>0</v>
      </c>
      <c r="AF8970">
        <v>0</v>
      </c>
      <c r="AG8970">
        <v>0</v>
      </c>
      <c r="AH8970">
        <v>0</v>
      </c>
      <c r="AI8970">
        <v>88.39</v>
      </c>
      <c r="AJ8970">
        <v>491.05</v>
      </c>
      <c r="AK8970">
        <v>0</v>
      </c>
      <c r="AL8970" t="s">
        <v>53</v>
      </c>
      <c r="AM8970" t="s">
        <v>53</v>
      </c>
      <c r="AN8970" t="s">
        <v>53</v>
      </c>
      <c r="AO8970" t="s">
        <v>53</v>
      </c>
      <c r="AP8970" t="s">
        <v>53</v>
      </c>
    </row>
    <row r="8971" spans="2:42" x14ac:dyDescent="0.2">
      <c r="B8971" t="s">
        <v>44</v>
      </c>
      <c r="C8971" t="str">
        <f>HYPERLINK("https://us2.cloudbeds.com/connect/8493803454333002#/reservations/9080486849173109?display=564Z8R33MQ&amp;reservation_id=9080486849173109", "564Z8R33MQ")</f>
        <v>564Z8R33MQ</v>
      </c>
      <c r="D8971" t="s">
        <v>45</v>
      </c>
      <c r="E8971" t="s">
        <v>138</v>
      </c>
      <c r="F8971" t="s">
        <v>70</v>
      </c>
      <c r="G8971" t="s">
        <v>48</v>
      </c>
      <c r="H8971" t="s">
        <v>49</v>
      </c>
      <c r="I8971" t="s">
        <v>8964</v>
      </c>
      <c r="J8971" t="s">
        <v>13870</v>
      </c>
      <c r="K8971" t="s">
        <v>14636</v>
      </c>
      <c r="L8971" t="s">
        <v>53</v>
      </c>
      <c r="N8971" t="s">
        <v>17100</v>
      </c>
      <c r="P8971" t="s">
        <v>55</v>
      </c>
      <c r="R8971" t="s">
        <v>53</v>
      </c>
      <c r="T8971" t="s">
        <v>17101</v>
      </c>
      <c r="U8971" t="s">
        <v>55</v>
      </c>
      <c r="V8971">
        <v>1</v>
      </c>
      <c r="W8971">
        <v>1</v>
      </c>
      <c r="X8971">
        <v>1</v>
      </c>
      <c r="Y8971">
        <v>0</v>
      </c>
      <c r="Z8971">
        <v>1</v>
      </c>
      <c r="AA8971">
        <v>0</v>
      </c>
      <c r="AB8971">
        <v>0</v>
      </c>
      <c r="AC8971">
        <v>138</v>
      </c>
      <c r="AD8971">
        <v>0</v>
      </c>
      <c r="AE8971">
        <v>0</v>
      </c>
      <c r="AF8971">
        <v>0</v>
      </c>
      <c r="AG8971">
        <v>0</v>
      </c>
      <c r="AH8971">
        <v>0</v>
      </c>
      <c r="AI8971">
        <v>20.7</v>
      </c>
      <c r="AJ8971">
        <v>138</v>
      </c>
      <c r="AK8971">
        <v>138</v>
      </c>
      <c r="AL8971" t="s">
        <v>53</v>
      </c>
      <c r="AM8971" t="s">
        <v>53</v>
      </c>
      <c r="AN8971" t="s">
        <v>17102</v>
      </c>
      <c r="AO8971" t="s">
        <v>53</v>
      </c>
      <c r="AP8971" t="s">
        <v>53</v>
      </c>
    </row>
    <row r="8972" spans="2:42" x14ac:dyDescent="0.2">
      <c r="B8972" t="s">
        <v>44</v>
      </c>
      <c r="C8972" t="str">
        <f>HYPERLINK("https://us2.cloudbeds.com/connect/8493803454333002#/reservations/240703578734784?display=564SRBASYK&amp;reservation_id=240703578734784", "564SRBASYK")</f>
        <v>564SRBASYK</v>
      </c>
      <c r="D8972" t="s">
        <v>45</v>
      </c>
      <c r="E8972" t="s">
        <v>487</v>
      </c>
      <c r="F8972" t="s">
        <v>61</v>
      </c>
      <c r="G8972" t="s">
        <v>48</v>
      </c>
      <c r="H8972" t="s">
        <v>3957</v>
      </c>
      <c r="I8972" t="s">
        <v>3975</v>
      </c>
      <c r="J8972" t="s">
        <v>14154</v>
      </c>
      <c r="K8972" t="s">
        <v>14976</v>
      </c>
      <c r="L8972" t="s">
        <v>53</v>
      </c>
      <c r="P8972" t="s">
        <v>55</v>
      </c>
      <c r="R8972" t="s">
        <v>56</v>
      </c>
      <c r="T8972" t="s">
        <v>17103</v>
      </c>
      <c r="U8972" t="s">
        <v>58</v>
      </c>
      <c r="V8972">
        <v>1</v>
      </c>
      <c r="W8972">
        <v>1</v>
      </c>
      <c r="X8972">
        <v>2</v>
      </c>
      <c r="Y8972">
        <v>0</v>
      </c>
      <c r="Z8972">
        <v>2</v>
      </c>
      <c r="AA8972">
        <v>213.25</v>
      </c>
      <c r="AB8972">
        <v>213.25</v>
      </c>
      <c r="AC8972">
        <v>186</v>
      </c>
      <c r="AD8972">
        <v>0</v>
      </c>
      <c r="AE8972">
        <v>27.25</v>
      </c>
      <c r="AF8972">
        <v>0</v>
      </c>
      <c r="AG8972">
        <v>0</v>
      </c>
      <c r="AH8972">
        <v>0</v>
      </c>
      <c r="AI8972">
        <v>0</v>
      </c>
      <c r="AJ8972">
        <v>213.25</v>
      </c>
      <c r="AK8972">
        <v>0</v>
      </c>
      <c r="AL8972" t="s">
        <v>53</v>
      </c>
      <c r="AM8972" t="s">
        <v>53</v>
      </c>
      <c r="AN8972" t="s">
        <v>53</v>
      </c>
      <c r="AO8972" t="s">
        <v>53</v>
      </c>
      <c r="AP8972" t="s">
        <v>53</v>
      </c>
    </row>
    <row r="8973" spans="2:42" x14ac:dyDescent="0.2">
      <c r="B8973" t="s">
        <v>44</v>
      </c>
      <c r="C8973" t="str">
        <f>HYPERLINK("https://us2.cloudbeds.com/connect/8493803454333002#/reservations/240706996678784?display=564VFMDW4S&amp;reservation_id=240706996678784", "564VFMDW4S")</f>
        <v>564VFMDW4S</v>
      </c>
      <c r="D8973" t="s">
        <v>45</v>
      </c>
      <c r="E8973" t="s">
        <v>17104</v>
      </c>
      <c r="F8973" t="s">
        <v>5444</v>
      </c>
      <c r="G8973" t="s">
        <v>4520</v>
      </c>
      <c r="H8973" t="s">
        <v>3957</v>
      </c>
      <c r="I8973" t="s">
        <v>3958</v>
      </c>
      <c r="J8973" t="s">
        <v>14154</v>
      </c>
      <c r="K8973" t="s">
        <v>13869</v>
      </c>
      <c r="L8973" t="s">
        <v>53</v>
      </c>
      <c r="P8973" t="s">
        <v>55</v>
      </c>
      <c r="R8973" t="s">
        <v>56</v>
      </c>
      <c r="T8973" t="s">
        <v>17105</v>
      </c>
      <c r="U8973" t="s">
        <v>58</v>
      </c>
      <c r="V8973">
        <v>2</v>
      </c>
      <c r="W8973">
        <v>2</v>
      </c>
      <c r="X8973">
        <v>2</v>
      </c>
      <c r="Y8973">
        <v>0</v>
      </c>
      <c r="Z8973">
        <v>2</v>
      </c>
      <c r="AA8973">
        <v>346.71</v>
      </c>
      <c r="AB8973">
        <v>346.71</v>
      </c>
      <c r="AC8973">
        <v>302.39999999999998</v>
      </c>
      <c r="AD8973">
        <v>0</v>
      </c>
      <c r="AE8973">
        <v>44.31</v>
      </c>
      <c r="AF8973">
        <v>0</v>
      </c>
      <c r="AG8973">
        <v>0</v>
      </c>
      <c r="AH8973">
        <v>0</v>
      </c>
      <c r="AI8973">
        <v>0</v>
      </c>
      <c r="AJ8973">
        <v>346.71</v>
      </c>
      <c r="AK8973">
        <v>0</v>
      </c>
      <c r="AL8973" t="s">
        <v>53</v>
      </c>
      <c r="AM8973" t="s">
        <v>53</v>
      </c>
      <c r="AN8973" t="s">
        <v>53</v>
      </c>
      <c r="AO8973" t="s">
        <v>53</v>
      </c>
      <c r="AP8973" t="s">
        <v>53</v>
      </c>
    </row>
    <row r="8974" spans="2:42" x14ac:dyDescent="0.2">
      <c r="B8974" t="s">
        <v>44</v>
      </c>
      <c r="C8974" t="str">
        <f>HYPERLINK("https://us2.cloudbeds.com/connect/8493803454333002#/reservations/9080486849173702?display=56545D619A&amp;reservation_id=9080486849173702", "56545D619A")</f>
        <v>56545D619A</v>
      </c>
      <c r="D8974" t="s">
        <v>45</v>
      </c>
      <c r="E8974" t="s">
        <v>98</v>
      </c>
      <c r="F8974" t="s">
        <v>86</v>
      </c>
      <c r="G8974" t="s">
        <v>48</v>
      </c>
      <c r="H8974" t="s">
        <v>49</v>
      </c>
      <c r="I8974" t="s">
        <v>62</v>
      </c>
      <c r="J8974" t="s">
        <v>16197</v>
      </c>
      <c r="K8974" t="s">
        <v>14637</v>
      </c>
      <c r="L8974" t="s">
        <v>53</v>
      </c>
      <c r="N8974" t="s">
        <v>17106</v>
      </c>
      <c r="P8974" t="s">
        <v>55</v>
      </c>
      <c r="R8974" t="s">
        <v>56</v>
      </c>
      <c r="T8974" t="s">
        <v>17107</v>
      </c>
      <c r="U8974" t="s">
        <v>55</v>
      </c>
      <c r="V8974">
        <v>1</v>
      </c>
      <c r="W8974">
        <v>1</v>
      </c>
      <c r="X8974">
        <v>1</v>
      </c>
      <c r="Y8974">
        <v>2</v>
      </c>
      <c r="Z8974">
        <v>3</v>
      </c>
      <c r="AA8974">
        <v>167.9</v>
      </c>
      <c r="AB8974">
        <v>167.9</v>
      </c>
      <c r="AC8974">
        <v>167.9</v>
      </c>
      <c r="AD8974">
        <v>0</v>
      </c>
      <c r="AE8974">
        <v>0</v>
      </c>
      <c r="AF8974">
        <v>0</v>
      </c>
      <c r="AG8974">
        <v>0</v>
      </c>
      <c r="AH8974">
        <v>0</v>
      </c>
      <c r="AI8974">
        <v>30.22</v>
      </c>
      <c r="AJ8974">
        <v>167.9</v>
      </c>
      <c r="AK8974">
        <v>0</v>
      </c>
      <c r="AL8974" t="s">
        <v>53</v>
      </c>
      <c r="AM8974" t="s">
        <v>53</v>
      </c>
      <c r="AN8974" t="s">
        <v>53</v>
      </c>
      <c r="AO8974" t="s">
        <v>53</v>
      </c>
      <c r="AP8974" t="s">
        <v>53</v>
      </c>
    </row>
    <row r="8975" spans="2:42" x14ac:dyDescent="0.2">
      <c r="B8975" t="s">
        <v>44</v>
      </c>
      <c r="C8975" t="str">
        <f>HYPERLINK("https://us2.cloudbeds.com/connect/8493803454333002#/reservations/240722995429568?display=565ASFWTWV&amp;reservation_id=240722995429568", "565ASFWTWV")</f>
        <v>565ASFWTWV</v>
      </c>
      <c r="D8975" t="s">
        <v>45</v>
      </c>
      <c r="E8975" t="s">
        <v>14695</v>
      </c>
      <c r="F8975" t="s">
        <v>47</v>
      </c>
      <c r="G8975" t="s">
        <v>48</v>
      </c>
      <c r="H8975" t="s">
        <v>3957</v>
      </c>
      <c r="I8975" t="s">
        <v>3975</v>
      </c>
      <c r="J8975" t="s">
        <v>14976</v>
      </c>
      <c r="K8975" t="s">
        <v>13869</v>
      </c>
      <c r="L8975" t="s">
        <v>53</v>
      </c>
      <c r="P8975" t="s">
        <v>55</v>
      </c>
      <c r="R8975" t="s">
        <v>56</v>
      </c>
      <c r="T8975" t="s">
        <v>17108</v>
      </c>
      <c r="U8975" t="s">
        <v>58</v>
      </c>
      <c r="V8975">
        <v>1</v>
      </c>
      <c r="W8975">
        <v>1</v>
      </c>
      <c r="X8975">
        <v>2</v>
      </c>
      <c r="Y8975">
        <v>0</v>
      </c>
      <c r="Z8975">
        <v>2</v>
      </c>
      <c r="AA8975">
        <v>201.78</v>
      </c>
      <c r="AB8975">
        <v>201.78</v>
      </c>
      <c r="AC8975">
        <v>176</v>
      </c>
      <c r="AD8975">
        <v>0</v>
      </c>
      <c r="AE8975">
        <v>25.78</v>
      </c>
      <c r="AF8975">
        <v>0</v>
      </c>
      <c r="AG8975">
        <v>0</v>
      </c>
      <c r="AH8975">
        <v>0</v>
      </c>
      <c r="AI8975">
        <v>0</v>
      </c>
      <c r="AJ8975">
        <v>201.78</v>
      </c>
      <c r="AK8975">
        <v>0</v>
      </c>
      <c r="AL8975" t="s">
        <v>53</v>
      </c>
      <c r="AM8975" t="s">
        <v>53</v>
      </c>
      <c r="AN8975" t="s">
        <v>17109</v>
      </c>
      <c r="AO8975" t="s">
        <v>53</v>
      </c>
      <c r="AP8975" t="s">
        <v>53</v>
      </c>
    </row>
    <row r="8976" spans="2:42" x14ac:dyDescent="0.2">
      <c r="B8976" t="s">
        <v>44</v>
      </c>
      <c r="C8976" t="str">
        <f>HYPERLINK("https://us2.cloudbeds.com/connect/8493803454333002#/reservations/240737381109888?display=565M02BWJQ&amp;reservation_id=240737381109888", "565M02BWJQ")</f>
        <v>565M02BWJQ</v>
      </c>
      <c r="D8976" t="s">
        <v>45</v>
      </c>
      <c r="E8976" t="s">
        <v>69</v>
      </c>
      <c r="F8976" t="s">
        <v>70</v>
      </c>
      <c r="G8976" t="s">
        <v>48</v>
      </c>
      <c r="H8976" t="s">
        <v>3957</v>
      </c>
      <c r="I8976" t="s">
        <v>3975</v>
      </c>
      <c r="J8976" t="s">
        <v>13870</v>
      </c>
      <c r="K8976" t="s">
        <v>14636</v>
      </c>
      <c r="L8976" t="s">
        <v>53</v>
      </c>
      <c r="P8976" t="s">
        <v>55</v>
      </c>
      <c r="R8976" t="s">
        <v>56</v>
      </c>
      <c r="T8976" t="s">
        <v>17110</v>
      </c>
      <c r="U8976" t="s">
        <v>58</v>
      </c>
      <c r="V8976">
        <v>1</v>
      </c>
      <c r="W8976">
        <v>1</v>
      </c>
      <c r="X8976">
        <v>1</v>
      </c>
      <c r="Y8976">
        <v>0</v>
      </c>
      <c r="Z8976">
        <v>1</v>
      </c>
      <c r="AA8976">
        <v>0</v>
      </c>
      <c r="AB8976">
        <v>137.58000000000001</v>
      </c>
      <c r="AC8976">
        <v>120</v>
      </c>
      <c r="AD8976">
        <v>0</v>
      </c>
      <c r="AE8976">
        <v>17.579999999999998</v>
      </c>
      <c r="AF8976">
        <v>0</v>
      </c>
      <c r="AG8976">
        <v>0</v>
      </c>
      <c r="AH8976">
        <v>0</v>
      </c>
      <c r="AI8976">
        <v>0</v>
      </c>
      <c r="AJ8976">
        <v>137.58000000000001</v>
      </c>
      <c r="AK8976">
        <v>0</v>
      </c>
      <c r="AL8976" t="s">
        <v>53</v>
      </c>
      <c r="AM8976" t="s">
        <v>53</v>
      </c>
      <c r="AN8976" t="s">
        <v>17111</v>
      </c>
      <c r="AO8976" t="s">
        <v>53</v>
      </c>
      <c r="AP8976" t="s">
        <v>53</v>
      </c>
    </row>
    <row r="8977" spans="2:42" x14ac:dyDescent="0.2">
      <c r="B8977" t="s">
        <v>44</v>
      </c>
      <c r="C8977" t="str">
        <f>HYPERLINK("https://us2.cloudbeds.com/connect/8493803454333002#/reservations/240864216428672?display=568Y7080YK&amp;reservation_id=240864216428672", "568Y7080YK")</f>
        <v>568Y7080YK</v>
      </c>
      <c r="D8977" t="s">
        <v>45</v>
      </c>
      <c r="E8977" t="s">
        <v>774</v>
      </c>
      <c r="F8977" t="s">
        <v>47</v>
      </c>
      <c r="G8977" t="s">
        <v>3974</v>
      </c>
      <c r="H8977" t="s">
        <v>3957</v>
      </c>
      <c r="I8977" t="s">
        <v>3975</v>
      </c>
      <c r="J8977" t="s">
        <v>14632</v>
      </c>
      <c r="K8977" t="s">
        <v>17078</v>
      </c>
      <c r="L8977" t="s">
        <v>53</v>
      </c>
      <c r="P8977" t="s">
        <v>55</v>
      </c>
      <c r="R8977" t="s">
        <v>56</v>
      </c>
      <c r="T8977" t="s">
        <v>17112</v>
      </c>
      <c r="U8977" t="s">
        <v>58</v>
      </c>
      <c r="V8977">
        <v>6</v>
      </c>
      <c r="W8977">
        <v>2</v>
      </c>
      <c r="X8977">
        <v>4</v>
      </c>
      <c r="Y8977">
        <v>0</v>
      </c>
      <c r="Z8977">
        <v>4</v>
      </c>
      <c r="AA8977">
        <v>1073.92</v>
      </c>
      <c r="AB8977">
        <v>1073.92</v>
      </c>
      <c r="AC8977">
        <v>936.7</v>
      </c>
      <c r="AD8977">
        <v>0</v>
      </c>
      <c r="AE8977">
        <v>137.22</v>
      </c>
      <c r="AF8977">
        <v>0</v>
      </c>
      <c r="AG8977">
        <v>0</v>
      </c>
      <c r="AH8977">
        <v>0</v>
      </c>
      <c r="AI8977">
        <v>0</v>
      </c>
      <c r="AJ8977">
        <v>1073.92</v>
      </c>
      <c r="AK8977">
        <v>0</v>
      </c>
      <c r="AL8977" t="s">
        <v>53</v>
      </c>
      <c r="AM8977" t="s">
        <v>53</v>
      </c>
      <c r="AN8977" t="s">
        <v>53</v>
      </c>
      <c r="AO8977" t="s">
        <v>53</v>
      </c>
      <c r="AP8977" t="s">
        <v>53</v>
      </c>
    </row>
    <row r="8978" spans="2:42" x14ac:dyDescent="0.2">
      <c r="B8978" t="s">
        <v>44</v>
      </c>
      <c r="C8978" t="str">
        <f>HYPERLINK("https://us2.cloudbeds.com/connect/8493803454333002#/reservations/9080486849178805?display=5697F2AFCF&amp;reservation_id=9080486849178805", "5697F2AFCF")</f>
        <v>5697F2AFCF</v>
      </c>
      <c r="D8978" t="s">
        <v>10291</v>
      </c>
      <c r="E8978" t="s">
        <v>110</v>
      </c>
      <c r="F8978" t="s">
        <v>47</v>
      </c>
      <c r="G8978" t="s">
        <v>48</v>
      </c>
      <c r="H8978" t="s">
        <v>49</v>
      </c>
      <c r="I8978" t="s">
        <v>50</v>
      </c>
      <c r="J8978" t="s">
        <v>15747</v>
      </c>
      <c r="K8978" t="s">
        <v>15748</v>
      </c>
      <c r="L8978" t="s">
        <v>53</v>
      </c>
      <c r="N8978" t="s">
        <v>17113</v>
      </c>
      <c r="P8978" t="s">
        <v>55</v>
      </c>
      <c r="R8978" t="s">
        <v>53</v>
      </c>
      <c r="T8978" t="s">
        <v>17114</v>
      </c>
      <c r="U8978" t="s">
        <v>58</v>
      </c>
      <c r="V8978">
        <v>1</v>
      </c>
      <c r="W8978">
        <v>1</v>
      </c>
      <c r="X8978">
        <v>2</v>
      </c>
      <c r="Y8978">
        <v>0</v>
      </c>
      <c r="Z8978">
        <v>2</v>
      </c>
      <c r="AA8978">
        <v>152.85</v>
      </c>
      <c r="AB8978">
        <v>0</v>
      </c>
      <c r="AC8978">
        <v>133.31</v>
      </c>
      <c r="AD8978">
        <v>0</v>
      </c>
      <c r="AE8978">
        <v>19.54</v>
      </c>
      <c r="AF8978">
        <v>0</v>
      </c>
      <c r="AG8978">
        <v>0</v>
      </c>
      <c r="AH8978">
        <v>0</v>
      </c>
      <c r="AI8978">
        <v>27.51</v>
      </c>
      <c r="AJ8978">
        <v>152.85</v>
      </c>
      <c r="AK8978">
        <v>152.85</v>
      </c>
      <c r="AL8978" t="s">
        <v>53</v>
      </c>
      <c r="AM8978" t="s">
        <v>53</v>
      </c>
      <c r="AN8978" t="s">
        <v>53</v>
      </c>
      <c r="AO8978" t="s">
        <v>53</v>
      </c>
      <c r="AP8978" t="s">
        <v>53</v>
      </c>
    </row>
    <row r="8979" spans="2:42" x14ac:dyDescent="0.2">
      <c r="B8979" t="s">
        <v>44</v>
      </c>
      <c r="C8979" t="str">
        <f>HYPERLINK("https://us2.cloudbeds.com/connect/8493803454333002#/reservations/9080486849178991?display=569AXSPSS3&amp;reservation_id=9080486849178991", "569AXSPSS3")</f>
        <v>569AXSPSS3</v>
      </c>
      <c r="D8979" t="s">
        <v>45</v>
      </c>
      <c r="E8979" t="s">
        <v>305</v>
      </c>
      <c r="F8979" t="s">
        <v>61</v>
      </c>
      <c r="G8979" t="s">
        <v>48</v>
      </c>
      <c r="H8979" t="s">
        <v>49</v>
      </c>
      <c r="I8979" t="s">
        <v>50</v>
      </c>
      <c r="J8979" t="s">
        <v>16197</v>
      </c>
      <c r="K8979" t="s">
        <v>15231</v>
      </c>
      <c r="L8979" t="s">
        <v>53</v>
      </c>
      <c r="N8979" t="s">
        <v>17115</v>
      </c>
      <c r="P8979" t="s">
        <v>55</v>
      </c>
      <c r="R8979" t="s">
        <v>53</v>
      </c>
      <c r="T8979" t="s">
        <v>17116</v>
      </c>
      <c r="U8979" t="s">
        <v>58</v>
      </c>
      <c r="V8979">
        <v>2</v>
      </c>
      <c r="W8979">
        <v>1</v>
      </c>
      <c r="X8979">
        <v>1</v>
      </c>
      <c r="Y8979">
        <v>0</v>
      </c>
      <c r="Z8979">
        <v>1</v>
      </c>
      <c r="AA8979">
        <v>261.38</v>
      </c>
      <c r="AB8979">
        <v>261.38</v>
      </c>
      <c r="AC8979">
        <v>227.98</v>
      </c>
      <c r="AD8979">
        <v>0</v>
      </c>
      <c r="AE8979">
        <v>33.4</v>
      </c>
      <c r="AF8979">
        <v>0</v>
      </c>
      <c r="AG8979">
        <v>0</v>
      </c>
      <c r="AH8979">
        <v>0</v>
      </c>
      <c r="AI8979">
        <v>47.05</v>
      </c>
      <c r="AJ8979">
        <v>261.38</v>
      </c>
      <c r="AK8979">
        <v>0</v>
      </c>
      <c r="AL8979" t="s">
        <v>53</v>
      </c>
      <c r="AM8979" t="s">
        <v>53</v>
      </c>
      <c r="AN8979" t="s">
        <v>53</v>
      </c>
      <c r="AO8979" t="s">
        <v>53</v>
      </c>
      <c r="AP8979" t="s">
        <v>53</v>
      </c>
    </row>
    <row r="8980" spans="2:42" x14ac:dyDescent="0.2">
      <c r="B8980" t="s">
        <v>44</v>
      </c>
      <c r="C8980" t="str">
        <f>HYPERLINK("https://us2.cloudbeds.com/connect/8493803454333002#/reservations/9080486849179646?display=569YXTEM22&amp;reservation_id=9080486849179646", "569YXTEM22")</f>
        <v>569YXTEM22</v>
      </c>
      <c r="D8980" t="s">
        <v>45</v>
      </c>
      <c r="E8980" t="s">
        <v>381</v>
      </c>
      <c r="F8980" t="s">
        <v>47</v>
      </c>
      <c r="G8980" t="s">
        <v>48</v>
      </c>
      <c r="H8980" t="s">
        <v>49</v>
      </c>
      <c r="I8980" t="s">
        <v>50</v>
      </c>
      <c r="J8980" t="s">
        <v>14636</v>
      </c>
      <c r="K8980" t="s">
        <v>14637</v>
      </c>
      <c r="L8980" t="s">
        <v>53</v>
      </c>
      <c r="N8980" t="s">
        <v>17117</v>
      </c>
      <c r="P8980" t="s">
        <v>55</v>
      </c>
      <c r="R8980" t="s">
        <v>53</v>
      </c>
      <c r="T8980" t="s">
        <v>17118</v>
      </c>
      <c r="U8980" t="s">
        <v>55</v>
      </c>
      <c r="V8980">
        <v>2</v>
      </c>
      <c r="W8980">
        <v>1</v>
      </c>
      <c r="X8980">
        <v>2</v>
      </c>
      <c r="Y8980">
        <v>0</v>
      </c>
      <c r="Z8980">
        <v>2</v>
      </c>
      <c r="AA8980">
        <v>222.56</v>
      </c>
      <c r="AB8980">
        <v>222.56</v>
      </c>
      <c r="AC8980">
        <v>204.64</v>
      </c>
      <c r="AD8980">
        <v>0</v>
      </c>
      <c r="AE8980">
        <v>17.920000000000002</v>
      </c>
      <c r="AF8980">
        <v>0</v>
      </c>
      <c r="AG8980">
        <v>0</v>
      </c>
      <c r="AH8980">
        <v>0</v>
      </c>
      <c r="AI8980">
        <v>40.06</v>
      </c>
      <c r="AJ8980">
        <v>222.56</v>
      </c>
      <c r="AK8980">
        <v>0</v>
      </c>
      <c r="AL8980" t="s">
        <v>53</v>
      </c>
      <c r="AM8980" t="s">
        <v>53</v>
      </c>
      <c r="AN8980" t="s">
        <v>17119</v>
      </c>
      <c r="AO8980" t="s">
        <v>53</v>
      </c>
      <c r="AP8980" t="s">
        <v>53</v>
      </c>
    </row>
    <row r="8981" spans="2:42" x14ac:dyDescent="0.2">
      <c r="B8981" t="s">
        <v>44</v>
      </c>
      <c r="C8981" t="str">
        <f>HYPERLINK("https://us2.cloudbeds.com/connect/8493803454333002#/reservations/9080486849179892?display=569PEQ8J4C&amp;reservation_id=9080486849179892", "569PEQ8J4C")</f>
        <v>569PEQ8J4C</v>
      </c>
      <c r="D8981" t="s">
        <v>45</v>
      </c>
      <c r="E8981" t="s">
        <v>113</v>
      </c>
      <c r="F8981" t="s">
        <v>61</v>
      </c>
      <c r="G8981" t="s">
        <v>48</v>
      </c>
      <c r="H8981" t="s">
        <v>49</v>
      </c>
      <c r="I8981" t="s">
        <v>62</v>
      </c>
      <c r="J8981" t="s">
        <v>15947</v>
      </c>
      <c r="K8981" t="s">
        <v>14130</v>
      </c>
      <c r="L8981" t="s">
        <v>53</v>
      </c>
      <c r="N8981" t="s">
        <v>17120</v>
      </c>
      <c r="P8981" t="s">
        <v>55</v>
      </c>
      <c r="R8981" t="s">
        <v>56</v>
      </c>
      <c r="T8981" t="s">
        <v>17121</v>
      </c>
      <c r="U8981" t="s">
        <v>55</v>
      </c>
      <c r="V8981">
        <v>3</v>
      </c>
      <c r="W8981">
        <v>1</v>
      </c>
      <c r="X8981">
        <v>2</v>
      </c>
      <c r="Y8981">
        <v>0</v>
      </c>
      <c r="Z8981">
        <v>2</v>
      </c>
      <c r="AA8981">
        <v>402.04</v>
      </c>
      <c r="AB8981">
        <v>402.04</v>
      </c>
      <c r="AC8981">
        <v>402.04</v>
      </c>
      <c r="AD8981">
        <v>0</v>
      </c>
      <c r="AE8981">
        <v>0</v>
      </c>
      <c r="AF8981">
        <v>0</v>
      </c>
      <c r="AG8981">
        <v>0</v>
      </c>
      <c r="AH8981">
        <v>0</v>
      </c>
      <c r="AI8981">
        <v>72.37</v>
      </c>
      <c r="AJ8981">
        <v>402.04</v>
      </c>
      <c r="AK8981">
        <v>0</v>
      </c>
      <c r="AL8981" t="s">
        <v>53</v>
      </c>
      <c r="AM8981" t="s">
        <v>53</v>
      </c>
      <c r="AN8981" t="s">
        <v>17122</v>
      </c>
      <c r="AO8981" t="s">
        <v>53</v>
      </c>
      <c r="AP8981" t="s">
        <v>53</v>
      </c>
    </row>
    <row r="8982" spans="2:42" x14ac:dyDescent="0.2">
      <c r="B8982" t="s">
        <v>44</v>
      </c>
      <c r="C8982" t="str">
        <f>HYPERLINK("https://us2.cloudbeds.com/connect/8493803454333002#/reservations/240912632033409?display=569PN4JCRU&amp;reservation_id=240912632033409", "569PN4JCRU")</f>
        <v>569PN4JCRU</v>
      </c>
      <c r="D8982" t="s">
        <v>45</v>
      </c>
      <c r="E8982" t="s">
        <v>78</v>
      </c>
      <c r="F8982" t="s">
        <v>61</v>
      </c>
      <c r="G8982" t="s">
        <v>48</v>
      </c>
      <c r="H8982" t="s">
        <v>3957</v>
      </c>
      <c r="I8982" t="s">
        <v>3975</v>
      </c>
      <c r="J8982" t="s">
        <v>15947</v>
      </c>
      <c r="K8982" t="s">
        <v>14130</v>
      </c>
      <c r="L8982" t="s">
        <v>53</v>
      </c>
      <c r="P8982" t="s">
        <v>55</v>
      </c>
      <c r="R8982" t="s">
        <v>56</v>
      </c>
      <c r="T8982" t="s">
        <v>17123</v>
      </c>
      <c r="U8982" t="s">
        <v>58</v>
      </c>
      <c r="V8982">
        <v>3</v>
      </c>
      <c r="W8982">
        <v>1</v>
      </c>
      <c r="X8982">
        <v>2</v>
      </c>
      <c r="Y8982">
        <v>0</v>
      </c>
      <c r="Z8982">
        <v>2</v>
      </c>
      <c r="AA8982">
        <v>0</v>
      </c>
      <c r="AB8982">
        <v>421.94</v>
      </c>
      <c r="AC8982">
        <v>368</v>
      </c>
      <c r="AD8982">
        <v>0</v>
      </c>
      <c r="AE8982">
        <v>53.94</v>
      </c>
      <c r="AF8982">
        <v>0</v>
      </c>
      <c r="AG8982">
        <v>0</v>
      </c>
      <c r="AH8982">
        <v>0</v>
      </c>
      <c r="AI8982">
        <v>0</v>
      </c>
      <c r="AJ8982">
        <v>421.94</v>
      </c>
      <c r="AK8982">
        <v>0</v>
      </c>
      <c r="AL8982" t="s">
        <v>53</v>
      </c>
      <c r="AM8982" t="s">
        <v>53</v>
      </c>
      <c r="AN8982" t="s">
        <v>17124</v>
      </c>
      <c r="AO8982" t="s">
        <v>53</v>
      </c>
      <c r="AP8982" t="s">
        <v>53</v>
      </c>
    </row>
    <row r="8983" spans="2:42" x14ac:dyDescent="0.2">
      <c r="B8983" t="s">
        <v>44</v>
      </c>
      <c r="C8983" t="str">
        <f>HYPERLINK("https://us2.cloudbeds.com/connect/8493803454333002#/reservations/9080486849180012?display=569RM9XVR6&amp;reservation_id=9080486849180012", "569RM9XVR6")</f>
        <v>569RM9XVR6</v>
      </c>
      <c r="D8983" t="s">
        <v>45</v>
      </c>
      <c r="E8983" t="s">
        <v>138</v>
      </c>
      <c r="F8983" t="s">
        <v>70</v>
      </c>
      <c r="G8983" t="s">
        <v>48</v>
      </c>
      <c r="H8983" t="s">
        <v>49</v>
      </c>
      <c r="I8983" t="s">
        <v>62</v>
      </c>
      <c r="J8983" t="s">
        <v>15075</v>
      </c>
      <c r="K8983" t="s">
        <v>15735</v>
      </c>
      <c r="L8983" t="s">
        <v>53</v>
      </c>
      <c r="N8983" t="s">
        <v>17125</v>
      </c>
      <c r="P8983" t="s">
        <v>55</v>
      </c>
      <c r="R8983" t="s">
        <v>56</v>
      </c>
      <c r="T8983" t="s">
        <v>17126</v>
      </c>
      <c r="U8983" t="s">
        <v>55</v>
      </c>
      <c r="V8983">
        <v>1</v>
      </c>
      <c r="W8983">
        <v>1</v>
      </c>
      <c r="X8983">
        <v>2</v>
      </c>
      <c r="Y8983">
        <v>0</v>
      </c>
      <c r="Z8983">
        <v>2</v>
      </c>
      <c r="AA8983">
        <v>147.49</v>
      </c>
      <c r="AB8983">
        <v>152.97</v>
      </c>
      <c r="AC8983">
        <v>147.49</v>
      </c>
      <c r="AD8983">
        <v>5</v>
      </c>
      <c r="AE8983">
        <v>0.48</v>
      </c>
      <c r="AF8983">
        <v>0</v>
      </c>
      <c r="AG8983">
        <v>0</v>
      </c>
      <c r="AH8983">
        <v>0</v>
      </c>
      <c r="AI8983">
        <v>27.53</v>
      </c>
      <c r="AJ8983">
        <v>152.97</v>
      </c>
      <c r="AK8983">
        <v>0</v>
      </c>
      <c r="AL8983" t="s">
        <v>53</v>
      </c>
      <c r="AM8983" t="s">
        <v>53</v>
      </c>
      <c r="AN8983" t="s">
        <v>17127</v>
      </c>
      <c r="AO8983" t="s">
        <v>53</v>
      </c>
      <c r="AP8983" t="s">
        <v>53</v>
      </c>
    </row>
    <row r="8984" spans="2:42" x14ac:dyDescent="0.2">
      <c r="B8984" t="s">
        <v>44</v>
      </c>
      <c r="C8984" t="str">
        <f>HYPERLINK("https://us2.cloudbeds.com/connect/8493803454333002#/reservations/240919960039552?display=569VCCZVP5&amp;reservation_id=240919960039552", "569VCCZVP5")</f>
        <v>569VCCZVP5</v>
      </c>
      <c r="D8984" t="s">
        <v>45</v>
      </c>
      <c r="E8984" t="s">
        <v>105</v>
      </c>
      <c r="F8984" t="s">
        <v>47</v>
      </c>
      <c r="G8984" t="s">
        <v>48</v>
      </c>
      <c r="H8984" t="s">
        <v>3957</v>
      </c>
      <c r="I8984" t="s">
        <v>3975</v>
      </c>
      <c r="J8984" t="s">
        <v>13870</v>
      </c>
      <c r="K8984" t="s">
        <v>14636</v>
      </c>
      <c r="L8984" t="s">
        <v>53</v>
      </c>
      <c r="P8984" t="s">
        <v>55</v>
      </c>
      <c r="R8984" t="s">
        <v>56</v>
      </c>
      <c r="T8984" t="s">
        <v>17128</v>
      </c>
      <c r="U8984" t="s">
        <v>58</v>
      </c>
      <c r="V8984">
        <v>1</v>
      </c>
      <c r="W8984">
        <v>1</v>
      </c>
      <c r="X8984">
        <v>2</v>
      </c>
      <c r="Y8984">
        <v>0</v>
      </c>
      <c r="Z8984">
        <v>2</v>
      </c>
      <c r="AA8984">
        <v>0</v>
      </c>
      <c r="AB8984">
        <v>146.44</v>
      </c>
      <c r="AC8984">
        <v>119</v>
      </c>
      <c r="AD8984">
        <v>0</v>
      </c>
      <c r="AE8984">
        <v>17.440000000000001</v>
      </c>
      <c r="AF8984">
        <v>0</v>
      </c>
      <c r="AG8984">
        <v>0</v>
      </c>
      <c r="AH8984">
        <v>0</v>
      </c>
      <c r="AI8984">
        <v>0</v>
      </c>
      <c r="AJ8984">
        <v>136.44</v>
      </c>
      <c r="AK8984">
        <v>-10</v>
      </c>
      <c r="AL8984" t="s">
        <v>53</v>
      </c>
      <c r="AM8984" t="s">
        <v>53</v>
      </c>
      <c r="AN8984" t="s">
        <v>53</v>
      </c>
      <c r="AO8984" t="s">
        <v>53</v>
      </c>
      <c r="AP8984" t="s">
        <v>53</v>
      </c>
    </row>
    <row r="8985" spans="2:42" x14ac:dyDescent="0.2">
      <c r="B8985" t="s">
        <v>44</v>
      </c>
      <c r="C8985" t="str">
        <f>HYPERLINK("https://us2.cloudbeds.com/connect/8493803454333002#/reservations/9080486849180649?display=56A68W3YU7&amp;reservation_id=9080486849180649", "56A68W3YU7")</f>
        <v>56A68W3YU7</v>
      </c>
      <c r="D8985" t="s">
        <v>45</v>
      </c>
      <c r="E8985" t="s">
        <v>155</v>
      </c>
      <c r="F8985" t="s">
        <v>86</v>
      </c>
      <c r="G8985" t="s">
        <v>48</v>
      </c>
      <c r="H8985" t="s">
        <v>49</v>
      </c>
      <c r="I8985" t="s">
        <v>50</v>
      </c>
      <c r="J8985" t="s">
        <v>13870</v>
      </c>
      <c r="K8985" t="s">
        <v>16197</v>
      </c>
      <c r="L8985" t="s">
        <v>53</v>
      </c>
      <c r="N8985" t="s">
        <v>17129</v>
      </c>
      <c r="P8985" t="s">
        <v>55</v>
      </c>
      <c r="R8985" t="s">
        <v>53</v>
      </c>
      <c r="T8985" t="s">
        <v>17130</v>
      </c>
      <c r="U8985" t="s">
        <v>55</v>
      </c>
      <c r="V8985">
        <v>2</v>
      </c>
      <c r="W8985">
        <v>1</v>
      </c>
      <c r="X8985">
        <v>2</v>
      </c>
      <c r="Y8985">
        <v>0</v>
      </c>
      <c r="Z8985">
        <v>2</v>
      </c>
      <c r="AA8985">
        <v>318.93</v>
      </c>
      <c r="AB8985">
        <v>318.93</v>
      </c>
      <c r="AC8985">
        <v>293.27</v>
      </c>
      <c r="AD8985">
        <v>0</v>
      </c>
      <c r="AE8985">
        <v>25.66</v>
      </c>
      <c r="AF8985">
        <v>0</v>
      </c>
      <c r="AG8985">
        <v>0</v>
      </c>
      <c r="AH8985">
        <v>0</v>
      </c>
      <c r="AI8985">
        <v>57.41</v>
      </c>
      <c r="AJ8985">
        <v>318.93</v>
      </c>
      <c r="AK8985">
        <v>0</v>
      </c>
      <c r="AL8985" t="s">
        <v>53</v>
      </c>
      <c r="AM8985" t="s">
        <v>53</v>
      </c>
      <c r="AN8985" t="s">
        <v>17131</v>
      </c>
      <c r="AO8985" t="s">
        <v>53</v>
      </c>
      <c r="AP8985" t="s">
        <v>53</v>
      </c>
    </row>
    <row r="8986" spans="2:42" x14ac:dyDescent="0.2">
      <c r="B8986" t="s">
        <v>44</v>
      </c>
      <c r="C8986" t="str">
        <f>HYPERLINK("https://us2.cloudbeds.com/connect/8493803454333002#/reservations/9080486849181114?display=56AF2BDG99&amp;reservation_id=9080486849181114", "56AF2BDG99")</f>
        <v>56AF2BDG99</v>
      </c>
      <c r="D8986" t="s">
        <v>45</v>
      </c>
      <c r="E8986" t="s">
        <v>105</v>
      </c>
      <c r="F8986" t="s">
        <v>47</v>
      </c>
      <c r="G8986" t="s">
        <v>48</v>
      </c>
      <c r="H8986" t="s">
        <v>49</v>
      </c>
      <c r="I8986" t="s">
        <v>50</v>
      </c>
      <c r="J8986" t="s">
        <v>16163</v>
      </c>
      <c r="K8986" t="s">
        <v>14131</v>
      </c>
      <c r="L8986" t="s">
        <v>53</v>
      </c>
      <c r="N8986" t="s">
        <v>17132</v>
      </c>
      <c r="P8986" t="s">
        <v>55</v>
      </c>
      <c r="R8986" t="s">
        <v>53</v>
      </c>
      <c r="T8986" t="s">
        <v>17133</v>
      </c>
      <c r="U8986" t="s">
        <v>55</v>
      </c>
      <c r="V8986">
        <v>2</v>
      </c>
      <c r="W8986">
        <v>1</v>
      </c>
      <c r="X8986">
        <v>1</v>
      </c>
      <c r="Y8986">
        <v>0</v>
      </c>
      <c r="Z8986">
        <v>1</v>
      </c>
      <c r="AA8986">
        <v>188.22</v>
      </c>
      <c r="AB8986">
        <v>188.22</v>
      </c>
      <c r="AC8986">
        <v>173.07</v>
      </c>
      <c r="AD8986">
        <v>0</v>
      </c>
      <c r="AE8986">
        <v>15.15</v>
      </c>
      <c r="AF8986">
        <v>0</v>
      </c>
      <c r="AG8986">
        <v>0</v>
      </c>
      <c r="AH8986">
        <v>0</v>
      </c>
      <c r="AI8986">
        <v>33.880000000000003</v>
      </c>
      <c r="AJ8986">
        <v>188.22</v>
      </c>
      <c r="AK8986">
        <v>0</v>
      </c>
      <c r="AL8986" t="s">
        <v>53</v>
      </c>
      <c r="AM8986" t="s">
        <v>53</v>
      </c>
      <c r="AN8986" t="s">
        <v>17134</v>
      </c>
      <c r="AO8986" t="s">
        <v>53</v>
      </c>
      <c r="AP8986" t="s">
        <v>53</v>
      </c>
    </row>
    <row r="8987" spans="2:42" x14ac:dyDescent="0.2">
      <c r="B8987" t="s">
        <v>44</v>
      </c>
      <c r="C8987" t="str">
        <f>HYPERLINK("https://us2.cloudbeds.com/connect/8493803454333002#/reservations/240980413821120?display=56BC63W6ZN&amp;reservation_id=240980413821120", "56BC63W6ZN")</f>
        <v>56BC63W6ZN</v>
      </c>
      <c r="D8987" t="s">
        <v>9111</v>
      </c>
      <c r="E8987" t="s">
        <v>105</v>
      </c>
      <c r="F8987" t="s">
        <v>47</v>
      </c>
      <c r="G8987" t="s">
        <v>48</v>
      </c>
      <c r="H8987" t="s">
        <v>3957</v>
      </c>
      <c r="I8987" t="s">
        <v>3975</v>
      </c>
      <c r="J8987" t="s">
        <v>14371</v>
      </c>
      <c r="K8987" t="s">
        <v>17135</v>
      </c>
      <c r="L8987" t="s">
        <v>53</v>
      </c>
      <c r="P8987" t="s">
        <v>55</v>
      </c>
      <c r="R8987" t="s">
        <v>56</v>
      </c>
      <c r="T8987" t="s">
        <v>17136</v>
      </c>
      <c r="U8987" t="s">
        <v>58</v>
      </c>
      <c r="V8987">
        <v>1</v>
      </c>
      <c r="W8987">
        <v>1</v>
      </c>
      <c r="X8987">
        <v>2</v>
      </c>
      <c r="Y8987">
        <v>0</v>
      </c>
      <c r="Z8987">
        <v>2</v>
      </c>
      <c r="AA8987">
        <v>0</v>
      </c>
      <c r="AB8987">
        <v>152.49</v>
      </c>
      <c r="AC8987">
        <v>133</v>
      </c>
      <c r="AD8987">
        <v>0</v>
      </c>
      <c r="AE8987">
        <v>19.489999999999998</v>
      </c>
      <c r="AF8987">
        <v>0</v>
      </c>
      <c r="AG8987">
        <v>0</v>
      </c>
      <c r="AH8987">
        <v>0</v>
      </c>
      <c r="AI8987">
        <v>0</v>
      </c>
      <c r="AJ8987">
        <v>152.49</v>
      </c>
      <c r="AK8987">
        <v>0</v>
      </c>
      <c r="AL8987" t="s">
        <v>53</v>
      </c>
      <c r="AM8987" t="s">
        <v>53</v>
      </c>
      <c r="AN8987" t="s">
        <v>17137</v>
      </c>
      <c r="AO8987" t="s">
        <v>53</v>
      </c>
      <c r="AP8987" t="s">
        <v>53</v>
      </c>
    </row>
    <row r="8988" spans="2:42" x14ac:dyDescent="0.2">
      <c r="B8988" t="s">
        <v>44</v>
      </c>
      <c r="C8988" t="str">
        <f>HYPERLINK("https://us2.cloudbeds.com/connect/8493803454333002#/reservations/9080486849182909?display=56BEXBYXQU&amp;reservation_id=9080486849182909", "56BEXBYXQU")</f>
        <v>56BEXBYXQU</v>
      </c>
      <c r="D8988" t="s">
        <v>45</v>
      </c>
      <c r="E8988" t="s">
        <v>85</v>
      </c>
      <c r="F8988" t="s">
        <v>86</v>
      </c>
      <c r="G8988" t="s">
        <v>48</v>
      </c>
      <c r="H8988" t="s">
        <v>49</v>
      </c>
      <c r="I8988" t="s">
        <v>50</v>
      </c>
      <c r="J8988" t="s">
        <v>16163</v>
      </c>
      <c r="K8988" t="s">
        <v>14130</v>
      </c>
      <c r="L8988" t="s">
        <v>53</v>
      </c>
      <c r="N8988" t="s">
        <v>17138</v>
      </c>
      <c r="P8988" t="s">
        <v>55</v>
      </c>
      <c r="R8988" t="s">
        <v>53</v>
      </c>
      <c r="T8988" t="s">
        <v>17139</v>
      </c>
      <c r="U8988" t="s">
        <v>55</v>
      </c>
      <c r="V8988">
        <v>1</v>
      </c>
      <c r="W8988">
        <v>1</v>
      </c>
      <c r="X8988">
        <v>4</v>
      </c>
      <c r="Y8988">
        <v>0</v>
      </c>
      <c r="Z8988">
        <v>4</v>
      </c>
      <c r="AA8988">
        <v>113.76</v>
      </c>
      <c r="AB8988">
        <v>113.76</v>
      </c>
      <c r="AC8988">
        <v>104.61</v>
      </c>
      <c r="AD8988">
        <v>0</v>
      </c>
      <c r="AE8988">
        <v>9.15</v>
      </c>
      <c r="AF8988">
        <v>0</v>
      </c>
      <c r="AG8988">
        <v>0</v>
      </c>
      <c r="AH8988">
        <v>0</v>
      </c>
      <c r="AI8988">
        <v>20.48</v>
      </c>
      <c r="AJ8988">
        <v>113.76</v>
      </c>
      <c r="AK8988">
        <v>0</v>
      </c>
      <c r="AL8988" t="s">
        <v>53</v>
      </c>
      <c r="AM8988" t="s">
        <v>53</v>
      </c>
      <c r="AN8988" t="s">
        <v>53</v>
      </c>
      <c r="AO8988" t="s">
        <v>53</v>
      </c>
      <c r="AP8988" t="s">
        <v>53</v>
      </c>
    </row>
    <row r="8989" spans="2:42" x14ac:dyDescent="0.2">
      <c r="B8989" t="s">
        <v>44</v>
      </c>
      <c r="C8989" t="str">
        <f>HYPERLINK("https://us2.cloudbeds.com/connect/8493803454333002#/reservations/240984300941504?display=56BF6EN9FZ&amp;reservation_id=240984300941504", "56BF6EN9FZ")</f>
        <v>56BF6EN9FZ</v>
      </c>
      <c r="D8989" t="s">
        <v>45</v>
      </c>
      <c r="E8989" t="s">
        <v>223</v>
      </c>
      <c r="F8989" t="s">
        <v>47</v>
      </c>
      <c r="G8989" t="s">
        <v>48</v>
      </c>
      <c r="H8989" t="s">
        <v>3957</v>
      </c>
      <c r="I8989" t="s">
        <v>3975</v>
      </c>
      <c r="J8989" t="s">
        <v>14668</v>
      </c>
      <c r="K8989" t="s">
        <v>15738</v>
      </c>
      <c r="L8989" t="s">
        <v>53</v>
      </c>
      <c r="P8989" t="s">
        <v>55</v>
      </c>
      <c r="R8989" t="s">
        <v>56</v>
      </c>
      <c r="T8989" t="s">
        <v>17140</v>
      </c>
      <c r="U8989" t="s">
        <v>58</v>
      </c>
      <c r="V8989">
        <v>1</v>
      </c>
      <c r="W8989">
        <v>1</v>
      </c>
      <c r="X8989">
        <v>2</v>
      </c>
      <c r="Y8989">
        <v>0</v>
      </c>
      <c r="Z8989">
        <v>2</v>
      </c>
      <c r="AA8989">
        <v>0</v>
      </c>
      <c r="AB8989">
        <v>212.11</v>
      </c>
      <c r="AC8989">
        <v>185</v>
      </c>
      <c r="AD8989">
        <v>0</v>
      </c>
      <c r="AE8989">
        <v>27.11</v>
      </c>
      <c r="AF8989">
        <v>0</v>
      </c>
      <c r="AG8989">
        <v>0</v>
      </c>
      <c r="AH8989">
        <v>0</v>
      </c>
      <c r="AI8989">
        <v>0</v>
      </c>
      <c r="AJ8989">
        <v>212.11</v>
      </c>
      <c r="AK8989">
        <v>0</v>
      </c>
      <c r="AL8989" t="s">
        <v>53</v>
      </c>
      <c r="AM8989" t="s">
        <v>53</v>
      </c>
      <c r="AN8989" t="s">
        <v>17141</v>
      </c>
      <c r="AO8989" t="s">
        <v>53</v>
      </c>
      <c r="AP8989" t="s">
        <v>53</v>
      </c>
    </row>
    <row r="8990" spans="2:42" x14ac:dyDescent="0.2">
      <c r="B8990" t="s">
        <v>44</v>
      </c>
      <c r="C8990" t="str">
        <f>HYPERLINK("https://us2.cloudbeds.com/connect/8493803454333002#/reservations/241021632827520?display=56CB3BUFS7&amp;reservation_id=241021632827520", "56CB3BUFS7")</f>
        <v>56CB3BUFS7</v>
      </c>
      <c r="D8990" t="s">
        <v>45</v>
      </c>
      <c r="E8990" t="s">
        <v>138</v>
      </c>
      <c r="F8990" t="s">
        <v>70</v>
      </c>
      <c r="G8990" t="s">
        <v>48</v>
      </c>
      <c r="H8990" t="s">
        <v>3957</v>
      </c>
      <c r="I8990" t="s">
        <v>3975</v>
      </c>
      <c r="J8990" t="s">
        <v>14636</v>
      </c>
      <c r="K8990" t="s">
        <v>16197</v>
      </c>
      <c r="L8990" t="s">
        <v>53</v>
      </c>
      <c r="P8990" t="s">
        <v>55</v>
      </c>
      <c r="R8990" t="s">
        <v>56</v>
      </c>
      <c r="T8990" t="s">
        <v>17142</v>
      </c>
      <c r="U8990" t="s">
        <v>58</v>
      </c>
      <c r="V8990">
        <v>1</v>
      </c>
      <c r="W8990">
        <v>1</v>
      </c>
      <c r="X8990">
        <v>1</v>
      </c>
      <c r="Y8990">
        <v>0</v>
      </c>
      <c r="Z8990">
        <v>1</v>
      </c>
      <c r="AA8990">
        <v>0</v>
      </c>
      <c r="AB8990">
        <v>108.93</v>
      </c>
      <c r="AC8990">
        <v>95</v>
      </c>
      <c r="AD8990">
        <v>0</v>
      </c>
      <c r="AE8990">
        <v>13.93</v>
      </c>
      <c r="AF8990">
        <v>0</v>
      </c>
      <c r="AG8990">
        <v>0</v>
      </c>
      <c r="AH8990">
        <v>0</v>
      </c>
      <c r="AI8990">
        <v>0</v>
      </c>
      <c r="AJ8990">
        <v>108.93</v>
      </c>
      <c r="AK8990">
        <v>0</v>
      </c>
      <c r="AL8990" t="s">
        <v>53</v>
      </c>
      <c r="AM8990" t="s">
        <v>53</v>
      </c>
      <c r="AN8990" t="s">
        <v>17143</v>
      </c>
      <c r="AO8990" t="s">
        <v>53</v>
      </c>
      <c r="AP8990" t="s">
        <v>53</v>
      </c>
    </row>
    <row r="8991" spans="2:42" x14ac:dyDescent="0.2">
      <c r="B8991" t="s">
        <v>44</v>
      </c>
      <c r="C8991" t="str">
        <f>HYPERLINK("https://us2.cloudbeds.com/connect/8493803454333002#/reservations/241028218790016?display=56CG6YD5EU&amp;reservation_id=241028218790016", "56CG6YD5EU")</f>
        <v>56CG6YD5EU</v>
      </c>
      <c r="D8991" t="s">
        <v>45</v>
      </c>
      <c r="E8991" t="s">
        <v>165</v>
      </c>
      <c r="F8991" t="s">
        <v>61</v>
      </c>
      <c r="G8991" t="s">
        <v>3974</v>
      </c>
      <c r="H8991" t="s">
        <v>3957</v>
      </c>
      <c r="I8991" t="s">
        <v>3975</v>
      </c>
      <c r="J8991" t="s">
        <v>17096</v>
      </c>
      <c r="K8991" t="s">
        <v>17078</v>
      </c>
      <c r="L8991" t="s">
        <v>53</v>
      </c>
      <c r="P8991" t="s">
        <v>55</v>
      </c>
      <c r="R8991" t="s">
        <v>56</v>
      </c>
      <c r="T8991" t="s">
        <v>17144</v>
      </c>
      <c r="U8991" t="s">
        <v>58</v>
      </c>
      <c r="V8991">
        <v>2</v>
      </c>
      <c r="W8991">
        <v>1</v>
      </c>
      <c r="X8991">
        <v>2</v>
      </c>
      <c r="Y8991">
        <v>0</v>
      </c>
      <c r="Z8991">
        <v>2</v>
      </c>
      <c r="AA8991">
        <v>420.43</v>
      </c>
      <c r="AB8991">
        <v>420.43</v>
      </c>
      <c r="AC8991">
        <v>366.7</v>
      </c>
      <c r="AD8991">
        <v>0</v>
      </c>
      <c r="AE8991">
        <v>53.73</v>
      </c>
      <c r="AF8991">
        <v>0</v>
      </c>
      <c r="AG8991">
        <v>0</v>
      </c>
      <c r="AH8991">
        <v>0</v>
      </c>
      <c r="AI8991">
        <v>0</v>
      </c>
      <c r="AJ8991">
        <v>420.43</v>
      </c>
      <c r="AK8991">
        <v>0</v>
      </c>
      <c r="AL8991" t="s">
        <v>53</v>
      </c>
      <c r="AM8991" t="s">
        <v>53</v>
      </c>
      <c r="AN8991" t="s">
        <v>17145</v>
      </c>
      <c r="AO8991" t="s">
        <v>53</v>
      </c>
      <c r="AP8991" t="s">
        <v>53</v>
      </c>
    </row>
    <row r="8992" spans="2:42" x14ac:dyDescent="0.2">
      <c r="B8992" t="s">
        <v>44</v>
      </c>
      <c r="C8992" t="str">
        <f>HYPERLINK("https://us2.cloudbeds.com/connect/8493803454333002#/reservations/241033975144577?display=56CKYZAPV6&amp;reservation_id=241033975144577", "56CKYZAPV6")</f>
        <v>56CKYZAPV6</v>
      </c>
      <c r="D8992" t="s">
        <v>45</v>
      </c>
      <c r="E8992" t="s">
        <v>213</v>
      </c>
      <c r="F8992" t="s">
        <v>86</v>
      </c>
      <c r="G8992" t="s">
        <v>48</v>
      </c>
      <c r="H8992" t="s">
        <v>3957</v>
      </c>
      <c r="I8992" t="s">
        <v>3975</v>
      </c>
      <c r="J8992" t="s">
        <v>14130</v>
      </c>
      <c r="K8992" t="s">
        <v>14131</v>
      </c>
      <c r="L8992" t="s">
        <v>53</v>
      </c>
      <c r="P8992" t="s">
        <v>55</v>
      </c>
      <c r="R8992" t="s">
        <v>56</v>
      </c>
      <c r="T8992" t="s">
        <v>17146</v>
      </c>
      <c r="U8992" t="s">
        <v>58</v>
      </c>
      <c r="V8992">
        <v>1</v>
      </c>
      <c r="W8992">
        <v>1</v>
      </c>
      <c r="X8992">
        <v>2</v>
      </c>
      <c r="Y8992">
        <v>1</v>
      </c>
      <c r="Z8992">
        <v>3</v>
      </c>
      <c r="AA8992">
        <v>0</v>
      </c>
      <c r="AB8992">
        <v>168.54</v>
      </c>
      <c r="AC8992">
        <v>147</v>
      </c>
      <c r="AD8992">
        <v>0</v>
      </c>
      <c r="AE8992">
        <v>21.54</v>
      </c>
      <c r="AF8992">
        <v>0</v>
      </c>
      <c r="AG8992">
        <v>0</v>
      </c>
      <c r="AH8992">
        <v>0</v>
      </c>
      <c r="AI8992">
        <v>0</v>
      </c>
      <c r="AJ8992">
        <v>168.54</v>
      </c>
      <c r="AK8992">
        <v>0</v>
      </c>
      <c r="AL8992" t="s">
        <v>53</v>
      </c>
      <c r="AM8992" t="s">
        <v>53</v>
      </c>
      <c r="AN8992" t="s">
        <v>17147</v>
      </c>
      <c r="AO8992" t="s">
        <v>53</v>
      </c>
      <c r="AP8992" t="s">
        <v>53</v>
      </c>
    </row>
    <row r="8993" spans="2:42" x14ac:dyDescent="0.2">
      <c r="B8993" t="s">
        <v>44</v>
      </c>
      <c r="C8993" t="str">
        <f>HYPERLINK("https://us2.cloudbeds.com/connect/8493803454333002#/reservations/9080486849184723?display=56CM9CSNDU&amp;reservation_id=9080486849184723", "56CM9CSNDU")</f>
        <v>56CM9CSNDU</v>
      </c>
      <c r="D8993" t="s">
        <v>45</v>
      </c>
      <c r="E8993" t="s">
        <v>165</v>
      </c>
      <c r="F8993" t="s">
        <v>61</v>
      </c>
      <c r="G8993" t="s">
        <v>48</v>
      </c>
      <c r="H8993" t="s">
        <v>49</v>
      </c>
      <c r="I8993" t="s">
        <v>50</v>
      </c>
      <c r="J8993" t="s">
        <v>13870</v>
      </c>
      <c r="K8993" t="s">
        <v>14636</v>
      </c>
      <c r="L8993" t="s">
        <v>53</v>
      </c>
      <c r="N8993" t="s">
        <v>17148</v>
      </c>
      <c r="P8993" t="s">
        <v>55</v>
      </c>
      <c r="R8993" t="s">
        <v>53</v>
      </c>
      <c r="T8993" t="s">
        <v>17149</v>
      </c>
      <c r="U8993" t="s">
        <v>55</v>
      </c>
      <c r="V8993">
        <v>1</v>
      </c>
      <c r="W8993">
        <v>1</v>
      </c>
      <c r="X8993">
        <v>1</v>
      </c>
      <c r="Y8993">
        <v>1</v>
      </c>
      <c r="Z8993">
        <v>2</v>
      </c>
      <c r="AA8993">
        <v>115.37</v>
      </c>
      <c r="AB8993">
        <v>115.37</v>
      </c>
      <c r="AC8993">
        <v>106.09</v>
      </c>
      <c r="AD8993">
        <v>0</v>
      </c>
      <c r="AE8993">
        <v>9.2799999999999994</v>
      </c>
      <c r="AF8993">
        <v>0</v>
      </c>
      <c r="AG8993">
        <v>0</v>
      </c>
      <c r="AH8993">
        <v>0</v>
      </c>
      <c r="AI8993">
        <v>20.77</v>
      </c>
      <c r="AJ8993">
        <v>115.37</v>
      </c>
      <c r="AK8993">
        <v>0</v>
      </c>
      <c r="AL8993" t="s">
        <v>53</v>
      </c>
      <c r="AM8993" t="s">
        <v>53</v>
      </c>
      <c r="AN8993" t="s">
        <v>17150</v>
      </c>
      <c r="AO8993" t="s">
        <v>53</v>
      </c>
      <c r="AP8993" t="s">
        <v>53</v>
      </c>
    </row>
    <row r="8994" spans="2:42" x14ac:dyDescent="0.2">
      <c r="B8994" t="s">
        <v>44</v>
      </c>
      <c r="C8994" t="str">
        <f>HYPERLINK("https://us2.cloudbeds.com/connect/8493803454333002#/reservations/241042434027649?display=56CR6SVMN1&amp;reservation_id=241042434027649", "56CR6SVMN1")</f>
        <v>56CR6SVMN1</v>
      </c>
      <c r="D8994" t="s">
        <v>45</v>
      </c>
      <c r="E8994" t="s">
        <v>46</v>
      </c>
      <c r="F8994" t="s">
        <v>47</v>
      </c>
      <c r="G8994" t="s">
        <v>48</v>
      </c>
      <c r="H8994" t="s">
        <v>3957</v>
      </c>
      <c r="I8994" t="s">
        <v>3975</v>
      </c>
      <c r="J8994" t="s">
        <v>13870</v>
      </c>
      <c r="K8994" t="s">
        <v>14637</v>
      </c>
      <c r="L8994" t="s">
        <v>53</v>
      </c>
      <c r="P8994" t="s">
        <v>55</v>
      </c>
      <c r="R8994" t="s">
        <v>56</v>
      </c>
      <c r="T8994" t="s">
        <v>17151</v>
      </c>
      <c r="U8994" t="s">
        <v>58</v>
      </c>
      <c r="V8994">
        <v>3</v>
      </c>
      <c r="W8994">
        <v>1</v>
      </c>
      <c r="X8994">
        <v>1</v>
      </c>
      <c r="Y8994">
        <v>0</v>
      </c>
      <c r="Z8994">
        <v>1</v>
      </c>
      <c r="AA8994">
        <v>0</v>
      </c>
      <c r="AB8994">
        <v>371.49</v>
      </c>
      <c r="AC8994">
        <v>324</v>
      </c>
      <c r="AD8994">
        <v>0</v>
      </c>
      <c r="AE8994">
        <v>47.49</v>
      </c>
      <c r="AF8994">
        <v>0</v>
      </c>
      <c r="AG8994">
        <v>0</v>
      </c>
      <c r="AH8994">
        <v>0</v>
      </c>
      <c r="AI8994">
        <v>0</v>
      </c>
      <c r="AJ8994">
        <v>371.49</v>
      </c>
      <c r="AK8994">
        <v>0</v>
      </c>
      <c r="AL8994" t="s">
        <v>53</v>
      </c>
      <c r="AM8994" t="s">
        <v>53</v>
      </c>
      <c r="AN8994" t="s">
        <v>17152</v>
      </c>
      <c r="AO8994" t="s">
        <v>53</v>
      </c>
      <c r="AP8994" t="s">
        <v>53</v>
      </c>
    </row>
    <row r="8995" spans="2:42" x14ac:dyDescent="0.2">
      <c r="B8995" t="s">
        <v>44</v>
      </c>
      <c r="C8995" t="str">
        <f>HYPERLINK("https://us2.cloudbeds.com/connect/8493803454333002#/reservations/9080486849184976?display=56CS8R70W3&amp;reservation_id=9080486849184976", "56CS8R70W3")</f>
        <v>56CS8R70W3</v>
      </c>
      <c r="D8995" t="s">
        <v>45</v>
      </c>
      <c r="E8995" t="s">
        <v>46</v>
      </c>
      <c r="F8995" t="s">
        <v>47</v>
      </c>
      <c r="G8995" t="s">
        <v>48</v>
      </c>
      <c r="H8995" t="s">
        <v>49</v>
      </c>
      <c r="I8995" t="s">
        <v>50</v>
      </c>
      <c r="J8995" t="s">
        <v>15594</v>
      </c>
      <c r="K8995" t="s">
        <v>14656</v>
      </c>
      <c r="L8995" t="s">
        <v>53</v>
      </c>
      <c r="N8995" t="s">
        <v>17153</v>
      </c>
      <c r="P8995" t="s">
        <v>55</v>
      </c>
      <c r="R8995" t="s">
        <v>53</v>
      </c>
      <c r="T8995" t="s">
        <v>17154</v>
      </c>
      <c r="U8995" t="s">
        <v>55</v>
      </c>
      <c r="V8995">
        <v>2</v>
      </c>
      <c r="W8995">
        <v>1</v>
      </c>
      <c r="X8995">
        <v>2</v>
      </c>
      <c r="Y8995">
        <v>0</v>
      </c>
      <c r="Z8995">
        <v>2</v>
      </c>
      <c r="AA8995">
        <v>234.05</v>
      </c>
      <c r="AB8995">
        <v>234.05</v>
      </c>
      <c r="AC8995">
        <v>215.22</v>
      </c>
      <c r="AD8995">
        <v>0</v>
      </c>
      <c r="AE8995">
        <v>18.829999999999998</v>
      </c>
      <c r="AF8995">
        <v>0</v>
      </c>
      <c r="AG8995">
        <v>0</v>
      </c>
      <c r="AH8995">
        <v>0</v>
      </c>
      <c r="AI8995">
        <v>42.13</v>
      </c>
      <c r="AJ8995">
        <v>234.05</v>
      </c>
      <c r="AK8995">
        <v>0</v>
      </c>
      <c r="AL8995" t="s">
        <v>53</v>
      </c>
      <c r="AM8995" t="s">
        <v>53</v>
      </c>
      <c r="AN8995" t="s">
        <v>53</v>
      </c>
      <c r="AO8995" t="s">
        <v>53</v>
      </c>
      <c r="AP8995" t="s">
        <v>53</v>
      </c>
    </row>
    <row r="8996" spans="2:42" x14ac:dyDescent="0.2">
      <c r="B8996" t="s">
        <v>44</v>
      </c>
      <c r="C8996" t="str">
        <f>HYPERLINK("https://us2.cloudbeds.com/connect/8493803454333002#/reservations/241056562372736?display=56D54TFFPB&amp;reservation_id=241056562372736", "56D54TFFPB")</f>
        <v>56D54TFFPB</v>
      </c>
      <c r="D8996" t="s">
        <v>45</v>
      </c>
      <c r="E8996" t="s">
        <v>179</v>
      </c>
      <c r="F8996" t="s">
        <v>47</v>
      </c>
      <c r="G8996" t="s">
        <v>48</v>
      </c>
      <c r="H8996" t="s">
        <v>3957</v>
      </c>
      <c r="I8996" t="s">
        <v>3975</v>
      </c>
      <c r="J8996" t="s">
        <v>13869</v>
      </c>
      <c r="K8996" t="s">
        <v>14636</v>
      </c>
      <c r="L8996" t="s">
        <v>53</v>
      </c>
      <c r="P8996" t="s">
        <v>55</v>
      </c>
      <c r="R8996" t="s">
        <v>56</v>
      </c>
      <c r="T8996" t="s">
        <v>17155</v>
      </c>
      <c r="U8996" t="s">
        <v>58</v>
      </c>
      <c r="V8996">
        <v>2</v>
      </c>
      <c r="W8996">
        <v>1</v>
      </c>
      <c r="X8996">
        <v>2</v>
      </c>
      <c r="Y8996">
        <v>0</v>
      </c>
      <c r="Z8996">
        <v>2</v>
      </c>
      <c r="AA8996">
        <v>309.57</v>
      </c>
      <c r="AB8996">
        <v>309.57</v>
      </c>
      <c r="AC8996">
        <v>270</v>
      </c>
      <c r="AD8996">
        <v>0</v>
      </c>
      <c r="AE8996">
        <v>39.57</v>
      </c>
      <c r="AF8996">
        <v>0</v>
      </c>
      <c r="AG8996">
        <v>0</v>
      </c>
      <c r="AH8996">
        <v>0</v>
      </c>
      <c r="AI8996">
        <v>0</v>
      </c>
      <c r="AJ8996">
        <v>309.57</v>
      </c>
      <c r="AK8996">
        <v>0</v>
      </c>
      <c r="AL8996" t="s">
        <v>53</v>
      </c>
      <c r="AM8996" t="s">
        <v>53</v>
      </c>
      <c r="AN8996" t="s">
        <v>17156</v>
      </c>
      <c r="AO8996" t="s">
        <v>53</v>
      </c>
      <c r="AP8996" t="s">
        <v>53</v>
      </c>
    </row>
    <row r="8997" spans="2:42" x14ac:dyDescent="0.2">
      <c r="B8997" t="s">
        <v>44</v>
      </c>
      <c r="C8997" t="str">
        <f>HYPERLINK("https://us2.cloudbeds.com/connect/8493803454333002#/reservations/9080486849185687?display=56DB7TYUJJ&amp;reservation_id=9080486849185687", "56DB7TYUJJ")</f>
        <v>56DB7TYUJJ</v>
      </c>
      <c r="D8997" t="s">
        <v>45</v>
      </c>
      <c r="E8997" t="s">
        <v>185</v>
      </c>
      <c r="F8997" t="s">
        <v>47</v>
      </c>
      <c r="G8997" t="s">
        <v>48</v>
      </c>
      <c r="H8997" t="s">
        <v>49</v>
      </c>
      <c r="I8997" t="s">
        <v>50</v>
      </c>
      <c r="J8997" t="s">
        <v>13870</v>
      </c>
      <c r="K8997" t="s">
        <v>16197</v>
      </c>
      <c r="L8997" t="s">
        <v>53</v>
      </c>
      <c r="N8997" t="s">
        <v>17157</v>
      </c>
      <c r="P8997" t="s">
        <v>55</v>
      </c>
      <c r="R8997" t="s">
        <v>53</v>
      </c>
      <c r="T8997" t="s">
        <v>17158</v>
      </c>
      <c r="U8997" t="s">
        <v>55</v>
      </c>
      <c r="V8997">
        <v>2</v>
      </c>
      <c r="W8997">
        <v>1</v>
      </c>
      <c r="X8997">
        <v>1</v>
      </c>
      <c r="Y8997">
        <v>0</v>
      </c>
      <c r="Z8997">
        <v>1</v>
      </c>
      <c r="AA8997">
        <v>198.15</v>
      </c>
      <c r="AB8997">
        <v>198.15</v>
      </c>
      <c r="AC8997">
        <v>182.2</v>
      </c>
      <c r="AD8997">
        <v>0</v>
      </c>
      <c r="AE8997">
        <v>15.95</v>
      </c>
      <c r="AF8997">
        <v>0</v>
      </c>
      <c r="AG8997">
        <v>0</v>
      </c>
      <c r="AH8997">
        <v>0</v>
      </c>
      <c r="AI8997">
        <v>35.67</v>
      </c>
      <c r="AJ8997">
        <v>198.15</v>
      </c>
      <c r="AK8997">
        <v>0</v>
      </c>
      <c r="AL8997" t="s">
        <v>53</v>
      </c>
      <c r="AM8997" t="s">
        <v>53</v>
      </c>
      <c r="AN8997" t="s">
        <v>17159</v>
      </c>
      <c r="AO8997" t="s">
        <v>53</v>
      </c>
      <c r="AP8997" t="s">
        <v>53</v>
      </c>
    </row>
    <row r="8998" spans="2:42" x14ac:dyDescent="0.2">
      <c r="B8998" t="s">
        <v>44</v>
      </c>
      <c r="C8998" t="str">
        <f>HYPERLINK("https://us2.cloudbeds.com/connect/8493803454333002#/reservations/9080486849185708?display=56DBN4CPFE&amp;reservation_id=9080486849185708", "56DBN4CPFE")</f>
        <v>56DBN4CPFE</v>
      </c>
      <c r="D8998" t="s">
        <v>45</v>
      </c>
      <c r="E8998" t="s">
        <v>213</v>
      </c>
      <c r="F8998" t="s">
        <v>86</v>
      </c>
      <c r="G8998" t="s">
        <v>48</v>
      </c>
      <c r="H8998" t="s">
        <v>49</v>
      </c>
      <c r="I8998" t="s">
        <v>50</v>
      </c>
      <c r="J8998" t="s">
        <v>15231</v>
      </c>
      <c r="K8998" t="s">
        <v>15075</v>
      </c>
      <c r="L8998" t="s">
        <v>53</v>
      </c>
      <c r="N8998" t="s">
        <v>17160</v>
      </c>
      <c r="P8998" t="s">
        <v>55</v>
      </c>
      <c r="R8998" t="s">
        <v>53</v>
      </c>
      <c r="T8998" t="s">
        <v>17161</v>
      </c>
      <c r="U8998" t="s">
        <v>55</v>
      </c>
      <c r="V8998">
        <v>1</v>
      </c>
      <c r="W8998">
        <v>1</v>
      </c>
      <c r="X8998">
        <v>2</v>
      </c>
      <c r="Y8998">
        <v>2</v>
      </c>
      <c r="Z8998">
        <v>4</v>
      </c>
      <c r="AA8998">
        <v>128.36000000000001</v>
      </c>
      <c r="AB8998">
        <v>128.36000000000001</v>
      </c>
      <c r="AC8998">
        <v>118.03</v>
      </c>
      <c r="AD8998">
        <v>0</v>
      </c>
      <c r="AE8998">
        <v>10.33</v>
      </c>
      <c r="AF8998">
        <v>0</v>
      </c>
      <c r="AG8998">
        <v>0</v>
      </c>
      <c r="AH8998">
        <v>0</v>
      </c>
      <c r="AI8998">
        <v>23.1</v>
      </c>
      <c r="AJ8998">
        <v>128.36000000000001</v>
      </c>
      <c r="AK8998">
        <v>0</v>
      </c>
      <c r="AL8998" t="s">
        <v>53</v>
      </c>
      <c r="AM8998" t="s">
        <v>53</v>
      </c>
      <c r="AN8998" t="s">
        <v>53</v>
      </c>
      <c r="AO8998" t="s">
        <v>53</v>
      </c>
      <c r="AP8998" t="s">
        <v>53</v>
      </c>
    </row>
    <row r="8999" spans="2:42" x14ac:dyDescent="0.2">
      <c r="B8999" t="s">
        <v>44</v>
      </c>
      <c r="C8999" t="str">
        <f>HYPERLINK("https://us2.cloudbeds.com/connect/8493803454333002#/reservations/9080486849185943?display=56DH9RM5US&amp;reservation_id=9080486849185943", "56DH9RM5US")</f>
        <v>56DH9RM5US</v>
      </c>
      <c r="D8999" t="s">
        <v>45</v>
      </c>
      <c r="E8999" t="s">
        <v>128</v>
      </c>
      <c r="F8999" t="s">
        <v>86</v>
      </c>
      <c r="G8999" t="s">
        <v>48</v>
      </c>
      <c r="H8999" t="s">
        <v>49</v>
      </c>
      <c r="I8999" t="s">
        <v>62</v>
      </c>
      <c r="J8999" t="s">
        <v>13869</v>
      </c>
      <c r="K8999" t="s">
        <v>13870</v>
      </c>
      <c r="L8999" t="s">
        <v>53</v>
      </c>
      <c r="N8999" t="s">
        <v>17162</v>
      </c>
      <c r="P8999" t="s">
        <v>55</v>
      </c>
      <c r="R8999" t="s">
        <v>125</v>
      </c>
      <c r="T8999" t="s">
        <v>17163</v>
      </c>
      <c r="U8999" t="s">
        <v>55</v>
      </c>
      <c r="V8999">
        <v>1</v>
      </c>
      <c r="W8999">
        <v>1</v>
      </c>
      <c r="X8999">
        <v>2</v>
      </c>
      <c r="Y8999">
        <v>0</v>
      </c>
      <c r="Z8999">
        <v>2</v>
      </c>
      <c r="AA8999">
        <v>241.5</v>
      </c>
      <c r="AB8999">
        <v>241.5</v>
      </c>
      <c r="AC8999">
        <v>241.5</v>
      </c>
      <c r="AD8999">
        <v>0</v>
      </c>
      <c r="AE8999">
        <v>0</v>
      </c>
      <c r="AF8999">
        <v>0</v>
      </c>
      <c r="AG8999">
        <v>0</v>
      </c>
      <c r="AH8999">
        <v>0</v>
      </c>
      <c r="AI8999">
        <v>43.47</v>
      </c>
      <c r="AJ8999">
        <v>241.5</v>
      </c>
      <c r="AK8999">
        <v>0</v>
      </c>
      <c r="AL8999" t="s">
        <v>53</v>
      </c>
      <c r="AM8999" t="s">
        <v>53</v>
      </c>
      <c r="AN8999" t="s">
        <v>53</v>
      </c>
      <c r="AO8999" t="s">
        <v>53</v>
      </c>
      <c r="AP8999" t="s">
        <v>53</v>
      </c>
    </row>
    <row r="9000" spans="2:42" x14ac:dyDescent="0.2">
      <c r="B9000" t="s">
        <v>44</v>
      </c>
      <c r="C9000" t="str">
        <f>HYPERLINK("https://us2.cloudbeds.com/connect/8493803454333002#/reservations/241075326558400?display=56DJMBU4PP&amp;reservation_id=241075326558400", "56DJMBU4PP")</f>
        <v>56DJMBU4PP</v>
      </c>
      <c r="D9000" t="s">
        <v>45</v>
      </c>
      <c r="E9000" t="s">
        <v>92</v>
      </c>
      <c r="F9000" t="s">
        <v>86</v>
      </c>
      <c r="G9000" t="s">
        <v>48</v>
      </c>
      <c r="H9000" t="s">
        <v>3957</v>
      </c>
      <c r="I9000" t="s">
        <v>3975</v>
      </c>
      <c r="J9000" t="s">
        <v>13869</v>
      </c>
      <c r="K9000" t="s">
        <v>14636</v>
      </c>
      <c r="L9000" t="s">
        <v>53</v>
      </c>
      <c r="P9000" t="s">
        <v>55</v>
      </c>
      <c r="R9000" t="s">
        <v>56</v>
      </c>
      <c r="T9000" t="s">
        <v>17164</v>
      </c>
      <c r="U9000" t="s">
        <v>58</v>
      </c>
      <c r="V9000">
        <v>2</v>
      </c>
      <c r="W9000">
        <v>1</v>
      </c>
      <c r="X9000">
        <v>2</v>
      </c>
      <c r="Y9000">
        <v>0</v>
      </c>
      <c r="Z9000">
        <v>2</v>
      </c>
      <c r="AA9000">
        <v>309.57</v>
      </c>
      <c r="AB9000">
        <v>309.57</v>
      </c>
      <c r="AC9000">
        <v>270</v>
      </c>
      <c r="AD9000">
        <v>0</v>
      </c>
      <c r="AE9000">
        <v>39.57</v>
      </c>
      <c r="AF9000">
        <v>0</v>
      </c>
      <c r="AG9000">
        <v>0</v>
      </c>
      <c r="AH9000">
        <v>0</v>
      </c>
      <c r="AI9000">
        <v>0</v>
      </c>
      <c r="AJ9000">
        <v>309.57</v>
      </c>
      <c r="AK9000">
        <v>0</v>
      </c>
      <c r="AL9000" t="s">
        <v>53</v>
      </c>
      <c r="AM9000" t="s">
        <v>53</v>
      </c>
      <c r="AN9000" t="s">
        <v>53</v>
      </c>
      <c r="AO9000" t="s">
        <v>53</v>
      </c>
      <c r="AP9000" t="s">
        <v>53</v>
      </c>
    </row>
    <row r="9001" spans="2:42" x14ac:dyDescent="0.2">
      <c r="B9001" t="s">
        <v>44</v>
      </c>
      <c r="C9001" t="str">
        <f>HYPERLINK("https://us2.cloudbeds.com/connect/8493803454333002#/reservations/9080486849186052?display=56DJZCQPDH&amp;reservation_id=9080486849186052", "56DJZCQPDH")</f>
        <v>56DJZCQPDH</v>
      </c>
      <c r="D9001" t="s">
        <v>45</v>
      </c>
      <c r="E9001" t="s">
        <v>121</v>
      </c>
      <c r="F9001" t="s">
        <v>86</v>
      </c>
      <c r="G9001" t="s">
        <v>48</v>
      </c>
      <c r="H9001" t="s">
        <v>49</v>
      </c>
      <c r="I9001" t="s">
        <v>50</v>
      </c>
      <c r="J9001" t="s">
        <v>13869</v>
      </c>
      <c r="K9001" t="s">
        <v>14636</v>
      </c>
      <c r="L9001" t="s">
        <v>53</v>
      </c>
      <c r="N9001" t="s">
        <v>17165</v>
      </c>
      <c r="P9001" t="s">
        <v>55</v>
      </c>
      <c r="R9001" t="s">
        <v>53</v>
      </c>
      <c r="T9001" t="s">
        <v>17166</v>
      </c>
      <c r="U9001" t="s">
        <v>55</v>
      </c>
      <c r="V9001">
        <v>2</v>
      </c>
      <c r="W9001">
        <v>1</v>
      </c>
      <c r="X9001">
        <v>2</v>
      </c>
      <c r="Y9001">
        <v>0</v>
      </c>
      <c r="Z9001">
        <v>2</v>
      </c>
      <c r="AA9001">
        <v>320.27999999999997</v>
      </c>
      <c r="AB9001">
        <v>320.27999999999997</v>
      </c>
      <c r="AC9001">
        <v>294.51</v>
      </c>
      <c r="AD9001">
        <v>0</v>
      </c>
      <c r="AE9001">
        <v>25.77</v>
      </c>
      <c r="AF9001">
        <v>0</v>
      </c>
      <c r="AG9001">
        <v>0</v>
      </c>
      <c r="AH9001">
        <v>0</v>
      </c>
      <c r="AI9001">
        <v>57.65</v>
      </c>
      <c r="AJ9001">
        <v>320.27999999999997</v>
      </c>
      <c r="AK9001">
        <v>0</v>
      </c>
      <c r="AL9001" t="s">
        <v>53</v>
      </c>
      <c r="AM9001" t="s">
        <v>53</v>
      </c>
      <c r="AN9001" t="s">
        <v>53</v>
      </c>
      <c r="AO9001" t="s">
        <v>53</v>
      </c>
      <c r="AP9001" t="s">
        <v>53</v>
      </c>
    </row>
    <row r="9002" spans="2:42" x14ac:dyDescent="0.2">
      <c r="B9002" t="s">
        <v>44</v>
      </c>
      <c r="C9002" t="str">
        <f>HYPERLINK("https://us2.cloudbeds.com/connect/8493803454333002#/reservations/9080486849187015?display=56EEK5H8XY&amp;reservation_id=9080486849187015", "56EEK5H8XY")</f>
        <v>56EEK5H8XY</v>
      </c>
      <c r="D9002" t="s">
        <v>45</v>
      </c>
      <c r="E9002" t="s">
        <v>138</v>
      </c>
      <c r="F9002" t="s">
        <v>70</v>
      </c>
      <c r="G9002" t="s">
        <v>48</v>
      </c>
      <c r="H9002" t="s">
        <v>49</v>
      </c>
      <c r="I9002" t="s">
        <v>8964</v>
      </c>
      <c r="J9002" t="s">
        <v>14971</v>
      </c>
      <c r="K9002" t="s">
        <v>15947</v>
      </c>
      <c r="L9002" t="s">
        <v>53</v>
      </c>
      <c r="N9002" t="s">
        <v>17167</v>
      </c>
      <c r="P9002" t="s">
        <v>55</v>
      </c>
      <c r="R9002" t="s">
        <v>53</v>
      </c>
      <c r="T9002" t="s">
        <v>17168</v>
      </c>
      <c r="U9002" t="s">
        <v>55</v>
      </c>
      <c r="V9002">
        <v>1</v>
      </c>
      <c r="W9002">
        <v>1</v>
      </c>
      <c r="X9002">
        <v>2</v>
      </c>
      <c r="Y9002">
        <v>0</v>
      </c>
      <c r="Z9002">
        <v>2</v>
      </c>
      <c r="AA9002">
        <v>0</v>
      </c>
      <c r="AB9002">
        <v>0</v>
      </c>
      <c r="AC9002">
        <v>164</v>
      </c>
      <c r="AD9002">
        <v>0</v>
      </c>
      <c r="AE9002">
        <v>0</v>
      </c>
      <c r="AF9002">
        <v>0</v>
      </c>
      <c r="AG9002">
        <v>0</v>
      </c>
      <c r="AH9002">
        <v>0</v>
      </c>
      <c r="AI9002">
        <v>24.6</v>
      </c>
      <c r="AJ9002">
        <v>164</v>
      </c>
      <c r="AK9002">
        <v>164</v>
      </c>
      <c r="AL9002" t="s">
        <v>53</v>
      </c>
      <c r="AM9002" t="s">
        <v>53</v>
      </c>
      <c r="AN9002" t="s">
        <v>17169</v>
      </c>
      <c r="AO9002" t="s">
        <v>53</v>
      </c>
      <c r="AP9002" t="s">
        <v>53</v>
      </c>
    </row>
    <row r="9003" spans="2:42" x14ac:dyDescent="0.2">
      <c r="B9003" t="s">
        <v>44</v>
      </c>
      <c r="C9003" t="str">
        <f>HYPERLINK("https://us2.cloudbeds.com/connect/8493803454333002#/reservations/241232083153088?display=56H91S7J6U&amp;reservation_id=241232083153088", "56H91S7J6U")</f>
        <v>56H91S7J6U</v>
      </c>
      <c r="D9003" t="s">
        <v>45</v>
      </c>
      <c r="E9003" t="s">
        <v>92</v>
      </c>
      <c r="F9003" t="s">
        <v>86</v>
      </c>
      <c r="G9003" t="s">
        <v>3974</v>
      </c>
      <c r="H9003" t="s">
        <v>3957</v>
      </c>
      <c r="I9003" t="s">
        <v>3975</v>
      </c>
      <c r="J9003" t="s">
        <v>14970</v>
      </c>
      <c r="K9003" t="s">
        <v>14131</v>
      </c>
      <c r="L9003" t="s">
        <v>53</v>
      </c>
      <c r="P9003" t="s">
        <v>55</v>
      </c>
      <c r="R9003" t="s">
        <v>56</v>
      </c>
      <c r="T9003" t="s">
        <v>17170</v>
      </c>
      <c r="U9003" t="s">
        <v>58</v>
      </c>
      <c r="V9003">
        <v>6</v>
      </c>
      <c r="W9003">
        <v>1</v>
      </c>
      <c r="X9003">
        <v>2</v>
      </c>
      <c r="Y9003">
        <v>0</v>
      </c>
      <c r="Z9003">
        <v>2</v>
      </c>
      <c r="AA9003">
        <v>1150.1600000000001</v>
      </c>
      <c r="AB9003">
        <v>1150.1600000000001</v>
      </c>
      <c r="AC9003">
        <v>1003.2</v>
      </c>
      <c r="AD9003">
        <v>0</v>
      </c>
      <c r="AE9003">
        <v>146.96</v>
      </c>
      <c r="AF9003">
        <v>0</v>
      </c>
      <c r="AG9003">
        <v>0</v>
      </c>
      <c r="AH9003">
        <v>0</v>
      </c>
      <c r="AI9003">
        <v>0</v>
      </c>
      <c r="AJ9003">
        <v>1150.1600000000001</v>
      </c>
      <c r="AK9003">
        <v>0</v>
      </c>
      <c r="AL9003" t="s">
        <v>53</v>
      </c>
      <c r="AM9003" t="s">
        <v>53</v>
      </c>
      <c r="AN9003" t="s">
        <v>17171</v>
      </c>
      <c r="AO9003" t="s">
        <v>53</v>
      </c>
      <c r="AP9003" t="s">
        <v>53</v>
      </c>
    </row>
    <row r="9004" spans="2:42" x14ac:dyDescent="0.2">
      <c r="B9004" t="s">
        <v>44</v>
      </c>
      <c r="C9004" t="str">
        <f>HYPERLINK("https://us2.cloudbeds.com/connect/8493803454333002#/reservations/9080486849190686?display=56HECRFDB8&amp;reservation_id=9080486849190686", "56HECRFDB8")</f>
        <v>56HECRFDB8</v>
      </c>
      <c r="D9004" t="s">
        <v>45</v>
      </c>
      <c r="E9004" t="s">
        <v>155</v>
      </c>
      <c r="F9004" t="s">
        <v>86</v>
      </c>
      <c r="G9004" t="s">
        <v>48</v>
      </c>
      <c r="H9004" t="s">
        <v>49</v>
      </c>
      <c r="I9004" t="s">
        <v>8964</v>
      </c>
      <c r="J9004" t="s">
        <v>14130</v>
      </c>
      <c r="K9004" t="s">
        <v>14131</v>
      </c>
      <c r="L9004" t="s">
        <v>53</v>
      </c>
      <c r="N9004" t="s">
        <v>17172</v>
      </c>
      <c r="P9004" t="s">
        <v>55</v>
      </c>
      <c r="R9004" t="s">
        <v>53</v>
      </c>
      <c r="T9004" t="s">
        <v>17173</v>
      </c>
      <c r="U9004" t="s">
        <v>55</v>
      </c>
      <c r="V9004">
        <v>1</v>
      </c>
      <c r="W9004">
        <v>1</v>
      </c>
      <c r="X9004">
        <v>3</v>
      </c>
      <c r="Y9004">
        <v>0</v>
      </c>
      <c r="Z9004">
        <v>3</v>
      </c>
      <c r="AA9004">
        <v>0</v>
      </c>
      <c r="AB9004">
        <v>0</v>
      </c>
      <c r="AC9004">
        <v>169</v>
      </c>
      <c r="AD9004">
        <v>0</v>
      </c>
      <c r="AE9004">
        <v>0</v>
      </c>
      <c r="AF9004">
        <v>0</v>
      </c>
      <c r="AG9004">
        <v>0</v>
      </c>
      <c r="AH9004">
        <v>0</v>
      </c>
      <c r="AI9004">
        <v>25.35</v>
      </c>
      <c r="AJ9004">
        <v>169</v>
      </c>
      <c r="AK9004">
        <v>169</v>
      </c>
      <c r="AL9004" t="s">
        <v>53</v>
      </c>
      <c r="AM9004" t="s">
        <v>53</v>
      </c>
      <c r="AN9004" t="s">
        <v>17174</v>
      </c>
      <c r="AO9004" t="s">
        <v>53</v>
      </c>
      <c r="AP9004" t="s">
        <v>53</v>
      </c>
    </row>
    <row r="9005" spans="2:42" x14ac:dyDescent="0.2">
      <c r="B9005" t="s">
        <v>44</v>
      </c>
      <c r="C9005" t="str">
        <f>HYPERLINK("https://us2.cloudbeds.com/connect/8493803454333002#/reservations/9080486849190896?display=56HX5W9J89&amp;reservation_id=9080486849190896", "56HX5W9J89")</f>
        <v>56HX5W9J89</v>
      </c>
      <c r="D9005" t="s">
        <v>45</v>
      </c>
      <c r="E9005" t="s">
        <v>113</v>
      </c>
      <c r="F9005" t="s">
        <v>61</v>
      </c>
      <c r="G9005" t="s">
        <v>48</v>
      </c>
      <c r="H9005" t="s">
        <v>49</v>
      </c>
      <c r="I9005" t="s">
        <v>50</v>
      </c>
      <c r="J9005" t="s">
        <v>13870</v>
      </c>
      <c r="K9005" t="s">
        <v>14636</v>
      </c>
      <c r="L9005" t="s">
        <v>53</v>
      </c>
      <c r="N9005" t="s">
        <v>17175</v>
      </c>
      <c r="P9005" t="s">
        <v>55</v>
      </c>
      <c r="R9005" t="s">
        <v>53</v>
      </c>
      <c r="T9005" t="s">
        <v>17176</v>
      </c>
      <c r="U9005" t="s">
        <v>55</v>
      </c>
      <c r="V9005">
        <v>1</v>
      </c>
      <c r="W9005">
        <v>1</v>
      </c>
      <c r="X9005">
        <v>2</v>
      </c>
      <c r="Y9005">
        <v>0</v>
      </c>
      <c r="Z9005">
        <v>2</v>
      </c>
      <c r="AA9005">
        <v>107.99</v>
      </c>
      <c r="AB9005">
        <v>107.99</v>
      </c>
      <c r="AC9005">
        <v>99.3</v>
      </c>
      <c r="AD9005">
        <v>0</v>
      </c>
      <c r="AE9005">
        <v>8.69</v>
      </c>
      <c r="AF9005">
        <v>0</v>
      </c>
      <c r="AG9005">
        <v>0</v>
      </c>
      <c r="AH9005">
        <v>0</v>
      </c>
      <c r="AI9005">
        <v>19.440000000000001</v>
      </c>
      <c r="AJ9005">
        <v>107.99</v>
      </c>
      <c r="AK9005">
        <v>0</v>
      </c>
      <c r="AL9005" t="s">
        <v>53</v>
      </c>
      <c r="AM9005" t="s">
        <v>53</v>
      </c>
      <c r="AN9005" t="s">
        <v>17177</v>
      </c>
      <c r="AO9005" t="s">
        <v>53</v>
      </c>
      <c r="AP9005" t="s">
        <v>53</v>
      </c>
    </row>
    <row r="9006" spans="2:42" x14ac:dyDescent="0.2">
      <c r="B9006" t="s">
        <v>44</v>
      </c>
      <c r="C9006" t="str">
        <f>HYPERLINK("https://us2.cloudbeds.com/connect/8493803454333002#/reservations/9080486849193001?display=56XYPFB0FC&amp;reservation_id=9080486849193001", "56XYPFB0FC")</f>
        <v>56XYPFB0FC</v>
      </c>
      <c r="D9006" t="s">
        <v>45</v>
      </c>
      <c r="E9006" t="s">
        <v>78</v>
      </c>
      <c r="F9006" t="s">
        <v>61</v>
      </c>
      <c r="G9006" t="s">
        <v>48</v>
      </c>
      <c r="H9006" t="s">
        <v>49</v>
      </c>
      <c r="I9006" t="s">
        <v>62</v>
      </c>
      <c r="J9006" t="s">
        <v>14636</v>
      </c>
      <c r="K9006" t="s">
        <v>16197</v>
      </c>
      <c r="L9006" t="s">
        <v>53</v>
      </c>
      <c r="N9006" t="s">
        <v>17178</v>
      </c>
      <c r="P9006" t="s">
        <v>55</v>
      </c>
      <c r="R9006" t="s">
        <v>56</v>
      </c>
      <c r="T9006" t="s">
        <v>17179</v>
      </c>
      <c r="U9006" t="s">
        <v>55</v>
      </c>
      <c r="V9006">
        <v>1</v>
      </c>
      <c r="W9006">
        <v>1</v>
      </c>
      <c r="X9006">
        <v>2</v>
      </c>
      <c r="Y9006">
        <v>0</v>
      </c>
      <c r="Z9006">
        <v>2</v>
      </c>
      <c r="AA9006">
        <v>132.25</v>
      </c>
      <c r="AB9006">
        <v>132.25</v>
      </c>
      <c r="AC9006">
        <v>132.25</v>
      </c>
      <c r="AD9006">
        <v>0</v>
      </c>
      <c r="AE9006">
        <v>0</v>
      </c>
      <c r="AF9006">
        <v>0</v>
      </c>
      <c r="AG9006">
        <v>0</v>
      </c>
      <c r="AH9006">
        <v>0</v>
      </c>
      <c r="AI9006">
        <v>23.81</v>
      </c>
      <c r="AJ9006">
        <v>132.25</v>
      </c>
      <c r="AK9006">
        <v>0</v>
      </c>
      <c r="AL9006" t="s">
        <v>53</v>
      </c>
      <c r="AM9006" t="s">
        <v>53</v>
      </c>
      <c r="AN9006" t="s">
        <v>17180</v>
      </c>
      <c r="AO9006" t="s">
        <v>53</v>
      </c>
      <c r="AP9006" t="s">
        <v>53</v>
      </c>
    </row>
    <row r="9007" spans="2:42" x14ac:dyDescent="0.2">
      <c r="B9007" t="s">
        <v>44</v>
      </c>
      <c r="C9007" t="str">
        <f>HYPERLINK("https://us2.cloudbeds.com/connect/8493803454333002#/reservations/241295972790400?display=56XPHCYMW2&amp;reservation_id=241295972790400", "56XPHCYMW2")</f>
        <v>56XPHCYMW2</v>
      </c>
      <c r="D9007" t="s">
        <v>45</v>
      </c>
      <c r="E9007" t="s">
        <v>17181</v>
      </c>
      <c r="F9007" t="s">
        <v>5257</v>
      </c>
      <c r="G9007" t="s">
        <v>3974</v>
      </c>
      <c r="H9007" t="s">
        <v>3957</v>
      </c>
      <c r="I9007" t="s">
        <v>3975</v>
      </c>
      <c r="J9007" t="s">
        <v>15735</v>
      </c>
      <c r="K9007" t="s">
        <v>14669</v>
      </c>
      <c r="L9007" t="s">
        <v>53</v>
      </c>
      <c r="P9007" t="s">
        <v>55</v>
      </c>
      <c r="R9007" t="s">
        <v>56</v>
      </c>
      <c r="T9007" t="s">
        <v>17182</v>
      </c>
      <c r="U9007" t="s">
        <v>58</v>
      </c>
      <c r="V9007">
        <v>6</v>
      </c>
      <c r="W9007">
        <v>2</v>
      </c>
      <c r="X9007">
        <v>3</v>
      </c>
      <c r="Y9007">
        <v>1</v>
      </c>
      <c r="Z9007">
        <v>4</v>
      </c>
      <c r="AA9007">
        <v>1503.07</v>
      </c>
      <c r="AB9007">
        <v>1503.07</v>
      </c>
      <c r="AC9007">
        <v>1311</v>
      </c>
      <c r="AD9007">
        <v>0</v>
      </c>
      <c r="AE9007">
        <v>192.07</v>
      </c>
      <c r="AF9007">
        <v>0</v>
      </c>
      <c r="AG9007">
        <v>0</v>
      </c>
      <c r="AH9007">
        <v>0</v>
      </c>
      <c r="AI9007">
        <v>0</v>
      </c>
      <c r="AJ9007">
        <v>1503.07</v>
      </c>
      <c r="AK9007">
        <v>0</v>
      </c>
      <c r="AL9007" t="s">
        <v>53</v>
      </c>
      <c r="AM9007" t="s">
        <v>53</v>
      </c>
      <c r="AN9007" t="s">
        <v>17183</v>
      </c>
      <c r="AO9007" t="s">
        <v>53</v>
      </c>
      <c r="AP9007" t="s">
        <v>53</v>
      </c>
    </row>
    <row r="9008" spans="2:42" x14ac:dyDescent="0.2">
      <c r="B9008" t="s">
        <v>44</v>
      </c>
      <c r="C9008" t="str">
        <f>HYPERLINK("https://us2.cloudbeds.com/connect/8493803454333002#/reservations/9080486849193416?display=56XTGSP6WR&amp;reservation_id=9080486849193416", "56XTGSP6WR")</f>
        <v>56XTGSP6WR</v>
      </c>
      <c r="D9008" t="s">
        <v>45</v>
      </c>
      <c r="E9008" t="s">
        <v>78</v>
      </c>
      <c r="F9008" t="s">
        <v>61</v>
      </c>
      <c r="G9008" t="s">
        <v>48</v>
      </c>
      <c r="H9008" t="s">
        <v>49</v>
      </c>
      <c r="I9008" t="s">
        <v>50</v>
      </c>
      <c r="J9008" t="s">
        <v>14637</v>
      </c>
      <c r="K9008" t="s">
        <v>15075</v>
      </c>
      <c r="L9008" t="s">
        <v>53</v>
      </c>
      <c r="N9008" t="s">
        <v>17184</v>
      </c>
      <c r="P9008" t="s">
        <v>55</v>
      </c>
      <c r="R9008" t="s">
        <v>53</v>
      </c>
      <c r="T9008" t="s">
        <v>17185</v>
      </c>
      <c r="U9008" t="s">
        <v>58</v>
      </c>
      <c r="V9008">
        <v>2</v>
      </c>
      <c r="W9008">
        <v>1</v>
      </c>
      <c r="X9008">
        <v>1</v>
      </c>
      <c r="Y9008">
        <v>0</v>
      </c>
      <c r="Z9008">
        <v>1</v>
      </c>
      <c r="AA9008">
        <v>301.94</v>
      </c>
      <c r="AB9008">
        <v>301.94</v>
      </c>
      <c r="AC9008">
        <v>263.35000000000002</v>
      </c>
      <c r="AD9008">
        <v>0</v>
      </c>
      <c r="AE9008">
        <v>38.590000000000003</v>
      </c>
      <c r="AF9008">
        <v>0</v>
      </c>
      <c r="AG9008">
        <v>0</v>
      </c>
      <c r="AH9008">
        <v>0</v>
      </c>
      <c r="AI9008">
        <v>54.35</v>
      </c>
      <c r="AJ9008">
        <v>301.94</v>
      </c>
      <c r="AK9008">
        <v>0</v>
      </c>
      <c r="AL9008" t="s">
        <v>53</v>
      </c>
      <c r="AM9008" t="s">
        <v>53</v>
      </c>
      <c r="AN9008" t="s">
        <v>17186</v>
      </c>
      <c r="AO9008" t="s">
        <v>53</v>
      </c>
      <c r="AP9008" t="s">
        <v>53</v>
      </c>
    </row>
    <row r="9009" spans="2:42" x14ac:dyDescent="0.2">
      <c r="B9009" t="s">
        <v>44</v>
      </c>
      <c r="C9009" t="str">
        <f>HYPERLINK("https://us2.cloudbeds.com/connect/8493803454333002#/reservations/9080486849193550?display=56XW7EX84G&amp;reservation_id=9080486849193550", "56XW7EX84G")</f>
        <v>56XW7EX84G</v>
      </c>
      <c r="D9009" t="s">
        <v>45</v>
      </c>
      <c r="E9009" t="s">
        <v>14402</v>
      </c>
      <c r="F9009" t="s">
        <v>14403</v>
      </c>
      <c r="G9009" t="s">
        <v>48</v>
      </c>
      <c r="H9009" t="s">
        <v>49</v>
      </c>
      <c r="I9009" t="s">
        <v>50</v>
      </c>
      <c r="J9009" t="s">
        <v>14637</v>
      </c>
      <c r="K9009" t="s">
        <v>15075</v>
      </c>
      <c r="L9009" t="s">
        <v>53</v>
      </c>
      <c r="N9009" t="s">
        <v>17187</v>
      </c>
      <c r="P9009" t="s">
        <v>55</v>
      </c>
      <c r="R9009" t="s">
        <v>53</v>
      </c>
      <c r="T9009" t="s">
        <v>17188</v>
      </c>
      <c r="U9009" t="s">
        <v>55</v>
      </c>
      <c r="V9009">
        <v>2</v>
      </c>
      <c r="W9009">
        <v>1</v>
      </c>
      <c r="X9009">
        <v>2</v>
      </c>
      <c r="Y9009">
        <v>0</v>
      </c>
      <c r="Z9009">
        <v>2</v>
      </c>
      <c r="AA9009">
        <v>267.67</v>
      </c>
      <c r="AB9009">
        <v>267.67</v>
      </c>
      <c r="AC9009">
        <v>246.13</v>
      </c>
      <c r="AD9009">
        <v>0</v>
      </c>
      <c r="AE9009">
        <v>21.54</v>
      </c>
      <c r="AF9009">
        <v>0</v>
      </c>
      <c r="AG9009">
        <v>0</v>
      </c>
      <c r="AH9009">
        <v>0</v>
      </c>
      <c r="AI9009">
        <v>48.18</v>
      </c>
      <c r="AJ9009">
        <v>267.67</v>
      </c>
      <c r="AK9009">
        <v>0</v>
      </c>
      <c r="AL9009" t="s">
        <v>53</v>
      </c>
      <c r="AM9009" t="s">
        <v>53</v>
      </c>
      <c r="AN9009" t="s">
        <v>17189</v>
      </c>
      <c r="AO9009" t="s">
        <v>53</v>
      </c>
      <c r="AP9009" t="s">
        <v>53</v>
      </c>
    </row>
    <row r="9010" spans="2:42" x14ac:dyDescent="0.2">
      <c r="B9010" t="s">
        <v>44</v>
      </c>
      <c r="C9010" t="str">
        <f>HYPERLINK("https://us2.cloudbeds.com/connect/8493803454333002#/reservations/9080486849193813?display=56J423HGVP&amp;reservation_id=9080486849193813", "56J423HGVP")</f>
        <v>56J423HGVP</v>
      </c>
      <c r="D9010" t="s">
        <v>45</v>
      </c>
      <c r="E9010" t="s">
        <v>406</v>
      </c>
      <c r="F9010" t="s">
        <v>61</v>
      </c>
      <c r="G9010" t="s">
        <v>48</v>
      </c>
      <c r="H9010" t="s">
        <v>49</v>
      </c>
      <c r="I9010" t="s">
        <v>8964</v>
      </c>
      <c r="J9010" t="s">
        <v>13869</v>
      </c>
      <c r="K9010" t="s">
        <v>14636</v>
      </c>
      <c r="L9010" t="s">
        <v>53</v>
      </c>
      <c r="N9010" t="s">
        <v>17190</v>
      </c>
      <c r="P9010" t="s">
        <v>55</v>
      </c>
      <c r="R9010" t="s">
        <v>53</v>
      </c>
      <c r="T9010" t="s">
        <v>17191</v>
      </c>
      <c r="U9010" t="s">
        <v>55</v>
      </c>
      <c r="V9010">
        <v>2</v>
      </c>
      <c r="W9010">
        <v>1</v>
      </c>
      <c r="X9010">
        <v>2</v>
      </c>
      <c r="Y9010">
        <v>0</v>
      </c>
      <c r="Z9010">
        <v>2</v>
      </c>
      <c r="AA9010">
        <v>0</v>
      </c>
      <c r="AB9010">
        <v>0</v>
      </c>
      <c r="AC9010">
        <v>364</v>
      </c>
      <c r="AD9010">
        <v>0</v>
      </c>
      <c r="AE9010">
        <v>0</v>
      </c>
      <c r="AF9010">
        <v>0</v>
      </c>
      <c r="AG9010">
        <v>0</v>
      </c>
      <c r="AH9010">
        <v>0</v>
      </c>
      <c r="AI9010">
        <v>54.6</v>
      </c>
      <c r="AJ9010">
        <v>364</v>
      </c>
      <c r="AK9010">
        <v>364</v>
      </c>
      <c r="AL9010" t="s">
        <v>53</v>
      </c>
      <c r="AM9010" t="s">
        <v>53</v>
      </c>
      <c r="AN9010" t="s">
        <v>53</v>
      </c>
      <c r="AO9010" t="s">
        <v>53</v>
      </c>
      <c r="AP9010" t="s">
        <v>53</v>
      </c>
    </row>
    <row r="9011" spans="2:42" x14ac:dyDescent="0.2">
      <c r="B9011" t="s">
        <v>44</v>
      </c>
      <c r="C9011" t="str">
        <f>HYPERLINK("https://us2.cloudbeds.com/connect/8493803454333002#/reservations/241316031860864?display=56J81UWTZ6&amp;reservation_id=241316031860864", "56J81UWTZ6")</f>
        <v>56J81UWTZ6</v>
      </c>
      <c r="D9011" t="s">
        <v>45</v>
      </c>
      <c r="E9011" t="s">
        <v>179</v>
      </c>
      <c r="F9011" t="s">
        <v>47</v>
      </c>
      <c r="G9011" t="s">
        <v>3974</v>
      </c>
      <c r="H9011" t="s">
        <v>3957</v>
      </c>
      <c r="I9011" t="s">
        <v>3975</v>
      </c>
      <c r="J9011" t="s">
        <v>16163</v>
      </c>
      <c r="K9011" t="s">
        <v>14131</v>
      </c>
      <c r="L9011" t="s">
        <v>53</v>
      </c>
      <c r="P9011" t="s">
        <v>55</v>
      </c>
      <c r="R9011" t="s">
        <v>56</v>
      </c>
      <c r="T9011" t="s">
        <v>17192</v>
      </c>
      <c r="U9011" t="s">
        <v>58</v>
      </c>
      <c r="V9011">
        <v>2</v>
      </c>
      <c r="W9011">
        <v>1</v>
      </c>
      <c r="X9011">
        <v>1</v>
      </c>
      <c r="Y9011">
        <v>0</v>
      </c>
      <c r="Z9011">
        <v>1</v>
      </c>
      <c r="AA9011">
        <v>228.72</v>
      </c>
      <c r="AB9011">
        <v>228.72</v>
      </c>
      <c r="AC9011">
        <v>199.5</v>
      </c>
      <c r="AD9011">
        <v>0</v>
      </c>
      <c r="AE9011">
        <v>29.22</v>
      </c>
      <c r="AF9011">
        <v>0</v>
      </c>
      <c r="AG9011">
        <v>0</v>
      </c>
      <c r="AH9011">
        <v>0</v>
      </c>
      <c r="AI9011">
        <v>0</v>
      </c>
      <c r="AJ9011">
        <v>228.72</v>
      </c>
      <c r="AK9011">
        <v>0</v>
      </c>
      <c r="AL9011" t="s">
        <v>53</v>
      </c>
      <c r="AM9011" t="s">
        <v>53</v>
      </c>
      <c r="AN9011" t="s">
        <v>17193</v>
      </c>
      <c r="AO9011" t="s">
        <v>53</v>
      </c>
      <c r="AP9011" t="s">
        <v>53</v>
      </c>
    </row>
    <row r="9012" spans="2:42" x14ac:dyDescent="0.2">
      <c r="B9012" t="s">
        <v>44</v>
      </c>
      <c r="C9012" t="str">
        <f>HYPERLINK("https://us2.cloudbeds.com/connect/8493803454333002#/reservations/241325318131840?display=56JF87EYEJ&amp;reservation_id=241325318131840", "56JF87EYEJ")</f>
        <v>56JF87EYEJ</v>
      </c>
      <c r="D9012" t="s">
        <v>45</v>
      </c>
      <c r="E9012" t="s">
        <v>14695</v>
      </c>
      <c r="F9012" t="s">
        <v>47</v>
      </c>
      <c r="G9012" t="s">
        <v>48</v>
      </c>
      <c r="H9012" t="s">
        <v>3957</v>
      </c>
      <c r="I9012" t="s">
        <v>3975</v>
      </c>
      <c r="J9012" t="s">
        <v>15231</v>
      </c>
      <c r="K9012" t="s">
        <v>15075</v>
      </c>
      <c r="L9012" t="s">
        <v>53</v>
      </c>
      <c r="P9012" t="s">
        <v>55</v>
      </c>
      <c r="R9012" t="s">
        <v>56</v>
      </c>
      <c r="T9012" t="s">
        <v>17194</v>
      </c>
      <c r="U9012" t="s">
        <v>58</v>
      </c>
      <c r="V9012">
        <v>1</v>
      </c>
      <c r="W9012">
        <v>1</v>
      </c>
      <c r="X9012">
        <v>1</v>
      </c>
      <c r="Y9012">
        <v>0</v>
      </c>
      <c r="Z9012">
        <v>1</v>
      </c>
      <c r="AA9012">
        <v>0</v>
      </c>
      <c r="AB9012">
        <v>142.16999999999999</v>
      </c>
      <c r="AC9012">
        <v>124</v>
      </c>
      <c r="AD9012">
        <v>0</v>
      </c>
      <c r="AE9012">
        <v>18.170000000000002</v>
      </c>
      <c r="AF9012">
        <v>0</v>
      </c>
      <c r="AG9012">
        <v>0</v>
      </c>
      <c r="AH9012">
        <v>0</v>
      </c>
      <c r="AI9012">
        <v>0</v>
      </c>
      <c r="AJ9012">
        <v>142.16999999999999</v>
      </c>
      <c r="AK9012">
        <v>0</v>
      </c>
      <c r="AL9012" t="s">
        <v>53</v>
      </c>
      <c r="AM9012" t="s">
        <v>53</v>
      </c>
      <c r="AN9012" t="s">
        <v>17195</v>
      </c>
      <c r="AO9012" t="s">
        <v>53</v>
      </c>
      <c r="AP9012" t="s">
        <v>53</v>
      </c>
    </row>
    <row r="9013" spans="2:42" x14ac:dyDescent="0.2">
      <c r="B9013" t="s">
        <v>44</v>
      </c>
      <c r="C9013" t="str">
        <f>HYPERLINK("https://us2.cloudbeds.com/connect/8493803454333002#/reservations/241330718691456?display=56JJE7ARNU&amp;reservation_id=241330718691456", "56JJE7ARNU")</f>
        <v>56JJE7ARNU</v>
      </c>
      <c r="D9013" t="s">
        <v>45</v>
      </c>
      <c r="E9013" t="s">
        <v>78</v>
      </c>
      <c r="F9013" t="s">
        <v>61</v>
      </c>
      <c r="G9013" t="s">
        <v>48</v>
      </c>
      <c r="H9013" t="s">
        <v>3957</v>
      </c>
      <c r="I9013" t="s">
        <v>3975</v>
      </c>
      <c r="J9013" t="s">
        <v>13870</v>
      </c>
      <c r="K9013" t="s">
        <v>14636</v>
      </c>
      <c r="L9013" t="s">
        <v>53</v>
      </c>
      <c r="P9013" t="s">
        <v>55</v>
      </c>
      <c r="R9013" t="s">
        <v>56</v>
      </c>
      <c r="T9013" t="s">
        <v>17196</v>
      </c>
      <c r="U9013" t="s">
        <v>58</v>
      </c>
      <c r="V9013">
        <v>1</v>
      </c>
      <c r="W9013">
        <v>1</v>
      </c>
      <c r="X9013">
        <v>2</v>
      </c>
      <c r="Y9013">
        <v>0</v>
      </c>
      <c r="Z9013">
        <v>2</v>
      </c>
      <c r="AA9013">
        <v>120.39</v>
      </c>
      <c r="AB9013">
        <v>120.39</v>
      </c>
      <c r="AC9013">
        <v>105</v>
      </c>
      <c r="AD9013">
        <v>0</v>
      </c>
      <c r="AE9013">
        <v>15.39</v>
      </c>
      <c r="AF9013">
        <v>0</v>
      </c>
      <c r="AG9013">
        <v>0</v>
      </c>
      <c r="AH9013">
        <v>0</v>
      </c>
      <c r="AI9013">
        <v>0</v>
      </c>
      <c r="AJ9013">
        <v>120.39</v>
      </c>
      <c r="AK9013">
        <v>0</v>
      </c>
      <c r="AL9013" t="s">
        <v>53</v>
      </c>
      <c r="AM9013" t="s">
        <v>53</v>
      </c>
      <c r="AN9013" t="s">
        <v>17197</v>
      </c>
      <c r="AO9013" t="s">
        <v>53</v>
      </c>
      <c r="AP9013" t="s">
        <v>53</v>
      </c>
    </row>
    <row r="9014" spans="2:42" x14ac:dyDescent="0.2">
      <c r="B9014" t="s">
        <v>44</v>
      </c>
      <c r="C9014" t="str">
        <f>HYPERLINK("https://us2.cloudbeds.com/connect/8493803454333002#/reservations/9080486849195084?display=56JQPYVFKZ&amp;reservation_id=9080486849195084", "56JQPYVFKZ")</f>
        <v>56JQPYVFKZ</v>
      </c>
      <c r="D9014" t="s">
        <v>45</v>
      </c>
      <c r="E9014" t="s">
        <v>487</v>
      </c>
      <c r="F9014" t="s">
        <v>61</v>
      </c>
      <c r="G9014" t="s">
        <v>48</v>
      </c>
      <c r="H9014" t="s">
        <v>49</v>
      </c>
      <c r="I9014" t="s">
        <v>50</v>
      </c>
      <c r="J9014" t="s">
        <v>16197</v>
      </c>
      <c r="K9014" t="s">
        <v>14637</v>
      </c>
      <c r="L9014" t="s">
        <v>53</v>
      </c>
      <c r="N9014" t="s">
        <v>17198</v>
      </c>
      <c r="P9014" t="s">
        <v>55</v>
      </c>
      <c r="R9014" t="s">
        <v>53</v>
      </c>
      <c r="T9014" t="s">
        <v>17199</v>
      </c>
      <c r="U9014" t="s">
        <v>58</v>
      </c>
      <c r="V9014">
        <v>1</v>
      </c>
      <c r="W9014">
        <v>1</v>
      </c>
      <c r="X9014">
        <v>1</v>
      </c>
      <c r="Y9014">
        <v>0</v>
      </c>
      <c r="Z9014">
        <v>1</v>
      </c>
      <c r="AA9014">
        <v>181.94</v>
      </c>
      <c r="AB9014">
        <v>181.94</v>
      </c>
      <c r="AC9014">
        <v>158.69999999999999</v>
      </c>
      <c r="AD9014">
        <v>0</v>
      </c>
      <c r="AE9014">
        <v>23.24</v>
      </c>
      <c r="AF9014">
        <v>0</v>
      </c>
      <c r="AG9014">
        <v>0</v>
      </c>
      <c r="AH9014">
        <v>0</v>
      </c>
      <c r="AI9014">
        <v>32.75</v>
      </c>
      <c r="AJ9014">
        <v>181.94</v>
      </c>
      <c r="AK9014">
        <v>0</v>
      </c>
      <c r="AL9014" t="s">
        <v>53</v>
      </c>
      <c r="AM9014" t="s">
        <v>53</v>
      </c>
      <c r="AN9014" t="s">
        <v>53</v>
      </c>
      <c r="AO9014" t="s">
        <v>53</v>
      </c>
      <c r="AP9014" t="s">
        <v>53</v>
      </c>
    </row>
    <row r="9015" spans="2:42" x14ac:dyDescent="0.2">
      <c r="B9015" t="s">
        <v>44</v>
      </c>
      <c r="C9015" t="str">
        <f>HYPERLINK("https://us2.cloudbeds.com/connect/8493803454333002#/reservations/9080486849195491?display=56K2DZXB0T&amp;reservation_id=9080486849195491", "56K2DZXB0T")</f>
        <v>56K2DZXB0T</v>
      </c>
      <c r="D9015" t="s">
        <v>45</v>
      </c>
      <c r="E9015" t="s">
        <v>305</v>
      </c>
      <c r="F9015" t="s">
        <v>61</v>
      </c>
      <c r="G9015" t="s">
        <v>48</v>
      </c>
      <c r="H9015" t="s">
        <v>49</v>
      </c>
      <c r="I9015" t="s">
        <v>62</v>
      </c>
      <c r="J9015" t="s">
        <v>13870</v>
      </c>
      <c r="K9015" t="s">
        <v>14636</v>
      </c>
      <c r="L9015" t="s">
        <v>53</v>
      </c>
      <c r="N9015" t="s">
        <v>17200</v>
      </c>
      <c r="P9015" t="s">
        <v>55</v>
      </c>
      <c r="R9015" t="s">
        <v>56</v>
      </c>
      <c r="T9015" t="s">
        <v>17201</v>
      </c>
      <c r="U9015" t="s">
        <v>55</v>
      </c>
      <c r="V9015">
        <v>1</v>
      </c>
      <c r="W9015">
        <v>1</v>
      </c>
      <c r="X9015">
        <v>2</v>
      </c>
      <c r="Y9015">
        <v>0</v>
      </c>
      <c r="Z9015">
        <v>2</v>
      </c>
      <c r="AA9015">
        <v>134.55000000000001</v>
      </c>
      <c r="AB9015">
        <v>134.55000000000001</v>
      </c>
      <c r="AC9015">
        <v>134.55000000000001</v>
      </c>
      <c r="AD9015">
        <v>0</v>
      </c>
      <c r="AE9015">
        <v>0</v>
      </c>
      <c r="AF9015">
        <v>0</v>
      </c>
      <c r="AG9015">
        <v>0</v>
      </c>
      <c r="AH9015">
        <v>0</v>
      </c>
      <c r="AI9015">
        <v>24.22</v>
      </c>
      <c r="AJ9015">
        <v>134.55000000000001</v>
      </c>
      <c r="AK9015">
        <v>0</v>
      </c>
      <c r="AL9015" t="s">
        <v>53</v>
      </c>
      <c r="AM9015" t="s">
        <v>53</v>
      </c>
      <c r="AN9015" t="s">
        <v>53</v>
      </c>
      <c r="AO9015" t="s">
        <v>53</v>
      </c>
      <c r="AP9015" t="s">
        <v>53</v>
      </c>
    </row>
    <row r="9016" spans="2:42" x14ac:dyDescent="0.2">
      <c r="B9016" t="s">
        <v>44</v>
      </c>
      <c r="C9016" t="str">
        <f>HYPERLINK("https://us2.cloudbeds.com/connect/8493803454333002#/reservations/241369911357632?display=56KGPMY3SE&amp;reservation_id=241369911357632", "56KGPMY3SE")</f>
        <v>56KGPMY3SE</v>
      </c>
      <c r="D9016" t="s">
        <v>602</v>
      </c>
      <c r="E9016" t="s">
        <v>53</v>
      </c>
      <c r="F9016" t="s">
        <v>86</v>
      </c>
      <c r="G9016" t="s">
        <v>48</v>
      </c>
      <c r="H9016" t="s">
        <v>3957</v>
      </c>
      <c r="I9016" t="s">
        <v>3975</v>
      </c>
      <c r="J9016" t="s">
        <v>13870</v>
      </c>
      <c r="K9016" t="s">
        <v>14636</v>
      </c>
      <c r="L9016" t="s">
        <v>53</v>
      </c>
      <c r="P9016" t="s">
        <v>55</v>
      </c>
      <c r="R9016" t="s">
        <v>56</v>
      </c>
      <c r="T9016" t="s">
        <v>17202</v>
      </c>
      <c r="U9016" t="s">
        <v>58</v>
      </c>
      <c r="V9016">
        <v>1</v>
      </c>
      <c r="W9016">
        <v>1</v>
      </c>
      <c r="X9016">
        <v>2</v>
      </c>
      <c r="Y9016">
        <v>0</v>
      </c>
      <c r="Z9016">
        <v>2</v>
      </c>
      <c r="AA9016">
        <v>155.91999999999999</v>
      </c>
      <c r="AB9016">
        <v>167.78</v>
      </c>
      <c r="AC9016">
        <v>0</v>
      </c>
      <c r="AD9016">
        <v>0</v>
      </c>
      <c r="AE9016">
        <v>0</v>
      </c>
      <c r="AF9016">
        <v>0</v>
      </c>
      <c r="AG9016">
        <v>0</v>
      </c>
      <c r="AH9016">
        <v>0</v>
      </c>
      <c r="AI9016">
        <v>0</v>
      </c>
      <c r="AJ9016">
        <v>0</v>
      </c>
      <c r="AK9016">
        <v>0</v>
      </c>
      <c r="AL9016">
        <v>136</v>
      </c>
      <c r="AM9016">
        <v>155.91999999999999</v>
      </c>
      <c r="AN9016" t="s">
        <v>17203</v>
      </c>
      <c r="AO9016" t="s">
        <v>53</v>
      </c>
      <c r="AP9016" t="s">
        <v>53</v>
      </c>
    </row>
    <row r="9017" spans="2:42" x14ac:dyDescent="0.2">
      <c r="B9017" t="s">
        <v>44</v>
      </c>
      <c r="C9017" t="str">
        <f>HYPERLINK("https://us2.cloudbeds.com/connect/8493803454333002#/reservations/241370611060929?display=56KHAXKUU4&amp;reservation_id=241370611060929", "56KHAXKUU4")</f>
        <v>56KHAXKUU4</v>
      </c>
      <c r="D9017" t="s">
        <v>45</v>
      </c>
      <c r="E9017" t="s">
        <v>190</v>
      </c>
      <c r="F9017" t="s">
        <v>61</v>
      </c>
      <c r="G9017" t="s">
        <v>48</v>
      </c>
      <c r="H9017" t="s">
        <v>3957</v>
      </c>
      <c r="I9017" t="s">
        <v>3975</v>
      </c>
      <c r="J9017" t="s">
        <v>13870</v>
      </c>
      <c r="K9017" t="s">
        <v>14636</v>
      </c>
      <c r="L9017" t="s">
        <v>53</v>
      </c>
      <c r="P9017" t="s">
        <v>55</v>
      </c>
      <c r="R9017" t="s">
        <v>56</v>
      </c>
      <c r="T9017" t="s">
        <v>17204</v>
      </c>
      <c r="U9017" t="s">
        <v>58</v>
      </c>
      <c r="V9017">
        <v>1</v>
      </c>
      <c r="W9017">
        <v>1</v>
      </c>
      <c r="X9017">
        <v>2</v>
      </c>
      <c r="Y9017">
        <v>0</v>
      </c>
      <c r="Z9017">
        <v>2</v>
      </c>
      <c r="AA9017">
        <v>134.13999999999999</v>
      </c>
      <c r="AB9017">
        <v>144.13999999999999</v>
      </c>
      <c r="AC9017">
        <v>117</v>
      </c>
      <c r="AD9017">
        <v>0</v>
      </c>
      <c r="AE9017">
        <v>17.14</v>
      </c>
      <c r="AF9017">
        <v>0</v>
      </c>
      <c r="AG9017">
        <v>0</v>
      </c>
      <c r="AH9017">
        <v>0</v>
      </c>
      <c r="AI9017">
        <v>0</v>
      </c>
      <c r="AJ9017">
        <v>134.13999999999999</v>
      </c>
      <c r="AK9017">
        <v>-10</v>
      </c>
      <c r="AL9017" t="s">
        <v>53</v>
      </c>
      <c r="AM9017" t="s">
        <v>53</v>
      </c>
      <c r="AN9017" t="s">
        <v>17205</v>
      </c>
      <c r="AO9017" t="s">
        <v>53</v>
      </c>
      <c r="AP9017" t="s">
        <v>53</v>
      </c>
    </row>
    <row r="9018" spans="2:42" x14ac:dyDescent="0.2">
      <c r="B9018" t="s">
        <v>44</v>
      </c>
      <c r="C9018" t="str">
        <f>HYPERLINK("https://us2.cloudbeds.com/connect/8493803454333002#/reservations/9080486849196562?display=56KSR1GRV0&amp;reservation_id=9080486849196562", "56KSR1GRV0")</f>
        <v>56KSR1GRV0</v>
      </c>
      <c r="D9018" t="s">
        <v>45</v>
      </c>
      <c r="E9018" t="s">
        <v>373</v>
      </c>
      <c r="F9018" t="s">
        <v>47</v>
      </c>
      <c r="G9018" t="s">
        <v>48</v>
      </c>
      <c r="H9018" t="s">
        <v>49</v>
      </c>
      <c r="I9018" t="s">
        <v>50</v>
      </c>
      <c r="J9018" t="s">
        <v>13870</v>
      </c>
      <c r="K9018" t="s">
        <v>14636</v>
      </c>
      <c r="L9018" t="s">
        <v>53</v>
      </c>
      <c r="N9018" t="s">
        <v>17206</v>
      </c>
      <c r="P9018" t="s">
        <v>55</v>
      </c>
      <c r="R9018" t="s">
        <v>53</v>
      </c>
      <c r="T9018" t="s">
        <v>17207</v>
      </c>
      <c r="U9018" t="s">
        <v>55</v>
      </c>
      <c r="V9018">
        <v>1</v>
      </c>
      <c r="W9018">
        <v>1</v>
      </c>
      <c r="X9018">
        <v>2</v>
      </c>
      <c r="Y9018">
        <v>0</v>
      </c>
      <c r="Z9018">
        <v>2</v>
      </c>
      <c r="AA9018">
        <v>107.69</v>
      </c>
      <c r="AB9018">
        <v>107.69</v>
      </c>
      <c r="AC9018">
        <v>99.02</v>
      </c>
      <c r="AD9018">
        <v>0</v>
      </c>
      <c r="AE9018">
        <v>8.67</v>
      </c>
      <c r="AF9018">
        <v>0</v>
      </c>
      <c r="AG9018">
        <v>0</v>
      </c>
      <c r="AH9018">
        <v>0</v>
      </c>
      <c r="AI9018">
        <v>19.38</v>
      </c>
      <c r="AJ9018">
        <v>107.69</v>
      </c>
      <c r="AK9018">
        <v>0</v>
      </c>
      <c r="AL9018" t="s">
        <v>53</v>
      </c>
      <c r="AM9018" t="s">
        <v>53</v>
      </c>
      <c r="AN9018" t="s">
        <v>53</v>
      </c>
      <c r="AO9018" t="s">
        <v>53</v>
      </c>
      <c r="AP9018" t="s">
        <v>53</v>
      </c>
    </row>
    <row r="9019" spans="2:42" x14ac:dyDescent="0.2">
      <c r="B9019" t="s">
        <v>44</v>
      </c>
      <c r="C9019" t="str">
        <f>HYPERLINK("https://us2.cloudbeds.com/connect/8493803454333002#/reservations/241394092617856?display=56Y2GXQBAD&amp;reservation_id=241394092617856", "56Y2GXQBAD")</f>
        <v>56Y2GXQBAD</v>
      </c>
      <c r="D9019" t="s">
        <v>45</v>
      </c>
      <c r="E9019" t="s">
        <v>69</v>
      </c>
      <c r="F9019" t="s">
        <v>70</v>
      </c>
      <c r="G9019" t="s">
        <v>48</v>
      </c>
      <c r="H9019" t="s">
        <v>3957</v>
      </c>
      <c r="I9019" t="s">
        <v>3975</v>
      </c>
      <c r="J9019" t="s">
        <v>13869</v>
      </c>
      <c r="K9019" t="s">
        <v>13870</v>
      </c>
      <c r="L9019" t="s">
        <v>53</v>
      </c>
      <c r="P9019" t="s">
        <v>55</v>
      </c>
      <c r="R9019" t="s">
        <v>56</v>
      </c>
      <c r="T9019" t="s">
        <v>17208</v>
      </c>
      <c r="U9019" t="s">
        <v>58</v>
      </c>
      <c r="V9019">
        <v>1</v>
      </c>
      <c r="W9019">
        <v>1</v>
      </c>
      <c r="X9019">
        <v>2</v>
      </c>
      <c r="Y9019">
        <v>0</v>
      </c>
      <c r="Z9019">
        <v>2</v>
      </c>
      <c r="AA9019">
        <v>192.61</v>
      </c>
      <c r="AB9019">
        <v>192.61</v>
      </c>
      <c r="AC9019">
        <v>168</v>
      </c>
      <c r="AD9019">
        <v>0</v>
      </c>
      <c r="AE9019">
        <v>24.61</v>
      </c>
      <c r="AF9019">
        <v>0</v>
      </c>
      <c r="AG9019">
        <v>0</v>
      </c>
      <c r="AH9019">
        <v>0</v>
      </c>
      <c r="AI9019">
        <v>0</v>
      </c>
      <c r="AJ9019">
        <v>192.61</v>
      </c>
      <c r="AK9019">
        <v>0</v>
      </c>
      <c r="AL9019" t="s">
        <v>53</v>
      </c>
      <c r="AM9019" t="s">
        <v>53</v>
      </c>
      <c r="AN9019" t="s">
        <v>17209</v>
      </c>
      <c r="AO9019" t="s">
        <v>53</v>
      </c>
      <c r="AP9019" t="s">
        <v>53</v>
      </c>
    </row>
    <row r="9020" spans="2:42" x14ac:dyDescent="0.2">
      <c r="B9020" t="s">
        <v>44</v>
      </c>
      <c r="C9020" t="str">
        <f>HYPERLINK("https://us2.cloudbeds.com/connect/8493803454333002#/reservations/9080486849196969?display=56Y6FG7FGY&amp;reservation_id=9080486849196969", "56Y6FG7FGY")</f>
        <v>56Y6FG7FGY</v>
      </c>
      <c r="D9020" t="s">
        <v>45</v>
      </c>
      <c r="E9020" t="s">
        <v>110</v>
      </c>
      <c r="F9020" t="s">
        <v>47</v>
      </c>
      <c r="G9020" t="s">
        <v>48</v>
      </c>
      <c r="H9020" t="s">
        <v>49</v>
      </c>
      <c r="I9020" t="s">
        <v>50</v>
      </c>
      <c r="J9020" t="s">
        <v>15876</v>
      </c>
      <c r="K9020" t="s">
        <v>14130</v>
      </c>
      <c r="L9020" t="s">
        <v>53</v>
      </c>
      <c r="N9020" t="s">
        <v>17210</v>
      </c>
      <c r="P9020" t="s">
        <v>55</v>
      </c>
      <c r="R9020" t="s">
        <v>53</v>
      </c>
      <c r="T9020" t="s">
        <v>17211</v>
      </c>
      <c r="U9020" t="s">
        <v>55</v>
      </c>
      <c r="V9020">
        <v>2</v>
      </c>
      <c r="W9020">
        <v>1</v>
      </c>
      <c r="X9020">
        <v>2</v>
      </c>
      <c r="Y9020">
        <v>0</v>
      </c>
      <c r="Z9020">
        <v>2</v>
      </c>
      <c r="AA9020">
        <v>180.92</v>
      </c>
      <c r="AB9020">
        <v>180.92</v>
      </c>
      <c r="AC9020">
        <v>166.36</v>
      </c>
      <c r="AD9020">
        <v>0</v>
      </c>
      <c r="AE9020">
        <v>14.56</v>
      </c>
      <c r="AF9020">
        <v>0</v>
      </c>
      <c r="AG9020">
        <v>0</v>
      </c>
      <c r="AH9020">
        <v>0</v>
      </c>
      <c r="AI9020">
        <v>32.57</v>
      </c>
      <c r="AJ9020">
        <v>180.92</v>
      </c>
      <c r="AK9020">
        <v>0</v>
      </c>
      <c r="AL9020" t="s">
        <v>53</v>
      </c>
      <c r="AM9020" t="s">
        <v>53</v>
      </c>
      <c r="AN9020" t="s">
        <v>53</v>
      </c>
      <c r="AO9020" t="s">
        <v>53</v>
      </c>
      <c r="AP9020" t="s">
        <v>53</v>
      </c>
    </row>
    <row r="9021" spans="2:42" x14ac:dyDescent="0.2">
      <c r="B9021" t="s">
        <v>44</v>
      </c>
      <c r="C9021" t="str">
        <f>HYPERLINK("https://us2.cloudbeds.com/connect/8493803454333002#/reservations/9080486849197007?display=56Y74A57EH&amp;reservation_id=9080486849197007", "56Y74A57EH")</f>
        <v>56Y74A57EH</v>
      </c>
      <c r="D9021" t="s">
        <v>45</v>
      </c>
      <c r="E9021" t="s">
        <v>155</v>
      </c>
      <c r="F9021" t="s">
        <v>86</v>
      </c>
      <c r="G9021" t="s">
        <v>48</v>
      </c>
      <c r="H9021" t="s">
        <v>49</v>
      </c>
      <c r="I9021" t="s">
        <v>50</v>
      </c>
      <c r="J9021" t="s">
        <v>13869</v>
      </c>
      <c r="K9021" t="s">
        <v>13870</v>
      </c>
      <c r="L9021" t="s">
        <v>53</v>
      </c>
      <c r="N9021" t="s">
        <v>17212</v>
      </c>
      <c r="P9021" t="s">
        <v>55</v>
      </c>
      <c r="R9021" t="s">
        <v>53</v>
      </c>
      <c r="T9021" t="s">
        <v>17213</v>
      </c>
      <c r="U9021" t="s">
        <v>55</v>
      </c>
      <c r="V9021">
        <v>1</v>
      </c>
      <c r="W9021">
        <v>1</v>
      </c>
      <c r="X9021">
        <v>1</v>
      </c>
      <c r="Y9021">
        <v>0</v>
      </c>
      <c r="Z9021">
        <v>1</v>
      </c>
      <c r="AA9021">
        <v>216.38</v>
      </c>
      <c r="AB9021">
        <v>216.38</v>
      </c>
      <c r="AC9021">
        <v>198.97</v>
      </c>
      <c r="AD9021">
        <v>0</v>
      </c>
      <c r="AE9021">
        <v>17.41</v>
      </c>
      <c r="AF9021">
        <v>0</v>
      </c>
      <c r="AG9021">
        <v>0</v>
      </c>
      <c r="AH9021">
        <v>0</v>
      </c>
      <c r="AI9021">
        <v>38.950000000000003</v>
      </c>
      <c r="AJ9021">
        <v>216.38</v>
      </c>
      <c r="AK9021">
        <v>0</v>
      </c>
      <c r="AL9021" t="s">
        <v>53</v>
      </c>
      <c r="AM9021" t="s">
        <v>53</v>
      </c>
      <c r="AN9021" t="s">
        <v>53</v>
      </c>
      <c r="AO9021" t="s">
        <v>53</v>
      </c>
      <c r="AP9021" t="s">
        <v>53</v>
      </c>
    </row>
    <row r="9022" spans="2:42" x14ac:dyDescent="0.2">
      <c r="B9022" t="s">
        <v>44</v>
      </c>
      <c r="C9022" t="str">
        <f>HYPERLINK("https://us2.cloudbeds.com/connect/8493803454333002#/reservations/9080486849197410?display=56YX42R97T&amp;reservation_id=9080486849197410", "56YX42R97T")</f>
        <v>56YX42R97T</v>
      </c>
      <c r="D9022" t="s">
        <v>45</v>
      </c>
      <c r="E9022" t="s">
        <v>487</v>
      </c>
      <c r="F9022" t="s">
        <v>61</v>
      </c>
      <c r="G9022" t="s">
        <v>48</v>
      </c>
      <c r="H9022" t="s">
        <v>49</v>
      </c>
      <c r="I9022" t="s">
        <v>62</v>
      </c>
      <c r="J9022" t="s">
        <v>13870</v>
      </c>
      <c r="K9022" t="s">
        <v>14636</v>
      </c>
      <c r="L9022" t="s">
        <v>53</v>
      </c>
      <c r="N9022" t="s">
        <v>17214</v>
      </c>
      <c r="P9022" t="s">
        <v>55</v>
      </c>
      <c r="R9022" t="s">
        <v>118</v>
      </c>
      <c r="T9022" t="s">
        <v>17215</v>
      </c>
      <c r="U9022" t="s">
        <v>55</v>
      </c>
      <c r="V9022">
        <v>1</v>
      </c>
      <c r="W9022">
        <v>1</v>
      </c>
      <c r="X9022">
        <v>2</v>
      </c>
      <c r="Y9022">
        <v>0</v>
      </c>
      <c r="Z9022">
        <v>2</v>
      </c>
      <c r="AA9022">
        <v>134.55000000000001</v>
      </c>
      <c r="AB9022">
        <v>134.55000000000001</v>
      </c>
      <c r="AC9022">
        <v>134.55000000000001</v>
      </c>
      <c r="AD9022">
        <v>0</v>
      </c>
      <c r="AE9022">
        <v>0</v>
      </c>
      <c r="AF9022">
        <v>0</v>
      </c>
      <c r="AG9022">
        <v>0</v>
      </c>
      <c r="AH9022">
        <v>0</v>
      </c>
      <c r="AI9022">
        <v>24.22</v>
      </c>
      <c r="AJ9022">
        <v>134.55000000000001</v>
      </c>
      <c r="AK9022">
        <v>0</v>
      </c>
      <c r="AL9022" t="s">
        <v>53</v>
      </c>
      <c r="AM9022" t="s">
        <v>53</v>
      </c>
      <c r="AN9022" t="s">
        <v>53</v>
      </c>
      <c r="AO9022" t="s">
        <v>53</v>
      </c>
      <c r="AP9022" t="s">
        <v>53</v>
      </c>
    </row>
    <row r="9023" spans="2:42" x14ac:dyDescent="0.2">
      <c r="B9023" t="s">
        <v>44</v>
      </c>
      <c r="C9023" t="str">
        <f>HYPERLINK("https://us2.cloudbeds.com/connect/8493803454333002#/reservations/9080486849197871?display=56YVHB1GK0&amp;reservation_id=9080486849197871", "56YVHB1GK0")</f>
        <v>56YVHB1GK0</v>
      </c>
      <c r="D9023" t="s">
        <v>45</v>
      </c>
      <c r="E9023" t="s">
        <v>105</v>
      </c>
      <c r="F9023" t="s">
        <v>47</v>
      </c>
      <c r="G9023" t="s">
        <v>48</v>
      </c>
      <c r="H9023" t="s">
        <v>49</v>
      </c>
      <c r="I9023" t="s">
        <v>50</v>
      </c>
      <c r="J9023" t="s">
        <v>15867</v>
      </c>
      <c r="K9023" t="s">
        <v>17216</v>
      </c>
      <c r="L9023" t="s">
        <v>53</v>
      </c>
      <c r="N9023" t="s">
        <v>17217</v>
      </c>
      <c r="P9023" t="s">
        <v>55</v>
      </c>
      <c r="R9023" t="s">
        <v>53</v>
      </c>
      <c r="T9023" t="s">
        <v>17218</v>
      </c>
      <c r="U9023" t="s">
        <v>55</v>
      </c>
      <c r="V9023">
        <v>2</v>
      </c>
      <c r="W9023">
        <v>1</v>
      </c>
      <c r="X9023">
        <v>2</v>
      </c>
      <c r="Y9023">
        <v>0</v>
      </c>
      <c r="Z9023">
        <v>2</v>
      </c>
      <c r="AA9023">
        <v>341.95</v>
      </c>
      <c r="AB9023">
        <v>341.95</v>
      </c>
      <c r="AC9023">
        <v>314.44</v>
      </c>
      <c r="AD9023">
        <v>0</v>
      </c>
      <c r="AE9023">
        <v>27.51</v>
      </c>
      <c r="AF9023">
        <v>0</v>
      </c>
      <c r="AG9023">
        <v>0</v>
      </c>
      <c r="AH9023">
        <v>0</v>
      </c>
      <c r="AI9023">
        <v>61.55</v>
      </c>
      <c r="AJ9023">
        <v>341.95</v>
      </c>
      <c r="AK9023">
        <v>0</v>
      </c>
      <c r="AL9023" t="s">
        <v>53</v>
      </c>
      <c r="AM9023" t="s">
        <v>53</v>
      </c>
      <c r="AN9023" t="s">
        <v>53</v>
      </c>
      <c r="AO9023" t="s">
        <v>53</v>
      </c>
      <c r="AP9023" t="s">
        <v>53</v>
      </c>
    </row>
    <row r="9024" spans="2:42" x14ac:dyDescent="0.2">
      <c r="B9024" t="s">
        <v>44</v>
      </c>
      <c r="C9024" t="str">
        <f>HYPERLINK("https://us2.cloudbeds.com/connect/8493803454333002#/reservations/9080486849197917?display=56M049US1N&amp;reservation_id=9080486849197917", "56M049US1N")</f>
        <v>56M049US1N</v>
      </c>
      <c r="D9024" t="s">
        <v>45</v>
      </c>
      <c r="E9024" t="s">
        <v>265</v>
      </c>
      <c r="F9024" t="s">
        <v>61</v>
      </c>
      <c r="G9024" t="s">
        <v>48</v>
      </c>
      <c r="H9024" t="s">
        <v>49</v>
      </c>
      <c r="I9024" t="s">
        <v>62</v>
      </c>
      <c r="J9024" t="s">
        <v>13870</v>
      </c>
      <c r="K9024" t="s">
        <v>14636</v>
      </c>
      <c r="L9024" t="s">
        <v>53</v>
      </c>
      <c r="N9024" t="s">
        <v>17219</v>
      </c>
      <c r="P9024" t="s">
        <v>55</v>
      </c>
      <c r="R9024" t="s">
        <v>56</v>
      </c>
      <c r="T9024" t="s">
        <v>17220</v>
      </c>
      <c r="U9024" t="s">
        <v>55</v>
      </c>
      <c r="V9024">
        <v>1</v>
      </c>
      <c r="W9024">
        <v>1</v>
      </c>
      <c r="X9024">
        <v>2</v>
      </c>
      <c r="Y9024">
        <v>0</v>
      </c>
      <c r="Z9024">
        <v>2</v>
      </c>
      <c r="AA9024">
        <v>134.55000000000001</v>
      </c>
      <c r="AB9024">
        <v>134.55000000000001</v>
      </c>
      <c r="AC9024">
        <v>134.55000000000001</v>
      </c>
      <c r="AD9024">
        <v>0</v>
      </c>
      <c r="AE9024">
        <v>0</v>
      </c>
      <c r="AF9024">
        <v>0</v>
      </c>
      <c r="AG9024">
        <v>0</v>
      </c>
      <c r="AH9024">
        <v>0</v>
      </c>
      <c r="AI9024">
        <v>24.22</v>
      </c>
      <c r="AJ9024">
        <v>134.55000000000001</v>
      </c>
      <c r="AK9024">
        <v>0</v>
      </c>
      <c r="AL9024" t="s">
        <v>53</v>
      </c>
      <c r="AM9024" t="s">
        <v>53</v>
      </c>
      <c r="AN9024" t="s">
        <v>17221</v>
      </c>
      <c r="AO9024" t="s">
        <v>53</v>
      </c>
      <c r="AP9024" t="s">
        <v>53</v>
      </c>
    </row>
    <row r="9025" spans="2:42" x14ac:dyDescent="0.2">
      <c r="B9025" t="s">
        <v>44</v>
      </c>
      <c r="C9025" t="str">
        <f>HYPERLINK("https://us2.cloudbeds.com/connect/8493803454333002#/reservations/9080486849198029?display=56M32REB24&amp;reservation_id=9080486849198029", "56M32REB24")</f>
        <v>56M32REB24</v>
      </c>
      <c r="D9025" t="s">
        <v>45</v>
      </c>
      <c r="E9025" t="s">
        <v>14402</v>
      </c>
      <c r="F9025" t="s">
        <v>14403</v>
      </c>
      <c r="G9025" t="s">
        <v>48</v>
      </c>
      <c r="H9025" t="s">
        <v>49</v>
      </c>
      <c r="I9025" t="s">
        <v>50</v>
      </c>
      <c r="J9025" t="s">
        <v>14636</v>
      </c>
      <c r="K9025" t="s">
        <v>14637</v>
      </c>
      <c r="L9025" t="s">
        <v>53</v>
      </c>
      <c r="N9025" t="s">
        <v>17222</v>
      </c>
      <c r="P9025" t="s">
        <v>55</v>
      </c>
      <c r="R9025" t="s">
        <v>53</v>
      </c>
      <c r="T9025" t="s">
        <v>17223</v>
      </c>
      <c r="U9025" t="s">
        <v>55</v>
      </c>
      <c r="V9025">
        <v>2</v>
      </c>
      <c r="W9025">
        <v>1</v>
      </c>
      <c r="X9025">
        <v>2</v>
      </c>
      <c r="Y9025">
        <v>0</v>
      </c>
      <c r="Z9025">
        <v>2</v>
      </c>
      <c r="AA9025">
        <v>218.81</v>
      </c>
      <c r="AB9025">
        <v>218.81</v>
      </c>
      <c r="AC9025">
        <v>201.21</v>
      </c>
      <c r="AD9025">
        <v>0</v>
      </c>
      <c r="AE9025">
        <v>17.600000000000001</v>
      </c>
      <c r="AF9025">
        <v>0</v>
      </c>
      <c r="AG9025">
        <v>0</v>
      </c>
      <c r="AH9025">
        <v>0</v>
      </c>
      <c r="AI9025">
        <v>39.39</v>
      </c>
      <c r="AJ9025">
        <v>218.81</v>
      </c>
      <c r="AK9025">
        <v>0</v>
      </c>
      <c r="AL9025" t="s">
        <v>53</v>
      </c>
      <c r="AM9025" t="s">
        <v>53</v>
      </c>
      <c r="AN9025" t="s">
        <v>53</v>
      </c>
      <c r="AO9025" t="s">
        <v>53</v>
      </c>
      <c r="AP9025" t="s">
        <v>53</v>
      </c>
    </row>
    <row r="9026" spans="2:42" x14ac:dyDescent="0.2">
      <c r="B9026" t="s">
        <v>44</v>
      </c>
      <c r="C9026" t="str">
        <f>HYPERLINK("https://us2.cloudbeds.com/connect/8493803454333002#/reservations/241567118205056?display=56P4FPYPT5&amp;reservation_id=241567118205056", "56P4FPYPT5")</f>
        <v>56P4FPYPT5</v>
      </c>
      <c r="D9026" t="s">
        <v>45</v>
      </c>
      <c r="E9026" t="s">
        <v>155</v>
      </c>
      <c r="F9026" t="s">
        <v>86</v>
      </c>
      <c r="G9026" t="s">
        <v>48</v>
      </c>
      <c r="H9026" t="s">
        <v>3957</v>
      </c>
      <c r="I9026" t="s">
        <v>3975</v>
      </c>
      <c r="J9026" t="s">
        <v>14970</v>
      </c>
      <c r="K9026" t="s">
        <v>14971</v>
      </c>
      <c r="L9026" t="s">
        <v>53</v>
      </c>
      <c r="P9026" t="s">
        <v>55</v>
      </c>
      <c r="R9026" t="s">
        <v>56</v>
      </c>
      <c r="T9026" t="s">
        <v>17224</v>
      </c>
      <c r="U9026" t="s">
        <v>58</v>
      </c>
      <c r="V9026">
        <v>1</v>
      </c>
      <c r="W9026">
        <v>1</v>
      </c>
      <c r="X9026">
        <v>2</v>
      </c>
      <c r="Y9026">
        <v>2</v>
      </c>
      <c r="Z9026">
        <v>4</v>
      </c>
      <c r="AA9026">
        <v>278.61</v>
      </c>
      <c r="AB9026">
        <v>278.61</v>
      </c>
      <c r="AC9026">
        <v>243</v>
      </c>
      <c r="AD9026">
        <v>0</v>
      </c>
      <c r="AE9026">
        <v>35.61</v>
      </c>
      <c r="AF9026">
        <v>0</v>
      </c>
      <c r="AG9026">
        <v>0</v>
      </c>
      <c r="AH9026">
        <v>0</v>
      </c>
      <c r="AI9026">
        <v>0</v>
      </c>
      <c r="AJ9026">
        <v>278.61</v>
      </c>
      <c r="AK9026">
        <v>0</v>
      </c>
      <c r="AL9026" t="s">
        <v>53</v>
      </c>
      <c r="AM9026" t="s">
        <v>53</v>
      </c>
      <c r="AN9026" t="s">
        <v>17225</v>
      </c>
      <c r="AO9026" t="s">
        <v>53</v>
      </c>
      <c r="AP9026" t="s">
        <v>53</v>
      </c>
    </row>
    <row r="9027" spans="2:42" x14ac:dyDescent="0.2">
      <c r="B9027" t="s">
        <v>44</v>
      </c>
      <c r="C9027" t="str">
        <f>HYPERLINK("https://us2.cloudbeds.com/connect/8493803454333002#/reservations/9080486849201847?display=56PXF0XV91&amp;reservation_id=9080486849201847", "56PXF0XV91")</f>
        <v>56PXF0XV91</v>
      </c>
      <c r="D9027" t="s">
        <v>45</v>
      </c>
      <c r="E9027" t="s">
        <v>190</v>
      </c>
      <c r="F9027" t="s">
        <v>61</v>
      </c>
      <c r="G9027" t="s">
        <v>48</v>
      </c>
      <c r="H9027" t="s">
        <v>49</v>
      </c>
      <c r="I9027" t="s">
        <v>50</v>
      </c>
      <c r="J9027" t="s">
        <v>14655</v>
      </c>
      <c r="K9027" t="s">
        <v>15876</v>
      </c>
      <c r="L9027" t="s">
        <v>53</v>
      </c>
      <c r="N9027" t="s">
        <v>17226</v>
      </c>
      <c r="P9027" t="s">
        <v>55</v>
      </c>
      <c r="R9027" t="s">
        <v>53</v>
      </c>
      <c r="T9027" t="s">
        <v>17227</v>
      </c>
      <c r="U9027" t="s">
        <v>55</v>
      </c>
      <c r="V9027">
        <v>5</v>
      </c>
      <c r="W9027">
        <v>1</v>
      </c>
      <c r="X9027">
        <v>2</v>
      </c>
      <c r="Y9027">
        <v>0</v>
      </c>
      <c r="Z9027">
        <v>2</v>
      </c>
      <c r="AA9027">
        <v>788.23</v>
      </c>
      <c r="AB9027">
        <v>788.23</v>
      </c>
      <c r="AC9027">
        <v>724.8</v>
      </c>
      <c r="AD9027">
        <v>0</v>
      </c>
      <c r="AE9027">
        <v>63.43</v>
      </c>
      <c r="AF9027">
        <v>0</v>
      </c>
      <c r="AG9027">
        <v>0</v>
      </c>
      <c r="AH9027">
        <v>0</v>
      </c>
      <c r="AI9027">
        <v>141.88</v>
      </c>
      <c r="AJ9027">
        <v>788.23</v>
      </c>
      <c r="AK9027">
        <v>0</v>
      </c>
      <c r="AL9027" t="s">
        <v>53</v>
      </c>
      <c r="AM9027" t="s">
        <v>53</v>
      </c>
      <c r="AN9027" t="s">
        <v>53</v>
      </c>
      <c r="AO9027" t="s">
        <v>53</v>
      </c>
      <c r="AP9027" t="s">
        <v>53</v>
      </c>
    </row>
    <row r="9028" spans="2:42" x14ac:dyDescent="0.2">
      <c r="B9028" t="s">
        <v>44</v>
      </c>
      <c r="C9028" t="str">
        <f>HYPERLINK("https://us2.cloudbeds.com/connect/8493803454333002#/reservations/241609164964032?display=56Q415JV5Q&amp;reservation_id=241609164964032", "56Q415JV5Q")</f>
        <v>56Q415JV5Q</v>
      </c>
      <c r="D9028" t="s">
        <v>45</v>
      </c>
      <c r="E9028" t="s">
        <v>69</v>
      </c>
      <c r="F9028" t="s">
        <v>70</v>
      </c>
      <c r="G9028" t="s">
        <v>3974</v>
      </c>
      <c r="H9028" t="s">
        <v>3957</v>
      </c>
      <c r="I9028" t="s">
        <v>3975</v>
      </c>
      <c r="J9028" t="s">
        <v>14656</v>
      </c>
      <c r="K9028" t="s">
        <v>15947</v>
      </c>
      <c r="L9028" t="s">
        <v>53</v>
      </c>
      <c r="P9028" t="s">
        <v>55</v>
      </c>
      <c r="R9028" t="s">
        <v>56</v>
      </c>
      <c r="T9028" t="s">
        <v>17228</v>
      </c>
      <c r="U9028" t="s">
        <v>58</v>
      </c>
      <c r="V9028">
        <v>3</v>
      </c>
      <c r="W9028">
        <v>1</v>
      </c>
      <c r="X9028">
        <v>1</v>
      </c>
      <c r="Y9028">
        <v>0</v>
      </c>
      <c r="Z9028">
        <v>1</v>
      </c>
      <c r="AA9028">
        <v>468.34</v>
      </c>
      <c r="AB9028">
        <v>468.34</v>
      </c>
      <c r="AC9028">
        <v>408.5</v>
      </c>
      <c r="AD9028">
        <v>0</v>
      </c>
      <c r="AE9028">
        <v>59.84</v>
      </c>
      <c r="AF9028">
        <v>0</v>
      </c>
      <c r="AG9028">
        <v>0</v>
      </c>
      <c r="AH9028">
        <v>0</v>
      </c>
      <c r="AI9028">
        <v>0</v>
      </c>
      <c r="AJ9028">
        <v>468.34</v>
      </c>
      <c r="AK9028">
        <v>0</v>
      </c>
      <c r="AL9028" t="s">
        <v>53</v>
      </c>
      <c r="AM9028" t="s">
        <v>53</v>
      </c>
      <c r="AN9028" t="s">
        <v>53</v>
      </c>
      <c r="AO9028" t="s">
        <v>53</v>
      </c>
      <c r="AP9028" t="s">
        <v>53</v>
      </c>
    </row>
    <row r="9029" spans="2:42" x14ac:dyDescent="0.2">
      <c r="B9029" t="s">
        <v>44</v>
      </c>
      <c r="C9029" t="str">
        <f>HYPERLINK("https://us2.cloudbeds.com/connect/8493803454333002#/reservations/9080486849203419?display=56QEVZTRHD&amp;reservation_id=9080486849203419", "56QEVZTRHD")</f>
        <v>56QEVZTRHD</v>
      </c>
      <c r="D9029" t="s">
        <v>45</v>
      </c>
      <c r="E9029" t="s">
        <v>110</v>
      </c>
      <c r="F9029" t="s">
        <v>47</v>
      </c>
      <c r="G9029" t="s">
        <v>48</v>
      </c>
      <c r="H9029" t="s">
        <v>49</v>
      </c>
      <c r="I9029" t="s">
        <v>50</v>
      </c>
      <c r="J9029" t="s">
        <v>11651</v>
      </c>
      <c r="K9029" t="s">
        <v>11652</v>
      </c>
      <c r="L9029" t="s">
        <v>53</v>
      </c>
      <c r="N9029" t="s">
        <v>17229</v>
      </c>
      <c r="P9029" t="s">
        <v>55</v>
      </c>
      <c r="R9029" t="s">
        <v>53</v>
      </c>
      <c r="T9029" t="s">
        <v>17230</v>
      </c>
      <c r="U9029" t="s">
        <v>55</v>
      </c>
      <c r="V9029">
        <v>1</v>
      </c>
      <c r="W9029">
        <v>1</v>
      </c>
      <c r="X9029">
        <v>2</v>
      </c>
      <c r="Y9029">
        <v>0</v>
      </c>
      <c r="Z9029">
        <v>2</v>
      </c>
      <c r="AA9029">
        <v>112.92</v>
      </c>
      <c r="AB9029">
        <v>112.92</v>
      </c>
      <c r="AC9029">
        <v>103.84</v>
      </c>
      <c r="AD9029">
        <v>0</v>
      </c>
      <c r="AE9029">
        <v>9.08</v>
      </c>
      <c r="AF9029">
        <v>0</v>
      </c>
      <c r="AG9029">
        <v>0</v>
      </c>
      <c r="AH9029">
        <v>0</v>
      </c>
      <c r="AI9029">
        <v>20.329999999999998</v>
      </c>
      <c r="AJ9029">
        <v>112.92</v>
      </c>
      <c r="AK9029">
        <v>0</v>
      </c>
      <c r="AL9029" t="s">
        <v>53</v>
      </c>
      <c r="AM9029" t="s">
        <v>53</v>
      </c>
      <c r="AN9029" t="s">
        <v>53</v>
      </c>
      <c r="AO9029" t="s">
        <v>53</v>
      </c>
      <c r="AP9029" t="s">
        <v>53</v>
      </c>
    </row>
    <row r="9030" spans="2:42" x14ac:dyDescent="0.2">
      <c r="B9030" t="s">
        <v>44</v>
      </c>
      <c r="C9030" t="str">
        <f>HYPERLINK("https://us2.cloudbeds.com/connect/8493803454333002#/reservations/9080486849204519?display=56R3CAFNY6&amp;reservation_id=9080486849204519", "56R3CAFNY6")</f>
        <v>56R3CAFNY6</v>
      </c>
      <c r="D9030" t="s">
        <v>45</v>
      </c>
      <c r="E9030" t="s">
        <v>128</v>
      </c>
      <c r="F9030" t="s">
        <v>86</v>
      </c>
      <c r="G9030" t="s">
        <v>48</v>
      </c>
      <c r="H9030" t="s">
        <v>49</v>
      </c>
      <c r="I9030" t="s">
        <v>8964</v>
      </c>
      <c r="J9030" t="s">
        <v>13870</v>
      </c>
      <c r="K9030" t="s">
        <v>16197</v>
      </c>
      <c r="L9030" t="s">
        <v>53</v>
      </c>
      <c r="N9030" t="s">
        <v>17231</v>
      </c>
      <c r="P9030" t="s">
        <v>55</v>
      </c>
      <c r="R9030" t="s">
        <v>53</v>
      </c>
      <c r="T9030" t="s">
        <v>17232</v>
      </c>
      <c r="U9030" t="s">
        <v>55</v>
      </c>
      <c r="V9030">
        <v>2</v>
      </c>
      <c r="W9030">
        <v>1</v>
      </c>
      <c r="X9030">
        <v>2</v>
      </c>
      <c r="Y9030">
        <v>2</v>
      </c>
      <c r="Z9030">
        <v>4</v>
      </c>
      <c r="AA9030">
        <v>0</v>
      </c>
      <c r="AB9030">
        <v>0</v>
      </c>
      <c r="AC9030">
        <v>305</v>
      </c>
      <c r="AD9030">
        <v>0</v>
      </c>
      <c r="AE9030">
        <v>0</v>
      </c>
      <c r="AF9030">
        <v>0</v>
      </c>
      <c r="AG9030">
        <v>0</v>
      </c>
      <c r="AH9030">
        <v>0</v>
      </c>
      <c r="AI9030">
        <v>45.75</v>
      </c>
      <c r="AJ9030">
        <v>305</v>
      </c>
      <c r="AK9030">
        <v>305</v>
      </c>
      <c r="AL9030" t="s">
        <v>53</v>
      </c>
      <c r="AM9030" t="s">
        <v>53</v>
      </c>
      <c r="AN9030" t="s">
        <v>53</v>
      </c>
      <c r="AO9030" t="s">
        <v>53</v>
      </c>
      <c r="AP9030" t="s">
        <v>53</v>
      </c>
    </row>
    <row r="9031" spans="2:42" x14ac:dyDescent="0.2">
      <c r="B9031" t="s">
        <v>44</v>
      </c>
      <c r="C9031" t="str">
        <f>HYPERLINK("https://us2.cloudbeds.com/connect/8493803454333002#/reservations/9080486849205314?display=56RJQJ64E2&amp;reservation_id=9080486849205314", "56RJQJ64E2")</f>
        <v>56RJQJ64E2</v>
      </c>
      <c r="D9031" t="s">
        <v>45</v>
      </c>
      <c r="E9031" t="s">
        <v>305</v>
      </c>
      <c r="F9031" t="s">
        <v>61</v>
      </c>
      <c r="G9031" t="s">
        <v>48</v>
      </c>
      <c r="H9031" t="s">
        <v>49</v>
      </c>
      <c r="I9031" t="s">
        <v>50</v>
      </c>
      <c r="J9031" t="s">
        <v>14970</v>
      </c>
      <c r="K9031" t="s">
        <v>14971</v>
      </c>
      <c r="L9031" t="s">
        <v>53</v>
      </c>
      <c r="N9031" t="s">
        <v>17233</v>
      </c>
      <c r="P9031" t="s">
        <v>55</v>
      </c>
      <c r="R9031" t="s">
        <v>53</v>
      </c>
      <c r="T9031" t="s">
        <v>17234</v>
      </c>
      <c r="U9031" t="s">
        <v>55</v>
      </c>
      <c r="V9031">
        <v>1</v>
      </c>
      <c r="W9031">
        <v>1</v>
      </c>
      <c r="X9031">
        <v>2</v>
      </c>
      <c r="Y9031">
        <v>0</v>
      </c>
      <c r="Z9031">
        <v>2</v>
      </c>
      <c r="AA9031">
        <v>173.52</v>
      </c>
      <c r="AB9031">
        <v>173.52</v>
      </c>
      <c r="AC9031">
        <v>159.56</v>
      </c>
      <c r="AD9031">
        <v>0</v>
      </c>
      <c r="AE9031">
        <v>13.96</v>
      </c>
      <c r="AF9031">
        <v>0</v>
      </c>
      <c r="AG9031">
        <v>0</v>
      </c>
      <c r="AH9031">
        <v>0</v>
      </c>
      <c r="AI9031">
        <v>31.23</v>
      </c>
      <c r="AJ9031">
        <v>173.52</v>
      </c>
      <c r="AK9031">
        <v>0</v>
      </c>
      <c r="AL9031" t="s">
        <v>53</v>
      </c>
      <c r="AM9031" t="s">
        <v>53</v>
      </c>
      <c r="AN9031" t="s">
        <v>53</v>
      </c>
      <c r="AO9031" t="s">
        <v>53</v>
      </c>
      <c r="AP9031" t="s">
        <v>53</v>
      </c>
    </row>
    <row r="9032" spans="2:42" x14ac:dyDescent="0.2">
      <c r="B9032" t="s">
        <v>44</v>
      </c>
      <c r="C9032" t="str">
        <f>HYPERLINK("https://us2.cloudbeds.com/connect/8493803454333002#/reservations/241697175810176?display=56S661YB75&amp;reservation_id=241697175810176", "56S661YB75")</f>
        <v>56S661YB75</v>
      </c>
      <c r="D9032" t="s">
        <v>45</v>
      </c>
      <c r="E9032" t="s">
        <v>14695</v>
      </c>
      <c r="F9032" t="s">
        <v>47</v>
      </c>
      <c r="G9032" t="s">
        <v>48</v>
      </c>
      <c r="H9032" t="s">
        <v>17235</v>
      </c>
      <c r="I9032" t="s">
        <v>17236</v>
      </c>
      <c r="J9032" t="s">
        <v>13870</v>
      </c>
      <c r="K9032" t="s">
        <v>15231</v>
      </c>
      <c r="L9032" t="s">
        <v>53</v>
      </c>
      <c r="P9032" t="s">
        <v>55</v>
      </c>
      <c r="R9032" t="s">
        <v>56</v>
      </c>
      <c r="T9032" t="s">
        <v>17237</v>
      </c>
      <c r="U9032" t="s">
        <v>58</v>
      </c>
      <c r="V9032">
        <v>4</v>
      </c>
      <c r="W9032">
        <v>1</v>
      </c>
      <c r="X9032">
        <v>1</v>
      </c>
      <c r="Y9032">
        <v>0</v>
      </c>
      <c r="Z9032">
        <v>1</v>
      </c>
      <c r="AA9032">
        <v>641.46</v>
      </c>
      <c r="AB9032">
        <v>608.44000000000005</v>
      </c>
      <c r="AC9032">
        <v>559.49</v>
      </c>
      <c r="AD9032">
        <v>0</v>
      </c>
      <c r="AE9032">
        <v>81.97</v>
      </c>
      <c r="AF9032">
        <v>0</v>
      </c>
      <c r="AG9032">
        <v>0</v>
      </c>
      <c r="AH9032">
        <v>0</v>
      </c>
      <c r="AI9032">
        <v>0</v>
      </c>
      <c r="AJ9032">
        <v>641.46</v>
      </c>
      <c r="AK9032">
        <v>33.020000000000003</v>
      </c>
      <c r="AL9032" t="s">
        <v>53</v>
      </c>
      <c r="AM9032" t="s">
        <v>53</v>
      </c>
      <c r="AN9032" t="s">
        <v>53</v>
      </c>
      <c r="AO9032" t="s">
        <v>53</v>
      </c>
      <c r="AP9032" t="s">
        <v>53</v>
      </c>
    </row>
    <row r="9033" spans="2:42" x14ac:dyDescent="0.2">
      <c r="B9033" t="s">
        <v>44</v>
      </c>
      <c r="C9033" t="str">
        <f>HYPERLINK("https://us2.cloudbeds.com/connect/8493803454333002#/reservations/9080486849206361?display=56S8ZCMMQ7&amp;reservation_id=9080486849206361", "56S8ZCMMQ7")</f>
        <v>56S8ZCMMQ7</v>
      </c>
      <c r="D9033" t="s">
        <v>10291</v>
      </c>
      <c r="E9033" t="s">
        <v>165</v>
      </c>
      <c r="F9033" t="s">
        <v>61</v>
      </c>
      <c r="G9033" t="s">
        <v>48</v>
      </c>
      <c r="H9033" t="s">
        <v>49</v>
      </c>
      <c r="I9033" t="s">
        <v>50</v>
      </c>
      <c r="J9033" t="s">
        <v>17238</v>
      </c>
      <c r="K9033" t="s">
        <v>17239</v>
      </c>
      <c r="L9033" t="s">
        <v>53</v>
      </c>
      <c r="N9033" t="s">
        <v>17240</v>
      </c>
      <c r="P9033" t="s">
        <v>55</v>
      </c>
      <c r="R9033" t="s">
        <v>53</v>
      </c>
      <c r="T9033" t="s">
        <v>17241</v>
      </c>
      <c r="U9033" t="s">
        <v>55</v>
      </c>
      <c r="V9033">
        <v>1</v>
      </c>
      <c r="W9033">
        <v>1</v>
      </c>
      <c r="X9033">
        <v>2</v>
      </c>
      <c r="Y9033">
        <v>0</v>
      </c>
      <c r="Z9033">
        <v>2</v>
      </c>
      <c r="AA9033">
        <v>192.79</v>
      </c>
      <c r="AB9033">
        <v>0</v>
      </c>
      <c r="AC9033">
        <v>177.28</v>
      </c>
      <c r="AD9033">
        <v>0</v>
      </c>
      <c r="AE9033">
        <v>15.51</v>
      </c>
      <c r="AF9033">
        <v>0</v>
      </c>
      <c r="AG9033">
        <v>0</v>
      </c>
      <c r="AH9033">
        <v>0</v>
      </c>
      <c r="AI9033">
        <v>34.700000000000003</v>
      </c>
      <c r="AJ9033">
        <v>192.79</v>
      </c>
      <c r="AK9033">
        <v>192.79</v>
      </c>
      <c r="AL9033" t="s">
        <v>53</v>
      </c>
      <c r="AM9033" t="s">
        <v>53</v>
      </c>
      <c r="AN9033" t="s">
        <v>53</v>
      </c>
      <c r="AO9033" t="s">
        <v>53</v>
      </c>
      <c r="AP9033" t="s">
        <v>53</v>
      </c>
    </row>
    <row r="9034" spans="2:42" x14ac:dyDescent="0.2">
      <c r="B9034" t="s">
        <v>44</v>
      </c>
      <c r="C9034" t="str">
        <f>HYPERLINK("https://us2.cloudbeds.com/connect/8493803454333002#/reservations/9080486849206639?display=56SFH1S1M5&amp;reservation_id=9080486849206639", "56SFH1S1M5")</f>
        <v>56SFH1S1M5</v>
      </c>
      <c r="D9034" t="s">
        <v>10291</v>
      </c>
      <c r="E9034" t="s">
        <v>110</v>
      </c>
      <c r="F9034" t="s">
        <v>47</v>
      </c>
      <c r="G9034" t="s">
        <v>48</v>
      </c>
      <c r="H9034" t="s">
        <v>49</v>
      </c>
      <c r="I9034" t="s">
        <v>62</v>
      </c>
      <c r="J9034" t="s">
        <v>17242</v>
      </c>
      <c r="K9034" t="s">
        <v>10292</v>
      </c>
      <c r="L9034" t="s">
        <v>53</v>
      </c>
      <c r="N9034" t="s">
        <v>17243</v>
      </c>
      <c r="P9034" t="s">
        <v>55</v>
      </c>
      <c r="R9034" t="s">
        <v>56</v>
      </c>
      <c r="T9034" t="s">
        <v>17244</v>
      </c>
      <c r="U9034" t="s">
        <v>55</v>
      </c>
      <c r="V9034">
        <v>2</v>
      </c>
      <c r="W9034">
        <v>1</v>
      </c>
      <c r="X9034">
        <v>2</v>
      </c>
      <c r="Y9034">
        <v>0</v>
      </c>
      <c r="Z9034">
        <v>2</v>
      </c>
      <c r="AA9034">
        <v>372.54</v>
      </c>
      <c r="AB9034">
        <v>0</v>
      </c>
      <c r="AC9034">
        <v>372.54</v>
      </c>
      <c r="AD9034">
        <v>0</v>
      </c>
      <c r="AE9034">
        <v>0</v>
      </c>
      <c r="AF9034">
        <v>0</v>
      </c>
      <c r="AG9034">
        <v>0</v>
      </c>
      <c r="AH9034">
        <v>0</v>
      </c>
      <c r="AI9034">
        <v>67.06</v>
      </c>
      <c r="AJ9034">
        <v>372.54</v>
      </c>
      <c r="AK9034">
        <v>372.54</v>
      </c>
      <c r="AL9034" t="s">
        <v>53</v>
      </c>
      <c r="AM9034" t="s">
        <v>53</v>
      </c>
      <c r="AN9034" t="s">
        <v>53</v>
      </c>
      <c r="AO9034" t="s">
        <v>53</v>
      </c>
      <c r="AP9034" t="s">
        <v>53</v>
      </c>
    </row>
    <row r="9035" spans="2:42" x14ac:dyDescent="0.2">
      <c r="B9035" t="s">
        <v>44</v>
      </c>
      <c r="C9035" t="str">
        <f>HYPERLINK("https://us2.cloudbeds.com/connect/8493803454333002#/reservations/9080486849206892?display=56SM106QXG&amp;reservation_id=9080486849206892", "56SM106QXG")</f>
        <v>56SM106QXG</v>
      </c>
      <c r="D9035" t="s">
        <v>45</v>
      </c>
      <c r="E9035" t="s">
        <v>185</v>
      </c>
      <c r="F9035" t="s">
        <v>47</v>
      </c>
      <c r="G9035" t="s">
        <v>48</v>
      </c>
      <c r="H9035" t="s">
        <v>49</v>
      </c>
      <c r="I9035" t="s">
        <v>62</v>
      </c>
      <c r="J9035" t="s">
        <v>14131</v>
      </c>
      <c r="K9035" t="s">
        <v>16932</v>
      </c>
      <c r="L9035" t="s">
        <v>53</v>
      </c>
      <c r="N9035" t="s">
        <v>17245</v>
      </c>
      <c r="P9035" t="s">
        <v>55</v>
      </c>
      <c r="R9035" t="s">
        <v>56</v>
      </c>
      <c r="T9035" t="s">
        <v>17246</v>
      </c>
      <c r="U9035" t="s">
        <v>55</v>
      </c>
      <c r="V9035">
        <v>2</v>
      </c>
      <c r="W9035">
        <v>1</v>
      </c>
      <c r="X9035">
        <v>2</v>
      </c>
      <c r="Y9035">
        <v>0</v>
      </c>
      <c r="Z9035">
        <v>2</v>
      </c>
      <c r="AA9035">
        <v>367.08</v>
      </c>
      <c r="AB9035">
        <v>367.08</v>
      </c>
      <c r="AC9035">
        <v>367.08</v>
      </c>
      <c r="AD9035">
        <v>0</v>
      </c>
      <c r="AE9035">
        <v>0</v>
      </c>
      <c r="AF9035">
        <v>0</v>
      </c>
      <c r="AG9035">
        <v>0</v>
      </c>
      <c r="AH9035">
        <v>0</v>
      </c>
      <c r="AI9035">
        <v>66.069999999999993</v>
      </c>
      <c r="AJ9035">
        <v>367.08</v>
      </c>
      <c r="AK9035">
        <v>0</v>
      </c>
      <c r="AL9035" t="s">
        <v>53</v>
      </c>
      <c r="AM9035" t="s">
        <v>53</v>
      </c>
      <c r="AN9035" t="s">
        <v>17247</v>
      </c>
      <c r="AO9035" t="s">
        <v>53</v>
      </c>
      <c r="AP9035" t="s">
        <v>53</v>
      </c>
    </row>
    <row r="9036" spans="2:42" x14ac:dyDescent="0.2">
      <c r="B9036" t="s">
        <v>44</v>
      </c>
      <c r="C9036" t="str">
        <f>HYPERLINK("https://us2.cloudbeds.com/connect/8493803454333002#/reservations/9080486849206913?display=56SMK4D4Z2&amp;reservation_id=9080486849206913", "56SMK4D4Z2")</f>
        <v>56SMK4D4Z2</v>
      </c>
      <c r="D9036" t="s">
        <v>45</v>
      </c>
      <c r="E9036" t="s">
        <v>179</v>
      </c>
      <c r="F9036" t="s">
        <v>47</v>
      </c>
      <c r="G9036" t="s">
        <v>48</v>
      </c>
      <c r="H9036" t="s">
        <v>49</v>
      </c>
      <c r="I9036" t="s">
        <v>62</v>
      </c>
      <c r="J9036" t="s">
        <v>14131</v>
      </c>
      <c r="K9036" t="s">
        <v>16932</v>
      </c>
      <c r="L9036" t="s">
        <v>53</v>
      </c>
      <c r="N9036" t="s">
        <v>17248</v>
      </c>
      <c r="P9036" t="s">
        <v>55</v>
      </c>
      <c r="R9036" t="s">
        <v>56</v>
      </c>
      <c r="T9036" t="s">
        <v>17249</v>
      </c>
      <c r="U9036" t="s">
        <v>55</v>
      </c>
      <c r="V9036">
        <v>2</v>
      </c>
      <c r="W9036">
        <v>1</v>
      </c>
      <c r="X9036">
        <v>2</v>
      </c>
      <c r="Y9036">
        <v>0</v>
      </c>
      <c r="Z9036">
        <v>2</v>
      </c>
      <c r="AA9036">
        <v>367.08</v>
      </c>
      <c r="AB9036">
        <v>367.08</v>
      </c>
      <c r="AC9036">
        <v>367.08</v>
      </c>
      <c r="AD9036">
        <v>0</v>
      </c>
      <c r="AE9036">
        <v>0</v>
      </c>
      <c r="AF9036">
        <v>0</v>
      </c>
      <c r="AG9036">
        <v>0</v>
      </c>
      <c r="AH9036">
        <v>0</v>
      </c>
      <c r="AI9036">
        <v>66.069999999999993</v>
      </c>
      <c r="AJ9036">
        <v>367.08</v>
      </c>
      <c r="AK9036">
        <v>0</v>
      </c>
      <c r="AL9036" t="s">
        <v>53</v>
      </c>
      <c r="AM9036" t="s">
        <v>53</v>
      </c>
      <c r="AN9036" t="s">
        <v>17250</v>
      </c>
      <c r="AO9036" t="s">
        <v>53</v>
      </c>
      <c r="AP9036" t="s">
        <v>53</v>
      </c>
    </row>
    <row r="9037" spans="2:42" x14ac:dyDescent="0.2">
      <c r="B9037" t="s">
        <v>44</v>
      </c>
      <c r="C9037" t="str">
        <f>HYPERLINK("https://us2.cloudbeds.com/connect/8493803454333002#/reservations/241726309838976?display=56SSZG8ECJ&amp;reservation_id=241726309838976", "56SSZG8ECJ")</f>
        <v>56SSZG8ECJ</v>
      </c>
      <c r="D9037" t="s">
        <v>45</v>
      </c>
      <c r="E9037" t="s">
        <v>155</v>
      </c>
      <c r="F9037" t="s">
        <v>86</v>
      </c>
      <c r="G9037" t="s">
        <v>3974</v>
      </c>
      <c r="H9037" t="s">
        <v>3957</v>
      </c>
      <c r="I9037" t="s">
        <v>3975</v>
      </c>
      <c r="J9037" t="s">
        <v>14631</v>
      </c>
      <c r="K9037" t="s">
        <v>14632</v>
      </c>
      <c r="L9037" t="s">
        <v>53</v>
      </c>
      <c r="P9037" t="s">
        <v>55</v>
      </c>
      <c r="R9037" t="s">
        <v>56</v>
      </c>
      <c r="T9037" t="s">
        <v>17251</v>
      </c>
      <c r="U9037" t="s">
        <v>58</v>
      </c>
      <c r="V9037">
        <v>1</v>
      </c>
      <c r="W9037">
        <v>1</v>
      </c>
      <c r="X9037">
        <v>1</v>
      </c>
      <c r="Y9037">
        <v>2</v>
      </c>
      <c r="Z9037">
        <v>3</v>
      </c>
      <c r="AA9037">
        <v>175.36</v>
      </c>
      <c r="AB9037">
        <v>175.36</v>
      </c>
      <c r="AC9037">
        <v>152.94999999999999</v>
      </c>
      <c r="AD9037">
        <v>0</v>
      </c>
      <c r="AE9037">
        <v>22.41</v>
      </c>
      <c r="AF9037">
        <v>0</v>
      </c>
      <c r="AG9037">
        <v>0</v>
      </c>
      <c r="AH9037">
        <v>0</v>
      </c>
      <c r="AI9037">
        <v>0</v>
      </c>
      <c r="AJ9037">
        <v>175.36</v>
      </c>
      <c r="AK9037">
        <v>0</v>
      </c>
      <c r="AL9037" t="s">
        <v>53</v>
      </c>
      <c r="AM9037" t="s">
        <v>53</v>
      </c>
      <c r="AN9037" t="s">
        <v>17252</v>
      </c>
      <c r="AO9037" t="s">
        <v>53</v>
      </c>
      <c r="AP9037" t="s">
        <v>53</v>
      </c>
    </row>
    <row r="9038" spans="2:42" x14ac:dyDescent="0.2">
      <c r="B9038" t="s">
        <v>44</v>
      </c>
      <c r="C9038" t="str">
        <f>HYPERLINK("https://us2.cloudbeds.com/connect/8493803454333002#/reservations/9080486849207223?display=56SVQBRV8J&amp;reservation_id=9080486849207223", "56SVQBRV8J")</f>
        <v>56SVQBRV8J</v>
      </c>
      <c r="D9038" t="s">
        <v>45</v>
      </c>
      <c r="E9038" t="s">
        <v>128</v>
      </c>
      <c r="F9038" t="s">
        <v>86</v>
      </c>
      <c r="G9038" t="s">
        <v>48</v>
      </c>
      <c r="H9038" t="s">
        <v>49</v>
      </c>
      <c r="I9038" t="s">
        <v>50</v>
      </c>
      <c r="J9038" t="s">
        <v>16197</v>
      </c>
      <c r="K9038" t="s">
        <v>15231</v>
      </c>
      <c r="L9038" t="s">
        <v>53</v>
      </c>
      <c r="N9038" t="s">
        <v>17253</v>
      </c>
      <c r="P9038" t="s">
        <v>55</v>
      </c>
      <c r="R9038" t="s">
        <v>53</v>
      </c>
      <c r="T9038" t="s">
        <v>17254</v>
      </c>
      <c r="U9038" t="s">
        <v>55</v>
      </c>
      <c r="V9038">
        <v>2</v>
      </c>
      <c r="W9038">
        <v>1</v>
      </c>
      <c r="X9038">
        <v>1</v>
      </c>
      <c r="Y9038">
        <v>0</v>
      </c>
      <c r="Z9038">
        <v>1</v>
      </c>
      <c r="AA9038">
        <v>303.55</v>
      </c>
      <c r="AB9038">
        <v>303.55</v>
      </c>
      <c r="AC9038">
        <v>279.13</v>
      </c>
      <c r="AD9038">
        <v>0</v>
      </c>
      <c r="AE9038">
        <v>24.42</v>
      </c>
      <c r="AF9038">
        <v>0</v>
      </c>
      <c r="AG9038">
        <v>0</v>
      </c>
      <c r="AH9038">
        <v>0</v>
      </c>
      <c r="AI9038">
        <v>54.64</v>
      </c>
      <c r="AJ9038">
        <v>303.55</v>
      </c>
      <c r="AK9038">
        <v>0</v>
      </c>
      <c r="AL9038" t="s">
        <v>53</v>
      </c>
      <c r="AM9038" t="s">
        <v>53</v>
      </c>
      <c r="AN9038" t="s">
        <v>53</v>
      </c>
      <c r="AO9038" t="s">
        <v>53</v>
      </c>
      <c r="AP9038" t="s">
        <v>53</v>
      </c>
    </row>
    <row r="9039" spans="2:42" x14ac:dyDescent="0.2">
      <c r="B9039" t="s">
        <v>44</v>
      </c>
      <c r="C9039" t="str">
        <f>HYPERLINK("https://us2.cloudbeds.com/connect/8493803454333002#/reservations/9080486849207837?display=56TH7EF44R&amp;reservation_id=9080486849207837", "56TH7EF44R")</f>
        <v>56TH7EF44R</v>
      </c>
      <c r="D9039" t="s">
        <v>45</v>
      </c>
      <c r="E9039" t="s">
        <v>14695</v>
      </c>
      <c r="F9039" t="s">
        <v>47</v>
      </c>
      <c r="G9039" t="s">
        <v>48</v>
      </c>
      <c r="H9039" t="s">
        <v>49</v>
      </c>
      <c r="I9039" t="s">
        <v>50</v>
      </c>
      <c r="J9039" t="s">
        <v>15625</v>
      </c>
      <c r="K9039" t="s">
        <v>14631</v>
      </c>
      <c r="L9039" t="s">
        <v>53</v>
      </c>
      <c r="N9039" t="s">
        <v>17255</v>
      </c>
      <c r="P9039" t="s">
        <v>55</v>
      </c>
      <c r="R9039" t="s">
        <v>53</v>
      </c>
      <c r="T9039" t="s">
        <v>17256</v>
      </c>
      <c r="U9039" t="s">
        <v>55</v>
      </c>
      <c r="V9039">
        <v>2</v>
      </c>
      <c r="W9039">
        <v>1</v>
      </c>
      <c r="X9039">
        <v>2</v>
      </c>
      <c r="Y9039">
        <v>0</v>
      </c>
      <c r="Z9039">
        <v>2</v>
      </c>
      <c r="AA9039">
        <v>215.38</v>
      </c>
      <c r="AB9039">
        <v>215.38</v>
      </c>
      <c r="AC9039">
        <v>198.04</v>
      </c>
      <c r="AD9039">
        <v>0</v>
      </c>
      <c r="AE9039">
        <v>17.34</v>
      </c>
      <c r="AF9039">
        <v>0</v>
      </c>
      <c r="AG9039">
        <v>0</v>
      </c>
      <c r="AH9039">
        <v>0</v>
      </c>
      <c r="AI9039">
        <v>38.770000000000003</v>
      </c>
      <c r="AJ9039">
        <v>215.38</v>
      </c>
      <c r="AK9039">
        <v>0</v>
      </c>
      <c r="AL9039" t="s">
        <v>53</v>
      </c>
      <c r="AM9039" t="s">
        <v>53</v>
      </c>
      <c r="AN9039" t="s">
        <v>53</v>
      </c>
      <c r="AO9039" t="s">
        <v>53</v>
      </c>
      <c r="AP9039" t="s">
        <v>53</v>
      </c>
    </row>
    <row r="9040" spans="2:42" x14ac:dyDescent="0.2">
      <c r="B9040" t="s">
        <v>44</v>
      </c>
      <c r="C9040" t="str">
        <f>HYPERLINK("https://us2.cloudbeds.com/connect/8493803454333002#/reservations/9080486849207959?display=56TKBK7W3R&amp;reservation_id=9080486849207959", "56TKBK7W3R")</f>
        <v>56TKBK7W3R</v>
      </c>
      <c r="D9040" t="s">
        <v>45</v>
      </c>
      <c r="E9040" t="s">
        <v>14695</v>
      </c>
      <c r="F9040" t="s">
        <v>47</v>
      </c>
      <c r="G9040" t="s">
        <v>48</v>
      </c>
      <c r="H9040" t="s">
        <v>49</v>
      </c>
      <c r="I9040" t="s">
        <v>50</v>
      </c>
      <c r="J9040" t="s">
        <v>14971</v>
      </c>
      <c r="K9040" t="s">
        <v>15876</v>
      </c>
      <c r="L9040" t="s">
        <v>53</v>
      </c>
      <c r="N9040" t="s">
        <v>17257</v>
      </c>
      <c r="P9040" t="s">
        <v>55</v>
      </c>
      <c r="R9040" t="s">
        <v>53</v>
      </c>
      <c r="T9040" t="s">
        <v>17258</v>
      </c>
      <c r="U9040" t="s">
        <v>55</v>
      </c>
      <c r="V9040">
        <v>2</v>
      </c>
      <c r="W9040">
        <v>1</v>
      </c>
      <c r="X9040">
        <v>1</v>
      </c>
      <c r="Y9040">
        <v>0</v>
      </c>
      <c r="Z9040">
        <v>1</v>
      </c>
      <c r="AA9040">
        <v>271.81</v>
      </c>
      <c r="AB9040">
        <v>271.81</v>
      </c>
      <c r="AC9040">
        <v>249.94</v>
      </c>
      <c r="AD9040">
        <v>0</v>
      </c>
      <c r="AE9040">
        <v>21.87</v>
      </c>
      <c r="AF9040">
        <v>0</v>
      </c>
      <c r="AG9040">
        <v>0</v>
      </c>
      <c r="AH9040">
        <v>0</v>
      </c>
      <c r="AI9040">
        <v>48.93</v>
      </c>
      <c r="AJ9040">
        <v>271.81</v>
      </c>
      <c r="AK9040">
        <v>0</v>
      </c>
      <c r="AL9040">
        <v>249.94</v>
      </c>
      <c r="AM9040">
        <v>271.81</v>
      </c>
      <c r="AN9040" t="s">
        <v>53</v>
      </c>
      <c r="AO9040" t="s">
        <v>53</v>
      </c>
      <c r="AP9040" t="s">
        <v>53</v>
      </c>
    </row>
    <row r="9041" spans="2:42" x14ac:dyDescent="0.2">
      <c r="B9041" t="s">
        <v>44</v>
      </c>
      <c r="C9041" t="str">
        <f>HYPERLINK("https://us2.cloudbeds.com/connect/8493803454333002#/reservations/9080486849208224?display=56TRF5WS0D&amp;reservation_id=9080486849208224", "56TRF5WS0D")</f>
        <v>56TRF5WS0D</v>
      </c>
      <c r="D9041" t="s">
        <v>45</v>
      </c>
      <c r="E9041" t="s">
        <v>85</v>
      </c>
      <c r="F9041" t="s">
        <v>86</v>
      </c>
      <c r="G9041" t="s">
        <v>48</v>
      </c>
      <c r="H9041" t="s">
        <v>49</v>
      </c>
      <c r="I9041" t="s">
        <v>50</v>
      </c>
      <c r="J9041" t="s">
        <v>14637</v>
      </c>
      <c r="K9041" t="s">
        <v>15231</v>
      </c>
      <c r="L9041" t="s">
        <v>53</v>
      </c>
      <c r="N9041" t="s">
        <v>17259</v>
      </c>
      <c r="P9041" t="s">
        <v>55</v>
      </c>
      <c r="R9041" t="s">
        <v>53</v>
      </c>
      <c r="T9041" t="s">
        <v>17260</v>
      </c>
      <c r="U9041" t="s">
        <v>55</v>
      </c>
      <c r="V9041">
        <v>1</v>
      </c>
      <c r="W9041">
        <v>1</v>
      </c>
      <c r="X9041">
        <v>2</v>
      </c>
      <c r="Y9041">
        <v>0</v>
      </c>
      <c r="Z9041">
        <v>2</v>
      </c>
      <c r="AA9041">
        <v>140.49</v>
      </c>
      <c r="AB9041">
        <v>140.49</v>
      </c>
      <c r="AC9041">
        <v>129.19</v>
      </c>
      <c r="AD9041">
        <v>0</v>
      </c>
      <c r="AE9041">
        <v>11.3</v>
      </c>
      <c r="AF9041">
        <v>0</v>
      </c>
      <c r="AG9041">
        <v>0</v>
      </c>
      <c r="AH9041">
        <v>0</v>
      </c>
      <c r="AI9041">
        <v>25.29</v>
      </c>
      <c r="AJ9041">
        <v>140.49</v>
      </c>
      <c r="AK9041">
        <v>0</v>
      </c>
      <c r="AL9041" t="s">
        <v>53</v>
      </c>
      <c r="AM9041" t="s">
        <v>53</v>
      </c>
      <c r="AN9041" t="s">
        <v>53</v>
      </c>
      <c r="AO9041" t="s">
        <v>53</v>
      </c>
      <c r="AP9041" t="s">
        <v>53</v>
      </c>
    </row>
    <row r="9042" spans="2:42" x14ac:dyDescent="0.2">
      <c r="B9042" t="s">
        <v>44</v>
      </c>
      <c r="C9042" t="str">
        <f>HYPERLINK("https://us2.cloudbeds.com/connect/8493803454333002#/reservations/9080486849208664?display=56U7PZKTKQ&amp;reservation_id=9080486849208664", "56U7PZKTKQ")</f>
        <v>56U7PZKTKQ</v>
      </c>
      <c r="D9042" t="s">
        <v>45</v>
      </c>
      <c r="E9042" t="s">
        <v>110</v>
      </c>
      <c r="F9042" t="s">
        <v>47</v>
      </c>
      <c r="G9042" t="s">
        <v>48</v>
      </c>
      <c r="H9042" t="s">
        <v>49</v>
      </c>
      <c r="I9042" t="s">
        <v>62</v>
      </c>
      <c r="J9042" t="s">
        <v>14636</v>
      </c>
      <c r="K9042" t="s">
        <v>16197</v>
      </c>
      <c r="L9042" t="s">
        <v>53</v>
      </c>
      <c r="N9042" t="s">
        <v>17261</v>
      </c>
      <c r="P9042" t="s">
        <v>55</v>
      </c>
      <c r="R9042" t="s">
        <v>118</v>
      </c>
      <c r="T9042" t="s">
        <v>17262</v>
      </c>
      <c r="U9042" t="s">
        <v>55</v>
      </c>
      <c r="V9042">
        <v>1</v>
      </c>
      <c r="W9042">
        <v>1</v>
      </c>
      <c r="X9042">
        <v>1</v>
      </c>
      <c r="Y9042">
        <v>0</v>
      </c>
      <c r="Z9042">
        <v>1</v>
      </c>
      <c r="AA9042">
        <v>120.75</v>
      </c>
      <c r="AB9042">
        <v>120.75</v>
      </c>
      <c r="AC9042">
        <v>120.75</v>
      </c>
      <c r="AD9042">
        <v>0</v>
      </c>
      <c r="AE9042">
        <v>0</v>
      </c>
      <c r="AF9042">
        <v>0</v>
      </c>
      <c r="AG9042">
        <v>0</v>
      </c>
      <c r="AH9042">
        <v>0</v>
      </c>
      <c r="AI9042">
        <v>21.74</v>
      </c>
      <c r="AJ9042">
        <v>120.75</v>
      </c>
      <c r="AK9042">
        <v>0</v>
      </c>
      <c r="AL9042" t="s">
        <v>53</v>
      </c>
      <c r="AM9042" t="s">
        <v>53</v>
      </c>
      <c r="AN9042" t="s">
        <v>53</v>
      </c>
      <c r="AO9042" t="s">
        <v>53</v>
      </c>
      <c r="AP9042" t="s">
        <v>53</v>
      </c>
    </row>
    <row r="9043" spans="2:42" x14ac:dyDescent="0.2">
      <c r="B9043" t="s">
        <v>44</v>
      </c>
      <c r="C9043" t="str">
        <f>HYPERLINK("https://us2.cloudbeds.com/connect/8493803454333002#/reservations/241786211823808?display=56U9446J0E&amp;reservation_id=241786211823808", "56U9446J0E")</f>
        <v>56U9446J0E</v>
      </c>
      <c r="D9043" t="s">
        <v>45</v>
      </c>
      <c r="E9043" t="s">
        <v>121</v>
      </c>
      <c r="F9043" t="s">
        <v>86</v>
      </c>
      <c r="G9043" t="s">
        <v>48</v>
      </c>
      <c r="H9043" t="s">
        <v>3957</v>
      </c>
      <c r="I9043" t="s">
        <v>3975</v>
      </c>
      <c r="J9043" t="s">
        <v>14636</v>
      </c>
      <c r="K9043" t="s">
        <v>14637</v>
      </c>
      <c r="L9043" t="s">
        <v>53</v>
      </c>
      <c r="P9043" t="s">
        <v>55</v>
      </c>
      <c r="R9043" t="s">
        <v>56</v>
      </c>
      <c r="T9043" t="s">
        <v>17263</v>
      </c>
      <c r="U9043" t="s">
        <v>58</v>
      </c>
      <c r="V9043">
        <v>2</v>
      </c>
      <c r="W9043">
        <v>1</v>
      </c>
      <c r="X9043">
        <v>3</v>
      </c>
      <c r="Y9043">
        <v>1</v>
      </c>
      <c r="Z9043">
        <v>4</v>
      </c>
      <c r="AA9043">
        <v>329.05</v>
      </c>
      <c r="AB9043">
        <v>329.05</v>
      </c>
      <c r="AC9043">
        <v>287</v>
      </c>
      <c r="AD9043">
        <v>0</v>
      </c>
      <c r="AE9043">
        <v>42.05</v>
      </c>
      <c r="AF9043">
        <v>0</v>
      </c>
      <c r="AG9043">
        <v>0</v>
      </c>
      <c r="AH9043">
        <v>0</v>
      </c>
      <c r="AI9043">
        <v>0</v>
      </c>
      <c r="AJ9043">
        <v>329.05</v>
      </c>
      <c r="AK9043">
        <v>0</v>
      </c>
      <c r="AL9043" t="s">
        <v>53</v>
      </c>
      <c r="AM9043" t="s">
        <v>53</v>
      </c>
      <c r="AN9043" t="s">
        <v>17264</v>
      </c>
      <c r="AO9043" t="s">
        <v>53</v>
      </c>
      <c r="AP9043" t="s">
        <v>53</v>
      </c>
    </row>
    <row r="9044" spans="2:42" x14ac:dyDescent="0.2">
      <c r="B9044" t="s">
        <v>44</v>
      </c>
      <c r="C9044" t="str">
        <f>HYPERLINK("https://us2.cloudbeds.com/connect/8493803454333002#/reservations/241790480076928?display=56UCE6A0FU&amp;reservation_id=241790480076928", "56UCE6A0FU")</f>
        <v>56UCE6A0FU</v>
      </c>
      <c r="D9044" t="s">
        <v>45</v>
      </c>
      <c r="E9044" t="s">
        <v>98</v>
      </c>
      <c r="F9044" t="s">
        <v>86</v>
      </c>
      <c r="G9044" t="s">
        <v>48</v>
      </c>
      <c r="H9044" t="s">
        <v>3957</v>
      </c>
      <c r="I9044" t="s">
        <v>3975</v>
      </c>
      <c r="J9044" t="s">
        <v>14636</v>
      </c>
      <c r="K9044" t="s">
        <v>16197</v>
      </c>
      <c r="L9044" t="s">
        <v>53</v>
      </c>
      <c r="P9044" t="s">
        <v>55</v>
      </c>
      <c r="R9044" t="s">
        <v>56</v>
      </c>
      <c r="T9044" t="s">
        <v>17265</v>
      </c>
      <c r="U9044" t="s">
        <v>58</v>
      </c>
      <c r="V9044">
        <v>1</v>
      </c>
      <c r="W9044">
        <v>1</v>
      </c>
      <c r="X9044">
        <v>2</v>
      </c>
      <c r="Y9044">
        <v>0</v>
      </c>
      <c r="Z9044">
        <v>2</v>
      </c>
      <c r="AA9044">
        <v>146.75</v>
      </c>
      <c r="AB9044">
        <v>146.75</v>
      </c>
      <c r="AC9044">
        <v>128</v>
      </c>
      <c r="AD9044">
        <v>0</v>
      </c>
      <c r="AE9044">
        <v>18.75</v>
      </c>
      <c r="AF9044">
        <v>0</v>
      </c>
      <c r="AG9044">
        <v>0</v>
      </c>
      <c r="AH9044">
        <v>0</v>
      </c>
      <c r="AI9044">
        <v>0</v>
      </c>
      <c r="AJ9044">
        <v>146.75</v>
      </c>
      <c r="AK9044">
        <v>0</v>
      </c>
      <c r="AL9044" t="s">
        <v>53</v>
      </c>
      <c r="AM9044" t="s">
        <v>53</v>
      </c>
      <c r="AN9044" t="s">
        <v>53</v>
      </c>
      <c r="AO9044" t="s">
        <v>53</v>
      </c>
      <c r="AP9044" t="s">
        <v>53</v>
      </c>
    </row>
    <row r="9045" spans="2:42" x14ac:dyDescent="0.2">
      <c r="B9045" t="s">
        <v>44</v>
      </c>
      <c r="C9045" t="str">
        <f>HYPERLINK("https://us2.cloudbeds.com/connect/8493803454333002#/reservations/241804011024576?display=56UMTUW4Q8&amp;reservation_id=241804011024576", "56UMTUW4Q8")</f>
        <v>56UMTUW4Q8</v>
      </c>
      <c r="D9045" t="s">
        <v>45</v>
      </c>
      <c r="E9045" t="s">
        <v>105</v>
      </c>
      <c r="F9045" t="s">
        <v>47</v>
      </c>
      <c r="G9045" t="s">
        <v>48</v>
      </c>
      <c r="H9045" t="s">
        <v>3957</v>
      </c>
      <c r="I9045" t="s">
        <v>3975</v>
      </c>
      <c r="J9045" t="s">
        <v>14636</v>
      </c>
      <c r="K9045" t="s">
        <v>16197</v>
      </c>
      <c r="L9045" t="s">
        <v>53</v>
      </c>
      <c r="P9045" t="s">
        <v>55</v>
      </c>
      <c r="R9045" t="s">
        <v>56</v>
      </c>
      <c r="T9045" t="s">
        <v>17266</v>
      </c>
      <c r="U9045" t="s">
        <v>58</v>
      </c>
      <c r="V9045">
        <v>1</v>
      </c>
      <c r="W9045">
        <v>1</v>
      </c>
      <c r="X9045">
        <v>2</v>
      </c>
      <c r="Y9045">
        <v>0</v>
      </c>
      <c r="Z9045">
        <v>2</v>
      </c>
      <c r="AA9045">
        <v>120.39</v>
      </c>
      <c r="AB9045">
        <v>120.39</v>
      </c>
      <c r="AC9045">
        <v>105</v>
      </c>
      <c r="AD9045">
        <v>0</v>
      </c>
      <c r="AE9045">
        <v>15.39</v>
      </c>
      <c r="AF9045">
        <v>0</v>
      </c>
      <c r="AG9045">
        <v>0</v>
      </c>
      <c r="AH9045">
        <v>0</v>
      </c>
      <c r="AI9045">
        <v>0</v>
      </c>
      <c r="AJ9045">
        <v>120.39</v>
      </c>
      <c r="AK9045">
        <v>0</v>
      </c>
      <c r="AL9045" t="s">
        <v>53</v>
      </c>
      <c r="AM9045" t="s">
        <v>53</v>
      </c>
      <c r="AN9045" t="s">
        <v>17267</v>
      </c>
      <c r="AO9045" t="s">
        <v>53</v>
      </c>
      <c r="AP9045" t="s">
        <v>53</v>
      </c>
    </row>
    <row r="9046" spans="2:42" x14ac:dyDescent="0.2">
      <c r="B9046" t="s">
        <v>44</v>
      </c>
      <c r="C9046" t="str">
        <f>HYPERLINK("https://us2.cloudbeds.com/connect/8493803454333002#/reservations/241819223765185?display=56V1MYZKHF&amp;reservation_id=241819223765185", "56V1MYZKHF")</f>
        <v>56V1MYZKHF</v>
      </c>
      <c r="D9046" t="s">
        <v>45</v>
      </c>
      <c r="E9046" t="s">
        <v>223</v>
      </c>
      <c r="F9046" t="s">
        <v>47</v>
      </c>
      <c r="G9046" t="s">
        <v>48</v>
      </c>
      <c r="H9046" t="s">
        <v>3957</v>
      </c>
      <c r="I9046" t="s">
        <v>3975</v>
      </c>
      <c r="J9046" t="s">
        <v>14636</v>
      </c>
      <c r="K9046" t="s">
        <v>16197</v>
      </c>
      <c r="L9046" t="s">
        <v>53</v>
      </c>
      <c r="P9046" t="s">
        <v>55</v>
      </c>
      <c r="R9046" t="s">
        <v>56</v>
      </c>
      <c r="T9046" t="s">
        <v>17268</v>
      </c>
      <c r="U9046" t="s">
        <v>58</v>
      </c>
      <c r="V9046">
        <v>1</v>
      </c>
      <c r="W9046">
        <v>1</v>
      </c>
      <c r="X9046">
        <v>2</v>
      </c>
      <c r="Y9046">
        <v>0</v>
      </c>
      <c r="Z9046">
        <v>2</v>
      </c>
      <c r="AA9046">
        <v>120.39</v>
      </c>
      <c r="AB9046">
        <v>120.39</v>
      </c>
      <c r="AC9046">
        <v>105</v>
      </c>
      <c r="AD9046">
        <v>0</v>
      </c>
      <c r="AE9046">
        <v>15.39</v>
      </c>
      <c r="AF9046">
        <v>0</v>
      </c>
      <c r="AG9046">
        <v>0</v>
      </c>
      <c r="AH9046">
        <v>0</v>
      </c>
      <c r="AI9046">
        <v>0</v>
      </c>
      <c r="AJ9046">
        <v>120.39</v>
      </c>
      <c r="AK9046">
        <v>0</v>
      </c>
      <c r="AL9046" t="s">
        <v>53</v>
      </c>
      <c r="AM9046" t="s">
        <v>53</v>
      </c>
      <c r="AN9046" t="s">
        <v>17269</v>
      </c>
      <c r="AO9046" t="s">
        <v>53</v>
      </c>
      <c r="AP9046" t="s">
        <v>53</v>
      </c>
    </row>
    <row r="9047" spans="2:42" x14ac:dyDescent="0.2">
      <c r="B9047" t="s">
        <v>44</v>
      </c>
      <c r="C9047" t="str">
        <f>HYPERLINK("https://us2.cloudbeds.com/connect/8493803454333002#/reservations/9080486849213864?display=571FP4WSKN&amp;reservation_id=9080486849213864", "571FP4WSKN")</f>
        <v>571FP4WSKN</v>
      </c>
      <c r="D9047" t="s">
        <v>45</v>
      </c>
      <c r="E9047" t="s">
        <v>185</v>
      </c>
      <c r="F9047" t="s">
        <v>47</v>
      </c>
      <c r="G9047" t="s">
        <v>48</v>
      </c>
      <c r="H9047" t="s">
        <v>49</v>
      </c>
      <c r="I9047" t="s">
        <v>50</v>
      </c>
      <c r="J9047" t="s">
        <v>16932</v>
      </c>
      <c r="K9047" t="s">
        <v>15625</v>
      </c>
      <c r="L9047" t="s">
        <v>53</v>
      </c>
      <c r="N9047" t="s">
        <v>17270</v>
      </c>
      <c r="P9047" t="s">
        <v>55</v>
      </c>
      <c r="R9047" t="s">
        <v>53</v>
      </c>
      <c r="T9047" t="s">
        <v>17271</v>
      </c>
      <c r="U9047" t="s">
        <v>55</v>
      </c>
      <c r="V9047">
        <v>2</v>
      </c>
      <c r="W9047">
        <v>1</v>
      </c>
      <c r="X9047">
        <v>1</v>
      </c>
      <c r="Y9047">
        <v>0</v>
      </c>
      <c r="Z9047">
        <v>1</v>
      </c>
      <c r="AA9047">
        <v>294.22000000000003</v>
      </c>
      <c r="AB9047">
        <v>294.22000000000003</v>
      </c>
      <c r="AC9047">
        <v>270.55</v>
      </c>
      <c r="AD9047">
        <v>0</v>
      </c>
      <c r="AE9047">
        <v>23.67</v>
      </c>
      <c r="AF9047">
        <v>0</v>
      </c>
      <c r="AG9047">
        <v>0</v>
      </c>
      <c r="AH9047">
        <v>0</v>
      </c>
      <c r="AI9047">
        <v>52.96</v>
      </c>
      <c r="AJ9047">
        <v>294.22000000000003</v>
      </c>
      <c r="AK9047">
        <v>0</v>
      </c>
      <c r="AL9047" t="s">
        <v>53</v>
      </c>
      <c r="AM9047" t="s">
        <v>53</v>
      </c>
      <c r="AN9047" t="s">
        <v>17272</v>
      </c>
      <c r="AO9047" t="s">
        <v>53</v>
      </c>
      <c r="AP9047" t="s">
        <v>53</v>
      </c>
    </row>
    <row r="9048" spans="2:42" x14ac:dyDescent="0.2">
      <c r="B9048" t="s">
        <v>44</v>
      </c>
      <c r="C9048" t="str">
        <f>HYPERLINK("https://us2.cloudbeds.com/connect/8493803454333002#/reservations/9080486849214045?display=571J9184XP&amp;reservation_id=9080486849214045", "571J9184XP")</f>
        <v>571J9184XP</v>
      </c>
      <c r="D9048" t="s">
        <v>45</v>
      </c>
      <c r="E9048" t="s">
        <v>406</v>
      </c>
      <c r="F9048" t="s">
        <v>61</v>
      </c>
      <c r="G9048" t="s">
        <v>48</v>
      </c>
      <c r="H9048" t="s">
        <v>49</v>
      </c>
      <c r="I9048" t="s">
        <v>62</v>
      </c>
      <c r="J9048" t="s">
        <v>15231</v>
      </c>
      <c r="K9048" t="s">
        <v>15735</v>
      </c>
      <c r="L9048" t="s">
        <v>53</v>
      </c>
      <c r="N9048" t="s">
        <v>17273</v>
      </c>
      <c r="P9048" t="s">
        <v>55</v>
      </c>
      <c r="R9048" t="s">
        <v>56</v>
      </c>
      <c r="T9048" t="s">
        <v>17274</v>
      </c>
      <c r="U9048" t="s">
        <v>55</v>
      </c>
      <c r="V9048">
        <v>2</v>
      </c>
      <c r="W9048">
        <v>1</v>
      </c>
      <c r="X9048">
        <v>2</v>
      </c>
      <c r="Y9048">
        <v>0</v>
      </c>
      <c r="Z9048">
        <v>2</v>
      </c>
      <c r="AA9048">
        <v>389.85</v>
      </c>
      <c r="AB9048">
        <v>389.85</v>
      </c>
      <c r="AC9048">
        <v>389.85</v>
      </c>
      <c r="AD9048">
        <v>0</v>
      </c>
      <c r="AE9048">
        <v>0</v>
      </c>
      <c r="AF9048">
        <v>0</v>
      </c>
      <c r="AG9048">
        <v>0</v>
      </c>
      <c r="AH9048">
        <v>0</v>
      </c>
      <c r="AI9048">
        <v>70.17</v>
      </c>
      <c r="AJ9048">
        <v>389.85</v>
      </c>
      <c r="AK9048">
        <v>0</v>
      </c>
      <c r="AL9048" t="s">
        <v>53</v>
      </c>
      <c r="AM9048" t="s">
        <v>53</v>
      </c>
      <c r="AN9048" t="s">
        <v>53</v>
      </c>
      <c r="AO9048" t="s">
        <v>53</v>
      </c>
      <c r="AP9048" t="s">
        <v>53</v>
      </c>
    </row>
    <row r="9049" spans="2:42" x14ac:dyDescent="0.2">
      <c r="B9049" t="s">
        <v>44</v>
      </c>
      <c r="C9049" t="str">
        <f>HYPERLINK("https://us2.cloudbeds.com/connect/8493803454333002#/reservations/241970092847296?display=571JGNJ0T9&amp;reservation_id=241970092847296", "571JGNJ0T9")</f>
        <v>571JGNJ0T9</v>
      </c>
      <c r="D9049" t="s">
        <v>45</v>
      </c>
      <c r="E9049" t="s">
        <v>92</v>
      </c>
      <c r="F9049" t="s">
        <v>86</v>
      </c>
      <c r="G9049" t="s">
        <v>48</v>
      </c>
      <c r="H9049" t="s">
        <v>3957</v>
      </c>
      <c r="I9049" t="s">
        <v>3989</v>
      </c>
      <c r="J9049" t="s">
        <v>14636</v>
      </c>
      <c r="K9049" t="s">
        <v>16197</v>
      </c>
      <c r="L9049" t="s">
        <v>53</v>
      </c>
      <c r="P9049" t="s">
        <v>55</v>
      </c>
      <c r="R9049" t="s">
        <v>56</v>
      </c>
      <c r="T9049" t="s">
        <v>17275</v>
      </c>
      <c r="U9049" t="s">
        <v>58</v>
      </c>
      <c r="V9049">
        <v>1</v>
      </c>
      <c r="W9049">
        <v>1</v>
      </c>
      <c r="X9049">
        <v>1</v>
      </c>
      <c r="Y9049">
        <v>0</v>
      </c>
      <c r="Z9049">
        <v>1</v>
      </c>
      <c r="AA9049">
        <v>155.91999999999999</v>
      </c>
      <c r="AB9049">
        <v>155.91999999999999</v>
      </c>
      <c r="AC9049">
        <v>136</v>
      </c>
      <c r="AD9049">
        <v>0</v>
      </c>
      <c r="AE9049">
        <v>19.920000000000002</v>
      </c>
      <c r="AF9049">
        <v>0</v>
      </c>
      <c r="AG9049">
        <v>0</v>
      </c>
      <c r="AH9049">
        <v>0</v>
      </c>
      <c r="AI9049">
        <v>0</v>
      </c>
      <c r="AJ9049">
        <v>155.91999999999999</v>
      </c>
      <c r="AK9049">
        <v>0</v>
      </c>
      <c r="AL9049" t="s">
        <v>53</v>
      </c>
      <c r="AM9049" t="s">
        <v>53</v>
      </c>
      <c r="AN9049" t="s">
        <v>53</v>
      </c>
      <c r="AO9049" t="s">
        <v>53</v>
      </c>
      <c r="AP9049" t="s">
        <v>53</v>
      </c>
    </row>
    <row r="9050" spans="2:42" x14ac:dyDescent="0.2">
      <c r="B9050" t="s">
        <v>44</v>
      </c>
      <c r="C9050" t="str">
        <f>HYPERLINK("https://us2.cloudbeds.com/connect/8493803454333002#/reservations/241972530241664?display=571YCWRTGA&amp;reservation_id=241972530241664", "571YCWRTGA")</f>
        <v>571YCWRTGA</v>
      </c>
      <c r="D9050" t="s">
        <v>45</v>
      </c>
      <c r="E9050" t="s">
        <v>179</v>
      </c>
      <c r="F9050" t="s">
        <v>47</v>
      </c>
      <c r="G9050" t="s">
        <v>48</v>
      </c>
      <c r="H9050" t="s">
        <v>3957</v>
      </c>
      <c r="I9050" t="s">
        <v>3975</v>
      </c>
      <c r="J9050" t="s">
        <v>14806</v>
      </c>
      <c r="K9050" t="s">
        <v>14732</v>
      </c>
      <c r="L9050" t="s">
        <v>53</v>
      </c>
      <c r="P9050" t="s">
        <v>55</v>
      </c>
      <c r="R9050" t="s">
        <v>56</v>
      </c>
      <c r="T9050" t="s">
        <v>17276</v>
      </c>
      <c r="U9050" t="s">
        <v>58</v>
      </c>
      <c r="V9050">
        <v>2</v>
      </c>
      <c r="W9050">
        <v>1</v>
      </c>
      <c r="X9050">
        <v>2</v>
      </c>
      <c r="Y9050">
        <v>0</v>
      </c>
      <c r="Z9050">
        <v>2</v>
      </c>
      <c r="AA9050">
        <v>0</v>
      </c>
      <c r="AB9050">
        <v>411.6</v>
      </c>
      <c r="AC9050">
        <v>359</v>
      </c>
      <c r="AD9050">
        <v>0</v>
      </c>
      <c r="AE9050">
        <v>52.6</v>
      </c>
      <c r="AF9050">
        <v>0</v>
      </c>
      <c r="AG9050">
        <v>0</v>
      </c>
      <c r="AH9050">
        <v>0</v>
      </c>
      <c r="AI9050">
        <v>0</v>
      </c>
      <c r="AJ9050">
        <v>411.6</v>
      </c>
      <c r="AK9050">
        <v>0</v>
      </c>
      <c r="AL9050" t="s">
        <v>53</v>
      </c>
      <c r="AM9050" t="s">
        <v>53</v>
      </c>
      <c r="AN9050" t="s">
        <v>17277</v>
      </c>
      <c r="AO9050" t="s">
        <v>53</v>
      </c>
      <c r="AP9050" t="s">
        <v>53</v>
      </c>
    </row>
    <row r="9051" spans="2:42" x14ac:dyDescent="0.2">
      <c r="B9051" t="s">
        <v>44</v>
      </c>
      <c r="C9051" t="str">
        <f>HYPERLINK("https://us2.cloudbeds.com/connect/8493803454333002#/reservations/241989821448320?display=5721PR86SJ&amp;reservation_id=241989821448320", "5721PR86SJ")</f>
        <v>5721PR86SJ</v>
      </c>
      <c r="D9051" t="s">
        <v>45</v>
      </c>
      <c r="E9051" t="s">
        <v>138</v>
      </c>
      <c r="F9051" t="s">
        <v>70</v>
      </c>
      <c r="G9051" t="s">
        <v>3974</v>
      </c>
      <c r="H9051" t="s">
        <v>3957</v>
      </c>
      <c r="I9051" t="s">
        <v>3975</v>
      </c>
      <c r="J9051" t="s">
        <v>15947</v>
      </c>
      <c r="K9051" t="s">
        <v>15876</v>
      </c>
      <c r="L9051" t="s">
        <v>53</v>
      </c>
      <c r="P9051" t="s">
        <v>55</v>
      </c>
      <c r="R9051" t="s">
        <v>56</v>
      </c>
      <c r="T9051" t="s">
        <v>17278</v>
      </c>
      <c r="U9051" t="s">
        <v>58</v>
      </c>
      <c r="V9051">
        <v>1</v>
      </c>
      <c r="W9051">
        <v>1</v>
      </c>
      <c r="X9051">
        <v>2</v>
      </c>
      <c r="Y9051">
        <v>0</v>
      </c>
      <c r="Z9051">
        <v>2</v>
      </c>
      <c r="AA9051">
        <v>118.72</v>
      </c>
      <c r="AB9051">
        <v>118.72</v>
      </c>
      <c r="AC9051">
        <v>103.55</v>
      </c>
      <c r="AD9051">
        <v>0</v>
      </c>
      <c r="AE9051">
        <v>15.17</v>
      </c>
      <c r="AF9051">
        <v>0</v>
      </c>
      <c r="AG9051">
        <v>0</v>
      </c>
      <c r="AH9051">
        <v>0</v>
      </c>
      <c r="AI9051">
        <v>0</v>
      </c>
      <c r="AJ9051">
        <v>118.72</v>
      </c>
      <c r="AK9051">
        <v>0</v>
      </c>
      <c r="AL9051" t="s">
        <v>53</v>
      </c>
      <c r="AM9051" t="s">
        <v>53</v>
      </c>
      <c r="AN9051" t="s">
        <v>17279</v>
      </c>
      <c r="AO9051" t="s">
        <v>53</v>
      </c>
      <c r="AP9051" t="s">
        <v>53</v>
      </c>
    </row>
    <row r="9052" spans="2:42" x14ac:dyDescent="0.2">
      <c r="B9052" t="s">
        <v>44</v>
      </c>
      <c r="C9052" t="str">
        <f>HYPERLINK("https://us2.cloudbeds.com/connect/8493803454333002#/reservations/9080486849215018?display=5722NF38S3&amp;reservation_id=9080486849215018", "5722NF38S3")</f>
        <v>5722NF38S3</v>
      </c>
      <c r="D9052" t="s">
        <v>45</v>
      </c>
      <c r="E9052" t="s">
        <v>113</v>
      </c>
      <c r="F9052" t="s">
        <v>61</v>
      </c>
      <c r="G9052" t="s">
        <v>48</v>
      </c>
      <c r="H9052" t="s">
        <v>49</v>
      </c>
      <c r="I9052" t="s">
        <v>8964</v>
      </c>
      <c r="J9052" t="s">
        <v>14636</v>
      </c>
      <c r="K9052" t="s">
        <v>16197</v>
      </c>
      <c r="L9052" t="s">
        <v>53</v>
      </c>
      <c r="N9052" t="s">
        <v>17280</v>
      </c>
      <c r="P9052" t="s">
        <v>55</v>
      </c>
      <c r="R9052" t="s">
        <v>53</v>
      </c>
      <c r="T9052" t="s">
        <v>17281</v>
      </c>
      <c r="U9052" t="s">
        <v>55</v>
      </c>
      <c r="V9052">
        <v>1</v>
      </c>
      <c r="W9052">
        <v>1</v>
      </c>
      <c r="X9052">
        <v>2</v>
      </c>
      <c r="Y9052">
        <v>0</v>
      </c>
      <c r="Z9052">
        <v>2</v>
      </c>
      <c r="AA9052">
        <v>0</v>
      </c>
      <c r="AB9052">
        <v>0</v>
      </c>
      <c r="AC9052">
        <v>140</v>
      </c>
      <c r="AD9052">
        <v>0</v>
      </c>
      <c r="AE9052">
        <v>0</v>
      </c>
      <c r="AF9052">
        <v>0</v>
      </c>
      <c r="AG9052">
        <v>0</v>
      </c>
      <c r="AH9052">
        <v>0</v>
      </c>
      <c r="AI9052">
        <v>21</v>
      </c>
      <c r="AJ9052">
        <v>140</v>
      </c>
      <c r="AK9052">
        <v>140</v>
      </c>
      <c r="AL9052" t="s">
        <v>53</v>
      </c>
      <c r="AM9052" t="s">
        <v>53</v>
      </c>
      <c r="AN9052" t="s">
        <v>53</v>
      </c>
      <c r="AO9052" t="s">
        <v>53</v>
      </c>
      <c r="AP9052" t="s">
        <v>53</v>
      </c>
    </row>
    <row r="9053" spans="2:42" x14ac:dyDescent="0.2">
      <c r="B9053" t="s">
        <v>44</v>
      </c>
      <c r="C9053" t="str">
        <f>HYPERLINK("https://us2.cloudbeds.com/connect/8493803454333002#/reservations/9080486849215053?display=57239W9CTK&amp;reservation_id=9080486849215053", "57239W9CTK")</f>
        <v>57239W9CTK</v>
      </c>
      <c r="D9053" t="s">
        <v>45</v>
      </c>
      <c r="E9053" t="s">
        <v>487</v>
      </c>
      <c r="F9053" t="s">
        <v>61</v>
      </c>
      <c r="G9053" t="s">
        <v>48</v>
      </c>
      <c r="H9053" t="s">
        <v>49</v>
      </c>
      <c r="I9053" t="s">
        <v>50</v>
      </c>
      <c r="J9053" t="s">
        <v>14636</v>
      </c>
      <c r="K9053" t="s">
        <v>16197</v>
      </c>
      <c r="L9053" t="s">
        <v>53</v>
      </c>
      <c r="N9053" t="s">
        <v>17282</v>
      </c>
      <c r="P9053" t="s">
        <v>55</v>
      </c>
      <c r="R9053" t="s">
        <v>53</v>
      </c>
      <c r="T9053" t="s">
        <v>17283</v>
      </c>
      <c r="U9053" t="s">
        <v>55</v>
      </c>
      <c r="V9053">
        <v>1</v>
      </c>
      <c r="W9053">
        <v>1</v>
      </c>
      <c r="X9053">
        <v>2</v>
      </c>
      <c r="Y9053">
        <v>0</v>
      </c>
      <c r="Z9053">
        <v>2</v>
      </c>
      <c r="AA9053">
        <v>105.09</v>
      </c>
      <c r="AB9053">
        <v>105.09</v>
      </c>
      <c r="AC9053">
        <v>96.64</v>
      </c>
      <c r="AD9053">
        <v>0</v>
      </c>
      <c r="AE9053">
        <v>8.4499999999999993</v>
      </c>
      <c r="AF9053">
        <v>0</v>
      </c>
      <c r="AG9053">
        <v>0</v>
      </c>
      <c r="AH9053">
        <v>0</v>
      </c>
      <c r="AI9053">
        <v>18.920000000000002</v>
      </c>
      <c r="AJ9053">
        <v>105.09</v>
      </c>
      <c r="AK9053">
        <v>0</v>
      </c>
      <c r="AL9053" t="s">
        <v>53</v>
      </c>
      <c r="AM9053" t="s">
        <v>53</v>
      </c>
      <c r="AN9053" t="s">
        <v>17284</v>
      </c>
      <c r="AO9053" t="s">
        <v>53</v>
      </c>
      <c r="AP9053" t="s">
        <v>53</v>
      </c>
    </row>
    <row r="9054" spans="2:42" x14ac:dyDescent="0.2">
      <c r="B9054" t="s">
        <v>44</v>
      </c>
      <c r="C9054" t="str">
        <f>HYPERLINK("https://us2.cloudbeds.com/connect/8493803454333002#/reservations/242000258801856?display=5729SHADFM&amp;reservation_id=242000258801856", "5729SHADFM")</f>
        <v>5729SHADFM</v>
      </c>
      <c r="D9054" t="s">
        <v>45</v>
      </c>
      <c r="E9054" t="s">
        <v>179</v>
      </c>
      <c r="F9054" t="s">
        <v>47</v>
      </c>
      <c r="G9054" t="s">
        <v>48</v>
      </c>
      <c r="H9054" t="s">
        <v>3957</v>
      </c>
      <c r="I9054" t="s">
        <v>3989</v>
      </c>
      <c r="J9054" t="s">
        <v>14636</v>
      </c>
      <c r="K9054" t="s">
        <v>16197</v>
      </c>
      <c r="L9054" t="s">
        <v>53</v>
      </c>
      <c r="P9054" t="s">
        <v>55</v>
      </c>
      <c r="R9054" t="s">
        <v>56</v>
      </c>
      <c r="T9054" t="s">
        <v>17285</v>
      </c>
      <c r="U9054" t="s">
        <v>58</v>
      </c>
      <c r="V9054">
        <v>1</v>
      </c>
      <c r="W9054">
        <v>1</v>
      </c>
      <c r="X9054">
        <v>1</v>
      </c>
      <c r="Y9054">
        <v>0</v>
      </c>
      <c r="Z9054">
        <v>1</v>
      </c>
      <c r="AA9054">
        <v>120.39</v>
      </c>
      <c r="AB9054">
        <v>120.39</v>
      </c>
      <c r="AC9054">
        <v>105</v>
      </c>
      <c r="AD9054">
        <v>0</v>
      </c>
      <c r="AE9054">
        <v>15.39</v>
      </c>
      <c r="AF9054">
        <v>0</v>
      </c>
      <c r="AG9054">
        <v>0</v>
      </c>
      <c r="AH9054">
        <v>0</v>
      </c>
      <c r="AI9054">
        <v>0</v>
      </c>
      <c r="AJ9054">
        <v>120.39</v>
      </c>
      <c r="AK9054">
        <v>0</v>
      </c>
      <c r="AL9054" t="s">
        <v>53</v>
      </c>
      <c r="AM9054" t="s">
        <v>53</v>
      </c>
      <c r="AN9054" t="s">
        <v>53</v>
      </c>
      <c r="AO9054" t="s">
        <v>53</v>
      </c>
      <c r="AP9054" t="s">
        <v>53</v>
      </c>
    </row>
    <row r="9055" spans="2:42" x14ac:dyDescent="0.2">
      <c r="B9055" t="s">
        <v>44</v>
      </c>
      <c r="C9055" t="str">
        <f>HYPERLINK("https://us2.cloudbeds.com/connect/8493803454333002#/reservations/242013674193024?display=572K8AGP5U&amp;reservation_id=242013674193024", "572K8AGP5U")</f>
        <v>572K8AGP5U</v>
      </c>
      <c r="D9055" t="s">
        <v>45</v>
      </c>
      <c r="E9055" t="s">
        <v>69</v>
      </c>
      <c r="F9055" t="s">
        <v>70</v>
      </c>
      <c r="G9055" t="s">
        <v>3974</v>
      </c>
      <c r="H9055" t="s">
        <v>3957</v>
      </c>
      <c r="I9055" t="s">
        <v>3975</v>
      </c>
      <c r="J9055" t="s">
        <v>15947</v>
      </c>
      <c r="K9055" t="s">
        <v>15876</v>
      </c>
      <c r="L9055" t="s">
        <v>53</v>
      </c>
      <c r="P9055" t="s">
        <v>55</v>
      </c>
      <c r="R9055" t="s">
        <v>56</v>
      </c>
      <c r="T9055" t="s">
        <v>17286</v>
      </c>
      <c r="U9055" t="s">
        <v>58</v>
      </c>
      <c r="V9055">
        <v>1</v>
      </c>
      <c r="W9055">
        <v>1</v>
      </c>
      <c r="X9055">
        <v>2</v>
      </c>
      <c r="Y9055">
        <v>0</v>
      </c>
      <c r="Z9055">
        <v>2</v>
      </c>
      <c r="AA9055">
        <v>118.72</v>
      </c>
      <c r="AB9055">
        <v>118.72</v>
      </c>
      <c r="AC9055">
        <v>103.55</v>
      </c>
      <c r="AD9055">
        <v>0</v>
      </c>
      <c r="AE9055">
        <v>15.17</v>
      </c>
      <c r="AF9055">
        <v>0</v>
      </c>
      <c r="AG9055">
        <v>0</v>
      </c>
      <c r="AH9055">
        <v>0</v>
      </c>
      <c r="AI9055">
        <v>0</v>
      </c>
      <c r="AJ9055">
        <v>118.72</v>
      </c>
      <c r="AK9055">
        <v>0</v>
      </c>
      <c r="AL9055" t="s">
        <v>53</v>
      </c>
      <c r="AM9055" t="s">
        <v>53</v>
      </c>
      <c r="AN9055" t="s">
        <v>17287</v>
      </c>
      <c r="AO9055" t="s">
        <v>53</v>
      </c>
      <c r="AP9055" t="s">
        <v>53</v>
      </c>
    </row>
    <row r="9056" spans="2:42" x14ac:dyDescent="0.2">
      <c r="B9056" t="s">
        <v>44</v>
      </c>
      <c r="C9056" t="str">
        <f>HYPERLINK("https://us2.cloudbeds.com/connect/8493803454333002#/reservations/242017646399617?display=572NAQVUH9&amp;reservation_id=242017646399617", "572NAQVUH9")</f>
        <v>572NAQVUH9</v>
      </c>
      <c r="D9056" t="s">
        <v>45</v>
      </c>
      <c r="E9056" t="s">
        <v>17288</v>
      </c>
      <c r="F9056" t="s">
        <v>1472</v>
      </c>
      <c r="G9056" t="s">
        <v>48</v>
      </c>
      <c r="H9056" t="s">
        <v>3957</v>
      </c>
      <c r="I9056" t="s">
        <v>3975</v>
      </c>
      <c r="J9056" t="s">
        <v>15625</v>
      </c>
      <c r="K9056" t="s">
        <v>17289</v>
      </c>
      <c r="L9056" t="s">
        <v>53</v>
      </c>
      <c r="P9056" t="s">
        <v>55</v>
      </c>
      <c r="R9056" t="s">
        <v>56</v>
      </c>
      <c r="T9056" t="s">
        <v>17290</v>
      </c>
      <c r="U9056" t="s">
        <v>58</v>
      </c>
      <c r="V9056">
        <v>2</v>
      </c>
      <c r="W9056">
        <v>2</v>
      </c>
      <c r="X9056">
        <v>4</v>
      </c>
      <c r="Y9056">
        <v>0</v>
      </c>
      <c r="Z9056">
        <v>4</v>
      </c>
      <c r="AA9056">
        <v>0</v>
      </c>
      <c r="AB9056">
        <v>306.12</v>
      </c>
      <c r="AC9056">
        <v>267</v>
      </c>
      <c r="AD9056">
        <v>0</v>
      </c>
      <c r="AE9056">
        <v>39.119999999999997</v>
      </c>
      <c r="AF9056">
        <v>0</v>
      </c>
      <c r="AG9056">
        <v>0</v>
      </c>
      <c r="AH9056">
        <v>0</v>
      </c>
      <c r="AI9056">
        <v>0</v>
      </c>
      <c r="AJ9056">
        <v>306.12</v>
      </c>
      <c r="AK9056">
        <v>0</v>
      </c>
      <c r="AL9056" t="s">
        <v>53</v>
      </c>
      <c r="AM9056" t="s">
        <v>53</v>
      </c>
      <c r="AN9056" t="s">
        <v>17291</v>
      </c>
      <c r="AO9056" t="s">
        <v>53</v>
      </c>
      <c r="AP9056" t="s">
        <v>53</v>
      </c>
    </row>
    <row r="9057" spans="2:42" x14ac:dyDescent="0.2">
      <c r="B9057" t="s">
        <v>44</v>
      </c>
      <c r="C9057" t="str">
        <f>HYPERLINK("https://us2.cloudbeds.com/connect/8493803454333002#/reservations/242038376112320?display=5736CGRWKW&amp;reservation_id=242038376112320", "5736CGRWKW")</f>
        <v>5736CGRWKW</v>
      </c>
      <c r="D9057" t="s">
        <v>45</v>
      </c>
      <c r="E9057" t="s">
        <v>265</v>
      </c>
      <c r="F9057" t="s">
        <v>61</v>
      </c>
      <c r="G9057" t="s">
        <v>48</v>
      </c>
      <c r="H9057" t="s">
        <v>3957</v>
      </c>
      <c r="I9057" t="s">
        <v>3958</v>
      </c>
      <c r="J9057" t="s">
        <v>14637</v>
      </c>
      <c r="K9057" t="s">
        <v>15231</v>
      </c>
      <c r="L9057" t="s">
        <v>53</v>
      </c>
      <c r="P9057" t="s">
        <v>55</v>
      </c>
      <c r="R9057" t="s">
        <v>56</v>
      </c>
      <c r="T9057" t="s">
        <v>17292</v>
      </c>
      <c r="U9057" t="s">
        <v>58</v>
      </c>
      <c r="V9057">
        <v>1</v>
      </c>
      <c r="W9057">
        <v>1</v>
      </c>
      <c r="X9057">
        <v>1</v>
      </c>
      <c r="Y9057">
        <v>0</v>
      </c>
      <c r="Z9057">
        <v>1</v>
      </c>
      <c r="AA9057">
        <v>143.32</v>
      </c>
      <c r="AB9057">
        <v>143.32</v>
      </c>
      <c r="AC9057">
        <v>125</v>
      </c>
      <c r="AD9057">
        <v>0</v>
      </c>
      <c r="AE9057">
        <v>18.32</v>
      </c>
      <c r="AF9057">
        <v>0</v>
      </c>
      <c r="AG9057">
        <v>0</v>
      </c>
      <c r="AH9057">
        <v>0</v>
      </c>
      <c r="AI9057">
        <v>0</v>
      </c>
      <c r="AJ9057">
        <v>143.32</v>
      </c>
      <c r="AK9057">
        <v>0</v>
      </c>
      <c r="AL9057" t="s">
        <v>53</v>
      </c>
      <c r="AM9057" t="s">
        <v>53</v>
      </c>
      <c r="AN9057" t="s">
        <v>53</v>
      </c>
      <c r="AO9057" t="s">
        <v>53</v>
      </c>
      <c r="AP9057" t="s">
        <v>53</v>
      </c>
    </row>
    <row r="9058" spans="2:42" x14ac:dyDescent="0.2">
      <c r="B9058" t="s">
        <v>44</v>
      </c>
      <c r="C9058" t="str">
        <f>HYPERLINK("https://us2.cloudbeds.com/connect/8493803454333002#/reservations/242040432423040?display=5737W1P2C4&amp;reservation_id=242040432423040", "5737W1P2C4")</f>
        <v>5737W1P2C4</v>
      </c>
      <c r="D9058" t="s">
        <v>45</v>
      </c>
      <c r="E9058" t="s">
        <v>381</v>
      </c>
      <c r="F9058" t="s">
        <v>47</v>
      </c>
      <c r="G9058" t="s">
        <v>48</v>
      </c>
      <c r="H9058" t="s">
        <v>3957</v>
      </c>
      <c r="I9058" t="s">
        <v>3975</v>
      </c>
      <c r="J9058" t="s">
        <v>15947</v>
      </c>
      <c r="K9058" t="s">
        <v>17289</v>
      </c>
      <c r="L9058" t="s">
        <v>53</v>
      </c>
      <c r="P9058" t="s">
        <v>55</v>
      </c>
      <c r="R9058" t="s">
        <v>56</v>
      </c>
      <c r="T9058" t="s">
        <v>17293</v>
      </c>
      <c r="U9058" t="s">
        <v>58</v>
      </c>
      <c r="V9058">
        <v>9</v>
      </c>
      <c r="W9058">
        <v>1</v>
      </c>
      <c r="X9058">
        <v>1</v>
      </c>
      <c r="Y9058">
        <v>0</v>
      </c>
      <c r="Z9058">
        <v>1</v>
      </c>
      <c r="AA9058">
        <v>0</v>
      </c>
      <c r="AB9058">
        <v>1380.43</v>
      </c>
      <c r="AC9058">
        <v>1204</v>
      </c>
      <c r="AD9058">
        <v>0</v>
      </c>
      <c r="AE9058">
        <v>176.43</v>
      </c>
      <c r="AF9058">
        <v>0</v>
      </c>
      <c r="AG9058">
        <v>0</v>
      </c>
      <c r="AH9058">
        <v>0</v>
      </c>
      <c r="AI9058">
        <v>0</v>
      </c>
      <c r="AJ9058">
        <v>1380.43</v>
      </c>
      <c r="AK9058">
        <v>0</v>
      </c>
      <c r="AL9058" t="s">
        <v>53</v>
      </c>
      <c r="AM9058" t="s">
        <v>53</v>
      </c>
      <c r="AN9058" t="s">
        <v>17294</v>
      </c>
      <c r="AO9058" t="s">
        <v>53</v>
      </c>
      <c r="AP9058" t="s">
        <v>53</v>
      </c>
    </row>
    <row r="9059" spans="2:42" x14ac:dyDescent="0.2">
      <c r="B9059" t="s">
        <v>44</v>
      </c>
      <c r="C9059" t="str">
        <f>HYPERLINK("https://us2.cloudbeds.com/connect/8493803454333002#/reservations/9080486849217881?display=573Y5GHC55&amp;reservation_id=9080486849217881", "573Y5GHC55")</f>
        <v>573Y5GHC55</v>
      </c>
      <c r="D9059" t="s">
        <v>45</v>
      </c>
      <c r="E9059" t="s">
        <v>113</v>
      </c>
      <c r="F9059" t="s">
        <v>61</v>
      </c>
      <c r="G9059" t="s">
        <v>48</v>
      </c>
      <c r="H9059" t="s">
        <v>49</v>
      </c>
      <c r="I9059" t="s">
        <v>50</v>
      </c>
      <c r="J9059" t="s">
        <v>17216</v>
      </c>
      <c r="K9059" t="s">
        <v>17289</v>
      </c>
      <c r="L9059" t="s">
        <v>53</v>
      </c>
      <c r="N9059" t="s">
        <v>17295</v>
      </c>
      <c r="P9059" t="s">
        <v>55</v>
      </c>
      <c r="R9059" t="s">
        <v>53</v>
      </c>
      <c r="T9059" t="s">
        <v>17296</v>
      </c>
      <c r="U9059" t="s">
        <v>55</v>
      </c>
      <c r="V9059">
        <v>2</v>
      </c>
      <c r="W9059">
        <v>1</v>
      </c>
      <c r="X9059">
        <v>2</v>
      </c>
      <c r="Y9059">
        <v>0</v>
      </c>
      <c r="Z9059">
        <v>2</v>
      </c>
      <c r="AA9059">
        <v>266.94</v>
      </c>
      <c r="AB9059">
        <v>266.94</v>
      </c>
      <c r="AC9059">
        <v>245.47</v>
      </c>
      <c r="AD9059">
        <v>0</v>
      </c>
      <c r="AE9059">
        <v>21.47</v>
      </c>
      <c r="AF9059">
        <v>0</v>
      </c>
      <c r="AG9059">
        <v>0</v>
      </c>
      <c r="AH9059">
        <v>0</v>
      </c>
      <c r="AI9059">
        <v>48.05</v>
      </c>
      <c r="AJ9059">
        <v>266.94</v>
      </c>
      <c r="AK9059">
        <v>0</v>
      </c>
      <c r="AL9059" t="s">
        <v>53</v>
      </c>
      <c r="AM9059" t="s">
        <v>53</v>
      </c>
      <c r="AN9059" t="s">
        <v>53</v>
      </c>
      <c r="AO9059" t="s">
        <v>53</v>
      </c>
      <c r="AP9059" t="s">
        <v>53</v>
      </c>
    </row>
    <row r="9060" spans="2:42" x14ac:dyDescent="0.2">
      <c r="B9060" t="s">
        <v>44</v>
      </c>
      <c r="C9060" t="str">
        <f>HYPERLINK("https://us2.cloudbeds.com/connect/8493803454333002#/reservations/9080486849217921?display=573YUTK1VD&amp;reservation_id=9080486849217921", "573YUTK1VD")</f>
        <v>573YUTK1VD</v>
      </c>
      <c r="D9060" t="s">
        <v>45</v>
      </c>
      <c r="E9060" t="s">
        <v>78</v>
      </c>
      <c r="F9060" t="s">
        <v>61</v>
      </c>
      <c r="G9060" t="s">
        <v>48</v>
      </c>
      <c r="H9060" t="s">
        <v>49</v>
      </c>
      <c r="I9060" t="s">
        <v>8964</v>
      </c>
      <c r="J9060" t="s">
        <v>15625</v>
      </c>
      <c r="K9060" t="s">
        <v>17289</v>
      </c>
      <c r="L9060" t="s">
        <v>53</v>
      </c>
      <c r="N9060" t="s">
        <v>17297</v>
      </c>
      <c r="P9060" t="s">
        <v>55</v>
      </c>
      <c r="R9060" t="s">
        <v>53</v>
      </c>
      <c r="T9060" t="s">
        <v>17298</v>
      </c>
      <c r="U9060" t="s">
        <v>55</v>
      </c>
      <c r="V9060">
        <v>1</v>
      </c>
      <c r="W9060">
        <v>1</v>
      </c>
      <c r="X9060">
        <v>2</v>
      </c>
      <c r="Y9060">
        <v>0</v>
      </c>
      <c r="Z9060">
        <v>2</v>
      </c>
      <c r="AA9060">
        <v>0</v>
      </c>
      <c r="AB9060">
        <v>0</v>
      </c>
      <c r="AC9060">
        <v>141</v>
      </c>
      <c r="AD9060">
        <v>0</v>
      </c>
      <c r="AE9060">
        <v>0</v>
      </c>
      <c r="AF9060">
        <v>0</v>
      </c>
      <c r="AG9060">
        <v>0</v>
      </c>
      <c r="AH9060">
        <v>0</v>
      </c>
      <c r="AI9060">
        <v>21.15</v>
      </c>
      <c r="AJ9060">
        <v>141</v>
      </c>
      <c r="AK9060">
        <v>141</v>
      </c>
      <c r="AL9060" t="s">
        <v>53</v>
      </c>
      <c r="AM9060" t="s">
        <v>53</v>
      </c>
      <c r="AN9060" t="s">
        <v>17299</v>
      </c>
      <c r="AO9060" t="s">
        <v>53</v>
      </c>
      <c r="AP9060" t="s">
        <v>53</v>
      </c>
    </row>
    <row r="9061" spans="2:42" x14ac:dyDescent="0.2">
      <c r="B9061" t="s">
        <v>44</v>
      </c>
      <c r="C9061" t="str">
        <f>HYPERLINK("https://us2.cloudbeds.com/connect/8493803454333002#/reservations/9080486849218140?display=573QJ3VE8C&amp;reservation_id=9080486849218140", "573QJ3VE8C")</f>
        <v>573QJ3VE8C</v>
      </c>
      <c r="D9061" t="s">
        <v>45</v>
      </c>
      <c r="E9061" t="s">
        <v>373</v>
      </c>
      <c r="F9061" t="s">
        <v>47</v>
      </c>
      <c r="G9061" t="s">
        <v>48</v>
      </c>
      <c r="H9061" t="s">
        <v>49</v>
      </c>
      <c r="I9061" t="s">
        <v>50</v>
      </c>
      <c r="J9061" t="s">
        <v>14637</v>
      </c>
      <c r="K9061" t="s">
        <v>15231</v>
      </c>
      <c r="L9061" t="s">
        <v>53</v>
      </c>
      <c r="N9061" t="s">
        <v>17300</v>
      </c>
      <c r="P9061" t="s">
        <v>55</v>
      </c>
      <c r="R9061" t="s">
        <v>53</v>
      </c>
      <c r="T9061" t="s">
        <v>17301</v>
      </c>
      <c r="U9061" t="s">
        <v>55</v>
      </c>
      <c r="V9061">
        <v>1</v>
      </c>
      <c r="W9061">
        <v>1</v>
      </c>
      <c r="X9061">
        <v>1</v>
      </c>
      <c r="Y9061">
        <v>0</v>
      </c>
      <c r="Z9061">
        <v>1</v>
      </c>
      <c r="AA9061">
        <v>93.89</v>
      </c>
      <c r="AB9061">
        <v>93.89</v>
      </c>
      <c r="AC9061">
        <v>86.34</v>
      </c>
      <c r="AD9061">
        <v>0</v>
      </c>
      <c r="AE9061">
        <v>7.55</v>
      </c>
      <c r="AF9061">
        <v>0</v>
      </c>
      <c r="AG9061">
        <v>0</v>
      </c>
      <c r="AH9061">
        <v>0</v>
      </c>
      <c r="AI9061">
        <v>16.899999999999999</v>
      </c>
      <c r="AJ9061">
        <v>93.89</v>
      </c>
      <c r="AK9061">
        <v>0</v>
      </c>
      <c r="AL9061" t="s">
        <v>53</v>
      </c>
      <c r="AM9061" t="s">
        <v>53</v>
      </c>
      <c r="AN9061" t="s">
        <v>17302</v>
      </c>
      <c r="AO9061" t="s">
        <v>53</v>
      </c>
      <c r="AP9061" t="s">
        <v>53</v>
      </c>
    </row>
    <row r="9062" spans="2:42" x14ac:dyDescent="0.2">
      <c r="B9062" t="s">
        <v>44</v>
      </c>
      <c r="C9062" t="str">
        <f>HYPERLINK("https://us2.cloudbeds.com/connect/8493803454333002#/reservations/242066553282688?display=573S6GXNTP&amp;reservation_id=242066553282688", "573S6GXNTP")</f>
        <v>573S6GXNTP</v>
      </c>
      <c r="D9062" t="s">
        <v>45</v>
      </c>
      <c r="E9062" t="s">
        <v>406</v>
      </c>
      <c r="F9062" t="s">
        <v>61</v>
      </c>
      <c r="G9062" t="s">
        <v>48</v>
      </c>
      <c r="H9062" t="s">
        <v>3957</v>
      </c>
      <c r="I9062" t="s">
        <v>3958</v>
      </c>
      <c r="J9062" t="s">
        <v>14636</v>
      </c>
      <c r="K9062" t="s">
        <v>16197</v>
      </c>
      <c r="L9062" t="s">
        <v>53</v>
      </c>
      <c r="P9062" t="s">
        <v>55</v>
      </c>
      <c r="R9062" t="s">
        <v>56</v>
      </c>
      <c r="T9062" t="s">
        <v>17303</v>
      </c>
      <c r="U9062" t="s">
        <v>58</v>
      </c>
      <c r="V9062">
        <v>1</v>
      </c>
      <c r="W9062">
        <v>1</v>
      </c>
      <c r="X9062">
        <v>1</v>
      </c>
      <c r="Y9062">
        <v>0</v>
      </c>
      <c r="Z9062">
        <v>1</v>
      </c>
      <c r="AA9062">
        <v>139.88</v>
      </c>
      <c r="AB9062">
        <v>139.88</v>
      </c>
      <c r="AC9062">
        <v>122</v>
      </c>
      <c r="AD9062">
        <v>0</v>
      </c>
      <c r="AE9062">
        <v>17.88</v>
      </c>
      <c r="AF9062">
        <v>0</v>
      </c>
      <c r="AG9062">
        <v>0</v>
      </c>
      <c r="AH9062">
        <v>0</v>
      </c>
      <c r="AI9062">
        <v>0</v>
      </c>
      <c r="AJ9062">
        <v>139.88</v>
      </c>
      <c r="AK9062">
        <v>0</v>
      </c>
      <c r="AL9062" t="s">
        <v>53</v>
      </c>
      <c r="AM9062" t="s">
        <v>53</v>
      </c>
      <c r="AN9062" t="s">
        <v>53</v>
      </c>
      <c r="AO9062" t="s">
        <v>53</v>
      </c>
      <c r="AP9062" t="s">
        <v>53</v>
      </c>
    </row>
    <row r="9063" spans="2:42" x14ac:dyDescent="0.2">
      <c r="B9063" t="s">
        <v>44</v>
      </c>
      <c r="C9063" t="str">
        <f>HYPERLINK("https://us2.cloudbeds.com/connect/8493803454333002#/reservations/9080486849218380?display=573VU0XW20&amp;reservation_id=9080486849218380", "573VU0XW20")</f>
        <v>573VU0XW20</v>
      </c>
      <c r="D9063" t="s">
        <v>45</v>
      </c>
      <c r="E9063" t="s">
        <v>165</v>
      </c>
      <c r="F9063" t="s">
        <v>61</v>
      </c>
      <c r="G9063" t="s">
        <v>48</v>
      </c>
      <c r="H9063" t="s">
        <v>49</v>
      </c>
      <c r="I9063" t="s">
        <v>50</v>
      </c>
      <c r="J9063" t="s">
        <v>14637</v>
      </c>
      <c r="K9063" t="s">
        <v>15075</v>
      </c>
      <c r="L9063" t="s">
        <v>53</v>
      </c>
      <c r="N9063" t="s">
        <v>17304</v>
      </c>
      <c r="P9063" t="s">
        <v>55</v>
      </c>
      <c r="R9063" t="s">
        <v>53</v>
      </c>
      <c r="T9063" t="s">
        <v>17305</v>
      </c>
      <c r="U9063" t="s">
        <v>55</v>
      </c>
      <c r="V9063">
        <v>2</v>
      </c>
      <c r="W9063">
        <v>1</v>
      </c>
      <c r="X9063">
        <v>2</v>
      </c>
      <c r="Y9063">
        <v>0</v>
      </c>
      <c r="Z9063">
        <v>2</v>
      </c>
      <c r="AA9063">
        <v>288.18</v>
      </c>
      <c r="AB9063">
        <v>288.18</v>
      </c>
      <c r="AC9063">
        <v>264.99</v>
      </c>
      <c r="AD9063">
        <v>0</v>
      </c>
      <c r="AE9063">
        <v>23.19</v>
      </c>
      <c r="AF9063">
        <v>0</v>
      </c>
      <c r="AG9063">
        <v>0</v>
      </c>
      <c r="AH9063">
        <v>0</v>
      </c>
      <c r="AI9063">
        <v>51.87</v>
      </c>
      <c r="AJ9063">
        <v>288.18</v>
      </c>
      <c r="AK9063">
        <v>0</v>
      </c>
      <c r="AL9063" t="s">
        <v>53</v>
      </c>
      <c r="AM9063" t="s">
        <v>53</v>
      </c>
      <c r="AN9063" t="s">
        <v>17306</v>
      </c>
      <c r="AO9063" t="s">
        <v>53</v>
      </c>
      <c r="AP9063" t="s">
        <v>53</v>
      </c>
    </row>
    <row r="9064" spans="2:42" x14ac:dyDescent="0.2">
      <c r="B9064" t="s">
        <v>44</v>
      </c>
      <c r="C9064" t="str">
        <f>HYPERLINK("https://us2.cloudbeds.com/connect/8493803454333002#/reservations/242073988133056?display=5740VFRVZG&amp;reservation_id=242073988133056", "5740VFRVZG")</f>
        <v>5740VFRVZG</v>
      </c>
      <c r="D9064" t="s">
        <v>45</v>
      </c>
      <c r="E9064" t="s">
        <v>305</v>
      </c>
      <c r="F9064" t="s">
        <v>61</v>
      </c>
      <c r="G9064" t="s">
        <v>48</v>
      </c>
      <c r="H9064" t="s">
        <v>3957</v>
      </c>
      <c r="I9064" t="s">
        <v>3958</v>
      </c>
      <c r="J9064" t="s">
        <v>14636</v>
      </c>
      <c r="K9064" t="s">
        <v>16197</v>
      </c>
      <c r="L9064" t="s">
        <v>53</v>
      </c>
      <c r="P9064" t="s">
        <v>55</v>
      </c>
      <c r="R9064" t="s">
        <v>56</v>
      </c>
      <c r="T9064" t="s">
        <v>17307</v>
      </c>
      <c r="U9064" t="s">
        <v>58</v>
      </c>
      <c r="V9064">
        <v>1</v>
      </c>
      <c r="W9064">
        <v>1</v>
      </c>
      <c r="X9064">
        <v>1</v>
      </c>
      <c r="Y9064">
        <v>0</v>
      </c>
      <c r="Z9064">
        <v>1</v>
      </c>
      <c r="AA9064">
        <v>139.88</v>
      </c>
      <c r="AB9064">
        <v>139.88</v>
      </c>
      <c r="AC9064">
        <v>122</v>
      </c>
      <c r="AD9064">
        <v>0</v>
      </c>
      <c r="AE9064">
        <v>17.88</v>
      </c>
      <c r="AF9064">
        <v>0</v>
      </c>
      <c r="AG9064">
        <v>0</v>
      </c>
      <c r="AH9064">
        <v>0</v>
      </c>
      <c r="AI9064">
        <v>0</v>
      </c>
      <c r="AJ9064">
        <v>139.88</v>
      </c>
      <c r="AK9064">
        <v>0</v>
      </c>
      <c r="AL9064" t="s">
        <v>53</v>
      </c>
      <c r="AM9064" t="s">
        <v>53</v>
      </c>
      <c r="AN9064" t="s">
        <v>53</v>
      </c>
      <c r="AO9064" t="s">
        <v>53</v>
      </c>
      <c r="AP9064" t="s">
        <v>53</v>
      </c>
    </row>
    <row r="9065" spans="2:42" x14ac:dyDescent="0.2">
      <c r="B9065" t="s">
        <v>44</v>
      </c>
      <c r="C9065" t="str">
        <f>HYPERLINK("https://us2.cloudbeds.com/connect/8493803454333002#/reservations/9080486849218482?display=5741EYAT7U&amp;reservation_id=9080486849218482", "5741EYAT7U")</f>
        <v>5741EYAT7U</v>
      </c>
      <c r="D9065" t="s">
        <v>45</v>
      </c>
      <c r="E9065" t="s">
        <v>265</v>
      </c>
      <c r="F9065" t="s">
        <v>61</v>
      </c>
      <c r="G9065" t="s">
        <v>48</v>
      </c>
      <c r="H9065" t="s">
        <v>49</v>
      </c>
      <c r="I9065" t="s">
        <v>50</v>
      </c>
      <c r="J9065" t="s">
        <v>14636</v>
      </c>
      <c r="K9065" t="s">
        <v>16197</v>
      </c>
      <c r="L9065" t="s">
        <v>53</v>
      </c>
      <c r="N9065" t="s">
        <v>17308</v>
      </c>
      <c r="P9065" t="s">
        <v>55</v>
      </c>
      <c r="R9065" t="s">
        <v>53</v>
      </c>
      <c r="T9065" t="s">
        <v>17309</v>
      </c>
      <c r="U9065" t="s">
        <v>55</v>
      </c>
      <c r="V9065">
        <v>1</v>
      </c>
      <c r="W9065">
        <v>1</v>
      </c>
      <c r="X9065">
        <v>1</v>
      </c>
      <c r="Y9065">
        <v>0</v>
      </c>
      <c r="Z9065">
        <v>1</v>
      </c>
      <c r="AA9065">
        <v>125.12</v>
      </c>
      <c r="AB9065">
        <v>125.12</v>
      </c>
      <c r="AC9065">
        <v>115.05</v>
      </c>
      <c r="AD9065">
        <v>0</v>
      </c>
      <c r="AE9065">
        <v>10.07</v>
      </c>
      <c r="AF9065">
        <v>0</v>
      </c>
      <c r="AG9065">
        <v>0</v>
      </c>
      <c r="AH9065">
        <v>0</v>
      </c>
      <c r="AI9065">
        <v>22.52</v>
      </c>
      <c r="AJ9065">
        <v>125.12</v>
      </c>
      <c r="AK9065">
        <v>0</v>
      </c>
      <c r="AL9065" t="s">
        <v>53</v>
      </c>
      <c r="AM9065" t="s">
        <v>53</v>
      </c>
      <c r="AN9065" t="s">
        <v>53</v>
      </c>
      <c r="AO9065" t="s">
        <v>53</v>
      </c>
      <c r="AP9065" t="s">
        <v>53</v>
      </c>
    </row>
    <row r="9066" spans="2:42" x14ac:dyDescent="0.2">
      <c r="B9066" t="s">
        <v>44</v>
      </c>
      <c r="C9066" t="str">
        <f>HYPERLINK("https://us2.cloudbeds.com/connect/8493803454333002#/reservations/9080486849219421?display=574Q91F8YW&amp;reservation_id=9080486849219421", "574Q91F8YW")</f>
        <v>574Q91F8YW</v>
      </c>
      <c r="D9066" t="s">
        <v>45</v>
      </c>
      <c r="E9066" t="s">
        <v>110</v>
      </c>
      <c r="F9066" t="s">
        <v>47</v>
      </c>
      <c r="G9066" t="s">
        <v>48</v>
      </c>
      <c r="H9066" t="s">
        <v>49</v>
      </c>
      <c r="I9066" t="s">
        <v>62</v>
      </c>
      <c r="J9066" t="s">
        <v>15867</v>
      </c>
      <c r="K9066" t="s">
        <v>16932</v>
      </c>
      <c r="L9066" t="s">
        <v>53</v>
      </c>
      <c r="N9066" t="s">
        <v>17310</v>
      </c>
      <c r="P9066" t="s">
        <v>55</v>
      </c>
      <c r="R9066" t="s">
        <v>56</v>
      </c>
      <c r="T9066" t="s">
        <v>17311</v>
      </c>
      <c r="U9066" t="s">
        <v>55</v>
      </c>
      <c r="V9066">
        <v>1</v>
      </c>
      <c r="W9066">
        <v>1</v>
      </c>
      <c r="X9066">
        <v>2</v>
      </c>
      <c r="Y9066">
        <v>0</v>
      </c>
      <c r="Z9066">
        <v>2</v>
      </c>
      <c r="AA9066">
        <v>192.28</v>
      </c>
      <c r="AB9066">
        <v>192.28</v>
      </c>
      <c r="AC9066">
        <v>192.28</v>
      </c>
      <c r="AD9066">
        <v>0</v>
      </c>
      <c r="AE9066">
        <v>0</v>
      </c>
      <c r="AF9066">
        <v>0</v>
      </c>
      <c r="AG9066">
        <v>0</v>
      </c>
      <c r="AH9066">
        <v>0</v>
      </c>
      <c r="AI9066">
        <v>34.61</v>
      </c>
      <c r="AJ9066">
        <v>192.28</v>
      </c>
      <c r="AK9066">
        <v>0</v>
      </c>
      <c r="AL9066" t="s">
        <v>53</v>
      </c>
      <c r="AM9066" t="s">
        <v>53</v>
      </c>
      <c r="AN9066" t="s">
        <v>53</v>
      </c>
      <c r="AO9066" t="s">
        <v>53</v>
      </c>
      <c r="AP9066" t="s">
        <v>53</v>
      </c>
    </row>
    <row r="9067" spans="2:42" x14ac:dyDescent="0.2">
      <c r="B9067" t="s">
        <v>44</v>
      </c>
      <c r="C9067" t="str">
        <f>HYPERLINK("https://us2.cloudbeds.com/connect/8493803454333002#/reservations/9080486849219810?display=5751FS5QME&amp;reservation_id=9080486849219810", "5751FS5QME")</f>
        <v>5751FS5QME</v>
      </c>
      <c r="D9067" t="s">
        <v>45</v>
      </c>
      <c r="E9067" t="s">
        <v>487</v>
      </c>
      <c r="F9067" t="s">
        <v>61</v>
      </c>
      <c r="G9067" t="s">
        <v>48</v>
      </c>
      <c r="H9067" t="s">
        <v>49</v>
      </c>
      <c r="I9067" t="s">
        <v>50</v>
      </c>
      <c r="J9067" t="s">
        <v>14637</v>
      </c>
      <c r="K9067" t="s">
        <v>15231</v>
      </c>
      <c r="L9067" t="s">
        <v>53</v>
      </c>
      <c r="N9067" t="s">
        <v>17312</v>
      </c>
      <c r="P9067" t="s">
        <v>55</v>
      </c>
      <c r="R9067" t="s">
        <v>53</v>
      </c>
      <c r="T9067" t="s">
        <v>17313</v>
      </c>
      <c r="U9067" t="s">
        <v>55</v>
      </c>
      <c r="V9067">
        <v>1</v>
      </c>
      <c r="W9067">
        <v>1</v>
      </c>
      <c r="X9067">
        <v>1</v>
      </c>
      <c r="Y9067">
        <v>0</v>
      </c>
      <c r="Z9067">
        <v>1</v>
      </c>
      <c r="AA9067">
        <v>128.19999999999999</v>
      </c>
      <c r="AB9067">
        <v>128.19999999999999</v>
      </c>
      <c r="AC9067">
        <v>117.88</v>
      </c>
      <c r="AD9067">
        <v>0</v>
      </c>
      <c r="AE9067">
        <v>10.32</v>
      </c>
      <c r="AF9067">
        <v>0</v>
      </c>
      <c r="AG9067">
        <v>0</v>
      </c>
      <c r="AH9067">
        <v>0</v>
      </c>
      <c r="AI9067">
        <v>23.08</v>
      </c>
      <c r="AJ9067">
        <v>128.19999999999999</v>
      </c>
      <c r="AK9067">
        <v>0</v>
      </c>
      <c r="AL9067" t="s">
        <v>53</v>
      </c>
      <c r="AM9067" t="s">
        <v>53</v>
      </c>
      <c r="AN9067" t="s">
        <v>53</v>
      </c>
      <c r="AO9067" t="s">
        <v>53</v>
      </c>
      <c r="AP9067" t="s">
        <v>53</v>
      </c>
    </row>
    <row r="9068" spans="2:42" x14ac:dyDescent="0.2">
      <c r="B9068" t="s">
        <v>44</v>
      </c>
      <c r="C9068" t="str">
        <f>HYPERLINK("https://us2.cloudbeds.com/connect/8493803454333002#/reservations/242118549909632?display=5752F4GZJV&amp;reservation_id=242118549909632", "5752F4GZJV")</f>
        <v>5752F4GZJV</v>
      </c>
      <c r="D9068" t="s">
        <v>45</v>
      </c>
      <c r="E9068" t="s">
        <v>381</v>
      </c>
      <c r="F9068" t="s">
        <v>47</v>
      </c>
      <c r="G9068" t="s">
        <v>48</v>
      </c>
      <c r="H9068" t="s">
        <v>3957</v>
      </c>
      <c r="I9068" t="s">
        <v>3958</v>
      </c>
      <c r="J9068" t="s">
        <v>14637</v>
      </c>
      <c r="K9068" t="s">
        <v>15231</v>
      </c>
      <c r="L9068" t="s">
        <v>53</v>
      </c>
      <c r="P9068" t="s">
        <v>55</v>
      </c>
      <c r="R9068" t="s">
        <v>56</v>
      </c>
      <c r="T9068" t="s">
        <v>17314</v>
      </c>
      <c r="U9068" t="s">
        <v>58</v>
      </c>
      <c r="V9068">
        <v>1</v>
      </c>
      <c r="W9068">
        <v>1</v>
      </c>
      <c r="X9068">
        <v>1</v>
      </c>
      <c r="Y9068">
        <v>0</v>
      </c>
      <c r="Z9068">
        <v>1</v>
      </c>
      <c r="AA9068">
        <v>124.97</v>
      </c>
      <c r="AB9068">
        <v>124.97</v>
      </c>
      <c r="AC9068">
        <v>109</v>
      </c>
      <c r="AD9068">
        <v>0</v>
      </c>
      <c r="AE9068">
        <v>15.97</v>
      </c>
      <c r="AF9068">
        <v>0</v>
      </c>
      <c r="AG9068">
        <v>0</v>
      </c>
      <c r="AH9068">
        <v>0</v>
      </c>
      <c r="AI9068">
        <v>0</v>
      </c>
      <c r="AJ9068">
        <v>124.97</v>
      </c>
      <c r="AK9068">
        <v>0</v>
      </c>
      <c r="AL9068" t="s">
        <v>53</v>
      </c>
      <c r="AM9068" t="s">
        <v>53</v>
      </c>
      <c r="AN9068" t="s">
        <v>53</v>
      </c>
      <c r="AO9068" t="s">
        <v>53</v>
      </c>
      <c r="AP9068" t="s">
        <v>53</v>
      </c>
    </row>
    <row r="9069" spans="2:42" x14ac:dyDescent="0.2">
      <c r="B9069" t="s">
        <v>44</v>
      </c>
      <c r="C9069" t="str">
        <f>HYPERLINK("https://us2.cloudbeds.com/connect/8493803454333002#/reservations/9080486849222228?display=5776BXJBQX&amp;reservation_id=9080486849222228", "5776BXJBQX")</f>
        <v>5776BXJBQX</v>
      </c>
      <c r="D9069" t="s">
        <v>45</v>
      </c>
      <c r="E9069" t="s">
        <v>487</v>
      </c>
      <c r="F9069" t="s">
        <v>61</v>
      </c>
      <c r="G9069" t="s">
        <v>48</v>
      </c>
      <c r="H9069" t="s">
        <v>49</v>
      </c>
      <c r="I9069" t="s">
        <v>50</v>
      </c>
      <c r="J9069" t="s">
        <v>14971</v>
      </c>
      <c r="K9069" t="s">
        <v>16163</v>
      </c>
      <c r="L9069" t="s">
        <v>53</v>
      </c>
      <c r="N9069" t="s">
        <v>17315</v>
      </c>
      <c r="P9069" t="s">
        <v>55</v>
      </c>
      <c r="R9069" t="s">
        <v>53</v>
      </c>
      <c r="T9069" t="s">
        <v>17316</v>
      </c>
      <c r="U9069" t="s">
        <v>55</v>
      </c>
      <c r="V9069">
        <v>3</v>
      </c>
      <c r="W9069">
        <v>1</v>
      </c>
      <c r="X9069">
        <v>1</v>
      </c>
      <c r="Y9069">
        <v>0</v>
      </c>
      <c r="Z9069">
        <v>1</v>
      </c>
      <c r="AA9069">
        <v>447.17</v>
      </c>
      <c r="AB9069">
        <v>447.17</v>
      </c>
      <c r="AC9069">
        <v>411.2</v>
      </c>
      <c r="AD9069">
        <v>0</v>
      </c>
      <c r="AE9069">
        <v>35.97</v>
      </c>
      <c r="AF9069">
        <v>0</v>
      </c>
      <c r="AG9069">
        <v>0</v>
      </c>
      <c r="AH9069">
        <v>0</v>
      </c>
      <c r="AI9069">
        <v>80.489999999999995</v>
      </c>
      <c r="AJ9069">
        <v>447.17</v>
      </c>
      <c r="AK9069">
        <v>0</v>
      </c>
      <c r="AL9069" t="s">
        <v>53</v>
      </c>
      <c r="AM9069" t="s">
        <v>53</v>
      </c>
      <c r="AN9069" t="s">
        <v>17317</v>
      </c>
      <c r="AO9069" t="s">
        <v>53</v>
      </c>
      <c r="AP9069" t="s">
        <v>53</v>
      </c>
    </row>
    <row r="9070" spans="2:42" x14ac:dyDescent="0.2">
      <c r="B9070" t="s">
        <v>44</v>
      </c>
      <c r="C9070" t="str">
        <f>HYPERLINK("https://us2.cloudbeds.com/connect/8493803454333002#/reservations/242267080794304?display=578XFEYWKK&amp;reservation_id=242267080794304", "578XFEYWKK")</f>
        <v>578XFEYWKK</v>
      </c>
      <c r="D9070" t="s">
        <v>45</v>
      </c>
      <c r="E9070" t="s">
        <v>92</v>
      </c>
      <c r="F9070" t="s">
        <v>86</v>
      </c>
      <c r="G9070" t="s">
        <v>3974</v>
      </c>
      <c r="H9070" t="s">
        <v>3957</v>
      </c>
      <c r="I9070" t="s">
        <v>3975</v>
      </c>
      <c r="J9070" t="s">
        <v>15594</v>
      </c>
      <c r="K9070" t="s">
        <v>14656</v>
      </c>
      <c r="L9070" t="s">
        <v>53</v>
      </c>
      <c r="P9070" t="s">
        <v>55</v>
      </c>
      <c r="R9070" t="s">
        <v>56</v>
      </c>
      <c r="T9070" t="s">
        <v>17318</v>
      </c>
      <c r="U9070" t="s">
        <v>58</v>
      </c>
      <c r="V9070">
        <v>2</v>
      </c>
      <c r="W9070">
        <v>1</v>
      </c>
      <c r="X9070">
        <v>2</v>
      </c>
      <c r="Y9070">
        <v>2</v>
      </c>
      <c r="Z9070">
        <v>4</v>
      </c>
      <c r="AA9070">
        <v>460.72</v>
      </c>
      <c r="AB9070">
        <v>460.72</v>
      </c>
      <c r="AC9070">
        <v>401.85</v>
      </c>
      <c r="AD9070">
        <v>0</v>
      </c>
      <c r="AE9070">
        <v>58.87</v>
      </c>
      <c r="AF9070">
        <v>0</v>
      </c>
      <c r="AG9070">
        <v>0</v>
      </c>
      <c r="AH9070">
        <v>0</v>
      </c>
      <c r="AI9070">
        <v>0</v>
      </c>
      <c r="AJ9070">
        <v>460.72</v>
      </c>
      <c r="AK9070">
        <v>0</v>
      </c>
      <c r="AL9070" t="s">
        <v>53</v>
      </c>
      <c r="AM9070" t="s">
        <v>53</v>
      </c>
      <c r="AN9070" t="s">
        <v>17319</v>
      </c>
      <c r="AO9070" t="s">
        <v>53</v>
      </c>
      <c r="AP9070" t="s">
        <v>53</v>
      </c>
    </row>
    <row r="9071" spans="2:42" x14ac:dyDescent="0.2">
      <c r="B9071" t="s">
        <v>44</v>
      </c>
      <c r="C9071" t="str">
        <f>HYPERLINK("https://us2.cloudbeds.com/connect/8493803454333002#/reservations/9080486849224099?display=578ZFHAX2M&amp;reservation_id=9080486849224099", "578ZFHAX2M")</f>
        <v>578ZFHAX2M</v>
      </c>
      <c r="D9071" t="s">
        <v>45</v>
      </c>
      <c r="E9071" t="s">
        <v>14695</v>
      </c>
      <c r="F9071" t="s">
        <v>47</v>
      </c>
      <c r="G9071" t="s">
        <v>48</v>
      </c>
      <c r="H9071" t="s">
        <v>49</v>
      </c>
      <c r="I9071" t="s">
        <v>50</v>
      </c>
      <c r="J9071" t="s">
        <v>16163</v>
      </c>
      <c r="K9071" t="s">
        <v>14130</v>
      </c>
      <c r="L9071" t="s">
        <v>53</v>
      </c>
      <c r="N9071" t="s">
        <v>17320</v>
      </c>
      <c r="P9071" t="s">
        <v>55</v>
      </c>
      <c r="R9071" t="s">
        <v>53</v>
      </c>
      <c r="T9071" t="s">
        <v>17321</v>
      </c>
      <c r="U9071" t="s">
        <v>55</v>
      </c>
      <c r="V9071">
        <v>1</v>
      </c>
      <c r="W9071">
        <v>1</v>
      </c>
      <c r="X9071">
        <v>2</v>
      </c>
      <c r="Y9071">
        <v>0</v>
      </c>
      <c r="Z9071">
        <v>2</v>
      </c>
      <c r="AA9071">
        <v>90.46</v>
      </c>
      <c r="AB9071">
        <v>90.46</v>
      </c>
      <c r="AC9071">
        <v>83.18</v>
      </c>
      <c r="AD9071">
        <v>0</v>
      </c>
      <c r="AE9071">
        <v>7.28</v>
      </c>
      <c r="AF9071">
        <v>0</v>
      </c>
      <c r="AG9071">
        <v>0</v>
      </c>
      <c r="AH9071">
        <v>0</v>
      </c>
      <c r="AI9071">
        <v>16.28</v>
      </c>
      <c r="AJ9071">
        <v>90.46</v>
      </c>
      <c r="AK9071">
        <v>0</v>
      </c>
      <c r="AL9071" t="s">
        <v>53</v>
      </c>
      <c r="AM9071" t="s">
        <v>53</v>
      </c>
      <c r="AN9071" t="s">
        <v>53</v>
      </c>
      <c r="AO9071" t="s">
        <v>53</v>
      </c>
      <c r="AP9071" t="s">
        <v>53</v>
      </c>
    </row>
    <row r="9072" spans="2:42" x14ac:dyDescent="0.2">
      <c r="B9072" t="s">
        <v>44</v>
      </c>
      <c r="C9072" t="str">
        <f>HYPERLINK("https://us2.cloudbeds.com/connect/8493803454333002#/reservations/9080486849224129?display=578P3ZCFTW&amp;reservation_id=9080486849224129", "578P3ZCFTW")</f>
        <v>578P3ZCFTW</v>
      </c>
      <c r="D9072" t="s">
        <v>45</v>
      </c>
      <c r="E9072" t="s">
        <v>373</v>
      </c>
      <c r="F9072" t="s">
        <v>47</v>
      </c>
      <c r="G9072" t="s">
        <v>48</v>
      </c>
      <c r="H9072" t="s">
        <v>49</v>
      </c>
      <c r="I9072" t="s">
        <v>50</v>
      </c>
      <c r="J9072" t="s">
        <v>16163</v>
      </c>
      <c r="K9072" t="s">
        <v>14130</v>
      </c>
      <c r="L9072" t="s">
        <v>53</v>
      </c>
      <c r="N9072" t="s">
        <v>17322</v>
      </c>
      <c r="P9072" t="s">
        <v>55</v>
      </c>
      <c r="R9072" t="s">
        <v>53</v>
      </c>
      <c r="T9072" t="s">
        <v>17323</v>
      </c>
      <c r="U9072" t="s">
        <v>55</v>
      </c>
      <c r="V9072">
        <v>1</v>
      </c>
      <c r="W9072">
        <v>1</v>
      </c>
      <c r="X9072">
        <v>2</v>
      </c>
      <c r="Y9072">
        <v>0</v>
      </c>
      <c r="Z9072">
        <v>2</v>
      </c>
      <c r="AA9072">
        <v>90.46</v>
      </c>
      <c r="AB9072">
        <v>90.46</v>
      </c>
      <c r="AC9072">
        <v>83.18</v>
      </c>
      <c r="AD9072">
        <v>0</v>
      </c>
      <c r="AE9072">
        <v>7.28</v>
      </c>
      <c r="AF9072">
        <v>0</v>
      </c>
      <c r="AG9072">
        <v>0</v>
      </c>
      <c r="AH9072">
        <v>0</v>
      </c>
      <c r="AI9072">
        <v>16.28</v>
      </c>
      <c r="AJ9072">
        <v>90.46</v>
      </c>
      <c r="AK9072">
        <v>0</v>
      </c>
      <c r="AL9072" t="s">
        <v>53</v>
      </c>
      <c r="AM9072" t="s">
        <v>53</v>
      </c>
      <c r="AN9072" t="s">
        <v>53</v>
      </c>
      <c r="AO9072" t="s">
        <v>53</v>
      </c>
      <c r="AP9072" t="s">
        <v>53</v>
      </c>
    </row>
    <row r="9073" spans="2:42" x14ac:dyDescent="0.2">
      <c r="B9073" t="s">
        <v>44</v>
      </c>
      <c r="C9073" t="str">
        <f>HYPERLINK("https://us2.cloudbeds.com/connect/8493803454333002#/reservations/242327502389376?display=579W8BP9DA&amp;reservation_id=242327502389376", "579W8BP9DA")</f>
        <v>579W8BP9DA</v>
      </c>
      <c r="D9073" t="s">
        <v>45</v>
      </c>
      <c r="E9073" t="s">
        <v>105</v>
      </c>
      <c r="F9073" t="s">
        <v>47</v>
      </c>
      <c r="G9073" t="s">
        <v>48</v>
      </c>
      <c r="H9073" t="s">
        <v>3957</v>
      </c>
      <c r="I9073" t="s">
        <v>3975</v>
      </c>
      <c r="J9073" t="s">
        <v>14970</v>
      </c>
      <c r="K9073" t="s">
        <v>14971</v>
      </c>
      <c r="L9073" t="s">
        <v>53</v>
      </c>
      <c r="P9073" t="s">
        <v>55</v>
      </c>
      <c r="R9073" t="s">
        <v>56</v>
      </c>
      <c r="T9073" t="s">
        <v>17324</v>
      </c>
      <c r="U9073" t="s">
        <v>58</v>
      </c>
      <c r="V9073">
        <v>1</v>
      </c>
      <c r="W9073">
        <v>1</v>
      </c>
      <c r="X9073">
        <v>1</v>
      </c>
      <c r="Y9073">
        <v>0</v>
      </c>
      <c r="Z9073">
        <v>1</v>
      </c>
      <c r="AA9073">
        <v>0</v>
      </c>
      <c r="AB9073">
        <v>199.5</v>
      </c>
      <c r="AC9073">
        <v>174</v>
      </c>
      <c r="AD9073">
        <v>0</v>
      </c>
      <c r="AE9073">
        <v>25.5</v>
      </c>
      <c r="AF9073">
        <v>0</v>
      </c>
      <c r="AG9073">
        <v>0</v>
      </c>
      <c r="AH9073">
        <v>0</v>
      </c>
      <c r="AI9073">
        <v>0</v>
      </c>
      <c r="AJ9073">
        <v>199.5</v>
      </c>
      <c r="AK9073">
        <v>0</v>
      </c>
      <c r="AL9073" t="s">
        <v>53</v>
      </c>
      <c r="AM9073" t="s">
        <v>53</v>
      </c>
      <c r="AN9073" t="s">
        <v>53</v>
      </c>
      <c r="AO9073" t="s">
        <v>53</v>
      </c>
      <c r="AP9073" t="s">
        <v>53</v>
      </c>
    </row>
    <row r="9074" spans="2:42" x14ac:dyDescent="0.2">
      <c r="B9074" t="s">
        <v>44</v>
      </c>
      <c r="C9074" t="str">
        <f>HYPERLINK("https://us2.cloudbeds.com/connect/8493803454333002#/reservations/9080486849226612?display=57A24ARC7C&amp;reservation_id=9080486849226612", "57A24ARC7C")</f>
        <v>57A24ARC7C</v>
      </c>
      <c r="D9074" t="s">
        <v>45</v>
      </c>
      <c r="E9074" t="s">
        <v>406</v>
      </c>
      <c r="F9074" t="s">
        <v>61</v>
      </c>
      <c r="G9074" t="s">
        <v>48</v>
      </c>
      <c r="H9074" t="s">
        <v>49</v>
      </c>
      <c r="I9074" t="s">
        <v>50</v>
      </c>
      <c r="J9074" t="s">
        <v>15876</v>
      </c>
      <c r="K9074" t="s">
        <v>16163</v>
      </c>
      <c r="L9074" t="s">
        <v>53</v>
      </c>
      <c r="N9074" t="s">
        <v>17325</v>
      </c>
      <c r="P9074" t="s">
        <v>55</v>
      </c>
      <c r="R9074" t="s">
        <v>53</v>
      </c>
      <c r="T9074" t="s">
        <v>17326</v>
      </c>
      <c r="U9074" t="s">
        <v>55</v>
      </c>
      <c r="V9074">
        <v>1</v>
      </c>
      <c r="W9074">
        <v>1</v>
      </c>
      <c r="X9074">
        <v>2</v>
      </c>
      <c r="Y9074">
        <v>0</v>
      </c>
      <c r="Z9074">
        <v>2</v>
      </c>
      <c r="AA9074">
        <v>122.76</v>
      </c>
      <c r="AB9074">
        <v>122.76</v>
      </c>
      <c r="AC9074">
        <v>112.88</v>
      </c>
      <c r="AD9074">
        <v>0</v>
      </c>
      <c r="AE9074">
        <v>9.8800000000000008</v>
      </c>
      <c r="AF9074">
        <v>0</v>
      </c>
      <c r="AG9074">
        <v>0</v>
      </c>
      <c r="AH9074">
        <v>0</v>
      </c>
      <c r="AI9074">
        <v>22.1</v>
      </c>
      <c r="AJ9074">
        <v>122.76</v>
      </c>
      <c r="AK9074">
        <v>0</v>
      </c>
      <c r="AL9074" t="s">
        <v>53</v>
      </c>
      <c r="AM9074" t="s">
        <v>53</v>
      </c>
      <c r="AN9074" t="s">
        <v>53</v>
      </c>
      <c r="AO9074" t="s">
        <v>53</v>
      </c>
      <c r="AP9074" t="s">
        <v>53</v>
      </c>
    </row>
    <row r="9075" spans="2:42" x14ac:dyDescent="0.2">
      <c r="B9075" t="s">
        <v>44</v>
      </c>
      <c r="C9075" t="str">
        <f>HYPERLINK("https://us2.cloudbeds.com/connect/8493803454333002#/reservations/9080486849226682?display=57A34AXCRW&amp;reservation_id=9080486849226682", "57A34AXCRW")</f>
        <v>57A34AXCRW</v>
      </c>
      <c r="D9075" t="s">
        <v>45</v>
      </c>
      <c r="E9075" t="s">
        <v>85</v>
      </c>
      <c r="F9075" t="s">
        <v>86</v>
      </c>
      <c r="G9075" t="s">
        <v>48</v>
      </c>
      <c r="H9075" t="s">
        <v>49</v>
      </c>
      <c r="I9075" t="s">
        <v>8964</v>
      </c>
      <c r="J9075" t="s">
        <v>14130</v>
      </c>
      <c r="K9075" t="s">
        <v>15625</v>
      </c>
      <c r="L9075" t="s">
        <v>53</v>
      </c>
      <c r="N9075" t="s">
        <v>17327</v>
      </c>
      <c r="P9075" t="s">
        <v>55</v>
      </c>
      <c r="R9075" t="s">
        <v>53</v>
      </c>
      <c r="T9075" t="s">
        <v>17328</v>
      </c>
      <c r="U9075" t="s">
        <v>55</v>
      </c>
      <c r="V9075">
        <v>5</v>
      </c>
      <c r="W9075">
        <v>1</v>
      </c>
      <c r="X9075">
        <v>2</v>
      </c>
      <c r="Y9075">
        <v>1</v>
      </c>
      <c r="Z9075">
        <v>3</v>
      </c>
      <c r="AA9075">
        <v>0</v>
      </c>
      <c r="AB9075">
        <v>0</v>
      </c>
      <c r="AC9075">
        <v>1221</v>
      </c>
      <c r="AD9075">
        <v>0</v>
      </c>
      <c r="AE9075">
        <v>0</v>
      </c>
      <c r="AF9075">
        <v>0</v>
      </c>
      <c r="AG9075">
        <v>0</v>
      </c>
      <c r="AH9075">
        <v>0</v>
      </c>
      <c r="AI9075">
        <v>183.15</v>
      </c>
      <c r="AJ9075">
        <v>1221</v>
      </c>
      <c r="AK9075">
        <v>1221</v>
      </c>
      <c r="AL9075" t="s">
        <v>53</v>
      </c>
      <c r="AM9075" t="s">
        <v>53</v>
      </c>
      <c r="AN9075" t="s">
        <v>17329</v>
      </c>
      <c r="AO9075" t="s">
        <v>53</v>
      </c>
      <c r="AP9075" t="s">
        <v>53</v>
      </c>
    </row>
    <row r="9076" spans="2:42" x14ac:dyDescent="0.2">
      <c r="B9076" t="s">
        <v>44</v>
      </c>
      <c r="C9076" t="str">
        <f>HYPERLINK("https://us2.cloudbeds.com/connect/8493803454333002#/reservations/242333147000960?display=57A3KJEQN1&amp;reservation_id=242333147000960", "57A3KJEQN1")</f>
        <v>57A3KJEQN1</v>
      </c>
      <c r="D9076" t="s">
        <v>45</v>
      </c>
      <c r="E9076" t="s">
        <v>373</v>
      </c>
      <c r="F9076" t="s">
        <v>47</v>
      </c>
      <c r="G9076" t="s">
        <v>3974</v>
      </c>
      <c r="H9076" t="s">
        <v>3957</v>
      </c>
      <c r="I9076" t="s">
        <v>3975</v>
      </c>
      <c r="J9076" t="s">
        <v>14970</v>
      </c>
      <c r="K9076" t="s">
        <v>15876</v>
      </c>
      <c r="L9076" t="s">
        <v>53</v>
      </c>
      <c r="P9076" t="s">
        <v>55</v>
      </c>
      <c r="R9076" t="s">
        <v>56</v>
      </c>
      <c r="T9076" t="s">
        <v>17330</v>
      </c>
      <c r="U9076" t="s">
        <v>58</v>
      </c>
      <c r="V9076">
        <v>3</v>
      </c>
      <c r="W9076">
        <v>1</v>
      </c>
      <c r="X9076">
        <v>2</v>
      </c>
      <c r="Y9076">
        <v>0</v>
      </c>
      <c r="Z9076">
        <v>2</v>
      </c>
      <c r="AA9076">
        <v>527.16</v>
      </c>
      <c r="AB9076">
        <v>527.16</v>
      </c>
      <c r="AC9076">
        <v>459.8</v>
      </c>
      <c r="AD9076">
        <v>0</v>
      </c>
      <c r="AE9076">
        <v>67.36</v>
      </c>
      <c r="AF9076">
        <v>0</v>
      </c>
      <c r="AG9076">
        <v>0</v>
      </c>
      <c r="AH9076">
        <v>0</v>
      </c>
      <c r="AI9076">
        <v>0</v>
      </c>
      <c r="AJ9076">
        <v>527.16</v>
      </c>
      <c r="AK9076">
        <v>0</v>
      </c>
      <c r="AL9076" t="s">
        <v>53</v>
      </c>
      <c r="AM9076" t="s">
        <v>53</v>
      </c>
      <c r="AN9076" t="s">
        <v>53</v>
      </c>
      <c r="AO9076" t="s">
        <v>53</v>
      </c>
      <c r="AP9076" t="s">
        <v>53</v>
      </c>
    </row>
    <row r="9077" spans="2:42" x14ac:dyDescent="0.2">
      <c r="B9077" t="s">
        <v>44</v>
      </c>
      <c r="C9077" t="str">
        <f>HYPERLINK("https://us2.cloudbeds.com/connect/8493803454333002#/reservations/242344804708480?display=57ACYFH4FM&amp;reservation_id=242344804708480", "57ACYFH4FM")</f>
        <v>57ACYFH4FM</v>
      </c>
      <c r="D9077" t="s">
        <v>45</v>
      </c>
      <c r="E9077" t="s">
        <v>155</v>
      </c>
      <c r="F9077" t="s">
        <v>86</v>
      </c>
      <c r="G9077" t="s">
        <v>48</v>
      </c>
      <c r="H9077" t="s">
        <v>3957</v>
      </c>
      <c r="I9077" t="s">
        <v>3975</v>
      </c>
      <c r="J9077" t="s">
        <v>14637</v>
      </c>
      <c r="K9077" t="s">
        <v>15075</v>
      </c>
      <c r="L9077" t="s">
        <v>53</v>
      </c>
      <c r="P9077" t="s">
        <v>55</v>
      </c>
      <c r="R9077" t="s">
        <v>56</v>
      </c>
      <c r="T9077" t="s">
        <v>17331</v>
      </c>
      <c r="U9077" t="s">
        <v>58</v>
      </c>
      <c r="V9077">
        <v>2</v>
      </c>
      <c r="W9077">
        <v>1</v>
      </c>
      <c r="X9077">
        <v>2</v>
      </c>
      <c r="Y9077">
        <v>0</v>
      </c>
      <c r="Z9077">
        <v>2</v>
      </c>
      <c r="AA9077">
        <v>341.67</v>
      </c>
      <c r="AB9077">
        <v>341.67</v>
      </c>
      <c r="AC9077">
        <v>298</v>
      </c>
      <c r="AD9077">
        <v>0</v>
      </c>
      <c r="AE9077">
        <v>43.67</v>
      </c>
      <c r="AF9077">
        <v>0</v>
      </c>
      <c r="AG9077">
        <v>0</v>
      </c>
      <c r="AH9077">
        <v>0</v>
      </c>
      <c r="AI9077">
        <v>0</v>
      </c>
      <c r="AJ9077">
        <v>341.67</v>
      </c>
      <c r="AK9077">
        <v>0</v>
      </c>
      <c r="AL9077" t="s">
        <v>53</v>
      </c>
      <c r="AM9077" t="s">
        <v>53</v>
      </c>
      <c r="AN9077" t="s">
        <v>17332</v>
      </c>
      <c r="AO9077" t="s">
        <v>53</v>
      </c>
      <c r="AP9077" t="s">
        <v>53</v>
      </c>
    </row>
    <row r="9078" spans="2:42" x14ac:dyDescent="0.2">
      <c r="B9078" t="s">
        <v>44</v>
      </c>
      <c r="C9078" t="str">
        <f>HYPERLINK("https://us2.cloudbeds.com/connect/8493803454333002#/reservations/9080486849227250?display=57AD70ZVU1&amp;reservation_id=9080486849227250", "57AD70ZVU1")</f>
        <v>57AD70ZVU1</v>
      </c>
      <c r="D9078" t="s">
        <v>45</v>
      </c>
      <c r="E9078" t="s">
        <v>223</v>
      </c>
      <c r="F9078" t="s">
        <v>47</v>
      </c>
      <c r="G9078" t="s">
        <v>48</v>
      </c>
      <c r="H9078" t="s">
        <v>49</v>
      </c>
      <c r="I9078" t="s">
        <v>50</v>
      </c>
      <c r="J9078" t="s">
        <v>15735</v>
      </c>
      <c r="K9078" t="s">
        <v>14668</v>
      </c>
      <c r="L9078" t="s">
        <v>53</v>
      </c>
      <c r="N9078" t="s">
        <v>17333</v>
      </c>
      <c r="P9078" t="s">
        <v>55</v>
      </c>
      <c r="R9078" t="s">
        <v>53</v>
      </c>
      <c r="T9078" t="s">
        <v>17334</v>
      </c>
      <c r="U9078" t="s">
        <v>55</v>
      </c>
      <c r="V9078">
        <v>1</v>
      </c>
      <c r="W9078">
        <v>1</v>
      </c>
      <c r="X9078">
        <v>2</v>
      </c>
      <c r="Y9078">
        <v>0</v>
      </c>
      <c r="Z9078">
        <v>2</v>
      </c>
      <c r="AA9078">
        <v>150.44</v>
      </c>
      <c r="AB9078">
        <v>150.44</v>
      </c>
      <c r="AC9078">
        <v>138.34</v>
      </c>
      <c r="AD9078">
        <v>0</v>
      </c>
      <c r="AE9078">
        <v>12.1</v>
      </c>
      <c r="AF9078">
        <v>0</v>
      </c>
      <c r="AG9078">
        <v>0</v>
      </c>
      <c r="AH9078">
        <v>0</v>
      </c>
      <c r="AI9078">
        <v>27.08</v>
      </c>
      <c r="AJ9078">
        <v>150.44</v>
      </c>
      <c r="AK9078">
        <v>0</v>
      </c>
      <c r="AL9078" t="s">
        <v>53</v>
      </c>
      <c r="AM9078" t="s">
        <v>53</v>
      </c>
      <c r="AN9078" t="s">
        <v>17335</v>
      </c>
      <c r="AO9078" t="s">
        <v>53</v>
      </c>
      <c r="AP9078" t="s">
        <v>53</v>
      </c>
    </row>
    <row r="9079" spans="2:42" x14ac:dyDescent="0.2">
      <c r="B9079" t="s">
        <v>44</v>
      </c>
      <c r="C9079" t="str">
        <f>HYPERLINK("https://us2.cloudbeds.com/connect/8493803454333002#/reservations/9080486849228914?display=57B6VX8WGQ&amp;reservation_id=9080486849228914", "57B6VX8WGQ")</f>
        <v>57B6VX8WGQ</v>
      </c>
      <c r="D9079" t="s">
        <v>45</v>
      </c>
      <c r="E9079" t="s">
        <v>46</v>
      </c>
      <c r="F9079" t="s">
        <v>47</v>
      </c>
      <c r="G9079" t="s">
        <v>48</v>
      </c>
      <c r="H9079" t="s">
        <v>49</v>
      </c>
      <c r="I9079" t="s">
        <v>62</v>
      </c>
      <c r="J9079" t="s">
        <v>14391</v>
      </c>
      <c r="K9079" t="s">
        <v>14371</v>
      </c>
      <c r="L9079" t="s">
        <v>53</v>
      </c>
      <c r="N9079" t="s">
        <v>17336</v>
      </c>
      <c r="P9079" t="s">
        <v>55</v>
      </c>
      <c r="R9079" t="s">
        <v>56</v>
      </c>
      <c r="T9079" t="s">
        <v>17337</v>
      </c>
      <c r="U9079" t="s">
        <v>55</v>
      </c>
      <c r="V9079">
        <v>2</v>
      </c>
      <c r="W9079">
        <v>1</v>
      </c>
      <c r="X9079">
        <v>2</v>
      </c>
      <c r="Y9079">
        <v>0</v>
      </c>
      <c r="Z9079">
        <v>2</v>
      </c>
      <c r="AA9079">
        <v>320</v>
      </c>
      <c r="AB9079">
        <v>374.9</v>
      </c>
      <c r="AC9079">
        <v>320</v>
      </c>
      <c r="AD9079">
        <v>0</v>
      </c>
      <c r="AE9079">
        <v>0</v>
      </c>
      <c r="AF9079">
        <v>0</v>
      </c>
      <c r="AG9079">
        <v>0</v>
      </c>
      <c r="AH9079">
        <v>0</v>
      </c>
      <c r="AI9079">
        <v>57.6</v>
      </c>
      <c r="AJ9079">
        <v>320</v>
      </c>
      <c r="AK9079">
        <v>-54.9</v>
      </c>
      <c r="AL9079" t="s">
        <v>53</v>
      </c>
      <c r="AM9079" t="s">
        <v>53</v>
      </c>
      <c r="AN9079" t="s">
        <v>53</v>
      </c>
      <c r="AO9079" t="s">
        <v>53</v>
      </c>
      <c r="AP9079" t="s">
        <v>53</v>
      </c>
    </row>
    <row r="9080" spans="2:42" x14ac:dyDescent="0.2">
      <c r="B9080" t="s">
        <v>44</v>
      </c>
      <c r="C9080" t="str">
        <f>HYPERLINK("https://us2.cloudbeds.com/connect/8493803454333002#/reservations/242441327034496?display=57CYCRNJNB&amp;reservation_id=242441327034496", "57CYCRNJNB")</f>
        <v>57CYCRNJNB</v>
      </c>
      <c r="D9080" t="s">
        <v>45</v>
      </c>
      <c r="E9080" t="s">
        <v>110</v>
      </c>
      <c r="F9080" t="s">
        <v>47</v>
      </c>
      <c r="G9080" t="s">
        <v>3974</v>
      </c>
      <c r="H9080" t="s">
        <v>3957</v>
      </c>
      <c r="I9080" t="s">
        <v>3975</v>
      </c>
      <c r="J9080" t="s">
        <v>14631</v>
      </c>
      <c r="K9080" t="s">
        <v>14632</v>
      </c>
      <c r="L9080" t="s">
        <v>53</v>
      </c>
      <c r="P9080" t="s">
        <v>55</v>
      </c>
      <c r="R9080" t="s">
        <v>56</v>
      </c>
      <c r="T9080" t="s">
        <v>17338</v>
      </c>
      <c r="U9080" t="s">
        <v>58</v>
      </c>
      <c r="V9080">
        <v>1</v>
      </c>
      <c r="W9080">
        <v>1</v>
      </c>
      <c r="X9080">
        <v>2</v>
      </c>
      <c r="Y9080">
        <v>0</v>
      </c>
      <c r="Z9080">
        <v>2</v>
      </c>
      <c r="AA9080">
        <v>160.11000000000001</v>
      </c>
      <c r="AB9080">
        <v>160.11000000000001</v>
      </c>
      <c r="AC9080">
        <v>139.65</v>
      </c>
      <c r="AD9080">
        <v>0</v>
      </c>
      <c r="AE9080">
        <v>20.46</v>
      </c>
      <c r="AF9080">
        <v>0</v>
      </c>
      <c r="AG9080">
        <v>0</v>
      </c>
      <c r="AH9080">
        <v>0</v>
      </c>
      <c r="AI9080">
        <v>0</v>
      </c>
      <c r="AJ9080">
        <v>160.11000000000001</v>
      </c>
      <c r="AK9080">
        <v>0</v>
      </c>
      <c r="AL9080" t="s">
        <v>53</v>
      </c>
      <c r="AM9080" t="s">
        <v>53</v>
      </c>
      <c r="AN9080" t="s">
        <v>53</v>
      </c>
      <c r="AO9080" t="s">
        <v>53</v>
      </c>
      <c r="AP9080" t="s">
        <v>53</v>
      </c>
    </row>
    <row r="9081" spans="2:42" x14ac:dyDescent="0.2">
      <c r="B9081" t="s">
        <v>44</v>
      </c>
      <c r="C9081" t="str">
        <f>HYPERLINK("https://us2.cloudbeds.com/connect/8493803454333002#/reservations/242450441605312?display=57CSEZBZ7S&amp;reservation_id=242450441605312", "57CSEZBZ7S")</f>
        <v>57CSEZBZ7S</v>
      </c>
      <c r="D9081" t="s">
        <v>45</v>
      </c>
      <c r="E9081" t="s">
        <v>113</v>
      </c>
      <c r="F9081" t="s">
        <v>61</v>
      </c>
      <c r="G9081" t="s">
        <v>48</v>
      </c>
      <c r="H9081" t="s">
        <v>3957</v>
      </c>
      <c r="I9081" t="s">
        <v>3975</v>
      </c>
      <c r="J9081" t="s">
        <v>15594</v>
      </c>
      <c r="K9081" t="s">
        <v>14656</v>
      </c>
      <c r="L9081" t="s">
        <v>53</v>
      </c>
      <c r="P9081" t="s">
        <v>55</v>
      </c>
      <c r="R9081" t="s">
        <v>56</v>
      </c>
      <c r="T9081" t="s">
        <v>17339</v>
      </c>
      <c r="U9081" t="s">
        <v>58</v>
      </c>
      <c r="V9081">
        <v>2</v>
      </c>
      <c r="W9081">
        <v>1</v>
      </c>
      <c r="X9081">
        <v>2</v>
      </c>
      <c r="Y9081">
        <v>0</v>
      </c>
      <c r="Z9081">
        <v>2</v>
      </c>
      <c r="AA9081">
        <v>0</v>
      </c>
      <c r="AB9081">
        <v>443.7</v>
      </c>
      <c r="AC9081">
        <v>387</v>
      </c>
      <c r="AD9081">
        <v>0</v>
      </c>
      <c r="AE9081">
        <v>56.7</v>
      </c>
      <c r="AF9081">
        <v>0</v>
      </c>
      <c r="AG9081">
        <v>0</v>
      </c>
      <c r="AH9081">
        <v>0</v>
      </c>
      <c r="AI9081">
        <v>0</v>
      </c>
      <c r="AJ9081">
        <v>443.7</v>
      </c>
      <c r="AK9081">
        <v>0</v>
      </c>
      <c r="AL9081" t="s">
        <v>53</v>
      </c>
      <c r="AM9081" t="s">
        <v>53</v>
      </c>
      <c r="AN9081" t="s">
        <v>17340</v>
      </c>
      <c r="AO9081" t="s">
        <v>53</v>
      </c>
      <c r="AP9081" t="s">
        <v>53</v>
      </c>
    </row>
    <row r="9082" spans="2:42" x14ac:dyDescent="0.2">
      <c r="B9082" t="s">
        <v>44</v>
      </c>
      <c r="C9082" t="str">
        <f>HYPERLINK("https://us2.cloudbeds.com/connect/8493803454333002#/reservations/9080486849233466?display=57DVPQN1R2&amp;reservation_id=9080486849233466", "57DVPQN1R2")</f>
        <v>57DVPQN1R2</v>
      </c>
      <c r="D9082" t="s">
        <v>45</v>
      </c>
      <c r="E9082" t="s">
        <v>373</v>
      </c>
      <c r="F9082" t="s">
        <v>47</v>
      </c>
      <c r="G9082" t="s">
        <v>48</v>
      </c>
      <c r="H9082" t="s">
        <v>49</v>
      </c>
      <c r="I9082" t="s">
        <v>50</v>
      </c>
      <c r="J9082" t="s">
        <v>11651</v>
      </c>
      <c r="K9082" t="s">
        <v>14806</v>
      </c>
      <c r="L9082" t="s">
        <v>53</v>
      </c>
      <c r="N9082" t="s">
        <v>17341</v>
      </c>
      <c r="P9082" t="s">
        <v>55</v>
      </c>
      <c r="R9082" t="s">
        <v>53</v>
      </c>
      <c r="T9082" t="s">
        <v>17342</v>
      </c>
      <c r="U9082" t="s">
        <v>55</v>
      </c>
      <c r="V9082">
        <v>2</v>
      </c>
      <c r="W9082">
        <v>1</v>
      </c>
      <c r="X9082">
        <v>2</v>
      </c>
      <c r="Y9082">
        <v>0</v>
      </c>
      <c r="Z9082">
        <v>2</v>
      </c>
      <c r="AA9082">
        <v>241.41</v>
      </c>
      <c r="AB9082">
        <v>241.41</v>
      </c>
      <c r="AC9082">
        <v>221.98</v>
      </c>
      <c r="AD9082">
        <v>0</v>
      </c>
      <c r="AE9082">
        <v>19.43</v>
      </c>
      <c r="AF9082">
        <v>0</v>
      </c>
      <c r="AG9082">
        <v>0</v>
      </c>
      <c r="AH9082">
        <v>0</v>
      </c>
      <c r="AI9082">
        <v>43.45</v>
      </c>
      <c r="AJ9082">
        <v>241.41</v>
      </c>
      <c r="AK9082">
        <v>0</v>
      </c>
      <c r="AL9082" t="s">
        <v>53</v>
      </c>
      <c r="AM9082" t="s">
        <v>53</v>
      </c>
      <c r="AN9082" t="s">
        <v>17343</v>
      </c>
      <c r="AO9082" t="s">
        <v>53</v>
      </c>
      <c r="AP9082" t="s">
        <v>53</v>
      </c>
    </row>
    <row r="9083" spans="2:42" x14ac:dyDescent="0.2">
      <c r="B9083" t="s">
        <v>44</v>
      </c>
      <c r="C9083" t="str">
        <f>HYPERLINK("https://us2.cloudbeds.com/connect/8493803454333002#/reservations/242499462652096?display=57E0DB72KH&amp;reservation_id=242499462652096", "57E0DB72KH")</f>
        <v>57E0DB72KH</v>
      </c>
      <c r="D9083" t="s">
        <v>45</v>
      </c>
      <c r="E9083" t="s">
        <v>138</v>
      </c>
      <c r="F9083" t="s">
        <v>70</v>
      </c>
      <c r="G9083" t="s">
        <v>3974</v>
      </c>
      <c r="H9083" t="s">
        <v>3957</v>
      </c>
      <c r="I9083" t="s">
        <v>3975</v>
      </c>
      <c r="J9083" t="s">
        <v>14631</v>
      </c>
      <c r="K9083" t="s">
        <v>17078</v>
      </c>
      <c r="L9083" t="s">
        <v>53</v>
      </c>
      <c r="P9083" t="s">
        <v>55</v>
      </c>
      <c r="R9083" t="s">
        <v>56</v>
      </c>
      <c r="T9083" t="s">
        <v>17344</v>
      </c>
      <c r="U9083" t="s">
        <v>58</v>
      </c>
      <c r="V9083">
        <v>4</v>
      </c>
      <c r="W9083">
        <v>1</v>
      </c>
      <c r="X9083">
        <v>1</v>
      </c>
      <c r="Y9083">
        <v>1</v>
      </c>
      <c r="Z9083">
        <v>2</v>
      </c>
      <c r="AA9083">
        <v>862.62</v>
      </c>
      <c r="AB9083">
        <v>862.62</v>
      </c>
      <c r="AC9083">
        <v>752.4</v>
      </c>
      <c r="AD9083">
        <v>0</v>
      </c>
      <c r="AE9083">
        <v>110.22</v>
      </c>
      <c r="AF9083">
        <v>0</v>
      </c>
      <c r="AG9083">
        <v>0</v>
      </c>
      <c r="AH9083">
        <v>0</v>
      </c>
      <c r="AI9083">
        <v>0</v>
      </c>
      <c r="AJ9083">
        <v>862.62</v>
      </c>
      <c r="AK9083">
        <v>0</v>
      </c>
      <c r="AL9083" t="s">
        <v>53</v>
      </c>
      <c r="AM9083" t="s">
        <v>53</v>
      </c>
      <c r="AN9083" t="s">
        <v>53</v>
      </c>
      <c r="AO9083" t="s">
        <v>53</v>
      </c>
      <c r="AP9083" t="s">
        <v>53</v>
      </c>
    </row>
    <row r="9084" spans="2:42" x14ac:dyDescent="0.2">
      <c r="B9084" t="s">
        <v>44</v>
      </c>
      <c r="C9084" t="str">
        <f>HYPERLINK("https://us2.cloudbeds.com/connect/8493803454333002#/reservations/9080486849233732?display=57E5NQ0HU1&amp;reservation_id=9080486849233732", "57E5NQ0HU1")</f>
        <v>57E5NQ0HU1</v>
      </c>
      <c r="D9084" t="s">
        <v>45</v>
      </c>
      <c r="E9084" t="s">
        <v>138</v>
      </c>
      <c r="F9084" t="s">
        <v>70</v>
      </c>
      <c r="G9084" t="s">
        <v>48</v>
      </c>
      <c r="H9084" t="s">
        <v>49</v>
      </c>
      <c r="I9084" t="s">
        <v>50</v>
      </c>
      <c r="J9084" t="s">
        <v>15231</v>
      </c>
      <c r="K9084" t="s">
        <v>15075</v>
      </c>
      <c r="L9084" t="s">
        <v>53</v>
      </c>
      <c r="N9084" t="s">
        <v>17345</v>
      </c>
      <c r="P9084" t="s">
        <v>55</v>
      </c>
      <c r="R9084" t="s">
        <v>53</v>
      </c>
      <c r="T9084" t="s">
        <v>17346</v>
      </c>
      <c r="U9084" t="s">
        <v>55</v>
      </c>
      <c r="V9084">
        <v>1</v>
      </c>
      <c r="W9084">
        <v>1</v>
      </c>
      <c r="X9084">
        <v>2</v>
      </c>
      <c r="Y9084">
        <v>0</v>
      </c>
      <c r="Z9084">
        <v>2</v>
      </c>
      <c r="AA9084">
        <v>116.29</v>
      </c>
      <c r="AB9084">
        <v>116.29</v>
      </c>
      <c r="AC9084">
        <v>106.94</v>
      </c>
      <c r="AD9084">
        <v>0</v>
      </c>
      <c r="AE9084">
        <v>9.35</v>
      </c>
      <c r="AF9084">
        <v>0</v>
      </c>
      <c r="AG9084">
        <v>0</v>
      </c>
      <c r="AH9084">
        <v>0</v>
      </c>
      <c r="AI9084">
        <v>20.93</v>
      </c>
      <c r="AJ9084">
        <v>116.29</v>
      </c>
      <c r="AK9084">
        <v>0</v>
      </c>
      <c r="AL9084" t="s">
        <v>53</v>
      </c>
      <c r="AM9084" t="s">
        <v>53</v>
      </c>
      <c r="AN9084" t="s">
        <v>53</v>
      </c>
      <c r="AO9084" t="s">
        <v>53</v>
      </c>
      <c r="AP9084" t="s">
        <v>53</v>
      </c>
    </row>
    <row r="9085" spans="2:42" x14ac:dyDescent="0.2">
      <c r="B9085" t="s">
        <v>44</v>
      </c>
      <c r="C9085" t="str">
        <f>HYPERLINK("https://us2.cloudbeds.com/connect/8493803454333002#/reservations/9080486849238061?display=57HG4RS4AA&amp;reservation_id=9080486849238061", "57HG4RS4AA")</f>
        <v>57HG4RS4AA</v>
      </c>
      <c r="D9085" t="s">
        <v>45</v>
      </c>
      <c r="E9085" t="s">
        <v>14695</v>
      </c>
      <c r="F9085" t="s">
        <v>47</v>
      </c>
      <c r="G9085" t="s">
        <v>48</v>
      </c>
      <c r="H9085" t="s">
        <v>49</v>
      </c>
      <c r="I9085" t="s">
        <v>50</v>
      </c>
      <c r="J9085" t="s">
        <v>15735</v>
      </c>
      <c r="K9085" t="s">
        <v>15738</v>
      </c>
      <c r="L9085" t="s">
        <v>53</v>
      </c>
      <c r="N9085" t="s">
        <v>17347</v>
      </c>
      <c r="P9085" t="s">
        <v>55</v>
      </c>
      <c r="R9085" t="s">
        <v>53</v>
      </c>
      <c r="T9085" t="s">
        <v>17348</v>
      </c>
      <c r="U9085" t="s">
        <v>55</v>
      </c>
      <c r="V9085">
        <v>2</v>
      </c>
      <c r="W9085">
        <v>1</v>
      </c>
      <c r="X9085">
        <v>1</v>
      </c>
      <c r="Y9085">
        <v>0</v>
      </c>
      <c r="Z9085">
        <v>1</v>
      </c>
      <c r="AA9085">
        <v>423.63</v>
      </c>
      <c r="AB9085">
        <v>423.63</v>
      </c>
      <c r="AC9085">
        <v>389.55</v>
      </c>
      <c r="AD9085">
        <v>0</v>
      </c>
      <c r="AE9085">
        <v>34.08</v>
      </c>
      <c r="AF9085">
        <v>0</v>
      </c>
      <c r="AG9085">
        <v>0</v>
      </c>
      <c r="AH9085">
        <v>0</v>
      </c>
      <c r="AI9085">
        <v>76.25</v>
      </c>
      <c r="AJ9085">
        <v>423.63</v>
      </c>
      <c r="AK9085">
        <v>0</v>
      </c>
      <c r="AL9085" t="s">
        <v>53</v>
      </c>
      <c r="AM9085" t="s">
        <v>53</v>
      </c>
      <c r="AN9085" t="s">
        <v>53</v>
      </c>
      <c r="AO9085" t="s">
        <v>53</v>
      </c>
      <c r="AP9085" t="s">
        <v>53</v>
      </c>
    </row>
    <row r="9086" spans="2:42" x14ac:dyDescent="0.2">
      <c r="B9086" t="s">
        <v>44</v>
      </c>
      <c r="C9086" t="str">
        <f>HYPERLINK("https://us2.cloudbeds.com/connect/8493803454333002#/reservations/242648703668352?display=57HGVQ5M7P&amp;reservation_id=242648703668352", "57HGVQ5M7P")</f>
        <v>57HGVQ5M7P</v>
      </c>
      <c r="D9086" t="s">
        <v>45</v>
      </c>
      <c r="E9086" t="s">
        <v>381</v>
      </c>
      <c r="F9086" t="s">
        <v>47</v>
      </c>
      <c r="G9086" t="s">
        <v>4520</v>
      </c>
      <c r="H9086" t="s">
        <v>3957</v>
      </c>
      <c r="I9086" t="s">
        <v>3989</v>
      </c>
      <c r="J9086" t="s">
        <v>15231</v>
      </c>
      <c r="K9086" t="s">
        <v>15075</v>
      </c>
      <c r="L9086" t="s">
        <v>53</v>
      </c>
      <c r="P9086" t="s">
        <v>55</v>
      </c>
      <c r="R9086" t="s">
        <v>56</v>
      </c>
      <c r="T9086" t="s">
        <v>17349</v>
      </c>
      <c r="U9086" t="s">
        <v>58</v>
      </c>
      <c r="V9086">
        <v>1</v>
      </c>
      <c r="W9086">
        <v>1</v>
      </c>
      <c r="X9086">
        <v>1</v>
      </c>
      <c r="Y9086">
        <v>0</v>
      </c>
      <c r="Z9086">
        <v>1</v>
      </c>
      <c r="AA9086">
        <v>162.01</v>
      </c>
      <c r="AB9086">
        <v>162.01</v>
      </c>
      <c r="AC9086">
        <v>141.30000000000001</v>
      </c>
      <c r="AD9086">
        <v>0</v>
      </c>
      <c r="AE9086">
        <v>20.71</v>
      </c>
      <c r="AF9086">
        <v>0</v>
      </c>
      <c r="AG9086">
        <v>0</v>
      </c>
      <c r="AH9086">
        <v>0</v>
      </c>
      <c r="AI9086">
        <v>0</v>
      </c>
      <c r="AJ9086">
        <v>162.01</v>
      </c>
      <c r="AK9086">
        <v>0</v>
      </c>
      <c r="AL9086" t="s">
        <v>53</v>
      </c>
      <c r="AM9086" t="s">
        <v>53</v>
      </c>
      <c r="AN9086" t="s">
        <v>17350</v>
      </c>
      <c r="AO9086" t="s">
        <v>53</v>
      </c>
      <c r="AP9086" t="s">
        <v>53</v>
      </c>
    </row>
    <row r="9087" spans="2:42" x14ac:dyDescent="0.2">
      <c r="B9087" t="s">
        <v>44</v>
      </c>
      <c r="C9087" t="str">
        <f>HYPERLINK("https://us2.cloudbeds.com/connect/8493803454333002#/reservations/9080486849239218?display=57X1UJY94E&amp;reservation_id=9080486849239218", "57X1UJY94E")</f>
        <v>57X1UJY94E</v>
      </c>
      <c r="D9087" t="s">
        <v>10291</v>
      </c>
      <c r="E9087" t="s">
        <v>128</v>
      </c>
      <c r="F9087" t="s">
        <v>86</v>
      </c>
      <c r="G9087" t="s">
        <v>48</v>
      </c>
      <c r="H9087" t="s">
        <v>49</v>
      </c>
      <c r="I9087" t="s">
        <v>8964</v>
      </c>
      <c r="J9087" t="s">
        <v>17351</v>
      </c>
      <c r="K9087" t="s">
        <v>16570</v>
      </c>
      <c r="L9087" t="s">
        <v>53</v>
      </c>
      <c r="N9087" t="s">
        <v>17352</v>
      </c>
      <c r="P9087" t="s">
        <v>55</v>
      </c>
      <c r="R9087" t="s">
        <v>53</v>
      </c>
      <c r="T9087" t="s">
        <v>17353</v>
      </c>
      <c r="U9087" t="s">
        <v>55</v>
      </c>
      <c r="V9087">
        <v>1</v>
      </c>
      <c r="W9087">
        <v>1</v>
      </c>
      <c r="X9087">
        <v>3</v>
      </c>
      <c r="Y9087">
        <v>0</v>
      </c>
      <c r="Z9087">
        <v>3</v>
      </c>
      <c r="AA9087">
        <v>0</v>
      </c>
      <c r="AB9087">
        <v>0</v>
      </c>
      <c r="AC9087">
        <v>224</v>
      </c>
      <c r="AD9087">
        <v>0</v>
      </c>
      <c r="AE9087">
        <v>0</v>
      </c>
      <c r="AF9087">
        <v>0</v>
      </c>
      <c r="AG9087">
        <v>0</v>
      </c>
      <c r="AH9087">
        <v>0</v>
      </c>
      <c r="AI9087">
        <v>33.6</v>
      </c>
      <c r="AJ9087">
        <v>224</v>
      </c>
      <c r="AK9087">
        <v>224</v>
      </c>
      <c r="AL9087" t="s">
        <v>53</v>
      </c>
      <c r="AM9087" t="s">
        <v>53</v>
      </c>
      <c r="AN9087" t="s">
        <v>53</v>
      </c>
      <c r="AO9087" t="s">
        <v>53</v>
      </c>
      <c r="AP9087" t="s">
        <v>53</v>
      </c>
    </row>
    <row r="9088" spans="2:42" x14ac:dyDescent="0.2">
      <c r="B9088" t="s">
        <v>44</v>
      </c>
      <c r="C9088" t="str">
        <f>HYPERLINK("https://us2.cloudbeds.com/connect/8493803454333002#/reservations/9080486849239735?display=57X9VE2AQ6&amp;reservation_id=9080486849239735", "57X9VE2AQ6")</f>
        <v>57X9VE2AQ6</v>
      </c>
      <c r="D9088" t="s">
        <v>10291</v>
      </c>
      <c r="E9088" t="s">
        <v>110</v>
      </c>
      <c r="F9088" t="s">
        <v>47</v>
      </c>
      <c r="G9088" t="s">
        <v>48</v>
      </c>
      <c r="H9088" t="s">
        <v>49</v>
      </c>
      <c r="I9088" t="s">
        <v>50</v>
      </c>
      <c r="J9088" t="s">
        <v>17354</v>
      </c>
      <c r="K9088" t="s">
        <v>17355</v>
      </c>
      <c r="L9088" t="s">
        <v>53</v>
      </c>
      <c r="N9088" t="s">
        <v>17356</v>
      </c>
      <c r="P9088" t="s">
        <v>55</v>
      </c>
      <c r="R9088" t="s">
        <v>53</v>
      </c>
      <c r="T9088" t="s">
        <v>17357</v>
      </c>
      <c r="U9088" t="s">
        <v>55</v>
      </c>
      <c r="V9088">
        <v>1</v>
      </c>
      <c r="W9088">
        <v>1</v>
      </c>
      <c r="X9088">
        <v>2</v>
      </c>
      <c r="Y9088">
        <v>0</v>
      </c>
      <c r="Z9088">
        <v>2</v>
      </c>
      <c r="AA9088">
        <v>115.94</v>
      </c>
      <c r="AB9088">
        <v>0</v>
      </c>
      <c r="AC9088">
        <v>106.61</v>
      </c>
      <c r="AD9088">
        <v>0</v>
      </c>
      <c r="AE9088">
        <v>9.33</v>
      </c>
      <c r="AF9088">
        <v>0</v>
      </c>
      <c r="AG9088">
        <v>0</v>
      </c>
      <c r="AH9088">
        <v>0</v>
      </c>
      <c r="AI9088">
        <v>20.87</v>
      </c>
      <c r="AJ9088">
        <v>115.94</v>
      </c>
      <c r="AK9088">
        <v>115.94</v>
      </c>
      <c r="AL9088" t="s">
        <v>53</v>
      </c>
      <c r="AM9088" t="s">
        <v>53</v>
      </c>
      <c r="AN9088" t="s">
        <v>53</v>
      </c>
      <c r="AO9088" t="s">
        <v>53</v>
      </c>
      <c r="AP9088" t="s">
        <v>53</v>
      </c>
    </row>
    <row r="9089" spans="2:42" x14ac:dyDescent="0.2">
      <c r="B9089" t="s">
        <v>44</v>
      </c>
      <c r="C9089" t="str">
        <f>HYPERLINK("https://us2.cloudbeds.com/connect/8493803454333002#/reservations/242717189267584?display=57J3WP0SA0&amp;reservation_id=242717189267584", "57J3WP0SA0")</f>
        <v>57J3WP0SA0</v>
      </c>
      <c r="D9089" t="s">
        <v>10291</v>
      </c>
      <c r="E9089" t="s">
        <v>165</v>
      </c>
      <c r="F9089" t="s">
        <v>61</v>
      </c>
      <c r="G9089" t="s">
        <v>3974</v>
      </c>
      <c r="H9089" t="s">
        <v>3957</v>
      </c>
      <c r="I9089" t="s">
        <v>3975</v>
      </c>
      <c r="J9089" t="s">
        <v>15747</v>
      </c>
      <c r="K9089" t="s">
        <v>15025</v>
      </c>
      <c r="L9089" t="s">
        <v>53</v>
      </c>
      <c r="P9089" t="s">
        <v>55</v>
      </c>
      <c r="R9089" t="s">
        <v>56</v>
      </c>
      <c r="T9089" t="s">
        <v>17358</v>
      </c>
      <c r="U9089" t="s">
        <v>58</v>
      </c>
      <c r="V9089">
        <v>4</v>
      </c>
      <c r="W9089">
        <v>1</v>
      </c>
      <c r="X9089">
        <v>1</v>
      </c>
      <c r="Y9089">
        <v>0</v>
      </c>
      <c r="Z9089">
        <v>1</v>
      </c>
      <c r="AA9089">
        <v>698.15</v>
      </c>
      <c r="AB9089">
        <v>698.15</v>
      </c>
      <c r="AC9089">
        <v>608.95000000000005</v>
      </c>
      <c r="AD9089">
        <v>0</v>
      </c>
      <c r="AE9089">
        <v>89.2</v>
      </c>
      <c r="AF9089">
        <v>0</v>
      </c>
      <c r="AG9089">
        <v>0</v>
      </c>
      <c r="AH9089">
        <v>0</v>
      </c>
      <c r="AI9089">
        <v>0</v>
      </c>
      <c r="AJ9089">
        <v>698.15</v>
      </c>
      <c r="AK9089">
        <v>0</v>
      </c>
      <c r="AL9089" t="s">
        <v>53</v>
      </c>
      <c r="AM9089" t="s">
        <v>53</v>
      </c>
      <c r="AN9089" t="s">
        <v>53</v>
      </c>
      <c r="AO9089" t="s">
        <v>53</v>
      </c>
      <c r="AP9089" t="s">
        <v>53</v>
      </c>
    </row>
    <row r="9090" spans="2:42" x14ac:dyDescent="0.2">
      <c r="B9090" t="s">
        <v>44</v>
      </c>
      <c r="C9090" t="str">
        <f>HYPERLINK("https://us2.cloudbeds.com/connect/8493803454333002#/reservations/242760367767680?display=57K4E2A9RU&amp;reservation_id=242760367767680", "57K4E2A9RU")</f>
        <v>57K4E2A9RU</v>
      </c>
      <c r="D9090" t="s">
        <v>45</v>
      </c>
      <c r="E9090" t="s">
        <v>213</v>
      </c>
      <c r="F9090" t="s">
        <v>86</v>
      </c>
      <c r="G9090" t="s">
        <v>4520</v>
      </c>
      <c r="H9090" t="s">
        <v>3957</v>
      </c>
      <c r="I9090" t="s">
        <v>3958</v>
      </c>
      <c r="J9090" t="s">
        <v>14637</v>
      </c>
      <c r="K9090" t="s">
        <v>15231</v>
      </c>
      <c r="L9090" t="s">
        <v>53</v>
      </c>
      <c r="P9090" t="s">
        <v>55</v>
      </c>
      <c r="R9090" t="s">
        <v>56</v>
      </c>
      <c r="T9090" t="s">
        <v>17359</v>
      </c>
      <c r="U9090" t="s">
        <v>58</v>
      </c>
      <c r="V9090">
        <v>1</v>
      </c>
      <c r="W9090">
        <v>1</v>
      </c>
      <c r="X9090">
        <v>1</v>
      </c>
      <c r="Y9090">
        <v>0</v>
      </c>
      <c r="Z9090">
        <v>1</v>
      </c>
      <c r="AA9090">
        <v>234.23</v>
      </c>
      <c r="AB9090">
        <v>234.23</v>
      </c>
      <c r="AC9090">
        <v>204.3</v>
      </c>
      <c r="AD9090">
        <v>0</v>
      </c>
      <c r="AE9090">
        <v>29.93</v>
      </c>
      <c r="AF9090">
        <v>0</v>
      </c>
      <c r="AG9090">
        <v>0</v>
      </c>
      <c r="AH9090">
        <v>0</v>
      </c>
      <c r="AI9090">
        <v>0</v>
      </c>
      <c r="AJ9090">
        <v>234.23</v>
      </c>
      <c r="AK9090">
        <v>0</v>
      </c>
      <c r="AL9090" t="s">
        <v>53</v>
      </c>
      <c r="AM9090" t="s">
        <v>53</v>
      </c>
      <c r="AN9090" t="s">
        <v>53</v>
      </c>
      <c r="AO9090" t="s">
        <v>53</v>
      </c>
      <c r="AP9090" t="s">
        <v>53</v>
      </c>
    </row>
    <row r="9091" spans="2:42" x14ac:dyDescent="0.2">
      <c r="B9091" t="s">
        <v>44</v>
      </c>
      <c r="C9091" t="str">
        <f>HYPERLINK("https://us2.cloudbeds.com/connect/8493803454333002#/reservations/242761129128064?display=57K50H9QW7&amp;reservation_id=242761129128064", "57K50H9QW7")</f>
        <v>57K50H9QW7</v>
      </c>
      <c r="D9091" t="s">
        <v>45</v>
      </c>
      <c r="E9091" t="s">
        <v>98</v>
      </c>
      <c r="F9091" t="s">
        <v>86</v>
      </c>
      <c r="G9091" t="s">
        <v>4520</v>
      </c>
      <c r="H9091" t="s">
        <v>3957</v>
      </c>
      <c r="I9091" t="s">
        <v>3958</v>
      </c>
      <c r="J9091" t="s">
        <v>14637</v>
      </c>
      <c r="K9091" t="s">
        <v>15231</v>
      </c>
      <c r="L9091" t="s">
        <v>53</v>
      </c>
      <c r="P9091" t="s">
        <v>55</v>
      </c>
      <c r="R9091" t="s">
        <v>56</v>
      </c>
      <c r="T9091" t="s">
        <v>17360</v>
      </c>
      <c r="U9091" t="s">
        <v>58</v>
      </c>
      <c r="V9091">
        <v>1</v>
      </c>
      <c r="W9091">
        <v>1</v>
      </c>
      <c r="X9091">
        <v>1</v>
      </c>
      <c r="Y9091">
        <v>0</v>
      </c>
      <c r="Z9091">
        <v>1</v>
      </c>
      <c r="AA9091">
        <v>234.23</v>
      </c>
      <c r="AB9091">
        <v>234.23</v>
      </c>
      <c r="AC9091">
        <v>204.3</v>
      </c>
      <c r="AD9091">
        <v>0</v>
      </c>
      <c r="AE9091">
        <v>29.93</v>
      </c>
      <c r="AF9091">
        <v>0</v>
      </c>
      <c r="AG9091">
        <v>0</v>
      </c>
      <c r="AH9091">
        <v>0</v>
      </c>
      <c r="AI9091">
        <v>0</v>
      </c>
      <c r="AJ9091">
        <v>234.23</v>
      </c>
      <c r="AK9091">
        <v>0</v>
      </c>
      <c r="AL9091" t="s">
        <v>53</v>
      </c>
      <c r="AM9091" t="s">
        <v>53</v>
      </c>
      <c r="AN9091" t="s">
        <v>53</v>
      </c>
      <c r="AO9091" t="s">
        <v>53</v>
      </c>
      <c r="AP9091" t="s">
        <v>53</v>
      </c>
    </row>
    <row r="9092" spans="2:42" x14ac:dyDescent="0.2">
      <c r="B9092" t="s">
        <v>44</v>
      </c>
      <c r="C9092" t="str">
        <f>HYPERLINK("https://us2.cloudbeds.com/connect/8493803454333002#/reservations/9080486849243671?display=57KCYJ0QVJ&amp;reservation_id=9080486849243671", "57KCYJ0QVJ")</f>
        <v>57KCYJ0QVJ</v>
      </c>
      <c r="D9092" t="s">
        <v>45</v>
      </c>
      <c r="E9092" t="s">
        <v>213</v>
      </c>
      <c r="F9092" t="s">
        <v>86</v>
      </c>
      <c r="G9092" t="s">
        <v>48</v>
      </c>
      <c r="H9092" t="s">
        <v>49</v>
      </c>
      <c r="I9092" t="s">
        <v>50</v>
      </c>
      <c r="J9092" t="s">
        <v>15625</v>
      </c>
      <c r="K9092" t="s">
        <v>14632</v>
      </c>
      <c r="L9092" t="s">
        <v>53</v>
      </c>
      <c r="N9092" t="s">
        <v>17361</v>
      </c>
      <c r="P9092" t="s">
        <v>55</v>
      </c>
      <c r="R9092" t="s">
        <v>53</v>
      </c>
      <c r="T9092" t="s">
        <v>17362</v>
      </c>
      <c r="U9092" t="s">
        <v>55</v>
      </c>
      <c r="V9092">
        <v>3</v>
      </c>
      <c r="W9092">
        <v>1</v>
      </c>
      <c r="X9092">
        <v>2</v>
      </c>
      <c r="Y9092">
        <v>0</v>
      </c>
      <c r="Z9092">
        <v>2</v>
      </c>
      <c r="AA9092">
        <v>498.39</v>
      </c>
      <c r="AB9092">
        <v>521.32000000000005</v>
      </c>
      <c r="AC9092">
        <v>458.29</v>
      </c>
      <c r="AD9092">
        <v>20</v>
      </c>
      <c r="AE9092">
        <v>43.03</v>
      </c>
      <c r="AF9092">
        <v>0</v>
      </c>
      <c r="AG9092">
        <v>0</v>
      </c>
      <c r="AH9092">
        <v>0</v>
      </c>
      <c r="AI9092">
        <v>93.84</v>
      </c>
      <c r="AJ9092">
        <v>521.32000000000005</v>
      </c>
      <c r="AK9092">
        <v>0</v>
      </c>
      <c r="AL9092" t="s">
        <v>53</v>
      </c>
      <c r="AM9092" t="s">
        <v>53</v>
      </c>
      <c r="AN9092" t="s">
        <v>17363</v>
      </c>
      <c r="AO9092" t="s">
        <v>53</v>
      </c>
      <c r="AP9092" t="s">
        <v>53</v>
      </c>
    </row>
    <row r="9093" spans="2:42" x14ac:dyDescent="0.2">
      <c r="B9093" t="s">
        <v>44</v>
      </c>
      <c r="C9093" t="str">
        <f>HYPERLINK("https://us2.cloudbeds.com/connect/8493803454333002#/reservations/9080486849243795?display=57KF4ZJDG5&amp;reservation_id=9080486849243795", "57KF4ZJDG5")</f>
        <v>57KF4ZJDG5</v>
      </c>
      <c r="D9093" t="s">
        <v>45</v>
      </c>
      <c r="E9093" t="s">
        <v>121</v>
      </c>
      <c r="F9093" t="s">
        <v>86</v>
      </c>
      <c r="G9093" t="s">
        <v>48</v>
      </c>
      <c r="H9093" t="s">
        <v>49</v>
      </c>
      <c r="I9093" t="s">
        <v>8964</v>
      </c>
      <c r="J9093" t="s">
        <v>14637</v>
      </c>
      <c r="K9093" t="s">
        <v>15231</v>
      </c>
      <c r="L9093" t="s">
        <v>53</v>
      </c>
      <c r="N9093" t="s">
        <v>17364</v>
      </c>
      <c r="P9093" t="s">
        <v>55</v>
      </c>
      <c r="R9093" t="s">
        <v>53</v>
      </c>
      <c r="T9093" t="s">
        <v>17365</v>
      </c>
      <c r="U9093" t="s">
        <v>55</v>
      </c>
      <c r="V9093">
        <v>1</v>
      </c>
      <c r="W9093">
        <v>1</v>
      </c>
      <c r="X9093">
        <v>2</v>
      </c>
      <c r="Y9093">
        <v>0</v>
      </c>
      <c r="Z9093">
        <v>2</v>
      </c>
      <c r="AA9093">
        <v>0</v>
      </c>
      <c r="AB9093">
        <v>0</v>
      </c>
      <c r="AC9093">
        <v>261</v>
      </c>
      <c r="AD9093">
        <v>0</v>
      </c>
      <c r="AE9093">
        <v>0</v>
      </c>
      <c r="AF9093">
        <v>0</v>
      </c>
      <c r="AG9093">
        <v>0</v>
      </c>
      <c r="AH9093">
        <v>0</v>
      </c>
      <c r="AI9093">
        <v>39.15</v>
      </c>
      <c r="AJ9093">
        <v>261</v>
      </c>
      <c r="AK9093">
        <v>261</v>
      </c>
      <c r="AL9093" t="s">
        <v>53</v>
      </c>
      <c r="AM9093" t="s">
        <v>53</v>
      </c>
      <c r="AN9093" t="s">
        <v>17366</v>
      </c>
      <c r="AO9093" t="s">
        <v>53</v>
      </c>
      <c r="AP9093" t="s">
        <v>53</v>
      </c>
    </row>
    <row r="9094" spans="2:42" x14ac:dyDescent="0.2">
      <c r="B9094" t="s">
        <v>44</v>
      </c>
      <c r="C9094" t="str">
        <f>HYPERLINK("https://us2.cloudbeds.com/connect/8493803454333002#/reservations/242806625407169?display=57Y781W9W6&amp;reservation_id=242806625407169", "57Y781W9W6")</f>
        <v>57Y781W9W6</v>
      </c>
      <c r="D9094" t="s">
        <v>45</v>
      </c>
      <c r="E9094" t="s">
        <v>487</v>
      </c>
      <c r="F9094" t="s">
        <v>61</v>
      </c>
      <c r="G9094" t="s">
        <v>48</v>
      </c>
      <c r="H9094" t="s">
        <v>3957</v>
      </c>
      <c r="I9094" t="s">
        <v>3975</v>
      </c>
      <c r="J9094" t="s">
        <v>15231</v>
      </c>
      <c r="K9094" t="s">
        <v>15075</v>
      </c>
      <c r="L9094" t="s">
        <v>53</v>
      </c>
      <c r="P9094" t="s">
        <v>55</v>
      </c>
      <c r="R9094" t="s">
        <v>56</v>
      </c>
      <c r="T9094" t="s">
        <v>17367</v>
      </c>
      <c r="U9094" t="s">
        <v>58</v>
      </c>
      <c r="V9094">
        <v>1</v>
      </c>
      <c r="W9094">
        <v>1</v>
      </c>
      <c r="X9094">
        <v>2</v>
      </c>
      <c r="Y9094">
        <v>0</v>
      </c>
      <c r="Z9094">
        <v>2</v>
      </c>
      <c r="AA9094">
        <v>233.89</v>
      </c>
      <c r="AB9094">
        <v>233.89</v>
      </c>
      <c r="AC9094">
        <v>204</v>
      </c>
      <c r="AD9094">
        <v>0</v>
      </c>
      <c r="AE9094">
        <v>29.89</v>
      </c>
      <c r="AF9094">
        <v>0</v>
      </c>
      <c r="AG9094">
        <v>0</v>
      </c>
      <c r="AH9094">
        <v>0</v>
      </c>
      <c r="AI9094">
        <v>0</v>
      </c>
      <c r="AJ9094">
        <v>233.89</v>
      </c>
      <c r="AK9094">
        <v>0</v>
      </c>
      <c r="AL9094" t="s">
        <v>53</v>
      </c>
      <c r="AM9094" t="s">
        <v>53</v>
      </c>
      <c r="AN9094" t="s">
        <v>17368</v>
      </c>
      <c r="AO9094" t="s">
        <v>53</v>
      </c>
      <c r="AP9094" t="s">
        <v>53</v>
      </c>
    </row>
    <row r="9095" spans="2:42" x14ac:dyDescent="0.2">
      <c r="B9095" t="s">
        <v>44</v>
      </c>
      <c r="C9095" t="str">
        <f>HYPERLINK("https://us2.cloudbeds.com/connect/8493803454333002#/reservations/9080486849244977?display=57Y8KCBPJ0&amp;reservation_id=9080486849244977", "57Y8KCBPJ0")</f>
        <v>57Y8KCBPJ0</v>
      </c>
      <c r="D9095" t="s">
        <v>45</v>
      </c>
      <c r="E9095" t="s">
        <v>69</v>
      </c>
      <c r="F9095" t="s">
        <v>70</v>
      </c>
      <c r="G9095" t="s">
        <v>48</v>
      </c>
      <c r="H9095" t="s">
        <v>49</v>
      </c>
      <c r="I9095" t="s">
        <v>50</v>
      </c>
      <c r="J9095" t="s">
        <v>17289</v>
      </c>
      <c r="K9095" t="s">
        <v>14631</v>
      </c>
      <c r="L9095" t="s">
        <v>53</v>
      </c>
      <c r="N9095" t="s">
        <v>17369</v>
      </c>
      <c r="P9095" t="s">
        <v>55</v>
      </c>
      <c r="R9095" t="s">
        <v>53</v>
      </c>
      <c r="T9095" t="s">
        <v>17370</v>
      </c>
      <c r="U9095" t="s">
        <v>55</v>
      </c>
      <c r="V9095">
        <v>1</v>
      </c>
      <c r="W9095">
        <v>1</v>
      </c>
      <c r="X9095">
        <v>2</v>
      </c>
      <c r="Y9095">
        <v>0</v>
      </c>
      <c r="Z9095">
        <v>2</v>
      </c>
      <c r="AA9095">
        <v>99.83</v>
      </c>
      <c r="AB9095">
        <v>99.83</v>
      </c>
      <c r="AC9095">
        <v>91.8</v>
      </c>
      <c r="AD9095">
        <v>0</v>
      </c>
      <c r="AE9095">
        <v>8.0299999999999994</v>
      </c>
      <c r="AF9095">
        <v>0</v>
      </c>
      <c r="AG9095">
        <v>0</v>
      </c>
      <c r="AH9095">
        <v>0</v>
      </c>
      <c r="AI9095">
        <v>17.97</v>
      </c>
      <c r="AJ9095">
        <v>99.83</v>
      </c>
      <c r="AK9095">
        <v>0</v>
      </c>
      <c r="AL9095" t="s">
        <v>53</v>
      </c>
      <c r="AM9095" t="s">
        <v>53</v>
      </c>
      <c r="AN9095" t="s">
        <v>53</v>
      </c>
      <c r="AO9095" t="s">
        <v>53</v>
      </c>
      <c r="AP9095" t="s">
        <v>53</v>
      </c>
    </row>
    <row r="9096" spans="2:42" x14ac:dyDescent="0.2">
      <c r="B9096" t="s">
        <v>44</v>
      </c>
      <c r="C9096" t="str">
        <f>HYPERLINK("https://us2.cloudbeds.com/connect/8493803454333002#/reservations/242886683451585?display=57N37Z0RHG&amp;reservation_id=242886683451585", "57N37Z0RHG")</f>
        <v>57N37Z0RHG</v>
      </c>
      <c r="D9096" t="s">
        <v>45</v>
      </c>
      <c r="E9096" t="s">
        <v>185</v>
      </c>
      <c r="F9096" t="s">
        <v>47</v>
      </c>
      <c r="G9096" t="s">
        <v>48</v>
      </c>
      <c r="H9096" t="s">
        <v>3957</v>
      </c>
      <c r="I9096" t="s">
        <v>3975</v>
      </c>
      <c r="J9096" t="s">
        <v>15625</v>
      </c>
      <c r="K9096" t="s">
        <v>14631</v>
      </c>
      <c r="L9096" t="s">
        <v>53</v>
      </c>
      <c r="P9096" t="s">
        <v>55</v>
      </c>
      <c r="R9096" t="s">
        <v>56</v>
      </c>
      <c r="T9096" t="s">
        <v>17371</v>
      </c>
      <c r="U9096" t="s">
        <v>58</v>
      </c>
      <c r="V9096">
        <v>2</v>
      </c>
      <c r="W9096">
        <v>1</v>
      </c>
      <c r="X9096">
        <v>2</v>
      </c>
      <c r="Y9096">
        <v>0</v>
      </c>
      <c r="Z9096">
        <v>2</v>
      </c>
      <c r="AA9096">
        <v>334.79</v>
      </c>
      <c r="AB9096">
        <v>334.79</v>
      </c>
      <c r="AC9096">
        <v>292</v>
      </c>
      <c r="AD9096">
        <v>0</v>
      </c>
      <c r="AE9096">
        <v>42.79</v>
      </c>
      <c r="AF9096">
        <v>0</v>
      </c>
      <c r="AG9096">
        <v>0</v>
      </c>
      <c r="AH9096">
        <v>0</v>
      </c>
      <c r="AI9096">
        <v>0</v>
      </c>
      <c r="AJ9096">
        <v>334.79</v>
      </c>
      <c r="AK9096">
        <v>0</v>
      </c>
      <c r="AL9096" t="s">
        <v>53</v>
      </c>
      <c r="AM9096" t="s">
        <v>53</v>
      </c>
      <c r="AN9096" t="s">
        <v>53</v>
      </c>
      <c r="AO9096" t="s">
        <v>53</v>
      </c>
      <c r="AP9096" t="s">
        <v>53</v>
      </c>
    </row>
    <row r="9097" spans="2:42" x14ac:dyDescent="0.2">
      <c r="B9097" t="s">
        <v>44</v>
      </c>
      <c r="C9097" t="str">
        <f>HYPERLINK("https://us2.cloudbeds.com/connect/8493803454333002#/reservations/9080486849252094?display=57QGR37MGV&amp;reservation_id=9080486849252094", "57QGR37MGV")</f>
        <v>57QGR37MGV</v>
      </c>
      <c r="D9097" t="s">
        <v>45</v>
      </c>
      <c r="E9097" t="s">
        <v>305</v>
      </c>
      <c r="F9097" t="s">
        <v>61</v>
      </c>
      <c r="G9097" t="s">
        <v>48</v>
      </c>
      <c r="H9097" t="s">
        <v>49</v>
      </c>
      <c r="I9097" t="s">
        <v>50</v>
      </c>
      <c r="J9097" t="s">
        <v>15231</v>
      </c>
      <c r="K9097" t="s">
        <v>15735</v>
      </c>
      <c r="L9097" t="s">
        <v>53</v>
      </c>
      <c r="N9097" t="s">
        <v>17372</v>
      </c>
      <c r="P9097" t="s">
        <v>55</v>
      </c>
      <c r="R9097" t="s">
        <v>53</v>
      </c>
      <c r="T9097" t="s">
        <v>17373</v>
      </c>
      <c r="U9097" t="s">
        <v>55</v>
      </c>
      <c r="V9097">
        <v>2</v>
      </c>
      <c r="W9097">
        <v>1</v>
      </c>
      <c r="X9097">
        <v>1</v>
      </c>
      <c r="Y9097">
        <v>0</v>
      </c>
      <c r="Z9097">
        <v>1</v>
      </c>
      <c r="AA9097">
        <v>364.07</v>
      </c>
      <c r="AB9097">
        <v>364.07</v>
      </c>
      <c r="AC9097">
        <v>334.77</v>
      </c>
      <c r="AD9097">
        <v>0</v>
      </c>
      <c r="AE9097">
        <v>29.3</v>
      </c>
      <c r="AF9097">
        <v>0</v>
      </c>
      <c r="AG9097">
        <v>0</v>
      </c>
      <c r="AH9097">
        <v>0</v>
      </c>
      <c r="AI9097">
        <v>65.53</v>
      </c>
      <c r="AJ9097">
        <v>364.07</v>
      </c>
      <c r="AK9097">
        <v>0</v>
      </c>
      <c r="AL9097" t="s">
        <v>53</v>
      </c>
      <c r="AM9097" t="s">
        <v>53</v>
      </c>
      <c r="AN9097" t="s">
        <v>53</v>
      </c>
      <c r="AO9097" t="s">
        <v>53</v>
      </c>
      <c r="AP9097" t="s">
        <v>53</v>
      </c>
    </row>
    <row r="9098" spans="2:42" x14ac:dyDescent="0.2">
      <c r="B9098" t="s">
        <v>44</v>
      </c>
      <c r="C9098" t="str">
        <f>HYPERLINK("https://us2.cloudbeds.com/connect/8493803454333002#/reservations/9080486849252129?display=57QHE9ZXAU&amp;reservation_id=9080486849252129", "57QHE9ZXAU")</f>
        <v>57QHE9ZXAU</v>
      </c>
      <c r="D9098" t="s">
        <v>45</v>
      </c>
      <c r="E9098" t="s">
        <v>213</v>
      </c>
      <c r="F9098" t="s">
        <v>86</v>
      </c>
      <c r="G9098" t="s">
        <v>48</v>
      </c>
      <c r="H9098" t="s">
        <v>49</v>
      </c>
      <c r="I9098" t="s">
        <v>50</v>
      </c>
      <c r="J9098" t="s">
        <v>16163</v>
      </c>
      <c r="K9098" t="s">
        <v>14130</v>
      </c>
      <c r="L9098" t="s">
        <v>53</v>
      </c>
      <c r="N9098" t="s">
        <v>17374</v>
      </c>
      <c r="P9098" t="s">
        <v>55</v>
      </c>
      <c r="R9098" t="s">
        <v>53</v>
      </c>
      <c r="T9098" t="s">
        <v>17375</v>
      </c>
      <c r="U9098" t="s">
        <v>55</v>
      </c>
      <c r="V9098">
        <v>1</v>
      </c>
      <c r="W9098">
        <v>1</v>
      </c>
      <c r="X9098">
        <v>2</v>
      </c>
      <c r="Y9098">
        <v>2</v>
      </c>
      <c r="Z9098">
        <v>4</v>
      </c>
      <c r="AA9098">
        <v>236.74</v>
      </c>
      <c r="AB9098">
        <v>236.74</v>
      </c>
      <c r="AC9098">
        <v>217.69</v>
      </c>
      <c r="AD9098">
        <v>0</v>
      </c>
      <c r="AE9098">
        <v>19.05</v>
      </c>
      <c r="AF9098">
        <v>0</v>
      </c>
      <c r="AG9098">
        <v>0</v>
      </c>
      <c r="AH9098">
        <v>0</v>
      </c>
      <c r="AI9098">
        <v>42.61</v>
      </c>
      <c r="AJ9098">
        <v>236.74</v>
      </c>
      <c r="AK9098">
        <v>0</v>
      </c>
      <c r="AL9098" t="s">
        <v>53</v>
      </c>
      <c r="AM9098" t="s">
        <v>53</v>
      </c>
      <c r="AN9098" t="s">
        <v>17376</v>
      </c>
      <c r="AO9098" t="s">
        <v>53</v>
      </c>
      <c r="AP9098" t="s">
        <v>53</v>
      </c>
    </row>
    <row r="9099" spans="2:42" x14ac:dyDescent="0.2">
      <c r="B9099" t="s">
        <v>44</v>
      </c>
      <c r="C9099" t="str">
        <f>HYPERLINK("https://us2.cloudbeds.com/connect/8493803454333002#/reservations/9080486849254665?display=57RT0NPNRQ&amp;reservation_id=9080486849254665", "57RT0NPNRQ")</f>
        <v>57RT0NPNRQ</v>
      </c>
      <c r="D9099" t="s">
        <v>45</v>
      </c>
      <c r="E9099" t="s">
        <v>373</v>
      </c>
      <c r="F9099" t="s">
        <v>47</v>
      </c>
      <c r="G9099" t="s">
        <v>48</v>
      </c>
      <c r="H9099" t="s">
        <v>49</v>
      </c>
      <c r="I9099" t="s">
        <v>50</v>
      </c>
      <c r="J9099" t="s">
        <v>15075</v>
      </c>
      <c r="K9099" t="s">
        <v>15735</v>
      </c>
      <c r="L9099" t="s">
        <v>53</v>
      </c>
      <c r="N9099" t="s">
        <v>17377</v>
      </c>
      <c r="P9099" t="s">
        <v>55</v>
      </c>
      <c r="R9099" t="s">
        <v>53</v>
      </c>
      <c r="T9099" t="s">
        <v>17378</v>
      </c>
      <c r="U9099" t="s">
        <v>55</v>
      </c>
      <c r="V9099">
        <v>1</v>
      </c>
      <c r="W9099">
        <v>1</v>
      </c>
      <c r="X9099">
        <v>2</v>
      </c>
      <c r="Y9099">
        <v>0</v>
      </c>
      <c r="Z9099">
        <v>2</v>
      </c>
      <c r="AA9099">
        <v>146.65</v>
      </c>
      <c r="AB9099">
        <v>151.03</v>
      </c>
      <c r="AC9099">
        <v>134.85</v>
      </c>
      <c r="AD9099">
        <v>4</v>
      </c>
      <c r="AE9099">
        <v>12.18</v>
      </c>
      <c r="AF9099">
        <v>0</v>
      </c>
      <c r="AG9099">
        <v>0</v>
      </c>
      <c r="AH9099">
        <v>0</v>
      </c>
      <c r="AI9099">
        <v>27.19</v>
      </c>
      <c r="AJ9099">
        <v>151.03</v>
      </c>
      <c r="AK9099">
        <v>0</v>
      </c>
      <c r="AL9099" t="s">
        <v>53</v>
      </c>
      <c r="AM9099" t="s">
        <v>53</v>
      </c>
      <c r="AN9099" t="s">
        <v>53</v>
      </c>
      <c r="AO9099" t="s">
        <v>53</v>
      </c>
      <c r="AP9099" t="s">
        <v>53</v>
      </c>
    </row>
    <row r="9100" spans="2:42" x14ac:dyDescent="0.2">
      <c r="B9100" t="s">
        <v>44</v>
      </c>
      <c r="C9100" t="str">
        <f>HYPERLINK("https://us2.cloudbeds.com/connect/8493803454333002#/reservations/9080486849255218?display=57S2JG19NX&amp;reservation_id=9080486849255218", "57S2JG19NX")</f>
        <v>57S2JG19NX</v>
      </c>
      <c r="D9100" t="s">
        <v>45</v>
      </c>
      <c r="E9100" t="s">
        <v>265</v>
      </c>
      <c r="F9100" t="s">
        <v>61</v>
      </c>
      <c r="G9100" t="s">
        <v>48</v>
      </c>
      <c r="H9100" t="s">
        <v>49</v>
      </c>
      <c r="I9100" t="s">
        <v>50</v>
      </c>
      <c r="J9100" t="s">
        <v>15231</v>
      </c>
      <c r="K9100" t="s">
        <v>15075</v>
      </c>
      <c r="L9100" t="s">
        <v>53</v>
      </c>
      <c r="N9100" t="s">
        <v>17379</v>
      </c>
      <c r="P9100" t="s">
        <v>55</v>
      </c>
      <c r="R9100" t="s">
        <v>53</v>
      </c>
      <c r="T9100" t="s">
        <v>17380</v>
      </c>
      <c r="U9100" t="s">
        <v>55</v>
      </c>
      <c r="V9100">
        <v>1</v>
      </c>
      <c r="W9100">
        <v>1</v>
      </c>
      <c r="X9100">
        <v>2</v>
      </c>
      <c r="Y9100">
        <v>0</v>
      </c>
      <c r="Z9100">
        <v>2</v>
      </c>
      <c r="AA9100">
        <v>190.75</v>
      </c>
      <c r="AB9100">
        <v>190.75</v>
      </c>
      <c r="AC9100">
        <v>175.4</v>
      </c>
      <c r="AD9100">
        <v>0</v>
      </c>
      <c r="AE9100">
        <v>15.35</v>
      </c>
      <c r="AF9100">
        <v>0</v>
      </c>
      <c r="AG9100">
        <v>0</v>
      </c>
      <c r="AH9100">
        <v>0</v>
      </c>
      <c r="AI9100">
        <v>34.340000000000003</v>
      </c>
      <c r="AJ9100">
        <v>190.75</v>
      </c>
      <c r="AK9100">
        <v>0</v>
      </c>
      <c r="AL9100" t="s">
        <v>53</v>
      </c>
      <c r="AM9100" t="s">
        <v>53</v>
      </c>
      <c r="AN9100" t="s">
        <v>53</v>
      </c>
      <c r="AO9100" t="s">
        <v>53</v>
      </c>
      <c r="AP9100" t="s">
        <v>53</v>
      </c>
    </row>
    <row r="9101" spans="2:42" x14ac:dyDescent="0.2">
      <c r="B9101" t="s">
        <v>44</v>
      </c>
      <c r="C9101" t="str">
        <f>HYPERLINK("https://us2.cloudbeds.com/connect/8493803454333002#/reservations/243102261960832?display=57S558HSN2&amp;reservation_id=243102261960832", "57S558HSN2")</f>
        <v>57S558HSN2</v>
      </c>
      <c r="D9101" t="s">
        <v>10291</v>
      </c>
      <c r="E9101" t="s">
        <v>113</v>
      </c>
      <c r="F9101" t="s">
        <v>61</v>
      </c>
      <c r="G9101" t="s">
        <v>15366</v>
      </c>
      <c r="H9101" t="s">
        <v>3957</v>
      </c>
      <c r="I9101" t="s">
        <v>3958</v>
      </c>
      <c r="J9101" t="s">
        <v>17238</v>
      </c>
      <c r="K9101" t="s">
        <v>17381</v>
      </c>
      <c r="L9101" t="s">
        <v>53</v>
      </c>
      <c r="P9101" t="s">
        <v>55</v>
      </c>
      <c r="R9101" t="s">
        <v>56</v>
      </c>
      <c r="T9101" t="s">
        <v>17382</v>
      </c>
      <c r="U9101" t="s">
        <v>58</v>
      </c>
      <c r="V9101">
        <v>2</v>
      </c>
      <c r="W9101">
        <v>1</v>
      </c>
      <c r="X9101">
        <v>1</v>
      </c>
      <c r="Y9101">
        <v>0</v>
      </c>
      <c r="Z9101">
        <v>1</v>
      </c>
      <c r="AA9101">
        <v>385.92</v>
      </c>
      <c r="AB9101">
        <v>0</v>
      </c>
      <c r="AC9101">
        <v>336.6</v>
      </c>
      <c r="AD9101">
        <v>0</v>
      </c>
      <c r="AE9101">
        <v>49.32</v>
      </c>
      <c r="AF9101">
        <v>0</v>
      </c>
      <c r="AG9101">
        <v>0</v>
      </c>
      <c r="AH9101">
        <v>0</v>
      </c>
      <c r="AI9101">
        <v>0</v>
      </c>
      <c r="AJ9101">
        <v>385.92</v>
      </c>
      <c r="AK9101">
        <v>385.92</v>
      </c>
      <c r="AL9101" t="s">
        <v>53</v>
      </c>
      <c r="AM9101" t="s">
        <v>53</v>
      </c>
      <c r="AN9101" t="s">
        <v>53</v>
      </c>
      <c r="AO9101" t="s">
        <v>53</v>
      </c>
      <c r="AP9101" t="s">
        <v>53</v>
      </c>
    </row>
    <row r="9102" spans="2:42" x14ac:dyDescent="0.2">
      <c r="B9102" t="s">
        <v>44</v>
      </c>
      <c r="C9102" t="str">
        <f>HYPERLINK("https://us2.cloudbeds.com/connect/8493803454333002#/reservations/9080486849255927?display=57SEZDS7KE&amp;reservation_id=9080486849255927", "57SEZDS7KE")</f>
        <v>57SEZDS7KE</v>
      </c>
      <c r="D9102" t="s">
        <v>45</v>
      </c>
      <c r="E9102" t="s">
        <v>128</v>
      </c>
      <c r="F9102" t="s">
        <v>86</v>
      </c>
      <c r="G9102" t="s">
        <v>48</v>
      </c>
      <c r="H9102" t="s">
        <v>49</v>
      </c>
      <c r="I9102" t="s">
        <v>62</v>
      </c>
      <c r="J9102" t="s">
        <v>15231</v>
      </c>
      <c r="K9102" t="s">
        <v>15075</v>
      </c>
      <c r="L9102" t="s">
        <v>53</v>
      </c>
      <c r="N9102" t="s">
        <v>17383</v>
      </c>
      <c r="P9102" t="s">
        <v>55</v>
      </c>
      <c r="R9102" t="s">
        <v>56</v>
      </c>
      <c r="T9102" t="s">
        <v>17384</v>
      </c>
      <c r="U9102" t="s">
        <v>55</v>
      </c>
      <c r="V9102">
        <v>1</v>
      </c>
      <c r="W9102">
        <v>1</v>
      </c>
      <c r="X9102">
        <v>4</v>
      </c>
      <c r="Y9102">
        <v>0</v>
      </c>
      <c r="Z9102">
        <v>4</v>
      </c>
      <c r="AA9102">
        <v>202.4</v>
      </c>
      <c r="AB9102">
        <v>202.4</v>
      </c>
      <c r="AC9102">
        <v>202.4</v>
      </c>
      <c r="AD9102">
        <v>0</v>
      </c>
      <c r="AE9102">
        <v>0</v>
      </c>
      <c r="AF9102">
        <v>0</v>
      </c>
      <c r="AG9102">
        <v>0</v>
      </c>
      <c r="AH9102">
        <v>0</v>
      </c>
      <c r="AI9102">
        <v>36.43</v>
      </c>
      <c r="AJ9102">
        <v>202.4</v>
      </c>
      <c r="AK9102">
        <v>0</v>
      </c>
      <c r="AL9102" t="s">
        <v>53</v>
      </c>
      <c r="AM9102" t="s">
        <v>53</v>
      </c>
      <c r="AN9102" t="s">
        <v>53</v>
      </c>
      <c r="AO9102" t="s">
        <v>53</v>
      </c>
      <c r="AP9102" t="s">
        <v>53</v>
      </c>
    </row>
    <row r="9103" spans="2:42" x14ac:dyDescent="0.2">
      <c r="B9103" t="s">
        <v>44</v>
      </c>
      <c r="C9103" t="str">
        <f>HYPERLINK("https://us2.cloudbeds.com/connect/8493803454333002#/reservations/9080486849256567?display=57SRJH1UK6&amp;reservation_id=9080486849256567", "57SRJH1UK6")</f>
        <v>57SRJH1UK6</v>
      </c>
      <c r="D9103" t="s">
        <v>45</v>
      </c>
      <c r="E9103" t="s">
        <v>98</v>
      </c>
      <c r="F9103" t="s">
        <v>86</v>
      </c>
      <c r="G9103" t="s">
        <v>48</v>
      </c>
      <c r="H9103" t="s">
        <v>49</v>
      </c>
      <c r="I9103" t="s">
        <v>8964</v>
      </c>
      <c r="J9103" t="s">
        <v>15231</v>
      </c>
      <c r="K9103" t="s">
        <v>15075</v>
      </c>
      <c r="L9103" t="s">
        <v>53</v>
      </c>
      <c r="N9103" t="s">
        <v>17385</v>
      </c>
      <c r="P9103" t="s">
        <v>55</v>
      </c>
      <c r="R9103" t="s">
        <v>53</v>
      </c>
      <c r="T9103" t="s">
        <v>17386</v>
      </c>
      <c r="U9103" t="s">
        <v>55</v>
      </c>
      <c r="V9103">
        <v>1</v>
      </c>
      <c r="W9103">
        <v>1</v>
      </c>
      <c r="X9103">
        <v>2</v>
      </c>
      <c r="Y9103">
        <v>0</v>
      </c>
      <c r="Z9103">
        <v>2</v>
      </c>
      <c r="AA9103">
        <v>0</v>
      </c>
      <c r="AB9103">
        <v>0</v>
      </c>
      <c r="AC9103">
        <v>202</v>
      </c>
      <c r="AD9103">
        <v>0</v>
      </c>
      <c r="AE9103">
        <v>0</v>
      </c>
      <c r="AF9103">
        <v>0</v>
      </c>
      <c r="AG9103">
        <v>0</v>
      </c>
      <c r="AH9103">
        <v>0</v>
      </c>
      <c r="AI9103">
        <v>30.3</v>
      </c>
      <c r="AJ9103">
        <v>202</v>
      </c>
      <c r="AK9103">
        <v>202</v>
      </c>
      <c r="AL9103" t="s">
        <v>53</v>
      </c>
      <c r="AM9103" t="s">
        <v>53</v>
      </c>
      <c r="AN9103" t="s">
        <v>53</v>
      </c>
      <c r="AO9103" t="s">
        <v>53</v>
      </c>
      <c r="AP9103" t="s">
        <v>53</v>
      </c>
    </row>
    <row r="9104" spans="2:42" x14ac:dyDescent="0.2">
      <c r="B9104" t="s">
        <v>44</v>
      </c>
      <c r="C9104" t="str">
        <f>HYPERLINK("https://us2.cloudbeds.com/connect/8493803454333002#/reservations/9080486849256989?display=57T49T4TGS&amp;reservation_id=9080486849256989", "57T49T4TGS")</f>
        <v>57T49T4TGS</v>
      </c>
      <c r="D9104" t="s">
        <v>45</v>
      </c>
      <c r="E9104" t="s">
        <v>121</v>
      </c>
      <c r="F9104" t="s">
        <v>86</v>
      </c>
      <c r="G9104" t="s">
        <v>48</v>
      </c>
      <c r="H9104" t="s">
        <v>49</v>
      </c>
      <c r="I9104" t="s">
        <v>50</v>
      </c>
      <c r="J9104" t="s">
        <v>15231</v>
      </c>
      <c r="K9104" t="s">
        <v>15075</v>
      </c>
      <c r="L9104" t="s">
        <v>53</v>
      </c>
      <c r="N9104" t="s">
        <v>17387</v>
      </c>
      <c r="P9104" t="s">
        <v>55</v>
      </c>
      <c r="R9104" t="s">
        <v>53</v>
      </c>
      <c r="T9104" t="s">
        <v>17388</v>
      </c>
      <c r="U9104" t="s">
        <v>55</v>
      </c>
      <c r="V9104">
        <v>1</v>
      </c>
      <c r="W9104">
        <v>1</v>
      </c>
      <c r="X9104">
        <v>1</v>
      </c>
      <c r="Y9104">
        <v>0</v>
      </c>
      <c r="Z9104">
        <v>1</v>
      </c>
      <c r="AA9104">
        <v>151.62</v>
      </c>
      <c r="AB9104">
        <v>151.62</v>
      </c>
      <c r="AC9104">
        <v>139.41999999999999</v>
      </c>
      <c r="AD9104">
        <v>0</v>
      </c>
      <c r="AE9104">
        <v>12.2</v>
      </c>
      <c r="AF9104">
        <v>0</v>
      </c>
      <c r="AG9104">
        <v>0</v>
      </c>
      <c r="AH9104">
        <v>0</v>
      </c>
      <c r="AI9104">
        <v>27.29</v>
      </c>
      <c r="AJ9104">
        <v>151.62</v>
      </c>
      <c r="AK9104">
        <v>0</v>
      </c>
      <c r="AL9104" t="s">
        <v>53</v>
      </c>
      <c r="AM9104" t="s">
        <v>53</v>
      </c>
      <c r="AN9104" t="s">
        <v>53</v>
      </c>
      <c r="AO9104" t="s">
        <v>53</v>
      </c>
      <c r="AP9104" t="s">
        <v>53</v>
      </c>
    </row>
    <row r="9105" spans="2:42" x14ac:dyDescent="0.2">
      <c r="B9105" t="s">
        <v>44</v>
      </c>
      <c r="C9105" t="str">
        <f>HYPERLINK("https://us2.cloudbeds.com/connect/8493803454333002#/reservations/243147219067008?display=57T6W0XS03&amp;reservation_id=243147219067008", "57T6W0XS03")</f>
        <v>57T6W0XS03</v>
      </c>
      <c r="D9105" t="s">
        <v>45</v>
      </c>
      <c r="E9105" t="s">
        <v>105</v>
      </c>
      <c r="F9105" t="s">
        <v>47</v>
      </c>
      <c r="G9105" t="s">
        <v>48</v>
      </c>
      <c r="H9105" t="s">
        <v>3957</v>
      </c>
      <c r="I9105" t="s">
        <v>3975</v>
      </c>
      <c r="J9105" t="s">
        <v>14391</v>
      </c>
      <c r="K9105" t="s">
        <v>17389</v>
      </c>
      <c r="L9105" t="s">
        <v>53</v>
      </c>
      <c r="P9105" t="s">
        <v>58</v>
      </c>
      <c r="R9105" t="s">
        <v>56</v>
      </c>
      <c r="T9105" t="s">
        <v>17390</v>
      </c>
      <c r="U9105" t="s">
        <v>58</v>
      </c>
      <c r="V9105">
        <v>1</v>
      </c>
      <c r="W9105">
        <v>1</v>
      </c>
      <c r="X9105">
        <v>2</v>
      </c>
      <c r="Y9105">
        <v>0</v>
      </c>
      <c r="Z9105">
        <v>2</v>
      </c>
      <c r="AA9105">
        <v>0</v>
      </c>
      <c r="AB9105">
        <v>182.3</v>
      </c>
      <c r="AC9105">
        <v>159</v>
      </c>
      <c r="AD9105">
        <v>0</v>
      </c>
      <c r="AE9105">
        <v>23.3</v>
      </c>
      <c r="AF9105">
        <v>0</v>
      </c>
      <c r="AG9105">
        <v>0</v>
      </c>
      <c r="AH9105">
        <v>0</v>
      </c>
      <c r="AI9105">
        <v>0</v>
      </c>
      <c r="AJ9105">
        <v>182.3</v>
      </c>
      <c r="AK9105">
        <v>0</v>
      </c>
      <c r="AL9105" t="s">
        <v>53</v>
      </c>
      <c r="AM9105" t="s">
        <v>53</v>
      </c>
      <c r="AN9105" t="s">
        <v>17391</v>
      </c>
      <c r="AO9105" t="s">
        <v>53</v>
      </c>
      <c r="AP9105" t="s">
        <v>53</v>
      </c>
    </row>
    <row r="9106" spans="2:42" x14ac:dyDescent="0.2">
      <c r="B9106" t="s">
        <v>44</v>
      </c>
      <c r="C9106" t="str">
        <f>HYPERLINK("https://us2.cloudbeds.com/connect/8493803454333002#/reservations/243164667338945?display=57TKFSDKDA&amp;reservation_id=243164667338945", "57TKFSDKDA")</f>
        <v>57TKFSDKDA</v>
      </c>
      <c r="D9106" t="s">
        <v>45</v>
      </c>
      <c r="E9106" t="s">
        <v>14402</v>
      </c>
      <c r="F9106" t="s">
        <v>14403</v>
      </c>
      <c r="G9106" t="s">
        <v>48</v>
      </c>
      <c r="H9106" t="s">
        <v>3957</v>
      </c>
      <c r="I9106" t="s">
        <v>3958</v>
      </c>
      <c r="J9106" t="s">
        <v>15075</v>
      </c>
      <c r="K9106" t="s">
        <v>15735</v>
      </c>
      <c r="L9106" t="s">
        <v>53</v>
      </c>
      <c r="P9106" t="s">
        <v>55</v>
      </c>
      <c r="R9106" t="s">
        <v>56</v>
      </c>
      <c r="T9106" t="s">
        <v>17392</v>
      </c>
      <c r="U9106" t="s">
        <v>58</v>
      </c>
      <c r="V9106">
        <v>1</v>
      </c>
      <c r="W9106">
        <v>1</v>
      </c>
      <c r="X9106">
        <v>1</v>
      </c>
      <c r="Y9106">
        <v>0</v>
      </c>
      <c r="Z9106">
        <v>1</v>
      </c>
      <c r="AA9106">
        <v>185.74</v>
      </c>
      <c r="AB9106">
        <v>185.74</v>
      </c>
      <c r="AC9106">
        <v>162</v>
      </c>
      <c r="AD9106">
        <v>0</v>
      </c>
      <c r="AE9106">
        <v>23.74</v>
      </c>
      <c r="AF9106">
        <v>0</v>
      </c>
      <c r="AG9106">
        <v>0</v>
      </c>
      <c r="AH9106">
        <v>0</v>
      </c>
      <c r="AI9106">
        <v>0</v>
      </c>
      <c r="AJ9106">
        <v>185.74</v>
      </c>
      <c r="AK9106">
        <v>0</v>
      </c>
      <c r="AL9106" t="s">
        <v>53</v>
      </c>
      <c r="AM9106" t="s">
        <v>53</v>
      </c>
      <c r="AN9106" t="s">
        <v>53</v>
      </c>
      <c r="AO9106" t="s">
        <v>53</v>
      </c>
      <c r="AP9106" t="s">
        <v>53</v>
      </c>
    </row>
    <row r="9107" spans="2:42" x14ac:dyDescent="0.2">
      <c r="B9107" t="s">
        <v>44</v>
      </c>
      <c r="C9107" t="str">
        <f>HYPERLINK("https://us2.cloudbeds.com/connect/8493803454333002#/reservations/9080486849258210?display=57U043JY8V&amp;reservation_id=9080486849258210", "57U043JY8V")</f>
        <v>57U043JY8V</v>
      </c>
      <c r="D9107" t="s">
        <v>45</v>
      </c>
      <c r="E9107" t="s">
        <v>92</v>
      </c>
      <c r="F9107" t="s">
        <v>86</v>
      </c>
      <c r="G9107" t="s">
        <v>48</v>
      </c>
      <c r="H9107" t="s">
        <v>49</v>
      </c>
      <c r="I9107" t="s">
        <v>8964</v>
      </c>
      <c r="J9107" t="s">
        <v>15231</v>
      </c>
      <c r="K9107" t="s">
        <v>15075</v>
      </c>
      <c r="L9107" t="s">
        <v>53</v>
      </c>
      <c r="N9107" t="s">
        <v>17393</v>
      </c>
      <c r="P9107" t="s">
        <v>55</v>
      </c>
      <c r="R9107" t="s">
        <v>53</v>
      </c>
      <c r="T9107" t="s">
        <v>17394</v>
      </c>
      <c r="U9107" t="s">
        <v>55</v>
      </c>
      <c r="V9107">
        <v>1</v>
      </c>
      <c r="W9107">
        <v>1</v>
      </c>
      <c r="X9107">
        <v>1</v>
      </c>
      <c r="Y9107">
        <v>0</v>
      </c>
      <c r="Z9107">
        <v>1</v>
      </c>
      <c r="AA9107">
        <v>0</v>
      </c>
      <c r="AB9107">
        <v>0</v>
      </c>
      <c r="AC9107">
        <v>202</v>
      </c>
      <c r="AD9107">
        <v>0</v>
      </c>
      <c r="AE9107">
        <v>0</v>
      </c>
      <c r="AF9107">
        <v>0</v>
      </c>
      <c r="AG9107">
        <v>0</v>
      </c>
      <c r="AH9107">
        <v>0</v>
      </c>
      <c r="AI9107">
        <v>30.3</v>
      </c>
      <c r="AJ9107">
        <v>202</v>
      </c>
      <c r="AK9107">
        <v>202</v>
      </c>
      <c r="AL9107" t="s">
        <v>53</v>
      </c>
      <c r="AM9107" t="s">
        <v>53</v>
      </c>
      <c r="AN9107" t="s">
        <v>53</v>
      </c>
      <c r="AO9107" t="s">
        <v>53</v>
      </c>
      <c r="AP9107" t="s">
        <v>53</v>
      </c>
    </row>
    <row r="9108" spans="2:42" x14ac:dyDescent="0.2">
      <c r="B9108" t="s">
        <v>44</v>
      </c>
      <c r="C9108" t="str">
        <f>HYPERLINK("https://us2.cloudbeds.com/connect/8493803454333002#/reservations/9080486849259251?display=57UQ4EWF2P&amp;reservation_id=9080486849259251", "57UQ4EWF2P")</f>
        <v>57UQ4EWF2P</v>
      </c>
      <c r="D9108" t="s">
        <v>45</v>
      </c>
      <c r="E9108" t="s">
        <v>121</v>
      </c>
      <c r="F9108" t="s">
        <v>86</v>
      </c>
      <c r="G9108" t="s">
        <v>48</v>
      </c>
      <c r="H9108" t="s">
        <v>49</v>
      </c>
      <c r="I9108" t="s">
        <v>50</v>
      </c>
      <c r="J9108" t="s">
        <v>15075</v>
      </c>
      <c r="K9108" t="s">
        <v>15735</v>
      </c>
      <c r="L9108" t="s">
        <v>53</v>
      </c>
      <c r="N9108" t="s">
        <v>17395</v>
      </c>
      <c r="P9108" t="s">
        <v>55</v>
      </c>
      <c r="R9108" t="s">
        <v>53</v>
      </c>
      <c r="T9108" t="s">
        <v>17396</v>
      </c>
      <c r="U9108" t="s">
        <v>55</v>
      </c>
      <c r="V9108">
        <v>1</v>
      </c>
      <c r="W9108">
        <v>1</v>
      </c>
      <c r="X9108">
        <v>1</v>
      </c>
      <c r="Y9108">
        <v>0</v>
      </c>
      <c r="Z9108">
        <v>1</v>
      </c>
      <c r="AA9108">
        <v>147.30000000000001</v>
      </c>
      <c r="AB9108">
        <v>147.30000000000001</v>
      </c>
      <c r="AC9108">
        <v>135.44999999999999</v>
      </c>
      <c r="AD9108">
        <v>0</v>
      </c>
      <c r="AE9108">
        <v>11.85</v>
      </c>
      <c r="AF9108">
        <v>0</v>
      </c>
      <c r="AG9108">
        <v>0</v>
      </c>
      <c r="AH9108">
        <v>0</v>
      </c>
      <c r="AI9108">
        <v>26.51</v>
      </c>
      <c r="AJ9108">
        <v>147.30000000000001</v>
      </c>
      <c r="AK9108">
        <v>0</v>
      </c>
      <c r="AL9108" t="s">
        <v>53</v>
      </c>
      <c r="AM9108" t="s">
        <v>53</v>
      </c>
      <c r="AN9108" t="s">
        <v>53</v>
      </c>
      <c r="AO9108" t="s">
        <v>53</v>
      </c>
      <c r="AP9108" t="s">
        <v>53</v>
      </c>
    </row>
    <row r="9109" spans="2:42" x14ac:dyDescent="0.2">
      <c r="B9109" t="s">
        <v>44</v>
      </c>
      <c r="C9109" t="str">
        <f>HYPERLINK("https://us2.cloudbeds.com/connect/8493803454333002#/reservations/9080486849259285?display=57UQUC9TXQ&amp;reservation_id=9080486849259285", "57UQUC9TXQ")</f>
        <v>57UQUC9TXQ</v>
      </c>
      <c r="D9109" t="s">
        <v>45</v>
      </c>
      <c r="E9109" t="s">
        <v>179</v>
      </c>
      <c r="F9109" t="s">
        <v>47</v>
      </c>
      <c r="G9109" t="s">
        <v>48</v>
      </c>
      <c r="H9109" t="s">
        <v>49</v>
      </c>
      <c r="I9109" t="s">
        <v>8964</v>
      </c>
      <c r="J9109" t="s">
        <v>15075</v>
      </c>
      <c r="K9109" t="s">
        <v>15735</v>
      </c>
      <c r="L9109" t="s">
        <v>53</v>
      </c>
      <c r="N9109" t="s">
        <v>17397</v>
      </c>
      <c r="P9109" t="s">
        <v>55</v>
      </c>
      <c r="R9109" t="s">
        <v>53</v>
      </c>
      <c r="T9109" t="s">
        <v>17398</v>
      </c>
      <c r="U9109" t="s">
        <v>55</v>
      </c>
      <c r="V9109">
        <v>1</v>
      </c>
      <c r="W9109">
        <v>1</v>
      </c>
      <c r="X9109">
        <v>2</v>
      </c>
      <c r="Y9109">
        <v>0</v>
      </c>
      <c r="Z9109">
        <v>2</v>
      </c>
      <c r="AA9109">
        <v>0</v>
      </c>
      <c r="AB9109">
        <v>0</v>
      </c>
      <c r="AC9109">
        <v>164</v>
      </c>
      <c r="AD9109">
        <v>0</v>
      </c>
      <c r="AE9109">
        <v>0</v>
      </c>
      <c r="AF9109">
        <v>0</v>
      </c>
      <c r="AG9109">
        <v>0</v>
      </c>
      <c r="AH9109">
        <v>0</v>
      </c>
      <c r="AI9109">
        <v>24.6</v>
      </c>
      <c r="AJ9109">
        <v>164</v>
      </c>
      <c r="AK9109">
        <v>164</v>
      </c>
      <c r="AL9109" t="s">
        <v>53</v>
      </c>
      <c r="AM9109" t="s">
        <v>53</v>
      </c>
      <c r="AN9109" t="s">
        <v>17399</v>
      </c>
      <c r="AO9109" t="s">
        <v>53</v>
      </c>
      <c r="AP9109" t="s">
        <v>53</v>
      </c>
    </row>
    <row r="9110" spans="2:42" x14ac:dyDescent="0.2">
      <c r="B9110" t="s">
        <v>44</v>
      </c>
      <c r="C9110" t="str">
        <f>HYPERLINK("https://us2.cloudbeds.com/connect/8493803454333002#/reservations/243219456725120?display=57UTTS8RCH&amp;reservation_id=243219456725120", "57UTTS8RCH")</f>
        <v>57UTTS8RCH</v>
      </c>
      <c r="D9110" t="s">
        <v>45</v>
      </c>
      <c r="E9110" t="s">
        <v>213</v>
      </c>
      <c r="F9110" t="s">
        <v>86</v>
      </c>
      <c r="G9110" t="s">
        <v>48</v>
      </c>
      <c r="H9110" t="s">
        <v>3957</v>
      </c>
      <c r="I9110" t="s">
        <v>3975</v>
      </c>
      <c r="J9110" t="s">
        <v>15075</v>
      </c>
      <c r="K9110" t="s">
        <v>15735</v>
      </c>
      <c r="L9110" t="s">
        <v>53</v>
      </c>
      <c r="P9110" t="s">
        <v>55</v>
      </c>
      <c r="R9110" t="s">
        <v>56</v>
      </c>
      <c r="T9110" t="s">
        <v>17400</v>
      </c>
      <c r="U9110" t="s">
        <v>58</v>
      </c>
      <c r="V9110">
        <v>1</v>
      </c>
      <c r="W9110">
        <v>1</v>
      </c>
      <c r="X9110">
        <v>1</v>
      </c>
      <c r="Y9110">
        <v>0</v>
      </c>
      <c r="Z9110">
        <v>1</v>
      </c>
      <c r="AA9110">
        <v>163.96</v>
      </c>
      <c r="AB9110">
        <v>163.96</v>
      </c>
      <c r="AC9110">
        <v>143</v>
      </c>
      <c r="AD9110">
        <v>0</v>
      </c>
      <c r="AE9110">
        <v>20.96</v>
      </c>
      <c r="AF9110">
        <v>0</v>
      </c>
      <c r="AG9110">
        <v>0</v>
      </c>
      <c r="AH9110">
        <v>0</v>
      </c>
      <c r="AI9110">
        <v>0</v>
      </c>
      <c r="AJ9110">
        <v>163.96</v>
      </c>
      <c r="AK9110">
        <v>0</v>
      </c>
      <c r="AL9110" t="s">
        <v>53</v>
      </c>
      <c r="AM9110" t="s">
        <v>53</v>
      </c>
      <c r="AN9110" t="s">
        <v>17401</v>
      </c>
      <c r="AO9110" t="s">
        <v>53</v>
      </c>
      <c r="AP9110" t="s">
        <v>53</v>
      </c>
    </row>
    <row r="9111" spans="2:42" x14ac:dyDescent="0.2">
      <c r="B9111" t="s">
        <v>44</v>
      </c>
      <c r="C9111" t="str">
        <f>HYPERLINK("https://us2.cloudbeds.com/connect/8493803454333002#/reservations/9080486849263598?display=5814Q4675U&amp;reservation_id=9080486849263598", "5814Q4675U")</f>
        <v>5814Q4675U</v>
      </c>
      <c r="D9111" t="s">
        <v>45</v>
      </c>
      <c r="E9111" t="s">
        <v>14695</v>
      </c>
      <c r="F9111" t="s">
        <v>47</v>
      </c>
      <c r="G9111" t="s">
        <v>48</v>
      </c>
      <c r="H9111" t="s">
        <v>49</v>
      </c>
      <c r="I9111" t="s">
        <v>50</v>
      </c>
      <c r="J9111" t="s">
        <v>14669</v>
      </c>
      <c r="K9111" t="s">
        <v>14656</v>
      </c>
      <c r="L9111" t="s">
        <v>53</v>
      </c>
      <c r="N9111" t="s">
        <v>17402</v>
      </c>
      <c r="P9111" t="s">
        <v>55</v>
      </c>
      <c r="R9111" t="s">
        <v>53</v>
      </c>
      <c r="T9111" t="s">
        <v>17403</v>
      </c>
      <c r="U9111" t="s">
        <v>55</v>
      </c>
      <c r="V9111">
        <v>3</v>
      </c>
      <c r="W9111">
        <v>1</v>
      </c>
      <c r="X9111">
        <v>1</v>
      </c>
      <c r="Y9111">
        <v>0</v>
      </c>
      <c r="Z9111">
        <v>1</v>
      </c>
      <c r="AA9111">
        <v>438.48</v>
      </c>
      <c r="AB9111">
        <v>455.05</v>
      </c>
      <c r="AC9111">
        <v>403.2</v>
      </c>
      <c r="AD9111">
        <v>6</v>
      </c>
      <c r="AE9111">
        <v>35.85</v>
      </c>
      <c r="AF9111">
        <v>0</v>
      </c>
      <c r="AG9111">
        <v>0</v>
      </c>
      <c r="AH9111">
        <v>0</v>
      </c>
      <c r="AI9111">
        <v>80.11</v>
      </c>
      <c r="AJ9111">
        <v>445.05</v>
      </c>
      <c r="AK9111">
        <v>-10</v>
      </c>
      <c r="AL9111" t="s">
        <v>53</v>
      </c>
      <c r="AM9111" t="s">
        <v>53</v>
      </c>
      <c r="AN9111" t="s">
        <v>53</v>
      </c>
      <c r="AO9111" t="s">
        <v>53</v>
      </c>
      <c r="AP9111" t="s">
        <v>53</v>
      </c>
    </row>
    <row r="9112" spans="2:42" x14ac:dyDescent="0.2">
      <c r="B9112" t="s">
        <v>44</v>
      </c>
      <c r="C9112" t="str">
        <f>HYPERLINK("https://us2.cloudbeds.com/connect/8493803454333002#/reservations/9080486849263835?display=5819B5C6SB&amp;reservation_id=9080486849263835", "5819B5C6SB")</f>
        <v>5819B5C6SB</v>
      </c>
      <c r="D9112" t="s">
        <v>45</v>
      </c>
      <c r="E9112" t="s">
        <v>78</v>
      </c>
      <c r="F9112" t="s">
        <v>61</v>
      </c>
      <c r="G9112" t="s">
        <v>48</v>
      </c>
      <c r="H9112" t="s">
        <v>49</v>
      </c>
      <c r="I9112" t="s">
        <v>50</v>
      </c>
      <c r="J9112" t="s">
        <v>15075</v>
      </c>
      <c r="K9112" t="s">
        <v>15735</v>
      </c>
      <c r="L9112" t="s">
        <v>53</v>
      </c>
      <c r="N9112" t="s">
        <v>17404</v>
      </c>
      <c r="P9112" t="s">
        <v>55</v>
      </c>
      <c r="R9112" t="s">
        <v>53</v>
      </c>
      <c r="T9112" t="s">
        <v>17405</v>
      </c>
      <c r="U9112" t="s">
        <v>55</v>
      </c>
      <c r="V9112">
        <v>1</v>
      </c>
      <c r="W9112">
        <v>1</v>
      </c>
      <c r="X9112">
        <v>1</v>
      </c>
      <c r="Y9112">
        <v>0</v>
      </c>
      <c r="Z9112">
        <v>1</v>
      </c>
      <c r="AA9112">
        <v>143.85</v>
      </c>
      <c r="AB9112">
        <v>143.85</v>
      </c>
      <c r="AC9112">
        <v>132.28</v>
      </c>
      <c r="AD9112">
        <v>0</v>
      </c>
      <c r="AE9112">
        <v>11.57</v>
      </c>
      <c r="AF9112">
        <v>0</v>
      </c>
      <c r="AG9112">
        <v>0</v>
      </c>
      <c r="AH9112">
        <v>0</v>
      </c>
      <c r="AI9112">
        <v>25.89</v>
      </c>
      <c r="AJ9112">
        <v>143.85</v>
      </c>
      <c r="AK9112">
        <v>0</v>
      </c>
      <c r="AL9112" t="s">
        <v>53</v>
      </c>
      <c r="AM9112" t="s">
        <v>53</v>
      </c>
      <c r="AN9112" t="s">
        <v>53</v>
      </c>
      <c r="AO9112" t="s">
        <v>53</v>
      </c>
      <c r="AP9112" t="s">
        <v>53</v>
      </c>
    </row>
    <row r="9113" spans="2:42" x14ac:dyDescent="0.2">
      <c r="B9113" t="s">
        <v>44</v>
      </c>
      <c r="C9113" t="str">
        <f>HYPERLINK("https://us2.cloudbeds.com/connect/8493803454333002#/reservations/9080486849266186?display=582ERAT43Q&amp;reservation_id=9080486849266186", "582ERAT43Q")</f>
        <v>582ERAT43Q</v>
      </c>
      <c r="D9113" t="s">
        <v>45</v>
      </c>
      <c r="E9113" t="s">
        <v>381</v>
      </c>
      <c r="F9113" t="s">
        <v>47</v>
      </c>
      <c r="G9113" t="s">
        <v>48</v>
      </c>
      <c r="H9113" t="s">
        <v>49</v>
      </c>
      <c r="I9113" t="s">
        <v>50</v>
      </c>
      <c r="J9113" t="s">
        <v>15075</v>
      </c>
      <c r="K9113" t="s">
        <v>15735</v>
      </c>
      <c r="L9113" t="s">
        <v>53</v>
      </c>
      <c r="N9113" t="s">
        <v>17406</v>
      </c>
      <c r="P9113" t="s">
        <v>55</v>
      </c>
      <c r="R9113" t="s">
        <v>53</v>
      </c>
      <c r="T9113" t="s">
        <v>17407</v>
      </c>
      <c r="U9113" t="s">
        <v>55</v>
      </c>
      <c r="V9113">
        <v>1</v>
      </c>
      <c r="W9113">
        <v>1</v>
      </c>
      <c r="X9113">
        <v>1</v>
      </c>
      <c r="Y9113">
        <v>0</v>
      </c>
      <c r="Z9113">
        <v>1</v>
      </c>
      <c r="AA9113">
        <v>147.66999999999999</v>
      </c>
      <c r="AB9113">
        <v>147.66999999999999</v>
      </c>
      <c r="AC9113">
        <v>135.79</v>
      </c>
      <c r="AD9113">
        <v>0</v>
      </c>
      <c r="AE9113">
        <v>11.88</v>
      </c>
      <c r="AF9113">
        <v>0</v>
      </c>
      <c r="AG9113">
        <v>0</v>
      </c>
      <c r="AH9113">
        <v>0</v>
      </c>
      <c r="AI9113">
        <v>26.58</v>
      </c>
      <c r="AJ9113">
        <v>147.66999999999999</v>
      </c>
      <c r="AK9113">
        <v>0</v>
      </c>
      <c r="AL9113" t="s">
        <v>53</v>
      </c>
      <c r="AM9113" t="s">
        <v>53</v>
      </c>
      <c r="AN9113" t="s">
        <v>17408</v>
      </c>
      <c r="AO9113" t="s">
        <v>53</v>
      </c>
      <c r="AP9113" t="s">
        <v>53</v>
      </c>
    </row>
    <row r="9114" spans="2:42" x14ac:dyDescent="0.2">
      <c r="B9114" t="s">
        <v>44</v>
      </c>
      <c r="C9114" t="str">
        <f>HYPERLINK("https://us2.cloudbeds.com/connect/8493803454333002#/reservations/9080486849267216?display=582W1GH708&amp;reservation_id=9080486849267216", "582W1GH708")</f>
        <v>582W1GH708</v>
      </c>
      <c r="D9114" t="s">
        <v>45</v>
      </c>
      <c r="E9114" t="s">
        <v>487</v>
      </c>
      <c r="F9114" t="s">
        <v>61</v>
      </c>
      <c r="G9114" t="s">
        <v>48</v>
      </c>
      <c r="H9114" t="s">
        <v>49</v>
      </c>
      <c r="I9114" t="s">
        <v>8964</v>
      </c>
      <c r="J9114" t="s">
        <v>15075</v>
      </c>
      <c r="K9114" t="s">
        <v>15735</v>
      </c>
      <c r="L9114" t="s">
        <v>53</v>
      </c>
      <c r="N9114" t="s">
        <v>17409</v>
      </c>
      <c r="P9114" t="s">
        <v>55</v>
      </c>
      <c r="R9114" t="s">
        <v>53</v>
      </c>
      <c r="T9114" t="s">
        <v>17410</v>
      </c>
      <c r="U9114" t="s">
        <v>55</v>
      </c>
      <c r="V9114">
        <v>1</v>
      </c>
      <c r="W9114">
        <v>1</v>
      </c>
      <c r="X9114">
        <v>2</v>
      </c>
      <c r="Y9114">
        <v>0</v>
      </c>
      <c r="Z9114">
        <v>2</v>
      </c>
      <c r="AA9114">
        <v>0</v>
      </c>
      <c r="AB9114">
        <v>0</v>
      </c>
      <c r="AC9114">
        <v>190</v>
      </c>
      <c r="AD9114">
        <v>0</v>
      </c>
      <c r="AE9114">
        <v>0</v>
      </c>
      <c r="AF9114">
        <v>0</v>
      </c>
      <c r="AG9114">
        <v>0</v>
      </c>
      <c r="AH9114">
        <v>0</v>
      </c>
      <c r="AI9114">
        <v>28.5</v>
      </c>
      <c r="AJ9114">
        <v>190</v>
      </c>
      <c r="AK9114">
        <v>190</v>
      </c>
      <c r="AL9114" t="s">
        <v>53</v>
      </c>
      <c r="AM9114" t="s">
        <v>53</v>
      </c>
      <c r="AN9114" t="s">
        <v>17411</v>
      </c>
      <c r="AO9114" t="s">
        <v>53</v>
      </c>
      <c r="AP9114" t="s">
        <v>53</v>
      </c>
    </row>
    <row r="9115" spans="2:42" x14ac:dyDescent="0.2">
      <c r="B9115" t="s">
        <v>44</v>
      </c>
      <c r="C9115" t="str">
        <f>HYPERLINK("https://us2.cloudbeds.com/connect/8493803454333002#/reservations/9080486849267677?display=5836X6V9PH&amp;reservation_id=9080486849267677", "5836X6V9PH")</f>
        <v>5836X6V9PH</v>
      </c>
      <c r="D9115" t="s">
        <v>45</v>
      </c>
      <c r="E9115" t="s">
        <v>14695</v>
      </c>
      <c r="F9115" t="s">
        <v>47</v>
      </c>
      <c r="G9115" t="s">
        <v>48</v>
      </c>
      <c r="H9115" t="s">
        <v>49</v>
      </c>
      <c r="I9115" t="s">
        <v>50</v>
      </c>
      <c r="J9115" t="s">
        <v>15075</v>
      </c>
      <c r="K9115" t="s">
        <v>15735</v>
      </c>
      <c r="L9115" t="s">
        <v>53</v>
      </c>
      <c r="N9115" t="s">
        <v>17412</v>
      </c>
      <c r="P9115" t="s">
        <v>55</v>
      </c>
      <c r="R9115" t="s">
        <v>53</v>
      </c>
      <c r="T9115" t="s">
        <v>17413</v>
      </c>
      <c r="U9115" t="s">
        <v>55</v>
      </c>
      <c r="V9115">
        <v>1</v>
      </c>
      <c r="W9115">
        <v>1</v>
      </c>
      <c r="X9115">
        <v>1</v>
      </c>
      <c r="Y9115">
        <v>0</v>
      </c>
      <c r="Z9115">
        <v>1</v>
      </c>
      <c r="AA9115">
        <v>147.66999999999999</v>
      </c>
      <c r="AB9115">
        <v>147.66999999999999</v>
      </c>
      <c r="AC9115">
        <v>135.79</v>
      </c>
      <c r="AD9115">
        <v>0</v>
      </c>
      <c r="AE9115">
        <v>11.88</v>
      </c>
      <c r="AF9115">
        <v>0</v>
      </c>
      <c r="AG9115">
        <v>0</v>
      </c>
      <c r="AH9115">
        <v>0</v>
      </c>
      <c r="AI9115">
        <v>26.58</v>
      </c>
      <c r="AJ9115">
        <v>147.66999999999999</v>
      </c>
      <c r="AK9115">
        <v>0</v>
      </c>
      <c r="AL9115" t="s">
        <v>53</v>
      </c>
      <c r="AM9115" t="s">
        <v>53</v>
      </c>
      <c r="AN9115" t="s">
        <v>53</v>
      </c>
      <c r="AO9115" t="s">
        <v>53</v>
      </c>
      <c r="AP9115" t="s">
        <v>53</v>
      </c>
    </row>
    <row r="9116" spans="2:42" x14ac:dyDescent="0.2">
      <c r="B9116" t="s">
        <v>44</v>
      </c>
      <c r="C9116" t="str">
        <f>HYPERLINK("https://us2.cloudbeds.com/connect/8493803454333002#/reservations/9080486849267887?display=583A98E1CQ&amp;reservation_id=9080486849267887", "583A98E1CQ")</f>
        <v>583A98E1CQ</v>
      </c>
      <c r="D9116" t="s">
        <v>45</v>
      </c>
      <c r="E9116" t="s">
        <v>190</v>
      </c>
      <c r="F9116" t="s">
        <v>61</v>
      </c>
      <c r="G9116" t="s">
        <v>48</v>
      </c>
      <c r="H9116" t="s">
        <v>49</v>
      </c>
      <c r="I9116" t="s">
        <v>50</v>
      </c>
      <c r="J9116" t="s">
        <v>15735</v>
      </c>
      <c r="K9116" t="s">
        <v>14668</v>
      </c>
      <c r="L9116" t="s">
        <v>53</v>
      </c>
      <c r="N9116" t="s">
        <v>17414</v>
      </c>
      <c r="P9116" t="s">
        <v>55</v>
      </c>
      <c r="R9116" t="s">
        <v>53</v>
      </c>
      <c r="T9116" t="s">
        <v>17415</v>
      </c>
      <c r="U9116" t="s">
        <v>55</v>
      </c>
      <c r="V9116">
        <v>1</v>
      </c>
      <c r="W9116">
        <v>1</v>
      </c>
      <c r="X9116">
        <v>2</v>
      </c>
      <c r="Y9116">
        <v>0</v>
      </c>
      <c r="Z9116">
        <v>2</v>
      </c>
      <c r="AA9116">
        <v>188.28</v>
      </c>
      <c r="AB9116">
        <v>188.28</v>
      </c>
      <c r="AC9116">
        <v>173.13</v>
      </c>
      <c r="AD9116">
        <v>0</v>
      </c>
      <c r="AE9116">
        <v>15.15</v>
      </c>
      <c r="AF9116">
        <v>0</v>
      </c>
      <c r="AG9116">
        <v>0</v>
      </c>
      <c r="AH9116">
        <v>0</v>
      </c>
      <c r="AI9116">
        <v>33.89</v>
      </c>
      <c r="AJ9116">
        <v>188.28</v>
      </c>
      <c r="AK9116">
        <v>0</v>
      </c>
      <c r="AL9116" t="s">
        <v>53</v>
      </c>
      <c r="AM9116" t="s">
        <v>53</v>
      </c>
      <c r="AN9116" t="s">
        <v>53</v>
      </c>
      <c r="AO9116" t="s">
        <v>53</v>
      </c>
      <c r="AP9116" t="s">
        <v>53</v>
      </c>
    </row>
    <row r="9117" spans="2:42" x14ac:dyDescent="0.2">
      <c r="B9117" t="s">
        <v>44</v>
      </c>
      <c r="C9117" t="str">
        <f>HYPERLINK("https://us2.cloudbeds.com/connect/8493803454333002#/reservations/9080486849268017?display=583CFS56WF&amp;reservation_id=9080486849268017", "583CFS56WF")</f>
        <v>583CFS56WF</v>
      </c>
      <c r="D9117" t="s">
        <v>45</v>
      </c>
      <c r="E9117" t="s">
        <v>179</v>
      </c>
      <c r="F9117" t="s">
        <v>47</v>
      </c>
      <c r="G9117" t="s">
        <v>48</v>
      </c>
      <c r="H9117" t="s">
        <v>49</v>
      </c>
      <c r="I9117" t="s">
        <v>50</v>
      </c>
      <c r="J9117" t="s">
        <v>14669</v>
      </c>
      <c r="K9117" t="s">
        <v>15594</v>
      </c>
      <c r="L9117" t="s">
        <v>53</v>
      </c>
      <c r="N9117" t="s">
        <v>17416</v>
      </c>
      <c r="P9117" t="s">
        <v>55</v>
      </c>
      <c r="R9117" t="s">
        <v>53</v>
      </c>
      <c r="T9117" t="s">
        <v>17417</v>
      </c>
      <c r="U9117" t="s">
        <v>55</v>
      </c>
      <c r="V9117">
        <v>1</v>
      </c>
      <c r="W9117">
        <v>1</v>
      </c>
      <c r="X9117">
        <v>1</v>
      </c>
      <c r="Y9117">
        <v>0</v>
      </c>
      <c r="Z9117">
        <v>1</v>
      </c>
      <c r="AA9117">
        <v>121.46</v>
      </c>
      <c r="AB9117">
        <v>121.46</v>
      </c>
      <c r="AC9117">
        <v>111.69</v>
      </c>
      <c r="AD9117">
        <v>0</v>
      </c>
      <c r="AE9117">
        <v>9.77</v>
      </c>
      <c r="AF9117">
        <v>0</v>
      </c>
      <c r="AG9117">
        <v>0</v>
      </c>
      <c r="AH9117">
        <v>0</v>
      </c>
      <c r="AI9117">
        <v>21.86</v>
      </c>
      <c r="AJ9117">
        <v>121.46</v>
      </c>
      <c r="AK9117">
        <v>0</v>
      </c>
      <c r="AL9117" t="s">
        <v>53</v>
      </c>
      <c r="AM9117" t="s">
        <v>53</v>
      </c>
      <c r="AN9117" t="s">
        <v>53</v>
      </c>
      <c r="AO9117" t="s">
        <v>53</v>
      </c>
      <c r="AP9117" t="s">
        <v>53</v>
      </c>
    </row>
    <row r="9118" spans="2:42" x14ac:dyDescent="0.2">
      <c r="B9118" t="s">
        <v>44</v>
      </c>
      <c r="C9118" t="str">
        <f>HYPERLINK("https://us2.cloudbeds.com/connect/8493803454333002#/reservations/9080486849269241?display=58455GT8PN&amp;reservation_id=9080486849269241", "58455GT8PN")</f>
        <v>58455GT8PN</v>
      </c>
      <c r="D9118" t="s">
        <v>45</v>
      </c>
      <c r="E9118" t="s">
        <v>265</v>
      </c>
      <c r="F9118" t="s">
        <v>61</v>
      </c>
      <c r="G9118" t="s">
        <v>48</v>
      </c>
      <c r="H9118" t="s">
        <v>49</v>
      </c>
      <c r="I9118" t="s">
        <v>50</v>
      </c>
      <c r="J9118" t="s">
        <v>15075</v>
      </c>
      <c r="K9118" t="s">
        <v>15735</v>
      </c>
      <c r="L9118" t="s">
        <v>53</v>
      </c>
      <c r="N9118" t="s">
        <v>17418</v>
      </c>
      <c r="P9118" t="s">
        <v>55</v>
      </c>
      <c r="R9118" t="s">
        <v>53</v>
      </c>
      <c r="T9118" t="s">
        <v>17419</v>
      </c>
      <c r="U9118" t="s">
        <v>55</v>
      </c>
      <c r="V9118">
        <v>1</v>
      </c>
      <c r="W9118">
        <v>1</v>
      </c>
      <c r="X9118">
        <v>2</v>
      </c>
      <c r="Y9118">
        <v>0</v>
      </c>
      <c r="Z9118">
        <v>2</v>
      </c>
      <c r="AA9118">
        <v>153.32</v>
      </c>
      <c r="AB9118">
        <v>153.32</v>
      </c>
      <c r="AC9118">
        <v>140.99</v>
      </c>
      <c r="AD9118">
        <v>0</v>
      </c>
      <c r="AE9118">
        <v>12.33</v>
      </c>
      <c r="AF9118">
        <v>0</v>
      </c>
      <c r="AG9118">
        <v>0</v>
      </c>
      <c r="AH9118">
        <v>0</v>
      </c>
      <c r="AI9118">
        <v>27.6</v>
      </c>
      <c r="AJ9118">
        <v>153.32</v>
      </c>
      <c r="AK9118">
        <v>0</v>
      </c>
      <c r="AL9118" t="s">
        <v>53</v>
      </c>
      <c r="AM9118" t="s">
        <v>53</v>
      </c>
      <c r="AN9118" t="s">
        <v>53</v>
      </c>
      <c r="AO9118" t="s">
        <v>53</v>
      </c>
      <c r="AP9118" t="s">
        <v>53</v>
      </c>
    </row>
    <row r="9119" spans="2:42" x14ac:dyDescent="0.2">
      <c r="B9119" t="s">
        <v>44</v>
      </c>
      <c r="C9119" t="str">
        <f>HYPERLINK("https://us2.cloudbeds.com/connect/8493803454333002#/reservations/243496372469952?display=584DAMWABD&amp;reservation_id=243496372469952", "584DAMWABD")</f>
        <v>584DAMWABD</v>
      </c>
      <c r="D9119" t="s">
        <v>45</v>
      </c>
      <c r="E9119" t="s">
        <v>92</v>
      </c>
      <c r="F9119" t="s">
        <v>86</v>
      </c>
      <c r="G9119" t="s">
        <v>48</v>
      </c>
      <c r="H9119" t="s">
        <v>3957</v>
      </c>
      <c r="I9119" t="s">
        <v>3958</v>
      </c>
      <c r="J9119" t="s">
        <v>15075</v>
      </c>
      <c r="K9119" t="s">
        <v>15735</v>
      </c>
      <c r="L9119" t="s">
        <v>53</v>
      </c>
      <c r="P9119" t="s">
        <v>55</v>
      </c>
      <c r="R9119" t="s">
        <v>56</v>
      </c>
      <c r="T9119" t="s">
        <v>17420</v>
      </c>
      <c r="U9119" t="s">
        <v>58</v>
      </c>
      <c r="V9119">
        <v>1</v>
      </c>
      <c r="W9119">
        <v>1</v>
      </c>
      <c r="X9119">
        <v>1</v>
      </c>
      <c r="Y9119">
        <v>0</v>
      </c>
      <c r="Z9119">
        <v>1</v>
      </c>
      <c r="AA9119">
        <v>207.52</v>
      </c>
      <c r="AB9119">
        <v>207.52</v>
      </c>
      <c r="AC9119">
        <v>181</v>
      </c>
      <c r="AD9119">
        <v>0</v>
      </c>
      <c r="AE9119">
        <v>26.52</v>
      </c>
      <c r="AF9119">
        <v>0</v>
      </c>
      <c r="AG9119">
        <v>0</v>
      </c>
      <c r="AH9119">
        <v>0</v>
      </c>
      <c r="AI9119">
        <v>0</v>
      </c>
      <c r="AJ9119">
        <v>207.52</v>
      </c>
      <c r="AK9119">
        <v>0</v>
      </c>
      <c r="AL9119" t="s">
        <v>53</v>
      </c>
      <c r="AM9119" t="s">
        <v>53</v>
      </c>
      <c r="AN9119" t="s">
        <v>53</v>
      </c>
      <c r="AO9119" t="s">
        <v>53</v>
      </c>
      <c r="AP9119" t="s">
        <v>53</v>
      </c>
    </row>
    <row r="9120" spans="2:42" x14ac:dyDescent="0.2">
      <c r="B9120" t="s">
        <v>44</v>
      </c>
      <c r="C9120" t="str">
        <f>HYPERLINK("https://us2.cloudbeds.com/connect/8493803454333002#/reservations/243512394371200?display=584PZ32XYX&amp;reservation_id=243512394371200", "584PZ32XYX")</f>
        <v>584PZ32XYX</v>
      </c>
      <c r="D9120" t="s">
        <v>10291</v>
      </c>
      <c r="E9120" t="s">
        <v>190</v>
      </c>
      <c r="F9120" t="s">
        <v>61</v>
      </c>
      <c r="G9120" t="s">
        <v>48</v>
      </c>
      <c r="H9120" t="s">
        <v>3957</v>
      </c>
      <c r="I9120" t="s">
        <v>3958</v>
      </c>
      <c r="J9120" t="s">
        <v>17421</v>
      </c>
      <c r="K9120" t="s">
        <v>15817</v>
      </c>
      <c r="L9120" t="s">
        <v>53</v>
      </c>
      <c r="P9120" t="s">
        <v>55</v>
      </c>
      <c r="R9120" t="s">
        <v>56</v>
      </c>
      <c r="T9120" t="s">
        <v>17422</v>
      </c>
      <c r="U9120" t="s">
        <v>58</v>
      </c>
      <c r="V9120">
        <v>2</v>
      </c>
      <c r="W9120">
        <v>1</v>
      </c>
      <c r="X9120">
        <v>2</v>
      </c>
      <c r="Y9120">
        <v>0</v>
      </c>
      <c r="Z9120">
        <v>2</v>
      </c>
      <c r="AA9120">
        <v>677.59</v>
      </c>
      <c r="AB9120">
        <v>0</v>
      </c>
      <c r="AC9120">
        <v>591</v>
      </c>
      <c r="AD9120">
        <v>0</v>
      </c>
      <c r="AE9120">
        <v>86.59</v>
      </c>
      <c r="AF9120">
        <v>0</v>
      </c>
      <c r="AG9120">
        <v>0</v>
      </c>
      <c r="AH9120">
        <v>0</v>
      </c>
      <c r="AI9120">
        <v>0</v>
      </c>
      <c r="AJ9120">
        <v>677.59</v>
      </c>
      <c r="AK9120">
        <v>677.59</v>
      </c>
      <c r="AL9120" t="s">
        <v>53</v>
      </c>
      <c r="AM9120" t="s">
        <v>53</v>
      </c>
      <c r="AN9120" t="s">
        <v>53</v>
      </c>
      <c r="AO9120" t="s">
        <v>53</v>
      </c>
      <c r="AP9120" t="s">
        <v>53</v>
      </c>
    </row>
    <row r="9121" spans="2:42" x14ac:dyDescent="0.2">
      <c r="B9121" t="s">
        <v>44</v>
      </c>
      <c r="C9121" t="str">
        <f>HYPERLINK("https://us2.cloudbeds.com/connect/8493803454333002#/reservations/243533375738048?display=5858W73MFN&amp;reservation_id=243533375738048", "5858W73MFN")</f>
        <v>5858W73MFN</v>
      </c>
      <c r="D9121" t="s">
        <v>45</v>
      </c>
      <c r="E9121" t="s">
        <v>85</v>
      </c>
      <c r="F9121" t="s">
        <v>86</v>
      </c>
      <c r="G9121" t="s">
        <v>48</v>
      </c>
      <c r="H9121" t="s">
        <v>3957</v>
      </c>
      <c r="I9121" t="s">
        <v>3958</v>
      </c>
      <c r="J9121" t="s">
        <v>15075</v>
      </c>
      <c r="K9121" t="s">
        <v>15735</v>
      </c>
      <c r="L9121" t="s">
        <v>53</v>
      </c>
      <c r="P9121" t="s">
        <v>55</v>
      </c>
      <c r="R9121" t="s">
        <v>56</v>
      </c>
      <c r="T9121" t="s">
        <v>17423</v>
      </c>
      <c r="U9121" t="s">
        <v>58</v>
      </c>
      <c r="V9121">
        <v>1</v>
      </c>
      <c r="W9121">
        <v>1</v>
      </c>
      <c r="X9121">
        <v>1</v>
      </c>
      <c r="Y9121">
        <v>0</v>
      </c>
      <c r="Z9121">
        <v>1</v>
      </c>
      <c r="AA9121">
        <v>207.52</v>
      </c>
      <c r="AB9121">
        <v>207.52</v>
      </c>
      <c r="AC9121">
        <v>181</v>
      </c>
      <c r="AD9121">
        <v>0</v>
      </c>
      <c r="AE9121">
        <v>26.52</v>
      </c>
      <c r="AF9121">
        <v>0</v>
      </c>
      <c r="AG9121">
        <v>0</v>
      </c>
      <c r="AH9121">
        <v>0</v>
      </c>
      <c r="AI9121">
        <v>0</v>
      </c>
      <c r="AJ9121">
        <v>207.52</v>
      </c>
      <c r="AK9121">
        <v>0</v>
      </c>
      <c r="AL9121" t="s">
        <v>53</v>
      </c>
      <c r="AM9121" t="s">
        <v>53</v>
      </c>
      <c r="AN9121" t="s">
        <v>53</v>
      </c>
      <c r="AO9121" t="s">
        <v>53</v>
      </c>
      <c r="AP9121" t="s">
        <v>53</v>
      </c>
    </row>
    <row r="9122" spans="2:42" x14ac:dyDescent="0.2">
      <c r="B9122" t="s">
        <v>44</v>
      </c>
      <c r="C9122" t="str">
        <f>HYPERLINK("https://us2.cloudbeds.com/connect/8493803454333002#/reservations/243541948952704?display=585FK99FNJ&amp;reservation_id=243541948952704", "585FK99FNJ")</f>
        <v>585FK99FNJ</v>
      </c>
      <c r="D9122" t="s">
        <v>45</v>
      </c>
      <c r="E9122" t="s">
        <v>85</v>
      </c>
      <c r="F9122" t="s">
        <v>86</v>
      </c>
      <c r="G9122" t="s">
        <v>4520</v>
      </c>
      <c r="H9122" t="s">
        <v>3957</v>
      </c>
      <c r="I9122" t="s">
        <v>3958</v>
      </c>
      <c r="J9122" t="s">
        <v>14806</v>
      </c>
      <c r="K9122" t="s">
        <v>15548</v>
      </c>
      <c r="L9122" t="s">
        <v>53</v>
      </c>
      <c r="P9122" t="s">
        <v>55</v>
      </c>
      <c r="R9122" t="s">
        <v>56</v>
      </c>
      <c r="T9122" t="s">
        <v>17424</v>
      </c>
      <c r="U9122" t="s">
        <v>58</v>
      </c>
      <c r="V9122">
        <v>1</v>
      </c>
      <c r="W9122">
        <v>1</v>
      </c>
      <c r="X9122">
        <v>1</v>
      </c>
      <c r="Y9122">
        <v>0</v>
      </c>
      <c r="Z9122">
        <v>1</v>
      </c>
      <c r="AA9122">
        <v>253.83</v>
      </c>
      <c r="AB9122">
        <v>253.83</v>
      </c>
      <c r="AC9122">
        <v>221.4</v>
      </c>
      <c r="AD9122">
        <v>0</v>
      </c>
      <c r="AE9122">
        <v>32.43</v>
      </c>
      <c r="AF9122">
        <v>0</v>
      </c>
      <c r="AG9122">
        <v>0</v>
      </c>
      <c r="AH9122">
        <v>0</v>
      </c>
      <c r="AI9122">
        <v>0</v>
      </c>
      <c r="AJ9122">
        <v>253.83</v>
      </c>
      <c r="AK9122">
        <v>0</v>
      </c>
      <c r="AL9122" t="s">
        <v>53</v>
      </c>
      <c r="AM9122" t="s">
        <v>53</v>
      </c>
      <c r="AN9122" t="s">
        <v>17425</v>
      </c>
      <c r="AO9122" t="s">
        <v>53</v>
      </c>
      <c r="AP9122" t="s">
        <v>53</v>
      </c>
    </row>
    <row r="9123" spans="2:42" x14ac:dyDescent="0.2">
      <c r="B9123" t="s">
        <v>44</v>
      </c>
      <c r="C9123" t="str">
        <f>HYPERLINK("https://us2.cloudbeds.com/connect/8493803454333002#/reservations/243542841049280?display=585GA2FTFN&amp;reservation_id=243542841049280", "585GA2FTFN")</f>
        <v>585GA2FTFN</v>
      </c>
      <c r="D9123" t="s">
        <v>45</v>
      </c>
      <c r="E9123" t="s">
        <v>155</v>
      </c>
      <c r="F9123" t="s">
        <v>86</v>
      </c>
      <c r="G9123" t="s">
        <v>48</v>
      </c>
      <c r="H9123" t="s">
        <v>3957</v>
      </c>
      <c r="I9123" t="s">
        <v>3975</v>
      </c>
      <c r="J9123" t="s">
        <v>15075</v>
      </c>
      <c r="K9123" t="s">
        <v>15735</v>
      </c>
      <c r="L9123" t="s">
        <v>53</v>
      </c>
      <c r="P9123" t="s">
        <v>55</v>
      </c>
      <c r="R9123" t="s">
        <v>56</v>
      </c>
      <c r="T9123" t="s">
        <v>17426</v>
      </c>
      <c r="U9123" t="s">
        <v>58</v>
      </c>
      <c r="V9123">
        <v>1</v>
      </c>
      <c r="W9123">
        <v>1</v>
      </c>
      <c r="X9123">
        <v>2</v>
      </c>
      <c r="Y9123">
        <v>2</v>
      </c>
      <c r="Z9123">
        <v>4</v>
      </c>
      <c r="AA9123">
        <v>207.52</v>
      </c>
      <c r="AB9123">
        <v>207.52</v>
      </c>
      <c r="AC9123">
        <v>181</v>
      </c>
      <c r="AD9123">
        <v>0</v>
      </c>
      <c r="AE9123">
        <v>26.52</v>
      </c>
      <c r="AF9123">
        <v>0</v>
      </c>
      <c r="AG9123">
        <v>0</v>
      </c>
      <c r="AH9123">
        <v>0</v>
      </c>
      <c r="AI9123">
        <v>0</v>
      </c>
      <c r="AJ9123">
        <v>207.52</v>
      </c>
      <c r="AK9123">
        <v>0</v>
      </c>
      <c r="AL9123" t="s">
        <v>53</v>
      </c>
      <c r="AM9123" t="s">
        <v>53</v>
      </c>
      <c r="AN9123" t="s">
        <v>17427</v>
      </c>
      <c r="AO9123" t="s">
        <v>53</v>
      </c>
      <c r="AP9123" t="s">
        <v>53</v>
      </c>
    </row>
    <row r="9124" spans="2:42" x14ac:dyDescent="0.2">
      <c r="B9124" t="s">
        <v>44</v>
      </c>
      <c r="C9124" t="str">
        <f>HYPERLINK("https://us2.cloudbeds.com/connect/8493803454333002#/reservations/9080486849276201?display=589YR0XUSE&amp;reservation_id=9080486849276201", "589YR0XUSE")</f>
        <v>589YR0XUSE</v>
      </c>
      <c r="D9124" t="s">
        <v>10291</v>
      </c>
      <c r="E9124" t="s">
        <v>110</v>
      </c>
      <c r="F9124" t="s">
        <v>47</v>
      </c>
      <c r="G9124" t="s">
        <v>48</v>
      </c>
      <c r="H9124" t="s">
        <v>49</v>
      </c>
      <c r="I9124" t="s">
        <v>50</v>
      </c>
      <c r="J9124" t="s">
        <v>15545</v>
      </c>
      <c r="K9124" t="s">
        <v>17242</v>
      </c>
      <c r="L9124" t="s">
        <v>53</v>
      </c>
      <c r="N9124" t="s">
        <v>17428</v>
      </c>
      <c r="P9124" t="s">
        <v>55</v>
      </c>
      <c r="R9124" t="s">
        <v>53</v>
      </c>
      <c r="T9124" t="s">
        <v>17429</v>
      </c>
      <c r="U9124" t="s">
        <v>55</v>
      </c>
      <c r="V9124">
        <v>2</v>
      </c>
      <c r="W9124">
        <v>1</v>
      </c>
      <c r="X9124">
        <v>2</v>
      </c>
      <c r="Y9124">
        <v>0</v>
      </c>
      <c r="Z9124">
        <v>2</v>
      </c>
      <c r="AA9124">
        <v>259.14999999999998</v>
      </c>
      <c r="AB9124">
        <v>0</v>
      </c>
      <c r="AC9124">
        <v>238.3</v>
      </c>
      <c r="AD9124">
        <v>0</v>
      </c>
      <c r="AE9124">
        <v>20.85</v>
      </c>
      <c r="AF9124">
        <v>0</v>
      </c>
      <c r="AG9124">
        <v>0</v>
      </c>
      <c r="AH9124">
        <v>0</v>
      </c>
      <c r="AI9124">
        <v>46.65</v>
      </c>
      <c r="AJ9124">
        <v>259.14999999999998</v>
      </c>
      <c r="AK9124">
        <v>259.14999999999998</v>
      </c>
      <c r="AL9124" t="s">
        <v>53</v>
      </c>
      <c r="AM9124" t="s">
        <v>53</v>
      </c>
      <c r="AN9124" t="s">
        <v>53</v>
      </c>
      <c r="AO9124" t="s">
        <v>53</v>
      </c>
      <c r="AP9124" t="s">
        <v>53</v>
      </c>
    </row>
    <row r="9125" spans="2:42" x14ac:dyDescent="0.2">
      <c r="B9125" t="s">
        <v>44</v>
      </c>
      <c r="C9125" t="str">
        <f>HYPERLINK("https://us2.cloudbeds.com/connect/8493803454333002#/reservations/9080486849277552?display=58ADC59P54&amp;reservation_id=9080486849277552", "58ADC59P54")</f>
        <v>58ADC59P54</v>
      </c>
      <c r="D9125" t="s">
        <v>45</v>
      </c>
      <c r="E9125" t="s">
        <v>110</v>
      </c>
      <c r="F9125" t="s">
        <v>47</v>
      </c>
      <c r="G9125" t="s">
        <v>48</v>
      </c>
      <c r="H9125" t="s">
        <v>49</v>
      </c>
      <c r="I9125" t="s">
        <v>50</v>
      </c>
      <c r="J9125" t="s">
        <v>16205</v>
      </c>
      <c r="K9125" t="s">
        <v>11651</v>
      </c>
      <c r="L9125" t="s">
        <v>53</v>
      </c>
      <c r="N9125" t="s">
        <v>17430</v>
      </c>
      <c r="P9125" t="s">
        <v>55</v>
      </c>
      <c r="R9125" t="s">
        <v>53</v>
      </c>
      <c r="T9125" t="s">
        <v>17431</v>
      </c>
      <c r="U9125" t="s">
        <v>55</v>
      </c>
      <c r="V9125">
        <v>1</v>
      </c>
      <c r="W9125">
        <v>1</v>
      </c>
      <c r="X9125">
        <v>2</v>
      </c>
      <c r="Y9125">
        <v>0</v>
      </c>
      <c r="Z9125">
        <v>2</v>
      </c>
      <c r="AA9125">
        <v>122.76</v>
      </c>
      <c r="AB9125">
        <v>122.76</v>
      </c>
      <c r="AC9125">
        <v>112.88</v>
      </c>
      <c r="AD9125">
        <v>0</v>
      </c>
      <c r="AE9125">
        <v>9.8800000000000008</v>
      </c>
      <c r="AF9125">
        <v>0</v>
      </c>
      <c r="AG9125">
        <v>0</v>
      </c>
      <c r="AH9125">
        <v>0</v>
      </c>
      <c r="AI9125">
        <v>22.1</v>
      </c>
      <c r="AJ9125">
        <v>122.76</v>
      </c>
      <c r="AK9125">
        <v>0</v>
      </c>
      <c r="AL9125" t="s">
        <v>53</v>
      </c>
      <c r="AM9125" t="s">
        <v>53</v>
      </c>
      <c r="AN9125" t="s">
        <v>53</v>
      </c>
      <c r="AO9125" t="s">
        <v>53</v>
      </c>
      <c r="AP9125" t="s">
        <v>53</v>
      </c>
    </row>
    <row r="9126" spans="2:42" x14ac:dyDescent="0.2">
      <c r="B9126" t="s">
        <v>44</v>
      </c>
      <c r="C9126" t="str">
        <f>HYPERLINK("https://us2.cloudbeds.com/connect/8493803454333002#/reservations/243762347573376?display=58AY8W7A0S&amp;reservation_id=243762347573376", "58AY8W7A0S")</f>
        <v>58AY8W7A0S</v>
      </c>
      <c r="D9126" t="s">
        <v>45</v>
      </c>
      <c r="E9126" t="s">
        <v>46</v>
      </c>
      <c r="F9126" t="s">
        <v>47</v>
      </c>
      <c r="G9126" t="s">
        <v>48</v>
      </c>
      <c r="H9126" t="s">
        <v>3957</v>
      </c>
      <c r="I9126" t="s">
        <v>3975</v>
      </c>
      <c r="J9126" t="s">
        <v>15625</v>
      </c>
      <c r="K9126" t="s">
        <v>17289</v>
      </c>
      <c r="L9126" t="s">
        <v>53</v>
      </c>
      <c r="P9126" t="s">
        <v>58</v>
      </c>
      <c r="R9126" t="s">
        <v>56</v>
      </c>
      <c r="T9126" t="s">
        <v>17432</v>
      </c>
      <c r="U9126" t="s">
        <v>58</v>
      </c>
      <c r="V9126">
        <v>1</v>
      </c>
      <c r="W9126">
        <v>1</v>
      </c>
      <c r="X9126">
        <v>2</v>
      </c>
      <c r="Y9126">
        <v>0</v>
      </c>
      <c r="Z9126">
        <v>2</v>
      </c>
      <c r="AA9126">
        <v>0</v>
      </c>
      <c r="AB9126">
        <v>162.81</v>
      </c>
      <c r="AC9126">
        <v>142</v>
      </c>
      <c r="AD9126">
        <v>0</v>
      </c>
      <c r="AE9126">
        <v>20.81</v>
      </c>
      <c r="AF9126">
        <v>0</v>
      </c>
      <c r="AG9126">
        <v>0</v>
      </c>
      <c r="AH9126">
        <v>0</v>
      </c>
      <c r="AI9126">
        <v>0</v>
      </c>
      <c r="AJ9126">
        <v>162.81</v>
      </c>
      <c r="AK9126">
        <v>0</v>
      </c>
      <c r="AL9126" t="s">
        <v>53</v>
      </c>
      <c r="AM9126" t="s">
        <v>53</v>
      </c>
      <c r="AN9126" t="s">
        <v>17433</v>
      </c>
      <c r="AO9126" t="s">
        <v>53</v>
      </c>
      <c r="AP9126" t="s">
        <v>53</v>
      </c>
    </row>
    <row r="9127" spans="2:42" x14ac:dyDescent="0.2">
      <c r="B9127" t="s">
        <v>44</v>
      </c>
      <c r="C9127" t="str">
        <f>HYPERLINK("https://us2.cloudbeds.com/connect/8493803454333002#/reservations/9080486849278642?display=58B1ZYHYZS&amp;reservation_id=9080486849278642", "58B1ZYHYZS")</f>
        <v>58B1ZYHYZS</v>
      </c>
      <c r="D9127" t="s">
        <v>45</v>
      </c>
      <c r="E9127" t="s">
        <v>69</v>
      </c>
      <c r="F9127" t="s">
        <v>70</v>
      </c>
      <c r="G9127" t="s">
        <v>48</v>
      </c>
      <c r="H9127" t="s">
        <v>49</v>
      </c>
      <c r="I9127" t="s">
        <v>8964</v>
      </c>
      <c r="J9127" t="s">
        <v>14668</v>
      </c>
      <c r="K9127" t="s">
        <v>15738</v>
      </c>
      <c r="L9127" t="s">
        <v>53</v>
      </c>
      <c r="N9127" t="s">
        <v>17434</v>
      </c>
      <c r="P9127" t="s">
        <v>55</v>
      </c>
      <c r="R9127" t="s">
        <v>53</v>
      </c>
      <c r="T9127" t="s">
        <v>17435</v>
      </c>
      <c r="U9127" t="s">
        <v>55</v>
      </c>
      <c r="V9127">
        <v>1</v>
      </c>
      <c r="W9127">
        <v>1</v>
      </c>
      <c r="X9127">
        <v>1</v>
      </c>
      <c r="Y9127">
        <v>0</v>
      </c>
      <c r="Z9127">
        <v>1</v>
      </c>
      <c r="AA9127">
        <v>0</v>
      </c>
      <c r="AB9127">
        <v>0</v>
      </c>
      <c r="AC9127">
        <v>226</v>
      </c>
      <c r="AD9127">
        <v>0</v>
      </c>
      <c r="AE9127">
        <v>0</v>
      </c>
      <c r="AF9127">
        <v>0</v>
      </c>
      <c r="AG9127">
        <v>0</v>
      </c>
      <c r="AH9127">
        <v>0</v>
      </c>
      <c r="AI9127">
        <v>33.9</v>
      </c>
      <c r="AJ9127">
        <v>226</v>
      </c>
      <c r="AK9127">
        <v>226</v>
      </c>
      <c r="AL9127" t="s">
        <v>53</v>
      </c>
      <c r="AM9127" t="s">
        <v>53</v>
      </c>
      <c r="AN9127" t="s">
        <v>53</v>
      </c>
      <c r="AO9127" t="s">
        <v>53</v>
      </c>
      <c r="AP9127" t="s">
        <v>53</v>
      </c>
    </row>
    <row r="9128" spans="2:42" x14ac:dyDescent="0.2">
      <c r="B9128" t="s">
        <v>44</v>
      </c>
      <c r="C9128" t="str">
        <f>HYPERLINK("https://us2.cloudbeds.com/connect/8493803454333002#/reservations/9080486849279143?display=58BBXFUBTM&amp;reservation_id=9080486849279143", "58BBXFUBTM")</f>
        <v>58BBXFUBTM</v>
      </c>
      <c r="D9128" t="s">
        <v>45</v>
      </c>
      <c r="E9128" t="s">
        <v>185</v>
      </c>
      <c r="F9128" t="s">
        <v>47</v>
      </c>
      <c r="G9128" t="s">
        <v>48</v>
      </c>
      <c r="H9128" t="s">
        <v>49</v>
      </c>
      <c r="I9128" t="s">
        <v>50</v>
      </c>
      <c r="J9128" t="s">
        <v>14668</v>
      </c>
      <c r="K9128" t="s">
        <v>15738</v>
      </c>
      <c r="L9128" t="s">
        <v>53</v>
      </c>
      <c r="N9128" t="s">
        <v>17436</v>
      </c>
      <c r="P9128" t="s">
        <v>55</v>
      </c>
      <c r="R9128" t="s">
        <v>53</v>
      </c>
      <c r="T9128" t="s">
        <v>17437</v>
      </c>
      <c r="U9128" t="s">
        <v>55</v>
      </c>
      <c r="V9128">
        <v>1</v>
      </c>
      <c r="W9128">
        <v>1</v>
      </c>
      <c r="X9128">
        <v>2</v>
      </c>
      <c r="Y9128">
        <v>0</v>
      </c>
      <c r="Z9128">
        <v>2</v>
      </c>
      <c r="AA9128">
        <v>215.36</v>
      </c>
      <c r="AB9128">
        <v>215.36</v>
      </c>
      <c r="AC9128">
        <v>198.03</v>
      </c>
      <c r="AD9128">
        <v>0</v>
      </c>
      <c r="AE9128">
        <v>17.329999999999998</v>
      </c>
      <c r="AF9128">
        <v>0</v>
      </c>
      <c r="AG9128">
        <v>0</v>
      </c>
      <c r="AH9128">
        <v>0</v>
      </c>
      <c r="AI9128">
        <v>38.76</v>
      </c>
      <c r="AJ9128">
        <v>215.36</v>
      </c>
      <c r="AK9128">
        <v>0</v>
      </c>
      <c r="AL9128" t="s">
        <v>53</v>
      </c>
      <c r="AM9128" t="s">
        <v>53</v>
      </c>
      <c r="AN9128" t="s">
        <v>53</v>
      </c>
      <c r="AO9128" t="s">
        <v>53</v>
      </c>
      <c r="AP9128" t="s">
        <v>53</v>
      </c>
    </row>
    <row r="9129" spans="2:42" x14ac:dyDescent="0.2">
      <c r="B9129" t="s">
        <v>44</v>
      </c>
      <c r="C9129" t="str">
        <f>HYPERLINK("https://us2.cloudbeds.com/connect/8493803454333002#/reservations/9080486849279598?display=58BKFJ5337&amp;reservation_id=9080486849279598", "58BKFJ5337")</f>
        <v>58BKFJ5337</v>
      </c>
      <c r="D9129" t="s">
        <v>10291</v>
      </c>
      <c r="E9129" t="s">
        <v>128</v>
      </c>
      <c r="F9129" t="s">
        <v>86</v>
      </c>
      <c r="G9129" t="s">
        <v>48</v>
      </c>
      <c r="H9129" t="s">
        <v>49</v>
      </c>
      <c r="I9129" t="s">
        <v>8964</v>
      </c>
      <c r="J9129" t="s">
        <v>17354</v>
      </c>
      <c r="K9129" t="s">
        <v>17355</v>
      </c>
      <c r="L9129" t="s">
        <v>53</v>
      </c>
      <c r="N9129" t="s">
        <v>17438</v>
      </c>
      <c r="P9129" t="s">
        <v>55</v>
      </c>
      <c r="R9129" t="s">
        <v>53</v>
      </c>
      <c r="T9129" t="s">
        <v>17439</v>
      </c>
      <c r="U9129" t="s">
        <v>55</v>
      </c>
      <c r="V9129">
        <v>1</v>
      </c>
      <c r="W9129">
        <v>1</v>
      </c>
      <c r="X9129">
        <v>3</v>
      </c>
      <c r="Y9129">
        <v>1</v>
      </c>
      <c r="Z9129">
        <v>4</v>
      </c>
      <c r="AA9129">
        <v>0</v>
      </c>
      <c r="AB9129">
        <v>0</v>
      </c>
      <c r="AC9129">
        <v>188</v>
      </c>
      <c r="AD9129">
        <v>0</v>
      </c>
      <c r="AE9129">
        <v>0</v>
      </c>
      <c r="AF9129">
        <v>0</v>
      </c>
      <c r="AG9129">
        <v>0</v>
      </c>
      <c r="AH9129">
        <v>0</v>
      </c>
      <c r="AI9129">
        <v>28.2</v>
      </c>
      <c r="AJ9129">
        <v>188</v>
      </c>
      <c r="AK9129">
        <v>188</v>
      </c>
      <c r="AL9129" t="s">
        <v>53</v>
      </c>
      <c r="AM9129" t="s">
        <v>53</v>
      </c>
      <c r="AN9129" t="s">
        <v>53</v>
      </c>
      <c r="AO9129" t="s">
        <v>53</v>
      </c>
      <c r="AP9129" t="s">
        <v>53</v>
      </c>
    </row>
    <row r="9130" spans="2:42" x14ac:dyDescent="0.2">
      <c r="B9130" t="s">
        <v>44</v>
      </c>
      <c r="C9130" t="str">
        <f>HYPERLINK("https://us2.cloudbeds.com/connect/8493803454333002#/reservations/9080486849279900?display=58BQG1SRBR&amp;reservation_id=9080486849279900", "58BQG1SRBR")</f>
        <v>58BQG1SRBR</v>
      </c>
      <c r="D9130" t="s">
        <v>45</v>
      </c>
      <c r="E9130" t="s">
        <v>78</v>
      </c>
      <c r="F9130" t="s">
        <v>61</v>
      </c>
      <c r="G9130" t="s">
        <v>48</v>
      </c>
      <c r="H9130" t="s">
        <v>49</v>
      </c>
      <c r="I9130" t="s">
        <v>50</v>
      </c>
      <c r="J9130" t="s">
        <v>15735</v>
      </c>
      <c r="K9130" t="s">
        <v>14668</v>
      </c>
      <c r="L9130" t="s">
        <v>53</v>
      </c>
      <c r="N9130" t="s">
        <v>17440</v>
      </c>
      <c r="P9130" t="s">
        <v>55</v>
      </c>
      <c r="R9130" t="s">
        <v>53</v>
      </c>
      <c r="T9130" t="s">
        <v>17441</v>
      </c>
      <c r="U9130" t="s">
        <v>55</v>
      </c>
      <c r="V9130">
        <v>1</v>
      </c>
      <c r="W9130">
        <v>1</v>
      </c>
      <c r="X9130">
        <v>2</v>
      </c>
      <c r="Y9130">
        <v>0</v>
      </c>
      <c r="Z9130">
        <v>2</v>
      </c>
      <c r="AA9130">
        <v>236.89</v>
      </c>
      <c r="AB9130">
        <v>236.89</v>
      </c>
      <c r="AC9130">
        <v>217.83</v>
      </c>
      <c r="AD9130">
        <v>0</v>
      </c>
      <c r="AE9130">
        <v>19.059999999999999</v>
      </c>
      <c r="AF9130">
        <v>0</v>
      </c>
      <c r="AG9130">
        <v>0</v>
      </c>
      <c r="AH9130">
        <v>0</v>
      </c>
      <c r="AI9130">
        <v>42.64</v>
      </c>
      <c r="AJ9130">
        <v>236.89</v>
      </c>
      <c r="AK9130">
        <v>0</v>
      </c>
      <c r="AL9130" t="s">
        <v>53</v>
      </c>
      <c r="AM9130" t="s">
        <v>53</v>
      </c>
      <c r="AN9130" t="s">
        <v>53</v>
      </c>
      <c r="AO9130" t="s">
        <v>53</v>
      </c>
      <c r="AP9130" t="s">
        <v>53</v>
      </c>
    </row>
    <row r="9131" spans="2:42" x14ac:dyDescent="0.2">
      <c r="B9131" t="s">
        <v>44</v>
      </c>
      <c r="C9131" t="str">
        <f>HYPERLINK("https://us2.cloudbeds.com/connect/8493803454333002#/reservations/9080486849281691?display=58D40TJQ1N&amp;reservation_id=9080486849281691", "58D40TJQ1N")</f>
        <v>58D40TJQ1N</v>
      </c>
      <c r="D9131" t="s">
        <v>45</v>
      </c>
      <c r="E9131" t="s">
        <v>98</v>
      </c>
      <c r="F9131" t="s">
        <v>86</v>
      </c>
      <c r="G9131" t="s">
        <v>48</v>
      </c>
      <c r="H9131" t="s">
        <v>49</v>
      </c>
      <c r="I9131" t="s">
        <v>50</v>
      </c>
      <c r="J9131" t="s">
        <v>15735</v>
      </c>
      <c r="K9131" t="s">
        <v>14668</v>
      </c>
      <c r="L9131" t="s">
        <v>53</v>
      </c>
      <c r="N9131" t="s">
        <v>17442</v>
      </c>
      <c r="P9131" t="s">
        <v>55</v>
      </c>
      <c r="R9131" t="s">
        <v>53</v>
      </c>
      <c r="T9131" t="s">
        <v>17443</v>
      </c>
      <c r="U9131" t="s">
        <v>55</v>
      </c>
      <c r="V9131">
        <v>1</v>
      </c>
      <c r="W9131">
        <v>1</v>
      </c>
      <c r="X9131">
        <v>2</v>
      </c>
      <c r="Y9131">
        <v>0</v>
      </c>
      <c r="Z9131">
        <v>2</v>
      </c>
      <c r="AA9131">
        <v>250.22</v>
      </c>
      <c r="AB9131">
        <v>250.22</v>
      </c>
      <c r="AC9131">
        <v>230.09</v>
      </c>
      <c r="AD9131">
        <v>0</v>
      </c>
      <c r="AE9131">
        <v>20.13</v>
      </c>
      <c r="AF9131">
        <v>0</v>
      </c>
      <c r="AG9131">
        <v>0</v>
      </c>
      <c r="AH9131">
        <v>0</v>
      </c>
      <c r="AI9131">
        <v>45.04</v>
      </c>
      <c r="AJ9131">
        <v>250.22</v>
      </c>
      <c r="AK9131">
        <v>0</v>
      </c>
      <c r="AL9131" t="s">
        <v>53</v>
      </c>
      <c r="AM9131" t="s">
        <v>53</v>
      </c>
      <c r="AN9131" t="s">
        <v>53</v>
      </c>
      <c r="AO9131" t="s">
        <v>53</v>
      </c>
      <c r="AP9131" t="s">
        <v>53</v>
      </c>
    </row>
    <row r="9132" spans="2:42" x14ac:dyDescent="0.2">
      <c r="B9132" t="s">
        <v>44</v>
      </c>
      <c r="C9132" t="str">
        <f>HYPERLINK("https://us2.cloudbeds.com/connect/8493803454333002#/reservations/9080486849286567?display=58HGCS42W4&amp;reservation_id=9080486849286567", "58HGCS42W4")</f>
        <v>58HGCS42W4</v>
      </c>
      <c r="D9132" t="s">
        <v>45</v>
      </c>
      <c r="E9132" t="s">
        <v>373</v>
      </c>
      <c r="F9132" t="s">
        <v>47</v>
      </c>
      <c r="G9132" t="s">
        <v>48</v>
      </c>
      <c r="H9132" t="s">
        <v>49</v>
      </c>
      <c r="I9132" t="s">
        <v>50</v>
      </c>
      <c r="J9132" t="s">
        <v>14668</v>
      </c>
      <c r="K9132" t="s">
        <v>14655</v>
      </c>
      <c r="L9132" t="s">
        <v>53</v>
      </c>
      <c r="N9132" t="s">
        <v>17444</v>
      </c>
      <c r="P9132" t="s">
        <v>55</v>
      </c>
      <c r="R9132" t="s">
        <v>53</v>
      </c>
      <c r="T9132" t="s">
        <v>17445</v>
      </c>
      <c r="U9132" t="s">
        <v>55</v>
      </c>
      <c r="V9132">
        <v>4</v>
      </c>
      <c r="W9132">
        <v>1</v>
      </c>
      <c r="X9132">
        <v>2</v>
      </c>
      <c r="Y9132">
        <v>0</v>
      </c>
      <c r="Z9132">
        <v>2</v>
      </c>
      <c r="AA9132">
        <v>645.95000000000005</v>
      </c>
      <c r="AB9132">
        <v>651.42999999999995</v>
      </c>
      <c r="AC9132">
        <v>593.98</v>
      </c>
      <c r="AD9132">
        <v>5</v>
      </c>
      <c r="AE9132">
        <v>52.45</v>
      </c>
      <c r="AF9132">
        <v>0</v>
      </c>
      <c r="AG9132">
        <v>0</v>
      </c>
      <c r="AH9132">
        <v>0</v>
      </c>
      <c r="AI9132">
        <v>117.26</v>
      </c>
      <c r="AJ9132">
        <v>651.42999999999995</v>
      </c>
      <c r="AK9132">
        <v>0</v>
      </c>
      <c r="AL9132" t="s">
        <v>53</v>
      </c>
      <c r="AM9132" t="s">
        <v>53</v>
      </c>
      <c r="AN9132" t="s">
        <v>17446</v>
      </c>
      <c r="AO9132" t="s">
        <v>53</v>
      </c>
      <c r="AP9132" t="s">
        <v>53</v>
      </c>
    </row>
    <row r="9133" spans="2:42" x14ac:dyDescent="0.2">
      <c r="B9133" t="s">
        <v>44</v>
      </c>
      <c r="C9133" t="str">
        <f>HYPERLINK("https://us2.cloudbeds.com/connect/8493803454333002#/reservations/244076351873216?display=58X0DGVFZU&amp;reservation_id=244076351873216", "58X0DGVFZU")</f>
        <v>58X0DGVFZU</v>
      </c>
      <c r="D9133" t="s">
        <v>45</v>
      </c>
      <c r="E9133" t="s">
        <v>14695</v>
      </c>
      <c r="F9133" t="s">
        <v>47</v>
      </c>
      <c r="G9133" t="s">
        <v>48</v>
      </c>
      <c r="H9133" t="s">
        <v>3957</v>
      </c>
      <c r="I9133" t="s">
        <v>3975</v>
      </c>
      <c r="J9133" t="s">
        <v>16205</v>
      </c>
      <c r="K9133" t="s">
        <v>15548</v>
      </c>
      <c r="L9133" t="s">
        <v>53</v>
      </c>
      <c r="P9133" t="s">
        <v>55</v>
      </c>
      <c r="R9133" t="s">
        <v>56</v>
      </c>
      <c r="T9133" t="s">
        <v>17447</v>
      </c>
      <c r="U9133" t="s">
        <v>58</v>
      </c>
      <c r="V9133">
        <v>4</v>
      </c>
      <c r="W9133">
        <v>1</v>
      </c>
      <c r="X9133">
        <v>2</v>
      </c>
      <c r="Y9133">
        <v>0</v>
      </c>
      <c r="Z9133">
        <v>2</v>
      </c>
      <c r="AA9133">
        <v>0</v>
      </c>
      <c r="AB9133">
        <v>721.16</v>
      </c>
      <c r="AC9133">
        <v>629</v>
      </c>
      <c r="AD9133">
        <v>0</v>
      </c>
      <c r="AE9133">
        <v>92.16</v>
      </c>
      <c r="AF9133">
        <v>0</v>
      </c>
      <c r="AG9133">
        <v>0</v>
      </c>
      <c r="AH9133">
        <v>0</v>
      </c>
      <c r="AI9133">
        <v>0</v>
      </c>
      <c r="AJ9133">
        <v>721.16</v>
      </c>
      <c r="AK9133">
        <v>0</v>
      </c>
      <c r="AL9133" t="s">
        <v>53</v>
      </c>
      <c r="AM9133" t="s">
        <v>53</v>
      </c>
      <c r="AN9133" t="s">
        <v>17448</v>
      </c>
      <c r="AO9133" t="s">
        <v>53</v>
      </c>
      <c r="AP9133" t="s">
        <v>53</v>
      </c>
    </row>
    <row r="9134" spans="2:42" x14ac:dyDescent="0.2">
      <c r="B9134" t="s">
        <v>44</v>
      </c>
      <c r="C9134" t="str">
        <f>HYPERLINK("https://us2.cloudbeds.com/connect/8493803454333002#/reservations/9080486849287803?display=58X6V28EQA&amp;reservation_id=9080486849287803", "58X6V28EQA")</f>
        <v>58X6V28EQA</v>
      </c>
      <c r="D9134" t="s">
        <v>10291</v>
      </c>
      <c r="E9134" t="s">
        <v>138</v>
      </c>
      <c r="F9134" t="s">
        <v>70</v>
      </c>
      <c r="G9134" t="s">
        <v>48</v>
      </c>
      <c r="H9134" t="s">
        <v>49</v>
      </c>
      <c r="I9134" t="s">
        <v>50</v>
      </c>
      <c r="J9134" t="s">
        <v>17381</v>
      </c>
      <c r="K9134" t="s">
        <v>17449</v>
      </c>
      <c r="L9134" t="s">
        <v>53</v>
      </c>
      <c r="N9134" t="s">
        <v>17450</v>
      </c>
      <c r="P9134" t="s">
        <v>55</v>
      </c>
      <c r="R9134" t="s">
        <v>53</v>
      </c>
      <c r="T9134" t="s">
        <v>17451</v>
      </c>
      <c r="U9134" t="s">
        <v>55</v>
      </c>
      <c r="V9134">
        <v>1</v>
      </c>
      <c r="W9134">
        <v>1</v>
      </c>
      <c r="X9134">
        <v>2</v>
      </c>
      <c r="Y9134">
        <v>0</v>
      </c>
      <c r="Z9134">
        <v>2</v>
      </c>
      <c r="AA9134">
        <v>161</v>
      </c>
      <c r="AB9134">
        <v>0</v>
      </c>
      <c r="AC9134">
        <v>148.05000000000001</v>
      </c>
      <c r="AD9134">
        <v>0</v>
      </c>
      <c r="AE9134">
        <v>12.95</v>
      </c>
      <c r="AF9134">
        <v>0</v>
      </c>
      <c r="AG9134">
        <v>0</v>
      </c>
      <c r="AH9134">
        <v>0</v>
      </c>
      <c r="AI9134">
        <v>28.98</v>
      </c>
      <c r="AJ9134">
        <v>161</v>
      </c>
      <c r="AK9134">
        <v>161</v>
      </c>
      <c r="AL9134" t="s">
        <v>53</v>
      </c>
      <c r="AM9134" t="s">
        <v>53</v>
      </c>
      <c r="AN9134" t="s">
        <v>53</v>
      </c>
      <c r="AO9134" t="s">
        <v>53</v>
      </c>
      <c r="AP9134" t="s">
        <v>53</v>
      </c>
    </row>
    <row r="9135" spans="2:42" x14ac:dyDescent="0.2">
      <c r="B9135" t="s">
        <v>44</v>
      </c>
      <c r="C9135" t="str">
        <f>HYPERLINK("https://us2.cloudbeds.com/connect/8493803454333002#/reservations/244091249295552?display=58XBV5STY4&amp;reservation_id=244091249295552", "58XBV5STY4")</f>
        <v>58XBV5STY4</v>
      </c>
      <c r="D9135" t="s">
        <v>45</v>
      </c>
      <c r="E9135" t="s">
        <v>373</v>
      </c>
      <c r="F9135" t="s">
        <v>47</v>
      </c>
      <c r="G9135" t="s">
        <v>48</v>
      </c>
      <c r="H9135" t="s">
        <v>3957</v>
      </c>
      <c r="I9135" t="s">
        <v>3975</v>
      </c>
      <c r="J9135" t="s">
        <v>17289</v>
      </c>
      <c r="K9135" t="s">
        <v>14632</v>
      </c>
      <c r="L9135" t="s">
        <v>53</v>
      </c>
      <c r="P9135" t="s">
        <v>55</v>
      </c>
      <c r="R9135" t="s">
        <v>56</v>
      </c>
      <c r="T9135" t="s">
        <v>17452</v>
      </c>
      <c r="U9135" t="s">
        <v>58</v>
      </c>
      <c r="V9135">
        <v>2</v>
      </c>
      <c r="W9135">
        <v>1</v>
      </c>
      <c r="X9135">
        <v>2</v>
      </c>
      <c r="Y9135">
        <v>0</v>
      </c>
      <c r="Z9135">
        <v>2</v>
      </c>
      <c r="AA9135">
        <v>327.91</v>
      </c>
      <c r="AB9135">
        <v>327.91</v>
      </c>
      <c r="AC9135">
        <v>286</v>
      </c>
      <c r="AD9135">
        <v>0</v>
      </c>
      <c r="AE9135">
        <v>41.91</v>
      </c>
      <c r="AF9135">
        <v>0</v>
      </c>
      <c r="AG9135">
        <v>0</v>
      </c>
      <c r="AH9135">
        <v>0</v>
      </c>
      <c r="AI9135">
        <v>0</v>
      </c>
      <c r="AJ9135">
        <v>327.91</v>
      </c>
      <c r="AK9135">
        <v>0</v>
      </c>
      <c r="AL9135" t="s">
        <v>53</v>
      </c>
      <c r="AM9135" t="s">
        <v>53</v>
      </c>
      <c r="AN9135" t="s">
        <v>53</v>
      </c>
      <c r="AO9135" t="s">
        <v>53</v>
      </c>
      <c r="AP9135" t="s">
        <v>53</v>
      </c>
    </row>
    <row r="9136" spans="2:42" x14ac:dyDescent="0.2">
      <c r="B9136" t="s">
        <v>44</v>
      </c>
      <c r="C9136" t="str">
        <f>HYPERLINK("https://us2.cloudbeds.com/connect/8493803454333002#/reservations/9080486849290002?display=58JFVVAS67&amp;reservation_id=9080486849290002", "58JFVVAS67")</f>
        <v>58JFVVAS67</v>
      </c>
      <c r="D9136" t="s">
        <v>45</v>
      </c>
      <c r="E9136" t="s">
        <v>128</v>
      </c>
      <c r="F9136" t="s">
        <v>86</v>
      </c>
      <c r="G9136" t="s">
        <v>48</v>
      </c>
      <c r="H9136" t="s">
        <v>49</v>
      </c>
      <c r="I9136" t="s">
        <v>62</v>
      </c>
      <c r="J9136" t="s">
        <v>14668</v>
      </c>
      <c r="K9136" t="s">
        <v>15738</v>
      </c>
      <c r="L9136" t="s">
        <v>53</v>
      </c>
      <c r="N9136" t="s">
        <v>17453</v>
      </c>
      <c r="P9136" t="s">
        <v>55</v>
      </c>
      <c r="R9136" t="s">
        <v>56</v>
      </c>
      <c r="T9136" t="s">
        <v>17454</v>
      </c>
      <c r="U9136" t="s">
        <v>55</v>
      </c>
      <c r="V9136">
        <v>1</v>
      </c>
      <c r="W9136">
        <v>1</v>
      </c>
      <c r="X9136">
        <v>3</v>
      </c>
      <c r="Y9136">
        <v>1</v>
      </c>
      <c r="Z9136">
        <v>4</v>
      </c>
      <c r="AA9136">
        <v>284.05</v>
      </c>
      <c r="AB9136">
        <v>284.05</v>
      </c>
      <c r="AC9136">
        <v>284.05</v>
      </c>
      <c r="AD9136">
        <v>0</v>
      </c>
      <c r="AE9136">
        <v>0</v>
      </c>
      <c r="AF9136">
        <v>0</v>
      </c>
      <c r="AG9136">
        <v>0</v>
      </c>
      <c r="AH9136">
        <v>0</v>
      </c>
      <c r="AI9136">
        <v>51.13</v>
      </c>
      <c r="AJ9136">
        <v>284.05</v>
      </c>
      <c r="AK9136">
        <v>0</v>
      </c>
      <c r="AL9136" t="s">
        <v>53</v>
      </c>
      <c r="AM9136" t="s">
        <v>53</v>
      </c>
      <c r="AN9136" t="s">
        <v>53</v>
      </c>
      <c r="AO9136" t="s">
        <v>53</v>
      </c>
      <c r="AP9136" t="s">
        <v>53</v>
      </c>
    </row>
    <row r="9137" spans="2:42" x14ac:dyDescent="0.2">
      <c r="B9137" t="s">
        <v>44</v>
      </c>
      <c r="C9137" t="str">
        <f>HYPERLINK("https://us2.cloudbeds.com/connect/8493803454333002#/reservations/9080486849290644?display=58JT1KMBXR&amp;reservation_id=9080486849290644", "58JT1KMBXR")</f>
        <v>58JT1KMBXR</v>
      </c>
      <c r="D9137" t="s">
        <v>45</v>
      </c>
      <c r="E9137" t="s">
        <v>17455</v>
      </c>
      <c r="F9137" t="s">
        <v>47</v>
      </c>
      <c r="G9137" t="s">
        <v>48</v>
      </c>
      <c r="H9137" t="s">
        <v>49</v>
      </c>
      <c r="I9137" t="s">
        <v>62</v>
      </c>
      <c r="J9137" t="s">
        <v>17289</v>
      </c>
      <c r="K9137" t="s">
        <v>14632</v>
      </c>
      <c r="L9137" t="s">
        <v>53</v>
      </c>
      <c r="N9137" t="s">
        <v>17456</v>
      </c>
      <c r="P9137" t="s">
        <v>55</v>
      </c>
      <c r="R9137" t="s">
        <v>56</v>
      </c>
      <c r="T9137" t="s">
        <v>17457</v>
      </c>
      <c r="U9137" t="s">
        <v>55</v>
      </c>
      <c r="V9137">
        <v>4</v>
      </c>
      <c r="W9137">
        <v>2</v>
      </c>
      <c r="X9137">
        <v>2</v>
      </c>
      <c r="Y9137">
        <v>0</v>
      </c>
      <c r="Z9137">
        <v>2</v>
      </c>
      <c r="AA9137">
        <v>664.7</v>
      </c>
      <c r="AB9137">
        <v>664.7</v>
      </c>
      <c r="AC9137">
        <v>664.7</v>
      </c>
      <c r="AD9137">
        <v>0</v>
      </c>
      <c r="AE9137">
        <v>0</v>
      </c>
      <c r="AF9137">
        <v>0</v>
      </c>
      <c r="AG9137">
        <v>0</v>
      </c>
      <c r="AH9137">
        <v>0</v>
      </c>
      <c r="AI9137">
        <v>119.65</v>
      </c>
      <c r="AJ9137">
        <v>664.7</v>
      </c>
      <c r="AK9137">
        <v>0</v>
      </c>
      <c r="AL9137" t="s">
        <v>53</v>
      </c>
      <c r="AM9137" t="s">
        <v>53</v>
      </c>
      <c r="AN9137" t="s">
        <v>53</v>
      </c>
      <c r="AO9137" t="s">
        <v>53</v>
      </c>
      <c r="AP9137" t="s">
        <v>53</v>
      </c>
    </row>
    <row r="9138" spans="2:42" x14ac:dyDescent="0.2">
      <c r="B9138" t="s">
        <v>44</v>
      </c>
      <c r="C9138" t="str">
        <f>HYPERLINK("https://us2.cloudbeds.com/connect/8493803454333002#/reservations/244172694888576?display=58K909V4AW&amp;reservation_id=244172694888576", "58K909V4AW")</f>
        <v>58K909V4AW</v>
      </c>
      <c r="D9138" t="s">
        <v>45</v>
      </c>
      <c r="E9138" t="s">
        <v>305</v>
      </c>
      <c r="F9138" t="s">
        <v>61</v>
      </c>
      <c r="G9138" t="s">
        <v>4520</v>
      </c>
      <c r="H9138" t="s">
        <v>3957</v>
      </c>
      <c r="I9138" t="s">
        <v>3958</v>
      </c>
      <c r="J9138" t="s">
        <v>14668</v>
      </c>
      <c r="K9138" t="s">
        <v>15738</v>
      </c>
      <c r="L9138" t="s">
        <v>53</v>
      </c>
      <c r="P9138" t="s">
        <v>55</v>
      </c>
      <c r="R9138" t="s">
        <v>56</v>
      </c>
      <c r="T9138" t="s">
        <v>17458</v>
      </c>
      <c r="U9138" t="s">
        <v>58</v>
      </c>
      <c r="V9138">
        <v>1</v>
      </c>
      <c r="W9138">
        <v>1</v>
      </c>
      <c r="X9138">
        <v>1</v>
      </c>
      <c r="Y9138">
        <v>0</v>
      </c>
      <c r="Z9138">
        <v>1</v>
      </c>
      <c r="AA9138">
        <v>244.56</v>
      </c>
      <c r="AB9138">
        <v>255.5</v>
      </c>
      <c r="AC9138">
        <v>213.3</v>
      </c>
      <c r="AD9138">
        <v>10</v>
      </c>
      <c r="AE9138">
        <v>32.200000000000003</v>
      </c>
      <c r="AF9138">
        <v>0</v>
      </c>
      <c r="AG9138">
        <v>0</v>
      </c>
      <c r="AH9138">
        <v>0</v>
      </c>
      <c r="AI9138">
        <v>0</v>
      </c>
      <c r="AJ9138">
        <v>255.5</v>
      </c>
      <c r="AK9138">
        <v>0</v>
      </c>
      <c r="AL9138" t="s">
        <v>53</v>
      </c>
      <c r="AM9138" t="s">
        <v>53</v>
      </c>
      <c r="AN9138" t="s">
        <v>53</v>
      </c>
      <c r="AO9138" t="s">
        <v>53</v>
      </c>
      <c r="AP9138" t="s">
        <v>53</v>
      </c>
    </row>
    <row r="9139" spans="2:42" x14ac:dyDescent="0.2">
      <c r="B9139" t="s">
        <v>44</v>
      </c>
      <c r="C9139" t="str">
        <f>HYPERLINK("https://us2.cloudbeds.com/connect/8493803454333002#/reservations/9080486849291451?display=58KEYF8CTS&amp;reservation_id=9080486849291451", "58KEYF8CTS")</f>
        <v>58KEYF8CTS</v>
      </c>
      <c r="D9139" t="s">
        <v>9111</v>
      </c>
      <c r="E9139" t="s">
        <v>128</v>
      </c>
      <c r="F9139" t="s">
        <v>86</v>
      </c>
      <c r="G9139" t="s">
        <v>48</v>
      </c>
      <c r="H9139" t="s">
        <v>49</v>
      </c>
      <c r="I9139" t="s">
        <v>50</v>
      </c>
      <c r="J9139" t="s">
        <v>17389</v>
      </c>
      <c r="K9139" t="s">
        <v>17135</v>
      </c>
      <c r="L9139" t="s">
        <v>53</v>
      </c>
      <c r="N9139" t="s">
        <v>17459</v>
      </c>
      <c r="P9139" t="s">
        <v>55</v>
      </c>
      <c r="R9139" t="s">
        <v>53</v>
      </c>
      <c r="T9139" t="s">
        <v>17460</v>
      </c>
      <c r="U9139" t="s">
        <v>58</v>
      </c>
      <c r="V9139">
        <v>2</v>
      </c>
      <c r="W9139">
        <v>1</v>
      </c>
      <c r="X9139">
        <v>2</v>
      </c>
      <c r="Y9139">
        <v>0</v>
      </c>
      <c r="Z9139">
        <v>2</v>
      </c>
      <c r="AA9139">
        <v>523.42999999999995</v>
      </c>
      <c r="AB9139">
        <v>523.42999999999995</v>
      </c>
      <c r="AC9139">
        <v>456.55</v>
      </c>
      <c r="AD9139">
        <v>0</v>
      </c>
      <c r="AE9139">
        <v>66.88</v>
      </c>
      <c r="AF9139">
        <v>0</v>
      </c>
      <c r="AG9139">
        <v>0</v>
      </c>
      <c r="AH9139">
        <v>0</v>
      </c>
      <c r="AI9139">
        <v>94.22</v>
      </c>
      <c r="AJ9139">
        <v>523.42999999999995</v>
      </c>
      <c r="AK9139">
        <v>0</v>
      </c>
      <c r="AL9139" t="s">
        <v>53</v>
      </c>
      <c r="AM9139" t="s">
        <v>53</v>
      </c>
      <c r="AN9139" t="s">
        <v>53</v>
      </c>
      <c r="AO9139" t="s">
        <v>53</v>
      </c>
      <c r="AP9139" t="s">
        <v>53</v>
      </c>
    </row>
    <row r="9140" spans="2:42" x14ac:dyDescent="0.2">
      <c r="B9140" t="s">
        <v>44</v>
      </c>
      <c r="C9140" t="str">
        <f>HYPERLINK("https://us2.cloudbeds.com/connect/8493803454333002#/reservations/9080486849291745?display=58KYCSPDN5&amp;reservation_id=9080486849291745", "58KYCSPDN5")</f>
        <v>58KYCSPDN5</v>
      </c>
      <c r="D9140" t="s">
        <v>45</v>
      </c>
      <c r="E9140" t="s">
        <v>223</v>
      </c>
      <c r="F9140" t="s">
        <v>47</v>
      </c>
      <c r="G9140" t="s">
        <v>48</v>
      </c>
      <c r="H9140" t="s">
        <v>49</v>
      </c>
      <c r="I9140" t="s">
        <v>62</v>
      </c>
      <c r="J9140" t="s">
        <v>14971</v>
      </c>
      <c r="K9140" t="s">
        <v>15947</v>
      </c>
      <c r="L9140" t="s">
        <v>53</v>
      </c>
      <c r="N9140" t="s">
        <v>17461</v>
      </c>
      <c r="P9140" t="s">
        <v>55</v>
      </c>
      <c r="R9140" t="s">
        <v>56</v>
      </c>
      <c r="T9140" t="s">
        <v>17462</v>
      </c>
      <c r="U9140" t="s">
        <v>55</v>
      </c>
      <c r="V9140">
        <v>1</v>
      </c>
      <c r="W9140">
        <v>1</v>
      </c>
      <c r="X9140">
        <v>2</v>
      </c>
      <c r="Y9140">
        <v>0</v>
      </c>
      <c r="Z9140">
        <v>2</v>
      </c>
      <c r="AA9140">
        <v>235.98</v>
      </c>
      <c r="AB9140">
        <v>235.98</v>
      </c>
      <c r="AC9140">
        <v>235.98</v>
      </c>
      <c r="AD9140">
        <v>0</v>
      </c>
      <c r="AE9140">
        <v>0</v>
      </c>
      <c r="AF9140">
        <v>0</v>
      </c>
      <c r="AG9140">
        <v>0</v>
      </c>
      <c r="AH9140">
        <v>0</v>
      </c>
      <c r="AI9140">
        <v>42.48</v>
      </c>
      <c r="AJ9140">
        <v>235.98</v>
      </c>
      <c r="AK9140">
        <v>0</v>
      </c>
      <c r="AL9140" t="s">
        <v>53</v>
      </c>
      <c r="AM9140" t="s">
        <v>53</v>
      </c>
      <c r="AN9140" t="s">
        <v>17463</v>
      </c>
      <c r="AO9140" t="s">
        <v>53</v>
      </c>
      <c r="AP9140" t="s">
        <v>53</v>
      </c>
    </row>
    <row r="9141" spans="2:42" x14ac:dyDescent="0.2">
      <c r="B9141" t="s">
        <v>44</v>
      </c>
      <c r="C9141" t="str">
        <f>HYPERLINK("https://us2.cloudbeds.com/connect/8493803454333002#/reservations/9080486849292025?display=58KSZZF1NC&amp;reservation_id=9080486849292025", "58KSZZF1NC")</f>
        <v>58KSZZF1NC</v>
      </c>
      <c r="D9141" t="s">
        <v>45</v>
      </c>
      <c r="E9141" t="s">
        <v>179</v>
      </c>
      <c r="F9141" t="s">
        <v>47</v>
      </c>
      <c r="G9141" t="s">
        <v>48</v>
      </c>
      <c r="H9141" t="s">
        <v>49</v>
      </c>
      <c r="I9141" t="s">
        <v>50</v>
      </c>
      <c r="J9141" t="s">
        <v>14668</v>
      </c>
      <c r="K9141" t="s">
        <v>15738</v>
      </c>
      <c r="L9141" t="s">
        <v>53</v>
      </c>
      <c r="N9141" t="s">
        <v>17464</v>
      </c>
      <c r="P9141" t="s">
        <v>55</v>
      </c>
      <c r="R9141" t="s">
        <v>53</v>
      </c>
      <c r="T9141" t="s">
        <v>17465</v>
      </c>
      <c r="U9141" t="s">
        <v>55</v>
      </c>
      <c r="V9141">
        <v>1</v>
      </c>
      <c r="W9141">
        <v>1</v>
      </c>
      <c r="X9141">
        <v>1</v>
      </c>
      <c r="Y9141">
        <v>0</v>
      </c>
      <c r="Z9141">
        <v>1</v>
      </c>
      <c r="AA9141">
        <v>209.2</v>
      </c>
      <c r="AB9141">
        <v>214.68</v>
      </c>
      <c r="AC9141">
        <v>192.37</v>
      </c>
      <c r="AD9141">
        <v>5</v>
      </c>
      <c r="AE9141">
        <v>17.309999999999999</v>
      </c>
      <c r="AF9141">
        <v>0</v>
      </c>
      <c r="AG9141">
        <v>0</v>
      </c>
      <c r="AH9141">
        <v>0</v>
      </c>
      <c r="AI9141">
        <v>38.64</v>
      </c>
      <c r="AJ9141">
        <v>214.68</v>
      </c>
      <c r="AK9141">
        <v>0</v>
      </c>
      <c r="AL9141" t="s">
        <v>53</v>
      </c>
      <c r="AM9141" t="s">
        <v>53</v>
      </c>
      <c r="AN9141" t="s">
        <v>53</v>
      </c>
      <c r="AO9141" t="s">
        <v>53</v>
      </c>
      <c r="AP9141" t="s">
        <v>53</v>
      </c>
    </row>
    <row r="9142" spans="2:42" x14ac:dyDescent="0.2">
      <c r="B9142" t="s">
        <v>44</v>
      </c>
      <c r="C9142" t="str">
        <f>HYPERLINK("https://us2.cloudbeds.com/connect/8493803454333002#/reservations/244230868340864?display=58YY1PAZD0&amp;reservation_id=244230868340864", "58YY1PAZD0")</f>
        <v>58YY1PAZD0</v>
      </c>
      <c r="D9142" t="s">
        <v>45</v>
      </c>
      <c r="E9142" t="s">
        <v>265</v>
      </c>
      <c r="F9142" t="s">
        <v>61</v>
      </c>
      <c r="G9142" t="s">
        <v>48</v>
      </c>
      <c r="H9142" t="s">
        <v>3957</v>
      </c>
      <c r="I9142" t="s">
        <v>3958</v>
      </c>
      <c r="J9142" t="s">
        <v>14668</v>
      </c>
      <c r="K9142" t="s">
        <v>15738</v>
      </c>
      <c r="L9142" t="s">
        <v>53</v>
      </c>
      <c r="P9142" t="s">
        <v>55</v>
      </c>
      <c r="R9142" t="s">
        <v>56</v>
      </c>
      <c r="T9142" t="s">
        <v>17466</v>
      </c>
      <c r="U9142" t="s">
        <v>58</v>
      </c>
      <c r="V9142">
        <v>1</v>
      </c>
      <c r="W9142">
        <v>1</v>
      </c>
      <c r="X9142">
        <v>1</v>
      </c>
      <c r="Y9142">
        <v>0</v>
      </c>
      <c r="Z9142">
        <v>1</v>
      </c>
      <c r="AA9142">
        <v>271.72000000000003</v>
      </c>
      <c r="AB9142">
        <v>543.44000000000005</v>
      </c>
      <c r="AC9142">
        <v>237</v>
      </c>
      <c r="AD9142">
        <v>0</v>
      </c>
      <c r="AE9142">
        <v>34.72</v>
      </c>
      <c r="AF9142">
        <v>0</v>
      </c>
      <c r="AG9142">
        <v>0</v>
      </c>
      <c r="AH9142">
        <v>0</v>
      </c>
      <c r="AI9142">
        <v>0</v>
      </c>
      <c r="AJ9142">
        <v>271.72000000000003</v>
      </c>
      <c r="AK9142">
        <v>-271.72000000000003</v>
      </c>
      <c r="AL9142" t="s">
        <v>53</v>
      </c>
      <c r="AM9142" t="s">
        <v>53</v>
      </c>
      <c r="AN9142" t="s">
        <v>53</v>
      </c>
      <c r="AO9142" t="s">
        <v>53</v>
      </c>
      <c r="AP9142" t="s">
        <v>53</v>
      </c>
    </row>
    <row r="9143" spans="2:42" x14ac:dyDescent="0.2">
      <c r="B9143" t="s">
        <v>44</v>
      </c>
      <c r="C9143" t="str">
        <f>HYPERLINK("https://us2.cloudbeds.com/connect/8493803454333002#/reservations/244240312426688?display=58YSC2R3SQ&amp;reservation_id=244240312426688", "58YSC2R3SQ")</f>
        <v>58YSC2R3SQ</v>
      </c>
      <c r="D9143" t="s">
        <v>9111</v>
      </c>
      <c r="E9143" t="s">
        <v>69</v>
      </c>
      <c r="F9143" t="s">
        <v>70</v>
      </c>
      <c r="G9143" t="s">
        <v>13757</v>
      </c>
      <c r="H9143" t="s">
        <v>3957</v>
      </c>
      <c r="I9143" t="s">
        <v>3975</v>
      </c>
      <c r="J9143" t="s">
        <v>17389</v>
      </c>
      <c r="K9143" t="s">
        <v>17467</v>
      </c>
      <c r="L9143" t="s">
        <v>53</v>
      </c>
      <c r="P9143" t="s">
        <v>55</v>
      </c>
      <c r="R9143" t="s">
        <v>56</v>
      </c>
      <c r="T9143" t="s">
        <v>17468</v>
      </c>
      <c r="U9143" t="s">
        <v>58</v>
      </c>
      <c r="V9143">
        <v>3</v>
      </c>
      <c r="W9143">
        <v>1</v>
      </c>
      <c r="X9143">
        <v>2</v>
      </c>
      <c r="Y9143">
        <v>0</v>
      </c>
      <c r="Z9143">
        <v>2</v>
      </c>
      <c r="AA9143">
        <v>0</v>
      </c>
      <c r="AB9143">
        <v>520.04</v>
      </c>
      <c r="AC9143">
        <v>453.6</v>
      </c>
      <c r="AD9143">
        <v>0</v>
      </c>
      <c r="AE9143">
        <v>66.44</v>
      </c>
      <c r="AF9143">
        <v>0</v>
      </c>
      <c r="AG9143">
        <v>0</v>
      </c>
      <c r="AH9143">
        <v>0</v>
      </c>
      <c r="AI9143">
        <v>0</v>
      </c>
      <c r="AJ9143">
        <v>520.04</v>
      </c>
      <c r="AK9143">
        <v>0</v>
      </c>
      <c r="AL9143" t="s">
        <v>53</v>
      </c>
      <c r="AM9143" t="s">
        <v>53</v>
      </c>
      <c r="AN9143" t="s">
        <v>17469</v>
      </c>
      <c r="AO9143" t="s">
        <v>53</v>
      </c>
      <c r="AP9143" t="s">
        <v>53</v>
      </c>
    </row>
    <row r="9144" spans="2:42" x14ac:dyDescent="0.2">
      <c r="B9144" t="s">
        <v>44</v>
      </c>
      <c r="C9144" t="str">
        <f>HYPERLINK("https://us2.cloudbeds.com/connect/8493803454333002#/reservations/9080486849293583?display=58MCNTCTD7&amp;reservation_id=9080486849293583", "58MCNTCTD7")</f>
        <v>58MCNTCTD7</v>
      </c>
      <c r="D9144" t="s">
        <v>45</v>
      </c>
      <c r="E9144" t="s">
        <v>213</v>
      </c>
      <c r="F9144" t="s">
        <v>86</v>
      </c>
      <c r="G9144" t="s">
        <v>48</v>
      </c>
      <c r="H9144" t="s">
        <v>49</v>
      </c>
      <c r="I9144" t="s">
        <v>50</v>
      </c>
      <c r="J9144" t="s">
        <v>14655</v>
      </c>
      <c r="K9144" t="s">
        <v>14656</v>
      </c>
      <c r="L9144" t="s">
        <v>53</v>
      </c>
      <c r="N9144" t="s">
        <v>17470</v>
      </c>
      <c r="P9144" t="s">
        <v>55</v>
      </c>
      <c r="R9144" t="s">
        <v>53</v>
      </c>
      <c r="T9144" t="s">
        <v>17471</v>
      </c>
      <c r="U9144" t="s">
        <v>58</v>
      </c>
      <c r="V9144">
        <v>1</v>
      </c>
      <c r="W9144">
        <v>1</v>
      </c>
      <c r="X9144">
        <v>2</v>
      </c>
      <c r="Y9144">
        <v>0</v>
      </c>
      <c r="Z9144">
        <v>2</v>
      </c>
      <c r="AA9144">
        <v>379.72</v>
      </c>
      <c r="AB9144">
        <v>379.72</v>
      </c>
      <c r="AC9144">
        <v>331.2</v>
      </c>
      <c r="AD9144">
        <v>0</v>
      </c>
      <c r="AE9144">
        <v>48.52</v>
      </c>
      <c r="AF9144">
        <v>0</v>
      </c>
      <c r="AG9144">
        <v>0</v>
      </c>
      <c r="AH9144">
        <v>0</v>
      </c>
      <c r="AI9144">
        <v>68.349999999999994</v>
      </c>
      <c r="AJ9144">
        <v>379.72</v>
      </c>
      <c r="AK9144">
        <v>0</v>
      </c>
      <c r="AL9144" t="s">
        <v>53</v>
      </c>
      <c r="AM9144" t="s">
        <v>53</v>
      </c>
      <c r="AN9144" t="s">
        <v>17472</v>
      </c>
      <c r="AO9144" t="s">
        <v>53</v>
      </c>
      <c r="AP9144" t="s">
        <v>53</v>
      </c>
    </row>
    <row r="9145" spans="2:42" x14ac:dyDescent="0.2">
      <c r="B9145" t="s">
        <v>44</v>
      </c>
      <c r="C9145" t="str">
        <f>HYPERLINK("https://us2.cloudbeds.com/connect/8493803454333002#/reservations/9080486849293837?display=58MJBHTQ2Y&amp;reservation_id=9080486849293837", "58MJBHTQ2Y")</f>
        <v>58MJBHTQ2Y</v>
      </c>
      <c r="D9145" t="s">
        <v>45</v>
      </c>
      <c r="E9145" t="s">
        <v>190</v>
      </c>
      <c r="F9145" t="s">
        <v>61</v>
      </c>
      <c r="G9145" t="s">
        <v>48</v>
      </c>
      <c r="H9145" t="s">
        <v>49</v>
      </c>
      <c r="I9145" t="s">
        <v>8964</v>
      </c>
      <c r="J9145" t="s">
        <v>15876</v>
      </c>
      <c r="K9145" t="s">
        <v>17216</v>
      </c>
      <c r="L9145" t="s">
        <v>53</v>
      </c>
      <c r="N9145" t="s">
        <v>17473</v>
      </c>
      <c r="P9145" t="s">
        <v>55</v>
      </c>
      <c r="R9145" t="s">
        <v>53</v>
      </c>
      <c r="T9145" t="s">
        <v>17474</v>
      </c>
      <c r="U9145" t="s">
        <v>55</v>
      </c>
      <c r="V9145">
        <v>6</v>
      </c>
      <c r="W9145">
        <v>1</v>
      </c>
      <c r="X9145">
        <v>2</v>
      </c>
      <c r="Y9145">
        <v>0</v>
      </c>
      <c r="Z9145">
        <v>2</v>
      </c>
      <c r="AA9145">
        <v>0</v>
      </c>
      <c r="AB9145">
        <v>0</v>
      </c>
      <c r="AC9145">
        <v>1250</v>
      </c>
      <c r="AD9145">
        <v>0</v>
      </c>
      <c r="AE9145">
        <v>0</v>
      </c>
      <c r="AF9145">
        <v>0</v>
      </c>
      <c r="AG9145">
        <v>0</v>
      </c>
      <c r="AH9145">
        <v>0</v>
      </c>
      <c r="AI9145">
        <v>187.5</v>
      </c>
      <c r="AJ9145">
        <v>1250</v>
      </c>
      <c r="AK9145">
        <v>1250</v>
      </c>
      <c r="AL9145" t="s">
        <v>53</v>
      </c>
      <c r="AM9145" t="s">
        <v>53</v>
      </c>
      <c r="AN9145" t="s">
        <v>17475</v>
      </c>
      <c r="AO9145" t="s">
        <v>53</v>
      </c>
      <c r="AP9145" t="s">
        <v>53</v>
      </c>
    </row>
    <row r="9146" spans="2:42" x14ac:dyDescent="0.2">
      <c r="B9146" t="s">
        <v>44</v>
      </c>
      <c r="C9146" t="str">
        <f>HYPERLINK("https://us2.cloudbeds.com/connect/8493803454333002#/reservations/244522089369728?display=58SFX4KK91&amp;reservation_id=244522089369728", "58SFX4KK91")</f>
        <v>58SFX4KK91</v>
      </c>
      <c r="D9146" t="s">
        <v>45</v>
      </c>
      <c r="E9146" t="s">
        <v>213</v>
      </c>
      <c r="F9146" t="s">
        <v>86</v>
      </c>
      <c r="G9146" t="s">
        <v>48</v>
      </c>
      <c r="H9146" t="s">
        <v>3957</v>
      </c>
      <c r="I9146" t="s">
        <v>3975</v>
      </c>
      <c r="J9146" t="s">
        <v>15867</v>
      </c>
      <c r="K9146" t="s">
        <v>17216</v>
      </c>
      <c r="L9146" t="s">
        <v>53</v>
      </c>
      <c r="P9146" t="s">
        <v>55</v>
      </c>
      <c r="R9146" t="s">
        <v>56</v>
      </c>
      <c r="T9146" t="s">
        <v>17476</v>
      </c>
      <c r="U9146" t="s">
        <v>58</v>
      </c>
      <c r="V9146">
        <v>2</v>
      </c>
      <c r="W9146">
        <v>1</v>
      </c>
      <c r="X9146">
        <v>2</v>
      </c>
      <c r="Y9146">
        <v>1</v>
      </c>
      <c r="Z9146">
        <v>3</v>
      </c>
      <c r="AA9146">
        <v>0</v>
      </c>
      <c r="AB9146">
        <v>650.07000000000005</v>
      </c>
      <c r="AC9146">
        <v>567</v>
      </c>
      <c r="AD9146">
        <v>0</v>
      </c>
      <c r="AE9146">
        <v>83.07</v>
      </c>
      <c r="AF9146">
        <v>0</v>
      </c>
      <c r="AG9146">
        <v>0</v>
      </c>
      <c r="AH9146">
        <v>0</v>
      </c>
      <c r="AI9146">
        <v>0</v>
      </c>
      <c r="AJ9146">
        <v>650.07000000000005</v>
      </c>
      <c r="AK9146">
        <v>0</v>
      </c>
      <c r="AL9146" t="s">
        <v>53</v>
      </c>
      <c r="AM9146" t="s">
        <v>53</v>
      </c>
      <c r="AN9146" t="s">
        <v>17477</v>
      </c>
      <c r="AO9146" t="s">
        <v>53</v>
      </c>
      <c r="AP9146" t="s">
        <v>53</v>
      </c>
    </row>
    <row r="9147" spans="2:42" x14ac:dyDescent="0.2">
      <c r="B9147" t="s">
        <v>44</v>
      </c>
      <c r="C9147" t="str">
        <f>HYPERLINK("https://us2.cloudbeds.com/connect/8493803454333002#/reservations/9080486849303044?display=58T1CX2MCJ&amp;reservation_id=9080486849303044", "58T1CX2MCJ")</f>
        <v>58T1CX2MCJ</v>
      </c>
      <c r="D9147" t="s">
        <v>45</v>
      </c>
      <c r="E9147" t="s">
        <v>213</v>
      </c>
      <c r="F9147" t="s">
        <v>86</v>
      </c>
      <c r="G9147" t="s">
        <v>48</v>
      </c>
      <c r="H9147" t="s">
        <v>49</v>
      </c>
      <c r="I9147" t="s">
        <v>8964</v>
      </c>
      <c r="J9147" t="s">
        <v>15876</v>
      </c>
      <c r="K9147" t="s">
        <v>16163</v>
      </c>
      <c r="L9147" t="s">
        <v>53</v>
      </c>
      <c r="N9147" t="s">
        <v>17478</v>
      </c>
      <c r="P9147" t="s">
        <v>55</v>
      </c>
      <c r="R9147" t="s">
        <v>53</v>
      </c>
      <c r="T9147" t="s">
        <v>17479</v>
      </c>
      <c r="U9147" t="s">
        <v>55</v>
      </c>
      <c r="V9147">
        <v>1</v>
      </c>
      <c r="W9147">
        <v>1</v>
      </c>
      <c r="X9147">
        <v>2</v>
      </c>
      <c r="Y9147">
        <v>2</v>
      </c>
      <c r="Z9147">
        <v>4</v>
      </c>
      <c r="AA9147">
        <v>0</v>
      </c>
      <c r="AB9147">
        <v>0</v>
      </c>
      <c r="AC9147">
        <v>263</v>
      </c>
      <c r="AD9147">
        <v>0</v>
      </c>
      <c r="AE9147">
        <v>0</v>
      </c>
      <c r="AF9147">
        <v>0</v>
      </c>
      <c r="AG9147">
        <v>0</v>
      </c>
      <c r="AH9147">
        <v>0</v>
      </c>
      <c r="AI9147">
        <v>39.450000000000003</v>
      </c>
      <c r="AJ9147">
        <v>263</v>
      </c>
      <c r="AK9147">
        <v>263</v>
      </c>
      <c r="AL9147" t="s">
        <v>53</v>
      </c>
      <c r="AM9147" t="s">
        <v>53</v>
      </c>
      <c r="AN9147" t="s">
        <v>17480</v>
      </c>
      <c r="AO9147" t="s">
        <v>53</v>
      </c>
      <c r="AP9147" t="s">
        <v>53</v>
      </c>
    </row>
    <row r="9148" spans="2:42" x14ac:dyDescent="0.2">
      <c r="B9148" t="s">
        <v>44</v>
      </c>
      <c r="C9148" t="str">
        <f>HYPERLINK("https://us2.cloudbeds.com/connect/8493803454333002#/reservations/9080486849303336?display=58T8FHUHCJ&amp;reservation_id=9080486849303336", "58T8FHUHCJ")</f>
        <v>58T8FHUHCJ</v>
      </c>
      <c r="D9148" t="s">
        <v>45</v>
      </c>
      <c r="E9148" t="s">
        <v>53</v>
      </c>
      <c r="F9148" t="s">
        <v>61</v>
      </c>
      <c r="G9148" t="s">
        <v>48</v>
      </c>
      <c r="H9148" t="s">
        <v>49</v>
      </c>
      <c r="I9148" t="s">
        <v>50</v>
      </c>
      <c r="J9148" t="s">
        <v>15594</v>
      </c>
      <c r="K9148" t="s">
        <v>14656</v>
      </c>
      <c r="L9148" t="s">
        <v>53</v>
      </c>
      <c r="N9148" t="s">
        <v>17481</v>
      </c>
      <c r="P9148" t="s">
        <v>55</v>
      </c>
      <c r="R9148" t="s">
        <v>53</v>
      </c>
      <c r="T9148" t="s">
        <v>17482</v>
      </c>
      <c r="U9148" t="s">
        <v>55</v>
      </c>
      <c r="V9148">
        <v>2</v>
      </c>
      <c r="W9148">
        <v>1</v>
      </c>
      <c r="X9148">
        <v>2</v>
      </c>
      <c r="Y9148">
        <v>0</v>
      </c>
      <c r="Z9148">
        <v>2</v>
      </c>
      <c r="AA9148">
        <v>441.6</v>
      </c>
      <c r="AB9148">
        <v>190.38</v>
      </c>
      <c r="AC9148">
        <v>175.06</v>
      </c>
      <c r="AD9148">
        <v>0</v>
      </c>
      <c r="AE9148">
        <v>15.32</v>
      </c>
      <c r="AF9148">
        <v>0</v>
      </c>
      <c r="AG9148">
        <v>0</v>
      </c>
      <c r="AH9148">
        <v>0</v>
      </c>
      <c r="AI9148">
        <v>34.270000000000003</v>
      </c>
      <c r="AJ9148">
        <v>190.38</v>
      </c>
      <c r="AK9148">
        <v>0</v>
      </c>
      <c r="AL9148">
        <v>406.06</v>
      </c>
      <c r="AM9148">
        <v>441.6</v>
      </c>
      <c r="AN9148" t="s">
        <v>17483</v>
      </c>
      <c r="AO9148" t="s">
        <v>53</v>
      </c>
      <c r="AP9148" t="s">
        <v>53</v>
      </c>
    </row>
    <row r="9149" spans="2:42" x14ac:dyDescent="0.2">
      <c r="B9149" t="s">
        <v>44</v>
      </c>
      <c r="C9149" t="str">
        <f>HYPERLINK("https://us2.cloudbeds.com/connect/8493803454333002#/reservations/244594348294272?display=58U5GH7Q86&amp;reservation_id=244594348294272", "58U5GH7Q86")</f>
        <v>58U5GH7Q86</v>
      </c>
      <c r="D9149" t="s">
        <v>45</v>
      </c>
      <c r="E9149" t="s">
        <v>113</v>
      </c>
      <c r="F9149" t="s">
        <v>61</v>
      </c>
      <c r="G9149" t="s">
        <v>48</v>
      </c>
      <c r="H9149" t="s">
        <v>3957</v>
      </c>
      <c r="I9149" t="s">
        <v>3975</v>
      </c>
      <c r="J9149" t="s">
        <v>14669</v>
      </c>
      <c r="K9149" t="s">
        <v>15594</v>
      </c>
      <c r="L9149" t="s">
        <v>53</v>
      </c>
      <c r="P9149" t="s">
        <v>55</v>
      </c>
      <c r="R9149" t="s">
        <v>56</v>
      </c>
      <c r="T9149" t="s">
        <v>17484</v>
      </c>
      <c r="U9149" t="s">
        <v>58</v>
      </c>
      <c r="V9149">
        <v>1</v>
      </c>
      <c r="W9149">
        <v>1</v>
      </c>
      <c r="X9149">
        <v>1</v>
      </c>
      <c r="Y9149">
        <v>0</v>
      </c>
      <c r="Z9149">
        <v>1</v>
      </c>
      <c r="AA9149">
        <v>180</v>
      </c>
      <c r="AB9149">
        <v>180</v>
      </c>
      <c r="AC9149">
        <v>157</v>
      </c>
      <c r="AD9149">
        <v>0</v>
      </c>
      <c r="AE9149">
        <v>23</v>
      </c>
      <c r="AF9149">
        <v>0</v>
      </c>
      <c r="AG9149">
        <v>0</v>
      </c>
      <c r="AH9149">
        <v>0</v>
      </c>
      <c r="AI9149">
        <v>0</v>
      </c>
      <c r="AJ9149">
        <v>180</v>
      </c>
      <c r="AK9149">
        <v>0</v>
      </c>
      <c r="AL9149" t="s">
        <v>53</v>
      </c>
      <c r="AM9149" t="s">
        <v>53</v>
      </c>
      <c r="AN9149" t="s">
        <v>17485</v>
      </c>
      <c r="AO9149" t="s">
        <v>53</v>
      </c>
      <c r="AP9149" t="s">
        <v>53</v>
      </c>
    </row>
    <row r="9150" spans="2:42" x14ac:dyDescent="0.2">
      <c r="B9150" t="s">
        <v>44</v>
      </c>
      <c r="C9150" t="str">
        <f>HYPERLINK("https://us2.cloudbeds.com/connect/8493803454333002#/reservations/9080486849305530?display=58UUX2T3FK&amp;reservation_id=9080486849305530", "58UUX2T3FK")</f>
        <v>58UUX2T3FK</v>
      </c>
      <c r="D9150" t="s">
        <v>45</v>
      </c>
      <c r="E9150" t="s">
        <v>105</v>
      </c>
      <c r="F9150" t="s">
        <v>47</v>
      </c>
      <c r="G9150" t="s">
        <v>48</v>
      </c>
      <c r="H9150" t="s">
        <v>49</v>
      </c>
      <c r="I9150" t="s">
        <v>50</v>
      </c>
      <c r="J9150" t="s">
        <v>17389</v>
      </c>
      <c r="K9150" t="s">
        <v>14371</v>
      </c>
      <c r="L9150" t="s">
        <v>53</v>
      </c>
      <c r="N9150" t="s">
        <v>17486</v>
      </c>
      <c r="P9150" t="s">
        <v>55</v>
      </c>
      <c r="R9150" t="s">
        <v>53</v>
      </c>
      <c r="T9150" t="s">
        <v>17487</v>
      </c>
      <c r="U9150" t="s">
        <v>55</v>
      </c>
      <c r="V9150">
        <v>1</v>
      </c>
      <c r="W9150">
        <v>1</v>
      </c>
      <c r="X9150">
        <v>2</v>
      </c>
      <c r="Y9150">
        <v>0</v>
      </c>
      <c r="Z9150">
        <v>2</v>
      </c>
      <c r="AA9150">
        <v>141.27000000000001</v>
      </c>
      <c r="AB9150">
        <v>141.27000000000001</v>
      </c>
      <c r="AC9150">
        <v>129.9</v>
      </c>
      <c r="AD9150">
        <v>0</v>
      </c>
      <c r="AE9150">
        <v>11.37</v>
      </c>
      <c r="AF9150">
        <v>0</v>
      </c>
      <c r="AG9150">
        <v>0</v>
      </c>
      <c r="AH9150">
        <v>0</v>
      </c>
      <c r="AI9150">
        <v>25.43</v>
      </c>
      <c r="AJ9150">
        <v>141.27000000000001</v>
      </c>
      <c r="AK9150">
        <v>0</v>
      </c>
      <c r="AL9150" t="s">
        <v>53</v>
      </c>
      <c r="AM9150" t="s">
        <v>53</v>
      </c>
      <c r="AN9150" t="s">
        <v>17488</v>
      </c>
      <c r="AO9150" t="s">
        <v>53</v>
      </c>
      <c r="AP9150" t="s">
        <v>53</v>
      </c>
    </row>
    <row r="9151" spans="2:42" x14ac:dyDescent="0.2">
      <c r="B9151" t="s">
        <v>44</v>
      </c>
      <c r="C9151" t="str">
        <f>HYPERLINK("https://us2.cloudbeds.com/connect/8493803454333002#/reservations/9080486849307548?display=58WZW75Z9E&amp;reservation_id=9080486849307548", "58WZW75Z9E")</f>
        <v>58WZW75Z9E</v>
      </c>
      <c r="D9151" t="s">
        <v>45</v>
      </c>
      <c r="E9151" t="s">
        <v>179</v>
      </c>
      <c r="F9151" t="s">
        <v>47</v>
      </c>
      <c r="G9151" t="s">
        <v>48</v>
      </c>
      <c r="H9151" t="s">
        <v>49</v>
      </c>
      <c r="I9151" t="s">
        <v>50</v>
      </c>
      <c r="J9151" t="s">
        <v>16932</v>
      </c>
      <c r="K9151" t="s">
        <v>17216</v>
      </c>
      <c r="L9151" t="s">
        <v>53</v>
      </c>
      <c r="N9151" t="s">
        <v>17489</v>
      </c>
      <c r="P9151" t="s">
        <v>55</v>
      </c>
      <c r="R9151" t="s">
        <v>53</v>
      </c>
      <c r="T9151" t="s">
        <v>17490</v>
      </c>
      <c r="U9151" t="s">
        <v>55</v>
      </c>
      <c r="V9151">
        <v>1</v>
      </c>
      <c r="W9151">
        <v>1</v>
      </c>
      <c r="X9151">
        <v>2</v>
      </c>
      <c r="Y9151">
        <v>0</v>
      </c>
      <c r="Z9151">
        <v>2</v>
      </c>
      <c r="AA9151">
        <v>189</v>
      </c>
      <c r="AB9151">
        <v>189</v>
      </c>
      <c r="AC9151">
        <v>173.8</v>
      </c>
      <c r="AD9151">
        <v>0</v>
      </c>
      <c r="AE9151">
        <v>15.2</v>
      </c>
      <c r="AF9151">
        <v>0</v>
      </c>
      <c r="AG9151">
        <v>0</v>
      </c>
      <c r="AH9151">
        <v>0</v>
      </c>
      <c r="AI9151">
        <v>34.020000000000003</v>
      </c>
      <c r="AJ9151">
        <v>189</v>
      </c>
      <c r="AK9151">
        <v>0</v>
      </c>
      <c r="AL9151" t="s">
        <v>53</v>
      </c>
      <c r="AM9151" t="s">
        <v>53</v>
      </c>
      <c r="AN9151" t="s">
        <v>17491</v>
      </c>
      <c r="AO9151" t="s">
        <v>53</v>
      </c>
      <c r="AP9151" t="s">
        <v>53</v>
      </c>
    </row>
    <row r="9152" spans="2:42" x14ac:dyDescent="0.2">
      <c r="B9152" t="s">
        <v>44</v>
      </c>
      <c r="C9152" t="str">
        <f>HYPERLINK("https://us2.cloudbeds.com/connect/8493803454333002#/reservations/244759124271296?display=59112UZ1J4&amp;reservation_id=244759124271296", "59112UZ1J4")</f>
        <v>59112UZ1J4</v>
      </c>
      <c r="D9152" t="s">
        <v>45</v>
      </c>
      <c r="E9152" t="s">
        <v>14402</v>
      </c>
      <c r="F9152" t="s">
        <v>14403</v>
      </c>
      <c r="G9152" t="s">
        <v>48</v>
      </c>
      <c r="H9152" t="s">
        <v>3957</v>
      </c>
      <c r="I9152" t="s">
        <v>3975</v>
      </c>
      <c r="J9152" t="s">
        <v>16163</v>
      </c>
      <c r="K9152" t="s">
        <v>14131</v>
      </c>
      <c r="L9152" t="s">
        <v>53</v>
      </c>
      <c r="P9152" t="s">
        <v>55</v>
      </c>
      <c r="R9152" t="s">
        <v>56</v>
      </c>
      <c r="T9152" t="s">
        <v>17492</v>
      </c>
      <c r="U9152" t="s">
        <v>58</v>
      </c>
      <c r="V9152">
        <v>2</v>
      </c>
      <c r="W9152">
        <v>1</v>
      </c>
      <c r="X9152">
        <v>2</v>
      </c>
      <c r="Y9152">
        <v>0</v>
      </c>
      <c r="Z9152">
        <v>2</v>
      </c>
      <c r="AA9152">
        <v>392.12</v>
      </c>
      <c r="AB9152">
        <v>392.12</v>
      </c>
      <c r="AC9152">
        <v>175</v>
      </c>
      <c r="AD9152">
        <v>0</v>
      </c>
      <c r="AE9152">
        <v>50.12</v>
      </c>
      <c r="AF9152">
        <v>0</v>
      </c>
      <c r="AG9152">
        <v>0</v>
      </c>
      <c r="AH9152">
        <v>0</v>
      </c>
      <c r="AI9152">
        <v>0</v>
      </c>
      <c r="AJ9152">
        <v>225.12</v>
      </c>
      <c r="AK9152">
        <v>0</v>
      </c>
      <c r="AL9152" t="s">
        <v>53</v>
      </c>
      <c r="AM9152" t="s">
        <v>53</v>
      </c>
      <c r="AN9152" t="s">
        <v>17493</v>
      </c>
      <c r="AO9152" t="s">
        <v>53</v>
      </c>
      <c r="AP9152" t="s">
        <v>53</v>
      </c>
    </row>
    <row r="9153" spans="2:42" x14ac:dyDescent="0.2">
      <c r="B9153" t="s">
        <v>44</v>
      </c>
      <c r="C9153" t="str">
        <f>HYPERLINK("https://us2.cloudbeds.com/connect/8493803454333002#/reservations/244760440099008?display=59123X97PH&amp;reservation_id=244760440099008", "59123X97PH")</f>
        <v>59123X97PH</v>
      </c>
      <c r="D9153" t="s">
        <v>45</v>
      </c>
      <c r="E9153" t="s">
        <v>46</v>
      </c>
      <c r="F9153" t="s">
        <v>47</v>
      </c>
      <c r="G9153" t="s">
        <v>48</v>
      </c>
      <c r="H9153" t="s">
        <v>3957</v>
      </c>
      <c r="I9153" t="s">
        <v>3975</v>
      </c>
      <c r="J9153" t="s">
        <v>14669</v>
      </c>
      <c r="K9153" t="s">
        <v>15594</v>
      </c>
      <c r="L9153" t="s">
        <v>53</v>
      </c>
      <c r="P9153" t="s">
        <v>55</v>
      </c>
      <c r="R9153" t="s">
        <v>56</v>
      </c>
      <c r="T9153" t="s">
        <v>17494</v>
      </c>
      <c r="U9153" t="s">
        <v>58</v>
      </c>
      <c r="V9153">
        <v>1</v>
      </c>
      <c r="W9153">
        <v>1</v>
      </c>
      <c r="X9153">
        <v>1</v>
      </c>
      <c r="Y9153">
        <v>0</v>
      </c>
      <c r="Z9153">
        <v>1</v>
      </c>
      <c r="AA9153">
        <v>177.72</v>
      </c>
      <c r="AB9153">
        <v>177.72</v>
      </c>
      <c r="AC9153">
        <v>155</v>
      </c>
      <c r="AD9153">
        <v>0</v>
      </c>
      <c r="AE9153">
        <v>22.72</v>
      </c>
      <c r="AF9153">
        <v>0</v>
      </c>
      <c r="AG9153">
        <v>0</v>
      </c>
      <c r="AH9153">
        <v>0</v>
      </c>
      <c r="AI9153">
        <v>0</v>
      </c>
      <c r="AJ9153">
        <v>177.72</v>
      </c>
      <c r="AK9153">
        <v>0</v>
      </c>
      <c r="AL9153" t="s">
        <v>53</v>
      </c>
      <c r="AM9153" t="s">
        <v>53</v>
      </c>
      <c r="AN9153" t="s">
        <v>17495</v>
      </c>
      <c r="AO9153" t="s">
        <v>53</v>
      </c>
      <c r="AP9153" t="s">
        <v>53</v>
      </c>
    </row>
    <row r="9154" spans="2:42" x14ac:dyDescent="0.2">
      <c r="B9154" t="s">
        <v>44</v>
      </c>
      <c r="C9154" t="str">
        <f>HYPERLINK("https://us2.cloudbeds.com/connect/8493803454333002#/reservations/9080486849309556?display=5917AAEHN2&amp;reservation_id=9080486849309556", "5917AAEHN2")</f>
        <v>5917AAEHN2</v>
      </c>
      <c r="D9154" t="s">
        <v>45</v>
      </c>
      <c r="E9154" t="s">
        <v>487</v>
      </c>
      <c r="F9154" t="s">
        <v>61</v>
      </c>
      <c r="G9154" t="s">
        <v>48</v>
      </c>
      <c r="H9154" t="s">
        <v>49</v>
      </c>
      <c r="I9154" t="s">
        <v>50</v>
      </c>
      <c r="J9154" t="s">
        <v>14669</v>
      </c>
      <c r="K9154" t="s">
        <v>14656</v>
      </c>
      <c r="L9154" t="s">
        <v>53</v>
      </c>
      <c r="N9154" t="s">
        <v>17496</v>
      </c>
      <c r="P9154" t="s">
        <v>55</v>
      </c>
      <c r="R9154" t="s">
        <v>53</v>
      </c>
      <c r="T9154" t="s">
        <v>17497</v>
      </c>
      <c r="U9154" t="s">
        <v>55</v>
      </c>
      <c r="V9154">
        <v>3</v>
      </c>
      <c r="W9154">
        <v>1</v>
      </c>
      <c r="X9154">
        <v>1</v>
      </c>
      <c r="Y9154">
        <v>0</v>
      </c>
      <c r="Z9154">
        <v>1</v>
      </c>
      <c r="AA9154">
        <v>618.38</v>
      </c>
      <c r="AB9154">
        <v>618.38</v>
      </c>
      <c r="AC9154">
        <v>568.63</v>
      </c>
      <c r="AD9154">
        <v>0</v>
      </c>
      <c r="AE9154">
        <v>49.75</v>
      </c>
      <c r="AF9154">
        <v>0</v>
      </c>
      <c r="AG9154">
        <v>0</v>
      </c>
      <c r="AH9154">
        <v>0</v>
      </c>
      <c r="AI9154">
        <v>111.31</v>
      </c>
      <c r="AJ9154">
        <v>618.38</v>
      </c>
      <c r="AK9154">
        <v>0</v>
      </c>
      <c r="AL9154" t="s">
        <v>53</v>
      </c>
      <c r="AM9154" t="s">
        <v>53</v>
      </c>
      <c r="AN9154" t="s">
        <v>53</v>
      </c>
      <c r="AO9154" t="s">
        <v>53</v>
      </c>
      <c r="AP9154" t="s">
        <v>53</v>
      </c>
    </row>
    <row r="9155" spans="2:42" x14ac:dyDescent="0.2">
      <c r="B9155" t="s">
        <v>44</v>
      </c>
      <c r="C9155" t="str">
        <f>HYPERLINK("https://us2.cloudbeds.com/connect/8493803454333002#/reservations/9080486849311072?display=591VJ69HMA&amp;reservation_id=9080486849311072", "591VJ69HMA")</f>
        <v>591VJ69HMA</v>
      </c>
      <c r="D9155" t="s">
        <v>45</v>
      </c>
      <c r="E9155" t="s">
        <v>128</v>
      </c>
      <c r="F9155" t="s">
        <v>86</v>
      </c>
      <c r="G9155" t="s">
        <v>48</v>
      </c>
      <c r="H9155" t="s">
        <v>49</v>
      </c>
      <c r="I9155" t="s">
        <v>50</v>
      </c>
      <c r="J9155" t="s">
        <v>14669</v>
      </c>
      <c r="K9155" t="s">
        <v>15594</v>
      </c>
      <c r="L9155" t="s">
        <v>53</v>
      </c>
      <c r="N9155" t="s">
        <v>17498</v>
      </c>
      <c r="P9155" t="s">
        <v>55</v>
      </c>
      <c r="R9155" t="s">
        <v>53</v>
      </c>
      <c r="T9155" t="s">
        <v>17499</v>
      </c>
      <c r="U9155" t="s">
        <v>55</v>
      </c>
      <c r="V9155">
        <v>1</v>
      </c>
      <c r="W9155">
        <v>1</v>
      </c>
      <c r="X9155">
        <v>2</v>
      </c>
      <c r="Y9155">
        <v>0</v>
      </c>
      <c r="Z9155">
        <v>2</v>
      </c>
      <c r="AA9155">
        <v>166.14</v>
      </c>
      <c r="AB9155">
        <v>166.14</v>
      </c>
      <c r="AC9155">
        <v>152.77000000000001</v>
      </c>
      <c r="AD9155">
        <v>0</v>
      </c>
      <c r="AE9155">
        <v>13.37</v>
      </c>
      <c r="AF9155">
        <v>0</v>
      </c>
      <c r="AG9155">
        <v>0</v>
      </c>
      <c r="AH9155">
        <v>0</v>
      </c>
      <c r="AI9155">
        <v>29.91</v>
      </c>
      <c r="AJ9155">
        <v>166.14</v>
      </c>
      <c r="AK9155">
        <v>0</v>
      </c>
      <c r="AL9155" t="s">
        <v>53</v>
      </c>
      <c r="AM9155" t="s">
        <v>53</v>
      </c>
      <c r="AN9155" t="s">
        <v>53</v>
      </c>
      <c r="AO9155" t="s">
        <v>53</v>
      </c>
      <c r="AP9155" t="s">
        <v>53</v>
      </c>
    </row>
    <row r="9156" spans="2:42" x14ac:dyDescent="0.2">
      <c r="B9156" t="s">
        <v>44</v>
      </c>
      <c r="C9156" t="str">
        <f>HYPERLINK("https://us2.cloudbeds.com/connect/8493803454333002#/reservations/9080486849311075?display=591VKNERBJ&amp;reservation_id=9080486849311075", "591VKNERBJ")</f>
        <v>591VKNERBJ</v>
      </c>
      <c r="D9156" t="s">
        <v>45</v>
      </c>
      <c r="E9156" t="s">
        <v>85</v>
      </c>
      <c r="F9156" t="s">
        <v>86</v>
      </c>
      <c r="G9156" t="s">
        <v>48</v>
      </c>
      <c r="H9156" t="s">
        <v>49</v>
      </c>
      <c r="I9156" t="s">
        <v>50</v>
      </c>
      <c r="J9156" t="s">
        <v>14669</v>
      </c>
      <c r="K9156" t="s">
        <v>15594</v>
      </c>
      <c r="L9156" t="s">
        <v>53</v>
      </c>
      <c r="N9156" t="s">
        <v>17500</v>
      </c>
      <c r="P9156" t="s">
        <v>55</v>
      </c>
      <c r="R9156" t="s">
        <v>53</v>
      </c>
      <c r="T9156" t="s">
        <v>17501</v>
      </c>
      <c r="U9156" t="s">
        <v>55</v>
      </c>
      <c r="V9156">
        <v>1</v>
      </c>
      <c r="W9156">
        <v>1</v>
      </c>
      <c r="X9156">
        <v>1</v>
      </c>
      <c r="Y9156">
        <v>0</v>
      </c>
      <c r="Z9156">
        <v>1</v>
      </c>
      <c r="AA9156">
        <v>166.14</v>
      </c>
      <c r="AB9156">
        <v>166.14</v>
      </c>
      <c r="AC9156">
        <v>152.77000000000001</v>
      </c>
      <c r="AD9156">
        <v>0</v>
      </c>
      <c r="AE9156">
        <v>13.37</v>
      </c>
      <c r="AF9156">
        <v>0</v>
      </c>
      <c r="AG9156">
        <v>0</v>
      </c>
      <c r="AH9156">
        <v>0</v>
      </c>
      <c r="AI9156">
        <v>29.91</v>
      </c>
      <c r="AJ9156">
        <v>166.14</v>
      </c>
      <c r="AK9156">
        <v>0</v>
      </c>
      <c r="AL9156" t="s">
        <v>53</v>
      </c>
      <c r="AM9156" t="s">
        <v>53</v>
      </c>
      <c r="AN9156" t="s">
        <v>53</v>
      </c>
      <c r="AO9156" t="s">
        <v>53</v>
      </c>
      <c r="AP9156" t="s">
        <v>53</v>
      </c>
    </row>
    <row r="9157" spans="2:42" x14ac:dyDescent="0.2">
      <c r="B9157" t="s">
        <v>44</v>
      </c>
      <c r="C9157" t="str">
        <f>HYPERLINK("https://us2.cloudbeds.com/connect/8493803454333002#/reservations/244800857813184?display=5920DAJD2N&amp;reservation_id=244800857813184", "5920DAJD2N")</f>
        <v>5920DAJD2N</v>
      </c>
      <c r="D9157" t="s">
        <v>45</v>
      </c>
      <c r="E9157" t="s">
        <v>165</v>
      </c>
      <c r="F9157" t="s">
        <v>61</v>
      </c>
      <c r="G9157" t="s">
        <v>3974</v>
      </c>
      <c r="H9157" t="s">
        <v>3957</v>
      </c>
      <c r="I9157" t="s">
        <v>3975</v>
      </c>
      <c r="J9157" t="s">
        <v>14130</v>
      </c>
      <c r="K9157" t="s">
        <v>14131</v>
      </c>
      <c r="L9157" t="s">
        <v>53</v>
      </c>
      <c r="P9157" t="s">
        <v>55</v>
      </c>
      <c r="R9157" t="s">
        <v>56</v>
      </c>
      <c r="T9157" t="s">
        <v>17502</v>
      </c>
      <c r="U9157" t="s">
        <v>58</v>
      </c>
      <c r="V9157">
        <v>1</v>
      </c>
      <c r="W9157">
        <v>1</v>
      </c>
      <c r="X9157">
        <v>2</v>
      </c>
      <c r="Y9157">
        <v>0</v>
      </c>
      <c r="Z9157">
        <v>2</v>
      </c>
      <c r="AA9157">
        <v>186.25</v>
      </c>
      <c r="AB9157">
        <v>186.25</v>
      </c>
      <c r="AC9157">
        <v>162.44999999999999</v>
      </c>
      <c r="AD9157">
        <v>0</v>
      </c>
      <c r="AE9157">
        <v>23.8</v>
      </c>
      <c r="AF9157">
        <v>0</v>
      </c>
      <c r="AG9157">
        <v>0</v>
      </c>
      <c r="AH9157">
        <v>0</v>
      </c>
      <c r="AI9157">
        <v>0</v>
      </c>
      <c r="AJ9157">
        <v>186.25</v>
      </c>
      <c r="AK9157">
        <v>0</v>
      </c>
      <c r="AL9157" t="s">
        <v>53</v>
      </c>
      <c r="AM9157" t="s">
        <v>53</v>
      </c>
      <c r="AN9157" t="s">
        <v>17503</v>
      </c>
      <c r="AO9157" t="s">
        <v>53</v>
      </c>
      <c r="AP9157" t="s">
        <v>53</v>
      </c>
    </row>
    <row r="9158" spans="2:42" x14ac:dyDescent="0.2">
      <c r="B9158" t="s">
        <v>44</v>
      </c>
      <c r="C9158" t="str">
        <f>HYPERLINK("https://us2.cloudbeds.com/connect/8493803454333002#/reservations/9080486849311955?display=592C2HWQJ4&amp;reservation_id=9080486849311955", "592C2HWQJ4")</f>
        <v>592C2HWQJ4</v>
      </c>
      <c r="D9158" t="s">
        <v>45</v>
      </c>
      <c r="E9158" t="s">
        <v>185</v>
      </c>
      <c r="F9158" t="s">
        <v>47</v>
      </c>
      <c r="G9158" t="s">
        <v>48</v>
      </c>
      <c r="H9158" t="s">
        <v>49</v>
      </c>
      <c r="I9158" t="s">
        <v>50</v>
      </c>
      <c r="J9158" t="s">
        <v>14656</v>
      </c>
      <c r="K9158" t="s">
        <v>14970</v>
      </c>
      <c r="L9158" t="s">
        <v>53</v>
      </c>
      <c r="N9158" t="s">
        <v>17504</v>
      </c>
      <c r="P9158" t="s">
        <v>55</v>
      </c>
      <c r="R9158" t="s">
        <v>53</v>
      </c>
      <c r="T9158" t="s">
        <v>17505</v>
      </c>
      <c r="U9158" t="s">
        <v>55</v>
      </c>
      <c r="V9158">
        <v>1</v>
      </c>
      <c r="W9158">
        <v>1</v>
      </c>
      <c r="X9158">
        <v>2</v>
      </c>
      <c r="Y9158">
        <v>0</v>
      </c>
      <c r="Z9158">
        <v>2</v>
      </c>
      <c r="AA9158">
        <v>163.06</v>
      </c>
      <c r="AB9158">
        <v>163.06</v>
      </c>
      <c r="AC9158">
        <v>149.94</v>
      </c>
      <c r="AD9158">
        <v>0</v>
      </c>
      <c r="AE9158">
        <v>13.12</v>
      </c>
      <c r="AF9158">
        <v>0</v>
      </c>
      <c r="AG9158">
        <v>0</v>
      </c>
      <c r="AH9158">
        <v>0</v>
      </c>
      <c r="AI9158">
        <v>29.35</v>
      </c>
      <c r="AJ9158">
        <v>163.06</v>
      </c>
      <c r="AK9158">
        <v>0</v>
      </c>
      <c r="AL9158" t="s">
        <v>53</v>
      </c>
      <c r="AM9158" t="s">
        <v>53</v>
      </c>
      <c r="AN9158" t="s">
        <v>17506</v>
      </c>
      <c r="AO9158" t="s">
        <v>53</v>
      </c>
      <c r="AP9158" t="s">
        <v>53</v>
      </c>
    </row>
    <row r="9159" spans="2:42" x14ac:dyDescent="0.2">
      <c r="B9159" t="s">
        <v>44</v>
      </c>
      <c r="C9159" t="str">
        <f>HYPERLINK("https://us2.cloudbeds.com/connect/8493803454333002#/reservations/9080486849313452?display=5934GSWHTX&amp;reservation_id=9080486849313452", "5934GSWHTX")</f>
        <v>5934GSWHTX</v>
      </c>
      <c r="D9159" t="s">
        <v>45</v>
      </c>
      <c r="E9159" t="s">
        <v>179</v>
      </c>
      <c r="F9159" t="s">
        <v>47</v>
      </c>
      <c r="G9159" t="s">
        <v>48</v>
      </c>
      <c r="H9159" t="s">
        <v>49</v>
      </c>
      <c r="I9159" t="s">
        <v>50</v>
      </c>
      <c r="J9159" t="s">
        <v>14656</v>
      </c>
      <c r="K9159" t="s">
        <v>14970</v>
      </c>
      <c r="L9159" t="s">
        <v>53</v>
      </c>
      <c r="N9159" t="s">
        <v>17507</v>
      </c>
      <c r="P9159" t="s">
        <v>55</v>
      </c>
      <c r="R9159" t="s">
        <v>53</v>
      </c>
      <c r="T9159" t="s">
        <v>17508</v>
      </c>
      <c r="U9159" t="s">
        <v>55</v>
      </c>
      <c r="V9159">
        <v>1</v>
      </c>
      <c r="W9159">
        <v>1</v>
      </c>
      <c r="X9159">
        <v>1</v>
      </c>
      <c r="Y9159">
        <v>0</v>
      </c>
      <c r="Z9159">
        <v>1</v>
      </c>
      <c r="AA9159">
        <v>136.97</v>
      </c>
      <c r="AB9159">
        <v>136.97</v>
      </c>
      <c r="AC9159">
        <v>125.95</v>
      </c>
      <c r="AD9159">
        <v>0</v>
      </c>
      <c r="AE9159">
        <v>11.02</v>
      </c>
      <c r="AF9159">
        <v>0</v>
      </c>
      <c r="AG9159">
        <v>0</v>
      </c>
      <c r="AH9159">
        <v>0</v>
      </c>
      <c r="AI9159">
        <v>24.65</v>
      </c>
      <c r="AJ9159">
        <v>136.97</v>
      </c>
      <c r="AK9159">
        <v>0</v>
      </c>
      <c r="AL9159" t="s">
        <v>53</v>
      </c>
      <c r="AM9159" t="s">
        <v>53</v>
      </c>
      <c r="AN9159" t="s">
        <v>53</v>
      </c>
      <c r="AO9159" t="s">
        <v>53</v>
      </c>
      <c r="AP9159" t="s">
        <v>53</v>
      </c>
    </row>
    <row r="9160" spans="2:42" x14ac:dyDescent="0.2">
      <c r="B9160" t="s">
        <v>44</v>
      </c>
      <c r="C9160" t="str">
        <f>HYPERLINK("https://us2.cloudbeds.com/connect/8493803454333002#/reservations/244853619429568?display=59388GJ8YV&amp;reservation_id=244853619429568", "59388GJ8YV")</f>
        <v>59388GJ8YV</v>
      </c>
      <c r="D9160" t="s">
        <v>45</v>
      </c>
      <c r="E9160" t="s">
        <v>165</v>
      </c>
      <c r="F9160" t="s">
        <v>61</v>
      </c>
      <c r="G9160" t="s">
        <v>48</v>
      </c>
      <c r="H9160" t="s">
        <v>3957</v>
      </c>
      <c r="I9160" t="s">
        <v>3958</v>
      </c>
      <c r="J9160" t="s">
        <v>15625</v>
      </c>
      <c r="K9160" t="s">
        <v>17289</v>
      </c>
      <c r="L9160" t="s">
        <v>53</v>
      </c>
      <c r="P9160" t="s">
        <v>55</v>
      </c>
      <c r="R9160" t="s">
        <v>56</v>
      </c>
      <c r="T9160" t="s">
        <v>17509</v>
      </c>
      <c r="U9160" t="s">
        <v>58</v>
      </c>
      <c r="V9160">
        <v>1</v>
      </c>
      <c r="W9160">
        <v>1</v>
      </c>
      <c r="X9160">
        <v>1</v>
      </c>
      <c r="Y9160">
        <v>0</v>
      </c>
      <c r="Z9160">
        <v>1</v>
      </c>
      <c r="AA9160">
        <v>0</v>
      </c>
      <c r="AB9160">
        <v>0</v>
      </c>
      <c r="AC9160">
        <v>0</v>
      </c>
      <c r="AD9160">
        <v>0</v>
      </c>
      <c r="AE9160">
        <v>0</v>
      </c>
      <c r="AF9160">
        <v>0</v>
      </c>
      <c r="AG9160">
        <v>0</v>
      </c>
      <c r="AH9160">
        <v>0</v>
      </c>
      <c r="AI9160">
        <v>0</v>
      </c>
      <c r="AJ9160">
        <v>0</v>
      </c>
      <c r="AK9160">
        <v>0</v>
      </c>
      <c r="AL9160" t="s">
        <v>53</v>
      </c>
      <c r="AM9160" t="s">
        <v>53</v>
      </c>
      <c r="AN9160" t="s">
        <v>17510</v>
      </c>
      <c r="AO9160" t="s">
        <v>53</v>
      </c>
      <c r="AP9160" t="s">
        <v>53</v>
      </c>
    </row>
    <row r="9161" spans="2:42" x14ac:dyDescent="0.2">
      <c r="B9161" t="s">
        <v>44</v>
      </c>
      <c r="C9161" t="str">
        <f>HYPERLINK("https://us2.cloudbeds.com/connect/8493803454333002#/reservations/244869773553856?display=593KP950F5&amp;reservation_id=244869773553856", "593KP950F5")</f>
        <v>593KP950F5</v>
      </c>
      <c r="D9161" t="s">
        <v>45</v>
      </c>
      <c r="E9161" t="s">
        <v>165</v>
      </c>
      <c r="F9161" t="s">
        <v>61</v>
      </c>
      <c r="G9161" t="s">
        <v>48</v>
      </c>
      <c r="H9161" t="s">
        <v>3957</v>
      </c>
      <c r="I9161" t="s">
        <v>3975</v>
      </c>
      <c r="J9161" t="s">
        <v>15947</v>
      </c>
      <c r="K9161" t="s">
        <v>16163</v>
      </c>
      <c r="L9161" t="s">
        <v>53</v>
      </c>
      <c r="P9161" t="s">
        <v>55</v>
      </c>
      <c r="R9161" t="s">
        <v>56</v>
      </c>
      <c r="T9161" t="s">
        <v>17511</v>
      </c>
      <c r="U9161" t="s">
        <v>58</v>
      </c>
      <c r="V9161">
        <v>2</v>
      </c>
      <c r="W9161">
        <v>1</v>
      </c>
      <c r="X9161">
        <v>2</v>
      </c>
      <c r="Y9161">
        <v>0</v>
      </c>
      <c r="Z9161">
        <v>2</v>
      </c>
      <c r="AA9161">
        <v>0</v>
      </c>
      <c r="AB9161">
        <v>520.51</v>
      </c>
      <c r="AC9161">
        <v>454</v>
      </c>
      <c r="AD9161">
        <v>0</v>
      </c>
      <c r="AE9161">
        <v>66.510000000000005</v>
      </c>
      <c r="AF9161">
        <v>0</v>
      </c>
      <c r="AG9161">
        <v>0</v>
      </c>
      <c r="AH9161">
        <v>0</v>
      </c>
      <c r="AI9161">
        <v>0</v>
      </c>
      <c r="AJ9161">
        <v>520.51</v>
      </c>
      <c r="AK9161">
        <v>0</v>
      </c>
      <c r="AL9161" t="s">
        <v>53</v>
      </c>
      <c r="AM9161" t="s">
        <v>53</v>
      </c>
      <c r="AN9161" t="s">
        <v>17512</v>
      </c>
      <c r="AO9161" t="s">
        <v>53</v>
      </c>
      <c r="AP9161" t="s">
        <v>53</v>
      </c>
    </row>
    <row r="9162" spans="2:42" x14ac:dyDescent="0.2">
      <c r="B9162" t="s">
        <v>44</v>
      </c>
      <c r="C9162" t="str">
        <f>HYPERLINK("https://us2.cloudbeds.com/connect/8493803454333002#/reservations/9080486849314537?display=593ZHPA73P&amp;reservation_id=9080486849314537", "593ZHPA73P")</f>
        <v>593ZHPA73P</v>
      </c>
      <c r="D9162" t="s">
        <v>45</v>
      </c>
      <c r="E9162" t="s">
        <v>223</v>
      </c>
      <c r="F9162" t="s">
        <v>47</v>
      </c>
      <c r="G9162" t="s">
        <v>48</v>
      </c>
      <c r="H9162" t="s">
        <v>49</v>
      </c>
      <c r="I9162" t="s">
        <v>50</v>
      </c>
      <c r="J9162" t="s">
        <v>14632</v>
      </c>
      <c r="K9162" t="s">
        <v>17077</v>
      </c>
      <c r="L9162" t="s">
        <v>53</v>
      </c>
      <c r="N9162" t="s">
        <v>17513</v>
      </c>
      <c r="P9162" t="s">
        <v>55</v>
      </c>
      <c r="R9162" t="s">
        <v>53</v>
      </c>
      <c r="T9162" t="s">
        <v>17514</v>
      </c>
      <c r="U9162" t="s">
        <v>58</v>
      </c>
      <c r="V9162">
        <v>2</v>
      </c>
      <c r="W9162">
        <v>1</v>
      </c>
      <c r="X9162">
        <v>1</v>
      </c>
      <c r="Y9162">
        <v>0</v>
      </c>
      <c r="Z9162">
        <v>1</v>
      </c>
      <c r="AA9162">
        <v>457.51</v>
      </c>
      <c r="AB9162">
        <v>457.51</v>
      </c>
      <c r="AC9162">
        <v>399.05</v>
      </c>
      <c r="AD9162">
        <v>0</v>
      </c>
      <c r="AE9162">
        <v>58.46</v>
      </c>
      <c r="AF9162">
        <v>0</v>
      </c>
      <c r="AG9162">
        <v>0</v>
      </c>
      <c r="AH9162">
        <v>0</v>
      </c>
      <c r="AI9162">
        <v>82.35</v>
      </c>
      <c r="AJ9162">
        <v>457.51</v>
      </c>
      <c r="AK9162">
        <v>0</v>
      </c>
      <c r="AL9162" t="s">
        <v>53</v>
      </c>
      <c r="AM9162" t="s">
        <v>53</v>
      </c>
      <c r="AN9162" t="s">
        <v>53</v>
      </c>
      <c r="AO9162" t="s">
        <v>53</v>
      </c>
      <c r="AP9162" t="s">
        <v>53</v>
      </c>
    </row>
    <row r="9163" spans="2:42" x14ac:dyDescent="0.2">
      <c r="B9163" t="s">
        <v>44</v>
      </c>
      <c r="C9163" t="str">
        <f>HYPERLINK("https://us2.cloudbeds.com/connect/8493803454333002#/reservations/244886728065216?display=5940TGXECY&amp;reservation_id=244886728065216", "5940TGXECY")</f>
        <v>5940TGXECY</v>
      </c>
      <c r="D9163" t="s">
        <v>45</v>
      </c>
      <c r="E9163" t="s">
        <v>155</v>
      </c>
      <c r="F9163" t="s">
        <v>86</v>
      </c>
      <c r="G9163" t="s">
        <v>48</v>
      </c>
      <c r="H9163" t="s">
        <v>3957</v>
      </c>
      <c r="I9163" t="s">
        <v>3958</v>
      </c>
      <c r="J9163" t="s">
        <v>14669</v>
      </c>
      <c r="K9163" t="s">
        <v>15594</v>
      </c>
      <c r="L9163" t="s">
        <v>53</v>
      </c>
      <c r="P9163" t="s">
        <v>55</v>
      </c>
      <c r="R9163" t="s">
        <v>56</v>
      </c>
      <c r="T9163" t="s">
        <v>17515</v>
      </c>
      <c r="U9163" t="s">
        <v>58</v>
      </c>
      <c r="V9163">
        <v>1</v>
      </c>
      <c r="W9163">
        <v>1</v>
      </c>
      <c r="X9163">
        <v>1</v>
      </c>
      <c r="Y9163">
        <v>0</v>
      </c>
      <c r="Z9163">
        <v>1</v>
      </c>
      <c r="AA9163">
        <v>177.72</v>
      </c>
      <c r="AB9163">
        <v>177.72</v>
      </c>
      <c r="AC9163">
        <v>155</v>
      </c>
      <c r="AD9163">
        <v>0</v>
      </c>
      <c r="AE9163">
        <v>22.72</v>
      </c>
      <c r="AF9163">
        <v>0</v>
      </c>
      <c r="AG9163">
        <v>0</v>
      </c>
      <c r="AH9163">
        <v>0</v>
      </c>
      <c r="AI9163">
        <v>0</v>
      </c>
      <c r="AJ9163">
        <v>177.72</v>
      </c>
      <c r="AK9163">
        <v>0</v>
      </c>
      <c r="AL9163" t="s">
        <v>53</v>
      </c>
      <c r="AM9163" t="s">
        <v>53</v>
      </c>
      <c r="AN9163" t="s">
        <v>53</v>
      </c>
      <c r="AO9163" t="s">
        <v>53</v>
      </c>
      <c r="AP9163" t="s">
        <v>53</v>
      </c>
    </row>
    <row r="9164" spans="2:42" x14ac:dyDescent="0.2">
      <c r="B9164" t="s">
        <v>44</v>
      </c>
      <c r="C9164" t="str">
        <f>HYPERLINK("https://us2.cloudbeds.com/connect/8493803454333002#/reservations/9080486849315681?display=5944KQRUV4&amp;reservation_id=9080486849315681", "5944KQRUV4")</f>
        <v>5944KQRUV4</v>
      </c>
      <c r="D9164" t="s">
        <v>10291</v>
      </c>
      <c r="E9164" t="s">
        <v>165</v>
      </c>
      <c r="F9164" t="s">
        <v>61</v>
      </c>
      <c r="G9164" t="s">
        <v>48</v>
      </c>
      <c r="H9164" t="s">
        <v>49</v>
      </c>
      <c r="I9164" t="s">
        <v>8964</v>
      </c>
      <c r="J9164" t="s">
        <v>17516</v>
      </c>
      <c r="K9164" t="s">
        <v>14828</v>
      </c>
      <c r="L9164" t="s">
        <v>53</v>
      </c>
      <c r="N9164" t="s">
        <v>17517</v>
      </c>
      <c r="P9164" t="s">
        <v>55</v>
      </c>
      <c r="R9164" t="s">
        <v>53</v>
      </c>
      <c r="T9164" t="s">
        <v>17518</v>
      </c>
      <c r="U9164" t="s">
        <v>55</v>
      </c>
      <c r="V9164">
        <v>1</v>
      </c>
      <c r="W9164">
        <v>1</v>
      </c>
      <c r="X9164">
        <v>1</v>
      </c>
      <c r="Y9164">
        <v>0</v>
      </c>
      <c r="Z9164">
        <v>1</v>
      </c>
      <c r="AA9164">
        <v>0</v>
      </c>
      <c r="AB9164">
        <v>0</v>
      </c>
      <c r="AC9164">
        <v>158</v>
      </c>
      <c r="AD9164">
        <v>0</v>
      </c>
      <c r="AE9164">
        <v>0</v>
      </c>
      <c r="AF9164">
        <v>0</v>
      </c>
      <c r="AG9164">
        <v>0</v>
      </c>
      <c r="AH9164">
        <v>0</v>
      </c>
      <c r="AI9164">
        <v>23.7</v>
      </c>
      <c r="AJ9164">
        <v>158</v>
      </c>
      <c r="AK9164">
        <v>158</v>
      </c>
      <c r="AL9164" t="s">
        <v>53</v>
      </c>
      <c r="AM9164" t="s">
        <v>53</v>
      </c>
      <c r="AN9164" t="s">
        <v>53</v>
      </c>
      <c r="AO9164" t="s">
        <v>53</v>
      </c>
      <c r="AP9164" t="s">
        <v>53</v>
      </c>
    </row>
    <row r="9165" spans="2:42" x14ac:dyDescent="0.2">
      <c r="B9165" t="s">
        <v>44</v>
      </c>
      <c r="C9165" t="str">
        <f>HYPERLINK("https://us2.cloudbeds.com/connect/8493803454333002#/reservations/9080486849315718?display=59454PQ52B&amp;reservation_id=9080486849315718", "59454PQ52B")</f>
        <v>59454PQ52B</v>
      </c>
      <c r="D9165" t="s">
        <v>45</v>
      </c>
      <c r="E9165" t="s">
        <v>46</v>
      </c>
      <c r="F9165" t="s">
        <v>47</v>
      </c>
      <c r="G9165" t="s">
        <v>48</v>
      </c>
      <c r="H9165" t="s">
        <v>49</v>
      </c>
      <c r="I9165" t="s">
        <v>8964</v>
      </c>
      <c r="J9165" t="s">
        <v>14656</v>
      </c>
      <c r="K9165" t="s">
        <v>14970</v>
      </c>
      <c r="L9165" t="s">
        <v>53</v>
      </c>
      <c r="N9165" t="s">
        <v>17519</v>
      </c>
      <c r="P9165" t="s">
        <v>55</v>
      </c>
      <c r="R9165" t="s">
        <v>53</v>
      </c>
      <c r="T9165" t="s">
        <v>17520</v>
      </c>
      <c r="U9165" t="s">
        <v>55</v>
      </c>
      <c r="V9165">
        <v>1</v>
      </c>
      <c r="W9165">
        <v>1</v>
      </c>
      <c r="X9165">
        <v>2</v>
      </c>
      <c r="Y9165">
        <v>0</v>
      </c>
      <c r="Z9165">
        <v>2</v>
      </c>
      <c r="AA9165">
        <v>0</v>
      </c>
      <c r="AB9165">
        <v>0</v>
      </c>
      <c r="AC9165">
        <v>182</v>
      </c>
      <c r="AD9165">
        <v>0</v>
      </c>
      <c r="AE9165">
        <v>0</v>
      </c>
      <c r="AF9165">
        <v>0</v>
      </c>
      <c r="AG9165">
        <v>0</v>
      </c>
      <c r="AH9165">
        <v>0</v>
      </c>
      <c r="AI9165">
        <v>27.3</v>
      </c>
      <c r="AJ9165">
        <v>182</v>
      </c>
      <c r="AK9165">
        <v>182</v>
      </c>
      <c r="AL9165" t="s">
        <v>53</v>
      </c>
      <c r="AM9165" t="s">
        <v>53</v>
      </c>
      <c r="AN9165" t="s">
        <v>17521</v>
      </c>
      <c r="AO9165" t="s">
        <v>53</v>
      </c>
      <c r="AP9165" t="s">
        <v>53</v>
      </c>
    </row>
    <row r="9166" spans="2:42" x14ac:dyDescent="0.2">
      <c r="B9166" t="s">
        <v>44</v>
      </c>
      <c r="C9166" t="str">
        <f>HYPERLINK("https://us2.cloudbeds.com/connect/8493803454333002#/reservations/9080486849315946?display=5949EUF650&amp;reservation_id=9080486849315946", "5949EUF650")</f>
        <v>5949EUF650</v>
      </c>
      <c r="D9166" t="s">
        <v>10291</v>
      </c>
      <c r="E9166" t="s">
        <v>165</v>
      </c>
      <c r="F9166" t="s">
        <v>61</v>
      </c>
      <c r="G9166" t="s">
        <v>48</v>
      </c>
      <c r="H9166" t="s">
        <v>49</v>
      </c>
      <c r="I9166" t="s">
        <v>62</v>
      </c>
      <c r="J9166" t="s">
        <v>17522</v>
      </c>
      <c r="K9166" t="s">
        <v>17523</v>
      </c>
      <c r="L9166" t="s">
        <v>53</v>
      </c>
      <c r="N9166" t="s">
        <v>17524</v>
      </c>
      <c r="P9166" t="s">
        <v>55</v>
      </c>
      <c r="R9166" t="s">
        <v>56</v>
      </c>
      <c r="T9166" t="s">
        <v>17525</v>
      </c>
      <c r="U9166" t="s">
        <v>55</v>
      </c>
      <c r="V9166">
        <v>1</v>
      </c>
      <c r="W9166">
        <v>1</v>
      </c>
      <c r="X9166">
        <v>2</v>
      </c>
      <c r="Y9166">
        <v>0</v>
      </c>
      <c r="Z9166">
        <v>2</v>
      </c>
      <c r="AA9166">
        <v>197.8</v>
      </c>
      <c r="AB9166">
        <v>0</v>
      </c>
      <c r="AC9166">
        <v>197.8</v>
      </c>
      <c r="AD9166">
        <v>0</v>
      </c>
      <c r="AE9166">
        <v>0</v>
      </c>
      <c r="AF9166">
        <v>0</v>
      </c>
      <c r="AG9166">
        <v>0</v>
      </c>
      <c r="AH9166">
        <v>0</v>
      </c>
      <c r="AI9166">
        <v>35.6</v>
      </c>
      <c r="AJ9166">
        <v>197.8</v>
      </c>
      <c r="AK9166">
        <v>197.8</v>
      </c>
      <c r="AL9166" t="s">
        <v>53</v>
      </c>
      <c r="AM9166" t="s">
        <v>53</v>
      </c>
      <c r="AN9166" t="s">
        <v>53</v>
      </c>
      <c r="AO9166" t="s">
        <v>53</v>
      </c>
      <c r="AP9166" t="s">
        <v>53</v>
      </c>
    </row>
    <row r="9167" spans="2:42" x14ac:dyDescent="0.2">
      <c r="B9167" t="s">
        <v>44</v>
      </c>
      <c r="C9167" t="str">
        <f>HYPERLINK("https://us2.cloudbeds.com/connect/8493803454333002#/reservations/9080486849316289?display=594G81X54S&amp;reservation_id=9080486849316289", "594G81X54S")</f>
        <v>594G81X54S</v>
      </c>
      <c r="D9167" t="s">
        <v>45</v>
      </c>
      <c r="E9167" t="s">
        <v>213</v>
      </c>
      <c r="F9167" t="s">
        <v>86</v>
      </c>
      <c r="G9167" t="s">
        <v>48</v>
      </c>
      <c r="H9167" t="s">
        <v>49</v>
      </c>
      <c r="I9167" t="s">
        <v>62</v>
      </c>
      <c r="J9167" t="s">
        <v>14669</v>
      </c>
      <c r="K9167" t="s">
        <v>15594</v>
      </c>
      <c r="L9167" t="s">
        <v>53</v>
      </c>
      <c r="N9167" t="s">
        <v>17526</v>
      </c>
      <c r="P9167" t="s">
        <v>55</v>
      </c>
      <c r="R9167" t="s">
        <v>56</v>
      </c>
      <c r="T9167" t="s">
        <v>17527</v>
      </c>
      <c r="U9167" t="s">
        <v>55</v>
      </c>
      <c r="V9167">
        <v>1</v>
      </c>
      <c r="W9167">
        <v>1</v>
      </c>
      <c r="X9167">
        <v>2</v>
      </c>
      <c r="Y9167">
        <v>0</v>
      </c>
      <c r="Z9167">
        <v>2</v>
      </c>
      <c r="AA9167">
        <v>178.25</v>
      </c>
      <c r="AB9167">
        <v>178.25</v>
      </c>
      <c r="AC9167">
        <v>178.25</v>
      </c>
      <c r="AD9167">
        <v>0</v>
      </c>
      <c r="AE9167">
        <v>0</v>
      </c>
      <c r="AF9167">
        <v>0</v>
      </c>
      <c r="AG9167">
        <v>0</v>
      </c>
      <c r="AH9167">
        <v>0</v>
      </c>
      <c r="AI9167">
        <v>32.090000000000003</v>
      </c>
      <c r="AJ9167">
        <v>178.25</v>
      </c>
      <c r="AK9167">
        <v>0</v>
      </c>
      <c r="AL9167" t="s">
        <v>53</v>
      </c>
      <c r="AM9167" t="s">
        <v>53</v>
      </c>
      <c r="AN9167" t="s">
        <v>17528</v>
      </c>
      <c r="AO9167" t="s">
        <v>53</v>
      </c>
      <c r="AP9167" t="s">
        <v>53</v>
      </c>
    </row>
    <row r="9168" spans="2:42" x14ac:dyDescent="0.2">
      <c r="B9168" t="s">
        <v>44</v>
      </c>
      <c r="C9168" t="str">
        <f>HYPERLINK("https://us2.cloudbeds.com/connect/8493803454333002#/reservations/9080486849316759?display=594Q2UXFSN&amp;reservation_id=9080486849316759", "594Q2UXFSN")</f>
        <v>594Q2UXFSN</v>
      </c>
      <c r="D9168" t="s">
        <v>45</v>
      </c>
      <c r="E9168" t="s">
        <v>121</v>
      </c>
      <c r="F9168" t="s">
        <v>86</v>
      </c>
      <c r="G9168" t="s">
        <v>48</v>
      </c>
      <c r="H9168" t="s">
        <v>49</v>
      </c>
      <c r="I9168" t="s">
        <v>50</v>
      </c>
      <c r="J9168" t="s">
        <v>14669</v>
      </c>
      <c r="K9168" t="s">
        <v>15594</v>
      </c>
      <c r="L9168" t="s">
        <v>53</v>
      </c>
      <c r="N9168" t="s">
        <v>17529</v>
      </c>
      <c r="P9168" t="s">
        <v>55</v>
      </c>
      <c r="R9168" t="s">
        <v>53</v>
      </c>
      <c r="T9168" t="s">
        <v>17530</v>
      </c>
      <c r="U9168" t="s">
        <v>55</v>
      </c>
      <c r="V9168">
        <v>1</v>
      </c>
      <c r="W9168">
        <v>1</v>
      </c>
      <c r="X9168">
        <v>2</v>
      </c>
      <c r="Y9168">
        <v>0</v>
      </c>
      <c r="Z9168">
        <v>2</v>
      </c>
      <c r="AA9168">
        <v>158.96</v>
      </c>
      <c r="AB9168">
        <v>173.17</v>
      </c>
      <c r="AC9168">
        <v>146.16999999999999</v>
      </c>
      <c r="AD9168">
        <v>12.5</v>
      </c>
      <c r="AE9168">
        <v>14.5</v>
      </c>
      <c r="AF9168">
        <v>0</v>
      </c>
      <c r="AG9168">
        <v>0</v>
      </c>
      <c r="AH9168">
        <v>0</v>
      </c>
      <c r="AI9168">
        <v>31.17</v>
      </c>
      <c r="AJ9168">
        <v>173.17</v>
      </c>
      <c r="AK9168">
        <v>0</v>
      </c>
      <c r="AL9168" t="s">
        <v>53</v>
      </c>
      <c r="AM9168" t="s">
        <v>53</v>
      </c>
      <c r="AN9168" t="s">
        <v>53</v>
      </c>
      <c r="AO9168" t="s">
        <v>53</v>
      </c>
      <c r="AP9168" t="s">
        <v>53</v>
      </c>
    </row>
    <row r="9169" spans="2:42" x14ac:dyDescent="0.2">
      <c r="B9169" t="s">
        <v>44</v>
      </c>
      <c r="C9169" t="str">
        <f>HYPERLINK("https://us2.cloudbeds.com/connect/8493803454333002#/reservations/9080486849316906?display=594SWR5MUU&amp;reservation_id=9080486849316906", "594SWR5MUU")</f>
        <v>594SWR5MUU</v>
      </c>
      <c r="D9169" t="s">
        <v>45</v>
      </c>
      <c r="E9169" t="s">
        <v>98</v>
      </c>
      <c r="F9169" t="s">
        <v>86</v>
      </c>
      <c r="G9169" t="s">
        <v>48</v>
      </c>
      <c r="H9169" t="s">
        <v>49</v>
      </c>
      <c r="I9169" t="s">
        <v>50</v>
      </c>
      <c r="J9169" t="s">
        <v>14669</v>
      </c>
      <c r="K9169" t="s">
        <v>15594</v>
      </c>
      <c r="L9169" t="s">
        <v>53</v>
      </c>
      <c r="N9169" t="s">
        <v>17531</v>
      </c>
      <c r="P9169" t="s">
        <v>55</v>
      </c>
      <c r="R9169" t="s">
        <v>53</v>
      </c>
      <c r="T9169" t="s">
        <v>17532</v>
      </c>
      <c r="U9169" t="s">
        <v>55</v>
      </c>
      <c r="V9169">
        <v>1</v>
      </c>
      <c r="W9169">
        <v>1</v>
      </c>
      <c r="X9169">
        <v>2</v>
      </c>
      <c r="Y9169">
        <v>1</v>
      </c>
      <c r="Z9169">
        <v>3</v>
      </c>
      <c r="AA9169">
        <v>133.53</v>
      </c>
      <c r="AB9169">
        <v>133.53</v>
      </c>
      <c r="AC9169">
        <v>122.78</v>
      </c>
      <c r="AD9169">
        <v>0</v>
      </c>
      <c r="AE9169">
        <v>10.75</v>
      </c>
      <c r="AF9169">
        <v>0</v>
      </c>
      <c r="AG9169">
        <v>0</v>
      </c>
      <c r="AH9169">
        <v>0</v>
      </c>
      <c r="AI9169">
        <v>24.04</v>
      </c>
      <c r="AJ9169">
        <v>133.53</v>
      </c>
      <c r="AK9169">
        <v>0</v>
      </c>
      <c r="AL9169" t="s">
        <v>53</v>
      </c>
      <c r="AM9169" t="s">
        <v>53</v>
      </c>
      <c r="AN9169" t="s">
        <v>53</v>
      </c>
      <c r="AO9169" t="s">
        <v>53</v>
      </c>
      <c r="AP9169" t="s">
        <v>53</v>
      </c>
    </row>
    <row r="9170" spans="2:42" x14ac:dyDescent="0.2">
      <c r="B9170" t="s">
        <v>44</v>
      </c>
      <c r="C9170" t="str">
        <f>HYPERLINK("https://us2.cloudbeds.com/connect/8493803454333002#/reservations/9080486849316991?display=594UJXG30Z&amp;reservation_id=9080486849316991", "594UJXG30Z")</f>
        <v>594UJXG30Z</v>
      </c>
      <c r="D9170" t="s">
        <v>10291</v>
      </c>
      <c r="E9170" t="s">
        <v>46</v>
      </c>
      <c r="F9170" t="s">
        <v>47</v>
      </c>
      <c r="G9170" t="s">
        <v>48</v>
      </c>
      <c r="H9170" t="s">
        <v>49</v>
      </c>
      <c r="I9170" t="s">
        <v>50</v>
      </c>
      <c r="J9170" t="s">
        <v>17242</v>
      </c>
      <c r="K9170" t="s">
        <v>17533</v>
      </c>
      <c r="L9170" t="s">
        <v>53</v>
      </c>
      <c r="N9170" t="s">
        <v>17534</v>
      </c>
      <c r="P9170" t="s">
        <v>55</v>
      </c>
      <c r="R9170" t="s">
        <v>53</v>
      </c>
      <c r="T9170" t="s">
        <v>17535</v>
      </c>
      <c r="U9170" t="s">
        <v>55</v>
      </c>
      <c r="V9170">
        <v>1</v>
      </c>
      <c r="W9170">
        <v>1</v>
      </c>
      <c r="X9170">
        <v>2</v>
      </c>
      <c r="Y9170">
        <v>0</v>
      </c>
      <c r="Z9170">
        <v>2</v>
      </c>
      <c r="AA9170">
        <v>112.11</v>
      </c>
      <c r="AB9170">
        <v>0</v>
      </c>
      <c r="AC9170">
        <v>103.09</v>
      </c>
      <c r="AD9170">
        <v>0</v>
      </c>
      <c r="AE9170">
        <v>9.02</v>
      </c>
      <c r="AF9170">
        <v>0</v>
      </c>
      <c r="AG9170">
        <v>0</v>
      </c>
      <c r="AH9170">
        <v>0</v>
      </c>
      <c r="AI9170">
        <v>20.18</v>
      </c>
      <c r="AJ9170">
        <v>112.11</v>
      </c>
      <c r="AK9170">
        <v>112.11</v>
      </c>
      <c r="AL9170" t="s">
        <v>53</v>
      </c>
      <c r="AM9170" t="s">
        <v>53</v>
      </c>
      <c r="AN9170" t="s">
        <v>53</v>
      </c>
      <c r="AO9170" t="s">
        <v>53</v>
      </c>
      <c r="AP9170" t="s">
        <v>53</v>
      </c>
    </row>
    <row r="9171" spans="2:42" x14ac:dyDescent="0.2">
      <c r="B9171" t="s">
        <v>44</v>
      </c>
      <c r="C9171" t="str">
        <f>HYPERLINK("https://us2.cloudbeds.com/connect/8493803454333002#/reservations/9080486849317435?display=59575J9NGU&amp;reservation_id=9080486849317435", "59575J9NGU")</f>
        <v>59575J9NGU</v>
      </c>
      <c r="D9171" t="s">
        <v>45</v>
      </c>
      <c r="E9171" t="s">
        <v>190</v>
      </c>
      <c r="F9171" t="s">
        <v>61</v>
      </c>
      <c r="G9171" t="s">
        <v>48</v>
      </c>
      <c r="H9171" t="s">
        <v>49</v>
      </c>
      <c r="I9171" t="s">
        <v>50</v>
      </c>
      <c r="J9171" t="s">
        <v>14669</v>
      </c>
      <c r="K9171" t="s">
        <v>15594</v>
      </c>
      <c r="L9171" t="s">
        <v>53</v>
      </c>
      <c r="N9171" t="s">
        <v>17536</v>
      </c>
      <c r="P9171" t="s">
        <v>55</v>
      </c>
      <c r="R9171" t="s">
        <v>53</v>
      </c>
      <c r="T9171" t="s">
        <v>17537</v>
      </c>
      <c r="U9171" t="s">
        <v>55</v>
      </c>
      <c r="V9171">
        <v>1</v>
      </c>
      <c r="W9171">
        <v>1</v>
      </c>
      <c r="X9171">
        <v>2</v>
      </c>
      <c r="Y9171">
        <v>0</v>
      </c>
      <c r="Z9171">
        <v>2</v>
      </c>
      <c r="AA9171">
        <v>133.53</v>
      </c>
      <c r="AB9171">
        <v>133.53</v>
      </c>
      <c r="AC9171">
        <v>122.78</v>
      </c>
      <c r="AD9171">
        <v>0</v>
      </c>
      <c r="AE9171">
        <v>10.75</v>
      </c>
      <c r="AF9171">
        <v>0</v>
      </c>
      <c r="AG9171">
        <v>0</v>
      </c>
      <c r="AH9171">
        <v>0</v>
      </c>
      <c r="AI9171">
        <v>24.04</v>
      </c>
      <c r="AJ9171">
        <v>133.53</v>
      </c>
      <c r="AK9171">
        <v>0</v>
      </c>
      <c r="AL9171" t="s">
        <v>53</v>
      </c>
      <c r="AM9171" t="s">
        <v>53</v>
      </c>
      <c r="AN9171" t="s">
        <v>53</v>
      </c>
      <c r="AO9171" t="s">
        <v>53</v>
      </c>
      <c r="AP9171" t="s">
        <v>53</v>
      </c>
    </row>
    <row r="9172" spans="2:42" x14ac:dyDescent="0.2">
      <c r="B9172" t="s">
        <v>44</v>
      </c>
      <c r="C9172" t="str">
        <f>HYPERLINK("https://us2.cloudbeds.com/connect/8493803454333002#/reservations/9080486849317537?display=59596DXNSC&amp;reservation_id=9080486849317537", "59596DXNSC")</f>
        <v>59596DXNSC</v>
      </c>
      <c r="D9172" t="s">
        <v>45</v>
      </c>
      <c r="E9172" t="s">
        <v>406</v>
      </c>
      <c r="F9172" t="s">
        <v>61</v>
      </c>
      <c r="G9172" t="s">
        <v>48</v>
      </c>
      <c r="H9172" t="s">
        <v>49</v>
      </c>
      <c r="I9172" t="s">
        <v>8964</v>
      </c>
      <c r="J9172" t="s">
        <v>14669</v>
      </c>
      <c r="K9172" t="s">
        <v>15594</v>
      </c>
      <c r="L9172" t="s">
        <v>53</v>
      </c>
      <c r="N9172" t="s">
        <v>17538</v>
      </c>
      <c r="P9172" t="s">
        <v>55</v>
      </c>
      <c r="R9172" t="s">
        <v>53</v>
      </c>
      <c r="T9172" t="s">
        <v>17539</v>
      </c>
      <c r="U9172" t="s">
        <v>55</v>
      </c>
      <c r="V9172">
        <v>1</v>
      </c>
      <c r="W9172">
        <v>1</v>
      </c>
      <c r="X9172">
        <v>2</v>
      </c>
      <c r="Y9172">
        <v>0</v>
      </c>
      <c r="Z9172">
        <v>2</v>
      </c>
      <c r="AA9172">
        <v>0</v>
      </c>
      <c r="AB9172">
        <v>0</v>
      </c>
      <c r="AC9172">
        <v>178</v>
      </c>
      <c r="AD9172">
        <v>0</v>
      </c>
      <c r="AE9172">
        <v>0</v>
      </c>
      <c r="AF9172">
        <v>0</v>
      </c>
      <c r="AG9172">
        <v>0</v>
      </c>
      <c r="AH9172">
        <v>0</v>
      </c>
      <c r="AI9172">
        <v>26.7</v>
      </c>
      <c r="AJ9172">
        <v>178</v>
      </c>
      <c r="AK9172">
        <v>178</v>
      </c>
      <c r="AL9172" t="s">
        <v>53</v>
      </c>
      <c r="AM9172" t="s">
        <v>53</v>
      </c>
      <c r="AN9172" t="s">
        <v>53</v>
      </c>
      <c r="AO9172" t="s">
        <v>53</v>
      </c>
      <c r="AP9172" t="s">
        <v>53</v>
      </c>
    </row>
    <row r="9173" spans="2:42" x14ac:dyDescent="0.2">
      <c r="B9173" t="s">
        <v>44</v>
      </c>
      <c r="C9173" t="str">
        <f>HYPERLINK("https://us2.cloudbeds.com/connect/8493803454333002#/reservations/9080486849317707?display=595CZEKN88&amp;reservation_id=9080486849317707", "595CZEKN88")</f>
        <v>595CZEKN88</v>
      </c>
      <c r="D9173" t="s">
        <v>45</v>
      </c>
      <c r="E9173" t="s">
        <v>305</v>
      </c>
      <c r="F9173" t="s">
        <v>61</v>
      </c>
      <c r="G9173" t="s">
        <v>48</v>
      </c>
      <c r="H9173" t="s">
        <v>49</v>
      </c>
      <c r="I9173" t="s">
        <v>62</v>
      </c>
      <c r="J9173" t="s">
        <v>14669</v>
      </c>
      <c r="K9173" t="s">
        <v>15594</v>
      </c>
      <c r="L9173" t="s">
        <v>53</v>
      </c>
      <c r="N9173" t="s">
        <v>17540</v>
      </c>
      <c r="P9173" t="s">
        <v>55</v>
      </c>
      <c r="R9173" t="s">
        <v>56</v>
      </c>
      <c r="T9173" t="s">
        <v>17541</v>
      </c>
      <c r="U9173" t="s">
        <v>55</v>
      </c>
      <c r="V9173">
        <v>1</v>
      </c>
      <c r="W9173">
        <v>1</v>
      </c>
      <c r="X9173">
        <v>1</v>
      </c>
      <c r="Y9173">
        <v>0</v>
      </c>
      <c r="Z9173">
        <v>1</v>
      </c>
      <c r="AA9173">
        <v>178.25</v>
      </c>
      <c r="AB9173">
        <v>178.25</v>
      </c>
      <c r="AC9173">
        <v>178.25</v>
      </c>
      <c r="AD9173">
        <v>0</v>
      </c>
      <c r="AE9173">
        <v>0</v>
      </c>
      <c r="AF9173">
        <v>0</v>
      </c>
      <c r="AG9173">
        <v>0</v>
      </c>
      <c r="AH9173">
        <v>0</v>
      </c>
      <c r="AI9173">
        <v>32.090000000000003</v>
      </c>
      <c r="AJ9173">
        <v>178.25</v>
      </c>
      <c r="AK9173">
        <v>0</v>
      </c>
      <c r="AL9173" t="s">
        <v>53</v>
      </c>
      <c r="AM9173" t="s">
        <v>53</v>
      </c>
      <c r="AN9173" t="s">
        <v>17542</v>
      </c>
      <c r="AO9173" t="s">
        <v>53</v>
      </c>
      <c r="AP9173" t="s">
        <v>53</v>
      </c>
    </row>
    <row r="9174" spans="2:42" x14ac:dyDescent="0.2">
      <c r="B9174" t="s">
        <v>44</v>
      </c>
      <c r="C9174" t="str">
        <f>HYPERLINK("https://us2.cloudbeds.com/connect/8493803454333002#/reservations/244947043586176?display=595EJN9BAN&amp;reservation_id=244947043586176", "595EJN9BAN")</f>
        <v>595EJN9BAN</v>
      </c>
      <c r="D9174" t="s">
        <v>45</v>
      </c>
      <c r="E9174" t="s">
        <v>265</v>
      </c>
      <c r="F9174" t="s">
        <v>61</v>
      </c>
      <c r="G9174" t="s">
        <v>48</v>
      </c>
      <c r="H9174" t="s">
        <v>3957</v>
      </c>
      <c r="I9174" t="s">
        <v>3958</v>
      </c>
      <c r="J9174" t="s">
        <v>14669</v>
      </c>
      <c r="K9174" t="s">
        <v>15594</v>
      </c>
      <c r="L9174" t="s">
        <v>53</v>
      </c>
      <c r="P9174" t="s">
        <v>55</v>
      </c>
      <c r="R9174" t="s">
        <v>56</v>
      </c>
      <c r="T9174" t="s">
        <v>17543</v>
      </c>
      <c r="U9174" t="s">
        <v>58</v>
      </c>
      <c r="V9174">
        <v>1</v>
      </c>
      <c r="W9174">
        <v>1</v>
      </c>
      <c r="X9174">
        <v>1</v>
      </c>
      <c r="Y9174">
        <v>0</v>
      </c>
      <c r="Z9174">
        <v>1</v>
      </c>
      <c r="AA9174">
        <v>177.72</v>
      </c>
      <c r="AB9174">
        <v>177.72</v>
      </c>
      <c r="AC9174">
        <v>155</v>
      </c>
      <c r="AD9174">
        <v>0</v>
      </c>
      <c r="AE9174">
        <v>22.72</v>
      </c>
      <c r="AF9174">
        <v>0</v>
      </c>
      <c r="AG9174">
        <v>0</v>
      </c>
      <c r="AH9174">
        <v>0</v>
      </c>
      <c r="AI9174">
        <v>0</v>
      </c>
      <c r="AJ9174">
        <v>177.72</v>
      </c>
      <c r="AK9174">
        <v>0</v>
      </c>
      <c r="AL9174" t="s">
        <v>53</v>
      </c>
      <c r="AM9174" t="s">
        <v>53</v>
      </c>
      <c r="AN9174" t="s">
        <v>53</v>
      </c>
      <c r="AO9174" t="s">
        <v>53</v>
      </c>
      <c r="AP9174" t="s">
        <v>53</v>
      </c>
    </row>
    <row r="9175" spans="2:42" x14ac:dyDescent="0.2">
      <c r="B9175" t="s">
        <v>44</v>
      </c>
      <c r="C9175" t="str">
        <f>HYPERLINK("https://us2.cloudbeds.com/connect/8493803454333002#/reservations/244956810985600?display=595M59DH1A&amp;reservation_id=244956810985600", "595M59DH1A")</f>
        <v>595M59DH1A</v>
      </c>
      <c r="D9175" t="s">
        <v>45</v>
      </c>
      <c r="E9175" t="s">
        <v>92</v>
      </c>
      <c r="F9175" t="s">
        <v>86</v>
      </c>
      <c r="G9175" t="s">
        <v>48</v>
      </c>
      <c r="H9175" t="s">
        <v>3957</v>
      </c>
      <c r="I9175" t="s">
        <v>3958</v>
      </c>
      <c r="J9175" t="s">
        <v>14669</v>
      </c>
      <c r="K9175" t="s">
        <v>15594</v>
      </c>
      <c r="L9175" t="s">
        <v>53</v>
      </c>
      <c r="P9175" t="s">
        <v>55</v>
      </c>
      <c r="R9175" t="s">
        <v>56</v>
      </c>
      <c r="T9175" t="s">
        <v>17544</v>
      </c>
      <c r="U9175" t="s">
        <v>58</v>
      </c>
      <c r="V9175">
        <v>1</v>
      </c>
      <c r="W9175">
        <v>1</v>
      </c>
      <c r="X9175">
        <v>1</v>
      </c>
      <c r="Y9175">
        <v>0</v>
      </c>
      <c r="Z9175">
        <v>1</v>
      </c>
      <c r="AA9175">
        <v>177.72</v>
      </c>
      <c r="AB9175">
        <v>177.72</v>
      </c>
      <c r="AC9175">
        <v>155</v>
      </c>
      <c r="AD9175">
        <v>0</v>
      </c>
      <c r="AE9175">
        <v>22.72</v>
      </c>
      <c r="AF9175">
        <v>0</v>
      </c>
      <c r="AG9175">
        <v>0</v>
      </c>
      <c r="AH9175">
        <v>0</v>
      </c>
      <c r="AI9175">
        <v>0</v>
      </c>
      <c r="AJ9175">
        <v>177.72</v>
      </c>
      <c r="AK9175">
        <v>0</v>
      </c>
      <c r="AL9175" t="s">
        <v>53</v>
      </c>
      <c r="AM9175" t="s">
        <v>53</v>
      </c>
      <c r="AN9175" t="s">
        <v>53</v>
      </c>
      <c r="AO9175" t="s">
        <v>53</v>
      </c>
      <c r="AP9175" t="s">
        <v>53</v>
      </c>
    </row>
    <row r="9176" spans="2:42" x14ac:dyDescent="0.2">
      <c r="B9176" t="s">
        <v>44</v>
      </c>
      <c r="C9176" t="str">
        <f>HYPERLINK("https://us2.cloudbeds.com/connect/8493803454333002#/reservations/244964235579584?display=595RU00EKX&amp;reservation_id=244964235579584", "595RU00EKX")</f>
        <v>595RU00EKX</v>
      </c>
      <c r="D9176" t="s">
        <v>45</v>
      </c>
      <c r="E9176" t="s">
        <v>165</v>
      </c>
      <c r="F9176" t="s">
        <v>61</v>
      </c>
      <c r="G9176" t="s">
        <v>48</v>
      </c>
      <c r="H9176" t="s">
        <v>3957</v>
      </c>
      <c r="I9176" t="s">
        <v>3975</v>
      </c>
      <c r="J9176" t="s">
        <v>15594</v>
      </c>
      <c r="K9176" t="s">
        <v>14655</v>
      </c>
      <c r="L9176" t="s">
        <v>53</v>
      </c>
      <c r="P9176" t="s">
        <v>55</v>
      </c>
      <c r="R9176" t="s">
        <v>56</v>
      </c>
      <c r="T9176" t="s">
        <v>17545</v>
      </c>
      <c r="U9176" t="s">
        <v>58</v>
      </c>
      <c r="V9176">
        <v>1</v>
      </c>
      <c r="W9176">
        <v>1</v>
      </c>
      <c r="X9176">
        <v>1</v>
      </c>
      <c r="Y9176">
        <v>0</v>
      </c>
      <c r="Z9176">
        <v>1</v>
      </c>
      <c r="AA9176">
        <v>254.53</v>
      </c>
      <c r="AB9176">
        <v>254.53</v>
      </c>
      <c r="AC9176">
        <v>222</v>
      </c>
      <c r="AD9176">
        <v>0</v>
      </c>
      <c r="AE9176">
        <v>32.53</v>
      </c>
      <c r="AF9176">
        <v>0</v>
      </c>
      <c r="AG9176">
        <v>0</v>
      </c>
      <c r="AH9176">
        <v>0</v>
      </c>
      <c r="AI9176">
        <v>0</v>
      </c>
      <c r="AJ9176">
        <v>254.53</v>
      </c>
      <c r="AK9176">
        <v>0</v>
      </c>
      <c r="AL9176" t="s">
        <v>53</v>
      </c>
      <c r="AM9176" t="s">
        <v>53</v>
      </c>
      <c r="AN9176" t="s">
        <v>17546</v>
      </c>
      <c r="AO9176" t="s">
        <v>53</v>
      </c>
      <c r="AP9176" t="s">
        <v>53</v>
      </c>
    </row>
    <row r="9177" spans="2:42" x14ac:dyDescent="0.2">
      <c r="B9177" t="s">
        <v>44</v>
      </c>
      <c r="C9177" t="str">
        <f>HYPERLINK("https://us2.cloudbeds.com/connect/8493803454333002#/reservations/245125519057089?display=599KQ5HY1F&amp;reservation_id=245125519057089", "599KQ5HY1F")</f>
        <v>599KQ5HY1F</v>
      </c>
      <c r="D9177" t="s">
        <v>45</v>
      </c>
      <c r="E9177" t="s">
        <v>14402</v>
      </c>
      <c r="F9177" t="s">
        <v>14403</v>
      </c>
      <c r="G9177" t="s">
        <v>48</v>
      </c>
      <c r="H9177" t="s">
        <v>3957</v>
      </c>
      <c r="I9177" t="s">
        <v>3975</v>
      </c>
      <c r="J9177" t="s">
        <v>14655</v>
      </c>
      <c r="K9177" t="s">
        <v>14970</v>
      </c>
      <c r="L9177" t="s">
        <v>53</v>
      </c>
      <c r="P9177" t="s">
        <v>55</v>
      </c>
      <c r="R9177" t="s">
        <v>56</v>
      </c>
      <c r="T9177" t="s">
        <v>17547</v>
      </c>
      <c r="U9177" t="s">
        <v>58</v>
      </c>
      <c r="V9177">
        <v>2</v>
      </c>
      <c r="W9177">
        <v>1</v>
      </c>
      <c r="X9177">
        <v>1</v>
      </c>
      <c r="Y9177">
        <v>0</v>
      </c>
      <c r="Z9177">
        <v>1</v>
      </c>
      <c r="AA9177">
        <v>411.6</v>
      </c>
      <c r="AB9177">
        <v>411.6</v>
      </c>
      <c r="AC9177">
        <v>359</v>
      </c>
      <c r="AD9177">
        <v>0</v>
      </c>
      <c r="AE9177">
        <v>52.6</v>
      </c>
      <c r="AF9177">
        <v>0</v>
      </c>
      <c r="AG9177">
        <v>0</v>
      </c>
      <c r="AH9177">
        <v>0</v>
      </c>
      <c r="AI9177">
        <v>0</v>
      </c>
      <c r="AJ9177">
        <v>411.6</v>
      </c>
      <c r="AK9177">
        <v>0</v>
      </c>
      <c r="AL9177" t="s">
        <v>53</v>
      </c>
      <c r="AM9177" t="s">
        <v>53</v>
      </c>
      <c r="AN9177" t="s">
        <v>17548</v>
      </c>
      <c r="AO9177" t="s">
        <v>53</v>
      </c>
      <c r="AP9177" t="s">
        <v>53</v>
      </c>
    </row>
    <row r="9178" spans="2:42" x14ac:dyDescent="0.2">
      <c r="B9178" t="s">
        <v>44</v>
      </c>
      <c r="C9178" t="str">
        <f>HYPERLINK("https://us2.cloudbeds.com/connect/8493803454333002#/reservations/245164354916480?display=59AHSGUT0G&amp;reservation_id=245164354916480", "59AHSGUT0G")</f>
        <v>59AHSGUT0G</v>
      </c>
      <c r="D9178" t="s">
        <v>45</v>
      </c>
      <c r="E9178" t="s">
        <v>14402</v>
      </c>
      <c r="F9178" t="s">
        <v>14403</v>
      </c>
      <c r="G9178" t="s">
        <v>48</v>
      </c>
      <c r="H9178" t="s">
        <v>3957</v>
      </c>
      <c r="I9178" t="s">
        <v>3975</v>
      </c>
      <c r="J9178" t="s">
        <v>15594</v>
      </c>
      <c r="K9178" t="s">
        <v>14655</v>
      </c>
      <c r="L9178" t="s">
        <v>53</v>
      </c>
      <c r="P9178" t="s">
        <v>55</v>
      </c>
      <c r="R9178" t="s">
        <v>56</v>
      </c>
      <c r="T9178" t="s">
        <v>17549</v>
      </c>
      <c r="U9178" t="s">
        <v>58</v>
      </c>
      <c r="V9178">
        <v>1</v>
      </c>
      <c r="W9178">
        <v>1</v>
      </c>
      <c r="X9178">
        <v>1</v>
      </c>
      <c r="Y9178">
        <v>0</v>
      </c>
      <c r="Z9178">
        <v>1</v>
      </c>
      <c r="AA9178">
        <v>210.96</v>
      </c>
      <c r="AB9178">
        <v>210.96</v>
      </c>
      <c r="AC9178">
        <v>184</v>
      </c>
      <c r="AD9178">
        <v>0</v>
      </c>
      <c r="AE9178">
        <v>26.96</v>
      </c>
      <c r="AF9178">
        <v>0</v>
      </c>
      <c r="AG9178">
        <v>0</v>
      </c>
      <c r="AH9178">
        <v>0</v>
      </c>
      <c r="AI9178">
        <v>0</v>
      </c>
      <c r="AJ9178">
        <v>210.96</v>
      </c>
      <c r="AK9178">
        <v>0</v>
      </c>
      <c r="AL9178" t="s">
        <v>53</v>
      </c>
      <c r="AM9178" t="s">
        <v>53</v>
      </c>
      <c r="AN9178" t="s">
        <v>53</v>
      </c>
      <c r="AO9178" t="s">
        <v>53</v>
      </c>
      <c r="AP9178" t="s">
        <v>53</v>
      </c>
    </row>
    <row r="9179" spans="2:42" x14ac:dyDescent="0.2">
      <c r="B9179" t="s">
        <v>44</v>
      </c>
      <c r="C9179" t="str">
        <f>HYPERLINK("https://us2.cloudbeds.com/connect/8493803454333002#/reservations/245212637798592?display=59BM88CCMJ&amp;reservation_id=245212637798592", "59BM88CCMJ")</f>
        <v>59BM88CCMJ</v>
      </c>
      <c r="D9179" t="s">
        <v>45</v>
      </c>
      <c r="E9179" t="s">
        <v>98</v>
      </c>
      <c r="F9179" t="s">
        <v>86</v>
      </c>
      <c r="G9179" t="s">
        <v>48</v>
      </c>
      <c r="H9179" t="s">
        <v>3957</v>
      </c>
      <c r="I9179" t="s">
        <v>3975</v>
      </c>
      <c r="J9179" t="s">
        <v>15594</v>
      </c>
      <c r="K9179" t="s">
        <v>14656</v>
      </c>
      <c r="L9179" t="s">
        <v>53</v>
      </c>
      <c r="P9179" t="s">
        <v>55</v>
      </c>
      <c r="R9179" t="s">
        <v>56</v>
      </c>
      <c r="T9179" t="s">
        <v>17550</v>
      </c>
      <c r="U9179" t="s">
        <v>58</v>
      </c>
      <c r="V9179">
        <v>2</v>
      </c>
      <c r="W9179">
        <v>1</v>
      </c>
      <c r="X9179">
        <v>2</v>
      </c>
      <c r="Y9179">
        <v>1</v>
      </c>
      <c r="Z9179">
        <v>3</v>
      </c>
      <c r="AA9179">
        <v>679.89</v>
      </c>
      <c r="AB9179">
        <v>685.37</v>
      </c>
      <c r="AC9179">
        <v>593</v>
      </c>
      <c r="AD9179">
        <v>5</v>
      </c>
      <c r="AE9179">
        <v>87.37</v>
      </c>
      <c r="AF9179">
        <v>0</v>
      </c>
      <c r="AG9179">
        <v>0</v>
      </c>
      <c r="AH9179">
        <v>0</v>
      </c>
      <c r="AI9179">
        <v>0</v>
      </c>
      <c r="AJ9179">
        <v>685.37</v>
      </c>
      <c r="AK9179">
        <v>0</v>
      </c>
      <c r="AL9179" t="s">
        <v>53</v>
      </c>
      <c r="AM9179" t="s">
        <v>53</v>
      </c>
      <c r="AN9179" t="s">
        <v>53</v>
      </c>
      <c r="AO9179" t="s">
        <v>53</v>
      </c>
      <c r="AP9179" t="s">
        <v>53</v>
      </c>
    </row>
    <row r="9180" spans="2:42" x14ac:dyDescent="0.2">
      <c r="B9180" t="s">
        <v>44</v>
      </c>
      <c r="C9180" t="str">
        <f>HYPERLINK("https://us2.cloudbeds.com/connect/8493803454333002#/reservations/245214070026432?display=59BNBS1X6G&amp;reservation_id=245214070026432", "59BNBS1X6G")</f>
        <v>59BNBS1X6G</v>
      </c>
      <c r="D9180" t="s">
        <v>10291</v>
      </c>
      <c r="E9180" t="s">
        <v>85</v>
      </c>
      <c r="F9180" t="s">
        <v>86</v>
      </c>
      <c r="G9180" t="s">
        <v>3974</v>
      </c>
      <c r="H9180" t="s">
        <v>3957</v>
      </c>
      <c r="I9180" t="s">
        <v>3975</v>
      </c>
      <c r="J9180" t="s">
        <v>15822</v>
      </c>
      <c r="K9180" t="s">
        <v>14827</v>
      </c>
      <c r="L9180" t="s">
        <v>53</v>
      </c>
      <c r="P9180" t="s">
        <v>55</v>
      </c>
      <c r="R9180" t="s">
        <v>56</v>
      </c>
      <c r="T9180" t="s">
        <v>17551</v>
      </c>
      <c r="U9180" t="s">
        <v>58</v>
      </c>
      <c r="V9180">
        <v>1</v>
      </c>
      <c r="W9180">
        <v>1</v>
      </c>
      <c r="X9180">
        <v>2</v>
      </c>
      <c r="Y9180">
        <v>0</v>
      </c>
      <c r="Z9180">
        <v>2</v>
      </c>
      <c r="AA9180">
        <v>220.02</v>
      </c>
      <c r="AB9180">
        <v>220.02</v>
      </c>
      <c r="AC9180">
        <v>191.9</v>
      </c>
      <c r="AD9180">
        <v>0</v>
      </c>
      <c r="AE9180">
        <v>28.12</v>
      </c>
      <c r="AF9180">
        <v>0</v>
      </c>
      <c r="AG9180">
        <v>0</v>
      </c>
      <c r="AH9180">
        <v>0</v>
      </c>
      <c r="AI9180">
        <v>0</v>
      </c>
      <c r="AJ9180">
        <v>220.02</v>
      </c>
      <c r="AK9180">
        <v>0</v>
      </c>
      <c r="AL9180" t="s">
        <v>53</v>
      </c>
      <c r="AM9180" t="s">
        <v>53</v>
      </c>
      <c r="AN9180" t="s">
        <v>17552</v>
      </c>
      <c r="AO9180" t="s">
        <v>53</v>
      </c>
      <c r="AP9180" t="s">
        <v>53</v>
      </c>
    </row>
    <row r="9181" spans="2:42" x14ac:dyDescent="0.2">
      <c r="B9181" t="s">
        <v>44</v>
      </c>
      <c r="C9181" t="str">
        <f>HYPERLINK("https://us2.cloudbeds.com/connect/8493803454333002#/reservations/9080486849327765?display=59BQ5876B9&amp;reservation_id=9080486849327765", "59BQ5876B9")</f>
        <v>59BQ5876B9</v>
      </c>
      <c r="D9181" t="s">
        <v>45</v>
      </c>
      <c r="E9181" t="s">
        <v>487</v>
      </c>
      <c r="F9181" t="s">
        <v>61</v>
      </c>
      <c r="G9181" t="s">
        <v>48</v>
      </c>
      <c r="H9181" t="s">
        <v>49</v>
      </c>
      <c r="I9181" t="s">
        <v>50</v>
      </c>
      <c r="J9181" t="s">
        <v>15625</v>
      </c>
      <c r="K9181" t="s">
        <v>17289</v>
      </c>
      <c r="L9181" t="s">
        <v>53</v>
      </c>
      <c r="N9181" t="s">
        <v>17553</v>
      </c>
      <c r="P9181" t="s">
        <v>55</v>
      </c>
      <c r="R9181" t="s">
        <v>53</v>
      </c>
      <c r="T9181" t="s">
        <v>17554</v>
      </c>
      <c r="U9181" t="s">
        <v>55</v>
      </c>
      <c r="V9181">
        <v>1</v>
      </c>
      <c r="W9181">
        <v>1</v>
      </c>
      <c r="X9181">
        <v>2</v>
      </c>
      <c r="Y9181">
        <v>0</v>
      </c>
      <c r="Z9181">
        <v>2</v>
      </c>
      <c r="AA9181">
        <v>134.38</v>
      </c>
      <c r="AB9181">
        <v>134.38</v>
      </c>
      <c r="AC9181">
        <v>123.57</v>
      </c>
      <c r="AD9181">
        <v>0</v>
      </c>
      <c r="AE9181">
        <v>10.81</v>
      </c>
      <c r="AF9181">
        <v>0</v>
      </c>
      <c r="AG9181">
        <v>0</v>
      </c>
      <c r="AH9181">
        <v>0</v>
      </c>
      <c r="AI9181">
        <v>24.19</v>
      </c>
      <c r="AJ9181">
        <v>134.38</v>
      </c>
      <c r="AK9181">
        <v>0</v>
      </c>
      <c r="AL9181" t="s">
        <v>53</v>
      </c>
      <c r="AM9181" t="s">
        <v>53</v>
      </c>
      <c r="AN9181" t="s">
        <v>53</v>
      </c>
      <c r="AO9181" t="s">
        <v>53</v>
      </c>
      <c r="AP9181" t="s">
        <v>53</v>
      </c>
    </row>
    <row r="9182" spans="2:42" x14ac:dyDescent="0.2">
      <c r="B9182" t="s">
        <v>44</v>
      </c>
      <c r="C9182" t="str">
        <f>HYPERLINK("https://us2.cloudbeds.com/connect/8493803454333002#/reservations/9080486849329044?display=59CG5CH9A1&amp;reservation_id=9080486849329044", "59CG5CH9A1")</f>
        <v>59CG5CH9A1</v>
      </c>
      <c r="D9182" t="s">
        <v>45</v>
      </c>
      <c r="E9182" t="s">
        <v>305</v>
      </c>
      <c r="F9182" t="s">
        <v>61</v>
      </c>
      <c r="G9182" t="s">
        <v>48</v>
      </c>
      <c r="H9182" t="s">
        <v>49</v>
      </c>
      <c r="I9182" t="s">
        <v>50</v>
      </c>
      <c r="J9182" t="s">
        <v>15594</v>
      </c>
      <c r="K9182" t="s">
        <v>14656</v>
      </c>
      <c r="L9182" t="s">
        <v>53</v>
      </c>
      <c r="N9182" t="s">
        <v>17555</v>
      </c>
      <c r="P9182" t="s">
        <v>55</v>
      </c>
      <c r="R9182" t="s">
        <v>53</v>
      </c>
      <c r="T9182" t="s">
        <v>17556</v>
      </c>
      <c r="U9182" t="s">
        <v>55</v>
      </c>
      <c r="V9182">
        <v>2</v>
      </c>
      <c r="W9182">
        <v>1</v>
      </c>
      <c r="X9182">
        <v>2</v>
      </c>
      <c r="Y9182">
        <v>0</v>
      </c>
      <c r="Z9182">
        <v>2</v>
      </c>
      <c r="AA9182">
        <v>363.52</v>
      </c>
      <c r="AB9182">
        <v>363.52</v>
      </c>
      <c r="AC9182">
        <v>334.27</v>
      </c>
      <c r="AD9182">
        <v>0</v>
      </c>
      <c r="AE9182">
        <v>29.25</v>
      </c>
      <c r="AF9182">
        <v>0</v>
      </c>
      <c r="AG9182">
        <v>0</v>
      </c>
      <c r="AH9182">
        <v>0</v>
      </c>
      <c r="AI9182">
        <v>65.430000000000007</v>
      </c>
      <c r="AJ9182">
        <v>363.52</v>
      </c>
      <c r="AK9182">
        <v>0</v>
      </c>
      <c r="AL9182" t="s">
        <v>53</v>
      </c>
      <c r="AM9182" t="s">
        <v>53</v>
      </c>
      <c r="AN9182" t="s">
        <v>53</v>
      </c>
      <c r="AO9182" t="s">
        <v>53</v>
      </c>
      <c r="AP9182" t="s">
        <v>53</v>
      </c>
    </row>
    <row r="9183" spans="2:42" x14ac:dyDescent="0.2">
      <c r="B9183" t="s">
        <v>44</v>
      </c>
      <c r="C9183" t="str">
        <f>HYPERLINK("https://us2.cloudbeds.com/connect/8493803454333002#/reservations/245251513454720?display=59CJBKBC7M&amp;reservation_id=245251513454720", "59CJBKBC7M")</f>
        <v>59CJBKBC7M</v>
      </c>
      <c r="D9183" t="s">
        <v>45</v>
      </c>
      <c r="E9183" t="s">
        <v>14402</v>
      </c>
      <c r="F9183" t="s">
        <v>14403</v>
      </c>
      <c r="G9183" t="s">
        <v>48</v>
      </c>
      <c r="H9183" t="s">
        <v>3957</v>
      </c>
      <c r="I9183" t="s">
        <v>3975</v>
      </c>
      <c r="J9183" t="s">
        <v>14970</v>
      </c>
      <c r="K9183" t="s">
        <v>15947</v>
      </c>
      <c r="L9183" t="s">
        <v>53</v>
      </c>
      <c r="P9183" t="s">
        <v>55</v>
      </c>
      <c r="R9183" t="s">
        <v>56</v>
      </c>
      <c r="T9183" t="s">
        <v>17557</v>
      </c>
      <c r="U9183" t="s">
        <v>58</v>
      </c>
      <c r="V9183">
        <v>2</v>
      </c>
      <c r="W9183">
        <v>1</v>
      </c>
      <c r="X9183">
        <v>2</v>
      </c>
      <c r="Y9183">
        <v>0</v>
      </c>
      <c r="Z9183">
        <v>2</v>
      </c>
      <c r="AA9183">
        <v>0</v>
      </c>
      <c r="AB9183">
        <v>594.72</v>
      </c>
      <c r="AC9183">
        <v>510</v>
      </c>
      <c r="AD9183">
        <v>0</v>
      </c>
      <c r="AE9183">
        <v>74.72</v>
      </c>
      <c r="AF9183">
        <v>0</v>
      </c>
      <c r="AG9183">
        <v>0</v>
      </c>
      <c r="AH9183">
        <v>0</v>
      </c>
      <c r="AI9183">
        <v>0</v>
      </c>
      <c r="AJ9183">
        <v>584.72</v>
      </c>
      <c r="AK9183">
        <v>-10</v>
      </c>
      <c r="AL9183" t="s">
        <v>53</v>
      </c>
      <c r="AM9183" t="s">
        <v>53</v>
      </c>
      <c r="AN9183" t="s">
        <v>17558</v>
      </c>
      <c r="AO9183" t="s">
        <v>53</v>
      </c>
      <c r="AP9183" t="s">
        <v>53</v>
      </c>
    </row>
    <row r="9184" spans="2:42" x14ac:dyDescent="0.2">
      <c r="B9184" t="s">
        <v>44</v>
      </c>
      <c r="C9184" t="str">
        <f>HYPERLINK("https://us2.cloudbeds.com/connect/8493803454333002#/reservations/9080486849329841?display=59D04GEHXW&amp;reservation_id=9080486849329841", "59D04GEHXW")</f>
        <v>59D04GEHXW</v>
      </c>
      <c r="D9184" t="s">
        <v>10291</v>
      </c>
      <c r="E9184" t="s">
        <v>85</v>
      </c>
      <c r="F9184" t="s">
        <v>86</v>
      </c>
      <c r="G9184" t="s">
        <v>48</v>
      </c>
      <c r="H9184" t="s">
        <v>49</v>
      </c>
      <c r="I9184" t="s">
        <v>8964</v>
      </c>
      <c r="J9184" t="s">
        <v>17354</v>
      </c>
      <c r="K9184" t="s">
        <v>17355</v>
      </c>
      <c r="L9184" t="s">
        <v>53</v>
      </c>
      <c r="N9184" t="s">
        <v>17559</v>
      </c>
      <c r="P9184" t="s">
        <v>55</v>
      </c>
      <c r="R9184" t="s">
        <v>53</v>
      </c>
      <c r="T9184" t="s">
        <v>17560</v>
      </c>
      <c r="U9184" t="s">
        <v>55</v>
      </c>
      <c r="V9184">
        <v>1</v>
      </c>
      <c r="W9184">
        <v>1</v>
      </c>
      <c r="X9184">
        <v>3</v>
      </c>
      <c r="Y9184">
        <v>0</v>
      </c>
      <c r="Z9184">
        <v>3</v>
      </c>
      <c r="AA9184">
        <v>0</v>
      </c>
      <c r="AB9184">
        <v>0</v>
      </c>
      <c r="AC9184">
        <v>178</v>
      </c>
      <c r="AD9184">
        <v>0</v>
      </c>
      <c r="AE9184">
        <v>0</v>
      </c>
      <c r="AF9184">
        <v>0</v>
      </c>
      <c r="AG9184">
        <v>0</v>
      </c>
      <c r="AH9184">
        <v>0</v>
      </c>
      <c r="AI9184">
        <v>26.7</v>
      </c>
      <c r="AJ9184">
        <v>178</v>
      </c>
      <c r="AK9184">
        <v>178</v>
      </c>
      <c r="AL9184" t="s">
        <v>53</v>
      </c>
      <c r="AM9184" t="s">
        <v>53</v>
      </c>
      <c r="AN9184" t="s">
        <v>53</v>
      </c>
      <c r="AO9184" t="s">
        <v>53</v>
      </c>
      <c r="AP9184" t="s">
        <v>53</v>
      </c>
    </row>
    <row r="9185" spans="2:42" x14ac:dyDescent="0.2">
      <c r="B9185" t="s">
        <v>44</v>
      </c>
      <c r="C9185" t="str">
        <f>HYPERLINK("https://us2.cloudbeds.com/connect/8493803454333002#/reservations/245288349393088?display=59DESSD7B0&amp;reservation_id=245288349393088", "59DESSD7B0")</f>
        <v>59DESSD7B0</v>
      </c>
      <c r="D9185" t="s">
        <v>45</v>
      </c>
      <c r="E9185" t="s">
        <v>78</v>
      </c>
      <c r="F9185" t="s">
        <v>61</v>
      </c>
      <c r="G9185" t="s">
        <v>48</v>
      </c>
      <c r="H9185" t="s">
        <v>3957</v>
      </c>
      <c r="I9185" t="s">
        <v>3958</v>
      </c>
      <c r="J9185" t="s">
        <v>14655</v>
      </c>
      <c r="K9185" t="s">
        <v>14970</v>
      </c>
      <c r="L9185" t="s">
        <v>53</v>
      </c>
      <c r="P9185" t="s">
        <v>55</v>
      </c>
      <c r="R9185" t="s">
        <v>56</v>
      </c>
      <c r="T9185" t="s">
        <v>17561</v>
      </c>
      <c r="U9185" t="s">
        <v>58</v>
      </c>
      <c r="V9185">
        <v>2</v>
      </c>
      <c r="W9185">
        <v>1</v>
      </c>
      <c r="X9185">
        <v>1</v>
      </c>
      <c r="Y9185">
        <v>0</v>
      </c>
      <c r="Z9185">
        <v>1</v>
      </c>
      <c r="AA9185">
        <v>457.47</v>
      </c>
      <c r="AB9185">
        <v>457.47</v>
      </c>
      <c r="AC9185">
        <v>399</v>
      </c>
      <c r="AD9185">
        <v>0</v>
      </c>
      <c r="AE9185">
        <v>58.47</v>
      </c>
      <c r="AF9185">
        <v>0</v>
      </c>
      <c r="AG9185">
        <v>0</v>
      </c>
      <c r="AH9185">
        <v>0</v>
      </c>
      <c r="AI9185">
        <v>0</v>
      </c>
      <c r="AJ9185">
        <v>457.47</v>
      </c>
      <c r="AK9185">
        <v>0</v>
      </c>
      <c r="AL9185" t="s">
        <v>53</v>
      </c>
      <c r="AM9185" t="s">
        <v>53</v>
      </c>
      <c r="AN9185" t="s">
        <v>53</v>
      </c>
      <c r="AO9185" t="s">
        <v>53</v>
      </c>
      <c r="AP9185" t="s">
        <v>53</v>
      </c>
    </row>
    <row r="9186" spans="2:42" x14ac:dyDescent="0.2">
      <c r="B9186" t="s">
        <v>44</v>
      </c>
      <c r="C9186" t="str">
        <f>HYPERLINK("https://us2.cloudbeds.com/connect/8493803454333002#/reservations/9080486849330745?display=59DXUATEKC&amp;reservation_id=9080486849330745", "59DXUATEKC")</f>
        <v>59DXUATEKC</v>
      </c>
      <c r="D9186" t="s">
        <v>45</v>
      </c>
      <c r="E9186" t="s">
        <v>265</v>
      </c>
      <c r="F9186" t="s">
        <v>61</v>
      </c>
      <c r="G9186" t="s">
        <v>48</v>
      </c>
      <c r="H9186" t="s">
        <v>49</v>
      </c>
      <c r="I9186" t="s">
        <v>50</v>
      </c>
      <c r="J9186" t="s">
        <v>15594</v>
      </c>
      <c r="K9186" t="s">
        <v>14655</v>
      </c>
      <c r="L9186" t="s">
        <v>53</v>
      </c>
      <c r="N9186" t="s">
        <v>17562</v>
      </c>
      <c r="P9186" t="s">
        <v>55</v>
      </c>
      <c r="R9186" t="s">
        <v>53</v>
      </c>
      <c r="T9186" t="s">
        <v>17563</v>
      </c>
      <c r="U9186" t="s">
        <v>55</v>
      </c>
      <c r="V9186">
        <v>1</v>
      </c>
      <c r="W9186">
        <v>1</v>
      </c>
      <c r="X9186">
        <v>2</v>
      </c>
      <c r="Y9186">
        <v>0</v>
      </c>
      <c r="Z9186">
        <v>2</v>
      </c>
      <c r="AA9186">
        <v>213.3</v>
      </c>
      <c r="AB9186">
        <v>213.3</v>
      </c>
      <c r="AC9186">
        <v>196.14</v>
      </c>
      <c r="AD9186">
        <v>0</v>
      </c>
      <c r="AE9186">
        <v>17.16</v>
      </c>
      <c r="AF9186">
        <v>0</v>
      </c>
      <c r="AG9186">
        <v>0</v>
      </c>
      <c r="AH9186">
        <v>0</v>
      </c>
      <c r="AI9186">
        <v>38.39</v>
      </c>
      <c r="AJ9186">
        <v>213.3</v>
      </c>
      <c r="AK9186">
        <v>0</v>
      </c>
      <c r="AL9186" t="s">
        <v>53</v>
      </c>
      <c r="AM9186" t="s">
        <v>53</v>
      </c>
      <c r="AN9186" t="s">
        <v>53</v>
      </c>
      <c r="AO9186" t="s">
        <v>53</v>
      </c>
      <c r="AP9186" t="s">
        <v>53</v>
      </c>
    </row>
    <row r="9187" spans="2:42" x14ac:dyDescent="0.2">
      <c r="B9187" t="s">
        <v>44</v>
      </c>
      <c r="C9187" t="str">
        <f>HYPERLINK("https://us2.cloudbeds.com/connect/8493803454333002#/reservations/245314216161472?display=59E1TQV616&amp;reservation_id=245314216161472", "59E1TQV616")</f>
        <v>59E1TQV616</v>
      </c>
      <c r="D9187" t="s">
        <v>45</v>
      </c>
      <c r="E9187" t="s">
        <v>373</v>
      </c>
      <c r="F9187" t="s">
        <v>47</v>
      </c>
      <c r="G9187" t="s">
        <v>48</v>
      </c>
      <c r="H9187" t="s">
        <v>3957</v>
      </c>
      <c r="I9187" t="s">
        <v>3958</v>
      </c>
      <c r="J9187" t="s">
        <v>14655</v>
      </c>
      <c r="K9187" t="s">
        <v>14656</v>
      </c>
      <c r="L9187" t="s">
        <v>53</v>
      </c>
      <c r="P9187" t="s">
        <v>55</v>
      </c>
      <c r="R9187" t="s">
        <v>56</v>
      </c>
      <c r="T9187" t="s">
        <v>17564</v>
      </c>
      <c r="U9187" t="s">
        <v>58</v>
      </c>
      <c r="V9187">
        <v>1</v>
      </c>
      <c r="W9187">
        <v>1</v>
      </c>
      <c r="X9187">
        <v>1</v>
      </c>
      <c r="Y9187">
        <v>0</v>
      </c>
      <c r="Z9187">
        <v>1</v>
      </c>
      <c r="AA9187">
        <v>239.62</v>
      </c>
      <c r="AB9187">
        <v>239.62</v>
      </c>
      <c r="AC9187">
        <v>209</v>
      </c>
      <c r="AD9187">
        <v>0</v>
      </c>
      <c r="AE9187">
        <v>30.62</v>
      </c>
      <c r="AF9187">
        <v>0</v>
      </c>
      <c r="AG9187">
        <v>0</v>
      </c>
      <c r="AH9187">
        <v>0</v>
      </c>
      <c r="AI9187">
        <v>0</v>
      </c>
      <c r="AJ9187">
        <v>239.62</v>
      </c>
      <c r="AK9187">
        <v>0</v>
      </c>
      <c r="AL9187" t="s">
        <v>53</v>
      </c>
      <c r="AM9187" t="s">
        <v>53</v>
      </c>
      <c r="AN9187" t="s">
        <v>53</v>
      </c>
      <c r="AO9187" t="s">
        <v>53</v>
      </c>
      <c r="AP9187" t="s">
        <v>53</v>
      </c>
    </row>
    <row r="9188" spans="2:42" x14ac:dyDescent="0.2">
      <c r="B9188" t="s">
        <v>44</v>
      </c>
      <c r="C9188" t="str">
        <f>HYPERLINK("https://us2.cloudbeds.com/connect/8493803454333002#/reservations/9080486849335312?display=59H64W4EKX&amp;reservation_id=9080486849335312", "59H64W4EKX")</f>
        <v>59H64W4EKX</v>
      </c>
      <c r="D9188" t="s">
        <v>10291</v>
      </c>
      <c r="E9188" t="s">
        <v>110</v>
      </c>
      <c r="F9188" t="s">
        <v>47</v>
      </c>
      <c r="G9188" t="s">
        <v>48</v>
      </c>
      <c r="H9188" t="s">
        <v>49</v>
      </c>
      <c r="I9188" t="s">
        <v>50</v>
      </c>
      <c r="J9188" t="s">
        <v>17565</v>
      </c>
      <c r="K9188" t="s">
        <v>17354</v>
      </c>
      <c r="L9188" t="s">
        <v>53</v>
      </c>
      <c r="N9188" t="s">
        <v>17566</v>
      </c>
      <c r="P9188" t="s">
        <v>55</v>
      </c>
      <c r="R9188" t="s">
        <v>53</v>
      </c>
      <c r="T9188" t="s">
        <v>17567</v>
      </c>
      <c r="U9188" t="s">
        <v>55</v>
      </c>
      <c r="V9188">
        <v>1</v>
      </c>
      <c r="W9188">
        <v>1</v>
      </c>
      <c r="X9188">
        <v>1</v>
      </c>
      <c r="Y9188">
        <v>0</v>
      </c>
      <c r="Z9188">
        <v>1</v>
      </c>
      <c r="AA9188">
        <v>96.57</v>
      </c>
      <c r="AB9188">
        <v>0</v>
      </c>
      <c r="AC9188">
        <v>88.8</v>
      </c>
      <c r="AD9188">
        <v>0</v>
      </c>
      <c r="AE9188">
        <v>7.77</v>
      </c>
      <c r="AF9188">
        <v>0</v>
      </c>
      <c r="AG9188">
        <v>0</v>
      </c>
      <c r="AH9188">
        <v>0</v>
      </c>
      <c r="AI9188">
        <v>17.38</v>
      </c>
      <c r="AJ9188">
        <v>96.57</v>
      </c>
      <c r="AK9188">
        <v>96.57</v>
      </c>
      <c r="AL9188" t="s">
        <v>53</v>
      </c>
      <c r="AM9188" t="s">
        <v>53</v>
      </c>
      <c r="AN9188" t="s">
        <v>53</v>
      </c>
      <c r="AO9188" t="s">
        <v>53</v>
      </c>
      <c r="AP9188" t="s">
        <v>53</v>
      </c>
    </row>
    <row r="9189" spans="2:42" x14ac:dyDescent="0.2">
      <c r="B9189" t="s">
        <v>44</v>
      </c>
      <c r="C9189" t="str">
        <f>HYPERLINK("https://us2.cloudbeds.com/connect/8493803454333002#/reservations/245513075851392?display=59XNT4MKP5&amp;reservation_id=245513075851392", "59XNT4MKP5")</f>
        <v>59XNT4MKP5</v>
      </c>
      <c r="D9189" t="s">
        <v>45</v>
      </c>
      <c r="E9189" t="s">
        <v>185</v>
      </c>
      <c r="F9189" t="s">
        <v>47</v>
      </c>
      <c r="G9189" t="s">
        <v>48</v>
      </c>
      <c r="H9189" t="s">
        <v>3957</v>
      </c>
      <c r="I9189" t="s">
        <v>3975</v>
      </c>
      <c r="J9189" t="s">
        <v>14655</v>
      </c>
      <c r="K9189" t="s">
        <v>14656</v>
      </c>
      <c r="L9189" t="s">
        <v>53</v>
      </c>
      <c r="P9189" t="s">
        <v>55</v>
      </c>
      <c r="R9189" t="s">
        <v>56</v>
      </c>
      <c r="T9189" t="s">
        <v>17568</v>
      </c>
      <c r="U9189" t="s">
        <v>58</v>
      </c>
      <c r="V9189">
        <v>1</v>
      </c>
      <c r="W9189">
        <v>1</v>
      </c>
      <c r="X9189">
        <v>1</v>
      </c>
      <c r="Y9189">
        <v>0</v>
      </c>
      <c r="Z9189">
        <v>1</v>
      </c>
      <c r="AA9189">
        <v>231.6</v>
      </c>
      <c r="AB9189">
        <v>231.6</v>
      </c>
      <c r="AC9189">
        <v>202</v>
      </c>
      <c r="AD9189">
        <v>0</v>
      </c>
      <c r="AE9189">
        <v>29.6</v>
      </c>
      <c r="AF9189">
        <v>0</v>
      </c>
      <c r="AG9189">
        <v>0</v>
      </c>
      <c r="AH9189">
        <v>0</v>
      </c>
      <c r="AI9189">
        <v>0</v>
      </c>
      <c r="AJ9189">
        <v>231.6</v>
      </c>
      <c r="AK9189">
        <v>0</v>
      </c>
      <c r="AL9189" t="s">
        <v>53</v>
      </c>
      <c r="AM9189" t="s">
        <v>53</v>
      </c>
      <c r="AN9189" t="s">
        <v>17569</v>
      </c>
      <c r="AO9189" t="s">
        <v>53</v>
      </c>
      <c r="AP9189" t="s">
        <v>53</v>
      </c>
    </row>
    <row r="9190" spans="2:42" x14ac:dyDescent="0.2">
      <c r="B9190" t="s">
        <v>44</v>
      </c>
      <c r="C9190" t="str">
        <f>HYPERLINK("https://us2.cloudbeds.com/connect/8493803454333002#/reservations/245514096595072?display=59XZM7DTJE&amp;reservation_id=245514096595072", "59XZM7DTJE")</f>
        <v>59XZM7DTJE</v>
      </c>
      <c r="D9190" t="s">
        <v>45</v>
      </c>
      <c r="E9190" t="s">
        <v>406</v>
      </c>
      <c r="F9190" t="s">
        <v>61</v>
      </c>
      <c r="G9190" t="s">
        <v>48</v>
      </c>
      <c r="H9190" t="s">
        <v>3957</v>
      </c>
      <c r="I9190" t="s">
        <v>3975</v>
      </c>
      <c r="J9190" t="s">
        <v>14655</v>
      </c>
      <c r="K9190" t="s">
        <v>14656</v>
      </c>
      <c r="L9190" t="s">
        <v>53</v>
      </c>
      <c r="P9190" t="s">
        <v>58</v>
      </c>
      <c r="R9190" t="s">
        <v>56</v>
      </c>
      <c r="T9190" t="s">
        <v>17570</v>
      </c>
      <c r="U9190" t="s">
        <v>58</v>
      </c>
      <c r="V9190">
        <v>1</v>
      </c>
      <c r="W9190">
        <v>1</v>
      </c>
      <c r="X9190">
        <v>1</v>
      </c>
      <c r="Y9190">
        <v>0</v>
      </c>
      <c r="Z9190">
        <v>1</v>
      </c>
      <c r="AA9190">
        <v>241.92</v>
      </c>
      <c r="AB9190">
        <v>241.92</v>
      </c>
      <c r="AC9190">
        <v>211</v>
      </c>
      <c r="AD9190">
        <v>0</v>
      </c>
      <c r="AE9190">
        <v>30.92</v>
      </c>
      <c r="AF9190">
        <v>0</v>
      </c>
      <c r="AG9190">
        <v>0</v>
      </c>
      <c r="AH9190">
        <v>0</v>
      </c>
      <c r="AI9190">
        <v>0</v>
      </c>
      <c r="AJ9190">
        <v>241.92</v>
      </c>
      <c r="AK9190">
        <v>0</v>
      </c>
      <c r="AL9190" t="s">
        <v>53</v>
      </c>
      <c r="AM9190" t="s">
        <v>53</v>
      </c>
      <c r="AN9190" t="s">
        <v>53</v>
      </c>
      <c r="AO9190" t="s">
        <v>53</v>
      </c>
      <c r="AP9190" t="s">
        <v>53</v>
      </c>
    </row>
    <row r="9191" spans="2:42" x14ac:dyDescent="0.2">
      <c r="B9191" t="s">
        <v>44</v>
      </c>
      <c r="C9191" t="str">
        <f>HYPERLINK("https://us2.cloudbeds.com/connect/8493803454333002#/reservations/9080486849340779?display=59K05RM7AN&amp;reservation_id=9080486849340779", "59K05RM7AN")</f>
        <v>59K05RM7AN</v>
      </c>
      <c r="D9191" t="s">
        <v>10291</v>
      </c>
      <c r="E9191" t="s">
        <v>305</v>
      </c>
      <c r="F9191" t="s">
        <v>61</v>
      </c>
      <c r="G9191" t="s">
        <v>48</v>
      </c>
      <c r="H9191" t="s">
        <v>49</v>
      </c>
      <c r="I9191" t="s">
        <v>50</v>
      </c>
      <c r="J9191" t="s">
        <v>15936</v>
      </c>
      <c r="K9191" t="s">
        <v>15025</v>
      </c>
      <c r="L9191" t="s">
        <v>53</v>
      </c>
      <c r="N9191" t="s">
        <v>17571</v>
      </c>
      <c r="P9191" t="s">
        <v>55</v>
      </c>
      <c r="R9191" t="s">
        <v>53</v>
      </c>
      <c r="T9191" t="s">
        <v>17572</v>
      </c>
      <c r="U9191" t="s">
        <v>55</v>
      </c>
      <c r="V9191">
        <v>1</v>
      </c>
      <c r="W9191">
        <v>1</v>
      </c>
      <c r="X9191">
        <v>2</v>
      </c>
      <c r="Y9191">
        <v>0</v>
      </c>
      <c r="Z9191">
        <v>2</v>
      </c>
      <c r="AA9191">
        <v>134.21</v>
      </c>
      <c r="AB9191">
        <v>0</v>
      </c>
      <c r="AC9191">
        <v>123.41</v>
      </c>
      <c r="AD9191">
        <v>0</v>
      </c>
      <c r="AE9191">
        <v>10.8</v>
      </c>
      <c r="AF9191">
        <v>0</v>
      </c>
      <c r="AG9191">
        <v>0</v>
      </c>
      <c r="AH9191">
        <v>0</v>
      </c>
      <c r="AI9191">
        <v>24.16</v>
      </c>
      <c r="AJ9191">
        <v>134.21</v>
      </c>
      <c r="AK9191">
        <v>134.21</v>
      </c>
      <c r="AL9191" t="s">
        <v>53</v>
      </c>
      <c r="AM9191" t="s">
        <v>53</v>
      </c>
      <c r="AN9191" t="s">
        <v>53</v>
      </c>
      <c r="AO9191" t="s">
        <v>53</v>
      </c>
      <c r="AP9191" t="s">
        <v>53</v>
      </c>
    </row>
    <row r="9192" spans="2:42" x14ac:dyDescent="0.2">
      <c r="B9192" t="s">
        <v>44</v>
      </c>
      <c r="C9192" t="str">
        <f>HYPERLINK("https://us2.cloudbeds.com/connect/8493803454333002#/reservations/245571067289728?display=59K2PVKB9S&amp;reservation_id=245571067289728", "59K2PVKB9S")</f>
        <v>59K2PVKB9S</v>
      </c>
      <c r="D9192" t="s">
        <v>45</v>
      </c>
      <c r="E9192" t="s">
        <v>487</v>
      </c>
      <c r="F9192" t="s">
        <v>61</v>
      </c>
      <c r="G9192" t="s">
        <v>48</v>
      </c>
      <c r="H9192" t="s">
        <v>3957</v>
      </c>
      <c r="I9192" t="s">
        <v>3975</v>
      </c>
      <c r="J9192" t="s">
        <v>14656</v>
      </c>
      <c r="K9192" t="s">
        <v>14970</v>
      </c>
      <c r="L9192" t="s">
        <v>53</v>
      </c>
      <c r="P9192" t="s">
        <v>55</v>
      </c>
      <c r="R9192" t="s">
        <v>56</v>
      </c>
      <c r="T9192" t="s">
        <v>17573</v>
      </c>
      <c r="U9192" t="s">
        <v>58</v>
      </c>
      <c r="V9192">
        <v>1</v>
      </c>
      <c r="W9192">
        <v>1</v>
      </c>
      <c r="X9192">
        <v>2</v>
      </c>
      <c r="Y9192">
        <v>0</v>
      </c>
      <c r="Z9192">
        <v>2</v>
      </c>
      <c r="AA9192">
        <v>214.4</v>
      </c>
      <c r="AB9192">
        <v>214.4</v>
      </c>
      <c r="AC9192">
        <v>187</v>
      </c>
      <c r="AD9192">
        <v>0</v>
      </c>
      <c r="AE9192">
        <v>27.4</v>
      </c>
      <c r="AF9192">
        <v>0</v>
      </c>
      <c r="AG9192">
        <v>0</v>
      </c>
      <c r="AH9192">
        <v>0</v>
      </c>
      <c r="AI9192">
        <v>0</v>
      </c>
      <c r="AJ9192">
        <v>214.4</v>
      </c>
      <c r="AK9192">
        <v>0</v>
      </c>
      <c r="AL9192" t="s">
        <v>53</v>
      </c>
      <c r="AM9192" t="s">
        <v>53</v>
      </c>
      <c r="AN9192" t="s">
        <v>17574</v>
      </c>
      <c r="AO9192" t="s">
        <v>53</v>
      </c>
      <c r="AP9192" t="s">
        <v>53</v>
      </c>
    </row>
    <row r="9193" spans="2:42" x14ac:dyDescent="0.2">
      <c r="B9193" t="s">
        <v>44</v>
      </c>
      <c r="C9193" t="str">
        <f>HYPERLINK("https://us2.cloudbeds.com/connect/8493803454333002#/reservations/245595000344704?display=59KYAGJWN5&amp;reservation_id=245595000344704", "59KYAGJWN5")</f>
        <v>59KYAGJWN5</v>
      </c>
      <c r="D9193" t="s">
        <v>45</v>
      </c>
      <c r="E9193" t="s">
        <v>265</v>
      </c>
      <c r="F9193" t="s">
        <v>61</v>
      </c>
      <c r="G9193" t="s">
        <v>4520</v>
      </c>
      <c r="H9193" t="s">
        <v>3957</v>
      </c>
      <c r="I9193" t="s">
        <v>3958</v>
      </c>
      <c r="J9193" t="s">
        <v>14655</v>
      </c>
      <c r="K9193" t="s">
        <v>14656</v>
      </c>
      <c r="L9193" t="s">
        <v>53</v>
      </c>
      <c r="P9193" t="s">
        <v>55</v>
      </c>
      <c r="R9193" t="s">
        <v>56</v>
      </c>
      <c r="T9193" t="s">
        <v>17575</v>
      </c>
      <c r="U9193" t="s">
        <v>58</v>
      </c>
      <c r="V9193">
        <v>1</v>
      </c>
      <c r="W9193">
        <v>1</v>
      </c>
      <c r="X9193">
        <v>1</v>
      </c>
      <c r="Y9193">
        <v>0</v>
      </c>
      <c r="Z9193">
        <v>1</v>
      </c>
      <c r="AA9193">
        <v>217.73</v>
      </c>
      <c r="AB9193">
        <v>217.73</v>
      </c>
      <c r="AC9193">
        <v>189.9</v>
      </c>
      <c r="AD9193">
        <v>0</v>
      </c>
      <c r="AE9193">
        <v>27.83</v>
      </c>
      <c r="AF9193">
        <v>0</v>
      </c>
      <c r="AG9193">
        <v>0</v>
      </c>
      <c r="AH9193">
        <v>0</v>
      </c>
      <c r="AI9193">
        <v>0</v>
      </c>
      <c r="AJ9193">
        <v>217.73</v>
      </c>
      <c r="AK9193">
        <v>0</v>
      </c>
      <c r="AL9193" t="s">
        <v>53</v>
      </c>
      <c r="AM9193" t="s">
        <v>53</v>
      </c>
      <c r="AN9193" t="s">
        <v>53</v>
      </c>
      <c r="AO9193" t="s">
        <v>53</v>
      </c>
      <c r="AP9193" t="s">
        <v>53</v>
      </c>
    </row>
    <row r="9194" spans="2:42" x14ac:dyDescent="0.2">
      <c r="B9194" t="s">
        <v>44</v>
      </c>
      <c r="C9194" t="str">
        <f>HYPERLINK("https://us2.cloudbeds.com/connect/8493803454333002#/reservations/245619678630016?display=59Y7E2WAEE&amp;reservation_id=245619678630016", "59Y7E2WAEE")</f>
        <v>59Y7E2WAEE</v>
      </c>
      <c r="D9194" t="s">
        <v>45</v>
      </c>
      <c r="E9194" t="s">
        <v>121</v>
      </c>
      <c r="F9194" t="s">
        <v>86</v>
      </c>
      <c r="G9194" t="s">
        <v>48</v>
      </c>
      <c r="H9194" t="s">
        <v>3957</v>
      </c>
      <c r="I9194" t="s">
        <v>3975</v>
      </c>
      <c r="J9194" t="s">
        <v>14656</v>
      </c>
      <c r="K9194" t="s">
        <v>14970</v>
      </c>
      <c r="L9194" t="s">
        <v>53</v>
      </c>
      <c r="P9194" t="s">
        <v>55</v>
      </c>
      <c r="R9194" t="s">
        <v>56</v>
      </c>
      <c r="T9194" t="s">
        <v>17576</v>
      </c>
      <c r="U9194" t="s">
        <v>58</v>
      </c>
      <c r="V9194">
        <v>1</v>
      </c>
      <c r="W9194">
        <v>1</v>
      </c>
      <c r="X9194">
        <v>2</v>
      </c>
      <c r="Y9194">
        <v>0</v>
      </c>
      <c r="Z9194">
        <v>2</v>
      </c>
      <c r="AA9194">
        <v>231.6</v>
      </c>
      <c r="AB9194">
        <v>231.6</v>
      </c>
      <c r="AC9194">
        <v>202</v>
      </c>
      <c r="AD9194">
        <v>0</v>
      </c>
      <c r="AE9194">
        <v>29.6</v>
      </c>
      <c r="AF9194">
        <v>0</v>
      </c>
      <c r="AG9194">
        <v>0</v>
      </c>
      <c r="AH9194">
        <v>0</v>
      </c>
      <c r="AI9194">
        <v>0</v>
      </c>
      <c r="AJ9194">
        <v>231.6</v>
      </c>
      <c r="AK9194">
        <v>0</v>
      </c>
      <c r="AL9194" t="s">
        <v>53</v>
      </c>
      <c r="AM9194" t="s">
        <v>53</v>
      </c>
      <c r="AN9194" t="s">
        <v>53</v>
      </c>
      <c r="AO9194" t="s">
        <v>53</v>
      </c>
      <c r="AP9194" t="s">
        <v>53</v>
      </c>
    </row>
    <row r="9195" spans="2:42" x14ac:dyDescent="0.2">
      <c r="B9195" t="s">
        <v>44</v>
      </c>
      <c r="C9195" t="str">
        <f>HYPERLINK("https://us2.cloudbeds.com/connect/8493803454333002#/reservations/245625355370624?display=59YBR4Z6D8&amp;reservation_id=245625355370624", "59YBR4Z6D8")</f>
        <v>59YBR4Z6D8</v>
      </c>
      <c r="D9195" t="s">
        <v>45</v>
      </c>
      <c r="E9195" t="s">
        <v>155</v>
      </c>
      <c r="F9195" t="s">
        <v>86</v>
      </c>
      <c r="G9195" t="s">
        <v>48</v>
      </c>
      <c r="H9195" t="s">
        <v>3957</v>
      </c>
      <c r="I9195" t="s">
        <v>3975</v>
      </c>
      <c r="J9195" t="s">
        <v>14655</v>
      </c>
      <c r="K9195" t="s">
        <v>14970</v>
      </c>
      <c r="L9195" t="s">
        <v>53</v>
      </c>
      <c r="P9195" t="s">
        <v>55</v>
      </c>
      <c r="R9195" t="s">
        <v>56</v>
      </c>
      <c r="T9195" t="s">
        <v>17577</v>
      </c>
      <c r="U9195" t="s">
        <v>58</v>
      </c>
      <c r="V9195">
        <v>2</v>
      </c>
      <c r="W9195">
        <v>1</v>
      </c>
      <c r="X9195">
        <v>3</v>
      </c>
      <c r="Y9195">
        <v>0</v>
      </c>
      <c r="Z9195">
        <v>3</v>
      </c>
      <c r="AA9195">
        <v>561.79</v>
      </c>
      <c r="AB9195">
        <v>561.79</v>
      </c>
      <c r="AC9195">
        <v>490</v>
      </c>
      <c r="AD9195">
        <v>0</v>
      </c>
      <c r="AE9195">
        <v>71.790000000000006</v>
      </c>
      <c r="AF9195">
        <v>0</v>
      </c>
      <c r="AG9195">
        <v>0</v>
      </c>
      <c r="AH9195">
        <v>0</v>
      </c>
      <c r="AI9195">
        <v>0</v>
      </c>
      <c r="AJ9195">
        <v>561.79</v>
      </c>
      <c r="AK9195">
        <v>0</v>
      </c>
      <c r="AL9195" t="s">
        <v>53</v>
      </c>
      <c r="AM9195" t="s">
        <v>53</v>
      </c>
      <c r="AN9195" t="s">
        <v>17578</v>
      </c>
      <c r="AO9195" t="s">
        <v>53</v>
      </c>
      <c r="AP9195" t="s">
        <v>53</v>
      </c>
    </row>
    <row r="9196" spans="2:42" x14ac:dyDescent="0.2">
      <c r="B9196" t="s">
        <v>44</v>
      </c>
      <c r="C9196" t="str">
        <f>HYPERLINK("https://us2.cloudbeds.com/connect/8493803454333002#/reservations/245834089840768?display=59Q8EQ66R1&amp;reservation_id=245834089840768", "59Q8EQ66R1")</f>
        <v>59Q8EQ66R1</v>
      </c>
      <c r="D9196" t="s">
        <v>45</v>
      </c>
      <c r="E9196" t="s">
        <v>487</v>
      </c>
      <c r="F9196" t="s">
        <v>61</v>
      </c>
      <c r="G9196" t="s">
        <v>48</v>
      </c>
      <c r="H9196" t="s">
        <v>3957</v>
      </c>
      <c r="I9196" t="s">
        <v>3975</v>
      </c>
      <c r="J9196" t="s">
        <v>16163</v>
      </c>
      <c r="K9196" t="s">
        <v>14130</v>
      </c>
      <c r="L9196" t="s">
        <v>53</v>
      </c>
      <c r="P9196" t="s">
        <v>55</v>
      </c>
      <c r="R9196" t="s">
        <v>56</v>
      </c>
      <c r="T9196" t="s">
        <v>17579</v>
      </c>
      <c r="U9196" t="s">
        <v>58</v>
      </c>
      <c r="V9196">
        <v>1</v>
      </c>
      <c r="W9196">
        <v>1</v>
      </c>
      <c r="X9196">
        <v>2</v>
      </c>
      <c r="Y9196">
        <v>0</v>
      </c>
      <c r="Z9196">
        <v>2</v>
      </c>
      <c r="AA9196">
        <v>0</v>
      </c>
      <c r="AB9196">
        <v>191.47</v>
      </c>
      <c r="AC9196">
        <v>167</v>
      </c>
      <c r="AD9196">
        <v>0</v>
      </c>
      <c r="AE9196">
        <v>24.47</v>
      </c>
      <c r="AF9196">
        <v>0</v>
      </c>
      <c r="AG9196">
        <v>0</v>
      </c>
      <c r="AH9196">
        <v>0</v>
      </c>
      <c r="AI9196">
        <v>0</v>
      </c>
      <c r="AJ9196">
        <v>191.47</v>
      </c>
      <c r="AK9196">
        <v>0</v>
      </c>
      <c r="AL9196" t="s">
        <v>53</v>
      </c>
      <c r="AM9196" t="s">
        <v>53</v>
      </c>
      <c r="AN9196" t="s">
        <v>17580</v>
      </c>
      <c r="AO9196" t="s">
        <v>53</v>
      </c>
      <c r="AP9196" t="s">
        <v>53</v>
      </c>
    </row>
    <row r="9197" spans="2:42" x14ac:dyDescent="0.2">
      <c r="B9197" t="s">
        <v>44</v>
      </c>
      <c r="C9197" t="str">
        <f>HYPERLINK("https://us2.cloudbeds.com/connect/8493803454333002#/reservations/9080486849350372?display=59QYV4TR08&amp;reservation_id=9080486849350372", "59QYV4TR08")</f>
        <v>59QYV4TR08</v>
      </c>
      <c r="D9197" t="s">
        <v>45</v>
      </c>
      <c r="E9197" t="s">
        <v>373</v>
      </c>
      <c r="F9197" t="s">
        <v>47</v>
      </c>
      <c r="G9197" t="s">
        <v>48</v>
      </c>
      <c r="H9197" t="s">
        <v>49</v>
      </c>
      <c r="I9197" t="s">
        <v>50</v>
      </c>
      <c r="J9197" t="s">
        <v>14656</v>
      </c>
      <c r="K9197" t="s">
        <v>14970</v>
      </c>
      <c r="L9197" t="s">
        <v>53</v>
      </c>
      <c r="N9197" t="s">
        <v>17581</v>
      </c>
      <c r="P9197" t="s">
        <v>55</v>
      </c>
      <c r="R9197" t="s">
        <v>53</v>
      </c>
      <c r="T9197" t="s">
        <v>17582</v>
      </c>
      <c r="U9197" t="s">
        <v>55</v>
      </c>
      <c r="V9197">
        <v>1</v>
      </c>
      <c r="W9197">
        <v>1</v>
      </c>
      <c r="X9197">
        <v>1</v>
      </c>
      <c r="Y9197">
        <v>0</v>
      </c>
      <c r="Z9197">
        <v>1</v>
      </c>
      <c r="AA9197">
        <v>164.08</v>
      </c>
      <c r="AB9197">
        <v>164.08</v>
      </c>
      <c r="AC9197">
        <v>150.88</v>
      </c>
      <c r="AD9197">
        <v>0</v>
      </c>
      <c r="AE9197">
        <v>13.2</v>
      </c>
      <c r="AF9197">
        <v>0</v>
      </c>
      <c r="AG9197">
        <v>0</v>
      </c>
      <c r="AH9197">
        <v>0</v>
      </c>
      <c r="AI9197">
        <v>29.53</v>
      </c>
      <c r="AJ9197">
        <v>164.08</v>
      </c>
      <c r="AK9197">
        <v>0</v>
      </c>
      <c r="AL9197" t="s">
        <v>53</v>
      </c>
      <c r="AM9197" t="s">
        <v>53</v>
      </c>
      <c r="AN9197" t="s">
        <v>17583</v>
      </c>
      <c r="AO9197" t="s">
        <v>53</v>
      </c>
      <c r="AP9197" t="s">
        <v>53</v>
      </c>
    </row>
    <row r="9198" spans="2:42" x14ac:dyDescent="0.2">
      <c r="B9198" t="s">
        <v>44</v>
      </c>
      <c r="C9198" t="str">
        <f>HYPERLINK("https://us2.cloudbeds.com/connect/8493803454333002#/reservations/245852249145472?display=59QMGQJD7H&amp;reservation_id=245852249145472", "59QMGQJD7H")</f>
        <v>59QMGQJD7H</v>
      </c>
      <c r="D9198" t="s">
        <v>45</v>
      </c>
      <c r="E9198" t="s">
        <v>128</v>
      </c>
      <c r="F9198" t="s">
        <v>86</v>
      </c>
      <c r="G9198" t="s">
        <v>48</v>
      </c>
      <c r="H9198" t="s">
        <v>3957</v>
      </c>
      <c r="I9198" t="s">
        <v>3975</v>
      </c>
      <c r="J9198" t="s">
        <v>14971</v>
      </c>
      <c r="K9198" t="s">
        <v>15947</v>
      </c>
      <c r="L9198" t="s">
        <v>53</v>
      </c>
      <c r="P9198" t="s">
        <v>55</v>
      </c>
      <c r="R9198" t="s">
        <v>56</v>
      </c>
      <c r="T9198" t="s">
        <v>17584</v>
      </c>
      <c r="U9198" t="s">
        <v>58</v>
      </c>
      <c r="V9198">
        <v>1</v>
      </c>
      <c r="W9198">
        <v>1</v>
      </c>
      <c r="X9198">
        <v>2</v>
      </c>
      <c r="Y9198">
        <v>0</v>
      </c>
      <c r="Z9198">
        <v>2</v>
      </c>
      <c r="AA9198">
        <v>0</v>
      </c>
      <c r="AB9198">
        <v>260.26</v>
      </c>
      <c r="AC9198">
        <v>227</v>
      </c>
      <c r="AD9198">
        <v>0</v>
      </c>
      <c r="AE9198">
        <v>33.26</v>
      </c>
      <c r="AF9198">
        <v>0</v>
      </c>
      <c r="AG9198">
        <v>0</v>
      </c>
      <c r="AH9198">
        <v>0</v>
      </c>
      <c r="AI9198">
        <v>0</v>
      </c>
      <c r="AJ9198">
        <v>260.26</v>
      </c>
      <c r="AK9198">
        <v>0</v>
      </c>
      <c r="AL9198" t="s">
        <v>53</v>
      </c>
      <c r="AM9198" t="s">
        <v>53</v>
      </c>
      <c r="AN9198" t="s">
        <v>17585</v>
      </c>
      <c r="AO9198" t="s">
        <v>53</v>
      </c>
      <c r="AP9198" t="s">
        <v>53</v>
      </c>
    </row>
    <row r="9199" spans="2:42" x14ac:dyDescent="0.2">
      <c r="B9199" t="s">
        <v>44</v>
      </c>
      <c r="C9199" t="str">
        <f>HYPERLINK("https://us2.cloudbeds.com/connect/8493803454333002#/reservations/245888302309504?display=59RHE1XVBR&amp;reservation_id=245888302309504", "59RHE1XVBR")</f>
        <v>59RHE1XVBR</v>
      </c>
      <c r="D9199" t="s">
        <v>45</v>
      </c>
      <c r="E9199" t="s">
        <v>121</v>
      </c>
      <c r="F9199" t="s">
        <v>86</v>
      </c>
      <c r="G9199" t="s">
        <v>3974</v>
      </c>
      <c r="H9199" t="s">
        <v>3957</v>
      </c>
      <c r="I9199" t="s">
        <v>3975</v>
      </c>
      <c r="J9199" t="s">
        <v>14806</v>
      </c>
      <c r="K9199" t="s">
        <v>15548</v>
      </c>
      <c r="L9199" t="s">
        <v>53</v>
      </c>
      <c r="P9199" t="s">
        <v>55</v>
      </c>
      <c r="R9199" t="s">
        <v>56</v>
      </c>
      <c r="T9199" t="s">
        <v>17586</v>
      </c>
      <c r="U9199" t="s">
        <v>58</v>
      </c>
      <c r="V9199">
        <v>1</v>
      </c>
      <c r="W9199">
        <v>1</v>
      </c>
      <c r="X9199">
        <v>3</v>
      </c>
      <c r="Y9199">
        <v>0</v>
      </c>
      <c r="Z9199">
        <v>3</v>
      </c>
      <c r="AA9199">
        <v>277.75</v>
      </c>
      <c r="AB9199">
        <v>277.75</v>
      </c>
      <c r="AC9199">
        <v>242.25</v>
      </c>
      <c r="AD9199">
        <v>0</v>
      </c>
      <c r="AE9199">
        <v>35.5</v>
      </c>
      <c r="AF9199">
        <v>0</v>
      </c>
      <c r="AG9199">
        <v>0</v>
      </c>
      <c r="AH9199">
        <v>0</v>
      </c>
      <c r="AI9199">
        <v>0</v>
      </c>
      <c r="AJ9199">
        <v>277.75</v>
      </c>
      <c r="AK9199">
        <v>0</v>
      </c>
      <c r="AL9199" t="s">
        <v>53</v>
      </c>
      <c r="AM9199" t="s">
        <v>53</v>
      </c>
      <c r="AN9199" t="s">
        <v>17587</v>
      </c>
      <c r="AO9199" t="s">
        <v>53</v>
      </c>
      <c r="AP9199" t="s">
        <v>53</v>
      </c>
    </row>
    <row r="9200" spans="2:42" x14ac:dyDescent="0.2">
      <c r="B9200" t="s">
        <v>44</v>
      </c>
      <c r="C9200" t="str">
        <f>HYPERLINK("https://us2.cloudbeds.com/connect/8493803454333002#/reservations/245901678248128?display=59RRPRHCMY&amp;reservation_id=245901678248128", "59RRPRHCMY")</f>
        <v>59RRPRHCMY</v>
      </c>
      <c r="D9200" t="s">
        <v>45</v>
      </c>
      <c r="E9200" t="s">
        <v>98</v>
      </c>
      <c r="F9200" t="s">
        <v>86</v>
      </c>
      <c r="G9200" t="s">
        <v>48</v>
      </c>
      <c r="H9200" t="s">
        <v>3957</v>
      </c>
      <c r="I9200" t="s">
        <v>3989</v>
      </c>
      <c r="J9200" t="s">
        <v>14656</v>
      </c>
      <c r="K9200" t="s">
        <v>14970</v>
      </c>
      <c r="L9200" t="s">
        <v>53</v>
      </c>
      <c r="P9200" t="s">
        <v>55</v>
      </c>
      <c r="R9200" t="s">
        <v>56</v>
      </c>
      <c r="T9200" t="s">
        <v>17588</v>
      </c>
      <c r="U9200" t="s">
        <v>58</v>
      </c>
      <c r="V9200">
        <v>1</v>
      </c>
      <c r="W9200">
        <v>1</v>
      </c>
      <c r="X9200">
        <v>1</v>
      </c>
      <c r="Y9200">
        <v>0</v>
      </c>
      <c r="Z9200">
        <v>1</v>
      </c>
      <c r="AA9200">
        <v>225.86</v>
      </c>
      <c r="AB9200">
        <v>225.86</v>
      </c>
      <c r="AC9200">
        <v>197</v>
      </c>
      <c r="AD9200">
        <v>0</v>
      </c>
      <c r="AE9200">
        <v>28.86</v>
      </c>
      <c r="AF9200">
        <v>0</v>
      </c>
      <c r="AG9200">
        <v>0</v>
      </c>
      <c r="AH9200">
        <v>0</v>
      </c>
      <c r="AI9200">
        <v>0</v>
      </c>
      <c r="AJ9200">
        <v>225.86</v>
      </c>
      <c r="AK9200">
        <v>0</v>
      </c>
      <c r="AL9200" t="s">
        <v>53</v>
      </c>
      <c r="AM9200" t="s">
        <v>53</v>
      </c>
      <c r="AN9200" t="s">
        <v>53</v>
      </c>
      <c r="AO9200" t="s">
        <v>53</v>
      </c>
      <c r="AP9200" t="s">
        <v>53</v>
      </c>
    </row>
    <row r="9201" spans="2:42" x14ac:dyDescent="0.2">
      <c r="B9201" t="s">
        <v>44</v>
      </c>
      <c r="C9201" t="str">
        <f>HYPERLINK("https://us2.cloudbeds.com/connect/8493803454333002#/reservations/9080486849353748?display=59SCEYN5NK&amp;reservation_id=9080486849353748", "59SCEYN5NK")</f>
        <v>59SCEYN5NK</v>
      </c>
      <c r="D9201" t="s">
        <v>45</v>
      </c>
      <c r="E9201" t="s">
        <v>381</v>
      </c>
      <c r="F9201" t="s">
        <v>47</v>
      </c>
      <c r="G9201" t="s">
        <v>48</v>
      </c>
      <c r="H9201" t="s">
        <v>49</v>
      </c>
      <c r="I9201" t="s">
        <v>8964</v>
      </c>
      <c r="J9201" t="s">
        <v>14656</v>
      </c>
      <c r="K9201" t="s">
        <v>14970</v>
      </c>
      <c r="L9201" t="s">
        <v>53</v>
      </c>
      <c r="N9201" t="s">
        <v>17589</v>
      </c>
      <c r="P9201" t="s">
        <v>55</v>
      </c>
      <c r="R9201" t="s">
        <v>53</v>
      </c>
      <c r="T9201" t="s">
        <v>17590</v>
      </c>
      <c r="U9201" t="s">
        <v>55</v>
      </c>
      <c r="V9201">
        <v>1</v>
      </c>
      <c r="W9201">
        <v>1</v>
      </c>
      <c r="X9201">
        <v>2</v>
      </c>
      <c r="Y9201">
        <v>0</v>
      </c>
      <c r="Z9201">
        <v>2</v>
      </c>
      <c r="AA9201">
        <v>0</v>
      </c>
      <c r="AB9201">
        <v>0</v>
      </c>
      <c r="AC9201">
        <v>186</v>
      </c>
      <c r="AD9201">
        <v>0</v>
      </c>
      <c r="AE9201">
        <v>0</v>
      </c>
      <c r="AF9201">
        <v>0</v>
      </c>
      <c r="AG9201">
        <v>0</v>
      </c>
      <c r="AH9201">
        <v>0</v>
      </c>
      <c r="AI9201">
        <v>27.9</v>
      </c>
      <c r="AJ9201">
        <v>186</v>
      </c>
      <c r="AK9201">
        <v>186</v>
      </c>
      <c r="AL9201" t="s">
        <v>53</v>
      </c>
      <c r="AM9201" t="s">
        <v>53</v>
      </c>
      <c r="AN9201" t="s">
        <v>17591</v>
      </c>
      <c r="AO9201" t="s">
        <v>53</v>
      </c>
      <c r="AP9201" t="s">
        <v>53</v>
      </c>
    </row>
    <row r="9202" spans="2:42" x14ac:dyDescent="0.2">
      <c r="B9202" t="s">
        <v>44</v>
      </c>
      <c r="C9202" t="str">
        <f>HYPERLINK("https://us2.cloudbeds.com/connect/8493803454333002#/reservations/9080486849354758?display=59SUF2Z79V&amp;reservation_id=9080486849354758", "59SUF2Z79V")</f>
        <v>59SUF2Z79V</v>
      </c>
      <c r="D9202" t="s">
        <v>45</v>
      </c>
      <c r="E9202" t="s">
        <v>14695</v>
      </c>
      <c r="F9202" t="s">
        <v>47</v>
      </c>
      <c r="G9202" t="s">
        <v>48</v>
      </c>
      <c r="H9202" t="s">
        <v>49</v>
      </c>
      <c r="I9202" t="s">
        <v>50</v>
      </c>
      <c r="J9202" t="s">
        <v>14656</v>
      </c>
      <c r="K9202" t="s">
        <v>14971</v>
      </c>
      <c r="L9202" t="s">
        <v>53</v>
      </c>
      <c r="N9202" t="s">
        <v>17592</v>
      </c>
      <c r="P9202" t="s">
        <v>55</v>
      </c>
      <c r="R9202" t="s">
        <v>53</v>
      </c>
      <c r="T9202" t="s">
        <v>17593</v>
      </c>
      <c r="U9202" t="s">
        <v>55</v>
      </c>
      <c r="V9202">
        <v>2</v>
      </c>
      <c r="W9202">
        <v>1</v>
      </c>
      <c r="X9202">
        <v>2</v>
      </c>
      <c r="Y9202">
        <v>0</v>
      </c>
      <c r="Z9202">
        <v>2</v>
      </c>
      <c r="AA9202">
        <v>360.99</v>
      </c>
      <c r="AB9202">
        <v>360.99</v>
      </c>
      <c r="AC9202">
        <v>331.94</v>
      </c>
      <c r="AD9202">
        <v>0</v>
      </c>
      <c r="AE9202">
        <v>29.05</v>
      </c>
      <c r="AF9202">
        <v>0</v>
      </c>
      <c r="AG9202">
        <v>0</v>
      </c>
      <c r="AH9202">
        <v>0</v>
      </c>
      <c r="AI9202">
        <v>64.98</v>
      </c>
      <c r="AJ9202">
        <v>360.99</v>
      </c>
      <c r="AK9202">
        <v>0</v>
      </c>
      <c r="AL9202" t="s">
        <v>53</v>
      </c>
      <c r="AM9202" t="s">
        <v>53</v>
      </c>
      <c r="AN9202" t="s">
        <v>17594</v>
      </c>
      <c r="AO9202" t="s">
        <v>53</v>
      </c>
      <c r="AP9202" t="s">
        <v>53</v>
      </c>
    </row>
    <row r="9203" spans="2:42" x14ac:dyDescent="0.2">
      <c r="B9203" t="s">
        <v>44</v>
      </c>
      <c r="C9203" t="str">
        <f>HYPERLINK("https://us2.cloudbeds.com/connect/8493803454333002#/reservations/9080486849355407?display=59TB6H0NGC&amp;reservation_id=9080486849355407", "59TB6H0NGC")</f>
        <v>59TB6H0NGC</v>
      </c>
      <c r="D9203" t="s">
        <v>45</v>
      </c>
      <c r="E9203" t="s">
        <v>92</v>
      </c>
      <c r="F9203" t="s">
        <v>86</v>
      </c>
      <c r="G9203" t="s">
        <v>48</v>
      </c>
      <c r="H9203" t="s">
        <v>49</v>
      </c>
      <c r="I9203" t="s">
        <v>62</v>
      </c>
      <c r="J9203" t="s">
        <v>14656</v>
      </c>
      <c r="K9203" t="s">
        <v>14970</v>
      </c>
      <c r="L9203" t="s">
        <v>53</v>
      </c>
      <c r="N9203" t="s">
        <v>17595</v>
      </c>
      <c r="P9203" t="s">
        <v>55</v>
      </c>
      <c r="R9203" t="s">
        <v>56</v>
      </c>
      <c r="T9203" t="s">
        <v>17596</v>
      </c>
      <c r="U9203" t="s">
        <v>55</v>
      </c>
      <c r="V9203">
        <v>1</v>
      </c>
      <c r="W9203">
        <v>1</v>
      </c>
      <c r="X9203">
        <v>4</v>
      </c>
      <c r="Y9203">
        <v>0</v>
      </c>
      <c r="Z9203">
        <v>4</v>
      </c>
      <c r="AA9203">
        <v>226.55</v>
      </c>
      <c r="AB9203">
        <v>226.55</v>
      </c>
      <c r="AC9203">
        <v>226.55</v>
      </c>
      <c r="AD9203">
        <v>0</v>
      </c>
      <c r="AE9203">
        <v>0</v>
      </c>
      <c r="AF9203">
        <v>0</v>
      </c>
      <c r="AG9203">
        <v>0</v>
      </c>
      <c r="AH9203">
        <v>0</v>
      </c>
      <c r="AI9203">
        <v>40.78</v>
      </c>
      <c r="AJ9203">
        <v>226.55</v>
      </c>
      <c r="AK9203">
        <v>0</v>
      </c>
      <c r="AL9203" t="s">
        <v>53</v>
      </c>
      <c r="AM9203" t="s">
        <v>53</v>
      </c>
      <c r="AN9203" t="s">
        <v>53</v>
      </c>
      <c r="AO9203" t="s">
        <v>53</v>
      </c>
      <c r="AP9203" t="s">
        <v>53</v>
      </c>
    </row>
    <row r="9204" spans="2:42" x14ac:dyDescent="0.2">
      <c r="B9204" t="s">
        <v>44</v>
      </c>
      <c r="C9204" t="str">
        <f>HYPERLINK("https://us2.cloudbeds.com/connect/8493803454333002#/reservations/245969243410560?display=59TE3992SK&amp;reservation_id=245969243410560", "59TE3992SK")</f>
        <v>59TE3992SK</v>
      </c>
      <c r="D9204" t="s">
        <v>45</v>
      </c>
      <c r="E9204" t="s">
        <v>98</v>
      </c>
      <c r="F9204" t="s">
        <v>86</v>
      </c>
      <c r="G9204" t="s">
        <v>48</v>
      </c>
      <c r="H9204" t="s">
        <v>3957</v>
      </c>
      <c r="I9204" t="s">
        <v>3975</v>
      </c>
      <c r="J9204" t="s">
        <v>14970</v>
      </c>
      <c r="K9204" t="s">
        <v>14971</v>
      </c>
      <c r="L9204" t="s">
        <v>53</v>
      </c>
      <c r="P9204" t="s">
        <v>55</v>
      </c>
      <c r="R9204" t="s">
        <v>56</v>
      </c>
      <c r="T9204" t="s">
        <v>17597</v>
      </c>
      <c r="U9204" t="s">
        <v>58</v>
      </c>
      <c r="V9204">
        <v>1</v>
      </c>
      <c r="W9204">
        <v>1</v>
      </c>
      <c r="X9204">
        <v>3</v>
      </c>
      <c r="Y9204">
        <v>1</v>
      </c>
      <c r="Z9204">
        <v>4</v>
      </c>
      <c r="AA9204">
        <v>267.14</v>
      </c>
      <c r="AB9204">
        <v>267.14</v>
      </c>
      <c r="AC9204">
        <v>233</v>
      </c>
      <c r="AD9204">
        <v>0</v>
      </c>
      <c r="AE9204">
        <v>34.14</v>
      </c>
      <c r="AF9204">
        <v>0</v>
      </c>
      <c r="AG9204">
        <v>0</v>
      </c>
      <c r="AH9204">
        <v>0</v>
      </c>
      <c r="AI9204">
        <v>0</v>
      </c>
      <c r="AJ9204">
        <v>267.14</v>
      </c>
      <c r="AK9204">
        <v>0</v>
      </c>
      <c r="AL9204" t="s">
        <v>53</v>
      </c>
      <c r="AM9204" t="s">
        <v>53</v>
      </c>
      <c r="AN9204" t="s">
        <v>17598</v>
      </c>
      <c r="AO9204" t="s">
        <v>53</v>
      </c>
      <c r="AP9204" t="s">
        <v>53</v>
      </c>
    </row>
    <row r="9205" spans="2:42" x14ac:dyDescent="0.2">
      <c r="B9205" t="s">
        <v>44</v>
      </c>
      <c r="C9205" t="str">
        <f>HYPERLINK("https://us2.cloudbeds.com/connect/8493803454333002#/reservations/245986869371008?display=59TRZYUZ8F&amp;reservation_id=245986869371008", "59TRZYUZ8F")</f>
        <v>59TRZYUZ8F</v>
      </c>
      <c r="D9205" t="s">
        <v>10291</v>
      </c>
      <c r="E9205" t="s">
        <v>179</v>
      </c>
      <c r="F9205" t="s">
        <v>47</v>
      </c>
      <c r="G9205" t="s">
        <v>3974</v>
      </c>
      <c r="H9205" t="s">
        <v>3957</v>
      </c>
      <c r="I9205" t="s">
        <v>3975</v>
      </c>
      <c r="J9205" t="s">
        <v>17467</v>
      </c>
      <c r="K9205" t="s">
        <v>14372</v>
      </c>
      <c r="L9205" t="s">
        <v>53</v>
      </c>
      <c r="P9205" t="s">
        <v>55</v>
      </c>
      <c r="R9205" t="s">
        <v>56</v>
      </c>
      <c r="T9205" t="s">
        <v>17599</v>
      </c>
      <c r="U9205" t="s">
        <v>58</v>
      </c>
      <c r="V9205">
        <v>1</v>
      </c>
      <c r="W9205">
        <v>1</v>
      </c>
      <c r="X9205">
        <v>1</v>
      </c>
      <c r="Y9205">
        <v>0</v>
      </c>
      <c r="Z9205">
        <v>1</v>
      </c>
      <c r="AA9205">
        <v>194.96</v>
      </c>
      <c r="AB9205">
        <v>194.96</v>
      </c>
      <c r="AC9205">
        <v>170.05</v>
      </c>
      <c r="AD9205">
        <v>0</v>
      </c>
      <c r="AE9205">
        <v>24.91</v>
      </c>
      <c r="AF9205">
        <v>0</v>
      </c>
      <c r="AG9205">
        <v>0</v>
      </c>
      <c r="AH9205">
        <v>0</v>
      </c>
      <c r="AI9205">
        <v>0</v>
      </c>
      <c r="AJ9205">
        <v>194.96</v>
      </c>
      <c r="AK9205">
        <v>0</v>
      </c>
      <c r="AL9205" t="s">
        <v>53</v>
      </c>
      <c r="AM9205" t="s">
        <v>53</v>
      </c>
      <c r="AN9205" t="s">
        <v>17600</v>
      </c>
      <c r="AO9205" t="s">
        <v>53</v>
      </c>
      <c r="AP9205" t="s">
        <v>53</v>
      </c>
    </row>
    <row r="9206" spans="2:42" x14ac:dyDescent="0.2">
      <c r="B9206" t="s">
        <v>44</v>
      </c>
      <c r="C9206" t="str">
        <f>HYPERLINK("https://us2.cloudbeds.com/connect/8493803454333002#/reservations/9080486849356228?display=59TTHQ61W7&amp;reservation_id=9080486849356228", "59TTHQ61W7")</f>
        <v>59TTHQ61W7</v>
      </c>
      <c r="D9206" t="s">
        <v>45</v>
      </c>
      <c r="E9206" t="s">
        <v>406</v>
      </c>
      <c r="F9206" t="s">
        <v>61</v>
      </c>
      <c r="G9206" t="s">
        <v>48</v>
      </c>
      <c r="H9206" t="s">
        <v>49</v>
      </c>
      <c r="I9206" t="s">
        <v>50</v>
      </c>
      <c r="J9206" t="s">
        <v>14656</v>
      </c>
      <c r="K9206" t="s">
        <v>14970</v>
      </c>
      <c r="L9206" t="s">
        <v>53</v>
      </c>
      <c r="N9206" t="s">
        <v>17601</v>
      </c>
      <c r="P9206" t="s">
        <v>55</v>
      </c>
      <c r="R9206" t="s">
        <v>53</v>
      </c>
      <c r="T9206" t="s">
        <v>17602</v>
      </c>
      <c r="U9206" t="s">
        <v>55</v>
      </c>
      <c r="V9206">
        <v>1</v>
      </c>
      <c r="W9206">
        <v>1</v>
      </c>
      <c r="X9206">
        <v>2</v>
      </c>
      <c r="Y9206">
        <v>0</v>
      </c>
      <c r="Z9206">
        <v>2</v>
      </c>
      <c r="AA9206">
        <v>198.94</v>
      </c>
      <c r="AB9206">
        <v>198.94</v>
      </c>
      <c r="AC9206">
        <v>182.94</v>
      </c>
      <c r="AD9206">
        <v>0</v>
      </c>
      <c r="AE9206">
        <v>16</v>
      </c>
      <c r="AF9206">
        <v>0</v>
      </c>
      <c r="AG9206">
        <v>0</v>
      </c>
      <c r="AH9206">
        <v>0</v>
      </c>
      <c r="AI9206">
        <v>35.81</v>
      </c>
      <c r="AJ9206">
        <v>198.94</v>
      </c>
      <c r="AK9206">
        <v>0</v>
      </c>
      <c r="AL9206" t="s">
        <v>53</v>
      </c>
      <c r="AM9206" t="s">
        <v>53</v>
      </c>
      <c r="AN9206" t="s">
        <v>53</v>
      </c>
      <c r="AO9206" t="s">
        <v>53</v>
      </c>
      <c r="AP9206" t="s">
        <v>53</v>
      </c>
    </row>
    <row r="9207" spans="2:42" x14ac:dyDescent="0.2">
      <c r="B9207" t="s">
        <v>44</v>
      </c>
      <c r="C9207" t="str">
        <f>HYPERLINK("https://us2.cloudbeds.com/connect/8493803454333002#/reservations/245991419326656?display=59TV8UXNW7&amp;reservation_id=245991419326656", "59TV8UXNW7")</f>
        <v>59TV8UXNW7</v>
      </c>
      <c r="D9207" t="s">
        <v>45</v>
      </c>
      <c r="E9207" t="s">
        <v>305</v>
      </c>
      <c r="F9207" t="s">
        <v>61</v>
      </c>
      <c r="G9207" t="s">
        <v>48</v>
      </c>
      <c r="H9207" t="s">
        <v>3957</v>
      </c>
      <c r="I9207" t="s">
        <v>3975</v>
      </c>
      <c r="J9207" t="s">
        <v>14656</v>
      </c>
      <c r="K9207" t="s">
        <v>14970</v>
      </c>
      <c r="L9207" t="s">
        <v>53</v>
      </c>
      <c r="P9207" t="s">
        <v>55</v>
      </c>
      <c r="R9207" t="s">
        <v>56</v>
      </c>
      <c r="T9207" t="s">
        <v>17603</v>
      </c>
      <c r="U9207" t="s">
        <v>58</v>
      </c>
      <c r="V9207">
        <v>1</v>
      </c>
      <c r="W9207">
        <v>1</v>
      </c>
      <c r="X9207">
        <v>2</v>
      </c>
      <c r="Y9207">
        <v>0</v>
      </c>
      <c r="Z9207">
        <v>2</v>
      </c>
      <c r="AA9207">
        <v>183.44</v>
      </c>
      <c r="AB9207">
        <v>183.44</v>
      </c>
      <c r="AC9207">
        <v>160</v>
      </c>
      <c r="AD9207">
        <v>0</v>
      </c>
      <c r="AE9207">
        <v>23.44</v>
      </c>
      <c r="AF9207">
        <v>0</v>
      </c>
      <c r="AG9207">
        <v>0</v>
      </c>
      <c r="AH9207">
        <v>0</v>
      </c>
      <c r="AI9207">
        <v>0</v>
      </c>
      <c r="AJ9207">
        <v>183.44</v>
      </c>
      <c r="AK9207">
        <v>0</v>
      </c>
      <c r="AL9207" t="s">
        <v>53</v>
      </c>
      <c r="AM9207" t="s">
        <v>53</v>
      </c>
      <c r="AN9207" t="s">
        <v>53</v>
      </c>
      <c r="AO9207" t="s">
        <v>53</v>
      </c>
      <c r="AP9207" t="s">
        <v>53</v>
      </c>
    </row>
    <row r="9208" spans="2:42" x14ac:dyDescent="0.2">
      <c r="B9208" t="s">
        <v>44</v>
      </c>
      <c r="C9208" t="str">
        <f>HYPERLINK("https://us2.cloudbeds.com/connect/8493803454333002#/reservations/246020406624384?display=59UKNKEUZH&amp;reservation_id=246020406624384", "59UKNKEUZH")</f>
        <v>59UKNKEUZH</v>
      </c>
      <c r="D9208" t="s">
        <v>45</v>
      </c>
      <c r="E9208" t="s">
        <v>165</v>
      </c>
      <c r="F9208" t="s">
        <v>61</v>
      </c>
      <c r="G9208" t="s">
        <v>17604</v>
      </c>
      <c r="H9208" t="s">
        <v>3957</v>
      </c>
      <c r="I9208" t="s">
        <v>3958</v>
      </c>
      <c r="J9208" t="s">
        <v>14970</v>
      </c>
      <c r="K9208" t="s">
        <v>15947</v>
      </c>
      <c r="L9208" t="s">
        <v>53</v>
      </c>
      <c r="P9208" t="s">
        <v>55</v>
      </c>
      <c r="R9208" t="s">
        <v>56</v>
      </c>
      <c r="T9208" t="s">
        <v>17605</v>
      </c>
      <c r="U9208" t="s">
        <v>58</v>
      </c>
      <c r="V9208">
        <v>2</v>
      </c>
      <c r="W9208">
        <v>2</v>
      </c>
      <c r="X9208">
        <v>2</v>
      </c>
      <c r="Y9208">
        <v>0</v>
      </c>
      <c r="Z9208">
        <v>2</v>
      </c>
      <c r="AA9208">
        <v>367.11</v>
      </c>
      <c r="AB9208">
        <v>397.11</v>
      </c>
      <c r="AC9208">
        <v>320.2</v>
      </c>
      <c r="AD9208">
        <v>0</v>
      </c>
      <c r="AE9208">
        <v>46.91</v>
      </c>
      <c r="AF9208">
        <v>0</v>
      </c>
      <c r="AG9208">
        <v>0</v>
      </c>
      <c r="AH9208">
        <v>0</v>
      </c>
      <c r="AI9208">
        <v>0</v>
      </c>
      <c r="AJ9208">
        <v>367.11</v>
      </c>
      <c r="AK9208">
        <v>-30</v>
      </c>
      <c r="AL9208" t="s">
        <v>53</v>
      </c>
      <c r="AM9208" t="s">
        <v>53</v>
      </c>
      <c r="AN9208" t="s">
        <v>53</v>
      </c>
      <c r="AO9208" t="s">
        <v>53</v>
      </c>
      <c r="AP9208" t="s">
        <v>53</v>
      </c>
    </row>
    <row r="9209" spans="2:42" x14ac:dyDescent="0.2">
      <c r="B9209" t="s">
        <v>44</v>
      </c>
      <c r="C9209" t="str">
        <f>HYPERLINK("https://us2.cloudbeds.com/connect/8493803454333002#/reservations/246021022654592?display=59UY6BT2NZ&amp;reservation_id=246021022654592", "59UY6BT2NZ")</f>
        <v>59UY6BT2NZ</v>
      </c>
      <c r="D9209" t="s">
        <v>45</v>
      </c>
      <c r="E9209" t="s">
        <v>487</v>
      </c>
      <c r="F9209" t="s">
        <v>61</v>
      </c>
      <c r="G9209" t="s">
        <v>48</v>
      </c>
      <c r="H9209" t="s">
        <v>3957</v>
      </c>
      <c r="I9209" t="s">
        <v>3975</v>
      </c>
      <c r="J9209" t="s">
        <v>14970</v>
      </c>
      <c r="K9209" t="s">
        <v>14971</v>
      </c>
      <c r="L9209" t="s">
        <v>53</v>
      </c>
      <c r="P9209" t="s">
        <v>55</v>
      </c>
      <c r="R9209" t="s">
        <v>56</v>
      </c>
      <c r="T9209" t="s">
        <v>17606</v>
      </c>
      <c r="U9209" t="s">
        <v>58</v>
      </c>
      <c r="V9209">
        <v>1</v>
      </c>
      <c r="W9209">
        <v>1</v>
      </c>
      <c r="X9209">
        <v>2</v>
      </c>
      <c r="Y9209">
        <v>0</v>
      </c>
      <c r="Z9209">
        <v>2</v>
      </c>
      <c r="AA9209">
        <v>193.76</v>
      </c>
      <c r="AB9209">
        <v>205.23</v>
      </c>
      <c r="AC9209">
        <v>169</v>
      </c>
      <c r="AD9209">
        <v>10</v>
      </c>
      <c r="AE9209">
        <v>26.23</v>
      </c>
      <c r="AF9209">
        <v>0</v>
      </c>
      <c r="AG9209">
        <v>0</v>
      </c>
      <c r="AH9209">
        <v>0</v>
      </c>
      <c r="AI9209">
        <v>0</v>
      </c>
      <c r="AJ9209">
        <v>205.23</v>
      </c>
      <c r="AK9209">
        <v>0</v>
      </c>
      <c r="AL9209" t="s">
        <v>53</v>
      </c>
      <c r="AM9209" t="s">
        <v>53</v>
      </c>
      <c r="AN9209" t="s">
        <v>53</v>
      </c>
      <c r="AO9209" t="s">
        <v>53</v>
      </c>
      <c r="AP9209" t="s">
        <v>53</v>
      </c>
    </row>
    <row r="9210" spans="2:42" x14ac:dyDescent="0.2">
      <c r="B9210" t="s">
        <v>44</v>
      </c>
      <c r="C9210" t="str">
        <f>HYPERLINK("https://us2.cloudbeds.com/connect/8493803454333002#/reservations/246030099120320?display=59US79DBD3&amp;reservation_id=246030099120320", "59US79DBD3")</f>
        <v>59US79DBD3</v>
      </c>
      <c r="D9210" t="s">
        <v>45</v>
      </c>
      <c r="E9210" t="s">
        <v>78</v>
      </c>
      <c r="F9210" t="s">
        <v>61</v>
      </c>
      <c r="G9210" t="s">
        <v>48</v>
      </c>
      <c r="H9210" t="s">
        <v>3957</v>
      </c>
      <c r="I9210" t="s">
        <v>3975</v>
      </c>
      <c r="J9210" t="s">
        <v>14970</v>
      </c>
      <c r="K9210" t="s">
        <v>15947</v>
      </c>
      <c r="L9210" t="s">
        <v>53</v>
      </c>
      <c r="P9210" t="s">
        <v>55</v>
      </c>
      <c r="R9210" t="s">
        <v>56</v>
      </c>
      <c r="T9210" t="s">
        <v>17607</v>
      </c>
      <c r="U9210" t="s">
        <v>58</v>
      </c>
      <c r="V9210">
        <v>2</v>
      </c>
      <c r="W9210">
        <v>1</v>
      </c>
      <c r="X9210">
        <v>2</v>
      </c>
      <c r="Y9210">
        <v>0</v>
      </c>
      <c r="Z9210">
        <v>2</v>
      </c>
      <c r="AA9210">
        <v>379.5</v>
      </c>
      <c r="AB9210">
        <v>379.5</v>
      </c>
      <c r="AC9210">
        <v>331</v>
      </c>
      <c r="AD9210">
        <v>0</v>
      </c>
      <c r="AE9210">
        <v>48.5</v>
      </c>
      <c r="AF9210">
        <v>0</v>
      </c>
      <c r="AG9210">
        <v>0</v>
      </c>
      <c r="AH9210">
        <v>0</v>
      </c>
      <c r="AI9210">
        <v>0</v>
      </c>
      <c r="AJ9210">
        <v>379.5</v>
      </c>
      <c r="AK9210">
        <v>0</v>
      </c>
      <c r="AL9210" t="s">
        <v>53</v>
      </c>
      <c r="AM9210" t="s">
        <v>53</v>
      </c>
      <c r="AN9210" t="s">
        <v>17608</v>
      </c>
      <c r="AO9210" t="s">
        <v>53</v>
      </c>
      <c r="AP9210" t="s">
        <v>53</v>
      </c>
    </row>
    <row r="9211" spans="2:42" x14ac:dyDescent="0.2">
      <c r="B9211" t="s">
        <v>44</v>
      </c>
      <c r="C9211" t="str">
        <f>HYPERLINK("https://us2.cloudbeds.com/connect/8493803454333002#/reservations/9080486849362972?display=5A1ZXEHNZZ&amp;reservation_id=9080486849362972", "5A1ZXEHNZZ")</f>
        <v>5A1ZXEHNZZ</v>
      </c>
      <c r="D9211" t="s">
        <v>45</v>
      </c>
      <c r="E9211" t="s">
        <v>105</v>
      </c>
      <c r="F9211" t="s">
        <v>47</v>
      </c>
      <c r="G9211" t="s">
        <v>48</v>
      </c>
      <c r="H9211" t="s">
        <v>49</v>
      </c>
      <c r="I9211" t="s">
        <v>50</v>
      </c>
      <c r="J9211" t="s">
        <v>17216</v>
      </c>
      <c r="K9211" t="s">
        <v>15625</v>
      </c>
      <c r="L9211" t="s">
        <v>53</v>
      </c>
      <c r="N9211" t="s">
        <v>17609</v>
      </c>
      <c r="P9211" t="s">
        <v>55</v>
      </c>
      <c r="R9211" t="s">
        <v>53</v>
      </c>
      <c r="T9211" t="s">
        <v>17610</v>
      </c>
      <c r="U9211" t="s">
        <v>55</v>
      </c>
      <c r="V9211">
        <v>1</v>
      </c>
      <c r="W9211">
        <v>1</v>
      </c>
      <c r="X9211">
        <v>2</v>
      </c>
      <c r="Y9211">
        <v>0</v>
      </c>
      <c r="Z9211">
        <v>2</v>
      </c>
      <c r="AA9211">
        <v>139.41999999999999</v>
      </c>
      <c r="AB9211">
        <v>139.41999999999999</v>
      </c>
      <c r="AC9211">
        <v>128.19999999999999</v>
      </c>
      <c r="AD9211">
        <v>0</v>
      </c>
      <c r="AE9211">
        <v>11.22</v>
      </c>
      <c r="AF9211">
        <v>0</v>
      </c>
      <c r="AG9211">
        <v>0</v>
      </c>
      <c r="AH9211">
        <v>0</v>
      </c>
      <c r="AI9211">
        <v>25.1</v>
      </c>
      <c r="AJ9211">
        <v>139.41999999999999</v>
      </c>
      <c r="AK9211">
        <v>0</v>
      </c>
      <c r="AL9211" t="s">
        <v>53</v>
      </c>
      <c r="AM9211" t="s">
        <v>53</v>
      </c>
      <c r="AN9211" t="s">
        <v>53</v>
      </c>
      <c r="AO9211" t="s">
        <v>53</v>
      </c>
      <c r="AP9211" t="s">
        <v>53</v>
      </c>
    </row>
    <row r="9212" spans="2:42" x14ac:dyDescent="0.2">
      <c r="B9212" t="s">
        <v>44</v>
      </c>
      <c r="C9212" t="str">
        <f>HYPERLINK("https://us2.cloudbeds.com/connect/8493803454333002#/reservations/246227730944128?display=5A2G87PRXA&amp;reservation_id=246227730944128", "5A2G87PRXA")</f>
        <v>5A2G87PRXA</v>
      </c>
      <c r="D9212" t="s">
        <v>45</v>
      </c>
      <c r="E9212" t="s">
        <v>265</v>
      </c>
      <c r="F9212" t="s">
        <v>61</v>
      </c>
      <c r="G9212" t="s">
        <v>48</v>
      </c>
      <c r="H9212" t="s">
        <v>3957</v>
      </c>
      <c r="I9212" t="s">
        <v>3975</v>
      </c>
      <c r="J9212" t="s">
        <v>14631</v>
      </c>
      <c r="K9212" t="s">
        <v>17078</v>
      </c>
      <c r="L9212" t="s">
        <v>53</v>
      </c>
      <c r="P9212" t="s">
        <v>55</v>
      </c>
      <c r="R9212" t="s">
        <v>56</v>
      </c>
      <c r="T9212" t="s">
        <v>17611</v>
      </c>
      <c r="U9212" t="s">
        <v>58</v>
      </c>
      <c r="V9212">
        <v>4</v>
      </c>
      <c r="W9212">
        <v>1</v>
      </c>
      <c r="X9212">
        <v>2</v>
      </c>
      <c r="Y9212">
        <v>0</v>
      </c>
      <c r="Z9212">
        <v>2</v>
      </c>
      <c r="AA9212">
        <v>0</v>
      </c>
      <c r="AB9212">
        <v>869.06</v>
      </c>
      <c r="AC9212">
        <v>758</v>
      </c>
      <c r="AD9212">
        <v>0</v>
      </c>
      <c r="AE9212">
        <v>111.06</v>
      </c>
      <c r="AF9212">
        <v>0</v>
      </c>
      <c r="AG9212">
        <v>0</v>
      </c>
      <c r="AH9212">
        <v>0</v>
      </c>
      <c r="AI9212">
        <v>0</v>
      </c>
      <c r="AJ9212">
        <v>869.06</v>
      </c>
      <c r="AK9212">
        <v>0</v>
      </c>
      <c r="AL9212" t="s">
        <v>53</v>
      </c>
      <c r="AM9212" t="s">
        <v>53</v>
      </c>
      <c r="AN9212" t="s">
        <v>53</v>
      </c>
      <c r="AO9212" t="s">
        <v>53</v>
      </c>
      <c r="AP9212" t="s">
        <v>53</v>
      </c>
    </row>
    <row r="9213" spans="2:42" x14ac:dyDescent="0.2">
      <c r="B9213" t="s">
        <v>44</v>
      </c>
      <c r="C9213" t="str">
        <f>HYPERLINK("https://us2.cloudbeds.com/connect/8493803454333002#/reservations/246259969368256?display=5A38702GMN&amp;reservation_id=246259969368256", "5A38702GMN")</f>
        <v>5A38702GMN</v>
      </c>
      <c r="D9213" t="s">
        <v>45</v>
      </c>
      <c r="E9213" t="s">
        <v>110</v>
      </c>
      <c r="F9213" t="s">
        <v>47</v>
      </c>
      <c r="G9213" t="s">
        <v>48</v>
      </c>
      <c r="H9213" t="s">
        <v>3957</v>
      </c>
      <c r="I9213" t="s">
        <v>3975</v>
      </c>
      <c r="J9213" t="s">
        <v>14131</v>
      </c>
      <c r="K9213" t="s">
        <v>15867</v>
      </c>
      <c r="L9213" t="s">
        <v>53</v>
      </c>
      <c r="P9213" t="s">
        <v>55</v>
      </c>
      <c r="R9213" t="s">
        <v>56</v>
      </c>
      <c r="T9213" t="s">
        <v>17612</v>
      </c>
      <c r="U9213" t="s">
        <v>58</v>
      </c>
      <c r="V9213">
        <v>1</v>
      </c>
      <c r="W9213">
        <v>1</v>
      </c>
      <c r="X9213">
        <v>2</v>
      </c>
      <c r="Y9213">
        <v>0</v>
      </c>
      <c r="Z9213">
        <v>2</v>
      </c>
      <c r="AA9213">
        <v>0</v>
      </c>
      <c r="AB9213">
        <v>180</v>
      </c>
      <c r="AC9213">
        <v>157</v>
      </c>
      <c r="AD9213">
        <v>0</v>
      </c>
      <c r="AE9213">
        <v>23</v>
      </c>
      <c r="AF9213">
        <v>0</v>
      </c>
      <c r="AG9213">
        <v>0</v>
      </c>
      <c r="AH9213">
        <v>0</v>
      </c>
      <c r="AI9213">
        <v>0</v>
      </c>
      <c r="AJ9213">
        <v>180</v>
      </c>
      <c r="AK9213">
        <v>0</v>
      </c>
      <c r="AL9213" t="s">
        <v>53</v>
      </c>
      <c r="AM9213" t="s">
        <v>53</v>
      </c>
      <c r="AN9213" t="s">
        <v>17613</v>
      </c>
      <c r="AO9213" t="s">
        <v>53</v>
      </c>
      <c r="AP9213" t="s">
        <v>53</v>
      </c>
    </row>
    <row r="9214" spans="2:42" x14ac:dyDescent="0.2">
      <c r="B9214" t="s">
        <v>44</v>
      </c>
      <c r="C9214" t="str">
        <f>HYPERLINK("https://us2.cloudbeds.com/connect/8493803454333002#/reservations/9080486849367664?display=5A48AVSEQZ&amp;reservation_id=9080486849367664", "5A48AVSEQZ")</f>
        <v>5A48AVSEQZ</v>
      </c>
      <c r="D9214" t="s">
        <v>45</v>
      </c>
      <c r="E9214" t="s">
        <v>46</v>
      </c>
      <c r="F9214" t="s">
        <v>47</v>
      </c>
      <c r="G9214" t="s">
        <v>48</v>
      </c>
      <c r="H9214" t="s">
        <v>49</v>
      </c>
      <c r="I9214" t="s">
        <v>62</v>
      </c>
      <c r="J9214" t="s">
        <v>16932</v>
      </c>
      <c r="K9214" t="s">
        <v>15625</v>
      </c>
      <c r="L9214" t="s">
        <v>53</v>
      </c>
      <c r="N9214" t="s">
        <v>17614</v>
      </c>
      <c r="P9214" t="s">
        <v>55</v>
      </c>
      <c r="R9214" t="s">
        <v>56</v>
      </c>
      <c r="T9214" t="s">
        <v>17615</v>
      </c>
      <c r="U9214" t="s">
        <v>55</v>
      </c>
      <c r="V9214">
        <v>2</v>
      </c>
      <c r="W9214">
        <v>1</v>
      </c>
      <c r="X9214">
        <v>2</v>
      </c>
      <c r="Y9214">
        <v>0</v>
      </c>
      <c r="Z9214">
        <v>2</v>
      </c>
      <c r="AA9214">
        <v>380.65</v>
      </c>
      <c r="AB9214">
        <v>380.65</v>
      </c>
      <c r="AC9214">
        <v>380.65</v>
      </c>
      <c r="AD9214">
        <v>0</v>
      </c>
      <c r="AE9214">
        <v>0</v>
      </c>
      <c r="AF9214">
        <v>0</v>
      </c>
      <c r="AG9214">
        <v>0</v>
      </c>
      <c r="AH9214">
        <v>0</v>
      </c>
      <c r="AI9214">
        <v>68.52</v>
      </c>
      <c r="AJ9214">
        <v>380.65</v>
      </c>
      <c r="AK9214">
        <v>0</v>
      </c>
      <c r="AL9214" t="s">
        <v>53</v>
      </c>
      <c r="AM9214" t="s">
        <v>53</v>
      </c>
      <c r="AN9214" t="s">
        <v>17616</v>
      </c>
      <c r="AO9214" t="s">
        <v>53</v>
      </c>
      <c r="AP9214" t="s">
        <v>53</v>
      </c>
    </row>
    <row r="9215" spans="2:42" x14ac:dyDescent="0.2">
      <c r="B9215" t="s">
        <v>44</v>
      </c>
      <c r="C9215" t="str">
        <f>HYPERLINK("https://us2.cloudbeds.com/connect/8493803454333002#/reservations/246320933535936?display=5A4MDPN0P1&amp;reservation_id=246320933535936", "5A4MDPN0P1")</f>
        <v>5A4MDPN0P1</v>
      </c>
      <c r="D9215" t="s">
        <v>45</v>
      </c>
      <c r="E9215" t="s">
        <v>155</v>
      </c>
      <c r="F9215" t="s">
        <v>86</v>
      </c>
      <c r="G9215" t="s">
        <v>48</v>
      </c>
      <c r="H9215" t="s">
        <v>3957</v>
      </c>
      <c r="I9215" t="s">
        <v>3975</v>
      </c>
      <c r="J9215" t="s">
        <v>16163</v>
      </c>
      <c r="K9215" t="s">
        <v>14130</v>
      </c>
      <c r="L9215" t="s">
        <v>53</v>
      </c>
      <c r="P9215" t="s">
        <v>55</v>
      </c>
      <c r="R9215" t="s">
        <v>56</v>
      </c>
      <c r="T9215" t="s">
        <v>17617</v>
      </c>
      <c r="U9215" t="s">
        <v>58</v>
      </c>
      <c r="V9215">
        <v>1</v>
      </c>
      <c r="W9215">
        <v>1</v>
      </c>
      <c r="X9215">
        <v>2</v>
      </c>
      <c r="Y9215">
        <v>2</v>
      </c>
      <c r="Z9215">
        <v>4</v>
      </c>
      <c r="AA9215">
        <v>0</v>
      </c>
      <c r="AB9215">
        <v>217.84</v>
      </c>
      <c r="AC9215">
        <v>190</v>
      </c>
      <c r="AD9215">
        <v>0</v>
      </c>
      <c r="AE9215">
        <v>27.84</v>
      </c>
      <c r="AF9215">
        <v>0</v>
      </c>
      <c r="AG9215">
        <v>0</v>
      </c>
      <c r="AH9215">
        <v>0</v>
      </c>
      <c r="AI9215">
        <v>0</v>
      </c>
      <c r="AJ9215">
        <v>217.84</v>
      </c>
      <c r="AK9215">
        <v>0</v>
      </c>
      <c r="AL9215" t="s">
        <v>53</v>
      </c>
      <c r="AM9215" t="s">
        <v>53</v>
      </c>
      <c r="AN9215" t="s">
        <v>53</v>
      </c>
      <c r="AO9215" t="s">
        <v>53</v>
      </c>
      <c r="AP9215" t="s">
        <v>53</v>
      </c>
    </row>
    <row r="9216" spans="2:42" x14ac:dyDescent="0.2">
      <c r="B9216" t="s">
        <v>44</v>
      </c>
      <c r="C9216" t="str">
        <f>HYPERLINK("https://us2.cloudbeds.com/connect/8493803454333002#/reservations/246325880451200?display=5A4Q862FAA&amp;reservation_id=246325880451200", "5A4Q862FAA")</f>
        <v>5A4Q862FAA</v>
      </c>
      <c r="D9216" t="s">
        <v>45</v>
      </c>
      <c r="E9216" t="s">
        <v>185</v>
      </c>
      <c r="F9216" t="s">
        <v>47</v>
      </c>
      <c r="G9216" t="s">
        <v>17618</v>
      </c>
      <c r="H9216" t="s">
        <v>3957</v>
      </c>
      <c r="I9216" t="s">
        <v>3958</v>
      </c>
      <c r="J9216" t="s">
        <v>14970</v>
      </c>
      <c r="K9216" t="s">
        <v>15947</v>
      </c>
      <c r="L9216" t="s">
        <v>53</v>
      </c>
      <c r="P9216" t="s">
        <v>55</v>
      </c>
      <c r="R9216" t="s">
        <v>56</v>
      </c>
      <c r="T9216" t="s">
        <v>17619</v>
      </c>
      <c r="U9216" t="s">
        <v>58</v>
      </c>
      <c r="V9216">
        <v>2</v>
      </c>
      <c r="W9216">
        <v>2</v>
      </c>
      <c r="X9216">
        <v>2</v>
      </c>
      <c r="Y9216">
        <v>0</v>
      </c>
      <c r="Z9216">
        <v>2</v>
      </c>
      <c r="AA9216">
        <v>409.64</v>
      </c>
      <c r="AB9216">
        <v>369.64</v>
      </c>
      <c r="AC9216">
        <v>357.3</v>
      </c>
      <c r="AD9216">
        <v>0</v>
      </c>
      <c r="AE9216">
        <v>52.34</v>
      </c>
      <c r="AF9216">
        <v>0</v>
      </c>
      <c r="AG9216">
        <v>0</v>
      </c>
      <c r="AH9216">
        <v>0</v>
      </c>
      <c r="AI9216">
        <v>0</v>
      </c>
      <c r="AJ9216">
        <v>409.64</v>
      </c>
      <c r="AK9216">
        <v>40</v>
      </c>
      <c r="AL9216" t="s">
        <v>53</v>
      </c>
      <c r="AM9216" t="s">
        <v>53</v>
      </c>
      <c r="AN9216" t="s">
        <v>53</v>
      </c>
      <c r="AO9216" t="s">
        <v>53</v>
      </c>
      <c r="AP9216" t="s">
        <v>53</v>
      </c>
    </row>
    <row r="9217" spans="2:42" x14ac:dyDescent="0.2">
      <c r="B9217" t="s">
        <v>44</v>
      </c>
      <c r="C9217" t="str">
        <f>HYPERLINK("https://us2.cloudbeds.com/connect/8493803454333002#/reservations/246335202549952?display=5A50FCN4ZU&amp;reservation_id=246335202549952", "5A50FCN4ZU")</f>
        <v>5A50FCN4ZU</v>
      </c>
      <c r="D9217" t="s">
        <v>45</v>
      </c>
      <c r="E9217" t="s">
        <v>381</v>
      </c>
      <c r="F9217" t="s">
        <v>47</v>
      </c>
      <c r="G9217" t="s">
        <v>4520</v>
      </c>
      <c r="H9217" t="s">
        <v>3957</v>
      </c>
      <c r="I9217" t="s">
        <v>3958</v>
      </c>
      <c r="J9217" t="s">
        <v>17289</v>
      </c>
      <c r="K9217" t="s">
        <v>11651</v>
      </c>
      <c r="L9217" t="s">
        <v>53</v>
      </c>
      <c r="P9217" t="s">
        <v>55</v>
      </c>
      <c r="R9217" t="s">
        <v>56</v>
      </c>
      <c r="T9217" t="s">
        <v>17620</v>
      </c>
      <c r="U9217" t="s">
        <v>58</v>
      </c>
      <c r="V9217">
        <v>7</v>
      </c>
      <c r="W9217">
        <v>1</v>
      </c>
      <c r="X9217">
        <v>1</v>
      </c>
      <c r="Y9217">
        <v>0</v>
      </c>
      <c r="Z9217">
        <v>1</v>
      </c>
      <c r="AA9217">
        <v>1023.32</v>
      </c>
      <c r="AB9217">
        <v>1023.32</v>
      </c>
      <c r="AC9217">
        <v>892.54</v>
      </c>
      <c r="AD9217">
        <v>0</v>
      </c>
      <c r="AE9217">
        <v>130.78</v>
      </c>
      <c r="AF9217">
        <v>0</v>
      </c>
      <c r="AG9217">
        <v>0</v>
      </c>
      <c r="AH9217">
        <v>0</v>
      </c>
      <c r="AI9217">
        <v>0</v>
      </c>
      <c r="AJ9217">
        <v>1023.32</v>
      </c>
      <c r="AK9217">
        <v>0</v>
      </c>
      <c r="AL9217" t="s">
        <v>53</v>
      </c>
      <c r="AM9217" t="s">
        <v>53</v>
      </c>
      <c r="AN9217" t="s">
        <v>53</v>
      </c>
      <c r="AO9217" t="s">
        <v>53</v>
      </c>
      <c r="AP9217" t="s">
        <v>53</v>
      </c>
    </row>
    <row r="9218" spans="2:42" x14ac:dyDescent="0.2">
      <c r="B9218" t="s">
        <v>44</v>
      </c>
      <c r="C9218" t="str">
        <f>HYPERLINK("https://us2.cloudbeds.com/connect/8493803454333002#/reservations/246335960760512?display=5A511P1QQS&amp;reservation_id=246335960760512", "5A511P1QQS")</f>
        <v>5A511P1QQS</v>
      </c>
      <c r="D9218" t="s">
        <v>45</v>
      </c>
      <c r="E9218" t="s">
        <v>381</v>
      </c>
      <c r="F9218" t="s">
        <v>47</v>
      </c>
      <c r="G9218" t="s">
        <v>4520</v>
      </c>
      <c r="H9218" t="s">
        <v>3957</v>
      </c>
      <c r="I9218" t="s">
        <v>3958</v>
      </c>
      <c r="J9218" t="s">
        <v>11651</v>
      </c>
      <c r="K9218" t="s">
        <v>14806</v>
      </c>
      <c r="L9218" t="s">
        <v>53</v>
      </c>
      <c r="P9218" t="s">
        <v>55</v>
      </c>
      <c r="R9218" t="s">
        <v>56</v>
      </c>
      <c r="T9218" t="s">
        <v>17621</v>
      </c>
      <c r="U9218" t="s">
        <v>58</v>
      </c>
      <c r="V9218">
        <v>2</v>
      </c>
      <c r="W9218">
        <v>1</v>
      </c>
      <c r="X9218">
        <v>1</v>
      </c>
      <c r="Y9218">
        <v>0</v>
      </c>
      <c r="Z9218">
        <v>1</v>
      </c>
      <c r="AA9218">
        <v>352.91</v>
      </c>
      <c r="AB9218">
        <v>352.91</v>
      </c>
      <c r="AC9218">
        <v>307.8</v>
      </c>
      <c r="AD9218">
        <v>0</v>
      </c>
      <c r="AE9218">
        <v>45.11</v>
      </c>
      <c r="AF9218">
        <v>0</v>
      </c>
      <c r="AG9218">
        <v>0</v>
      </c>
      <c r="AH9218">
        <v>0</v>
      </c>
      <c r="AI9218">
        <v>0</v>
      </c>
      <c r="AJ9218">
        <v>352.91</v>
      </c>
      <c r="AK9218">
        <v>0</v>
      </c>
      <c r="AL9218" t="s">
        <v>53</v>
      </c>
      <c r="AM9218" t="s">
        <v>53</v>
      </c>
      <c r="AN9218" t="s">
        <v>53</v>
      </c>
      <c r="AO9218" t="s">
        <v>53</v>
      </c>
      <c r="AP9218" t="s">
        <v>53</v>
      </c>
    </row>
    <row r="9219" spans="2:42" x14ac:dyDescent="0.2">
      <c r="B9219" t="s">
        <v>44</v>
      </c>
      <c r="C9219" t="str">
        <f>HYPERLINK("https://us2.cloudbeds.com/connect/8493803454333002#/reservations/9080486849369847?display=5A5Q3VNAVG&amp;reservation_id=9080486849369847", "5A5Q3VNAVG")</f>
        <v>5A5Q3VNAVG</v>
      </c>
      <c r="D9219" t="s">
        <v>45</v>
      </c>
      <c r="E9219" t="s">
        <v>305</v>
      </c>
      <c r="F9219" t="s">
        <v>61</v>
      </c>
      <c r="G9219" t="s">
        <v>48</v>
      </c>
      <c r="H9219" t="s">
        <v>49</v>
      </c>
      <c r="I9219" t="s">
        <v>50</v>
      </c>
      <c r="J9219" t="s">
        <v>14971</v>
      </c>
      <c r="K9219" t="s">
        <v>15947</v>
      </c>
      <c r="L9219" t="s">
        <v>53</v>
      </c>
      <c r="N9219" t="s">
        <v>17622</v>
      </c>
      <c r="P9219" t="s">
        <v>55</v>
      </c>
      <c r="R9219" t="s">
        <v>53</v>
      </c>
      <c r="T9219" t="s">
        <v>17623</v>
      </c>
      <c r="U9219" t="s">
        <v>55</v>
      </c>
      <c r="V9219">
        <v>1</v>
      </c>
      <c r="W9219">
        <v>1</v>
      </c>
      <c r="X9219">
        <v>2</v>
      </c>
      <c r="Y9219">
        <v>0</v>
      </c>
      <c r="Z9219">
        <v>2</v>
      </c>
      <c r="AA9219">
        <v>191.98</v>
      </c>
      <c r="AB9219">
        <v>383.96</v>
      </c>
      <c r="AC9219">
        <v>176.53</v>
      </c>
      <c r="AD9219">
        <v>0</v>
      </c>
      <c r="AE9219">
        <v>15.45</v>
      </c>
      <c r="AF9219">
        <v>0</v>
      </c>
      <c r="AG9219">
        <v>0</v>
      </c>
      <c r="AH9219">
        <v>0</v>
      </c>
      <c r="AI9219">
        <v>34.56</v>
      </c>
      <c r="AJ9219">
        <v>191.98</v>
      </c>
      <c r="AK9219">
        <v>0</v>
      </c>
      <c r="AL9219" t="s">
        <v>53</v>
      </c>
      <c r="AM9219" t="s">
        <v>53</v>
      </c>
      <c r="AN9219" t="s">
        <v>53</v>
      </c>
      <c r="AO9219" t="s">
        <v>53</v>
      </c>
      <c r="AP9219" t="s">
        <v>53</v>
      </c>
    </row>
    <row r="9220" spans="2:42" x14ac:dyDescent="0.2">
      <c r="B9220" t="s">
        <v>44</v>
      </c>
      <c r="C9220" t="str">
        <f>HYPERLINK("https://us2.cloudbeds.com/connect/8493803454333002#/reservations/9080486849370494?display=5A691PMJXD&amp;reservation_id=9080486849370494", "5A691PMJXD")</f>
        <v>5A691PMJXD</v>
      </c>
      <c r="D9220" t="s">
        <v>10291</v>
      </c>
      <c r="E9220" t="s">
        <v>138</v>
      </c>
      <c r="F9220" t="s">
        <v>70</v>
      </c>
      <c r="G9220" t="s">
        <v>48</v>
      </c>
      <c r="H9220" t="s">
        <v>49</v>
      </c>
      <c r="I9220" t="s">
        <v>50</v>
      </c>
      <c r="J9220" t="s">
        <v>17624</v>
      </c>
      <c r="K9220" t="s">
        <v>17625</v>
      </c>
      <c r="L9220" t="s">
        <v>53</v>
      </c>
      <c r="N9220" t="s">
        <v>17626</v>
      </c>
      <c r="P9220" t="s">
        <v>55</v>
      </c>
      <c r="R9220" t="s">
        <v>53</v>
      </c>
      <c r="T9220" t="s">
        <v>17627</v>
      </c>
      <c r="U9220" t="s">
        <v>55</v>
      </c>
      <c r="V9220">
        <v>2</v>
      </c>
      <c r="W9220">
        <v>1</v>
      </c>
      <c r="X9220">
        <v>2</v>
      </c>
      <c r="Y9220">
        <v>0</v>
      </c>
      <c r="Z9220">
        <v>2</v>
      </c>
      <c r="AA9220">
        <v>256.23</v>
      </c>
      <c r="AB9220">
        <v>0</v>
      </c>
      <c r="AC9220">
        <v>235.62</v>
      </c>
      <c r="AD9220">
        <v>0</v>
      </c>
      <c r="AE9220">
        <v>20.61</v>
      </c>
      <c r="AF9220">
        <v>0</v>
      </c>
      <c r="AG9220">
        <v>0</v>
      </c>
      <c r="AH9220">
        <v>0</v>
      </c>
      <c r="AI9220">
        <v>46.12</v>
      </c>
      <c r="AJ9220">
        <v>256.23</v>
      </c>
      <c r="AK9220">
        <v>256.23</v>
      </c>
      <c r="AL9220" t="s">
        <v>53</v>
      </c>
      <c r="AM9220" t="s">
        <v>53</v>
      </c>
      <c r="AN9220" t="s">
        <v>53</v>
      </c>
      <c r="AO9220" t="s">
        <v>53</v>
      </c>
      <c r="AP9220" t="s">
        <v>53</v>
      </c>
    </row>
    <row r="9221" spans="2:42" x14ac:dyDescent="0.2">
      <c r="B9221" t="s">
        <v>44</v>
      </c>
      <c r="C9221" t="str">
        <f>HYPERLINK("https://us2.cloudbeds.com/connect/8493803454333002#/reservations/246543590137985?display=5A9TR5Y6HV&amp;reservation_id=246543590137985", "5A9TR5Y6HV")</f>
        <v>5A9TR5Y6HV</v>
      </c>
      <c r="D9221" t="s">
        <v>45</v>
      </c>
      <c r="E9221" t="s">
        <v>121</v>
      </c>
      <c r="F9221" t="s">
        <v>86</v>
      </c>
      <c r="G9221" t="s">
        <v>48</v>
      </c>
      <c r="H9221" t="s">
        <v>3957</v>
      </c>
      <c r="I9221" t="s">
        <v>3975</v>
      </c>
      <c r="J9221" t="s">
        <v>15876</v>
      </c>
      <c r="K9221" t="s">
        <v>14130</v>
      </c>
      <c r="L9221" t="s">
        <v>53</v>
      </c>
      <c r="P9221" t="s">
        <v>55</v>
      </c>
      <c r="R9221" t="s">
        <v>56</v>
      </c>
      <c r="T9221" t="s">
        <v>17628</v>
      </c>
      <c r="U9221" t="s">
        <v>58</v>
      </c>
      <c r="V9221">
        <v>2</v>
      </c>
      <c r="W9221">
        <v>1</v>
      </c>
      <c r="X9221">
        <v>4</v>
      </c>
      <c r="Y9221">
        <v>0</v>
      </c>
      <c r="Z9221">
        <v>4</v>
      </c>
      <c r="AA9221">
        <v>440.26</v>
      </c>
      <c r="AB9221">
        <v>440.26</v>
      </c>
      <c r="AC9221">
        <v>381.26</v>
      </c>
      <c r="AD9221">
        <v>2.5</v>
      </c>
      <c r="AE9221">
        <v>56.5</v>
      </c>
      <c r="AF9221">
        <v>0</v>
      </c>
      <c r="AG9221">
        <v>0</v>
      </c>
      <c r="AH9221">
        <v>0</v>
      </c>
      <c r="AI9221">
        <v>0</v>
      </c>
      <c r="AJ9221">
        <v>440.26</v>
      </c>
      <c r="AK9221">
        <v>0</v>
      </c>
      <c r="AL9221" t="s">
        <v>53</v>
      </c>
      <c r="AM9221" t="s">
        <v>53</v>
      </c>
      <c r="AN9221" t="s">
        <v>17629</v>
      </c>
      <c r="AO9221" t="s">
        <v>53</v>
      </c>
      <c r="AP9221" t="s">
        <v>53</v>
      </c>
    </row>
    <row r="9222" spans="2:42" x14ac:dyDescent="0.2">
      <c r="B9222" t="s">
        <v>44</v>
      </c>
      <c r="C9222" t="str">
        <f>HYPERLINK("https://us2.cloudbeds.com/connect/8493803454333002#/reservations/9080486849375924?display=5AAEKDYM67&amp;reservation_id=9080486849375924", "5AAEKDYM67")</f>
        <v>5AAEKDYM67</v>
      </c>
      <c r="D9222" t="s">
        <v>45</v>
      </c>
      <c r="E9222" t="s">
        <v>138</v>
      </c>
      <c r="F9222" t="s">
        <v>70</v>
      </c>
      <c r="G9222" t="s">
        <v>48</v>
      </c>
      <c r="H9222" t="s">
        <v>49</v>
      </c>
      <c r="I9222" t="s">
        <v>8964</v>
      </c>
      <c r="J9222" t="s">
        <v>15867</v>
      </c>
      <c r="K9222" t="s">
        <v>16932</v>
      </c>
      <c r="L9222" t="s">
        <v>53</v>
      </c>
      <c r="N9222" t="s">
        <v>17630</v>
      </c>
      <c r="P9222" t="s">
        <v>55</v>
      </c>
      <c r="R9222" t="s">
        <v>53</v>
      </c>
      <c r="T9222" t="s">
        <v>17631</v>
      </c>
      <c r="U9222" t="s">
        <v>55</v>
      </c>
      <c r="V9222">
        <v>1</v>
      </c>
      <c r="W9222">
        <v>1</v>
      </c>
      <c r="X9222">
        <v>2</v>
      </c>
      <c r="Y9222">
        <v>0</v>
      </c>
      <c r="Z9222">
        <v>2</v>
      </c>
      <c r="AA9222">
        <v>0</v>
      </c>
      <c r="AB9222">
        <v>0</v>
      </c>
      <c r="AC9222">
        <v>213</v>
      </c>
      <c r="AD9222">
        <v>0</v>
      </c>
      <c r="AE9222">
        <v>0</v>
      </c>
      <c r="AF9222">
        <v>0</v>
      </c>
      <c r="AG9222">
        <v>0</v>
      </c>
      <c r="AH9222">
        <v>0</v>
      </c>
      <c r="AI9222">
        <v>31.95</v>
      </c>
      <c r="AJ9222">
        <v>213</v>
      </c>
      <c r="AK9222">
        <v>213</v>
      </c>
      <c r="AL9222" t="s">
        <v>53</v>
      </c>
      <c r="AM9222" t="s">
        <v>53</v>
      </c>
      <c r="AN9222" t="s">
        <v>53</v>
      </c>
      <c r="AO9222" t="s">
        <v>53</v>
      </c>
      <c r="AP9222" t="s">
        <v>53</v>
      </c>
    </row>
    <row r="9223" spans="2:42" x14ac:dyDescent="0.2">
      <c r="B9223" t="s">
        <v>44</v>
      </c>
      <c r="C9223" t="str">
        <f>HYPERLINK("https://us2.cloudbeds.com/connect/8493803454333002#/reservations/9080486849376096?display=5AAHS5K4Y8&amp;reservation_id=9080486849376096", "5AAHS5K4Y8")</f>
        <v>5AAHS5K4Y8</v>
      </c>
      <c r="D9223" t="s">
        <v>45</v>
      </c>
      <c r="E9223" t="s">
        <v>78</v>
      </c>
      <c r="F9223" t="s">
        <v>61</v>
      </c>
      <c r="G9223" t="s">
        <v>48</v>
      </c>
      <c r="H9223" t="s">
        <v>49</v>
      </c>
      <c r="I9223" t="s">
        <v>50</v>
      </c>
      <c r="J9223" t="s">
        <v>16932</v>
      </c>
      <c r="K9223" t="s">
        <v>17216</v>
      </c>
      <c r="L9223" t="s">
        <v>53</v>
      </c>
      <c r="N9223" t="s">
        <v>17632</v>
      </c>
      <c r="P9223" t="s">
        <v>55</v>
      </c>
      <c r="R9223" t="s">
        <v>53</v>
      </c>
      <c r="T9223" t="s">
        <v>17633</v>
      </c>
      <c r="U9223" t="s">
        <v>55</v>
      </c>
      <c r="V9223">
        <v>1</v>
      </c>
      <c r="W9223">
        <v>1</v>
      </c>
      <c r="X9223">
        <v>2</v>
      </c>
      <c r="Y9223">
        <v>0</v>
      </c>
      <c r="Z9223">
        <v>2</v>
      </c>
      <c r="AA9223">
        <v>153.44999999999999</v>
      </c>
      <c r="AB9223">
        <v>153.44999999999999</v>
      </c>
      <c r="AC9223">
        <v>141.1</v>
      </c>
      <c r="AD9223">
        <v>0</v>
      </c>
      <c r="AE9223">
        <v>12.35</v>
      </c>
      <c r="AF9223">
        <v>0</v>
      </c>
      <c r="AG9223">
        <v>0</v>
      </c>
      <c r="AH9223">
        <v>0</v>
      </c>
      <c r="AI9223">
        <v>27.62</v>
      </c>
      <c r="AJ9223">
        <v>153.44999999999999</v>
      </c>
      <c r="AK9223">
        <v>0</v>
      </c>
      <c r="AL9223" t="s">
        <v>53</v>
      </c>
      <c r="AM9223" t="s">
        <v>53</v>
      </c>
      <c r="AN9223" t="s">
        <v>53</v>
      </c>
      <c r="AO9223" t="s">
        <v>53</v>
      </c>
      <c r="AP9223" t="s">
        <v>53</v>
      </c>
    </row>
    <row r="9224" spans="2:42" x14ac:dyDescent="0.2">
      <c r="B9224" t="s">
        <v>44</v>
      </c>
      <c r="C9224" t="str">
        <f>HYPERLINK("https://us2.cloudbeds.com/connect/8493803454333002#/reservations/246587589079168?display=5AAUTENJYV&amp;reservation_id=246587589079168", "5AAUTENJYV")</f>
        <v>5AAUTENJYV</v>
      </c>
      <c r="D9224" t="s">
        <v>45</v>
      </c>
      <c r="E9224" t="s">
        <v>179</v>
      </c>
      <c r="F9224" t="s">
        <v>47</v>
      </c>
      <c r="G9224" t="s">
        <v>48</v>
      </c>
      <c r="H9224" t="s">
        <v>3957</v>
      </c>
      <c r="I9224" t="s">
        <v>3989</v>
      </c>
      <c r="J9224" t="s">
        <v>14971</v>
      </c>
      <c r="K9224" t="s">
        <v>15947</v>
      </c>
      <c r="L9224" t="s">
        <v>53</v>
      </c>
      <c r="P9224" t="s">
        <v>55</v>
      </c>
      <c r="R9224" t="s">
        <v>56</v>
      </c>
      <c r="T9224" t="s">
        <v>17634</v>
      </c>
      <c r="U9224" t="s">
        <v>58</v>
      </c>
      <c r="V9224">
        <v>1</v>
      </c>
      <c r="W9224">
        <v>1</v>
      </c>
      <c r="X9224">
        <v>1</v>
      </c>
      <c r="Y9224">
        <v>0</v>
      </c>
      <c r="Z9224">
        <v>1</v>
      </c>
      <c r="AA9224">
        <v>222.43</v>
      </c>
      <c r="AB9224">
        <v>222.43</v>
      </c>
      <c r="AC9224">
        <v>194</v>
      </c>
      <c r="AD9224">
        <v>0</v>
      </c>
      <c r="AE9224">
        <v>28.43</v>
      </c>
      <c r="AF9224">
        <v>0</v>
      </c>
      <c r="AG9224">
        <v>0</v>
      </c>
      <c r="AH9224">
        <v>0</v>
      </c>
      <c r="AI9224">
        <v>0</v>
      </c>
      <c r="AJ9224">
        <v>222.43</v>
      </c>
      <c r="AK9224">
        <v>0</v>
      </c>
      <c r="AL9224" t="s">
        <v>53</v>
      </c>
      <c r="AM9224" t="s">
        <v>53</v>
      </c>
      <c r="AN9224" t="s">
        <v>17635</v>
      </c>
      <c r="AO9224" t="s">
        <v>53</v>
      </c>
      <c r="AP9224" t="s">
        <v>53</v>
      </c>
    </row>
    <row r="9225" spans="2:42" x14ac:dyDescent="0.2">
      <c r="B9225" t="s">
        <v>44</v>
      </c>
      <c r="C9225" t="str">
        <f>HYPERLINK("https://us2.cloudbeds.com/connect/8493803454333002#/reservations/246600470458496?display=5AB7SJKD0F&amp;reservation_id=246600470458496", "5AB7SJKD0F")</f>
        <v>5AB7SJKD0F</v>
      </c>
      <c r="D9225" t="s">
        <v>45</v>
      </c>
      <c r="E9225" t="s">
        <v>223</v>
      </c>
      <c r="F9225" t="s">
        <v>47</v>
      </c>
      <c r="G9225" t="s">
        <v>3974</v>
      </c>
      <c r="H9225" t="s">
        <v>3957</v>
      </c>
      <c r="I9225" t="s">
        <v>3975</v>
      </c>
      <c r="J9225" t="s">
        <v>17077</v>
      </c>
      <c r="K9225" t="s">
        <v>17078</v>
      </c>
      <c r="L9225" t="s">
        <v>53</v>
      </c>
      <c r="P9225" t="s">
        <v>55</v>
      </c>
      <c r="R9225" t="s">
        <v>56</v>
      </c>
      <c r="T9225" t="s">
        <v>17636</v>
      </c>
      <c r="U9225" t="s">
        <v>58</v>
      </c>
      <c r="V9225">
        <v>1</v>
      </c>
      <c r="W9225">
        <v>1</v>
      </c>
      <c r="X9225">
        <v>2</v>
      </c>
      <c r="Y9225">
        <v>0</v>
      </c>
      <c r="Z9225">
        <v>2</v>
      </c>
      <c r="AA9225">
        <v>198.23</v>
      </c>
      <c r="AB9225">
        <v>198.23</v>
      </c>
      <c r="AC9225">
        <v>172.9</v>
      </c>
      <c r="AD9225">
        <v>0</v>
      </c>
      <c r="AE9225">
        <v>25.33</v>
      </c>
      <c r="AF9225">
        <v>0</v>
      </c>
      <c r="AG9225">
        <v>0</v>
      </c>
      <c r="AH9225">
        <v>0</v>
      </c>
      <c r="AI9225">
        <v>0</v>
      </c>
      <c r="AJ9225">
        <v>198.23</v>
      </c>
      <c r="AK9225">
        <v>0</v>
      </c>
      <c r="AL9225" t="s">
        <v>53</v>
      </c>
      <c r="AM9225" t="s">
        <v>53</v>
      </c>
      <c r="AN9225" t="s">
        <v>17637</v>
      </c>
      <c r="AO9225" t="s">
        <v>53</v>
      </c>
      <c r="AP9225" t="s">
        <v>53</v>
      </c>
    </row>
    <row r="9226" spans="2:42" x14ac:dyDescent="0.2">
      <c r="B9226" t="s">
        <v>44</v>
      </c>
      <c r="C9226" t="str">
        <f>HYPERLINK("https://us2.cloudbeds.com/connect/8493803454333002#/reservations/9080486849379864?display=5ACM6G3X31&amp;reservation_id=9080486849379864", "5ACM6G3X31")</f>
        <v>5ACM6G3X31</v>
      </c>
      <c r="D9226" t="s">
        <v>45</v>
      </c>
      <c r="E9226" t="s">
        <v>85</v>
      </c>
      <c r="F9226" t="s">
        <v>86</v>
      </c>
      <c r="G9226" t="s">
        <v>48</v>
      </c>
      <c r="H9226" t="s">
        <v>49</v>
      </c>
      <c r="I9226" t="s">
        <v>50</v>
      </c>
      <c r="J9226" t="s">
        <v>14971</v>
      </c>
      <c r="K9226" t="s">
        <v>15947</v>
      </c>
      <c r="L9226" t="s">
        <v>53</v>
      </c>
      <c r="N9226" t="s">
        <v>17638</v>
      </c>
      <c r="P9226" t="s">
        <v>55</v>
      </c>
      <c r="R9226" t="s">
        <v>53</v>
      </c>
      <c r="T9226" t="s">
        <v>17639</v>
      </c>
      <c r="U9226" t="s">
        <v>55</v>
      </c>
      <c r="V9226">
        <v>1</v>
      </c>
      <c r="W9226">
        <v>1</v>
      </c>
      <c r="X9226">
        <v>2</v>
      </c>
      <c r="Y9226">
        <v>0</v>
      </c>
      <c r="Z9226">
        <v>2</v>
      </c>
      <c r="AA9226">
        <v>201</v>
      </c>
      <c r="AB9226">
        <v>201</v>
      </c>
      <c r="AC9226">
        <v>184.83</v>
      </c>
      <c r="AD9226">
        <v>0</v>
      </c>
      <c r="AE9226">
        <v>16.170000000000002</v>
      </c>
      <c r="AF9226">
        <v>0</v>
      </c>
      <c r="AG9226">
        <v>0</v>
      </c>
      <c r="AH9226">
        <v>0</v>
      </c>
      <c r="AI9226">
        <v>36.18</v>
      </c>
      <c r="AJ9226">
        <v>201</v>
      </c>
      <c r="AK9226">
        <v>0</v>
      </c>
      <c r="AL9226" t="s">
        <v>53</v>
      </c>
      <c r="AM9226" t="s">
        <v>53</v>
      </c>
      <c r="AN9226" t="s">
        <v>53</v>
      </c>
      <c r="AO9226" t="s">
        <v>53</v>
      </c>
      <c r="AP9226" t="s">
        <v>53</v>
      </c>
    </row>
    <row r="9227" spans="2:42" x14ac:dyDescent="0.2">
      <c r="B9227" t="s">
        <v>44</v>
      </c>
      <c r="C9227" t="str">
        <f>HYPERLINK("https://us2.cloudbeds.com/connect/8493803454333002#/reservations/9080486849379866?display=5ACM7H8M2N&amp;reservation_id=9080486849379866", "5ACM7H8M2N")</f>
        <v>5ACM7H8M2N</v>
      </c>
      <c r="D9227" t="s">
        <v>45</v>
      </c>
      <c r="E9227" t="s">
        <v>213</v>
      </c>
      <c r="F9227" t="s">
        <v>86</v>
      </c>
      <c r="G9227" t="s">
        <v>48</v>
      </c>
      <c r="H9227" t="s">
        <v>49</v>
      </c>
      <c r="I9227" t="s">
        <v>50</v>
      </c>
      <c r="J9227" t="s">
        <v>14971</v>
      </c>
      <c r="K9227" t="s">
        <v>15947</v>
      </c>
      <c r="L9227" t="s">
        <v>53</v>
      </c>
      <c r="N9227" t="s">
        <v>17640</v>
      </c>
      <c r="P9227" t="s">
        <v>55</v>
      </c>
      <c r="R9227" t="s">
        <v>53</v>
      </c>
      <c r="T9227" t="s">
        <v>17641</v>
      </c>
      <c r="U9227" t="s">
        <v>55</v>
      </c>
      <c r="V9227">
        <v>1</v>
      </c>
      <c r="W9227">
        <v>1</v>
      </c>
      <c r="X9227">
        <v>2</v>
      </c>
      <c r="Y9227">
        <v>0</v>
      </c>
      <c r="Z9227">
        <v>2</v>
      </c>
      <c r="AA9227">
        <v>201</v>
      </c>
      <c r="AB9227">
        <v>201</v>
      </c>
      <c r="AC9227">
        <v>184.83</v>
      </c>
      <c r="AD9227">
        <v>0</v>
      </c>
      <c r="AE9227">
        <v>16.170000000000002</v>
      </c>
      <c r="AF9227">
        <v>0</v>
      </c>
      <c r="AG9227">
        <v>0</v>
      </c>
      <c r="AH9227">
        <v>0</v>
      </c>
      <c r="AI9227">
        <v>36.18</v>
      </c>
      <c r="AJ9227">
        <v>201</v>
      </c>
      <c r="AK9227">
        <v>0</v>
      </c>
      <c r="AL9227" t="s">
        <v>53</v>
      </c>
      <c r="AM9227" t="s">
        <v>53</v>
      </c>
      <c r="AN9227" t="s">
        <v>53</v>
      </c>
      <c r="AO9227" t="s">
        <v>53</v>
      </c>
      <c r="AP9227" t="s">
        <v>53</v>
      </c>
    </row>
    <row r="9228" spans="2:42" x14ac:dyDescent="0.2">
      <c r="B9228" t="s">
        <v>44</v>
      </c>
      <c r="C9228" t="str">
        <f>HYPERLINK("https://us2.cloudbeds.com/connect/8493803454333002#/reservations/9080486849380064?display=5ACQF21WST&amp;reservation_id=9080486849380064", "5ACQF21WST")</f>
        <v>5ACQF21WST</v>
      </c>
      <c r="D9228" t="s">
        <v>10291</v>
      </c>
      <c r="E9228" t="s">
        <v>128</v>
      </c>
      <c r="F9228" t="s">
        <v>86</v>
      </c>
      <c r="G9228" t="s">
        <v>48</v>
      </c>
      <c r="H9228" t="s">
        <v>49</v>
      </c>
      <c r="I9228" t="s">
        <v>50</v>
      </c>
      <c r="J9228" t="s">
        <v>15545</v>
      </c>
      <c r="K9228" t="s">
        <v>17242</v>
      </c>
      <c r="L9228" t="s">
        <v>53</v>
      </c>
      <c r="N9228" t="s">
        <v>17642</v>
      </c>
      <c r="P9228" t="s">
        <v>55</v>
      </c>
      <c r="R9228" t="s">
        <v>53</v>
      </c>
      <c r="T9228" t="s">
        <v>17643</v>
      </c>
      <c r="U9228" t="s">
        <v>55</v>
      </c>
      <c r="V9228">
        <v>2</v>
      </c>
      <c r="W9228">
        <v>1</v>
      </c>
      <c r="X9228">
        <v>2</v>
      </c>
      <c r="Y9228">
        <v>2</v>
      </c>
      <c r="Z9228">
        <v>4</v>
      </c>
      <c r="AA9228">
        <v>330.78</v>
      </c>
      <c r="AB9228">
        <v>0</v>
      </c>
      <c r="AC9228">
        <v>304.17</v>
      </c>
      <c r="AD9228">
        <v>0</v>
      </c>
      <c r="AE9228">
        <v>26.61</v>
      </c>
      <c r="AF9228">
        <v>0</v>
      </c>
      <c r="AG9228">
        <v>0</v>
      </c>
      <c r="AH9228">
        <v>0</v>
      </c>
      <c r="AI9228">
        <v>59.54</v>
      </c>
      <c r="AJ9228">
        <v>330.78</v>
      </c>
      <c r="AK9228">
        <v>330.78</v>
      </c>
      <c r="AL9228" t="s">
        <v>53</v>
      </c>
      <c r="AM9228" t="s">
        <v>53</v>
      </c>
      <c r="AN9228" t="s">
        <v>53</v>
      </c>
      <c r="AO9228" t="s">
        <v>53</v>
      </c>
      <c r="AP9228" t="s">
        <v>53</v>
      </c>
    </row>
    <row r="9229" spans="2:42" x14ac:dyDescent="0.2">
      <c r="B9229" t="s">
        <v>44</v>
      </c>
      <c r="C9229" t="str">
        <f>HYPERLINK("https://us2.cloudbeds.com/connect/8493803454333002#/reservations/9080486849380085?display=5ACQT8WBBG&amp;reservation_id=9080486849380085", "5ACQT8WBBG")</f>
        <v>5ACQT8WBBG</v>
      </c>
      <c r="D9229" t="s">
        <v>45</v>
      </c>
      <c r="E9229" t="s">
        <v>155</v>
      </c>
      <c r="F9229" t="s">
        <v>86</v>
      </c>
      <c r="G9229" t="s">
        <v>48</v>
      </c>
      <c r="H9229" t="s">
        <v>49</v>
      </c>
      <c r="I9229" t="s">
        <v>8964</v>
      </c>
      <c r="J9229" t="s">
        <v>14971</v>
      </c>
      <c r="K9229" t="s">
        <v>15947</v>
      </c>
      <c r="L9229" t="s">
        <v>53</v>
      </c>
      <c r="N9229" t="s">
        <v>17644</v>
      </c>
      <c r="P9229" t="s">
        <v>55</v>
      </c>
      <c r="R9229" t="s">
        <v>53</v>
      </c>
      <c r="T9229" t="s">
        <v>17645</v>
      </c>
      <c r="U9229" t="s">
        <v>55</v>
      </c>
      <c r="V9229">
        <v>1</v>
      </c>
      <c r="W9229">
        <v>1</v>
      </c>
      <c r="X9229">
        <v>1</v>
      </c>
      <c r="Y9229">
        <v>0</v>
      </c>
      <c r="Z9229">
        <v>1</v>
      </c>
      <c r="AA9229">
        <v>0</v>
      </c>
      <c r="AB9229">
        <v>0</v>
      </c>
      <c r="AC9229">
        <v>225</v>
      </c>
      <c r="AD9229">
        <v>0</v>
      </c>
      <c r="AE9229">
        <v>0</v>
      </c>
      <c r="AF9229">
        <v>0</v>
      </c>
      <c r="AG9229">
        <v>0</v>
      </c>
      <c r="AH9229">
        <v>0</v>
      </c>
      <c r="AI9229">
        <v>33.75</v>
      </c>
      <c r="AJ9229">
        <v>225</v>
      </c>
      <c r="AK9229">
        <v>225</v>
      </c>
      <c r="AL9229" t="s">
        <v>53</v>
      </c>
      <c r="AM9229" t="s">
        <v>53</v>
      </c>
      <c r="AN9229" t="s">
        <v>53</v>
      </c>
      <c r="AO9229" t="s">
        <v>53</v>
      </c>
      <c r="AP9229" t="s">
        <v>53</v>
      </c>
    </row>
    <row r="9230" spans="2:42" x14ac:dyDescent="0.2">
      <c r="B9230" t="s">
        <v>44</v>
      </c>
      <c r="C9230" t="str">
        <f>HYPERLINK("https://us2.cloudbeds.com/connect/8493803454333002#/reservations/9080486849380282?display=5ACWCHAZW6&amp;reservation_id=9080486849380282", "5ACWCHAZW6")</f>
        <v>5ACWCHAZW6</v>
      </c>
      <c r="D9230" t="s">
        <v>45</v>
      </c>
      <c r="E9230" t="s">
        <v>138</v>
      </c>
      <c r="F9230" t="s">
        <v>70</v>
      </c>
      <c r="G9230" t="s">
        <v>48</v>
      </c>
      <c r="H9230" t="s">
        <v>49</v>
      </c>
      <c r="I9230" t="s">
        <v>62</v>
      </c>
      <c r="J9230" t="s">
        <v>16932</v>
      </c>
      <c r="K9230" t="s">
        <v>15625</v>
      </c>
      <c r="L9230" t="s">
        <v>53</v>
      </c>
      <c r="N9230" t="s">
        <v>17646</v>
      </c>
      <c r="P9230" t="s">
        <v>55</v>
      </c>
      <c r="R9230" t="s">
        <v>56</v>
      </c>
      <c r="T9230" t="s">
        <v>17647</v>
      </c>
      <c r="U9230" t="s">
        <v>55</v>
      </c>
      <c r="V9230">
        <v>2</v>
      </c>
      <c r="W9230">
        <v>1</v>
      </c>
      <c r="X9230">
        <v>2</v>
      </c>
      <c r="Y9230">
        <v>0</v>
      </c>
      <c r="Z9230">
        <v>2</v>
      </c>
      <c r="AA9230">
        <v>368.17</v>
      </c>
      <c r="AB9230">
        <v>368.17</v>
      </c>
      <c r="AC9230">
        <v>368.17</v>
      </c>
      <c r="AD9230">
        <v>0</v>
      </c>
      <c r="AE9230">
        <v>0</v>
      </c>
      <c r="AF9230">
        <v>0</v>
      </c>
      <c r="AG9230">
        <v>0</v>
      </c>
      <c r="AH9230">
        <v>0</v>
      </c>
      <c r="AI9230">
        <v>66.27</v>
      </c>
      <c r="AJ9230">
        <v>368.17</v>
      </c>
      <c r="AK9230">
        <v>0</v>
      </c>
      <c r="AL9230" t="s">
        <v>53</v>
      </c>
      <c r="AM9230" t="s">
        <v>53</v>
      </c>
      <c r="AN9230" t="s">
        <v>17648</v>
      </c>
      <c r="AO9230" t="s">
        <v>53</v>
      </c>
      <c r="AP9230" t="s">
        <v>53</v>
      </c>
    </row>
    <row r="9231" spans="2:42" x14ac:dyDescent="0.2">
      <c r="B9231" t="s">
        <v>44</v>
      </c>
      <c r="C9231" t="str">
        <f>HYPERLINK("https://us2.cloudbeds.com/connect/8493803454333002#/reservations/246681713107072?display=5AD4PHJYE0&amp;reservation_id=246681713107072", "5AD4PHJYE0")</f>
        <v>5AD4PHJYE0</v>
      </c>
      <c r="D9231" t="s">
        <v>45</v>
      </c>
      <c r="E9231" t="s">
        <v>14402</v>
      </c>
      <c r="F9231" t="s">
        <v>14403</v>
      </c>
      <c r="G9231" t="s">
        <v>5966</v>
      </c>
      <c r="H9231" t="s">
        <v>3957</v>
      </c>
      <c r="I9231" t="s">
        <v>3989</v>
      </c>
      <c r="J9231" t="s">
        <v>11651</v>
      </c>
      <c r="K9231" t="s">
        <v>14391</v>
      </c>
      <c r="L9231" t="s">
        <v>53</v>
      </c>
      <c r="P9231" t="s">
        <v>55</v>
      </c>
      <c r="R9231" t="s">
        <v>56</v>
      </c>
      <c r="T9231" t="s">
        <v>17649</v>
      </c>
      <c r="U9231" t="s">
        <v>58</v>
      </c>
      <c r="V9231">
        <v>6</v>
      </c>
      <c r="W9231">
        <v>1</v>
      </c>
      <c r="X9231">
        <v>1</v>
      </c>
      <c r="Y9231">
        <v>0</v>
      </c>
      <c r="Z9231">
        <v>1</v>
      </c>
      <c r="AA9231">
        <v>1020.85</v>
      </c>
      <c r="AB9231">
        <v>1026.33</v>
      </c>
      <c r="AC9231">
        <v>890.4</v>
      </c>
      <c r="AD9231">
        <v>5</v>
      </c>
      <c r="AE9231">
        <v>130.93</v>
      </c>
      <c r="AF9231">
        <v>0</v>
      </c>
      <c r="AG9231">
        <v>0</v>
      </c>
      <c r="AH9231">
        <v>0</v>
      </c>
      <c r="AI9231">
        <v>0</v>
      </c>
      <c r="AJ9231">
        <v>1026.33</v>
      </c>
      <c r="AK9231">
        <v>0</v>
      </c>
      <c r="AL9231" t="s">
        <v>53</v>
      </c>
      <c r="AM9231" t="s">
        <v>53</v>
      </c>
      <c r="AN9231" t="s">
        <v>17650</v>
      </c>
      <c r="AO9231" t="s">
        <v>53</v>
      </c>
      <c r="AP9231" t="s">
        <v>53</v>
      </c>
    </row>
    <row r="9232" spans="2:42" x14ac:dyDescent="0.2">
      <c r="B9232" t="s">
        <v>44</v>
      </c>
      <c r="C9232" t="str">
        <f>HYPERLINK("https://us2.cloudbeds.com/connect/8493803454333002#/reservations/246873180598464?display=5AHY0W1GBF&amp;reservation_id=246873180598464", "5AHY0W1GBF")</f>
        <v>5AHY0W1GBF</v>
      </c>
      <c r="D9232" t="s">
        <v>10291</v>
      </c>
      <c r="E9232" t="s">
        <v>165</v>
      </c>
      <c r="F9232" t="s">
        <v>61</v>
      </c>
      <c r="G9232" t="s">
        <v>48</v>
      </c>
      <c r="H9232" t="s">
        <v>3957</v>
      </c>
      <c r="I9232" t="s">
        <v>3975</v>
      </c>
      <c r="J9232" t="s">
        <v>17651</v>
      </c>
      <c r="K9232" t="s">
        <v>17652</v>
      </c>
      <c r="L9232" t="s">
        <v>53</v>
      </c>
      <c r="P9232" t="s">
        <v>58</v>
      </c>
      <c r="R9232" t="s">
        <v>53</v>
      </c>
      <c r="T9232" t="s">
        <v>17653</v>
      </c>
      <c r="U9232" t="s">
        <v>58</v>
      </c>
      <c r="V9232">
        <v>2</v>
      </c>
      <c r="W9232">
        <v>1</v>
      </c>
      <c r="X9232">
        <v>2</v>
      </c>
      <c r="Y9232">
        <v>0</v>
      </c>
      <c r="Z9232">
        <v>2</v>
      </c>
      <c r="AA9232">
        <v>0</v>
      </c>
      <c r="AB9232">
        <v>0</v>
      </c>
      <c r="AC9232">
        <v>293</v>
      </c>
      <c r="AD9232">
        <v>0</v>
      </c>
      <c r="AE9232">
        <v>42.92</v>
      </c>
      <c r="AF9232">
        <v>0</v>
      </c>
      <c r="AG9232">
        <v>0</v>
      </c>
      <c r="AH9232">
        <v>0</v>
      </c>
      <c r="AI9232">
        <v>0</v>
      </c>
      <c r="AJ9232">
        <v>335.92</v>
      </c>
      <c r="AK9232">
        <v>335.92</v>
      </c>
      <c r="AL9232" t="s">
        <v>53</v>
      </c>
      <c r="AM9232" t="s">
        <v>53</v>
      </c>
      <c r="AN9232" t="s">
        <v>53</v>
      </c>
      <c r="AO9232" t="s">
        <v>53</v>
      </c>
      <c r="AP9232" t="s">
        <v>53</v>
      </c>
    </row>
    <row r="9233" spans="2:42" x14ac:dyDescent="0.2">
      <c r="B9233" t="s">
        <v>44</v>
      </c>
      <c r="C9233" t="str">
        <f>HYPERLINK("https://us2.cloudbeds.com/connect/8493803454333002#/reservations/246873669197952?display=5AHYDF1GGE&amp;reservation_id=246873669197952", "5AHYDF1GGE")</f>
        <v>5AHYDF1GGE</v>
      </c>
      <c r="D9233" t="s">
        <v>10291</v>
      </c>
      <c r="E9233" t="s">
        <v>165</v>
      </c>
      <c r="F9233" t="s">
        <v>61</v>
      </c>
      <c r="G9233" t="s">
        <v>48</v>
      </c>
      <c r="H9233" t="s">
        <v>3957</v>
      </c>
      <c r="I9233" t="s">
        <v>3975</v>
      </c>
      <c r="J9233" t="s">
        <v>17654</v>
      </c>
      <c r="K9233" t="s">
        <v>17655</v>
      </c>
      <c r="L9233" t="s">
        <v>53</v>
      </c>
      <c r="P9233" t="s">
        <v>58</v>
      </c>
      <c r="R9233" t="s">
        <v>53</v>
      </c>
      <c r="T9233" t="s">
        <v>17656</v>
      </c>
      <c r="U9233" t="s">
        <v>58</v>
      </c>
      <c r="V9233">
        <v>1</v>
      </c>
      <c r="W9233">
        <v>1</v>
      </c>
      <c r="X9233">
        <v>2</v>
      </c>
      <c r="Y9233">
        <v>0</v>
      </c>
      <c r="Z9233">
        <v>2</v>
      </c>
      <c r="AA9233">
        <v>0</v>
      </c>
      <c r="AB9233">
        <v>0</v>
      </c>
      <c r="AC9233">
        <v>134</v>
      </c>
      <c r="AD9233">
        <v>0</v>
      </c>
      <c r="AE9233">
        <v>19.64</v>
      </c>
      <c r="AF9233">
        <v>0</v>
      </c>
      <c r="AG9233">
        <v>0</v>
      </c>
      <c r="AH9233">
        <v>0</v>
      </c>
      <c r="AI9233">
        <v>0</v>
      </c>
      <c r="AJ9233">
        <v>153.63999999999999</v>
      </c>
      <c r="AK9233">
        <v>153.63999999999999</v>
      </c>
      <c r="AL9233" t="s">
        <v>53</v>
      </c>
      <c r="AM9233" t="s">
        <v>53</v>
      </c>
      <c r="AN9233" t="s">
        <v>53</v>
      </c>
      <c r="AO9233" t="s">
        <v>53</v>
      </c>
      <c r="AP9233" t="s">
        <v>53</v>
      </c>
    </row>
    <row r="9234" spans="2:42" x14ac:dyDescent="0.2">
      <c r="B9234" t="s">
        <v>44</v>
      </c>
      <c r="C9234" t="str">
        <f>HYPERLINK("https://us2.cloudbeds.com/connect/8493803454333002#/reservations/9080486849387782?display=5AXRZU9USB&amp;reservation_id=9080486849387782", "5AXRZU9USB")</f>
        <v>5AXRZU9USB</v>
      </c>
      <c r="D9234" t="s">
        <v>45</v>
      </c>
      <c r="E9234" t="s">
        <v>223</v>
      </c>
      <c r="F9234" t="s">
        <v>47</v>
      </c>
      <c r="G9234" t="s">
        <v>48</v>
      </c>
      <c r="H9234" t="s">
        <v>49</v>
      </c>
      <c r="I9234" t="s">
        <v>8964</v>
      </c>
      <c r="J9234" t="s">
        <v>17216</v>
      </c>
      <c r="K9234" t="s">
        <v>15625</v>
      </c>
      <c r="L9234" t="s">
        <v>53</v>
      </c>
      <c r="N9234" t="s">
        <v>17657</v>
      </c>
      <c r="P9234" t="s">
        <v>55</v>
      </c>
      <c r="R9234" t="s">
        <v>53</v>
      </c>
      <c r="T9234" t="s">
        <v>17658</v>
      </c>
      <c r="U9234" t="s">
        <v>55</v>
      </c>
      <c r="V9234">
        <v>1</v>
      </c>
      <c r="W9234">
        <v>1</v>
      </c>
      <c r="X9234">
        <v>2</v>
      </c>
      <c r="Y9234">
        <v>0</v>
      </c>
      <c r="Z9234">
        <v>2</v>
      </c>
      <c r="AA9234">
        <v>190</v>
      </c>
      <c r="AB9234">
        <v>0</v>
      </c>
      <c r="AC9234">
        <v>190</v>
      </c>
      <c r="AD9234">
        <v>0</v>
      </c>
      <c r="AE9234">
        <v>0</v>
      </c>
      <c r="AF9234">
        <v>0</v>
      </c>
      <c r="AG9234">
        <v>0</v>
      </c>
      <c r="AH9234">
        <v>0</v>
      </c>
      <c r="AI9234">
        <v>28.5</v>
      </c>
      <c r="AJ9234">
        <v>190</v>
      </c>
      <c r="AK9234">
        <v>190</v>
      </c>
      <c r="AL9234" t="s">
        <v>53</v>
      </c>
      <c r="AM9234" t="s">
        <v>53</v>
      </c>
      <c r="AN9234" t="s">
        <v>53</v>
      </c>
      <c r="AO9234" t="s">
        <v>53</v>
      </c>
      <c r="AP9234" t="s">
        <v>53</v>
      </c>
    </row>
    <row r="9235" spans="2:42" x14ac:dyDescent="0.2">
      <c r="B9235" t="s">
        <v>44</v>
      </c>
      <c r="C9235" t="str">
        <f>HYPERLINK("https://us2.cloudbeds.com/connect/8493803454333002#/reservations/9080486849390005?display=5AJSAVTWFD&amp;reservation_id=9080486849390005", "5AJSAVTWFD")</f>
        <v>5AJSAVTWFD</v>
      </c>
      <c r="D9235" t="s">
        <v>10291</v>
      </c>
      <c r="E9235" t="s">
        <v>110</v>
      </c>
      <c r="F9235" t="s">
        <v>47</v>
      </c>
      <c r="G9235" t="s">
        <v>48</v>
      </c>
      <c r="H9235" t="s">
        <v>49</v>
      </c>
      <c r="I9235" t="s">
        <v>50</v>
      </c>
      <c r="J9235" t="s">
        <v>14372</v>
      </c>
      <c r="K9235" t="s">
        <v>16110</v>
      </c>
      <c r="L9235" t="s">
        <v>53</v>
      </c>
      <c r="N9235" t="s">
        <v>17659</v>
      </c>
      <c r="P9235" t="s">
        <v>55</v>
      </c>
      <c r="R9235" t="s">
        <v>53</v>
      </c>
      <c r="T9235" t="s">
        <v>17660</v>
      </c>
      <c r="U9235" t="s">
        <v>55</v>
      </c>
      <c r="V9235">
        <v>1</v>
      </c>
      <c r="W9235">
        <v>1</v>
      </c>
      <c r="X9235">
        <v>2</v>
      </c>
      <c r="Y9235">
        <v>0</v>
      </c>
      <c r="Z9235">
        <v>2</v>
      </c>
      <c r="AA9235">
        <v>172.28</v>
      </c>
      <c r="AB9235">
        <v>0</v>
      </c>
      <c r="AC9235">
        <v>158.41999999999999</v>
      </c>
      <c r="AD9235">
        <v>0</v>
      </c>
      <c r="AE9235">
        <v>13.86</v>
      </c>
      <c r="AF9235">
        <v>0</v>
      </c>
      <c r="AG9235">
        <v>0</v>
      </c>
      <c r="AH9235">
        <v>0</v>
      </c>
      <c r="AI9235">
        <v>31.01</v>
      </c>
      <c r="AJ9235">
        <v>172.28</v>
      </c>
      <c r="AK9235">
        <v>172.28</v>
      </c>
      <c r="AL9235" t="s">
        <v>53</v>
      </c>
      <c r="AM9235" t="s">
        <v>53</v>
      </c>
      <c r="AN9235" t="s">
        <v>53</v>
      </c>
      <c r="AO9235" t="s">
        <v>53</v>
      </c>
      <c r="AP9235" t="s">
        <v>53</v>
      </c>
    </row>
    <row r="9236" spans="2:42" x14ac:dyDescent="0.2">
      <c r="B9236" t="s">
        <v>44</v>
      </c>
      <c r="C9236" t="str">
        <f>HYPERLINK("https://us2.cloudbeds.com/connect/8493803454333002#/reservations/9080486849390511?display=5AK3A4ER3W&amp;reservation_id=9080486849390511", "5AK3A4ER3W")</f>
        <v>5AK3A4ER3W</v>
      </c>
      <c r="D9236" t="s">
        <v>45</v>
      </c>
      <c r="E9236" t="s">
        <v>14402</v>
      </c>
      <c r="F9236" t="s">
        <v>14403</v>
      </c>
      <c r="G9236" t="s">
        <v>48</v>
      </c>
      <c r="H9236" t="s">
        <v>49</v>
      </c>
      <c r="I9236" t="s">
        <v>50</v>
      </c>
      <c r="J9236" t="s">
        <v>15947</v>
      </c>
      <c r="K9236" t="s">
        <v>15876</v>
      </c>
      <c r="L9236" t="s">
        <v>53</v>
      </c>
      <c r="N9236" t="s">
        <v>17661</v>
      </c>
      <c r="P9236" t="s">
        <v>55</v>
      </c>
      <c r="R9236" t="s">
        <v>53</v>
      </c>
      <c r="T9236" t="s">
        <v>17662</v>
      </c>
      <c r="U9236" t="s">
        <v>55</v>
      </c>
      <c r="V9236">
        <v>1</v>
      </c>
      <c r="W9236">
        <v>1</v>
      </c>
      <c r="X9236">
        <v>1</v>
      </c>
      <c r="Y9236">
        <v>0</v>
      </c>
      <c r="Z9236">
        <v>1</v>
      </c>
      <c r="AA9236">
        <v>151.77000000000001</v>
      </c>
      <c r="AB9236">
        <v>151.77000000000001</v>
      </c>
      <c r="AC9236">
        <v>139.56</v>
      </c>
      <c r="AD9236">
        <v>0</v>
      </c>
      <c r="AE9236">
        <v>12.21</v>
      </c>
      <c r="AF9236">
        <v>0</v>
      </c>
      <c r="AG9236">
        <v>0</v>
      </c>
      <c r="AH9236">
        <v>0</v>
      </c>
      <c r="AI9236">
        <v>27.32</v>
      </c>
      <c r="AJ9236">
        <v>151.77000000000001</v>
      </c>
      <c r="AK9236">
        <v>0</v>
      </c>
      <c r="AL9236" t="s">
        <v>53</v>
      </c>
      <c r="AM9236" t="s">
        <v>53</v>
      </c>
      <c r="AN9236" t="s">
        <v>17663</v>
      </c>
      <c r="AO9236" t="s">
        <v>53</v>
      </c>
      <c r="AP9236" t="s">
        <v>53</v>
      </c>
    </row>
    <row r="9237" spans="2:42" x14ac:dyDescent="0.2">
      <c r="B9237" t="s">
        <v>44</v>
      </c>
      <c r="C9237" t="str">
        <f>HYPERLINK("https://us2.cloudbeds.com/connect/8493803454333002#/reservations/246992706678912?display=5AKEJ4JWS9&amp;reservation_id=246992706678912", "5AKEJ4JWS9")</f>
        <v>5AKEJ4JWS9</v>
      </c>
      <c r="D9237" t="s">
        <v>45</v>
      </c>
      <c r="E9237" t="s">
        <v>128</v>
      </c>
      <c r="F9237" t="s">
        <v>86</v>
      </c>
      <c r="G9237" t="s">
        <v>48</v>
      </c>
      <c r="H9237" t="s">
        <v>3957</v>
      </c>
      <c r="I9237" t="s">
        <v>3958</v>
      </c>
      <c r="J9237" t="s">
        <v>15947</v>
      </c>
      <c r="K9237" t="s">
        <v>15876</v>
      </c>
      <c r="L9237" t="s">
        <v>53</v>
      </c>
      <c r="P9237" t="s">
        <v>55</v>
      </c>
      <c r="R9237" t="s">
        <v>56</v>
      </c>
      <c r="T9237" t="s">
        <v>17664</v>
      </c>
      <c r="U9237" t="s">
        <v>58</v>
      </c>
      <c r="V9237">
        <v>1</v>
      </c>
      <c r="W9237">
        <v>1</v>
      </c>
      <c r="X9237">
        <v>1</v>
      </c>
      <c r="Y9237">
        <v>0</v>
      </c>
      <c r="Z9237">
        <v>1</v>
      </c>
      <c r="AA9237">
        <v>193.76</v>
      </c>
      <c r="AB9237">
        <v>193.76</v>
      </c>
      <c r="AC9237">
        <v>169</v>
      </c>
      <c r="AD9237">
        <v>0</v>
      </c>
      <c r="AE9237">
        <v>24.76</v>
      </c>
      <c r="AF9237">
        <v>0</v>
      </c>
      <c r="AG9237">
        <v>0</v>
      </c>
      <c r="AH9237">
        <v>0</v>
      </c>
      <c r="AI9237">
        <v>0</v>
      </c>
      <c r="AJ9237">
        <v>193.76</v>
      </c>
      <c r="AK9237">
        <v>0</v>
      </c>
      <c r="AL9237" t="s">
        <v>53</v>
      </c>
      <c r="AM9237" t="s">
        <v>53</v>
      </c>
      <c r="AN9237" t="s">
        <v>53</v>
      </c>
      <c r="AO9237" t="s">
        <v>53</v>
      </c>
      <c r="AP9237" t="s">
        <v>53</v>
      </c>
    </row>
    <row r="9238" spans="2:42" x14ac:dyDescent="0.2">
      <c r="B9238" t="s">
        <v>44</v>
      </c>
      <c r="C9238" t="str">
        <f>HYPERLINK("https://us2.cloudbeds.com/connect/8493803454333002#/reservations/247012727906432?display=5AKU2Z0JKU&amp;reservation_id=247012727906432", "5AKU2Z0JKU")</f>
        <v>5AKU2Z0JKU</v>
      </c>
      <c r="D9238" t="s">
        <v>10291</v>
      </c>
      <c r="E9238" t="s">
        <v>165</v>
      </c>
      <c r="F9238" t="s">
        <v>61</v>
      </c>
      <c r="G9238" t="s">
        <v>48</v>
      </c>
      <c r="H9238" t="s">
        <v>3957</v>
      </c>
      <c r="I9238" t="s">
        <v>3975</v>
      </c>
      <c r="J9238" t="s">
        <v>15025</v>
      </c>
      <c r="K9238" t="s">
        <v>17665</v>
      </c>
      <c r="L9238" t="s">
        <v>53</v>
      </c>
      <c r="P9238" t="s">
        <v>55</v>
      </c>
      <c r="R9238" t="s">
        <v>56</v>
      </c>
      <c r="T9238" t="s">
        <v>17666</v>
      </c>
      <c r="U9238" t="s">
        <v>58</v>
      </c>
      <c r="V9238">
        <v>2</v>
      </c>
      <c r="W9238">
        <v>1</v>
      </c>
      <c r="X9238">
        <v>2</v>
      </c>
      <c r="Y9238">
        <v>0</v>
      </c>
      <c r="Z9238">
        <v>2</v>
      </c>
      <c r="AA9238">
        <v>0</v>
      </c>
      <c r="AB9238">
        <v>0</v>
      </c>
      <c r="AC9238">
        <v>344</v>
      </c>
      <c r="AD9238">
        <v>0</v>
      </c>
      <c r="AE9238">
        <v>50.41</v>
      </c>
      <c r="AF9238">
        <v>0</v>
      </c>
      <c r="AG9238">
        <v>0</v>
      </c>
      <c r="AH9238">
        <v>0</v>
      </c>
      <c r="AI9238">
        <v>0</v>
      </c>
      <c r="AJ9238">
        <v>394.41</v>
      </c>
      <c r="AK9238">
        <v>394.41</v>
      </c>
      <c r="AL9238" t="s">
        <v>53</v>
      </c>
      <c r="AM9238" t="s">
        <v>53</v>
      </c>
      <c r="AN9238" t="s">
        <v>17667</v>
      </c>
      <c r="AO9238" t="s">
        <v>53</v>
      </c>
      <c r="AP9238" t="s">
        <v>53</v>
      </c>
    </row>
    <row r="9239" spans="2:42" x14ac:dyDescent="0.2">
      <c r="B9239" t="s">
        <v>44</v>
      </c>
      <c r="C9239" t="str">
        <f>HYPERLINK("https://us2.cloudbeds.com/connect/8493803454333002#/reservations/9080486849392120?display=5AKU34U44X&amp;reservation_id=9080486849392120", "5AKU34U44X")</f>
        <v>5AKU34U44X</v>
      </c>
      <c r="D9239" t="s">
        <v>45</v>
      </c>
      <c r="E9239" t="s">
        <v>14402</v>
      </c>
      <c r="F9239" t="s">
        <v>14403</v>
      </c>
      <c r="G9239" t="s">
        <v>48</v>
      </c>
      <c r="H9239" t="s">
        <v>49</v>
      </c>
      <c r="I9239" t="s">
        <v>62</v>
      </c>
      <c r="J9239" t="s">
        <v>15876</v>
      </c>
      <c r="K9239" t="s">
        <v>16163</v>
      </c>
      <c r="L9239" t="s">
        <v>53</v>
      </c>
      <c r="N9239" t="s">
        <v>17668</v>
      </c>
      <c r="P9239" t="s">
        <v>55</v>
      </c>
      <c r="R9239" t="s">
        <v>56</v>
      </c>
      <c r="T9239" t="s">
        <v>17666</v>
      </c>
      <c r="U9239" t="s">
        <v>55</v>
      </c>
      <c r="V9239">
        <v>1</v>
      </c>
      <c r="W9239">
        <v>1</v>
      </c>
      <c r="X9239">
        <v>2</v>
      </c>
      <c r="Y9239">
        <v>0</v>
      </c>
      <c r="Z9239">
        <v>2</v>
      </c>
      <c r="AA9239">
        <v>184</v>
      </c>
      <c r="AB9239">
        <v>184</v>
      </c>
      <c r="AC9239">
        <v>184</v>
      </c>
      <c r="AD9239">
        <v>0</v>
      </c>
      <c r="AE9239">
        <v>0</v>
      </c>
      <c r="AF9239">
        <v>0</v>
      </c>
      <c r="AG9239">
        <v>0</v>
      </c>
      <c r="AH9239">
        <v>0</v>
      </c>
      <c r="AI9239">
        <v>33.119999999999997</v>
      </c>
      <c r="AJ9239">
        <v>184</v>
      </c>
      <c r="AK9239">
        <v>0</v>
      </c>
      <c r="AL9239" t="s">
        <v>53</v>
      </c>
      <c r="AM9239" t="s">
        <v>53</v>
      </c>
      <c r="AN9239" t="s">
        <v>17669</v>
      </c>
      <c r="AO9239" t="s">
        <v>53</v>
      </c>
      <c r="AP9239" t="s">
        <v>53</v>
      </c>
    </row>
    <row r="9240" spans="2:42" x14ac:dyDescent="0.2">
      <c r="B9240" t="s">
        <v>44</v>
      </c>
      <c r="C9240" t="str">
        <f>HYPERLINK("https://us2.cloudbeds.com/connect/8493803454333002#/reservations/247016964857984?display=5AY0BWZBSX&amp;reservation_id=247016964857984", "5AY0BWZBSX")</f>
        <v>5AY0BWZBSX</v>
      </c>
      <c r="D9240" t="s">
        <v>45</v>
      </c>
      <c r="E9240" t="s">
        <v>305</v>
      </c>
      <c r="F9240" t="s">
        <v>61</v>
      </c>
      <c r="G9240" t="s">
        <v>48</v>
      </c>
      <c r="H9240" t="s">
        <v>3957</v>
      </c>
      <c r="I9240" t="s">
        <v>3975</v>
      </c>
      <c r="J9240" t="s">
        <v>15876</v>
      </c>
      <c r="K9240" t="s">
        <v>16163</v>
      </c>
      <c r="L9240" t="s">
        <v>53</v>
      </c>
      <c r="P9240" t="s">
        <v>55</v>
      </c>
      <c r="R9240" t="s">
        <v>56</v>
      </c>
      <c r="T9240" t="s">
        <v>17670</v>
      </c>
      <c r="U9240" t="s">
        <v>58</v>
      </c>
      <c r="V9240">
        <v>1</v>
      </c>
      <c r="W9240">
        <v>1</v>
      </c>
      <c r="X9240">
        <v>2</v>
      </c>
      <c r="Y9240">
        <v>0</v>
      </c>
      <c r="Z9240">
        <v>2</v>
      </c>
      <c r="AA9240">
        <v>194.91</v>
      </c>
      <c r="AB9240">
        <v>194.91</v>
      </c>
      <c r="AC9240">
        <v>170</v>
      </c>
      <c r="AD9240">
        <v>0</v>
      </c>
      <c r="AE9240">
        <v>24.91</v>
      </c>
      <c r="AF9240">
        <v>0</v>
      </c>
      <c r="AG9240">
        <v>0</v>
      </c>
      <c r="AH9240">
        <v>0</v>
      </c>
      <c r="AI9240">
        <v>0</v>
      </c>
      <c r="AJ9240">
        <v>194.91</v>
      </c>
      <c r="AK9240">
        <v>0</v>
      </c>
      <c r="AL9240" t="s">
        <v>53</v>
      </c>
      <c r="AM9240" t="s">
        <v>53</v>
      </c>
      <c r="AN9240" t="s">
        <v>17671</v>
      </c>
      <c r="AO9240" t="s">
        <v>53</v>
      </c>
      <c r="AP9240" t="s">
        <v>53</v>
      </c>
    </row>
    <row r="9241" spans="2:42" x14ac:dyDescent="0.2">
      <c r="B9241" t="s">
        <v>44</v>
      </c>
      <c r="C9241" t="str">
        <f>HYPERLINK("https://us2.cloudbeds.com/connect/8493803454333002#/reservations/9080486849392392?display=5AY2D0Q3G1&amp;reservation_id=9080486849392392", "5AY2D0Q3G1")</f>
        <v>5AY2D0Q3G1</v>
      </c>
      <c r="D9241" t="s">
        <v>10291</v>
      </c>
      <c r="E9241" t="s">
        <v>138</v>
      </c>
      <c r="F9241" t="s">
        <v>70</v>
      </c>
      <c r="G9241" t="s">
        <v>48</v>
      </c>
      <c r="H9241" t="s">
        <v>49</v>
      </c>
      <c r="I9241" t="s">
        <v>62</v>
      </c>
      <c r="J9241" t="s">
        <v>14372</v>
      </c>
      <c r="K9241" t="s">
        <v>16110</v>
      </c>
      <c r="L9241" t="s">
        <v>53</v>
      </c>
      <c r="N9241" t="s">
        <v>17672</v>
      </c>
      <c r="P9241" t="s">
        <v>55</v>
      </c>
      <c r="R9241" t="s">
        <v>946</v>
      </c>
      <c r="T9241" t="s">
        <v>17673</v>
      </c>
      <c r="U9241" t="s">
        <v>55</v>
      </c>
      <c r="V9241">
        <v>1</v>
      </c>
      <c r="W9241">
        <v>1</v>
      </c>
      <c r="X9241">
        <v>2</v>
      </c>
      <c r="Y9241">
        <v>0</v>
      </c>
      <c r="Z9241">
        <v>2</v>
      </c>
      <c r="AA9241">
        <v>188.6</v>
      </c>
      <c r="AB9241">
        <v>0</v>
      </c>
      <c r="AC9241">
        <v>188.6</v>
      </c>
      <c r="AD9241">
        <v>0</v>
      </c>
      <c r="AE9241">
        <v>0</v>
      </c>
      <c r="AF9241">
        <v>0</v>
      </c>
      <c r="AG9241">
        <v>0</v>
      </c>
      <c r="AH9241">
        <v>0</v>
      </c>
      <c r="AI9241">
        <v>33.950000000000003</v>
      </c>
      <c r="AJ9241">
        <v>188.6</v>
      </c>
      <c r="AK9241">
        <v>188.6</v>
      </c>
      <c r="AL9241" t="s">
        <v>53</v>
      </c>
      <c r="AM9241" t="s">
        <v>53</v>
      </c>
      <c r="AN9241" t="s">
        <v>53</v>
      </c>
      <c r="AO9241" t="s">
        <v>53</v>
      </c>
      <c r="AP9241" t="s">
        <v>53</v>
      </c>
    </row>
    <row r="9242" spans="2:42" x14ac:dyDescent="0.2">
      <c r="B9242" t="s">
        <v>44</v>
      </c>
      <c r="C9242" t="str">
        <f>HYPERLINK("https://us2.cloudbeds.com/connect/8493803454333002#/reservations/247029936144512?display=5AYADEFHE9&amp;reservation_id=247029936144512", "5AYADEFHE9")</f>
        <v>5AYADEFHE9</v>
      </c>
      <c r="D9242" t="s">
        <v>10291</v>
      </c>
      <c r="E9242" t="s">
        <v>69</v>
      </c>
      <c r="F9242" t="s">
        <v>70</v>
      </c>
      <c r="G9242" t="s">
        <v>3974</v>
      </c>
      <c r="H9242" t="s">
        <v>3957</v>
      </c>
      <c r="I9242" t="s">
        <v>3975</v>
      </c>
      <c r="J9242" t="s">
        <v>14372</v>
      </c>
      <c r="K9242" t="s">
        <v>16110</v>
      </c>
      <c r="L9242" t="s">
        <v>53</v>
      </c>
      <c r="P9242" t="s">
        <v>55</v>
      </c>
      <c r="R9242" t="s">
        <v>56</v>
      </c>
      <c r="T9242" t="s">
        <v>17674</v>
      </c>
      <c r="U9242" t="s">
        <v>58</v>
      </c>
      <c r="V9242">
        <v>1</v>
      </c>
      <c r="W9242">
        <v>1</v>
      </c>
      <c r="X9242">
        <v>2</v>
      </c>
      <c r="Y9242">
        <v>0</v>
      </c>
      <c r="Z9242">
        <v>2</v>
      </c>
      <c r="AA9242">
        <v>178.62</v>
      </c>
      <c r="AB9242">
        <v>178.62</v>
      </c>
      <c r="AC9242">
        <v>155.80000000000001</v>
      </c>
      <c r="AD9242">
        <v>0</v>
      </c>
      <c r="AE9242">
        <v>22.82</v>
      </c>
      <c r="AF9242">
        <v>0</v>
      </c>
      <c r="AG9242">
        <v>0</v>
      </c>
      <c r="AH9242">
        <v>0</v>
      </c>
      <c r="AI9242">
        <v>0</v>
      </c>
      <c r="AJ9242">
        <v>178.62</v>
      </c>
      <c r="AK9242">
        <v>0</v>
      </c>
      <c r="AL9242" t="s">
        <v>53</v>
      </c>
      <c r="AM9242" t="s">
        <v>53</v>
      </c>
      <c r="AN9242" t="s">
        <v>53</v>
      </c>
      <c r="AO9242" t="s">
        <v>53</v>
      </c>
      <c r="AP9242" t="s">
        <v>53</v>
      </c>
    </row>
    <row r="9243" spans="2:42" x14ac:dyDescent="0.2">
      <c r="B9243" t="s">
        <v>44</v>
      </c>
      <c r="C9243" t="str">
        <f>HYPERLINK("https://us2.cloudbeds.com/connect/8493803454333002#/reservations/9080486849393624?display=5AYT06Q4K7&amp;reservation_id=9080486849393624", "5AYT06Q4K7")</f>
        <v>5AYT06Q4K7</v>
      </c>
      <c r="D9243" t="s">
        <v>45</v>
      </c>
      <c r="E9243" t="s">
        <v>85</v>
      </c>
      <c r="F9243" t="s">
        <v>86</v>
      </c>
      <c r="G9243" t="s">
        <v>48</v>
      </c>
      <c r="H9243" t="s">
        <v>49</v>
      </c>
      <c r="I9243" t="s">
        <v>50</v>
      </c>
      <c r="J9243" t="s">
        <v>15947</v>
      </c>
      <c r="K9243" t="s">
        <v>15876</v>
      </c>
      <c r="L9243" t="s">
        <v>53</v>
      </c>
      <c r="N9243" t="s">
        <v>17675</v>
      </c>
      <c r="P9243" t="s">
        <v>55</v>
      </c>
      <c r="R9243" t="s">
        <v>53</v>
      </c>
      <c r="T9243" t="s">
        <v>17676</v>
      </c>
      <c r="U9243" t="s">
        <v>55</v>
      </c>
      <c r="V9243">
        <v>1</v>
      </c>
      <c r="W9243">
        <v>1</v>
      </c>
      <c r="X9243">
        <v>3</v>
      </c>
      <c r="Y9243">
        <v>1</v>
      </c>
      <c r="Z9243">
        <v>4</v>
      </c>
      <c r="AA9243">
        <v>145.59</v>
      </c>
      <c r="AB9243">
        <v>145.59</v>
      </c>
      <c r="AC9243">
        <v>133.87</v>
      </c>
      <c r="AD9243">
        <v>0</v>
      </c>
      <c r="AE9243">
        <v>11.72</v>
      </c>
      <c r="AF9243">
        <v>0</v>
      </c>
      <c r="AG9243">
        <v>0</v>
      </c>
      <c r="AH9243">
        <v>0</v>
      </c>
      <c r="AI9243">
        <v>26.21</v>
      </c>
      <c r="AJ9243">
        <v>145.59</v>
      </c>
      <c r="AK9243">
        <v>0</v>
      </c>
      <c r="AL9243" t="s">
        <v>53</v>
      </c>
      <c r="AM9243" t="s">
        <v>53</v>
      </c>
      <c r="AN9243" t="s">
        <v>53</v>
      </c>
      <c r="AO9243" t="s">
        <v>53</v>
      </c>
      <c r="AP9243" t="s">
        <v>53</v>
      </c>
    </row>
    <row r="9244" spans="2:42" x14ac:dyDescent="0.2">
      <c r="B9244" t="s">
        <v>44</v>
      </c>
      <c r="C9244" t="str">
        <f>HYPERLINK("https://us2.cloudbeds.com/connect/8493803454333002#/reservations/9080486849393625?display=5AYT1987JK&amp;reservation_id=9080486849393625", "5AYT1987JK")</f>
        <v>5AYT1987JK</v>
      </c>
      <c r="D9244" t="s">
        <v>45</v>
      </c>
      <c r="E9244" t="s">
        <v>213</v>
      </c>
      <c r="F9244" t="s">
        <v>86</v>
      </c>
      <c r="G9244" t="s">
        <v>48</v>
      </c>
      <c r="H9244" t="s">
        <v>49</v>
      </c>
      <c r="I9244" t="s">
        <v>50</v>
      </c>
      <c r="J9244" t="s">
        <v>15947</v>
      </c>
      <c r="K9244" t="s">
        <v>15876</v>
      </c>
      <c r="L9244" t="s">
        <v>53</v>
      </c>
      <c r="N9244" t="s">
        <v>17677</v>
      </c>
      <c r="P9244" t="s">
        <v>55</v>
      </c>
      <c r="R9244" t="s">
        <v>53</v>
      </c>
      <c r="T9244" t="s">
        <v>17678</v>
      </c>
      <c r="U9244" t="s">
        <v>55</v>
      </c>
      <c r="V9244">
        <v>1</v>
      </c>
      <c r="W9244">
        <v>1</v>
      </c>
      <c r="X9244">
        <v>3</v>
      </c>
      <c r="Y9244">
        <v>1</v>
      </c>
      <c r="Z9244">
        <v>4</v>
      </c>
      <c r="AA9244">
        <v>145.59</v>
      </c>
      <c r="AB9244">
        <v>145.59</v>
      </c>
      <c r="AC9244">
        <v>133.87</v>
      </c>
      <c r="AD9244">
        <v>0</v>
      </c>
      <c r="AE9244">
        <v>11.72</v>
      </c>
      <c r="AF9244">
        <v>0</v>
      </c>
      <c r="AG9244">
        <v>0</v>
      </c>
      <c r="AH9244">
        <v>0</v>
      </c>
      <c r="AI9244">
        <v>26.21</v>
      </c>
      <c r="AJ9244">
        <v>145.59</v>
      </c>
      <c r="AK9244">
        <v>0</v>
      </c>
      <c r="AL9244" t="s">
        <v>53</v>
      </c>
      <c r="AM9244" t="s">
        <v>53</v>
      </c>
      <c r="AN9244" t="s">
        <v>53</v>
      </c>
      <c r="AO9244" t="s">
        <v>53</v>
      </c>
      <c r="AP9244" t="s">
        <v>53</v>
      </c>
    </row>
    <row r="9245" spans="2:42" x14ac:dyDescent="0.2">
      <c r="B9245" t="s">
        <v>44</v>
      </c>
      <c r="C9245" t="str">
        <f>HYPERLINK("https://us2.cloudbeds.com/connect/8493803454333002#/reservations/9080486849393626?display=5AYT1994MX&amp;reservation_id=9080486849393626", "5AYT1994MX")</f>
        <v>5AYT1994MX</v>
      </c>
      <c r="D9245" t="s">
        <v>45</v>
      </c>
      <c r="E9245" t="s">
        <v>155</v>
      </c>
      <c r="F9245" t="s">
        <v>86</v>
      </c>
      <c r="G9245" t="s">
        <v>48</v>
      </c>
      <c r="H9245" t="s">
        <v>49</v>
      </c>
      <c r="I9245" t="s">
        <v>50</v>
      </c>
      <c r="J9245" t="s">
        <v>15947</v>
      </c>
      <c r="K9245" t="s">
        <v>15876</v>
      </c>
      <c r="L9245" t="s">
        <v>53</v>
      </c>
      <c r="N9245" t="s">
        <v>17679</v>
      </c>
      <c r="P9245" t="s">
        <v>55</v>
      </c>
      <c r="R9245" t="s">
        <v>53</v>
      </c>
      <c r="T9245" t="s">
        <v>17680</v>
      </c>
      <c r="U9245" t="s">
        <v>55</v>
      </c>
      <c r="V9245">
        <v>1</v>
      </c>
      <c r="W9245">
        <v>1</v>
      </c>
      <c r="X9245">
        <v>2</v>
      </c>
      <c r="Y9245">
        <v>0</v>
      </c>
      <c r="Z9245">
        <v>2</v>
      </c>
      <c r="AA9245">
        <v>145.59</v>
      </c>
      <c r="AB9245">
        <v>145.59</v>
      </c>
      <c r="AC9245">
        <v>133.87</v>
      </c>
      <c r="AD9245">
        <v>0</v>
      </c>
      <c r="AE9245">
        <v>11.72</v>
      </c>
      <c r="AF9245">
        <v>0</v>
      </c>
      <c r="AG9245">
        <v>0</v>
      </c>
      <c r="AH9245">
        <v>0</v>
      </c>
      <c r="AI9245">
        <v>26.21</v>
      </c>
      <c r="AJ9245">
        <v>145.59</v>
      </c>
      <c r="AK9245">
        <v>0</v>
      </c>
      <c r="AL9245" t="s">
        <v>53</v>
      </c>
      <c r="AM9245" t="s">
        <v>53</v>
      </c>
      <c r="AN9245" t="s">
        <v>53</v>
      </c>
      <c r="AO9245" t="s">
        <v>53</v>
      </c>
      <c r="AP9245" t="s">
        <v>53</v>
      </c>
    </row>
    <row r="9246" spans="2:42" x14ac:dyDescent="0.2">
      <c r="B9246" t="s">
        <v>44</v>
      </c>
      <c r="C9246" t="str">
        <f>HYPERLINK("https://us2.cloudbeds.com/connect/8493803454333002#/reservations/9080486849399863?display=5AQKT1BKMG&amp;reservation_id=9080486849399863", "5AQKT1BKMG")</f>
        <v>5AQKT1BKMG</v>
      </c>
      <c r="D9246" t="s">
        <v>45</v>
      </c>
      <c r="E9246" t="s">
        <v>85</v>
      </c>
      <c r="F9246" t="s">
        <v>86</v>
      </c>
      <c r="G9246" t="s">
        <v>48</v>
      </c>
      <c r="H9246" t="s">
        <v>49</v>
      </c>
      <c r="I9246" t="s">
        <v>8964</v>
      </c>
      <c r="J9246" t="s">
        <v>17096</v>
      </c>
      <c r="K9246" t="s">
        <v>17077</v>
      </c>
      <c r="L9246" t="s">
        <v>53</v>
      </c>
      <c r="N9246" t="s">
        <v>17681</v>
      </c>
      <c r="P9246" t="s">
        <v>55</v>
      </c>
      <c r="R9246" t="s">
        <v>53</v>
      </c>
      <c r="T9246" t="s">
        <v>17682</v>
      </c>
      <c r="U9246" t="s">
        <v>55</v>
      </c>
      <c r="V9246">
        <v>1</v>
      </c>
      <c r="W9246">
        <v>1</v>
      </c>
      <c r="X9246">
        <v>2</v>
      </c>
      <c r="Y9246">
        <v>0</v>
      </c>
      <c r="Z9246">
        <v>2</v>
      </c>
      <c r="AA9246">
        <v>0</v>
      </c>
      <c r="AB9246">
        <v>0</v>
      </c>
      <c r="AC9246">
        <v>285</v>
      </c>
      <c r="AD9246">
        <v>0</v>
      </c>
      <c r="AE9246">
        <v>0</v>
      </c>
      <c r="AF9246">
        <v>0</v>
      </c>
      <c r="AG9246">
        <v>0</v>
      </c>
      <c r="AH9246">
        <v>0</v>
      </c>
      <c r="AI9246">
        <v>42.75</v>
      </c>
      <c r="AJ9246">
        <v>285</v>
      </c>
      <c r="AK9246">
        <v>285</v>
      </c>
      <c r="AL9246" t="s">
        <v>53</v>
      </c>
      <c r="AM9246" t="s">
        <v>53</v>
      </c>
      <c r="AN9246" t="s">
        <v>53</v>
      </c>
      <c r="AO9246" t="s">
        <v>53</v>
      </c>
      <c r="AP9246" t="s">
        <v>53</v>
      </c>
    </row>
    <row r="9247" spans="2:42" x14ac:dyDescent="0.2">
      <c r="B9247" t="s">
        <v>44</v>
      </c>
      <c r="C9247" t="str">
        <f>HYPERLINK("https://us2.cloudbeds.com/connect/8493803454333002#/reservations/9080486849399891?display=5AQYX1HXPJ&amp;reservation_id=9080486849399891", "5AQYX1HXPJ")</f>
        <v>5AQYX1HXPJ</v>
      </c>
      <c r="D9247" t="s">
        <v>45</v>
      </c>
      <c r="E9247" t="s">
        <v>69</v>
      </c>
      <c r="F9247" t="s">
        <v>70</v>
      </c>
      <c r="G9247" t="s">
        <v>17683</v>
      </c>
      <c r="H9247" t="s">
        <v>49</v>
      </c>
      <c r="I9247" t="s">
        <v>50</v>
      </c>
      <c r="J9247" t="s">
        <v>16932</v>
      </c>
      <c r="K9247" t="s">
        <v>15625</v>
      </c>
      <c r="L9247" t="s">
        <v>53</v>
      </c>
      <c r="N9247" t="s">
        <v>17684</v>
      </c>
      <c r="P9247" t="s">
        <v>55</v>
      </c>
      <c r="R9247" t="s">
        <v>53</v>
      </c>
      <c r="T9247" t="s">
        <v>17685</v>
      </c>
      <c r="U9247" t="s">
        <v>55</v>
      </c>
      <c r="V9247">
        <v>2</v>
      </c>
      <c r="W9247">
        <v>2</v>
      </c>
      <c r="X9247">
        <v>2</v>
      </c>
      <c r="Y9247">
        <v>0</v>
      </c>
      <c r="Z9247">
        <v>2</v>
      </c>
      <c r="AA9247">
        <v>320.16000000000003</v>
      </c>
      <c r="AB9247">
        <v>514.12</v>
      </c>
      <c r="AC9247">
        <v>294.39999999999998</v>
      </c>
      <c r="AD9247">
        <v>5</v>
      </c>
      <c r="AE9247">
        <v>26.24</v>
      </c>
      <c r="AF9247">
        <v>0</v>
      </c>
      <c r="AG9247">
        <v>0</v>
      </c>
      <c r="AH9247">
        <v>0</v>
      </c>
      <c r="AI9247">
        <v>58.62</v>
      </c>
      <c r="AJ9247">
        <v>325.64</v>
      </c>
      <c r="AK9247">
        <v>-15.16</v>
      </c>
      <c r="AL9247" t="s">
        <v>53</v>
      </c>
      <c r="AM9247" t="s">
        <v>53</v>
      </c>
      <c r="AN9247" t="s">
        <v>17686</v>
      </c>
      <c r="AO9247" t="s">
        <v>53</v>
      </c>
      <c r="AP9247" t="s">
        <v>53</v>
      </c>
    </row>
    <row r="9248" spans="2:42" x14ac:dyDescent="0.2">
      <c r="B9248" t="s">
        <v>44</v>
      </c>
      <c r="C9248" t="str">
        <f>HYPERLINK("https://us2.cloudbeds.com/connect/8493803454333002#/reservations/247270053019840?display=5AQVAWC2Z8&amp;reservation_id=247270053019840", "5AQVAWC2Z8")</f>
        <v>5AQVAWC2Z8</v>
      </c>
      <c r="D9248" t="s">
        <v>45</v>
      </c>
      <c r="E9248" t="s">
        <v>155</v>
      </c>
      <c r="F9248" t="s">
        <v>86</v>
      </c>
      <c r="G9248" t="s">
        <v>48</v>
      </c>
      <c r="H9248" t="s">
        <v>3957</v>
      </c>
      <c r="I9248" t="s">
        <v>3975</v>
      </c>
      <c r="J9248" t="s">
        <v>15867</v>
      </c>
      <c r="K9248" t="s">
        <v>17216</v>
      </c>
      <c r="L9248" t="s">
        <v>53</v>
      </c>
      <c r="P9248" t="s">
        <v>55</v>
      </c>
      <c r="R9248" t="s">
        <v>56</v>
      </c>
      <c r="T9248" t="s">
        <v>17687</v>
      </c>
      <c r="U9248" t="s">
        <v>58</v>
      </c>
      <c r="V9248">
        <v>2</v>
      </c>
      <c r="W9248">
        <v>1</v>
      </c>
      <c r="X9248">
        <v>4</v>
      </c>
      <c r="Y9248">
        <v>0</v>
      </c>
      <c r="Z9248">
        <v>4</v>
      </c>
      <c r="AA9248">
        <v>0</v>
      </c>
      <c r="AB9248">
        <v>556.07000000000005</v>
      </c>
      <c r="AC9248">
        <v>485</v>
      </c>
      <c r="AD9248">
        <v>0</v>
      </c>
      <c r="AE9248">
        <v>71.069999999999993</v>
      </c>
      <c r="AF9248">
        <v>0</v>
      </c>
      <c r="AG9248">
        <v>0</v>
      </c>
      <c r="AH9248">
        <v>0</v>
      </c>
      <c r="AI9248">
        <v>0</v>
      </c>
      <c r="AJ9248">
        <v>556.07000000000005</v>
      </c>
      <c r="AK9248">
        <v>0</v>
      </c>
      <c r="AL9248" t="s">
        <v>53</v>
      </c>
      <c r="AM9248" t="s">
        <v>53</v>
      </c>
      <c r="AN9248" t="s">
        <v>17688</v>
      </c>
      <c r="AO9248" t="s">
        <v>53</v>
      </c>
      <c r="AP9248" t="s">
        <v>53</v>
      </c>
    </row>
    <row r="9249" spans="2:42" x14ac:dyDescent="0.2">
      <c r="B9249" t="s">
        <v>44</v>
      </c>
      <c r="C9249" t="str">
        <f>HYPERLINK("https://us2.cloudbeds.com/connect/8493803454333002#/reservations/247277066805441?display=5AR3P6JF8A&amp;reservation_id=247277066805441", "5AR3P6JF8A")</f>
        <v>5AR3P6JF8A</v>
      </c>
      <c r="D9249" t="s">
        <v>45</v>
      </c>
      <c r="E9249" t="s">
        <v>85</v>
      </c>
      <c r="F9249" t="s">
        <v>86</v>
      </c>
      <c r="G9249" t="s">
        <v>48</v>
      </c>
      <c r="H9249" t="s">
        <v>3957</v>
      </c>
      <c r="I9249" t="s">
        <v>3975</v>
      </c>
      <c r="J9249" t="s">
        <v>15876</v>
      </c>
      <c r="K9249" t="s">
        <v>16163</v>
      </c>
      <c r="L9249" t="s">
        <v>53</v>
      </c>
      <c r="P9249" t="s">
        <v>55</v>
      </c>
      <c r="R9249" t="s">
        <v>56</v>
      </c>
      <c r="T9249" t="s">
        <v>17689</v>
      </c>
      <c r="U9249" t="s">
        <v>58</v>
      </c>
      <c r="V9249">
        <v>1</v>
      </c>
      <c r="W9249">
        <v>1</v>
      </c>
      <c r="X9249">
        <v>2</v>
      </c>
      <c r="Y9249">
        <v>0</v>
      </c>
      <c r="Z9249">
        <v>2</v>
      </c>
      <c r="AA9249">
        <v>229.3</v>
      </c>
      <c r="AB9249">
        <v>229.3</v>
      </c>
      <c r="AC9249">
        <v>200</v>
      </c>
      <c r="AD9249">
        <v>0</v>
      </c>
      <c r="AE9249">
        <v>29.3</v>
      </c>
      <c r="AF9249">
        <v>0</v>
      </c>
      <c r="AG9249">
        <v>0</v>
      </c>
      <c r="AH9249">
        <v>0</v>
      </c>
      <c r="AI9249">
        <v>0</v>
      </c>
      <c r="AJ9249">
        <v>229.3</v>
      </c>
      <c r="AK9249">
        <v>0</v>
      </c>
      <c r="AL9249" t="s">
        <v>53</v>
      </c>
      <c r="AM9249" t="s">
        <v>53</v>
      </c>
      <c r="AN9249" t="s">
        <v>53</v>
      </c>
      <c r="AO9249" t="s">
        <v>53</v>
      </c>
      <c r="AP9249" t="s">
        <v>53</v>
      </c>
    </row>
    <row r="9250" spans="2:42" x14ac:dyDescent="0.2">
      <c r="B9250" t="s">
        <v>44</v>
      </c>
      <c r="C9250" t="str">
        <f>HYPERLINK("https://us2.cloudbeds.com/connect/8493803454333002#/reservations/247286428184768?display=5ARB0DBY5P&amp;reservation_id=247286428184768", "5ARB0DBY5P")</f>
        <v>5ARB0DBY5P</v>
      </c>
      <c r="D9250" t="s">
        <v>45</v>
      </c>
      <c r="E9250" t="s">
        <v>98</v>
      </c>
      <c r="F9250" t="s">
        <v>86</v>
      </c>
      <c r="G9250" t="s">
        <v>48</v>
      </c>
      <c r="H9250" t="s">
        <v>3957</v>
      </c>
      <c r="I9250" t="s">
        <v>3975</v>
      </c>
      <c r="J9250" t="s">
        <v>16163</v>
      </c>
      <c r="K9250" t="s">
        <v>14131</v>
      </c>
      <c r="L9250" t="s">
        <v>53</v>
      </c>
      <c r="P9250" t="s">
        <v>55</v>
      </c>
      <c r="R9250" t="s">
        <v>56</v>
      </c>
      <c r="T9250" t="s">
        <v>17690</v>
      </c>
      <c r="U9250" t="s">
        <v>58</v>
      </c>
      <c r="V9250">
        <v>2</v>
      </c>
      <c r="W9250">
        <v>1</v>
      </c>
      <c r="X9250">
        <v>3</v>
      </c>
      <c r="Y9250">
        <v>1</v>
      </c>
      <c r="Z9250">
        <v>4</v>
      </c>
      <c r="AA9250">
        <v>474.66</v>
      </c>
      <c r="AB9250">
        <v>474.66</v>
      </c>
      <c r="AC9250">
        <v>414</v>
      </c>
      <c r="AD9250">
        <v>0</v>
      </c>
      <c r="AE9250">
        <v>60.66</v>
      </c>
      <c r="AF9250">
        <v>0</v>
      </c>
      <c r="AG9250">
        <v>0</v>
      </c>
      <c r="AH9250">
        <v>0</v>
      </c>
      <c r="AI9250">
        <v>0</v>
      </c>
      <c r="AJ9250">
        <v>474.66</v>
      </c>
      <c r="AK9250">
        <v>0</v>
      </c>
      <c r="AL9250" t="s">
        <v>53</v>
      </c>
      <c r="AM9250" t="s">
        <v>53</v>
      </c>
      <c r="AN9250" t="s">
        <v>17691</v>
      </c>
      <c r="AO9250" t="s">
        <v>53</v>
      </c>
      <c r="AP9250" t="s">
        <v>53</v>
      </c>
    </row>
    <row r="9251" spans="2:42" x14ac:dyDescent="0.2">
      <c r="B9251" t="s">
        <v>44</v>
      </c>
      <c r="C9251" t="str">
        <f>HYPERLINK("https://us2.cloudbeds.com/connect/8493803454333002#/reservations/247289468723392?display=5ARDC37EV6&amp;reservation_id=247289468723392", "5ARDC37EV6")</f>
        <v>5ARDC37EV6</v>
      </c>
      <c r="D9251" t="s">
        <v>45</v>
      </c>
      <c r="E9251" t="s">
        <v>305</v>
      </c>
      <c r="F9251" t="s">
        <v>61</v>
      </c>
      <c r="G9251" t="s">
        <v>48</v>
      </c>
      <c r="H9251" t="s">
        <v>3957</v>
      </c>
      <c r="I9251" t="s">
        <v>3975</v>
      </c>
      <c r="J9251" t="s">
        <v>15867</v>
      </c>
      <c r="K9251" t="s">
        <v>17216</v>
      </c>
      <c r="L9251" t="s">
        <v>53</v>
      </c>
      <c r="P9251" t="s">
        <v>55</v>
      </c>
      <c r="R9251" t="s">
        <v>56</v>
      </c>
      <c r="T9251" t="s">
        <v>17692</v>
      </c>
      <c r="U9251" t="s">
        <v>58</v>
      </c>
      <c r="V9251">
        <v>2</v>
      </c>
      <c r="W9251">
        <v>1</v>
      </c>
      <c r="X9251">
        <v>2</v>
      </c>
      <c r="Y9251">
        <v>0</v>
      </c>
      <c r="Z9251">
        <v>2</v>
      </c>
      <c r="AA9251">
        <v>416.19</v>
      </c>
      <c r="AB9251">
        <v>416.19</v>
      </c>
      <c r="AC9251">
        <v>363</v>
      </c>
      <c r="AD9251">
        <v>0</v>
      </c>
      <c r="AE9251">
        <v>53.19</v>
      </c>
      <c r="AF9251">
        <v>0</v>
      </c>
      <c r="AG9251">
        <v>0</v>
      </c>
      <c r="AH9251">
        <v>0</v>
      </c>
      <c r="AI9251">
        <v>0</v>
      </c>
      <c r="AJ9251">
        <v>416.19</v>
      </c>
      <c r="AK9251">
        <v>0</v>
      </c>
      <c r="AL9251" t="s">
        <v>53</v>
      </c>
      <c r="AM9251" t="s">
        <v>53</v>
      </c>
      <c r="AN9251" t="s">
        <v>17693</v>
      </c>
      <c r="AO9251" t="s">
        <v>53</v>
      </c>
      <c r="AP9251" t="s">
        <v>53</v>
      </c>
    </row>
    <row r="9252" spans="2:42" x14ac:dyDescent="0.2">
      <c r="B9252" t="s">
        <v>44</v>
      </c>
      <c r="C9252" t="str">
        <f>HYPERLINK("https://us2.cloudbeds.com/connect/8493803454333002#/reservations/247295546241216?display=5ARX2CVMMB&amp;reservation_id=247295546241216", "5ARX2CVMMB")</f>
        <v>5ARX2CVMMB</v>
      </c>
      <c r="D9252" t="s">
        <v>45</v>
      </c>
      <c r="E9252" t="s">
        <v>7642</v>
      </c>
      <c r="F9252" t="s">
        <v>61</v>
      </c>
      <c r="G9252" t="s">
        <v>12517</v>
      </c>
      <c r="H9252" t="s">
        <v>3957</v>
      </c>
      <c r="I9252" t="s">
        <v>3958</v>
      </c>
      <c r="J9252" t="s">
        <v>16163</v>
      </c>
      <c r="K9252" t="s">
        <v>14130</v>
      </c>
      <c r="L9252" t="s">
        <v>53</v>
      </c>
      <c r="P9252" t="s">
        <v>55</v>
      </c>
      <c r="R9252" t="s">
        <v>56</v>
      </c>
      <c r="T9252" t="s">
        <v>17694</v>
      </c>
      <c r="U9252" t="s">
        <v>58</v>
      </c>
      <c r="V9252">
        <v>2</v>
      </c>
      <c r="W9252">
        <v>2</v>
      </c>
      <c r="X9252">
        <v>2</v>
      </c>
      <c r="Y9252">
        <v>0</v>
      </c>
      <c r="Z9252">
        <v>2</v>
      </c>
      <c r="AA9252">
        <v>328.92</v>
      </c>
      <c r="AB9252">
        <v>328.92</v>
      </c>
      <c r="AC9252">
        <v>286.89999999999998</v>
      </c>
      <c r="AD9252">
        <v>0</v>
      </c>
      <c r="AE9252">
        <v>42.02</v>
      </c>
      <c r="AF9252">
        <v>0</v>
      </c>
      <c r="AG9252">
        <v>0</v>
      </c>
      <c r="AH9252">
        <v>0</v>
      </c>
      <c r="AI9252">
        <v>0</v>
      </c>
      <c r="AJ9252">
        <v>328.92</v>
      </c>
      <c r="AK9252">
        <v>0</v>
      </c>
      <c r="AL9252" t="s">
        <v>53</v>
      </c>
      <c r="AM9252" t="s">
        <v>53</v>
      </c>
      <c r="AN9252" t="s">
        <v>17695</v>
      </c>
      <c r="AO9252" t="s">
        <v>53</v>
      </c>
      <c r="AP9252" t="s">
        <v>53</v>
      </c>
    </row>
    <row r="9253" spans="2:42" x14ac:dyDescent="0.2">
      <c r="B9253" t="s">
        <v>44</v>
      </c>
      <c r="C9253" t="str">
        <f>HYPERLINK("https://us2.cloudbeds.com/connect/8493803454333002#/reservations/9080486849403405?display=5AS91S86XF&amp;reservation_id=9080486849403405", "5AS91S86XF")</f>
        <v>5AS91S86XF</v>
      </c>
      <c r="D9253" t="s">
        <v>45</v>
      </c>
      <c r="E9253" t="s">
        <v>406</v>
      </c>
      <c r="F9253" t="s">
        <v>61</v>
      </c>
      <c r="G9253" t="s">
        <v>48</v>
      </c>
      <c r="H9253" t="s">
        <v>49</v>
      </c>
      <c r="I9253" t="s">
        <v>62</v>
      </c>
      <c r="J9253" t="s">
        <v>16932</v>
      </c>
      <c r="K9253" t="s">
        <v>17289</v>
      </c>
      <c r="L9253" t="s">
        <v>53</v>
      </c>
      <c r="N9253" t="s">
        <v>17696</v>
      </c>
      <c r="P9253" t="s">
        <v>55</v>
      </c>
      <c r="R9253" t="s">
        <v>56</v>
      </c>
      <c r="T9253" t="s">
        <v>17697</v>
      </c>
      <c r="U9253" t="s">
        <v>55</v>
      </c>
      <c r="V9253">
        <v>3</v>
      </c>
      <c r="W9253">
        <v>1</v>
      </c>
      <c r="X9253">
        <v>2</v>
      </c>
      <c r="Y9253">
        <v>0</v>
      </c>
      <c r="Z9253">
        <v>2</v>
      </c>
      <c r="AA9253">
        <v>664.7</v>
      </c>
      <c r="AB9253">
        <v>664.7</v>
      </c>
      <c r="AC9253">
        <v>664.7</v>
      </c>
      <c r="AD9253">
        <v>0</v>
      </c>
      <c r="AE9253">
        <v>0</v>
      </c>
      <c r="AF9253">
        <v>0</v>
      </c>
      <c r="AG9253">
        <v>0</v>
      </c>
      <c r="AH9253">
        <v>0</v>
      </c>
      <c r="AI9253">
        <v>119.65</v>
      </c>
      <c r="AJ9253">
        <v>664.7</v>
      </c>
      <c r="AK9253">
        <v>0</v>
      </c>
      <c r="AL9253" t="s">
        <v>53</v>
      </c>
      <c r="AM9253" t="s">
        <v>53</v>
      </c>
      <c r="AN9253" t="s">
        <v>53</v>
      </c>
      <c r="AO9253" t="s">
        <v>53</v>
      </c>
      <c r="AP9253" t="s">
        <v>53</v>
      </c>
    </row>
    <row r="9254" spans="2:42" x14ac:dyDescent="0.2">
      <c r="B9254" t="s">
        <v>44</v>
      </c>
      <c r="C9254" t="str">
        <f>HYPERLINK("https://us2.cloudbeds.com/connect/8493803454333002#/reservations/9080486849405193?display=5AT0YAMW6P&amp;reservation_id=9080486849405193", "5AT0YAMW6P")</f>
        <v>5AT0YAMW6P</v>
      </c>
      <c r="D9254" t="s">
        <v>45</v>
      </c>
      <c r="E9254" t="s">
        <v>113</v>
      </c>
      <c r="F9254" t="s">
        <v>61</v>
      </c>
      <c r="G9254" t="s">
        <v>48</v>
      </c>
      <c r="H9254" t="s">
        <v>49</v>
      </c>
      <c r="I9254" t="s">
        <v>50</v>
      </c>
      <c r="J9254" t="s">
        <v>17096</v>
      </c>
      <c r="K9254" t="s">
        <v>17078</v>
      </c>
      <c r="L9254" t="s">
        <v>53</v>
      </c>
      <c r="N9254" t="s">
        <v>17698</v>
      </c>
      <c r="P9254" t="s">
        <v>55</v>
      </c>
      <c r="R9254" t="s">
        <v>53</v>
      </c>
      <c r="T9254" t="s">
        <v>17699</v>
      </c>
      <c r="U9254" t="s">
        <v>55</v>
      </c>
      <c r="V9254">
        <v>2</v>
      </c>
      <c r="W9254">
        <v>1</v>
      </c>
      <c r="X9254">
        <v>2</v>
      </c>
      <c r="Y9254">
        <v>0</v>
      </c>
      <c r="Z9254">
        <v>2</v>
      </c>
      <c r="AA9254">
        <v>418.92</v>
      </c>
      <c r="AB9254">
        <v>418.92</v>
      </c>
      <c r="AC9254">
        <v>385.22</v>
      </c>
      <c r="AD9254">
        <v>0</v>
      </c>
      <c r="AE9254">
        <v>33.700000000000003</v>
      </c>
      <c r="AF9254">
        <v>0</v>
      </c>
      <c r="AG9254">
        <v>0</v>
      </c>
      <c r="AH9254">
        <v>0</v>
      </c>
      <c r="AI9254">
        <v>75.41</v>
      </c>
      <c r="AJ9254">
        <v>418.92</v>
      </c>
      <c r="AK9254">
        <v>0</v>
      </c>
      <c r="AL9254" t="s">
        <v>53</v>
      </c>
      <c r="AM9254" t="s">
        <v>53</v>
      </c>
      <c r="AN9254" t="s">
        <v>17700</v>
      </c>
      <c r="AO9254" t="s">
        <v>53</v>
      </c>
      <c r="AP9254" t="s">
        <v>53</v>
      </c>
    </row>
    <row r="9255" spans="2:42" x14ac:dyDescent="0.2">
      <c r="B9255" t="s">
        <v>44</v>
      </c>
      <c r="C9255" t="str">
        <f>HYPERLINK("https://us2.cloudbeds.com/connect/8493803454333002#/reservations/9080486849405683?display=5AT8WYSWTU&amp;reservation_id=9080486849405683", "5AT8WYSWTU")</f>
        <v>5AT8WYSWTU</v>
      </c>
      <c r="D9255" t="s">
        <v>45</v>
      </c>
      <c r="E9255" t="s">
        <v>105</v>
      </c>
      <c r="F9255" t="s">
        <v>47</v>
      </c>
      <c r="G9255" t="s">
        <v>48</v>
      </c>
      <c r="H9255" t="s">
        <v>49</v>
      </c>
      <c r="I9255" t="s">
        <v>62</v>
      </c>
      <c r="J9255" t="s">
        <v>15876</v>
      </c>
      <c r="K9255" t="s">
        <v>16163</v>
      </c>
      <c r="L9255" t="s">
        <v>53</v>
      </c>
      <c r="N9255" t="s">
        <v>17701</v>
      </c>
      <c r="P9255" t="s">
        <v>55</v>
      </c>
      <c r="R9255" t="s">
        <v>56</v>
      </c>
      <c r="T9255" t="s">
        <v>17702</v>
      </c>
      <c r="U9255" t="s">
        <v>55</v>
      </c>
      <c r="V9255">
        <v>1</v>
      </c>
      <c r="W9255">
        <v>1</v>
      </c>
      <c r="X9255">
        <v>2</v>
      </c>
      <c r="Y9255">
        <v>0</v>
      </c>
      <c r="Z9255">
        <v>2</v>
      </c>
      <c r="AA9255">
        <v>151.80000000000001</v>
      </c>
      <c r="AB9255">
        <v>151.80000000000001</v>
      </c>
      <c r="AC9255">
        <v>151.80000000000001</v>
      </c>
      <c r="AD9255">
        <v>0</v>
      </c>
      <c r="AE9255">
        <v>0</v>
      </c>
      <c r="AF9255">
        <v>0</v>
      </c>
      <c r="AG9255">
        <v>0</v>
      </c>
      <c r="AH9255">
        <v>0</v>
      </c>
      <c r="AI9255">
        <v>27.32</v>
      </c>
      <c r="AJ9255">
        <v>151.80000000000001</v>
      </c>
      <c r="AK9255">
        <v>0</v>
      </c>
      <c r="AL9255" t="s">
        <v>53</v>
      </c>
      <c r="AM9255" t="s">
        <v>53</v>
      </c>
      <c r="AN9255" t="s">
        <v>53</v>
      </c>
      <c r="AO9255" t="s">
        <v>53</v>
      </c>
      <c r="AP9255" t="s">
        <v>53</v>
      </c>
    </row>
    <row r="9256" spans="2:42" x14ac:dyDescent="0.2">
      <c r="B9256" t="s">
        <v>44</v>
      </c>
      <c r="C9256" t="str">
        <f>HYPERLINK("https://us2.cloudbeds.com/connect/8493803454333002#/reservations/9080486849405826?display=5ATBHKBJ9T&amp;reservation_id=9080486849405826", "5ATBHKBJ9T")</f>
        <v>5ATBHKBJ9T</v>
      </c>
      <c r="D9256" t="s">
        <v>45</v>
      </c>
      <c r="E9256" t="s">
        <v>155</v>
      </c>
      <c r="F9256" t="s">
        <v>86</v>
      </c>
      <c r="G9256" t="s">
        <v>48</v>
      </c>
      <c r="H9256" t="s">
        <v>49</v>
      </c>
      <c r="I9256" t="s">
        <v>50</v>
      </c>
      <c r="J9256" t="s">
        <v>15876</v>
      </c>
      <c r="K9256" t="s">
        <v>16163</v>
      </c>
      <c r="L9256" t="s">
        <v>53</v>
      </c>
      <c r="N9256" t="s">
        <v>17703</v>
      </c>
      <c r="P9256" t="s">
        <v>55</v>
      </c>
      <c r="R9256" t="s">
        <v>53</v>
      </c>
      <c r="T9256" t="s">
        <v>17704</v>
      </c>
      <c r="U9256" t="s">
        <v>55</v>
      </c>
      <c r="V9256">
        <v>1</v>
      </c>
      <c r="W9256">
        <v>1</v>
      </c>
      <c r="X9256">
        <v>2</v>
      </c>
      <c r="Y9256">
        <v>2</v>
      </c>
      <c r="Z9256">
        <v>4</v>
      </c>
      <c r="AA9256">
        <v>154.18</v>
      </c>
      <c r="AB9256">
        <v>154.18</v>
      </c>
      <c r="AC9256">
        <v>141.78</v>
      </c>
      <c r="AD9256">
        <v>0</v>
      </c>
      <c r="AE9256">
        <v>12.4</v>
      </c>
      <c r="AF9256">
        <v>0</v>
      </c>
      <c r="AG9256">
        <v>0</v>
      </c>
      <c r="AH9256">
        <v>0</v>
      </c>
      <c r="AI9256">
        <v>27.75</v>
      </c>
      <c r="AJ9256">
        <v>154.18</v>
      </c>
      <c r="AK9256">
        <v>0</v>
      </c>
      <c r="AL9256" t="s">
        <v>53</v>
      </c>
      <c r="AM9256" t="s">
        <v>53</v>
      </c>
      <c r="AN9256" t="s">
        <v>53</v>
      </c>
      <c r="AO9256" t="s">
        <v>53</v>
      </c>
      <c r="AP9256" t="s">
        <v>53</v>
      </c>
    </row>
    <row r="9257" spans="2:42" x14ac:dyDescent="0.2">
      <c r="B9257" t="s">
        <v>44</v>
      </c>
      <c r="C9257" t="str">
        <f>HYPERLINK("https://us2.cloudbeds.com/connect/8493803454333002#/reservations/9080486849405994?display=5ATF7MD6G5&amp;reservation_id=9080486849405994", "5ATF7MD6G5")</f>
        <v>5ATF7MD6G5</v>
      </c>
      <c r="D9257" t="s">
        <v>45</v>
      </c>
      <c r="E9257" t="s">
        <v>265</v>
      </c>
      <c r="F9257" t="s">
        <v>61</v>
      </c>
      <c r="G9257" t="s">
        <v>48</v>
      </c>
      <c r="H9257" t="s">
        <v>49</v>
      </c>
      <c r="I9257" t="s">
        <v>62</v>
      </c>
      <c r="J9257" t="s">
        <v>15876</v>
      </c>
      <c r="K9257" t="s">
        <v>16163</v>
      </c>
      <c r="L9257" t="s">
        <v>53</v>
      </c>
      <c r="N9257" t="s">
        <v>17705</v>
      </c>
      <c r="P9257" t="s">
        <v>55</v>
      </c>
      <c r="R9257" t="s">
        <v>56</v>
      </c>
      <c r="T9257" t="s">
        <v>17706</v>
      </c>
      <c r="U9257" t="s">
        <v>55</v>
      </c>
      <c r="V9257">
        <v>1</v>
      </c>
      <c r="W9257">
        <v>1</v>
      </c>
      <c r="X9257">
        <v>2</v>
      </c>
      <c r="Y9257">
        <v>0</v>
      </c>
      <c r="Z9257">
        <v>2</v>
      </c>
      <c r="AA9257">
        <v>174.8</v>
      </c>
      <c r="AB9257">
        <v>174.8</v>
      </c>
      <c r="AC9257">
        <v>174.8</v>
      </c>
      <c r="AD9257">
        <v>0</v>
      </c>
      <c r="AE9257">
        <v>0</v>
      </c>
      <c r="AF9257">
        <v>0</v>
      </c>
      <c r="AG9257">
        <v>0</v>
      </c>
      <c r="AH9257">
        <v>0</v>
      </c>
      <c r="AI9257">
        <v>31.46</v>
      </c>
      <c r="AJ9257">
        <v>174.8</v>
      </c>
      <c r="AK9257">
        <v>0</v>
      </c>
      <c r="AL9257" t="s">
        <v>53</v>
      </c>
      <c r="AM9257" t="s">
        <v>53</v>
      </c>
      <c r="AN9257" t="s">
        <v>17707</v>
      </c>
      <c r="AO9257" t="s">
        <v>53</v>
      </c>
      <c r="AP9257" t="s">
        <v>53</v>
      </c>
    </row>
    <row r="9258" spans="2:42" x14ac:dyDescent="0.2">
      <c r="B9258" t="s">
        <v>44</v>
      </c>
      <c r="C9258" t="str">
        <f>HYPERLINK("https://us2.cloudbeds.com/connect/8493803454333002#/reservations/9080486849406163?display=5ATXHCMRG4&amp;reservation_id=9080486849406163", "5ATXHCMRG4")</f>
        <v>5ATXHCMRG4</v>
      </c>
      <c r="D9258" t="s">
        <v>45</v>
      </c>
      <c r="E9258" t="s">
        <v>265</v>
      </c>
      <c r="F9258" t="s">
        <v>61</v>
      </c>
      <c r="G9258" t="s">
        <v>48</v>
      </c>
      <c r="H9258" t="s">
        <v>49</v>
      </c>
      <c r="I9258" t="s">
        <v>50</v>
      </c>
      <c r="J9258" t="s">
        <v>16163</v>
      </c>
      <c r="K9258" t="s">
        <v>14130</v>
      </c>
      <c r="L9258" t="s">
        <v>53</v>
      </c>
      <c r="N9258" t="s">
        <v>17708</v>
      </c>
      <c r="P9258" t="s">
        <v>55</v>
      </c>
      <c r="R9258" t="s">
        <v>53</v>
      </c>
      <c r="T9258" t="s">
        <v>17709</v>
      </c>
      <c r="U9258" t="s">
        <v>55</v>
      </c>
      <c r="V9258">
        <v>1</v>
      </c>
      <c r="W9258">
        <v>1</v>
      </c>
      <c r="X9258">
        <v>2</v>
      </c>
      <c r="Y9258">
        <v>0</v>
      </c>
      <c r="Z9258">
        <v>2</v>
      </c>
      <c r="AA9258">
        <v>140.49</v>
      </c>
      <c r="AB9258">
        <v>140.49</v>
      </c>
      <c r="AC9258">
        <v>129.19</v>
      </c>
      <c r="AD9258">
        <v>0</v>
      </c>
      <c r="AE9258">
        <v>11.3</v>
      </c>
      <c r="AF9258">
        <v>0</v>
      </c>
      <c r="AG9258">
        <v>0</v>
      </c>
      <c r="AH9258">
        <v>0</v>
      </c>
      <c r="AI9258">
        <v>25.29</v>
      </c>
      <c r="AJ9258">
        <v>140.49</v>
      </c>
      <c r="AK9258">
        <v>0</v>
      </c>
      <c r="AL9258" t="s">
        <v>53</v>
      </c>
      <c r="AM9258" t="s">
        <v>53</v>
      </c>
      <c r="AN9258" t="s">
        <v>53</v>
      </c>
      <c r="AO9258" t="s">
        <v>53</v>
      </c>
      <c r="AP9258" t="s">
        <v>53</v>
      </c>
    </row>
    <row r="9259" spans="2:42" x14ac:dyDescent="0.2">
      <c r="B9259" t="s">
        <v>44</v>
      </c>
      <c r="C9259" t="str">
        <f>HYPERLINK("https://us2.cloudbeds.com/connect/8493803454333002#/reservations/9080486849406479?display=5ATPB8JGHK&amp;reservation_id=9080486849406479", "5ATPB8JGHK")</f>
        <v>5ATPB8JGHK</v>
      </c>
      <c r="D9259" t="s">
        <v>45</v>
      </c>
      <c r="E9259" t="s">
        <v>185</v>
      </c>
      <c r="F9259" t="s">
        <v>47</v>
      </c>
      <c r="G9259" t="s">
        <v>48</v>
      </c>
      <c r="H9259" t="s">
        <v>49</v>
      </c>
      <c r="I9259" t="s">
        <v>50</v>
      </c>
      <c r="J9259" t="s">
        <v>15876</v>
      </c>
      <c r="K9259" t="s">
        <v>14130</v>
      </c>
      <c r="L9259" t="s">
        <v>53</v>
      </c>
      <c r="N9259" t="s">
        <v>17710</v>
      </c>
      <c r="P9259" t="s">
        <v>55</v>
      </c>
      <c r="R9259" t="s">
        <v>53</v>
      </c>
      <c r="T9259" t="s">
        <v>17711</v>
      </c>
      <c r="U9259" t="s">
        <v>55</v>
      </c>
      <c r="V9259">
        <v>2</v>
      </c>
      <c r="W9259">
        <v>1</v>
      </c>
      <c r="X9259">
        <v>2</v>
      </c>
      <c r="Y9259">
        <v>0</v>
      </c>
      <c r="Z9259">
        <v>2</v>
      </c>
      <c r="AA9259">
        <v>257.42</v>
      </c>
      <c r="AB9259">
        <v>257.42</v>
      </c>
      <c r="AC9259">
        <v>236.7</v>
      </c>
      <c r="AD9259">
        <v>0</v>
      </c>
      <c r="AE9259">
        <v>20.72</v>
      </c>
      <c r="AF9259">
        <v>0</v>
      </c>
      <c r="AG9259">
        <v>0</v>
      </c>
      <c r="AH9259">
        <v>0</v>
      </c>
      <c r="AI9259">
        <v>46.34</v>
      </c>
      <c r="AJ9259">
        <v>257.42</v>
      </c>
      <c r="AK9259">
        <v>0</v>
      </c>
      <c r="AL9259" t="s">
        <v>53</v>
      </c>
      <c r="AM9259" t="s">
        <v>53</v>
      </c>
      <c r="AN9259" t="s">
        <v>17712</v>
      </c>
      <c r="AO9259" t="s">
        <v>53</v>
      </c>
      <c r="AP9259" t="s">
        <v>53</v>
      </c>
    </row>
    <row r="9260" spans="2:42" x14ac:dyDescent="0.2">
      <c r="B9260" t="s">
        <v>44</v>
      </c>
      <c r="C9260" t="str">
        <f>HYPERLINK("https://us2.cloudbeds.com/connect/8493803454333002#/reservations/247393733992576?display=5ATS3AEN33&amp;reservation_id=247393733992576", "5ATS3AEN33")</f>
        <v>5ATS3AEN33</v>
      </c>
      <c r="D9260" t="s">
        <v>45</v>
      </c>
      <c r="E9260" t="s">
        <v>213</v>
      </c>
      <c r="F9260" t="s">
        <v>86</v>
      </c>
      <c r="G9260" t="s">
        <v>3974</v>
      </c>
      <c r="H9260" t="s">
        <v>3957</v>
      </c>
      <c r="I9260" t="s">
        <v>3975</v>
      </c>
      <c r="J9260" t="s">
        <v>14806</v>
      </c>
      <c r="K9260" t="s">
        <v>15548</v>
      </c>
      <c r="L9260" t="s">
        <v>53</v>
      </c>
      <c r="P9260" t="s">
        <v>58</v>
      </c>
      <c r="R9260" t="s">
        <v>56</v>
      </c>
      <c r="T9260" t="s">
        <v>17713</v>
      </c>
      <c r="U9260" t="s">
        <v>58</v>
      </c>
      <c r="V9260">
        <v>1</v>
      </c>
      <c r="W9260">
        <v>1</v>
      </c>
      <c r="X9260">
        <v>2</v>
      </c>
      <c r="Y9260">
        <v>0</v>
      </c>
      <c r="Z9260">
        <v>2</v>
      </c>
      <c r="AA9260">
        <v>220.02</v>
      </c>
      <c r="AB9260">
        <v>220.02</v>
      </c>
      <c r="AC9260">
        <v>191.9</v>
      </c>
      <c r="AD9260">
        <v>0</v>
      </c>
      <c r="AE9260">
        <v>28.12</v>
      </c>
      <c r="AF9260">
        <v>0</v>
      </c>
      <c r="AG9260">
        <v>0</v>
      </c>
      <c r="AH9260">
        <v>0</v>
      </c>
      <c r="AI9260">
        <v>0</v>
      </c>
      <c r="AJ9260">
        <v>220.02</v>
      </c>
      <c r="AK9260">
        <v>0</v>
      </c>
      <c r="AL9260" t="s">
        <v>53</v>
      </c>
      <c r="AM9260" t="s">
        <v>53</v>
      </c>
      <c r="AN9260" t="s">
        <v>53</v>
      </c>
      <c r="AO9260" t="s">
        <v>53</v>
      </c>
      <c r="AP9260" t="s">
        <v>53</v>
      </c>
    </row>
    <row r="9261" spans="2:42" x14ac:dyDescent="0.2">
      <c r="B9261" t="s">
        <v>44</v>
      </c>
      <c r="C9261" t="str">
        <f>HYPERLINK("https://us2.cloudbeds.com/connect/8493803454333002#/reservations/247396521013440?display=5ATU8HX029&amp;reservation_id=247396521013440", "5ATU8HX029")</f>
        <v>5ATU8HX029</v>
      </c>
      <c r="D9261" t="s">
        <v>45</v>
      </c>
      <c r="E9261" t="s">
        <v>165</v>
      </c>
      <c r="F9261" t="s">
        <v>61</v>
      </c>
      <c r="G9261" t="s">
        <v>48</v>
      </c>
      <c r="H9261" t="s">
        <v>3957</v>
      </c>
      <c r="I9261" t="s">
        <v>3975</v>
      </c>
      <c r="J9261" t="s">
        <v>16932</v>
      </c>
      <c r="K9261" t="s">
        <v>17216</v>
      </c>
      <c r="L9261" t="s">
        <v>53</v>
      </c>
      <c r="P9261" t="s">
        <v>55</v>
      </c>
      <c r="R9261" t="s">
        <v>56</v>
      </c>
      <c r="T9261" t="s">
        <v>17714</v>
      </c>
      <c r="U9261" t="s">
        <v>58</v>
      </c>
      <c r="V9261">
        <v>1</v>
      </c>
      <c r="W9261">
        <v>1</v>
      </c>
      <c r="X9261">
        <v>2</v>
      </c>
      <c r="Y9261">
        <v>0</v>
      </c>
      <c r="Z9261">
        <v>2</v>
      </c>
      <c r="AA9261">
        <v>0</v>
      </c>
      <c r="AB9261">
        <v>213.25</v>
      </c>
      <c r="AC9261">
        <v>186</v>
      </c>
      <c r="AD9261">
        <v>0</v>
      </c>
      <c r="AE9261">
        <v>27.25</v>
      </c>
      <c r="AF9261">
        <v>0</v>
      </c>
      <c r="AG9261">
        <v>0</v>
      </c>
      <c r="AH9261">
        <v>0</v>
      </c>
      <c r="AI9261">
        <v>0</v>
      </c>
      <c r="AJ9261">
        <v>213.25</v>
      </c>
      <c r="AK9261">
        <v>0</v>
      </c>
      <c r="AL9261" t="s">
        <v>53</v>
      </c>
      <c r="AM9261" t="s">
        <v>53</v>
      </c>
      <c r="AN9261" t="s">
        <v>17715</v>
      </c>
      <c r="AO9261" t="s">
        <v>53</v>
      </c>
      <c r="AP9261" t="s">
        <v>53</v>
      </c>
    </row>
    <row r="9262" spans="2:42" x14ac:dyDescent="0.2">
      <c r="B9262" t="s">
        <v>44</v>
      </c>
      <c r="C9262" t="str">
        <f>HYPERLINK("https://us2.cloudbeds.com/connect/8493803454333002#/reservations/247418177904832?display=5AUE0U6QU9&amp;reservation_id=247418177904832", "5AUE0U6QU9")</f>
        <v>5AUE0U6QU9</v>
      </c>
      <c r="D9262" t="s">
        <v>45</v>
      </c>
      <c r="E9262" t="s">
        <v>179</v>
      </c>
      <c r="F9262" t="s">
        <v>47</v>
      </c>
      <c r="G9262" t="s">
        <v>48</v>
      </c>
      <c r="H9262" t="s">
        <v>3957</v>
      </c>
      <c r="I9262" t="s">
        <v>3975</v>
      </c>
      <c r="J9262" t="s">
        <v>15876</v>
      </c>
      <c r="K9262" t="s">
        <v>16163</v>
      </c>
      <c r="L9262" t="s">
        <v>53</v>
      </c>
      <c r="P9262" t="s">
        <v>55</v>
      </c>
      <c r="R9262" t="s">
        <v>56</v>
      </c>
      <c r="T9262" t="s">
        <v>17716</v>
      </c>
      <c r="U9262" t="s">
        <v>58</v>
      </c>
      <c r="V9262">
        <v>1</v>
      </c>
      <c r="W9262">
        <v>1</v>
      </c>
      <c r="X9262">
        <v>1</v>
      </c>
      <c r="Y9262">
        <v>0</v>
      </c>
      <c r="Z9262">
        <v>1</v>
      </c>
      <c r="AA9262">
        <v>151.34</v>
      </c>
      <c r="AB9262">
        <v>151.34</v>
      </c>
      <c r="AC9262">
        <v>132</v>
      </c>
      <c r="AD9262">
        <v>0</v>
      </c>
      <c r="AE9262">
        <v>19.34</v>
      </c>
      <c r="AF9262">
        <v>0</v>
      </c>
      <c r="AG9262">
        <v>0</v>
      </c>
      <c r="AH9262">
        <v>0</v>
      </c>
      <c r="AI9262">
        <v>0</v>
      </c>
      <c r="AJ9262">
        <v>151.34</v>
      </c>
      <c r="AK9262">
        <v>0</v>
      </c>
      <c r="AL9262" t="s">
        <v>53</v>
      </c>
      <c r="AM9262" t="s">
        <v>53</v>
      </c>
      <c r="AN9262" t="s">
        <v>53</v>
      </c>
      <c r="AO9262" t="s">
        <v>53</v>
      </c>
      <c r="AP9262" t="s">
        <v>53</v>
      </c>
    </row>
    <row r="9263" spans="2:42" x14ac:dyDescent="0.2">
      <c r="B9263" t="s">
        <v>44</v>
      </c>
      <c r="C9263" t="str">
        <f>HYPERLINK("https://us2.cloudbeds.com/connect/8493803454333002#/reservations/247418473468032?display=5AUE8FEDMT&amp;reservation_id=247418473468032", "5AUE8FEDMT")</f>
        <v>5AUE8FEDMT</v>
      </c>
      <c r="D9263" t="s">
        <v>45</v>
      </c>
      <c r="E9263" t="s">
        <v>373</v>
      </c>
      <c r="F9263" t="s">
        <v>47</v>
      </c>
      <c r="G9263" t="s">
        <v>48</v>
      </c>
      <c r="H9263" t="s">
        <v>3957</v>
      </c>
      <c r="I9263" t="s">
        <v>3958</v>
      </c>
      <c r="J9263" t="s">
        <v>15876</v>
      </c>
      <c r="K9263" t="s">
        <v>16163</v>
      </c>
      <c r="L9263" t="s">
        <v>53</v>
      </c>
      <c r="P9263" t="s">
        <v>55</v>
      </c>
      <c r="R9263" t="s">
        <v>56</v>
      </c>
      <c r="T9263" t="s">
        <v>17717</v>
      </c>
      <c r="U9263" t="s">
        <v>58</v>
      </c>
      <c r="V9263">
        <v>1</v>
      </c>
      <c r="W9263">
        <v>1</v>
      </c>
      <c r="X9263">
        <v>2</v>
      </c>
      <c r="Y9263">
        <v>0</v>
      </c>
      <c r="Z9263">
        <v>2</v>
      </c>
      <c r="AA9263">
        <v>151.34</v>
      </c>
      <c r="AB9263">
        <v>151.34</v>
      </c>
      <c r="AC9263">
        <v>132</v>
      </c>
      <c r="AD9263">
        <v>0</v>
      </c>
      <c r="AE9263">
        <v>19.34</v>
      </c>
      <c r="AF9263">
        <v>0</v>
      </c>
      <c r="AG9263">
        <v>0</v>
      </c>
      <c r="AH9263">
        <v>0</v>
      </c>
      <c r="AI9263">
        <v>0</v>
      </c>
      <c r="AJ9263">
        <v>151.34</v>
      </c>
      <c r="AK9263">
        <v>0</v>
      </c>
      <c r="AL9263" t="s">
        <v>53</v>
      </c>
      <c r="AM9263" t="s">
        <v>53</v>
      </c>
      <c r="AN9263" t="s">
        <v>53</v>
      </c>
      <c r="AO9263" t="s">
        <v>53</v>
      </c>
      <c r="AP9263" t="s">
        <v>53</v>
      </c>
    </row>
    <row r="9264" spans="2:42" x14ac:dyDescent="0.2">
      <c r="B9264" t="s">
        <v>44</v>
      </c>
      <c r="C9264" t="str">
        <f>HYPERLINK("https://us2.cloudbeds.com/connect/8493803454333002#/reservations/247423635652737?display=5AUX8CAUKH&amp;reservation_id=247423635652737", "5AUX8CAUKH")</f>
        <v>5AUX8CAUKH</v>
      </c>
      <c r="D9264" t="s">
        <v>45</v>
      </c>
      <c r="E9264" t="s">
        <v>223</v>
      </c>
      <c r="F9264" t="s">
        <v>47</v>
      </c>
      <c r="G9264" t="s">
        <v>48</v>
      </c>
      <c r="H9264" t="s">
        <v>3957</v>
      </c>
      <c r="I9264" t="s">
        <v>3975</v>
      </c>
      <c r="J9264" t="s">
        <v>15867</v>
      </c>
      <c r="K9264" t="s">
        <v>17216</v>
      </c>
      <c r="L9264" t="s">
        <v>53</v>
      </c>
      <c r="P9264" t="s">
        <v>55</v>
      </c>
      <c r="R9264" t="s">
        <v>56</v>
      </c>
      <c r="T9264" t="s">
        <v>17718</v>
      </c>
      <c r="U9264" t="s">
        <v>58</v>
      </c>
      <c r="V9264">
        <v>2</v>
      </c>
      <c r="W9264">
        <v>1</v>
      </c>
      <c r="X9264">
        <v>2</v>
      </c>
      <c r="Y9264">
        <v>0</v>
      </c>
      <c r="Z9264">
        <v>2</v>
      </c>
      <c r="AA9264">
        <v>0</v>
      </c>
      <c r="AB9264">
        <v>370.32</v>
      </c>
      <c r="AC9264">
        <v>323</v>
      </c>
      <c r="AD9264">
        <v>0</v>
      </c>
      <c r="AE9264">
        <v>47.32</v>
      </c>
      <c r="AF9264">
        <v>0</v>
      </c>
      <c r="AG9264">
        <v>0</v>
      </c>
      <c r="AH9264">
        <v>0</v>
      </c>
      <c r="AI9264">
        <v>0</v>
      </c>
      <c r="AJ9264">
        <v>370.32</v>
      </c>
      <c r="AK9264">
        <v>0</v>
      </c>
      <c r="AL9264" t="s">
        <v>53</v>
      </c>
      <c r="AM9264" t="s">
        <v>53</v>
      </c>
      <c r="AN9264" t="s">
        <v>53</v>
      </c>
      <c r="AO9264" t="s">
        <v>53</v>
      </c>
      <c r="AP9264" t="s">
        <v>53</v>
      </c>
    </row>
    <row r="9265" spans="2:42" x14ac:dyDescent="0.2">
      <c r="B9265" t="s">
        <v>44</v>
      </c>
      <c r="C9265" t="str">
        <f>HYPERLINK("https://us2.cloudbeds.com/connect/8493803454333002#/reservations/9080486849407963?display=5AUKYUMSTT&amp;reservation_id=9080486849407963", "5AUKYUMSTT")</f>
        <v>5AUKYUMSTT</v>
      </c>
      <c r="D9265" t="s">
        <v>45</v>
      </c>
      <c r="E9265" t="s">
        <v>305</v>
      </c>
      <c r="F9265" t="s">
        <v>61</v>
      </c>
      <c r="G9265" t="s">
        <v>48</v>
      </c>
      <c r="H9265" t="s">
        <v>49</v>
      </c>
      <c r="I9265" t="s">
        <v>50</v>
      </c>
      <c r="J9265" t="s">
        <v>16205</v>
      </c>
      <c r="K9265" t="s">
        <v>11651</v>
      </c>
      <c r="L9265" t="s">
        <v>53</v>
      </c>
      <c r="N9265" t="s">
        <v>17719</v>
      </c>
      <c r="P9265" t="s">
        <v>55</v>
      </c>
      <c r="R9265" t="s">
        <v>53</v>
      </c>
      <c r="T9265" t="s">
        <v>17720</v>
      </c>
      <c r="U9265" t="s">
        <v>55</v>
      </c>
      <c r="V9265">
        <v>1</v>
      </c>
      <c r="W9265">
        <v>1</v>
      </c>
      <c r="X9265">
        <v>2</v>
      </c>
      <c r="Y9265">
        <v>0</v>
      </c>
      <c r="Z9265">
        <v>2</v>
      </c>
      <c r="AA9265">
        <v>183.15</v>
      </c>
      <c r="AB9265">
        <v>183.15</v>
      </c>
      <c r="AC9265">
        <v>168.42</v>
      </c>
      <c r="AD9265">
        <v>0</v>
      </c>
      <c r="AE9265">
        <v>14.73</v>
      </c>
      <c r="AF9265">
        <v>0</v>
      </c>
      <c r="AG9265">
        <v>0</v>
      </c>
      <c r="AH9265">
        <v>0</v>
      </c>
      <c r="AI9265">
        <v>32.97</v>
      </c>
      <c r="AJ9265">
        <v>183.15</v>
      </c>
      <c r="AK9265">
        <v>0</v>
      </c>
      <c r="AL9265" t="s">
        <v>53</v>
      </c>
      <c r="AM9265" t="s">
        <v>53</v>
      </c>
      <c r="AN9265" t="s">
        <v>17721</v>
      </c>
      <c r="AO9265" t="s">
        <v>53</v>
      </c>
      <c r="AP9265" t="s">
        <v>53</v>
      </c>
    </row>
    <row r="9266" spans="2:42" x14ac:dyDescent="0.2">
      <c r="B9266" t="s">
        <v>44</v>
      </c>
      <c r="C9266" t="str">
        <f>HYPERLINK("https://us2.cloudbeds.com/connect/8493803454333002#/reservations/247429997187264?display=5AUN5UX7HF&amp;reservation_id=247429997187264", "5AUN5UX7HF")</f>
        <v>5AUN5UX7HF</v>
      </c>
      <c r="D9266" t="s">
        <v>45</v>
      </c>
      <c r="E9266" t="s">
        <v>14695</v>
      </c>
      <c r="F9266" t="s">
        <v>47</v>
      </c>
      <c r="G9266" t="s">
        <v>4520</v>
      </c>
      <c r="H9266" t="s">
        <v>3957</v>
      </c>
      <c r="I9266" t="s">
        <v>3958</v>
      </c>
      <c r="J9266" t="s">
        <v>15876</v>
      </c>
      <c r="K9266" t="s">
        <v>16163</v>
      </c>
      <c r="L9266" t="s">
        <v>53</v>
      </c>
      <c r="P9266" t="s">
        <v>55</v>
      </c>
      <c r="R9266" t="s">
        <v>56</v>
      </c>
      <c r="T9266" t="s">
        <v>17722</v>
      </c>
      <c r="U9266" t="s">
        <v>58</v>
      </c>
      <c r="V9266">
        <v>1</v>
      </c>
      <c r="W9266">
        <v>1</v>
      </c>
      <c r="X9266">
        <v>1</v>
      </c>
      <c r="Y9266">
        <v>0</v>
      </c>
      <c r="Z9266">
        <v>1</v>
      </c>
      <c r="AA9266">
        <v>136.21</v>
      </c>
      <c r="AB9266">
        <v>136.21</v>
      </c>
      <c r="AC9266">
        <v>118.8</v>
      </c>
      <c r="AD9266">
        <v>0</v>
      </c>
      <c r="AE9266">
        <v>17.41</v>
      </c>
      <c r="AF9266">
        <v>0</v>
      </c>
      <c r="AG9266">
        <v>0</v>
      </c>
      <c r="AH9266">
        <v>0</v>
      </c>
      <c r="AI9266">
        <v>0</v>
      </c>
      <c r="AJ9266">
        <v>136.21</v>
      </c>
      <c r="AK9266">
        <v>0</v>
      </c>
      <c r="AL9266" t="s">
        <v>53</v>
      </c>
      <c r="AM9266" t="s">
        <v>53</v>
      </c>
      <c r="AN9266" t="s">
        <v>53</v>
      </c>
      <c r="AO9266" t="s">
        <v>53</v>
      </c>
      <c r="AP9266" t="s">
        <v>53</v>
      </c>
    </row>
    <row r="9267" spans="2:42" x14ac:dyDescent="0.2">
      <c r="B9267" t="s">
        <v>44</v>
      </c>
      <c r="C9267" t="str">
        <f>HYPERLINK("https://us2.cloudbeds.com/connect/8493803454333002#/reservations/9080486849409752?display=5AVWYKX4X1&amp;reservation_id=9080486849409752", "5AVWYKX4X1")</f>
        <v>5AVWYKX4X1</v>
      </c>
      <c r="D9267" t="s">
        <v>45</v>
      </c>
      <c r="E9267" t="s">
        <v>373</v>
      </c>
      <c r="F9267" t="s">
        <v>47</v>
      </c>
      <c r="G9267" t="s">
        <v>48</v>
      </c>
      <c r="H9267" t="s">
        <v>49</v>
      </c>
      <c r="I9267" t="s">
        <v>62</v>
      </c>
      <c r="J9267" t="s">
        <v>15867</v>
      </c>
      <c r="K9267" t="s">
        <v>17216</v>
      </c>
      <c r="L9267" t="s">
        <v>53</v>
      </c>
      <c r="N9267" t="s">
        <v>17723</v>
      </c>
      <c r="P9267" t="s">
        <v>55</v>
      </c>
      <c r="R9267" t="s">
        <v>56</v>
      </c>
      <c r="T9267" t="s">
        <v>17724</v>
      </c>
      <c r="U9267" t="s">
        <v>55</v>
      </c>
      <c r="V9267">
        <v>2</v>
      </c>
      <c r="W9267">
        <v>1</v>
      </c>
      <c r="X9267">
        <v>2</v>
      </c>
      <c r="Y9267">
        <v>0</v>
      </c>
      <c r="Z9267">
        <v>2</v>
      </c>
      <c r="AA9267">
        <v>371.45</v>
      </c>
      <c r="AB9267">
        <v>371.45</v>
      </c>
      <c r="AC9267">
        <v>371.45</v>
      </c>
      <c r="AD9267">
        <v>0</v>
      </c>
      <c r="AE9267">
        <v>0</v>
      </c>
      <c r="AF9267">
        <v>0</v>
      </c>
      <c r="AG9267">
        <v>0</v>
      </c>
      <c r="AH9267">
        <v>0</v>
      </c>
      <c r="AI9267">
        <v>66.86</v>
      </c>
      <c r="AJ9267">
        <v>371.45</v>
      </c>
      <c r="AK9267">
        <v>0</v>
      </c>
      <c r="AL9267" t="s">
        <v>53</v>
      </c>
      <c r="AM9267" t="s">
        <v>53</v>
      </c>
      <c r="AN9267" t="s">
        <v>53</v>
      </c>
      <c r="AO9267" t="s">
        <v>53</v>
      </c>
      <c r="AP9267" t="s">
        <v>53</v>
      </c>
    </row>
    <row r="9268" spans="2:42" x14ac:dyDescent="0.2">
      <c r="B9268" t="s">
        <v>44</v>
      </c>
      <c r="C9268" t="str">
        <f>HYPERLINK("https://us2.cloudbeds.com/connect/8493803454333002#/reservations/247610639528128?display=5B1V1ZVA4A&amp;reservation_id=247610639528128", "5B1V1ZVA4A")</f>
        <v>5B1V1ZVA4A</v>
      </c>
      <c r="D9268" t="s">
        <v>45</v>
      </c>
      <c r="E9268" t="s">
        <v>223</v>
      </c>
      <c r="F9268" t="s">
        <v>47</v>
      </c>
      <c r="G9268" t="s">
        <v>4520</v>
      </c>
      <c r="H9268" t="s">
        <v>3957</v>
      </c>
      <c r="I9268" t="s">
        <v>3989</v>
      </c>
      <c r="J9268" t="s">
        <v>16163</v>
      </c>
      <c r="K9268" t="s">
        <v>14130</v>
      </c>
      <c r="L9268" t="s">
        <v>53</v>
      </c>
      <c r="P9268" t="s">
        <v>55</v>
      </c>
      <c r="R9268" t="s">
        <v>56</v>
      </c>
      <c r="T9268" t="s">
        <v>17725</v>
      </c>
      <c r="U9268" t="s">
        <v>58</v>
      </c>
      <c r="V9268">
        <v>1</v>
      </c>
      <c r="W9268">
        <v>1</v>
      </c>
      <c r="X9268">
        <v>1</v>
      </c>
      <c r="Y9268">
        <v>0</v>
      </c>
      <c r="Z9268">
        <v>1</v>
      </c>
      <c r="AA9268">
        <v>163.04</v>
      </c>
      <c r="AB9268">
        <v>163.04</v>
      </c>
      <c r="AC9268">
        <v>142.19999999999999</v>
      </c>
      <c r="AD9268">
        <v>0</v>
      </c>
      <c r="AE9268">
        <v>20.84</v>
      </c>
      <c r="AF9268">
        <v>0</v>
      </c>
      <c r="AG9268">
        <v>0</v>
      </c>
      <c r="AH9268">
        <v>0</v>
      </c>
      <c r="AI9268">
        <v>0</v>
      </c>
      <c r="AJ9268">
        <v>163.04</v>
      </c>
      <c r="AK9268">
        <v>0</v>
      </c>
      <c r="AL9268" t="s">
        <v>53</v>
      </c>
      <c r="AM9268" t="s">
        <v>53</v>
      </c>
      <c r="AN9268" t="s">
        <v>53</v>
      </c>
      <c r="AO9268" t="s">
        <v>53</v>
      </c>
      <c r="AP9268" t="s">
        <v>53</v>
      </c>
    </row>
    <row r="9269" spans="2:42" x14ac:dyDescent="0.2">
      <c r="B9269" t="s">
        <v>44</v>
      </c>
      <c r="C9269" t="str">
        <f>HYPERLINK("https://us2.cloudbeds.com/connect/8493803454333002#/reservations/247631143669888?display=5B2DUMJ5G5&amp;reservation_id=247631143669888", "5B2DUMJ5G5")</f>
        <v>5B2DUMJ5G5</v>
      </c>
      <c r="D9269" t="s">
        <v>45</v>
      </c>
      <c r="E9269" t="s">
        <v>213</v>
      </c>
      <c r="F9269" t="s">
        <v>86</v>
      </c>
      <c r="G9269" t="s">
        <v>3974</v>
      </c>
      <c r="H9269" t="s">
        <v>3957</v>
      </c>
      <c r="I9269" t="s">
        <v>3975</v>
      </c>
      <c r="J9269" t="s">
        <v>17077</v>
      </c>
      <c r="K9269" t="s">
        <v>11652</v>
      </c>
      <c r="L9269" t="s">
        <v>53</v>
      </c>
      <c r="P9269" t="s">
        <v>55</v>
      </c>
      <c r="R9269" t="s">
        <v>56</v>
      </c>
      <c r="T9269" t="s">
        <v>17726</v>
      </c>
      <c r="U9269" t="s">
        <v>58</v>
      </c>
      <c r="V9269">
        <v>4</v>
      </c>
      <c r="W9269">
        <v>1</v>
      </c>
      <c r="X9269">
        <v>2</v>
      </c>
      <c r="Y9269">
        <v>0</v>
      </c>
      <c r="Z9269">
        <v>2</v>
      </c>
      <c r="AA9269">
        <v>907.27</v>
      </c>
      <c r="AB9269">
        <v>907.27</v>
      </c>
      <c r="AC9269">
        <v>791.35</v>
      </c>
      <c r="AD9269">
        <v>0</v>
      </c>
      <c r="AE9269">
        <v>115.92</v>
      </c>
      <c r="AF9269">
        <v>0</v>
      </c>
      <c r="AG9269">
        <v>0</v>
      </c>
      <c r="AH9269">
        <v>0</v>
      </c>
      <c r="AI9269">
        <v>0</v>
      </c>
      <c r="AJ9269">
        <v>907.27</v>
      </c>
      <c r="AK9269">
        <v>0</v>
      </c>
      <c r="AL9269" t="s">
        <v>53</v>
      </c>
      <c r="AM9269" t="s">
        <v>53</v>
      </c>
      <c r="AN9269" t="s">
        <v>17727</v>
      </c>
      <c r="AO9269" t="s">
        <v>53</v>
      </c>
      <c r="AP9269" t="s">
        <v>53</v>
      </c>
    </row>
    <row r="9270" spans="2:42" x14ac:dyDescent="0.2">
      <c r="B9270" t="s">
        <v>44</v>
      </c>
      <c r="C9270" t="str">
        <f>HYPERLINK("https://us2.cloudbeds.com/connect/8493803454333002#/reservations/9080486849416441?display=5B2UCXHNJN&amp;reservation_id=9080486849416441", "5B2UCXHNJN")</f>
        <v>5B2UCXHNJN</v>
      </c>
      <c r="D9270" t="s">
        <v>10291</v>
      </c>
      <c r="E9270" t="s">
        <v>105</v>
      </c>
      <c r="F9270" t="s">
        <v>47</v>
      </c>
      <c r="G9270" t="s">
        <v>48</v>
      </c>
      <c r="H9270" t="s">
        <v>49</v>
      </c>
      <c r="I9270" t="s">
        <v>50</v>
      </c>
      <c r="J9270" t="s">
        <v>17242</v>
      </c>
      <c r="K9270" t="s">
        <v>10292</v>
      </c>
      <c r="L9270" t="s">
        <v>53</v>
      </c>
      <c r="N9270" t="s">
        <v>17728</v>
      </c>
      <c r="P9270" t="s">
        <v>55</v>
      </c>
      <c r="R9270" t="s">
        <v>53</v>
      </c>
      <c r="T9270" t="s">
        <v>17729</v>
      </c>
      <c r="U9270" t="s">
        <v>55</v>
      </c>
      <c r="V9270">
        <v>2</v>
      </c>
      <c r="W9270">
        <v>1</v>
      </c>
      <c r="X9270">
        <v>2</v>
      </c>
      <c r="Y9270">
        <v>0</v>
      </c>
      <c r="Z9270">
        <v>2</v>
      </c>
      <c r="AA9270">
        <v>273.08999999999997</v>
      </c>
      <c r="AB9270">
        <v>0</v>
      </c>
      <c r="AC9270">
        <v>251.11</v>
      </c>
      <c r="AD9270">
        <v>0</v>
      </c>
      <c r="AE9270">
        <v>21.98</v>
      </c>
      <c r="AF9270">
        <v>0</v>
      </c>
      <c r="AG9270">
        <v>0</v>
      </c>
      <c r="AH9270">
        <v>0</v>
      </c>
      <c r="AI9270">
        <v>49.16</v>
      </c>
      <c r="AJ9270">
        <v>273.08999999999997</v>
      </c>
      <c r="AK9270">
        <v>273.08999999999997</v>
      </c>
      <c r="AL9270" t="s">
        <v>53</v>
      </c>
      <c r="AM9270" t="s">
        <v>53</v>
      </c>
      <c r="AN9270" t="s">
        <v>53</v>
      </c>
      <c r="AO9270" t="s">
        <v>53</v>
      </c>
      <c r="AP9270" t="s">
        <v>53</v>
      </c>
    </row>
    <row r="9271" spans="2:42" x14ac:dyDescent="0.2">
      <c r="B9271" t="s">
        <v>44</v>
      </c>
      <c r="C9271" t="str">
        <f>HYPERLINK("https://us2.cloudbeds.com/connect/8493803454333002#/reservations/247724024201408?display=5B4JRWUEF3&amp;reservation_id=247724024201408", "5B4JRWUEF3")</f>
        <v>5B4JRWUEF3</v>
      </c>
      <c r="D9271" t="s">
        <v>10291</v>
      </c>
      <c r="E9271" t="s">
        <v>17730</v>
      </c>
      <c r="F9271" t="s">
        <v>47</v>
      </c>
      <c r="G9271" t="s">
        <v>48</v>
      </c>
      <c r="H9271" t="s">
        <v>3957</v>
      </c>
      <c r="I9271" t="s">
        <v>3958</v>
      </c>
      <c r="J9271" t="s">
        <v>10292</v>
      </c>
      <c r="K9271" t="s">
        <v>10293</v>
      </c>
      <c r="L9271" t="s">
        <v>53</v>
      </c>
      <c r="P9271" t="s">
        <v>55</v>
      </c>
      <c r="R9271" t="s">
        <v>56</v>
      </c>
      <c r="T9271" t="s">
        <v>17731</v>
      </c>
      <c r="U9271" t="s">
        <v>58</v>
      </c>
      <c r="V9271">
        <v>3</v>
      </c>
      <c r="W9271">
        <v>3</v>
      </c>
      <c r="X9271">
        <v>3</v>
      </c>
      <c r="Y9271">
        <v>0</v>
      </c>
      <c r="Z9271">
        <v>3</v>
      </c>
      <c r="AA9271">
        <v>646.62</v>
      </c>
      <c r="AB9271">
        <v>0</v>
      </c>
      <c r="AC9271">
        <v>564</v>
      </c>
      <c r="AD9271">
        <v>0</v>
      </c>
      <c r="AE9271">
        <v>82.62</v>
      </c>
      <c r="AF9271">
        <v>0</v>
      </c>
      <c r="AG9271">
        <v>0</v>
      </c>
      <c r="AH9271">
        <v>0</v>
      </c>
      <c r="AI9271">
        <v>0</v>
      </c>
      <c r="AJ9271">
        <v>646.62</v>
      </c>
      <c r="AK9271">
        <v>646.62</v>
      </c>
      <c r="AL9271" t="s">
        <v>53</v>
      </c>
      <c r="AM9271" t="s">
        <v>53</v>
      </c>
      <c r="AN9271" t="s">
        <v>17732</v>
      </c>
      <c r="AO9271" t="s">
        <v>53</v>
      </c>
      <c r="AP9271" t="s">
        <v>53</v>
      </c>
    </row>
    <row r="9272" spans="2:42" x14ac:dyDescent="0.2">
      <c r="B9272" t="s">
        <v>44</v>
      </c>
      <c r="C9272" t="str">
        <f>HYPERLINK("https://us2.cloudbeds.com/connect/8493803454333002#/reservations/9080486849420536?display=5B4S421VQG&amp;reservation_id=9080486849420536", "5B4S421VQG")</f>
        <v>5B4S421VQG</v>
      </c>
      <c r="D9272" t="s">
        <v>45</v>
      </c>
      <c r="E9272" t="s">
        <v>110</v>
      </c>
      <c r="F9272" t="s">
        <v>47</v>
      </c>
      <c r="G9272" t="s">
        <v>48</v>
      </c>
      <c r="H9272" t="s">
        <v>49</v>
      </c>
      <c r="I9272" t="s">
        <v>50</v>
      </c>
      <c r="J9272" t="s">
        <v>14391</v>
      </c>
      <c r="K9272" t="s">
        <v>14371</v>
      </c>
      <c r="L9272" t="s">
        <v>53</v>
      </c>
      <c r="N9272" t="s">
        <v>17733</v>
      </c>
      <c r="P9272" t="s">
        <v>55</v>
      </c>
      <c r="R9272" t="s">
        <v>53</v>
      </c>
      <c r="T9272" t="s">
        <v>17734</v>
      </c>
      <c r="U9272" t="s">
        <v>55</v>
      </c>
      <c r="V9272">
        <v>2</v>
      </c>
      <c r="W9272">
        <v>1</v>
      </c>
      <c r="X9272">
        <v>2</v>
      </c>
      <c r="Y9272">
        <v>0</v>
      </c>
      <c r="Z9272">
        <v>2</v>
      </c>
      <c r="AA9272">
        <v>238.37</v>
      </c>
      <c r="AB9272">
        <v>238.37</v>
      </c>
      <c r="AC9272">
        <v>219.19</v>
      </c>
      <c r="AD9272">
        <v>0</v>
      </c>
      <c r="AE9272">
        <v>19.18</v>
      </c>
      <c r="AF9272">
        <v>0</v>
      </c>
      <c r="AG9272">
        <v>0</v>
      </c>
      <c r="AH9272">
        <v>0</v>
      </c>
      <c r="AI9272">
        <v>42.91</v>
      </c>
      <c r="AJ9272">
        <v>238.37</v>
      </c>
      <c r="AK9272">
        <v>0</v>
      </c>
      <c r="AL9272" t="s">
        <v>53</v>
      </c>
      <c r="AM9272" t="s">
        <v>53</v>
      </c>
      <c r="AN9272" t="s">
        <v>53</v>
      </c>
      <c r="AO9272" t="s">
        <v>53</v>
      </c>
      <c r="AP9272" t="s">
        <v>53</v>
      </c>
    </row>
    <row r="9273" spans="2:42" x14ac:dyDescent="0.2">
      <c r="B9273" t="s">
        <v>44</v>
      </c>
      <c r="C9273" t="str">
        <f>HYPERLINK("https://us2.cloudbeds.com/connect/8493803454333002#/reservations/247826696487040?display=5B70BGTB8U&amp;reservation_id=247826696487040", "5B70BGTB8U")</f>
        <v>5B70BGTB8U</v>
      </c>
      <c r="D9273" t="s">
        <v>10291</v>
      </c>
      <c r="E9273" t="s">
        <v>165</v>
      </c>
      <c r="F9273" t="s">
        <v>61</v>
      </c>
      <c r="G9273" t="s">
        <v>48</v>
      </c>
      <c r="H9273" t="s">
        <v>3957</v>
      </c>
      <c r="I9273" t="s">
        <v>3975</v>
      </c>
      <c r="J9273" t="s">
        <v>15337</v>
      </c>
      <c r="K9273" t="s">
        <v>17735</v>
      </c>
      <c r="L9273" t="s">
        <v>53</v>
      </c>
      <c r="P9273" t="s">
        <v>55</v>
      </c>
      <c r="R9273" t="s">
        <v>56</v>
      </c>
      <c r="T9273" t="s">
        <v>17736</v>
      </c>
      <c r="U9273" t="s">
        <v>58</v>
      </c>
      <c r="V9273">
        <v>1</v>
      </c>
      <c r="W9273">
        <v>1</v>
      </c>
      <c r="X9273">
        <v>2</v>
      </c>
      <c r="Y9273">
        <v>0</v>
      </c>
      <c r="Z9273">
        <v>2</v>
      </c>
      <c r="AA9273">
        <v>0</v>
      </c>
      <c r="AB9273">
        <v>0</v>
      </c>
      <c r="AC9273">
        <v>142</v>
      </c>
      <c r="AD9273">
        <v>0</v>
      </c>
      <c r="AE9273">
        <v>20.81</v>
      </c>
      <c r="AF9273">
        <v>0</v>
      </c>
      <c r="AG9273">
        <v>0</v>
      </c>
      <c r="AH9273">
        <v>0</v>
      </c>
      <c r="AI9273">
        <v>0</v>
      </c>
      <c r="AJ9273">
        <v>162.81</v>
      </c>
      <c r="AK9273">
        <v>162.81</v>
      </c>
      <c r="AL9273" t="s">
        <v>53</v>
      </c>
      <c r="AM9273" t="s">
        <v>53</v>
      </c>
      <c r="AN9273" t="s">
        <v>53</v>
      </c>
      <c r="AO9273" t="s">
        <v>53</v>
      </c>
      <c r="AP9273" t="s">
        <v>53</v>
      </c>
    </row>
    <row r="9274" spans="2:42" x14ac:dyDescent="0.2">
      <c r="B9274" t="s">
        <v>44</v>
      </c>
      <c r="C9274" t="str">
        <f>HYPERLINK("https://us2.cloudbeds.com/connect/8493803454333002#/reservations/9080486849424865?display=5B7V2G8VG1&amp;reservation_id=9080486849424865", "5B7V2G8VG1")</f>
        <v>5B7V2G8VG1</v>
      </c>
      <c r="D9274" t="s">
        <v>10291</v>
      </c>
      <c r="E9274" t="s">
        <v>138</v>
      </c>
      <c r="F9274" t="s">
        <v>70</v>
      </c>
      <c r="G9274" t="s">
        <v>48</v>
      </c>
      <c r="H9274" t="s">
        <v>49</v>
      </c>
      <c r="I9274" t="s">
        <v>62</v>
      </c>
      <c r="J9274" t="s">
        <v>17533</v>
      </c>
      <c r="K9274" t="s">
        <v>10293</v>
      </c>
      <c r="L9274" t="s">
        <v>53</v>
      </c>
      <c r="N9274" t="s">
        <v>17737</v>
      </c>
      <c r="P9274" t="s">
        <v>55</v>
      </c>
      <c r="R9274" t="s">
        <v>329</v>
      </c>
      <c r="T9274" t="s">
        <v>17738</v>
      </c>
      <c r="U9274" t="s">
        <v>55</v>
      </c>
      <c r="V9274">
        <v>2</v>
      </c>
      <c r="W9274">
        <v>1</v>
      </c>
      <c r="X9274">
        <v>2</v>
      </c>
      <c r="Y9274">
        <v>0</v>
      </c>
      <c r="Z9274">
        <v>2</v>
      </c>
      <c r="AA9274">
        <v>342.14</v>
      </c>
      <c r="AB9274">
        <v>0</v>
      </c>
      <c r="AC9274">
        <v>342.14</v>
      </c>
      <c r="AD9274">
        <v>0</v>
      </c>
      <c r="AE9274">
        <v>0</v>
      </c>
      <c r="AF9274">
        <v>0</v>
      </c>
      <c r="AG9274">
        <v>0</v>
      </c>
      <c r="AH9274">
        <v>0</v>
      </c>
      <c r="AI9274">
        <v>61.59</v>
      </c>
      <c r="AJ9274">
        <v>342.14</v>
      </c>
      <c r="AK9274">
        <v>342.14</v>
      </c>
      <c r="AL9274" t="s">
        <v>53</v>
      </c>
      <c r="AM9274" t="s">
        <v>53</v>
      </c>
      <c r="AN9274" t="s">
        <v>53</v>
      </c>
      <c r="AO9274" t="s">
        <v>53</v>
      </c>
      <c r="AP9274" t="s">
        <v>53</v>
      </c>
    </row>
    <row r="9275" spans="2:42" x14ac:dyDescent="0.2">
      <c r="B9275" t="s">
        <v>44</v>
      </c>
      <c r="C9275" t="str">
        <f>HYPERLINK("https://us2.cloudbeds.com/connect/8493803454333002#/reservations/247980611547328?display=5BAKHD4PM1&amp;reservation_id=247980611547328", "5BAKHD4PM1")</f>
        <v>5BAKHD4PM1</v>
      </c>
      <c r="D9275" t="s">
        <v>45</v>
      </c>
      <c r="E9275" t="s">
        <v>1419</v>
      </c>
      <c r="F9275" t="s">
        <v>86</v>
      </c>
      <c r="G9275" t="s">
        <v>48</v>
      </c>
      <c r="H9275" t="s">
        <v>3957</v>
      </c>
      <c r="I9275" t="s">
        <v>3958</v>
      </c>
      <c r="J9275" t="s">
        <v>14391</v>
      </c>
      <c r="K9275" t="s">
        <v>17389</v>
      </c>
      <c r="L9275" t="s">
        <v>53</v>
      </c>
      <c r="P9275" t="s">
        <v>55</v>
      </c>
      <c r="R9275" t="s">
        <v>56</v>
      </c>
      <c r="T9275" t="s">
        <v>17739</v>
      </c>
      <c r="U9275" t="s">
        <v>58</v>
      </c>
      <c r="V9275">
        <v>2</v>
      </c>
      <c r="W9275">
        <v>2</v>
      </c>
      <c r="X9275">
        <v>2</v>
      </c>
      <c r="Y9275">
        <v>0</v>
      </c>
      <c r="Z9275">
        <v>2</v>
      </c>
      <c r="AA9275">
        <v>458.6</v>
      </c>
      <c r="AB9275">
        <v>458.6</v>
      </c>
      <c r="AC9275">
        <v>400</v>
      </c>
      <c r="AD9275">
        <v>0</v>
      </c>
      <c r="AE9275">
        <v>58.6</v>
      </c>
      <c r="AF9275">
        <v>0</v>
      </c>
      <c r="AG9275">
        <v>0</v>
      </c>
      <c r="AH9275">
        <v>0</v>
      </c>
      <c r="AI9275">
        <v>0</v>
      </c>
      <c r="AJ9275">
        <v>458.6</v>
      </c>
      <c r="AK9275">
        <v>0</v>
      </c>
      <c r="AL9275" t="s">
        <v>53</v>
      </c>
      <c r="AM9275" t="s">
        <v>53</v>
      </c>
      <c r="AN9275" t="s">
        <v>17740</v>
      </c>
      <c r="AO9275" t="s">
        <v>53</v>
      </c>
      <c r="AP9275" t="s">
        <v>53</v>
      </c>
    </row>
    <row r="9276" spans="2:42" x14ac:dyDescent="0.2">
      <c r="B9276" t="s">
        <v>44</v>
      </c>
      <c r="C9276" t="str">
        <f>HYPERLINK("https://us2.cloudbeds.com/connect/8493803454333002#/reservations/248014888825024?display=5BBE28YATH&amp;reservation_id=248014888825024", "5BBE28YATH")</f>
        <v>5BBE28YATH</v>
      </c>
      <c r="D9276" t="s">
        <v>45</v>
      </c>
      <c r="E9276" t="s">
        <v>14402</v>
      </c>
      <c r="F9276" t="s">
        <v>14403</v>
      </c>
      <c r="G9276" t="s">
        <v>3974</v>
      </c>
      <c r="H9276" t="s">
        <v>3957</v>
      </c>
      <c r="I9276" t="s">
        <v>3975</v>
      </c>
      <c r="J9276" t="s">
        <v>17096</v>
      </c>
      <c r="K9276" t="s">
        <v>17077</v>
      </c>
      <c r="L9276" t="s">
        <v>53</v>
      </c>
      <c r="P9276" t="s">
        <v>55</v>
      </c>
      <c r="R9276" t="s">
        <v>56</v>
      </c>
      <c r="T9276" t="s">
        <v>17741</v>
      </c>
      <c r="U9276" t="s">
        <v>58</v>
      </c>
      <c r="V9276">
        <v>1</v>
      </c>
      <c r="W9276">
        <v>1</v>
      </c>
      <c r="X9276">
        <v>1</v>
      </c>
      <c r="Y9276">
        <v>0</v>
      </c>
      <c r="Z9276">
        <v>1</v>
      </c>
      <c r="AA9276">
        <v>227.64</v>
      </c>
      <c r="AB9276">
        <v>227.64</v>
      </c>
      <c r="AC9276">
        <v>198.55</v>
      </c>
      <c r="AD9276">
        <v>0</v>
      </c>
      <c r="AE9276">
        <v>29.09</v>
      </c>
      <c r="AF9276">
        <v>0</v>
      </c>
      <c r="AG9276">
        <v>0</v>
      </c>
      <c r="AH9276">
        <v>0</v>
      </c>
      <c r="AI9276">
        <v>0</v>
      </c>
      <c r="AJ9276">
        <v>227.64</v>
      </c>
      <c r="AK9276">
        <v>0</v>
      </c>
      <c r="AL9276" t="s">
        <v>53</v>
      </c>
      <c r="AM9276" t="s">
        <v>53</v>
      </c>
      <c r="AN9276" t="s">
        <v>53</v>
      </c>
      <c r="AO9276" t="s">
        <v>53</v>
      </c>
      <c r="AP9276" t="s">
        <v>53</v>
      </c>
    </row>
    <row r="9277" spans="2:42" x14ac:dyDescent="0.2">
      <c r="B9277" t="s">
        <v>44</v>
      </c>
      <c r="C9277" t="str">
        <f>HYPERLINK("https://us2.cloudbeds.com/connect/8493803454333002#/reservations/9080486849434109?display=5BCQXXC07J&amp;reservation_id=9080486849434109", "5BCQXXC07J")</f>
        <v>5BCQXXC07J</v>
      </c>
      <c r="D9277" t="s">
        <v>45</v>
      </c>
      <c r="E9277" t="s">
        <v>98</v>
      </c>
      <c r="F9277" t="s">
        <v>86</v>
      </c>
      <c r="G9277" t="s">
        <v>48</v>
      </c>
      <c r="H9277" t="s">
        <v>49</v>
      </c>
      <c r="I9277" t="s">
        <v>8964</v>
      </c>
      <c r="J9277" t="s">
        <v>14131</v>
      </c>
      <c r="K9277" t="s">
        <v>16932</v>
      </c>
      <c r="L9277" t="s">
        <v>53</v>
      </c>
      <c r="N9277" t="s">
        <v>17742</v>
      </c>
      <c r="P9277" t="s">
        <v>55</v>
      </c>
      <c r="R9277" t="s">
        <v>53</v>
      </c>
      <c r="T9277" t="s">
        <v>17743</v>
      </c>
      <c r="U9277" t="s">
        <v>55</v>
      </c>
      <c r="V9277">
        <v>2</v>
      </c>
      <c r="W9277">
        <v>1</v>
      </c>
      <c r="X9277">
        <v>2</v>
      </c>
      <c r="Y9277">
        <v>2</v>
      </c>
      <c r="Z9277">
        <v>4</v>
      </c>
      <c r="AA9277">
        <v>0</v>
      </c>
      <c r="AB9277">
        <v>0</v>
      </c>
      <c r="AC9277">
        <v>551</v>
      </c>
      <c r="AD9277">
        <v>0</v>
      </c>
      <c r="AE9277">
        <v>0</v>
      </c>
      <c r="AF9277">
        <v>0</v>
      </c>
      <c r="AG9277">
        <v>0</v>
      </c>
      <c r="AH9277">
        <v>0</v>
      </c>
      <c r="AI9277">
        <v>82.65</v>
      </c>
      <c r="AJ9277">
        <v>551</v>
      </c>
      <c r="AK9277">
        <v>551</v>
      </c>
      <c r="AL9277" t="s">
        <v>53</v>
      </c>
      <c r="AM9277" t="s">
        <v>53</v>
      </c>
      <c r="AN9277" t="s">
        <v>17744</v>
      </c>
      <c r="AO9277" t="s">
        <v>53</v>
      </c>
      <c r="AP9277" t="s">
        <v>53</v>
      </c>
    </row>
    <row r="9278" spans="2:42" x14ac:dyDescent="0.2">
      <c r="B9278" t="s">
        <v>44</v>
      </c>
      <c r="C9278" t="str">
        <f>HYPERLINK("https://us2.cloudbeds.com/connect/8493803454333002#/reservations/9080486849434242?display=5BCT1V83S0&amp;reservation_id=9080486849434242", "5BCT1V83S0")</f>
        <v>5BCT1V83S0</v>
      </c>
      <c r="D9278" t="s">
        <v>45</v>
      </c>
      <c r="E9278" t="s">
        <v>113</v>
      </c>
      <c r="F9278" t="s">
        <v>61</v>
      </c>
      <c r="G9278" t="s">
        <v>48</v>
      </c>
      <c r="H9278" t="s">
        <v>49</v>
      </c>
      <c r="I9278" t="s">
        <v>50</v>
      </c>
      <c r="J9278" t="s">
        <v>14130</v>
      </c>
      <c r="K9278" t="s">
        <v>14131</v>
      </c>
      <c r="L9278" t="s">
        <v>53</v>
      </c>
      <c r="N9278" t="s">
        <v>17745</v>
      </c>
      <c r="P9278" t="s">
        <v>55</v>
      </c>
      <c r="R9278" t="s">
        <v>53</v>
      </c>
      <c r="T9278" t="s">
        <v>17746</v>
      </c>
      <c r="U9278" t="s">
        <v>55</v>
      </c>
      <c r="V9278">
        <v>1</v>
      </c>
      <c r="W9278">
        <v>1</v>
      </c>
      <c r="X9278">
        <v>2</v>
      </c>
      <c r="Y9278">
        <v>0</v>
      </c>
      <c r="Z9278">
        <v>2</v>
      </c>
      <c r="AA9278">
        <v>164.8</v>
      </c>
      <c r="AB9278">
        <v>164.8</v>
      </c>
      <c r="AC9278">
        <v>151.54</v>
      </c>
      <c r="AD9278">
        <v>0</v>
      </c>
      <c r="AE9278">
        <v>13.26</v>
      </c>
      <c r="AF9278">
        <v>0</v>
      </c>
      <c r="AG9278">
        <v>0</v>
      </c>
      <c r="AH9278">
        <v>0</v>
      </c>
      <c r="AI9278">
        <v>29.66</v>
      </c>
      <c r="AJ9278">
        <v>164.8</v>
      </c>
      <c r="AK9278">
        <v>0</v>
      </c>
      <c r="AL9278" t="s">
        <v>53</v>
      </c>
      <c r="AM9278" t="s">
        <v>53</v>
      </c>
      <c r="AN9278" t="s">
        <v>53</v>
      </c>
      <c r="AO9278" t="s">
        <v>53</v>
      </c>
      <c r="AP9278" t="s">
        <v>53</v>
      </c>
    </row>
    <row r="9279" spans="2:42" x14ac:dyDescent="0.2">
      <c r="B9279" t="s">
        <v>44</v>
      </c>
      <c r="C9279" t="str">
        <f>HYPERLINK("https://us2.cloudbeds.com/connect/8493803454333002#/reservations/9080486849434486?display=5BD0E0BB6P&amp;reservation_id=9080486849434486", "5BD0E0BB6P")</f>
        <v>5BD0E0BB6P</v>
      </c>
      <c r="D9279" t="s">
        <v>10291</v>
      </c>
      <c r="E9279" t="s">
        <v>78</v>
      </c>
      <c r="F9279" t="s">
        <v>61</v>
      </c>
      <c r="G9279" t="s">
        <v>48</v>
      </c>
      <c r="H9279" t="s">
        <v>49</v>
      </c>
      <c r="I9279" t="s">
        <v>50</v>
      </c>
      <c r="J9279" t="s">
        <v>15936</v>
      </c>
      <c r="K9279" t="s">
        <v>17665</v>
      </c>
      <c r="L9279" t="s">
        <v>53</v>
      </c>
      <c r="N9279" t="s">
        <v>17747</v>
      </c>
      <c r="P9279" t="s">
        <v>55</v>
      </c>
      <c r="R9279" t="s">
        <v>53</v>
      </c>
      <c r="T9279" t="s">
        <v>17748</v>
      </c>
      <c r="U9279" t="s">
        <v>55</v>
      </c>
      <c r="V9279">
        <v>3</v>
      </c>
      <c r="W9279">
        <v>1</v>
      </c>
      <c r="X9279">
        <v>2</v>
      </c>
      <c r="Y9279">
        <v>0</v>
      </c>
      <c r="Z9279">
        <v>2</v>
      </c>
      <c r="AA9279">
        <v>451.86</v>
      </c>
      <c r="AB9279">
        <v>0</v>
      </c>
      <c r="AC9279">
        <v>415.51</v>
      </c>
      <c r="AD9279">
        <v>0</v>
      </c>
      <c r="AE9279">
        <v>36.35</v>
      </c>
      <c r="AF9279">
        <v>0</v>
      </c>
      <c r="AG9279">
        <v>0</v>
      </c>
      <c r="AH9279">
        <v>0</v>
      </c>
      <c r="AI9279">
        <v>81.33</v>
      </c>
      <c r="AJ9279">
        <v>451.86</v>
      </c>
      <c r="AK9279">
        <v>451.86</v>
      </c>
      <c r="AL9279" t="s">
        <v>53</v>
      </c>
      <c r="AM9279" t="s">
        <v>53</v>
      </c>
      <c r="AN9279" t="s">
        <v>53</v>
      </c>
      <c r="AO9279" t="s">
        <v>53</v>
      </c>
      <c r="AP9279" t="s">
        <v>53</v>
      </c>
    </row>
    <row r="9280" spans="2:42" x14ac:dyDescent="0.2">
      <c r="B9280" t="s">
        <v>44</v>
      </c>
      <c r="C9280" t="str">
        <f>HYPERLINK("https://us2.cloudbeds.com/connect/8493803454333002#/reservations/248099097616512?display=5BDD8WP01K&amp;reservation_id=248099097616512", "5BDD8WP01K")</f>
        <v>5BDD8WP01K</v>
      </c>
      <c r="D9280" t="s">
        <v>45</v>
      </c>
      <c r="E9280" t="s">
        <v>78</v>
      </c>
      <c r="F9280" t="s">
        <v>61</v>
      </c>
      <c r="G9280" t="s">
        <v>4520</v>
      </c>
      <c r="H9280" t="s">
        <v>3957</v>
      </c>
      <c r="I9280" t="s">
        <v>3958</v>
      </c>
      <c r="J9280" t="s">
        <v>14130</v>
      </c>
      <c r="K9280" t="s">
        <v>14131</v>
      </c>
      <c r="L9280" t="s">
        <v>53</v>
      </c>
      <c r="P9280" t="s">
        <v>55</v>
      </c>
      <c r="R9280" t="s">
        <v>56</v>
      </c>
      <c r="T9280" t="s">
        <v>17749</v>
      </c>
      <c r="U9280" t="s">
        <v>58</v>
      </c>
      <c r="V9280">
        <v>1</v>
      </c>
      <c r="W9280">
        <v>1</v>
      </c>
      <c r="X9280">
        <v>1</v>
      </c>
      <c r="Y9280">
        <v>0</v>
      </c>
      <c r="Z9280">
        <v>1</v>
      </c>
      <c r="AA9280">
        <v>181.6</v>
      </c>
      <c r="AB9280">
        <v>181.6</v>
      </c>
      <c r="AC9280">
        <v>158.4</v>
      </c>
      <c r="AD9280">
        <v>0</v>
      </c>
      <c r="AE9280">
        <v>23.2</v>
      </c>
      <c r="AF9280">
        <v>0</v>
      </c>
      <c r="AG9280">
        <v>0</v>
      </c>
      <c r="AH9280">
        <v>0</v>
      </c>
      <c r="AI9280">
        <v>0</v>
      </c>
      <c r="AJ9280">
        <v>181.6</v>
      </c>
      <c r="AK9280">
        <v>0</v>
      </c>
      <c r="AL9280" t="s">
        <v>53</v>
      </c>
      <c r="AM9280" t="s">
        <v>53</v>
      </c>
      <c r="AN9280" t="s">
        <v>53</v>
      </c>
      <c r="AO9280" t="s">
        <v>53</v>
      </c>
      <c r="AP9280" t="s">
        <v>53</v>
      </c>
    </row>
    <row r="9281" spans="2:42" x14ac:dyDescent="0.2">
      <c r="B9281" t="s">
        <v>44</v>
      </c>
      <c r="C9281" t="str">
        <f>HYPERLINK("https://us2.cloudbeds.com/connect/8493803454333002#/reservations/9080486849435900?display=5BDV34YNPZ&amp;reservation_id=9080486849435900", "5BDV34YNPZ")</f>
        <v>5BDV34YNPZ</v>
      </c>
      <c r="D9281" t="s">
        <v>45</v>
      </c>
      <c r="E9281" t="s">
        <v>78</v>
      </c>
      <c r="F9281" t="s">
        <v>61</v>
      </c>
      <c r="G9281" t="s">
        <v>48</v>
      </c>
      <c r="H9281" t="s">
        <v>49</v>
      </c>
      <c r="I9281" t="s">
        <v>50</v>
      </c>
      <c r="J9281" t="s">
        <v>17216</v>
      </c>
      <c r="K9281" t="s">
        <v>15625</v>
      </c>
      <c r="L9281" t="s">
        <v>53</v>
      </c>
      <c r="N9281" t="s">
        <v>17750</v>
      </c>
      <c r="P9281" t="s">
        <v>55</v>
      </c>
      <c r="R9281" t="s">
        <v>53</v>
      </c>
      <c r="T9281" t="s">
        <v>17751</v>
      </c>
      <c r="U9281" t="s">
        <v>55</v>
      </c>
      <c r="V9281">
        <v>1</v>
      </c>
      <c r="W9281">
        <v>1</v>
      </c>
      <c r="X9281">
        <v>2</v>
      </c>
      <c r="Y9281">
        <v>0</v>
      </c>
      <c r="Z9281">
        <v>2</v>
      </c>
      <c r="AA9281">
        <v>176.04</v>
      </c>
      <c r="AB9281">
        <v>181.52</v>
      </c>
      <c r="AC9281">
        <v>161.87</v>
      </c>
      <c r="AD9281">
        <v>5</v>
      </c>
      <c r="AE9281">
        <v>14.65</v>
      </c>
      <c r="AF9281">
        <v>0</v>
      </c>
      <c r="AG9281">
        <v>0</v>
      </c>
      <c r="AH9281">
        <v>0</v>
      </c>
      <c r="AI9281">
        <v>32.67</v>
      </c>
      <c r="AJ9281">
        <v>181.52</v>
      </c>
      <c r="AK9281">
        <v>0</v>
      </c>
      <c r="AL9281" t="s">
        <v>53</v>
      </c>
      <c r="AM9281" t="s">
        <v>53</v>
      </c>
      <c r="AN9281" t="s">
        <v>17752</v>
      </c>
      <c r="AO9281" t="s">
        <v>53</v>
      </c>
      <c r="AP9281" t="s">
        <v>53</v>
      </c>
    </row>
    <row r="9282" spans="2:42" x14ac:dyDescent="0.2">
      <c r="B9282" t="s">
        <v>44</v>
      </c>
      <c r="C9282" t="str">
        <f>HYPERLINK("https://us2.cloudbeds.com/connect/8493803454333002#/reservations/9080486849437812?display=5BF557TZQ1&amp;reservation_id=9080486849437812", "5BF557TZQ1")</f>
        <v>5BF557TZQ1</v>
      </c>
      <c r="D9282" t="s">
        <v>45</v>
      </c>
      <c r="E9282" t="s">
        <v>110</v>
      </c>
      <c r="F9282" t="s">
        <v>47</v>
      </c>
      <c r="G9282" t="s">
        <v>48</v>
      </c>
      <c r="H9282" t="s">
        <v>49</v>
      </c>
      <c r="I9282" t="s">
        <v>50</v>
      </c>
      <c r="J9282" t="s">
        <v>16932</v>
      </c>
      <c r="K9282" t="s">
        <v>17216</v>
      </c>
      <c r="L9282" t="s">
        <v>53</v>
      </c>
      <c r="N9282" t="s">
        <v>17753</v>
      </c>
      <c r="P9282" t="s">
        <v>55</v>
      </c>
      <c r="R9282" t="s">
        <v>53</v>
      </c>
      <c r="T9282" t="s">
        <v>17754</v>
      </c>
      <c r="U9282" t="s">
        <v>55</v>
      </c>
      <c r="V9282">
        <v>1</v>
      </c>
      <c r="W9282">
        <v>1</v>
      </c>
      <c r="X9282">
        <v>2</v>
      </c>
      <c r="Y9282">
        <v>0</v>
      </c>
      <c r="Z9282">
        <v>2</v>
      </c>
      <c r="AA9282">
        <v>188.21</v>
      </c>
      <c r="AB9282">
        <v>188.21</v>
      </c>
      <c r="AC9282">
        <v>173.06</v>
      </c>
      <c r="AD9282">
        <v>0</v>
      </c>
      <c r="AE9282">
        <v>15.15</v>
      </c>
      <c r="AF9282">
        <v>0</v>
      </c>
      <c r="AG9282">
        <v>0</v>
      </c>
      <c r="AH9282">
        <v>0</v>
      </c>
      <c r="AI9282">
        <v>33.880000000000003</v>
      </c>
      <c r="AJ9282">
        <v>188.21</v>
      </c>
      <c r="AK9282">
        <v>0</v>
      </c>
      <c r="AL9282" t="s">
        <v>53</v>
      </c>
      <c r="AM9282" t="s">
        <v>53</v>
      </c>
      <c r="AN9282" t="s">
        <v>53</v>
      </c>
      <c r="AO9282" t="s">
        <v>53</v>
      </c>
      <c r="AP9282" t="s">
        <v>53</v>
      </c>
    </row>
    <row r="9283" spans="2:42" x14ac:dyDescent="0.2">
      <c r="B9283" t="s">
        <v>44</v>
      </c>
      <c r="C9283" t="str">
        <f>HYPERLINK("https://us2.cloudbeds.com/connect/8493803454333002#/reservations/9080486849442070?display=5BX8KJ8BHB&amp;reservation_id=9080486849442070", "5BX8KJ8BHB")</f>
        <v>5BX8KJ8BHB</v>
      </c>
      <c r="D9283" t="s">
        <v>10291</v>
      </c>
      <c r="E9283" t="s">
        <v>165</v>
      </c>
      <c r="F9283" t="s">
        <v>61</v>
      </c>
      <c r="G9283" t="s">
        <v>48</v>
      </c>
      <c r="H9283" t="s">
        <v>49</v>
      </c>
      <c r="I9283" t="s">
        <v>50</v>
      </c>
      <c r="J9283" t="s">
        <v>10292</v>
      </c>
      <c r="K9283" t="s">
        <v>16795</v>
      </c>
      <c r="L9283" t="s">
        <v>53</v>
      </c>
      <c r="N9283" t="s">
        <v>17755</v>
      </c>
      <c r="P9283" t="s">
        <v>55</v>
      </c>
      <c r="R9283" t="s">
        <v>53</v>
      </c>
      <c r="T9283" t="s">
        <v>17756</v>
      </c>
      <c r="U9283" t="s">
        <v>55</v>
      </c>
      <c r="V9283">
        <v>2</v>
      </c>
      <c r="W9283">
        <v>1</v>
      </c>
      <c r="X9283">
        <v>2</v>
      </c>
      <c r="Y9283">
        <v>0</v>
      </c>
      <c r="Z9283">
        <v>2</v>
      </c>
      <c r="AA9283">
        <v>281.47000000000003</v>
      </c>
      <c r="AB9283">
        <v>0</v>
      </c>
      <c r="AC9283">
        <v>258.82</v>
      </c>
      <c r="AD9283">
        <v>0</v>
      </c>
      <c r="AE9283">
        <v>22.65</v>
      </c>
      <c r="AF9283">
        <v>0</v>
      </c>
      <c r="AG9283">
        <v>0</v>
      </c>
      <c r="AH9283">
        <v>0</v>
      </c>
      <c r="AI9283">
        <v>50.66</v>
      </c>
      <c r="AJ9283">
        <v>281.47000000000003</v>
      </c>
      <c r="AK9283">
        <v>281.47000000000003</v>
      </c>
      <c r="AL9283" t="s">
        <v>53</v>
      </c>
      <c r="AM9283" t="s">
        <v>53</v>
      </c>
      <c r="AN9283" t="s">
        <v>53</v>
      </c>
      <c r="AO9283" t="s">
        <v>53</v>
      </c>
      <c r="AP9283" t="s">
        <v>53</v>
      </c>
    </row>
    <row r="9284" spans="2:42" x14ac:dyDescent="0.2">
      <c r="B9284" t="s">
        <v>44</v>
      </c>
      <c r="C9284" t="str">
        <f>HYPERLINK("https://us2.cloudbeds.com/connect/8493803454333002#/reservations/9080486849443236?display=5BXR1M8W7T&amp;reservation_id=9080486849443236", "5BXR1M8W7T")</f>
        <v>5BXR1M8W7T</v>
      </c>
      <c r="D9284" t="s">
        <v>10291</v>
      </c>
      <c r="E9284" t="s">
        <v>110</v>
      </c>
      <c r="F9284" t="s">
        <v>47</v>
      </c>
      <c r="G9284" t="s">
        <v>48</v>
      </c>
      <c r="H9284" t="s">
        <v>49</v>
      </c>
      <c r="I9284" t="s">
        <v>50</v>
      </c>
      <c r="J9284" t="s">
        <v>10292</v>
      </c>
      <c r="K9284" t="s">
        <v>10293</v>
      </c>
      <c r="L9284" t="s">
        <v>53</v>
      </c>
      <c r="N9284" t="s">
        <v>17757</v>
      </c>
      <c r="P9284" t="s">
        <v>55</v>
      </c>
      <c r="R9284" t="s">
        <v>53</v>
      </c>
      <c r="T9284" t="s">
        <v>17758</v>
      </c>
      <c r="U9284" t="s">
        <v>55</v>
      </c>
      <c r="V9284">
        <v>1</v>
      </c>
      <c r="W9284">
        <v>1</v>
      </c>
      <c r="X9284">
        <v>2</v>
      </c>
      <c r="Y9284">
        <v>0</v>
      </c>
      <c r="Z9284">
        <v>2</v>
      </c>
      <c r="AA9284">
        <v>148.88</v>
      </c>
      <c r="AB9284">
        <v>0</v>
      </c>
      <c r="AC9284">
        <v>136.9</v>
      </c>
      <c r="AD9284">
        <v>0</v>
      </c>
      <c r="AE9284">
        <v>11.98</v>
      </c>
      <c r="AF9284">
        <v>0</v>
      </c>
      <c r="AG9284">
        <v>0</v>
      </c>
      <c r="AH9284">
        <v>0</v>
      </c>
      <c r="AI9284">
        <v>26.8</v>
      </c>
      <c r="AJ9284">
        <v>148.88</v>
      </c>
      <c r="AK9284">
        <v>148.88</v>
      </c>
      <c r="AL9284" t="s">
        <v>53</v>
      </c>
      <c r="AM9284" t="s">
        <v>53</v>
      </c>
      <c r="AN9284" t="s">
        <v>53</v>
      </c>
      <c r="AO9284" t="s">
        <v>53</v>
      </c>
      <c r="AP9284" t="s">
        <v>53</v>
      </c>
    </row>
    <row r="9285" spans="2:42" x14ac:dyDescent="0.2">
      <c r="B9285" t="s">
        <v>44</v>
      </c>
      <c r="C9285" t="str">
        <f>HYPERLINK("https://us2.cloudbeds.com/connect/8493803454333002#/reservations/248351820034240?display=5BJAVKWFG1&amp;reservation_id=248351820034240", "5BJAVKWFG1")</f>
        <v>5BJAVKWFG1</v>
      </c>
      <c r="D9285" t="s">
        <v>45</v>
      </c>
      <c r="E9285" t="s">
        <v>155</v>
      </c>
      <c r="F9285" t="s">
        <v>86</v>
      </c>
      <c r="G9285" t="s">
        <v>48</v>
      </c>
      <c r="H9285" t="s">
        <v>3957</v>
      </c>
      <c r="I9285" t="s">
        <v>3975</v>
      </c>
      <c r="J9285" t="s">
        <v>14131</v>
      </c>
      <c r="K9285" t="s">
        <v>15867</v>
      </c>
      <c r="L9285" t="s">
        <v>53</v>
      </c>
      <c r="P9285" t="s">
        <v>55</v>
      </c>
      <c r="R9285" t="s">
        <v>56</v>
      </c>
      <c r="T9285" t="s">
        <v>17759</v>
      </c>
      <c r="U9285" t="s">
        <v>58</v>
      </c>
      <c r="V9285">
        <v>1</v>
      </c>
      <c r="W9285">
        <v>1</v>
      </c>
      <c r="X9285">
        <v>2</v>
      </c>
      <c r="Y9285">
        <v>2</v>
      </c>
      <c r="Z9285">
        <v>4</v>
      </c>
      <c r="AA9285">
        <v>224.71</v>
      </c>
      <c r="AB9285">
        <v>224.71</v>
      </c>
      <c r="AC9285">
        <v>196</v>
      </c>
      <c r="AD9285">
        <v>0</v>
      </c>
      <c r="AE9285">
        <v>28.71</v>
      </c>
      <c r="AF9285">
        <v>0</v>
      </c>
      <c r="AG9285">
        <v>0</v>
      </c>
      <c r="AH9285">
        <v>0</v>
      </c>
      <c r="AI9285">
        <v>0</v>
      </c>
      <c r="AJ9285">
        <v>224.71</v>
      </c>
      <c r="AK9285">
        <v>0</v>
      </c>
      <c r="AL9285" t="s">
        <v>53</v>
      </c>
      <c r="AM9285" t="s">
        <v>53</v>
      </c>
      <c r="AN9285" t="s">
        <v>17760</v>
      </c>
      <c r="AO9285" t="s">
        <v>53</v>
      </c>
      <c r="AP9285" t="s">
        <v>53</v>
      </c>
    </row>
    <row r="9286" spans="2:42" x14ac:dyDescent="0.2">
      <c r="B9286" t="s">
        <v>44</v>
      </c>
      <c r="C9286" t="str">
        <f>HYPERLINK("https://us2.cloudbeds.com/connect/8493803454333002#/reservations/248358087139520?display=5BJFQPXU56&amp;reservation_id=248358087139520", "5BJFQPXU56")</f>
        <v>5BJFQPXU56</v>
      </c>
      <c r="D9286" t="s">
        <v>45</v>
      </c>
      <c r="E9286" t="s">
        <v>165</v>
      </c>
      <c r="F9286" t="s">
        <v>61</v>
      </c>
      <c r="G9286" t="s">
        <v>48</v>
      </c>
      <c r="H9286" t="s">
        <v>3957</v>
      </c>
      <c r="I9286" t="s">
        <v>3958</v>
      </c>
      <c r="J9286" t="s">
        <v>14131</v>
      </c>
      <c r="K9286" t="s">
        <v>15867</v>
      </c>
      <c r="L9286" t="s">
        <v>53</v>
      </c>
      <c r="P9286" t="s">
        <v>55</v>
      </c>
      <c r="R9286" t="s">
        <v>56</v>
      </c>
      <c r="T9286" t="s">
        <v>17761</v>
      </c>
      <c r="U9286" t="s">
        <v>58</v>
      </c>
      <c r="V9286">
        <v>1</v>
      </c>
      <c r="W9286">
        <v>1</v>
      </c>
      <c r="X9286">
        <v>1</v>
      </c>
      <c r="Y9286">
        <v>0</v>
      </c>
      <c r="Z9286">
        <v>1</v>
      </c>
      <c r="AA9286">
        <v>208.67</v>
      </c>
      <c r="AB9286">
        <v>208.67</v>
      </c>
      <c r="AC9286">
        <v>182</v>
      </c>
      <c r="AD9286">
        <v>0</v>
      </c>
      <c r="AE9286">
        <v>26.67</v>
      </c>
      <c r="AF9286">
        <v>0</v>
      </c>
      <c r="AG9286">
        <v>0</v>
      </c>
      <c r="AH9286">
        <v>0</v>
      </c>
      <c r="AI9286">
        <v>0</v>
      </c>
      <c r="AJ9286">
        <v>208.67</v>
      </c>
      <c r="AK9286">
        <v>0</v>
      </c>
      <c r="AL9286" t="s">
        <v>53</v>
      </c>
      <c r="AM9286" t="s">
        <v>53</v>
      </c>
      <c r="AN9286" t="s">
        <v>53</v>
      </c>
      <c r="AO9286" t="s">
        <v>53</v>
      </c>
      <c r="AP9286" t="s">
        <v>53</v>
      </c>
    </row>
    <row r="9287" spans="2:42" x14ac:dyDescent="0.2">
      <c r="B9287" t="s">
        <v>44</v>
      </c>
      <c r="C9287" t="str">
        <f>HYPERLINK("https://us2.cloudbeds.com/connect/8493803454333002#/reservations/9080486849445246?display=5BJHRS58RD&amp;reservation_id=9080486849445246", "5BJHRS58RD")</f>
        <v>5BJHRS58RD</v>
      </c>
      <c r="D9287" t="s">
        <v>10291</v>
      </c>
      <c r="E9287" t="s">
        <v>113</v>
      </c>
      <c r="F9287" t="s">
        <v>61</v>
      </c>
      <c r="G9287" t="s">
        <v>48</v>
      </c>
      <c r="H9287" t="s">
        <v>49</v>
      </c>
      <c r="I9287" t="s">
        <v>50</v>
      </c>
      <c r="J9287" t="s">
        <v>17762</v>
      </c>
      <c r="K9287" t="s">
        <v>17763</v>
      </c>
      <c r="L9287" t="s">
        <v>53</v>
      </c>
      <c r="N9287" t="s">
        <v>17764</v>
      </c>
      <c r="P9287" t="s">
        <v>55</v>
      </c>
      <c r="R9287" t="s">
        <v>53</v>
      </c>
      <c r="T9287" t="s">
        <v>17765</v>
      </c>
      <c r="U9287" t="s">
        <v>55</v>
      </c>
      <c r="V9287">
        <v>3</v>
      </c>
      <c r="W9287">
        <v>1</v>
      </c>
      <c r="X9287">
        <v>2</v>
      </c>
      <c r="Y9287">
        <v>0</v>
      </c>
      <c r="Z9287">
        <v>2</v>
      </c>
      <c r="AA9287">
        <v>385.06</v>
      </c>
      <c r="AB9287">
        <v>0</v>
      </c>
      <c r="AC9287">
        <v>354.08</v>
      </c>
      <c r="AD9287">
        <v>0</v>
      </c>
      <c r="AE9287">
        <v>30.98</v>
      </c>
      <c r="AF9287">
        <v>0</v>
      </c>
      <c r="AG9287">
        <v>0</v>
      </c>
      <c r="AH9287">
        <v>0</v>
      </c>
      <c r="AI9287">
        <v>69.31</v>
      </c>
      <c r="AJ9287">
        <v>385.06</v>
      </c>
      <c r="AK9287">
        <v>385.06</v>
      </c>
      <c r="AL9287" t="s">
        <v>53</v>
      </c>
      <c r="AM9287" t="s">
        <v>53</v>
      </c>
      <c r="AN9287" t="s">
        <v>53</v>
      </c>
      <c r="AO9287" t="s">
        <v>53</v>
      </c>
      <c r="AP9287" t="s">
        <v>53</v>
      </c>
    </row>
    <row r="9288" spans="2:42" x14ac:dyDescent="0.2">
      <c r="B9288" t="s">
        <v>44</v>
      </c>
      <c r="C9288" t="str">
        <f>HYPERLINK("https://us2.cloudbeds.com/connect/8493803454333002#/reservations/9080486849445321?display=5BJXRN4MGF&amp;reservation_id=9080486849445321", "5BJXRN4MGF")</f>
        <v>5BJXRN4MGF</v>
      </c>
      <c r="D9288" t="s">
        <v>45</v>
      </c>
      <c r="E9288" t="s">
        <v>113</v>
      </c>
      <c r="F9288" t="s">
        <v>61</v>
      </c>
      <c r="G9288" t="s">
        <v>48</v>
      </c>
      <c r="H9288" t="s">
        <v>49</v>
      </c>
      <c r="I9288" t="s">
        <v>50</v>
      </c>
      <c r="J9288" t="s">
        <v>14131</v>
      </c>
      <c r="K9288" t="s">
        <v>15867</v>
      </c>
      <c r="L9288" t="s">
        <v>53</v>
      </c>
      <c r="N9288" t="s">
        <v>17766</v>
      </c>
      <c r="P9288" t="s">
        <v>55</v>
      </c>
      <c r="R9288" t="s">
        <v>53</v>
      </c>
      <c r="T9288" t="s">
        <v>17767</v>
      </c>
      <c r="U9288" t="s">
        <v>55</v>
      </c>
      <c r="V9288">
        <v>1</v>
      </c>
      <c r="W9288">
        <v>1</v>
      </c>
      <c r="X9288">
        <v>1</v>
      </c>
      <c r="Y9288">
        <v>0</v>
      </c>
      <c r="Z9288">
        <v>1</v>
      </c>
      <c r="AA9288">
        <v>170.41</v>
      </c>
      <c r="AB9288">
        <v>170.41</v>
      </c>
      <c r="AC9288">
        <v>156.69999999999999</v>
      </c>
      <c r="AD9288">
        <v>0</v>
      </c>
      <c r="AE9288">
        <v>13.71</v>
      </c>
      <c r="AF9288">
        <v>0</v>
      </c>
      <c r="AG9288">
        <v>0</v>
      </c>
      <c r="AH9288">
        <v>0</v>
      </c>
      <c r="AI9288">
        <v>30.67</v>
      </c>
      <c r="AJ9288">
        <v>170.41</v>
      </c>
      <c r="AK9288">
        <v>0</v>
      </c>
      <c r="AL9288" t="s">
        <v>53</v>
      </c>
      <c r="AM9288" t="s">
        <v>53</v>
      </c>
      <c r="AN9288" t="s">
        <v>17768</v>
      </c>
      <c r="AO9288" t="s">
        <v>53</v>
      </c>
      <c r="AP9288" t="s">
        <v>53</v>
      </c>
    </row>
    <row r="9289" spans="2:42" x14ac:dyDescent="0.2">
      <c r="B9289" t="s">
        <v>44</v>
      </c>
      <c r="C9289" t="str">
        <f>HYPERLINK("https://us2.cloudbeds.com/connect/8493803454333002#/reservations/248384533463168?display=5BK39HQD6X&amp;reservation_id=248384533463168", "5BK39HQD6X")</f>
        <v>5BK39HQD6X</v>
      </c>
      <c r="D9289" t="s">
        <v>45</v>
      </c>
      <c r="E9289" t="s">
        <v>14402</v>
      </c>
      <c r="F9289" t="s">
        <v>14403</v>
      </c>
      <c r="G9289" t="s">
        <v>48</v>
      </c>
      <c r="H9289" t="s">
        <v>3957</v>
      </c>
      <c r="I9289" t="s">
        <v>3975</v>
      </c>
      <c r="J9289" t="s">
        <v>17289</v>
      </c>
      <c r="K9289" t="s">
        <v>14631</v>
      </c>
      <c r="L9289" t="s">
        <v>53</v>
      </c>
      <c r="P9289" t="s">
        <v>55</v>
      </c>
      <c r="R9289" t="s">
        <v>56</v>
      </c>
      <c r="T9289" t="s">
        <v>17769</v>
      </c>
      <c r="U9289" t="s">
        <v>58</v>
      </c>
      <c r="V9289">
        <v>1</v>
      </c>
      <c r="W9289">
        <v>1</v>
      </c>
      <c r="X9289">
        <v>2</v>
      </c>
      <c r="Y9289">
        <v>0</v>
      </c>
      <c r="Z9289">
        <v>2</v>
      </c>
      <c r="AA9289">
        <v>197.2</v>
      </c>
      <c r="AB9289">
        <v>412.74</v>
      </c>
      <c r="AC9289">
        <v>172</v>
      </c>
      <c r="AD9289">
        <v>0</v>
      </c>
      <c r="AE9289">
        <v>25.2</v>
      </c>
      <c r="AF9289">
        <v>0</v>
      </c>
      <c r="AG9289">
        <v>0</v>
      </c>
      <c r="AH9289">
        <v>0</v>
      </c>
      <c r="AI9289">
        <v>0</v>
      </c>
      <c r="AJ9289">
        <v>197.2</v>
      </c>
      <c r="AK9289">
        <v>-215.54</v>
      </c>
      <c r="AL9289" t="s">
        <v>53</v>
      </c>
      <c r="AM9289" t="s">
        <v>53</v>
      </c>
      <c r="AN9289" t="s">
        <v>17770</v>
      </c>
      <c r="AO9289" t="s">
        <v>53</v>
      </c>
      <c r="AP9289" t="s">
        <v>53</v>
      </c>
    </row>
    <row r="9290" spans="2:42" x14ac:dyDescent="0.2">
      <c r="B9290" t="s">
        <v>44</v>
      </c>
      <c r="C9290" t="str">
        <f>HYPERLINK("https://us2.cloudbeds.com/connect/8493803454333002#/reservations/248404283785344?display=5BKXJ6QMJE&amp;reservation_id=248404283785344", "5BKXJ6QMJE")</f>
        <v>5BKXJ6QMJE</v>
      </c>
      <c r="D9290" t="s">
        <v>45</v>
      </c>
      <c r="E9290" t="s">
        <v>213</v>
      </c>
      <c r="F9290" t="s">
        <v>86</v>
      </c>
      <c r="G9290" t="s">
        <v>4520</v>
      </c>
      <c r="H9290" t="s">
        <v>3957</v>
      </c>
      <c r="I9290" t="s">
        <v>3958</v>
      </c>
      <c r="J9290" t="s">
        <v>14131</v>
      </c>
      <c r="K9290" t="s">
        <v>15867</v>
      </c>
      <c r="L9290" t="s">
        <v>53</v>
      </c>
      <c r="P9290" t="s">
        <v>55</v>
      </c>
      <c r="R9290" t="s">
        <v>56</v>
      </c>
      <c r="T9290" t="s">
        <v>17771</v>
      </c>
      <c r="U9290" t="s">
        <v>58</v>
      </c>
      <c r="V9290">
        <v>1</v>
      </c>
      <c r="W9290">
        <v>1</v>
      </c>
      <c r="X9290">
        <v>1</v>
      </c>
      <c r="Y9290">
        <v>0</v>
      </c>
      <c r="Z9290">
        <v>1</v>
      </c>
      <c r="AA9290">
        <v>191.92</v>
      </c>
      <c r="AB9290">
        <v>228.64</v>
      </c>
      <c r="AC9290">
        <v>167.4</v>
      </c>
      <c r="AD9290">
        <v>0</v>
      </c>
      <c r="AE9290">
        <v>24.52</v>
      </c>
      <c r="AF9290">
        <v>0</v>
      </c>
      <c r="AG9290">
        <v>0</v>
      </c>
      <c r="AH9290">
        <v>0</v>
      </c>
      <c r="AI9290">
        <v>0</v>
      </c>
      <c r="AJ9290">
        <v>191.92</v>
      </c>
      <c r="AK9290">
        <v>-36.72</v>
      </c>
      <c r="AL9290" t="s">
        <v>53</v>
      </c>
      <c r="AM9290" t="s">
        <v>53</v>
      </c>
      <c r="AN9290" t="s">
        <v>53</v>
      </c>
      <c r="AO9290" t="s">
        <v>53</v>
      </c>
      <c r="AP9290" t="s">
        <v>53</v>
      </c>
    </row>
    <row r="9291" spans="2:42" x14ac:dyDescent="0.2">
      <c r="B9291" t="s">
        <v>44</v>
      </c>
      <c r="C9291" t="str">
        <f>HYPERLINK("https://us2.cloudbeds.com/connect/8493803454333002#/reservations/9080486849447651?display=5BKYC9VXFX&amp;reservation_id=9080486849447651", "5BKYC9VXFX")</f>
        <v>5BKYC9VXFX</v>
      </c>
      <c r="D9291" t="s">
        <v>45</v>
      </c>
      <c r="E9291" t="s">
        <v>105</v>
      </c>
      <c r="F9291" t="s">
        <v>47</v>
      </c>
      <c r="G9291" t="s">
        <v>48</v>
      </c>
      <c r="H9291" t="s">
        <v>49</v>
      </c>
      <c r="I9291" t="s">
        <v>50</v>
      </c>
      <c r="J9291" t="s">
        <v>14131</v>
      </c>
      <c r="K9291" t="s">
        <v>15867</v>
      </c>
      <c r="L9291" t="s">
        <v>53</v>
      </c>
      <c r="N9291" t="s">
        <v>17772</v>
      </c>
      <c r="P9291" t="s">
        <v>55</v>
      </c>
      <c r="R9291" t="s">
        <v>53</v>
      </c>
      <c r="T9291" t="s">
        <v>17773</v>
      </c>
      <c r="U9291" t="s">
        <v>55</v>
      </c>
      <c r="V9291">
        <v>1</v>
      </c>
      <c r="W9291">
        <v>1</v>
      </c>
      <c r="X9291">
        <v>1</v>
      </c>
      <c r="Y9291">
        <v>0</v>
      </c>
      <c r="Z9291">
        <v>1</v>
      </c>
      <c r="AA9291">
        <v>145.13999999999999</v>
      </c>
      <c r="AB9291">
        <v>145.13999999999999</v>
      </c>
      <c r="AC9291">
        <v>133.46</v>
      </c>
      <c r="AD9291">
        <v>0</v>
      </c>
      <c r="AE9291">
        <v>11.68</v>
      </c>
      <c r="AF9291">
        <v>0</v>
      </c>
      <c r="AG9291">
        <v>0</v>
      </c>
      <c r="AH9291">
        <v>0</v>
      </c>
      <c r="AI9291">
        <v>26.13</v>
      </c>
      <c r="AJ9291">
        <v>145.13999999999999</v>
      </c>
      <c r="AK9291">
        <v>0</v>
      </c>
      <c r="AL9291" t="s">
        <v>53</v>
      </c>
      <c r="AM9291" t="s">
        <v>53</v>
      </c>
      <c r="AN9291" t="s">
        <v>53</v>
      </c>
      <c r="AO9291" t="s">
        <v>53</v>
      </c>
      <c r="AP9291" t="s">
        <v>53</v>
      </c>
    </row>
    <row r="9292" spans="2:42" x14ac:dyDescent="0.2">
      <c r="B9292" t="s">
        <v>44</v>
      </c>
      <c r="C9292" t="str">
        <f>HYPERLINK("https://us2.cloudbeds.com/connect/8493803454333002#/reservations/248417643397312?display=5BKSUJ04SF&amp;reservation_id=248417643397312", "5BKSUJ04SF")</f>
        <v>5BKSUJ04SF</v>
      </c>
      <c r="D9292" t="s">
        <v>45</v>
      </c>
      <c r="E9292" t="s">
        <v>46</v>
      </c>
      <c r="F9292" t="s">
        <v>47</v>
      </c>
      <c r="G9292" t="s">
        <v>48</v>
      </c>
      <c r="H9292" t="s">
        <v>3957</v>
      </c>
      <c r="I9292" t="s">
        <v>3958</v>
      </c>
      <c r="J9292" t="s">
        <v>14131</v>
      </c>
      <c r="K9292" t="s">
        <v>16932</v>
      </c>
      <c r="L9292" t="s">
        <v>53</v>
      </c>
      <c r="P9292" t="s">
        <v>55</v>
      </c>
      <c r="R9292" t="s">
        <v>56</v>
      </c>
      <c r="T9292" t="s">
        <v>17774</v>
      </c>
      <c r="U9292" t="s">
        <v>58</v>
      </c>
      <c r="V9292">
        <v>2</v>
      </c>
      <c r="W9292">
        <v>1</v>
      </c>
      <c r="X9292">
        <v>1</v>
      </c>
      <c r="Y9292">
        <v>0</v>
      </c>
      <c r="Z9292">
        <v>1</v>
      </c>
      <c r="AA9292">
        <v>417.34</v>
      </c>
      <c r="AB9292">
        <v>417.34</v>
      </c>
      <c r="AC9292">
        <v>364</v>
      </c>
      <c r="AD9292">
        <v>0</v>
      </c>
      <c r="AE9292">
        <v>53.34</v>
      </c>
      <c r="AF9292">
        <v>0</v>
      </c>
      <c r="AG9292">
        <v>0</v>
      </c>
      <c r="AH9292">
        <v>0</v>
      </c>
      <c r="AI9292">
        <v>0</v>
      </c>
      <c r="AJ9292">
        <v>417.34</v>
      </c>
      <c r="AK9292">
        <v>0</v>
      </c>
      <c r="AL9292" t="s">
        <v>53</v>
      </c>
      <c r="AM9292" t="s">
        <v>53</v>
      </c>
      <c r="AN9292" t="s">
        <v>53</v>
      </c>
      <c r="AO9292" t="s">
        <v>53</v>
      </c>
      <c r="AP9292" t="s">
        <v>53</v>
      </c>
    </row>
    <row r="9293" spans="2:42" x14ac:dyDescent="0.2">
      <c r="B9293" t="s">
        <v>44</v>
      </c>
      <c r="C9293" t="str">
        <f>HYPERLINK("https://us2.cloudbeds.com/connect/8493803454333002#/reservations/248437296361665?display=5BYB4ZT5H1&amp;reservation_id=248437296361665", "5BYB4ZT5H1")</f>
        <v>5BYB4ZT5H1</v>
      </c>
      <c r="D9293" t="s">
        <v>45</v>
      </c>
      <c r="E9293" t="s">
        <v>78</v>
      </c>
      <c r="F9293" t="s">
        <v>61</v>
      </c>
      <c r="G9293" t="s">
        <v>48</v>
      </c>
      <c r="H9293" t="s">
        <v>3957</v>
      </c>
      <c r="I9293" t="s">
        <v>3958</v>
      </c>
      <c r="J9293" t="s">
        <v>14131</v>
      </c>
      <c r="K9293" t="s">
        <v>15867</v>
      </c>
      <c r="L9293" t="s">
        <v>53</v>
      </c>
      <c r="P9293" t="s">
        <v>55</v>
      </c>
      <c r="R9293" t="s">
        <v>56</v>
      </c>
      <c r="T9293" t="s">
        <v>17775</v>
      </c>
      <c r="U9293" t="s">
        <v>58</v>
      </c>
      <c r="V9293">
        <v>1</v>
      </c>
      <c r="W9293">
        <v>1</v>
      </c>
      <c r="X9293">
        <v>1</v>
      </c>
      <c r="Y9293">
        <v>0</v>
      </c>
      <c r="Z9293">
        <v>1</v>
      </c>
      <c r="AA9293">
        <v>189.18</v>
      </c>
      <c r="AB9293">
        <v>189.18</v>
      </c>
      <c r="AC9293">
        <v>165</v>
      </c>
      <c r="AD9293">
        <v>0</v>
      </c>
      <c r="AE9293">
        <v>24.18</v>
      </c>
      <c r="AF9293">
        <v>0</v>
      </c>
      <c r="AG9293">
        <v>0</v>
      </c>
      <c r="AH9293">
        <v>0</v>
      </c>
      <c r="AI9293">
        <v>0</v>
      </c>
      <c r="AJ9293">
        <v>189.18</v>
      </c>
      <c r="AK9293">
        <v>0</v>
      </c>
      <c r="AL9293" t="s">
        <v>53</v>
      </c>
      <c r="AM9293" t="s">
        <v>53</v>
      </c>
      <c r="AN9293" t="s">
        <v>53</v>
      </c>
      <c r="AO9293" t="s">
        <v>53</v>
      </c>
      <c r="AP9293" t="s">
        <v>53</v>
      </c>
    </row>
    <row r="9294" spans="2:42" x14ac:dyDescent="0.2">
      <c r="B9294" t="s">
        <v>44</v>
      </c>
      <c r="C9294" t="str">
        <f>HYPERLINK("https://us2.cloudbeds.com/connect/8493803454333002#/reservations/248448149176448?display=5BYJX28KM2&amp;reservation_id=248448149176448", "5BYJX28KM2")</f>
        <v>5BYJX28KM2</v>
      </c>
      <c r="D9294" t="s">
        <v>45</v>
      </c>
      <c r="E9294" t="s">
        <v>121</v>
      </c>
      <c r="F9294" t="s">
        <v>86</v>
      </c>
      <c r="G9294" t="s">
        <v>4520</v>
      </c>
      <c r="H9294" t="s">
        <v>3957</v>
      </c>
      <c r="I9294" t="s">
        <v>3958</v>
      </c>
      <c r="J9294" t="s">
        <v>14131</v>
      </c>
      <c r="K9294" t="s">
        <v>17216</v>
      </c>
      <c r="L9294" t="s">
        <v>53</v>
      </c>
      <c r="P9294" t="s">
        <v>55</v>
      </c>
      <c r="R9294" t="s">
        <v>56</v>
      </c>
      <c r="T9294" t="s">
        <v>17776</v>
      </c>
      <c r="U9294" t="s">
        <v>58</v>
      </c>
      <c r="V9294">
        <v>3</v>
      </c>
      <c r="W9294">
        <v>1</v>
      </c>
      <c r="X9294">
        <v>1</v>
      </c>
      <c r="Y9294">
        <v>0</v>
      </c>
      <c r="Z9294">
        <v>1</v>
      </c>
      <c r="AA9294">
        <v>695.48</v>
      </c>
      <c r="AB9294">
        <v>700.96</v>
      </c>
      <c r="AC9294">
        <v>606.6</v>
      </c>
      <c r="AD9294">
        <v>5</v>
      </c>
      <c r="AE9294">
        <v>89.36</v>
      </c>
      <c r="AF9294">
        <v>0</v>
      </c>
      <c r="AG9294">
        <v>0</v>
      </c>
      <c r="AH9294">
        <v>0</v>
      </c>
      <c r="AI9294">
        <v>0</v>
      </c>
      <c r="AJ9294">
        <v>700.96</v>
      </c>
      <c r="AK9294">
        <v>0</v>
      </c>
      <c r="AL9294" t="s">
        <v>53</v>
      </c>
      <c r="AM9294" t="s">
        <v>53</v>
      </c>
      <c r="AN9294" t="s">
        <v>53</v>
      </c>
      <c r="AO9294" t="s">
        <v>53</v>
      </c>
      <c r="AP9294" t="s">
        <v>53</v>
      </c>
    </row>
    <row r="9295" spans="2:42" x14ac:dyDescent="0.2">
      <c r="B9295" t="s">
        <v>44</v>
      </c>
      <c r="C9295" t="str">
        <f>HYPERLINK("https://us2.cloudbeds.com/connect/8493803454333002#/reservations/9080486849449556?display=5BYMQDJZ6D&amp;reservation_id=9080486849449556", "5BYMQDJZ6D")</f>
        <v>5BYMQDJZ6D</v>
      </c>
      <c r="D9295" t="s">
        <v>45</v>
      </c>
      <c r="E9295" t="s">
        <v>165</v>
      </c>
      <c r="F9295" t="s">
        <v>61</v>
      </c>
      <c r="G9295" t="s">
        <v>48</v>
      </c>
      <c r="H9295" t="s">
        <v>49</v>
      </c>
      <c r="I9295" t="s">
        <v>50</v>
      </c>
      <c r="J9295" t="s">
        <v>17216</v>
      </c>
      <c r="K9295" t="s">
        <v>15625</v>
      </c>
      <c r="L9295" t="s">
        <v>53</v>
      </c>
      <c r="N9295" t="s">
        <v>17777</v>
      </c>
      <c r="P9295" t="s">
        <v>55</v>
      </c>
      <c r="R9295" t="s">
        <v>53</v>
      </c>
      <c r="T9295" t="s">
        <v>17778</v>
      </c>
      <c r="U9295" t="s">
        <v>55</v>
      </c>
      <c r="V9295">
        <v>1</v>
      </c>
      <c r="W9295">
        <v>1</v>
      </c>
      <c r="X9295">
        <v>2</v>
      </c>
      <c r="Y9295">
        <v>0</v>
      </c>
      <c r="Z9295">
        <v>2</v>
      </c>
      <c r="AA9295">
        <v>151.68</v>
      </c>
      <c r="AB9295">
        <v>151.68</v>
      </c>
      <c r="AC9295">
        <v>139.47999999999999</v>
      </c>
      <c r="AD9295">
        <v>0</v>
      </c>
      <c r="AE9295">
        <v>12.2</v>
      </c>
      <c r="AF9295">
        <v>0</v>
      </c>
      <c r="AG9295">
        <v>0</v>
      </c>
      <c r="AH9295">
        <v>0</v>
      </c>
      <c r="AI9295">
        <v>27.3</v>
      </c>
      <c r="AJ9295">
        <v>151.68</v>
      </c>
      <c r="AK9295">
        <v>0</v>
      </c>
      <c r="AL9295" t="s">
        <v>53</v>
      </c>
      <c r="AM9295" t="s">
        <v>53</v>
      </c>
      <c r="AN9295" t="s">
        <v>17779</v>
      </c>
      <c r="AO9295" t="s">
        <v>53</v>
      </c>
      <c r="AP9295" t="s">
        <v>53</v>
      </c>
    </row>
    <row r="9296" spans="2:42" x14ac:dyDescent="0.2">
      <c r="B9296" t="s">
        <v>44</v>
      </c>
      <c r="C9296" t="str">
        <f>HYPERLINK("https://us2.cloudbeds.com/connect/8493803454333002#/reservations/9080486849450032?display=5BM0AASPWX&amp;reservation_id=9080486849450032", "5BM0AASPWX")</f>
        <v>5BM0AASPWX</v>
      </c>
      <c r="D9296" t="s">
        <v>45</v>
      </c>
      <c r="E9296" t="s">
        <v>113</v>
      </c>
      <c r="F9296" t="s">
        <v>61</v>
      </c>
      <c r="G9296" t="s">
        <v>48</v>
      </c>
      <c r="H9296" t="s">
        <v>49</v>
      </c>
      <c r="I9296" t="s">
        <v>50</v>
      </c>
      <c r="J9296" t="s">
        <v>16932</v>
      </c>
      <c r="K9296" t="s">
        <v>17216</v>
      </c>
      <c r="L9296" t="s">
        <v>53</v>
      </c>
      <c r="N9296" t="s">
        <v>17780</v>
      </c>
      <c r="P9296" t="s">
        <v>55</v>
      </c>
      <c r="R9296" t="s">
        <v>53</v>
      </c>
      <c r="T9296" t="s">
        <v>17781</v>
      </c>
      <c r="U9296" t="s">
        <v>55</v>
      </c>
      <c r="V9296">
        <v>1</v>
      </c>
      <c r="W9296">
        <v>1</v>
      </c>
      <c r="X9296">
        <v>2</v>
      </c>
      <c r="Y9296">
        <v>0</v>
      </c>
      <c r="Z9296">
        <v>2</v>
      </c>
      <c r="AA9296">
        <v>214.42</v>
      </c>
      <c r="AB9296">
        <v>214.42</v>
      </c>
      <c r="AC9296">
        <v>197.17</v>
      </c>
      <c r="AD9296">
        <v>0</v>
      </c>
      <c r="AE9296">
        <v>17.25</v>
      </c>
      <c r="AF9296">
        <v>0</v>
      </c>
      <c r="AG9296">
        <v>0</v>
      </c>
      <c r="AH9296">
        <v>0</v>
      </c>
      <c r="AI9296">
        <v>38.6</v>
      </c>
      <c r="AJ9296">
        <v>214.42</v>
      </c>
      <c r="AK9296">
        <v>0</v>
      </c>
      <c r="AL9296" t="s">
        <v>53</v>
      </c>
      <c r="AM9296" t="s">
        <v>53</v>
      </c>
      <c r="AN9296" t="s">
        <v>17782</v>
      </c>
      <c r="AO9296" t="s">
        <v>53</v>
      </c>
      <c r="AP9296" t="s">
        <v>53</v>
      </c>
    </row>
    <row r="9297" spans="2:42" x14ac:dyDescent="0.2">
      <c r="B9297" t="s">
        <v>44</v>
      </c>
      <c r="C9297" t="str">
        <f>HYPERLINK("https://us2.cloudbeds.com/connect/8493803454333002#/reservations/9080486849450185?display=5BM36Y4GJY&amp;reservation_id=9080486849450185", "5BM36Y4GJY")</f>
        <v>5BM36Y4GJY</v>
      </c>
      <c r="D9297" t="s">
        <v>45</v>
      </c>
      <c r="E9297" t="s">
        <v>155</v>
      </c>
      <c r="F9297" t="s">
        <v>86</v>
      </c>
      <c r="G9297" t="s">
        <v>48</v>
      </c>
      <c r="H9297" t="s">
        <v>49</v>
      </c>
      <c r="I9297" t="s">
        <v>50</v>
      </c>
      <c r="J9297" t="s">
        <v>14806</v>
      </c>
      <c r="K9297" t="s">
        <v>15548</v>
      </c>
      <c r="L9297" t="s">
        <v>53</v>
      </c>
      <c r="N9297" t="s">
        <v>17783</v>
      </c>
      <c r="P9297" t="s">
        <v>55</v>
      </c>
      <c r="R9297" t="s">
        <v>53</v>
      </c>
      <c r="T9297" t="s">
        <v>17784</v>
      </c>
      <c r="U9297" t="s">
        <v>55</v>
      </c>
      <c r="V9297">
        <v>1</v>
      </c>
      <c r="W9297">
        <v>1</v>
      </c>
      <c r="X9297">
        <v>2</v>
      </c>
      <c r="Y9297">
        <v>0</v>
      </c>
      <c r="Z9297">
        <v>2</v>
      </c>
      <c r="AA9297">
        <v>192.7</v>
      </c>
      <c r="AB9297">
        <v>192.7</v>
      </c>
      <c r="AC9297">
        <v>177.2</v>
      </c>
      <c r="AD9297">
        <v>0</v>
      </c>
      <c r="AE9297">
        <v>15.5</v>
      </c>
      <c r="AF9297">
        <v>0</v>
      </c>
      <c r="AG9297">
        <v>0</v>
      </c>
      <c r="AH9297">
        <v>0</v>
      </c>
      <c r="AI9297">
        <v>34.69</v>
      </c>
      <c r="AJ9297">
        <v>192.7</v>
      </c>
      <c r="AK9297">
        <v>0</v>
      </c>
      <c r="AL9297" t="s">
        <v>53</v>
      </c>
      <c r="AM9297" t="s">
        <v>53</v>
      </c>
      <c r="AN9297" t="s">
        <v>53</v>
      </c>
      <c r="AO9297" t="s">
        <v>53</v>
      </c>
      <c r="AP9297" t="s">
        <v>53</v>
      </c>
    </row>
    <row r="9298" spans="2:42" x14ac:dyDescent="0.2">
      <c r="B9298" t="s">
        <v>44</v>
      </c>
      <c r="C9298" t="str">
        <f>HYPERLINK("https://us2.cloudbeds.com/connect/8493803454333002#/reservations/9080486849450380?display=5BM7YVYSRJ&amp;reservation_id=9080486849450380", "5BM7YVYSRJ")</f>
        <v>5BM7YVYSRJ</v>
      </c>
      <c r="D9298" t="s">
        <v>10291</v>
      </c>
      <c r="E9298" t="s">
        <v>113</v>
      </c>
      <c r="F9298" t="s">
        <v>61</v>
      </c>
      <c r="G9298" t="s">
        <v>48</v>
      </c>
      <c r="H9298" t="s">
        <v>49</v>
      </c>
      <c r="I9298" t="s">
        <v>50</v>
      </c>
      <c r="J9298" t="s">
        <v>15024</v>
      </c>
      <c r="K9298" t="s">
        <v>15936</v>
      </c>
      <c r="L9298" t="s">
        <v>53</v>
      </c>
      <c r="N9298" t="s">
        <v>17785</v>
      </c>
      <c r="P9298" t="s">
        <v>55</v>
      </c>
      <c r="R9298" t="s">
        <v>53</v>
      </c>
      <c r="T9298" t="s">
        <v>17786</v>
      </c>
      <c r="U9298" t="s">
        <v>58</v>
      </c>
      <c r="V9298">
        <v>1</v>
      </c>
      <c r="W9298">
        <v>1</v>
      </c>
      <c r="X9298">
        <v>2</v>
      </c>
      <c r="Y9298">
        <v>0</v>
      </c>
      <c r="Z9298">
        <v>2</v>
      </c>
      <c r="AA9298">
        <v>146.63</v>
      </c>
      <c r="AB9298">
        <v>0</v>
      </c>
      <c r="AC9298">
        <v>127.89</v>
      </c>
      <c r="AD9298">
        <v>0</v>
      </c>
      <c r="AE9298">
        <v>18.739999999999998</v>
      </c>
      <c r="AF9298">
        <v>0</v>
      </c>
      <c r="AG9298">
        <v>0</v>
      </c>
      <c r="AH9298">
        <v>0</v>
      </c>
      <c r="AI9298">
        <v>26.39</v>
      </c>
      <c r="AJ9298">
        <v>146.63</v>
      </c>
      <c r="AK9298">
        <v>146.63</v>
      </c>
      <c r="AL9298" t="s">
        <v>53</v>
      </c>
      <c r="AM9298" t="s">
        <v>53</v>
      </c>
      <c r="AN9298" t="s">
        <v>53</v>
      </c>
      <c r="AO9298" t="s">
        <v>53</v>
      </c>
      <c r="AP9298" t="s">
        <v>53</v>
      </c>
    </row>
    <row r="9299" spans="2:42" x14ac:dyDescent="0.2">
      <c r="B9299" t="s">
        <v>44</v>
      </c>
      <c r="C9299" t="str">
        <f>HYPERLINK("https://us2.cloudbeds.com/connect/8493803454333002#/reservations/248478781591745?display=5BMA8QAGMU&amp;reservation_id=248478781591745", "5BMA8QAGMU")</f>
        <v>5BMA8QAGMU</v>
      </c>
      <c r="D9299" t="s">
        <v>45</v>
      </c>
      <c r="E9299" t="s">
        <v>92</v>
      </c>
      <c r="F9299" t="s">
        <v>86</v>
      </c>
      <c r="G9299" t="s">
        <v>48</v>
      </c>
      <c r="H9299" t="s">
        <v>3957</v>
      </c>
      <c r="I9299" t="s">
        <v>3975</v>
      </c>
      <c r="J9299" t="s">
        <v>14131</v>
      </c>
      <c r="K9299" t="s">
        <v>17289</v>
      </c>
      <c r="L9299" t="s">
        <v>53</v>
      </c>
      <c r="P9299" t="s">
        <v>55</v>
      </c>
      <c r="R9299" t="s">
        <v>56</v>
      </c>
      <c r="T9299" t="s">
        <v>17787</v>
      </c>
      <c r="U9299" t="s">
        <v>58</v>
      </c>
      <c r="V9299">
        <v>5</v>
      </c>
      <c r="W9299">
        <v>1</v>
      </c>
      <c r="X9299">
        <v>2</v>
      </c>
      <c r="Y9299">
        <v>0</v>
      </c>
      <c r="Z9299">
        <v>2</v>
      </c>
      <c r="AA9299">
        <v>1221.04</v>
      </c>
      <c r="AB9299">
        <v>1226.52</v>
      </c>
      <c r="AC9299">
        <v>1065</v>
      </c>
      <c r="AD9299">
        <v>5</v>
      </c>
      <c r="AE9299">
        <v>156.52000000000001</v>
      </c>
      <c r="AF9299">
        <v>0</v>
      </c>
      <c r="AG9299">
        <v>0</v>
      </c>
      <c r="AH9299">
        <v>0</v>
      </c>
      <c r="AI9299">
        <v>0</v>
      </c>
      <c r="AJ9299">
        <v>1226.52</v>
      </c>
      <c r="AK9299">
        <v>0</v>
      </c>
      <c r="AL9299" t="s">
        <v>53</v>
      </c>
      <c r="AM9299" t="s">
        <v>53</v>
      </c>
      <c r="AN9299" t="s">
        <v>17788</v>
      </c>
      <c r="AO9299" t="s">
        <v>53</v>
      </c>
      <c r="AP9299" t="s">
        <v>53</v>
      </c>
    </row>
    <row r="9300" spans="2:42" x14ac:dyDescent="0.2">
      <c r="B9300" t="s">
        <v>44</v>
      </c>
      <c r="C9300" t="str">
        <f>HYPERLINK("https://us2.cloudbeds.com/connect/8493803454333002#/reservations/9080486849450706?display=5BMEW5K2ZP&amp;reservation_id=9080486849450706", "5BMEW5K2ZP")</f>
        <v>5BMEW5K2ZP</v>
      </c>
      <c r="D9300" t="s">
        <v>45</v>
      </c>
      <c r="E9300" t="s">
        <v>69</v>
      </c>
      <c r="F9300" t="s">
        <v>70</v>
      </c>
      <c r="G9300" t="s">
        <v>48</v>
      </c>
      <c r="H9300" t="s">
        <v>49</v>
      </c>
      <c r="I9300" t="s">
        <v>50</v>
      </c>
      <c r="J9300" t="s">
        <v>14390</v>
      </c>
      <c r="K9300" t="s">
        <v>14391</v>
      </c>
      <c r="L9300" t="s">
        <v>53</v>
      </c>
      <c r="N9300" t="s">
        <v>17789</v>
      </c>
      <c r="P9300" t="s">
        <v>55</v>
      </c>
      <c r="R9300" t="s">
        <v>53</v>
      </c>
      <c r="T9300" t="s">
        <v>17790</v>
      </c>
      <c r="U9300" t="s">
        <v>55</v>
      </c>
      <c r="V9300">
        <v>1</v>
      </c>
      <c r="W9300">
        <v>1</v>
      </c>
      <c r="X9300">
        <v>2</v>
      </c>
      <c r="Y9300">
        <v>0</v>
      </c>
      <c r="Z9300">
        <v>2</v>
      </c>
      <c r="AA9300">
        <v>124.27</v>
      </c>
      <c r="AB9300">
        <v>124.27</v>
      </c>
      <c r="AC9300">
        <v>114.27</v>
      </c>
      <c r="AD9300">
        <v>0</v>
      </c>
      <c r="AE9300">
        <v>10</v>
      </c>
      <c r="AF9300">
        <v>0</v>
      </c>
      <c r="AG9300">
        <v>0</v>
      </c>
      <c r="AH9300">
        <v>0</v>
      </c>
      <c r="AI9300">
        <v>22.37</v>
      </c>
      <c r="AJ9300">
        <v>124.27</v>
      </c>
      <c r="AK9300">
        <v>0</v>
      </c>
      <c r="AL9300" t="s">
        <v>53</v>
      </c>
      <c r="AM9300" t="s">
        <v>53</v>
      </c>
      <c r="AN9300" t="s">
        <v>17791</v>
      </c>
      <c r="AO9300" t="s">
        <v>53</v>
      </c>
      <c r="AP9300" t="s">
        <v>53</v>
      </c>
    </row>
    <row r="9301" spans="2:42" x14ac:dyDescent="0.2">
      <c r="B9301" t="s">
        <v>44</v>
      </c>
      <c r="C9301" t="str">
        <f>HYPERLINK("https://us2.cloudbeds.com/connect/8493803454333002#/reservations/9080486849450730?display=5BMF9Q9YCU&amp;reservation_id=9080486849450730", "5BMF9Q9YCU")</f>
        <v>5BMF9Q9YCU</v>
      </c>
      <c r="D9301" t="s">
        <v>45</v>
      </c>
      <c r="E9301" t="s">
        <v>98</v>
      </c>
      <c r="F9301" t="s">
        <v>86</v>
      </c>
      <c r="G9301" t="s">
        <v>48</v>
      </c>
      <c r="H9301" t="s">
        <v>49</v>
      </c>
      <c r="I9301" t="s">
        <v>8964</v>
      </c>
      <c r="J9301" t="s">
        <v>16932</v>
      </c>
      <c r="K9301" t="s">
        <v>15625</v>
      </c>
      <c r="L9301" t="s">
        <v>53</v>
      </c>
      <c r="N9301" t="s">
        <v>17792</v>
      </c>
      <c r="P9301" t="s">
        <v>55</v>
      </c>
      <c r="R9301" t="s">
        <v>53</v>
      </c>
      <c r="T9301" t="s">
        <v>17793</v>
      </c>
      <c r="U9301" t="s">
        <v>55</v>
      </c>
      <c r="V9301">
        <v>2</v>
      </c>
      <c r="W9301">
        <v>1</v>
      </c>
      <c r="X9301">
        <v>2</v>
      </c>
      <c r="Y9301">
        <v>2</v>
      </c>
      <c r="Z9301">
        <v>4</v>
      </c>
      <c r="AA9301">
        <v>0</v>
      </c>
      <c r="AB9301">
        <v>0</v>
      </c>
      <c r="AC9301">
        <v>455</v>
      </c>
      <c r="AD9301">
        <v>0</v>
      </c>
      <c r="AE9301">
        <v>0</v>
      </c>
      <c r="AF9301">
        <v>0</v>
      </c>
      <c r="AG9301">
        <v>0</v>
      </c>
      <c r="AH9301">
        <v>0</v>
      </c>
      <c r="AI9301">
        <v>68.25</v>
      </c>
      <c r="AJ9301">
        <v>455</v>
      </c>
      <c r="AK9301">
        <v>455</v>
      </c>
      <c r="AL9301" t="s">
        <v>53</v>
      </c>
      <c r="AM9301" t="s">
        <v>53</v>
      </c>
      <c r="AN9301" t="s">
        <v>53</v>
      </c>
      <c r="AO9301" t="s">
        <v>53</v>
      </c>
      <c r="AP9301" t="s">
        <v>53</v>
      </c>
    </row>
    <row r="9302" spans="2:42" x14ac:dyDescent="0.2">
      <c r="B9302" t="s">
        <v>44</v>
      </c>
      <c r="C9302" t="str">
        <f>HYPERLINK("https://us2.cloudbeds.com/connect/8493803454333002#/reservations/9080486849450790?display=5BMGQK3H62&amp;reservation_id=9080486849450790", "5BMGQK3H62")</f>
        <v>5BMGQK3H62</v>
      </c>
      <c r="D9302" t="s">
        <v>45</v>
      </c>
      <c r="E9302" t="s">
        <v>128</v>
      </c>
      <c r="F9302" t="s">
        <v>86</v>
      </c>
      <c r="G9302" t="s">
        <v>48</v>
      </c>
      <c r="H9302" t="s">
        <v>49</v>
      </c>
      <c r="I9302" t="s">
        <v>50</v>
      </c>
      <c r="J9302" t="s">
        <v>15867</v>
      </c>
      <c r="K9302" t="s">
        <v>16932</v>
      </c>
      <c r="L9302" t="s">
        <v>53</v>
      </c>
      <c r="N9302" t="s">
        <v>17794</v>
      </c>
      <c r="P9302" t="s">
        <v>55</v>
      </c>
      <c r="R9302" t="s">
        <v>53</v>
      </c>
      <c r="T9302" t="s">
        <v>17795</v>
      </c>
      <c r="U9302" t="s">
        <v>55</v>
      </c>
      <c r="V9302">
        <v>1</v>
      </c>
      <c r="W9302">
        <v>1</v>
      </c>
      <c r="X9302">
        <v>2</v>
      </c>
      <c r="Y9302">
        <v>2</v>
      </c>
      <c r="Z9302">
        <v>4</v>
      </c>
      <c r="AA9302">
        <v>222.85</v>
      </c>
      <c r="AB9302">
        <v>222.85</v>
      </c>
      <c r="AC9302">
        <v>204.92</v>
      </c>
      <c r="AD9302">
        <v>0</v>
      </c>
      <c r="AE9302">
        <v>17.93</v>
      </c>
      <c r="AF9302">
        <v>0</v>
      </c>
      <c r="AG9302">
        <v>0</v>
      </c>
      <c r="AH9302">
        <v>0</v>
      </c>
      <c r="AI9302">
        <v>40.11</v>
      </c>
      <c r="AJ9302">
        <v>222.85</v>
      </c>
      <c r="AK9302">
        <v>0</v>
      </c>
      <c r="AL9302" t="s">
        <v>53</v>
      </c>
      <c r="AM9302" t="s">
        <v>53</v>
      </c>
      <c r="AN9302" t="s">
        <v>53</v>
      </c>
      <c r="AO9302" t="s">
        <v>53</v>
      </c>
      <c r="AP9302" t="s">
        <v>53</v>
      </c>
    </row>
    <row r="9303" spans="2:42" x14ac:dyDescent="0.2">
      <c r="B9303" t="s">
        <v>44</v>
      </c>
      <c r="C9303" t="str">
        <f>HYPERLINK("https://us2.cloudbeds.com/connect/8493803454333002#/reservations/9080486849451373?display=5BMSS5JS77&amp;reservation_id=9080486849451373", "5BMSS5JS77")</f>
        <v>5BMSS5JS77</v>
      </c>
      <c r="D9303" t="s">
        <v>45</v>
      </c>
      <c r="E9303" t="s">
        <v>155</v>
      </c>
      <c r="F9303" t="s">
        <v>86</v>
      </c>
      <c r="G9303" t="s">
        <v>48</v>
      </c>
      <c r="H9303" t="s">
        <v>49</v>
      </c>
      <c r="I9303" t="s">
        <v>8964</v>
      </c>
      <c r="J9303" t="s">
        <v>11651</v>
      </c>
      <c r="K9303" t="s">
        <v>11652</v>
      </c>
      <c r="L9303" t="s">
        <v>53</v>
      </c>
      <c r="N9303" t="s">
        <v>17796</v>
      </c>
      <c r="P9303" t="s">
        <v>55</v>
      </c>
      <c r="R9303" t="s">
        <v>53</v>
      </c>
      <c r="T9303" t="s">
        <v>17797</v>
      </c>
      <c r="U9303" t="s">
        <v>55</v>
      </c>
      <c r="V9303">
        <v>1</v>
      </c>
      <c r="W9303">
        <v>1</v>
      </c>
      <c r="X9303">
        <v>2</v>
      </c>
      <c r="Y9303">
        <v>0</v>
      </c>
      <c r="Z9303">
        <v>2</v>
      </c>
      <c r="AA9303">
        <v>0</v>
      </c>
      <c r="AB9303">
        <v>0</v>
      </c>
      <c r="AC9303">
        <v>227</v>
      </c>
      <c r="AD9303">
        <v>0</v>
      </c>
      <c r="AE9303">
        <v>0</v>
      </c>
      <c r="AF9303">
        <v>0</v>
      </c>
      <c r="AG9303">
        <v>0</v>
      </c>
      <c r="AH9303">
        <v>0</v>
      </c>
      <c r="AI9303">
        <v>34.049999999999997</v>
      </c>
      <c r="AJ9303">
        <v>227</v>
      </c>
      <c r="AK9303">
        <v>227</v>
      </c>
      <c r="AL9303" t="s">
        <v>53</v>
      </c>
      <c r="AM9303" t="s">
        <v>53</v>
      </c>
      <c r="AN9303" t="s">
        <v>17798</v>
      </c>
      <c r="AO9303" t="s">
        <v>53</v>
      </c>
      <c r="AP9303" t="s">
        <v>53</v>
      </c>
    </row>
    <row r="9304" spans="2:42" x14ac:dyDescent="0.2">
      <c r="B9304" t="s">
        <v>44</v>
      </c>
      <c r="C9304" t="str">
        <f>HYPERLINK("https://us2.cloudbeds.com/connect/8493803454333002#/reservations/9080486849451679?display=5BN3GAHZF4&amp;reservation_id=9080486849451679", "5BN3GAHZF4")</f>
        <v>5BN3GAHZF4</v>
      </c>
      <c r="D9304" t="s">
        <v>45</v>
      </c>
      <c r="E9304" t="s">
        <v>487</v>
      </c>
      <c r="F9304" t="s">
        <v>61</v>
      </c>
      <c r="G9304" t="s">
        <v>48</v>
      </c>
      <c r="H9304" t="s">
        <v>49</v>
      </c>
      <c r="I9304" t="s">
        <v>62</v>
      </c>
      <c r="J9304" t="s">
        <v>15867</v>
      </c>
      <c r="K9304" t="s">
        <v>15625</v>
      </c>
      <c r="L9304" t="s">
        <v>53</v>
      </c>
      <c r="N9304" t="s">
        <v>17799</v>
      </c>
      <c r="P9304" t="s">
        <v>55</v>
      </c>
      <c r="R9304" t="s">
        <v>56</v>
      </c>
      <c r="T9304" t="s">
        <v>17800</v>
      </c>
      <c r="U9304" t="s">
        <v>55</v>
      </c>
      <c r="V9304">
        <v>3</v>
      </c>
      <c r="W9304">
        <v>1</v>
      </c>
      <c r="X9304">
        <v>1</v>
      </c>
      <c r="Y9304">
        <v>0</v>
      </c>
      <c r="Z9304">
        <v>1</v>
      </c>
      <c r="AA9304">
        <v>632.1</v>
      </c>
      <c r="AB9304">
        <v>632.1</v>
      </c>
      <c r="AC9304">
        <v>632.1</v>
      </c>
      <c r="AD9304">
        <v>0</v>
      </c>
      <c r="AE9304">
        <v>0</v>
      </c>
      <c r="AF9304">
        <v>0</v>
      </c>
      <c r="AG9304">
        <v>0</v>
      </c>
      <c r="AH9304">
        <v>0</v>
      </c>
      <c r="AI9304">
        <v>113.78</v>
      </c>
      <c r="AJ9304">
        <v>632.1</v>
      </c>
      <c r="AK9304">
        <v>0</v>
      </c>
      <c r="AL9304" t="s">
        <v>53</v>
      </c>
      <c r="AM9304" t="s">
        <v>53</v>
      </c>
      <c r="AN9304" t="s">
        <v>17801</v>
      </c>
      <c r="AO9304" t="s">
        <v>53</v>
      </c>
      <c r="AP9304" t="s">
        <v>53</v>
      </c>
    </row>
    <row r="9305" spans="2:42" x14ac:dyDescent="0.2">
      <c r="B9305" t="s">
        <v>44</v>
      </c>
      <c r="C9305" t="str">
        <f>HYPERLINK("https://us2.cloudbeds.com/connect/8493803454333002#/reservations/9080486849451810?display=5BN6GFXA0Z&amp;reservation_id=9080486849451810", "5BN6GFXA0Z")</f>
        <v>5BN6GFXA0Z</v>
      </c>
      <c r="D9305" t="s">
        <v>45</v>
      </c>
      <c r="E9305" t="s">
        <v>305</v>
      </c>
      <c r="F9305" t="s">
        <v>61</v>
      </c>
      <c r="G9305" t="s">
        <v>48</v>
      </c>
      <c r="H9305" t="s">
        <v>49</v>
      </c>
      <c r="I9305" t="s">
        <v>50</v>
      </c>
      <c r="J9305" t="s">
        <v>17216</v>
      </c>
      <c r="K9305" t="s">
        <v>17289</v>
      </c>
      <c r="L9305" t="s">
        <v>53</v>
      </c>
      <c r="N9305" t="s">
        <v>17802</v>
      </c>
      <c r="P9305" t="s">
        <v>55</v>
      </c>
      <c r="R9305" t="s">
        <v>53</v>
      </c>
      <c r="T9305" t="s">
        <v>17803</v>
      </c>
      <c r="U9305" t="s">
        <v>55</v>
      </c>
      <c r="V9305">
        <v>2</v>
      </c>
      <c r="W9305">
        <v>1</v>
      </c>
      <c r="X9305">
        <v>2</v>
      </c>
      <c r="Y9305">
        <v>0</v>
      </c>
      <c r="Z9305">
        <v>2</v>
      </c>
      <c r="AA9305">
        <v>295.27</v>
      </c>
      <c r="AB9305">
        <v>295.27</v>
      </c>
      <c r="AC9305">
        <v>271.51</v>
      </c>
      <c r="AD9305">
        <v>0</v>
      </c>
      <c r="AE9305">
        <v>23.76</v>
      </c>
      <c r="AF9305">
        <v>0</v>
      </c>
      <c r="AG9305">
        <v>0</v>
      </c>
      <c r="AH9305">
        <v>0</v>
      </c>
      <c r="AI9305">
        <v>53.15</v>
      </c>
      <c r="AJ9305">
        <v>295.27</v>
      </c>
      <c r="AK9305">
        <v>0</v>
      </c>
      <c r="AL9305" t="s">
        <v>53</v>
      </c>
      <c r="AM9305" t="s">
        <v>53</v>
      </c>
      <c r="AN9305" t="s">
        <v>53</v>
      </c>
      <c r="AO9305" t="s">
        <v>53</v>
      </c>
      <c r="AP9305" t="s">
        <v>53</v>
      </c>
    </row>
    <row r="9306" spans="2:42" x14ac:dyDescent="0.2">
      <c r="B9306" t="s">
        <v>44</v>
      </c>
      <c r="C9306" t="str">
        <f>HYPERLINK("https://us2.cloudbeds.com/connect/8493803454333002#/reservations/9080486849451924?display=5BN9KX3BP3&amp;reservation_id=9080486849451924", "5BN9KX3BP3")</f>
        <v>5BN9KX3BP3</v>
      </c>
      <c r="D9306" t="s">
        <v>10291</v>
      </c>
      <c r="E9306" t="s">
        <v>138</v>
      </c>
      <c r="F9306" t="s">
        <v>70</v>
      </c>
      <c r="G9306" t="s">
        <v>48</v>
      </c>
      <c r="H9306" t="s">
        <v>49</v>
      </c>
      <c r="I9306" t="s">
        <v>50</v>
      </c>
      <c r="J9306" t="s">
        <v>17804</v>
      </c>
      <c r="K9306" t="s">
        <v>17805</v>
      </c>
      <c r="L9306" t="s">
        <v>53</v>
      </c>
      <c r="N9306" t="s">
        <v>17806</v>
      </c>
      <c r="P9306" t="s">
        <v>55</v>
      </c>
      <c r="R9306" t="s">
        <v>53</v>
      </c>
      <c r="T9306" t="s">
        <v>17807</v>
      </c>
      <c r="U9306" t="s">
        <v>55</v>
      </c>
      <c r="V9306">
        <v>2</v>
      </c>
      <c r="W9306">
        <v>1</v>
      </c>
      <c r="X9306">
        <v>2</v>
      </c>
      <c r="Y9306">
        <v>0</v>
      </c>
      <c r="Z9306">
        <v>2</v>
      </c>
      <c r="AA9306">
        <v>317.02999999999997</v>
      </c>
      <c r="AB9306">
        <v>0</v>
      </c>
      <c r="AC9306">
        <v>291.52</v>
      </c>
      <c r="AD9306">
        <v>0</v>
      </c>
      <c r="AE9306">
        <v>25.51</v>
      </c>
      <c r="AF9306">
        <v>0</v>
      </c>
      <c r="AG9306">
        <v>0</v>
      </c>
      <c r="AH9306">
        <v>0</v>
      </c>
      <c r="AI9306">
        <v>57.07</v>
      </c>
      <c r="AJ9306">
        <v>317.02999999999997</v>
      </c>
      <c r="AK9306">
        <v>317.02999999999997</v>
      </c>
      <c r="AL9306" t="s">
        <v>53</v>
      </c>
      <c r="AM9306" t="s">
        <v>53</v>
      </c>
      <c r="AN9306" t="s">
        <v>53</v>
      </c>
      <c r="AO9306" t="s">
        <v>53</v>
      </c>
      <c r="AP9306" t="s">
        <v>53</v>
      </c>
    </row>
    <row r="9307" spans="2:42" x14ac:dyDescent="0.2">
      <c r="B9307" t="s">
        <v>44</v>
      </c>
      <c r="C9307" t="str">
        <f>HYPERLINK("https://us2.cloudbeds.com/connect/8493803454333002#/reservations/9080486849456215?display=5BQGY4W7T9&amp;reservation_id=9080486849456215", "5BQGY4W7T9")</f>
        <v>5BQGY4W7T9</v>
      </c>
      <c r="D9307" t="s">
        <v>45</v>
      </c>
      <c r="E9307" t="s">
        <v>155</v>
      </c>
      <c r="F9307" t="s">
        <v>86</v>
      </c>
      <c r="G9307" t="s">
        <v>48</v>
      </c>
      <c r="H9307" t="s">
        <v>49</v>
      </c>
      <c r="I9307" t="s">
        <v>50</v>
      </c>
      <c r="J9307" t="s">
        <v>14632</v>
      </c>
      <c r="K9307" t="s">
        <v>17078</v>
      </c>
      <c r="L9307" t="s">
        <v>53</v>
      </c>
      <c r="N9307" t="s">
        <v>17808</v>
      </c>
      <c r="P9307" t="s">
        <v>55</v>
      </c>
      <c r="R9307" t="s">
        <v>53</v>
      </c>
      <c r="T9307" t="s">
        <v>17809</v>
      </c>
      <c r="U9307" t="s">
        <v>55</v>
      </c>
      <c r="V9307">
        <v>3</v>
      </c>
      <c r="W9307">
        <v>1</v>
      </c>
      <c r="X9307">
        <v>2</v>
      </c>
      <c r="Y9307">
        <v>2</v>
      </c>
      <c r="Z9307">
        <v>4</v>
      </c>
      <c r="AA9307">
        <v>629.36</v>
      </c>
      <c r="AB9307">
        <v>634.84</v>
      </c>
      <c r="AC9307">
        <v>578.72</v>
      </c>
      <c r="AD9307">
        <v>5</v>
      </c>
      <c r="AE9307">
        <v>51.12</v>
      </c>
      <c r="AF9307">
        <v>0</v>
      </c>
      <c r="AG9307">
        <v>0</v>
      </c>
      <c r="AH9307">
        <v>0</v>
      </c>
      <c r="AI9307">
        <v>114.27</v>
      </c>
      <c r="AJ9307">
        <v>634.84</v>
      </c>
      <c r="AK9307">
        <v>0</v>
      </c>
      <c r="AL9307" t="s">
        <v>53</v>
      </c>
      <c r="AM9307" t="s">
        <v>53</v>
      </c>
      <c r="AN9307" t="s">
        <v>53</v>
      </c>
      <c r="AO9307" t="s">
        <v>53</v>
      </c>
      <c r="AP9307" t="s">
        <v>53</v>
      </c>
    </row>
    <row r="9308" spans="2:42" x14ac:dyDescent="0.2">
      <c r="B9308" t="s">
        <v>44</v>
      </c>
      <c r="C9308" t="str">
        <f>HYPERLINK("https://us2.cloudbeds.com/connect/8493803454333002#/reservations/248670853939328?display=5BQQWMRGVS&amp;reservation_id=248670853939328", "5BQQWMRGVS")</f>
        <v>5BQQWMRGVS</v>
      </c>
      <c r="D9308" t="s">
        <v>45</v>
      </c>
      <c r="E9308" t="s">
        <v>373</v>
      </c>
      <c r="F9308" t="s">
        <v>47</v>
      </c>
      <c r="G9308" t="s">
        <v>12517</v>
      </c>
      <c r="H9308" t="s">
        <v>3957</v>
      </c>
      <c r="I9308" t="s">
        <v>3958</v>
      </c>
      <c r="J9308" t="s">
        <v>15625</v>
      </c>
      <c r="K9308" t="s">
        <v>17289</v>
      </c>
      <c r="L9308" t="s">
        <v>53</v>
      </c>
      <c r="P9308" t="s">
        <v>55</v>
      </c>
      <c r="R9308" t="s">
        <v>56</v>
      </c>
      <c r="T9308" t="s">
        <v>17810</v>
      </c>
      <c r="U9308" t="s">
        <v>58</v>
      </c>
      <c r="V9308">
        <v>1</v>
      </c>
      <c r="W9308">
        <v>1</v>
      </c>
      <c r="X9308">
        <v>1</v>
      </c>
      <c r="Y9308">
        <v>0</v>
      </c>
      <c r="Z9308">
        <v>1</v>
      </c>
      <c r="AA9308">
        <v>192.79</v>
      </c>
      <c r="AB9308">
        <v>192.79</v>
      </c>
      <c r="AC9308">
        <v>168.15</v>
      </c>
      <c r="AD9308">
        <v>0</v>
      </c>
      <c r="AE9308">
        <v>24.64</v>
      </c>
      <c r="AF9308">
        <v>0</v>
      </c>
      <c r="AG9308">
        <v>0</v>
      </c>
      <c r="AH9308">
        <v>0</v>
      </c>
      <c r="AI9308">
        <v>0</v>
      </c>
      <c r="AJ9308">
        <v>192.79</v>
      </c>
      <c r="AK9308">
        <v>0</v>
      </c>
      <c r="AL9308" t="s">
        <v>53</v>
      </c>
      <c r="AM9308" t="s">
        <v>53</v>
      </c>
      <c r="AN9308" t="s">
        <v>17811</v>
      </c>
      <c r="AO9308" t="s">
        <v>53</v>
      </c>
      <c r="AP9308" t="s">
        <v>53</v>
      </c>
    </row>
    <row r="9309" spans="2:42" x14ac:dyDescent="0.2">
      <c r="B9309" t="s">
        <v>44</v>
      </c>
      <c r="C9309" t="str">
        <f>HYPERLINK("https://us2.cloudbeds.com/connect/8493803454333002#/reservations/9080486849457421?display=5BR40EMFGE&amp;reservation_id=9080486849457421", "5BR40EMFGE")</f>
        <v>5BR40EMFGE</v>
      </c>
      <c r="D9309" t="s">
        <v>45</v>
      </c>
      <c r="E9309" t="s">
        <v>223</v>
      </c>
      <c r="F9309" t="s">
        <v>47</v>
      </c>
      <c r="G9309" t="s">
        <v>48</v>
      </c>
      <c r="H9309" t="s">
        <v>49</v>
      </c>
      <c r="I9309" t="s">
        <v>50</v>
      </c>
      <c r="J9309" t="s">
        <v>14390</v>
      </c>
      <c r="K9309" t="s">
        <v>17389</v>
      </c>
      <c r="L9309" t="s">
        <v>53</v>
      </c>
      <c r="N9309" t="s">
        <v>17812</v>
      </c>
      <c r="P9309" t="s">
        <v>55</v>
      </c>
      <c r="R9309" t="s">
        <v>53</v>
      </c>
      <c r="T9309" t="s">
        <v>17813</v>
      </c>
      <c r="U9309" t="s">
        <v>55</v>
      </c>
      <c r="V9309">
        <v>2</v>
      </c>
      <c r="W9309">
        <v>1</v>
      </c>
      <c r="X9309">
        <v>2</v>
      </c>
      <c r="Y9309">
        <v>0</v>
      </c>
      <c r="Z9309">
        <v>2</v>
      </c>
      <c r="AA9309">
        <v>257.18</v>
      </c>
      <c r="AB9309">
        <v>257.18</v>
      </c>
      <c r="AC9309">
        <v>236.49</v>
      </c>
      <c r="AD9309">
        <v>0</v>
      </c>
      <c r="AE9309">
        <v>20.69</v>
      </c>
      <c r="AF9309">
        <v>0</v>
      </c>
      <c r="AG9309">
        <v>0</v>
      </c>
      <c r="AH9309">
        <v>0</v>
      </c>
      <c r="AI9309">
        <v>46.29</v>
      </c>
      <c r="AJ9309">
        <v>257.18</v>
      </c>
      <c r="AK9309">
        <v>0</v>
      </c>
      <c r="AL9309" t="s">
        <v>53</v>
      </c>
      <c r="AM9309" t="s">
        <v>53</v>
      </c>
      <c r="AN9309" t="s">
        <v>17814</v>
      </c>
      <c r="AO9309" t="s">
        <v>53</v>
      </c>
      <c r="AP9309" t="s">
        <v>53</v>
      </c>
    </row>
    <row r="9310" spans="2:42" x14ac:dyDescent="0.2">
      <c r="B9310" t="s">
        <v>44</v>
      </c>
      <c r="C9310" t="str">
        <f>HYPERLINK("https://us2.cloudbeds.com/connect/8493803454333002#/reservations/9080486849458819?display=5BRZS5QPER&amp;reservation_id=9080486849458819", "5BRZS5QPER")</f>
        <v>5BRZS5QPER</v>
      </c>
      <c r="D9310" t="s">
        <v>45</v>
      </c>
      <c r="E9310" t="s">
        <v>213</v>
      </c>
      <c r="F9310" t="s">
        <v>86</v>
      </c>
      <c r="G9310" t="s">
        <v>48</v>
      </c>
      <c r="H9310" t="s">
        <v>49</v>
      </c>
      <c r="I9310" t="s">
        <v>50</v>
      </c>
      <c r="J9310" t="s">
        <v>17096</v>
      </c>
      <c r="K9310" t="s">
        <v>17077</v>
      </c>
      <c r="L9310" t="s">
        <v>53</v>
      </c>
      <c r="N9310" t="s">
        <v>17815</v>
      </c>
      <c r="P9310" t="s">
        <v>55</v>
      </c>
      <c r="R9310" t="s">
        <v>53</v>
      </c>
      <c r="T9310" t="s">
        <v>17816</v>
      </c>
      <c r="U9310" t="s">
        <v>55</v>
      </c>
      <c r="V9310">
        <v>1</v>
      </c>
      <c r="W9310">
        <v>1</v>
      </c>
      <c r="X9310">
        <v>2</v>
      </c>
      <c r="Y9310">
        <v>0</v>
      </c>
      <c r="Z9310">
        <v>2</v>
      </c>
      <c r="AA9310">
        <v>229.22</v>
      </c>
      <c r="AB9310">
        <v>229.22</v>
      </c>
      <c r="AC9310">
        <v>210.77</v>
      </c>
      <c r="AD9310">
        <v>0</v>
      </c>
      <c r="AE9310">
        <v>18.45</v>
      </c>
      <c r="AF9310">
        <v>0</v>
      </c>
      <c r="AG9310">
        <v>0</v>
      </c>
      <c r="AH9310">
        <v>0</v>
      </c>
      <c r="AI9310">
        <v>41.26</v>
      </c>
      <c r="AJ9310">
        <v>229.22</v>
      </c>
      <c r="AK9310">
        <v>0</v>
      </c>
      <c r="AL9310" t="s">
        <v>53</v>
      </c>
      <c r="AM9310" t="s">
        <v>53</v>
      </c>
      <c r="AN9310" t="s">
        <v>53</v>
      </c>
      <c r="AO9310" t="s">
        <v>53</v>
      </c>
      <c r="AP9310" t="s">
        <v>53</v>
      </c>
    </row>
    <row r="9311" spans="2:42" x14ac:dyDescent="0.2">
      <c r="B9311" t="s">
        <v>44</v>
      </c>
      <c r="C9311" t="str">
        <f>HYPERLINK("https://us2.cloudbeds.com/connect/8493803454333002#/reservations/9080486849460446?display=5BSX28Y9X8&amp;reservation_id=9080486849460446", "5BSX28Y9X8")</f>
        <v>5BSX28Y9X8</v>
      </c>
      <c r="D9311" t="s">
        <v>10291</v>
      </c>
      <c r="E9311" t="s">
        <v>128</v>
      </c>
      <c r="F9311" t="s">
        <v>86</v>
      </c>
      <c r="G9311" t="s">
        <v>48</v>
      </c>
      <c r="H9311" t="s">
        <v>49</v>
      </c>
      <c r="I9311" t="s">
        <v>50</v>
      </c>
      <c r="J9311" t="s">
        <v>17817</v>
      </c>
      <c r="K9311" t="s">
        <v>17818</v>
      </c>
      <c r="L9311" t="s">
        <v>53</v>
      </c>
      <c r="N9311" t="s">
        <v>17819</v>
      </c>
      <c r="P9311" t="s">
        <v>55</v>
      </c>
      <c r="R9311" t="s">
        <v>53</v>
      </c>
      <c r="T9311" t="s">
        <v>17820</v>
      </c>
      <c r="U9311" t="s">
        <v>55</v>
      </c>
      <c r="V9311">
        <v>3</v>
      </c>
      <c r="W9311">
        <v>1</v>
      </c>
      <c r="X9311">
        <v>4</v>
      </c>
      <c r="Y9311">
        <v>0</v>
      </c>
      <c r="Z9311">
        <v>4</v>
      </c>
      <c r="AA9311">
        <v>489.24</v>
      </c>
      <c r="AB9311">
        <v>0</v>
      </c>
      <c r="AC9311">
        <v>449.87</v>
      </c>
      <c r="AD9311">
        <v>0</v>
      </c>
      <c r="AE9311">
        <v>39.369999999999997</v>
      </c>
      <c r="AF9311">
        <v>0</v>
      </c>
      <c r="AG9311">
        <v>0</v>
      </c>
      <c r="AH9311">
        <v>0</v>
      </c>
      <c r="AI9311">
        <v>88.06</v>
      </c>
      <c r="AJ9311">
        <v>489.24</v>
      </c>
      <c r="AK9311">
        <v>489.24</v>
      </c>
      <c r="AL9311" t="s">
        <v>53</v>
      </c>
      <c r="AM9311" t="s">
        <v>53</v>
      </c>
      <c r="AN9311" t="s">
        <v>53</v>
      </c>
      <c r="AO9311" t="s">
        <v>53</v>
      </c>
      <c r="AP9311" t="s">
        <v>53</v>
      </c>
    </row>
    <row r="9312" spans="2:42" x14ac:dyDescent="0.2">
      <c r="B9312" t="s">
        <v>44</v>
      </c>
      <c r="C9312" t="str">
        <f>HYPERLINK("https://us2.cloudbeds.com/connect/8493803454333002#/reservations/9080486849461221?display=5BSW8RKAJW&amp;reservation_id=9080486849461221", "5BSW8RKAJW")</f>
        <v>5BSW8RKAJW</v>
      </c>
      <c r="D9312" t="s">
        <v>45</v>
      </c>
      <c r="E9312" t="s">
        <v>14695</v>
      </c>
      <c r="F9312" t="s">
        <v>47</v>
      </c>
      <c r="G9312" t="s">
        <v>48</v>
      </c>
      <c r="H9312" t="s">
        <v>49</v>
      </c>
      <c r="I9312" t="s">
        <v>50</v>
      </c>
      <c r="J9312" t="s">
        <v>15867</v>
      </c>
      <c r="K9312" t="s">
        <v>16932</v>
      </c>
      <c r="L9312" t="s">
        <v>53</v>
      </c>
      <c r="N9312" t="s">
        <v>17821</v>
      </c>
      <c r="P9312" t="s">
        <v>55</v>
      </c>
      <c r="R9312" t="s">
        <v>53</v>
      </c>
      <c r="T9312" t="s">
        <v>17822</v>
      </c>
      <c r="U9312" t="s">
        <v>55</v>
      </c>
      <c r="V9312">
        <v>1</v>
      </c>
      <c r="W9312">
        <v>1</v>
      </c>
      <c r="X9312">
        <v>2</v>
      </c>
      <c r="Y9312">
        <v>0</v>
      </c>
      <c r="Z9312">
        <v>2</v>
      </c>
      <c r="AA9312">
        <v>191.01</v>
      </c>
      <c r="AB9312">
        <v>191.01</v>
      </c>
      <c r="AC9312">
        <v>175.64</v>
      </c>
      <c r="AD9312">
        <v>0</v>
      </c>
      <c r="AE9312">
        <v>15.37</v>
      </c>
      <c r="AF9312">
        <v>0</v>
      </c>
      <c r="AG9312">
        <v>0</v>
      </c>
      <c r="AH9312">
        <v>0</v>
      </c>
      <c r="AI9312">
        <v>34.380000000000003</v>
      </c>
      <c r="AJ9312">
        <v>191.01</v>
      </c>
      <c r="AK9312">
        <v>0</v>
      </c>
      <c r="AL9312" t="s">
        <v>53</v>
      </c>
      <c r="AM9312" t="s">
        <v>53</v>
      </c>
      <c r="AN9312" t="s">
        <v>17823</v>
      </c>
      <c r="AO9312" t="s">
        <v>53</v>
      </c>
      <c r="AP9312" t="s">
        <v>53</v>
      </c>
    </row>
    <row r="9313" spans="2:42" x14ac:dyDescent="0.2">
      <c r="B9313" t="s">
        <v>44</v>
      </c>
      <c r="C9313" t="str">
        <f>HYPERLINK("https://us2.cloudbeds.com/connect/8493803454333002#/reservations/248774514753664?display=5BT88FC4XX&amp;reservation_id=248774514753664", "5BT88FC4XX")</f>
        <v>5BT88FC4XX</v>
      </c>
      <c r="D9313" t="s">
        <v>45</v>
      </c>
      <c r="E9313" t="s">
        <v>265</v>
      </c>
      <c r="F9313" t="s">
        <v>61</v>
      </c>
      <c r="G9313" t="s">
        <v>5966</v>
      </c>
      <c r="H9313" t="s">
        <v>3957</v>
      </c>
      <c r="I9313" t="s">
        <v>3958</v>
      </c>
      <c r="J9313" t="s">
        <v>15867</v>
      </c>
      <c r="K9313" t="s">
        <v>17216</v>
      </c>
      <c r="L9313" t="s">
        <v>53</v>
      </c>
      <c r="P9313" t="s">
        <v>55</v>
      </c>
      <c r="R9313" t="s">
        <v>56</v>
      </c>
      <c r="T9313" t="s">
        <v>17824</v>
      </c>
      <c r="U9313" t="s">
        <v>58</v>
      </c>
      <c r="V9313">
        <v>2</v>
      </c>
      <c r="W9313">
        <v>1</v>
      </c>
      <c r="X9313">
        <v>1</v>
      </c>
      <c r="Y9313">
        <v>0</v>
      </c>
      <c r="Z9313">
        <v>1</v>
      </c>
      <c r="AA9313">
        <v>246.51</v>
      </c>
      <c r="AB9313">
        <v>246.51</v>
      </c>
      <c r="AC9313">
        <v>215</v>
      </c>
      <c r="AD9313">
        <v>0</v>
      </c>
      <c r="AE9313">
        <v>31.51</v>
      </c>
      <c r="AF9313">
        <v>0</v>
      </c>
      <c r="AG9313">
        <v>0</v>
      </c>
      <c r="AH9313">
        <v>0</v>
      </c>
      <c r="AI9313">
        <v>0</v>
      </c>
      <c r="AJ9313">
        <v>246.51</v>
      </c>
      <c r="AK9313">
        <v>0</v>
      </c>
      <c r="AL9313" t="s">
        <v>53</v>
      </c>
      <c r="AM9313" t="s">
        <v>53</v>
      </c>
      <c r="AN9313" t="s">
        <v>53</v>
      </c>
      <c r="AO9313" t="s">
        <v>53</v>
      </c>
      <c r="AP9313" t="s">
        <v>53</v>
      </c>
    </row>
    <row r="9314" spans="2:42" x14ac:dyDescent="0.2">
      <c r="B9314" t="s">
        <v>44</v>
      </c>
      <c r="C9314" t="str">
        <f>HYPERLINK("https://us2.cloudbeds.com/connect/8493803454333002#/reservations/9080486849462077?display=5BTG17NGAA&amp;reservation_id=9080486849462077", "5BTG17NGAA")</f>
        <v>5BTG17NGAA</v>
      </c>
      <c r="D9314" t="s">
        <v>10291</v>
      </c>
      <c r="E9314" t="s">
        <v>128</v>
      </c>
      <c r="F9314" t="s">
        <v>86</v>
      </c>
      <c r="G9314" t="s">
        <v>48</v>
      </c>
      <c r="H9314" t="s">
        <v>49</v>
      </c>
      <c r="I9314" t="s">
        <v>50</v>
      </c>
      <c r="J9314" t="s">
        <v>17825</v>
      </c>
      <c r="K9314" t="s">
        <v>17817</v>
      </c>
      <c r="L9314" t="s">
        <v>53</v>
      </c>
      <c r="N9314" t="s">
        <v>17826</v>
      </c>
      <c r="P9314" t="s">
        <v>55</v>
      </c>
      <c r="R9314" t="s">
        <v>53</v>
      </c>
      <c r="T9314" t="s">
        <v>17827</v>
      </c>
      <c r="U9314" t="s">
        <v>55</v>
      </c>
      <c r="V9314">
        <v>1</v>
      </c>
      <c r="W9314">
        <v>1</v>
      </c>
      <c r="X9314">
        <v>2</v>
      </c>
      <c r="Y9314">
        <v>2</v>
      </c>
      <c r="Z9314">
        <v>4</v>
      </c>
      <c r="AA9314">
        <v>187.33</v>
      </c>
      <c r="AB9314">
        <v>0</v>
      </c>
      <c r="AC9314">
        <v>172.26</v>
      </c>
      <c r="AD9314">
        <v>0</v>
      </c>
      <c r="AE9314">
        <v>15.07</v>
      </c>
      <c r="AF9314">
        <v>0</v>
      </c>
      <c r="AG9314">
        <v>0</v>
      </c>
      <c r="AH9314">
        <v>0</v>
      </c>
      <c r="AI9314">
        <v>33.72</v>
      </c>
      <c r="AJ9314">
        <v>187.33</v>
      </c>
      <c r="AK9314">
        <v>187.33</v>
      </c>
      <c r="AL9314" t="s">
        <v>53</v>
      </c>
      <c r="AM9314" t="s">
        <v>53</v>
      </c>
      <c r="AN9314" t="s">
        <v>53</v>
      </c>
      <c r="AO9314" t="s">
        <v>53</v>
      </c>
      <c r="AP9314" t="s">
        <v>53</v>
      </c>
    </row>
    <row r="9315" spans="2:42" x14ac:dyDescent="0.2">
      <c r="B9315" t="s">
        <v>44</v>
      </c>
      <c r="C9315" t="str">
        <f>HYPERLINK("https://us2.cloudbeds.com/connect/8493803454333002#/reservations/248809846223040?display=5BU2K8QFCV&amp;reservation_id=248809846223040", "5BU2K8QFCV")</f>
        <v>5BU2K8QFCV</v>
      </c>
      <c r="D9315" t="s">
        <v>45</v>
      </c>
      <c r="E9315" t="s">
        <v>14695</v>
      </c>
      <c r="F9315" t="s">
        <v>47</v>
      </c>
      <c r="G9315" t="s">
        <v>4520</v>
      </c>
      <c r="H9315" t="s">
        <v>3957</v>
      </c>
      <c r="I9315" t="s">
        <v>3958</v>
      </c>
      <c r="J9315" t="s">
        <v>16932</v>
      </c>
      <c r="K9315" t="s">
        <v>15625</v>
      </c>
      <c r="L9315" t="s">
        <v>53</v>
      </c>
      <c r="P9315" t="s">
        <v>55</v>
      </c>
      <c r="R9315" t="s">
        <v>56</v>
      </c>
      <c r="T9315" t="s">
        <v>17828</v>
      </c>
      <c r="U9315" t="s">
        <v>58</v>
      </c>
      <c r="V9315">
        <v>2</v>
      </c>
      <c r="W9315">
        <v>1</v>
      </c>
      <c r="X9315">
        <v>1</v>
      </c>
      <c r="Y9315">
        <v>0</v>
      </c>
      <c r="Z9315">
        <v>1</v>
      </c>
      <c r="AA9315">
        <v>365.28</v>
      </c>
      <c r="AB9315">
        <v>365.28</v>
      </c>
      <c r="AC9315">
        <v>318.60000000000002</v>
      </c>
      <c r="AD9315">
        <v>0</v>
      </c>
      <c r="AE9315">
        <v>46.68</v>
      </c>
      <c r="AF9315">
        <v>0</v>
      </c>
      <c r="AG9315">
        <v>0</v>
      </c>
      <c r="AH9315">
        <v>0</v>
      </c>
      <c r="AI9315">
        <v>0</v>
      </c>
      <c r="AJ9315">
        <v>365.28</v>
      </c>
      <c r="AK9315">
        <v>0</v>
      </c>
      <c r="AL9315" t="s">
        <v>53</v>
      </c>
      <c r="AM9315" t="s">
        <v>53</v>
      </c>
      <c r="AN9315" t="s">
        <v>53</v>
      </c>
      <c r="AO9315" t="s">
        <v>53</v>
      </c>
      <c r="AP9315" t="s">
        <v>53</v>
      </c>
    </row>
    <row r="9316" spans="2:42" x14ac:dyDescent="0.2">
      <c r="B9316" t="s">
        <v>44</v>
      </c>
      <c r="C9316" t="str">
        <f>HYPERLINK("https://us2.cloudbeds.com/connect/8493803454333002#/reservations/248846443229376?display=5BUUVDCBB7&amp;reservation_id=248846443229376", "5BUUVDCBB7")</f>
        <v>5BUUVDCBB7</v>
      </c>
      <c r="D9316" t="s">
        <v>10291</v>
      </c>
      <c r="E9316" t="s">
        <v>138</v>
      </c>
      <c r="F9316" t="s">
        <v>70</v>
      </c>
      <c r="G9316" t="s">
        <v>48</v>
      </c>
      <c r="H9316" t="s">
        <v>3957</v>
      </c>
      <c r="I9316" t="s">
        <v>3958</v>
      </c>
      <c r="J9316" t="s">
        <v>10293</v>
      </c>
      <c r="K9316" t="s">
        <v>16795</v>
      </c>
      <c r="L9316" t="s">
        <v>53</v>
      </c>
      <c r="P9316" t="s">
        <v>55</v>
      </c>
      <c r="R9316" t="s">
        <v>56</v>
      </c>
      <c r="T9316" t="s">
        <v>17829</v>
      </c>
      <c r="U9316" t="s">
        <v>58</v>
      </c>
      <c r="V9316">
        <v>1</v>
      </c>
      <c r="W9316">
        <v>1</v>
      </c>
      <c r="X9316">
        <v>1</v>
      </c>
      <c r="Y9316">
        <v>0</v>
      </c>
      <c r="Z9316">
        <v>1</v>
      </c>
      <c r="AA9316">
        <v>155.91999999999999</v>
      </c>
      <c r="AB9316">
        <v>0</v>
      </c>
      <c r="AC9316">
        <v>136</v>
      </c>
      <c r="AD9316">
        <v>0</v>
      </c>
      <c r="AE9316">
        <v>19.920000000000002</v>
      </c>
      <c r="AF9316">
        <v>0</v>
      </c>
      <c r="AG9316">
        <v>0</v>
      </c>
      <c r="AH9316">
        <v>0</v>
      </c>
      <c r="AI9316">
        <v>0</v>
      </c>
      <c r="AJ9316">
        <v>155.91999999999999</v>
      </c>
      <c r="AK9316">
        <v>155.91999999999999</v>
      </c>
      <c r="AL9316" t="s">
        <v>53</v>
      </c>
      <c r="AM9316" t="s">
        <v>53</v>
      </c>
      <c r="AN9316" t="s">
        <v>53</v>
      </c>
      <c r="AO9316" t="s">
        <v>53</v>
      </c>
      <c r="AP9316" t="s">
        <v>53</v>
      </c>
    </row>
    <row r="9317" spans="2:42" x14ac:dyDescent="0.2">
      <c r="B9317" t="s">
        <v>44</v>
      </c>
      <c r="C9317" t="str">
        <f>HYPERLINK("https://us2.cloudbeds.com/connect/8493803454333002#/reservations/9080486849468303?display=5C1J0HKEW8&amp;reservation_id=9080486849468303", "5C1J0HKEW8")</f>
        <v>5C1J0HKEW8</v>
      </c>
      <c r="D9317" t="s">
        <v>10291</v>
      </c>
      <c r="E9317" t="s">
        <v>138</v>
      </c>
      <c r="F9317" t="s">
        <v>70</v>
      </c>
      <c r="G9317" t="s">
        <v>48</v>
      </c>
      <c r="H9317" t="s">
        <v>49</v>
      </c>
      <c r="I9317" t="s">
        <v>8964</v>
      </c>
      <c r="J9317" t="s">
        <v>17830</v>
      </c>
      <c r="K9317" t="s">
        <v>15822</v>
      </c>
      <c r="L9317" t="s">
        <v>53</v>
      </c>
      <c r="N9317" t="s">
        <v>17831</v>
      </c>
      <c r="P9317" t="s">
        <v>55</v>
      </c>
      <c r="R9317" t="s">
        <v>53</v>
      </c>
      <c r="T9317" t="s">
        <v>17832</v>
      </c>
      <c r="U9317" t="s">
        <v>55</v>
      </c>
      <c r="V9317">
        <v>1</v>
      </c>
      <c r="W9317">
        <v>1</v>
      </c>
      <c r="X9317">
        <v>2</v>
      </c>
      <c r="Y9317">
        <v>0</v>
      </c>
      <c r="Z9317">
        <v>2</v>
      </c>
      <c r="AA9317">
        <v>0</v>
      </c>
      <c r="AB9317">
        <v>0</v>
      </c>
      <c r="AC9317">
        <v>152</v>
      </c>
      <c r="AD9317">
        <v>0</v>
      </c>
      <c r="AE9317">
        <v>0</v>
      </c>
      <c r="AF9317">
        <v>0</v>
      </c>
      <c r="AG9317">
        <v>0</v>
      </c>
      <c r="AH9317">
        <v>0</v>
      </c>
      <c r="AI9317">
        <v>22.8</v>
      </c>
      <c r="AJ9317">
        <v>152</v>
      </c>
      <c r="AK9317">
        <v>152</v>
      </c>
      <c r="AL9317" t="s">
        <v>53</v>
      </c>
      <c r="AM9317" t="s">
        <v>53</v>
      </c>
      <c r="AN9317" t="s">
        <v>53</v>
      </c>
      <c r="AO9317" t="s">
        <v>53</v>
      </c>
      <c r="AP9317" t="s">
        <v>53</v>
      </c>
    </row>
    <row r="9318" spans="2:42" x14ac:dyDescent="0.2">
      <c r="B9318" t="s">
        <v>44</v>
      </c>
      <c r="C9318" t="str">
        <f>HYPERLINK("https://us2.cloudbeds.com/connect/8493803454333002#/reservations/249051337384064?display=5C2ZJUHEGY&amp;reservation_id=249051337384064", "5C2ZJUHEGY")</f>
        <v>5C2ZJUHEGY</v>
      </c>
      <c r="D9318" t="s">
        <v>10291</v>
      </c>
      <c r="E9318" t="s">
        <v>190</v>
      </c>
      <c r="F9318" t="s">
        <v>61</v>
      </c>
      <c r="G9318" t="s">
        <v>3974</v>
      </c>
      <c r="H9318" t="s">
        <v>3957</v>
      </c>
      <c r="I9318" t="s">
        <v>3975</v>
      </c>
      <c r="J9318" t="s">
        <v>15025</v>
      </c>
      <c r="K9318" t="s">
        <v>17833</v>
      </c>
      <c r="L9318" t="s">
        <v>53</v>
      </c>
      <c r="P9318" t="s">
        <v>55</v>
      </c>
      <c r="R9318" t="s">
        <v>118</v>
      </c>
      <c r="T9318" t="s">
        <v>17834</v>
      </c>
      <c r="U9318" t="s">
        <v>58</v>
      </c>
      <c r="V9318">
        <v>1</v>
      </c>
      <c r="W9318">
        <v>1</v>
      </c>
      <c r="X9318">
        <v>2</v>
      </c>
      <c r="Y9318">
        <v>0</v>
      </c>
      <c r="Z9318">
        <v>2</v>
      </c>
      <c r="AA9318">
        <v>188.43</v>
      </c>
      <c r="AB9318">
        <v>188.43</v>
      </c>
      <c r="AC9318">
        <v>164.35</v>
      </c>
      <c r="AD9318">
        <v>0</v>
      </c>
      <c r="AE9318">
        <v>24.08</v>
      </c>
      <c r="AF9318">
        <v>0</v>
      </c>
      <c r="AG9318">
        <v>0</v>
      </c>
      <c r="AH9318">
        <v>0</v>
      </c>
      <c r="AI9318">
        <v>0</v>
      </c>
      <c r="AJ9318">
        <v>188.43</v>
      </c>
      <c r="AK9318">
        <v>0</v>
      </c>
      <c r="AL9318" t="s">
        <v>53</v>
      </c>
      <c r="AM9318" t="s">
        <v>53</v>
      </c>
      <c r="AN9318" t="s">
        <v>53</v>
      </c>
      <c r="AO9318" t="s">
        <v>53</v>
      </c>
      <c r="AP9318" t="s">
        <v>53</v>
      </c>
    </row>
    <row r="9319" spans="2:42" x14ac:dyDescent="0.2">
      <c r="B9319" t="s">
        <v>44</v>
      </c>
      <c r="C9319" t="str">
        <f>HYPERLINK("https://us2.cloudbeds.com/connect/8493803454333002#/reservations/9080486849470572?display=5C2QNY656M&amp;reservation_id=9080486849470572", "5C2QNY656M")</f>
        <v>5C2QNY656M</v>
      </c>
      <c r="D9319" t="s">
        <v>10291</v>
      </c>
      <c r="E9319" t="s">
        <v>113</v>
      </c>
      <c r="F9319" t="s">
        <v>61</v>
      </c>
      <c r="G9319" t="s">
        <v>48</v>
      </c>
      <c r="H9319" t="s">
        <v>49</v>
      </c>
      <c r="I9319" t="s">
        <v>62</v>
      </c>
      <c r="J9319" t="s">
        <v>17516</v>
      </c>
      <c r="K9319" t="s">
        <v>17762</v>
      </c>
      <c r="L9319" t="s">
        <v>53</v>
      </c>
      <c r="N9319" t="s">
        <v>17835</v>
      </c>
      <c r="P9319" t="s">
        <v>55</v>
      </c>
      <c r="R9319" t="s">
        <v>56</v>
      </c>
      <c r="T9319" t="s">
        <v>17836</v>
      </c>
      <c r="U9319" t="s">
        <v>55</v>
      </c>
      <c r="V9319">
        <v>2</v>
      </c>
      <c r="W9319">
        <v>1</v>
      </c>
      <c r="X9319">
        <v>2</v>
      </c>
      <c r="Y9319">
        <v>0</v>
      </c>
      <c r="Z9319">
        <v>2</v>
      </c>
      <c r="AA9319">
        <v>284.55</v>
      </c>
      <c r="AB9319">
        <v>0</v>
      </c>
      <c r="AC9319">
        <v>284.55</v>
      </c>
      <c r="AD9319">
        <v>0</v>
      </c>
      <c r="AE9319">
        <v>0</v>
      </c>
      <c r="AF9319">
        <v>0</v>
      </c>
      <c r="AG9319">
        <v>0</v>
      </c>
      <c r="AH9319">
        <v>0</v>
      </c>
      <c r="AI9319">
        <v>51.22</v>
      </c>
      <c r="AJ9319">
        <v>284.55</v>
      </c>
      <c r="AK9319">
        <v>284.55</v>
      </c>
      <c r="AL9319" t="s">
        <v>53</v>
      </c>
      <c r="AM9319" t="s">
        <v>53</v>
      </c>
      <c r="AN9319" t="s">
        <v>53</v>
      </c>
      <c r="AO9319" t="s">
        <v>53</v>
      </c>
      <c r="AP9319" t="s">
        <v>53</v>
      </c>
    </row>
    <row r="9320" spans="2:42" x14ac:dyDescent="0.2">
      <c r="B9320" t="s">
        <v>44</v>
      </c>
      <c r="C9320" t="str">
        <f>HYPERLINK("https://us2.cloudbeds.com/connect/8493803454333002#/reservations/9080486849472038?display=5C3JQMVUNY&amp;reservation_id=9080486849472038", "5C3JQMVUNY")</f>
        <v>5C3JQMVUNY</v>
      </c>
      <c r="D9320" t="s">
        <v>10291</v>
      </c>
      <c r="E9320" t="s">
        <v>105</v>
      </c>
      <c r="F9320" t="s">
        <v>47</v>
      </c>
      <c r="G9320" t="s">
        <v>48</v>
      </c>
      <c r="H9320" t="s">
        <v>49</v>
      </c>
      <c r="I9320" t="s">
        <v>50</v>
      </c>
      <c r="J9320" t="s">
        <v>17135</v>
      </c>
      <c r="K9320" t="s">
        <v>16110</v>
      </c>
      <c r="L9320" t="s">
        <v>53</v>
      </c>
      <c r="N9320" t="s">
        <v>17837</v>
      </c>
      <c r="P9320" t="s">
        <v>55</v>
      </c>
      <c r="R9320" t="s">
        <v>53</v>
      </c>
      <c r="T9320" t="s">
        <v>17838</v>
      </c>
      <c r="U9320" t="s">
        <v>55</v>
      </c>
      <c r="V9320">
        <v>3</v>
      </c>
      <c r="W9320">
        <v>1</v>
      </c>
      <c r="X9320">
        <v>2</v>
      </c>
      <c r="Y9320">
        <v>0</v>
      </c>
      <c r="Z9320">
        <v>2</v>
      </c>
      <c r="AA9320">
        <v>422.08</v>
      </c>
      <c r="AB9320">
        <v>0</v>
      </c>
      <c r="AC9320">
        <v>388.13</v>
      </c>
      <c r="AD9320">
        <v>0</v>
      </c>
      <c r="AE9320">
        <v>33.950000000000003</v>
      </c>
      <c r="AF9320">
        <v>0</v>
      </c>
      <c r="AG9320">
        <v>0</v>
      </c>
      <c r="AH9320">
        <v>0</v>
      </c>
      <c r="AI9320">
        <v>75.97</v>
      </c>
      <c r="AJ9320">
        <v>422.08</v>
      </c>
      <c r="AK9320">
        <v>422.08</v>
      </c>
      <c r="AL9320" t="s">
        <v>53</v>
      </c>
      <c r="AM9320" t="s">
        <v>53</v>
      </c>
      <c r="AN9320" t="s">
        <v>53</v>
      </c>
      <c r="AO9320" t="s">
        <v>53</v>
      </c>
      <c r="AP9320" t="s">
        <v>53</v>
      </c>
    </row>
    <row r="9321" spans="2:42" x14ac:dyDescent="0.2">
      <c r="B9321" t="s">
        <v>44</v>
      </c>
      <c r="C9321" t="str">
        <f>HYPERLINK("https://us2.cloudbeds.com/connect/8493803454333002#/reservations/9080486849472889?display=5C42QRGK5B&amp;reservation_id=9080486849472889", "5C42QRGK5B")</f>
        <v>5C42QRGK5B</v>
      </c>
      <c r="D9321" t="s">
        <v>45</v>
      </c>
      <c r="E9321" t="s">
        <v>14695</v>
      </c>
      <c r="F9321" t="s">
        <v>47</v>
      </c>
      <c r="G9321" t="s">
        <v>48</v>
      </c>
      <c r="H9321" t="s">
        <v>49</v>
      </c>
      <c r="I9321" t="s">
        <v>50</v>
      </c>
      <c r="J9321" t="s">
        <v>17077</v>
      </c>
      <c r="K9321" t="s">
        <v>17078</v>
      </c>
      <c r="L9321" t="s">
        <v>53</v>
      </c>
      <c r="N9321" t="s">
        <v>17839</v>
      </c>
      <c r="P9321" t="s">
        <v>55</v>
      </c>
      <c r="R9321" t="s">
        <v>53</v>
      </c>
      <c r="T9321" t="s">
        <v>17840</v>
      </c>
      <c r="U9321" t="s">
        <v>55</v>
      </c>
      <c r="V9321">
        <v>1</v>
      </c>
      <c r="W9321">
        <v>1</v>
      </c>
      <c r="X9321">
        <v>2</v>
      </c>
      <c r="Y9321">
        <v>0</v>
      </c>
      <c r="Z9321">
        <v>2</v>
      </c>
      <c r="AA9321">
        <v>152.11000000000001</v>
      </c>
      <c r="AB9321">
        <v>152.11000000000001</v>
      </c>
      <c r="AC9321">
        <v>139.87</v>
      </c>
      <c r="AD9321">
        <v>0</v>
      </c>
      <c r="AE9321">
        <v>12.24</v>
      </c>
      <c r="AF9321">
        <v>0</v>
      </c>
      <c r="AG9321">
        <v>0</v>
      </c>
      <c r="AH9321">
        <v>0</v>
      </c>
      <c r="AI9321">
        <v>27.38</v>
      </c>
      <c r="AJ9321">
        <v>152.11000000000001</v>
      </c>
      <c r="AK9321">
        <v>0</v>
      </c>
      <c r="AL9321" t="s">
        <v>53</v>
      </c>
      <c r="AM9321" t="s">
        <v>53</v>
      </c>
      <c r="AN9321" t="s">
        <v>17841</v>
      </c>
      <c r="AO9321" t="s">
        <v>53</v>
      </c>
      <c r="AP9321" t="s">
        <v>53</v>
      </c>
    </row>
    <row r="9322" spans="2:42" x14ac:dyDescent="0.2">
      <c r="B9322" t="s">
        <v>44</v>
      </c>
      <c r="C9322" t="str">
        <f>HYPERLINK("https://us2.cloudbeds.com/connect/8493803454333002#/reservations/9080486849473229?display=5C49MYY4Z7&amp;reservation_id=9080486849473229", "5C49MYY4Z7")</f>
        <v>5C49MYY4Z7</v>
      </c>
      <c r="D9322" t="s">
        <v>45</v>
      </c>
      <c r="E9322" t="s">
        <v>406</v>
      </c>
      <c r="F9322" t="s">
        <v>61</v>
      </c>
      <c r="G9322" t="s">
        <v>48</v>
      </c>
      <c r="H9322" t="s">
        <v>49</v>
      </c>
      <c r="I9322" t="s">
        <v>8964</v>
      </c>
      <c r="J9322" t="s">
        <v>14631</v>
      </c>
      <c r="K9322" t="s">
        <v>14632</v>
      </c>
      <c r="L9322" t="s">
        <v>53</v>
      </c>
      <c r="N9322" t="s">
        <v>17842</v>
      </c>
      <c r="P9322" t="s">
        <v>55</v>
      </c>
      <c r="R9322" t="s">
        <v>53</v>
      </c>
      <c r="T9322" t="s">
        <v>17843</v>
      </c>
      <c r="U9322" t="s">
        <v>55</v>
      </c>
      <c r="V9322">
        <v>1</v>
      </c>
      <c r="W9322">
        <v>1</v>
      </c>
      <c r="X9322">
        <v>2</v>
      </c>
      <c r="Y9322">
        <v>0</v>
      </c>
      <c r="Z9322">
        <v>2</v>
      </c>
      <c r="AA9322">
        <v>0</v>
      </c>
      <c r="AB9322">
        <v>0</v>
      </c>
      <c r="AC9322">
        <v>189</v>
      </c>
      <c r="AD9322">
        <v>0</v>
      </c>
      <c r="AE9322">
        <v>0</v>
      </c>
      <c r="AF9322">
        <v>0</v>
      </c>
      <c r="AG9322">
        <v>0</v>
      </c>
      <c r="AH9322">
        <v>0</v>
      </c>
      <c r="AI9322">
        <v>28.35</v>
      </c>
      <c r="AJ9322">
        <v>189</v>
      </c>
      <c r="AK9322">
        <v>189</v>
      </c>
      <c r="AL9322" t="s">
        <v>53</v>
      </c>
      <c r="AM9322" t="s">
        <v>53</v>
      </c>
      <c r="AN9322" t="s">
        <v>53</v>
      </c>
      <c r="AO9322" t="s">
        <v>53</v>
      </c>
      <c r="AP9322" t="s">
        <v>53</v>
      </c>
    </row>
    <row r="9323" spans="2:42" x14ac:dyDescent="0.2">
      <c r="B9323" t="s">
        <v>44</v>
      </c>
      <c r="C9323" t="str">
        <f>HYPERLINK("https://us2.cloudbeds.com/connect/8493803454333002#/reservations/9080486849474447?display=5C56RM77AR&amp;reservation_id=9080486849474447", "5C56RM77AR")</f>
        <v>5C56RM77AR</v>
      </c>
      <c r="D9323" t="s">
        <v>10291</v>
      </c>
      <c r="E9323" t="s">
        <v>138</v>
      </c>
      <c r="F9323" t="s">
        <v>70</v>
      </c>
      <c r="G9323" t="s">
        <v>48</v>
      </c>
      <c r="H9323" t="s">
        <v>49</v>
      </c>
      <c r="I9323" t="s">
        <v>50</v>
      </c>
      <c r="J9323" t="s">
        <v>17522</v>
      </c>
      <c r="K9323" t="s">
        <v>17523</v>
      </c>
      <c r="L9323" t="s">
        <v>53</v>
      </c>
      <c r="N9323" t="s">
        <v>17844</v>
      </c>
      <c r="P9323" t="s">
        <v>55</v>
      </c>
      <c r="R9323" t="s">
        <v>53</v>
      </c>
      <c r="T9323" t="s">
        <v>17845</v>
      </c>
      <c r="U9323" t="s">
        <v>55</v>
      </c>
      <c r="V9323">
        <v>1</v>
      </c>
      <c r="W9323">
        <v>1</v>
      </c>
      <c r="X9323">
        <v>2</v>
      </c>
      <c r="Y9323">
        <v>0</v>
      </c>
      <c r="Z9323">
        <v>2</v>
      </c>
      <c r="AA9323">
        <v>103.58</v>
      </c>
      <c r="AB9323">
        <v>0</v>
      </c>
      <c r="AC9323">
        <v>95.25</v>
      </c>
      <c r="AD9323">
        <v>0</v>
      </c>
      <c r="AE9323">
        <v>8.33</v>
      </c>
      <c r="AF9323">
        <v>0</v>
      </c>
      <c r="AG9323">
        <v>0</v>
      </c>
      <c r="AH9323">
        <v>0</v>
      </c>
      <c r="AI9323">
        <v>18.64</v>
      </c>
      <c r="AJ9323">
        <v>103.58</v>
      </c>
      <c r="AK9323">
        <v>103.58</v>
      </c>
      <c r="AL9323" t="s">
        <v>53</v>
      </c>
      <c r="AM9323" t="s">
        <v>53</v>
      </c>
      <c r="AN9323" t="s">
        <v>53</v>
      </c>
      <c r="AO9323" t="s">
        <v>53</v>
      </c>
      <c r="AP9323" t="s">
        <v>53</v>
      </c>
    </row>
    <row r="9324" spans="2:42" x14ac:dyDescent="0.2">
      <c r="B9324" t="s">
        <v>44</v>
      </c>
      <c r="C9324" t="str">
        <f>HYPERLINK("https://us2.cloudbeds.com/connect/8493803454333002#/reservations/9080486849474801?display=5C5G6W91NJ&amp;reservation_id=9080486849474801", "5C5G6W91NJ")</f>
        <v>5C5G6W91NJ</v>
      </c>
      <c r="D9324" t="s">
        <v>45</v>
      </c>
      <c r="E9324" t="s">
        <v>78</v>
      </c>
      <c r="F9324" t="s">
        <v>61</v>
      </c>
      <c r="G9324" t="s">
        <v>48</v>
      </c>
      <c r="H9324" t="s">
        <v>49</v>
      </c>
      <c r="I9324" t="s">
        <v>8964</v>
      </c>
      <c r="J9324" t="s">
        <v>17289</v>
      </c>
      <c r="K9324" t="s">
        <v>14632</v>
      </c>
      <c r="L9324" t="s">
        <v>53</v>
      </c>
      <c r="N9324" t="s">
        <v>17846</v>
      </c>
      <c r="P9324" t="s">
        <v>55</v>
      </c>
      <c r="R9324" t="s">
        <v>53</v>
      </c>
      <c r="T9324" t="s">
        <v>17847</v>
      </c>
      <c r="U9324" t="s">
        <v>55</v>
      </c>
      <c r="V9324">
        <v>2</v>
      </c>
      <c r="W9324">
        <v>1</v>
      </c>
      <c r="X9324">
        <v>2</v>
      </c>
      <c r="Y9324">
        <v>0</v>
      </c>
      <c r="Z9324">
        <v>2</v>
      </c>
      <c r="AA9324">
        <v>0</v>
      </c>
      <c r="AB9324">
        <v>0</v>
      </c>
      <c r="AC9324">
        <v>363</v>
      </c>
      <c r="AD9324">
        <v>0</v>
      </c>
      <c r="AE9324">
        <v>0</v>
      </c>
      <c r="AF9324">
        <v>0</v>
      </c>
      <c r="AG9324">
        <v>0</v>
      </c>
      <c r="AH9324">
        <v>0</v>
      </c>
      <c r="AI9324">
        <v>54.45</v>
      </c>
      <c r="AJ9324">
        <v>363</v>
      </c>
      <c r="AK9324">
        <v>363</v>
      </c>
      <c r="AL9324" t="s">
        <v>53</v>
      </c>
      <c r="AM9324" t="s">
        <v>53</v>
      </c>
      <c r="AN9324" t="s">
        <v>53</v>
      </c>
      <c r="AO9324" t="s">
        <v>53</v>
      </c>
      <c r="AP9324" t="s">
        <v>53</v>
      </c>
    </row>
    <row r="9325" spans="2:42" x14ac:dyDescent="0.2">
      <c r="B9325" t="s">
        <v>44</v>
      </c>
      <c r="C9325" t="str">
        <f>HYPERLINK("https://us2.cloudbeds.com/connect/8493803454333002#/reservations/9080486849476446?display=5C7063Y6GK&amp;reservation_id=9080486849476446", "5C7063Y6GK")</f>
        <v>5C7063Y6GK</v>
      </c>
      <c r="D9325" t="s">
        <v>45</v>
      </c>
      <c r="E9325" t="s">
        <v>128</v>
      </c>
      <c r="F9325" t="s">
        <v>86</v>
      </c>
      <c r="G9325" t="s">
        <v>48</v>
      </c>
      <c r="H9325" t="s">
        <v>49</v>
      </c>
      <c r="I9325" t="s">
        <v>62</v>
      </c>
      <c r="J9325" t="s">
        <v>17289</v>
      </c>
      <c r="K9325" t="s">
        <v>14631</v>
      </c>
      <c r="L9325" t="s">
        <v>53</v>
      </c>
      <c r="N9325" t="s">
        <v>17848</v>
      </c>
      <c r="P9325" t="s">
        <v>55</v>
      </c>
      <c r="R9325" t="s">
        <v>56</v>
      </c>
      <c r="T9325" t="s">
        <v>17849</v>
      </c>
      <c r="U9325" t="s">
        <v>55</v>
      </c>
      <c r="V9325">
        <v>1</v>
      </c>
      <c r="W9325">
        <v>1</v>
      </c>
      <c r="X9325">
        <v>2</v>
      </c>
      <c r="Y9325">
        <v>0</v>
      </c>
      <c r="Z9325">
        <v>2</v>
      </c>
      <c r="AA9325">
        <v>184.8</v>
      </c>
      <c r="AB9325">
        <v>184.8</v>
      </c>
      <c r="AC9325">
        <v>184.8</v>
      </c>
      <c r="AD9325">
        <v>0</v>
      </c>
      <c r="AE9325">
        <v>0</v>
      </c>
      <c r="AF9325">
        <v>0</v>
      </c>
      <c r="AG9325">
        <v>0</v>
      </c>
      <c r="AH9325">
        <v>0</v>
      </c>
      <c r="AI9325">
        <v>33.26</v>
      </c>
      <c r="AJ9325">
        <v>184.8</v>
      </c>
      <c r="AK9325">
        <v>0</v>
      </c>
      <c r="AL9325" t="s">
        <v>53</v>
      </c>
      <c r="AM9325" t="s">
        <v>53</v>
      </c>
      <c r="AN9325" t="s">
        <v>17850</v>
      </c>
      <c r="AO9325" t="s">
        <v>53</v>
      </c>
      <c r="AP9325" t="s">
        <v>53</v>
      </c>
    </row>
    <row r="9326" spans="2:42" x14ac:dyDescent="0.2">
      <c r="B9326" t="s">
        <v>44</v>
      </c>
      <c r="C9326" t="str">
        <f>HYPERLINK("https://us2.cloudbeds.com/connect/8493803454333002#/reservations/9080486849480252?display=5CA1V3DWQR&amp;reservation_id=9080486849480252", "5CA1V3DWQR")</f>
        <v>5CA1V3DWQR</v>
      </c>
      <c r="D9326" t="s">
        <v>45</v>
      </c>
      <c r="E9326" t="s">
        <v>98</v>
      </c>
      <c r="F9326" t="s">
        <v>86</v>
      </c>
      <c r="G9326" t="s">
        <v>48</v>
      </c>
      <c r="H9326" t="s">
        <v>49</v>
      </c>
      <c r="I9326" t="s">
        <v>50</v>
      </c>
      <c r="J9326" t="s">
        <v>15625</v>
      </c>
      <c r="K9326" t="s">
        <v>14632</v>
      </c>
      <c r="L9326" t="s">
        <v>53</v>
      </c>
      <c r="N9326" t="s">
        <v>17851</v>
      </c>
      <c r="P9326" t="s">
        <v>55</v>
      </c>
      <c r="R9326" t="s">
        <v>53</v>
      </c>
      <c r="T9326" t="s">
        <v>17852</v>
      </c>
      <c r="U9326" t="s">
        <v>55</v>
      </c>
      <c r="V9326">
        <v>3</v>
      </c>
      <c r="W9326">
        <v>1</v>
      </c>
      <c r="X9326">
        <v>1</v>
      </c>
      <c r="Y9326">
        <v>0</v>
      </c>
      <c r="Z9326">
        <v>1</v>
      </c>
      <c r="AA9326">
        <v>397.68</v>
      </c>
      <c r="AB9326">
        <v>397.68</v>
      </c>
      <c r="AC9326">
        <v>365.68</v>
      </c>
      <c r="AD9326">
        <v>0</v>
      </c>
      <c r="AE9326">
        <v>32</v>
      </c>
      <c r="AF9326">
        <v>0</v>
      </c>
      <c r="AG9326">
        <v>0</v>
      </c>
      <c r="AH9326">
        <v>0</v>
      </c>
      <c r="AI9326">
        <v>71.58</v>
      </c>
      <c r="AJ9326">
        <v>397.68</v>
      </c>
      <c r="AK9326">
        <v>0</v>
      </c>
      <c r="AL9326" t="s">
        <v>53</v>
      </c>
      <c r="AM9326" t="s">
        <v>53</v>
      </c>
      <c r="AN9326" t="s">
        <v>53</v>
      </c>
      <c r="AO9326" t="s">
        <v>53</v>
      </c>
      <c r="AP9326" t="s">
        <v>53</v>
      </c>
    </row>
    <row r="9327" spans="2:42" x14ac:dyDescent="0.2">
      <c r="B9327" t="s">
        <v>44</v>
      </c>
      <c r="C9327" t="str">
        <f>HYPERLINK("https://us2.cloudbeds.com/connect/8493803454333002#/reservations/249376509661312?display=5CACCRDVPD&amp;reservation_id=249376509661312", "5CACCRDVPD")</f>
        <v>5CACCRDVPD</v>
      </c>
      <c r="D9327" t="s">
        <v>10291</v>
      </c>
      <c r="E9327" t="s">
        <v>85</v>
      </c>
      <c r="F9327" t="s">
        <v>86</v>
      </c>
      <c r="G9327" t="s">
        <v>48</v>
      </c>
      <c r="H9327" t="s">
        <v>3957</v>
      </c>
      <c r="I9327" t="s">
        <v>3975</v>
      </c>
      <c r="J9327" t="s">
        <v>14828</v>
      </c>
      <c r="K9327" t="s">
        <v>17853</v>
      </c>
      <c r="L9327" t="s">
        <v>53</v>
      </c>
      <c r="P9327" t="s">
        <v>58</v>
      </c>
      <c r="R9327" t="s">
        <v>56</v>
      </c>
      <c r="T9327" t="s">
        <v>17854</v>
      </c>
      <c r="U9327" t="s">
        <v>58</v>
      </c>
      <c r="V9327">
        <v>3</v>
      </c>
      <c r="W9327">
        <v>1</v>
      </c>
      <c r="X9327">
        <v>2</v>
      </c>
      <c r="Y9327">
        <v>0</v>
      </c>
      <c r="Z9327">
        <v>2</v>
      </c>
      <c r="AA9327">
        <v>0</v>
      </c>
      <c r="AB9327">
        <v>0</v>
      </c>
      <c r="AC9327">
        <v>575</v>
      </c>
      <c r="AD9327">
        <v>0</v>
      </c>
      <c r="AE9327">
        <v>84.24</v>
      </c>
      <c r="AF9327">
        <v>0</v>
      </c>
      <c r="AG9327">
        <v>0</v>
      </c>
      <c r="AH9327">
        <v>0</v>
      </c>
      <c r="AI9327">
        <v>0</v>
      </c>
      <c r="AJ9327">
        <v>659.24</v>
      </c>
      <c r="AK9327">
        <v>659.24</v>
      </c>
      <c r="AL9327" t="s">
        <v>53</v>
      </c>
      <c r="AM9327" t="s">
        <v>53</v>
      </c>
      <c r="AN9327" t="s">
        <v>53</v>
      </c>
      <c r="AO9327" t="s">
        <v>53</v>
      </c>
      <c r="AP9327" t="s">
        <v>53</v>
      </c>
    </row>
    <row r="9328" spans="2:42" x14ac:dyDescent="0.2">
      <c r="B9328" t="s">
        <v>44</v>
      </c>
      <c r="C9328" t="str">
        <f>HYPERLINK("https://us2.cloudbeds.com/connect/8493803454333002#/reservations/9080486849481625?display=5CAZY6F2DY&amp;reservation_id=9080486849481625", "5CAZY6F2DY")</f>
        <v>5CAZY6F2DY</v>
      </c>
      <c r="D9328" t="s">
        <v>10291</v>
      </c>
      <c r="E9328" t="s">
        <v>78</v>
      </c>
      <c r="F9328" t="s">
        <v>61</v>
      </c>
      <c r="G9328" t="s">
        <v>48</v>
      </c>
      <c r="H9328" t="s">
        <v>49</v>
      </c>
      <c r="I9328" t="s">
        <v>62</v>
      </c>
      <c r="J9328" t="s">
        <v>17762</v>
      </c>
      <c r="K9328" t="s">
        <v>17853</v>
      </c>
      <c r="L9328" t="s">
        <v>53</v>
      </c>
      <c r="N9328" t="s">
        <v>17855</v>
      </c>
      <c r="P9328" t="s">
        <v>55</v>
      </c>
      <c r="R9328" t="s">
        <v>56</v>
      </c>
      <c r="T9328" t="s">
        <v>17856</v>
      </c>
      <c r="U9328" t="s">
        <v>55</v>
      </c>
      <c r="V9328">
        <v>2</v>
      </c>
      <c r="W9328">
        <v>1</v>
      </c>
      <c r="X9328">
        <v>2</v>
      </c>
      <c r="Y9328">
        <v>0</v>
      </c>
      <c r="Z9328">
        <v>2</v>
      </c>
      <c r="AA9328">
        <v>343.14</v>
      </c>
      <c r="AB9328">
        <v>0</v>
      </c>
      <c r="AC9328">
        <v>343.14</v>
      </c>
      <c r="AD9328">
        <v>0</v>
      </c>
      <c r="AE9328">
        <v>0</v>
      </c>
      <c r="AF9328">
        <v>0</v>
      </c>
      <c r="AG9328">
        <v>0</v>
      </c>
      <c r="AH9328">
        <v>0</v>
      </c>
      <c r="AI9328">
        <v>61.77</v>
      </c>
      <c r="AJ9328">
        <v>343.14</v>
      </c>
      <c r="AK9328">
        <v>343.14</v>
      </c>
      <c r="AL9328" t="s">
        <v>53</v>
      </c>
      <c r="AM9328" t="s">
        <v>53</v>
      </c>
      <c r="AN9328" t="s">
        <v>53</v>
      </c>
      <c r="AO9328" t="s">
        <v>53</v>
      </c>
      <c r="AP9328" t="s">
        <v>53</v>
      </c>
    </row>
    <row r="9329" spans="2:42" x14ac:dyDescent="0.2">
      <c r="B9329" t="s">
        <v>44</v>
      </c>
      <c r="C9329" t="str">
        <f>HYPERLINK("https://us2.cloudbeds.com/connect/8493803454333002#/reservations/9080486849481997?display=5CAU9J8TDP&amp;reservation_id=9080486849481997", "5CAU9J8TDP")</f>
        <v>5CAU9J8TDP</v>
      </c>
      <c r="D9329" t="s">
        <v>45</v>
      </c>
      <c r="E9329" t="s">
        <v>213</v>
      </c>
      <c r="F9329" t="s">
        <v>86</v>
      </c>
      <c r="G9329" t="s">
        <v>48</v>
      </c>
      <c r="H9329" t="s">
        <v>49</v>
      </c>
      <c r="I9329" t="s">
        <v>8964</v>
      </c>
      <c r="J9329" t="s">
        <v>17216</v>
      </c>
      <c r="K9329" t="s">
        <v>15625</v>
      </c>
      <c r="L9329" t="s">
        <v>53</v>
      </c>
      <c r="N9329" t="s">
        <v>17857</v>
      </c>
      <c r="P9329" t="s">
        <v>55</v>
      </c>
      <c r="R9329" t="s">
        <v>53</v>
      </c>
      <c r="T9329" t="s">
        <v>17858</v>
      </c>
      <c r="U9329" t="s">
        <v>55</v>
      </c>
      <c r="V9329">
        <v>1</v>
      </c>
      <c r="W9329">
        <v>1</v>
      </c>
      <c r="X9329">
        <v>2</v>
      </c>
      <c r="Y9329">
        <v>0</v>
      </c>
      <c r="Z9329">
        <v>2</v>
      </c>
      <c r="AA9329">
        <v>0</v>
      </c>
      <c r="AB9329">
        <v>0</v>
      </c>
      <c r="AC9329">
        <v>171</v>
      </c>
      <c r="AD9329">
        <v>0</v>
      </c>
      <c r="AE9329">
        <v>0</v>
      </c>
      <c r="AF9329">
        <v>0</v>
      </c>
      <c r="AG9329">
        <v>0</v>
      </c>
      <c r="AH9329">
        <v>0</v>
      </c>
      <c r="AI9329">
        <v>25.65</v>
      </c>
      <c r="AJ9329">
        <v>171</v>
      </c>
      <c r="AK9329">
        <v>171</v>
      </c>
      <c r="AL9329" t="s">
        <v>53</v>
      </c>
      <c r="AM9329" t="s">
        <v>53</v>
      </c>
      <c r="AN9329" t="s">
        <v>53</v>
      </c>
      <c r="AO9329" t="s">
        <v>53</v>
      </c>
      <c r="AP9329" t="s">
        <v>53</v>
      </c>
    </row>
    <row r="9330" spans="2:42" x14ac:dyDescent="0.2">
      <c r="B9330" t="s">
        <v>44</v>
      </c>
      <c r="C9330" t="str">
        <f>HYPERLINK("https://us2.cloudbeds.com/connect/8493803454333002#/reservations/9080486849482246?display=5CB0QHFXH7&amp;reservation_id=9080486849482246", "5CB0QHFXH7")</f>
        <v>5CB0QHFXH7</v>
      </c>
      <c r="D9330" t="s">
        <v>10291</v>
      </c>
      <c r="E9330" t="s">
        <v>113</v>
      </c>
      <c r="F9330" t="s">
        <v>61</v>
      </c>
      <c r="G9330" t="s">
        <v>48</v>
      </c>
      <c r="H9330" t="s">
        <v>49</v>
      </c>
      <c r="I9330" t="s">
        <v>50</v>
      </c>
      <c r="J9330" t="s">
        <v>16795</v>
      </c>
      <c r="K9330" t="s">
        <v>15748</v>
      </c>
      <c r="L9330" t="s">
        <v>53</v>
      </c>
      <c r="N9330" t="s">
        <v>17859</v>
      </c>
      <c r="P9330" t="s">
        <v>55</v>
      </c>
      <c r="R9330" t="s">
        <v>53</v>
      </c>
      <c r="T9330" t="s">
        <v>17860</v>
      </c>
      <c r="U9330" t="s">
        <v>55</v>
      </c>
      <c r="V9330">
        <v>2</v>
      </c>
      <c r="W9330">
        <v>1</v>
      </c>
      <c r="X9330">
        <v>2</v>
      </c>
      <c r="Y9330">
        <v>0</v>
      </c>
      <c r="Z9330">
        <v>2</v>
      </c>
      <c r="AA9330">
        <v>223.28</v>
      </c>
      <c r="AB9330">
        <v>0</v>
      </c>
      <c r="AC9330">
        <v>205.31</v>
      </c>
      <c r="AD9330">
        <v>0</v>
      </c>
      <c r="AE9330">
        <v>17.97</v>
      </c>
      <c r="AF9330">
        <v>0</v>
      </c>
      <c r="AG9330">
        <v>0</v>
      </c>
      <c r="AH9330">
        <v>0</v>
      </c>
      <c r="AI9330">
        <v>40.19</v>
      </c>
      <c r="AJ9330">
        <v>223.28</v>
      </c>
      <c r="AK9330">
        <v>223.28</v>
      </c>
      <c r="AL9330" t="s">
        <v>53</v>
      </c>
      <c r="AM9330" t="s">
        <v>53</v>
      </c>
      <c r="AN9330" t="s">
        <v>53</v>
      </c>
      <c r="AO9330" t="s">
        <v>53</v>
      </c>
      <c r="AP9330" t="s">
        <v>53</v>
      </c>
    </row>
    <row r="9331" spans="2:42" x14ac:dyDescent="0.2">
      <c r="B9331" t="s">
        <v>44</v>
      </c>
      <c r="C9331" t="str">
        <f>HYPERLINK("https://us2.cloudbeds.com/connect/8493803454333002#/reservations/9080486849482298?display=5CB1E85UHP&amp;reservation_id=9080486849482298", "5CB1E85UHP")</f>
        <v>5CB1E85UHP</v>
      </c>
      <c r="D9331" t="s">
        <v>45</v>
      </c>
      <c r="E9331" t="s">
        <v>190</v>
      </c>
      <c r="F9331" t="s">
        <v>61</v>
      </c>
      <c r="G9331" t="s">
        <v>48</v>
      </c>
      <c r="H9331" t="s">
        <v>49</v>
      </c>
      <c r="I9331" t="s">
        <v>62</v>
      </c>
      <c r="J9331" t="s">
        <v>17096</v>
      </c>
      <c r="K9331" t="s">
        <v>17078</v>
      </c>
      <c r="L9331" t="s">
        <v>53</v>
      </c>
      <c r="N9331" t="s">
        <v>17861</v>
      </c>
      <c r="P9331" t="s">
        <v>55</v>
      </c>
      <c r="R9331" t="s">
        <v>56</v>
      </c>
      <c r="T9331" t="s">
        <v>17862</v>
      </c>
      <c r="U9331" t="s">
        <v>55</v>
      </c>
      <c r="V9331">
        <v>2</v>
      </c>
      <c r="W9331">
        <v>1</v>
      </c>
      <c r="X9331">
        <v>2</v>
      </c>
      <c r="Y9331">
        <v>0</v>
      </c>
      <c r="Z9331">
        <v>2</v>
      </c>
      <c r="AA9331">
        <v>431.55</v>
      </c>
      <c r="AB9331">
        <v>431.55</v>
      </c>
      <c r="AC9331">
        <v>431.55</v>
      </c>
      <c r="AD9331">
        <v>0</v>
      </c>
      <c r="AE9331">
        <v>0</v>
      </c>
      <c r="AF9331">
        <v>0</v>
      </c>
      <c r="AG9331">
        <v>0</v>
      </c>
      <c r="AH9331">
        <v>0</v>
      </c>
      <c r="AI9331">
        <v>77.680000000000007</v>
      </c>
      <c r="AJ9331">
        <v>431.55</v>
      </c>
      <c r="AK9331">
        <v>0</v>
      </c>
      <c r="AL9331" t="s">
        <v>53</v>
      </c>
      <c r="AM9331" t="s">
        <v>53</v>
      </c>
      <c r="AN9331" t="s">
        <v>17863</v>
      </c>
      <c r="AO9331" t="s">
        <v>53</v>
      </c>
      <c r="AP9331" t="s">
        <v>53</v>
      </c>
    </row>
    <row r="9332" spans="2:42" x14ac:dyDescent="0.2">
      <c r="B9332" t="s">
        <v>44</v>
      </c>
      <c r="C9332" t="str">
        <f>HYPERLINK("https://us2.cloudbeds.com/connect/8493803454333002#/reservations/249408513859713?display=5CB45K6RV7&amp;reservation_id=249408513859713", "5CB45K6RV7")</f>
        <v>5CB45K6RV7</v>
      </c>
      <c r="D9332" t="s">
        <v>45</v>
      </c>
      <c r="E9332" t="s">
        <v>155</v>
      </c>
      <c r="F9332" t="s">
        <v>86</v>
      </c>
      <c r="G9332" t="s">
        <v>4520</v>
      </c>
      <c r="H9332" t="s">
        <v>3957</v>
      </c>
      <c r="I9332" t="s">
        <v>3958</v>
      </c>
      <c r="J9332" t="s">
        <v>17216</v>
      </c>
      <c r="K9332" t="s">
        <v>14631</v>
      </c>
      <c r="L9332" t="s">
        <v>53</v>
      </c>
      <c r="P9332" t="s">
        <v>55</v>
      </c>
      <c r="R9332" t="s">
        <v>56</v>
      </c>
      <c r="T9332" t="s">
        <v>17864</v>
      </c>
      <c r="U9332" t="s">
        <v>58</v>
      </c>
      <c r="V9332">
        <v>3</v>
      </c>
      <c r="W9332">
        <v>1</v>
      </c>
      <c r="X9332">
        <v>1</v>
      </c>
      <c r="Y9332">
        <v>0</v>
      </c>
      <c r="Z9332">
        <v>1</v>
      </c>
      <c r="AA9332">
        <v>502.64</v>
      </c>
      <c r="AB9332">
        <v>502.64</v>
      </c>
      <c r="AC9332">
        <v>438.4</v>
      </c>
      <c r="AD9332">
        <v>0</v>
      </c>
      <c r="AE9332">
        <v>64.239999999999995</v>
      </c>
      <c r="AF9332">
        <v>0</v>
      </c>
      <c r="AG9332">
        <v>0</v>
      </c>
      <c r="AH9332">
        <v>0</v>
      </c>
      <c r="AI9332">
        <v>0</v>
      </c>
      <c r="AJ9332">
        <v>502.64</v>
      </c>
      <c r="AK9332">
        <v>0</v>
      </c>
      <c r="AL9332" t="s">
        <v>53</v>
      </c>
      <c r="AM9332" t="s">
        <v>53</v>
      </c>
      <c r="AN9332" t="s">
        <v>53</v>
      </c>
      <c r="AO9332" t="s">
        <v>53</v>
      </c>
      <c r="AP9332" t="s">
        <v>53</v>
      </c>
    </row>
    <row r="9333" spans="2:42" x14ac:dyDescent="0.2">
      <c r="B9333" t="s">
        <v>44</v>
      </c>
      <c r="C9333" t="str">
        <f>HYPERLINK("https://us2.cloudbeds.com/connect/8493803454333002#/reservations/9080486849483656?display=5CBKEWT9TV&amp;reservation_id=9080486849483656", "5CBKEWT9TV")</f>
        <v>5CBKEWT9TV</v>
      </c>
      <c r="D9333" t="s">
        <v>45</v>
      </c>
      <c r="E9333" t="s">
        <v>92</v>
      </c>
      <c r="F9333" t="s">
        <v>86</v>
      </c>
      <c r="G9333" t="s">
        <v>48</v>
      </c>
      <c r="H9333" t="s">
        <v>49</v>
      </c>
      <c r="I9333" t="s">
        <v>8964</v>
      </c>
      <c r="J9333" t="s">
        <v>17096</v>
      </c>
      <c r="K9333" t="s">
        <v>17077</v>
      </c>
      <c r="L9333" t="s">
        <v>53</v>
      </c>
      <c r="N9333" t="s">
        <v>17865</v>
      </c>
      <c r="P9333" t="s">
        <v>55</v>
      </c>
      <c r="R9333" t="s">
        <v>53</v>
      </c>
      <c r="T9333" t="s">
        <v>17866</v>
      </c>
      <c r="U9333" t="s">
        <v>55</v>
      </c>
      <c r="V9333">
        <v>1</v>
      </c>
      <c r="W9333">
        <v>1</v>
      </c>
      <c r="X9333">
        <v>3</v>
      </c>
      <c r="Y9333">
        <v>0</v>
      </c>
      <c r="Z9333">
        <v>3</v>
      </c>
      <c r="AA9333">
        <v>0</v>
      </c>
      <c r="AB9333">
        <v>0</v>
      </c>
      <c r="AC9333">
        <v>239</v>
      </c>
      <c r="AD9333">
        <v>0</v>
      </c>
      <c r="AE9333">
        <v>0</v>
      </c>
      <c r="AF9333">
        <v>0</v>
      </c>
      <c r="AG9333">
        <v>0</v>
      </c>
      <c r="AH9333">
        <v>0</v>
      </c>
      <c r="AI9333">
        <v>35.85</v>
      </c>
      <c r="AJ9333">
        <v>239</v>
      </c>
      <c r="AK9333">
        <v>239</v>
      </c>
      <c r="AL9333" t="s">
        <v>53</v>
      </c>
      <c r="AM9333" t="s">
        <v>53</v>
      </c>
      <c r="AN9333" t="s">
        <v>17867</v>
      </c>
      <c r="AO9333" t="s">
        <v>53</v>
      </c>
      <c r="AP9333" t="s">
        <v>53</v>
      </c>
    </row>
    <row r="9334" spans="2:42" x14ac:dyDescent="0.2">
      <c r="B9334" t="s">
        <v>44</v>
      </c>
      <c r="C9334" t="str">
        <f>HYPERLINK("https://us2.cloudbeds.com/connect/8493803454333002#/reservations/249431200596160?display=5CBYZA856Q&amp;reservation_id=249431200596160", "5CBYZA856Q")</f>
        <v>5CBYZA856Q</v>
      </c>
      <c r="D9334" t="s">
        <v>45</v>
      </c>
      <c r="E9334" t="s">
        <v>121</v>
      </c>
      <c r="F9334" t="s">
        <v>86</v>
      </c>
      <c r="G9334" t="s">
        <v>48</v>
      </c>
      <c r="H9334" t="s">
        <v>3957</v>
      </c>
      <c r="I9334" t="s">
        <v>3975</v>
      </c>
      <c r="J9334" t="s">
        <v>17216</v>
      </c>
      <c r="K9334" t="s">
        <v>15625</v>
      </c>
      <c r="L9334" t="s">
        <v>53</v>
      </c>
      <c r="P9334" t="s">
        <v>55</v>
      </c>
      <c r="R9334" t="s">
        <v>56</v>
      </c>
      <c r="T9334" t="s">
        <v>17868</v>
      </c>
      <c r="U9334" t="s">
        <v>58</v>
      </c>
      <c r="V9334">
        <v>1</v>
      </c>
      <c r="W9334">
        <v>1</v>
      </c>
      <c r="X9334">
        <v>2</v>
      </c>
      <c r="Y9334">
        <v>0</v>
      </c>
      <c r="Z9334">
        <v>2</v>
      </c>
      <c r="AA9334">
        <v>186.89</v>
      </c>
      <c r="AB9334">
        <v>186.89</v>
      </c>
      <c r="AC9334">
        <v>163</v>
      </c>
      <c r="AD9334">
        <v>0</v>
      </c>
      <c r="AE9334">
        <v>23.89</v>
      </c>
      <c r="AF9334">
        <v>0</v>
      </c>
      <c r="AG9334">
        <v>0</v>
      </c>
      <c r="AH9334">
        <v>0</v>
      </c>
      <c r="AI9334">
        <v>0</v>
      </c>
      <c r="AJ9334">
        <v>186.89</v>
      </c>
      <c r="AK9334">
        <v>0</v>
      </c>
      <c r="AL9334" t="s">
        <v>53</v>
      </c>
      <c r="AM9334" t="s">
        <v>53</v>
      </c>
      <c r="AN9334" t="s">
        <v>17869</v>
      </c>
      <c r="AO9334" t="s">
        <v>53</v>
      </c>
      <c r="AP9334" t="s">
        <v>53</v>
      </c>
    </row>
    <row r="9335" spans="2:42" x14ac:dyDescent="0.2">
      <c r="B9335" t="s">
        <v>44</v>
      </c>
      <c r="C9335" t="str">
        <f>HYPERLINK("https://us2.cloudbeds.com/connect/8493803454333002#/reservations/9080486849484118?display=5CBR96X7T4&amp;reservation_id=9080486849484118", "5CBR96X7T4")</f>
        <v>5CBR96X7T4</v>
      </c>
      <c r="D9335" t="s">
        <v>45</v>
      </c>
      <c r="E9335" t="s">
        <v>190</v>
      </c>
      <c r="F9335" t="s">
        <v>61</v>
      </c>
      <c r="G9335" t="s">
        <v>48</v>
      </c>
      <c r="H9335" t="s">
        <v>49</v>
      </c>
      <c r="I9335" t="s">
        <v>50</v>
      </c>
      <c r="J9335" t="s">
        <v>17216</v>
      </c>
      <c r="K9335" t="s">
        <v>15625</v>
      </c>
      <c r="L9335" t="s">
        <v>53</v>
      </c>
      <c r="N9335" t="s">
        <v>17870</v>
      </c>
      <c r="P9335" t="s">
        <v>55</v>
      </c>
      <c r="R9335" t="s">
        <v>53</v>
      </c>
      <c r="T9335" t="s">
        <v>17871</v>
      </c>
      <c r="U9335" t="s">
        <v>55</v>
      </c>
      <c r="V9335">
        <v>1</v>
      </c>
      <c r="W9335">
        <v>1</v>
      </c>
      <c r="X9335">
        <v>2</v>
      </c>
      <c r="Y9335">
        <v>0</v>
      </c>
      <c r="Z9335">
        <v>2</v>
      </c>
      <c r="AA9335">
        <v>135.32</v>
      </c>
      <c r="AB9335">
        <v>135.32</v>
      </c>
      <c r="AC9335">
        <v>124.43</v>
      </c>
      <c r="AD9335">
        <v>0</v>
      </c>
      <c r="AE9335">
        <v>10.89</v>
      </c>
      <c r="AF9335">
        <v>0</v>
      </c>
      <c r="AG9335">
        <v>0</v>
      </c>
      <c r="AH9335">
        <v>0</v>
      </c>
      <c r="AI9335">
        <v>24.36</v>
      </c>
      <c r="AJ9335">
        <v>135.32</v>
      </c>
      <c r="AK9335">
        <v>0</v>
      </c>
      <c r="AL9335" t="s">
        <v>53</v>
      </c>
      <c r="AM9335" t="s">
        <v>53</v>
      </c>
      <c r="AN9335" t="s">
        <v>53</v>
      </c>
      <c r="AO9335" t="s">
        <v>53</v>
      </c>
      <c r="AP9335" t="s">
        <v>53</v>
      </c>
    </row>
    <row r="9336" spans="2:42" x14ac:dyDescent="0.2">
      <c r="B9336" t="s">
        <v>44</v>
      </c>
      <c r="C9336" t="str">
        <f>HYPERLINK("https://us2.cloudbeds.com/connect/8493803454333002#/reservations/249442852503744?display=5CBUP1FF68&amp;reservation_id=249442852503744", "5CBUP1FF68")</f>
        <v>5CBUP1FF68</v>
      </c>
      <c r="D9336" t="s">
        <v>45</v>
      </c>
      <c r="E9336" t="s">
        <v>113</v>
      </c>
      <c r="F9336" t="s">
        <v>61</v>
      </c>
      <c r="G9336" t="s">
        <v>48</v>
      </c>
      <c r="H9336" t="s">
        <v>3957</v>
      </c>
      <c r="I9336" t="s">
        <v>3975</v>
      </c>
      <c r="J9336" t="s">
        <v>14732</v>
      </c>
      <c r="K9336" t="s">
        <v>14391</v>
      </c>
      <c r="L9336" t="s">
        <v>53</v>
      </c>
      <c r="P9336" t="s">
        <v>55</v>
      </c>
      <c r="R9336" t="s">
        <v>56</v>
      </c>
      <c r="T9336" t="s">
        <v>17872</v>
      </c>
      <c r="U9336" t="s">
        <v>58</v>
      </c>
      <c r="V9336">
        <v>2</v>
      </c>
      <c r="W9336">
        <v>1</v>
      </c>
      <c r="X9336">
        <v>2</v>
      </c>
      <c r="Y9336">
        <v>0</v>
      </c>
      <c r="Z9336">
        <v>2</v>
      </c>
      <c r="AA9336">
        <v>0</v>
      </c>
      <c r="AB9336">
        <v>433.4</v>
      </c>
      <c r="AC9336">
        <v>378</v>
      </c>
      <c r="AD9336">
        <v>0</v>
      </c>
      <c r="AE9336">
        <v>55.4</v>
      </c>
      <c r="AF9336">
        <v>0</v>
      </c>
      <c r="AG9336">
        <v>0</v>
      </c>
      <c r="AH9336">
        <v>0</v>
      </c>
      <c r="AI9336">
        <v>0</v>
      </c>
      <c r="AJ9336">
        <v>433.4</v>
      </c>
      <c r="AK9336">
        <v>0</v>
      </c>
      <c r="AL9336" t="s">
        <v>53</v>
      </c>
      <c r="AM9336" t="s">
        <v>53</v>
      </c>
      <c r="AN9336" t="s">
        <v>17873</v>
      </c>
      <c r="AO9336" t="s">
        <v>53</v>
      </c>
      <c r="AP9336" t="s">
        <v>53</v>
      </c>
    </row>
    <row r="9337" spans="2:42" x14ac:dyDescent="0.2">
      <c r="B9337" t="s">
        <v>44</v>
      </c>
      <c r="C9337" t="str">
        <f>HYPERLINK("https://us2.cloudbeds.com/connect/8493803454333002#/reservations/249445296255168?display=5CBWYG3AVJ&amp;reservation_id=249445296255168", "5CBWYG3AVJ")</f>
        <v>5CBWYG3AVJ</v>
      </c>
      <c r="D9337" t="s">
        <v>45</v>
      </c>
      <c r="E9337" t="s">
        <v>305</v>
      </c>
      <c r="F9337" t="s">
        <v>61</v>
      </c>
      <c r="G9337" t="s">
        <v>3974</v>
      </c>
      <c r="H9337" t="s">
        <v>3957</v>
      </c>
      <c r="I9337" t="s">
        <v>3975</v>
      </c>
      <c r="J9337" t="s">
        <v>11651</v>
      </c>
      <c r="K9337" t="s">
        <v>14806</v>
      </c>
      <c r="L9337" t="s">
        <v>53</v>
      </c>
      <c r="P9337" t="s">
        <v>55</v>
      </c>
      <c r="R9337" t="s">
        <v>56</v>
      </c>
      <c r="T9337" t="s">
        <v>17874</v>
      </c>
      <c r="U9337" t="s">
        <v>58</v>
      </c>
      <c r="V9337">
        <v>2</v>
      </c>
      <c r="W9337">
        <v>1</v>
      </c>
      <c r="X9337">
        <v>2</v>
      </c>
      <c r="Y9337">
        <v>0</v>
      </c>
      <c r="Z9337">
        <v>2</v>
      </c>
      <c r="AA9337">
        <v>393.2</v>
      </c>
      <c r="AB9337">
        <v>393.2</v>
      </c>
      <c r="AC9337">
        <v>342.95</v>
      </c>
      <c r="AD9337">
        <v>0</v>
      </c>
      <c r="AE9337">
        <v>50.25</v>
      </c>
      <c r="AF9337">
        <v>0</v>
      </c>
      <c r="AG9337">
        <v>0</v>
      </c>
      <c r="AH9337">
        <v>0</v>
      </c>
      <c r="AI9337">
        <v>0</v>
      </c>
      <c r="AJ9337">
        <v>393.2</v>
      </c>
      <c r="AK9337">
        <v>0</v>
      </c>
      <c r="AL9337" t="s">
        <v>53</v>
      </c>
      <c r="AM9337" t="s">
        <v>53</v>
      </c>
      <c r="AN9337" t="s">
        <v>53</v>
      </c>
      <c r="AO9337" t="s">
        <v>53</v>
      </c>
      <c r="AP9337" t="s">
        <v>53</v>
      </c>
    </row>
    <row r="9338" spans="2:42" x14ac:dyDescent="0.2">
      <c r="B9338" t="s">
        <v>44</v>
      </c>
      <c r="C9338" t="str">
        <f>HYPERLINK("https://us2.cloudbeds.com/connect/8493803454333002#/reservations/9080486849485310?display=5CCCC2N576&amp;reservation_id=9080486849485310", "5CCCC2N576")</f>
        <v>5CCCC2N576</v>
      </c>
      <c r="D9338" t="s">
        <v>10291</v>
      </c>
      <c r="E9338" t="s">
        <v>128</v>
      </c>
      <c r="F9338" t="s">
        <v>86</v>
      </c>
      <c r="G9338" t="s">
        <v>48</v>
      </c>
      <c r="H9338" t="s">
        <v>49</v>
      </c>
      <c r="I9338" t="s">
        <v>50</v>
      </c>
      <c r="J9338" t="s">
        <v>15748</v>
      </c>
      <c r="K9338" t="s">
        <v>15024</v>
      </c>
      <c r="L9338" t="s">
        <v>53</v>
      </c>
      <c r="N9338" t="s">
        <v>17875</v>
      </c>
      <c r="P9338" t="s">
        <v>55</v>
      </c>
      <c r="R9338" t="s">
        <v>53</v>
      </c>
      <c r="T9338" t="s">
        <v>17876</v>
      </c>
      <c r="U9338" t="s">
        <v>55</v>
      </c>
      <c r="V9338">
        <v>1</v>
      </c>
      <c r="W9338">
        <v>1</v>
      </c>
      <c r="X9338">
        <v>3</v>
      </c>
      <c r="Y9338">
        <v>0</v>
      </c>
      <c r="Z9338">
        <v>3</v>
      </c>
      <c r="AA9338">
        <v>118.7</v>
      </c>
      <c r="AB9338">
        <v>0</v>
      </c>
      <c r="AC9338">
        <v>109.15</v>
      </c>
      <c r="AD9338">
        <v>0</v>
      </c>
      <c r="AE9338">
        <v>9.5500000000000007</v>
      </c>
      <c r="AF9338">
        <v>0</v>
      </c>
      <c r="AG9338">
        <v>0</v>
      </c>
      <c r="AH9338">
        <v>0</v>
      </c>
      <c r="AI9338">
        <v>21.37</v>
      </c>
      <c r="AJ9338">
        <v>118.7</v>
      </c>
      <c r="AK9338">
        <v>118.7</v>
      </c>
      <c r="AL9338" t="s">
        <v>53</v>
      </c>
      <c r="AM9338" t="s">
        <v>53</v>
      </c>
      <c r="AN9338" t="s">
        <v>53</v>
      </c>
      <c r="AO9338" t="s">
        <v>53</v>
      </c>
      <c r="AP9338" t="s">
        <v>53</v>
      </c>
    </row>
    <row r="9339" spans="2:42" x14ac:dyDescent="0.2">
      <c r="B9339" t="s">
        <v>44</v>
      </c>
      <c r="C9339" t="str">
        <f>HYPERLINK("https://us2.cloudbeds.com/connect/8493803454333002#/reservations/9080486849485983?display=5CCN8BTNRA&amp;reservation_id=9080486849485983", "5CCN8BTNRA")</f>
        <v>5CCN8BTNRA</v>
      </c>
      <c r="D9339" t="s">
        <v>45</v>
      </c>
      <c r="E9339" t="s">
        <v>179</v>
      </c>
      <c r="F9339" t="s">
        <v>47</v>
      </c>
      <c r="G9339" t="s">
        <v>48</v>
      </c>
      <c r="H9339" t="s">
        <v>49</v>
      </c>
      <c r="I9339" t="s">
        <v>50</v>
      </c>
      <c r="J9339" t="s">
        <v>17216</v>
      </c>
      <c r="K9339" t="s">
        <v>15625</v>
      </c>
      <c r="L9339" t="s">
        <v>53</v>
      </c>
      <c r="N9339" t="s">
        <v>17877</v>
      </c>
      <c r="P9339" t="s">
        <v>55</v>
      </c>
      <c r="R9339" t="s">
        <v>53</v>
      </c>
      <c r="T9339" t="s">
        <v>17878</v>
      </c>
      <c r="U9339" t="s">
        <v>55</v>
      </c>
      <c r="V9339">
        <v>1</v>
      </c>
      <c r="W9339">
        <v>1</v>
      </c>
      <c r="X9339">
        <v>2</v>
      </c>
      <c r="Y9339">
        <v>0</v>
      </c>
      <c r="Z9339">
        <v>2</v>
      </c>
      <c r="AA9339">
        <v>96.55</v>
      </c>
      <c r="AB9339">
        <v>96.55</v>
      </c>
      <c r="AC9339">
        <v>88.78</v>
      </c>
      <c r="AD9339">
        <v>0</v>
      </c>
      <c r="AE9339">
        <v>7.77</v>
      </c>
      <c r="AF9339">
        <v>0</v>
      </c>
      <c r="AG9339">
        <v>0</v>
      </c>
      <c r="AH9339">
        <v>0</v>
      </c>
      <c r="AI9339">
        <v>17.38</v>
      </c>
      <c r="AJ9339">
        <v>96.55</v>
      </c>
      <c r="AK9339">
        <v>0</v>
      </c>
      <c r="AL9339" t="s">
        <v>53</v>
      </c>
      <c r="AM9339" t="s">
        <v>53</v>
      </c>
      <c r="AN9339" t="s">
        <v>53</v>
      </c>
      <c r="AO9339" t="s">
        <v>53</v>
      </c>
      <c r="AP9339" t="s">
        <v>53</v>
      </c>
    </row>
    <row r="9340" spans="2:42" x14ac:dyDescent="0.2">
      <c r="B9340" t="s">
        <v>44</v>
      </c>
      <c r="C9340" t="str">
        <f>HYPERLINK("https://us2.cloudbeds.com/connect/8493803454333002#/reservations/9080486849486254?display=5CCRR3CCG2&amp;reservation_id=9080486849486254", "5CCRR3CCG2")</f>
        <v>5CCRR3CCG2</v>
      </c>
      <c r="D9340" t="s">
        <v>10291</v>
      </c>
      <c r="E9340" t="s">
        <v>165</v>
      </c>
      <c r="F9340" t="s">
        <v>61</v>
      </c>
      <c r="G9340" t="s">
        <v>48</v>
      </c>
      <c r="H9340" t="s">
        <v>49</v>
      </c>
      <c r="I9340" t="s">
        <v>50</v>
      </c>
      <c r="J9340" t="s">
        <v>17665</v>
      </c>
      <c r="K9340" t="s">
        <v>17565</v>
      </c>
      <c r="L9340" t="s">
        <v>53</v>
      </c>
      <c r="N9340" t="s">
        <v>17879</v>
      </c>
      <c r="P9340" t="s">
        <v>55</v>
      </c>
      <c r="R9340" t="s">
        <v>53</v>
      </c>
      <c r="T9340" t="s">
        <v>17880</v>
      </c>
      <c r="U9340" t="s">
        <v>55</v>
      </c>
      <c r="V9340">
        <v>1</v>
      </c>
      <c r="W9340">
        <v>1</v>
      </c>
      <c r="X9340">
        <v>2</v>
      </c>
      <c r="Y9340">
        <v>0</v>
      </c>
      <c r="Z9340">
        <v>2</v>
      </c>
      <c r="AA9340">
        <v>103.58</v>
      </c>
      <c r="AB9340">
        <v>0</v>
      </c>
      <c r="AC9340">
        <v>95.25</v>
      </c>
      <c r="AD9340">
        <v>0</v>
      </c>
      <c r="AE9340">
        <v>8.33</v>
      </c>
      <c r="AF9340">
        <v>0</v>
      </c>
      <c r="AG9340">
        <v>0</v>
      </c>
      <c r="AH9340">
        <v>0</v>
      </c>
      <c r="AI9340">
        <v>18.64</v>
      </c>
      <c r="AJ9340">
        <v>103.58</v>
      </c>
      <c r="AK9340">
        <v>103.58</v>
      </c>
      <c r="AL9340" t="s">
        <v>53</v>
      </c>
      <c r="AM9340" t="s">
        <v>53</v>
      </c>
      <c r="AN9340" t="s">
        <v>53</v>
      </c>
      <c r="AO9340" t="s">
        <v>53</v>
      </c>
      <c r="AP9340" t="s">
        <v>53</v>
      </c>
    </row>
    <row r="9341" spans="2:42" x14ac:dyDescent="0.2">
      <c r="B9341" t="s">
        <v>44</v>
      </c>
      <c r="C9341" t="str">
        <f>HYPERLINK("https://us2.cloudbeds.com/connect/8493803454333002#/reservations/9080486849486372?display=5CCU2X7CCX&amp;reservation_id=9080486849486372", "5CCU2X7CCX")</f>
        <v>5CCU2X7CCX</v>
      </c>
      <c r="D9341" t="s">
        <v>10291</v>
      </c>
      <c r="E9341" t="s">
        <v>85</v>
      </c>
      <c r="F9341" t="s">
        <v>86</v>
      </c>
      <c r="G9341" t="s">
        <v>48</v>
      </c>
      <c r="H9341" t="s">
        <v>49</v>
      </c>
      <c r="I9341" t="s">
        <v>62</v>
      </c>
      <c r="J9341" t="s">
        <v>14372</v>
      </c>
      <c r="K9341" t="s">
        <v>16110</v>
      </c>
      <c r="L9341" t="s">
        <v>53</v>
      </c>
      <c r="N9341" t="s">
        <v>17881</v>
      </c>
      <c r="P9341" t="s">
        <v>55</v>
      </c>
      <c r="R9341" t="s">
        <v>56</v>
      </c>
      <c r="T9341" t="s">
        <v>17882</v>
      </c>
      <c r="U9341" t="s">
        <v>55</v>
      </c>
      <c r="V9341">
        <v>1</v>
      </c>
      <c r="W9341">
        <v>1</v>
      </c>
      <c r="X9341">
        <v>2</v>
      </c>
      <c r="Y9341">
        <v>0</v>
      </c>
      <c r="Z9341">
        <v>2</v>
      </c>
      <c r="AA9341">
        <v>210.47</v>
      </c>
      <c r="AB9341">
        <v>0</v>
      </c>
      <c r="AC9341">
        <v>210.47</v>
      </c>
      <c r="AD9341">
        <v>0</v>
      </c>
      <c r="AE9341">
        <v>0</v>
      </c>
      <c r="AF9341">
        <v>0</v>
      </c>
      <c r="AG9341">
        <v>0</v>
      </c>
      <c r="AH9341">
        <v>0</v>
      </c>
      <c r="AI9341">
        <v>37.880000000000003</v>
      </c>
      <c r="AJ9341">
        <v>210.47</v>
      </c>
      <c r="AK9341">
        <v>210.47</v>
      </c>
      <c r="AL9341" t="s">
        <v>53</v>
      </c>
      <c r="AM9341" t="s">
        <v>53</v>
      </c>
      <c r="AN9341" t="s">
        <v>53</v>
      </c>
      <c r="AO9341" t="s">
        <v>53</v>
      </c>
      <c r="AP9341" t="s">
        <v>53</v>
      </c>
    </row>
    <row r="9342" spans="2:42" x14ac:dyDescent="0.2">
      <c r="B9342" t="s">
        <v>44</v>
      </c>
      <c r="C9342" t="str">
        <f>HYPERLINK("https://us2.cloudbeds.com/connect/8493803454333002#/reservations/9080486849486537?display=5CD0ZMSA0F&amp;reservation_id=9080486849486537", "5CD0ZMSA0F")</f>
        <v>5CD0ZMSA0F</v>
      </c>
      <c r="D9342" t="s">
        <v>45</v>
      </c>
      <c r="E9342" t="s">
        <v>223</v>
      </c>
      <c r="F9342" t="s">
        <v>47</v>
      </c>
      <c r="G9342" t="s">
        <v>48</v>
      </c>
      <c r="H9342" t="s">
        <v>49</v>
      </c>
      <c r="I9342" t="s">
        <v>50</v>
      </c>
      <c r="J9342" t="s">
        <v>17078</v>
      </c>
      <c r="K9342" t="s">
        <v>16205</v>
      </c>
      <c r="L9342" t="s">
        <v>53</v>
      </c>
      <c r="N9342" t="s">
        <v>17883</v>
      </c>
      <c r="P9342" t="s">
        <v>55</v>
      </c>
      <c r="R9342" t="s">
        <v>53</v>
      </c>
      <c r="T9342" t="s">
        <v>17884</v>
      </c>
      <c r="U9342" t="s">
        <v>55</v>
      </c>
      <c r="V9342">
        <v>1</v>
      </c>
      <c r="W9342">
        <v>1</v>
      </c>
      <c r="X9342">
        <v>2</v>
      </c>
      <c r="Y9342">
        <v>0</v>
      </c>
      <c r="Z9342">
        <v>2</v>
      </c>
      <c r="AA9342">
        <v>107.84</v>
      </c>
      <c r="AB9342">
        <v>107.84</v>
      </c>
      <c r="AC9342">
        <v>99.16</v>
      </c>
      <c r="AD9342">
        <v>0</v>
      </c>
      <c r="AE9342">
        <v>8.68</v>
      </c>
      <c r="AF9342">
        <v>0</v>
      </c>
      <c r="AG9342">
        <v>0</v>
      </c>
      <c r="AH9342">
        <v>0</v>
      </c>
      <c r="AI9342">
        <v>19.41</v>
      </c>
      <c r="AJ9342">
        <v>107.84</v>
      </c>
      <c r="AK9342">
        <v>0</v>
      </c>
      <c r="AL9342" t="s">
        <v>53</v>
      </c>
      <c r="AM9342" t="s">
        <v>53</v>
      </c>
      <c r="AN9342" t="s">
        <v>17885</v>
      </c>
      <c r="AO9342" t="s">
        <v>53</v>
      </c>
      <c r="AP9342" t="s">
        <v>53</v>
      </c>
    </row>
    <row r="9343" spans="2:42" x14ac:dyDescent="0.2">
      <c r="B9343" t="s">
        <v>44</v>
      </c>
      <c r="C9343" t="str">
        <f>HYPERLINK("https://us2.cloudbeds.com/connect/8493803454333002#/reservations/249498306826432?display=5CD7N105EG&amp;reservation_id=249498306826432", "5CD7N105EG")</f>
        <v>5CD7N105EG</v>
      </c>
      <c r="D9343" t="s">
        <v>45</v>
      </c>
      <c r="E9343" t="s">
        <v>265</v>
      </c>
      <c r="F9343" t="s">
        <v>61</v>
      </c>
      <c r="G9343" t="s">
        <v>48</v>
      </c>
      <c r="H9343" t="s">
        <v>3957</v>
      </c>
      <c r="I9343" t="s">
        <v>3975</v>
      </c>
      <c r="J9343" t="s">
        <v>17216</v>
      </c>
      <c r="K9343" t="s">
        <v>15625</v>
      </c>
      <c r="L9343" t="s">
        <v>53</v>
      </c>
      <c r="P9343" t="s">
        <v>55</v>
      </c>
      <c r="R9343" t="s">
        <v>56</v>
      </c>
      <c r="T9343" t="s">
        <v>17886</v>
      </c>
      <c r="U9343" t="s">
        <v>58</v>
      </c>
      <c r="V9343">
        <v>1</v>
      </c>
      <c r="W9343">
        <v>1</v>
      </c>
      <c r="X9343">
        <v>2</v>
      </c>
      <c r="Y9343">
        <v>0</v>
      </c>
      <c r="Z9343">
        <v>2</v>
      </c>
      <c r="AA9343">
        <v>166.25</v>
      </c>
      <c r="AB9343">
        <v>176.25</v>
      </c>
      <c r="AC9343">
        <v>143.53</v>
      </c>
      <c r="AD9343">
        <v>10</v>
      </c>
      <c r="AE9343">
        <v>22.72</v>
      </c>
      <c r="AF9343">
        <v>0</v>
      </c>
      <c r="AG9343">
        <v>0</v>
      </c>
      <c r="AH9343">
        <v>0</v>
      </c>
      <c r="AI9343">
        <v>0</v>
      </c>
      <c r="AJ9343">
        <v>176.25</v>
      </c>
      <c r="AK9343">
        <v>0</v>
      </c>
      <c r="AL9343" t="s">
        <v>53</v>
      </c>
      <c r="AM9343" t="s">
        <v>53</v>
      </c>
      <c r="AN9343" t="s">
        <v>53</v>
      </c>
      <c r="AO9343" t="s">
        <v>53</v>
      </c>
      <c r="AP9343" t="s">
        <v>53</v>
      </c>
    </row>
    <row r="9344" spans="2:42" x14ac:dyDescent="0.2">
      <c r="B9344" t="s">
        <v>44</v>
      </c>
      <c r="C9344" t="str">
        <f>HYPERLINK("https://us2.cloudbeds.com/connect/8493803454333002#/reservations/9080486849487057?display=5CDAV0ZT13&amp;reservation_id=9080486849487057", "5CDAV0ZT13")</f>
        <v>5CDAV0ZT13</v>
      </c>
      <c r="D9344" t="s">
        <v>45</v>
      </c>
      <c r="E9344" t="s">
        <v>373</v>
      </c>
      <c r="F9344" t="s">
        <v>47</v>
      </c>
      <c r="G9344" t="s">
        <v>48</v>
      </c>
      <c r="H9344" t="s">
        <v>49</v>
      </c>
      <c r="I9344" t="s">
        <v>50</v>
      </c>
      <c r="J9344" t="s">
        <v>17216</v>
      </c>
      <c r="K9344" t="s">
        <v>15625</v>
      </c>
      <c r="L9344" t="s">
        <v>53</v>
      </c>
      <c r="N9344" t="s">
        <v>17887</v>
      </c>
      <c r="P9344" t="s">
        <v>55</v>
      </c>
      <c r="R9344" t="s">
        <v>53</v>
      </c>
      <c r="T9344" t="s">
        <v>17888</v>
      </c>
      <c r="U9344" t="s">
        <v>55</v>
      </c>
      <c r="V9344">
        <v>1</v>
      </c>
      <c r="W9344">
        <v>1</v>
      </c>
      <c r="X9344">
        <v>1</v>
      </c>
      <c r="Y9344">
        <v>0</v>
      </c>
      <c r="Z9344">
        <v>1</v>
      </c>
      <c r="AA9344">
        <v>101.91</v>
      </c>
      <c r="AB9344">
        <v>101.91</v>
      </c>
      <c r="AC9344">
        <v>93.71</v>
      </c>
      <c r="AD9344">
        <v>0</v>
      </c>
      <c r="AE9344">
        <v>8.1999999999999993</v>
      </c>
      <c r="AF9344">
        <v>0</v>
      </c>
      <c r="AG9344">
        <v>0</v>
      </c>
      <c r="AH9344">
        <v>0</v>
      </c>
      <c r="AI9344">
        <v>18.34</v>
      </c>
      <c r="AJ9344">
        <v>101.91</v>
      </c>
      <c r="AK9344">
        <v>0</v>
      </c>
      <c r="AL9344" t="s">
        <v>53</v>
      </c>
      <c r="AM9344" t="s">
        <v>53</v>
      </c>
      <c r="AN9344" t="s">
        <v>53</v>
      </c>
      <c r="AO9344" t="s">
        <v>53</v>
      </c>
      <c r="AP9344" t="s">
        <v>53</v>
      </c>
    </row>
    <row r="9345" spans="2:42" x14ac:dyDescent="0.2">
      <c r="B9345" t="s">
        <v>44</v>
      </c>
      <c r="C9345" t="str">
        <f>HYPERLINK("https://us2.cloudbeds.com/connect/8493803454333002#/reservations/9080486849487404?display=5CDX8349QU&amp;reservation_id=9080486849487404", "5CDX8349QU")</f>
        <v>5CDX8349QU</v>
      </c>
      <c r="D9345" t="s">
        <v>45</v>
      </c>
      <c r="E9345" t="s">
        <v>14402</v>
      </c>
      <c r="F9345" t="s">
        <v>14403</v>
      </c>
      <c r="G9345" t="s">
        <v>48</v>
      </c>
      <c r="H9345" t="s">
        <v>49</v>
      </c>
      <c r="I9345" t="s">
        <v>50</v>
      </c>
      <c r="J9345" t="s">
        <v>17216</v>
      </c>
      <c r="K9345" t="s">
        <v>15625</v>
      </c>
      <c r="L9345" t="s">
        <v>53</v>
      </c>
      <c r="N9345" t="s">
        <v>17889</v>
      </c>
      <c r="P9345" t="s">
        <v>55</v>
      </c>
      <c r="R9345" t="s">
        <v>53</v>
      </c>
      <c r="T9345" t="s">
        <v>17890</v>
      </c>
      <c r="U9345" t="s">
        <v>55</v>
      </c>
      <c r="V9345">
        <v>1</v>
      </c>
      <c r="W9345">
        <v>1</v>
      </c>
      <c r="X9345">
        <v>1</v>
      </c>
      <c r="Y9345">
        <v>0</v>
      </c>
      <c r="Z9345">
        <v>1</v>
      </c>
      <c r="AA9345">
        <v>111.36</v>
      </c>
      <c r="AB9345">
        <v>111.36</v>
      </c>
      <c r="AC9345">
        <v>102.4</v>
      </c>
      <c r="AD9345">
        <v>0</v>
      </c>
      <c r="AE9345">
        <v>8.9600000000000009</v>
      </c>
      <c r="AF9345">
        <v>0</v>
      </c>
      <c r="AG9345">
        <v>0</v>
      </c>
      <c r="AH9345">
        <v>0</v>
      </c>
      <c r="AI9345">
        <v>20.04</v>
      </c>
      <c r="AJ9345">
        <v>111.36</v>
      </c>
      <c r="AK9345">
        <v>0</v>
      </c>
      <c r="AL9345" t="s">
        <v>53</v>
      </c>
      <c r="AM9345" t="s">
        <v>53</v>
      </c>
      <c r="AN9345" t="s">
        <v>17891</v>
      </c>
      <c r="AO9345" t="s">
        <v>53</v>
      </c>
      <c r="AP9345" t="s">
        <v>53</v>
      </c>
    </row>
    <row r="9346" spans="2:42" x14ac:dyDescent="0.2">
      <c r="B9346" t="s">
        <v>44</v>
      </c>
      <c r="C9346" t="str">
        <f>HYPERLINK("https://us2.cloudbeds.com/connect/8493803454333002#/reservations/9080486849487677?display=5CDZ2Q0ES4&amp;reservation_id=9080486849487677", "5CDZ2Q0ES4")</f>
        <v>5CDZ2Q0ES4</v>
      </c>
      <c r="D9346" t="s">
        <v>10291</v>
      </c>
      <c r="E9346" t="s">
        <v>213</v>
      </c>
      <c r="F9346" t="s">
        <v>86</v>
      </c>
      <c r="G9346" t="s">
        <v>48</v>
      </c>
      <c r="H9346" t="s">
        <v>49</v>
      </c>
      <c r="I9346" t="s">
        <v>50</v>
      </c>
      <c r="J9346" t="s">
        <v>17817</v>
      </c>
      <c r="K9346" t="s">
        <v>17818</v>
      </c>
      <c r="L9346" t="s">
        <v>53</v>
      </c>
      <c r="N9346" t="s">
        <v>17892</v>
      </c>
      <c r="P9346" t="s">
        <v>55</v>
      </c>
      <c r="R9346" t="s">
        <v>53</v>
      </c>
      <c r="T9346" t="s">
        <v>17893</v>
      </c>
      <c r="U9346" t="s">
        <v>55</v>
      </c>
      <c r="V9346">
        <v>3</v>
      </c>
      <c r="W9346">
        <v>1</v>
      </c>
      <c r="X9346">
        <v>4</v>
      </c>
      <c r="Y9346">
        <v>0</v>
      </c>
      <c r="Z9346">
        <v>4</v>
      </c>
      <c r="AA9346">
        <v>479.45</v>
      </c>
      <c r="AB9346">
        <v>0</v>
      </c>
      <c r="AC9346">
        <v>440.87</v>
      </c>
      <c r="AD9346">
        <v>0</v>
      </c>
      <c r="AE9346">
        <v>38.58</v>
      </c>
      <c r="AF9346">
        <v>0</v>
      </c>
      <c r="AG9346">
        <v>0</v>
      </c>
      <c r="AH9346">
        <v>0</v>
      </c>
      <c r="AI9346">
        <v>86.3</v>
      </c>
      <c r="AJ9346">
        <v>479.45</v>
      </c>
      <c r="AK9346">
        <v>479.45</v>
      </c>
      <c r="AL9346" t="s">
        <v>53</v>
      </c>
      <c r="AM9346" t="s">
        <v>53</v>
      </c>
      <c r="AN9346" t="s">
        <v>53</v>
      </c>
      <c r="AO9346" t="s">
        <v>53</v>
      </c>
      <c r="AP9346" t="s">
        <v>53</v>
      </c>
    </row>
    <row r="9347" spans="2:42" x14ac:dyDescent="0.2">
      <c r="B9347" t="s">
        <v>44</v>
      </c>
      <c r="C9347" t="str">
        <f>HYPERLINK("https://us2.cloudbeds.com/connect/8493803454333002#/reservations/9080486849488344?display=5CE5043JNB&amp;reservation_id=9080486849488344", "5CE5043JNB")</f>
        <v>5CE5043JNB</v>
      </c>
      <c r="D9347" t="s">
        <v>10291</v>
      </c>
      <c r="E9347" t="s">
        <v>69</v>
      </c>
      <c r="F9347" t="s">
        <v>70</v>
      </c>
      <c r="G9347" t="s">
        <v>48</v>
      </c>
      <c r="H9347" t="s">
        <v>49</v>
      </c>
      <c r="I9347" t="s">
        <v>50</v>
      </c>
      <c r="J9347" t="s">
        <v>17651</v>
      </c>
      <c r="K9347" t="s">
        <v>17625</v>
      </c>
      <c r="L9347" t="s">
        <v>53</v>
      </c>
      <c r="N9347" t="s">
        <v>17894</v>
      </c>
      <c r="P9347" t="s">
        <v>55</v>
      </c>
      <c r="R9347" t="s">
        <v>53</v>
      </c>
      <c r="T9347" t="s">
        <v>17895</v>
      </c>
      <c r="U9347" t="s">
        <v>55</v>
      </c>
      <c r="V9347">
        <v>3</v>
      </c>
      <c r="W9347">
        <v>1</v>
      </c>
      <c r="X9347">
        <v>2</v>
      </c>
      <c r="Y9347">
        <v>0</v>
      </c>
      <c r="Z9347">
        <v>2</v>
      </c>
      <c r="AA9347">
        <v>310.64999999999998</v>
      </c>
      <c r="AB9347">
        <v>0</v>
      </c>
      <c r="AC9347">
        <v>285.64999999999998</v>
      </c>
      <c r="AD9347">
        <v>0</v>
      </c>
      <c r="AE9347">
        <v>25</v>
      </c>
      <c r="AF9347">
        <v>0</v>
      </c>
      <c r="AG9347">
        <v>0</v>
      </c>
      <c r="AH9347">
        <v>0</v>
      </c>
      <c r="AI9347">
        <v>55.92</v>
      </c>
      <c r="AJ9347">
        <v>310.64999999999998</v>
      </c>
      <c r="AK9347">
        <v>310.64999999999998</v>
      </c>
      <c r="AL9347" t="s">
        <v>53</v>
      </c>
      <c r="AM9347" t="s">
        <v>53</v>
      </c>
      <c r="AN9347" t="s">
        <v>17896</v>
      </c>
      <c r="AO9347" t="s">
        <v>53</v>
      </c>
      <c r="AP9347" t="s">
        <v>53</v>
      </c>
    </row>
    <row r="9348" spans="2:42" x14ac:dyDescent="0.2">
      <c r="B9348" t="s">
        <v>44</v>
      </c>
      <c r="C9348" t="str">
        <f>HYPERLINK("https://us2.cloudbeds.com/connect/8493803454333002#/reservations/9080486849488407?display=5CE6FE1H67&amp;reservation_id=9080486849488407", "5CE6FE1H67")</f>
        <v>5CE6FE1H67</v>
      </c>
      <c r="D9348" t="s">
        <v>10291</v>
      </c>
      <c r="E9348" t="s">
        <v>128</v>
      </c>
      <c r="F9348" t="s">
        <v>86</v>
      </c>
      <c r="G9348" t="s">
        <v>48</v>
      </c>
      <c r="H9348" t="s">
        <v>49</v>
      </c>
      <c r="I9348" t="s">
        <v>50</v>
      </c>
      <c r="J9348" t="s">
        <v>17897</v>
      </c>
      <c r="K9348" t="s">
        <v>17898</v>
      </c>
      <c r="L9348" t="s">
        <v>53</v>
      </c>
      <c r="N9348" t="s">
        <v>17899</v>
      </c>
      <c r="P9348" t="s">
        <v>55</v>
      </c>
      <c r="R9348" t="s">
        <v>53</v>
      </c>
      <c r="T9348" t="s">
        <v>17900</v>
      </c>
      <c r="U9348" t="s">
        <v>55</v>
      </c>
      <c r="V9348">
        <v>1</v>
      </c>
      <c r="W9348">
        <v>1</v>
      </c>
      <c r="X9348">
        <v>2</v>
      </c>
      <c r="Y9348">
        <v>1</v>
      </c>
      <c r="Z9348">
        <v>3</v>
      </c>
      <c r="AA9348">
        <v>148.31</v>
      </c>
      <c r="AB9348">
        <v>0</v>
      </c>
      <c r="AC9348">
        <v>136.38</v>
      </c>
      <c r="AD9348">
        <v>0</v>
      </c>
      <c r="AE9348">
        <v>11.93</v>
      </c>
      <c r="AF9348">
        <v>0</v>
      </c>
      <c r="AG9348">
        <v>0</v>
      </c>
      <c r="AH9348">
        <v>0</v>
      </c>
      <c r="AI9348">
        <v>26.7</v>
      </c>
      <c r="AJ9348">
        <v>148.31</v>
      </c>
      <c r="AK9348">
        <v>148.31</v>
      </c>
      <c r="AL9348" t="s">
        <v>53</v>
      </c>
      <c r="AM9348" t="s">
        <v>53</v>
      </c>
      <c r="AN9348" t="s">
        <v>53</v>
      </c>
      <c r="AO9348" t="s">
        <v>53</v>
      </c>
      <c r="AP9348" t="s">
        <v>53</v>
      </c>
    </row>
    <row r="9349" spans="2:42" x14ac:dyDescent="0.2">
      <c r="B9349" t="s">
        <v>44</v>
      </c>
      <c r="C9349" t="str">
        <f>HYPERLINK("https://us2.cloudbeds.com/connect/8493803454333002#/reservations/9080486849488447?display=5CE7B0T2YR&amp;reservation_id=9080486849488447", "5CE7B0T2YR")</f>
        <v>5CE7B0T2YR</v>
      </c>
      <c r="D9349" t="s">
        <v>45</v>
      </c>
      <c r="E9349" t="s">
        <v>487</v>
      </c>
      <c r="F9349" t="s">
        <v>61</v>
      </c>
      <c r="G9349" t="s">
        <v>48</v>
      </c>
      <c r="H9349" t="s">
        <v>49</v>
      </c>
      <c r="I9349" t="s">
        <v>50</v>
      </c>
      <c r="J9349" t="s">
        <v>14632</v>
      </c>
      <c r="K9349" t="s">
        <v>17078</v>
      </c>
      <c r="L9349" t="s">
        <v>53</v>
      </c>
      <c r="N9349" t="s">
        <v>17901</v>
      </c>
      <c r="P9349" t="s">
        <v>55</v>
      </c>
      <c r="R9349" t="s">
        <v>53</v>
      </c>
      <c r="T9349" t="s">
        <v>17902</v>
      </c>
      <c r="U9349" t="s">
        <v>55</v>
      </c>
      <c r="V9349">
        <v>3</v>
      </c>
      <c r="W9349">
        <v>1</v>
      </c>
      <c r="X9349">
        <v>2</v>
      </c>
      <c r="Y9349">
        <v>0</v>
      </c>
      <c r="Z9349">
        <v>2</v>
      </c>
      <c r="AA9349">
        <v>542.11</v>
      </c>
      <c r="AB9349">
        <v>542.11</v>
      </c>
      <c r="AC9349">
        <v>498.49</v>
      </c>
      <c r="AD9349">
        <v>0</v>
      </c>
      <c r="AE9349">
        <v>43.62</v>
      </c>
      <c r="AF9349">
        <v>0</v>
      </c>
      <c r="AG9349">
        <v>0</v>
      </c>
      <c r="AH9349">
        <v>0</v>
      </c>
      <c r="AI9349">
        <v>97.58</v>
      </c>
      <c r="AJ9349">
        <v>542.11</v>
      </c>
      <c r="AK9349">
        <v>0</v>
      </c>
      <c r="AL9349" t="s">
        <v>53</v>
      </c>
      <c r="AM9349" t="s">
        <v>53</v>
      </c>
      <c r="AN9349" t="s">
        <v>17903</v>
      </c>
      <c r="AO9349" t="s">
        <v>53</v>
      </c>
      <c r="AP9349" t="s">
        <v>53</v>
      </c>
    </row>
    <row r="9350" spans="2:42" x14ac:dyDescent="0.2">
      <c r="B9350" t="s">
        <v>44</v>
      </c>
      <c r="C9350" t="str">
        <f>HYPERLINK("https://us2.cloudbeds.com/connect/8493803454333002#/reservations/9080486849488865?display=5CEH4ZEK7B&amp;reservation_id=9080486849488865", "5CEH4ZEK7B")</f>
        <v>5CEH4ZEK7B</v>
      </c>
      <c r="D9350" t="s">
        <v>10291</v>
      </c>
      <c r="E9350" t="s">
        <v>128</v>
      </c>
      <c r="F9350" t="s">
        <v>86</v>
      </c>
      <c r="G9350" t="s">
        <v>48</v>
      </c>
      <c r="H9350" t="s">
        <v>49</v>
      </c>
      <c r="I9350" t="s">
        <v>8964</v>
      </c>
      <c r="J9350" t="s">
        <v>17904</v>
      </c>
      <c r="K9350" t="s">
        <v>14006</v>
      </c>
      <c r="L9350" t="s">
        <v>53</v>
      </c>
      <c r="N9350" t="s">
        <v>17905</v>
      </c>
      <c r="P9350" t="s">
        <v>55</v>
      </c>
      <c r="R9350" t="s">
        <v>53</v>
      </c>
      <c r="T9350" t="s">
        <v>17906</v>
      </c>
      <c r="U9350" t="s">
        <v>55</v>
      </c>
      <c r="V9350">
        <v>1</v>
      </c>
      <c r="W9350">
        <v>1</v>
      </c>
      <c r="X9350">
        <v>2</v>
      </c>
      <c r="Y9350">
        <v>2</v>
      </c>
      <c r="Z9350">
        <v>4</v>
      </c>
      <c r="AA9350">
        <v>0</v>
      </c>
      <c r="AB9350">
        <v>0</v>
      </c>
      <c r="AC9350">
        <v>190</v>
      </c>
      <c r="AD9350">
        <v>0</v>
      </c>
      <c r="AE9350">
        <v>0</v>
      </c>
      <c r="AF9350">
        <v>0</v>
      </c>
      <c r="AG9350">
        <v>0</v>
      </c>
      <c r="AH9350">
        <v>0</v>
      </c>
      <c r="AI9350">
        <v>28.5</v>
      </c>
      <c r="AJ9350">
        <v>190</v>
      </c>
      <c r="AK9350">
        <v>190</v>
      </c>
      <c r="AL9350" t="s">
        <v>53</v>
      </c>
      <c r="AM9350" t="s">
        <v>53</v>
      </c>
      <c r="AN9350" t="s">
        <v>53</v>
      </c>
      <c r="AO9350" t="s">
        <v>53</v>
      </c>
      <c r="AP9350" t="s">
        <v>53</v>
      </c>
    </row>
    <row r="9351" spans="2:42" x14ac:dyDescent="0.2">
      <c r="B9351" t="s">
        <v>44</v>
      </c>
      <c r="C9351" t="str">
        <f>HYPERLINK("https://us2.cloudbeds.com/connect/8493803454333002#/reservations/9080486849489566?display=5CF2RF7319&amp;reservation_id=9080486849489566", "5CF2RF7319")</f>
        <v>5CF2RF7319</v>
      </c>
      <c r="D9351" t="s">
        <v>45</v>
      </c>
      <c r="E9351" t="s">
        <v>121</v>
      </c>
      <c r="F9351" t="s">
        <v>86</v>
      </c>
      <c r="G9351" t="s">
        <v>48</v>
      </c>
      <c r="H9351" t="s">
        <v>49</v>
      </c>
      <c r="I9351" t="s">
        <v>50</v>
      </c>
      <c r="J9351" t="s">
        <v>17289</v>
      </c>
      <c r="K9351" t="s">
        <v>14632</v>
      </c>
      <c r="L9351" t="s">
        <v>53</v>
      </c>
      <c r="N9351" t="s">
        <v>17907</v>
      </c>
      <c r="P9351" t="s">
        <v>55</v>
      </c>
      <c r="R9351" t="s">
        <v>53</v>
      </c>
      <c r="T9351" t="s">
        <v>17908</v>
      </c>
      <c r="U9351" t="s">
        <v>55</v>
      </c>
      <c r="V9351">
        <v>2</v>
      </c>
      <c r="W9351">
        <v>1</v>
      </c>
      <c r="X9351">
        <v>2</v>
      </c>
      <c r="Y9351">
        <v>1</v>
      </c>
      <c r="Z9351">
        <v>3</v>
      </c>
      <c r="AA9351">
        <v>270.55</v>
      </c>
      <c r="AB9351">
        <v>270.55</v>
      </c>
      <c r="AC9351">
        <v>248.78</v>
      </c>
      <c r="AD9351">
        <v>0</v>
      </c>
      <c r="AE9351">
        <v>21.77</v>
      </c>
      <c r="AF9351">
        <v>0</v>
      </c>
      <c r="AG9351">
        <v>0</v>
      </c>
      <c r="AH9351">
        <v>0</v>
      </c>
      <c r="AI9351">
        <v>48.7</v>
      </c>
      <c r="AJ9351">
        <v>270.55</v>
      </c>
      <c r="AK9351">
        <v>0</v>
      </c>
      <c r="AL9351" t="s">
        <v>53</v>
      </c>
      <c r="AM9351" t="s">
        <v>53</v>
      </c>
      <c r="AN9351" t="s">
        <v>17909</v>
      </c>
      <c r="AO9351" t="s">
        <v>53</v>
      </c>
      <c r="AP9351" t="s">
        <v>53</v>
      </c>
    </row>
    <row r="9352" spans="2:42" x14ac:dyDescent="0.2">
      <c r="B9352" t="s">
        <v>44</v>
      </c>
      <c r="C9352" t="str">
        <f>HYPERLINK("https://us2.cloudbeds.com/connect/8493803454333002#/reservations/9080486849494401?display=5CXY5VQ920&amp;reservation_id=9080486849494401", "5CXY5VQ920")</f>
        <v>5CXY5VQ920</v>
      </c>
      <c r="D9352" t="s">
        <v>10291</v>
      </c>
      <c r="E9352" t="s">
        <v>113</v>
      </c>
      <c r="F9352" t="s">
        <v>61</v>
      </c>
      <c r="G9352" t="s">
        <v>48</v>
      </c>
      <c r="H9352" t="s">
        <v>49</v>
      </c>
      <c r="I9352" t="s">
        <v>50</v>
      </c>
      <c r="J9352" t="s">
        <v>17522</v>
      </c>
      <c r="K9352" t="s">
        <v>17910</v>
      </c>
      <c r="L9352" t="s">
        <v>53</v>
      </c>
      <c r="N9352" t="s">
        <v>17911</v>
      </c>
      <c r="P9352" t="s">
        <v>55</v>
      </c>
      <c r="R9352" t="s">
        <v>53</v>
      </c>
      <c r="T9352" t="s">
        <v>17912</v>
      </c>
      <c r="U9352" t="s">
        <v>55</v>
      </c>
      <c r="V9352">
        <v>3</v>
      </c>
      <c r="W9352">
        <v>1</v>
      </c>
      <c r="X9352">
        <v>2</v>
      </c>
      <c r="Y9352">
        <v>0</v>
      </c>
      <c r="Z9352">
        <v>2</v>
      </c>
      <c r="AA9352">
        <v>424.72</v>
      </c>
      <c r="AB9352">
        <v>0</v>
      </c>
      <c r="AC9352">
        <v>390.55</v>
      </c>
      <c r="AD9352">
        <v>0</v>
      </c>
      <c r="AE9352">
        <v>34.17</v>
      </c>
      <c r="AF9352">
        <v>0</v>
      </c>
      <c r="AG9352">
        <v>0</v>
      </c>
      <c r="AH9352">
        <v>0</v>
      </c>
      <c r="AI9352">
        <v>76.45</v>
      </c>
      <c r="AJ9352">
        <v>424.72</v>
      </c>
      <c r="AK9352">
        <v>424.72</v>
      </c>
      <c r="AL9352" t="s">
        <v>53</v>
      </c>
      <c r="AM9352" t="s">
        <v>53</v>
      </c>
      <c r="AN9352" t="s">
        <v>53</v>
      </c>
      <c r="AO9352" t="s">
        <v>53</v>
      </c>
      <c r="AP9352" t="s">
        <v>53</v>
      </c>
    </row>
    <row r="9353" spans="2:42" x14ac:dyDescent="0.2">
      <c r="B9353" t="s">
        <v>44</v>
      </c>
      <c r="C9353" t="str">
        <f>HYPERLINK("https://us2.cloudbeds.com/connect/8493803454333002#/reservations/9080486849495658?display=5CJ6EMVUX3&amp;reservation_id=9080486849495658", "5CJ6EMVUX3")</f>
        <v>5CJ6EMVUX3</v>
      </c>
      <c r="D9353" t="s">
        <v>10291</v>
      </c>
      <c r="E9353" t="s">
        <v>213</v>
      </c>
      <c r="F9353" t="s">
        <v>86</v>
      </c>
      <c r="G9353" t="s">
        <v>48</v>
      </c>
      <c r="H9353" t="s">
        <v>49</v>
      </c>
      <c r="I9353" t="s">
        <v>8964</v>
      </c>
      <c r="J9353" t="s">
        <v>17354</v>
      </c>
      <c r="K9353" t="s">
        <v>17355</v>
      </c>
      <c r="L9353" t="s">
        <v>53</v>
      </c>
      <c r="N9353" t="s">
        <v>17913</v>
      </c>
      <c r="P9353" t="s">
        <v>55</v>
      </c>
      <c r="R9353" t="s">
        <v>53</v>
      </c>
      <c r="T9353" t="s">
        <v>17914</v>
      </c>
      <c r="U9353" t="s">
        <v>55</v>
      </c>
      <c r="V9353">
        <v>1</v>
      </c>
      <c r="W9353">
        <v>1</v>
      </c>
      <c r="X9353">
        <v>3</v>
      </c>
      <c r="Y9353">
        <v>0</v>
      </c>
      <c r="Z9353">
        <v>3</v>
      </c>
      <c r="AA9353">
        <v>0</v>
      </c>
      <c r="AB9353">
        <v>0</v>
      </c>
      <c r="AC9353">
        <v>165</v>
      </c>
      <c r="AD9353">
        <v>0</v>
      </c>
      <c r="AE9353">
        <v>0</v>
      </c>
      <c r="AF9353">
        <v>0</v>
      </c>
      <c r="AG9353">
        <v>0</v>
      </c>
      <c r="AH9353">
        <v>0</v>
      </c>
      <c r="AI9353">
        <v>24.75</v>
      </c>
      <c r="AJ9353">
        <v>165</v>
      </c>
      <c r="AK9353">
        <v>165</v>
      </c>
      <c r="AL9353" t="s">
        <v>53</v>
      </c>
      <c r="AM9353" t="s">
        <v>53</v>
      </c>
      <c r="AN9353" t="s">
        <v>53</v>
      </c>
      <c r="AO9353" t="s">
        <v>53</v>
      </c>
      <c r="AP9353" t="s">
        <v>53</v>
      </c>
    </row>
    <row r="9354" spans="2:42" x14ac:dyDescent="0.2">
      <c r="B9354" t="s">
        <v>44</v>
      </c>
      <c r="C9354" t="str">
        <f>HYPERLINK("https://us2.cloudbeds.com/connect/8493803454333002#/reservations/9080486849495749?display=5CJ7FXN7VN&amp;reservation_id=9080486849495749", "5CJ7FXN7VN")</f>
        <v>5CJ7FXN7VN</v>
      </c>
      <c r="D9354" t="s">
        <v>10291</v>
      </c>
      <c r="E9354" t="s">
        <v>17915</v>
      </c>
      <c r="F9354" t="s">
        <v>1514</v>
      </c>
      <c r="G9354" t="s">
        <v>48</v>
      </c>
      <c r="H9354" t="s">
        <v>49</v>
      </c>
      <c r="I9354" t="s">
        <v>62</v>
      </c>
      <c r="J9354" t="s">
        <v>15834</v>
      </c>
      <c r="K9354" t="s">
        <v>17763</v>
      </c>
      <c r="L9354" t="s">
        <v>53</v>
      </c>
      <c r="N9354" t="s">
        <v>17916</v>
      </c>
      <c r="P9354" t="s">
        <v>55</v>
      </c>
      <c r="R9354" t="s">
        <v>56</v>
      </c>
      <c r="T9354" t="s">
        <v>17917</v>
      </c>
      <c r="U9354" t="s">
        <v>55</v>
      </c>
      <c r="V9354">
        <v>4</v>
      </c>
      <c r="W9354">
        <v>2</v>
      </c>
      <c r="X9354">
        <v>2</v>
      </c>
      <c r="Y9354">
        <v>0</v>
      </c>
      <c r="Z9354">
        <v>2</v>
      </c>
      <c r="AA9354">
        <v>681.45</v>
      </c>
      <c r="AB9354">
        <v>0</v>
      </c>
      <c r="AC9354">
        <v>681.45</v>
      </c>
      <c r="AD9354">
        <v>0</v>
      </c>
      <c r="AE9354">
        <v>0</v>
      </c>
      <c r="AF9354">
        <v>0</v>
      </c>
      <c r="AG9354">
        <v>0</v>
      </c>
      <c r="AH9354">
        <v>0</v>
      </c>
      <c r="AI9354">
        <v>122.66</v>
      </c>
      <c r="AJ9354">
        <v>681.45</v>
      </c>
      <c r="AK9354">
        <v>681.45</v>
      </c>
      <c r="AL9354" t="s">
        <v>53</v>
      </c>
      <c r="AM9354" t="s">
        <v>53</v>
      </c>
      <c r="AN9354" t="s">
        <v>53</v>
      </c>
      <c r="AO9354" t="s">
        <v>53</v>
      </c>
      <c r="AP9354" t="s">
        <v>53</v>
      </c>
    </row>
    <row r="9355" spans="2:42" x14ac:dyDescent="0.2">
      <c r="B9355" t="s">
        <v>44</v>
      </c>
      <c r="C9355" t="str">
        <f>HYPERLINK("https://us2.cloudbeds.com/connect/8493803454333002#/reservations/9080486849496154?display=5CJD11VYG9&amp;reservation_id=9080486849496154", "5CJD11VYG9")</f>
        <v>5CJD11VYG9</v>
      </c>
      <c r="D9355" t="s">
        <v>45</v>
      </c>
      <c r="E9355" t="s">
        <v>85</v>
      </c>
      <c r="F9355" t="s">
        <v>86</v>
      </c>
      <c r="G9355" t="s">
        <v>48</v>
      </c>
      <c r="H9355" t="s">
        <v>49</v>
      </c>
      <c r="I9355" t="s">
        <v>8964</v>
      </c>
      <c r="J9355" t="s">
        <v>15625</v>
      </c>
      <c r="K9355" t="s">
        <v>17289</v>
      </c>
      <c r="L9355" t="s">
        <v>53</v>
      </c>
      <c r="N9355" t="s">
        <v>17918</v>
      </c>
      <c r="P9355" t="s">
        <v>55</v>
      </c>
      <c r="R9355" t="s">
        <v>53</v>
      </c>
      <c r="T9355" t="s">
        <v>17919</v>
      </c>
      <c r="U9355" t="s">
        <v>55</v>
      </c>
      <c r="V9355">
        <v>1</v>
      </c>
      <c r="W9355">
        <v>1</v>
      </c>
      <c r="X9355">
        <v>2</v>
      </c>
      <c r="Y9355">
        <v>0</v>
      </c>
      <c r="Z9355">
        <v>2</v>
      </c>
      <c r="AA9355">
        <v>0</v>
      </c>
      <c r="AB9355">
        <v>0</v>
      </c>
      <c r="AC9355">
        <v>203</v>
      </c>
      <c r="AD9355">
        <v>0</v>
      </c>
      <c r="AE9355">
        <v>0</v>
      </c>
      <c r="AF9355">
        <v>0</v>
      </c>
      <c r="AG9355">
        <v>0</v>
      </c>
      <c r="AH9355">
        <v>0</v>
      </c>
      <c r="AI9355">
        <v>30.45</v>
      </c>
      <c r="AJ9355">
        <v>203</v>
      </c>
      <c r="AK9355">
        <v>203</v>
      </c>
      <c r="AL9355" t="s">
        <v>53</v>
      </c>
      <c r="AM9355" t="s">
        <v>53</v>
      </c>
      <c r="AN9355" t="s">
        <v>53</v>
      </c>
      <c r="AO9355" t="s">
        <v>53</v>
      </c>
      <c r="AP9355" t="s">
        <v>53</v>
      </c>
    </row>
    <row r="9356" spans="2:42" x14ac:dyDescent="0.2">
      <c r="B9356" t="s">
        <v>44</v>
      </c>
      <c r="C9356" t="str">
        <f>HYPERLINK("https://us2.cloudbeds.com/connect/8493803454333002#/reservations/9080486849496402?display=5CJGX7MMBS&amp;reservation_id=9080486849496402", "5CJGX7MMBS")</f>
        <v>5CJGX7MMBS</v>
      </c>
      <c r="D9356" t="s">
        <v>45</v>
      </c>
      <c r="E9356" t="s">
        <v>128</v>
      </c>
      <c r="F9356" t="s">
        <v>86</v>
      </c>
      <c r="G9356" t="s">
        <v>48</v>
      </c>
      <c r="H9356" t="s">
        <v>49</v>
      </c>
      <c r="I9356" t="s">
        <v>8964</v>
      </c>
      <c r="J9356" t="s">
        <v>17077</v>
      </c>
      <c r="K9356" t="s">
        <v>16205</v>
      </c>
      <c r="L9356" t="s">
        <v>53</v>
      </c>
      <c r="N9356" t="s">
        <v>17920</v>
      </c>
      <c r="P9356" t="s">
        <v>55</v>
      </c>
      <c r="R9356" t="s">
        <v>53</v>
      </c>
      <c r="T9356" t="s">
        <v>17921</v>
      </c>
      <c r="U9356" t="s">
        <v>55</v>
      </c>
      <c r="V9356">
        <v>2</v>
      </c>
      <c r="W9356">
        <v>1</v>
      </c>
      <c r="X9356">
        <v>2</v>
      </c>
      <c r="Y9356">
        <v>2</v>
      </c>
      <c r="Z9356">
        <v>4</v>
      </c>
      <c r="AA9356">
        <v>0</v>
      </c>
      <c r="AB9356">
        <v>0</v>
      </c>
      <c r="AC9356">
        <v>434</v>
      </c>
      <c r="AD9356">
        <v>0</v>
      </c>
      <c r="AE9356">
        <v>0</v>
      </c>
      <c r="AF9356">
        <v>0</v>
      </c>
      <c r="AG9356">
        <v>0</v>
      </c>
      <c r="AH9356">
        <v>0</v>
      </c>
      <c r="AI9356">
        <v>65.099999999999994</v>
      </c>
      <c r="AJ9356">
        <v>434</v>
      </c>
      <c r="AK9356">
        <v>434</v>
      </c>
      <c r="AL9356" t="s">
        <v>53</v>
      </c>
      <c r="AM9356" t="s">
        <v>53</v>
      </c>
      <c r="AN9356" t="s">
        <v>17922</v>
      </c>
      <c r="AO9356" t="s">
        <v>53</v>
      </c>
      <c r="AP9356" t="s">
        <v>53</v>
      </c>
    </row>
    <row r="9357" spans="2:42" x14ac:dyDescent="0.2">
      <c r="B9357" t="s">
        <v>44</v>
      </c>
      <c r="C9357" t="str">
        <f>HYPERLINK("https://us2.cloudbeds.com/connect/8493803454333002#/reservations/249798385533056?display=5CK91ZAY6K&amp;reservation_id=249798385533056", "5CK91ZAY6K")</f>
        <v>5CK91ZAY6K</v>
      </c>
      <c r="D9357" t="s">
        <v>10291</v>
      </c>
      <c r="E9357" t="s">
        <v>78</v>
      </c>
      <c r="F9357" t="s">
        <v>61</v>
      </c>
      <c r="G9357" t="s">
        <v>3974</v>
      </c>
      <c r="H9357" t="s">
        <v>3957</v>
      </c>
      <c r="I9357" t="s">
        <v>3975</v>
      </c>
      <c r="J9357" t="s">
        <v>10293</v>
      </c>
      <c r="K9357" t="s">
        <v>15747</v>
      </c>
      <c r="L9357" t="s">
        <v>53</v>
      </c>
      <c r="P9357" t="s">
        <v>55</v>
      </c>
      <c r="R9357" t="s">
        <v>56</v>
      </c>
      <c r="T9357" t="s">
        <v>17923</v>
      </c>
      <c r="U9357" t="s">
        <v>58</v>
      </c>
      <c r="V9357">
        <v>2</v>
      </c>
      <c r="W9357">
        <v>1</v>
      </c>
      <c r="X9357">
        <v>2</v>
      </c>
      <c r="Y9357">
        <v>0</v>
      </c>
      <c r="Z9357">
        <v>2</v>
      </c>
      <c r="AA9357">
        <v>300.60000000000002</v>
      </c>
      <c r="AB9357">
        <v>300.60000000000002</v>
      </c>
      <c r="AC9357">
        <v>262.2</v>
      </c>
      <c r="AD9357">
        <v>0</v>
      </c>
      <c r="AE9357">
        <v>38.4</v>
      </c>
      <c r="AF9357">
        <v>0</v>
      </c>
      <c r="AG9357">
        <v>0</v>
      </c>
      <c r="AH9357">
        <v>0</v>
      </c>
      <c r="AI9357">
        <v>0</v>
      </c>
      <c r="AJ9357">
        <v>300.60000000000002</v>
      </c>
      <c r="AK9357">
        <v>0</v>
      </c>
      <c r="AL9357" t="s">
        <v>53</v>
      </c>
      <c r="AM9357" t="s">
        <v>53</v>
      </c>
      <c r="AN9357" t="s">
        <v>53</v>
      </c>
      <c r="AO9357" t="s">
        <v>53</v>
      </c>
      <c r="AP9357" t="s">
        <v>53</v>
      </c>
    </row>
    <row r="9358" spans="2:42" x14ac:dyDescent="0.2">
      <c r="B9358" t="s">
        <v>44</v>
      </c>
      <c r="C9358" t="str">
        <f>HYPERLINK("https://us2.cloudbeds.com/connect/8493803454333002#/reservations/9080486849498296?display=5CKA6HZ3R5&amp;reservation_id=9080486849498296", "5CKA6HZ3R5")</f>
        <v>5CKA6HZ3R5</v>
      </c>
      <c r="D9358" t="s">
        <v>10291</v>
      </c>
      <c r="E9358" t="s">
        <v>69</v>
      </c>
      <c r="F9358" t="s">
        <v>70</v>
      </c>
      <c r="G9358" t="s">
        <v>48</v>
      </c>
      <c r="H9358" t="s">
        <v>49</v>
      </c>
      <c r="I9358" t="s">
        <v>50</v>
      </c>
      <c r="J9358" t="s">
        <v>10293</v>
      </c>
      <c r="K9358" t="s">
        <v>15747</v>
      </c>
      <c r="L9358" t="s">
        <v>53</v>
      </c>
      <c r="N9358" t="s">
        <v>17924</v>
      </c>
      <c r="P9358" t="s">
        <v>55</v>
      </c>
      <c r="R9358" t="s">
        <v>53</v>
      </c>
      <c r="T9358" t="s">
        <v>17925</v>
      </c>
      <c r="U9358" t="s">
        <v>58</v>
      </c>
      <c r="V9358">
        <v>2</v>
      </c>
      <c r="W9358">
        <v>1</v>
      </c>
      <c r="X9358">
        <v>1</v>
      </c>
      <c r="Y9358">
        <v>0</v>
      </c>
      <c r="Z9358">
        <v>1</v>
      </c>
      <c r="AA9358">
        <v>258.87</v>
      </c>
      <c r="AB9358">
        <v>0</v>
      </c>
      <c r="AC9358">
        <v>225.8</v>
      </c>
      <c r="AD9358">
        <v>0</v>
      </c>
      <c r="AE9358">
        <v>33.07</v>
      </c>
      <c r="AF9358">
        <v>0</v>
      </c>
      <c r="AG9358">
        <v>0</v>
      </c>
      <c r="AH9358">
        <v>0</v>
      </c>
      <c r="AI9358">
        <v>46.6</v>
      </c>
      <c r="AJ9358">
        <v>258.87</v>
      </c>
      <c r="AK9358">
        <v>258.87</v>
      </c>
      <c r="AL9358" t="s">
        <v>53</v>
      </c>
      <c r="AM9358" t="s">
        <v>53</v>
      </c>
      <c r="AN9358" t="s">
        <v>53</v>
      </c>
      <c r="AO9358" t="s">
        <v>53</v>
      </c>
      <c r="AP9358" t="s">
        <v>53</v>
      </c>
    </row>
    <row r="9359" spans="2:42" x14ac:dyDescent="0.2">
      <c r="B9359" t="s">
        <v>44</v>
      </c>
      <c r="C9359" t="str">
        <f>HYPERLINK("https://us2.cloudbeds.com/connect/8493803454333002#/reservations/9080486849498327?display=5CKAXT3VN9&amp;reservation_id=9080486849498327", "5CKAXT3VN9")</f>
        <v>5CKAXT3VN9</v>
      </c>
      <c r="D9359" t="s">
        <v>45</v>
      </c>
      <c r="E9359" t="s">
        <v>406</v>
      </c>
      <c r="F9359" t="s">
        <v>61</v>
      </c>
      <c r="G9359" t="s">
        <v>48</v>
      </c>
      <c r="H9359" t="s">
        <v>49</v>
      </c>
      <c r="I9359" t="s">
        <v>50</v>
      </c>
      <c r="J9359" t="s">
        <v>17096</v>
      </c>
      <c r="K9359" t="s">
        <v>17078</v>
      </c>
      <c r="L9359" t="s">
        <v>53</v>
      </c>
      <c r="N9359" t="s">
        <v>17926</v>
      </c>
      <c r="P9359" t="s">
        <v>55</v>
      </c>
      <c r="R9359" t="s">
        <v>53</v>
      </c>
      <c r="T9359" t="s">
        <v>17927</v>
      </c>
      <c r="U9359" t="s">
        <v>58</v>
      </c>
      <c r="V9359">
        <v>2</v>
      </c>
      <c r="W9359">
        <v>1</v>
      </c>
      <c r="X9359">
        <v>2</v>
      </c>
      <c r="Y9359">
        <v>0</v>
      </c>
      <c r="Z9359">
        <v>2</v>
      </c>
      <c r="AA9359">
        <v>424.65</v>
      </c>
      <c r="AB9359">
        <v>424.65</v>
      </c>
      <c r="AC9359">
        <v>370.39</v>
      </c>
      <c r="AD9359">
        <v>0</v>
      </c>
      <c r="AE9359">
        <v>54.26</v>
      </c>
      <c r="AF9359">
        <v>0</v>
      </c>
      <c r="AG9359">
        <v>0</v>
      </c>
      <c r="AH9359">
        <v>0</v>
      </c>
      <c r="AI9359">
        <v>76.44</v>
      </c>
      <c r="AJ9359">
        <v>424.65</v>
      </c>
      <c r="AK9359">
        <v>0</v>
      </c>
      <c r="AL9359" t="s">
        <v>53</v>
      </c>
      <c r="AM9359" t="s">
        <v>53</v>
      </c>
      <c r="AN9359" t="s">
        <v>17928</v>
      </c>
      <c r="AO9359" t="s">
        <v>53</v>
      </c>
      <c r="AP9359" t="s">
        <v>53</v>
      </c>
    </row>
    <row r="9360" spans="2:42" x14ac:dyDescent="0.2">
      <c r="B9360" t="s">
        <v>44</v>
      </c>
      <c r="C9360" t="str">
        <f>HYPERLINK("https://us2.cloudbeds.com/connect/8493803454333002#/reservations/9080486849498425?display=5CKBWDMAS7&amp;reservation_id=9080486849498425", "5CKBWDMAS7")</f>
        <v>5CKBWDMAS7</v>
      </c>
      <c r="D9360" t="s">
        <v>45</v>
      </c>
      <c r="E9360" t="s">
        <v>305</v>
      </c>
      <c r="F9360" t="s">
        <v>61</v>
      </c>
      <c r="G9360" t="s">
        <v>48</v>
      </c>
      <c r="H9360" t="s">
        <v>49</v>
      </c>
      <c r="I9360" t="s">
        <v>8964</v>
      </c>
      <c r="J9360" t="s">
        <v>17096</v>
      </c>
      <c r="K9360" t="s">
        <v>17078</v>
      </c>
      <c r="L9360" t="s">
        <v>53</v>
      </c>
      <c r="N9360" t="s">
        <v>17929</v>
      </c>
      <c r="P9360" t="s">
        <v>55</v>
      </c>
      <c r="R9360" t="s">
        <v>53</v>
      </c>
      <c r="T9360" t="s">
        <v>17930</v>
      </c>
      <c r="U9360" t="s">
        <v>55</v>
      </c>
      <c r="V9360">
        <v>2</v>
      </c>
      <c r="W9360">
        <v>1</v>
      </c>
      <c r="X9360">
        <v>2</v>
      </c>
      <c r="Y9360">
        <v>0</v>
      </c>
      <c r="Z9360">
        <v>2</v>
      </c>
      <c r="AA9360">
        <v>0</v>
      </c>
      <c r="AB9360">
        <v>0</v>
      </c>
      <c r="AC9360">
        <v>435</v>
      </c>
      <c r="AD9360">
        <v>0</v>
      </c>
      <c r="AE9360">
        <v>0</v>
      </c>
      <c r="AF9360">
        <v>0</v>
      </c>
      <c r="AG9360">
        <v>0</v>
      </c>
      <c r="AH9360">
        <v>0</v>
      </c>
      <c r="AI9360">
        <v>65.25</v>
      </c>
      <c r="AJ9360">
        <v>435</v>
      </c>
      <c r="AK9360">
        <v>435</v>
      </c>
      <c r="AL9360" t="s">
        <v>53</v>
      </c>
      <c r="AM9360" t="s">
        <v>53</v>
      </c>
      <c r="AN9360" t="s">
        <v>53</v>
      </c>
      <c r="AO9360" t="s">
        <v>53</v>
      </c>
      <c r="AP9360" t="s">
        <v>53</v>
      </c>
    </row>
    <row r="9361" spans="2:42" x14ac:dyDescent="0.2">
      <c r="B9361" t="s">
        <v>44</v>
      </c>
      <c r="C9361" t="str">
        <f>HYPERLINK("https://us2.cloudbeds.com/connect/8493803454333002#/reservations/9080486849498436?display=5CKC2DE963&amp;reservation_id=9080486849498436", "5CKC2DE963")</f>
        <v>5CKC2DE963</v>
      </c>
      <c r="D9361" t="s">
        <v>45</v>
      </c>
      <c r="E9361" t="s">
        <v>179</v>
      </c>
      <c r="F9361" t="s">
        <v>47</v>
      </c>
      <c r="G9361" t="s">
        <v>48</v>
      </c>
      <c r="H9361" t="s">
        <v>49</v>
      </c>
      <c r="I9361" t="s">
        <v>50</v>
      </c>
      <c r="J9361" t="s">
        <v>17389</v>
      </c>
      <c r="K9361" t="s">
        <v>14371</v>
      </c>
      <c r="L9361" t="s">
        <v>53</v>
      </c>
      <c r="N9361" t="s">
        <v>17931</v>
      </c>
      <c r="P9361" t="s">
        <v>55</v>
      </c>
      <c r="R9361" t="s">
        <v>53</v>
      </c>
      <c r="T9361" t="s">
        <v>17932</v>
      </c>
      <c r="U9361" t="s">
        <v>55</v>
      </c>
      <c r="V9361">
        <v>1</v>
      </c>
      <c r="W9361">
        <v>1</v>
      </c>
      <c r="X9361">
        <v>2</v>
      </c>
      <c r="Y9361">
        <v>0</v>
      </c>
      <c r="Z9361">
        <v>2</v>
      </c>
      <c r="AA9361">
        <v>119.58</v>
      </c>
      <c r="AB9361">
        <v>119.58</v>
      </c>
      <c r="AC9361">
        <v>109.96</v>
      </c>
      <c r="AD9361">
        <v>0</v>
      </c>
      <c r="AE9361">
        <v>9.6199999999999992</v>
      </c>
      <c r="AF9361">
        <v>0</v>
      </c>
      <c r="AG9361">
        <v>0</v>
      </c>
      <c r="AH9361">
        <v>0</v>
      </c>
      <c r="AI9361">
        <v>21.52</v>
      </c>
      <c r="AJ9361">
        <v>119.58</v>
      </c>
      <c r="AK9361">
        <v>0</v>
      </c>
      <c r="AL9361" t="s">
        <v>53</v>
      </c>
      <c r="AM9361" t="s">
        <v>53</v>
      </c>
      <c r="AN9361" t="s">
        <v>53</v>
      </c>
      <c r="AO9361" t="s">
        <v>53</v>
      </c>
      <c r="AP9361" t="s">
        <v>53</v>
      </c>
    </row>
    <row r="9362" spans="2:42" x14ac:dyDescent="0.2">
      <c r="B9362" t="s">
        <v>44</v>
      </c>
      <c r="C9362" t="str">
        <f>HYPERLINK("https://us2.cloudbeds.com/connect/8493803454333002#/reservations/9080486849498485?display=5CKD5ZRUK4&amp;reservation_id=9080486849498485", "5CKD5ZRUK4")</f>
        <v>5CKD5ZRUK4</v>
      </c>
      <c r="D9362" t="s">
        <v>45</v>
      </c>
      <c r="E9362" t="s">
        <v>165</v>
      </c>
      <c r="F9362" t="s">
        <v>61</v>
      </c>
      <c r="G9362" t="s">
        <v>48</v>
      </c>
      <c r="H9362" t="s">
        <v>49</v>
      </c>
      <c r="I9362" t="s">
        <v>8964</v>
      </c>
      <c r="J9362" t="s">
        <v>17289</v>
      </c>
      <c r="K9362" t="s">
        <v>14632</v>
      </c>
      <c r="L9362" t="s">
        <v>53</v>
      </c>
      <c r="N9362" t="s">
        <v>17933</v>
      </c>
      <c r="P9362" t="s">
        <v>55</v>
      </c>
      <c r="R9362" t="s">
        <v>53</v>
      </c>
      <c r="T9362" t="s">
        <v>17934</v>
      </c>
      <c r="U9362" t="s">
        <v>55</v>
      </c>
      <c r="V9362">
        <v>2</v>
      </c>
      <c r="W9362">
        <v>1</v>
      </c>
      <c r="X9362">
        <v>2</v>
      </c>
      <c r="Y9362">
        <v>0</v>
      </c>
      <c r="Z9362">
        <v>2</v>
      </c>
      <c r="AA9362">
        <v>0</v>
      </c>
      <c r="AB9362">
        <v>0</v>
      </c>
      <c r="AC9362">
        <v>341</v>
      </c>
      <c r="AD9362">
        <v>0</v>
      </c>
      <c r="AE9362">
        <v>0</v>
      </c>
      <c r="AF9362">
        <v>0</v>
      </c>
      <c r="AG9362">
        <v>0</v>
      </c>
      <c r="AH9362">
        <v>0</v>
      </c>
      <c r="AI9362">
        <v>51.15</v>
      </c>
      <c r="AJ9362">
        <v>341</v>
      </c>
      <c r="AK9362">
        <v>341</v>
      </c>
      <c r="AL9362" t="s">
        <v>53</v>
      </c>
      <c r="AM9362" t="s">
        <v>53</v>
      </c>
      <c r="AN9362" t="s">
        <v>17935</v>
      </c>
      <c r="AO9362" t="s">
        <v>53</v>
      </c>
      <c r="AP9362" t="s">
        <v>53</v>
      </c>
    </row>
    <row r="9363" spans="2:42" x14ac:dyDescent="0.2">
      <c r="B9363" t="s">
        <v>44</v>
      </c>
      <c r="C9363" t="str">
        <f>HYPERLINK("https://us2.cloudbeds.com/connect/8493803454333002#/reservations/9080486849499614?display=5CKT8XAUEE&amp;reservation_id=9080486849499614", "5CKT8XAUEE")</f>
        <v>5CKT8XAUEE</v>
      </c>
      <c r="D9363" t="s">
        <v>45</v>
      </c>
      <c r="E9363" t="s">
        <v>223</v>
      </c>
      <c r="F9363" t="s">
        <v>47</v>
      </c>
      <c r="G9363" t="s">
        <v>48</v>
      </c>
      <c r="H9363" t="s">
        <v>49</v>
      </c>
      <c r="I9363" t="s">
        <v>50</v>
      </c>
      <c r="J9363" t="s">
        <v>15625</v>
      </c>
      <c r="K9363" t="s">
        <v>17289</v>
      </c>
      <c r="L9363" t="s">
        <v>53</v>
      </c>
      <c r="N9363" t="s">
        <v>17936</v>
      </c>
      <c r="P9363" t="s">
        <v>55</v>
      </c>
      <c r="R9363" t="s">
        <v>53</v>
      </c>
      <c r="T9363" t="s">
        <v>17937</v>
      </c>
      <c r="U9363" t="s">
        <v>55</v>
      </c>
      <c r="V9363">
        <v>1</v>
      </c>
      <c r="W9363">
        <v>1</v>
      </c>
      <c r="X9363">
        <v>2</v>
      </c>
      <c r="Y9363">
        <v>0</v>
      </c>
      <c r="Z9363">
        <v>2</v>
      </c>
      <c r="AA9363">
        <v>125.29</v>
      </c>
      <c r="AB9363">
        <v>125.29</v>
      </c>
      <c r="AC9363">
        <v>115.21</v>
      </c>
      <c r="AD9363">
        <v>0</v>
      </c>
      <c r="AE9363">
        <v>10.08</v>
      </c>
      <c r="AF9363">
        <v>0</v>
      </c>
      <c r="AG9363">
        <v>0</v>
      </c>
      <c r="AH9363">
        <v>0</v>
      </c>
      <c r="AI9363">
        <v>22.55</v>
      </c>
      <c r="AJ9363">
        <v>125.29</v>
      </c>
      <c r="AK9363">
        <v>0</v>
      </c>
      <c r="AL9363" t="s">
        <v>53</v>
      </c>
      <c r="AM9363" t="s">
        <v>53</v>
      </c>
      <c r="AN9363" t="s">
        <v>53</v>
      </c>
      <c r="AO9363" t="s">
        <v>53</v>
      </c>
      <c r="AP9363" t="s">
        <v>53</v>
      </c>
    </row>
    <row r="9364" spans="2:42" x14ac:dyDescent="0.2">
      <c r="B9364" t="s">
        <v>44</v>
      </c>
      <c r="C9364" t="str">
        <f>HYPERLINK("https://us2.cloudbeds.com/connect/8493803454333002#/reservations/9080486849499826?display=5CKW5GX884&amp;reservation_id=9080486849499826", "5CKW5GX884")</f>
        <v>5CKW5GX884</v>
      </c>
      <c r="D9364" t="s">
        <v>10291</v>
      </c>
      <c r="E9364" t="s">
        <v>128</v>
      </c>
      <c r="F9364" t="s">
        <v>86</v>
      </c>
      <c r="G9364" t="s">
        <v>48</v>
      </c>
      <c r="H9364" t="s">
        <v>49</v>
      </c>
      <c r="I9364" t="s">
        <v>8964</v>
      </c>
      <c r="J9364" t="s">
        <v>15816</v>
      </c>
      <c r="K9364" t="s">
        <v>15817</v>
      </c>
      <c r="L9364" t="s">
        <v>53</v>
      </c>
      <c r="N9364" t="s">
        <v>17938</v>
      </c>
      <c r="P9364" t="s">
        <v>55</v>
      </c>
      <c r="R9364" t="s">
        <v>53</v>
      </c>
      <c r="T9364" t="s">
        <v>17939</v>
      </c>
      <c r="U9364" t="s">
        <v>55</v>
      </c>
      <c r="V9364">
        <v>1</v>
      </c>
      <c r="W9364">
        <v>1</v>
      </c>
      <c r="X9364">
        <v>3</v>
      </c>
      <c r="Y9364">
        <v>0</v>
      </c>
      <c r="Z9364">
        <v>3</v>
      </c>
      <c r="AA9364">
        <v>0</v>
      </c>
      <c r="AB9364">
        <v>0</v>
      </c>
      <c r="AC9364">
        <v>268</v>
      </c>
      <c r="AD9364">
        <v>0</v>
      </c>
      <c r="AE9364">
        <v>0</v>
      </c>
      <c r="AF9364">
        <v>0</v>
      </c>
      <c r="AG9364">
        <v>0</v>
      </c>
      <c r="AH9364">
        <v>0</v>
      </c>
      <c r="AI9364">
        <v>40.200000000000003</v>
      </c>
      <c r="AJ9364">
        <v>268</v>
      </c>
      <c r="AK9364">
        <v>268</v>
      </c>
      <c r="AL9364" t="s">
        <v>53</v>
      </c>
      <c r="AM9364" t="s">
        <v>53</v>
      </c>
      <c r="AN9364" t="s">
        <v>53</v>
      </c>
      <c r="AO9364" t="s">
        <v>53</v>
      </c>
      <c r="AP9364" t="s">
        <v>53</v>
      </c>
    </row>
    <row r="9365" spans="2:42" x14ac:dyDescent="0.2">
      <c r="B9365" t="s">
        <v>44</v>
      </c>
      <c r="C9365" t="str">
        <f>HYPERLINK("https://us2.cloudbeds.com/connect/8493803454333002#/reservations/9080486849500360?display=5CY7MPP1ZX&amp;reservation_id=9080486849500360", "5CY7MPP1ZX")</f>
        <v>5CY7MPP1ZX</v>
      </c>
      <c r="D9365" t="s">
        <v>45</v>
      </c>
      <c r="E9365" t="s">
        <v>121</v>
      </c>
      <c r="F9365" t="s">
        <v>86</v>
      </c>
      <c r="G9365" t="s">
        <v>48</v>
      </c>
      <c r="H9365" t="s">
        <v>49</v>
      </c>
      <c r="I9365" t="s">
        <v>8964</v>
      </c>
      <c r="J9365" t="s">
        <v>15625</v>
      </c>
      <c r="K9365" t="s">
        <v>17289</v>
      </c>
      <c r="L9365" t="s">
        <v>53</v>
      </c>
      <c r="N9365" t="s">
        <v>17940</v>
      </c>
      <c r="P9365" t="s">
        <v>55</v>
      </c>
      <c r="R9365" t="s">
        <v>53</v>
      </c>
      <c r="T9365" t="s">
        <v>17941</v>
      </c>
      <c r="U9365" t="s">
        <v>55</v>
      </c>
      <c r="V9365">
        <v>1</v>
      </c>
      <c r="W9365">
        <v>1</v>
      </c>
      <c r="X9365">
        <v>2</v>
      </c>
      <c r="Y9365">
        <v>0</v>
      </c>
      <c r="Z9365">
        <v>2</v>
      </c>
      <c r="AA9365">
        <v>0</v>
      </c>
      <c r="AB9365">
        <v>0</v>
      </c>
      <c r="AC9365">
        <v>183</v>
      </c>
      <c r="AD9365">
        <v>0</v>
      </c>
      <c r="AE9365">
        <v>0</v>
      </c>
      <c r="AF9365">
        <v>0</v>
      </c>
      <c r="AG9365">
        <v>0</v>
      </c>
      <c r="AH9365">
        <v>0</v>
      </c>
      <c r="AI9365">
        <v>27.45</v>
      </c>
      <c r="AJ9365">
        <v>183</v>
      </c>
      <c r="AK9365">
        <v>183</v>
      </c>
      <c r="AL9365" t="s">
        <v>53</v>
      </c>
      <c r="AM9365" t="s">
        <v>53</v>
      </c>
      <c r="AN9365" t="s">
        <v>53</v>
      </c>
      <c r="AO9365" t="s">
        <v>53</v>
      </c>
      <c r="AP9365" t="s">
        <v>53</v>
      </c>
    </row>
    <row r="9366" spans="2:42" x14ac:dyDescent="0.2">
      <c r="B9366" t="s">
        <v>44</v>
      </c>
      <c r="C9366" t="str">
        <f>HYPERLINK("https://us2.cloudbeds.com/connect/8493803454333002#/reservations/9080486849500507?display=5CYA87NA7P&amp;reservation_id=9080486849500507", "5CYA87NA7P")</f>
        <v>5CYA87NA7P</v>
      </c>
      <c r="D9366" t="s">
        <v>45</v>
      </c>
      <c r="E9366" t="s">
        <v>265</v>
      </c>
      <c r="F9366" t="s">
        <v>61</v>
      </c>
      <c r="G9366" t="s">
        <v>48</v>
      </c>
      <c r="H9366" t="s">
        <v>49</v>
      </c>
      <c r="I9366" t="s">
        <v>8964</v>
      </c>
      <c r="J9366" t="s">
        <v>15625</v>
      </c>
      <c r="K9366" t="s">
        <v>14631</v>
      </c>
      <c r="L9366" t="s">
        <v>53</v>
      </c>
      <c r="N9366" t="s">
        <v>17942</v>
      </c>
      <c r="P9366" t="s">
        <v>55</v>
      </c>
      <c r="R9366" t="s">
        <v>53</v>
      </c>
      <c r="T9366" t="s">
        <v>17943</v>
      </c>
      <c r="U9366" t="s">
        <v>55</v>
      </c>
      <c r="V9366">
        <v>2</v>
      </c>
      <c r="W9366">
        <v>1</v>
      </c>
      <c r="X9366">
        <v>2</v>
      </c>
      <c r="Y9366">
        <v>0</v>
      </c>
      <c r="Z9366">
        <v>2</v>
      </c>
      <c r="AA9366">
        <v>0</v>
      </c>
      <c r="AB9366">
        <v>0</v>
      </c>
      <c r="AC9366">
        <v>352</v>
      </c>
      <c r="AD9366">
        <v>0</v>
      </c>
      <c r="AE9366">
        <v>0</v>
      </c>
      <c r="AF9366">
        <v>0</v>
      </c>
      <c r="AG9366">
        <v>0</v>
      </c>
      <c r="AH9366">
        <v>0</v>
      </c>
      <c r="AI9366">
        <v>52.8</v>
      </c>
      <c r="AJ9366">
        <v>352</v>
      </c>
      <c r="AK9366">
        <v>352</v>
      </c>
      <c r="AL9366" t="s">
        <v>53</v>
      </c>
      <c r="AM9366" t="s">
        <v>53</v>
      </c>
      <c r="AN9366" t="s">
        <v>53</v>
      </c>
      <c r="AO9366" t="s">
        <v>53</v>
      </c>
      <c r="AP9366" t="s">
        <v>53</v>
      </c>
    </row>
    <row r="9367" spans="2:42" x14ac:dyDescent="0.2">
      <c r="B9367" t="s">
        <v>44</v>
      </c>
      <c r="C9367" t="str">
        <f>HYPERLINK("https://us2.cloudbeds.com/connect/8493803454333002#/reservations/9080486849500612?display=5CYBRC3W05&amp;reservation_id=9080486849500612", "5CYBRC3W05")</f>
        <v>5CYBRC3W05</v>
      </c>
      <c r="D9367" t="s">
        <v>45</v>
      </c>
      <c r="E9367" t="s">
        <v>110</v>
      </c>
      <c r="F9367" t="s">
        <v>47</v>
      </c>
      <c r="G9367" t="s">
        <v>48</v>
      </c>
      <c r="H9367" t="s">
        <v>49</v>
      </c>
      <c r="I9367" t="s">
        <v>8964</v>
      </c>
      <c r="J9367" t="s">
        <v>15625</v>
      </c>
      <c r="K9367" t="s">
        <v>17289</v>
      </c>
      <c r="L9367" t="s">
        <v>53</v>
      </c>
      <c r="N9367" t="s">
        <v>17944</v>
      </c>
      <c r="P9367" t="s">
        <v>55</v>
      </c>
      <c r="R9367" t="s">
        <v>53</v>
      </c>
      <c r="T9367" t="s">
        <v>17945</v>
      </c>
      <c r="U9367" t="s">
        <v>55</v>
      </c>
      <c r="V9367">
        <v>1</v>
      </c>
      <c r="W9367">
        <v>1</v>
      </c>
      <c r="X9367">
        <v>2</v>
      </c>
      <c r="Y9367">
        <v>0</v>
      </c>
      <c r="Z9367">
        <v>2</v>
      </c>
      <c r="AA9367">
        <v>0</v>
      </c>
      <c r="AB9367">
        <v>0</v>
      </c>
      <c r="AC9367">
        <v>157</v>
      </c>
      <c r="AD9367">
        <v>0</v>
      </c>
      <c r="AE9367">
        <v>0</v>
      </c>
      <c r="AF9367">
        <v>0</v>
      </c>
      <c r="AG9367">
        <v>0</v>
      </c>
      <c r="AH9367">
        <v>0</v>
      </c>
      <c r="AI9367">
        <v>23.55</v>
      </c>
      <c r="AJ9367">
        <v>157</v>
      </c>
      <c r="AK9367">
        <v>157</v>
      </c>
      <c r="AL9367" t="s">
        <v>53</v>
      </c>
      <c r="AM9367" t="s">
        <v>53</v>
      </c>
      <c r="AN9367" t="s">
        <v>53</v>
      </c>
      <c r="AO9367" t="s">
        <v>53</v>
      </c>
      <c r="AP9367" t="s">
        <v>53</v>
      </c>
    </row>
    <row r="9368" spans="2:42" x14ac:dyDescent="0.2">
      <c r="B9368" t="s">
        <v>44</v>
      </c>
      <c r="C9368" t="str">
        <f>HYPERLINK("https://us2.cloudbeds.com/connect/8493803454333002#/reservations/9080486849500625?display=5CYC986UUR&amp;reservation_id=9080486849500625", "5CYC986UUR")</f>
        <v>5CYC986UUR</v>
      </c>
      <c r="D9368" t="s">
        <v>45</v>
      </c>
      <c r="E9368" t="s">
        <v>92</v>
      </c>
      <c r="F9368" t="s">
        <v>86</v>
      </c>
      <c r="G9368" t="s">
        <v>48</v>
      </c>
      <c r="H9368" t="s">
        <v>49</v>
      </c>
      <c r="I9368" t="s">
        <v>50</v>
      </c>
      <c r="J9368" t="s">
        <v>17289</v>
      </c>
      <c r="K9368" t="s">
        <v>14631</v>
      </c>
      <c r="L9368" t="s">
        <v>53</v>
      </c>
      <c r="N9368" t="s">
        <v>17946</v>
      </c>
      <c r="P9368" t="s">
        <v>55</v>
      </c>
      <c r="R9368" t="s">
        <v>53</v>
      </c>
      <c r="T9368" t="s">
        <v>17947</v>
      </c>
      <c r="U9368" t="s">
        <v>55</v>
      </c>
      <c r="V9368">
        <v>1</v>
      </c>
      <c r="W9368">
        <v>1</v>
      </c>
      <c r="X9368">
        <v>2</v>
      </c>
      <c r="Y9368">
        <v>0</v>
      </c>
      <c r="Z9368">
        <v>2</v>
      </c>
      <c r="AA9368">
        <v>131.55000000000001</v>
      </c>
      <c r="AB9368">
        <v>134.29</v>
      </c>
      <c r="AC9368">
        <v>120.97</v>
      </c>
      <c r="AD9368">
        <v>2.5</v>
      </c>
      <c r="AE9368">
        <v>10.82</v>
      </c>
      <c r="AF9368">
        <v>0</v>
      </c>
      <c r="AG9368">
        <v>0</v>
      </c>
      <c r="AH9368">
        <v>0</v>
      </c>
      <c r="AI9368">
        <v>24.17</v>
      </c>
      <c r="AJ9368">
        <v>134.29</v>
      </c>
      <c r="AK9368">
        <v>0</v>
      </c>
      <c r="AL9368" t="s">
        <v>53</v>
      </c>
      <c r="AM9368" t="s">
        <v>53</v>
      </c>
      <c r="AN9368" t="s">
        <v>17948</v>
      </c>
      <c r="AO9368" t="s">
        <v>53</v>
      </c>
      <c r="AP9368" t="s">
        <v>53</v>
      </c>
    </row>
    <row r="9369" spans="2:42" x14ac:dyDescent="0.2">
      <c r="B9369" t="s">
        <v>44</v>
      </c>
      <c r="C9369" t="str">
        <f>HYPERLINK("https://us2.cloudbeds.com/connect/8493803454333002#/reservations/9080486849500835?display=5CYFVCFTJ2&amp;reservation_id=9080486849500835", "5CYFVCFTJ2")</f>
        <v>5CYFVCFTJ2</v>
      </c>
      <c r="D9369" t="s">
        <v>10291</v>
      </c>
      <c r="E9369" t="s">
        <v>487</v>
      </c>
      <c r="F9369" t="s">
        <v>61</v>
      </c>
      <c r="G9369" t="s">
        <v>48</v>
      </c>
      <c r="H9369" t="s">
        <v>49</v>
      </c>
      <c r="I9369" t="s">
        <v>50</v>
      </c>
      <c r="J9369" t="s">
        <v>10293</v>
      </c>
      <c r="K9369" t="s">
        <v>15747</v>
      </c>
      <c r="L9369" t="s">
        <v>53</v>
      </c>
      <c r="N9369" t="s">
        <v>17949</v>
      </c>
      <c r="P9369" t="s">
        <v>55</v>
      </c>
      <c r="R9369" t="s">
        <v>53</v>
      </c>
      <c r="T9369" t="s">
        <v>17950</v>
      </c>
      <c r="U9369" t="s">
        <v>55</v>
      </c>
      <c r="V9369">
        <v>2</v>
      </c>
      <c r="W9369">
        <v>1</v>
      </c>
      <c r="X9369">
        <v>2</v>
      </c>
      <c r="Y9369">
        <v>0</v>
      </c>
      <c r="Z9369">
        <v>2</v>
      </c>
      <c r="AA9369">
        <v>233.22</v>
      </c>
      <c r="AB9369">
        <v>0</v>
      </c>
      <c r="AC9369">
        <v>214.46</v>
      </c>
      <c r="AD9369">
        <v>0</v>
      </c>
      <c r="AE9369">
        <v>18.760000000000002</v>
      </c>
      <c r="AF9369">
        <v>0</v>
      </c>
      <c r="AG9369">
        <v>0</v>
      </c>
      <c r="AH9369">
        <v>0</v>
      </c>
      <c r="AI9369">
        <v>41.98</v>
      </c>
      <c r="AJ9369">
        <v>233.22</v>
      </c>
      <c r="AK9369">
        <v>233.22</v>
      </c>
      <c r="AL9369" t="s">
        <v>53</v>
      </c>
      <c r="AM9369" t="s">
        <v>53</v>
      </c>
      <c r="AN9369" t="s">
        <v>53</v>
      </c>
      <c r="AO9369" t="s">
        <v>53</v>
      </c>
      <c r="AP9369" t="s">
        <v>53</v>
      </c>
    </row>
    <row r="9370" spans="2:42" x14ac:dyDescent="0.2">
      <c r="B9370" t="s">
        <v>44</v>
      </c>
      <c r="C9370" t="str">
        <f>HYPERLINK("https://us2.cloudbeds.com/connect/8493803454333002#/reservations/9080486849500986?display=5CYJ0GCWBW&amp;reservation_id=9080486849500986", "5CYJ0GCWBW")</f>
        <v>5CYJ0GCWBW</v>
      </c>
      <c r="D9370" t="s">
        <v>45</v>
      </c>
      <c r="E9370" t="s">
        <v>179</v>
      </c>
      <c r="F9370" t="s">
        <v>47</v>
      </c>
      <c r="G9370" t="s">
        <v>48</v>
      </c>
      <c r="H9370" t="s">
        <v>49</v>
      </c>
      <c r="I9370" t="s">
        <v>50</v>
      </c>
      <c r="J9370" t="s">
        <v>15625</v>
      </c>
      <c r="K9370" t="s">
        <v>14632</v>
      </c>
      <c r="L9370" t="s">
        <v>53</v>
      </c>
      <c r="N9370" t="s">
        <v>17951</v>
      </c>
      <c r="P9370" t="s">
        <v>55</v>
      </c>
      <c r="R9370" t="s">
        <v>53</v>
      </c>
      <c r="T9370" t="s">
        <v>17952</v>
      </c>
      <c r="U9370" t="s">
        <v>55</v>
      </c>
      <c r="V9370">
        <v>3</v>
      </c>
      <c r="W9370">
        <v>1</v>
      </c>
      <c r="X9370">
        <v>1</v>
      </c>
      <c r="Y9370">
        <v>0</v>
      </c>
      <c r="Z9370">
        <v>1</v>
      </c>
      <c r="AA9370">
        <v>340.06</v>
      </c>
      <c r="AB9370">
        <v>340.06</v>
      </c>
      <c r="AC9370">
        <v>312.7</v>
      </c>
      <c r="AD9370">
        <v>0</v>
      </c>
      <c r="AE9370">
        <v>27.36</v>
      </c>
      <c r="AF9370">
        <v>0</v>
      </c>
      <c r="AG9370">
        <v>0</v>
      </c>
      <c r="AH9370">
        <v>0</v>
      </c>
      <c r="AI9370">
        <v>61.21</v>
      </c>
      <c r="AJ9370">
        <v>340.06</v>
      </c>
      <c r="AK9370">
        <v>0</v>
      </c>
      <c r="AL9370" t="s">
        <v>53</v>
      </c>
      <c r="AM9370" t="s">
        <v>53</v>
      </c>
      <c r="AN9370" t="s">
        <v>53</v>
      </c>
      <c r="AO9370" t="s">
        <v>53</v>
      </c>
      <c r="AP9370" t="s">
        <v>53</v>
      </c>
    </row>
    <row r="9371" spans="2:42" x14ac:dyDescent="0.2">
      <c r="B9371" t="s">
        <v>44</v>
      </c>
      <c r="C9371" t="str">
        <f>HYPERLINK("https://us2.cloudbeds.com/connect/8493803454333002#/reservations/9080486849500991?display=5CYJ1TFPNA&amp;reservation_id=9080486849500991", "5CYJ1TFPNA")</f>
        <v>5CYJ1TFPNA</v>
      </c>
      <c r="D9371" t="s">
        <v>45</v>
      </c>
      <c r="E9371" t="s">
        <v>105</v>
      </c>
      <c r="F9371" t="s">
        <v>47</v>
      </c>
      <c r="G9371" t="s">
        <v>48</v>
      </c>
      <c r="H9371" t="s">
        <v>49</v>
      </c>
      <c r="I9371" t="s">
        <v>50</v>
      </c>
      <c r="J9371" t="s">
        <v>15625</v>
      </c>
      <c r="K9371" t="s">
        <v>14632</v>
      </c>
      <c r="L9371" t="s">
        <v>53</v>
      </c>
      <c r="N9371" t="s">
        <v>17953</v>
      </c>
      <c r="P9371" t="s">
        <v>55</v>
      </c>
      <c r="R9371" t="s">
        <v>53</v>
      </c>
      <c r="T9371" t="s">
        <v>17954</v>
      </c>
      <c r="U9371" t="s">
        <v>55</v>
      </c>
      <c r="V9371">
        <v>3</v>
      </c>
      <c r="W9371">
        <v>1</v>
      </c>
      <c r="X9371">
        <v>1</v>
      </c>
      <c r="Y9371">
        <v>0</v>
      </c>
      <c r="Z9371">
        <v>1</v>
      </c>
      <c r="AA9371">
        <v>340.06</v>
      </c>
      <c r="AB9371">
        <v>340.06</v>
      </c>
      <c r="AC9371">
        <v>312.7</v>
      </c>
      <c r="AD9371">
        <v>0</v>
      </c>
      <c r="AE9371">
        <v>27.36</v>
      </c>
      <c r="AF9371">
        <v>0</v>
      </c>
      <c r="AG9371">
        <v>0</v>
      </c>
      <c r="AH9371">
        <v>0</v>
      </c>
      <c r="AI9371">
        <v>61.21</v>
      </c>
      <c r="AJ9371">
        <v>340.06</v>
      </c>
      <c r="AK9371">
        <v>0</v>
      </c>
      <c r="AL9371" t="s">
        <v>53</v>
      </c>
      <c r="AM9371" t="s">
        <v>53</v>
      </c>
      <c r="AN9371" t="s">
        <v>53</v>
      </c>
      <c r="AO9371" t="s">
        <v>53</v>
      </c>
      <c r="AP9371" t="s">
        <v>53</v>
      </c>
    </row>
    <row r="9372" spans="2:42" x14ac:dyDescent="0.2">
      <c r="B9372" t="s">
        <v>44</v>
      </c>
      <c r="C9372" t="str">
        <f>HYPERLINK("https://us2.cloudbeds.com/connect/8493803454333002#/reservations/9080486849501650?display=5CYW7R8WPN&amp;reservation_id=9080486849501650", "5CYW7R8WPN")</f>
        <v>5CYW7R8WPN</v>
      </c>
      <c r="D9372" t="s">
        <v>10291</v>
      </c>
      <c r="E9372" t="s">
        <v>165</v>
      </c>
      <c r="F9372" t="s">
        <v>61</v>
      </c>
      <c r="G9372" t="s">
        <v>48</v>
      </c>
      <c r="H9372" t="s">
        <v>49</v>
      </c>
      <c r="I9372" t="s">
        <v>50</v>
      </c>
      <c r="J9372" t="s">
        <v>17354</v>
      </c>
      <c r="K9372" t="s">
        <v>17355</v>
      </c>
      <c r="L9372" t="s">
        <v>53</v>
      </c>
      <c r="N9372" t="s">
        <v>17955</v>
      </c>
      <c r="P9372" t="s">
        <v>55</v>
      </c>
      <c r="R9372" t="s">
        <v>53</v>
      </c>
      <c r="T9372" t="s">
        <v>17956</v>
      </c>
      <c r="U9372" t="s">
        <v>55</v>
      </c>
      <c r="V9372">
        <v>1</v>
      </c>
      <c r="W9372">
        <v>1</v>
      </c>
      <c r="X9372">
        <v>2</v>
      </c>
      <c r="Y9372">
        <v>0</v>
      </c>
      <c r="Z9372">
        <v>2</v>
      </c>
      <c r="AA9372">
        <v>109.67</v>
      </c>
      <c r="AB9372">
        <v>0</v>
      </c>
      <c r="AC9372">
        <v>100.85</v>
      </c>
      <c r="AD9372">
        <v>0</v>
      </c>
      <c r="AE9372">
        <v>8.82</v>
      </c>
      <c r="AF9372">
        <v>0</v>
      </c>
      <c r="AG9372">
        <v>0</v>
      </c>
      <c r="AH9372">
        <v>0</v>
      </c>
      <c r="AI9372">
        <v>19.739999999999998</v>
      </c>
      <c r="AJ9372">
        <v>109.67</v>
      </c>
      <c r="AK9372">
        <v>109.67</v>
      </c>
      <c r="AL9372" t="s">
        <v>53</v>
      </c>
      <c r="AM9372" t="s">
        <v>53</v>
      </c>
      <c r="AN9372" t="s">
        <v>53</v>
      </c>
      <c r="AO9372" t="s">
        <v>53</v>
      </c>
      <c r="AP9372" t="s">
        <v>53</v>
      </c>
    </row>
    <row r="9373" spans="2:42" x14ac:dyDescent="0.2">
      <c r="B9373" t="s">
        <v>44</v>
      </c>
      <c r="C9373" t="str">
        <f>HYPERLINK("https://us2.cloudbeds.com/connect/8493803454333002#/reservations/9080486849501652?display=5CYW8FFFGM&amp;reservation_id=9080486849501652", "5CYW8FFFGM")</f>
        <v>5CYW8FFFGM</v>
      </c>
      <c r="D9373" t="s">
        <v>10291</v>
      </c>
      <c r="E9373" t="s">
        <v>113</v>
      </c>
      <c r="F9373" t="s">
        <v>61</v>
      </c>
      <c r="G9373" t="s">
        <v>48</v>
      </c>
      <c r="H9373" t="s">
        <v>49</v>
      </c>
      <c r="I9373" t="s">
        <v>50</v>
      </c>
      <c r="J9373" t="s">
        <v>17354</v>
      </c>
      <c r="K9373" t="s">
        <v>17355</v>
      </c>
      <c r="L9373" t="s">
        <v>53</v>
      </c>
      <c r="N9373" t="s">
        <v>17957</v>
      </c>
      <c r="P9373" t="s">
        <v>55</v>
      </c>
      <c r="R9373" t="s">
        <v>53</v>
      </c>
      <c r="T9373" t="s">
        <v>17958</v>
      </c>
      <c r="U9373" t="s">
        <v>55</v>
      </c>
      <c r="V9373">
        <v>1</v>
      </c>
      <c r="W9373">
        <v>1</v>
      </c>
      <c r="X9373">
        <v>2</v>
      </c>
      <c r="Y9373">
        <v>0</v>
      </c>
      <c r="Z9373">
        <v>2</v>
      </c>
      <c r="AA9373">
        <v>109.67</v>
      </c>
      <c r="AB9373">
        <v>0</v>
      </c>
      <c r="AC9373">
        <v>100.85</v>
      </c>
      <c r="AD9373">
        <v>0</v>
      </c>
      <c r="AE9373">
        <v>8.82</v>
      </c>
      <c r="AF9373">
        <v>0</v>
      </c>
      <c r="AG9373">
        <v>0</v>
      </c>
      <c r="AH9373">
        <v>0</v>
      </c>
      <c r="AI9373">
        <v>19.739999999999998</v>
      </c>
      <c r="AJ9373">
        <v>109.67</v>
      </c>
      <c r="AK9373">
        <v>109.67</v>
      </c>
      <c r="AL9373" t="s">
        <v>53</v>
      </c>
      <c r="AM9373" t="s">
        <v>53</v>
      </c>
      <c r="AN9373" t="s">
        <v>53</v>
      </c>
      <c r="AO9373" t="s">
        <v>53</v>
      </c>
      <c r="AP9373" t="s">
        <v>53</v>
      </c>
    </row>
    <row r="9374" spans="2:42" x14ac:dyDescent="0.2">
      <c r="B9374" t="s">
        <v>44</v>
      </c>
      <c r="C9374" t="str">
        <f>HYPERLINK("https://us2.cloudbeds.com/connect/8493803454333002#/reservations/249872757268608?display=5CM0Y3HUMT&amp;reservation_id=249872757268608", "5CM0Y3HUMT")</f>
        <v>5CM0Y3HUMT</v>
      </c>
      <c r="D9374" t="s">
        <v>45</v>
      </c>
      <c r="E9374" t="s">
        <v>14402</v>
      </c>
      <c r="F9374" t="s">
        <v>14403</v>
      </c>
      <c r="G9374" t="s">
        <v>48</v>
      </c>
      <c r="H9374" t="s">
        <v>3957</v>
      </c>
      <c r="I9374" t="s">
        <v>3958</v>
      </c>
      <c r="J9374" t="s">
        <v>15625</v>
      </c>
      <c r="K9374" t="s">
        <v>17289</v>
      </c>
      <c r="L9374" t="s">
        <v>53</v>
      </c>
      <c r="P9374" t="s">
        <v>55</v>
      </c>
      <c r="R9374" t="s">
        <v>56</v>
      </c>
      <c r="T9374" t="s">
        <v>17959</v>
      </c>
      <c r="U9374" t="s">
        <v>58</v>
      </c>
      <c r="V9374">
        <v>1</v>
      </c>
      <c r="W9374">
        <v>1</v>
      </c>
      <c r="X9374">
        <v>1</v>
      </c>
      <c r="Y9374">
        <v>0</v>
      </c>
      <c r="Z9374">
        <v>1</v>
      </c>
      <c r="AA9374">
        <v>183.44</v>
      </c>
      <c r="AB9374">
        <v>183.44</v>
      </c>
      <c r="AC9374">
        <v>160</v>
      </c>
      <c r="AD9374">
        <v>0</v>
      </c>
      <c r="AE9374">
        <v>23.44</v>
      </c>
      <c r="AF9374">
        <v>0</v>
      </c>
      <c r="AG9374">
        <v>0</v>
      </c>
      <c r="AH9374">
        <v>0</v>
      </c>
      <c r="AI9374">
        <v>0</v>
      </c>
      <c r="AJ9374">
        <v>183.44</v>
      </c>
      <c r="AK9374">
        <v>0</v>
      </c>
      <c r="AL9374" t="s">
        <v>53</v>
      </c>
      <c r="AM9374" t="s">
        <v>53</v>
      </c>
      <c r="AN9374" t="s">
        <v>17960</v>
      </c>
      <c r="AO9374" t="s">
        <v>53</v>
      </c>
      <c r="AP9374" t="s">
        <v>53</v>
      </c>
    </row>
    <row r="9375" spans="2:42" x14ac:dyDescent="0.2">
      <c r="B9375" t="s">
        <v>44</v>
      </c>
      <c r="C9375" t="str">
        <f>HYPERLINK("https://us2.cloudbeds.com/connect/8493803454333002#/reservations/9080486849501785?display=5CM1NE38FP&amp;reservation_id=9080486849501785", "5CM1NE38FP")</f>
        <v>5CM1NE38FP</v>
      </c>
      <c r="D9375" t="s">
        <v>10291</v>
      </c>
      <c r="E9375" t="s">
        <v>113</v>
      </c>
      <c r="F9375" t="s">
        <v>61</v>
      </c>
      <c r="G9375" t="s">
        <v>48</v>
      </c>
      <c r="H9375" t="s">
        <v>49</v>
      </c>
      <c r="I9375" t="s">
        <v>50</v>
      </c>
      <c r="J9375" t="s">
        <v>10292</v>
      </c>
      <c r="K9375" t="s">
        <v>10293</v>
      </c>
      <c r="L9375" t="s">
        <v>53</v>
      </c>
      <c r="N9375" t="s">
        <v>17961</v>
      </c>
      <c r="P9375" t="s">
        <v>55</v>
      </c>
      <c r="R9375" t="s">
        <v>53</v>
      </c>
      <c r="T9375" t="s">
        <v>17962</v>
      </c>
      <c r="U9375" t="s">
        <v>55</v>
      </c>
      <c r="V9375">
        <v>1</v>
      </c>
      <c r="W9375">
        <v>1</v>
      </c>
      <c r="X9375">
        <v>2</v>
      </c>
      <c r="Y9375">
        <v>0</v>
      </c>
      <c r="Z9375">
        <v>2</v>
      </c>
      <c r="AA9375">
        <v>169.38</v>
      </c>
      <c r="AB9375">
        <v>0</v>
      </c>
      <c r="AC9375">
        <v>155.75</v>
      </c>
      <c r="AD9375">
        <v>0</v>
      </c>
      <c r="AE9375">
        <v>13.63</v>
      </c>
      <c r="AF9375">
        <v>0</v>
      </c>
      <c r="AG9375">
        <v>0</v>
      </c>
      <c r="AH9375">
        <v>0</v>
      </c>
      <c r="AI9375">
        <v>30.49</v>
      </c>
      <c r="AJ9375">
        <v>169.38</v>
      </c>
      <c r="AK9375">
        <v>169.38</v>
      </c>
      <c r="AL9375" t="s">
        <v>53</v>
      </c>
      <c r="AM9375" t="s">
        <v>53</v>
      </c>
      <c r="AN9375" t="s">
        <v>53</v>
      </c>
      <c r="AO9375" t="s">
        <v>53</v>
      </c>
      <c r="AP9375" t="s">
        <v>53</v>
      </c>
    </row>
    <row r="9376" spans="2:42" x14ac:dyDescent="0.2">
      <c r="B9376" t="s">
        <v>44</v>
      </c>
      <c r="C9376" t="str">
        <f>HYPERLINK("https://us2.cloudbeds.com/connect/8493803454333002#/reservations/249875247751297?display=5CM2XZJD2B&amp;reservation_id=249875247751297", "5CM2XZJD2B")</f>
        <v>5CM2XZJD2B</v>
      </c>
      <c r="D9376" t="s">
        <v>45</v>
      </c>
      <c r="E9376" t="s">
        <v>190</v>
      </c>
      <c r="F9376" t="s">
        <v>61</v>
      </c>
      <c r="G9376" t="s">
        <v>4520</v>
      </c>
      <c r="H9376" t="s">
        <v>3957</v>
      </c>
      <c r="I9376" t="s">
        <v>3958</v>
      </c>
      <c r="J9376" t="s">
        <v>15625</v>
      </c>
      <c r="K9376" t="s">
        <v>14632</v>
      </c>
      <c r="L9376" t="s">
        <v>53</v>
      </c>
      <c r="P9376" t="s">
        <v>55</v>
      </c>
      <c r="R9376" t="s">
        <v>56</v>
      </c>
      <c r="T9376" t="s">
        <v>17963</v>
      </c>
      <c r="U9376" t="s">
        <v>58</v>
      </c>
      <c r="V9376">
        <v>3</v>
      </c>
      <c r="W9376">
        <v>1</v>
      </c>
      <c r="X9376">
        <v>1</v>
      </c>
      <c r="Y9376">
        <v>0</v>
      </c>
      <c r="Z9376">
        <v>1</v>
      </c>
      <c r="AA9376">
        <v>503.54</v>
      </c>
      <c r="AB9376">
        <v>503.54</v>
      </c>
      <c r="AC9376">
        <v>439.2</v>
      </c>
      <c r="AD9376">
        <v>0</v>
      </c>
      <c r="AE9376">
        <v>64.34</v>
      </c>
      <c r="AF9376">
        <v>0</v>
      </c>
      <c r="AG9376">
        <v>0</v>
      </c>
      <c r="AH9376">
        <v>0</v>
      </c>
      <c r="AI9376">
        <v>0</v>
      </c>
      <c r="AJ9376">
        <v>503.54</v>
      </c>
      <c r="AK9376">
        <v>0</v>
      </c>
      <c r="AL9376" t="s">
        <v>53</v>
      </c>
      <c r="AM9376" t="s">
        <v>53</v>
      </c>
      <c r="AN9376" t="s">
        <v>53</v>
      </c>
      <c r="AO9376" t="s">
        <v>53</v>
      </c>
      <c r="AP9376" t="s">
        <v>53</v>
      </c>
    </row>
    <row r="9377" spans="2:42" x14ac:dyDescent="0.2">
      <c r="B9377" t="s">
        <v>44</v>
      </c>
      <c r="C9377" t="str">
        <f>HYPERLINK("https://us2.cloudbeds.com/connect/8493803454333002#/reservations/9080486849501944?display=5CM4Y7FRQY&amp;reservation_id=9080486849501944", "5CM4Y7FRQY")</f>
        <v>5CM4Y7FRQY</v>
      </c>
      <c r="D9377" t="s">
        <v>45</v>
      </c>
      <c r="E9377" t="s">
        <v>305</v>
      </c>
      <c r="F9377" t="s">
        <v>61</v>
      </c>
      <c r="G9377" t="s">
        <v>48</v>
      </c>
      <c r="H9377" t="s">
        <v>49</v>
      </c>
      <c r="I9377" t="s">
        <v>62</v>
      </c>
      <c r="J9377" t="s">
        <v>14631</v>
      </c>
      <c r="K9377" t="s">
        <v>17096</v>
      </c>
      <c r="L9377" t="s">
        <v>53</v>
      </c>
      <c r="N9377" t="s">
        <v>17964</v>
      </c>
      <c r="P9377" t="s">
        <v>55</v>
      </c>
      <c r="R9377" t="s">
        <v>56</v>
      </c>
      <c r="T9377" t="s">
        <v>17965</v>
      </c>
      <c r="U9377" t="s">
        <v>55</v>
      </c>
      <c r="V9377">
        <v>2</v>
      </c>
      <c r="W9377">
        <v>1</v>
      </c>
      <c r="X9377">
        <v>2</v>
      </c>
      <c r="Y9377">
        <v>0</v>
      </c>
      <c r="Z9377">
        <v>2</v>
      </c>
      <c r="AA9377">
        <v>331.8</v>
      </c>
      <c r="AB9377">
        <v>331.8</v>
      </c>
      <c r="AC9377">
        <v>331.8</v>
      </c>
      <c r="AD9377">
        <v>0</v>
      </c>
      <c r="AE9377">
        <v>0</v>
      </c>
      <c r="AF9377">
        <v>0</v>
      </c>
      <c r="AG9377">
        <v>0</v>
      </c>
      <c r="AH9377">
        <v>0</v>
      </c>
      <c r="AI9377">
        <v>59.72</v>
      </c>
      <c r="AJ9377">
        <v>331.8</v>
      </c>
      <c r="AK9377">
        <v>0</v>
      </c>
      <c r="AL9377" t="s">
        <v>53</v>
      </c>
      <c r="AM9377" t="s">
        <v>53</v>
      </c>
      <c r="AN9377" t="s">
        <v>17966</v>
      </c>
      <c r="AO9377" t="s">
        <v>53</v>
      </c>
      <c r="AP9377" t="s">
        <v>53</v>
      </c>
    </row>
    <row r="9378" spans="2:42" x14ac:dyDescent="0.2">
      <c r="B9378" t="s">
        <v>44</v>
      </c>
      <c r="C9378" t="str">
        <f>HYPERLINK("https://us2.cloudbeds.com/connect/8493803454333002#/reservations/9080486849502778?display=5CMYNQ7X6K&amp;reservation_id=9080486849502778", "5CMYNQ7X6K")</f>
        <v>5CMYNQ7X6K</v>
      </c>
      <c r="D9378" t="s">
        <v>10291</v>
      </c>
      <c r="E9378" t="s">
        <v>213</v>
      </c>
      <c r="F9378" t="s">
        <v>86</v>
      </c>
      <c r="G9378" t="s">
        <v>48</v>
      </c>
      <c r="H9378" t="s">
        <v>49</v>
      </c>
      <c r="I9378" t="s">
        <v>50</v>
      </c>
      <c r="J9378" t="s">
        <v>17467</v>
      </c>
      <c r="K9378" t="s">
        <v>16110</v>
      </c>
      <c r="L9378" t="s">
        <v>53</v>
      </c>
      <c r="N9378" t="s">
        <v>17967</v>
      </c>
      <c r="P9378" t="s">
        <v>55</v>
      </c>
      <c r="R9378" t="s">
        <v>53</v>
      </c>
      <c r="T9378" t="s">
        <v>17968</v>
      </c>
      <c r="U9378" t="s">
        <v>55</v>
      </c>
      <c r="V9378">
        <v>2</v>
      </c>
      <c r="W9378">
        <v>1</v>
      </c>
      <c r="X9378">
        <v>2</v>
      </c>
      <c r="Y9378">
        <v>0</v>
      </c>
      <c r="Z9378">
        <v>2</v>
      </c>
      <c r="AA9378">
        <v>330.08</v>
      </c>
      <c r="AB9378">
        <v>0</v>
      </c>
      <c r="AC9378">
        <v>303.52</v>
      </c>
      <c r="AD9378">
        <v>0</v>
      </c>
      <c r="AE9378">
        <v>26.56</v>
      </c>
      <c r="AF9378">
        <v>0</v>
      </c>
      <c r="AG9378">
        <v>0</v>
      </c>
      <c r="AH9378">
        <v>0</v>
      </c>
      <c r="AI9378">
        <v>59.41</v>
      </c>
      <c r="AJ9378">
        <v>330.08</v>
      </c>
      <c r="AK9378">
        <v>330.08</v>
      </c>
      <c r="AL9378" t="s">
        <v>53</v>
      </c>
      <c r="AM9378" t="s">
        <v>53</v>
      </c>
      <c r="AN9378" t="s">
        <v>53</v>
      </c>
      <c r="AO9378" t="s">
        <v>53</v>
      </c>
      <c r="AP9378" t="s">
        <v>53</v>
      </c>
    </row>
    <row r="9379" spans="2:42" x14ac:dyDescent="0.2">
      <c r="B9379" t="s">
        <v>44</v>
      </c>
      <c r="C9379" t="str">
        <f>HYPERLINK("https://us2.cloudbeds.com/connect/8493803454333002#/reservations/9080486849503549?display=5CN47EVKPJ&amp;reservation_id=9080486849503549", "5CN47EVKPJ")</f>
        <v>5CN47EVKPJ</v>
      </c>
      <c r="D9379" t="s">
        <v>10291</v>
      </c>
      <c r="E9379" t="s">
        <v>69</v>
      </c>
      <c r="F9379" t="s">
        <v>70</v>
      </c>
      <c r="G9379" t="s">
        <v>48</v>
      </c>
      <c r="H9379" t="s">
        <v>49</v>
      </c>
      <c r="I9379" t="s">
        <v>8964</v>
      </c>
      <c r="J9379" t="s">
        <v>16570</v>
      </c>
      <c r="K9379" t="s">
        <v>15817</v>
      </c>
      <c r="L9379" t="s">
        <v>53</v>
      </c>
      <c r="N9379" t="s">
        <v>17969</v>
      </c>
      <c r="P9379" t="s">
        <v>55</v>
      </c>
      <c r="R9379" t="s">
        <v>53</v>
      </c>
      <c r="T9379" t="s">
        <v>17970</v>
      </c>
      <c r="U9379" t="s">
        <v>55</v>
      </c>
      <c r="V9379">
        <v>3</v>
      </c>
      <c r="W9379">
        <v>1</v>
      </c>
      <c r="X9379">
        <v>1</v>
      </c>
      <c r="Y9379">
        <v>0</v>
      </c>
      <c r="Z9379">
        <v>1</v>
      </c>
      <c r="AA9379">
        <v>0</v>
      </c>
      <c r="AB9379">
        <v>0</v>
      </c>
      <c r="AC9379">
        <v>685</v>
      </c>
      <c r="AD9379">
        <v>0</v>
      </c>
      <c r="AE9379">
        <v>0</v>
      </c>
      <c r="AF9379">
        <v>0</v>
      </c>
      <c r="AG9379">
        <v>0</v>
      </c>
      <c r="AH9379">
        <v>0</v>
      </c>
      <c r="AI9379">
        <v>102.75</v>
      </c>
      <c r="AJ9379">
        <v>685</v>
      </c>
      <c r="AK9379">
        <v>685</v>
      </c>
      <c r="AL9379" t="s">
        <v>53</v>
      </c>
      <c r="AM9379" t="s">
        <v>53</v>
      </c>
      <c r="AN9379" t="s">
        <v>53</v>
      </c>
      <c r="AO9379" t="s">
        <v>53</v>
      </c>
      <c r="AP9379" t="s">
        <v>53</v>
      </c>
    </row>
    <row r="9380" spans="2:42" x14ac:dyDescent="0.2">
      <c r="B9380" t="s">
        <v>44</v>
      </c>
      <c r="C9380" t="str">
        <f>HYPERLINK("https://us2.cloudbeds.com/connect/8493803454333002#/reservations/9080486849503751?display=5CN893SCT0&amp;reservation_id=9080486849503751", "5CN893SCT0")</f>
        <v>5CN893SCT0</v>
      </c>
      <c r="D9380" t="s">
        <v>45</v>
      </c>
      <c r="E9380" t="s">
        <v>105</v>
      </c>
      <c r="F9380" t="s">
        <v>47</v>
      </c>
      <c r="G9380" t="s">
        <v>48</v>
      </c>
      <c r="H9380" t="s">
        <v>49</v>
      </c>
      <c r="I9380" t="s">
        <v>50</v>
      </c>
      <c r="J9380" t="s">
        <v>14632</v>
      </c>
      <c r="K9380" t="s">
        <v>17077</v>
      </c>
      <c r="L9380" t="s">
        <v>53</v>
      </c>
      <c r="N9380" t="s">
        <v>17971</v>
      </c>
      <c r="P9380" t="s">
        <v>55</v>
      </c>
      <c r="R9380" t="s">
        <v>53</v>
      </c>
      <c r="T9380" t="s">
        <v>17972</v>
      </c>
      <c r="U9380" t="s">
        <v>58</v>
      </c>
      <c r="V9380">
        <v>2</v>
      </c>
      <c r="W9380">
        <v>1</v>
      </c>
      <c r="X9380">
        <v>2</v>
      </c>
      <c r="Y9380">
        <v>0</v>
      </c>
      <c r="Z9380">
        <v>2</v>
      </c>
      <c r="AA9380">
        <v>359.16</v>
      </c>
      <c r="AB9380">
        <v>359.16</v>
      </c>
      <c r="AC9380">
        <v>313.27</v>
      </c>
      <c r="AD9380">
        <v>0</v>
      </c>
      <c r="AE9380">
        <v>45.89</v>
      </c>
      <c r="AF9380">
        <v>0</v>
      </c>
      <c r="AG9380">
        <v>0</v>
      </c>
      <c r="AH9380">
        <v>0</v>
      </c>
      <c r="AI9380">
        <v>64.650000000000006</v>
      </c>
      <c r="AJ9380">
        <v>359.16</v>
      </c>
      <c r="AK9380">
        <v>0</v>
      </c>
      <c r="AL9380" t="s">
        <v>53</v>
      </c>
      <c r="AM9380" t="s">
        <v>53</v>
      </c>
      <c r="AN9380" t="s">
        <v>53</v>
      </c>
      <c r="AO9380" t="s">
        <v>53</v>
      </c>
      <c r="AP9380" t="s">
        <v>53</v>
      </c>
    </row>
    <row r="9381" spans="2:42" x14ac:dyDescent="0.2">
      <c r="B9381" t="s">
        <v>44</v>
      </c>
      <c r="C9381" t="str">
        <f>HYPERLINK("https://us2.cloudbeds.com/connect/8493803454333002#/reservations/9080486849504911?display=5CZ66W6XKV&amp;reservation_id=9080486849504911", "5CZ66W6XKV")</f>
        <v>5CZ66W6XKV</v>
      </c>
      <c r="D9381" t="s">
        <v>10291</v>
      </c>
      <c r="E9381" t="s">
        <v>138</v>
      </c>
      <c r="F9381" t="s">
        <v>70</v>
      </c>
      <c r="G9381" t="s">
        <v>48</v>
      </c>
      <c r="H9381" t="s">
        <v>49</v>
      </c>
      <c r="I9381" t="s">
        <v>62</v>
      </c>
      <c r="J9381" t="s">
        <v>17355</v>
      </c>
      <c r="K9381" t="s">
        <v>17973</v>
      </c>
      <c r="L9381" t="s">
        <v>53</v>
      </c>
      <c r="N9381" t="s">
        <v>17974</v>
      </c>
      <c r="P9381" t="s">
        <v>55</v>
      </c>
      <c r="R9381" t="s">
        <v>56</v>
      </c>
      <c r="T9381" t="s">
        <v>17975</v>
      </c>
      <c r="U9381" t="s">
        <v>55</v>
      </c>
      <c r="V9381">
        <v>2</v>
      </c>
      <c r="W9381">
        <v>1</v>
      </c>
      <c r="X9381">
        <v>2</v>
      </c>
      <c r="Y9381">
        <v>0</v>
      </c>
      <c r="Z9381">
        <v>2</v>
      </c>
      <c r="AA9381">
        <v>276.14999999999998</v>
      </c>
      <c r="AB9381">
        <v>0</v>
      </c>
      <c r="AC9381">
        <v>276.14999999999998</v>
      </c>
      <c r="AD9381">
        <v>0</v>
      </c>
      <c r="AE9381">
        <v>0</v>
      </c>
      <c r="AF9381">
        <v>0</v>
      </c>
      <c r="AG9381">
        <v>0</v>
      </c>
      <c r="AH9381">
        <v>0</v>
      </c>
      <c r="AI9381">
        <v>49.71</v>
      </c>
      <c r="AJ9381">
        <v>276.14999999999998</v>
      </c>
      <c r="AK9381">
        <v>276.14999999999998</v>
      </c>
      <c r="AL9381" t="s">
        <v>53</v>
      </c>
      <c r="AM9381" t="s">
        <v>53</v>
      </c>
      <c r="AN9381" t="s">
        <v>53</v>
      </c>
      <c r="AO9381" t="s">
        <v>53</v>
      </c>
      <c r="AP9381" t="s">
        <v>53</v>
      </c>
    </row>
    <row r="9382" spans="2:42" x14ac:dyDescent="0.2">
      <c r="B9382" t="s">
        <v>44</v>
      </c>
      <c r="C9382" t="str">
        <f>HYPERLINK("https://us2.cloudbeds.com/connect/8493803454333002#/reservations/9080486849507909?display=5CQ9MHUDVR&amp;reservation_id=9080486849507909", "5CQ9MHUDVR")</f>
        <v>5CQ9MHUDVR</v>
      </c>
      <c r="D9382" t="s">
        <v>10291</v>
      </c>
      <c r="E9382" t="s">
        <v>113</v>
      </c>
      <c r="F9382" t="s">
        <v>61</v>
      </c>
      <c r="G9382" t="s">
        <v>48</v>
      </c>
      <c r="H9382" t="s">
        <v>49</v>
      </c>
      <c r="I9382" t="s">
        <v>50</v>
      </c>
      <c r="J9382" t="s">
        <v>17665</v>
      </c>
      <c r="K9382" t="s">
        <v>17354</v>
      </c>
      <c r="L9382" t="s">
        <v>53</v>
      </c>
      <c r="N9382" t="s">
        <v>17976</v>
      </c>
      <c r="P9382" t="s">
        <v>55</v>
      </c>
      <c r="R9382" t="s">
        <v>53</v>
      </c>
      <c r="T9382" t="s">
        <v>17977</v>
      </c>
      <c r="U9382" t="s">
        <v>55</v>
      </c>
      <c r="V9382">
        <v>2</v>
      </c>
      <c r="W9382">
        <v>1</v>
      </c>
      <c r="X9382">
        <v>2</v>
      </c>
      <c r="Y9382">
        <v>0</v>
      </c>
      <c r="Z9382">
        <v>2</v>
      </c>
      <c r="AA9382">
        <v>268.73</v>
      </c>
      <c r="AB9382">
        <v>0</v>
      </c>
      <c r="AC9382">
        <v>247.11</v>
      </c>
      <c r="AD9382">
        <v>0</v>
      </c>
      <c r="AE9382">
        <v>21.62</v>
      </c>
      <c r="AF9382">
        <v>0</v>
      </c>
      <c r="AG9382">
        <v>0</v>
      </c>
      <c r="AH9382">
        <v>0</v>
      </c>
      <c r="AI9382">
        <v>48.37</v>
      </c>
      <c r="AJ9382">
        <v>268.73</v>
      </c>
      <c r="AK9382">
        <v>268.73</v>
      </c>
      <c r="AL9382" t="s">
        <v>53</v>
      </c>
      <c r="AM9382" t="s">
        <v>53</v>
      </c>
      <c r="AN9382" t="s">
        <v>53</v>
      </c>
      <c r="AO9382" t="s">
        <v>53</v>
      </c>
      <c r="AP9382" t="s">
        <v>53</v>
      </c>
    </row>
    <row r="9383" spans="2:42" x14ac:dyDescent="0.2">
      <c r="B9383" t="s">
        <v>44</v>
      </c>
      <c r="C9383" t="str">
        <f>HYPERLINK("https://us2.cloudbeds.com/connect/8493803454333002#/reservations/250078629236928?display=5CQS1K88NT&amp;reservation_id=250078629236928", "5CQS1K88NT")</f>
        <v>5CQS1K88NT</v>
      </c>
      <c r="D9383" t="s">
        <v>45</v>
      </c>
      <c r="E9383" t="s">
        <v>110</v>
      </c>
      <c r="F9383" t="s">
        <v>47</v>
      </c>
      <c r="G9383" t="s">
        <v>48</v>
      </c>
      <c r="H9383" t="s">
        <v>3957</v>
      </c>
      <c r="I9383" t="s">
        <v>3975</v>
      </c>
      <c r="J9383" t="s">
        <v>17077</v>
      </c>
      <c r="K9383" t="s">
        <v>16205</v>
      </c>
      <c r="L9383" t="s">
        <v>53</v>
      </c>
      <c r="P9383" t="s">
        <v>58</v>
      </c>
      <c r="R9383" t="s">
        <v>56</v>
      </c>
      <c r="T9383" t="s">
        <v>17978</v>
      </c>
      <c r="U9383" t="s">
        <v>58</v>
      </c>
      <c r="V9383">
        <v>2</v>
      </c>
      <c r="W9383">
        <v>1</v>
      </c>
      <c r="X9383">
        <v>2</v>
      </c>
      <c r="Y9383">
        <v>0</v>
      </c>
      <c r="Z9383">
        <v>2</v>
      </c>
      <c r="AA9383">
        <v>384.09</v>
      </c>
      <c r="AB9383">
        <v>556.07000000000005</v>
      </c>
      <c r="AC9383">
        <v>335</v>
      </c>
      <c r="AD9383">
        <v>0</v>
      </c>
      <c r="AE9383">
        <v>49.09</v>
      </c>
      <c r="AF9383">
        <v>0</v>
      </c>
      <c r="AG9383">
        <v>0</v>
      </c>
      <c r="AH9383">
        <v>0</v>
      </c>
      <c r="AI9383">
        <v>0</v>
      </c>
      <c r="AJ9383">
        <v>384.09</v>
      </c>
      <c r="AK9383">
        <v>0</v>
      </c>
      <c r="AL9383" t="s">
        <v>53</v>
      </c>
      <c r="AM9383" t="s">
        <v>53</v>
      </c>
      <c r="AN9383" t="s">
        <v>53</v>
      </c>
      <c r="AO9383" t="s">
        <v>53</v>
      </c>
      <c r="AP9383" t="s">
        <v>53</v>
      </c>
    </row>
    <row r="9384" spans="2:42" x14ac:dyDescent="0.2">
      <c r="B9384" t="s">
        <v>44</v>
      </c>
      <c r="C9384" t="str">
        <f>HYPERLINK("https://us2.cloudbeds.com/connect/8493803454333002#/reservations/9080486849509080?display=5CQUVM85Y0&amp;reservation_id=9080486849509080", "5CQUVM85Y0")</f>
        <v>5CQUVM85Y0</v>
      </c>
      <c r="D9384" t="s">
        <v>45</v>
      </c>
      <c r="E9384" t="s">
        <v>110</v>
      </c>
      <c r="F9384" t="s">
        <v>47</v>
      </c>
      <c r="G9384" t="s">
        <v>48</v>
      </c>
      <c r="H9384" t="s">
        <v>49</v>
      </c>
      <c r="I9384" t="s">
        <v>8964</v>
      </c>
      <c r="J9384" t="s">
        <v>17289</v>
      </c>
      <c r="K9384" t="s">
        <v>14631</v>
      </c>
      <c r="L9384" t="s">
        <v>53</v>
      </c>
      <c r="N9384" t="s">
        <v>17979</v>
      </c>
      <c r="P9384" t="s">
        <v>55</v>
      </c>
      <c r="R9384" t="s">
        <v>53</v>
      </c>
      <c r="T9384" t="s">
        <v>17980</v>
      </c>
      <c r="U9384" t="s">
        <v>55</v>
      </c>
      <c r="V9384">
        <v>1</v>
      </c>
      <c r="W9384">
        <v>1</v>
      </c>
      <c r="X9384">
        <v>1</v>
      </c>
      <c r="Y9384">
        <v>0</v>
      </c>
      <c r="Z9384">
        <v>1</v>
      </c>
      <c r="AA9384">
        <v>0</v>
      </c>
      <c r="AB9384">
        <v>0</v>
      </c>
      <c r="AC9384">
        <v>158</v>
      </c>
      <c r="AD9384">
        <v>0</v>
      </c>
      <c r="AE9384">
        <v>0</v>
      </c>
      <c r="AF9384">
        <v>0</v>
      </c>
      <c r="AG9384">
        <v>0</v>
      </c>
      <c r="AH9384">
        <v>0</v>
      </c>
      <c r="AI9384">
        <v>23.7</v>
      </c>
      <c r="AJ9384">
        <v>158</v>
      </c>
      <c r="AK9384">
        <v>158</v>
      </c>
      <c r="AL9384" t="s">
        <v>53</v>
      </c>
      <c r="AM9384" t="s">
        <v>53</v>
      </c>
      <c r="AN9384" t="s">
        <v>53</v>
      </c>
      <c r="AO9384" t="s">
        <v>53</v>
      </c>
      <c r="AP9384" t="s">
        <v>53</v>
      </c>
    </row>
    <row r="9385" spans="2:42" x14ac:dyDescent="0.2">
      <c r="B9385" t="s">
        <v>44</v>
      </c>
      <c r="C9385" t="str">
        <f>HYPERLINK("https://us2.cloudbeds.com/connect/8493803454333002#/reservations/250093061505152?display=5CR67CT8PT&amp;reservation_id=250093061505152", "5CR67CT8PT")</f>
        <v>5CR67CT8PT</v>
      </c>
      <c r="D9385" t="s">
        <v>10291</v>
      </c>
      <c r="E9385" t="s">
        <v>165</v>
      </c>
      <c r="F9385" t="s">
        <v>61</v>
      </c>
      <c r="G9385" t="s">
        <v>3974</v>
      </c>
      <c r="H9385" t="s">
        <v>3957</v>
      </c>
      <c r="I9385" t="s">
        <v>3975</v>
      </c>
      <c r="J9385" t="s">
        <v>16017</v>
      </c>
      <c r="K9385" t="s">
        <v>16018</v>
      </c>
      <c r="L9385" t="s">
        <v>53</v>
      </c>
      <c r="P9385" t="s">
        <v>55</v>
      </c>
      <c r="R9385" t="s">
        <v>1445</v>
      </c>
      <c r="T9385" t="s">
        <v>17981</v>
      </c>
      <c r="U9385" t="s">
        <v>58</v>
      </c>
      <c r="V9385">
        <v>1</v>
      </c>
      <c r="W9385">
        <v>1</v>
      </c>
      <c r="X9385">
        <v>2</v>
      </c>
      <c r="Y9385">
        <v>0</v>
      </c>
      <c r="Z9385">
        <v>2</v>
      </c>
      <c r="AA9385">
        <v>180.8</v>
      </c>
      <c r="AB9385">
        <v>180.8</v>
      </c>
      <c r="AC9385">
        <v>157.69999999999999</v>
      </c>
      <c r="AD9385">
        <v>0</v>
      </c>
      <c r="AE9385">
        <v>23.1</v>
      </c>
      <c r="AF9385">
        <v>0</v>
      </c>
      <c r="AG9385">
        <v>0</v>
      </c>
      <c r="AH9385">
        <v>0</v>
      </c>
      <c r="AI9385">
        <v>0</v>
      </c>
      <c r="AJ9385">
        <v>180.8</v>
      </c>
      <c r="AK9385">
        <v>0</v>
      </c>
      <c r="AL9385" t="s">
        <v>53</v>
      </c>
      <c r="AM9385" t="s">
        <v>53</v>
      </c>
      <c r="AN9385" t="s">
        <v>53</v>
      </c>
      <c r="AO9385" t="s">
        <v>53</v>
      </c>
      <c r="AP9385" t="s">
        <v>53</v>
      </c>
    </row>
    <row r="9386" spans="2:42" x14ac:dyDescent="0.2">
      <c r="B9386" t="s">
        <v>44</v>
      </c>
      <c r="C9386" t="str">
        <f>HYPERLINK("https://us2.cloudbeds.com/connect/8493803454333002#/reservations/250098274558144?display=5CRA8JN1UP&amp;reservation_id=250098274558144", "5CRA8JN1UP")</f>
        <v>5CRA8JN1UP</v>
      </c>
      <c r="D9386" t="s">
        <v>45</v>
      </c>
      <c r="E9386" t="s">
        <v>85</v>
      </c>
      <c r="F9386" t="s">
        <v>86</v>
      </c>
      <c r="G9386" t="s">
        <v>4520</v>
      </c>
      <c r="H9386" t="s">
        <v>3957</v>
      </c>
      <c r="I9386" t="s">
        <v>3989</v>
      </c>
      <c r="J9386" t="s">
        <v>17289</v>
      </c>
      <c r="K9386" t="s">
        <v>14631</v>
      </c>
      <c r="L9386" t="s">
        <v>53</v>
      </c>
      <c r="P9386" t="s">
        <v>55</v>
      </c>
      <c r="R9386" t="s">
        <v>56</v>
      </c>
      <c r="T9386" t="s">
        <v>17982</v>
      </c>
      <c r="U9386" t="s">
        <v>58</v>
      </c>
      <c r="V9386">
        <v>1</v>
      </c>
      <c r="W9386">
        <v>1</v>
      </c>
      <c r="X9386">
        <v>1</v>
      </c>
      <c r="Y9386">
        <v>0</v>
      </c>
      <c r="Z9386">
        <v>1</v>
      </c>
      <c r="AA9386">
        <v>180.58</v>
      </c>
      <c r="AB9386">
        <v>180.58</v>
      </c>
      <c r="AC9386">
        <v>157.5</v>
      </c>
      <c r="AD9386">
        <v>0</v>
      </c>
      <c r="AE9386">
        <v>23.08</v>
      </c>
      <c r="AF9386">
        <v>0</v>
      </c>
      <c r="AG9386">
        <v>0</v>
      </c>
      <c r="AH9386">
        <v>0</v>
      </c>
      <c r="AI9386">
        <v>0</v>
      </c>
      <c r="AJ9386">
        <v>180.58</v>
      </c>
      <c r="AK9386">
        <v>0</v>
      </c>
      <c r="AL9386" t="s">
        <v>53</v>
      </c>
      <c r="AM9386" t="s">
        <v>53</v>
      </c>
      <c r="AN9386" t="s">
        <v>53</v>
      </c>
      <c r="AO9386" t="s">
        <v>53</v>
      </c>
      <c r="AP9386" t="s">
        <v>53</v>
      </c>
    </row>
    <row r="9387" spans="2:42" x14ac:dyDescent="0.2">
      <c r="B9387" t="s">
        <v>44</v>
      </c>
      <c r="C9387" t="str">
        <f>HYPERLINK("https://us2.cloudbeds.com/connect/8493803454333002#/reservations/9080486849510644?display=5CRJ3K5RVC&amp;reservation_id=9080486849510644", "5CRJ3K5RVC")</f>
        <v>5CRJ3K5RVC</v>
      </c>
      <c r="D9387" t="s">
        <v>10291</v>
      </c>
      <c r="E9387" t="s">
        <v>128</v>
      </c>
      <c r="F9387" t="s">
        <v>86</v>
      </c>
      <c r="G9387" t="s">
        <v>48</v>
      </c>
      <c r="H9387" t="s">
        <v>49</v>
      </c>
      <c r="I9387" t="s">
        <v>8964</v>
      </c>
      <c r="J9387" t="s">
        <v>17533</v>
      </c>
      <c r="K9387" t="s">
        <v>10292</v>
      </c>
      <c r="L9387" t="s">
        <v>53</v>
      </c>
      <c r="N9387" t="s">
        <v>17983</v>
      </c>
      <c r="P9387" t="s">
        <v>55</v>
      </c>
      <c r="R9387" t="s">
        <v>53</v>
      </c>
      <c r="T9387" t="s">
        <v>17984</v>
      </c>
      <c r="U9387" t="s">
        <v>55</v>
      </c>
      <c r="V9387">
        <v>1</v>
      </c>
      <c r="W9387">
        <v>1</v>
      </c>
      <c r="X9387">
        <v>3</v>
      </c>
      <c r="Y9387">
        <v>1</v>
      </c>
      <c r="Z9387">
        <v>4</v>
      </c>
      <c r="AA9387">
        <v>0</v>
      </c>
      <c r="AB9387">
        <v>0</v>
      </c>
      <c r="AC9387">
        <v>198</v>
      </c>
      <c r="AD9387">
        <v>0</v>
      </c>
      <c r="AE9387">
        <v>0</v>
      </c>
      <c r="AF9387">
        <v>0</v>
      </c>
      <c r="AG9387">
        <v>0</v>
      </c>
      <c r="AH9387">
        <v>0</v>
      </c>
      <c r="AI9387">
        <v>29.7</v>
      </c>
      <c r="AJ9387">
        <v>198</v>
      </c>
      <c r="AK9387">
        <v>198</v>
      </c>
      <c r="AL9387" t="s">
        <v>53</v>
      </c>
      <c r="AM9387" t="s">
        <v>53</v>
      </c>
      <c r="AN9387" t="s">
        <v>17985</v>
      </c>
      <c r="AO9387" t="s">
        <v>53</v>
      </c>
      <c r="AP9387" t="s">
        <v>53</v>
      </c>
    </row>
    <row r="9388" spans="2:42" x14ac:dyDescent="0.2">
      <c r="B9388" t="s">
        <v>44</v>
      </c>
      <c r="C9388" t="str">
        <f>HYPERLINK("https://us2.cloudbeds.com/connect/8493803454333002#/reservations/9080486849511813?display=5CS2GABNTZ&amp;reservation_id=9080486849511813", "5CS2GABNTZ")</f>
        <v>5CS2GABNTZ</v>
      </c>
      <c r="D9388" t="s">
        <v>45</v>
      </c>
      <c r="E9388" t="s">
        <v>69</v>
      </c>
      <c r="F9388" t="s">
        <v>70</v>
      </c>
      <c r="G9388" t="s">
        <v>48</v>
      </c>
      <c r="H9388" t="s">
        <v>49</v>
      </c>
      <c r="I9388" t="s">
        <v>8964</v>
      </c>
      <c r="J9388" t="s">
        <v>16205</v>
      </c>
      <c r="K9388" t="s">
        <v>14806</v>
      </c>
      <c r="L9388" t="s">
        <v>53</v>
      </c>
      <c r="N9388" t="s">
        <v>17986</v>
      </c>
      <c r="P9388" t="s">
        <v>55</v>
      </c>
      <c r="R9388" t="s">
        <v>53</v>
      </c>
      <c r="T9388" t="s">
        <v>17987</v>
      </c>
      <c r="U9388" t="s">
        <v>55</v>
      </c>
      <c r="V9388">
        <v>3</v>
      </c>
      <c r="W9388">
        <v>1</v>
      </c>
      <c r="X9388">
        <v>2</v>
      </c>
      <c r="Y9388">
        <v>0</v>
      </c>
      <c r="Z9388">
        <v>2</v>
      </c>
      <c r="AA9388">
        <v>0</v>
      </c>
      <c r="AB9388">
        <v>0</v>
      </c>
      <c r="AC9388">
        <v>531</v>
      </c>
      <c r="AD9388">
        <v>0</v>
      </c>
      <c r="AE9388">
        <v>0</v>
      </c>
      <c r="AF9388">
        <v>0</v>
      </c>
      <c r="AG9388">
        <v>0</v>
      </c>
      <c r="AH9388">
        <v>0</v>
      </c>
      <c r="AI9388">
        <v>79.650000000000006</v>
      </c>
      <c r="AJ9388">
        <v>531</v>
      </c>
      <c r="AK9388">
        <v>531</v>
      </c>
      <c r="AL9388" t="s">
        <v>53</v>
      </c>
      <c r="AM9388" t="s">
        <v>53</v>
      </c>
      <c r="AN9388" t="s">
        <v>53</v>
      </c>
      <c r="AO9388" t="s">
        <v>53</v>
      </c>
      <c r="AP9388" t="s">
        <v>53</v>
      </c>
    </row>
    <row r="9389" spans="2:42" x14ac:dyDescent="0.2">
      <c r="B9389" t="s">
        <v>44</v>
      </c>
      <c r="C9389" t="str">
        <f>HYPERLINK("https://us2.cloudbeds.com/connect/8493803454333002#/reservations/9080486849512592?display=5CSEYX4C68&amp;reservation_id=9080486849512592", "5CSEYX4C68")</f>
        <v>5CSEYX4C68</v>
      </c>
      <c r="D9389" t="s">
        <v>45</v>
      </c>
      <c r="E9389" t="s">
        <v>213</v>
      </c>
      <c r="F9389" t="s">
        <v>86</v>
      </c>
      <c r="G9389" t="s">
        <v>48</v>
      </c>
      <c r="H9389" t="s">
        <v>49</v>
      </c>
      <c r="I9389" t="s">
        <v>8964</v>
      </c>
      <c r="J9389" t="s">
        <v>14391</v>
      </c>
      <c r="K9389" t="s">
        <v>17389</v>
      </c>
      <c r="L9389" t="s">
        <v>53</v>
      </c>
      <c r="N9389" t="s">
        <v>17988</v>
      </c>
      <c r="P9389" t="s">
        <v>55</v>
      </c>
      <c r="R9389" t="s">
        <v>53</v>
      </c>
      <c r="T9389" t="s">
        <v>17989</v>
      </c>
      <c r="U9389" t="s">
        <v>55</v>
      </c>
      <c r="V9389">
        <v>1</v>
      </c>
      <c r="W9389">
        <v>1</v>
      </c>
      <c r="X9389">
        <v>2</v>
      </c>
      <c r="Y9389">
        <v>2</v>
      </c>
      <c r="Z9389">
        <v>4</v>
      </c>
      <c r="AA9389">
        <v>0</v>
      </c>
      <c r="AB9389">
        <v>0</v>
      </c>
      <c r="AC9389">
        <v>213</v>
      </c>
      <c r="AD9389">
        <v>0</v>
      </c>
      <c r="AE9389">
        <v>0</v>
      </c>
      <c r="AF9389">
        <v>0</v>
      </c>
      <c r="AG9389">
        <v>0</v>
      </c>
      <c r="AH9389">
        <v>0</v>
      </c>
      <c r="AI9389">
        <v>31.95</v>
      </c>
      <c r="AJ9389">
        <v>213</v>
      </c>
      <c r="AK9389">
        <v>213</v>
      </c>
      <c r="AL9389" t="s">
        <v>53</v>
      </c>
      <c r="AM9389" t="s">
        <v>53</v>
      </c>
      <c r="AN9389" t="s">
        <v>53</v>
      </c>
      <c r="AO9389" t="s">
        <v>53</v>
      </c>
      <c r="AP9389" t="s">
        <v>53</v>
      </c>
    </row>
    <row r="9390" spans="2:42" x14ac:dyDescent="0.2">
      <c r="B9390" t="s">
        <v>44</v>
      </c>
      <c r="C9390" t="str">
        <f>HYPERLINK("https://us2.cloudbeds.com/connect/8493803454333002#/reservations/9080486849512653?display=5CSFKMKZE0&amp;reservation_id=9080486849512653", "5CSFKMKZE0")</f>
        <v>5CSFKMKZE0</v>
      </c>
      <c r="D9390" t="s">
        <v>10291</v>
      </c>
      <c r="E9390" t="s">
        <v>128</v>
      </c>
      <c r="F9390" t="s">
        <v>86</v>
      </c>
      <c r="G9390" t="s">
        <v>48</v>
      </c>
      <c r="H9390" t="s">
        <v>49</v>
      </c>
      <c r="I9390" t="s">
        <v>50</v>
      </c>
      <c r="J9390" t="s">
        <v>15025</v>
      </c>
      <c r="K9390" t="s">
        <v>17665</v>
      </c>
      <c r="L9390" t="s">
        <v>53</v>
      </c>
      <c r="N9390" t="s">
        <v>17990</v>
      </c>
      <c r="P9390" t="s">
        <v>55</v>
      </c>
      <c r="R9390" t="s">
        <v>53</v>
      </c>
      <c r="T9390" t="s">
        <v>17991</v>
      </c>
      <c r="U9390" t="s">
        <v>58</v>
      </c>
      <c r="V9390">
        <v>2</v>
      </c>
      <c r="W9390">
        <v>1</v>
      </c>
      <c r="X9390">
        <v>2</v>
      </c>
      <c r="Y9390">
        <v>0</v>
      </c>
      <c r="Z9390">
        <v>2</v>
      </c>
      <c r="AA9390">
        <v>463.16</v>
      </c>
      <c r="AB9390">
        <v>0</v>
      </c>
      <c r="AC9390">
        <v>403.99</v>
      </c>
      <c r="AD9390">
        <v>0</v>
      </c>
      <c r="AE9390">
        <v>59.17</v>
      </c>
      <c r="AF9390">
        <v>0</v>
      </c>
      <c r="AG9390">
        <v>0</v>
      </c>
      <c r="AH9390">
        <v>0</v>
      </c>
      <c r="AI9390">
        <v>83.37</v>
      </c>
      <c r="AJ9390">
        <v>463.16</v>
      </c>
      <c r="AK9390">
        <v>463.16</v>
      </c>
      <c r="AL9390" t="s">
        <v>53</v>
      </c>
      <c r="AM9390" t="s">
        <v>53</v>
      </c>
      <c r="AN9390" t="s">
        <v>53</v>
      </c>
      <c r="AO9390" t="s">
        <v>53</v>
      </c>
      <c r="AP9390" t="s">
        <v>53</v>
      </c>
    </row>
    <row r="9391" spans="2:42" x14ac:dyDescent="0.2">
      <c r="B9391" t="s">
        <v>44</v>
      </c>
      <c r="C9391" t="str">
        <f>HYPERLINK("https://us2.cloudbeds.com/connect/8493803454333002#/reservations/9080486849513925?display=5CSWWBUKUZ&amp;reservation_id=9080486849513925", "5CSWWBUKUZ")</f>
        <v>5CSWWBUKUZ</v>
      </c>
      <c r="D9391" t="s">
        <v>45</v>
      </c>
      <c r="E9391" t="s">
        <v>265</v>
      </c>
      <c r="F9391" t="s">
        <v>61</v>
      </c>
      <c r="G9391" t="s">
        <v>48</v>
      </c>
      <c r="H9391" t="s">
        <v>49</v>
      </c>
      <c r="I9391" t="s">
        <v>50</v>
      </c>
      <c r="J9391" t="s">
        <v>16205</v>
      </c>
      <c r="K9391" t="s">
        <v>14732</v>
      </c>
      <c r="L9391" t="s">
        <v>53</v>
      </c>
      <c r="N9391" t="s">
        <v>17992</v>
      </c>
      <c r="P9391" t="s">
        <v>55</v>
      </c>
      <c r="R9391" t="s">
        <v>53</v>
      </c>
      <c r="T9391" t="s">
        <v>17993</v>
      </c>
      <c r="U9391" t="s">
        <v>55</v>
      </c>
      <c r="V9391">
        <v>5</v>
      </c>
      <c r="W9391">
        <v>1</v>
      </c>
      <c r="X9391">
        <v>2</v>
      </c>
      <c r="Y9391">
        <v>0</v>
      </c>
      <c r="Z9391">
        <v>2</v>
      </c>
      <c r="AA9391">
        <v>746.93</v>
      </c>
      <c r="AB9391">
        <v>746.93</v>
      </c>
      <c r="AC9391">
        <v>686.83</v>
      </c>
      <c r="AD9391">
        <v>0</v>
      </c>
      <c r="AE9391">
        <v>60.1</v>
      </c>
      <c r="AF9391">
        <v>0</v>
      </c>
      <c r="AG9391">
        <v>0</v>
      </c>
      <c r="AH9391">
        <v>0</v>
      </c>
      <c r="AI9391">
        <v>134.44999999999999</v>
      </c>
      <c r="AJ9391">
        <v>746.93</v>
      </c>
      <c r="AK9391">
        <v>0</v>
      </c>
      <c r="AL9391" t="s">
        <v>53</v>
      </c>
      <c r="AM9391" t="s">
        <v>53</v>
      </c>
      <c r="AN9391" t="s">
        <v>53</v>
      </c>
      <c r="AO9391" t="s">
        <v>53</v>
      </c>
      <c r="AP9391" t="s">
        <v>53</v>
      </c>
    </row>
    <row r="9392" spans="2:42" x14ac:dyDescent="0.2">
      <c r="B9392" t="s">
        <v>44</v>
      </c>
      <c r="C9392" t="str">
        <f>HYPERLINK("https://us2.cloudbeds.com/connect/8493803454333002#/reservations/250173540405376?display=5CT2HQS6W3&amp;reservation_id=250173540405376", "5CT2HQS6W3")</f>
        <v>5CT2HQS6W3</v>
      </c>
      <c r="D9392" t="s">
        <v>10291</v>
      </c>
      <c r="E9392" t="s">
        <v>381</v>
      </c>
      <c r="F9392" t="s">
        <v>47</v>
      </c>
      <c r="G9392" t="s">
        <v>48</v>
      </c>
      <c r="H9392" t="s">
        <v>3957</v>
      </c>
      <c r="I9392" t="s">
        <v>3958</v>
      </c>
      <c r="J9392" t="s">
        <v>17624</v>
      </c>
      <c r="K9392" t="s">
        <v>17994</v>
      </c>
      <c r="L9392" t="s">
        <v>53</v>
      </c>
      <c r="P9392" t="s">
        <v>55</v>
      </c>
      <c r="R9392" t="s">
        <v>56</v>
      </c>
      <c r="T9392" t="s">
        <v>17995</v>
      </c>
      <c r="U9392" t="s">
        <v>58</v>
      </c>
      <c r="V9392">
        <v>3</v>
      </c>
      <c r="W9392">
        <v>1</v>
      </c>
      <c r="X9392">
        <v>1</v>
      </c>
      <c r="Y9392">
        <v>0</v>
      </c>
      <c r="Z9392">
        <v>1</v>
      </c>
      <c r="AA9392">
        <v>489.57</v>
      </c>
      <c r="AB9392">
        <v>0</v>
      </c>
      <c r="AC9392">
        <v>427</v>
      </c>
      <c r="AD9392">
        <v>0</v>
      </c>
      <c r="AE9392">
        <v>62.57</v>
      </c>
      <c r="AF9392">
        <v>0</v>
      </c>
      <c r="AG9392">
        <v>0</v>
      </c>
      <c r="AH9392">
        <v>0</v>
      </c>
      <c r="AI9392">
        <v>0</v>
      </c>
      <c r="AJ9392">
        <v>489.57</v>
      </c>
      <c r="AK9392">
        <v>489.57</v>
      </c>
      <c r="AL9392" t="s">
        <v>53</v>
      </c>
      <c r="AM9392" t="s">
        <v>53</v>
      </c>
      <c r="AN9392" t="s">
        <v>17996</v>
      </c>
      <c r="AO9392" t="s">
        <v>53</v>
      </c>
      <c r="AP9392" t="s">
        <v>53</v>
      </c>
    </row>
    <row r="9393" spans="2:42" x14ac:dyDescent="0.2">
      <c r="B9393" t="s">
        <v>44</v>
      </c>
      <c r="C9393" t="str">
        <f>HYPERLINK("https://us2.cloudbeds.com/connect/8493803454333002#/reservations/9080486849514956?display=5CTFNHY5FX&amp;reservation_id=9080486849514956", "5CTFNHY5FX")</f>
        <v>5CTFNHY5FX</v>
      </c>
      <c r="D9393" t="s">
        <v>10291</v>
      </c>
      <c r="E9393" t="s">
        <v>110</v>
      </c>
      <c r="F9393" t="s">
        <v>47</v>
      </c>
      <c r="G9393" t="s">
        <v>48</v>
      </c>
      <c r="H9393" t="s">
        <v>49</v>
      </c>
      <c r="I9393" t="s">
        <v>50</v>
      </c>
      <c r="J9393" t="s">
        <v>17763</v>
      </c>
      <c r="K9393" t="s">
        <v>17735</v>
      </c>
      <c r="L9393" t="s">
        <v>53</v>
      </c>
      <c r="N9393" t="s">
        <v>17997</v>
      </c>
      <c r="P9393" t="s">
        <v>55</v>
      </c>
      <c r="R9393" t="s">
        <v>53</v>
      </c>
      <c r="T9393" t="s">
        <v>17998</v>
      </c>
      <c r="U9393" t="s">
        <v>55</v>
      </c>
      <c r="V9393">
        <v>2</v>
      </c>
      <c r="W9393">
        <v>1</v>
      </c>
      <c r="X9393">
        <v>2</v>
      </c>
      <c r="Y9393">
        <v>0</v>
      </c>
      <c r="Z9393">
        <v>2</v>
      </c>
      <c r="AA9393">
        <v>232.6</v>
      </c>
      <c r="AB9393">
        <v>0</v>
      </c>
      <c r="AC9393">
        <v>213.88</v>
      </c>
      <c r="AD9393">
        <v>0</v>
      </c>
      <c r="AE9393">
        <v>18.72</v>
      </c>
      <c r="AF9393">
        <v>0</v>
      </c>
      <c r="AG9393">
        <v>0</v>
      </c>
      <c r="AH9393">
        <v>0</v>
      </c>
      <c r="AI9393">
        <v>41.87</v>
      </c>
      <c r="AJ9393">
        <v>232.6</v>
      </c>
      <c r="AK9393">
        <v>232.6</v>
      </c>
      <c r="AL9393" t="s">
        <v>53</v>
      </c>
      <c r="AM9393" t="s">
        <v>53</v>
      </c>
      <c r="AN9393" t="s">
        <v>53</v>
      </c>
      <c r="AO9393" t="s">
        <v>53</v>
      </c>
      <c r="AP9393" t="s">
        <v>53</v>
      </c>
    </row>
    <row r="9394" spans="2:42" x14ac:dyDescent="0.2">
      <c r="B9394" t="s">
        <v>44</v>
      </c>
      <c r="C9394" t="str">
        <f>HYPERLINK("https://us2.cloudbeds.com/connect/8493803454333002#/reservations/9080486849515409?display=5CTNP22HXR&amp;reservation_id=9080486849515409", "5CTNP22HXR")</f>
        <v>5CTNP22HXR</v>
      </c>
      <c r="D9394" t="s">
        <v>45</v>
      </c>
      <c r="E9394" t="s">
        <v>113</v>
      </c>
      <c r="F9394" t="s">
        <v>61</v>
      </c>
      <c r="G9394" t="s">
        <v>48</v>
      </c>
      <c r="H9394" t="s">
        <v>49</v>
      </c>
      <c r="I9394" t="s">
        <v>50</v>
      </c>
      <c r="J9394" t="s">
        <v>17289</v>
      </c>
      <c r="K9394" t="s">
        <v>14631</v>
      </c>
      <c r="L9394" t="s">
        <v>53</v>
      </c>
      <c r="N9394" t="s">
        <v>17999</v>
      </c>
      <c r="P9394" t="s">
        <v>55</v>
      </c>
      <c r="R9394" t="s">
        <v>53</v>
      </c>
      <c r="T9394" t="s">
        <v>18000</v>
      </c>
      <c r="U9394" t="s">
        <v>55</v>
      </c>
      <c r="V9394">
        <v>1</v>
      </c>
      <c r="W9394">
        <v>1</v>
      </c>
      <c r="X9394">
        <v>2</v>
      </c>
      <c r="Y9394">
        <v>0</v>
      </c>
      <c r="Z9394">
        <v>2</v>
      </c>
      <c r="AA9394">
        <v>112.85</v>
      </c>
      <c r="AB9394">
        <v>112.85</v>
      </c>
      <c r="AC9394">
        <v>103.77</v>
      </c>
      <c r="AD9394">
        <v>0</v>
      </c>
      <c r="AE9394">
        <v>9.08</v>
      </c>
      <c r="AF9394">
        <v>0</v>
      </c>
      <c r="AG9394">
        <v>0</v>
      </c>
      <c r="AH9394">
        <v>0</v>
      </c>
      <c r="AI9394">
        <v>20.309999999999999</v>
      </c>
      <c r="AJ9394">
        <v>112.85</v>
      </c>
      <c r="AK9394">
        <v>0</v>
      </c>
      <c r="AL9394" t="s">
        <v>53</v>
      </c>
      <c r="AM9394" t="s">
        <v>53</v>
      </c>
      <c r="AN9394" t="s">
        <v>18001</v>
      </c>
      <c r="AO9394" t="s">
        <v>53</v>
      </c>
      <c r="AP9394" t="s">
        <v>53</v>
      </c>
    </row>
    <row r="9395" spans="2:42" x14ac:dyDescent="0.2">
      <c r="B9395" t="s">
        <v>44</v>
      </c>
      <c r="C9395" t="str">
        <f>HYPERLINK("https://us2.cloudbeds.com/connect/8493803454333002#/reservations/9080486849517378?display=5CUS9WTUMR&amp;reservation_id=9080486849517378", "5CUS9WTUMR")</f>
        <v>5CUS9WTUMR</v>
      </c>
      <c r="D9395" t="s">
        <v>45</v>
      </c>
      <c r="E9395" t="s">
        <v>105</v>
      </c>
      <c r="F9395" t="s">
        <v>47</v>
      </c>
      <c r="G9395" t="s">
        <v>48</v>
      </c>
      <c r="H9395" t="s">
        <v>49</v>
      </c>
      <c r="I9395" t="s">
        <v>50</v>
      </c>
      <c r="J9395" t="s">
        <v>17077</v>
      </c>
      <c r="K9395" t="s">
        <v>11652</v>
      </c>
      <c r="L9395" t="s">
        <v>53</v>
      </c>
      <c r="N9395" t="s">
        <v>18002</v>
      </c>
      <c r="P9395" t="s">
        <v>55</v>
      </c>
      <c r="R9395" t="s">
        <v>53</v>
      </c>
      <c r="T9395" t="s">
        <v>18003</v>
      </c>
      <c r="U9395" t="s">
        <v>55</v>
      </c>
      <c r="V9395">
        <v>4</v>
      </c>
      <c r="W9395">
        <v>1</v>
      </c>
      <c r="X9395">
        <v>2</v>
      </c>
      <c r="Y9395">
        <v>0</v>
      </c>
      <c r="Z9395">
        <v>2</v>
      </c>
      <c r="AA9395">
        <v>674.16</v>
      </c>
      <c r="AB9395">
        <v>550.83000000000004</v>
      </c>
      <c r="AC9395">
        <v>624.91</v>
      </c>
      <c r="AD9395">
        <v>0</v>
      </c>
      <c r="AE9395">
        <v>54.69</v>
      </c>
      <c r="AF9395">
        <v>0</v>
      </c>
      <c r="AG9395">
        <v>0</v>
      </c>
      <c r="AH9395">
        <v>0</v>
      </c>
      <c r="AI9395">
        <v>122.33</v>
      </c>
      <c r="AJ9395">
        <v>679.6</v>
      </c>
      <c r="AK9395">
        <v>128.77000000000001</v>
      </c>
      <c r="AL9395" t="s">
        <v>53</v>
      </c>
      <c r="AM9395" t="s">
        <v>53</v>
      </c>
      <c r="AN9395" t="s">
        <v>53</v>
      </c>
      <c r="AO9395" t="s">
        <v>53</v>
      </c>
      <c r="AP9395" t="s">
        <v>53</v>
      </c>
    </row>
    <row r="9396" spans="2:42" x14ac:dyDescent="0.2">
      <c r="B9396" t="s">
        <v>44</v>
      </c>
      <c r="C9396" t="str">
        <f>HYPERLINK("https://us2.cloudbeds.com/connect/8493803454333002#/reservations/9080486849517413?display=5CUT2GD3RN&amp;reservation_id=9080486849517413", "5CUT2GD3RN")</f>
        <v>5CUT2GD3RN</v>
      </c>
      <c r="D9396" t="s">
        <v>10291</v>
      </c>
      <c r="E9396" t="s">
        <v>165</v>
      </c>
      <c r="F9396" t="s">
        <v>61</v>
      </c>
      <c r="G9396" t="s">
        <v>48</v>
      </c>
      <c r="H9396" t="s">
        <v>49</v>
      </c>
      <c r="I9396" t="s">
        <v>50</v>
      </c>
      <c r="J9396" t="s">
        <v>17818</v>
      </c>
      <c r="K9396" t="s">
        <v>14006</v>
      </c>
      <c r="L9396" t="s">
        <v>53</v>
      </c>
      <c r="N9396" t="s">
        <v>18004</v>
      </c>
      <c r="P9396" t="s">
        <v>55</v>
      </c>
      <c r="R9396" t="s">
        <v>53</v>
      </c>
      <c r="T9396" t="s">
        <v>18005</v>
      </c>
      <c r="U9396" t="s">
        <v>55</v>
      </c>
      <c r="V9396">
        <v>2</v>
      </c>
      <c r="W9396">
        <v>1</v>
      </c>
      <c r="X9396">
        <v>2</v>
      </c>
      <c r="Y9396">
        <v>0</v>
      </c>
      <c r="Z9396">
        <v>2</v>
      </c>
      <c r="AA9396">
        <v>238.57</v>
      </c>
      <c r="AB9396">
        <v>0</v>
      </c>
      <c r="AC9396">
        <v>219.37</v>
      </c>
      <c r="AD9396">
        <v>0</v>
      </c>
      <c r="AE9396">
        <v>19.2</v>
      </c>
      <c r="AF9396">
        <v>0</v>
      </c>
      <c r="AG9396">
        <v>0</v>
      </c>
      <c r="AH9396">
        <v>0</v>
      </c>
      <c r="AI9396">
        <v>42.94</v>
      </c>
      <c r="AJ9396">
        <v>238.57</v>
      </c>
      <c r="AK9396">
        <v>238.57</v>
      </c>
      <c r="AL9396" t="s">
        <v>53</v>
      </c>
      <c r="AM9396" t="s">
        <v>53</v>
      </c>
      <c r="AN9396" t="s">
        <v>53</v>
      </c>
      <c r="AO9396" t="s">
        <v>53</v>
      </c>
      <c r="AP9396" t="s">
        <v>53</v>
      </c>
    </row>
    <row r="9397" spans="2:42" x14ac:dyDescent="0.2">
      <c r="B9397" t="s">
        <v>44</v>
      </c>
      <c r="C9397" t="str">
        <f>HYPERLINK("https://us2.cloudbeds.com/connect/8493803454333002#/reservations/250256410849409?display=5CV0NBDJFV&amp;reservation_id=250256410849409", "5CV0NBDJFV")</f>
        <v>5CV0NBDJFV</v>
      </c>
      <c r="D9397" t="s">
        <v>45</v>
      </c>
      <c r="E9397" t="s">
        <v>185</v>
      </c>
      <c r="F9397" t="s">
        <v>47</v>
      </c>
      <c r="G9397" t="s">
        <v>4520</v>
      </c>
      <c r="H9397" t="s">
        <v>3957</v>
      </c>
      <c r="I9397" t="s">
        <v>3958</v>
      </c>
      <c r="J9397" t="s">
        <v>14631</v>
      </c>
      <c r="K9397" t="s">
        <v>17096</v>
      </c>
      <c r="L9397" t="s">
        <v>53</v>
      </c>
      <c r="P9397" t="s">
        <v>55</v>
      </c>
      <c r="R9397" t="s">
        <v>56</v>
      </c>
      <c r="T9397" t="s">
        <v>18006</v>
      </c>
      <c r="U9397" t="s">
        <v>58</v>
      </c>
      <c r="V9397">
        <v>2</v>
      </c>
      <c r="W9397">
        <v>1</v>
      </c>
      <c r="X9397">
        <v>1</v>
      </c>
      <c r="Y9397">
        <v>0</v>
      </c>
      <c r="Z9397">
        <v>1</v>
      </c>
      <c r="AA9397">
        <v>303.38</v>
      </c>
      <c r="AB9397">
        <v>350.83</v>
      </c>
      <c r="AC9397">
        <v>264.60000000000002</v>
      </c>
      <c r="AD9397">
        <v>0</v>
      </c>
      <c r="AE9397">
        <v>38.78</v>
      </c>
      <c r="AF9397">
        <v>0</v>
      </c>
      <c r="AG9397">
        <v>0</v>
      </c>
      <c r="AH9397">
        <v>0</v>
      </c>
      <c r="AI9397">
        <v>0</v>
      </c>
      <c r="AJ9397">
        <v>303.38</v>
      </c>
      <c r="AK9397">
        <v>0</v>
      </c>
      <c r="AL9397" t="s">
        <v>53</v>
      </c>
      <c r="AM9397" t="s">
        <v>53</v>
      </c>
      <c r="AN9397" t="s">
        <v>18007</v>
      </c>
      <c r="AO9397" t="s">
        <v>53</v>
      </c>
      <c r="AP9397" t="s">
        <v>53</v>
      </c>
    </row>
    <row r="9398" spans="2:42" x14ac:dyDescent="0.2">
      <c r="B9398" t="s">
        <v>44</v>
      </c>
      <c r="C9398" t="str">
        <f>HYPERLINK("https://us2.cloudbeds.com/connect/8493803454333002#/reservations/9080486849517706?display=5CV1YB12ZK&amp;reservation_id=9080486849517706", "5CV1YB12ZK")</f>
        <v>5CV1YB12ZK</v>
      </c>
      <c r="D9398" t="s">
        <v>10291</v>
      </c>
      <c r="E9398" t="s">
        <v>213</v>
      </c>
      <c r="F9398" t="s">
        <v>86</v>
      </c>
      <c r="G9398" t="s">
        <v>48</v>
      </c>
      <c r="H9398" t="s">
        <v>49</v>
      </c>
      <c r="I9398" t="s">
        <v>50</v>
      </c>
      <c r="J9398" t="s">
        <v>17830</v>
      </c>
      <c r="K9398" t="s">
        <v>14827</v>
      </c>
      <c r="L9398" t="s">
        <v>53</v>
      </c>
      <c r="N9398" t="s">
        <v>18008</v>
      </c>
      <c r="P9398" t="s">
        <v>55</v>
      </c>
      <c r="R9398" t="s">
        <v>53</v>
      </c>
      <c r="T9398" t="s">
        <v>18009</v>
      </c>
      <c r="U9398" t="s">
        <v>55</v>
      </c>
      <c r="V9398">
        <v>2</v>
      </c>
      <c r="W9398">
        <v>1</v>
      </c>
      <c r="X9398">
        <v>3</v>
      </c>
      <c r="Y9398">
        <v>0</v>
      </c>
      <c r="Z9398">
        <v>3</v>
      </c>
      <c r="AA9398">
        <v>277.79000000000002</v>
      </c>
      <c r="AB9398">
        <v>0</v>
      </c>
      <c r="AC9398">
        <v>255.44</v>
      </c>
      <c r="AD9398">
        <v>0</v>
      </c>
      <c r="AE9398">
        <v>22.35</v>
      </c>
      <c r="AF9398">
        <v>0</v>
      </c>
      <c r="AG9398">
        <v>0</v>
      </c>
      <c r="AH9398">
        <v>0</v>
      </c>
      <c r="AI9398">
        <v>50</v>
      </c>
      <c r="AJ9398">
        <v>277.79000000000002</v>
      </c>
      <c r="AK9398">
        <v>277.79000000000002</v>
      </c>
      <c r="AL9398" t="s">
        <v>53</v>
      </c>
      <c r="AM9398" t="s">
        <v>53</v>
      </c>
      <c r="AN9398" t="s">
        <v>18010</v>
      </c>
      <c r="AO9398" t="s">
        <v>53</v>
      </c>
      <c r="AP9398" t="s">
        <v>53</v>
      </c>
    </row>
    <row r="9399" spans="2:42" x14ac:dyDescent="0.2">
      <c r="B9399" t="s">
        <v>44</v>
      </c>
      <c r="C9399" t="str">
        <f>HYPERLINK("https://us2.cloudbeds.com/connect/8493803454333002#/reservations/9080486849518181?display=5CVAQVJ8NR&amp;reservation_id=9080486849518181", "5CVAQVJ8NR")</f>
        <v>5CVAQVJ8NR</v>
      </c>
      <c r="D9399" t="s">
        <v>45</v>
      </c>
      <c r="E9399" t="s">
        <v>98</v>
      </c>
      <c r="F9399" t="s">
        <v>86</v>
      </c>
      <c r="G9399" t="s">
        <v>48</v>
      </c>
      <c r="H9399" t="s">
        <v>49</v>
      </c>
      <c r="I9399" t="s">
        <v>8964</v>
      </c>
      <c r="J9399" t="s">
        <v>14632</v>
      </c>
      <c r="K9399" t="s">
        <v>16205</v>
      </c>
      <c r="L9399" t="s">
        <v>53</v>
      </c>
      <c r="N9399" t="s">
        <v>18011</v>
      </c>
      <c r="P9399" t="s">
        <v>55</v>
      </c>
      <c r="R9399" t="s">
        <v>53</v>
      </c>
      <c r="T9399" t="s">
        <v>18012</v>
      </c>
      <c r="U9399" t="s">
        <v>55</v>
      </c>
      <c r="V9399">
        <v>4</v>
      </c>
      <c r="W9399">
        <v>1</v>
      </c>
      <c r="X9399">
        <v>2</v>
      </c>
      <c r="Y9399">
        <v>0</v>
      </c>
      <c r="Z9399">
        <v>2</v>
      </c>
      <c r="AA9399">
        <v>823</v>
      </c>
      <c r="AB9399">
        <v>0</v>
      </c>
      <c r="AC9399">
        <v>823</v>
      </c>
      <c r="AD9399">
        <v>7.5</v>
      </c>
      <c r="AE9399">
        <v>0.71</v>
      </c>
      <c r="AF9399">
        <v>0</v>
      </c>
      <c r="AG9399">
        <v>0</v>
      </c>
      <c r="AH9399">
        <v>0</v>
      </c>
      <c r="AI9399">
        <v>124.68</v>
      </c>
      <c r="AJ9399">
        <v>831.21</v>
      </c>
      <c r="AK9399">
        <v>831.21</v>
      </c>
      <c r="AL9399" t="s">
        <v>53</v>
      </c>
      <c r="AM9399" t="s">
        <v>53</v>
      </c>
      <c r="AN9399" t="s">
        <v>53</v>
      </c>
      <c r="AO9399" t="s">
        <v>53</v>
      </c>
      <c r="AP9399" t="s">
        <v>53</v>
      </c>
    </row>
    <row r="9400" spans="2:42" x14ac:dyDescent="0.2">
      <c r="B9400" t="s">
        <v>44</v>
      </c>
      <c r="C9400" t="str">
        <f>HYPERLINK("https://us2.cloudbeds.com/connect/8493803454333002#/reservations/9080486849518285?display=5CVCZPTV1M&amp;reservation_id=9080486849518285", "5CVCZPTV1M")</f>
        <v>5CVCZPTV1M</v>
      </c>
      <c r="D9400" t="s">
        <v>10291</v>
      </c>
      <c r="E9400" t="s">
        <v>185</v>
      </c>
      <c r="F9400" t="s">
        <v>47</v>
      </c>
      <c r="G9400" t="s">
        <v>48</v>
      </c>
      <c r="H9400" t="s">
        <v>49</v>
      </c>
      <c r="I9400" t="s">
        <v>50</v>
      </c>
      <c r="J9400" t="s">
        <v>14372</v>
      </c>
      <c r="K9400" t="s">
        <v>16110</v>
      </c>
      <c r="L9400" t="s">
        <v>53</v>
      </c>
      <c r="N9400" t="s">
        <v>18013</v>
      </c>
      <c r="P9400" t="s">
        <v>55</v>
      </c>
      <c r="R9400" t="s">
        <v>53</v>
      </c>
      <c r="T9400" t="s">
        <v>18014</v>
      </c>
      <c r="U9400" t="s">
        <v>55</v>
      </c>
      <c r="V9400">
        <v>1</v>
      </c>
      <c r="W9400">
        <v>1</v>
      </c>
      <c r="X9400">
        <v>2</v>
      </c>
      <c r="Y9400">
        <v>0</v>
      </c>
      <c r="Z9400">
        <v>2</v>
      </c>
      <c r="AA9400">
        <v>153.88</v>
      </c>
      <c r="AB9400">
        <v>0</v>
      </c>
      <c r="AC9400">
        <v>141.5</v>
      </c>
      <c r="AD9400">
        <v>0</v>
      </c>
      <c r="AE9400">
        <v>12.38</v>
      </c>
      <c r="AF9400">
        <v>0</v>
      </c>
      <c r="AG9400">
        <v>0</v>
      </c>
      <c r="AH9400">
        <v>0</v>
      </c>
      <c r="AI9400">
        <v>27.7</v>
      </c>
      <c r="AJ9400">
        <v>153.88</v>
      </c>
      <c r="AK9400">
        <v>153.88</v>
      </c>
      <c r="AL9400" t="s">
        <v>53</v>
      </c>
      <c r="AM9400" t="s">
        <v>53</v>
      </c>
      <c r="AN9400" t="s">
        <v>53</v>
      </c>
      <c r="AO9400" t="s">
        <v>53</v>
      </c>
      <c r="AP9400" t="s">
        <v>53</v>
      </c>
    </row>
    <row r="9401" spans="2:42" x14ac:dyDescent="0.2">
      <c r="B9401" t="s">
        <v>44</v>
      </c>
      <c r="C9401" t="str">
        <f>HYPERLINK("https://us2.cloudbeds.com/connect/8493803454333002#/reservations/9080486849518651?display=5CVKPFB5V5&amp;reservation_id=9080486849518651", "5CVKPFB5V5")</f>
        <v>5CVKPFB5V5</v>
      </c>
      <c r="D9401" t="s">
        <v>45</v>
      </c>
      <c r="E9401" t="s">
        <v>78</v>
      </c>
      <c r="F9401" t="s">
        <v>61</v>
      </c>
      <c r="G9401" t="s">
        <v>48</v>
      </c>
      <c r="H9401" t="s">
        <v>49</v>
      </c>
      <c r="I9401" t="s">
        <v>50</v>
      </c>
      <c r="J9401" t="s">
        <v>17096</v>
      </c>
      <c r="K9401" t="s">
        <v>17077</v>
      </c>
      <c r="L9401" t="s">
        <v>53</v>
      </c>
      <c r="N9401" t="s">
        <v>18015</v>
      </c>
      <c r="P9401" t="s">
        <v>55</v>
      </c>
      <c r="R9401" t="s">
        <v>53</v>
      </c>
      <c r="T9401" t="s">
        <v>18016</v>
      </c>
      <c r="U9401" t="s">
        <v>55</v>
      </c>
      <c r="V9401">
        <v>1</v>
      </c>
      <c r="W9401">
        <v>1</v>
      </c>
      <c r="X9401">
        <v>1</v>
      </c>
      <c r="Y9401">
        <v>0</v>
      </c>
      <c r="Z9401">
        <v>1</v>
      </c>
      <c r="AA9401">
        <v>202.81</v>
      </c>
      <c r="AB9401">
        <v>202.81</v>
      </c>
      <c r="AC9401">
        <v>186.49</v>
      </c>
      <c r="AD9401">
        <v>20</v>
      </c>
      <c r="AE9401">
        <v>19.25</v>
      </c>
      <c r="AF9401">
        <v>0</v>
      </c>
      <c r="AG9401">
        <v>0</v>
      </c>
      <c r="AH9401">
        <v>0</v>
      </c>
      <c r="AI9401">
        <v>40.630000000000003</v>
      </c>
      <c r="AJ9401">
        <v>225.74</v>
      </c>
      <c r="AK9401">
        <v>22.93</v>
      </c>
      <c r="AL9401" t="s">
        <v>53</v>
      </c>
      <c r="AM9401" t="s">
        <v>53</v>
      </c>
      <c r="AN9401" t="s">
        <v>18017</v>
      </c>
      <c r="AO9401" t="s">
        <v>53</v>
      </c>
      <c r="AP9401" t="s">
        <v>53</v>
      </c>
    </row>
    <row r="9402" spans="2:42" x14ac:dyDescent="0.2">
      <c r="B9402" t="s">
        <v>44</v>
      </c>
      <c r="C9402" t="str">
        <f>HYPERLINK("https://us2.cloudbeds.com/connect/8493803454333002#/reservations/9080486849518759?display=5CVMWCSSPT&amp;reservation_id=9080486849518759", "5CVMWCSSPT")</f>
        <v>5CVMWCSSPT</v>
      </c>
      <c r="D9402" t="s">
        <v>45</v>
      </c>
      <c r="E9402" t="s">
        <v>179</v>
      </c>
      <c r="F9402" t="s">
        <v>47</v>
      </c>
      <c r="G9402" t="s">
        <v>48</v>
      </c>
      <c r="H9402" t="s">
        <v>49</v>
      </c>
      <c r="I9402" t="s">
        <v>62</v>
      </c>
      <c r="J9402" t="s">
        <v>14732</v>
      </c>
      <c r="K9402" t="s">
        <v>17389</v>
      </c>
      <c r="L9402" t="s">
        <v>53</v>
      </c>
      <c r="N9402" t="s">
        <v>18018</v>
      </c>
      <c r="P9402" t="s">
        <v>55</v>
      </c>
      <c r="R9402" t="s">
        <v>56</v>
      </c>
      <c r="T9402" t="s">
        <v>18019</v>
      </c>
      <c r="U9402" t="s">
        <v>55</v>
      </c>
      <c r="V9402">
        <v>3</v>
      </c>
      <c r="W9402">
        <v>1</v>
      </c>
      <c r="X9402">
        <v>2</v>
      </c>
      <c r="Y9402">
        <v>0</v>
      </c>
      <c r="Z9402">
        <v>2</v>
      </c>
      <c r="AA9402">
        <v>517.65</v>
      </c>
      <c r="AB9402">
        <v>517.65</v>
      </c>
      <c r="AC9402">
        <v>517.65</v>
      </c>
      <c r="AD9402">
        <v>0</v>
      </c>
      <c r="AE9402">
        <v>0</v>
      </c>
      <c r="AF9402">
        <v>0</v>
      </c>
      <c r="AG9402">
        <v>0</v>
      </c>
      <c r="AH9402">
        <v>0</v>
      </c>
      <c r="AI9402">
        <v>93.18</v>
      </c>
      <c r="AJ9402">
        <v>517.65</v>
      </c>
      <c r="AK9402">
        <v>0</v>
      </c>
      <c r="AL9402" t="s">
        <v>53</v>
      </c>
      <c r="AM9402" t="s">
        <v>53</v>
      </c>
      <c r="AN9402" t="s">
        <v>53</v>
      </c>
      <c r="AO9402" t="s">
        <v>53</v>
      </c>
      <c r="AP9402" t="s">
        <v>53</v>
      </c>
    </row>
    <row r="9403" spans="2:42" x14ac:dyDescent="0.2">
      <c r="B9403" t="s">
        <v>44</v>
      </c>
      <c r="C9403" t="str">
        <f>HYPERLINK("https://us2.cloudbeds.com/connect/8493803454333002#/reservations/9080486849519041?display=5CVTBEHPZZ&amp;reservation_id=9080486849519041", "5CVTBEHPZZ")</f>
        <v>5CVTBEHPZZ</v>
      </c>
      <c r="D9403" t="s">
        <v>45</v>
      </c>
      <c r="E9403" t="s">
        <v>487</v>
      </c>
      <c r="F9403" t="s">
        <v>61</v>
      </c>
      <c r="G9403" t="s">
        <v>48</v>
      </c>
      <c r="H9403" t="s">
        <v>49</v>
      </c>
      <c r="I9403" t="s">
        <v>50</v>
      </c>
      <c r="J9403" t="s">
        <v>14631</v>
      </c>
      <c r="K9403" t="s">
        <v>14632</v>
      </c>
      <c r="L9403" t="s">
        <v>53</v>
      </c>
      <c r="N9403" t="s">
        <v>18020</v>
      </c>
      <c r="P9403" t="s">
        <v>55</v>
      </c>
      <c r="R9403" t="s">
        <v>53</v>
      </c>
      <c r="T9403" t="s">
        <v>18021</v>
      </c>
      <c r="U9403" t="s">
        <v>55</v>
      </c>
      <c r="V9403">
        <v>1</v>
      </c>
      <c r="W9403">
        <v>1</v>
      </c>
      <c r="X9403">
        <v>2</v>
      </c>
      <c r="Y9403">
        <v>0</v>
      </c>
      <c r="Z9403">
        <v>2</v>
      </c>
      <c r="AA9403">
        <v>114.27</v>
      </c>
      <c r="AB9403">
        <v>114.27</v>
      </c>
      <c r="AC9403">
        <v>105.07</v>
      </c>
      <c r="AD9403">
        <v>0</v>
      </c>
      <c r="AE9403">
        <v>9.1999999999999993</v>
      </c>
      <c r="AF9403">
        <v>0</v>
      </c>
      <c r="AG9403">
        <v>0</v>
      </c>
      <c r="AH9403">
        <v>0</v>
      </c>
      <c r="AI9403">
        <v>20.57</v>
      </c>
      <c r="AJ9403">
        <v>114.27</v>
      </c>
      <c r="AK9403">
        <v>0</v>
      </c>
      <c r="AL9403" t="s">
        <v>53</v>
      </c>
      <c r="AM9403" t="s">
        <v>53</v>
      </c>
      <c r="AN9403" t="s">
        <v>53</v>
      </c>
      <c r="AO9403" t="s">
        <v>53</v>
      </c>
      <c r="AP9403" t="s">
        <v>53</v>
      </c>
    </row>
    <row r="9404" spans="2:42" x14ac:dyDescent="0.2">
      <c r="B9404" t="s">
        <v>44</v>
      </c>
      <c r="C9404" t="str">
        <f>HYPERLINK("https://us2.cloudbeds.com/connect/8493803454333002#/reservations/9080486849519137?display=5CVVN371A5&amp;reservation_id=9080486849519137", "5CVVN371A5")</f>
        <v>5CVVN371A5</v>
      </c>
      <c r="D9404" t="s">
        <v>45</v>
      </c>
      <c r="E9404" t="s">
        <v>14695</v>
      </c>
      <c r="F9404" t="s">
        <v>47</v>
      </c>
      <c r="G9404" t="s">
        <v>48</v>
      </c>
      <c r="H9404" t="s">
        <v>49</v>
      </c>
      <c r="I9404" t="s">
        <v>50</v>
      </c>
      <c r="J9404" t="s">
        <v>14631</v>
      </c>
      <c r="K9404" t="s">
        <v>14632</v>
      </c>
      <c r="L9404" t="s">
        <v>53</v>
      </c>
      <c r="N9404" t="s">
        <v>18022</v>
      </c>
      <c r="P9404" t="s">
        <v>55</v>
      </c>
      <c r="R9404" t="s">
        <v>53</v>
      </c>
      <c r="T9404" t="s">
        <v>18023</v>
      </c>
      <c r="U9404" t="s">
        <v>55</v>
      </c>
      <c r="V9404">
        <v>1</v>
      </c>
      <c r="W9404">
        <v>1</v>
      </c>
      <c r="X9404">
        <v>2</v>
      </c>
      <c r="Y9404">
        <v>0</v>
      </c>
      <c r="Z9404">
        <v>2</v>
      </c>
      <c r="AA9404">
        <v>106.01</v>
      </c>
      <c r="AB9404">
        <v>106.01</v>
      </c>
      <c r="AC9404">
        <v>97.48</v>
      </c>
      <c r="AD9404">
        <v>0</v>
      </c>
      <c r="AE9404">
        <v>8.5299999999999994</v>
      </c>
      <c r="AF9404">
        <v>0</v>
      </c>
      <c r="AG9404">
        <v>0</v>
      </c>
      <c r="AH9404">
        <v>0</v>
      </c>
      <c r="AI9404">
        <v>19.079999999999998</v>
      </c>
      <c r="AJ9404">
        <v>106.01</v>
      </c>
      <c r="AK9404">
        <v>0</v>
      </c>
      <c r="AL9404" t="s">
        <v>53</v>
      </c>
      <c r="AM9404" t="s">
        <v>53</v>
      </c>
      <c r="AN9404" t="s">
        <v>18024</v>
      </c>
      <c r="AO9404" t="s">
        <v>53</v>
      </c>
      <c r="AP9404" t="s">
        <v>53</v>
      </c>
    </row>
    <row r="9405" spans="2:42" x14ac:dyDescent="0.2">
      <c r="B9405" t="s">
        <v>44</v>
      </c>
      <c r="C9405" t="str">
        <f>HYPERLINK("https://us2.cloudbeds.com/connect/8493803454333002#/reservations/9080486849522630?display=5D1XFY10MW&amp;reservation_id=9080486849522630", "5D1XFY10MW")</f>
        <v>5D1XFY10MW</v>
      </c>
      <c r="D9405" t="s">
        <v>10291</v>
      </c>
      <c r="E9405" t="s">
        <v>78</v>
      </c>
      <c r="F9405" t="s">
        <v>61</v>
      </c>
      <c r="G9405" t="s">
        <v>48</v>
      </c>
      <c r="H9405" t="s">
        <v>49</v>
      </c>
      <c r="I9405" t="s">
        <v>62</v>
      </c>
      <c r="J9405" t="s">
        <v>15748</v>
      </c>
      <c r="K9405" t="s">
        <v>15936</v>
      </c>
      <c r="L9405" t="s">
        <v>53</v>
      </c>
      <c r="N9405" t="s">
        <v>18025</v>
      </c>
      <c r="P9405" t="s">
        <v>55</v>
      </c>
      <c r="R9405" t="s">
        <v>102</v>
      </c>
      <c r="T9405" t="s">
        <v>18026</v>
      </c>
      <c r="U9405" t="s">
        <v>55</v>
      </c>
      <c r="V9405">
        <v>2</v>
      </c>
      <c r="W9405">
        <v>1</v>
      </c>
      <c r="X9405">
        <v>2</v>
      </c>
      <c r="Y9405">
        <v>0</v>
      </c>
      <c r="Z9405">
        <v>2</v>
      </c>
      <c r="AA9405">
        <v>286.27999999999997</v>
      </c>
      <c r="AB9405">
        <v>0</v>
      </c>
      <c r="AC9405">
        <v>286.27999999999997</v>
      </c>
      <c r="AD9405">
        <v>0</v>
      </c>
      <c r="AE9405">
        <v>0</v>
      </c>
      <c r="AF9405">
        <v>0</v>
      </c>
      <c r="AG9405">
        <v>0</v>
      </c>
      <c r="AH9405">
        <v>0</v>
      </c>
      <c r="AI9405">
        <v>51.53</v>
      </c>
      <c r="AJ9405">
        <v>286.27999999999997</v>
      </c>
      <c r="AK9405">
        <v>286.27999999999997</v>
      </c>
      <c r="AL9405" t="s">
        <v>53</v>
      </c>
      <c r="AM9405" t="s">
        <v>53</v>
      </c>
      <c r="AN9405" t="s">
        <v>53</v>
      </c>
      <c r="AO9405" t="s">
        <v>53</v>
      </c>
      <c r="AP9405" t="s">
        <v>53</v>
      </c>
    </row>
    <row r="9406" spans="2:42" x14ac:dyDescent="0.2">
      <c r="B9406" t="s">
        <v>44</v>
      </c>
      <c r="C9406" t="str">
        <f>HYPERLINK("https://us2.cloudbeds.com/connect/8493803454333002#/reservations/9080486849522811?display=5D1Y7671YF&amp;reservation_id=9080486849522811", "5D1Y7671YF")</f>
        <v>5D1Y7671YF</v>
      </c>
      <c r="D9406" t="s">
        <v>10291</v>
      </c>
      <c r="E9406" t="s">
        <v>165</v>
      </c>
      <c r="F9406" t="s">
        <v>61</v>
      </c>
      <c r="G9406" t="s">
        <v>48</v>
      </c>
      <c r="H9406" t="s">
        <v>49</v>
      </c>
      <c r="I9406" t="s">
        <v>62</v>
      </c>
      <c r="J9406" t="s">
        <v>18027</v>
      </c>
      <c r="K9406" t="s">
        <v>18028</v>
      </c>
      <c r="L9406" t="s">
        <v>53</v>
      </c>
      <c r="N9406" t="s">
        <v>18029</v>
      </c>
      <c r="P9406" t="s">
        <v>55</v>
      </c>
      <c r="R9406" t="s">
        <v>125</v>
      </c>
      <c r="T9406" t="s">
        <v>18030</v>
      </c>
      <c r="U9406" t="s">
        <v>55</v>
      </c>
      <c r="V9406">
        <v>2</v>
      </c>
      <c r="W9406">
        <v>1</v>
      </c>
      <c r="X9406">
        <v>2</v>
      </c>
      <c r="Y9406">
        <v>0</v>
      </c>
      <c r="Z9406">
        <v>2</v>
      </c>
      <c r="AA9406">
        <v>226.8</v>
      </c>
      <c r="AB9406">
        <v>0</v>
      </c>
      <c r="AC9406">
        <v>226.8</v>
      </c>
      <c r="AD9406">
        <v>0</v>
      </c>
      <c r="AE9406">
        <v>0</v>
      </c>
      <c r="AF9406">
        <v>0</v>
      </c>
      <c r="AG9406">
        <v>0</v>
      </c>
      <c r="AH9406">
        <v>0</v>
      </c>
      <c r="AI9406">
        <v>40.82</v>
      </c>
      <c r="AJ9406">
        <v>226.8</v>
      </c>
      <c r="AK9406">
        <v>226.8</v>
      </c>
      <c r="AL9406" t="s">
        <v>53</v>
      </c>
      <c r="AM9406" t="s">
        <v>53</v>
      </c>
      <c r="AN9406" t="s">
        <v>53</v>
      </c>
      <c r="AO9406" t="s">
        <v>53</v>
      </c>
      <c r="AP9406" t="s">
        <v>53</v>
      </c>
    </row>
    <row r="9407" spans="2:42" x14ac:dyDescent="0.2">
      <c r="B9407" t="s">
        <v>44</v>
      </c>
      <c r="C9407" t="str">
        <f>HYPERLINK("https://us2.cloudbeds.com/connect/8493803454333002#/reservations/250457933078720?display=5D2ZZN93Z1&amp;reservation_id=250457933078720", "5D2ZZN93Z1")</f>
        <v>5D2ZZN93Z1</v>
      </c>
      <c r="D9407" t="s">
        <v>45</v>
      </c>
      <c r="E9407" t="s">
        <v>179</v>
      </c>
      <c r="F9407" t="s">
        <v>47</v>
      </c>
      <c r="G9407" t="s">
        <v>48</v>
      </c>
      <c r="H9407" t="s">
        <v>3957</v>
      </c>
      <c r="I9407" t="s">
        <v>3975</v>
      </c>
      <c r="J9407" t="s">
        <v>17096</v>
      </c>
      <c r="K9407" t="s">
        <v>17078</v>
      </c>
      <c r="L9407" t="s">
        <v>53</v>
      </c>
      <c r="P9407" t="s">
        <v>55</v>
      </c>
      <c r="R9407" t="s">
        <v>56</v>
      </c>
      <c r="T9407" t="s">
        <v>18031</v>
      </c>
      <c r="U9407" t="s">
        <v>58</v>
      </c>
      <c r="V9407">
        <v>2</v>
      </c>
      <c r="W9407">
        <v>1</v>
      </c>
      <c r="X9407">
        <v>2</v>
      </c>
      <c r="Y9407">
        <v>0</v>
      </c>
      <c r="Z9407">
        <v>2</v>
      </c>
      <c r="AA9407">
        <v>412.74</v>
      </c>
      <c r="AB9407">
        <v>412.74</v>
      </c>
      <c r="AC9407">
        <v>360</v>
      </c>
      <c r="AD9407">
        <v>0</v>
      </c>
      <c r="AE9407">
        <v>52.74</v>
      </c>
      <c r="AF9407">
        <v>0</v>
      </c>
      <c r="AG9407">
        <v>0</v>
      </c>
      <c r="AH9407">
        <v>0</v>
      </c>
      <c r="AI9407">
        <v>0</v>
      </c>
      <c r="AJ9407">
        <v>412.74</v>
      </c>
      <c r="AK9407">
        <v>0</v>
      </c>
      <c r="AL9407" t="s">
        <v>53</v>
      </c>
      <c r="AM9407" t="s">
        <v>53</v>
      </c>
      <c r="AN9407" t="s">
        <v>18032</v>
      </c>
      <c r="AO9407" t="s">
        <v>53</v>
      </c>
      <c r="AP9407" t="s">
        <v>53</v>
      </c>
    </row>
    <row r="9408" spans="2:42" x14ac:dyDescent="0.2">
      <c r="B9408" t="s">
        <v>44</v>
      </c>
      <c r="C9408" t="str">
        <f>HYPERLINK("https://us2.cloudbeds.com/connect/8493803454333002#/reservations/250482710593665?display=5D3AURBTU2&amp;reservation_id=250482710593665", "5D3AURBTU2")</f>
        <v>5D3AURBTU2</v>
      </c>
      <c r="D9408" t="s">
        <v>10291</v>
      </c>
      <c r="E9408" t="s">
        <v>373</v>
      </c>
      <c r="F9408" t="s">
        <v>47</v>
      </c>
      <c r="G9408" t="s">
        <v>48</v>
      </c>
      <c r="H9408" t="s">
        <v>3957</v>
      </c>
      <c r="I9408" t="s">
        <v>3958</v>
      </c>
      <c r="J9408" t="s">
        <v>18033</v>
      </c>
      <c r="K9408" t="s">
        <v>16499</v>
      </c>
      <c r="L9408" t="s">
        <v>53</v>
      </c>
      <c r="P9408" t="s">
        <v>55</v>
      </c>
      <c r="R9408" t="s">
        <v>56</v>
      </c>
      <c r="T9408" t="s">
        <v>18034</v>
      </c>
      <c r="U9408" t="s">
        <v>58</v>
      </c>
      <c r="V9408">
        <v>1</v>
      </c>
      <c r="W9408">
        <v>1</v>
      </c>
      <c r="X9408">
        <v>1</v>
      </c>
      <c r="Y9408">
        <v>0</v>
      </c>
      <c r="Z9408">
        <v>1</v>
      </c>
      <c r="AA9408">
        <v>249.94</v>
      </c>
      <c r="AB9408">
        <v>0</v>
      </c>
      <c r="AC9408">
        <v>218</v>
      </c>
      <c r="AD9408">
        <v>0</v>
      </c>
      <c r="AE9408">
        <v>31.94</v>
      </c>
      <c r="AF9408">
        <v>0</v>
      </c>
      <c r="AG9408">
        <v>0</v>
      </c>
      <c r="AH9408">
        <v>0</v>
      </c>
      <c r="AI9408">
        <v>0</v>
      </c>
      <c r="AJ9408">
        <v>249.94</v>
      </c>
      <c r="AK9408">
        <v>249.94</v>
      </c>
      <c r="AL9408" t="s">
        <v>53</v>
      </c>
      <c r="AM9408" t="s">
        <v>53</v>
      </c>
      <c r="AN9408" t="s">
        <v>53</v>
      </c>
      <c r="AO9408" t="s">
        <v>53</v>
      </c>
      <c r="AP9408" t="s">
        <v>53</v>
      </c>
    </row>
    <row r="9409" spans="2:42" x14ac:dyDescent="0.2">
      <c r="B9409" t="s">
        <v>44</v>
      </c>
      <c r="C9409" t="str">
        <f>HYPERLINK("https://us2.cloudbeds.com/connect/8493803454333002#/reservations/250495629189248?display=5D3KUUY2EZ&amp;reservation_id=250495629189248", "5D3KUUY2EZ")</f>
        <v>5D3KUUY2EZ</v>
      </c>
      <c r="D9409" t="s">
        <v>10291</v>
      </c>
      <c r="E9409" t="s">
        <v>105</v>
      </c>
      <c r="F9409" t="s">
        <v>47</v>
      </c>
      <c r="G9409" t="s">
        <v>48</v>
      </c>
      <c r="H9409" t="s">
        <v>3957</v>
      </c>
      <c r="I9409" t="s">
        <v>3975</v>
      </c>
      <c r="J9409" t="s">
        <v>15545</v>
      </c>
      <c r="K9409" t="s">
        <v>16111</v>
      </c>
      <c r="L9409" t="s">
        <v>53</v>
      </c>
      <c r="P9409" t="s">
        <v>55</v>
      </c>
      <c r="R9409" t="s">
        <v>56</v>
      </c>
      <c r="T9409" t="s">
        <v>18035</v>
      </c>
      <c r="U9409" t="s">
        <v>58</v>
      </c>
      <c r="V9409">
        <v>1</v>
      </c>
      <c r="W9409">
        <v>1</v>
      </c>
      <c r="X9409">
        <v>2</v>
      </c>
      <c r="Y9409">
        <v>0</v>
      </c>
      <c r="Z9409">
        <v>2</v>
      </c>
      <c r="AA9409">
        <v>0</v>
      </c>
      <c r="AB9409">
        <v>0</v>
      </c>
      <c r="AC9409">
        <v>164</v>
      </c>
      <c r="AD9409">
        <v>0</v>
      </c>
      <c r="AE9409">
        <v>24.03</v>
      </c>
      <c r="AF9409">
        <v>0</v>
      </c>
      <c r="AG9409">
        <v>0</v>
      </c>
      <c r="AH9409">
        <v>0</v>
      </c>
      <c r="AI9409">
        <v>0</v>
      </c>
      <c r="AJ9409">
        <v>188.03</v>
      </c>
      <c r="AK9409">
        <v>188.03</v>
      </c>
      <c r="AL9409" t="s">
        <v>53</v>
      </c>
      <c r="AM9409" t="s">
        <v>53</v>
      </c>
      <c r="AN9409" t="s">
        <v>53</v>
      </c>
      <c r="AO9409" t="s">
        <v>53</v>
      </c>
      <c r="AP9409" t="s">
        <v>53</v>
      </c>
    </row>
    <row r="9410" spans="2:42" x14ac:dyDescent="0.2">
      <c r="B9410" t="s">
        <v>44</v>
      </c>
      <c r="C9410" t="str">
        <f>HYPERLINK("https://us2.cloudbeds.com/connect/8493803454333002#/reservations/9080486849527431?display=5D3QCU7KB1&amp;reservation_id=9080486849527431", "5D3QCU7KB1")</f>
        <v>5D3QCU7KB1</v>
      </c>
      <c r="D9410" t="s">
        <v>45</v>
      </c>
      <c r="E9410" t="s">
        <v>138</v>
      </c>
      <c r="F9410" t="s">
        <v>70</v>
      </c>
      <c r="G9410" t="s">
        <v>48</v>
      </c>
      <c r="H9410" t="s">
        <v>49</v>
      </c>
      <c r="I9410" t="s">
        <v>50</v>
      </c>
      <c r="J9410" t="s">
        <v>11652</v>
      </c>
      <c r="K9410" t="s">
        <v>14806</v>
      </c>
      <c r="L9410" t="s">
        <v>53</v>
      </c>
      <c r="N9410" t="s">
        <v>18036</v>
      </c>
      <c r="P9410" t="s">
        <v>55</v>
      </c>
      <c r="R9410" t="s">
        <v>53</v>
      </c>
      <c r="T9410" t="s">
        <v>18037</v>
      </c>
      <c r="U9410" t="s">
        <v>55</v>
      </c>
      <c r="V9410">
        <v>1</v>
      </c>
      <c r="W9410">
        <v>1</v>
      </c>
      <c r="X9410">
        <v>2</v>
      </c>
      <c r="Y9410">
        <v>0</v>
      </c>
      <c r="Z9410">
        <v>2</v>
      </c>
      <c r="AA9410">
        <v>125.29</v>
      </c>
      <c r="AB9410">
        <v>125.29</v>
      </c>
      <c r="AC9410">
        <v>115.21</v>
      </c>
      <c r="AD9410">
        <v>0</v>
      </c>
      <c r="AE9410">
        <v>10.08</v>
      </c>
      <c r="AF9410">
        <v>0</v>
      </c>
      <c r="AG9410">
        <v>0</v>
      </c>
      <c r="AH9410">
        <v>0</v>
      </c>
      <c r="AI9410">
        <v>22.55</v>
      </c>
      <c r="AJ9410">
        <v>125.29</v>
      </c>
      <c r="AK9410">
        <v>0</v>
      </c>
      <c r="AL9410" t="s">
        <v>53</v>
      </c>
      <c r="AM9410" t="s">
        <v>53</v>
      </c>
      <c r="AN9410" t="s">
        <v>53</v>
      </c>
      <c r="AO9410" t="s">
        <v>53</v>
      </c>
      <c r="AP9410" t="s">
        <v>53</v>
      </c>
    </row>
    <row r="9411" spans="2:42" x14ac:dyDescent="0.2">
      <c r="B9411" t="s">
        <v>44</v>
      </c>
      <c r="C9411" t="str">
        <f>HYPERLINK("https://us2.cloudbeds.com/connect/8493803454333002#/reservations/9080486849527781?display=5D3W3A7QZ5&amp;reservation_id=9080486849527781", "5D3W3A7QZ5")</f>
        <v>5D3W3A7QZ5</v>
      </c>
      <c r="D9411" t="s">
        <v>45</v>
      </c>
      <c r="E9411" t="s">
        <v>92</v>
      </c>
      <c r="F9411" t="s">
        <v>86</v>
      </c>
      <c r="G9411" t="s">
        <v>48</v>
      </c>
      <c r="H9411" t="s">
        <v>49</v>
      </c>
      <c r="I9411" t="s">
        <v>62</v>
      </c>
      <c r="J9411" t="s">
        <v>14631</v>
      </c>
      <c r="K9411" t="s">
        <v>14632</v>
      </c>
      <c r="L9411" t="s">
        <v>53</v>
      </c>
      <c r="N9411" t="s">
        <v>18038</v>
      </c>
      <c r="P9411" t="s">
        <v>55</v>
      </c>
      <c r="R9411" t="s">
        <v>56</v>
      </c>
      <c r="T9411" t="s">
        <v>18039</v>
      </c>
      <c r="U9411" t="s">
        <v>55</v>
      </c>
      <c r="V9411">
        <v>1</v>
      </c>
      <c r="W9411">
        <v>1</v>
      </c>
      <c r="X9411">
        <v>2</v>
      </c>
      <c r="Y9411">
        <v>0</v>
      </c>
      <c r="Z9411">
        <v>2</v>
      </c>
      <c r="AA9411">
        <v>156.44999999999999</v>
      </c>
      <c r="AB9411">
        <v>156.44999999999999</v>
      </c>
      <c r="AC9411">
        <v>156.44999999999999</v>
      </c>
      <c r="AD9411">
        <v>0</v>
      </c>
      <c r="AE9411">
        <v>0</v>
      </c>
      <c r="AF9411">
        <v>0</v>
      </c>
      <c r="AG9411">
        <v>0</v>
      </c>
      <c r="AH9411">
        <v>0</v>
      </c>
      <c r="AI9411">
        <v>28.16</v>
      </c>
      <c r="AJ9411">
        <v>156.44999999999999</v>
      </c>
      <c r="AK9411">
        <v>0</v>
      </c>
      <c r="AL9411" t="s">
        <v>53</v>
      </c>
      <c r="AM9411" t="s">
        <v>53</v>
      </c>
      <c r="AN9411" t="s">
        <v>53</v>
      </c>
      <c r="AO9411" t="s">
        <v>53</v>
      </c>
      <c r="AP9411" t="s">
        <v>53</v>
      </c>
    </row>
    <row r="9412" spans="2:42" x14ac:dyDescent="0.2">
      <c r="B9412" t="s">
        <v>44</v>
      </c>
      <c r="C9412" t="str">
        <f>HYPERLINK("https://us2.cloudbeds.com/connect/8493803454333002#/reservations/9080486849529498?display=5D4ZZ7A7V3&amp;reservation_id=9080486849529498", "5D4ZZ7A7V3")</f>
        <v>5D4ZZ7A7V3</v>
      </c>
      <c r="D9412" t="s">
        <v>10291</v>
      </c>
      <c r="E9412" t="s">
        <v>165</v>
      </c>
      <c r="F9412" t="s">
        <v>61</v>
      </c>
      <c r="G9412" t="s">
        <v>48</v>
      </c>
      <c r="H9412" t="s">
        <v>49</v>
      </c>
      <c r="I9412" t="s">
        <v>50</v>
      </c>
      <c r="J9412" t="s">
        <v>18040</v>
      </c>
      <c r="K9412" t="s">
        <v>17910</v>
      </c>
      <c r="L9412" t="s">
        <v>53</v>
      </c>
      <c r="N9412" t="s">
        <v>18041</v>
      </c>
      <c r="P9412" t="s">
        <v>55</v>
      </c>
      <c r="R9412" t="s">
        <v>53</v>
      </c>
      <c r="T9412" t="s">
        <v>18042</v>
      </c>
      <c r="U9412" t="s">
        <v>55</v>
      </c>
      <c r="V9412">
        <v>1</v>
      </c>
      <c r="W9412">
        <v>1</v>
      </c>
      <c r="X9412">
        <v>2</v>
      </c>
      <c r="Y9412">
        <v>0</v>
      </c>
      <c r="Z9412">
        <v>2</v>
      </c>
      <c r="AA9412">
        <v>139.05000000000001</v>
      </c>
      <c r="AB9412">
        <v>0</v>
      </c>
      <c r="AC9412">
        <v>127.86</v>
      </c>
      <c r="AD9412">
        <v>0</v>
      </c>
      <c r="AE9412">
        <v>11.19</v>
      </c>
      <c r="AF9412">
        <v>0</v>
      </c>
      <c r="AG9412">
        <v>0</v>
      </c>
      <c r="AH9412">
        <v>0</v>
      </c>
      <c r="AI9412">
        <v>25.03</v>
      </c>
      <c r="AJ9412">
        <v>139.05000000000001</v>
      </c>
      <c r="AK9412">
        <v>139.05000000000001</v>
      </c>
      <c r="AL9412" t="s">
        <v>53</v>
      </c>
      <c r="AM9412" t="s">
        <v>53</v>
      </c>
      <c r="AN9412" t="s">
        <v>53</v>
      </c>
      <c r="AO9412" t="s">
        <v>53</v>
      </c>
      <c r="AP9412" t="s">
        <v>53</v>
      </c>
    </row>
    <row r="9413" spans="2:42" x14ac:dyDescent="0.2">
      <c r="B9413" t="s">
        <v>44</v>
      </c>
      <c r="C9413" t="str">
        <f>HYPERLINK("https://us2.cloudbeds.com/connect/8493803454333002#/reservations/9080486849529694?display=5D4S5YMD0X&amp;reservation_id=9080486849529694", "5D4S5YMD0X")</f>
        <v>5D4S5YMD0X</v>
      </c>
      <c r="D9413" t="s">
        <v>9111</v>
      </c>
      <c r="E9413" t="s">
        <v>223</v>
      </c>
      <c r="F9413" t="s">
        <v>47</v>
      </c>
      <c r="G9413" t="s">
        <v>48</v>
      </c>
      <c r="H9413" t="s">
        <v>49</v>
      </c>
      <c r="I9413" t="s">
        <v>62</v>
      </c>
      <c r="J9413" t="s">
        <v>17389</v>
      </c>
      <c r="K9413" t="s">
        <v>17135</v>
      </c>
      <c r="L9413" t="s">
        <v>53</v>
      </c>
      <c r="N9413" t="s">
        <v>18043</v>
      </c>
      <c r="P9413" t="s">
        <v>55</v>
      </c>
      <c r="R9413" t="s">
        <v>118</v>
      </c>
      <c r="T9413" t="s">
        <v>18044</v>
      </c>
      <c r="U9413" t="s">
        <v>55</v>
      </c>
      <c r="V9413">
        <v>2</v>
      </c>
      <c r="W9413">
        <v>1</v>
      </c>
      <c r="X9413">
        <v>2</v>
      </c>
      <c r="Y9413">
        <v>0</v>
      </c>
      <c r="Z9413">
        <v>2</v>
      </c>
      <c r="AA9413">
        <v>311.22000000000003</v>
      </c>
      <c r="AB9413">
        <v>311.22000000000003</v>
      </c>
      <c r="AC9413">
        <v>311.22000000000003</v>
      </c>
      <c r="AD9413">
        <v>0</v>
      </c>
      <c r="AE9413">
        <v>0</v>
      </c>
      <c r="AF9413">
        <v>0</v>
      </c>
      <c r="AG9413">
        <v>0</v>
      </c>
      <c r="AH9413">
        <v>0</v>
      </c>
      <c r="AI9413">
        <v>56.02</v>
      </c>
      <c r="AJ9413">
        <v>311.22000000000003</v>
      </c>
      <c r="AK9413">
        <v>0</v>
      </c>
      <c r="AL9413" t="s">
        <v>53</v>
      </c>
      <c r="AM9413" t="s">
        <v>53</v>
      </c>
      <c r="AN9413" t="s">
        <v>53</v>
      </c>
      <c r="AO9413" t="s">
        <v>53</v>
      </c>
      <c r="AP9413" t="s">
        <v>53</v>
      </c>
    </row>
    <row r="9414" spans="2:42" x14ac:dyDescent="0.2">
      <c r="B9414" t="s">
        <v>44</v>
      </c>
      <c r="C9414" t="str">
        <f>HYPERLINK("https://us2.cloudbeds.com/connect/8493803454333002#/reservations/9080486849529855?display=5D4V74835G&amp;reservation_id=9080486849529855", "5D4V74835G")</f>
        <v>5D4V74835G</v>
      </c>
      <c r="D9414" t="s">
        <v>10291</v>
      </c>
      <c r="E9414" t="s">
        <v>165</v>
      </c>
      <c r="F9414" t="s">
        <v>61</v>
      </c>
      <c r="G9414" t="s">
        <v>48</v>
      </c>
      <c r="H9414" t="s">
        <v>49</v>
      </c>
      <c r="I9414" t="s">
        <v>50</v>
      </c>
      <c r="J9414" t="s">
        <v>17565</v>
      </c>
      <c r="K9414" t="s">
        <v>17354</v>
      </c>
      <c r="L9414" t="s">
        <v>53</v>
      </c>
      <c r="N9414" t="s">
        <v>18045</v>
      </c>
      <c r="P9414" t="s">
        <v>55</v>
      </c>
      <c r="R9414" t="s">
        <v>53</v>
      </c>
      <c r="T9414" t="s">
        <v>18046</v>
      </c>
      <c r="U9414" t="s">
        <v>55</v>
      </c>
      <c r="V9414">
        <v>1</v>
      </c>
      <c r="W9414">
        <v>1</v>
      </c>
      <c r="X9414">
        <v>2</v>
      </c>
      <c r="Y9414">
        <v>0</v>
      </c>
      <c r="Z9414">
        <v>2</v>
      </c>
      <c r="AA9414">
        <v>120.08</v>
      </c>
      <c r="AB9414">
        <v>0</v>
      </c>
      <c r="AC9414">
        <v>110.42</v>
      </c>
      <c r="AD9414">
        <v>0</v>
      </c>
      <c r="AE9414">
        <v>9.66</v>
      </c>
      <c r="AF9414">
        <v>0</v>
      </c>
      <c r="AG9414">
        <v>0</v>
      </c>
      <c r="AH9414">
        <v>0</v>
      </c>
      <c r="AI9414">
        <v>21.61</v>
      </c>
      <c r="AJ9414">
        <v>120.08</v>
      </c>
      <c r="AK9414">
        <v>120.08</v>
      </c>
      <c r="AL9414" t="s">
        <v>53</v>
      </c>
      <c r="AM9414" t="s">
        <v>53</v>
      </c>
      <c r="AN9414" t="s">
        <v>53</v>
      </c>
      <c r="AO9414" t="s">
        <v>53</v>
      </c>
      <c r="AP9414" t="s">
        <v>53</v>
      </c>
    </row>
    <row r="9415" spans="2:42" x14ac:dyDescent="0.2">
      <c r="B9415" t="s">
        <v>44</v>
      </c>
      <c r="C9415" t="str">
        <f>HYPERLINK("https://us2.cloudbeds.com/connect/8493803454333002#/reservations/250557784735872?display=5D5324S43T&amp;reservation_id=250557784735872", "5D5324S43T")</f>
        <v>5D5324S43T</v>
      </c>
      <c r="D9415" t="s">
        <v>45</v>
      </c>
      <c r="E9415" t="s">
        <v>14402</v>
      </c>
      <c r="F9415" t="s">
        <v>14403</v>
      </c>
      <c r="G9415" t="s">
        <v>48</v>
      </c>
      <c r="H9415" t="s">
        <v>3957</v>
      </c>
      <c r="I9415" t="s">
        <v>3958</v>
      </c>
      <c r="J9415" t="s">
        <v>14631</v>
      </c>
      <c r="K9415" t="s">
        <v>14632</v>
      </c>
      <c r="L9415" t="s">
        <v>53</v>
      </c>
      <c r="P9415" t="s">
        <v>55</v>
      </c>
      <c r="R9415" t="s">
        <v>56</v>
      </c>
      <c r="T9415" t="s">
        <v>18047</v>
      </c>
      <c r="U9415" t="s">
        <v>58</v>
      </c>
      <c r="V9415">
        <v>1</v>
      </c>
      <c r="W9415">
        <v>1</v>
      </c>
      <c r="X9415">
        <v>1</v>
      </c>
      <c r="Y9415">
        <v>0</v>
      </c>
      <c r="Z9415">
        <v>1</v>
      </c>
      <c r="AA9415">
        <v>241.92</v>
      </c>
      <c r="AB9415">
        <v>241.92</v>
      </c>
      <c r="AC9415">
        <v>211</v>
      </c>
      <c r="AD9415">
        <v>0</v>
      </c>
      <c r="AE9415">
        <v>30.92</v>
      </c>
      <c r="AF9415">
        <v>0</v>
      </c>
      <c r="AG9415">
        <v>0</v>
      </c>
      <c r="AH9415">
        <v>0</v>
      </c>
      <c r="AI9415">
        <v>0</v>
      </c>
      <c r="AJ9415">
        <v>241.92</v>
      </c>
      <c r="AK9415">
        <v>0</v>
      </c>
      <c r="AL9415" t="s">
        <v>53</v>
      </c>
      <c r="AM9415" t="s">
        <v>53</v>
      </c>
      <c r="AN9415" t="s">
        <v>53</v>
      </c>
      <c r="AO9415" t="s">
        <v>53</v>
      </c>
      <c r="AP9415" t="s">
        <v>53</v>
      </c>
    </row>
    <row r="9416" spans="2:42" x14ac:dyDescent="0.2">
      <c r="B9416" t="s">
        <v>44</v>
      </c>
      <c r="C9416" t="str">
        <f>HYPERLINK("https://us2.cloudbeds.com/connect/8493803454333002#/reservations/9080486849530268?display=5D55X0GC9D&amp;reservation_id=9080486849530268", "5D55X0GC9D")</f>
        <v>5D55X0GC9D</v>
      </c>
      <c r="D9416" t="s">
        <v>45</v>
      </c>
      <c r="E9416" t="s">
        <v>179</v>
      </c>
      <c r="F9416" t="s">
        <v>47</v>
      </c>
      <c r="G9416" t="s">
        <v>48</v>
      </c>
      <c r="H9416" t="s">
        <v>49</v>
      </c>
      <c r="I9416" t="s">
        <v>50</v>
      </c>
      <c r="J9416" t="s">
        <v>14632</v>
      </c>
      <c r="K9416" t="s">
        <v>17096</v>
      </c>
      <c r="L9416" t="s">
        <v>53</v>
      </c>
      <c r="N9416" t="s">
        <v>18048</v>
      </c>
      <c r="P9416" t="s">
        <v>55</v>
      </c>
      <c r="R9416" t="s">
        <v>53</v>
      </c>
      <c r="T9416" t="s">
        <v>18049</v>
      </c>
      <c r="U9416" t="s">
        <v>55</v>
      </c>
      <c r="V9416">
        <v>1</v>
      </c>
      <c r="W9416">
        <v>1</v>
      </c>
      <c r="X9416">
        <v>2</v>
      </c>
      <c r="Y9416">
        <v>0</v>
      </c>
      <c r="Z9416">
        <v>2</v>
      </c>
      <c r="AA9416">
        <v>125.29</v>
      </c>
      <c r="AB9416">
        <v>125.29</v>
      </c>
      <c r="AC9416">
        <v>115.21</v>
      </c>
      <c r="AD9416">
        <v>0</v>
      </c>
      <c r="AE9416">
        <v>10.08</v>
      </c>
      <c r="AF9416">
        <v>0</v>
      </c>
      <c r="AG9416">
        <v>0</v>
      </c>
      <c r="AH9416">
        <v>0</v>
      </c>
      <c r="AI9416">
        <v>22.55</v>
      </c>
      <c r="AJ9416">
        <v>125.29</v>
      </c>
      <c r="AK9416">
        <v>0</v>
      </c>
      <c r="AL9416" t="s">
        <v>53</v>
      </c>
      <c r="AM9416" t="s">
        <v>53</v>
      </c>
      <c r="AN9416" t="s">
        <v>18050</v>
      </c>
      <c r="AO9416" t="s">
        <v>53</v>
      </c>
      <c r="AP9416" t="s">
        <v>53</v>
      </c>
    </row>
    <row r="9417" spans="2:42" x14ac:dyDescent="0.2">
      <c r="B9417" t="s">
        <v>44</v>
      </c>
      <c r="C9417" t="str">
        <f>HYPERLINK("https://us2.cloudbeds.com/connect/8493803454333002#/reservations/250561314549888?display=5D55QB99HS&amp;reservation_id=250561314549888", "5D55QB99HS")</f>
        <v>5D55QB99HS</v>
      </c>
      <c r="D9417" t="s">
        <v>10291</v>
      </c>
      <c r="E9417" t="s">
        <v>69</v>
      </c>
      <c r="F9417" t="s">
        <v>70</v>
      </c>
      <c r="G9417" t="s">
        <v>4520</v>
      </c>
      <c r="H9417" t="s">
        <v>3957</v>
      </c>
      <c r="I9417" t="s">
        <v>3958</v>
      </c>
      <c r="J9417" t="s">
        <v>14828</v>
      </c>
      <c r="K9417" t="s">
        <v>17853</v>
      </c>
      <c r="L9417" t="s">
        <v>53</v>
      </c>
      <c r="P9417" t="s">
        <v>55</v>
      </c>
      <c r="R9417" t="s">
        <v>56</v>
      </c>
      <c r="T9417" t="s">
        <v>18051</v>
      </c>
      <c r="U9417" t="s">
        <v>58</v>
      </c>
      <c r="V9417">
        <v>3</v>
      </c>
      <c r="W9417">
        <v>1</v>
      </c>
      <c r="X9417">
        <v>1</v>
      </c>
      <c r="Y9417">
        <v>0</v>
      </c>
      <c r="Z9417">
        <v>1</v>
      </c>
      <c r="AA9417">
        <v>494.25</v>
      </c>
      <c r="AB9417">
        <v>0</v>
      </c>
      <c r="AC9417">
        <v>431.1</v>
      </c>
      <c r="AD9417">
        <v>0</v>
      </c>
      <c r="AE9417">
        <v>63.15</v>
      </c>
      <c r="AF9417">
        <v>0</v>
      </c>
      <c r="AG9417">
        <v>0</v>
      </c>
      <c r="AH9417">
        <v>0</v>
      </c>
      <c r="AI9417">
        <v>0</v>
      </c>
      <c r="AJ9417">
        <v>494.25</v>
      </c>
      <c r="AK9417">
        <v>494.25</v>
      </c>
      <c r="AL9417" t="s">
        <v>53</v>
      </c>
      <c r="AM9417" t="s">
        <v>53</v>
      </c>
      <c r="AN9417" t="s">
        <v>53</v>
      </c>
      <c r="AO9417" t="s">
        <v>53</v>
      </c>
      <c r="AP9417" t="s">
        <v>53</v>
      </c>
    </row>
    <row r="9418" spans="2:42" x14ac:dyDescent="0.2">
      <c r="B9418" t="s">
        <v>44</v>
      </c>
      <c r="C9418" t="str">
        <f>HYPERLINK("https://us2.cloudbeds.com/connect/8493803454333002#/reservations/9080486849530416?display=5D588BXTKB&amp;reservation_id=9080486849530416", "5D588BXTKB")</f>
        <v>5D588BXTKB</v>
      </c>
      <c r="D9418" t="s">
        <v>45</v>
      </c>
      <c r="E9418" t="s">
        <v>190</v>
      </c>
      <c r="F9418" t="s">
        <v>61</v>
      </c>
      <c r="G9418" t="s">
        <v>48</v>
      </c>
      <c r="H9418" t="s">
        <v>49</v>
      </c>
      <c r="I9418" t="s">
        <v>50</v>
      </c>
      <c r="J9418" t="s">
        <v>15548</v>
      </c>
      <c r="K9418" t="s">
        <v>14390</v>
      </c>
      <c r="L9418" t="s">
        <v>53</v>
      </c>
      <c r="N9418" t="s">
        <v>18052</v>
      </c>
      <c r="P9418" t="s">
        <v>55</v>
      </c>
      <c r="R9418" t="s">
        <v>53</v>
      </c>
      <c r="T9418" t="s">
        <v>18053</v>
      </c>
      <c r="U9418" t="s">
        <v>55</v>
      </c>
      <c r="V9418">
        <v>2</v>
      </c>
      <c r="W9418">
        <v>1</v>
      </c>
      <c r="X9418">
        <v>2</v>
      </c>
      <c r="Y9418">
        <v>0</v>
      </c>
      <c r="Z9418">
        <v>2</v>
      </c>
      <c r="AA9418">
        <v>288.27</v>
      </c>
      <c r="AB9418">
        <v>288.27</v>
      </c>
      <c r="AC9418">
        <v>265.07</v>
      </c>
      <c r="AD9418">
        <v>0</v>
      </c>
      <c r="AE9418">
        <v>23.2</v>
      </c>
      <c r="AF9418">
        <v>0</v>
      </c>
      <c r="AG9418">
        <v>0</v>
      </c>
      <c r="AH9418">
        <v>0</v>
      </c>
      <c r="AI9418">
        <v>51.89</v>
      </c>
      <c r="AJ9418">
        <v>288.27</v>
      </c>
      <c r="AK9418">
        <v>0</v>
      </c>
      <c r="AL9418" t="s">
        <v>53</v>
      </c>
      <c r="AM9418" t="s">
        <v>53</v>
      </c>
      <c r="AN9418" t="s">
        <v>53</v>
      </c>
      <c r="AO9418" t="s">
        <v>53</v>
      </c>
      <c r="AP9418" t="s">
        <v>53</v>
      </c>
    </row>
    <row r="9419" spans="2:42" x14ac:dyDescent="0.2">
      <c r="B9419" t="s">
        <v>44</v>
      </c>
      <c r="C9419" t="str">
        <f>HYPERLINK("https://us2.cloudbeds.com/connect/8493803454333002#/reservations/9080486849531050?display=5D5JKTM3YN&amp;reservation_id=9080486849531050", "5D5JKTM3YN")</f>
        <v>5D5JKTM3YN</v>
      </c>
      <c r="D9419" t="s">
        <v>45</v>
      </c>
      <c r="E9419" t="s">
        <v>185</v>
      </c>
      <c r="F9419" t="s">
        <v>47</v>
      </c>
      <c r="G9419" t="s">
        <v>48</v>
      </c>
      <c r="H9419" t="s">
        <v>49</v>
      </c>
      <c r="I9419" t="s">
        <v>62</v>
      </c>
      <c r="J9419" t="s">
        <v>17096</v>
      </c>
      <c r="K9419" t="s">
        <v>17077</v>
      </c>
      <c r="L9419" t="s">
        <v>53</v>
      </c>
      <c r="N9419" t="s">
        <v>18054</v>
      </c>
      <c r="P9419" t="s">
        <v>55</v>
      </c>
      <c r="R9419" t="s">
        <v>56</v>
      </c>
      <c r="T9419" t="s">
        <v>18055</v>
      </c>
      <c r="U9419" t="s">
        <v>55</v>
      </c>
      <c r="V9419">
        <v>1</v>
      </c>
      <c r="W9419">
        <v>1</v>
      </c>
      <c r="X9419">
        <v>2</v>
      </c>
      <c r="Y9419">
        <v>0</v>
      </c>
      <c r="Z9419">
        <v>2</v>
      </c>
      <c r="AA9419">
        <v>205.8</v>
      </c>
      <c r="AB9419">
        <v>205.8</v>
      </c>
      <c r="AC9419">
        <v>205.8</v>
      </c>
      <c r="AD9419">
        <v>0</v>
      </c>
      <c r="AE9419">
        <v>0</v>
      </c>
      <c r="AF9419">
        <v>0</v>
      </c>
      <c r="AG9419">
        <v>0</v>
      </c>
      <c r="AH9419">
        <v>0</v>
      </c>
      <c r="AI9419">
        <v>37.04</v>
      </c>
      <c r="AJ9419">
        <v>205.8</v>
      </c>
      <c r="AK9419">
        <v>0</v>
      </c>
      <c r="AL9419" t="s">
        <v>53</v>
      </c>
      <c r="AM9419" t="s">
        <v>53</v>
      </c>
      <c r="AN9419" t="s">
        <v>18056</v>
      </c>
      <c r="AO9419" t="s">
        <v>53</v>
      </c>
      <c r="AP9419" t="s">
        <v>53</v>
      </c>
    </row>
    <row r="9420" spans="2:42" x14ac:dyDescent="0.2">
      <c r="B9420" t="s">
        <v>44</v>
      </c>
      <c r="C9420" t="str">
        <f>HYPERLINK("https://us2.cloudbeds.com/connect/8493803454333002#/reservations/9080486849531291?display=5D5Z4AK8XY&amp;reservation_id=9080486849531291", "5D5Z4AK8XY")</f>
        <v>5D5Z4AK8XY</v>
      </c>
      <c r="D9420" t="s">
        <v>45</v>
      </c>
      <c r="E9420" t="s">
        <v>14695</v>
      </c>
      <c r="F9420" t="s">
        <v>47</v>
      </c>
      <c r="G9420" t="s">
        <v>48</v>
      </c>
      <c r="H9420" t="s">
        <v>49</v>
      </c>
      <c r="I9420" t="s">
        <v>62</v>
      </c>
      <c r="J9420" t="s">
        <v>14632</v>
      </c>
      <c r="K9420" t="s">
        <v>17077</v>
      </c>
      <c r="L9420" t="s">
        <v>53</v>
      </c>
      <c r="N9420" t="s">
        <v>18057</v>
      </c>
      <c r="P9420" t="s">
        <v>55</v>
      </c>
      <c r="R9420" t="s">
        <v>56</v>
      </c>
      <c r="T9420" t="s">
        <v>18058</v>
      </c>
      <c r="U9420" t="s">
        <v>55</v>
      </c>
      <c r="V9420">
        <v>2</v>
      </c>
      <c r="W9420">
        <v>1</v>
      </c>
      <c r="X9420">
        <v>2</v>
      </c>
      <c r="Y9420">
        <v>0</v>
      </c>
      <c r="Z9420">
        <v>2</v>
      </c>
      <c r="AA9420">
        <v>363.3</v>
      </c>
      <c r="AB9420">
        <v>363.3</v>
      </c>
      <c r="AC9420">
        <v>363.3</v>
      </c>
      <c r="AD9420">
        <v>0</v>
      </c>
      <c r="AE9420">
        <v>0</v>
      </c>
      <c r="AF9420">
        <v>0</v>
      </c>
      <c r="AG9420">
        <v>0</v>
      </c>
      <c r="AH9420">
        <v>0</v>
      </c>
      <c r="AI9420">
        <v>65.39</v>
      </c>
      <c r="AJ9420">
        <v>363.3</v>
      </c>
      <c r="AK9420">
        <v>0</v>
      </c>
      <c r="AL9420" t="s">
        <v>53</v>
      </c>
      <c r="AM9420" t="s">
        <v>53</v>
      </c>
      <c r="AN9420" t="s">
        <v>53</v>
      </c>
      <c r="AO9420" t="s">
        <v>53</v>
      </c>
      <c r="AP9420" t="s">
        <v>53</v>
      </c>
    </row>
    <row r="9421" spans="2:42" x14ac:dyDescent="0.2">
      <c r="B9421" t="s">
        <v>44</v>
      </c>
      <c r="C9421" t="str">
        <f>HYPERLINK("https://us2.cloudbeds.com/connect/8493803454333002#/reservations/9080486849531307?display=5D5ZJK8QSC&amp;reservation_id=9080486849531307", "5D5ZJK8QSC")</f>
        <v>5D5ZJK8QSC</v>
      </c>
      <c r="D9421" t="s">
        <v>10291</v>
      </c>
      <c r="E9421" t="s">
        <v>69</v>
      </c>
      <c r="F9421" t="s">
        <v>70</v>
      </c>
      <c r="G9421" t="s">
        <v>48</v>
      </c>
      <c r="H9421" t="s">
        <v>49</v>
      </c>
      <c r="I9421" t="s">
        <v>62</v>
      </c>
      <c r="J9421" t="s">
        <v>16017</v>
      </c>
      <c r="K9421" t="s">
        <v>18059</v>
      </c>
      <c r="L9421" t="s">
        <v>53</v>
      </c>
      <c r="N9421" t="s">
        <v>18060</v>
      </c>
      <c r="P9421" t="s">
        <v>55</v>
      </c>
      <c r="R9421" t="s">
        <v>56</v>
      </c>
      <c r="T9421" t="s">
        <v>18061</v>
      </c>
      <c r="U9421" t="s">
        <v>55</v>
      </c>
      <c r="V9421">
        <v>2</v>
      </c>
      <c r="W9421">
        <v>1</v>
      </c>
      <c r="X9421">
        <v>2</v>
      </c>
      <c r="Y9421">
        <v>0</v>
      </c>
      <c r="Z9421">
        <v>2</v>
      </c>
      <c r="AA9421">
        <v>329.7</v>
      </c>
      <c r="AB9421">
        <v>0</v>
      </c>
      <c r="AC9421">
        <v>329.7</v>
      </c>
      <c r="AD9421">
        <v>0</v>
      </c>
      <c r="AE9421">
        <v>0</v>
      </c>
      <c r="AF9421">
        <v>0</v>
      </c>
      <c r="AG9421">
        <v>0</v>
      </c>
      <c r="AH9421">
        <v>0</v>
      </c>
      <c r="AI9421">
        <v>59.35</v>
      </c>
      <c r="AJ9421">
        <v>329.7</v>
      </c>
      <c r="AK9421">
        <v>329.7</v>
      </c>
      <c r="AL9421" t="s">
        <v>53</v>
      </c>
      <c r="AM9421" t="s">
        <v>53</v>
      </c>
      <c r="AN9421" t="s">
        <v>18062</v>
      </c>
      <c r="AO9421" t="s">
        <v>53</v>
      </c>
      <c r="AP9421" t="s">
        <v>53</v>
      </c>
    </row>
    <row r="9422" spans="2:42" x14ac:dyDescent="0.2">
      <c r="B9422" t="s">
        <v>44</v>
      </c>
      <c r="C9422" t="str">
        <f>HYPERLINK("https://us2.cloudbeds.com/connect/8493803454333002#/reservations/9080486849531312?display=5D5ZMPT62T&amp;reservation_id=9080486849531312", "5D5ZMPT62T")</f>
        <v>5D5ZMPT62T</v>
      </c>
      <c r="D9422" t="s">
        <v>10291</v>
      </c>
      <c r="E9422" t="s">
        <v>113</v>
      </c>
      <c r="F9422" t="s">
        <v>61</v>
      </c>
      <c r="G9422" t="s">
        <v>48</v>
      </c>
      <c r="H9422" t="s">
        <v>49</v>
      </c>
      <c r="I9422" t="s">
        <v>62</v>
      </c>
      <c r="J9422" t="s">
        <v>16017</v>
      </c>
      <c r="K9422" t="s">
        <v>16018</v>
      </c>
      <c r="L9422" t="s">
        <v>53</v>
      </c>
      <c r="N9422" t="s">
        <v>18063</v>
      </c>
      <c r="P9422" t="s">
        <v>55</v>
      </c>
      <c r="R9422" t="s">
        <v>56</v>
      </c>
      <c r="T9422" t="s">
        <v>18064</v>
      </c>
      <c r="U9422" t="s">
        <v>55</v>
      </c>
      <c r="V9422">
        <v>1</v>
      </c>
      <c r="W9422">
        <v>1</v>
      </c>
      <c r="X9422">
        <v>2</v>
      </c>
      <c r="Y9422">
        <v>0</v>
      </c>
      <c r="Z9422">
        <v>2</v>
      </c>
      <c r="AA9422">
        <v>164.59</v>
      </c>
      <c r="AB9422">
        <v>0</v>
      </c>
      <c r="AC9422">
        <v>164.59</v>
      </c>
      <c r="AD9422">
        <v>0</v>
      </c>
      <c r="AE9422">
        <v>0</v>
      </c>
      <c r="AF9422">
        <v>0</v>
      </c>
      <c r="AG9422">
        <v>0</v>
      </c>
      <c r="AH9422">
        <v>0</v>
      </c>
      <c r="AI9422">
        <v>29.63</v>
      </c>
      <c r="AJ9422">
        <v>164.59</v>
      </c>
      <c r="AK9422">
        <v>164.59</v>
      </c>
      <c r="AL9422" t="s">
        <v>53</v>
      </c>
      <c r="AM9422" t="s">
        <v>53</v>
      </c>
      <c r="AN9422" t="s">
        <v>53</v>
      </c>
      <c r="AO9422" t="s">
        <v>53</v>
      </c>
      <c r="AP9422" t="s">
        <v>53</v>
      </c>
    </row>
    <row r="9423" spans="2:42" x14ac:dyDescent="0.2">
      <c r="B9423" t="s">
        <v>44</v>
      </c>
      <c r="C9423" t="str">
        <f>HYPERLINK("https://us2.cloudbeds.com/connect/8493803454333002#/reservations/9080486849531475?display=5D5RYAJ1Q1&amp;reservation_id=9080486849531475", "5D5RYAJ1Q1")</f>
        <v>5D5RYAJ1Q1</v>
      </c>
      <c r="D9423" t="s">
        <v>10291</v>
      </c>
      <c r="E9423" t="s">
        <v>138</v>
      </c>
      <c r="F9423" t="s">
        <v>70</v>
      </c>
      <c r="G9423" t="s">
        <v>48</v>
      </c>
      <c r="H9423" t="s">
        <v>49</v>
      </c>
      <c r="I9423" t="s">
        <v>8964</v>
      </c>
      <c r="J9423" t="s">
        <v>18059</v>
      </c>
      <c r="K9423" t="s">
        <v>16499</v>
      </c>
      <c r="L9423" t="s">
        <v>53</v>
      </c>
      <c r="N9423" t="s">
        <v>18065</v>
      </c>
      <c r="P9423" t="s">
        <v>55</v>
      </c>
      <c r="R9423" t="s">
        <v>53</v>
      </c>
      <c r="T9423" t="s">
        <v>18066</v>
      </c>
      <c r="U9423" t="s">
        <v>55</v>
      </c>
      <c r="V9423">
        <v>2</v>
      </c>
      <c r="W9423">
        <v>1</v>
      </c>
      <c r="X9423">
        <v>2</v>
      </c>
      <c r="Y9423">
        <v>0</v>
      </c>
      <c r="Z9423">
        <v>2</v>
      </c>
      <c r="AA9423">
        <v>0</v>
      </c>
      <c r="AB9423">
        <v>0</v>
      </c>
      <c r="AC9423">
        <v>376</v>
      </c>
      <c r="AD9423">
        <v>0</v>
      </c>
      <c r="AE9423">
        <v>0</v>
      </c>
      <c r="AF9423">
        <v>0</v>
      </c>
      <c r="AG9423">
        <v>0</v>
      </c>
      <c r="AH9423">
        <v>0</v>
      </c>
      <c r="AI9423">
        <v>56.4</v>
      </c>
      <c r="AJ9423">
        <v>376</v>
      </c>
      <c r="AK9423">
        <v>376</v>
      </c>
      <c r="AL9423" t="s">
        <v>53</v>
      </c>
      <c r="AM9423" t="s">
        <v>53</v>
      </c>
      <c r="AN9423" t="s">
        <v>53</v>
      </c>
      <c r="AO9423" t="s">
        <v>53</v>
      </c>
      <c r="AP9423" t="s">
        <v>53</v>
      </c>
    </row>
    <row r="9424" spans="2:42" x14ac:dyDescent="0.2">
      <c r="B9424" t="s">
        <v>44</v>
      </c>
      <c r="C9424" t="str">
        <f>HYPERLINK("https://us2.cloudbeds.com/connect/8493803454333002#/reservations/9080486849532482?display=5D6CPDFVUA&amp;reservation_id=9080486849532482", "5D6CPDFVUA")</f>
        <v>5D6CPDFVUA</v>
      </c>
      <c r="D9424" t="s">
        <v>10291</v>
      </c>
      <c r="E9424" t="s">
        <v>78</v>
      </c>
      <c r="F9424" t="s">
        <v>61</v>
      </c>
      <c r="G9424" t="s">
        <v>48</v>
      </c>
      <c r="H9424" t="s">
        <v>49</v>
      </c>
      <c r="I9424" t="s">
        <v>8964</v>
      </c>
      <c r="J9424" t="s">
        <v>17354</v>
      </c>
      <c r="K9424" t="s">
        <v>17355</v>
      </c>
      <c r="L9424" t="s">
        <v>53</v>
      </c>
      <c r="N9424" t="s">
        <v>18067</v>
      </c>
      <c r="P9424" t="s">
        <v>55</v>
      </c>
      <c r="R9424" t="s">
        <v>53</v>
      </c>
      <c r="T9424" t="s">
        <v>18068</v>
      </c>
      <c r="U9424" t="s">
        <v>55</v>
      </c>
      <c r="V9424">
        <v>1</v>
      </c>
      <c r="W9424">
        <v>1</v>
      </c>
      <c r="X9424">
        <v>2</v>
      </c>
      <c r="Y9424">
        <v>0</v>
      </c>
      <c r="Z9424">
        <v>2</v>
      </c>
      <c r="AA9424">
        <v>0</v>
      </c>
      <c r="AB9424">
        <v>0</v>
      </c>
      <c r="AC9424">
        <v>144</v>
      </c>
      <c r="AD9424">
        <v>0</v>
      </c>
      <c r="AE9424">
        <v>0</v>
      </c>
      <c r="AF9424">
        <v>0</v>
      </c>
      <c r="AG9424">
        <v>0</v>
      </c>
      <c r="AH9424">
        <v>0</v>
      </c>
      <c r="AI9424">
        <v>21.6</v>
      </c>
      <c r="AJ9424">
        <v>144</v>
      </c>
      <c r="AK9424">
        <v>144</v>
      </c>
      <c r="AL9424" t="s">
        <v>53</v>
      </c>
      <c r="AM9424" t="s">
        <v>53</v>
      </c>
      <c r="AN9424" t="s">
        <v>53</v>
      </c>
      <c r="AO9424" t="s">
        <v>53</v>
      </c>
      <c r="AP9424" t="s">
        <v>53</v>
      </c>
    </row>
    <row r="9425" spans="2:42" x14ac:dyDescent="0.2">
      <c r="B9425" t="s">
        <v>44</v>
      </c>
      <c r="C9425" t="str">
        <f>HYPERLINK("https://us2.cloudbeds.com/connect/8493803454333002#/reservations/250624164089984?display=5D6YF9YUQE&amp;reservation_id=250624164089984", "5D6YF9YUQE")</f>
        <v>5D6YF9YUQE</v>
      </c>
      <c r="D9425" t="s">
        <v>10291</v>
      </c>
      <c r="E9425" t="s">
        <v>1419</v>
      </c>
      <c r="F9425" t="s">
        <v>86</v>
      </c>
      <c r="G9425" t="s">
        <v>48</v>
      </c>
      <c r="H9425" t="s">
        <v>3957</v>
      </c>
      <c r="I9425" t="s">
        <v>3975</v>
      </c>
      <c r="J9425" t="s">
        <v>17355</v>
      </c>
      <c r="K9425" t="s">
        <v>18069</v>
      </c>
      <c r="L9425" t="s">
        <v>53</v>
      </c>
      <c r="P9425" t="s">
        <v>55</v>
      </c>
      <c r="R9425" t="s">
        <v>56</v>
      </c>
      <c r="T9425" t="s">
        <v>18070</v>
      </c>
      <c r="U9425" t="s">
        <v>58</v>
      </c>
      <c r="V9425">
        <v>2</v>
      </c>
      <c r="W9425">
        <v>2</v>
      </c>
      <c r="X9425">
        <v>8</v>
      </c>
      <c r="Y9425">
        <v>0</v>
      </c>
      <c r="Z9425">
        <v>8</v>
      </c>
      <c r="AA9425">
        <v>0</v>
      </c>
      <c r="AB9425">
        <v>0</v>
      </c>
      <c r="AC9425">
        <v>382</v>
      </c>
      <c r="AD9425">
        <v>0</v>
      </c>
      <c r="AE9425">
        <v>55.98</v>
      </c>
      <c r="AF9425">
        <v>0</v>
      </c>
      <c r="AG9425">
        <v>0</v>
      </c>
      <c r="AH9425">
        <v>0</v>
      </c>
      <c r="AI9425">
        <v>0</v>
      </c>
      <c r="AJ9425">
        <v>437.98</v>
      </c>
      <c r="AK9425">
        <v>437.98</v>
      </c>
      <c r="AL9425" t="s">
        <v>53</v>
      </c>
      <c r="AM9425" t="s">
        <v>53</v>
      </c>
      <c r="AN9425" t="s">
        <v>53</v>
      </c>
      <c r="AO9425" t="s">
        <v>53</v>
      </c>
      <c r="AP9425" t="s">
        <v>53</v>
      </c>
    </row>
    <row r="9426" spans="2:42" x14ac:dyDescent="0.2">
      <c r="B9426" t="s">
        <v>44</v>
      </c>
      <c r="C9426" t="str">
        <f>HYPERLINK("https://us2.cloudbeds.com/connect/8493803454333002#/reservations/250624449286272?display=5D6YMJ51QA&amp;reservation_id=250624449286272", "5D6YMJ51QA")</f>
        <v>5D6YMJ51QA</v>
      </c>
      <c r="D9426" t="s">
        <v>9111</v>
      </c>
      <c r="E9426" t="s">
        <v>98</v>
      </c>
      <c r="F9426" t="s">
        <v>86</v>
      </c>
      <c r="G9426" t="s">
        <v>3974</v>
      </c>
      <c r="H9426" t="s">
        <v>3957</v>
      </c>
      <c r="I9426" t="s">
        <v>3975</v>
      </c>
      <c r="J9426" t="s">
        <v>14371</v>
      </c>
      <c r="K9426" t="s">
        <v>17135</v>
      </c>
      <c r="L9426" t="s">
        <v>53</v>
      </c>
      <c r="P9426" t="s">
        <v>58</v>
      </c>
      <c r="R9426" t="s">
        <v>56</v>
      </c>
      <c r="T9426" t="s">
        <v>18071</v>
      </c>
      <c r="U9426" t="s">
        <v>58</v>
      </c>
      <c r="V9426">
        <v>1</v>
      </c>
      <c r="W9426">
        <v>1</v>
      </c>
      <c r="X9426">
        <v>2</v>
      </c>
      <c r="Y9426">
        <v>0</v>
      </c>
      <c r="Z9426">
        <v>2</v>
      </c>
      <c r="AA9426">
        <v>204.77</v>
      </c>
      <c r="AB9426">
        <v>204.77</v>
      </c>
      <c r="AC9426">
        <v>178.6</v>
      </c>
      <c r="AD9426">
        <v>0</v>
      </c>
      <c r="AE9426">
        <v>26.17</v>
      </c>
      <c r="AF9426">
        <v>0</v>
      </c>
      <c r="AG9426">
        <v>0</v>
      </c>
      <c r="AH9426">
        <v>0</v>
      </c>
      <c r="AI9426">
        <v>0</v>
      </c>
      <c r="AJ9426">
        <v>204.77</v>
      </c>
      <c r="AK9426">
        <v>0</v>
      </c>
      <c r="AL9426" t="s">
        <v>53</v>
      </c>
      <c r="AM9426" t="s">
        <v>53</v>
      </c>
      <c r="AN9426" t="s">
        <v>18072</v>
      </c>
      <c r="AO9426" t="s">
        <v>53</v>
      </c>
      <c r="AP9426" t="s">
        <v>53</v>
      </c>
    </row>
    <row r="9427" spans="2:42" x14ac:dyDescent="0.2">
      <c r="B9427" t="s">
        <v>44</v>
      </c>
      <c r="C9427" t="str">
        <f>HYPERLINK("https://us2.cloudbeds.com/connect/8493803454333002#/reservations/250624669794496?display=5D6YS72TQN&amp;reservation_id=250624669794496", "5D6YS72TQN")</f>
        <v>5D6YS72TQN</v>
      </c>
      <c r="D9427" t="s">
        <v>10291</v>
      </c>
      <c r="E9427" t="s">
        <v>1419</v>
      </c>
      <c r="F9427" t="s">
        <v>86</v>
      </c>
      <c r="G9427" t="s">
        <v>48</v>
      </c>
      <c r="H9427" t="s">
        <v>3957</v>
      </c>
      <c r="I9427" t="s">
        <v>3975</v>
      </c>
      <c r="J9427" t="s">
        <v>17830</v>
      </c>
      <c r="K9427" t="s">
        <v>15822</v>
      </c>
      <c r="L9427" t="s">
        <v>53</v>
      </c>
      <c r="P9427" t="s">
        <v>55</v>
      </c>
      <c r="R9427" t="s">
        <v>56</v>
      </c>
      <c r="T9427" t="s">
        <v>18073</v>
      </c>
      <c r="U9427" t="s">
        <v>58</v>
      </c>
      <c r="V9427">
        <v>2</v>
      </c>
      <c r="W9427">
        <v>2</v>
      </c>
      <c r="X9427">
        <v>8</v>
      </c>
      <c r="Y9427">
        <v>0</v>
      </c>
      <c r="Z9427">
        <v>8</v>
      </c>
      <c r="AA9427">
        <v>0</v>
      </c>
      <c r="AB9427">
        <v>0</v>
      </c>
      <c r="AC9427">
        <v>412</v>
      </c>
      <c r="AD9427">
        <v>0</v>
      </c>
      <c r="AE9427">
        <v>60.36</v>
      </c>
      <c r="AF9427">
        <v>0</v>
      </c>
      <c r="AG9427">
        <v>0</v>
      </c>
      <c r="AH9427">
        <v>0</v>
      </c>
      <c r="AI9427">
        <v>0</v>
      </c>
      <c r="AJ9427">
        <v>472.36</v>
      </c>
      <c r="AK9427">
        <v>472.36</v>
      </c>
      <c r="AL9427" t="s">
        <v>53</v>
      </c>
      <c r="AM9427" t="s">
        <v>53</v>
      </c>
      <c r="AN9427" t="s">
        <v>53</v>
      </c>
      <c r="AO9427" t="s">
        <v>53</v>
      </c>
      <c r="AP9427" t="s">
        <v>53</v>
      </c>
    </row>
    <row r="9428" spans="2:42" x14ac:dyDescent="0.2">
      <c r="B9428" t="s">
        <v>44</v>
      </c>
      <c r="C9428" t="str">
        <f>HYPERLINK("https://us2.cloudbeds.com/connect/8493803454333002#/reservations/250624817942656?display=5D6YW00U9C&amp;reservation_id=250624817942656", "5D6YW00U9C")</f>
        <v>5D6YW00U9C</v>
      </c>
      <c r="D9428" t="s">
        <v>10291</v>
      </c>
      <c r="E9428" t="s">
        <v>128</v>
      </c>
      <c r="F9428" t="s">
        <v>86</v>
      </c>
      <c r="G9428" t="s">
        <v>3974</v>
      </c>
      <c r="H9428" t="s">
        <v>3957</v>
      </c>
      <c r="I9428" t="s">
        <v>3975</v>
      </c>
      <c r="J9428" t="s">
        <v>16110</v>
      </c>
      <c r="K9428" t="s">
        <v>15545</v>
      </c>
      <c r="L9428" t="s">
        <v>53</v>
      </c>
      <c r="P9428" t="s">
        <v>58</v>
      </c>
      <c r="R9428" t="s">
        <v>56</v>
      </c>
      <c r="T9428" t="s">
        <v>18074</v>
      </c>
      <c r="U9428" t="s">
        <v>58</v>
      </c>
      <c r="V9428">
        <v>1</v>
      </c>
      <c r="W9428">
        <v>1</v>
      </c>
      <c r="X9428">
        <v>2</v>
      </c>
      <c r="Y9428">
        <v>0</v>
      </c>
      <c r="Z9428">
        <v>2</v>
      </c>
      <c r="AA9428">
        <v>185.16</v>
      </c>
      <c r="AB9428">
        <v>185.16</v>
      </c>
      <c r="AC9428">
        <v>161.5</v>
      </c>
      <c r="AD9428">
        <v>0</v>
      </c>
      <c r="AE9428">
        <v>23.66</v>
      </c>
      <c r="AF9428">
        <v>0</v>
      </c>
      <c r="AG9428">
        <v>0</v>
      </c>
      <c r="AH9428">
        <v>0</v>
      </c>
      <c r="AI9428">
        <v>0</v>
      </c>
      <c r="AJ9428">
        <v>185.16</v>
      </c>
      <c r="AK9428">
        <v>0</v>
      </c>
      <c r="AL9428" t="s">
        <v>53</v>
      </c>
      <c r="AM9428" t="s">
        <v>53</v>
      </c>
      <c r="AN9428" t="s">
        <v>53</v>
      </c>
      <c r="AO9428" t="s">
        <v>53</v>
      </c>
      <c r="AP9428" t="s">
        <v>53</v>
      </c>
    </row>
    <row r="9429" spans="2:42" x14ac:dyDescent="0.2">
      <c r="B9429" t="s">
        <v>44</v>
      </c>
      <c r="C9429" t="str">
        <f>HYPERLINK("https://us2.cloudbeds.com/connect/8493803454333002#/reservations/250631790575808?display=5D6RC5HJM2&amp;reservation_id=250631790575808", "5D6RC5HJM2")</f>
        <v>5D6RC5HJM2</v>
      </c>
      <c r="D9429" t="s">
        <v>45</v>
      </c>
      <c r="E9429" t="s">
        <v>14402</v>
      </c>
      <c r="F9429" t="s">
        <v>14403</v>
      </c>
      <c r="G9429" t="s">
        <v>48</v>
      </c>
      <c r="H9429" t="s">
        <v>3957</v>
      </c>
      <c r="I9429" t="s">
        <v>3975</v>
      </c>
      <c r="J9429" t="s">
        <v>14632</v>
      </c>
      <c r="K9429" t="s">
        <v>17096</v>
      </c>
      <c r="L9429" t="s">
        <v>53</v>
      </c>
      <c r="P9429" t="s">
        <v>58</v>
      </c>
      <c r="R9429" t="s">
        <v>56</v>
      </c>
      <c r="T9429" t="s">
        <v>18075</v>
      </c>
      <c r="U9429" t="s">
        <v>58</v>
      </c>
      <c r="V9429">
        <v>1</v>
      </c>
      <c r="W9429">
        <v>1</v>
      </c>
      <c r="X9429">
        <v>2</v>
      </c>
      <c r="Y9429">
        <v>0</v>
      </c>
      <c r="Z9429">
        <v>2</v>
      </c>
      <c r="AA9429">
        <v>171.98</v>
      </c>
      <c r="AB9429">
        <v>171.98</v>
      </c>
      <c r="AC9429">
        <v>150</v>
      </c>
      <c r="AD9429">
        <v>0</v>
      </c>
      <c r="AE9429">
        <v>21.98</v>
      </c>
      <c r="AF9429">
        <v>0</v>
      </c>
      <c r="AG9429">
        <v>0</v>
      </c>
      <c r="AH9429">
        <v>0</v>
      </c>
      <c r="AI9429">
        <v>0</v>
      </c>
      <c r="AJ9429">
        <v>171.98</v>
      </c>
      <c r="AK9429">
        <v>0</v>
      </c>
      <c r="AL9429" t="s">
        <v>53</v>
      </c>
      <c r="AM9429" t="s">
        <v>53</v>
      </c>
      <c r="AN9429" t="s">
        <v>53</v>
      </c>
      <c r="AO9429" t="s">
        <v>53</v>
      </c>
      <c r="AP9429" t="s">
        <v>53</v>
      </c>
    </row>
    <row r="9430" spans="2:42" x14ac:dyDescent="0.2">
      <c r="B9430" t="s">
        <v>44</v>
      </c>
      <c r="C9430" t="str">
        <f>HYPERLINK("https://us2.cloudbeds.com/connect/8493803454333002#/reservations/250652251656320?display=5D7A6WRZW4&amp;reservation_id=250652251656320", "5D7A6WRZW4")</f>
        <v>5D7A6WRZW4</v>
      </c>
      <c r="D9430" t="s">
        <v>45</v>
      </c>
      <c r="E9430" t="s">
        <v>128</v>
      </c>
      <c r="F9430" t="s">
        <v>86</v>
      </c>
      <c r="G9430" t="s">
        <v>48</v>
      </c>
      <c r="H9430" t="s">
        <v>3957</v>
      </c>
      <c r="I9430" t="s">
        <v>3975</v>
      </c>
      <c r="J9430" t="s">
        <v>14632</v>
      </c>
      <c r="K9430" t="s">
        <v>17096</v>
      </c>
      <c r="L9430" t="s">
        <v>53</v>
      </c>
      <c r="P9430" t="s">
        <v>55</v>
      </c>
      <c r="R9430" t="s">
        <v>56</v>
      </c>
      <c r="T9430" t="s">
        <v>18076</v>
      </c>
      <c r="U9430" t="s">
        <v>58</v>
      </c>
      <c r="V9430">
        <v>1</v>
      </c>
      <c r="W9430">
        <v>1</v>
      </c>
      <c r="X9430">
        <v>2</v>
      </c>
      <c r="Y9430">
        <v>0</v>
      </c>
      <c r="Z9430">
        <v>2</v>
      </c>
      <c r="AA9430">
        <v>177.72</v>
      </c>
      <c r="AB9430">
        <v>177.72</v>
      </c>
      <c r="AC9430">
        <v>155</v>
      </c>
      <c r="AD9430">
        <v>0</v>
      </c>
      <c r="AE9430">
        <v>22.72</v>
      </c>
      <c r="AF9430">
        <v>0</v>
      </c>
      <c r="AG9430">
        <v>0</v>
      </c>
      <c r="AH9430">
        <v>0</v>
      </c>
      <c r="AI9430">
        <v>0</v>
      </c>
      <c r="AJ9430">
        <v>177.72</v>
      </c>
      <c r="AK9430">
        <v>0</v>
      </c>
      <c r="AL9430" t="s">
        <v>53</v>
      </c>
      <c r="AM9430" t="s">
        <v>53</v>
      </c>
      <c r="AN9430" t="s">
        <v>18077</v>
      </c>
      <c r="AO9430" t="s">
        <v>53</v>
      </c>
      <c r="AP9430" t="s">
        <v>53</v>
      </c>
    </row>
    <row r="9431" spans="2:42" x14ac:dyDescent="0.2">
      <c r="B9431" t="s">
        <v>44</v>
      </c>
      <c r="C9431" t="str">
        <f>HYPERLINK("https://us2.cloudbeds.com/connect/8493803454333002#/reservations/9080486849537552?display=5DA0ZSQEXM&amp;reservation_id=9080486849537552", "5DA0ZSQEXM")</f>
        <v>5DA0ZSQEXM</v>
      </c>
      <c r="D9431" t="s">
        <v>45</v>
      </c>
      <c r="E9431" t="s">
        <v>85</v>
      </c>
      <c r="F9431" t="s">
        <v>86</v>
      </c>
      <c r="G9431" t="s">
        <v>48</v>
      </c>
      <c r="H9431" t="s">
        <v>49</v>
      </c>
      <c r="I9431" t="s">
        <v>62</v>
      </c>
      <c r="J9431" t="s">
        <v>14632</v>
      </c>
      <c r="K9431" t="s">
        <v>17096</v>
      </c>
      <c r="L9431" t="s">
        <v>53</v>
      </c>
      <c r="N9431" t="s">
        <v>18078</v>
      </c>
      <c r="P9431" t="s">
        <v>55</v>
      </c>
      <c r="R9431" t="s">
        <v>56</v>
      </c>
      <c r="T9431" t="s">
        <v>18079</v>
      </c>
      <c r="U9431" t="s">
        <v>55</v>
      </c>
      <c r="V9431">
        <v>1</v>
      </c>
      <c r="W9431">
        <v>1</v>
      </c>
      <c r="X9431">
        <v>2</v>
      </c>
      <c r="Y9431">
        <v>1</v>
      </c>
      <c r="Z9431">
        <v>3</v>
      </c>
      <c r="AA9431">
        <v>162.75</v>
      </c>
      <c r="AB9431">
        <v>162.75</v>
      </c>
      <c r="AC9431">
        <v>162.75</v>
      </c>
      <c r="AD9431">
        <v>0</v>
      </c>
      <c r="AE9431">
        <v>0</v>
      </c>
      <c r="AF9431">
        <v>0</v>
      </c>
      <c r="AG9431">
        <v>0</v>
      </c>
      <c r="AH9431">
        <v>0</v>
      </c>
      <c r="AI9431">
        <v>29.3</v>
      </c>
      <c r="AJ9431">
        <v>162.75</v>
      </c>
      <c r="AK9431">
        <v>0</v>
      </c>
      <c r="AL9431" t="s">
        <v>53</v>
      </c>
      <c r="AM9431" t="s">
        <v>53</v>
      </c>
      <c r="AN9431" t="s">
        <v>53</v>
      </c>
      <c r="AO9431" t="s">
        <v>53</v>
      </c>
      <c r="AP9431" t="s">
        <v>53</v>
      </c>
    </row>
    <row r="9432" spans="2:42" x14ac:dyDescent="0.2">
      <c r="B9432" t="s">
        <v>44</v>
      </c>
      <c r="C9432" t="str">
        <f>HYPERLINK("https://us2.cloudbeds.com/connect/8493803454333002#/reservations/9080486849538139?display=5DAAVMZXBG&amp;reservation_id=9080486849538139", "5DAAVMZXBG")</f>
        <v>5DAAVMZXBG</v>
      </c>
      <c r="D9432" t="s">
        <v>10291</v>
      </c>
      <c r="E9432" t="s">
        <v>121</v>
      </c>
      <c r="F9432" t="s">
        <v>86</v>
      </c>
      <c r="G9432" t="s">
        <v>48</v>
      </c>
      <c r="H9432" t="s">
        <v>49</v>
      </c>
      <c r="I9432" t="s">
        <v>50</v>
      </c>
      <c r="J9432" t="s">
        <v>17833</v>
      </c>
      <c r="K9432" t="s">
        <v>17665</v>
      </c>
      <c r="L9432" t="s">
        <v>53</v>
      </c>
      <c r="N9432" t="s">
        <v>18080</v>
      </c>
      <c r="P9432" t="s">
        <v>55</v>
      </c>
      <c r="R9432" t="s">
        <v>53</v>
      </c>
      <c r="T9432" t="s">
        <v>18081</v>
      </c>
      <c r="U9432" t="s">
        <v>55</v>
      </c>
      <c r="V9432">
        <v>1</v>
      </c>
      <c r="W9432">
        <v>1</v>
      </c>
      <c r="X9432">
        <v>2</v>
      </c>
      <c r="Y9432">
        <v>1</v>
      </c>
      <c r="Z9432">
        <v>3</v>
      </c>
      <c r="AA9432">
        <v>167.71</v>
      </c>
      <c r="AB9432">
        <v>0</v>
      </c>
      <c r="AC9432">
        <v>154.21</v>
      </c>
      <c r="AD9432">
        <v>0</v>
      </c>
      <c r="AE9432">
        <v>13.5</v>
      </c>
      <c r="AF9432">
        <v>0</v>
      </c>
      <c r="AG9432">
        <v>0</v>
      </c>
      <c r="AH9432">
        <v>0</v>
      </c>
      <c r="AI9432">
        <v>30.19</v>
      </c>
      <c r="AJ9432">
        <v>167.71</v>
      </c>
      <c r="AK9432">
        <v>167.71</v>
      </c>
      <c r="AL9432" t="s">
        <v>53</v>
      </c>
      <c r="AM9432" t="s">
        <v>53</v>
      </c>
      <c r="AN9432" t="s">
        <v>53</v>
      </c>
      <c r="AO9432" t="s">
        <v>53</v>
      </c>
      <c r="AP9432" t="s">
        <v>53</v>
      </c>
    </row>
    <row r="9433" spans="2:42" x14ac:dyDescent="0.2">
      <c r="B9433" t="s">
        <v>44</v>
      </c>
      <c r="C9433" t="str">
        <f>HYPERLINK("https://us2.cloudbeds.com/connect/8493803454333002#/reservations/250798294364352?display=5DAZ9NV9S8&amp;reservation_id=250798294364352", "5DAZ9NV9S8")</f>
        <v>5DAZ9NV9S8</v>
      </c>
      <c r="D9433" t="s">
        <v>45</v>
      </c>
      <c r="E9433" t="s">
        <v>165</v>
      </c>
      <c r="F9433" t="s">
        <v>61</v>
      </c>
      <c r="G9433" t="s">
        <v>48</v>
      </c>
      <c r="H9433" t="s">
        <v>3957</v>
      </c>
      <c r="I9433" t="s">
        <v>3958</v>
      </c>
      <c r="J9433" t="s">
        <v>14632</v>
      </c>
      <c r="K9433" t="s">
        <v>17096</v>
      </c>
      <c r="L9433" t="s">
        <v>53</v>
      </c>
      <c r="P9433" t="s">
        <v>55</v>
      </c>
      <c r="R9433" t="s">
        <v>56</v>
      </c>
      <c r="T9433" t="s">
        <v>18082</v>
      </c>
      <c r="U9433" t="s">
        <v>58</v>
      </c>
      <c r="V9433">
        <v>1</v>
      </c>
      <c r="W9433">
        <v>1</v>
      </c>
      <c r="X9433">
        <v>1</v>
      </c>
      <c r="Y9433">
        <v>0</v>
      </c>
      <c r="Z9433">
        <v>1</v>
      </c>
      <c r="AA9433">
        <v>183.44</v>
      </c>
      <c r="AB9433">
        <v>183.44</v>
      </c>
      <c r="AC9433">
        <v>160</v>
      </c>
      <c r="AD9433">
        <v>0</v>
      </c>
      <c r="AE9433">
        <v>23.44</v>
      </c>
      <c r="AF9433">
        <v>0</v>
      </c>
      <c r="AG9433">
        <v>0</v>
      </c>
      <c r="AH9433">
        <v>0</v>
      </c>
      <c r="AI9433">
        <v>0</v>
      </c>
      <c r="AJ9433">
        <v>183.44</v>
      </c>
      <c r="AK9433">
        <v>0</v>
      </c>
      <c r="AL9433" t="s">
        <v>53</v>
      </c>
      <c r="AM9433" t="s">
        <v>53</v>
      </c>
      <c r="AN9433" t="s">
        <v>53</v>
      </c>
      <c r="AO9433" t="s">
        <v>53</v>
      </c>
      <c r="AP9433" t="s">
        <v>53</v>
      </c>
    </row>
    <row r="9434" spans="2:42" x14ac:dyDescent="0.2">
      <c r="B9434" t="s">
        <v>44</v>
      </c>
      <c r="C9434" t="str">
        <f>HYPERLINK("https://us2.cloudbeds.com/connect/8493803454333002#/reservations/250804281561216?display=5DASUNGWR8&amp;reservation_id=250804281561216", "5DASUNGWR8")</f>
        <v>5DASUNGWR8</v>
      </c>
      <c r="D9434" t="s">
        <v>45</v>
      </c>
      <c r="E9434" t="s">
        <v>78</v>
      </c>
      <c r="F9434" t="s">
        <v>61</v>
      </c>
      <c r="G9434" t="s">
        <v>48</v>
      </c>
      <c r="H9434" t="s">
        <v>3957</v>
      </c>
      <c r="I9434" t="s">
        <v>3958</v>
      </c>
      <c r="J9434" t="s">
        <v>14632</v>
      </c>
      <c r="K9434" t="s">
        <v>17096</v>
      </c>
      <c r="L9434" t="s">
        <v>53</v>
      </c>
      <c r="P9434" t="s">
        <v>55</v>
      </c>
      <c r="R9434" t="s">
        <v>56</v>
      </c>
      <c r="T9434" t="s">
        <v>18083</v>
      </c>
      <c r="U9434" t="s">
        <v>58</v>
      </c>
      <c r="V9434">
        <v>1</v>
      </c>
      <c r="W9434">
        <v>1</v>
      </c>
      <c r="X9434">
        <v>1</v>
      </c>
      <c r="Y9434">
        <v>0</v>
      </c>
      <c r="Z9434">
        <v>1</v>
      </c>
      <c r="AA9434">
        <v>200.65</v>
      </c>
      <c r="AB9434">
        <v>206.13</v>
      </c>
      <c r="AC9434">
        <v>175</v>
      </c>
      <c r="AD9434">
        <v>5</v>
      </c>
      <c r="AE9434">
        <v>26.13</v>
      </c>
      <c r="AF9434">
        <v>0</v>
      </c>
      <c r="AG9434">
        <v>0</v>
      </c>
      <c r="AH9434">
        <v>0</v>
      </c>
      <c r="AI9434">
        <v>0</v>
      </c>
      <c r="AJ9434">
        <v>206.13</v>
      </c>
      <c r="AK9434">
        <v>0</v>
      </c>
      <c r="AL9434" t="s">
        <v>53</v>
      </c>
      <c r="AM9434" t="s">
        <v>53</v>
      </c>
      <c r="AN9434" t="s">
        <v>53</v>
      </c>
      <c r="AO9434" t="s">
        <v>53</v>
      </c>
      <c r="AP9434" t="s">
        <v>53</v>
      </c>
    </row>
    <row r="9435" spans="2:42" x14ac:dyDescent="0.2">
      <c r="B9435" t="s">
        <v>44</v>
      </c>
      <c r="C9435" t="str">
        <f>HYPERLINK("https://us2.cloudbeds.com/connect/8493803454333002#/reservations/250831074013377?display=5DBGMAJXD1&amp;reservation_id=250831074013377", "5DBGMAJXD1")</f>
        <v>5DBGMAJXD1</v>
      </c>
      <c r="D9435" t="s">
        <v>45</v>
      </c>
      <c r="E9435" t="s">
        <v>46</v>
      </c>
      <c r="F9435" t="s">
        <v>47</v>
      </c>
      <c r="G9435" t="s">
        <v>48</v>
      </c>
      <c r="H9435" t="s">
        <v>3957</v>
      </c>
      <c r="I9435" t="s">
        <v>3975</v>
      </c>
      <c r="J9435" t="s">
        <v>17078</v>
      </c>
      <c r="K9435" t="s">
        <v>15548</v>
      </c>
      <c r="L9435" t="s">
        <v>53</v>
      </c>
      <c r="P9435" t="s">
        <v>58</v>
      </c>
      <c r="R9435" t="s">
        <v>56</v>
      </c>
      <c r="T9435" t="s">
        <v>18084</v>
      </c>
      <c r="U9435" t="s">
        <v>58</v>
      </c>
      <c r="V9435">
        <v>5</v>
      </c>
      <c r="W9435">
        <v>1</v>
      </c>
      <c r="X9435">
        <v>2</v>
      </c>
      <c r="Y9435">
        <v>0</v>
      </c>
      <c r="Z9435">
        <v>2</v>
      </c>
      <c r="AA9435">
        <v>0</v>
      </c>
      <c r="AB9435">
        <v>1002.09</v>
      </c>
      <c r="AC9435">
        <v>874</v>
      </c>
      <c r="AD9435">
        <v>0</v>
      </c>
      <c r="AE9435">
        <v>128.09</v>
      </c>
      <c r="AF9435">
        <v>0</v>
      </c>
      <c r="AG9435">
        <v>0</v>
      </c>
      <c r="AH9435">
        <v>0</v>
      </c>
      <c r="AI9435">
        <v>0</v>
      </c>
      <c r="AJ9435">
        <v>1002.09</v>
      </c>
      <c r="AK9435">
        <v>0</v>
      </c>
      <c r="AL9435" t="s">
        <v>53</v>
      </c>
      <c r="AM9435" t="s">
        <v>53</v>
      </c>
      <c r="AN9435" t="s">
        <v>53</v>
      </c>
      <c r="AO9435" t="s">
        <v>53</v>
      </c>
      <c r="AP9435" t="s">
        <v>53</v>
      </c>
    </row>
    <row r="9436" spans="2:42" x14ac:dyDescent="0.2">
      <c r="B9436" t="s">
        <v>44</v>
      </c>
      <c r="C9436" t="str">
        <f>HYPERLINK("https://us2.cloudbeds.com/connect/8493803454333002#/reservations/9080486849541224?display=5DBYS2V656&amp;reservation_id=9080486849541224", "5DBYS2V656")</f>
        <v>5DBYS2V656</v>
      </c>
      <c r="D9436" t="s">
        <v>10291</v>
      </c>
      <c r="E9436" t="s">
        <v>165</v>
      </c>
      <c r="F9436" t="s">
        <v>61</v>
      </c>
      <c r="G9436" t="s">
        <v>48</v>
      </c>
      <c r="H9436" t="s">
        <v>49</v>
      </c>
      <c r="I9436" t="s">
        <v>8964</v>
      </c>
      <c r="J9436" t="s">
        <v>18085</v>
      </c>
      <c r="K9436" t="s">
        <v>18086</v>
      </c>
      <c r="L9436" t="s">
        <v>53</v>
      </c>
      <c r="N9436" t="s">
        <v>18087</v>
      </c>
      <c r="P9436" t="s">
        <v>55</v>
      </c>
      <c r="R9436" t="s">
        <v>53</v>
      </c>
      <c r="T9436" t="s">
        <v>18088</v>
      </c>
      <c r="U9436" t="s">
        <v>55</v>
      </c>
      <c r="V9436">
        <v>4</v>
      </c>
      <c r="W9436">
        <v>1</v>
      </c>
      <c r="X9436">
        <v>2</v>
      </c>
      <c r="Y9436">
        <v>0</v>
      </c>
      <c r="Z9436">
        <v>2</v>
      </c>
      <c r="AA9436">
        <v>0</v>
      </c>
      <c r="AB9436">
        <v>0</v>
      </c>
      <c r="AC9436">
        <v>398</v>
      </c>
      <c r="AD9436">
        <v>0</v>
      </c>
      <c r="AE9436">
        <v>0</v>
      </c>
      <c r="AF9436">
        <v>0</v>
      </c>
      <c r="AG9436">
        <v>0</v>
      </c>
      <c r="AH9436">
        <v>0</v>
      </c>
      <c r="AI9436">
        <v>59.7</v>
      </c>
      <c r="AJ9436">
        <v>398</v>
      </c>
      <c r="AK9436">
        <v>398</v>
      </c>
      <c r="AL9436" t="s">
        <v>53</v>
      </c>
      <c r="AM9436" t="s">
        <v>53</v>
      </c>
      <c r="AN9436" t="s">
        <v>18089</v>
      </c>
      <c r="AO9436" t="s">
        <v>53</v>
      </c>
      <c r="AP9436" t="s">
        <v>53</v>
      </c>
    </row>
    <row r="9437" spans="2:42" x14ac:dyDescent="0.2">
      <c r="B9437" t="s">
        <v>44</v>
      </c>
      <c r="C9437" t="str">
        <f>HYPERLINK("https://us2.cloudbeds.com/connect/8493803454333002#/reservations/9080486849541498?display=5DBPXTFM0M&amp;reservation_id=9080486849541498", "5DBPXTFM0M")</f>
        <v>5DBPXTFM0M</v>
      </c>
      <c r="D9437" t="s">
        <v>45</v>
      </c>
      <c r="E9437" t="s">
        <v>190</v>
      </c>
      <c r="F9437" t="s">
        <v>61</v>
      </c>
      <c r="G9437" t="s">
        <v>48</v>
      </c>
      <c r="H9437" t="s">
        <v>49</v>
      </c>
      <c r="I9437" t="s">
        <v>62</v>
      </c>
      <c r="J9437" t="s">
        <v>14632</v>
      </c>
      <c r="K9437" t="s">
        <v>17096</v>
      </c>
      <c r="L9437" t="s">
        <v>53</v>
      </c>
      <c r="N9437" t="s">
        <v>18090</v>
      </c>
      <c r="P9437" t="s">
        <v>55</v>
      </c>
      <c r="R9437" t="s">
        <v>56</v>
      </c>
      <c r="T9437" t="s">
        <v>18091</v>
      </c>
      <c r="U9437" t="s">
        <v>55</v>
      </c>
      <c r="V9437">
        <v>1</v>
      </c>
      <c r="W9437">
        <v>1</v>
      </c>
      <c r="X9437">
        <v>1</v>
      </c>
      <c r="Y9437">
        <v>0</v>
      </c>
      <c r="Z9437">
        <v>1</v>
      </c>
      <c r="AA9437">
        <v>157.5</v>
      </c>
      <c r="AB9437">
        <v>157.5</v>
      </c>
      <c r="AC9437">
        <v>157.5</v>
      </c>
      <c r="AD9437">
        <v>0</v>
      </c>
      <c r="AE9437">
        <v>0</v>
      </c>
      <c r="AF9437">
        <v>0</v>
      </c>
      <c r="AG9437">
        <v>0</v>
      </c>
      <c r="AH9437">
        <v>0</v>
      </c>
      <c r="AI9437">
        <v>28.35</v>
      </c>
      <c r="AJ9437">
        <v>157.5</v>
      </c>
      <c r="AK9437">
        <v>0</v>
      </c>
      <c r="AL9437" t="s">
        <v>53</v>
      </c>
      <c r="AM9437" t="s">
        <v>53</v>
      </c>
      <c r="AN9437" t="s">
        <v>53</v>
      </c>
      <c r="AO9437" t="s">
        <v>53</v>
      </c>
      <c r="AP9437" t="s">
        <v>53</v>
      </c>
    </row>
    <row r="9438" spans="2:42" x14ac:dyDescent="0.2">
      <c r="B9438" t="s">
        <v>44</v>
      </c>
      <c r="C9438" t="str">
        <f>HYPERLINK("https://us2.cloudbeds.com/connect/8493803454333002#/reservations/9080486849541891?display=5DBVGM0KJN&amp;reservation_id=9080486849541891", "5DBVGM0KJN")</f>
        <v>5DBVGM0KJN</v>
      </c>
      <c r="D9438" t="s">
        <v>45</v>
      </c>
      <c r="E9438" t="s">
        <v>155</v>
      </c>
      <c r="F9438" t="s">
        <v>86</v>
      </c>
      <c r="G9438" t="s">
        <v>48</v>
      </c>
      <c r="H9438" t="s">
        <v>49</v>
      </c>
      <c r="I9438" t="s">
        <v>50</v>
      </c>
      <c r="J9438" t="s">
        <v>15548</v>
      </c>
      <c r="K9438" t="s">
        <v>17389</v>
      </c>
      <c r="L9438" t="s">
        <v>53</v>
      </c>
      <c r="N9438" t="s">
        <v>18092</v>
      </c>
      <c r="P9438" t="s">
        <v>55</v>
      </c>
      <c r="R9438" t="s">
        <v>53</v>
      </c>
      <c r="T9438" t="s">
        <v>18093</v>
      </c>
      <c r="U9438" t="s">
        <v>55</v>
      </c>
      <c r="V9438">
        <v>4</v>
      </c>
      <c r="W9438">
        <v>1</v>
      </c>
      <c r="X9438">
        <v>2</v>
      </c>
      <c r="Y9438">
        <v>0</v>
      </c>
      <c r="Z9438">
        <v>2</v>
      </c>
      <c r="AA9438">
        <v>619.39</v>
      </c>
      <c r="AB9438">
        <v>619.39</v>
      </c>
      <c r="AC9438">
        <v>569.54999999999995</v>
      </c>
      <c r="AD9438">
        <v>0</v>
      </c>
      <c r="AE9438">
        <v>49.84</v>
      </c>
      <c r="AF9438">
        <v>0</v>
      </c>
      <c r="AG9438">
        <v>0</v>
      </c>
      <c r="AH9438">
        <v>0</v>
      </c>
      <c r="AI9438">
        <v>111.49</v>
      </c>
      <c r="AJ9438">
        <v>619.39</v>
      </c>
      <c r="AK9438">
        <v>0</v>
      </c>
      <c r="AL9438" t="s">
        <v>53</v>
      </c>
      <c r="AM9438" t="s">
        <v>53</v>
      </c>
      <c r="AN9438" t="s">
        <v>53</v>
      </c>
      <c r="AO9438" t="s">
        <v>53</v>
      </c>
      <c r="AP9438" t="s">
        <v>53</v>
      </c>
    </row>
    <row r="9439" spans="2:42" x14ac:dyDescent="0.2">
      <c r="B9439" t="s">
        <v>44</v>
      </c>
      <c r="C9439" t="str">
        <f>HYPERLINK("https://us2.cloudbeds.com/connect/8493803454333002#/reservations/9080486849542369?display=5DC5K8VR43&amp;reservation_id=9080486849542369", "5DC5K8VR43")</f>
        <v>5DC5K8VR43</v>
      </c>
      <c r="D9439" t="s">
        <v>10291</v>
      </c>
      <c r="E9439" t="s">
        <v>105</v>
      </c>
      <c r="F9439" t="s">
        <v>47</v>
      </c>
      <c r="G9439" t="s">
        <v>48</v>
      </c>
      <c r="H9439" t="s">
        <v>49</v>
      </c>
      <c r="I9439" t="s">
        <v>50</v>
      </c>
      <c r="J9439" t="s">
        <v>15748</v>
      </c>
      <c r="K9439" t="s">
        <v>15024</v>
      </c>
      <c r="L9439" t="s">
        <v>53</v>
      </c>
      <c r="N9439" t="s">
        <v>18094</v>
      </c>
      <c r="P9439" t="s">
        <v>55</v>
      </c>
      <c r="R9439" t="s">
        <v>53</v>
      </c>
      <c r="T9439" t="s">
        <v>18095</v>
      </c>
      <c r="U9439" t="s">
        <v>58</v>
      </c>
      <c r="V9439">
        <v>1</v>
      </c>
      <c r="W9439">
        <v>1</v>
      </c>
      <c r="X9439">
        <v>1</v>
      </c>
      <c r="Y9439">
        <v>0</v>
      </c>
      <c r="Z9439">
        <v>1</v>
      </c>
      <c r="AA9439">
        <v>153.49</v>
      </c>
      <c r="AB9439">
        <v>0</v>
      </c>
      <c r="AC9439">
        <v>133.87</v>
      </c>
      <c r="AD9439">
        <v>0</v>
      </c>
      <c r="AE9439">
        <v>19.62</v>
      </c>
      <c r="AF9439">
        <v>0</v>
      </c>
      <c r="AG9439">
        <v>0</v>
      </c>
      <c r="AH9439">
        <v>0</v>
      </c>
      <c r="AI9439">
        <v>27.63</v>
      </c>
      <c r="AJ9439">
        <v>153.49</v>
      </c>
      <c r="AK9439">
        <v>153.49</v>
      </c>
      <c r="AL9439" t="s">
        <v>53</v>
      </c>
      <c r="AM9439" t="s">
        <v>53</v>
      </c>
      <c r="AN9439" t="s">
        <v>53</v>
      </c>
      <c r="AO9439" t="s">
        <v>53</v>
      </c>
      <c r="AP9439" t="s">
        <v>53</v>
      </c>
    </row>
    <row r="9440" spans="2:42" x14ac:dyDescent="0.2">
      <c r="B9440" t="s">
        <v>44</v>
      </c>
      <c r="C9440" t="str">
        <f>HYPERLINK("https://us2.cloudbeds.com/connect/8493803454333002#/reservations/9080486849542778?display=5DCBP27VSR&amp;reservation_id=9080486849542778", "5DCBP27VSR")</f>
        <v>5DCBP27VSR</v>
      </c>
      <c r="D9440" t="s">
        <v>10291</v>
      </c>
      <c r="E9440" t="s">
        <v>165</v>
      </c>
      <c r="F9440" t="s">
        <v>61</v>
      </c>
      <c r="G9440" t="s">
        <v>48</v>
      </c>
      <c r="H9440" t="s">
        <v>49</v>
      </c>
      <c r="I9440" t="s">
        <v>8964</v>
      </c>
      <c r="J9440" t="s">
        <v>17817</v>
      </c>
      <c r="K9440" t="s">
        <v>18096</v>
      </c>
      <c r="L9440" t="s">
        <v>53</v>
      </c>
      <c r="N9440" t="s">
        <v>18097</v>
      </c>
      <c r="P9440" t="s">
        <v>55</v>
      </c>
      <c r="R9440" t="s">
        <v>53</v>
      </c>
      <c r="T9440" t="s">
        <v>18098</v>
      </c>
      <c r="U9440" t="s">
        <v>55</v>
      </c>
      <c r="V9440">
        <v>1</v>
      </c>
      <c r="W9440">
        <v>1</v>
      </c>
      <c r="X9440">
        <v>2</v>
      </c>
      <c r="Y9440">
        <v>0</v>
      </c>
      <c r="Z9440">
        <v>2</v>
      </c>
      <c r="AA9440">
        <v>0</v>
      </c>
      <c r="AB9440">
        <v>0</v>
      </c>
      <c r="AC9440">
        <v>165</v>
      </c>
      <c r="AD9440">
        <v>0</v>
      </c>
      <c r="AE9440">
        <v>0</v>
      </c>
      <c r="AF9440">
        <v>0</v>
      </c>
      <c r="AG9440">
        <v>0</v>
      </c>
      <c r="AH9440">
        <v>0</v>
      </c>
      <c r="AI9440">
        <v>24.75</v>
      </c>
      <c r="AJ9440">
        <v>165</v>
      </c>
      <c r="AK9440">
        <v>165</v>
      </c>
      <c r="AL9440" t="s">
        <v>53</v>
      </c>
      <c r="AM9440" t="s">
        <v>53</v>
      </c>
      <c r="AN9440" t="s">
        <v>53</v>
      </c>
      <c r="AO9440" t="s">
        <v>53</v>
      </c>
      <c r="AP9440" t="s">
        <v>53</v>
      </c>
    </row>
    <row r="9441" spans="2:42" x14ac:dyDescent="0.2">
      <c r="B9441" t="s">
        <v>44</v>
      </c>
      <c r="C9441" t="str">
        <f>HYPERLINK("https://us2.cloudbeds.com/connect/8493803454333002#/reservations/9080486849543133?display=5DCGU3Z0DC&amp;reservation_id=9080486849543133", "5DCGU3Z0DC")</f>
        <v>5DCGU3Z0DC</v>
      </c>
      <c r="D9441" t="s">
        <v>45</v>
      </c>
      <c r="E9441" t="s">
        <v>121</v>
      </c>
      <c r="F9441" t="s">
        <v>86</v>
      </c>
      <c r="G9441" t="s">
        <v>48</v>
      </c>
      <c r="H9441" t="s">
        <v>49</v>
      </c>
      <c r="I9441" t="s">
        <v>50</v>
      </c>
      <c r="J9441" t="s">
        <v>17096</v>
      </c>
      <c r="K9441" t="s">
        <v>17077</v>
      </c>
      <c r="L9441" t="s">
        <v>53</v>
      </c>
      <c r="N9441" t="s">
        <v>18099</v>
      </c>
      <c r="P9441" t="s">
        <v>55</v>
      </c>
      <c r="R9441" t="s">
        <v>53</v>
      </c>
      <c r="T9441" t="s">
        <v>18100</v>
      </c>
      <c r="U9441" t="s">
        <v>55</v>
      </c>
      <c r="V9441">
        <v>1</v>
      </c>
      <c r="W9441">
        <v>1</v>
      </c>
      <c r="X9441">
        <v>2</v>
      </c>
      <c r="Y9441">
        <v>0</v>
      </c>
      <c r="Z9441">
        <v>2</v>
      </c>
      <c r="AA9441">
        <v>187.04</v>
      </c>
      <c r="AB9441">
        <v>187.04</v>
      </c>
      <c r="AC9441">
        <v>171.99</v>
      </c>
      <c r="AD9441">
        <v>0</v>
      </c>
      <c r="AE9441">
        <v>15.05</v>
      </c>
      <c r="AF9441">
        <v>0</v>
      </c>
      <c r="AG9441">
        <v>0</v>
      </c>
      <c r="AH9441">
        <v>0</v>
      </c>
      <c r="AI9441">
        <v>33.67</v>
      </c>
      <c r="AJ9441">
        <v>187.04</v>
      </c>
      <c r="AK9441">
        <v>0</v>
      </c>
      <c r="AL9441" t="s">
        <v>53</v>
      </c>
      <c r="AM9441" t="s">
        <v>53</v>
      </c>
      <c r="AN9441" t="s">
        <v>18101</v>
      </c>
      <c r="AO9441" t="s">
        <v>53</v>
      </c>
      <c r="AP9441" t="s">
        <v>53</v>
      </c>
    </row>
    <row r="9442" spans="2:42" x14ac:dyDescent="0.2">
      <c r="B9442" t="s">
        <v>44</v>
      </c>
      <c r="C9442" t="str">
        <f>HYPERLINK("https://us2.cloudbeds.com/connect/8493803454333002#/reservations/9080486849543372?display=5DCKU1MD93&amp;reservation_id=9080486849543372", "5DCKU1MD93")</f>
        <v>5DCKU1MD93</v>
      </c>
      <c r="D9442" t="s">
        <v>45</v>
      </c>
      <c r="E9442" t="s">
        <v>113</v>
      </c>
      <c r="F9442" t="s">
        <v>61</v>
      </c>
      <c r="G9442" t="s">
        <v>48</v>
      </c>
      <c r="H9442" t="s">
        <v>49</v>
      </c>
      <c r="I9442" t="s">
        <v>50</v>
      </c>
      <c r="J9442" t="s">
        <v>14632</v>
      </c>
      <c r="K9442" t="s">
        <v>17096</v>
      </c>
      <c r="L9442" t="s">
        <v>53</v>
      </c>
      <c r="N9442" t="s">
        <v>18102</v>
      </c>
      <c r="P9442" t="s">
        <v>55</v>
      </c>
      <c r="R9442" t="s">
        <v>53</v>
      </c>
      <c r="T9442" t="s">
        <v>18103</v>
      </c>
      <c r="U9442" t="s">
        <v>55</v>
      </c>
      <c r="V9442">
        <v>1</v>
      </c>
      <c r="W9442">
        <v>1</v>
      </c>
      <c r="X9442">
        <v>1</v>
      </c>
      <c r="Y9442">
        <v>0</v>
      </c>
      <c r="Z9442">
        <v>1</v>
      </c>
      <c r="AA9442">
        <v>137.83000000000001</v>
      </c>
      <c r="AB9442">
        <v>137.83000000000001</v>
      </c>
      <c r="AC9442">
        <v>126.74</v>
      </c>
      <c r="AD9442">
        <v>0</v>
      </c>
      <c r="AE9442">
        <v>11.09</v>
      </c>
      <c r="AF9442">
        <v>0</v>
      </c>
      <c r="AG9442">
        <v>0</v>
      </c>
      <c r="AH9442">
        <v>0</v>
      </c>
      <c r="AI9442">
        <v>24.81</v>
      </c>
      <c r="AJ9442">
        <v>137.83000000000001</v>
      </c>
      <c r="AK9442">
        <v>0</v>
      </c>
      <c r="AL9442" t="s">
        <v>53</v>
      </c>
      <c r="AM9442" t="s">
        <v>53</v>
      </c>
      <c r="AN9442" t="s">
        <v>53</v>
      </c>
      <c r="AO9442" t="s">
        <v>53</v>
      </c>
      <c r="AP9442" t="s">
        <v>53</v>
      </c>
    </row>
    <row r="9443" spans="2:42" x14ac:dyDescent="0.2">
      <c r="B9443" t="s">
        <v>44</v>
      </c>
      <c r="C9443" t="str">
        <f>HYPERLINK("https://us2.cloudbeds.com/connect/8493803454333002#/reservations/250880911286465?display=5DCM8PN10K&amp;reservation_id=250880911286465", "5DCM8PN10K")</f>
        <v>5DCM8PN10K</v>
      </c>
      <c r="D9443" t="s">
        <v>10291</v>
      </c>
      <c r="E9443" t="s">
        <v>113</v>
      </c>
      <c r="F9443" t="s">
        <v>61</v>
      </c>
      <c r="G9443" t="s">
        <v>3974</v>
      </c>
      <c r="H9443" t="s">
        <v>3957</v>
      </c>
      <c r="I9443" t="s">
        <v>3975</v>
      </c>
      <c r="J9443" t="s">
        <v>17467</v>
      </c>
      <c r="K9443" t="s">
        <v>16110</v>
      </c>
      <c r="L9443" t="s">
        <v>53</v>
      </c>
      <c r="P9443" t="s">
        <v>55</v>
      </c>
      <c r="R9443" t="s">
        <v>56</v>
      </c>
      <c r="T9443" t="s">
        <v>18104</v>
      </c>
      <c r="U9443" t="s">
        <v>58</v>
      </c>
      <c r="V9443">
        <v>2</v>
      </c>
      <c r="W9443">
        <v>1</v>
      </c>
      <c r="X9443">
        <v>2</v>
      </c>
      <c r="Y9443">
        <v>0</v>
      </c>
      <c r="Z9443">
        <v>2</v>
      </c>
      <c r="AA9443">
        <v>399.74</v>
      </c>
      <c r="AB9443">
        <v>399.74</v>
      </c>
      <c r="AC9443">
        <v>348.65</v>
      </c>
      <c r="AD9443">
        <v>0</v>
      </c>
      <c r="AE9443">
        <v>51.09</v>
      </c>
      <c r="AF9443">
        <v>0</v>
      </c>
      <c r="AG9443">
        <v>0</v>
      </c>
      <c r="AH9443">
        <v>0</v>
      </c>
      <c r="AI9443">
        <v>0</v>
      </c>
      <c r="AJ9443">
        <v>399.74</v>
      </c>
      <c r="AK9443">
        <v>0</v>
      </c>
      <c r="AL9443" t="s">
        <v>53</v>
      </c>
      <c r="AM9443" t="s">
        <v>53</v>
      </c>
      <c r="AN9443" t="s">
        <v>18105</v>
      </c>
      <c r="AO9443" t="s">
        <v>53</v>
      </c>
      <c r="AP9443" t="s">
        <v>53</v>
      </c>
    </row>
    <row r="9444" spans="2:42" x14ac:dyDescent="0.2">
      <c r="B9444" t="s">
        <v>44</v>
      </c>
      <c r="C9444" t="str">
        <f>HYPERLINK("https://us2.cloudbeds.com/connect/8493803454333002#/reservations/9080486849543943?display=5DCUDHV0W7&amp;reservation_id=9080486849543943", "5DCUDHV0W7")</f>
        <v>5DCUDHV0W7</v>
      </c>
      <c r="D9444" t="s">
        <v>45</v>
      </c>
      <c r="E9444" t="s">
        <v>128</v>
      </c>
      <c r="F9444" t="s">
        <v>86</v>
      </c>
      <c r="G9444" t="s">
        <v>48</v>
      </c>
      <c r="H9444" t="s">
        <v>49</v>
      </c>
      <c r="I9444" t="s">
        <v>8964</v>
      </c>
      <c r="J9444" t="s">
        <v>14390</v>
      </c>
      <c r="K9444" t="s">
        <v>14391</v>
      </c>
      <c r="L9444" t="s">
        <v>53</v>
      </c>
      <c r="N9444" t="s">
        <v>18106</v>
      </c>
      <c r="P9444" t="s">
        <v>55</v>
      </c>
      <c r="R9444" t="s">
        <v>53</v>
      </c>
      <c r="T9444" t="s">
        <v>18107</v>
      </c>
      <c r="U9444" t="s">
        <v>55</v>
      </c>
      <c r="V9444">
        <v>1</v>
      </c>
      <c r="W9444">
        <v>1</v>
      </c>
      <c r="X9444">
        <v>1</v>
      </c>
      <c r="Y9444">
        <v>0</v>
      </c>
      <c r="Z9444">
        <v>1</v>
      </c>
      <c r="AA9444">
        <v>0</v>
      </c>
      <c r="AB9444">
        <v>0</v>
      </c>
      <c r="AC9444">
        <v>194</v>
      </c>
      <c r="AD9444">
        <v>0</v>
      </c>
      <c r="AE9444">
        <v>0</v>
      </c>
      <c r="AF9444">
        <v>0</v>
      </c>
      <c r="AG9444">
        <v>0</v>
      </c>
      <c r="AH9444">
        <v>0</v>
      </c>
      <c r="AI9444">
        <v>29.1</v>
      </c>
      <c r="AJ9444">
        <v>194</v>
      </c>
      <c r="AK9444">
        <v>194</v>
      </c>
      <c r="AL9444" t="s">
        <v>53</v>
      </c>
      <c r="AM9444" t="s">
        <v>53</v>
      </c>
      <c r="AN9444" t="s">
        <v>18108</v>
      </c>
      <c r="AO9444" t="s">
        <v>53</v>
      </c>
      <c r="AP9444" t="s">
        <v>53</v>
      </c>
    </row>
    <row r="9445" spans="2:42" x14ac:dyDescent="0.2">
      <c r="B9445" t="s">
        <v>44</v>
      </c>
      <c r="C9445" t="str">
        <f>HYPERLINK("https://us2.cloudbeds.com/connect/8493803454333002#/reservations/9080486849544138?display=5DD0793U79&amp;reservation_id=9080486849544138", "5DD0793U79")</f>
        <v>5DD0793U79</v>
      </c>
      <c r="D9445" t="s">
        <v>45</v>
      </c>
      <c r="E9445" t="s">
        <v>98</v>
      </c>
      <c r="F9445" t="s">
        <v>86</v>
      </c>
      <c r="G9445" t="s">
        <v>48</v>
      </c>
      <c r="H9445" t="s">
        <v>49</v>
      </c>
      <c r="I9445" t="s">
        <v>50</v>
      </c>
      <c r="J9445" t="s">
        <v>14806</v>
      </c>
      <c r="K9445" t="s">
        <v>14732</v>
      </c>
      <c r="L9445" t="s">
        <v>53</v>
      </c>
      <c r="N9445" t="s">
        <v>18109</v>
      </c>
      <c r="P9445" t="s">
        <v>55</v>
      </c>
      <c r="R9445" t="s">
        <v>53</v>
      </c>
      <c r="T9445" t="s">
        <v>18110</v>
      </c>
      <c r="U9445" t="s">
        <v>55</v>
      </c>
      <c r="V9445">
        <v>2</v>
      </c>
      <c r="W9445">
        <v>1</v>
      </c>
      <c r="X9445">
        <v>2</v>
      </c>
      <c r="Y9445">
        <v>0</v>
      </c>
      <c r="Z9445">
        <v>2</v>
      </c>
      <c r="AA9445">
        <v>356.02</v>
      </c>
      <c r="AB9445">
        <v>356.02</v>
      </c>
      <c r="AC9445">
        <v>327.38</v>
      </c>
      <c r="AD9445">
        <v>0</v>
      </c>
      <c r="AE9445">
        <v>28.64</v>
      </c>
      <c r="AF9445">
        <v>0</v>
      </c>
      <c r="AG9445">
        <v>0</v>
      </c>
      <c r="AH9445">
        <v>0</v>
      </c>
      <c r="AI9445">
        <v>64.08</v>
      </c>
      <c r="AJ9445">
        <v>356.02</v>
      </c>
      <c r="AK9445">
        <v>0</v>
      </c>
      <c r="AL9445" t="s">
        <v>53</v>
      </c>
      <c r="AM9445" t="s">
        <v>53</v>
      </c>
      <c r="AN9445" t="s">
        <v>53</v>
      </c>
      <c r="AO9445" t="s">
        <v>53</v>
      </c>
      <c r="AP9445" t="s">
        <v>53</v>
      </c>
    </row>
    <row r="9446" spans="2:42" x14ac:dyDescent="0.2">
      <c r="B9446" t="s">
        <v>44</v>
      </c>
      <c r="C9446" t="str">
        <f>HYPERLINK("https://us2.cloudbeds.com/connect/8493803454333002#/reservations/250906583507136?display=5DD94P770D&amp;reservation_id=250906583507136", "5DD94P770D")</f>
        <v>5DD94P770D</v>
      </c>
      <c r="D9446" t="s">
        <v>45</v>
      </c>
      <c r="E9446" t="s">
        <v>213</v>
      </c>
      <c r="F9446" t="s">
        <v>86</v>
      </c>
      <c r="G9446" t="s">
        <v>48</v>
      </c>
      <c r="H9446" t="s">
        <v>3957</v>
      </c>
      <c r="I9446" t="s">
        <v>3958</v>
      </c>
      <c r="J9446" t="s">
        <v>14632</v>
      </c>
      <c r="K9446" t="s">
        <v>17096</v>
      </c>
      <c r="L9446" t="s">
        <v>53</v>
      </c>
      <c r="P9446" t="s">
        <v>55</v>
      </c>
      <c r="R9446" t="s">
        <v>56</v>
      </c>
      <c r="T9446" t="s">
        <v>18111</v>
      </c>
      <c r="U9446" t="s">
        <v>58</v>
      </c>
      <c r="V9446">
        <v>1</v>
      </c>
      <c r="W9446">
        <v>1</v>
      </c>
      <c r="X9446">
        <v>1</v>
      </c>
      <c r="Y9446">
        <v>0</v>
      </c>
      <c r="Z9446">
        <v>1</v>
      </c>
      <c r="AA9446">
        <v>183.44</v>
      </c>
      <c r="AB9446">
        <v>183.44</v>
      </c>
      <c r="AC9446">
        <v>160</v>
      </c>
      <c r="AD9446">
        <v>0</v>
      </c>
      <c r="AE9446">
        <v>23.44</v>
      </c>
      <c r="AF9446">
        <v>0</v>
      </c>
      <c r="AG9446">
        <v>0</v>
      </c>
      <c r="AH9446">
        <v>0</v>
      </c>
      <c r="AI9446">
        <v>0</v>
      </c>
      <c r="AJ9446">
        <v>183.44</v>
      </c>
      <c r="AK9446">
        <v>0</v>
      </c>
      <c r="AL9446" t="s">
        <v>53</v>
      </c>
      <c r="AM9446" t="s">
        <v>53</v>
      </c>
      <c r="AN9446" t="s">
        <v>53</v>
      </c>
      <c r="AO9446" t="s">
        <v>53</v>
      </c>
      <c r="AP9446" t="s">
        <v>53</v>
      </c>
    </row>
    <row r="9447" spans="2:42" x14ac:dyDescent="0.2">
      <c r="B9447" t="s">
        <v>44</v>
      </c>
      <c r="C9447" t="str">
        <f>HYPERLINK("https://us2.cloudbeds.com/connect/8493803454333002#/reservations/9080486849544933?display=5DDEDBQYMM&amp;reservation_id=9080486849544933", "5DDEDBQYMM")</f>
        <v>5DDEDBQYMM</v>
      </c>
      <c r="D9447" t="s">
        <v>10291</v>
      </c>
      <c r="E9447" t="s">
        <v>138</v>
      </c>
      <c r="F9447" t="s">
        <v>70</v>
      </c>
      <c r="G9447" t="s">
        <v>48</v>
      </c>
      <c r="H9447" t="s">
        <v>49</v>
      </c>
      <c r="I9447" t="s">
        <v>50</v>
      </c>
      <c r="J9447" t="s">
        <v>16503</v>
      </c>
      <c r="K9447" t="s">
        <v>16504</v>
      </c>
      <c r="L9447" t="s">
        <v>53</v>
      </c>
      <c r="N9447" t="s">
        <v>18112</v>
      </c>
      <c r="P9447" t="s">
        <v>55</v>
      </c>
      <c r="R9447" t="s">
        <v>53</v>
      </c>
      <c r="T9447" t="s">
        <v>18113</v>
      </c>
      <c r="U9447" t="s">
        <v>55</v>
      </c>
      <c r="V9447">
        <v>1</v>
      </c>
      <c r="W9447">
        <v>1</v>
      </c>
      <c r="X9447">
        <v>2</v>
      </c>
      <c r="Y9447">
        <v>0</v>
      </c>
      <c r="Z9447">
        <v>2</v>
      </c>
      <c r="AA9447">
        <v>104.07</v>
      </c>
      <c r="AB9447">
        <v>0</v>
      </c>
      <c r="AC9447">
        <v>95.7</v>
      </c>
      <c r="AD9447">
        <v>0</v>
      </c>
      <c r="AE9447">
        <v>8.3699999999999992</v>
      </c>
      <c r="AF9447">
        <v>0</v>
      </c>
      <c r="AG9447">
        <v>0</v>
      </c>
      <c r="AH9447">
        <v>0</v>
      </c>
      <c r="AI9447">
        <v>18.73</v>
      </c>
      <c r="AJ9447">
        <v>104.07</v>
      </c>
      <c r="AK9447">
        <v>104.07</v>
      </c>
      <c r="AL9447" t="s">
        <v>53</v>
      </c>
      <c r="AM9447" t="s">
        <v>53</v>
      </c>
      <c r="AN9447" t="s">
        <v>53</v>
      </c>
      <c r="AO9447" t="s">
        <v>53</v>
      </c>
      <c r="AP9447" t="s">
        <v>53</v>
      </c>
    </row>
    <row r="9448" spans="2:42" x14ac:dyDescent="0.2">
      <c r="B9448" t="s">
        <v>44</v>
      </c>
      <c r="C9448" t="str">
        <f>HYPERLINK("https://us2.cloudbeds.com/connect/8493803454333002#/reservations/250913371824256?display=5DDED7A12X&amp;reservation_id=250913371824256", "5DDED7A12X")</f>
        <v>5DDED7A12X</v>
      </c>
      <c r="D9448" t="s">
        <v>45</v>
      </c>
      <c r="E9448" t="s">
        <v>121</v>
      </c>
      <c r="F9448" t="s">
        <v>86</v>
      </c>
      <c r="G9448" t="s">
        <v>48</v>
      </c>
      <c r="H9448" t="s">
        <v>3957</v>
      </c>
      <c r="I9448" t="s">
        <v>3975</v>
      </c>
      <c r="J9448" t="s">
        <v>14632</v>
      </c>
      <c r="K9448" t="s">
        <v>17096</v>
      </c>
      <c r="L9448" t="s">
        <v>53</v>
      </c>
      <c r="P9448" t="s">
        <v>55</v>
      </c>
      <c r="R9448" t="s">
        <v>56</v>
      </c>
      <c r="T9448" t="s">
        <v>18114</v>
      </c>
      <c r="U9448" t="s">
        <v>58</v>
      </c>
      <c r="V9448">
        <v>1</v>
      </c>
      <c r="W9448">
        <v>1</v>
      </c>
      <c r="X9448">
        <v>2</v>
      </c>
      <c r="Y9448">
        <v>0</v>
      </c>
      <c r="Z9448">
        <v>2</v>
      </c>
      <c r="AA9448">
        <v>183.44</v>
      </c>
      <c r="AB9448">
        <v>183.44</v>
      </c>
      <c r="AC9448">
        <v>160</v>
      </c>
      <c r="AD9448">
        <v>0</v>
      </c>
      <c r="AE9448">
        <v>23.44</v>
      </c>
      <c r="AF9448">
        <v>0</v>
      </c>
      <c r="AG9448">
        <v>0</v>
      </c>
      <c r="AH9448">
        <v>0</v>
      </c>
      <c r="AI9448">
        <v>0</v>
      </c>
      <c r="AJ9448">
        <v>183.44</v>
      </c>
      <c r="AK9448">
        <v>0</v>
      </c>
      <c r="AL9448" t="s">
        <v>53</v>
      </c>
      <c r="AM9448" t="s">
        <v>53</v>
      </c>
      <c r="AN9448" t="s">
        <v>53</v>
      </c>
      <c r="AO9448" t="s">
        <v>53</v>
      </c>
      <c r="AP9448" t="s">
        <v>53</v>
      </c>
    </row>
    <row r="9449" spans="2:42" x14ac:dyDescent="0.2">
      <c r="B9449" t="s">
        <v>44</v>
      </c>
      <c r="C9449" t="str">
        <f>HYPERLINK("https://us2.cloudbeds.com/connect/8493803454333002#/reservations/9080486849545056?display=5DDGR9DPDQ&amp;reservation_id=9080486849545056", "5DDGR9DPDQ")</f>
        <v>5DDGR9DPDQ</v>
      </c>
      <c r="D9449" t="s">
        <v>45</v>
      </c>
      <c r="E9449" t="s">
        <v>92</v>
      </c>
      <c r="F9449" t="s">
        <v>86</v>
      </c>
      <c r="G9449" t="s">
        <v>48</v>
      </c>
      <c r="H9449" t="s">
        <v>49</v>
      </c>
      <c r="I9449" t="s">
        <v>50</v>
      </c>
      <c r="J9449" t="s">
        <v>14632</v>
      </c>
      <c r="K9449" t="s">
        <v>17096</v>
      </c>
      <c r="L9449" t="s">
        <v>53</v>
      </c>
      <c r="N9449" t="s">
        <v>18115</v>
      </c>
      <c r="P9449" t="s">
        <v>55</v>
      </c>
      <c r="R9449" t="s">
        <v>53</v>
      </c>
      <c r="T9449" t="s">
        <v>18116</v>
      </c>
      <c r="U9449" t="s">
        <v>55</v>
      </c>
      <c r="V9449">
        <v>1</v>
      </c>
      <c r="W9449">
        <v>1</v>
      </c>
      <c r="X9449">
        <v>2</v>
      </c>
      <c r="Y9449">
        <v>0</v>
      </c>
      <c r="Z9449">
        <v>2</v>
      </c>
      <c r="AA9449">
        <v>120.28</v>
      </c>
      <c r="AB9449">
        <v>120.28</v>
      </c>
      <c r="AC9449">
        <v>110.6</v>
      </c>
      <c r="AD9449">
        <v>0</v>
      </c>
      <c r="AE9449">
        <v>9.68</v>
      </c>
      <c r="AF9449">
        <v>0</v>
      </c>
      <c r="AG9449">
        <v>0</v>
      </c>
      <c r="AH9449">
        <v>0</v>
      </c>
      <c r="AI9449">
        <v>21.65</v>
      </c>
      <c r="AJ9449">
        <v>120.28</v>
      </c>
      <c r="AK9449">
        <v>0</v>
      </c>
      <c r="AL9449" t="s">
        <v>53</v>
      </c>
      <c r="AM9449" t="s">
        <v>53</v>
      </c>
      <c r="AN9449" t="s">
        <v>53</v>
      </c>
      <c r="AO9449" t="s">
        <v>53</v>
      </c>
      <c r="AP9449" t="s">
        <v>53</v>
      </c>
    </row>
    <row r="9450" spans="2:42" x14ac:dyDescent="0.2">
      <c r="B9450" t="s">
        <v>44</v>
      </c>
      <c r="C9450" t="str">
        <f>HYPERLINK("https://us2.cloudbeds.com/connect/8493803454333002#/reservations/9080486849545205?display=5DDJS2YVEE&amp;reservation_id=9080486849545205", "5DDJS2YVEE")</f>
        <v>5DDJS2YVEE</v>
      </c>
      <c r="D9450" t="s">
        <v>45</v>
      </c>
      <c r="E9450" t="s">
        <v>406</v>
      </c>
      <c r="F9450" t="s">
        <v>61</v>
      </c>
      <c r="G9450" t="s">
        <v>48</v>
      </c>
      <c r="H9450" t="s">
        <v>49</v>
      </c>
      <c r="I9450" t="s">
        <v>50</v>
      </c>
      <c r="J9450" t="s">
        <v>14632</v>
      </c>
      <c r="K9450" t="s">
        <v>17096</v>
      </c>
      <c r="L9450" t="s">
        <v>53</v>
      </c>
      <c r="N9450" t="s">
        <v>18117</v>
      </c>
      <c r="P9450" t="s">
        <v>55</v>
      </c>
      <c r="R9450" t="s">
        <v>53</v>
      </c>
      <c r="T9450" t="s">
        <v>18118</v>
      </c>
      <c r="U9450" t="s">
        <v>55</v>
      </c>
      <c r="V9450">
        <v>1</v>
      </c>
      <c r="W9450">
        <v>1</v>
      </c>
      <c r="X9450">
        <v>1</v>
      </c>
      <c r="Y9450">
        <v>0</v>
      </c>
      <c r="Z9450">
        <v>1</v>
      </c>
      <c r="AA9450">
        <v>130.56</v>
      </c>
      <c r="AB9450">
        <v>130.56</v>
      </c>
      <c r="AC9450">
        <v>120.06</v>
      </c>
      <c r="AD9450">
        <v>0</v>
      </c>
      <c r="AE9450">
        <v>10.5</v>
      </c>
      <c r="AF9450">
        <v>0</v>
      </c>
      <c r="AG9450">
        <v>0</v>
      </c>
      <c r="AH9450">
        <v>0</v>
      </c>
      <c r="AI9450">
        <v>23.5</v>
      </c>
      <c r="AJ9450">
        <v>130.56</v>
      </c>
      <c r="AK9450">
        <v>0</v>
      </c>
      <c r="AL9450" t="s">
        <v>53</v>
      </c>
      <c r="AM9450" t="s">
        <v>53</v>
      </c>
      <c r="AN9450" t="s">
        <v>18119</v>
      </c>
      <c r="AO9450" t="s">
        <v>53</v>
      </c>
      <c r="AP9450" t="s">
        <v>53</v>
      </c>
    </row>
    <row r="9451" spans="2:42" x14ac:dyDescent="0.2">
      <c r="B9451" t="s">
        <v>44</v>
      </c>
      <c r="C9451" t="str">
        <f>HYPERLINK("https://us2.cloudbeds.com/connect/8493803454333002#/reservations/9080486849546538?display=5DECCVYX5T&amp;reservation_id=9080486849546538", "5DECCVYX5T")</f>
        <v>5DECCVYX5T</v>
      </c>
      <c r="D9451" t="s">
        <v>10291</v>
      </c>
      <c r="E9451" t="s">
        <v>14695</v>
      </c>
      <c r="F9451" t="s">
        <v>47</v>
      </c>
      <c r="G9451" t="s">
        <v>48</v>
      </c>
      <c r="H9451" t="s">
        <v>49</v>
      </c>
      <c r="I9451" t="s">
        <v>50</v>
      </c>
      <c r="J9451" t="s">
        <v>18120</v>
      </c>
      <c r="K9451" t="s">
        <v>16504</v>
      </c>
      <c r="L9451" t="s">
        <v>53</v>
      </c>
      <c r="N9451" t="s">
        <v>18121</v>
      </c>
      <c r="P9451" t="s">
        <v>55</v>
      </c>
      <c r="R9451" t="s">
        <v>53</v>
      </c>
      <c r="T9451" t="s">
        <v>18122</v>
      </c>
      <c r="U9451" t="s">
        <v>55</v>
      </c>
      <c r="V9451">
        <v>2</v>
      </c>
      <c r="W9451">
        <v>1</v>
      </c>
      <c r="X9451">
        <v>2</v>
      </c>
      <c r="Y9451">
        <v>0</v>
      </c>
      <c r="Z9451">
        <v>2</v>
      </c>
      <c r="AA9451">
        <v>293.52999999999997</v>
      </c>
      <c r="AB9451">
        <v>0</v>
      </c>
      <c r="AC9451">
        <v>269.92</v>
      </c>
      <c r="AD9451">
        <v>0</v>
      </c>
      <c r="AE9451">
        <v>23.61</v>
      </c>
      <c r="AF9451">
        <v>0</v>
      </c>
      <c r="AG9451">
        <v>0</v>
      </c>
      <c r="AH9451">
        <v>0</v>
      </c>
      <c r="AI9451">
        <v>52.84</v>
      </c>
      <c r="AJ9451">
        <v>293.52999999999997</v>
      </c>
      <c r="AK9451">
        <v>293.52999999999997</v>
      </c>
      <c r="AL9451" t="s">
        <v>53</v>
      </c>
      <c r="AM9451" t="s">
        <v>53</v>
      </c>
      <c r="AN9451" t="s">
        <v>53</v>
      </c>
      <c r="AO9451" t="s">
        <v>53</v>
      </c>
      <c r="AP9451" t="s">
        <v>53</v>
      </c>
    </row>
    <row r="9452" spans="2:42" x14ac:dyDescent="0.2">
      <c r="B9452" t="s">
        <v>44</v>
      </c>
      <c r="C9452" t="str">
        <f>HYPERLINK("https://us2.cloudbeds.com/connect/8493803454333002#/reservations/9080486849546586?display=5DED7JW9PN&amp;reservation_id=9080486849546586", "5DED7JW9PN")</f>
        <v>5DED7JW9PN</v>
      </c>
      <c r="D9452" t="s">
        <v>45</v>
      </c>
      <c r="E9452" t="s">
        <v>85</v>
      </c>
      <c r="F9452" t="s">
        <v>86</v>
      </c>
      <c r="G9452" t="s">
        <v>48</v>
      </c>
      <c r="H9452" t="s">
        <v>49</v>
      </c>
      <c r="I9452" t="s">
        <v>50</v>
      </c>
      <c r="J9452" t="s">
        <v>11651</v>
      </c>
      <c r="K9452" t="s">
        <v>11652</v>
      </c>
      <c r="L9452" t="s">
        <v>53</v>
      </c>
      <c r="N9452" t="s">
        <v>18123</v>
      </c>
      <c r="P9452" t="s">
        <v>55</v>
      </c>
      <c r="R9452" t="s">
        <v>53</v>
      </c>
      <c r="T9452" t="s">
        <v>18124</v>
      </c>
      <c r="U9452" t="s">
        <v>55</v>
      </c>
      <c r="V9452">
        <v>1</v>
      </c>
      <c r="W9452">
        <v>1</v>
      </c>
      <c r="X9452">
        <v>2</v>
      </c>
      <c r="Y9452">
        <v>0</v>
      </c>
      <c r="Z9452">
        <v>2</v>
      </c>
      <c r="AA9452">
        <v>150.35</v>
      </c>
      <c r="AB9452">
        <v>150.35</v>
      </c>
      <c r="AC9452">
        <v>138.25</v>
      </c>
      <c r="AD9452">
        <v>0</v>
      </c>
      <c r="AE9452">
        <v>12.1</v>
      </c>
      <c r="AF9452">
        <v>0</v>
      </c>
      <c r="AG9452">
        <v>0</v>
      </c>
      <c r="AH9452">
        <v>0</v>
      </c>
      <c r="AI9452">
        <v>27.06</v>
      </c>
      <c r="AJ9452">
        <v>150.35</v>
      </c>
      <c r="AK9452">
        <v>0</v>
      </c>
      <c r="AL9452" t="s">
        <v>53</v>
      </c>
      <c r="AM9452" t="s">
        <v>53</v>
      </c>
      <c r="AN9452" t="s">
        <v>53</v>
      </c>
      <c r="AO9452" t="s">
        <v>53</v>
      </c>
      <c r="AP9452" t="s">
        <v>53</v>
      </c>
    </row>
    <row r="9453" spans="2:42" x14ac:dyDescent="0.2">
      <c r="B9453" t="s">
        <v>44</v>
      </c>
      <c r="C9453" t="str">
        <f>HYPERLINK("https://us2.cloudbeds.com/connect/8493803454333002#/reservations/9080486849546621?display=5DEE09WPUJ&amp;reservation_id=9080486849546621", "5DEE09WPUJ")</f>
        <v>5DEE09WPUJ</v>
      </c>
      <c r="D9453" t="s">
        <v>45</v>
      </c>
      <c r="E9453" t="s">
        <v>138</v>
      </c>
      <c r="F9453" t="s">
        <v>70</v>
      </c>
      <c r="G9453" t="s">
        <v>48</v>
      </c>
      <c r="H9453" t="s">
        <v>49</v>
      </c>
      <c r="I9453" t="s">
        <v>50</v>
      </c>
      <c r="J9453" t="s">
        <v>14806</v>
      </c>
      <c r="K9453" t="s">
        <v>15548</v>
      </c>
      <c r="L9453" t="s">
        <v>53</v>
      </c>
      <c r="N9453" t="s">
        <v>18125</v>
      </c>
      <c r="P9453" t="s">
        <v>55</v>
      </c>
      <c r="R9453" t="s">
        <v>53</v>
      </c>
      <c r="T9453" t="s">
        <v>18126</v>
      </c>
      <c r="U9453" t="s">
        <v>55</v>
      </c>
      <c r="V9453">
        <v>1</v>
      </c>
      <c r="W9453">
        <v>1</v>
      </c>
      <c r="X9453">
        <v>2</v>
      </c>
      <c r="Y9453">
        <v>0</v>
      </c>
      <c r="Z9453">
        <v>2</v>
      </c>
      <c r="AA9453">
        <v>126.97</v>
      </c>
      <c r="AB9453">
        <v>126.97</v>
      </c>
      <c r="AC9453">
        <v>116.75</v>
      </c>
      <c r="AD9453">
        <v>0</v>
      </c>
      <c r="AE9453">
        <v>10.220000000000001</v>
      </c>
      <c r="AF9453">
        <v>0</v>
      </c>
      <c r="AG9453">
        <v>0</v>
      </c>
      <c r="AH9453">
        <v>0</v>
      </c>
      <c r="AI9453">
        <v>22.85</v>
      </c>
      <c r="AJ9453">
        <v>126.97</v>
      </c>
      <c r="AK9453">
        <v>0</v>
      </c>
      <c r="AL9453" t="s">
        <v>53</v>
      </c>
      <c r="AM9453" t="s">
        <v>53</v>
      </c>
      <c r="AN9453" t="s">
        <v>53</v>
      </c>
      <c r="AO9453" t="s">
        <v>53</v>
      </c>
      <c r="AP9453" t="s">
        <v>53</v>
      </c>
    </row>
    <row r="9454" spans="2:42" x14ac:dyDescent="0.2">
      <c r="B9454" t="s">
        <v>44</v>
      </c>
      <c r="C9454" t="str">
        <f>HYPERLINK("https://us2.cloudbeds.com/connect/8493803454333002#/reservations/9080486849546965?display=5DEY3RNMW0&amp;reservation_id=9080486849546965", "5DEY3RNMW0")</f>
        <v>5DEY3RNMW0</v>
      </c>
      <c r="D9454" t="s">
        <v>10291</v>
      </c>
      <c r="E9454" t="s">
        <v>110</v>
      </c>
      <c r="F9454" t="s">
        <v>47</v>
      </c>
      <c r="G9454" t="s">
        <v>48</v>
      </c>
      <c r="H9454" t="s">
        <v>49</v>
      </c>
      <c r="I9454" t="s">
        <v>50</v>
      </c>
      <c r="J9454" t="s">
        <v>15024</v>
      </c>
      <c r="K9454" t="s">
        <v>15936</v>
      </c>
      <c r="L9454" t="s">
        <v>53</v>
      </c>
      <c r="N9454" t="s">
        <v>18127</v>
      </c>
      <c r="P9454" t="s">
        <v>55</v>
      </c>
      <c r="R9454" t="s">
        <v>53</v>
      </c>
      <c r="T9454" t="s">
        <v>18128</v>
      </c>
      <c r="U9454" t="s">
        <v>55</v>
      </c>
      <c r="V9454">
        <v>1</v>
      </c>
      <c r="W9454">
        <v>1</v>
      </c>
      <c r="X9454">
        <v>2</v>
      </c>
      <c r="Y9454">
        <v>0</v>
      </c>
      <c r="Z9454">
        <v>2</v>
      </c>
      <c r="AA9454">
        <v>105.26</v>
      </c>
      <c r="AB9454">
        <v>0</v>
      </c>
      <c r="AC9454">
        <v>96.79</v>
      </c>
      <c r="AD9454">
        <v>0</v>
      </c>
      <c r="AE9454">
        <v>8.4700000000000006</v>
      </c>
      <c r="AF9454">
        <v>0</v>
      </c>
      <c r="AG9454">
        <v>0</v>
      </c>
      <c r="AH9454">
        <v>0</v>
      </c>
      <c r="AI9454">
        <v>18.95</v>
      </c>
      <c r="AJ9454">
        <v>105.26</v>
      </c>
      <c r="AK9454">
        <v>105.26</v>
      </c>
      <c r="AL9454" t="s">
        <v>53</v>
      </c>
      <c r="AM9454" t="s">
        <v>53</v>
      </c>
      <c r="AN9454" t="s">
        <v>53</v>
      </c>
      <c r="AO9454" t="s">
        <v>53</v>
      </c>
      <c r="AP9454" t="s">
        <v>53</v>
      </c>
    </row>
    <row r="9455" spans="2:42" x14ac:dyDescent="0.2">
      <c r="B9455" t="s">
        <v>44</v>
      </c>
      <c r="C9455" t="str">
        <f>HYPERLINK("https://us2.cloudbeds.com/connect/8493803454333002#/reservations/9080486849547095?display=5DENXZAFAS&amp;reservation_id=9080486849547095", "5DENXZAFAS")</f>
        <v>5DENXZAFAS</v>
      </c>
      <c r="D9455" t="s">
        <v>10291</v>
      </c>
      <c r="E9455" t="s">
        <v>69</v>
      </c>
      <c r="F9455" t="s">
        <v>70</v>
      </c>
      <c r="G9455" t="s">
        <v>48</v>
      </c>
      <c r="H9455" t="s">
        <v>49</v>
      </c>
      <c r="I9455" t="s">
        <v>50</v>
      </c>
      <c r="J9455" t="s">
        <v>17242</v>
      </c>
      <c r="K9455" t="s">
        <v>17533</v>
      </c>
      <c r="L9455" t="s">
        <v>53</v>
      </c>
      <c r="N9455" t="s">
        <v>18129</v>
      </c>
      <c r="P9455" t="s">
        <v>55</v>
      </c>
      <c r="R9455" t="s">
        <v>53</v>
      </c>
      <c r="T9455" t="s">
        <v>18130</v>
      </c>
      <c r="U9455" t="s">
        <v>55</v>
      </c>
      <c r="V9455">
        <v>1</v>
      </c>
      <c r="W9455">
        <v>1</v>
      </c>
      <c r="X9455">
        <v>2</v>
      </c>
      <c r="Y9455">
        <v>0</v>
      </c>
      <c r="Z9455">
        <v>2</v>
      </c>
      <c r="AA9455">
        <v>85.7</v>
      </c>
      <c r="AB9455">
        <v>0</v>
      </c>
      <c r="AC9455">
        <v>78.8</v>
      </c>
      <c r="AD9455">
        <v>0</v>
      </c>
      <c r="AE9455">
        <v>6.9</v>
      </c>
      <c r="AF9455">
        <v>0</v>
      </c>
      <c r="AG9455">
        <v>0</v>
      </c>
      <c r="AH9455">
        <v>0</v>
      </c>
      <c r="AI9455">
        <v>15.43</v>
      </c>
      <c r="AJ9455">
        <v>85.7</v>
      </c>
      <c r="AK9455">
        <v>85.7</v>
      </c>
      <c r="AL9455" t="s">
        <v>53</v>
      </c>
      <c r="AM9455" t="s">
        <v>53</v>
      </c>
      <c r="AN9455" t="s">
        <v>53</v>
      </c>
      <c r="AO9455" t="s">
        <v>53</v>
      </c>
      <c r="AP9455" t="s">
        <v>53</v>
      </c>
    </row>
    <row r="9456" spans="2:42" x14ac:dyDescent="0.2">
      <c r="B9456" t="s">
        <v>44</v>
      </c>
      <c r="C9456" t="str">
        <f>HYPERLINK("https://us2.cloudbeds.com/connect/8493803454333002#/reservations/250989211762880?display=5DF743X3SW&amp;reservation_id=250989211762880", "5DF743X3SW")</f>
        <v>5DF743X3SW</v>
      </c>
      <c r="D9456" t="s">
        <v>45</v>
      </c>
      <c r="E9456" t="s">
        <v>14402</v>
      </c>
      <c r="F9456" t="s">
        <v>14403</v>
      </c>
      <c r="G9456" t="s">
        <v>48</v>
      </c>
      <c r="H9456" t="s">
        <v>3957</v>
      </c>
      <c r="I9456" t="s">
        <v>3975</v>
      </c>
      <c r="J9456" t="s">
        <v>17077</v>
      </c>
      <c r="K9456" t="s">
        <v>17078</v>
      </c>
      <c r="L9456" t="s">
        <v>53</v>
      </c>
      <c r="P9456" t="s">
        <v>55</v>
      </c>
      <c r="R9456" t="s">
        <v>56</v>
      </c>
      <c r="T9456" t="s">
        <v>18131</v>
      </c>
      <c r="U9456" t="s">
        <v>58</v>
      </c>
      <c r="V9456">
        <v>1</v>
      </c>
      <c r="W9456">
        <v>1</v>
      </c>
      <c r="X9456">
        <v>2</v>
      </c>
      <c r="Y9456">
        <v>0</v>
      </c>
      <c r="Z9456">
        <v>2</v>
      </c>
      <c r="AA9456">
        <v>0</v>
      </c>
      <c r="AB9456">
        <v>223.58</v>
      </c>
      <c r="AC9456">
        <v>195</v>
      </c>
      <c r="AD9456">
        <v>0</v>
      </c>
      <c r="AE9456">
        <v>28.58</v>
      </c>
      <c r="AF9456">
        <v>0</v>
      </c>
      <c r="AG9456">
        <v>0</v>
      </c>
      <c r="AH9456">
        <v>0</v>
      </c>
      <c r="AI9456">
        <v>0</v>
      </c>
      <c r="AJ9456">
        <v>223.58</v>
      </c>
      <c r="AK9456">
        <v>0</v>
      </c>
      <c r="AL9456" t="s">
        <v>53</v>
      </c>
      <c r="AM9456" t="s">
        <v>53</v>
      </c>
      <c r="AN9456" t="s">
        <v>53</v>
      </c>
      <c r="AO9456" t="s">
        <v>53</v>
      </c>
      <c r="AP9456" t="s">
        <v>53</v>
      </c>
    </row>
    <row r="9457" spans="2:42" x14ac:dyDescent="0.2">
      <c r="B9457" t="s">
        <v>44</v>
      </c>
      <c r="C9457" t="str">
        <f>HYPERLINK("https://us2.cloudbeds.com/connect/8493803454333002#/reservations/9080486849548714?display=5DFQN1CVCM&amp;reservation_id=9080486849548714", "5DFQN1CVCM")</f>
        <v>5DFQN1CVCM</v>
      </c>
      <c r="D9457" t="s">
        <v>10291</v>
      </c>
      <c r="E9457" t="s">
        <v>138</v>
      </c>
      <c r="F9457" t="s">
        <v>70</v>
      </c>
      <c r="G9457" t="s">
        <v>48</v>
      </c>
      <c r="H9457" t="s">
        <v>49</v>
      </c>
      <c r="I9457" t="s">
        <v>50</v>
      </c>
      <c r="J9457" t="s">
        <v>18132</v>
      </c>
      <c r="K9457" t="s">
        <v>18133</v>
      </c>
      <c r="L9457" t="s">
        <v>53</v>
      </c>
      <c r="N9457" t="s">
        <v>18134</v>
      </c>
      <c r="P9457" t="s">
        <v>55</v>
      </c>
      <c r="R9457" t="s">
        <v>53</v>
      </c>
      <c r="T9457" t="s">
        <v>18135</v>
      </c>
      <c r="U9457" t="s">
        <v>58</v>
      </c>
      <c r="V9457">
        <v>1</v>
      </c>
      <c r="W9457">
        <v>1</v>
      </c>
      <c r="X9457">
        <v>2</v>
      </c>
      <c r="Y9457">
        <v>0</v>
      </c>
      <c r="Z9457">
        <v>2</v>
      </c>
      <c r="AA9457">
        <v>102.91</v>
      </c>
      <c r="AB9457">
        <v>0</v>
      </c>
      <c r="AC9457">
        <v>89.77</v>
      </c>
      <c r="AD9457">
        <v>0</v>
      </c>
      <c r="AE9457">
        <v>13.14</v>
      </c>
      <c r="AF9457">
        <v>0</v>
      </c>
      <c r="AG9457">
        <v>0</v>
      </c>
      <c r="AH9457">
        <v>0</v>
      </c>
      <c r="AI9457">
        <v>18.52</v>
      </c>
      <c r="AJ9457">
        <v>102.91</v>
      </c>
      <c r="AK9457">
        <v>102.91</v>
      </c>
      <c r="AL9457" t="s">
        <v>53</v>
      </c>
      <c r="AM9457" t="s">
        <v>53</v>
      </c>
      <c r="AN9457" t="s">
        <v>53</v>
      </c>
      <c r="AO9457" t="s">
        <v>53</v>
      </c>
      <c r="AP9457" t="s">
        <v>53</v>
      </c>
    </row>
    <row r="9458" spans="2:42" x14ac:dyDescent="0.2">
      <c r="B9458" t="s">
        <v>44</v>
      </c>
      <c r="C9458" t="str">
        <f>HYPERLINK("https://us2.cloudbeds.com/connect/8493803454333002#/reservations/9080486849548715?display=5DFQNXUGHT&amp;reservation_id=9080486849548715", "5DFQNXUGHT")</f>
        <v>5DFQNXUGHT</v>
      </c>
      <c r="D9458" t="s">
        <v>10291</v>
      </c>
      <c r="E9458" t="s">
        <v>69</v>
      </c>
      <c r="F9458" t="s">
        <v>70</v>
      </c>
      <c r="G9458" t="s">
        <v>48</v>
      </c>
      <c r="H9458" t="s">
        <v>49</v>
      </c>
      <c r="I9458" t="s">
        <v>50</v>
      </c>
      <c r="J9458" t="s">
        <v>18132</v>
      </c>
      <c r="K9458" t="s">
        <v>18133</v>
      </c>
      <c r="L9458" t="s">
        <v>53</v>
      </c>
      <c r="N9458" t="s">
        <v>18136</v>
      </c>
      <c r="P9458" t="s">
        <v>55</v>
      </c>
      <c r="R9458" t="s">
        <v>53</v>
      </c>
      <c r="T9458" t="s">
        <v>18137</v>
      </c>
      <c r="U9458" t="s">
        <v>58</v>
      </c>
      <c r="V9458">
        <v>1</v>
      </c>
      <c r="W9458">
        <v>1</v>
      </c>
      <c r="X9458">
        <v>2</v>
      </c>
      <c r="Y9458">
        <v>0</v>
      </c>
      <c r="Z9458">
        <v>2</v>
      </c>
      <c r="AA9458">
        <v>102.91</v>
      </c>
      <c r="AB9458">
        <v>0</v>
      </c>
      <c r="AC9458">
        <v>89.77</v>
      </c>
      <c r="AD9458">
        <v>0</v>
      </c>
      <c r="AE9458">
        <v>13.14</v>
      </c>
      <c r="AF9458">
        <v>0</v>
      </c>
      <c r="AG9458">
        <v>0</v>
      </c>
      <c r="AH9458">
        <v>0</v>
      </c>
      <c r="AI9458">
        <v>18.52</v>
      </c>
      <c r="AJ9458">
        <v>102.91</v>
      </c>
      <c r="AK9458">
        <v>102.91</v>
      </c>
      <c r="AL9458" t="s">
        <v>53</v>
      </c>
      <c r="AM9458" t="s">
        <v>53</v>
      </c>
      <c r="AN9458" t="s">
        <v>53</v>
      </c>
      <c r="AO9458" t="s">
        <v>53</v>
      </c>
      <c r="AP9458" t="s">
        <v>53</v>
      </c>
    </row>
    <row r="9459" spans="2:42" x14ac:dyDescent="0.2">
      <c r="B9459" t="s">
        <v>44</v>
      </c>
      <c r="C9459" t="str">
        <f>HYPERLINK("https://us2.cloudbeds.com/connect/8493803454333002#/reservations/251117314216064?display=5DX7ADU13S&amp;reservation_id=251117314216064", "5DX7ADU13S")</f>
        <v>5DX7ADU13S</v>
      </c>
      <c r="D9459" t="s">
        <v>10291</v>
      </c>
      <c r="E9459" t="s">
        <v>18138</v>
      </c>
      <c r="F9459" t="s">
        <v>18139</v>
      </c>
      <c r="G9459" t="s">
        <v>3974</v>
      </c>
      <c r="H9459" t="s">
        <v>3957</v>
      </c>
      <c r="I9459" t="s">
        <v>3975</v>
      </c>
      <c r="J9459" t="s">
        <v>18140</v>
      </c>
      <c r="K9459" t="s">
        <v>16569</v>
      </c>
      <c r="L9459" t="s">
        <v>53</v>
      </c>
      <c r="P9459" t="s">
        <v>55</v>
      </c>
      <c r="R9459" t="s">
        <v>118</v>
      </c>
      <c r="T9459" t="s">
        <v>18141</v>
      </c>
      <c r="U9459" t="s">
        <v>58</v>
      </c>
      <c r="V9459">
        <v>4</v>
      </c>
      <c r="W9459">
        <v>4</v>
      </c>
      <c r="X9459">
        <v>7</v>
      </c>
      <c r="Y9459">
        <v>0</v>
      </c>
      <c r="Z9459">
        <v>7</v>
      </c>
      <c r="AA9459">
        <v>697.09</v>
      </c>
      <c r="AB9459">
        <v>697.09</v>
      </c>
      <c r="AC9459">
        <v>608</v>
      </c>
      <c r="AD9459">
        <v>0</v>
      </c>
      <c r="AE9459">
        <v>89.09</v>
      </c>
      <c r="AF9459">
        <v>0</v>
      </c>
      <c r="AG9459">
        <v>0</v>
      </c>
      <c r="AH9459">
        <v>0</v>
      </c>
      <c r="AI9459">
        <v>0</v>
      </c>
      <c r="AJ9459">
        <v>697.09</v>
      </c>
      <c r="AK9459">
        <v>0</v>
      </c>
      <c r="AL9459" t="s">
        <v>53</v>
      </c>
      <c r="AM9459" t="s">
        <v>53</v>
      </c>
      <c r="AN9459" t="s">
        <v>53</v>
      </c>
      <c r="AO9459" t="s">
        <v>53</v>
      </c>
      <c r="AP9459" t="s">
        <v>53</v>
      </c>
    </row>
    <row r="9460" spans="2:42" x14ac:dyDescent="0.2">
      <c r="B9460" t="s">
        <v>44</v>
      </c>
      <c r="C9460" t="str">
        <f>HYPERLINK("https://us2.cloudbeds.com/connect/8493803454333002#/reservations/9080486849554918?display=5DJZ8D1XY6&amp;reservation_id=9080486849554918", "5DJZ8D1XY6")</f>
        <v>5DJZ8D1XY6</v>
      </c>
      <c r="D9460" t="s">
        <v>45</v>
      </c>
      <c r="E9460" t="s">
        <v>110</v>
      </c>
      <c r="F9460" t="s">
        <v>47</v>
      </c>
      <c r="G9460" t="s">
        <v>48</v>
      </c>
      <c r="H9460" t="s">
        <v>49</v>
      </c>
      <c r="I9460" t="s">
        <v>50</v>
      </c>
      <c r="J9460" t="s">
        <v>17096</v>
      </c>
      <c r="K9460" t="s">
        <v>17077</v>
      </c>
      <c r="L9460" t="s">
        <v>53</v>
      </c>
      <c r="N9460" t="s">
        <v>18142</v>
      </c>
      <c r="P9460" t="s">
        <v>55</v>
      </c>
      <c r="R9460" t="s">
        <v>53</v>
      </c>
      <c r="T9460" t="s">
        <v>18143</v>
      </c>
      <c r="U9460" t="s">
        <v>55</v>
      </c>
      <c r="V9460">
        <v>1</v>
      </c>
      <c r="W9460">
        <v>1</v>
      </c>
      <c r="X9460">
        <v>2</v>
      </c>
      <c r="Y9460">
        <v>0</v>
      </c>
      <c r="Z9460">
        <v>2</v>
      </c>
      <c r="AA9460">
        <v>152.11000000000001</v>
      </c>
      <c r="AB9460">
        <v>152.11000000000001</v>
      </c>
      <c r="AC9460">
        <v>139.87</v>
      </c>
      <c r="AD9460">
        <v>0</v>
      </c>
      <c r="AE9460">
        <v>12.24</v>
      </c>
      <c r="AF9460">
        <v>0</v>
      </c>
      <c r="AG9460">
        <v>0</v>
      </c>
      <c r="AH9460">
        <v>0</v>
      </c>
      <c r="AI9460">
        <v>27.38</v>
      </c>
      <c r="AJ9460">
        <v>152.11000000000001</v>
      </c>
      <c r="AK9460">
        <v>0</v>
      </c>
      <c r="AL9460" t="s">
        <v>53</v>
      </c>
      <c r="AM9460" t="s">
        <v>53</v>
      </c>
      <c r="AN9460" t="s">
        <v>18144</v>
      </c>
      <c r="AO9460" t="s">
        <v>53</v>
      </c>
      <c r="AP9460" t="s">
        <v>53</v>
      </c>
    </row>
    <row r="9461" spans="2:42" x14ac:dyDescent="0.2">
      <c r="B9461" t="s">
        <v>44</v>
      </c>
      <c r="C9461" t="str">
        <f>HYPERLINK("https://us2.cloudbeds.com/connect/8493803454333002#/reservations/9080486849555425?display=5DJWBHGUVX&amp;reservation_id=9080486849555425", "5DJWBHGUVX")</f>
        <v>5DJWBHGUVX</v>
      </c>
      <c r="D9461" t="s">
        <v>45</v>
      </c>
      <c r="E9461" t="s">
        <v>85</v>
      </c>
      <c r="F9461" t="s">
        <v>86</v>
      </c>
      <c r="G9461" t="s">
        <v>48</v>
      </c>
      <c r="H9461" t="s">
        <v>49</v>
      </c>
      <c r="I9461" t="s">
        <v>50</v>
      </c>
      <c r="J9461" t="s">
        <v>17077</v>
      </c>
      <c r="K9461" t="s">
        <v>17078</v>
      </c>
      <c r="L9461" t="s">
        <v>53</v>
      </c>
      <c r="N9461" t="s">
        <v>18145</v>
      </c>
      <c r="P9461" t="s">
        <v>55</v>
      </c>
      <c r="R9461" t="s">
        <v>53</v>
      </c>
      <c r="T9461" t="s">
        <v>18146</v>
      </c>
      <c r="U9461" t="s">
        <v>55</v>
      </c>
      <c r="V9461">
        <v>1</v>
      </c>
      <c r="W9461">
        <v>1</v>
      </c>
      <c r="X9461">
        <v>2</v>
      </c>
      <c r="Y9461">
        <v>1</v>
      </c>
      <c r="Z9461">
        <v>3</v>
      </c>
      <c r="AA9461">
        <v>181.46</v>
      </c>
      <c r="AB9461">
        <v>181.46</v>
      </c>
      <c r="AC9461">
        <v>166.86</v>
      </c>
      <c r="AD9461">
        <v>0</v>
      </c>
      <c r="AE9461">
        <v>14.6</v>
      </c>
      <c r="AF9461">
        <v>0</v>
      </c>
      <c r="AG9461">
        <v>0</v>
      </c>
      <c r="AH9461">
        <v>0</v>
      </c>
      <c r="AI9461">
        <v>32.659999999999997</v>
      </c>
      <c r="AJ9461">
        <v>181.46</v>
      </c>
      <c r="AK9461">
        <v>0</v>
      </c>
      <c r="AL9461" t="s">
        <v>53</v>
      </c>
      <c r="AM9461" t="s">
        <v>53</v>
      </c>
      <c r="AN9461" t="s">
        <v>53</v>
      </c>
      <c r="AO9461" t="s">
        <v>53</v>
      </c>
      <c r="AP9461" t="s">
        <v>53</v>
      </c>
    </row>
    <row r="9462" spans="2:42" x14ac:dyDescent="0.2">
      <c r="B9462" t="s">
        <v>44</v>
      </c>
      <c r="C9462" t="str">
        <f>HYPERLINK("https://us2.cloudbeds.com/connect/8493803454333002#/reservations/9080486849555769?display=5DK4V4R6WX&amp;reservation_id=9080486849555769", "5DK4V4R6WX")</f>
        <v>5DK4V4R6WX</v>
      </c>
      <c r="D9462" t="s">
        <v>45</v>
      </c>
      <c r="E9462" t="s">
        <v>121</v>
      </c>
      <c r="F9462" t="s">
        <v>86</v>
      </c>
      <c r="G9462" t="s">
        <v>48</v>
      </c>
      <c r="H9462" t="s">
        <v>49</v>
      </c>
      <c r="I9462" t="s">
        <v>50</v>
      </c>
      <c r="J9462" t="s">
        <v>17077</v>
      </c>
      <c r="K9462" t="s">
        <v>16205</v>
      </c>
      <c r="L9462" t="s">
        <v>53</v>
      </c>
      <c r="N9462" t="s">
        <v>18147</v>
      </c>
      <c r="P9462" t="s">
        <v>55</v>
      </c>
      <c r="R9462" t="s">
        <v>53</v>
      </c>
      <c r="T9462" t="s">
        <v>18148</v>
      </c>
      <c r="U9462" t="s">
        <v>55</v>
      </c>
      <c r="V9462">
        <v>2</v>
      </c>
      <c r="W9462">
        <v>1</v>
      </c>
      <c r="X9462">
        <v>2</v>
      </c>
      <c r="Y9462">
        <v>0</v>
      </c>
      <c r="Z9462">
        <v>2</v>
      </c>
      <c r="AA9462">
        <v>291.11</v>
      </c>
      <c r="AB9462">
        <v>291.11</v>
      </c>
      <c r="AC9462">
        <v>267.69</v>
      </c>
      <c r="AD9462">
        <v>0</v>
      </c>
      <c r="AE9462">
        <v>23.42</v>
      </c>
      <c r="AF9462">
        <v>0</v>
      </c>
      <c r="AG9462">
        <v>0</v>
      </c>
      <c r="AH9462">
        <v>0</v>
      </c>
      <c r="AI9462">
        <v>52.4</v>
      </c>
      <c r="AJ9462">
        <v>291.11</v>
      </c>
      <c r="AK9462">
        <v>0</v>
      </c>
      <c r="AL9462" t="s">
        <v>53</v>
      </c>
      <c r="AM9462" t="s">
        <v>53</v>
      </c>
      <c r="AN9462" t="s">
        <v>53</v>
      </c>
      <c r="AO9462" t="s">
        <v>53</v>
      </c>
      <c r="AP9462" t="s">
        <v>53</v>
      </c>
    </row>
    <row r="9463" spans="2:42" x14ac:dyDescent="0.2">
      <c r="B9463" t="s">
        <v>44</v>
      </c>
      <c r="C9463" t="str">
        <f>HYPERLINK("https://us2.cloudbeds.com/connect/8493803454333002#/reservations/9080486849557103?display=5DKRG8GB75&amp;reservation_id=9080486849557103", "5DKRG8GB75")</f>
        <v>5DKRG8GB75</v>
      </c>
      <c r="D9463" t="s">
        <v>10291</v>
      </c>
      <c r="E9463" t="s">
        <v>190</v>
      </c>
      <c r="F9463" t="s">
        <v>61</v>
      </c>
      <c r="G9463" t="s">
        <v>48</v>
      </c>
      <c r="H9463" t="s">
        <v>49</v>
      </c>
      <c r="I9463" t="s">
        <v>8964</v>
      </c>
      <c r="J9463" t="s">
        <v>10292</v>
      </c>
      <c r="K9463" t="s">
        <v>15024</v>
      </c>
      <c r="L9463" t="s">
        <v>53</v>
      </c>
      <c r="N9463" t="s">
        <v>18149</v>
      </c>
      <c r="P9463" t="s">
        <v>55</v>
      </c>
      <c r="R9463" t="s">
        <v>53</v>
      </c>
      <c r="T9463" t="s">
        <v>18150</v>
      </c>
      <c r="U9463" t="s">
        <v>55</v>
      </c>
      <c r="V9463">
        <v>5</v>
      </c>
      <c r="W9463">
        <v>1</v>
      </c>
      <c r="X9463">
        <v>1</v>
      </c>
      <c r="Y9463">
        <v>0</v>
      </c>
      <c r="Z9463">
        <v>1</v>
      </c>
      <c r="AA9463">
        <v>0</v>
      </c>
      <c r="AB9463">
        <v>0</v>
      </c>
      <c r="AC9463">
        <v>965</v>
      </c>
      <c r="AD9463">
        <v>0</v>
      </c>
      <c r="AE9463">
        <v>0</v>
      </c>
      <c r="AF9463">
        <v>0</v>
      </c>
      <c r="AG9463">
        <v>0</v>
      </c>
      <c r="AH9463">
        <v>0</v>
      </c>
      <c r="AI9463">
        <v>144.75</v>
      </c>
      <c r="AJ9463">
        <v>965</v>
      </c>
      <c r="AK9463">
        <v>965</v>
      </c>
      <c r="AL9463" t="s">
        <v>53</v>
      </c>
      <c r="AM9463" t="s">
        <v>53</v>
      </c>
      <c r="AN9463" t="s">
        <v>53</v>
      </c>
      <c r="AO9463" t="s">
        <v>53</v>
      </c>
      <c r="AP9463" t="s">
        <v>53</v>
      </c>
    </row>
    <row r="9464" spans="2:42" x14ac:dyDescent="0.2">
      <c r="B9464" t="s">
        <v>44</v>
      </c>
      <c r="C9464" t="str">
        <f>HYPERLINK("https://us2.cloudbeds.com/connect/8493803454333002#/reservations/251229567418496?display=5DKS7ZR04W&amp;reservation_id=251229567418496", "5DKS7ZR04W")</f>
        <v>5DKS7ZR04W</v>
      </c>
      <c r="D9464" t="s">
        <v>10291</v>
      </c>
      <c r="E9464" t="s">
        <v>18151</v>
      </c>
      <c r="F9464" t="s">
        <v>86</v>
      </c>
      <c r="G9464" t="s">
        <v>15366</v>
      </c>
      <c r="H9464" t="s">
        <v>3957</v>
      </c>
      <c r="I9464" t="s">
        <v>3958</v>
      </c>
      <c r="J9464" t="s">
        <v>17898</v>
      </c>
      <c r="K9464" t="s">
        <v>18152</v>
      </c>
      <c r="L9464" t="s">
        <v>53</v>
      </c>
      <c r="P9464" t="s">
        <v>55</v>
      </c>
      <c r="R9464" t="s">
        <v>56</v>
      </c>
      <c r="T9464" t="s">
        <v>18153</v>
      </c>
      <c r="U9464" t="s">
        <v>58</v>
      </c>
      <c r="V9464">
        <v>6</v>
      </c>
      <c r="W9464">
        <v>6</v>
      </c>
      <c r="X9464">
        <v>6</v>
      </c>
      <c r="Y9464">
        <v>0</v>
      </c>
      <c r="Z9464">
        <v>6</v>
      </c>
      <c r="AA9464">
        <v>742.92</v>
      </c>
      <c r="AB9464">
        <v>0</v>
      </c>
      <c r="AC9464">
        <v>648</v>
      </c>
      <c r="AD9464">
        <v>0</v>
      </c>
      <c r="AE9464">
        <v>94.92</v>
      </c>
      <c r="AF9464">
        <v>0</v>
      </c>
      <c r="AG9464">
        <v>0</v>
      </c>
      <c r="AH9464">
        <v>0</v>
      </c>
      <c r="AI9464">
        <v>0</v>
      </c>
      <c r="AJ9464">
        <v>742.92</v>
      </c>
      <c r="AK9464">
        <v>742.92</v>
      </c>
      <c r="AL9464" t="s">
        <v>53</v>
      </c>
      <c r="AM9464" t="s">
        <v>53</v>
      </c>
      <c r="AN9464" t="s">
        <v>53</v>
      </c>
      <c r="AO9464" t="s">
        <v>53</v>
      </c>
      <c r="AP9464" t="s">
        <v>53</v>
      </c>
    </row>
    <row r="9465" spans="2:42" x14ac:dyDescent="0.2">
      <c r="B9465" t="s">
        <v>44</v>
      </c>
      <c r="C9465" t="str">
        <f>HYPERLINK("https://us2.cloudbeds.com/connect/8493803454333002#/reservations/251230338773184?display=5DKSRF7ZE7&amp;reservation_id=251230338773184", "5DKSRF7ZE7")</f>
        <v>5DKSRF7ZE7</v>
      </c>
      <c r="D9465" t="s">
        <v>10291</v>
      </c>
      <c r="E9465" t="s">
        <v>18151</v>
      </c>
      <c r="F9465" t="s">
        <v>86</v>
      </c>
      <c r="G9465" t="s">
        <v>13757</v>
      </c>
      <c r="H9465" t="s">
        <v>3957</v>
      </c>
      <c r="I9465" t="s">
        <v>3958</v>
      </c>
      <c r="J9465" t="s">
        <v>18154</v>
      </c>
      <c r="K9465" t="s">
        <v>18155</v>
      </c>
      <c r="L9465" t="s">
        <v>53</v>
      </c>
      <c r="P9465" t="s">
        <v>55</v>
      </c>
      <c r="R9465" t="s">
        <v>56</v>
      </c>
      <c r="T9465" t="s">
        <v>18156</v>
      </c>
      <c r="U9465" t="s">
        <v>58</v>
      </c>
      <c r="V9465">
        <v>6</v>
      </c>
      <c r="W9465">
        <v>6</v>
      </c>
      <c r="X9465">
        <v>6</v>
      </c>
      <c r="Y9465">
        <v>0</v>
      </c>
      <c r="Z9465">
        <v>6</v>
      </c>
      <c r="AA9465">
        <v>804.84</v>
      </c>
      <c r="AB9465">
        <v>0</v>
      </c>
      <c r="AC9465">
        <v>702</v>
      </c>
      <c r="AD9465">
        <v>0</v>
      </c>
      <c r="AE9465">
        <v>102.84</v>
      </c>
      <c r="AF9465">
        <v>0</v>
      </c>
      <c r="AG9465">
        <v>0</v>
      </c>
      <c r="AH9465">
        <v>0</v>
      </c>
      <c r="AI9465">
        <v>0</v>
      </c>
      <c r="AJ9465">
        <v>804.84</v>
      </c>
      <c r="AK9465">
        <v>804.84</v>
      </c>
      <c r="AL9465" t="s">
        <v>53</v>
      </c>
      <c r="AM9465" t="s">
        <v>53</v>
      </c>
      <c r="AN9465" t="s">
        <v>53</v>
      </c>
      <c r="AO9465" t="s">
        <v>53</v>
      </c>
      <c r="AP9465" t="s">
        <v>53</v>
      </c>
    </row>
    <row r="9466" spans="2:42" x14ac:dyDescent="0.2">
      <c r="B9466" t="s">
        <v>44</v>
      </c>
      <c r="C9466" t="str">
        <f>HYPERLINK("https://us2.cloudbeds.com/connect/8493803454333002#/reservations/9080486849557697?display=5DY4QK20AR&amp;reservation_id=9080486849557697", "5DY4QK20AR")</f>
        <v>5DY4QK20AR</v>
      </c>
      <c r="D9466" t="s">
        <v>45</v>
      </c>
      <c r="E9466" t="s">
        <v>92</v>
      </c>
      <c r="F9466" t="s">
        <v>86</v>
      </c>
      <c r="G9466" t="s">
        <v>48</v>
      </c>
      <c r="H9466" t="s">
        <v>49</v>
      </c>
      <c r="I9466" t="s">
        <v>50</v>
      </c>
      <c r="J9466" t="s">
        <v>14732</v>
      </c>
      <c r="K9466" t="s">
        <v>14390</v>
      </c>
      <c r="L9466" t="s">
        <v>53</v>
      </c>
      <c r="N9466" t="s">
        <v>18157</v>
      </c>
      <c r="P9466" t="s">
        <v>55</v>
      </c>
      <c r="R9466" t="s">
        <v>53</v>
      </c>
      <c r="T9466" t="s">
        <v>18158</v>
      </c>
      <c r="U9466" t="s">
        <v>58</v>
      </c>
      <c r="V9466">
        <v>1</v>
      </c>
      <c r="W9466">
        <v>1</v>
      </c>
      <c r="X9466">
        <v>2</v>
      </c>
      <c r="Y9466">
        <v>0</v>
      </c>
      <c r="Z9466">
        <v>2</v>
      </c>
      <c r="AA9466">
        <v>208.74</v>
      </c>
      <c r="AB9466">
        <v>208.74</v>
      </c>
      <c r="AC9466">
        <v>182.07</v>
      </c>
      <c r="AD9466">
        <v>0</v>
      </c>
      <c r="AE9466">
        <v>26.67</v>
      </c>
      <c r="AF9466">
        <v>0</v>
      </c>
      <c r="AG9466">
        <v>0</v>
      </c>
      <c r="AH9466">
        <v>0</v>
      </c>
      <c r="AI9466">
        <v>37.57</v>
      </c>
      <c r="AJ9466">
        <v>208.74</v>
      </c>
      <c r="AK9466">
        <v>0</v>
      </c>
      <c r="AL9466" t="s">
        <v>53</v>
      </c>
      <c r="AM9466" t="s">
        <v>53</v>
      </c>
      <c r="AN9466" t="s">
        <v>53</v>
      </c>
      <c r="AO9466" t="s">
        <v>53</v>
      </c>
      <c r="AP9466" t="s">
        <v>53</v>
      </c>
    </row>
    <row r="9467" spans="2:42" x14ac:dyDescent="0.2">
      <c r="B9467" t="s">
        <v>44</v>
      </c>
      <c r="C9467" t="str">
        <f>HYPERLINK("https://us2.cloudbeds.com/connect/8493803454333002#/reservations/9080486849557803?display=5DY6PM0S8W&amp;reservation_id=9080486849557803", "5DY6PM0S8W")</f>
        <v>5DY6PM0S8W</v>
      </c>
      <c r="D9467" t="s">
        <v>10291</v>
      </c>
      <c r="E9467" t="s">
        <v>78</v>
      </c>
      <c r="F9467" t="s">
        <v>61</v>
      </c>
      <c r="G9467" t="s">
        <v>48</v>
      </c>
      <c r="H9467" t="s">
        <v>49</v>
      </c>
      <c r="I9467" t="s">
        <v>50</v>
      </c>
      <c r="J9467" t="s">
        <v>17135</v>
      </c>
      <c r="K9467" t="s">
        <v>16110</v>
      </c>
      <c r="L9467" t="s">
        <v>53</v>
      </c>
      <c r="N9467" t="s">
        <v>18159</v>
      </c>
      <c r="P9467" t="s">
        <v>55</v>
      </c>
      <c r="R9467" t="s">
        <v>53</v>
      </c>
      <c r="T9467" t="s">
        <v>18160</v>
      </c>
      <c r="U9467" t="s">
        <v>55</v>
      </c>
      <c r="V9467">
        <v>3</v>
      </c>
      <c r="W9467">
        <v>1</v>
      </c>
      <c r="X9467">
        <v>2</v>
      </c>
      <c r="Y9467">
        <v>0</v>
      </c>
      <c r="Z9467">
        <v>2</v>
      </c>
      <c r="AA9467">
        <v>471.07</v>
      </c>
      <c r="AB9467">
        <v>0</v>
      </c>
      <c r="AC9467">
        <v>433.16</v>
      </c>
      <c r="AD9467">
        <v>0</v>
      </c>
      <c r="AE9467">
        <v>37.909999999999997</v>
      </c>
      <c r="AF9467">
        <v>0</v>
      </c>
      <c r="AG9467">
        <v>0</v>
      </c>
      <c r="AH9467">
        <v>0</v>
      </c>
      <c r="AI9467">
        <v>84.79</v>
      </c>
      <c r="AJ9467">
        <v>471.07</v>
      </c>
      <c r="AK9467">
        <v>471.07</v>
      </c>
      <c r="AL9467" t="s">
        <v>53</v>
      </c>
      <c r="AM9467" t="s">
        <v>53</v>
      </c>
      <c r="AN9467" t="s">
        <v>18161</v>
      </c>
      <c r="AO9467" t="s">
        <v>53</v>
      </c>
      <c r="AP9467" t="s">
        <v>53</v>
      </c>
    </row>
    <row r="9468" spans="2:42" x14ac:dyDescent="0.2">
      <c r="B9468" t="s">
        <v>44</v>
      </c>
      <c r="C9468" t="str">
        <f>HYPERLINK("https://us2.cloudbeds.com/connect/8493803454333002#/reservations/251246429446272?display=5DY89K99W2&amp;reservation_id=251246429446272", "5DY89K99W2")</f>
        <v>5DY89K99W2</v>
      </c>
      <c r="D9468" t="s">
        <v>45</v>
      </c>
      <c r="E9468" t="s">
        <v>113</v>
      </c>
      <c r="F9468" t="s">
        <v>61</v>
      </c>
      <c r="G9468" t="s">
        <v>48</v>
      </c>
      <c r="H9468" t="s">
        <v>3957</v>
      </c>
      <c r="I9468" t="s">
        <v>3975</v>
      </c>
      <c r="J9468" t="s">
        <v>17078</v>
      </c>
      <c r="K9468" t="s">
        <v>16205</v>
      </c>
      <c r="L9468" t="s">
        <v>53</v>
      </c>
      <c r="P9468" t="s">
        <v>55</v>
      </c>
      <c r="R9468" t="s">
        <v>56</v>
      </c>
      <c r="T9468" t="s">
        <v>18162</v>
      </c>
      <c r="U9468" t="s">
        <v>58</v>
      </c>
      <c r="V9468">
        <v>1</v>
      </c>
      <c r="W9468">
        <v>1</v>
      </c>
      <c r="X9468">
        <v>2</v>
      </c>
      <c r="Y9468">
        <v>0</v>
      </c>
      <c r="Z9468">
        <v>2</v>
      </c>
      <c r="AA9468">
        <v>0</v>
      </c>
      <c r="AB9468">
        <v>177.72</v>
      </c>
      <c r="AC9468">
        <v>155</v>
      </c>
      <c r="AD9468">
        <v>0</v>
      </c>
      <c r="AE9468">
        <v>22.72</v>
      </c>
      <c r="AF9468">
        <v>0</v>
      </c>
      <c r="AG9468">
        <v>0</v>
      </c>
      <c r="AH9468">
        <v>0</v>
      </c>
      <c r="AI9468">
        <v>0</v>
      </c>
      <c r="AJ9468">
        <v>177.72</v>
      </c>
      <c r="AK9468">
        <v>0</v>
      </c>
      <c r="AL9468" t="s">
        <v>53</v>
      </c>
      <c r="AM9468" t="s">
        <v>53</v>
      </c>
      <c r="AN9468" t="s">
        <v>18163</v>
      </c>
      <c r="AO9468" t="s">
        <v>53</v>
      </c>
      <c r="AP9468" t="s">
        <v>53</v>
      </c>
    </row>
    <row r="9469" spans="2:42" x14ac:dyDescent="0.2">
      <c r="B9469" t="s">
        <v>44</v>
      </c>
      <c r="C9469" t="str">
        <f>HYPERLINK("https://us2.cloudbeds.com/connect/8493803454333002#/reservations/9080486849558251?display=5DYECZJRPW&amp;reservation_id=9080486849558251", "5DYECZJRPW")</f>
        <v>5DYECZJRPW</v>
      </c>
      <c r="D9469" t="s">
        <v>10291</v>
      </c>
      <c r="E9469" t="s">
        <v>138</v>
      </c>
      <c r="F9469" t="s">
        <v>70</v>
      </c>
      <c r="G9469" t="s">
        <v>48</v>
      </c>
      <c r="H9469" t="s">
        <v>49</v>
      </c>
      <c r="I9469" t="s">
        <v>50</v>
      </c>
      <c r="J9469" t="s">
        <v>16365</v>
      </c>
      <c r="K9469" t="s">
        <v>16070</v>
      </c>
      <c r="L9469" t="s">
        <v>53</v>
      </c>
      <c r="N9469" t="s">
        <v>18164</v>
      </c>
      <c r="P9469" t="s">
        <v>55</v>
      </c>
      <c r="R9469" t="s">
        <v>53</v>
      </c>
      <c r="T9469" t="s">
        <v>18165</v>
      </c>
      <c r="U9469" t="s">
        <v>55</v>
      </c>
      <c r="V9469">
        <v>1</v>
      </c>
      <c r="W9469">
        <v>1</v>
      </c>
      <c r="X9469">
        <v>2</v>
      </c>
      <c r="Y9469">
        <v>0</v>
      </c>
      <c r="Z9469">
        <v>2</v>
      </c>
      <c r="AA9469">
        <v>104.07</v>
      </c>
      <c r="AB9469">
        <v>0</v>
      </c>
      <c r="AC9469">
        <v>95.7</v>
      </c>
      <c r="AD9469">
        <v>0</v>
      </c>
      <c r="AE9469">
        <v>8.3699999999999992</v>
      </c>
      <c r="AF9469">
        <v>0</v>
      </c>
      <c r="AG9469">
        <v>0</v>
      </c>
      <c r="AH9469">
        <v>0</v>
      </c>
      <c r="AI9469">
        <v>18.73</v>
      </c>
      <c r="AJ9469">
        <v>104.07</v>
      </c>
      <c r="AK9469">
        <v>104.07</v>
      </c>
      <c r="AL9469" t="s">
        <v>53</v>
      </c>
      <c r="AM9469" t="s">
        <v>53</v>
      </c>
      <c r="AN9469" t="s">
        <v>53</v>
      </c>
      <c r="AO9469" t="s">
        <v>53</v>
      </c>
      <c r="AP9469" t="s">
        <v>53</v>
      </c>
    </row>
    <row r="9470" spans="2:42" x14ac:dyDescent="0.2">
      <c r="B9470" t="s">
        <v>44</v>
      </c>
      <c r="C9470" t="str">
        <f>HYPERLINK("https://us2.cloudbeds.com/connect/8493803454333002#/reservations/9080486849558319?display=5DYFXKT2ZD&amp;reservation_id=9080486849558319", "5DYFXKT2ZD")</f>
        <v>5DYFXKT2ZD</v>
      </c>
      <c r="D9470" t="s">
        <v>10291</v>
      </c>
      <c r="E9470" t="s">
        <v>128</v>
      </c>
      <c r="F9470" t="s">
        <v>86</v>
      </c>
      <c r="G9470" t="s">
        <v>48</v>
      </c>
      <c r="H9470" t="s">
        <v>49</v>
      </c>
      <c r="I9470" t="s">
        <v>50</v>
      </c>
      <c r="J9470" t="s">
        <v>17239</v>
      </c>
      <c r="K9470" t="s">
        <v>17449</v>
      </c>
      <c r="L9470" t="s">
        <v>53</v>
      </c>
      <c r="N9470" t="s">
        <v>18166</v>
      </c>
      <c r="P9470" t="s">
        <v>55</v>
      </c>
      <c r="R9470" t="s">
        <v>53</v>
      </c>
      <c r="T9470" t="s">
        <v>18167</v>
      </c>
      <c r="U9470" t="s">
        <v>58</v>
      </c>
      <c r="V9470">
        <v>2</v>
      </c>
      <c r="W9470">
        <v>1</v>
      </c>
      <c r="X9470">
        <v>2</v>
      </c>
      <c r="Y9470">
        <v>0</v>
      </c>
      <c r="Z9470">
        <v>2</v>
      </c>
      <c r="AA9470">
        <v>434.58</v>
      </c>
      <c r="AB9470">
        <v>0</v>
      </c>
      <c r="AC9470">
        <v>379.04</v>
      </c>
      <c r="AD9470">
        <v>0</v>
      </c>
      <c r="AE9470">
        <v>55.54</v>
      </c>
      <c r="AF9470">
        <v>0</v>
      </c>
      <c r="AG9470">
        <v>0</v>
      </c>
      <c r="AH9470">
        <v>0</v>
      </c>
      <c r="AI9470">
        <v>78.22</v>
      </c>
      <c r="AJ9470">
        <v>434.58</v>
      </c>
      <c r="AK9470">
        <v>434.58</v>
      </c>
      <c r="AL9470" t="s">
        <v>53</v>
      </c>
      <c r="AM9470" t="s">
        <v>53</v>
      </c>
      <c r="AN9470" t="s">
        <v>53</v>
      </c>
      <c r="AO9470" t="s">
        <v>53</v>
      </c>
      <c r="AP9470" t="s">
        <v>53</v>
      </c>
    </row>
    <row r="9471" spans="2:42" x14ac:dyDescent="0.2">
      <c r="B9471" t="s">
        <v>44</v>
      </c>
      <c r="C9471" t="str">
        <f>HYPERLINK("https://us2.cloudbeds.com/connect/8493803454333002#/reservations/9080486849559546?display=5DM84T1S0J&amp;reservation_id=9080486849559546", "5DM84T1S0J")</f>
        <v>5DM84T1S0J</v>
      </c>
      <c r="D9471" t="s">
        <v>10291</v>
      </c>
      <c r="E9471" t="s">
        <v>69</v>
      </c>
      <c r="F9471" t="s">
        <v>70</v>
      </c>
      <c r="G9471" t="s">
        <v>48</v>
      </c>
      <c r="H9471" t="s">
        <v>49</v>
      </c>
      <c r="I9471" t="s">
        <v>8964</v>
      </c>
      <c r="J9471" t="s">
        <v>18120</v>
      </c>
      <c r="K9471" t="s">
        <v>16504</v>
      </c>
      <c r="L9471" t="s">
        <v>53</v>
      </c>
      <c r="N9471" t="s">
        <v>18168</v>
      </c>
      <c r="P9471" t="s">
        <v>55</v>
      </c>
      <c r="R9471" t="s">
        <v>53</v>
      </c>
      <c r="T9471" t="s">
        <v>18169</v>
      </c>
      <c r="U9471" t="s">
        <v>55</v>
      </c>
      <c r="V9471">
        <v>2</v>
      </c>
      <c r="W9471">
        <v>1</v>
      </c>
      <c r="X9471">
        <v>1</v>
      </c>
      <c r="Y9471">
        <v>0</v>
      </c>
      <c r="Z9471">
        <v>1</v>
      </c>
      <c r="AA9471">
        <v>0</v>
      </c>
      <c r="AB9471">
        <v>0</v>
      </c>
      <c r="AC9471">
        <v>336</v>
      </c>
      <c r="AD9471">
        <v>0</v>
      </c>
      <c r="AE9471">
        <v>0</v>
      </c>
      <c r="AF9471">
        <v>0</v>
      </c>
      <c r="AG9471">
        <v>0</v>
      </c>
      <c r="AH9471">
        <v>0</v>
      </c>
      <c r="AI9471">
        <v>50.4</v>
      </c>
      <c r="AJ9471">
        <v>336</v>
      </c>
      <c r="AK9471">
        <v>336</v>
      </c>
      <c r="AL9471" t="s">
        <v>53</v>
      </c>
      <c r="AM9471" t="s">
        <v>53</v>
      </c>
      <c r="AN9471" t="s">
        <v>53</v>
      </c>
      <c r="AO9471" t="s">
        <v>53</v>
      </c>
      <c r="AP9471" t="s">
        <v>53</v>
      </c>
    </row>
    <row r="9472" spans="2:42" x14ac:dyDescent="0.2">
      <c r="B9472" t="s">
        <v>44</v>
      </c>
      <c r="C9472" t="str">
        <f>HYPERLINK("https://us2.cloudbeds.com/connect/8493803454333002#/reservations/251294896402624?display=5DMCR1TBGZ&amp;reservation_id=251294896402624", "5DMCR1TBGZ")</f>
        <v>5DMCR1TBGZ</v>
      </c>
      <c r="D9472" t="s">
        <v>45</v>
      </c>
      <c r="E9472" t="s">
        <v>92</v>
      </c>
      <c r="F9472" t="s">
        <v>86</v>
      </c>
      <c r="G9472" t="s">
        <v>48</v>
      </c>
      <c r="H9472" t="s">
        <v>3957</v>
      </c>
      <c r="I9472" t="s">
        <v>3975</v>
      </c>
      <c r="J9472" t="s">
        <v>16205</v>
      </c>
      <c r="K9472" t="s">
        <v>11652</v>
      </c>
      <c r="L9472" t="s">
        <v>53</v>
      </c>
      <c r="P9472" t="s">
        <v>55</v>
      </c>
      <c r="R9472" t="s">
        <v>56</v>
      </c>
      <c r="T9472" t="s">
        <v>18170</v>
      </c>
      <c r="U9472" t="s">
        <v>58</v>
      </c>
      <c r="V9472">
        <v>2</v>
      </c>
      <c r="W9472">
        <v>1</v>
      </c>
      <c r="X9472">
        <v>3</v>
      </c>
      <c r="Y9472">
        <v>0</v>
      </c>
      <c r="Z9472">
        <v>3</v>
      </c>
      <c r="AA9472">
        <v>0</v>
      </c>
      <c r="AB9472">
        <v>401.29</v>
      </c>
      <c r="AC9472">
        <v>350</v>
      </c>
      <c r="AD9472">
        <v>0</v>
      </c>
      <c r="AE9472">
        <v>51.29</v>
      </c>
      <c r="AF9472">
        <v>0</v>
      </c>
      <c r="AG9472">
        <v>0</v>
      </c>
      <c r="AH9472">
        <v>0</v>
      </c>
      <c r="AI9472">
        <v>0</v>
      </c>
      <c r="AJ9472">
        <v>401.29</v>
      </c>
      <c r="AK9472">
        <v>0</v>
      </c>
      <c r="AL9472" t="s">
        <v>53</v>
      </c>
      <c r="AM9472" t="s">
        <v>53</v>
      </c>
      <c r="AN9472" t="s">
        <v>53</v>
      </c>
      <c r="AO9472" t="s">
        <v>53</v>
      </c>
      <c r="AP9472" t="s">
        <v>53</v>
      </c>
    </row>
    <row r="9473" spans="2:42" x14ac:dyDescent="0.2">
      <c r="B9473" t="s">
        <v>44</v>
      </c>
      <c r="C9473" t="str">
        <f>HYPERLINK("https://us2.cloudbeds.com/connect/8493803454333002#/reservations/9080486849560351?display=5DMPK197AG&amp;reservation_id=9080486849560351", "5DMPK197AG")</f>
        <v>5DMPK197AG</v>
      </c>
      <c r="D9473" t="s">
        <v>10291</v>
      </c>
      <c r="E9473" t="s">
        <v>138</v>
      </c>
      <c r="F9473" t="s">
        <v>70</v>
      </c>
      <c r="G9473" t="s">
        <v>48</v>
      </c>
      <c r="H9473" t="s">
        <v>49</v>
      </c>
      <c r="I9473" t="s">
        <v>50</v>
      </c>
      <c r="J9473" t="s">
        <v>17805</v>
      </c>
      <c r="K9473" t="s">
        <v>16069</v>
      </c>
      <c r="L9473" t="s">
        <v>53</v>
      </c>
      <c r="N9473" t="s">
        <v>18171</v>
      </c>
      <c r="P9473" t="s">
        <v>55</v>
      </c>
      <c r="R9473" t="s">
        <v>53</v>
      </c>
      <c r="T9473" t="s">
        <v>18172</v>
      </c>
      <c r="U9473" t="s">
        <v>55</v>
      </c>
      <c r="V9473">
        <v>1</v>
      </c>
      <c r="W9473">
        <v>1</v>
      </c>
      <c r="X9473">
        <v>2</v>
      </c>
      <c r="Y9473">
        <v>0</v>
      </c>
      <c r="Z9473">
        <v>2</v>
      </c>
      <c r="AA9473">
        <v>117.99</v>
      </c>
      <c r="AB9473">
        <v>0</v>
      </c>
      <c r="AC9473">
        <v>108.49</v>
      </c>
      <c r="AD9473">
        <v>0</v>
      </c>
      <c r="AE9473">
        <v>9.5</v>
      </c>
      <c r="AF9473">
        <v>0</v>
      </c>
      <c r="AG9473">
        <v>0</v>
      </c>
      <c r="AH9473">
        <v>0</v>
      </c>
      <c r="AI9473">
        <v>21.24</v>
      </c>
      <c r="AJ9473">
        <v>117.99</v>
      </c>
      <c r="AK9473">
        <v>117.99</v>
      </c>
      <c r="AL9473" t="s">
        <v>53</v>
      </c>
      <c r="AM9473" t="s">
        <v>53</v>
      </c>
      <c r="AN9473" t="s">
        <v>53</v>
      </c>
      <c r="AO9473" t="s">
        <v>53</v>
      </c>
      <c r="AP9473" t="s">
        <v>53</v>
      </c>
    </row>
    <row r="9474" spans="2:42" x14ac:dyDescent="0.2">
      <c r="B9474" t="s">
        <v>44</v>
      </c>
      <c r="C9474" t="str">
        <f>HYPERLINK("https://us2.cloudbeds.com/connect/8493803454333002#/reservations/251315212550336?display=5DMSX5WT09&amp;reservation_id=251315212550336", "5DMSX5WT09")</f>
        <v>5DMSX5WT09</v>
      </c>
      <c r="D9474" t="s">
        <v>45</v>
      </c>
      <c r="E9474" t="s">
        <v>85</v>
      </c>
      <c r="F9474" t="s">
        <v>86</v>
      </c>
      <c r="G9474" t="s">
        <v>48</v>
      </c>
      <c r="H9474" t="s">
        <v>3957</v>
      </c>
      <c r="I9474" t="s">
        <v>3975</v>
      </c>
      <c r="J9474" t="s">
        <v>17078</v>
      </c>
      <c r="K9474" t="s">
        <v>11651</v>
      </c>
      <c r="L9474" t="s">
        <v>53</v>
      </c>
      <c r="P9474" t="s">
        <v>55</v>
      </c>
      <c r="R9474" t="s">
        <v>56</v>
      </c>
      <c r="T9474" t="s">
        <v>18173</v>
      </c>
      <c r="U9474" t="s">
        <v>58</v>
      </c>
      <c r="V9474">
        <v>2</v>
      </c>
      <c r="W9474">
        <v>1</v>
      </c>
      <c r="X9474">
        <v>2</v>
      </c>
      <c r="Y9474">
        <v>2</v>
      </c>
      <c r="Z9474">
        <v>4</v>
      </c>
      <c r="AA9474">
        <v>0</v>
      </c>
      <c r="AB9474">
        <v>384.09</v>
      </c>
      <c r="AC9474">
        <v>335</v>
      </c>
      <c r="AD9474">
        <v>0</v>
      </c>
      <c r="AE9474">
        <v>49.09</v>
      </c>
      <c r="AF9474">
        <v>0</v>
      </c>
      <c r="AG9474">
        <v>0</v>
      </c>
      <c r="AH9474">
        <v>0</v>
      </c>
      <c r="AI9474">
        <v>0</v>
      </c>
      <c r="AJ9474">
        <v>384.09</v>
      </c>
      <c r="AK9474">
        <v>0</v>
      </c>
      <c r="AL9474" t="s">
        <v>53</v>
      </c>
      <c r="AM9474" t="s">
        <v>53</v>
      </c>
      <c r="AN9474" t="s">
        <v>53</v>
      </c>
      <c r="AO9474" t="s">
        <v>53</v>
      </c>
      <c r="AP9474" t="s">
        <v>53</v>
      </c>
    </row>
    <row r="9475" spans="2:42" x14ac:dyDescent="0.2">
      <c r="B9475" t="s">
        <v>44</v>
      </c>
      <c r="C9475" t="str">
        <f>HYPERLINK("https://us2.cloudbeds.com/connect/8493803454333002#/reservations/251317288018048?display=5DMU574E2Q&amp;reservation_id=251317288018048", "5DMU574E2Q")</f>
        <v>5DMU574E2Q</v>
      </c>
      <c r="D9475" t="s">
        <v>10291</v>
      </c>
      <c r="E9475" t="s">
        <v>14402</v>
      </c>
      <c r="F9475" t="s">
        <v>14403</v>
      </c>
      <c r="G9475" t="s">
        <v>48</v>
      </c>
      <c r="H9475" t="s">
        <v>3957</v>
      </c>
      <c r="I9475" t="s">
        <v>3975</v>
      </c>
      <c r="J9475" t="s">
        <v>15816</v>
      </c>
      <c r="K9475" t="s">
        <v>15817</v>
      </c>
      <c r="L9475" t="s">
        <v>53</v>
      </c>
      <c r="P9475" t="s">
        <v>55</v>
      </c>
      <c r="R9475" t="s">
        <v>56</v>
      </c>
      <c r="T9475" t="s">
        <v>18174</v>
      </c>
      <c r="U9475" t="s">
        <v>58</v>
      </c>
      <c r="V9475">
        <v>1</v>
      </c>
      <c r="W9475">
        <v>1</v>
      </c>
      <c r="X9475">
        <v>2</v>
      </c>
      <c r="Y9475">
        <v>0</v>
      </c>
      <c r="Z9475">
        <v>2</v>
      </c>
      <c r="AA9475">
        <v>0</v>
      </c>
      <c r="AB9475">
        <v>0</v>
      </c>
      <c r="AC9475">
        <v>190</v>
      </c>
      <c r="AD9475">
        <v>0</v>
      </c>
      <c r="AE9475">
        <v>27.84</v>
      </c>
      <c r="AF9475">
        <v>0</v>
      </c>
      <c r="AG9475">
        <v>0</v>
      </c>
      <c r="AH9475">
        <v>0</v>
      </c>
      <c r="AI9475">
        <v>0</v>
      </c>
      <c r="AJ9475">
        <v>217.84</v>
      </c>
      <c r="AK9475">
        <v>217.84</v>
      </c>
      <c r="AL9475" t="s">
        <v>53</v>
      </c>
      <c r="AM9475" t="s">
        <v>53</v>
      </c>
      <c r="AN9475" t="s">
        <v>53</v>
      </c>
      <c r="AO9475" t="s">
        <v>53</v>
      </c>
      <c r="AP9475" t="s">
        <v>53</v>
      </c>
    </row>
    <row r="9476" spans="2:42" x14ac:dyDescent="0.2">
      <c r="B9476" t="s">
        <v>44</v>
      </c>
      <c r="C9476" t="str">
        <f>HYPERLINK("https://us2.cloudbeds.com/connect/8493803454333002#/reservations/251319983636672?display=5DMW834ZWH&amp;reservation_id=251319983636672", "5DMW834ZWH")</f>
        <v>5DMW834ZWH</v>
      </c>
      <c r="D9476" t="s">
        <v>45</v>
      </c>
      <c r="E9476" t="s">
        <v>213</v>
      </c>
      <c r="F9476" t="s">
        <v>86</v>
      </c>
      <c r="G9476" t="s">
        <v>3974</v>
      </c>
      <c r="H9476" t="s">
        <v>3957</v>
      </c>
      <c r="I9476" t="s">
        <v>3975</v>
      </c>
      <c r="J9476" t="s">
        <v>15548</v>
      </c>
      <c r="K9476" t="s">
        <v>14390</v>
      </c>
      <c r="L9476" t="s">
        <v>53</v>
      </c>
      <c r="P9476" t="s">
        <v>58</v>
      </c>
      <c r="R9476" t="s">
        <v>56</v>
      </c>
      <c r="T9476" t="s">
        <v>18175</v>
      </c>
      <c r="U9476" t="s">
        <v>58</v>
      </c>
      <c r="V9476">
        <v>2</v>
      </c>
      <c r="W9476">
        <v>1</v>
      </c>
      <c r="X9476">
        <v>2</v>
      </c>
      <c r="Y9476">
        <v>0</v>
      </c>
      <c r="Z9476">
        <v>2</v>
      </c>
      <c r="AA9476">
        <v>375.77</v>
      </c>
      <c r="AB9476">
        <v>375.77</v>
      </c>
      <c r="AC9476">
        <v>327.75</v>
      </c>
      <c r="AD9476">
        <v>0</v>
      </c>
      <c r="AE9476">
        <v>48.02</v>
      </c>
      <c r="AF9476">
        <v>0</v>
      </c>
      <c r="AG9476">
        <v>0</v>
      </c>
      <c r="AH9476">
        <v>0</v>
      </c>
      <c r="AI9476">
        <v>0</v>
      </c>
      <c r="AJ9476">
        <v>375.77</v>
      </c>
      <c r="AK9476">
        <v>0</v>
      </c>
      <c r="AL9476" t="s">
        <v>53</v>
      </c>
      <c r="AM9476" t="s">
        <v>53</v>
      </c>
      <c r="AN9476" t="s">
        <v>53</v>
      </c>
      <c r="AO9476" t="s">
        <v>53</v>
      </c>
      <c r="AP9476" t="s">
        <v>53</v>
      </c>
    </row>
    <row r="9477" spans="2:42" x14ac:dyDescent="0.2">
      <c r="B9477" t="s">
        <v>44</v>
      </c>
      <c r="C9477" t="str">
        <f>HYPERLINK("https://us2.cloudbeds.com/connect/8493803454333002#/reservations/9080486849561766?display=5DNNYPK1M7&amp;reservation_id=9080486849561766", "5DNNYPK1M7")</f>
        <v>5DNNYPK1M7</v>
      </c>
      <c r="D9477" t="s">
        <v>10291</v>
      </c>
      <c r="E9477" t="s">
        <v>138</v>
      </c>
      <c r="F9477" t="s">
        <v>70</v>
      </c>
      <c r="G9477" t="s">
        <v>48</v>
      </c>
      <c r="H9477" t="s">
        <v>49</v>
      </c>
      <c r="I9477" t="s">
        <v>8964</v>
      </c>
      <c r="J9477" t="s">
        <v>17763</v>
      </c>
      <c r="K9477" t="s">
        <v>15337</v>
      </c>
      <c r="L9477" t="s">
        <v>53</v>
      </c>
      <c r="N9477" t="s">
        <v>18176</v>
      </c>
      <c r="P9477" t="s">
        <v>55</v>
      </c>
      <c r="R9477" t="s">
        <v>53</v>
      </c>
      <c r="T9477" t="s">
        <v>18177</v>
      </c>
      <c r="U9477" t="s">
        <v>55</v>
      </c>
      <c r="V9477">
        <v>1</v>
      </c>
      <c r="W9477">
        <v>1</v>
      </c>
      <c r="X9477">
        <v>2</v>
      </c>
      <c r="Y9477">
        <v>0</v>
      </c>
      <c r="Z9477">
        <v>2</v>
      </c>
      <c r="AA9477">
        <v>0</v>
      </c>
      <c r="AB9477">
        <v>0</v>
      </c>
      <c r="AC9477">
        <v>147</v>
      </c>
      <c r="AD9477">
        <v>0</v>
      </c>
      <c r="AE9477">
        <v>0</v>
      </c>
      <c r="AF9477">
        <v>0</v>
      </c>
      <c r="AG9477">
        <v>0</v>
      </c>
      <c r="AH9477">
        <v>0</v>
      </c>
      <c r="AI9477">
        <v>22.05</v>
      </c>
      <c r="AJ9477">
        <v>147</v>
      </c>
      <c r="AK9477">
        <v>147</v>
      </c>
      <c r="AL9477" t="s">
        <v>53</v>
      </c>
      <c r="AM9477" t="s">
        <v>53</v>
      </c>
      <c r="AN9477" t="s">
        <v>18178</v>
      </c>
      <c r="AO9477" t="s">
        <v>53</v>
      </c>
      <c r="AP9477" t="s">
        <v>53</v>
      </c>
    </row>
    <row r="9478" spans="2:42" x14ac:dyDescent="0.2">
      <c r="B9478" t="s">
        <v>44</v>
      </c>
      <c r="C9478" t="str">
        <f>HYPERLINK("https://us2.cloudbeds.com/connect/8493803454333002#/reservations/9080486849566401?display=5DRAGFR870&amp;reservation_id=9080486849566401", "5DRAGFR870")</f>
        <v>5DRAGFR870</v>
      </c>
      <c r="D9478" t="s">
        <v>10291</v>
      </c>
      <c r="E9478" t="s">
        <v>128</v>
      </c>
      <c r="F9478" t="s">
        <v>86</v>
      </c>
      <c r="G9478" t="s">
        <v>48</v>
      </c>
      <c r="H9478" t="s">
        <v>49</v>
      </c>
      <c r="I9478" t="s">
        <v>8964</v>
      </c>
      <c r="J9478" t="s">
        <v>18179</v>
      </c>
      <c r="K9478" t="s">
        <v>18180</v>
      </c>
      <c r="L9478" t="s">
        <v>53</v>
      </c>
      <c r="N9478" t="s">
        <v>18181</v>
      </c>
      <c r="P9478" t="s">
        <v>55</v>
      </c>
      <c r="R9478" t="s">
        <v>53</v>
      </c>
      <c r="T9478" t="s">
        <v>18182</v>
      </c>
      <c r="U9478" t="s">
        <v>55</v>
      </c>
      <c r="V9478">
        <v>2</v>
      </c>
      <c r="W9478">
        <v>1</v>
      </c>
      <c r="X9478">
        <v>2</v>
      </c>
      <c r="Y9478">
        <v>2</v>
      </c>
      <c r="Z9478">
        <v>4</v>
      </c>
      <c r="AA9478">
        <v>0</v>
      </c>
      <c r="AB9478">
        <v>0</v>
      </c>
      <c r="AC9478">
        <v>283</v>
      </c>
      <c r="AD9478">
        <v>0</v>
      </c>
      <c r="AE9478">
        <v>0</v>
      </c>
      <c r="AF9478">
        <v>0</v>
      </c>
      <c r="AG9478">
        <v>0</v>
      </c>
      <c r="AH9478">
        <v>0</v>
      </c>
      <c r="AI9478">
        <v>42.45</v>
      </c>
      <c r="AJ9478">
        <v>283</v>
      </c>
      <c r="AK9478">
        <v>283</v>
      </c>
      <c r="AL9478" t="s">
        <v>53</v>
      </c>
      <c r="AM9478" t="s">
        <v>53</v>
      </c>
      <c r="AN9478" t="s">
        <v>53</v>
      </c>
      <c r="AO9478" t="s">
        <v>53</v>
      </c>
      <c r="AP9478" t="s">
        <v>53</v>
      </c>
    </row>
    <row r="9479" spans="2:42" x14ac:dyDescent="0.2">
      <c r="B9479" t="s">
        <v>44</v>
      </c>
      <c r="C9479" t="str">
        <f>HYPERLINK("https://us2.cloudbeds.com/connect/8493803454333002#/reservations/9080486849567479?display=5DRRSSJ5BT&amp;reservation_id=9080486849567479", "5DRRSSJ5BT")</f>
        <v>5DRRSSJ5BT</v>
      </c>
      <c r="D9479" t="s">
        <v>45</v>
      </c>
      <c r="E9479" t="s">
        <v>128</v>
      </c>
      <c r="F9479" t="s">
        <v>86</v>
      </c>
      <c r="G9479" t="s">
        <v>48</v>
      </c>
      <c r="H9479" t="s">
        <v>49</v>
      </c>
      <c r="I9479" t="s">
        <v>62</v>
      </c>
      <c r="J9479" t="s">
        <v>14806</v>
      </c>
      <c r="K9479" t="s">
        <v>15548</v>
      </c>
      <c r="L9479" t="s">
        <v>53</v>
      </c>
      <c r="N9479" t="s">
        <v>18183</v>
      </c>
      <c r="P9479" t="s">
        <v>55</v>
      </c>
      <c r="R9479" t="s">
        <v>56</v>
      </c>
      <c r="T9479" t="s">
        <v>18184</v>
      </c>
      <c r="U9479" t="s">
        <v>55</v>
      </c>
      <c r="V9479">
        <v>1</v>
      </c>
      <c r="W9479">
        <v>1</v>
      </c>
      <c r="X9479">
        <v>2</v>
      </c>
      <c r="Y9479">
        <v>0</v>
      </c>
      <c r="Z9479">
        <v>2</v>
      </c>
      <c r="AA9479">
        <v>220.5</v>
      </c>
      <c r="AB9479">
        <v>220.5</v>
      </c>
      <c r="AC9479">
        <v>220.5</v>
      </c>
      <c r="AD9479">
        <v>0</v>
      </c>
      <c r="AE9479">
        <v>0</v>
      </c>
      <c r="AF9479">
        <v>0</v>
      </c>
      <c r="AG9479">
        <v>0</v>
      </c>
      <c r="AH9479">
        <v>0</v>
      </c>
      <c r="AI9479">
        <v>39.69</v>
      </c>
      <c r="AJ9479">
        <v>220.5</v>
      </c>
      <c r="AK9479">
        <v>0</v>
      </c>
      <c r="AL9479" t="s">
        <v>53</v>
      </c>
      <c r="AM9479" t="s">
        <v>53</v>
      </c>
      <c r="AN9479" t="s">
        <v>18185</v>
      </c>
      <c r="AO9479" t="s">
        <v>53</v>
      </c>
      <c r="AP9479" t="s">
        <v>53</v>
      </c>
    </row>
    <row r="9480" spans="2:42" x14ac:dyDescent="0.2">
      <c r="B9480" t="s">
        <v>44</v>
      </c>
      <c r="C9480" t="str">
        <f>HYPERLINK("https://us2.cloudbeds.com/connect/8493803454333002#/reservations/9080486849568116?display=5DS4KPTDY2&amp;reservation_id=9080486849568116", "5DS4KPTDY2")</f>
        <v>5DS4KPTDY2</v>
      </c>
      <c r="D9480" t="s">
        <v>10291</v>
      </c>
      <c r="E9480" t="s">
        <v>110</v>
      </c>
      <c r="F9480" t="s">
        <v>47</v>
      </c>
      <c r="G9480" t="s">
        <v>48</v>
      </c>
      <c r="H9480" t="s">
        <v>49</v>
      </c>
      <c r="I9480" t="s">
        <v>50</v>
      </c>
      <c r="J9480" t="s">
        <v>18059</v>
      </c>
      <c r="K9480" t="s">
        <v>16499</v>
      </c>
      <c r="L9480" t="s">
        <v>53</v>
      </c>
      <c r="N9480" t="s">
        <v>18186</v>
      </c>
      <c r="P9480" t="s">
        <v>55</v>
      </c>
      <c r="R9480" t="s">
        <v>53</v>
      </c>
      <c r="T9480" t="s">
        <v>18187</v>
      </c>
      <c r="U9480" t="s">
        <v>58</v>
      </c>
      <c r="V9480">
        <v>2</v>
      </c>
      <c r="W9480">
        <v>1</v>
      </c>
      <c r="X9480">
        <v>2</v>
      </c>
      <c r="Y9480">
        <v>0</v>
      </c>
      <c r="Z9480">
        <v>2</v>
      </c>
      <c r="AA9480">
        <v>357.53</v>
      </c>
      <c r="AB9480">
        <v>0</v>
      </c>
      <c r="AC9480">
        <v>311.85000000000002</v>
      </c>
      <c r="AD9480">
        <v>0</v>
      </c>
      <c r="AE9480">
        <v>45.68</v>
      </c>
      <c r="AF9480">
        <v>0</v>
      </c>
      <c r="AG9480">
        <v>0</v>
      </c>
      <c r="AH9480">
        <v>0</v>
      </c>
      <c r="AI9480">
        <v>64.36</v>
      </c>
      <c r="AJ9480">
        <v>357.53</v>
      </c>
      <c r="AK9480">
        <v>357.53</v>
      </c>
      <c r="AL9480" t="s">
        <v>53</v>
      </c>
      <c r="AM9480" t="s">
        <v>53</v>
      </c>
      <c r="AN9480" t="s">
        <v>53</v>
      </c>
      <c r="AO9480" t="s">
        <v>53</v>
      </c>
      <c r="AP9480" t="s">
        <v>53</v>
      </c>
    </row>
    <row r="9481" spans="2:42" x14ac:dyDescent="0.2">
      <c r="B9481" t="s">
        <v>44</v>
      </c>
      <c r="C9481" t="str">
        <f>HYPERLINK("https://us2.cloudbeds.com/connect/8493803454333002#/reservations/9080486849568117?display=5DS4YAFASR&amp;reservation_id=9080486849568117", "5DS4YAFASR")</f>
        <v>5DS4YAFASR</v>
      </c>
      <c r="D9481" t="s">
        <v>10291</v>
      </c>
      <c r="E9481" t="s">
        <v>105</v>
      </c>
      <c r="F9481" t="s">
        <v>47</v>
      </c>
      <c r="G9481" t="s">
        <v>48</v>
      </c>
      <c r="H9481" t="s">
        <v>49</v>
      </c>
      <c r="I9481" t="s">
        <v>50</v>
      </c>
      <c r="J9481" t="s">
        <v>18059</v>
      </c>
      <c r="K9481" t="s">
        <v>16499</v>
      </c>
      <c r="L9481" t="s">
        <v>53</v>
      </c>
      <c r="N9481" t="s">
        <v>18188</v>
      </c>
      <c r="P9481" t="s">
        <v>55</v>
      </c>
      <c r="R9481" t="s">
        <v>53</v>
      </c>
      <c r="T9481" t="s">
        <v>18189</v>
      </c>
      <c r="U9481" t="s">
        <v>58</v>
      </c>
      <c r="V9481">
        <v>2</v>
      </c>
      <c r="W9481">
        <v>1</v>
      </c>
      <c r="X9481">
        <v>2</v>
      </c>
      <c r="Y9481">
        <v>0</v>
      </c>
      <c r="Z9481">
        <v>2</v>
      </c>
      <c r="AA9481">
        <v>357.53</v>
      </c>
      <c r="AB9481">
        <v>0</v>
      </c>
      <c r="AC9481">
        <v>311.85000000000002</v>
      </c>
      <c r="AD9481">
        <v>0</v>
      </c>
      <c r="AE9481">
        <v>45.68</v>
      </c>
      <c r="AF9481">
        <v>0</v>
      </c>
      <c r="AG9481">
        <v>0</v>
      </c>
      <c r="AH9481">
        <v>0</v>
      </c>
      <c r="AI9481">
        <v>64.36</v>
      </c>
      <c r="AJ9481">
        <v>357.53</v>
      </c>
      <c r="AK9481">
        <v>357.53</v>
      </c>
      <c r="AL9481" t="s">
        <v>53</v>
      </c>
      <c r="AM9481" t="s">
        <v>53</v>
      </c>
      <c r="AN9481" t="s">
        <v>53</v>
      </c>
      <c r="AO9481" t="s">
        <v>53</v>
      </c>
      <c r="AP9481" t="s">
        <v>53</v>
      </c>
    </row>
    <row r="9482" spans="2:42" x14ac:dyDescent="0.2">
      <c r="B9482" t="s">
        <v>44</v>
      </c>
      <c r="C9482" t="str">
        <f>HYPERLINK("https://us2.cloudbeds.com/connect/8493803454333002#/reservations/251576061042816?display=5DSWHFD64R&amp;reservation_id=251576061042816", "5DSWHFD64R")</f>
        <v>5DSWHFD64R</v>
      </c>
      <c r="D9482" t="s">
        <v>45</v>
      </c>
      <c r="E9482" t="s">
        <v>78</v>
      </c>
      <c r="F9482" t="s">
        <v>61</v>
      </c>
      <c r="G9482" t="s">
        <v>48</v>
      </c>
      <c r="H9482" t="s">
        <v>3957</v>
      </c>
      <c r="I9482" t="s">
        <v>3975</v>
      </c>
      <c r="J9482" t="s">
        <v>17077</v>
      </c>
      <c r="K9482" t="s">
        <v>17078</v>
      </c>
      <c r="L9482" t="s">
        <v>53</v>
      </c>
      <c r="P9482" t="s">
        <v>55</v>
      </c>
      <c r="R9482" t="s">
        <v>56</v>
      </c>
      <c r="T9482" t="s">
        <v>18190</v>
      </c>
      <c r="U9482" t="s">
        <v>58</v>
      </c>
      <c r="V9482">
        <v>1</v>
      </c>
      <c r="W9482">
        <v>1</v>
      </c>
      <c r="X9482">
        <v>2</v>
      </c>
      <c r="Y9482">
        <v>0</v>
      </c>
      <c r="Z9482">
        <v>2</v>
      </c>
      <c r="AA9482">
        <v>245.36</v>
      </c>
      <c r="AB9482">
        <v>245.36</v>
      </c>
      <c r="AC9482">
        <v>214</v>
      </c>
      <c r="AD9482">
        <v>0</v>
      </c>
      <c r="AE9482">
        <v>31.36</v>
      </c>
      <c r="AF9482">
        <v>0</v>
      </c>
      <c r="AG9482">
        <v>0</v>
      </c>
      <c r="AH9482">
        <v>0</v>
      </c>
      <c r="AI9482">
        <v>0</v>
      </c>
      <c r="AJ9482">
        <v>245.36</v>
      </c>
      <c r="AK9482">
        <v>0</v>
      </c>
      <c r="AL9482" t="s">
        <v>53</v>
      </c>
      <c r="AM9482" t="s">
        <v>53</v>
      </c>
      <c r="AN9482" t="s">
        <v>53</v>
      </c>
      <c r="AO9482" t="s">
        <v>53</v>
      </c>
      <c r="AP9482" t="s">
        <v>53</v>
      </c>
    </row>
    <row r="9483" spans="2:42" x14ac:dyDescent="0.2">
      <c r="B9483" t="s">
        <v>44</v>
      </c>
      <c r="C9483" t="str">
        <f>HYPERLINK("https://us2.cloudbeds.com/connect/8493803454333002#/reservations/9080486849569896?display=5DT2NY6NEZ&amp;reservation_id=9080486849569896", "5DT2NY6NEZ")</f>
        <v>5DT2NY6NEZ</v>
      </c>
      <c r="D9483" t="s">
        <v>10291</v>
      </c>
      <c r="E9483" t="s">
        <v>69</v>
      </c>
      <c r="F9483" t="s">
        <v>70</v>
      </c>
      <c r="G9483" t="s">
        <v>48</v>
      </c>
      <c r="H9483" t="s">
        <v>49</v>
      </c>
      <c r="I9483" t="s">
        <v>8964</v>
      </c>
      <c r="J9483" t="s">
        <v>17805</v>
      </c>
      <c r="K9483" t="s">
        <v>16069</v>
      </c>
      <c r="L9483" t="s">
        <v>53</v>
      </c>
      <c r="N9483" t="s">
        <v>18191</v>
      </c>
      <c r="P9483" t="s">
        <v>55</v>
      </c>
      <c r="R9483" t="s">
        <v>53</v>
      </c>
      <c r="T9483" t="s">
        <v>18192</v>
      </c>
      <c r="U9483" t="s">
        <v>55</v>
      </c>
      <c r="V9483">
        <v>1</v>
      </c>
      <c r="W9483">
        <v>1</v>
      </c>
      <c r="X9483">
        <v>2</v>
      </c>
      <c r="Y9483">
        <v>0</v>
      </c>
      <c r="Z9483">
        <v>2</v>
      </c>
      <c r="AA9483">
        <v>0</v>
      </c>
      <c r="AB9483">
        <v>0</v>
      </c>
      <c r="AC9483">
        <v>147</v>
      </c>
      <c r="AD9483">
        <v>0</v>
      </c>
      <c r="AE9483">
        <v>0</v>
      </c>
      <c r="AF9483">
        <v>0</v>
      </c>
      <c r="AG9483">
        <v>0</v>
      </c>
      <c r="AH9483">
        <v>0</v>
      </c>
      <c r="AI9483">
        <v>22.05</v>
      </c>
      <c r="AJ9483">
        <v>147</v>
      </c>
      <c r="AK9483">
        <v>147</v>
      </c>
      <c r="AL9483" t="s">
        <v>53</v>
      </c>
      <c r="AM9483" t="s">
        <v>53</v>
      </c>
      <c r="AN9483" t="s">
        <v>53</v>
      </c>
      <c r="AO9483" t="s">
        <v>53</v>
      </c>
      <c r="AP9483" t="s">
        <v>53</v>
      </c>
    </row>
    <row r="9484" spans="2:42" x14ac:dyDescent="0.2">
      <c r="B9484" t="s">
        <v>44</v>
      </c>
      <c r="C9484" t="str">
        <f>HYPERLINK("https://us2.cloudbeds.com/connect/8493803454333002#/reservations/9080486849571184?display=5DTT01C44V&amp;reservation_id=9080486849571184", "5DTT01C44V")</f>
        <v>5DTT01C44V</v>
      </c>
      <c r="D9484" t="s">
        <v>45</v>
      </c>
      <c r="E9484" t="s">
        <v>85</v>
      </c>
      <c r="F9484" t="s">
        <v>86</v>
      </c>
      <c r="G9484" t="s">
        <v>48</v>
      </c>
      <c r="H9484" t="s">
        <v>49</v>
      </c>
      <c r="I9484" t="s">
        <v>50</v>
      </c>
      <c r="J9484" t="s">
        <v>14732</v>
      </c>
      <c r="K9484" t="s">
        <v>14391</v>
      </c>
      <c r="L9484" t="s">
        <v>53</v>
      </c>
      <c r="N9484" t="s">
        <v>18193</v>
      </c>
      <c r="P9484" t="s">
        <v>55</v>
      </c>
      <c r="R9484" t="s">
        <v>53</v>
      </c>
      <c r="T9484" t="s">
        <v>18194</v>
      </c>
      <c r="U9484" t="s">
        <v>55</v>
      </c>
      <c r="V9484">
        <v>2</v>
      </c>
      <c r="W9484">
        <v>1</v>
      </c>
      <c r="X9484">
        <v>2</v>
      </c>
      <c r="Y9484">
        <v>0</v>
      </c>
      <c r="Z9484">
        <v>2</v>
      </c>
      <c r="AA9484">
        <v>351.86</v>
      </c>
      <c r="AB9484">
        <v>351.86</v>
      </c>
      <c r="AC9484">
        <v>323.55</v>
      </c>
      <c r="AD9484">
        <v>0</v>
      </c>
      <c r="AE9484">
        <v>28.31</v>
      </c>
      <c r="AF9484">
        <v>0</v>
      </c>
      <c r="AG9484">
        <v>0</v>
      </c>
      <c r="AH9484">
        <v>0</v>
      </c>
      <c r="AI9484">
        <v>63.33</v>
      </c>
      <c r="AJ9484">
        <v>351.86</v>
      </c>
      <c r="AK9484">
        <v>0</v>
      </c>
      <c r="AL9484" t="s">
        <v>53</v>
      </c>
      <c r="AM9484" t="s">
        <v>53</v>
      </c>
      <c r="AN9484" t="s">
        <v>18195</v>
      </c>
      <c r="AO9484" t="s">
        <v>53</v>
      </c>
      <c r="AP9484" t="s">
        <v>53</v>
      </c>
    </row>
    <row r="9485" spans="2:42" x14ac:dyDescent="0.2">
      <c r="B9485" t="s">
        <v>44</v>
      </c>
      <c r="C9485" t="str">
        <f>HYPERLINK("https://us2.cloudbeds.com/connect/8493803454333002#/reservations/251614144835778?display=5DTT0JY9KF&amp;reservation_id=251614144835778", "5DTT0JY9KF")</f>
        <v>5DTT0JY9KF</v>
      </c>
      <c r="D9485" t="s">
        <v>10291</v>
      </c>
      <c r="E9485" t="s">
        <v>69</v>
      </c>
      <c r="F9485" t="s">
        <v>70</v>
      </c>
      <c r="G9485" t="s">
        <v>48</v>
      </c>
      <c r="H9485" t="s">
        <v>3957</v>
      </c>
      <c r="I9485" t="s">
        <v>3975</v>
      </c>
      <c r="J9485" t="s">
        <v>10292</v>
      </c>
      <c r="K9485" t="s">
        <v>10293</v>
      </c>
      <c r="L9485" t="s">
        <v>53</v>
      </c>
      <c r="P9485" t="s">
        <v>55</v>
      </c>
      <c r="R9485" t="s">
        <v>56</v>
      </c>
      <c r="T9485" t="s">
        <v>18196</v>
      </c>
      <c r="U9485" t="s">
        <v>58</v>
      </c>
      <c r="V9485">
        <v>1</v>
      </c>
      <c r="W9485">
        <v>1</v>
      </c>
      <c r="X9485">
        <v>1</v>
      </c>
      <c r="Y9485">
        <v>0</v>
      </c>
      <c r="Z9485">
        <v>1</v>
      </c>
      <c r="AA9485">
        <v>0</v>
      </c>
      <c r="AB9485">
        <v>0</v>
      </c>
      <c r="AC9485">
        <v>170</v>
      </c>
      <c r="AD9485">
        <v>0</v>
      </c>
      <c r="AE9485">
        <v>24.91</v>
      </c>
      <c r="AF9485">
        <v>0</v>
      </c>
      <c r="AG9485">
        <v>0</v>
      </c>
      <c r="AH9485">
        <v>0</v>
      </c>
      <c r="AI9485">
        <v>0</v>
      </c>
      <c r="AJ9485">
        <v>194.91</v>
      </c>
      <c r="AK9485">
        <v>194.91</v>
      </c>
      <c r="AL9485" t="s">
        <v>53</v>
      </c>
      <c r="AM9485" t="s">
        <v>53</v>
      </c>
      <c r="AN9485" t="s">
        <v>53</v>
      </c>
      <c r="AO9485" t="s">
        <v>53</v>
      </c>
      <c r="AP9485" t="s">
        <v>53</v>
      </c>
    </row>
    <row r="9486" spans="2:42" x14ac:dyDescent="0.2">
      <c r="B9486" t="s">
        <v>44</v>
      </c>
      <c r="C9486" t="str">
        <f>HYPERLINK("https://us2.cloudbeds.com/connect/8493803454333002#/reservations/9080486849571450?display=5DU17MHV8Q&amp;reservation_id=9080486849571450", "5DU17MHV8Q")</f>
        <v>5DU17MHV8Q</v>
      </c>
      <c r="D9486" t="s">
        <v>10291</v>
      </c>
      <c r="E9486" t="s">
        <v>138</v>
      </c>
      <c r="F9486" t="s">
        <v>70</v>
      </c>
      <c r="G9486" t="s">
        <v>48</v>
      </c>
      <c r="H9486" t="s">
        <v>49</v>
      </c>
      <c r="I9486" t="s">
        <v>62</v>
      </c>
      <c r="J9486" t="s">
        <v>18197</v>
      </c>
      <c r="K9486" t="s">
        <v>18155</v>
      </c>
      <c r="L9486" t="s">
        <v>53</v>
      </c>
      <c r="N9486" t="s">
        <v>18198</v>
      </c>
      <c r="P9486" t="s">
        <v>55</v>
      </c>
      <c r="R9486" t="s">
        <v>56</v>
      </c>
      <c r="T9486" t="s">
        <v>18199</v>
      </c>
      <c r="U9486" t="s">
        <v>55</v>
      </c>
      <c r="V9486">
        <v>4</v>
      </c>
      <c r="W9486">
        <v>1</v>
      </c>
      <c r="X9486">
        <v>2</v>
      </c>
      <c r="Y9486">
        <v>0</v>
      </c>
      <c r="Z9486">
        <v>2</v>
      </c>
      <c r="AA9486">
        <v>369.09</v>
      </c>
      <c r="AB9486">
        <v>0</v>
      </c>
      <c r="AC9486">
        <v>369.09</v>
      </c>
      <c r="AD9486">
        <v>0</v>
      </c>
      <c r="AE9486">
        <v>0</v>
      </c>
      <c r="AF9486">
        <v>0</v>
      </c>
      <c r="AG9486">
        <v>0</v>
      </c>
      <c r="AH9486">
        <v>0</v>
      </c>
      <c r="AI9486">
        <v>66.44</v>
      </c>
      <c r="AJ9486">
        <v>369.09</v>
      </c>
      <c r="AK9486">
        <v>369.09</v>
      </c>
      <c r="AL9486" t="s">
        <v>53</v>
      </c>
      <c r="AM9486" t="s">
        <v>53</v>
      </c>
      <c r="AN9486" t="s">
        <v>53</v>
      </c>
      <c r="AO9486" t="s">
        <v>53</v>
      </c>
      <c r="AP9486" t="s">
        <v>53</v>
      </c>
    </row>
    <row r="9487" spans="2:42" x14ac:dyDescent="0.2">
      <c r="B9487" t="s">
        <v>44</v>
      </c>
      <c r="C9487" t="str">
        <f>HYPERLINK("https://us2.cloudbeds.com/connect/8493803454333002#/reservations/9080486849571965?display=5DUE1YDEB6&amp;reservation_id=9080486849571965", "5DUE1YDEB6")</f>
        <v>5DUE1YDEB6</v>
      </c>
      <c r="D9487" t="s">
        <v>45</v>
      </c>
      <c r="E9487" t="s">
        <v>138</v>
      </c>
      <c r="F9487" t="s">
        <v>70</v>
      </c>
      <c r="G9487" t="s">
        <v>48</v>
      </c>
      <c r="H9487" t="s">
        <v>49</v>
      </c>
      <c r="I9487" t="s">
        <v>50</v>
      </c>
      <c r="J9487" t="s">
        <v>17078</v>
      </c>
      <c r="K9487" t="s">
        <v>16205</v>
      </c>
      <c r="L9487" t="s">
        <v>53</v>
      </c>
      <c r="N9487" t="s">
        <v>18200</v>
      </c>
      <c r="P9487" t="s">
        <v>55</v>
      </c>
      <c r="R9487" t="s">
        <v>53</v>
      </c>
      <c r="T9487" t="s">
        <v>18201</v>
      </c>
      <c r="U9487" t="s">
        <v>55</v>
      </c>
      <c r="V9487">
        <v>1</v>
      </c>
      <c r="W9487">
        <v>1</v>
      </c>
      <c r="X9487">
        <v>2</v>
      </c>
      <c r="Y9487">
        <v>0</v>
      </c>
      <c r="Z9487">
        <v>2</v>
      </c>
      <c r="AA9487">
        <v>108.58</v>
      </c>
      <c r="AB9487">
        <v>108.58</v>
      </c>
      <c r="AC9487">
        <v>99.85</v>
      </c>
      <c r="AD9487">
        <v>0</v>
      </c>
      <c r="AE9487">
        <v>8.73</v>
      </c>
      <c r="AF9487">
        <v>0</v>
      </c>
      <c r="AG9487">
        <v>0</v>
      </c>
      <c r="AH9487">
        <v>0</v>
      </c>
      <c r="AI9487">
        <v>19.54</v>
      </c>
      <c r="AJ9487">
        <v>108.58</v>
      </c>
      <c r="AK9487">
        <v>0</v>
      </c>
      <c r="AL9487" t="s">
        <v>53</v>
      </c>
      <c r="AM9487" t="s">
        <v>53</v>
      </c>
      <c r="AN9487" t="s">
        <v>18202</v>
      </c>
      <c r="AO9487" t="s">
        <v>53</v>
      </c>
      <c r="AP9487" t="s">
        <v>53</v>
      </c>
    </row>
    <row r="9488" spans="2:42" x14ac:dyDescent="0.2">
      <c r="B9488" t="s">
        <v>44</v>
      </c>
      <c r="C9488" t="str">
        <f>HYPERLINK("https://us2.cloudbeds.com/connect/8493803454333002#/reservations/9080486849572371?display=5DUNVYG81C&amp;reservation_id=9080486849572371", "5DUNVYG81C")</f>
        <v>5DUNVYG81C</v>
      </c>
      <c r="D9488" t="s">
        <v>45</v>
      </c>
      <c r="E9488" t="s">
        <v>92</v>
      </c>
      <c r="F9488" t="s">
        <v>86</v>
      </c>
      <c r="G9488" t="s">
        <v>48</v>
      </c>
      <c r="H9488" t="s">
        <v>49</v>
      </c>
      <c r="I9488" t="s">
        <v>50</v>
      </c>
      <c r="J9488" t="s">
        <v>17077</v>
      </c>
      <c r="K9488" t="s">
        <v>17078</v>
      </c>
      <c r="L9488" t="s">
        <v>53</v>
      </c>
      <c r="N9488" t="s">
        <v>18203</v>
      </c>
      <c r="P9488" t="s">
        <v>55</v>
      </c>
      <c r="R9488" t="s">
        <v>53</v>
      </c>
      <c r="T9488" t="s">
        <v>18204</v>
      </c>
      <c r="U9488" t="s">
        <v>55</v>
      </c>
      <c r="V9488">
        <v>1</v>
      </c>
      <c r="W9488">
        <v>1</v>
      </c>
      <c r="X9488">
        <v>2</v>
      </c>
      <c r="Y9488">
        <v>0</v>
      </c>
      <c r="Z9488">
        <v>2</v>
      </c>
      <c r="AA9488">
        <v>162.36000000000001</v>
      </c>
      <c r="AB9488">
        <v>162.36000000000001</v>
      </c>
      <c r="AC9488">
        <v>149.29</v>
      </c>
      <c r="AD9488">
        <v>0</v>
      </c>
      <c r="AE9488">
        <v>13.07</v>
      </c>
      <c r="AF9488">
        <v>0</v>
      </c>
      <c r="AG9488">
        <v>0</v>
      </c>
      <c r="AH9488">
        <v>0</v>
      </c>
      <c r="AI9488">
        <v>29.22</v>
      </c>
      <c r="AJ9488">
        <v>162.36000000000001</v>
      </c>
      <c r="AK9488">
        <v>0</v>
      </c>
      <c r="AL9488" t="s">
        <v>53</v>
      </c>
      <c r="AM9488" t="s">
        <v>53</v>
      </c>
      <c r="AN9488" t="s">
        <v>53</v>
      </c>
      <c r="AO9488" t="s">
        <v>53</v>
      </c>
      <c r="AP9488" t="s">
        <v>53</v>
      </c>
    </row>
    <row r="9489" spans="2:42" x14ac:dyDescent="0.2">
      <c r="B9489" t="s">
        <v>44</v>
      </c>
      <c r="C9489" t="str">
        <f>HYPERLINK("https://us2.cloudbeds.com/connect/8493803454333002#/reservations/9080486849572954?display=5DV6XT23YW&amp;reservation_id=9080486849572954", "5DV6XT23YW")</f>
        <v>5DV6XT23YW</v>
      </c>
      <c r="D9489" t="s">
        <v>45</v>
      </c>
      <c r="E9489" t="s">
        <v>69</v>
      </c>
      <c r="F9489" t="s">
        <v>70</v>
      </c>
      <c r="G9489" t="s">
        <v>48</v>
      </c>
      <c r="H9489" t="s">
        <v>49</v>
      </c>
      <c r="I9489" t="s">
        <v>50</v>
      </c>
      <c r="J9489" t="s">
        <v>17078</v>
      </c>
      <c r="K9489" t="s">
        <v>16205</v>
      </c>
      <c r="L9489" t="s">
        <v>53</v>
      </c>
      <c r="N9489" t="s">
        <v>18205</v>
      </c>
      <c r="P9489" t="s">
        <v>55</v>
      </c>
      <c r="R9489" t="s">
        <v>53</v>
      </c>
      <c r="T9489" t="s">
        <v>18206</v>
      </c>
      <c r="U9489" t="s">
        <v>55</v>
      </c>
      <c r="V9489">
        <v>1</v>
      </c>
      <c r="W9489">
        <v>1</v>
      </c>
      <c r="X9489">
        <v>1</v>
      </c>
      <c r="Y9489">
        <v>0</v>
      </c>
      <c r="Z9489">
        <v>1</v>
      </c>
      <c r="AA9489">
        <v>108.58</v>
      </c>
      <c r="AB9489">
        <v>108.58</v>
      </c>
      <c r="AC9489">
        <v>99.85</v>
      </c>
      <c r="AD9489">
        <v>0</v>
      </c>
      <c r="AE9489">
        <v>8.73</v>
      </c>
      <c r="AF9489">
        <v>0</v>
      </c>
      <c r="AG9489">
        <v>0</v>
      </c>
      <c r="AH9489">
        <v>0</v>
      </c>
      <c r="AI9489">
        <v>19.54</v>
      </c>
      <c r="AJ9489">
        <v>108.58</v>
      </c>
      <c r="AK9489">
        <v>0</v>
      </c>
      <c r="AL9489" t="s">
        <v>53</v>
      </c>
      <c r="AM9489" t="s">
        <v>53</v>
      </c>
      <c r="AN9489" t="s">
        <v>53</v>
      </c>
      <c r="AO9489" t="s">
        <v>53</v>
      </c>
      <c r="AP9489" t="s">
        <v>53</v>
      </c>
    </row>
    <row r="9490" spans="2:42" x14ac:dyDescent="0.2">
      <c r="B9490" t="s">
        <v>44</v>
      </c>
      <c r="C9490" t="str">
        <f>HYPERLINK("https://us2.cloudbeds.com/connect/8493803454333002#/reservations/9080486849573162?display=5DVBRNTVM0&amp;reservation_id=9080486849573162", "5DVBRNTVM0")</f>
        <v>5DVBRNTVM0</v>
      </c>
      <c r="D9490" t="s">
        <v>10291</v>
      </c>
      <c r="E9490" t="s">
        <v>14402</v>
      </c>
      <c r="F9490" t="s">
        <v>14403</v>
      </c>
      <c r="G9490" t="s">
        <v>48</v>
      </c>
      <c r="H9490" t="s">
        <v>49</v>
      </c>
      <c r="I9490" t="s">
        <v>50</v>
      </c>
      <c r="J9490" t="s">
        <v>13099</v>
      </c>
      <c r="K9490" t="s">
        <v>17897</v>
      </c>
      <c r="L9490" t="s">
        <v>53</v>
      </c>
      <c r="N9490" t="s">
        <v>18207</v>
      </c>
      <c r="P9490" t="s">
        <v>55</v>
      </c>
      <c r="R9490" t="s">
        <v>53</v>
      </c>
      <c r="T9490" t="s">
        <v>18208</v>
      </c>
      <c r="U9490" t="s">
        <v>55</v>
      </c>
      <c r="V9490">
        <v>2</v>
      </c>
      <c r="W9490">
        <v>1</v>
      </c>
      <c r="X9490">
        <v>2</v>
      </c>
      <c r="Y9490">
        <v>0</v>
      </c>
      <c r="Z9490">
        <v>2</v>
      </c>
      <c r="AA9490">
        <v>185.4</v>
      </c>
      <c r="AB9490">
        <v>0</v>
      </c>
      <c r="AC9490">
        <v>170.48</v>
      </c>
      <c r="AD9490">
        <v>0</v>
      </c>
      <c r="AE9490">
        <v>14.92</v>
      </c>
      <c r="AF9490">
        <v>0</v>
      </c>
      <c r="AG9490">
        <v>0</v>
      </c>
      <c r="AH9490">
        <v>0</v>
      </c>
      <c r="AI9490">
        <v>33.369999999999997</v>
      </c>
      <c r="AJ9490">
        <v>185.4</v>
      </c>
      <c r="AK9490">
        <v>185.4</v>
      </c>
      <c r="AL9490" t="s">
        <v>53</v>
      </c>
      <c r="AM9490" t="s">
        <v>53</v>
      </c>
      <c r="AN9490" t="s">
        <v>53</v>
      </c>
      <c r="AO9490" t="s">
        <v>53</v>
      </c>
      <c r="AP9490" t="s">
        <v>53</v>
      </c>
    </row>
    <row r="9491" spans="2:42" x14ac:dyDescent="0.2">
      <c r="B9491" t="s">
        <v>44</v>
      </c>
      <c r="C9491" t="str">
        <f>HYPERLINK("https://us2.cloudbeds.com/connect/8493803454333002#/reservations/9080486849573913?display=5DVWYRNZ89&amp;reservation_id=9080486849573913", "5DVWYRNZ89")</f>
        <v>5DVWYRNZ89</v>
      </c>
      <c r="D9491" t="s">
        <v>45</v>
      </c>
      <c r="E9491" t="s">
        <v>155</v>
      </c>
      <c r="F9491" t="s">
        <v>86</v>
      </c>
      <c r="G9491" t="s">
        <v>48</v>
      </c>
      <c r="H9491" t="s">
        <v>49</v>
      </c>
      <c r="I9491" t="s">
        <v>8964</v>
      </c>
      <c r="J9491" t="s">
        <v>17078</v>
      </c>
      <c r="K9491" t="s">
        <v>16205</v>
      </c>
      <c r="L9491" t="s">
        <v>53</v>
      </c>
      <c r="N9491" t="s">
        <v>18209</v>
      </c>
      <c r="P9491" t="s">
        <v>55</v>
      </c>
      <c r="R9491" t="s">
        <v>53</v>
      </c>
      <c r="T9491" t="s">
        <v>18210</v>
      </c>
      <c r="U9491" t="s">
        <v>55</v>
      </c>
      <c r="V9491">
        <v>1</v>
      </c>
      <c r="W9491">
        <v>1</v>
      </c>
      <c r="X9491">
        <v>2</v>
      </c>
      <c r="Y9491">
        <v>0</v>
      </c>
      <c r="Z9491">
        <v>2</v>
      </c>
      <c r="AA9491">
        <v>0</v>
      </c>
      <c r="AB9491">
        <v>0</v>
      </c>
      <c r="AC9491">
        <v>168</v>
      </c>
      <c r="AD9491">
        <v>0</v>
      </c>
      <c r="AE9491">
        <v>0</v>
      </c>
      <c r="AF9491">
        <v>0</v>
      </c>
      <c r="AG9491">
        <v>0</v>
      </c>
      <c r="AH9491">
        <v>0</v>
      </c>
      <c r="AI9491">
        <v>25.2</v>
      </c>
      <c r="AJ9491">
        <v>168</v>
      </c>
      <c r="AK9491">
        <v>168</v>
      </c>
      <c r="AL9491" t="s">
        <v>53</v>
      </c>
      <c r="AM9491" t="s">
        <v>53</v>
      </c>
      <c r="AN9491" t="s">
        <v>18211</v>
      </c>
      <c r="AO9491" t="s">
        <v>53</v>
      </c>
      <c r="AP9491" t="s">
        <v>53</v>
      </c>
    </row>
    <row r="9492" spans="2:42" x14ac:dyDescent="0.2">
      <c r="B9492" t="s">
        <v>44</v>
      </c>
      <c r="C9492" t="str">
        <f>HYPERLINK("https://us2.cloudbeds.com/connect/8493803454333002#/reservations/9080486849574202?display=5DW82AVGDU&amp;reservation_id=9080486849574202", "5DW82AVGDU")</f>
        <v>5DW82AVGDU</v>
      </c>
      <c r="D9492" t="s">
        <v>45</v>
      </c>
      <c r="E9492" t="s">
        <v>121</v>
      </c>
      <c r="F9492" t="s">
        <v>86</v>
      </c>
      <c r="G9492" t="s">
        <v>48</v>
      </c>
      <c r="H9492" t="s">
        <v>49</v>
      </c>
      <c r="I9492" t="s">
        <v>62</v>
      </c>
      <c r="J9492" t="s">
        <v>16205</v>
      </c>
      <c r="K9492" t="s">
        <v>14806</v>
      </c>
      <c r="L9492" t="s">
        <v>53</v>
      </c>
      <c r="N9492" t="s">
        <v>18212</v>
      </c>
      <c r="P9492" t="s">
        <v>55</v>
      </c>
      <c r="R9492" t="s">
        <v>56</v>
      </c>
      <c r="T9492" t="s">
        <v>18213</v>
      </c>
      <c r="U9492" t="s">
        <v>55</v>
      </c>
      <c r="V9492">
        <v>3</v>
      </c>
      <c r="W9492">
        <v>1</v>
      </c>
      <c r="X9492">
        <v>2</v>
      </c>
      <c r="Y9492">
        <v>0</v>
      </c>
      <c r="Z9492">
        <v>2</v>
      </c>
      <c r="AA9492">
        <v>561.75</v>
      </c>
      <c r="AB9492">
        <v>561.75</v>
      </c>
      <c r="AC9492">
        <v>561.75</v>
      </c>
      <c r="AD9492">
        <v>0</v>
      </c>
      <c r="AE9492">
        <v>0</v>
      </c>
      <c r="AF9492">
        <v>0</v>
      </c>
      <c r="AG9492">
        <v>0</v>
      </c>
      <c r="AH9492">
        <v>0</v>
      </c>
      <c r="AI9492">
        <v>101.12</v>
      </c>
      <c r="AJ9492">
        <v>561.75</v>
      </c>
      <c r="AK9492">
        <v>0</v>
      </c>
      <c r="AL9492" t="s">
        <v>53</v>
      </c>
      <c r="AM9492" t="s">
        <v>53</v>
      </c>
      <c r="AN9492" t="s">
        <v>18214</v>
      </c>
      <c r="AO9492" t="s">
        <v>53</v>
      </c>
      <c r="AP9492" t="s">
        <v>53</v>
      </c>
    </row>
    <row r="9493" spans="2:42" x14ac:dyDescent="0.2">
      <c r="B9493" t="s">
        <v>44</v>
      </c>
      <c r="C9493" t="str">
        <f>HYPERLINK("https://us2.cloudbeds.com/connect/8493803454333002#/reservations/9080486849577751?display=5E2333CRFC&amp;reservation_id=9080486849577751", "5E2333CRFC")</f>
        <v>5E2333CRFC</v>
      </c>
      <c r="D9493" t="s">
        <v>45</v>
      </c>
      <c r="E9493" t="s">
        <v>185</v>
      </c>
      <c r="F9493" t="s">
        <v>47</v>
      </c>
      <c r="G9493" t="s">
        <v>48</v>
      </c>
      <c r="H9493" t="s">
        <v>49</v>
      </c>
      <c r="I9493" t="s">
        <v>62</v>
      </c>
      <c r="J9493" t="s">
        <v>17078</v>
      </c>
      <c r="K9493" t="s">
        <v>16205</v>
      </c>
      <c r="L9493" t="s">
        <v>53</v>
      </c>
      <c r="N9493" t="s">
        <v>18215</v>
      </c>
      <c r="P9493" t="s">
        <v>55</v>
      </c>
      <c r="R9493" t="s">
        <v>56</v>
      </c>
      <c r="T9493" t="s">
        <v>18216</v>
      </c>
      <c r="U9493" t="s">
        <v>55</v>
      </c>
      <c r="V9493">
        <v>1</v>
      </c>
      <c r="W9493">
        <v>1</v>
      </c>
      <c r="X9493">
        <v>2</v>
      </c>
      <c r="Y9493">
        <v>0</v>
      </c>
      <c r="Z9493">
        <v>2</v>
      </c>
      <c r="AA9493">
        <v>147</v>
      </c>
      <c r="AB9493">
        <v>147</v>
      </c>
      <c r="AC9493">
        <v>147</v>
      </c>
      <c r="AD9493">
        <v>0</v>
      </c>
      <c r="AE9493">
        <v>0</v>
      </c>
      <c r="AF9493">
        <v>0</v>
      </c>
      <c r="AG9493">
        <v>0</v>
      </c>
      <c r="AH9493">
        <v>0</v>
      </c>
      <c r="AI9493">
        <v>26.46</v>
      </c>
      <c r="AJ9493">
        <v>147</v>
      </c>
      <c r="AK9493">
        <v>0</v>
      </c>
      <c r="AL9493" t="s">
        <v>53</v>
      </c>
      <c r="AM9493" t="s">
        <v>53</v>
      </c>
      <c r="AN9493" t="s">
        <v>18217</v>
      </c>
      <c r="AO9493" t="s">
        <v>53</v>
      </c>
      <c r="AP9493" t="s">
        <v>53</v>
      </c>
    </row>
    <row r="9494" spans="2:42" x14ac:dyDescent="0.2">
      <c r="B9494" t="s">
        <v>44</v>
      </c>
      <c r="C9494" t="str">
        <f>HYPERLINK("https://us2.cloudbeds.com/connect/8493803454333002#/reservations/9080486849579036?display=5E2Z1JZTJN&amp;reservation_id=9080486849579036", "5E2Z1JZTJN")</f>
        <v>5E2Z1JZTJN</v>
      </c>
      <c r="D9494" t="s">
        <v>45</v>
      </c>
      <c r="E9494" t="s">
        <v>179</v>
      </c>
      <c r="F9494" t="s">
        <v>47</v>
      </c>
      <c r="G9494" t="s">
        <v>48</v>
      </c>
      <c r="H9494" t="s">
        <v>49</v>
      </c>
      <c r="I9494" t="s">
        <v>50</v>
      </c>
      <c r="J9494" t="s">
        <v>17078</v>
      </c>
      <c r="K9494" t="s">
        <v>16205</v>
      </c>
      <c r="L9494" t="s">
        <v>53</v>
      </c>
      <c r="N9494" t="s">
        <v>18218</v>
      </c>
      <c r="P9494" t="s">
        <v>55</v>
      </c>
      <c r="R9494" t="s">
        <v>53</v>
      </c>
      <c r="T9494" t="s">
        <v>18219</v>
      </c>
      <c r="U9494" t="s">
        <v>55</v>
      </c>
      <c r="V9494">
        <v>1</v>
      </c>
      <c r="W9494">
        <v>1</v>
      </c>
      <c r="X9494">
        <v>2</v>
      </c>
      <c r="Y9494">
        <v>0</v>
      </c>
      <c r="Z9494">
        <v>2</v>
      </c>
      <c r="AA9494">
        <v>116.94</v>
      </c>
      <c r="AB9494">
        <v>116.94</v>
      </c>
      <c r="AC9494">
        <v>107.53</v>
      </c>
      <c r="AD9494">
        <v>0</v>
      </c>
      <c r="AE9494">
        <v>9.41</v>
      </c>
      <c r="AF9494">
        <v>0</v>
      </c>
      <c r="AG9494">
        <v>0</v>
      </c>
      <c r="AH9494">
        <v>0</v>
      </c>
      <c r="AI9494">
        <v>21.05</v>
      </c>
      <c r="AJ9494">
        <v>116.94</v>
      </c>
      <c r="AK9494">
        <v>0</v>
      </c>
      <c r="AL9494" t="s">
        <v>53</v>
      </c>
      <c r="AM9494" t="s">
        <v>53</v>
      </c>
      <c r="AN9494" t="s">
        <v>53</v>
      </c>
      <c r="AO9494" t="s">
        <v>53</v>
      </c>
      <c r="AP9494" t="s">
        <v>53</v>
      </c>
    </row>
    <row r="9495" spans="2:42" x14ac:dyDescent="0.2">
      <c r="B9495" t="s">
        <v>44</v>
      </c>
      <c r="C9495" t="str">
        <f>HYPERLINK("https://us2.cloudbeds.com/connect/8493803454333002#/reservations/9080486849579368?display=5E2T14ASU5&amp;reservation_id=9080486849579368", "5E2T14ASU5")</f>
        <v>5E2T14ASU5</v>
      </c>
      <c r="D9495" t="s">
        <v>10291</v>
      </c>
      <c r="E9495" t="s">
        <v>138</v>
      </c>
      <c r="F9495" t="s">
        <v>70</v>
      </c>
      <c r="G9495" t="s">
        <v>48</v>
      </c>
      <c r="H9495" t="s">
        <v>49</v>
      </c>
      <c r="I9495" t="s">
        <v>8964</v>
      </c>
      <c r="J9495" t="s">
        <v>17565</v>
      </c>
      <c r="K9495" t="s">
        <v>17355</v>
      </c>
      <c r="L9495" t="s">
        <v>53</v>
      </c>
      <c r="N9495" t="s">
        <v>18220</v>
      </c>
      <c r="P9495" t="s">
        <v>55</v>
      </c>
      <c r="R9495" t="s">
        <v>53</v>
      </c>
      <c r="T9495" t="s">
        <v>18221</v>
      </c>
      <c r="U9495" t="s">
        <v>55</v>
      </c>
      <c r="V9495">
        <v>2</v>
      </c>
      <c r="W9495">
        <v>1</v>
      </c>
      <c r="X9495">
        <v>2</v>
      </c>
      <c r="Y9495">
        <v>0</v>
      </c>
      <c r="Z9495">
        <v>2</v>
      </c>
      <c r="AA9495">
        <v>0</v>
      </c>
      <c r="AB9495">
        <v>0</v>
      </c>
      <c r="AC9495">
        <v>272</v>
      </c>
      <c r="AD9495">
        <v>0</v>
      </c>
      <c r="AE9495">
        <v>0</v>
      </c>
      <c r="AF9495">
        <v>0</v>
      </c>
      <c r="AG9495">
        <v>0</v>
      </c>
      <c r="AH9495">
        <v>0</v>
      </c>
      <c r="AI9495">
        <v>40.799999999999997</v>
      </c>
      <c r="AJ9495">
        <v>272</v>
      </c>
      <c r="AK9495">
        <v>272</v>
      </c>
      <c r="AL9495" t="s">
        <v>53</v>
      </c>
      <c r="AM9495" t="s">
        <v>53</v>
      </c>
      <c r="AN9495" t="s">
        <v>53</v>
      </c>
      <c r="AO9495" t="s">
        <v>53</v>
      </c>
      <c r="AP9495" t="s">
        <v>53</v>
      </c>
    </row>
    <row r="9496" spans="2:42" x14ac:dyDescent="0.2">
      <c r="B9496" t="s">
        <v>44</v>
      </c>
      <c r="C9496" t="str">
        <f>HYPERLINK("https://us2.cloudbeds.com/connect/8493803454333002#/reservations/9080486849579535?display=5E2VKDUKVQ&amp;reservation_id=9080486849579535", "5E2VKDUKVQ")</f>
        <v>5E2VKDUKVQ</v>
      </c>
      <c r="D9496" t="s">
        <v>10291</v>
      </c>
      <c r="E9496" t="s">
        <v>128</v>
      </c>
      <c r="F9496" t="s">
        <v>86</v>
      </c>
      <c r="G9496" t="s">
        <v>48</v>
      </c>
      <c r="H9496" t="s">
        <v>49</v>
      </c>
      <c r="I9496" t="s">
        <v>8964</v>
      </c>
      <c r="J9496" t="s">
        <v>17242</v>
      </c>
      <c r="K9496" t="s">
        <v>17533</v>
      </c>
      <c r="L9496" t="s">
        <v>53</v>
      </c>
      <c r="N9496" t="s">
        <v>18222</v>
      </c>
      <c r="P9496" t="s">
        <v>55</v>
      </c>
      <c r="R9496" t="s">
        <v>53</v>
      </c>
      <c r="T9496" t="s">
        <v>18223</v>
      </c>
      <c r="U9496" t="s">
        <v>55</v>
      </c>
      <c r="V9496">
        <v>1</v>
      </c>
      <c r="W9496">
        <v>1</v>
      </c>
      <c r="X9496">
        <v>2</v>
      </c>
      <c r="Y9496">
        <v>0</v>
      </c>
      <c r="Z9496">
        <v>2</v>
      </c>
      <c r="AA9496">
        <v>0</v>
      </c>
      <c r="AB9496">
        <v>0</v>
      </c>
      <c r="AC9496">
        <v>199</v>
      </c>
      <c r="AD9496">
        <v>0</v>
      </c>
      <c r="AE9496">
        <v>0</v>
      </c>
      <c r="AF9496">
        <v>0</v>
      </c>
      <c r="AG9496">
        <v>0</v>
      </c>
      <c r="AH9496">
        <v>0</v>
      </c>
      <c r="AI9496">
        <v>29.85</v>
      </c>
      <c r="AJ9496">
        <v>199</v>
      </c>
      <c r="AK9496">
        <v>199</v>
      </c>
      <c r="AL9496" t="s">
        <v>53</v>
      </c>
      <c r="AM9496" t="s">
        <v>53</v>
      </c>
      <c r="AN9496" t="s">
        <v>18224</v>
      </c>
      <c r="AO9496" t="s">
        <v>53</v>
      </c>
      <c r="AP9496" t="s">
        <v>53</v>
      </c>
    </row>
    <row r="9497" spans="2:42" x14ac:dyDescent="0.2">
      <c r="B9497" t="s">
        <v>44</v>
      </c>
      <c r="C9497" t="str">
        <f>HYPERLINK("https://us2.cloudbeds.com/connect/8493803454333002#/reservations/251893479370944?display=5E3EA7UVYP&amp;reservation_id=251893479370944", "5E3EA7UVYP")</f>
        <v>5E3EA7UVYP</v>
      </c>
      <c r="D9497" t="s">
        <v>10291</v>
      </c>
      <c r="E9497" t="s">
        <v>110</v>
      </c>
      <c r="F9497" t="s">
        <v>47</v>
      </c>
      <c r="G9497" t="s">
        <v>48</v>
      </c>
      <c r="H9497" t="s">
        <v>3957</v>
      </c>
      <c r="I9497" t="s">
        <v>3975</v>
      </c>
      <c r="J9497" t="s">
        <v>16504</v>
      </c>
      <c r="K9497" t="s">
        <v>17239</v>
      </c>
      <c r="L9497" t="s">
        <v>53</v>
      </c>
      <c r="P9497" t="s">
        <v>55</v>
      </c>
      <c r="R9497" t="s">
        <v>56</v>
      </c>
      <c r="T9497" t="s">
        <v>18225</v>
      </c>
      <c r="U9497" t="s">
        <v>58</v>
      </c>
      <c r="V9497">
        <v>2</v>
      </c>
      <c r="W9497">
        <v>1</v>
      </c>
      <c r="X9497">
        <v>2</v>
      </c>
      <c r="Y9497">
        <v>0</v>
      </c>
      <c r="Z9497">
        <v>2</v>
      </c>
      <c r="AA9497">
        <v>0</v>
      </c>
      <c r="AB9497">
        <v>0</v>
      </c>
      <c r="AC9497">
        <v>290</v>
      </c>
      <c r="AD9497">
        <v>0</v>
      </c>
      <c r="AE9497">
        <v>42.49</v>
      </c>
      <c r="AF9497">
        <v>0</v>
      </c>
      <c r="AG9497">
        <v>0</v>
      </c>
      <c r="AH9497">
        <v>0</v>
      </c>
      <c r="AI9497">
        <v>0</v>
      </c>
      <c r="AJ9497">
        <v>332.49</v>
      </c>
      <c r="AK9497">
        <v>332.49</v>
      </c>
      <c r="AL9497" t="s">
        <v>53</v>
      </c>
      <c r="AM9497" t="s">
        <v>53</v>
      </c>
      <c r="AN9497" t="s">
        <v>53</v>
      </c>
      <c r="AO9497" t="s">
        <v>53</v>
      </c>
      <c r="AP9497" t="s">
        <v>53</v>
      </c>
    </row>
    <row r="9498" spans="2:42" x14ac:dyDescent="0.2">
      <c r="B9498" t="s">
        <v>44</v>
      </c>
      <c r="C9498" t="str">
        <f>HYPERLINK("https://us2.cloudbeds.com/connect/8493803454333002#/reservations/9080486849581376?display=5E3Z7FY6MB&amp;reservation_id=9080486849581376", "5E3Z7FY6MB")</f>
        <v>5E3Z7FY6MB</v>
      </c>
      <c r="D9498" t="s">
        <v>45</v>
      </c>
      <c r="E9498" t="s">
        <v>78</v>
      </c>
      <c r="F9498" t="s">
        <v>61</v>
      </c>
      <c r="G9498" t="s">
        <v>48</v>
      </c>
      <c r="H9498" t="s">
        <v>49</v>
      </c>
      <c r="I9498" t="s">
        <v>8964</v>
      </c>
      <c r="J9498" t="s">
        <v>17078</v>
      </c>
      <c r="K9498" t="s">
        <v>16205</v>
      </c>
      <c r="L9498" t="s">
        <v>53</v>
      </c>
      <c r="N9498" t="s">
        <v>18226</v>
      </c>
      <c r="P9498" t="s">
        <v>55</v>
      </c>
      <c r="R9498" t="s">
        <v>53</v>
      </c>
      <c r="T9498" t="s">
        <v>18227</v>
      </c>
      <c r="U9498" t="s">
        <v>55</v>
      </c>
      <c r="V9498">
        <v>1</v>
      </c>
      <c r="W9498">
        <v>1</v>
      </c>
      <c r="X9498">
        <v>1</v>
      </c>
      <c r="Y9498">
        <v>0</v>
      </c>
      <c r="Z9498">
        <v>1</v>
      </c>
      <c r="AA9498">
        <v>0</v>
      </c>
      <c r="AB9498">
        <v>0</v>
      </c>
      <c r="AC9498">
        <v>152</v>
      </c>
      <c r="AD9498">
        <v>0</v>
      </c>
      <c r="AE9498">
        <v>0</v>
      </c>
      <c r="AF9498">
        <v>0</v>
      </c>
      <c r="AG9498">
        <v>0</v>
      </c>
      <c r="AH9498">
        <v>0</v>
      </c>
      <c r="AI9498">
        <v>22.8</v>
      </c>
      <c r="AJ9498">
        <v>152</v>
      </c>
      <c r="AK9498">
        <v>152</v>
      </c>
      <c r="AL9498" t="s">
        <v>53</v>
      </c>
      <c r="AM9498" t="s">
        <v>53</v>
      </c>
      <c r="AN9498" t="s">
        <v>53</v>
      </c>
      <c r="AO9498" t="s">
        <v>53</v>
      </c>
      <c r="AP9498" t="s">
        <v>53</v>
      </c>
    </row>
    <row r="9499" spans="2:42" x14ac:dyDescent="0.2">
      <c r="B9499" t="s">
        <v>44</v>
      </c>
      <c r="C9499" t="str">
        <f>HYPERLINK("https://us2.cloudbeds.com/connect/8493803454333002#/reservations/9080486849581892?display=5E3W62KZTP&amp;reservation_id=9080486849581892", "5E3W62KZTP")</f>
        <v>5E3W62KZTP</v>
      </c>
      <c r="D9499" t="s">
        <v>45</v>
      </c>
      <c r="E9499" t="s">
        <v>14695</v>
      </c>
      <c r="F9499" t="s">
        <v>47</v>
      </c>
      <c r="G9499" t="s">
        <v>48</v>
      </c>
      <c r="H9499" t="s">
        <v>49</v>
      </c>
      <c r="I9499" t="s">
        <v>50</v>
      </c>
      <c r="J9499" t="s">
        <v>17078</v>
      </c>
      <c r="K9499" t="s">
        <v>16205</v>
      </c>
      <c r="L9499" t="s">
        <v>53</v>
      </c>
      <c r="N9499" t="s">
        <v>18228</v>
      </c>
      <c r="P9499" t="s">
        <v>55</v>
      </c>
      <c r="R9499" t="s">
        <v>53</v>
      </c>
      <c r="T9499" t="s">
        <v>18229</v>
      </c>
      <c r="U9499" t="s">
        <v>55</v>
      </c>
      <c r="V9499">
        <v>1</v>
      </c>
      <c r="W9499">
        <v>1</v>
      </c>
      <c r="X9499">
        <v>1</v>
      </c>
      <c r="Y9499">
        <v>0</v>
      </c>
      <c r="Z9499">
        <v>1</v>
      </c>
      <c r="AA9499">
        <v>110.79</v>
      </c>
      <c r="AB9499">
        <v>110.79</v>
      </c>
      <c r="AC9499">
        <v>101.87</v>
      </c>
      <c r="AD9499">
        <v>0</v>
      </c>
      <c r="AE9499">
        <v>8.92</v>
      </c>
      <c r="AF9499">
        <v>0</v>
      </c>
      <c r="AG9499">
        <v>0</v>
      </c>
      <c r="AH9499">
        <v>0</v>
      </c>
      <c r="AI9499">
        <v>19.940000000000001</v>
      </c>
      <c r="AJ9499">
        <v>110.79</v>
      </c>
      <c r="AK9499">
        <v>0</v>
      </c>
      <c r="AL9499" t="s">
        <v>53</v>
      </c>
      <c r="AM9499" t="s">
        <v>53</v>
      </c>
      <c r="AN9499" t="s">
        <v>18230</v>
      </c>
      <c r="AO9499" t="s">
        <v>53</v>
      </c>
      <c r="AP9499" t="s">
        <v>53</v>
      </c>
    </row>
    <row r="9500" spans="2:42" x14ac:dyDescent="0.2">
      <c r="B9500" t="s">
        <v>44</v>
      </c>
      <c r="C9500" t="str">
        <f>HYPERLINK("https://us2.cloudbeds.com/connect/8493803454333002#/reservations/9080486849582252?display=5E44W9CQJ3&amp;reservation_id=9080486849582252", "5E44W9CQJ3")</f>
        <v>5E44W9CQJ3</v>
      </c>
      <c r="D9500" t="s">
        <v>45</v>
      </c>
      <c r="E9500" t="s">
        <v>14402</v>
      </c>
      <c r="F9500" t="s">
        <v>14403</v>
      </c>
      <c r="G9500" t="s">
        <v>48</v>
      </c>
      <c r="H9500" t="s">
        <v>49</v>
      </c>
      <c r="I9500" t="s">
        <v>50</v>
      </c>
      <c r="J9500" t="s">
        <v>17078</v>
      </c>
      <c r="K9500" t="s">
        <v>16205</v>
      </c>
      <c r="L9500" t="s">
        <v>53</v>
      </c>
      <c r="N9500" t="s">
        <v>18231</v>
      </c>
      <c r="P9500" t="s">
        <v>55</v>
      </c>
      <c r="R9500" t="s">
        <v>56</v>
      </c>
      <c r="T9500" t="s">
        <v>18232</v>
      </c>
      <c r="U9500" t="s">
        <v>55</v>
      </c>
      <c r="V9500">
        <v>1</v>
      </c>
      <c r="W9500">
        <v>1</v>
      </c>
      <c r="X9500">
        <v>2</v>
      </c>
      <c r="Y9500">
        <v>0</v>
      </c>
      <c r="Z9500">
        <v>2</v>
      </c>
      <c r="AA9500">
        <v>127.5</v>
      </c>
      <c r="AB9500">
        <v>127.5</v>
      </c>
      <c r="AC9500">
        <v>117.24</v>
      </c>
      <c r="AD9500">
        <v>0</v>
      </c>
      <c r="AE9500">
        <v>10.26</v>
      </c>
      <c r="AF9500">
        <v>0</v>
      </c>
      <c r="AG9500">
        <v>0</v>
      </c>
      <c r="AH9500">
        <v>0</v>
      </c>
      <c r="AI9500">
        <v>22.95</v>
      </c>
      <c r="AJ9500">
        <v>127.5</v>
      </c>
      <c r="AK9500">
        <v>0</v>
      </c>
      <c r="AL9500" t="s">
        <v>53</v>
      </c>
      <c r="AM9500" t="s">
        <v>53</v>
      </c>
      <c r="AN9500" t="s">
        <v>53</v>
      </c>
      <c r="AO9500" t="s">
        <v>53</v>
      </c>
      <c r="AP9500" t="s">
        <v>53</v>
      </c>
    </row>
    <row r="9501" spans="2:42" x14ac:dyDescent="0.2">
      <c r="B9501" t="s">
        <v>44</v>
      </c>
      <c r="C9501" t="str">
        <f>HYPERLINK("https://us2.cloudbeds.com/connect/8493803454333002#/reservations/9080486849582283?display=5E45G06GAK&amp;reservation_id=9080486849582283", "5E45G06GAK")</f>
        <v>5E45G06GAK</v>
      </c>
      <c r="D9501" t="s">
        <v>45</v>
      </c>
      <c r="E9501" t="s">
        <v>110</v>
      </c>
      <c r="F9501" t="s">
        <v>47</v>
      </c>
      <c r="G9501" t="s">
        <v>48</v>
      </c>
      <c r="H9501" t="s">
        <v>49</v>
      </c>
      <c r="I9501" t="s">
        <v>62</v>
      </c>
      <c r="J9501" t="s">
        <v>14732</v>
      </c>
      <c r="K9501" t="s">
        <v>14391</v>
      </c>
      <c r="L9501" t="s">
        <v>53</v>
      </c>
      <c r="N9501" t="s">
        <v>18233</v>
      </c>
      <c r="P9501" t="s">
        <v>55</v>
      </c>
      <c r="R9501" t="s">
        <v>56</v>
      </c>
      <c r="T9501" t="s">
        <v>18234</v>
      </c>
      <c r="U9501" t="s">
        <v>55</v>
      </c>
      <c r="V9501">
        <v>2</v>
      </c>
      <c r="W9501">
        <v>1</v>
      </c>
      <c r="X9501">
        <v>2</v>
      </c>
      <c r="Y9501">
        <v>0</v>
      </c>
      <c r="Z9501">
        <v>2</v>
      </c>
      <c r="AA9501">
        <v>346.5</v>
      </c>
      <c r="AB9501">
        <v>346.5</v>
      </c>
      <c r="AC9501">
        <v>346.5</v>
      </c>
      <c r="AD9501">
        <v>0</v>
      </c>
      <c r="AE9501">
        <v>0</v>
      </c>
      <c r="AF9501">
        <v>0</v>
      </c>
      <c r="AG9501">
        <v>0</v>
      </c>
      <c r="AH9501">
        <v>0</v>
      </c>
      <c r="AI9501">
        <v>62.37</v>
      </c>
      <c r="AJ9501">
        <v>346.5</v>
      </c>
      <c r="AK9501">
        <v>0</v>
      </c>
      <c r="AL9501" t="s">
        <v>53</v>
      </c>
      <c r="AM9501" t="s">
        <v>53</v>
      </c>
      <c r="AN9501" t="s">
        <v>18235</v>
      </c>
      <c r="AO9501" t="s">
        <v>53</v>
      </c>
      <c r="AP9501" t="s">
        <v>53</v>
      </c>
    </row>
    <row r="9502" spans="2:42" x14ac:dyDescent="0.2">
      <c r="B9502" t="s">
        <v>44</v>
      </c>
      <c r="C9502" t="str">
        <f>HYPERLINK("https://us2.cloudbeds.com/connect/8493803454333002#/reservations/9080486849582364?display=5E46TVP8QC&amp;reservation_id=9080486849582364", "5E46TVP8QC")</f>
        <v>5E46TVP8QC</v>
      </c>
      <c r="D9502" t="s">
        <v>10291</v>
      </c>
      <c r="E9502" t="s">
        <v>128</v>
      </c>
      <c r="F9502" t="s">
        <v>86</v>
      </c>
      <c r="G9502" t="s">
        <v>48</v>
      </c>
      <c r="H9502" t="s">
        <v>49</v>
      </c>
      <c r="I9502" t="s">
        <v>50</v>
      </c>
      <c r="J9502" t="s">
        <v>14372</v>
      </c>
      <c r="K9502" t="s">
        <v>16110</v>
      </c>
      <c r="L9502" t="s">
        <v>53</v>
      </c>
      <c r="N9502" t="s">
        <v>18236</v>
      </c>
      <c r="P9502" t="s">
        <v>55</v>
      </c>
      <c r="R9502" t="s">
        <v>53</v>
      </c>
      <c r="T9502" t="s">
        <v>18237</v>
      </c>
      <c r="U9502" t="s">
        <v>58</v>
      </c>
      <c r="V9502">
        <v>1</v>
      </c>
      <c r="W9502">
        <v>1</v>
      </c>
      <c r="X9502">
        <v>2</v>
      </c>
      <c r="Y9502">
        <v>0</v>
      </c>
      <c r="Z9502">
        <v>2</v>
      </c>
      <c r="AA9502">
        <v>227.53</v>
      </c>
      <c r="AB9502">
        <v>0</v>
      </c>
      <c r="AC9502">
        <v>198.45</v>
      </c>
      <c r="AD9502">
        <v>0</v>
      </c>
      <c r="AE9502">
        <v>29.08</v>
      </c>
      <c r="AF9502">
        <v>0</v>
      </c>
      <c r="AG9502">
        <v>0</v>
      </c>
      <c r="AH9502">
        <v>0</v>
      </c>
      <c r="AI9502">
        <v>40.96</v>
      </c>
      <c r="AJ9502">
        <v>227.53</v>
      </c>
      <c r="AK9502">
        <v>227.53</v>
      </c>
      <c r="AL9502" t="s">
        <v>53</v>
      </c>
      <c r="AM9502" t="s">
        <v>53</v>
      </c>
      <c r="AN9502" t="s">
        <v>53</v>
      </c>
      <c r="AO9502" t="s">
        <v>53</v>
      </c>
      <c r="AP9502" t="s">
        <v>53</v>
      </c>
    </row>
    <row r="9503" spans="2:42" x14ac:dyDescent="0.2">
      <c r="B9503" t="s">
        <v>44</v>
      </c>
      <c r="C9503" t="str">
        <f>HYPERLINK("https://us2.cloudbeds.com/connect/8493803454333002#/reservations/251930980090048?display=5E4ABFHW5F&amp;reservation_id=251930980090048", "5E4ABFHW5F")</f>
        <v>5E4ABFHW5F</v>
      </c>
      <c r="D9503" t="s">
        <v>45</v>
      </c>
      <c r="E9503" t="s">
        <v>128</v>
      </c>
      <c r="F9503" t="s">
        <v>86</v>
      </c>
      <c r="G9503" t="s">
        <v>48</v>
      </c>
      <c r="H9503" t="s">
        <v>3957</v>
      </c>
      <c r="I9503" t="s">
        <v>3975</v>
      </c>
      <c r="J9503" t="s">
        <v>16205</v>
      </c>
      <c r="K9503" t="s">
        <v>11651</v>
      </c>
      <c r="L9503" t="s">
        <v>53</v>
      </c>
      <c r="P9503" t="s">
        <v>55</v>
      </c>
      <c r="R9503" t="s">
        <v>56</v>
      </c>
      <c r="T9503" t="s">
        <v>18238</v>
      </c>
      <c r="U9503" t="s">
        <v>58</v>
      </c>
      <c r="V9503">
        <v>1</v>
      </c>
      <c r="W9503">
        <v>1</v>
      </c>
      <c r="X9503">
        <v>2</v>
      </c>
      <c r="Y9503">
        <v>0</v>
      </c>
      <c r="Z9503">
        <v>2</v>
      </c>
      <c r="AA9503">
        <v>206.37</v>
      </c>
      <c r="AB9503">
        <v>206.37</v>
      </c>
      <c r="AC9503">
        <v>180</v>
      </c>
      <c r="AD9503">
        <v>0</v>
      </c>
      <c r="AE9503">
        <v>26.37</v>
      </c>
      <c r="AF9503">
        <v>0</v>
      </c>
      <c r="AG9503">
        <v>0</v>
      </c>
      <c r="AH9503">
        <v>0</v>
      </c>
      <c r="AI9503">
        <v>0</v>
      </c>
      <c r="AJ9503">
        <v>206.37</v>
      </c>
      <c r="AK9503">
        <v>0</v>
      </c>
      <c r="AL9503" t="s">
        <v>53</v>
      </c>
      <c r="AM9503" t="s">
        <v>53</v>
      </c>
      <c r="AN9503" t="s">
        <v>53</v>
      </c>
      <c r="AO9503" t="s">
        <v>53</v>
      </c>
      <c r="AP9503" t="s">
        <v>53</v>
      </c>
    </row>
    <row r="9504" spans="2:42" x14ac:dyDescent="0.2">
      <c r="B9504" t="s">
        <v>44</v>
      </c>
      <c r="C9504" t="str">
        <f>HYPERLINK("https://us2.cloudbeds.com/connect/8493803454333002#/reservations/9080486849582884?display=5E4EYFT6D7&amp;reservation_id=9080486849582884", "5E4EYFT6D7")</f>
        <v>5E4EYFT6D7</v>
      </c>
      <c r="D9504" t="s">
        <v>45</v>
      </c>
      <c r="E9504" t="s">
        <v>92</v>
      </c>
      <c r="F9504" t="s">
        <v>86</v>
      </c>
      <c r="G9504" t="s">
        <v>48</v>
      </c>
      <c r="H9504" t="s">
        <v>49</v>
      </c>
      <c r="I9504" t="s">
        <v>62</v>
      </c>
      <c r="J9504" t="s">
        <v>17078</v>
      </c>
      <c r="K9504" t="s">
        <v>16205</v>
      </c>
      <c r="L9504" t="s">
        <v>53</v>
      </c>
      <c r="N9504" t="s">
        <v>18239</v>
      </c>
      <c r="P9504" t="s">
        <v>55</v>
      </c>
      <c r="R9504" t="s">
        <v>7173</v>
      </c>
      <c r="T9504" t="s">
        <v>18240</v>
      </c>
      <c r="U9504" t="s">
        <v>55</v>
      </c>
      <c r="V9504">
        <v>1</v>
      </c>
      <c r="W9504">
        <v>1</v>
      </c>
      <c r="X9504">
        <v>2</v>
      </c>
      <c r="Y9504">
        <v>2</v>
      </c>
      <c r="Z9504">
        <v>4</v>
      </c>
      <c r="AA9504">
        <v>189</v>
      </c>
      <c r="AB9504">
        <v>189</v>
      </c>
      <c r="AC9504">
        <v>189</v>
      </c>
      <c r="AD9504">
        <v>0</v>
      </c>
      <c r="AE9504">
        <v>0</v>
      </c>
      <c r="AF9504">
        <v>0</v>
      </c>
      <c r="AG9504">
        <v>0</v>
      </c>
      <c r="AH9504">
        <v>0</v>
      </c>
      <c r="AI9504">
        <v>34.020000000000003</v>
      </c>
      <c r="AJ9504">
        <v>189</v>
      </c>
      <c r="AK9504">
        <v>0</v>
      </c>
      <c r="AL9504" t="s">
        <v>53</v>
      </c>
      <c r="AM9504" t="s">
        <v>53</v>
      </c>
      <c r="AN9504" t="s">
        <v>53</v>
      </c>
      <c r="AO9504" t="s">
        <v>53</v>
      </c>
      <c r="AP9504" t="s">
        <v>53</v>
      </c>
    </row>
    <row r="9505" spans="2:42" x14ac:dyDescent="0.2">
      <c r="B9505" t="s">
        <v>44</v>
      </c>
      <c r="C9505" t="str">
        <f>HYPERLINK("https://us2.cloudbeds.com/connect/8493803454333002#/reservations/251936745423040?display=5E4EQQ0ZZN&amp;reservation_id=251936745423040", "5E4EQQ0ZZN")</f>
        <v>5E4EQQ0ZZN</v>
      </c>
      <c r="D9505" t="s">
        <v>45</v>
      </c>
      <c r="E9505" t="s">
        <v>373</v>
      </c>
      <c r="F9505" t="s">
        <v>47</v>
      </c>
      <c r="G9505" t="s">
        <v>48</v>
      </c>
      <c r="H9505" t="s">
        <v>3957</v>
      </c>
      <c r="I9505" t="s">
        <v>3975</v>
      </c>
      <c r="J9505" t="s">
        <v>17078</v>
      </c>
      <c r="K9505" t="s">
        <v>16205</v>
      </c>
      <c r="L9505" t="s">
        <v>53</v>
      </c>
      <c r="P9505" t="s">
        <v>58</v>
      </c>
      <c r="R9505" t="s">
        <v>56</v>
      </c>
      <c r="T9505" t="s">
        <v>18241</v>
      </c>
      <c r="U9505" t="s">
        <v>58</v>
      </c>
      <c r="V9505">
        <v>1</v>
      </c>
      <c r="W9505">
        <v>1</v>
      </c>
      <c r="X9505">
        <v>2</v>
      </c>
      <c r="Y9505">
        <v>0</v>
      </c>
      <c r="Z9505">
        <v>2</v>
      </c>
      <c r="AA9505">
        <v>171.98</v>
      </c>
      <c r="AB9505">
        <v>171.98</v>
      </c>
      <c r="AC9505">
        <v>150</v>
      </c>
      <c r="AD9505">
        <v>0</v>
      </c>
      <c r="AE9505">
        <v>21.98</v>
      </c>
      <c r="AF9505">
        <v>0</v>
      </c>
      <c r="AG9505">
        <v>0</v>
      </c>
      <c r="AH9505">
        <v>0</v>
      </c>
      <c r="AI9505">
        <v>0</v>
      </c>
      <c r="AJ9505">
        <v>171.98</v>
      </c>
      <c r="AK9505">
        <v>0</v>
      </c>
      <c r="AL9505" t="s">
        <v>53</v>
      </c>
      <c r="AM9505" t="s">
        <v>53</v>
      </c>
      <c r="AN9505" t="s">
        <v>53</v>
      </c>
      <c r="AO9505" t="s">
        <v>53</v>
      </c>
      <c r="AP9505" t="s">
        <v>53</v>
      </c>
    </row>
    <row r="9506" spans="2:42" x14ac:dyDescent="0.2">
      <c r="B9506" t="s">
        <v>44</v>
      </c>
      <c r="C9506" t="str">
        <f>HYPERLINK("https://us2.cloudbeds.com/connect/8493803454333002#/reservations/251939901964416?display=5E4H8EN9CM&amp;reservation_id=251939901964416", "5E4H8EN9CM")</f>
        <v>5E4H8EN9CM</v>
      </c>
      <c r="D9506" t="s">
        <v>10291</v>
      </c>
      <c r="E9506" t="s">
        <v>138</v>
      </c>
      <c r="F9506" t="s">
        <v>70</v>
      </c>
      <c r="G9506" t="s">
        <v>3974</v>
      </c>
      <c r="H9506" t="s">
        <v>3957</v>
      </c>
      <c r="I9506" t="s">
        <v>3975</v>
      </c>
      <c r="J9506" t="s">
        <v>18242</v>
      </c>
      <c r="K9506" t="s">
        <v>17817</v>
      </c>
      <c r="L9506" t="s">
        <v>53</v>
      </c>
      <c r="P9506" t="s">
        <v>55</v>
      </c>
      <c r="R9506" t="s">
        <v>56</v>
      </c>
      <c r="T9506" t="s">
        <v>18243</v>
      </c>
      <c r="U9506" t="s">
        <v>58</v>
      </c>
      <c r="V9506">
        <v>2</v>
      </c>
      <c r="W9506">
        <v>1</v>
      </c>
      <c r="X9506">
        <v>1</v>
      </c>
      <c r="Y9506">
        <v>0</v>
      </c>
      <c r="Z9506">
        <v>1</v>
      </c>
      <c r="AA9506">
        <v>348.55</v>
      </c>
      <c r="AB9506">
        <v>348.55</v>
      </c>
      <c r="AC9506">
        <v>304</v>
      </c>
      <c r="AD9506">
        <v>0</v>
      </c>
      <c r="AE9506">
        <v>44.55</v>
      </c>
      <c r="AF9506">
        <v>0</v>
      </c>
      <c r="AG9506">
        <v>0</v>
      </c>
      <c r="AH9506">
        <v>0</v>
      </c>
      <c r="AI9506">
        <v>0</v>
      </c>
      <c r="AJ9506">
        <v>348.55</v>
      </c>
      <c r="AK9506">
        <v>0</v>
      </c>
      <c r="AL9506" t="s">
        <v>53</v>
      </c>
      <c r="AM9506" t="s">
        <v>53</v>
      </c>
      <c r="AN9506" t="s">
        <v>53</v>
      </c>
      <c r="AO9506" t="s">
        <v>53</v>
      </c>
      <c r="AP9506" t="s">
        <v>53</v>
      </c>
    </row>
    <row r="9507" spans="2:42" x14ac:dyDescent="0.2">
      <c r="B9507" t="s">
        <v>44</v>
      </c>
      <c r="C9507" t="str">
        <f>HYPERLINK("https://us2.cloudbeds.com/connect/8493803454333002#/reservations/9080486849583634?display=5E4QGU7PR6&amp;reservation_id=9080486849583634", "5E4QGU7PR6")</f>
        <v>5E4QGU7PR6</v>
      </c>
      <c r="D9507" t="s">
        <v>45</v>
      </c>
      <c r="E9507" t="s">
        <v>155</v>
      </c>
      <c r="F9507" t="s">
        <v>86</v>
      </c>
      <c r="G9507" t="s">
        <v>48</v>
      </c>
      <c r="H9507" t="s">
        <v>49</v>
      </c>
      <c r="I9507" t="s">
        <v>50</v>
      </c>
      <c r="J9507" t="s">
        <v>16205</v>
      </c>
      <c r="K9507" t="s">
        <v>11651</v>
      </c>
      <c r="L9507" t="s">
        <v>53</v>
      </c>
      <c r="N9507" t="s">
        <v>18244</v>
      </c>
      <c r="P9507" t="s">
        <v>55</v>
      </c>
      <c r="R9507" t="s">
        <v>53</v>
      </c>
      <c r="T9507" t="s">
        <v>18245</v>
      </c>
      <c r="U9507" t="s">
        <v>55</v>
      </c>
      <c r="V9507">
        <v>1</v>
      </c>
      <c r="W9507">
        <v>1</v>
      </c>
      <c r="X9507">
        <v>2</v>
      </c>
      <c r="Y9507">
        <v>2</v>
      </c>
      <c r="Z9507">
        <v>4</v>
      </c>
      <c r="AA9507">
        <v>134.52000000000001</v>
      </c>
      <c r="AB9507">
        <v>134.52000000000001</v>
      </c>
      <c r="AC9507">
        <v>123.7</v>
      </c>
      <c r="AD9507">
        <v>0</v>
      </c>
      <c r="AE9507">
        <v>10.82</v>
      </c>
      <c r="AF9507">
        <v>0</v>
      </c>
      <c r="AG9507">
        <v>0</v>
      </c>
      <c r="AH9507">
        <v>0</v>
      </c>
      <c r="AI9507">
        <v>24.21</v>
      </c>
      <c r="AJ9507">
        <v>134.52000000000001</v>
      </c>
      <c r="AK9507">
        <v>0</v>
      </c>
      <c r="AL9507" t="s">
        <v>53</v>
      </c>
      <c r="AM9507" t="s">
        <v>53</v>
      </c>
      <c r="AN9507" t="s">
        <v>53</v>
      </c>
      <c r="AO9507" t="s">
        <v>53</v>
      </c>
      <c r="AP9507" t="s">
        <v>53</v>
      </c>
    </row>
    <row r="9508" spans="2:42" x14ac:dyDescent="0.2">
      <c r="B9508" t="s">
        <v>44</v>
      </c>
      <c r="C9508" t="str">
        <f>HYPERLINK("https://us2.cloudbeds.com/connect/8493803454333002#/reservations/251955727384704?display=5E4TGR459F&amp;reservation_id=251955727384704", "5E4TGR459F")</f>
        <v>5E4TGR459F</v>
      </c>
      <c r="D9508" t="s">
        <v>45</v>
      </c>
      <c r="E9508" t="s">
        <v>265</v>
      </c>
      <c r="F9508" t="s">
        <v>61</v>
      </c>
      <c r="G9508" t="s">
        <v>48</v>
      </c>
      <c r="H9508" t="s">
        <v>3957</v>
      </c>
      <c r="I9508" t="s">
        <v>3958</v>
      </c>
      <c r="J9508" t="s">
        <v>17078</v>
      </c>
      <c r="K9508" t="s">
        <v>16205</v>
      </c>
      <c r="L9508" t="s">
        <v>53</v>
      </c>
      <c r="P9508" t="s">
        <v>55</v>
      </c>
      <c r="R9508" t="s">
        <v>56</v>
      </c>
      <c r="T9508" t="s">
        <v>18246</v>
      </c>
      <c r="U9508" t="s">
        <v>58</v>
      </c>
      <c r="V9508">
        <v>1</v>
      </c>
      <c r="W9508">
        <v>1</v>
      </c>
      <c r="X9508">
        <v>1</v>
      </c>
      <c r="Y9508">
        <v>0</v>
      </c>
      <c r="Z9508">
        <v>1</v>
      </c>
      <c r="AA9508">
        <v>177.72</v>
      </c>
      <c r="AB9508">
        <v>177.72</v>
      </c>
      <c r="AC9508">
        <v>155</v>
      </c>
      <c r="AD9508">
        <v>0</v>
      </c>
      <c r="AE9508">
        <v>22.72</v>
      </c>
      <c r="AF9508">
        <v>0</v>
      </c>
      <c r="AG9508">
        <v>0</v>
      </c>
      <c r="AH9508">
        <v>0</v>
      </c>
      <c r="AI9508">
        <v>0</v>
      </c>
      <c r="AJ9508">
        <v>177.72</v>
      </c>
      <c r="AK9508">
        <v>0</v>
      </c>
      <c r="AL9508" t="s">
        <v>53</v>
      </c>
      <c r="AM9508" t="s">
        <v>53</v>
      </c>
      <c r="AN9508" t="s">
        <v>53</v>
      </c>
      <c r="AO9508" t="s">
        <v>53</v>
      </c>
      <c r="AP9508" t="s">
        <v>53</v>
      </c>
    </row>
    <row r="9509" spans="2:42" x14ac:dyDescent="0.2">
      <c r="B9509" t="s">
        <v>44</v>
      </c>
      <c r="C9509" t="str">
        <f>HYPERLINK("https://us2.cloudbeds.com/connect/8493803454333002#/reservations/251978984841344?display=5E5EH3DJW6&amp;reservation_id=251978984841344", "5E5EH3DJW6")</f>
        <v>5E5EH3DJW6</v>
      </c>
      <c r="D9509" t="s">
        <v>10291</v>
      </c>
      <c r="E9509" t="s">
        <v>69</v>
      </c>
      <c r="F9509" t="s">
        <v>70</v>
      </c>
      <c r="G9509" t="s">
        <v>3974</v>
      </c>
      <c r="H9509" t="s">
        <v>3957</v>
      </c>
      <c r="I9509" t="s">
        <v>3975</v>
      </c>
      <c r="J9509" t="s">
        <v>17467</v>
      </c>
      <c r="K9509" t="s">
        <v>14372</v>
      </c>
      <c r="L9509" t="s">
        <v>53</v>
      </c>
      <c r="P9509" t="s">
        <v>55</v>
      </c>
      <c r="R9509" t="s">
        <v>56</v>
      </c>
      <c r="T9509" t="s">
        <v>18247</v>
      </c>
      <c r="U9509" t="s">
        <v>58</v>
      </c>
      <c r="V9509">
        <v>1</v>
      </c>
      <c r="W9509">
        <v>1</v>
      </c>
      <c r="X9509">
        <v>2</v>
      </c>
      <c r="Y9509">
        <v>0</v>
      </c>
      <c r="Z9509">
        <v>2</v>
      </c>
      <c r="AA9509">
        <v>185.16</v>
      </c>
      <c r="AB9509">
        <v>185.16</v>
      </c>
      <c r="AC9509">
        <v>161.5</v>
      </c>
      <c r="AD9509">
        <v>0</v>
      </c>
      <c r="AE9509">
        <v>23.66</v>
      </c>
      <c r="AF9509">
        <v>0</v>
      </c>
      <c r="AG9509">
        <v>0</v>
      </c>
      <c r="AH9509">
        <v>0</v>
      </c>
      <c r="AI9509">
        <v>0</v>
      </c>
      <c r="AJ9509">
        <v>185.16</v>
      </c>
      <c r="AK9509">
        <v>0</v>
      </c>
      <c r="AL9509" t="s">
        <v>53</v>
      </c>
      <c r="AM9509" t="s">
        <v>53</v>
      </c>
      <c r="AN9509" t="s">
        <v>18248</v>
      </c>
      <c r="AO9509" t="s">
        <v>53</v>
      </c>
      <c r="AP9509" t="s">
        <v>53</v>
      </c>
    </row>
    <row r="9510" spans="2:42" x14ac:dyDescent="0.2">
      <c r="B9510" t="s">
        <v>44</v>
      </c>
      <c r="C9510" t="str">
        <f>HYPERLINK("https://us2.cloudbeds.com/connect/8493803454333002#/reservations/9080486849585420?display=5E5R420KQP&amp;reservation_id=9080486849585420", "5E5R420KQP")</f>
        <v>5E5R420KQP</v>
      </c>
      <c r="D9510" t="s">
        <v>45</v>
      </c>
      <c r="E9510" t="s">
        <v>406</v>
      </c>
      <c r="F9510" t="s">
        <v>61</v>
      </c>
      <c r="G9510" t="s">
        <v>48</v>
      </c>
      <c r="H9510" t="s">
        <v>49</v>
      </c>
      <c r="I9510" t="s">
        <v>50</v>
      </c>
      <c r="J9510" t="s">
        <v>16205</v>
      </c>
      <c r="K9510" t="s">
        <v>11652</v>
      </c>
      <c r="L9510" t="s">
        <v>53</v>
      </c>
      <c r="N9510" t="s">
        <v>18249</v>
      </c>
      <c r="P9510" t="s">
        <v>55</v>
      </c>
      <c r="R9510" t="s">
        <v>53</v>
      </c>
      <c r="T9510" t="s">
        <v>18250</v>
      </c>
      <c r="U9510" t="s">
        <v>55</v>
      </c>
      <c r="V9510">
        <v>2</v>
      </c>
      <c r="W9510">
        <v>1</v>
      </c>
      <c r="X9510">
        <v>1</v>
      </c>
      <c r="Y9510">
        <v>0</v>
      </c>
      <c r="Z9510">
        <v>1</v>
      </c>
      <c r="AA9510">
        <v>246.64</v>
      </c>
      <c r="AB9510">
        <v>246.64</v>
      </c>
      <c r="AC9510">
        <v>226.8</v>
      </c>
      <c r="AD9510">
        <v>0</v>
      </c>
      <c r="AE9510">
        <v>19.84</v>
      </c>
      <c r="AF9510">
        <v>0</v>
      </c>
      <c r="AG9510">
        <v>0</v>
      </c>
      <c r="AH9510">
        <v>0</v>
      </c>
      <c r="AI9510">
        <v>44.4</v>
      </c>
      <c r="AJ9510">
        <v>246.64</v>
      </c>
      <c r="AK9510">
        <v>0</v>
      </c>
      <c r="AL9510" t="s">
        <v>53</v>
      </c>
      <c r="AM9510" t="s">
        <v>53</v>
      </c>
      <c r="AN9510" t="s">
        <v>18251</v>
      </c>
      <c r="AO9510" t="s">
        <v>53</v>
      </c>
      <c r="AP9510" t="s">
        <v>53</v>
      </c>
    </row>
    <row r="9511" spans="2:42" x14ac:dyDescent="0.2">
      <c r="B9511" t="s">
        <v>44</v>
      </c>
      <c r="C9511" t="str">
        <f>HYPERLINK("https://us2.cloudbeds.com/connect/8493803454333002#/reservations/9080486849585440?display=5E5RXK0GM4&amp;reservation_id=9080486849585440", "5E5RXK0GM4")</f>
        <v>5E5RXK0GM4</v>
      </c>
      <c r="D9511" t="s">
        <v>10291</v>
      </c>
      <c r="E9511" t="s">
        <v>69</v>
      </c>
      <c r="F9511" t="s">
        <v>70</v>
      </c>
      <c r="G9511" t="s">
        <v>48</v>
      </c>
      <c r="H9511" t="s">
        <v>49</v>
      </c>
      <c r="I9511" t="s">
        <v>50</v>
      </c>
      <c r="J9511" t="s">
        <v>16070</v>
      </c>
      <c r="K9511" t="s">
        <v>17825</v>
      </c>
      <c r="L9511" t="s">
        <v>53</v>
      </c>
      <c r="N9511" t="s">
        <v>18252</v>
      </c>
      <c r="P9511" t="s">
        <v>55</v>
      </c>
      <c r="R9511" t="s">
        <v>53</v>
      </c>
      <c r="T9511" t="s">
        <v>18253</v>
      </c>
      <c r="U9511" t="s">
        <v>55</v>
      </c>
      <c r="V9511">
        <v>2</v>
      </c>
      <c r="W9511">
        <v>1</v>
      </c>
      <c r="X9511">
        <v>2</v>
      </c>
      <c r="Y9511">
        <v>0</v>
      </c>
      <c r="Z9511">
        <v>2</v>
      </c>
      <c r="AA9511">
        <v>224.18</v>
      </c>
      <c r="AB9511">
        <v>0</v>
      </c>
      <c r="AC9511">
        <v>206.14</v>
      </c>
      <c r="AD9511">
        <v>0</v>
      </c>
      <c r="AE9511">
        <v>18.04</v>
      </c>
      <c r="AF9511">
        <v>0</v>
      </c>
      <c r="AG9511">
        <v>0</v>
      </c>
      <c r="AH9511">
        <v>0</v>
      </c>
      <c r="AI9511">
        <v>40.35</v>
      </c>
      <c r="AJ9511">
        <v>224.18</v>
      </c>
      <c r="AK9511">
        <v>224.18</v>
      </c>
      <c r="AL9511" t="s">
        <v>53</v>
      </c>
      <c r="AM9511" t="s">
        <v>53</v>
      </c>
      <c r="AN9511" t="s">
        <v>53</v>
      </c>
      <c r="AO9511" t="s">
        <v>53</v>
      </c>
      <c r="AP9511" t="s">
        <v>53</v>
      </c>
    </row>
    <row r="9512" spans="2:42" x14ac:dyDescent="0.2">
      <c r="B9512" t="s">
        <v>44</v>
      </c>
      <c r="C9512" t="str">
        <f>HYPERLINK("https://us2.cloudbeds.com/connect/8493803454333002#/reservations/9080486849587223?display=5E6V840EC2&amp;reservation_id=9080486849587223", "5E6V840EC2")</f>
        <v>5E6V840EC2</v>
      </c>
      <c r="D9512" t="s">
        <v>10291</v>
      </c>
      <c r="E9512" t="s">
        <v>190</v>
      </c>
      <c r="F9512" t="s">
        <v>61</v>
      </c>
      <c r="G9512" t="s">
        <v>48</v>
      </c>
      <c r="H9512" t="s">
        <v>49</v>
      </c>
      <c r="I9512" t="s">
        <v>50</v>
      </c>
      <c r="J9512" t="s">
        <v>17135</v>
      </c>
      <c r="K9512" t="s">
        <v>16110</v>
      </c>
      <c r="L9512" t="s">
        <v>53</v>
      </c>
      <c r="N9512" t="s">
        <v>18254</v>
      </c>
      <c r="P9512" t="s">
        <v>55</v>
      </c>
      <c r="R9512" t="s">
        <v>53</v>
      </c>
      <c r="T9512" t="s">
        <v>18255</v>
      </c>
      <c r="U9512" t="s">
        <v>55</v>
      </c>
      <c r="V9512">
        <v>3</v>
      </c>
      <c r="W9512">
        <v>1</v>
      </c>
      <c r="X9512">
        <v>2</v>
      </c>
      <c r="Y9512">
        <v>0</v>
      </c>
      <c r="Z9512">
        <v>2</v>
      </c>
      <c r="AA9512">
        <v>491.91</v>
      </c>
      <c r="AB9512">
        <v>0</v>
      </c>
      <c r="AC9512">
        <v>452.33</v>
      </c>
      <c r="AD9512">
        <v>0</v>
      </c>
      <c r="AE9512">
        <v>39.58</v>
      </c>
      <c r="AF9512">
        <v>0</v>
      </c>
      <c r="AG9512">
        <v>0</v>
      </c>
      <c r="AH9512">
        <v>0</v>
      </c>
      <c r="AI9512">
        <v>88.54</v>
      </c>
      <c r="AJ9512">
        <v>491.91</v>
      </c>
      <c r="AK9512">
        <v>491.91</v>
      </c>
      <c r="AL9512" t="s">
        <v>53</v>
      </c>
      <c r="AM9512" t="s">
        <v>53</v>
      </c>
      <c r="AN9512" t="s">
        <v>53</v>
      </c>
      <c r="AO9512" t="s">
        <v>53</v>
      </c>
      <c r="AP9512" t="s">
        <v>53</v>
      </c>
    </row>
    <row r="9513" spans="2:42" x14ac:dyDescent="0.2">
      <c r="B9513" t="s">
        <v>44</v>
      </c>
      <c r="C9513" t="str">
        <f>HYPERLINK("https://us2.cloudbeds.com/connect/8493803454333002#/reservations/9080486849591620?display=5EA713E4JJ&amp;reservation_id=9080486849591620", "5EA713E4JJ")</f>
        <v>5EA713E4JJ</v>
      </c>
      <c r="D9513" t="s">
        <v>45</v>
      </c>
      <c r="E9513" t="s">
        <v>98</v>
      </c>
      <c r="F9513" t="s">
        <v>86</v>
      </c>
      <c r="G9513" t="s">
        <v>48</v>
      </c>
      <c r="H9513" t="s">
        <v>49</v>
      </c>
      <c r="I9513" t="s">
        <v>50</v>
      </c>
      <c r="J9513" t="s">
        <v>16205</v>
      </c>
      <c r="K9513" t="s">
        <v>11651</v>
      </c>
      <c r="L9513" t="s">
        <v>53</v>
      </c>
      <c r="N9513" t="s">
        <v>18256</v>
      </c>
      <c r="P9513" t="s">
        <v>55</v>
      </c>
      <c r="R9513" t="s">
        <v>53</v>
      </c>
      <c r="T9513" t="s">
        <v>18257</v>
      </c>
      <c r="U9513" t="s">
        <v>55</v>
      </c>
      <c r="V9513">
        <v>1</v>
      </c>
      <c r="W9513">
        <v>1</v>
      </c>
      <c r="X9513">
        <v>1</v>
      </c>
      <c r="Y9513">
        <v>2</v>
      </c>
      <c r="Z9513">
        <v>3</v>
      </c>
      <c r="AA9513">
        <v>144.11000000000001</v>
      </c>
      <c r="AB9513">
        <v>144.11000000000001</v>
      </c>
      <c r="AC9513">
        <v>132.51</v>
      </c>
      <c r="AD9513">
        <v>0</v>
      </c>
      <c r="AE9513">
        <v>11.6</v>
      </c>
      <c r="AF9513">
        <v>0</v>
      </c>
      <c r="AG9513">
        <v>0</v>
      </c>
      <c r="AH9513">
        <v>0</v>
      </c>
      <c r="AI9513">
        <v>25.94</v>
      </c>
      <c r="AJ9513">
        <v>144.11000000000001</v>
      </c>
      <c r="AK9513">
        <v>0</v>
      </c>
      <c r="AL9513" t="s">
        <v>53</v>
      </c>
      <c r="AM9513" t="s">
        <v>53</v>
      </c>
      <c r="AN9513" t="s">
        <v>53</v>
      </c>
      <c r="AO9513" t="s">
        <v>53</v>
      </c>
      <c r="AP9513" t="s">
        <v>53</v>
      </c>
    </row>
    <row r="9514" spans="2:42" x14ac:dyDescent="0.2">
      <c r="B9514" t="s">
        <v>44</v>
      </c>
      <c r="C9514" t="str">
        <f>HYPERLINK("https://us2.cloudbeds.com/connect/8493803454333002#/reservations/9080486849592243?display=5EAF8VZZ8Y&amp;reservation_id=9080486849592243", "5EAF8VZZ8Y")</f>
        <v>5EAF8VZZ8Y</v>
      </c>
      <c r="D9514" t="s">
        <v>10291</v>
      </c>
      <c r="E9514" t="s">
        <v>110</v>
      </c>
      <c r="F9514" t="s">
        <v>47</v>
      </c>
      <c r="G9514" t="s">
        <v>48</v>
      </c>
      <c r="H9514" t="s">
        <v>49</v>
      </c>
      <c r="I9514" t="s">
        <v>50</v>
      </c>
      <c r="J9514" t="s">
        <v>17818</v>
      </c>
      <c r="K9514" t="s">
        <v>17904</v>
      </c>
      <c r="L9514" t="s">
        <v>53</v>
      </c>
      <c r="N9514" t="s">
        <v>18258</v>
      </c>
      <c r="P9514" t="s">
        <v>55</v>
      </c>
      <c r="R9514" t="s">
        <v>53</v>
      </c>
      <c r="T9514" t="s">
        <v>18259</v>
      </c>
      <c r="U9514" t="s">
        <v>55</v>
      </c>
      <c r="V9514">
        <v>1</v>
      </c>
      <c r="W9514">
        <v>1</v>
      </c>
      <c r="X9514">
        <v>2</v>
      </c>
      <c r="Y9514">
        <v>0</v>
      </c>
      <c r="Z9514">
        <v>2</v>
      </c>
      <c r="AA9514">
        <v>127.35</v>
      </c>
      <c r="AB9514">
        <v>0</v>
      </c>
      <c r="AC9514">
        <v>117.1</v>
      </c>
      <c r="AD9514">
        <v>0</v>
      </c>
      <c r="AE9514">
        <v>10.25</v>
      </c>
      <c r="AF9514">
        <v>0</v>
      </c>
      <c r="AG9514">
        <v>0</v>
      </c>
      <c r="AH9514">
        <v>0</v>
      </c>
      <c r="AI9514">
        <v>22.92</v>
      </c>
      <c r="AJ9514">
        <v>127.35</v>
      </c>
      <c r="AK9514">
        <v>127.35</v>
      </c>
      <c r="AL9514" t="s">
        <v>53</v>
      </c>
      <c r="AM9514" t="s">
        <v>53</v>
      </c>
      <c r="AN9514" t="s">
        <v>53</v>
      </c>
      <c r="AO9514" t="s">
        <v>53</v>
      </c>
      <c r="AP9514" t="s">
        <v>53</v>
      </c>
    </row>
    <row r="9515" spans="2:42" x14ac:dyDescent="0.2">
      <c r="B9515" t="s">
        <v>44</v>
      </c>
      <c r="C9515" t="str">
        <f>HYPERLINK("https://us2.cloudbeds.com/connect/8493803454333002#/reservations/9080486849592871?display=5EAQ8NPBRB&amp;reservation_id=9080486849592871", "5EAQ8NPBRB")</f>
        <v>5EAQ8NPBRB</v>
      </c>
      <c r="D9515" t="s">
        <v>10291</v>
      </c>
      <c r="E9515" t="s">
        <v>69</v>
      </c>
      <c r="F9515" t="s">
        <v>70</v>
      </c>
      <c r="G9515" t="s">
        <v>48</v>
      </c>
      <c r="H9515" t="s">
        <v>49</v>
      </c>
      <c r="I9515" t="s">
        <v>62</v>
      </c>
      <c r="J9515" t="s">
        <v>18033</v>
      </c>
      <c r="K9515" t="s">
        <v>18260</v>
      </c>
      <c r="L9515" t="s">
        <v>53</v>
      </c>
      <c r="N9515" t="s">
        <v>18261</v>
      </c>
      <c r="P9515" t="s">
        <v>55</v>
      </c>
      <c r="R9515" t="s">
        <v>56</v>
      </c>
      <c r="T9515" t="s">
        <v>18262</v>
      </c>
      <c r="U9515" t="s">
        <v>55</v>
      </c>
      <c r="V9515">
        <v>3</v>
      </c>
      <c r="W9515">
        <v>1</v>
      </c>
      <c r="X9515">
        <v>1</v>
      </c>
      <c r="Y9515">
        <v>0</v>
      </c>
      <c r="Z9515">
        <v>1</v>
      </c>
      <c r="AA9515">
        <v>428.92</v>
      </c>
      <c r="AB9515">
        <v>0</v>
      </c>
      <c r="AC9515">
        <v>428.92</v>
      </c>
      <c r="AD9515">
        <v>0</v>
      </c>
      <c r="AE9515">
        <v>0</v>
      </c>
      <c r="AF9515">
        <v>0</v>
      </c>
      <c r="AG9515">
        <v>0</v>
      </c>
      <c r="AH9515">
        <v>0</v>
      </c>
      <c r="AI9515">
        <v>77.209999999999994</v>
      </c>
      <c r="AJ9515">
        <v>428.92</v>
      </c>
      <c r="AK9515">
        <v>428.92</v>
      </c>
      <c r="AL9515" t="s">
        <v>53</v>
      </c>
      <c r="AM9515" t="s">
        <v>53</v>
      </c>
      <c r="AN9515" t="s">
        <v>53</v>
      </c>
      <c r="AO9515" t="s">
        <v>53</v>
      </c>
      <c r="AP9515" t="s">
        <v>53</v>
      </c>
    </row>
    <row r="9516" spans="2:42" x14ac:dyDescent="0.2">
      <c r="B9516" t="s">
        <v>44</v>
      </c>
      <c r="C9516" t="str">
        <f>HYPERLINK("https://us2.cloudbeds.com/connect/8493803454333002#/reservations/9080486849594122?display=5EBARHN42F&amp;reservation_id=9080486849594122", "5EBARHN42F")</f>
        <v>5EBARHN42F</v>
      </c>
      <c r="D9516" t="s">
        <v>45</v>
      </c>
      <c r="E9516" t="s">
        <v>305</v>
      </c>
      <c r="F9516" t="s">
        <v>61</v>
      </c>
      <c r="G9516" t="s">
        <v>48</v>
      </c>
      <c r="H9516" t="s">
        <v>49</v>
      </c>
      <c r="I9516" t="s">
        <v>50</v>
      </c>
      <c r="J9516" t="s">
        <v>15548</v>
      </c>
      <c r="K9516" t="s">
        <v>14732</v>
      </c>
      <c r="L9516" t="s">
        <v>53</v>
      </c>
      <c r="N9516" t="s">
        <v>18263</v>
      </c>
      <c r="P9516" t="s">
        <v>55</v>
      </c>
      <c r="R9516" t="s">
        <v>53</v>
      </c>
      <c r="T9516" t="s">
        <v>18264</v>
      </c>
      <c r="U9516" t="s">
        <v>58</v>
      </c>
      <c r="V9516">
        <v>1</v>
      </c>
      <c r="W9516">
        <v>1</v>
      </c>
      <c r="X9516">
        <v>2</v>
      </c>
      <c r="Y9516">
        <v>0</v>
      </c>
      <c r="Z9516">
        <v>2</v>
      </c>
      <c r="AA9516">
        <v>223.06</v>
      </c>
      <c r="AB9516">
        <v>223.06</v>
      </c>
      <c r="AC9516">
        <v>194.56</v>
      </c>
      <c r="AD9516">
        <v>0</v>
      </c>
      <c r="AE9516">
        <v>28.5</v>
      </c>
      <c r="AF9516">
        <v>0</v>
      </c>
      <c r="AG9516">
        <v>0</v>
      </c>
      <c r="AH9516">
        <v>0</v>
      </c>
      <c r="AI9516">
        <v>40.15</v>
      </c>
      <c r="AJ9516">
        <v>223.06</v>
      </c>
      <c r="AK9516">
        <v>0</v>
      </c>
      <c r="AL9516" t="s">
        <v>53</v>
      </c>
      <c r="AM9516" t="s">
        <v>53</v>
      </c>
      <c r="AN9516" t="s">
        <v>18265</v>
      </c>
      <c r="AO9516" t="s">
        <v>53</v>
      </c>
      <c r="AP9516" t="s">
        <v>53</v>
      </c>
    </row>
    <row r="9517" spans="2:42" x14ac:dyDescent="0.2">
      <c r="B9517" t="s">
        <v>44</v>
      </c>
      <c r="C9517" t="str">
        <f>HYPERLINK("https://us2.cloudbeds.com/connect/8493803454333002#/reservations/9080486849594727?display=5EBXRKD6VF&amp;reservation_id=9080486849594727", "5EBXRKD6VF")</f>
        <v>5EBXRKD6VF</v>
      </c>
      <c r="D9517" t="s">
        <v>10291</v>
      </c>
      <c r="E9517" t="s">
        <v>165</v>
      </c>
      <c r="F9517" t="s">
        <v>61</v>
      </c>
      <c r="G9517" t="s">
        <v>48</v>
      </c>
      <c r="H9517" t="s">
        <v>49</v>
      </c>
      <c r="I9517" t="s">
        <v>50</v>
      </c>
      <c r="J9517" t="s">
        <v>17135</v>
      </c>
      <c r="K9517" t="s">
        <v>17467</v>
      </c>
      <c r="L9517" t="s">
        <v>53</v>
      </c>
      <c r="N9517" t="s">
        <v>18266</v>
      </c>
      <c r="P9517" t="s">
        <v>55</v>
      </c>
      <c r="R9517" t="s">
        <v>53</v>
      </c>
      <c r="T9517" t="s">
        <v>18267</v>
      </c>
      <c r="U9517" t="s">
        <v>55</v>
      </c>
      <c r="V9517">
        <v>1</v>
      </c>
      <c r="W9517">
        <v>1</v>
      </c>
      <c r="X9517">
        <v>2</v>
      </c>
      <c r="Y9517">
        <v>0</v>
      </c>
      <c r="Z9517">
        <v>2</v>
      </c>
      <c r="AA9517">
        <v>138.26</v>
      </c>
      <c r="AB9517">
        <v>0</v>
      </c>
      <c r="AC9517">
        <v>127.14</v>
      </c>
      <c r="AD9517">
        <v>0</v>
      </c>
      <c r="AE9517">
        <v>11.12</v>
      </c>
      <c r="AF9517">
        <v>0</v>
      </c>
      <c r="AG9517">
        <v>0</v>
      </c>
      <c r="AH9517">
        <v>0</v>
      </c>
      <c r="AI9517">
        <v>24.89</v>
      </c>
      <c r="AJ9517">
        <v>138.26</v>
      </c>
      <c r="AK9517">
        <v>138.26</v>
      </c>
      <c r="AL9517" t="s">
        <v>53</v>
      </c>
      <c r="AM9517" t="s">
        <v>53</v>
      </c>
      <c r="AN9517" t="s">
        <v>18268</v>
      </c>
      <c r="AO9517" t="s">
        <v>53</v>
      </c>
      <c r="AP9517" t="s">
        <v>53</v>
      </c>
    </row>
    <row r="9518" spans="2:42" x14ac:dyDescent="0.2">
      <c r="B9518" t="s">
        <v>44</v>
      </c>
      <c r="C9518" t="str">
        <f>HYPERLINK("https://us2.cloudbeds.com/connect/8493803454333002#/reservations/252244970221760?display=5EBMFYB0XB&amp;reservation_id=252244970221760", "5EBMFYB0XB")</f>
        <v>5EBMFYB0XB</v>
      </c>
      <c r="D9518" t="s">
        <v>9111</v>
      </c>
      <c r="E9518" t="s">
        <v>185</v>
      </c>
      <c r="F9518" t="s">
        <v>47</v>
      </c>
      <c r="G9518" t="s">
        <v>3974</v>
      </c>
      <c r="H9518" t="s">
        <v>3957</v>
      </c>
      <c r="I9518" t="s">
        <v>3975</v>
      </c>
      <c r="J9518" t="s">
        <v>17389</v>
      </c>
      <c r="K9518" t="s">
        <v>17135</v>
      </c>
      <c r="L9518" t="s">
        <v>53</v>
      </c>
      <c r="P9518" t="s">
        <v>55</v>
      </c>
      <c r="R9518" t="s">
        <v>56</v>
      </c>
      <c r="T9518" t="s">
        <v>18269</v>
      </c>
      <c r="U9518" t="s">
        <v>58</v>
      </c>
      <c r="V9518">
        <v>2</v>
      </c>
      <c r="W9518">
        <v>1</v>
      </c>
      <c r="X9518">
        <v>2</v>
      </c>
      <c r="Y9518">
        <v>0</v>
      </c>
      <c r="Z9518">
        <v>2</v>
      </c>
      <c r="AA9518">
        <v>352.9</v>
      </c>
      <c r="AB9518">
        <v>352.9</v>
      </c>
      <c r="AC9518">
        <v>307.8</v>
      </c>
      <c r="AD9518">
        <v>0</v>
      </c>
      <c r="AE9518">
        <v>45.1</v>
      </c>
      <c r="AF9518">
        <v>0</v>
      </c>
      <c r="AG9518">
        <v>0</v>
      </c>
      <c r="AH9518">
        <v>0</v>
      </c>
      <c r="AI9518">
        <v>0</v>
      </c>
      <c r="AJ9518">
        <v>352.9</v>
      </c>
      <c r="AK9518">
        <v>0</v>
      </c>
      <c r="AL9518" t="s">
        <v>53</v>
      </c>
      <c r="AM9518" t="s">
        <v>53</v>
      </c>
      <c r="AN9518" t="s">
        <v>18270</v>
      </c>
      <c r="AO9518" t="s">
        <v>53</v>
      </c>
      <c r="AP9518" t="s">
        <v>53</v>
      </c>
    </row>
    <row r="9519" spans="2:42" x14ac:dyDescent="0.2">
      <c r="B9519" t="s">
        <v>44</v>
      </c>
      <c r="C9519" t="str">
        <f>HYPERLINK("https://us2.cloudbeds.com/connect/8493803454333002#/reservations/252273191645312?display=5ECBAPCVMX&amp;reservation_id=252273191645312", "5ECBAPCVMX")</f>
        <v>5ECBAPCVMX</v>
      </c>
      <c r="D9519" t="s">
        <v>45</v>
      </c>
      <c r="E9519" t="s">
        <v>487</v>
      </c>
      <c r="F9519" t="s">
        <v>61</v>
      </c>
      <c r="G9519" t="s">
        <v>48</v>
      </c>
      <c r="H9519" t="s">
        <v>3957</v>
      </c>
      <c r="I9519" t="s">
        <v>3975</v>
      </c>
      <c r="J9519" t="s">
        <v>16205</v>
      </c>
      <c r="K9519" t="s">
        <v>11651</v>
      </c>
      <c r="L9519" t="s">
        <v>53</v>
      </c>
      <c r="P9519" t="s">
        <v>55</v>
      </c>
      <c r="R9519" t="s">
        <v>56</v>
      </c>
      <c r="T9519" t="s">
        <v>18271</v>
      </c>
      <c r="U9519" t="s">
        <v>58</v>
      </c>
      <c r="V9519">
        <v>1</v>
      </c>
      <c r="W9519">
        <v>1</v>
      </c>
      <c r="X9519">
        <v>2</v>
      </c>
      <c r="Y9519">
        <v>0</v>
      </c>
      <c r="Z9519">
        <v>2</v>
      </c>
      <c r="AA9519">
        <v>200.65</v>
      </c>
      <c r="AB9519">
        <v>200.65</v>
      </c>
      <c r="AC9519">
        <v>175</v>
      </c>
      <c r="AD9519">
        <v>0</v>
      </c>
      <c r="AE9519">
        <v>25.65</v>
      </c>
      <c r="AF9519">
        <v>0</v>
      </c>
      <c r="AG9519">
        <v>0</v>
      </c>
      <c r="AH9519">
        <v>0</v>
      </c>
      <c r="AI9519">
        <v>0</v>
      </c>
      <c r="AJ9519">
        <v>200.65</v>
      </c>
      <c r="AK9519">
        <v>0</v>
      </c>
      <c r="AL9519" t="s">
        <v>53</v>
      </c>
      <c r="AM9519" t="s">
        <v>53</v>
      </c>
      <c r="AN9519" t="s">
        <v>53</v>
      </c>
      <c r="AO9519" t="s">
        <v>53</v>
      </c>
      <c r="AP9519" t="s">
        <v>53</v>
      </c>
    </row>
    <row r="9520" spans="2:42" x14ac:dyDescent="0.2">
      <c r="B9520" t="s">
        <v>44</v>
      </c>
      <c r="C9520" t="str">
        <f>HYPERLINK("https://us2.cloudbeds.com/connect/8493803454333002#/reservations/252283982016704?display=5ECJMG4202&amp;reservation_id=252283982016704", "5ECJMG4202")</f>
        <v>5ECJMG4202</v>
      </c>
      <c r="D9520" t="s">
        <v>45</v>
      </c>
      <c r="E9520" t="s">
        <v>138</v>
      </c>
      <c r="F9520" t="s">
        <v>70</v>
      </c>
      <c r="G9520" t="s">
        <v>48</v>
      </c>
      <c r="H9520" t="s">
        <v>3957</v>
      </c>
      <c r="I9520" t="s">
        <v>3958</v>
      </c>
      <c r="J9520" t="s">
        <v>16205</v>
      </c>
      <c r="K9520" t="s">
        <v>11651</v>
      </c>
      <c r="L9520" t="s">
        <v>53</v>
      </c>
      <c r="P9520" t="s">
        <v>55</v>
      </c>
      <c r="R9520" t="s">
        <v>56</v>
      </c>
      <c r="T9520" t="s">
        <v>18272</v>
      </c>
      <c r="U9520" t="s">
        <v>58</v>
      </c>
      <c r="V9520">
        <v>1</v>
      </c>
      <c r="W9520">
        <v>1</v>
      </c>
      <c r="X9520">
        <v>1</v>
      </c>
      <c r="Y9520">
        <v>0</v>
      </c>
      <c r="Z9520">
        <v>1</v>
      </c>
      <c r="AA9520">
        <v>183.44</v>
      </c>
      <c r="AB9520">
        <v>193.44</v>
      </c>
      <c r="AC9520">
        <v>160</v>
      </c>
      <c r="AD9520">
        <v>0</v>
      </c>
      <c r="AE9520">
        <v>23.44</v>
      </c>
      <c r="AF9520">
        <v>0</v>
      </c>
      <c r="AG9520">
        <v>0</v>
      </c>
      <c r="AH9520">
        <v>0</v>
      </c>
      <c r="AI9520">
        <v>0</v>
      </c>
      <c r="AJ9520">
        <v>183.44</v>
      </c>
      <c r="AK9520">
        <v>-10</v>
      </c>
      <c r="AL9520" t="s">
        <v>53</v>
      </c>
      <c r="AM9520" t="s">
        <v>53</v>
      </c>
      <c r="AN9520" t="s">
        <v>53</v>
      </c>
      <c r="AO9520" t="s">
        <v>53</v>
      </c>
      <c r="AP9520" t="s">
        <v>53</v>
      </c>
    </row>
    <row r="9521" spans="2:42" x14ac:dyDescent="0.2">
      <c r="B9521" t="s">
        <v>44</v>
      </c>
      <c r="C9521" t="str">
        <f>HYPERLINK("https://us2.cloudbeds.com/connect/8493803454333002#/reservations/9080486849597270?display=5ECY9XCDTR&amp;reservation_id=9080486849597270", "5ECY9XCDTR")</f>
        <v>5ECY9XCDTR</v>
      </c>
      <c r="D9521" t="s">
        <v>10291</v>
      </c>
      <c r="E9521" t="s">
        <v>138</v>
      </c>
      <c r="F9521" t="s">
        <v>70</v>
      </c>
      <c r="G9521" t="s">
        <v>48</v>
      </c>
      <c r="H9521" t="s">
        <v>49</v>
      </c>
      <c r="I9521" t="s">
        <v>8964</v>
      </c>
      <c r="J9521" t="s">
        <v>15748</v>
      </c>
      <c r="K9521" t="s">
        <v>15024</v>
      </c>
      <c r="L9521" t="s">
        <v>53</v>
      </c>
      <c r="N9521" t="s">
        <v>18273</v>
      </c>
      <c r="P9521" t="s">
        <v>58</v>
      </c>
      <c r="R9521" t="s">
        <v>53</v>
      </c>
      <c r="T9521" t="s">
        <v>18274</v>
      </c>
      <c r="U9521" t="s">
        <v>55</v>
      </c>
      <c r="V9521">
        <v>1</v>
      </c>
      <c r="W9521">
        <v>1</v>
      </c>
      <c r="X9521">
        <v>2</v>
      </c>
      <c r="Y9521">
        <v>0</v>
      </c>
      <c r="Z9521">
        <v>2</v>
      </c>
      <c r="AA9521">
        <v>0</v>
      </c>
      <c r="AB9521">
        <v>0</v>
      </c>
      <c r="AC9521">
        <v>136</v>
      </c>
      <c r="AD9521">
        <v>0</v>
      </c>
      <c r="AE9521">
        <v>0</v>
      </c>
      <c r="AF9521">
        <v>0</v>
      </c>
      <c r="AG9521">
        <v>0</v>
      </c>
      <c r="AH9521">
        <v>0</v>
      </c>
      <c r="AI9521">
        <v>20.399999999999999</v>
      </c>
      <c r="AJ9521">
        <v>136</v>
      </c>
      <c r="AK9521">
        <v>136</v>
      </c>
      <c r="AL9521" t="s">
        <v>53</v>
      </c>
      <c r="AM9521" t="s">
        <v>53</v>
      </c>
      <c r="AN9521" t="s">
        <v>53</v>
      </c>
      <c r="AO9521" t="s">
        <v>53</v>
      </c>
      <c r="AP9521" t="s">
        <v>53</v>
      </c>
    </row>
    <row r="9522" spans="2:42" x14ac:dyDescent="0.2">
      <c r="B9522" t="s">
        <v>44</v>
      </c>
      <c r="C9522" t="str">
        <f>HYPERLINK("https://us2.cloudbeds.com/connect/8493803454333002#/reservations/9080486849597319?display=5ECYSSHRCS&amp;reservation_id=9080486849597319", "5ECYSSHRCS")</f>
        <v>5ECYSSHRCS</v>
      </c>
      <c r="D9522" t="s">
        <v>10291</v>
      </c>
      <c r="E9522" t="s">
        <v>138</v>
      </c>
      <c r="F9522" t="s">
        <v>70</v>
      </c>
      <c r="G9522" t="s">
        <v>48</v>
      </c>
      <c r="H9522" t="s">
        <v>49</v>
      </c>
      <c r="I9522" t="s">
        <v>8964</v>
      </c>
      <c r="J9522" t="s">
        <v>15025</v>
      </c>
      <c r="K9522" t="s">
        <v>17833</v>
      </c>
      <c r="L9522" t="s">
        <v>53</v>
      </c>
      <c r="N9522" t="s">
        <v>18275</v>
      </c>
      <c r="P9522" t="s">
        <v>58</v>
      </c>
      <c r="R9522" t="s">
        <v>53</v>
      </c>
      <c r="T9522" t="s">
        <v>18276</v>
      </c>
      <c r="U9522" t="s">
        <v>55</v>
      </c>
      <c r="V9522">
        <v>1</v>
      </c>
      <c r="W9522">
        <v>1</v>
      </c>
      <c r="X9522">
        <v>2</v>
      </c>
      <c r="Y9522">
        <v>0</v>
      </c>
      <c r="Z9522">
        <v>2</v>
      </c>
      <c r="AA9522">
        <v>0</v>
      </c>
      <c r="AB9522">
        <v>0</v>
      </c>
      <c r="AC9522">
        <v>178</v>
      </c>
      <c r="AD9522">
        <v>0</v>
      </c>
      <c r="AE9522">
        <v>0</v>
      </c>
      <c r="AF9522">
        <v>0</v>
      </c>
      <c r="AG9522">
        <v>0</v>
      </c>
      <c r="AH9522">
        <v>0</v>
      </c>
      <c r="AI9522">
        <v>26.7</v>
      </c>
      <c r="AJ9522">
        <v>178</v>
      </c>
      <c r="AK9522">
        <v>178</v>
      </c>
      <c r="AL9522" t="s">
        <v>53</v>
      </c>
      <c r="AM9522" t="s">
        <v>53</v>
      </c>
      <c r="AN9522" t="s">
        <v>53</v>
      </c>
      <c r="AO9522" t="s">
        <v>53</v>
      </c>
      <c r="AP9522" t="s">
        <v>53</v>
      </c>
    </row>
    <row r="9523" spans="2:42" x14ac:dyDescent="0.2">
      <c r="B9523" t="s">
        <v>44</v>
      </c>
      <c r="C9523" t="str">
        <f>HYPERLINK("https://us2.cloudbeds.com/connect/8493803454333002#/reservations/252331807502464?display=5EDNNHRFZV&amp;reservation_id=252331807502464", "5EDNNHRFZV")</f>
        <v>5EDNNHRFZV</v>
      </c>
      <c r="D9523" t="s">
        <v>45</v>
      </c>
      <c r="E9523" t="s">
        <v>373</v>
      </c>
      <c r="F9523" t="s">
        <v>47</v>
      </c>
      <c r="G9523" t="s">
        <v>4520</v>
      </c>
      <c r="H9523" t="s">
        <v>3957</v>
      </c>
      <c r="I9523" t="s">
        <v>3958</v>
      </c>
      <c r="J9523" t="s">
        <v>16205</v>
      </c>
      <c r="K9523" t="s">
        <v>11651</v>
      </c>
      <c r="L9523" t="s">
        <v>53</v>
      </c>
      <c r="P9523" t="s">
        <v>55</v>
      </c>
      <c r="R9523" t="s">
        <v>56</v>
      </c>
      <c r="T9523" t="s">
        <v>18277</v>
      </c>
      <c r="U9523" t="s">
        <v>58</v>
      </c>
      <c r="V9523">
        <v>1</v>
      </c>
      <c r="W9523">
        <v>1</v>
      </c>
      <c r="X9523">
        <v>1</v>
      </c>
      <c r="Y9523">
        <v>0</v>
      </c>
      <c r="Z9523">
        <v>1</v>
      </c>
      <c r="AA9523">
        <v>170.27</v>
      </c>
      <c r="AB9523">
        <v>170.27</v>
      </c>
      <c r="AC9523">
        <v>148.5</v>
      </c>
      <c r="AD9523">
        <v>0</v>
      </c>
      <c r="AE9523">
        <v>21.77</v>
      </c>
      <c r="AF9523">
        <v>0</v>
      </c>
      <c r="AG9523">
        <v>0</v>
      </c>
      <c r="AH9523">
        <v>0</v>
      </c>
      <c r="AI9523">
        <v>0</v>
      </c>
      <c r="AJ9523">
        <v>170.27</v>
      </c>
      <c r="AK9523">
        <v>0</v>
      </c>
      <c r="AL9523" t="s">
        <v>53</v>
      </c>
      <c r="AM9523" t="s">
        <v>53</v>
      </c>
      <c r="AN9523" t="s">
        <v>53</v>
      </c>
      <c r="AO9523" t="s">
        <v>53</v>
      </c>
      <c r="AP9523" t="s">
        <v>53</v>
      </c>
    </row>
    <row r="9524" spans="2:42" x14ac:dyDescent="0.2">
      <c r="B9524" t="s">
        <v>44</v>
      </c>
      <c r="C9524" t="str">
        <f>HYPERLINK("https://us2.cloudbeds.com/connect/8493803454333002#/reservations/252333221974144?display=5EDZQMX09T&amp;reservation_id=252333221974144", "5EDZQMX09T")</f>
        <v>5EDZQMX09T</v>
      </c>
      <c r="D9524" t="s">
        <v>10291</v>
      </c>
      <c r="E9524" t="s">
        <v>165</v>
      </c>
      <c r="F9524" t="s">
        <v>61</v>
      </c>
      <c r="G9524" t="s">
        <v>3974</v>
      </c>
      <c r="H9524" t="s">
        <v>3957</v>
      </c>
      <c r="I9524" t="s">
        <v>3975</v>
      </c>
      <c r="J9524" t="s">
        <v>17467</v>
      </c>
      <c r="K9524" t="s">
        <v>14372</v>
      </c>
      <c r="L9524" t="s">
        <v>53</v>
      </c>
      <c r="P9524" t="s">
        <v>55</v>
      </c>
      <c r="R9524" t="s">
        <v>56</v>
      </c>
      <c r="T9524" t="s">
        <v>18278</v>
      </c>
      <c r="U9524" t="s">
        <v>58</v>
      </c>
      <c r="V9524">
        <v>1</v>
      </c>
      <c r="W9524">
        <v>1</v>
      </c>
      <c r="X9524">
        <v>2</v>
      </c>
      <c r="Y9524">
        <v>0</v>
      </c>
      <c r="Z9524">
        <v>2</v>
      </c>
      <c r="AA9524">
        <v>206.95</v>
      </c>
      <c r="AB9524">
        <v>206.95</v>
      </c>
      <c r="AC9524">
        <v>180.5</v>
      </c>
      <c r="AD9524">
        <v>0</v>
      </c>
      <c r="AE9524">
        <v>26.45</v>
      </c>
      <c r="AF9524">
        <v>0</v>
      </c>
      <c r="AG9524">
        <v>0</v>
      </c>
      <c r="AH9524">
        <v>0</v>
      </c>
      <c r="AI9524">
        <v>0</v>
      </c>
      <c r="AJ9524">
        <v>206.95</v>
      </c>
      <c r="AK9524">
        <v>0</v>
      </c>
      <c r="AL9524" t="s">
        <v>53</v>
      </c>
      <c r="AM9524" t="s">
        <v>53</v>
      </c>
      <c r="AN9524" t="s">
        <v>18279</v>
      </c>
      <c r="AO9524" t="s">
        <v>53</v>
      </c>
      <c r="AP9524" t="s">
        <v>53</v>
      </c>
    </row>
    <row r="9525" spans="2:42" x14ac:dyDescent="0.2">
      <c r="B9525" t="s">
        <v>44</v>
      </c>
      <c r="C9525" t="str">
        <f>HYPERLINK("https://us2.cloudbeds.com/connect/8493803454333002#/reservations/9080486849600049?display=5EDW8ZVCAB&amp;reservation_id=9080486849600049", "5EDW8ZVCAB")</f>
        <v>5EDW8ZVCAB</v>
      </c>
      <c r="D9525" t="s">
        <v>45</v>
      </c>
      <c r="E9525" t="s">
        <v>14402</v>
      </c>
      <c r="F9525" t="s">
        <v>14403</v>
      </c>
      <c r="G9525" t="s">
        <v>48</v>
      </c>
      <c r="H9525" t="s">
        <v>49</v>
      </c>
      <c r="I9525" t="s">
        <v>62</v>
      </c>
      <c r="J9525" t="s">
        <v>16205</v>
      </c>
      <c r="K9525" t="s">
        <v>11651</v>
      </c>
      <c r="L9525" t="s">
        <v>53</v>
      </c>
      <c r="N9525" t="s">
        <v>18280</v>
      </c>
      <c r="P9525" t="s">
        <v>55</v>
      </c>
      <c r="R9525" t="s">
        <v>56</v>
      </c>
      <c r="T9525" t="s">
        <v>18281</v>
      </c>
      <c r="U9525" t="s">
        <v>55</v>
      </c>
      <c r="V9525">
        <v>1</v>
      </c>
      <c r="W9525">
        <v>1</v>
      </c>
      <c r="X9525">
        <v>2</v>
      </c>
      <c r="Y9525">
        <v>0</v>
      </c>
      <c r="Z9525">
        <v>2</v>
      </c>
      <c r="AA9525">
        <v>178.5</v>
      </c>
      <c r="AB9525">
        <v>178.5</v>
      </c>
      <c r="AC9525">
        <v>178.5</v>
      </c>
      <c r="AD9525">
        <v>0</v>
      </c>
      <c r="AE9525">
        <v>0</v>
      </c>
      <c r="AF9525">
        <v>0</v>
      </c>
      <c r="AG9525">
        <v>0</v>
      </c>
      <c r="AH9525">
        <v>0</v>
      </c>
      <c r="AI9525">
        <v>32.130000000000003</v>
      </c>
      <c r="AJ9525">
        <v>178.5</v>
      </c>
      <c r="AK9525">
        <v>0</v>
      </c>
      <c r="AL9525" t="s">
        <v>53</v>
      </c>
      <c r="AM9525" t="s">
        <v>53</v>
      </c>
      <c r="AN9525" t="s">
        <v>18282</v>
      </c>
      <c r="AO9525" t="s">
        <v>53</v>
      </c>
      <c r="AP9525" t="s">
        <v>53</v>
      </c>
    </row>
    <row r="9526" spans="2:42" x14ac:dyDescent="0.2">
      <c r="B9526" t="s">
        <v>44</v>
      </c>
      <c r="C9526" t="str">
        <f>HYPERLINK("https://us2.cloudbeds.com/connect/8493803454333002#/reservations/9080486849600684?display=5EEBXKHG2B&amp;reservation_id=9080486849600684", "5EEBXKHG2B")</f>
        <v>5EEBXKHG2B</v>
      </c>
      <c r="D9526" t="s">
        <v>10291</v>
      </c>
      <c r="E9526" t="s">
        <v>179</v>
      </c>
      <c r="F9526" t="s">
        <v>47</v>
      </c>
      <c r="G9526" t="s">
        <v>48</v>
      </c>
      <c r="H9526" t="s">
        <v>49</v>
      </c>
      <c r="I9526" t="s">
        <v>50</v>
      </c>
      <c r="J9526" t="s">
        <v>14371</v>
      </c>
      <c r="K9526" t="s">
        <v>17135</v>
      </c>
      <c r="L9526" t="s">
        <v>53</v>
      </c>
      <c r="N9526" t="s">
        <v>18283</v>
      </c>
      <c r="P9526" t="s">
        <v>55</v>
      </c>
      <c r="R9526" t="s">
        <v>53</v>
      </c>
      <c r="T9526" t="s">
        <v>18284</v>
      </c>
      <c r="U9526" t="s">
        <v>58</v>
      </c>
      <c r="V9526">
        <v>1</v>
      </c>
      <c r="W9526">
        <v>1</v>
      </c>
      <c r="X9526">
        <v>2</v>
      </c>
      <c r="Y9526">
        <v>0</v>
      </c>
      <c r="Z9526">
        <v>2</v>
      </c>
      <c r="AA9526">
        <v>163.72</v>
      </c>
      <c r="AB9526">
        <v>163.72</v>
      </c>
      <c r="AC9526">
        <v>142.80000000000001</v>
      </c>
      <c r="AD9526">
        <v>0</v>
      </c>
      <c r="AE9526">
        <v>20.92</v>
      </c>
      <c r="AF9526">
        <v>0</v>
      </c>
      <c r="AG9526">
        <v>0</v>
      </c>
      <c r="AH9526">
        <v>0</v>
      </c>
      <c r="AI9526">
        <v>29.47</v>
      </c>
      <c r="AJ9526">
        <v>163.72</v>
      </c>
      <c r="AK9526">
        <v>0</v>
      </c>
      <c r="AL9526" t="s">
        <v>53</v>
      </c>
      <c r="AM9526" t="s">
        <v>53</v>
      </c>
      <c r="AN9526" t="s">
        <v>18285</v>
      </c>
      <c r="AO9526" t="s">
        <v>53</v>
      </c>
      <c r="AP9526" t="s">
        <v>53</v>
      </c>
    </row>
    <row r="9527" spans="2:42" x14ac:dyDescent="0.2">
      <c r="B9527" t="s">
        <v>44</v>
      </c>
      <c r="C9527" t="str">
        <f>HYPERLINK("https://us2.cloudbeds.com/connect/8493803454333002#/reservations/252383645253760?display=5EEUS3QAKA&amp;reservation_id=252383645253760", "5EEUS3QAKA")</f>
        <v>5EEUS3QAKA</v>
      </c>
      <c r="D9527" t="s">
        <v>45</v>
      </c>
      <c r="E9527" t="s">
        <v>223</v>
      </c>
      <c r="F9527" t="s">
        <v>47</v>
      </c>
      <c r="G9527" t="s">
        <v>48</v>
      </c>
      <c r="H9527" t="s">
        <v>3957</v>
      </c>
      <c r="I9527" t="s">
        <v>3958</v>
      </c>
      <c r="J9527" t="s">
        <v>16205</v>
      </c>
      <c r="K9527" t="s">
        <v>11651</v>
      </c>
      <c r="L9527" t="s">
        <v>53</v>
      </c>
      <c r="P9527" t="s">
        <v>55</v>
      </c>
      <c r="R9527" t="s">
        <v>56</v>
      </c>
      <c r="T9527" t="s">
        <v>18286</v>
      </c>
      <c r="U9527" t="s">
        <v>58</v>
      </c>
      <c r="V9527">
        <v>1</v>
      </c>
      <c r="W9527">
        <v>1</v>
      </c>
      <c r="X9527">
        <v>1</v>
      </c>
      <c r="Y9527">
        <v>0</v>
      </c>
      <c r="Z9527">
        <v>1</v>
      </c>
      <c r="AA9527">
        <v>189.18</v>
      </c>
      <c r="AB9527">
        <v>189.18</v>
      </c>
      <c r="AC9527">
        <v>165</v>
      </c>
      <c r="AD9527">
        <v>0</v>
      </c>
      <c r="AE9527">
        <v>24.18</v>
      </c>
      <c r="AF9527">
        <v>0</v>
      </c>
      <c r="AG9527">
        <v>0</v>
      </c>
      <c r="AH9527">
        <v>0</v>
      </c>
      <c r="AI9527">
        <v>0</v>
      </c>
      <c r="AJ9527">
        <v>189.18</v>
      </c>
      <c r="AK9527">
        <v>0</v>
      </c>
      <c r="AL9527" t="s">
        <v>53</v>
      </c>
      <c r="AM9527" t="s">
        <v>53</v>
      </c>
      <c r="AN9527" t="s">
        <v>53</v>
      </c>
      <c r="AO9527" t="s">
        <v>53</v>
      </c>
      <c r="AP9527" t="s">
        <v>53</v>
      </c>
    </row>
    <row r="9528" spans="2:42" x14ac:dyDescent="0.2">
      <c r="B9528" t="s">
        <v>44</v>
      </c>
      <c r="C9528" t="str">
        <f>HYPERLINK("https://us2.cloudbeds.com/connect/8493803454333002#/reservations/252391256056000?display=5EF3ZJEB4J&amp;reservation_id=252391256056000", "5EF3ZJEB4J")</f>
        <v>5EF3ZJEB4J</v>
      </c>
      <c r="D9528" t="s">
        <v>10291</v>
      </c>
      <c r="E9528" t="s">
        <v>110</v>
      </c>
      <c r="F9528" t="s">
        <v>47</v>
      </c>
      <c r="G9528" t="s">
        <v>3974</v>
      </c>
      <c r="H9528" t="s">
        <v>3957</v>
      </c>
      <c r="I9528" t="s">
        <v>3975</v>
      </c>
      <c r="J9528" t="s">
        <v>14828</v>
      </c>
      <c r="K9528" t="s">
        <v>17762</v>
      </c>
      <c r="L9528" t="s">
        <v>53</v>
      </c>
      <c r="P9528" t="s">
        <v>55</v>
      </c>
      <c r="R9528" t="s">
        <v>56</v>
      </c>
      <c r="T9528" t="s">
        <v>18287</v>
      </c>
      <c r="U9528" t="s">
        <v>58</v>
      </c>
      <c r="V9528">
        <v>1</v>
      </c>
      <c r="W9528">
        <v>1</v>
      </c>
      <c r="X9528">
        <v>1</v>
      </c>
      <c r="Y9528">
        <v>0</v>
      </c>
      <c r="Z9528">
        <v>1</v>
      </c>
      <c r="AA9528">
        <v>163.38</v>
      </c>
      <c r="AB9528">
        <v>163.38</v>
      </c>
      <c r="AC9528">
        <v>142.5</v>
      </c>
      <c r="AD9528">
        <v>0</v>
      </c>
      <c r="AE9528">
        <v>20.88</v>
      </c>
      <c r="AF9528">
        <v>0</v>
      </c>
      <c r="AG9528">
        <v>0</v>
      </c>
      <c r="AH9528">
        <v>0</v>
      </c>
      <c r="AI9528">
        <v>0</v>
      </c>
      <c r="AJ9528">
        <v>163.38</v>
      </c>
      <c r="AK9528">
        <v>0</v>
      </c>
      <c r="AL9528" t="s">
        <v>53</v>
      </c>
      <c r="AM9528" t="s">
        <v>53</v>
      </c>
      <c r="AN9528" t="s">
        <v>53</v>
      </c>
      <c r="AO9528" t="s">
        <v>53</v>
      </c>
      <c r="AP9528" t="s">
        <v>53</v>
      </c>
    </row>
    <row r="9529" spans="2:42" x14ac:dyDescent="0.2">
      <c r="B9529" t="s">
        <v>44</v>
      </c>
      <c r="C9529" t="str">
        <f>HYPERLINK("https://us2.cloudbeds.com/connect/8493803454333002#/reservations/252428737351808?display=5EFWPAKS2A&amp;reservation_id=252428737351808", "5EFWPAKS2A")</f>
        <v>5EFWPAKS2A</v>
      </c>
      <c r="D9529" t="s">
        <v>45</v>
      </c>
      <c r="E9529" t="s">
        <v>223</v>
      </c>
      <c r="F9529" t="s">
        <v>47</v>
      </c>
      <c r="G9529" t="s">
        <v>48</v>
      </c>
      <c r="H9529" t="s">
        <v>3957</v>
      </c>
      <c r="I9529" t="s">
        <v>3975</v>
      </c>
      <c r="J9529" t="s">
        <v>11652</v>
      </c>
      <c r="K9529" t="s">
        <v>14806</v>
      </c>
      <c r="L9529" t="s">
        <v>53</v>
      </c>
      <c r="P9529" t="s">
        <v>55</v>
      </c>
      <c r="R9529" t="s">
        <v>56</v>
      </c>
      <c r="T9529" t="s">
        <v>18288</v>
      </c>
      <c r="U9529" t="s">
        <v>58</v>
      </c>
      <c r="V9529">
        <v>1</v>
      </c>
      <c r="W9529">
        <v>1</v>
      </c>
      <c r="X9529">
        <v>1</v>
      </c>
      <c r="Y9529">
        <v>0</v>
      </c>
      <c r="Z9529">
        <v>1</v>
      </c>
      <c r="AA9529">
        <v>0</v>
      </c>
      <c r="AB9529">
        <v>206.37</v>
      </c>
      <c r="AC9529">
        <v>180</v>
      </c>
      <c r="AD9529">
        <v>0</v>
      </c>
      <c r="AE9529">
        <v>26.37</v>
      </c>
      <c r="AF9529">
        <v>0</v>
      </c>
      <c r="AG9529">
        <v>0</v>
      </c>
      <c r="AH9529">
        <v>0</v>
      </c>
      <c r="AI9529">
        <v>0</v>
      </c>
      <c r="AJ9529">
        <v>206.37</v>
      </c>
      <c r="AK9529">
        <v>0</v>
      </c>
      <c r="AL9529" t="s">
        <v>53</v>
      </c>
      <c r="AM9529" t="s">
        <v>53</v>
      </c>
      <c r="AN9529" t="s">
        <v>53</v>
      </c>
      <c r="AO9529" t="s">
        <v>53</v>
      </c>
      <c r="AP9529" t="s">
        <v>53</v>
      </c>
    </row>
    <row r="9530" spans="2:42" x14ac:dyDescent="0.2">
      <c r="B9530" t="s">
        <v>44</v>
      </c>
      <c r="C9530" t="str">
        <f>HYPERLINK("https://us2.cloudbeds.com/connect/8493803454333002#/reservations/9080486849603403?display=5EG2VWW6WM&amp;reservation_id=9080486849603403", "5EG2VWW6WM")</f>
        <v>5EG2VWW6WM</v>
      </c>
      <c r="D9530" t="s">
        <v>10291</v>
      </c>
      <c r="E9530" t="s">
        <v>85</v>
      </c>
      <c r="F9530" t="s">
        <v>86</v>
      </c>
      <c r="G9530" t="s">
        <v>48</v>
      </c>
      <c r="H9530" t="s">
        <v>49</v>
      </c>
      <c r="I9530" t="s">
        <v>50</v>
      </c>
      <c r="J9530" t="s">
        <v>16111</v>
      </c>
      <c r="K9530" t="s">
        <v>17242</v>
      </c>
      <c r="L9530" t="s">
        <v>53</v>
      </c>
      <c r="N9530" t="s">
        <v>18289</v>
      </c>
      <c r="P9530" t="s">
        <v>55</v>
      </c>
      <c r="R9530" t="s">
        <v>53</v>
      </c>
      <c r="T9530" t="s">
        <v>18290</v>
      </c>
      <c r="U9530" t="s">
        <v>55</v>
      </c>
      <c r="V9530">
        <v>1</v>
      </c>
      <c r="W9530">
        <v>1</v>
      </c>
      <c r="X9530">
        <v>2</v>
      </c>
      <c r="Y9530">
        <v>0</v>
      </c>
      <c r="Z9530">
        <v>2</v>
      </c>
      <c r="AA9530">
        <v>150.77000000000001</v>
      </c>
      <c r="AB9530">
        <v>0</v>
      </c>
      <c r="AC9530">
        <v>138.63999999999999</v>
      </c>
      <c r="AD9530">
        <v>0</v>
      </c>
      <c r="AE9530">
        <v>12.13</v>
      </c>
      <c r="AF9530">
        <v>0</v>
      </c>
      <c r="AG9530">
        <v>0</v>
      </c>
      <c r="AH9530">
        <v>0</v>
      </c>
      <c r="AI9530">
        <v>27.14</v>
      </c>
      <c r="AJ9530">
        <v>150.77000000000001</v>
      </c>
      <c r="AK9530">
        <v>150.77000000000001</v>
      </c>
      <c r="AL9530" t="s">
        <v>53</v>
      </c>
      <c r="AM9530" t="s">
        <v>53</v>
      </c>
      <c r="AN9530" t="s">
        <v>53</v>
      </c>
      <c r="AO9530" t="s">
        <v>53</v>
      </c>
      <c r="AP9530" t="s">
        <v>53</v>
      </c>
    </row>
    <row r="9531" spans="2:42" x14ac:dyDescent="0.2">
      <c r="B9531" t="s">
        <v>44</v>
      </c>
      <c r="C9531" t="str">
        <f>HYPERLINK("https://us2.cloudbeds.com/connect/8493803454333002#/reservations/9080486849606894?display=5EXS2PMZTP&amp;reservation_id=9080486849606894", "5EXS2PMZTP")</f>
        <v>5EXS2PMZTP</v>
      </c>
      <c r="D9531" t="s">
        <v>10291</v>
      </c>
      <c r="E9531" t="s">
        <v>165</v>
      </c>
      <c r="F9531" t="s">
        <v>61</v>
      </c>
      <c r="G9531" t="s">
        <v>48</v>
      </c>
      <c r="H9531" t="s">
        <v>49</v>
      </c>
      <c r="I9531" t="s">
        <v>50</v>
      </c>
      <c r="J9531" t="s">
        <v>13099</v>
      </c>
      <c r="K9531" t="s">
        <v>18291</v>
      </c>
      <c r="L9531" t="s">
        <v>53</v>
      </c>
      <c r="N9531" t="s">
        <v>18292</v>
      </c>
      <c r="P9531" t="s">
        <v>55</v>
      </c>
      <c r="R9531" t="s">
        <v>53</v>
      </c>
      <c r="T9531" t="s">
        <v>18293</v>
      </c>
      <c r="U9531" t="s">
        <v>58</v>
      </c>
      <c r="V9531">
        <v>1</v>
      </c>
      <c r="W9531">
        <v>1</v>
      </c>
      <c r="X9531">
        <v>2</v>
      </c>
      <c r="Y9531">
        <v>0</v>
      </c>
      <c r="Z9531">
        <v>2</v>
      </c>
      <c r="AA9531">
        <v>179.08</v>
      </c>
      <c r="AB9531">
        <v>0</v>
      </c>
      <c r="AC9531">
        <v>156.19</v>
      </c>
      <c r="AD9531">
        <v>0</v>
      </c>
      <c r="AE9531">
        <v>22.89</v>
      </c>
      <c r="AF9531">
        <v>0</v>
      </c>
      <c r="AG9531">
        <v>0</v>
      </c>
      <c r="AH9531">
        <v>0</v>
      </c>
      <c r="AI9531">
        <v>32.229999999999997</v>
      </c>
      <c r="AJ9531">
        <v>179.08</v>
      </c>
      <c r="AK9531">
        <v>179.08</v>
      </c>
      <c r="AL9531" t="s">
        <v>53</v>
      </c>
      <c r="AM9531" t="s">
        <v>53</v>
      </c>
      <c r="AN9531" t="s">
        <v>53</v>
      </c>
      <c r="AO9531" t="s">
        <v>53</v>
      </c>
      <c r="AP9531" t="s">
        <v>53</v>
      </c>
    </row>
    <row r="9532" spans="2:42" x14ac:dyDescent="0.2">
      <c r="B9532" t="s">
        <v>44</v>
      </c>
      <c r="C9532" t="str">
        <f>HYPERLINK("https://us2.cloudbeds.com/connect/8493803454333002#/reservations/9080486849607310?display=5EJ16XG05C&amp;reservation_id=9080486849607310", "5EJ16XG05C")</f>
        <v>5EJ16XG05C</v>
      </c>
      <c r="D9532" t="s">
        <v>10291</v>
      </c>
      <c r="E9532" t="s">
        <v>85</v>
      </c>
      <c r="F9532" t="s">
        <v>86</v>
      </c>
      <c r="G9532" t="s">
        <v>48</v>
      </c>
      <c r="H9532" t="s">
        <v>49</v>
      </c>
      <c r="I9532" t="s">
        <v>50</v>
      </c>
      <c r="J9532" t="s">
        <v>10292</v>
      </c>
      <c r="K9532" t="s">
        <v>10293</v>
      </c>
      <c r="L9532" t="s">
        <v>53</v>
      </c>
      <c r="N9532" t="s">
        <v>18294</v>
      </c>
      <c r="P9532" t="s">
        <v>55</v>
      </c>
      <c r="R9532" t="s">
        <v>53</v>
      </c>
      <c r="T9532" t="s">
        <v>18295</v>
      </c>
      <c r="U9532" t="s">
        <v>55</v>
      </c>
      <c r="V9532">
        <v>1</v>
      </c>
      <c r="W9532">
        <v>1</v>
      </c>
      <c r="X9532">
        <v>4</v>
      </c>
      <c r="Y9532">
        <v>0</v>
      </c>
      <c r="Z9532">
        <v>4</v>
      </c>
      <c r="AA9532">
        <v>158.79</v>
      </c>
      <c r="AB9532">
        <v>0</v>
      </c>
      <c r="AC9532">
        <v>146.01</v>
      </c>
      <c r="AD9532">
        <v>0</v>
      </c>
      <c r="AE9532">
        <v>12.78</v>
      </c>
      <c r="AF9532">
        <v>0</v>
      </c>
      <c r="AG9532">
        <v>0</v>
      </c>
      <c r="AH9532">
        <v>0</v>
      </c>
      <c r="AI9532">
        <v>28.58</v>
      </c>
      <c r="AJ9532">
        <v>158.79</v>
      </c>
      <c r="AK9532">
        <v>158.79</v>
      </c>
      <c r="AL9532" t="s">
        <v>53</v>
      </c>
      <c r="AM9532" t="s">
        <v>53</v>
      </c>
      <c r="AN9532" t="s">
        <v>53</v>
      </c>
      <c r="AO9532" t="s">
        <v>53</v>
      </c>
      <c r="AP9532" t="s">
        <v>53</v>
      </c>
    </row>
    <row r="9533" spans="2:42" x14ac:dyDescent="0.2">
      <c r="B9533" t="s">
        <v>44</v>
      </c>
      <c r="C9533" t="str">
        <f>HYPERLINK("https://us2.cloudbeds.com/connect/8493803454333002#/reservations/9080486849608702?display=5EJJ2QN0MU&amp;reservation_id=9080486849608702", "5EJJ2QN0MU")</f>
        <v>5EJJ2QN0MU</v>
      </c>
      <c r="D9533" t="s">
        <v>10291</v>
      </c>
      <c r="E9533" t="s">
        <v>110</v>
      </c>
      <c r="F9533" t="s">
        <v>47</v>
      </c>
      <c r="G9533" t="s">
        <v>48</v>
      </c>
      <c r="H9533" t="s">
        <v>49</v>
      </c>
      <c r="I9533" t="s">
        <v>50</v>
      </c>
      <c r="J9533" t="s">
        <v>15025</v>
      </c>
      <c r="K9533" t="s">
        <v>17833</v>
      </c>
      <c r="L9533" t="s">
        <v>53</v>
      </c>
      <c r="N9533" t="s">
        <v>18296</v>
      </c>
      <c r="P9533" t="s">
        <v>55</v>
      </c>
      <c r="R9533" t="s">
        <v>53</v>
      </c>
      <c r="T9533" t="s">
        <v>18297</v>
      </c>
      <c r="U9533" t="s">
        <v>55</v>
      </c>
      <c r="V9533">
        <v>1</v>
      </c>
      <c r="W9533">
        <v>1</v>
      </c>
      <c r="X9533">
        <v>2</v>
      </c>
      <c r="Y9533">
        <v>0</v>
      </c>
      <c r="Z9533">
        <v>2</v>
      </c>
      <c r="AA9533">
        <v>125.5</v>
      </c>
      <c r="AB9533">
        <v>0</v>
      </c>
      <c r="AC9533">
        <v>115.4</v>
      </c>
      <c r="AD9533">
        <v>0</v>
      </c>
      <c r="AE9533">
        <v>10.1</v>
      </c>
      <c r="AF9533">
        <v>0</v>
      </c>
      <c r="AG9533">
        <v>0</v>
      </c>
      <c r="AH9533">
        <v>0</v>
      </c>
      <c r="AI9533">
        <v>22.59</v>
      </c>
      <c r="AJ9533">
        <v>125.5</v>
      </c>
      <c r="AK9533">
        <v>125.5</v>
      </c>
      <c r="AL9533" t="s">
        <v>53</v>
      </c>
      <c r="AM9533" t="s">
        <v>53</v>
      </c>
      <c r="AN9533" t="s">
        <v>53</v>
      </c>
      <c r="AO9533" t="s">
        <v>53</v>
      </c>
      <c r="AP9533" t="s">
        <v>53</v>
      </c>
    </row>
    <row r="9534" spans="2:42" x14ac:dyDescent="0.2">
      <c r="B9534" t="s">
        <v>44</v>
      </c>
      <c r="C9534" t="str">
        <f>HYPERLINK("https://us2.cloudbeds.com/connect/8493803454333002#/reservations/9080486849608902?display=5EJYM1NQM7&amp;reservation_id=9080486849608902", "5EJYM1NQM7")</f>
        <v>5EJYM1NQM7</v>
      </c>
      <c r="D9534" t="s">
        <v>45</v>
      </c>
      <c r="E9534" t="s">
        <v>406</v>
      </c>
      <c r="F9534" t="s">
        <v>61</v>
      </c>
      <c r="G9534" t="s">
        <v>48</v>
      </c>
      <c r="H9534" t="s">
        <v>49</v>
      </c>
      <c r="I9534" t="s">
        <v>50</v>
      </c>
      <c r="J9534" t="s">
        <v>14390</v>
      </c>
      <c r="K9534" t="s">
        <v>14391</v>
      </c>
      <c r="L9534" t="s">
        <v>53</v>
      </c>
      <c r="N9534" t="s">
        <v>18298</v>
      </c>
      <c r="P9534" t="s">
        <v>55</v>
      </c>
      <c r="R9534" t="s">
        <v>53</v>
      </c>
      <c r="T9534" t="s">
        <v>18299</v>
      </c>
      <c r="U9534" t="s">
        <v>55</v>
      </c>
      <c r="V9534">
        <v>1</v>
      </c>
      <c r="W9534">
        <v>1</v>
      </c>
      <c r="X9534">
        <v>2</v>
      </c>
      <c r="Y9534">
        <v>0</v>
      </c>
      <c r="Z9534">
        <v>2</v>
      </c>
      <c r="AA9534">
        <v>142.43</v>
      </c>
      <c r="AB9534">
        <v>142.43</v>
      </c>
      <c r="AC9534">
        <v>130.97</v>
      </c>
      <c r="AD9534">
        <v>0</v>
      </c>
      <c r="AE9534">
        <v>11.46</v>
      </c>
      <c r="AF9534">
        <v>0</v>
      </c>
      <c r="AG9534">
        <v>0</v>
      </c>
      <c r="AH9534">
        <v>0</v>
      </c>
      <c r="AI9534">
        <v>25.64</v>
      </c>
      <c r="AJ9534">
        <v>142.43</v>
      </c>
      <c r="AK9534">
        <v>0</v>
      </c>
      <c r="AL9534" t="s">
        <v>53</v>
      </c>
      <c r="AM9534" t="s">
        <v>53</v>
      </c>
      <c r="AN9534" t="s">
        <v>53</v>
      </c>
      <c r="AO9534" t="s">
        <v>53</v>
      </c>
      <c r="AP9534" t="s">
        <v>53</v>
      </c>
    </row>
    <row r="9535" spans="2:42" x14ac:dyDescent="0.2">
      <c r="B9535" t="s">
        <v>44</v>
      </c>
      <c r="C9535" t="str">
        <f>HYPERLINK("https://us2.cloudbeds.com/connect/8493803454333002#/reservations/9080486849609891?display=5EK2H2SNC5&amp;reservation_id=9080486849609891", "5EK2H2SNC5")</f>
        <v>5EK2H2SNC5</v>
      </c>
      <c r="D9535" t="s">
        <v>45</v>
      </c>
      <c r="E9535" t="s">
        <v>85</v>
      </c>
      <c r="F9535" t="s">
        <v>86</v>
      </c>
      <c r="G9535" t="s">
        <v>48</v>
      </c>
      <c r="H9535" t="s">
        <v>49</v>
      </c>
      <c r="I9535" t="s">
        <v>50</v>
      </c>
      <c r="J9535" t="s">
        <v>11652</v>
      </c>
      <c r="K9535" t="s">
        <v>14806</v>
      </c>
      <c r="L9535" t="s">
        <v>53</v>
      </c>
      <c r="N9535" t="s">
        <v>18300</v>
      </c>
      <c r="P9535" t="s">
        <v>55</v>
      </c>
      <c r="R9535" t="s">
        <v>53</v>
      </c>
      <c r="T9535" t="s">
        <v>18301</v>
      </c>
      <c r="U9535" t="s">
        <v>55</v>
      </c>
      <c r="V9535">
        <v>1</v>
      </c>
      <c r="W9535">
        <v>1</v>
      </c>
      <c r="X9535">
        <v>2</v>
      </c>
      <c r="Y9535">
        <v>0</v>
      </c>
      <c r="Z9535">
        <v>2</v>
      </c>
      <c r="AA9535">
        <v>157.47999999999999</v>
      </c>
      <c r="AB9535">
        <v>157.47999999999999</v>
      </c>
      <c r="AC9535">
        <v>144.81</v>
      </c>
      <c r="AD9535">
        <v>0</v>
      </c>
      <c r="AE9535">
        <v>12.67</v>
      </c>
      <c r="AF9535">
        <v>0</v>
      </c>
      <c r="AG9535">
        <v>0</v>
      </c>
      <c r="AH9535">
        <v>0</v>
      </c>
      <c r="AI9535">
        <v>28.35</v>
      </c>
      <c r="AJ9535">
        <v>157.47999999999999</v>
      </c>
      <c r="AK9535">
        <v>0</v>
      </c>
      <c r="AL9535" t="s">
        <v>53</v>
      </c>
      <c r="AM9535" t="s">
        <v>53</v>
      </c>
      <c r="AN9535" t="s">
        <v>53</v>
      </c>
      <c r="AO9535" t="s">
        <v>53</v>
      </c>
      <c r="AP9535" t="s">
        <v>53</v>
      </c>
    </row>
    <row r="9536" spans="2:42" x14ac:dyDescent="0.2">
      <c r="B9536" t="s">
        <v>44</v>
      </c>
      <c r="C9536" t="str">
        <f>HYPERLINK("https://us2.cloudbeds.com/connect/8493803454333002#/reservations/252607295099009?display=5EK60T8RJ0&amp;reservation_id=252607295099009", "5EK60T8RJ0")</f>
        <v>5EK60T8RJ0</v>
      </c>
      <c r="D9536" t="s">
        <v>45</v>
      </c>
      <c r="E9536" t="s">
        <v>98</v>
      </c>
      <c r="F9536" t="s">
        <v>86</v>
      </c>
      <c r="G9536" t="s">
        <v>48</v>
      </c>
      <c r="H9536" t="s">
        <v>3957</v>
      </c>
      <c r="I9536" t="s">
        <v>3975</v>
      </c>
      <c r="J9536" t="s">
        <v>11651</v>
      </c>
      <c r="K9536" t="s">
        <v>11652</v>
      </c>
      <c r="L9536" t="s">
        <v>53</v>
      </c>
      <c r="P9536" t="s">
        <v>55</v>
      </c>
      <c r="R9536" t="s">
        <v>56</v>
      </c>
      <c r="T9536" t="s">
        <v>18302</v>
      </c>
      <c r="U9536" t="s">
        <v>58</v>
      </c>
      <c r="V9536">
        <v>1</v>
      </c>
      <c r="W9536">
        <v>1</v>
      </c>
      <c r="X9536">
        <v>2</v>
      </c>
      <c r="Y9536">
        <v>0</v>
      </c>
      <c r="Z9536">
        <v>2</v>
      </c>
      <c r="AA9536">
        <v>240.77</v>
      </c>
      <c r="AB9536">
        <v>240.77</v>
      </c>
      <c r="AC9536">
        <v>210</v>
      </c>
      <c r="AD9536">
        <v>0</v>
      </c>
      <c r="AE9536">
        <v>30.77</v>
      </c>
      <c r="AF9536">
        <v>0</v>
      </c>
      <c r="AG9536">
        <v>0</v>
      </c>
      <c r="AH9536">
        <v>0</v>
      </c>
      <c r="AI9536">
        <v>0</v>
      </c>
      <c r="AJ9536">
        <v>240.77</v>
      </c>
      <c r="AK9536">
        <v>0</v>
      </c>
      <c r="AL9536" t="s">
        <v>53</v>
      </c>
      <c r="AM9536" t="s">
        <v>53</v>
      </c>
      <c r="AN9536" t="s">
        <v>53</v>
      </c>
      <c r="AO9536" t="s">
        <v>53</v>
      </c>
      <c r="AP9536" t="s">
        <v>53</v>
      </c>
    </row>
    <row r="9537" spans="2:42" x14ac:dyDescent="0.2">
      <c r="B9537" t="s">
        <v>44</v>
      </c>
      <c r="C9537" t="str">
        <f>HYPERLINK("https://us2.cloudbeds.com/connect/8493803454333002#/reservations/252612839755904?display=5EKAAXM6Y2&amp;reservation_id=252612839755904", "5EKAAXM6Y2")</f>
        <v>5EKAAXM6Y2</v>
      </c>
      <c r="D9537" t="s">
        <v>10291</v>
      </c>
      <c r="E9537" t="s">
        <v>69</v>
      </c>
      <c r="F9537" t="s">
        <v>70</v>
      </c>
      <c r="G9537" t="s">
        <v>48</v>
      </c>
      <c r="H9537" t="s">
        <v>3957</v>
      </c>
      <c r="I9537" t="s">
        <v>3975</v>
      </c>
      <c r="J9537" t="s">
        <v>18059</v>
      </c>
      <c r="K9537" t="s">
        <v>18033</v>
      </c>
      <c r="L9537" t="s">
        <v>53</v>
      </c>
      <c r="P9537" t="s">
        <v>55</v>
      </c>
      <c r="R9537" t="s">
        <v>56</v>
      </c>
      <c r="T9537" t="s">
        <v>18303</v>
      </c>
      <c r="U9537" t="s">
        <v>58</v>
      </c>
      <c r="V9537">
        <v>1</v>
      </c>
      <c r="W9537">
        <v>1</v>
      </c>
      <c r="X9537">
        <v>2</v>
      </c>
      <c r="Y9537">
        <v>0</v>
      </c>
      <c r="Z9537">
        <v>2</v>
      </c>
      <c r="AA9537">
        <v>0</v>
      </c>
      <c r="AB9537">
        <v>0</v>
      </c>
      <c r="AC9537">
        <v>160</v>
      </c>
      <c r="AD9537">
        <v>0</v>
      </c>
      <c r="AE9537">
        <v>23.44</v>
      </c>
      <c r="AF9537">
        <v>0</v>
      </c>
      <c r="AG9537">
        <v>0</v>
      </c>
      <c r="AH9537">
        <v>0</v>
      </c>
      <c r="AI9537">
        <v>0</v>
      </c>
      <c r="AJ9537">
        <v>183.44</v>
      </c>
      <c r="AK9537">
        <v>183.44</v>
      </c>
      <c r="AL9537" t="s">
        <v>53</v>
      </c>
      <c r="AM9537" t="s">
        <v>53</v>
      </c>
      <c r="AN9537" t="s">
        <v>53</v>
      </c>
      <c r="AO9537" t="s">
        <v>53</v>
      </c>
      <c r="AP9537" t="s">
        <v>53</v>
      </c>
    </row>
    <row r="9538" spans="2:42" x14ac:dyDescent="0.2">
      <c r="B9538" t="s">
        <v>44</v>
      </c>
      <c r="C9538" t="str">
        <f>HYPERLINK("https://us2.cloudbeds.com/connect/8493803454333002#/reservations/9080486849612081?display=5EY2UE1VKM&amp;reservation_id=9080486849612081", "5EY2UE1VKM")</f>
        <v>5EY2UE1VKM</v>
      </c>
      <c r="D9538" t="s">
        <v>10291</v>
      </c>
      <c r="E9538" t="s">
        <v>185</v>
      </c>
      <c r="F9538" t="s">
        <v>47</v>
      </c>
      <c r="G9538" t="s">
        <v>48</v>
      </c>
      <c r="H9538" t="s">
        <v>49</v>
      </c>
      <c r="I9538" t="s">
        <v>50</v>
      </c>
      <c r="J9538" t="s">
        <v>17135</v>
      </c>
      <c r="K9538" t="s">
        <v>14372</v>
      </c>
      <c r="L9538" t="s">
        <v>53</v>
      </c>
      <c r="N9538" t="s">
        <v>18304</v>
      </c>
      <c r="P9538" t="s">
        <v>55</v>
      </c>
      <c r="R9538" t="s">
        <v>53</v>
      </c>
      <c r="T9538" t="s">
        <v>18305</v>
      </c>
      <c r="U9538" t="s">
        <v>55</v>
      </c>
      <c r="V9538">
        <v>2</v>
      </c>
      <c r="W9538">
        <v>1</v>
      </c>
      <c r="X9538">
        <v>2</v>
      </c>
      <c r="Y9538">
        <v>0</v>
      </c>
      <c r="Z9538">
        <v>2</v>
      </c>
      <c r="AA9538">
        <v>285.75</v>
      </c>
      <c r="AB9538">
        <v>0</v>
      </c>
      <c r="AC9538">
        <v>262.76</v>
      </c>
      <c r="AD9538">
        <v>0</v>
      </c>
      <c r="AE9538">
        <v>22.99</v>
      </c>
      <c r="AF9538">
        <v>0</v>
      </c>
      <c r="AG9538">
        <v>0</v>
      </c>
      <c r="AH9538">
        <v>0</v>
      </c>
      <c r="AI9538">
        <v>51.44</v>
      </c>
      <c r="AJ9538">
        <v>285.75</v>
      </c>
      <c r="AK9538">
        <v>285.75</v>
      </c>
      <c r="AL9538" t="s">
        <v>53</v>
      </c>
      <c r="AM9538" t="s">
        <v>53</v>
      </c>
      <c r="AN9538" t="s">
        <v>18306</v>
      </c>
      <c r="AO9538" t="s">
        <v>53</v>
      </c>
      <c r="AP9538" t="s">
        <v>53</v>
      </c>
    </row>
    <row r="9539" spans="2:42" x14ac:dyDescent="0.2">
      <c r="B9539" t="s">
        <v>44</v>
      </c>
      <c r="C9539" t="str">
        <f>HYPERLINK("https://us2.cloudbeds.com/connect/8493803454333002#/reservations/9080486849613675?display=5EYT6U0QN6&amp;reservation_id=9080486849613675", "5EYT6U0QN6")</f>
        <v>5EYT6U0QN6</v>
      </c>
      <c r="D9539" t="s">
        <v>45</v>
      </c>
      <c r="E9539" t="s">
        <v>223</v>
      </c>
      <c r="F9539" t="s">
        <v>47</v>
      </c>
      <c r="G9539" t="s">
        <v>48</v>
      </c>
      <c r="H9539" t="s">
        <v>49</v>
      </c>
      <c r="I9539" t="s">
        <v>50</v>
      </c>
      <c r="J9539" t="s">
        <v>11651</v>
      </c>
      <c r="K9539" t="s">
        <v>11652</v>
      </c>
      <c r="L9539" t="s">
        <v>53</v>
      </c>
      <c r="N9539" t="s">
        <v>18307</v>
      </c>
      <c r="P9539" t="s">
        <v>55</v>
      </c>
      <c r="R9539" t="s">
        <v>53</v>
      </c>
      <c r="T9539" t="s">
        <v>18308</v>
      </c>
      <c r="U9539" t="s">
        <v>55</v>
      </c>
      <c r="V9539">
        <v>1</v>
      </c>
      <c r="W9539">
        <v>1</v>
      </c>
      <c r="X9539">
        <v>1</v>
      </c>
      <c r="Y9539">
        <v>0</v>
      </c>
      <c r="Z9539">
        <v>1</v>
      </c>
      <c r="AA9539">
        <v>146.4</v>
      </c>
      <c r="AB9539">
        <v>146.4</v>
      </c>
      <c r="AC9539">
        <v>134.62</v>
      </c>
      <c r="AD9539">
        <v>0</v>
      </c>
      <c r="AE9539">
        <v>11.78</v>
      </c>
      <c r="AF9539">
        <v>0</v>
      </c>
      <c r="AG9539">
        <v>0</v>
      </c>
      <c r="AH9539">
        <v>0</v>
      </c>
      <c r="AI9539">
        <v>26.35</v>
      </c>
      <c r="AJ9539">
        <v>146.4</v>
      </c>
      <c r="AK9539">
        <v>0</v>
      </c>
      <c r="AL9539" t="s">
        <v>53</v>
      </c>
      <c r="AM9539" t="s">
        <v>53</v>
      </c>
      <c r="AN9539" t="s">
        <v>53</v>
      </c>
      <c r="AO9539" t="s">
        <v>53</v>
      </c>
      <c r="AP9539" t="s">
        <v>53</v>
      </c>
    </row>
    <row r="9540" spans="2:42" x14ac:dyDescent="0.2">
      <c r="B9540" t="s">
        <v>44</v>
      </c>
      <c r="C9540" t="str">
        <f>HYPERLINK("https://us2.cloudbeds.com/connect/8493803454333002#/reservations/252736762359936?display=5EN792GXHH&amp;reservation_id=252736762359936", "5EN792GXHH")</f>
        <v>5EN792GXHH</v>
      </c>
      <c r="D9540" t="s">
        <v>9111</v>
      </c>
      <c r="E9540" t="s">
        <v>14402</v>
      </c>
      <c r="F9540" t="s">
        <v>14403</v>
      </c>
      <c r="G9540" t="s">
        <v>3974</v>
      </c>
      <c r="H9540" t="s">
        <v>3957</v>
      </c>
      <c r="I9540" t="s">
        <v>3975</v>
      </c>
      <c r="J9540" t="s">
        <v>17389</v>
      </c>
      <c r="K9540" t="s">
        <v>17135</v>
      </c>
      <c r="L9540" t="s">
        <v>53</v>
      </c>
      <c r="P9540" t="s">
        <v>55</v>
      </c>
      <c r="R9540" t="s">
        <v>56</v>
      </c>
      <c r="T9540" t="s">
        <v>18309</v>
      </c>
      <c r="U9540" t="s">
        <v>58</v>
      </c>
      <c r="V9540">
        <v>2</v>
      </c>
      <c r="W9540">
        <v>1</v>
      </c>
      <c r="X9540">
        <v>2</v>
      </c>
      <c r="Y9540">
        <v>0</v>
      </c>
      <c r="Z9540">
        <v>2</v>
      </c>
      <c r="AA9540">
        <v>386.67</v>
      </c>
      <c r="AB9540">
        <v>386.67</v>
      </c>
      <c r="AC9540">
        <v>337.25</v>
      </c>
      <c r="AD9540">
        <v>0</v>
      </c>
      <c r="AE9540">
        <v>49.42</v>
      </c>
      <c r="AF9540">
        <v>0</v>
      </c>
      <c r="AG9540">
        <v>0</v>
      </c>
      <c r="AH9540">
        <v>0</v>
      </c>
      <c r="AI9540">
        <v>0</v>
      </c>
      <c r="AJ9540">
        <v>386.67</v>
      </c>
      <c r="AK9540">
        <v>0</v>
      </c>
      <c r="AL9540" t="s">
        <v>53</v>
      </c>
      <c r="AM9540" t="s">
        <v>53</v>
      </c>
      <c r="AN9540" t="s">
        <v>18310</v>
      </c>
      <c r="AO9540" t="s">
        <v>53</v>
      </c>
      <c r="AP9540" t="s">
        <v>53</v>
      </c>
    </row>
    <row r="9541" spans="2:42" x14ac:dyDescent="0.2">
      <c r="B9541" t="s">
        <v>44</v>
      </c>
      <c r="C9541" t="str">
        <f>HYPERLINK("https://us2.cloudbeds.com/connect/8493803454333002#/reservations/9080486849615957?display=5EN8J730F2&amp;reservation_id=9080486849615957", "5EN8J730F2")</f>
        <v>5EN8J730F2</v>
      </c>
      <c r="D9541" t="s">
        <v>10291</v>
      </c>
      <c r="E9541" t="s">
        <v>105</v>
      </c>
      <c r="F9541" t="s">
        <v>47</v>
      </c>
      <c r="G9541" t="s">
        <v>48</v>
      </c>
      <c r="H9541" t="s">
        <v>49</v>
      </c>
      <c r="I9541" t="s">
        <v>62</v>
      </c>
      <c r="J9541" t="s">
        <v>10292</v>
      </c>
      <c r="K9541" t="s">
        <v>10293</v>
      </c>
      <c r="L9541" t="s">
        <v>53</v>
      </c>
      <c r="N9541" t="s">
        <v>18311</v>
      </c>
      <c r="P9541" t="s">
        <v>55</v>
      </c>
      <c r="R9541" t="s">
        <v>56</v>
      </c>
      <c r="T9541" t="s">
        <v>18312</v>
      </c>
      <c r="U9541" t="s">
        <v>55</v>
      </c>
      <c r="V9541">
        <v>1</v>
      </c>
      <c r="W9541">
        <v>1</v>
      </c>
      <c r="X9541">
        <v>2</v>
      </c>
      <c r="Y9541">
        <v>0</v>
      </c>
      <c r="Z9541">
        <v>2</v>
      </c>
      <c r="AA9541">
        <v>199.5</v>
      </c>
      <c r="AB9541">
        <v>0</v>
      </c>
      <c r="AC9541">
        <v>199.5</v>
      </c>
      <c r="AD9541">
        <v>0</v>
      </c>
      <c r="AE9541">
        <v>0</v>
      </c>
      <c r="AF9541">
        <v>0</v>
      </c>
      <c r="AG9541">
        <v>0</v>
      </c>
      <c r="AH9541">
        <v>0</v>
      </c>
      <c r="AI9541">
        <v>35.909999999999997</v>
      </c>
      <c r="AJ9541">
        <v>199.5</v>
      </c>
      <c r="AK9541">
        <v>199.5</v>
      </c>
      <c r="AL9541" t="s">
        <v>53</v>
      </c>
      <c r="AM9541" t="s">
        <v>53</v>
      </c>
      <c r="AN9541" t="s">
        <v>53</v>
      </c>
      <c r="AO9541" t="s">
        <v>53</v>
      </c>
      <c r="AP9541" t="s">
        <v>53</v>
      </c>
    </row>
    <row r="9542" spans="2:42" x14ac:dyDescent="0.2">
      <c r="B9542" t="s">
        <v>44</v>
      </c>
      <c r="C9542" t="str">
        <f>HYPERLINK("https://us2.cloudbeds.com/connect/8493803454333002#/reservations/9080486849616271?display=5ENEM0WF21&amp;reservation_id=9080486849616271", "5ENEM0WF21")</f>
        <v>5ENEM0WF21</v>
      </c>
      <c r="D9542" t="s">
        <v>45</v>
      </c>
      <c r="E9542" t="s">
        <v>69</v>
      </c>
      <c r="F9542" t="s">
        <v>70</v>
      </c>
      <c r="G9542" t="s">
        <v>48</v>
      </c>
      <c r="H9542" t="s">
        <v>49</v>
      </c>
      <c r="I9542" t="s">
        <v>62</v>
      </c>
      <c r="J9542" t="s">
        <v>14806</v>
      </c>
      <c r="K9542" t="s">
        <v>14732</v>
      </c>
      <c r="L9542" t="s">
        <v>53</v>
      </c>
      <c r="N9542" t="s">
        <v>18313</v>
      </c>
      <c r="P9542" t="s">
        <v>55</v>
      </c>
      <c r="R9542" t="s">
        <v>56</v>
      </c>
      <c r="T9542" t="s">
        <v>18314</v>
      </c>
      <c r="U9542" t="s">
        <v>55</v>
      </c>
      <c r="V9542">
        <v>2</v>
      </c>
      <c r="W9542">
        <v>1</v>
      </c>
      <c r="X9542">
        <v>2</v>
      </c>
      <c r="Y9542">
        <v>0</v>
      </c>
      <c r="Z9542">
        <v>2</v>
      </c>
      <c r="AA9542">
        <v>372.75</v>
      </c>
      <c r="AB9542">
        <v>372.75</v>
      </c>
      <c r="AC9542">
        <v>372.75</v>
      </c>
      <c r="AD9542">
        <v>0</v>
      </c>
      <c r="AE9542">
        <v>0</v>
      </c>
      <c r="AF9542">
        <v>0</v>
      </c>
      <c r="AG9542">
        <v>0</v>
      </c>
      <c r="AH9542">
        <v>0</v>
      </c>
      <c r="AI9542">
        <v>67.099999999999994</v>
      </c>
      <c r="AJ9542">
        <v>372.75</v>
      </c>
      <c r="AK9542">
        <v>0</v>
      </c>
      <c r="AL9542" t="s">
        <v>53</v>
      </c>
      <c r="AM9542" t="s">
        <v>53</v>
      </c>
      <c r="AN9542" t="s">
        <v>18315</v>
      </c>
      <c r="AO9542" t="s">
        <v>53</v>
      </c>
      <c r="AP9542" t="s">
        <v>53</v>
      </c>
    </row>
    <row r="9543" spans="2:42" x14ac:dyDescent="0.2">
      <c r="B9543" t="s">
        <v>44</v>
      </c>
      <c r="C9543" t="str">
        <f>HYPERLINK("https://us2.cloudbeds.com/connect/8493803454333002#/reservations/9080486849616635?display=5ENMGDX6NK&amp;reservation_id=9080486849616635", "5ENMGDX6NK")</f>
        <v>5ENMGDX6NK</v>
      </c>
      <c r="D9543" t="s">
        <v>10291</v>
      </c>
      <c r="E9543" t="s">
        <v>98</v>
      </c>
      <c r="F9543" t="s">
        <v>86</v>
      </c>
      <c r="G9543" t="s">
        <v>48</v>
      </c>
      <c r="H9543" t="s">
        <v>49</v>
      </c>
      <c r="I9543" t="s">
        <v>50</v>
      </c>
      <c r="J9543" t="s">
        <v>17135</v>
      </c>
      <c r="K9543" t="s">
        <v>16110</v>
      </c>
      <c r="L9543" t="s">
        <v>53</v>
      </c>
      <c r="N9543" t="s">
        <v>18316</v>
      </c>
      <c r="P9543" t="s">
        <v>55</v>
      </c>
      <c r="R9543" t="s">
        <v>53</v>
      </c>
      <c r="T9543" t="s">
        <v>18317</v>
      </c>
      <c r="U9543" t="s">
        <v>55</v>
      </c>
      <c r="V9543">
        <v>3</v>
      </c>
      <c r="W9543">
        <v>1</v>
      </c>
      <c r="X9543">
        <v>2</v>
      </c>
      <c r="Y9543">
        <v>0</v>
      </c>
      <c r="Z9543">
        <v>2</v>
      </c>
      <c r="AA9543">
        <v>487.56</v>
      </c>
      <c r="AB9543">
        <v>0</v>
      </c>
      <c r="AC9543">
        <v>448.33</v>
      </c>
      <c r="AD9543">
        <v>0</v>
      </c>
      <c r="AE9543">
        <v>39.229999999999997</v>
      </c>
      <c r="AF9543">
        <v>0</v>
      </c>
      <c r="AG9543">
        <v>0</v>
      </c>
      <c r="AH9543">
        <v>0</v>
      </c>
      <c r="AI9543">
        <v>87.76</v>
      </c>
      <c r="AJ9543">
        <v>487.56</v>
      </c>
      <c r="AK9543">
        <v>487.56</v>
      </c>
      <c r="AL9543" t="s">
        <v>53</v>
      </c>
      <c r="AM9543" t="s">
        <v>53</v>
      </c>
      <c r="AN9543" t="s">
        <v>53</v>
      </c>
      <c r="AO9543" t="s">
        <v>53</v>
      </c>
      <c r="AP9543" t="s">
        <v>53</v>
      </c>
    </row>
    <row r="9544" spans="2:42" x14ac:dyDescent="0.2">
      <c r="B9544" t="s">
        <v>44</v>
      </c>
      <c r="C9544" t="str">
        <f>HYPERLINK("https://us2.cloudbeds.com/connect/8493803454333002#/reservations/252896990605440?display=5EQWB96MYE&amp;reservation_id=252896990605440", "5EQWB96MYE")</f>
        <v>5EQWB96MYE</v>
      </c>
      <c r="D9544" t="s">
        <v>10291</v>
      </c>
      <c r="E9544" t="s">
        <v>110</v>
      </c>
      <c r="F9544" t="s">
        <v>47</v>
      </c>
      <c r="G9544" t="s">
        <v>48</v>
      </c>
      <c r="H9544" t="s">
        <v>3957</v>
      </c>
      <c r="I9544" t="s">
        <v>3975</v>
      </c>
      <c r="J9544" t="s">
        <v>15822</v>
      </c>
      <c r="K9544" t="s">
        <v>14827</v>
      </c>
      <c r="L9544" t="s">
        <v>53</v>
      </c>
      <c r="P9544" t="s">
        <v>55</v>
      </c>
      <c r="R9544" t="s">
        <v>56</v>
      </c>
      <c r="T9544" t="s">
        <v>18318</v>
      </c>
      <c r="U9544" t="s">
        <v>58</v>
      </c>
      <c r="V9544">
        <v>1</v>
      </c>
      <c r="W9544">
        <v>1</v>
      </c>
      <c r="X9544">
        <v>2</v>
      </c>
      <c r="Y9544">
        <v>0</v>
      </c>
      <c r="Z9544">
        <v>2</v>
      </c>
      <c r="AA9544">
        <v>0</v>
      </c>
      <c r="AB9544">
        <v>0</v>
      </c>
      <c r="AC9544">
        <v>155</v>
      </c>
      <c r="AD9544">
        <v>0</v>
      </c>
      <c r="AE9544">
        <v>22.72</v>
      </c>
      <c r="AF9544">
        <v>0</v>
      </c>
      <c r="AG9544">
        <v>0</v>
      </c>
      <c r="AH9544">
        <v>0</v>
      </c>
      <c r="AI9544">
        <v>0</v>
      </c>
      <c r="AJ9544">
        <v>177.72</v>
      </c>
      <c r="AK9544">
        <v>177.72</v>
      </c>
      <c r="AL9544" t="s">
        <v>53</v>
      </c>
      <c r="AM9544" t="s">
        <v>53</v>
      </c>
      <c r="AN9544" t="s">
        <v>53</v>
      </c>
      <c r="AO9544" t="s">
        <v>53</v>
      </c>
      <c r="AP9544" t="s">
        <v>53</v>
      </c>
    </row>
    <row r="9545" spans="2:42" x14ac:dyDescent="0.2">
      <c r="B9545" t="s">
        <v>44</v>
      </c>
      <c r="C9545" t="str">
        <f>HYPERLINK("https://us2.cloudbeds.com/connect/8493803454333002#/reservations/9080486849625795?display=5ESQ6APWXT&amp;reservation_id=9080486849625795", "5ESQ6APWXT")</f>
        <v>5ESQ6APWXT</v>
      </c>
      <c r="D9545" t="s">
        <v>45</v>
      </c>
      <c r="E9545" t="s">
        <v>155</v>
      </c>
      <c r="F9545" t="s">
        <v>86</v>
      </c>
      <c r="G9545" t="s">
        <v>48</v>
      </c>
      <c r="H9545" t="s">
        <v>49</v>
      </c>
      <c r="I9545" t="s">
        <v>8964</v>
      </c>
      <c r="J9545" t="s">
        <v>11652</v>
      </c>
      <c r="K9545" t="s">
        <v>14806</v>
      </c>
      <c r="L9545" t="s">
        <v>53</v>
      </c>
      <c r="N9545" t="s">
        <v>18319</v>
      </c>
      <c r="P9545" t="s">
        <v>55</v>
      </c>
      <c r="R9545" t="s">
        <v>53</v>
      </c>
      <c r="T9545" t="s">
        <v>18320</v>
      </c>
      <c r="U9545" t="s">
        <v>55</v>
      </c>
      <c r="V9545">
        <v>1</v>
      </c>
      <c r="W9545">
        <v>1</v>
      </c>
      <c r="X9545">
        <v>2</v>
      </c>
      <c r="Y9545">
        <v>0</v>
      </c>
      <c r="Z9545">
        <v>2</v>
      </c>
      <c r="AA9545">
        <v>0</v>
      </c>
      <c r="AB9545">
        <v>0</v>
      </c>
      <c r="AC9545">
        <v>214</v>
      </c>
      <c r="AD9545">
        <v>0</v>
      </c>
      <c r="AE9545">
        <v>0</v>
      </c>
      <c r="AF9545">
        <v>0</v>
      </c>
      <c r="AG9545">
        <v>0</v>
      </c>
      <c r="AH9545">
        <v>0</v>
      </c>
      <c r="AI9545">
        <v>32.1</v>
      </c>
      <c r="AJ9545">
        <v>214</v>
      </c>
      <c r="AK9545">
        <v>214</v>
      </c>
      <c r="AL9545" t="s">
        <v>53</v>
      </c>
      <c r="AM9545" t="s">
        <v>53</v>
      </c>
      <c r="AN9545" t="s">
        <v>53</v>
      </c>
      <c r="AO9545" t="s">
        <v>53</v>
      </c>
      <c r="AP9545" t="s">
        <v>53</v>
      </c>
    </row>
    <row r="9546" spans="2:42" x14ac:dyDescent="0.2">
      <c r="B9546" t="s">
        <v>44</v>
      </c>
      <c r="C9546" t="str">
        <f>HYPERLINK("https://us2.cloudbeds.com/connect/8493803454333002#/reservations/9080486849626026?display=5ESU3XMUMK&amp;reservation_id=9080486849626026", "5ESU3XMUMK")</f>
        <v>5ESU3XMUMK</v>
      </c>
      <c r="D9546" t="s">
        <v>10291</v>
      </c>
      <c r="E9546" t="s">
        <v>69</v>
      </c>
      <c r="F9546" t="s">
        <v>70</v>
      </c>
      <c r="G9546" t="s">
        <v>48</v>
      </c>
      <c r="H9546" t="s">
        <v>49</v>
      </c>
      <c r="I9546" t="s">
        <v>8964</v>
      </c>
      <c r="J9546" t="s">
        <v>17665</v>
      </c>
      <c r="K9546" t="s">
        <v>18069</v>
      </c>
      <c r="L9546" t="s">
        <v>53</v>
      </c>
      <c r="N9546" t="s">
        <v>18321</v>
      </c>
      <c r="P9546" t="s">
        <v>55</v>
      </c>
      <c r="R9546" t="s">
        <v>53</v>
      </c>
      <c r="T9546" t="s">
        <v>18322</v>
      </c>
      <c r="U9546" t="s">
        <v>55</v>
      </c>
      <c r="V9546">
        <v>4</v>
      </c>
      <c r="W9546">
        <v>1</v>
      </c>
      <c r="X9546">
        <v>1</v>
      </c>
      <c r="Y9546">
        <v>0</v>
      </c>
      <c r="Z9546">
        <v>1</v>
      </c>
      <c r="AA9546">
        <v>0</v>
      </c>
      <c r="AB9546">
        <v>0</v>
      </c>
      <c r="AC9546">
        <v>613</v>
      </c>
      <c r="AD9546">
        <v>0</v>
      </c>
      <c r="AE9546">
        <v>0</v>
      </c>
      <c r="AF9546">
        <v>0</v>
      </c>
      <c r="AG9546">
        <v>0</v>
      </c>
      <c r="AH9546">
        <v>0</v>
      </c>
      <c r="AI9546">
        <v>91.95</v>
      </c>
      <c r="AJ9546">
        <v>613</v>
      </c>
      <c r="AK9546">
        <v>613</v>
      </c>
      <c r="AL9546" t="s">
        <v>53</v>
      </c>
      <c r="AM9546" t="s">
        <v>53</v>
      </c>
      <c r="AN9546" t="s">
        <v>53</v>
      </c>
      <c r="AO9546" t="s">
        <v>53</v>
      </c>
      <c r="AP9546" t="s">
        <v>53</v>
      </c>
    </row>
    <row r="9547" spans="2:42" x14ac:dyDescent="0.2">
      <c r="B9547" t="s">
        <v>44</v>
      </c>
      <c r="C9547" t="str">
        <f>HYPERLINK("https://us2.cloudbeds.com/connect/8493803454333002#/reservations/252980533342400?display=5ESV0WM1VS&amp;reservation_id=252980533342400", "5ESV0WM1VS")</f>
        <v>5ESV0WM1VS</v>
      </c>
      <c r="D9547" t="s">
        <v>10291</v>
      </c>
      <c r="E9547" t="s">
        <v>78</v>
      </c>
      <c r="F9547" t="s">
        <v>61</v>
      </c>
      <c r="G9547" t="s">
        <v>48</v>
      </c>
      <c r="H9547" t="s">
        <v>3957</v>
      </c>
      <c r="I9547" t="s">
        <v>3989</v>
      </c>
      <c r="J9547" t="s">
        <v>17533</v>
      </c>
      <c r="K9547" t="s">
        <v>10293</v>
      </c>
      <c r="L9547" t="s">
        <v>53</v>
      </c>
      <c r="P9547" t="s">
        <v>55</v>
      </c>
      <c r="R9547" t="s">
        <v>56</v>
      </c>
      <c r="T9547" t="s">
        <v>18323</v>
      </c>
      <c r="U9547" t="s">
        <v>58</v>
      </c>
      <c r="V9547">
        <v>2</v>
      </c>
      <c r="W9547">
        <v>1</v>
      </c>
      <c r="X9547">
        <v>1</v>
      </c>
      <c r="Y9547">
        <v>0</v>
      </c>
      <c r="Z9547">
        <v>1</v>
      </c>
      <c r="AA9547">
        <v>446</v>
      </c>
      <c r="AB9547">
        <v>0</v>
      </c>
      <c r="AC9547">
        <v>389</v>
      </c>
      <c r="AD9547">
        <v>0</v>
      </c>
      <c r="AE9547">
        <v>57</v>
      </c>
      <c r="AF9547">
        <v>0</v>
      </c>
      <c r="AG9547">
        <v>0</v>
      </c>
      <c r="AH9547">
        <v>0</v>
      </c>
      <c r="AI9547">
        <v>0</v>
      </c>
      <c r="AJ9547">
        <v>446</v>
      </c>
      <c r="AK9547">
        <v>446</v>
      </c>
      <c r="AL9547" t="s">
        <v>53</v>
      </c>
      <c r="AM9547" t="s">
        <v>53</v>
      </c>
      <c r="AN9547" t="s">
        <v>53</v>
      </c>
      <c r="AO9547" t="s">
        <v>53</v>
      </c>
      <c r="AP9547" t="s">
        <v>53</v>
      </c>
    </row>
    <row r="9548" spans="2:42" x14ac:dyDescent="0.2">
      <c r="B9548" t="s">
        <v>44</v>
      </c>
      <c r="C9548" t="str">
        <f>HYPERLINK("https://us2.cloudbeds.com/connect/8493803454333002#/reservations/9080486849626493?display=5ET4RJXUPY&amp;reservation_id=9080486849626493", "5ET4RJXUPY")</f>
        <v>5ET4RJXUPY</v>
      </c>
      <c r="D9548" t="s">
        <v>10291</v>
      </c>
      <c r="E9548" t="s">
        <v>138</v>
      </c>
      <c r="F9548" t="s">
        <v>70</v>
      </c>
      <c r="G9548" t="s">
        <v>48</v>
      </c>
      <c r="H9548" t="s">
        <v>49</v>
      </c>
      <c r="I9548" t="s">
        <v>62</v>
      </c>
      <c r="J9548" t="s">
        <v>18324</v>
      </c>
      <c r="K9548" t="s">
        <v>17624</v>
      </c>
      <c r="L9548" t="s">
        <v>53</v>
      </c>
      <c r="N9548" t="s">
        <v>18325</v>
      </c>
      <c r="P9548" t="s">
        <v>55</v>
      </c>
      <c r="R9548" t="s">
        <v>56</v>
      </c>
      <c r="T9548" t="s">
        <v>18326</v>
      </c>
      <c r="U9548" t="s">
        <v>55</v>
      </c>
      <c r="V9548">
        <v>2</v>
      </c>
      <c r="W9548">
        <v>1</v>
      </c>
      <c r="X9548">
        <v>2</v>
      </c>
      <c r="Y9548">
        <v>0</v>
      </c>
      <c r="Z9548">
        <v>2</v>
      </c>
      <c r="AA9548">
        <v>200</v>
      </c>
      <c r="AB9548">
        <v>0</v>
      </c>
      <c r="AC9548">
        <v>200</v>
      </c>
      <c r="AD9548">
        <v>0</v>
      </c>
      <c r="AE9548">
        <v>0</v>
      </c>
      <c r="AF9548">
        <v>0</v>
      </c>
      <c r="AG9548">
        <v>0</v>
      </c>
      <c r="AH9548">
        <v>0</v>
      </c>
      <c r="AI9548">
        <v>36</v>
      </c>
      <c r="AJ9548">
        <v>200</v>
      </c>
      <c r="AK9548">
        <v>200</v>
      </c>
      <c r="AL9548" t="s">
        <v>53</v>
      </c>
      <c r="AM9548" t="s">
        <v>53</v>
      </c>
      <c r="AN9548" t="s">
        <v>53</v>
      </c>
      <c r="AO9548" t="s">
        <v>53</v>
      </c>
      <c r="AP9548" t="s">
        <v>53</v>
      </c>
    </row>
    <row r="9549" spans="2:42" x14ac:dyDescent="0.2">
      <c r="B9549" t="s">
        <v>44</v>
      </c>
      <c r="C9549" t="str">
        <f>HYPERLINK("https://us2.cloudbeds.com/connect/8493803454333002#/reservations/9080486849628153?display=5ETVT8X5C9&amp;reservation_id=9080486849628153", "5ETVT8X5C9")</f>
        <v>5ETVT8X5C9</v>
      </c>
      <c r="D9549" t="s">
        <v>45</v>
      </c>
      <c r="E9549" t="s">
        <v>213</v>
      </c>
      <c r="F9549" t="s">
        <v>86</v>
      </c>
      <c r="G9549" t="s">
        <v>48</v>
      </c>
      <c r="H9549" t="s">
        <v>49</v>
      </c>
      <c r="I9549" t="s">
        <v>62</v>
      </c>
      <c r="J9549" t="s">
        <v>11652</v>
      </c>
      <c r="K9549" t="s">
        <v>14806</v>
      </c>
      <c r="L9549" t="s">
        <v>53</v>
      </c>
      <c r="N9549" t="s">
        <v>18327</v>
      </c>
      <c r="P9549" t="s">
        <v>55</v>
      </c>
      <c r="R9549" t="s">
        <v>56</v>
      </c>
      <c r="T9549" t="s">
        <v>18328</v>
      </c>
      <c r="U9549" t="s">
        <v>55</v>
      </c>
      <c r="V9549">
        <v>1</v>
      </c>
      <c r="W9549">
        <v>1</v>
      </c>
      <c r="X9549">
        <v>4</v>
      </c>
      <c r="Y9549">
        <v>0</v>
      </c>
      <c r="Z9549">
        <v>4</v>
      </c>
      <c r="AA9549">
        <v>195</v>
      </c>
      <c r="AB9549">
        <v>195</v>
      </c>
      <c r="AC9549">
        <v>195</v>
      </c>
      <c r="AD9549">
        <v>0</v>
      </c>
      <c r="AE9549">
        <v>0</v>
      </c>
      <c r="AF9549">
        <v>0</v>
      </c>
      <c r="AG9549">
        <v>0</v>
      </c>
      <c r="AH9549">
        <v>0</v>
      </c>
      <c r="AI9549">
        <v>35.1</v>
      </c>
      <c r="AJ9549">
        <v>195</v>
      </c>
      <c r="AK9549">
        <v>0</v>
      </c>
      <c r="AL9549" t="s">
        <v>53</v>
      </c>
      <c r="AM9549" t="s">
        <v>53</v>
      </c>
      <c r="AN9549" t="s">
        <v>18329</v>
      </c>
      <c r="AO9549" t="s">
        <v>53</v>
      </c>
      <c r="AP9549" t="s">
        <v>53</v>
      </c>
    </row>
    <row r="9550" spans="2:42" x14ac:dyDescent="0.2">
      <c r="B9550" t="s">
        <v>44</v>
      </c>
      <c r="C9550" t="str">
        <f>HYPERLINK("https://us2.cloudbeds.com/connect/8493803454333002#/reservations/253025033130176?display=5ETWG21XZJ&amp;reservation_id=253025033130176", "5ETWG21XZJ")</f>
        <v>5ETWG21XZJ</v>
      </c>
      <c r="D9550" t="s">
        <v>45</v>
      </c>
      <c r="E9550" t="s">
        <v>98</v>
      </c>
      <c r="F9550" t="s">
        <v>86</v>
      </c>
      <c r="G9550" t="s">
        <v>4520</v>
      </c>
      <c r="H9550" t="s">
        <v>3957</v>
      </c>
      <c r="I9550" t="s">
        <v>3958</v>
      </c>
      <c r="J9550" t="s">
        <v>11652</v>
      </c>
      <c r="K9550" t="s">
        <v>14806</v>
      </c>
      <c r="L9550" t="s">
        <v>53</v>
      </c>
      <c r="P9550" t="s">
        <v>55</v>
      </c>
      <c r="R9550" t="s">
        <v>56</v>
      </c>
      <c r="T9550" t="s">
        <v>18330</v>
      </c>
      <c r="U9550" t="s">
        <v>58</v>
      </c>
      <c r="V9550">
        <v>1</v>
      </c>
      <c r="W9550">
        <v>1</v>
      </c>
      <c r="X9550">
        <v>1</v>
      </c>
      <c r="Y9550">
        <v>0</v>
      </c>
      <c r="Z9550">
        <v>1</v>
      </c>
      <c r="AA9550">
        <v>201.21</v>
      </c>
      <c r="AB9550">
        <v>201.21</v>
      </c>
      <c r="AC9550">
        <v>175.5</v>
      </c>
      <c r="AD9550">
        <v>0</v>
      </c>
      <c r="AE9550">
        <v>25.71</v>
      </c>
      <c r="AF9550">
        <v>0</v>
      </c>
      <c r="AG9550">
        <v>0</v>
      </c>
      <c r="AH9550">
        <v>0</v>
      </c>
      <c r="AI9550">
        <v>0</v>
      </c>
      <c r="AJ9550">
        <v>201.21</v>
      </c>
      <c r="AK9550">
        <v>0</v>
      </c>
      <c r="AL9550" t="s">
        <v>53</v>
      </c>
      <c r="AM9550" t="s">
        <v>53</v>
      </c>
      <c r="AN9550" t="s">
        <v>53</v>
      </c>
      <c r="AO9550" t="s">
        <v>53</v>
      </c>
      <c r="AP9550" t="s">
        <v>53</v>
      </c>
    </row>
    <row r="9551" spans="2:42" x14ac:dyDescent="0.2">
      <c r="B9551" t="s">
        <v>44</v>
      </c>
      <c r="C9551" t="str">
        <f>HYPERLINK("https://us2.cloudbeds.com/connect/8493803454333002#/reservations/9080486849629052?display=5EUFBDXQ1R&amp;reservation_id=9080486849629052", "5EUFBDXQ1R")</f>
        <v>5EUFBDXQ1R</v>
      </c>
      <c r="D9551" t="s">
        <v>45</v>
      </c>
      <c r="E9551" t="s">
        <v>128</v>
      </c>
      <c r="F9551" t="s">
        <v>86</v>
      </c>
      <c r="G9551" t="s">
        <v>48</v>
      </c>
      <c r="H9551" t="s">
        <v>49</v>
      </c>
      <c r="I9551" t="s">
        <v>50</v>
      </c>
      <c r="J9551" t="s">
        <v>11652</v>
      </c>
      <c r="K9551" t="s">
        <v>14806</v>
      </c>
      <c r="L9551" t="s">
        <v>53</v>
      </c>
      <c r="N9551" t="s">
        <v>18331</v>
      </c>
      <c r="P9551" t="s">
        <v>55</v>
      </c>
      <c r="R9551" t="s">
        <v>53</v>
      </c>
      <c r="T9551" t="s">
        <v>18332</v>
      </c>
      <c r="U9551" t="s">
        <v>55</v>
      </c>
      <c r="V9551">
        <v>1</v>
      </c>
      <c r="W9551">
        <v>1</v>
      </c>
      <c r="X9551">
        <v>2</v>
      </c>
      <c r="Y9551">
        <v>0</v>
      </c>
      <c r="Z9551">
        <v>2</v>
      </c>
      <c r="AA9551">
        <v>151.13999999999999</v>
      </c>
      <c r="AB9551">
        <v>151.13999999999999</v>
      </c>
      <c r="AC9551">
        <v>138.97999999999999</v>
      </c>
      <c r="AD9551">
        <v>0</v>
      </c>
      <c r="AE9551">
        <v>12.16</v>
      </c>
      <c r="AF9551">
        <v>0</v>
      </c>
      <c r="AG9551">
        <v>0</v>
      </c>
      <c r="AH9551">
        <v>0</v>
      </c>
      <c r="AI9551">
        <v>27.21</v>
      </c>
      <c r="AJ9551">
        <v>151.13999999999999</v>
      </c>
      <c r="AK9551">
        <v>0</v>
      </c>
      <c r="AL9551" t="s">
        <v>53</v>
      </c>
      <c r="AM9551" t="s">
        <v>53</v>
      </c>
      <c r="AN9551" t="s">
        <v>18333</v>
      </c>
      <c r="AO9551" t="s">
        <v>53</v>
      </c>
      <c r="AP9551" t="s">
        <v>53</v>
      </c>
    </row>
    <row r="9552" spans="2:42" x14ac:dyDescent="0.2">
      <c r="B9552" t="s">
        <v>44</v>
      </c>
      <c r="C9552" t="str">
        <f>HYPERLINK("https://us2.cloudbeds.com/connect/8493803454333002#/reservations/9080486849629053?display=5EUFCFDC0C&amp;reservation_id=9080486849629053", "5EUFCFDC0C")</f>
        <v>5EUFCFDC0C</v>
      </c>
      <c r="D9552" t="s">
        <v>45</v>
      </c>
      <c r="E9552" t="s">
        <v>78</v>
      </c>
      <c r="F9552" t="s">
        <v>61</v>
      </c>
      <c r="G9552" t="s">
        <v>48</v>
      </c>
      <c r="H9552" t="s">
        <v>49</v>
      </c>
      <c r="I9552" t="s">
        <v>8964</v>
      </c>
      <c r="J9552" t="s">
        <v>15548</v>
      </c>
      <c r="K9552" t="s">
        <v>14391</v>
      </c>
      <c r="L9552" t="s">
        <v>53</v>
      </c>
      <c r="N9552" t="s">
        <v>18334</v>
      </c>
      <c r="P9552" t="s">
        <v>55</v>
      </c>
      <c r="R9552" t="s">
        <v>53</v>
      </c>
      <c r="T9552" t="s">
        <v>18332</v>
      </c>
      <c r="U9552" t="s">
        <v>55</v>
      </c>
      <c r="V9552">
        <v>3</v>
      </c>
      <c r="W9552">
        <v>1</v>
      </c>
      <c r="X9552">
        <v>2</v>
      </c>
      <c r="Y9552">
        <v>0</v>
      </c>
      <c r="Z9552">
        <v>2</v>
      </c>
      <c r="AA9552">
        <v>0</v>
      </c>
      <c r="AB9552">
        <v>0</v>
      </c>
      <c r="AC9552">
        <v>592</v>
      </c>
      <c r="AD9552">
        <v>0</v>
      </c>
      <c r="AE9552">
        <v>0</v>
      </c>
      <c r="AF9552">
        <v>0</v>
      </c>
      <c r="AG9552">
        <v>0</v>
      </c>
      <c r="AH9552">
        <v>0</v>
      </c>
      <c r="AI9552">
        <v>88.8</v>
      </c>
      <c r="AJ9552">
        <v>592</v>
      </c>
      <c r="AK9552">
        <v>592</v>
      </c>
      <c r="AL9552" t="s">
        <v>53</v>
      </c>
      <c r="AM9552" t="s">
        <v>53</v>
      </c>
      <c r="AN9552" t="s">
        <v>18335</v>
      </c>
      <c r="AO9552" t="s">
        <v>53</v>
      </c>
      <c r="AP9552" t="s">
        <v>53</v>
      </c>
    </row>
    <row r="9553" spans="2:42" x14ac:dyDescent="0.2">
      <c r="B9553" t="s">
        <v>44</v>
      </c>
      <c r="C9553" t="str">
        <f>HYPERLINK("https://us2.cloudbeds.com/connect/8493803454333002#/reservations/253046056263808?display=5EUFP8AC63&amp;reservation_id=253046056263808", "5EUFP8AC63")</f>
        <v>5EUFP8AC63</v>
      </c>
      <c r="D9553" t="s">
        <v>10291</v>
      </c>
      <c r="E9553" t="s">
        <v>110</v>
      </c>
      <c r="F9553" t="s">
        <v>47</v>
      </c>
      <c r="G9553" t="s">
        <v>48</v>
      </c>
      <c r="H9553" t="s">
        <v>3957</v>
      </c>
      <c r="I9553" t="s">
        <v>3958</v>
      </c>
      <c r="J9553" t="s">
        <v>14827</v>
      </c>
      <c r="K9553" t="s">
        <v>14828</v>
      </c>
      <c r="L9553" t="s">
        <v>53</v>
      </c>
      <c r="P9553" t="s">
        <v>55</v>
      </c>
      <c r="R9553" t="s">
        <v>56</v>
      </c>
      <c r="T9553" t="s">
        <v>18336</v>
      </c>
      <c r="U9553" t="s">
        <v>58</v>
      </c>
      <c r="V9553">
        <v>2</v>
      </c>
      <c r="W9553">
        <v>1</v>
      </c>
      <c r="X9553">
        <v>1</v>
      </c>
      <c r="Y9553">
        <v>0</v>
      </c>
      <c r="Z9553">
        <v>1</v>
      </c>
      <c r="AA9553">
        <v>349.7</v>
      </c>
      <c r="AB9553">
        <v>0</v>
      </c>
      <c r="AC9553">
        <v>305</v>
      </c>
      <c r="AD9553">
        <v>0</v>
      </c>
      <c r="AE9553">
        <v>44.7</v>
      </c>
      <c r="AF9553">
        <v>0</v>
      </c>
      <c r="AG9553">
        <v>0</v>
      </c>
      <c r="AH9553">
        <v>0</v>
      </c>
      <c r="AI9553">
        <v>0</v>
      </c>
      <c r="AJ9553">
        <v>349.7</v>
      </c>
      <c r="AK9553">
        <v>349.7</v>
      </c>
      <c r="AL9553" t="s">
        <v>53</v>
      </c>
      <c r="AM9553" t="s">
        <v>53</v>
      </c>
      <c r="AN9553" t="s">
        <v>53</v>
      </c>
      <c r="AO9553" t="s">
        <v>53</v>
      </c>
      <c r="AP9553" t="s">
        <v>53</v>
      </c>
    </row>
    <row r="9554" spans="2:42" x14ac:dyDescent="0.2">
      <c r="B9554" t="s">
        <v>44</v>
      </c>
      <c r="C9554" t="str">
        <f>HYPERLINK("https://us2.cloudbeds.com/connect/8493803454333002#/reservations/253052667420800?display=5EUKT5WHXM&amp;reservation_id=253052667420800", "5EUKT5WHXM")</f>
        <v>5EUKT5WHXM</v>
      </c>
      <c r="D9554" t="s">
        <v>10291</v>
      </c>
      <c r="E9554" t="s">
        <v>179</v>
      </c>
      <c r="F9554" t="s">
        <v>47</v>
      </c>
      <c r="G9554" t="s">
        <v>3974</v>
      </c>
      <c r="H9554" t="s">
        <v>3957</v>
      </c>
      <c r="I9554" t="s">
        <v>3975</v>
      </c>
      <c r="J9554" t="s">
        <v>14372</v>
      </c>
      <c r="K9554" t="s">
        <v>16110</v>
      </c>
      <c r="L9554" t="s">
        <v>53</v>
      </c>
      <c r="P9554" t="s">
        <v>55</v>
      </c>
      <c r="R9554" t="s">
        <v>56</v>
      </c>
      <c r="T9554" t="s">
        <v>18337</v>
      </c>
      <c r="U9554" t="s">
        <v>58</v>
      </c>
      <c r="V9554">
        <v>1</v>
      </c>
      <c r="W9554">
        <v>1</v>
      </c>
      <c r="X9554">
        <v>1</v>
      </c>
      <c r="Y9554">
        <v>0</v>
      </c>
      <c r="Z9554">
        <v>1</v>
      </c>
      <c r="AA9554">
        <v>206.95</v>
      </c>
      <c r="AB9554">
        <v>206.95</v>
      </c>
      <c r="AC9554">
        <v>180.5</v>
      </c>
      <c r="AD9554">
        <v>0</v>
      </c>
      <c r="AE9554">
        <v>26.45</v>
      </c>
      <c r="AF9554">
        <v>0</v>
      </c>
      <c r="AG9554">
        <v>0</v>
      </c>
      <c r="AH9554">
        <v>0</v>
      </c>
      <c r="AI9554">
        <v>0</v>
      </c>
      <c r="AJ9554">
        <v>206.95</v>
      </c>
      <c r="AK9554">
        <v>0</v>
      </c>
      <c r="AL9554" t="s">
        <v>53</v>
      </c>
      <c r="AM9554" t="s">
        <v>53</v>
      </c>
      <c r="AN9554" t="s">
        <v>53</v>
      </c>
      <c r="AO9554" t="s">
        <v>53</v>
      </c>
      <c r="AP9554" t="s">
        <v>53</v>
      </c>
    </row>
    <row r="9555" spans="2:42" x14ac:dyDescent="0.2">
      <c r="B9555" t="s">
        <v>44</v>
      </c>
      <c r="C9555" t="str">
        <f>HYPERLINK("https://us2.cloudbeds.com/connect/8493803454333002#/reservations/9080486849631714?display=5EW2NV4GR6&amp;reservation_id=9080486849631714", "5EW2NV4GR6")</f>
        <v>5EW2NV4GR6</v>
      </c>
      <c r="D9555" t="s">
        <v>10291</v>
      </c>
      <c r="E9555" t="s">
        <v>128</v>
      </c>
      <c r="F9555" t="s">
        <v>86</v>
      </c>
      <c r="G9555" t="s">
        <v>48</v>
      </c>
      <c r="H9555" t="s">
        <v>49</v>
      </c>
      <c r="I9555" t="s">
        <v>50</v>
      </c>
      <c r="J9555" t="s">
        <v>17735</v>
      </c>
      <c r="K9555" t="s">
        <v>17522</v>
      </c>
      <c r="L9555" t="s">
        <v>53</v>
      </c>
      <c r="N9555" t="s">
        <v>18338</v>
      </c>
      <c r="P9555" t="s">
        <v>55</v>
      </c>
      <c r="R9555" t="s">
        <v>53</v>
      </c>
      <c r="T9555" t="s">
        <v>18339</v>
      </c>
      <c r="U9555" t="s">
        <v>55</v>
      </c>
      <c r="V9555">
        <v>2</v>
      </c>
      <c r="W9555">
        <v>1</v>
      </c>
      <c r="X9555">
        <v>2</v>
      </c>
      <c r="Y9555">
        <v>0</v>
      </c>
      <c r="Z9555">
        <v>2</v>
      </c>
      <c r="AA9555">
        <v>250.95</v>
      </c>
      <c r="AB9555">
        <v>0</v>
      </c>
      <c r="AC9555">
        <v>230.77</v>
      </c>
      <c r="AD9555">
        <v>0</v>
      </c>
      <c r="AE9555">
        <v>20.18</v>
      </c>
      <c r="AF9555">
        <v>0</v>
      </c>
      <c r="AG9555">
        <v>0</v>
      </c>
      <c r="AH9555">
        <v>0</v>
      </c>
      <c r="AI9555">
        <v>45.17</v>
      </c>
      <c r="AJ9555">
        <v>250.95</v>
      </c>
      <c r="AK9555">
        <v>250.95</v>
      </c>
      <c r="AL9555" t="s">
        <v>53</v>
      </c>
      <c r="AM9555" t="s">
        <v>53</v>
      </c>
      <c r="AN9555" t="s">
        <v>53</v>
      </c>
      <c r="AO9555" t="s">
        <v>53</v>
      </c>
      <c r="AP9555" t="s">
        <v>53</v>
      </c>
    </row>
    <row r="9556" spans="2:42" x14ac:dyDescent="0.2">
      <c r="B9556" t="s">
        <v>44</v>
      </c>
      <c r="C9556" t="str">
        <f>HYPERLINK("https://us2.cloudbeds.com/connect/8493803454333002#/reservations/9080486849634423?display=5F138FEMB2&amp;reservation_id=9080486849634423", "5F138FEMB2")</f>
        <v>5F138FEMB2</v>
      </c>
      <c r="D9556" t="s">
        <v>10291</v>
      </c>
      <c r="E9556" t="s">
        <v>138</v>
      </c>
      <c r="F9556" t="s">
        <v>70</v>
      </c>
      <c r="G9556" t="s">
        <v>48</v>
      </c>
      <c r="H9556" t="s">
        <v>49</v>
      </c>
      <c r="I9556" t="s">
        <v>62</v>
      </c>
      <c r="J9556" t="s">
        <v>18152</v>
      </c>
      <c r="K9556" t="s">
        <v>18340</v>
      </c>
      <c r="L9556" t="s">
        <v>53</v>
      </c>
      <c r="N9556" t="s">
        <v>18341</v>
      </c>
      <c r="P9556" t="s">
        <v>55</v>
      </c>
      <c r="R9556" t="s">
        <v>871</v>
      </c>
      <c r="T9556" t="s">
        <v>18342</v>
      </c>
      <c r="U9556" t="s">
        <v>55</v>
      </c>
      <c r="V9556">
        <v>1</v>
      </c>
      <c r="W9556">
        <v>1</v>
      </c>
      <c r="X9556">
        <v>1</v>
      </c>
      <c r="Y9556">
        <v>0</v>
      </c>
      <c r="Z9556">
        <v>1</v>
      </c>
      <c r="AA9556">
        <v>99.75</v>
      </c>
      <c r="AB9556">
        <v>0</v>
      </c>
      <c r="AC9556">
        <v>99.75</v>
      </c>
      <c r="AD9556">
        <v>0</v>
      </c>
      <c r="AE9556">
        <v>0</v>
      </c>
      <c r="AF9556">
        <v>0</v>
      </c>
      <c r="AG9556">
        <v>0</v>
      </c>
      <c r="AH9556">
        <v>0</v>
      </c>
      <c r="AI9556">
        <v>17.96</v>
      </c>
      <c r="AJ9556">
        <v>99.75</v>
      </c>
      <c r="AK9556">
        <v>99.75</v>
      </c>
      <c r="AL9556" t="s">
        <v>53</v>
      </c>
      <c r="AM9556" t="s">
        <v>53</v>
      </c>
      <c r="AN9556" t="s">
        <v>53</v>
      </c>
      <c r="AO9556" t="s">
        <v>53</v>
      </c>
      <c r="AP9556" t="s">
        <v>53</v>
      </c>
    </row>
    <row r="9557" spans="2:42" x14ac:dyDescent="0.2">
      <c r="B9557" t="s">
        <v>44</v>
      </c>
      <c r="C9557" t="str">
        <f>HYPERLINK("https://us2.cloudbeds.com/connect/8493803454333002#/reservations/9080486849635828?display=5F20RN51RN&amp;reservation_id=9080486849635828", "5F20RN51RN")</f>
        <v>5F20RN51RN</v>
      </c>
      <c r="D9557" t="s">
        <v>10291</v>
      </c>
      <c r="E9557" t="s">
        <v>190</v>
      </c>
      <c r="F9557" t="s">
        <v>61</v>
      </c>
      <c r="G9557" t="s">
        <v>48</v>
      </c>
      <c r="H9557" t="s">
        <v>49</v>
      </c>
      <c r="I9557" t="s">
        <v>50</v>
      </c>
      <c r="J9557" t="s">
        <v>15024</v>
      </c>
      <c r="K9557" t="s">
        <v>15936</v>
      </c>
      <c r="L9557" t="s">
        <v>53</v>
      </c>
      <c r="N9557" t="s">
        <v>18343</v>
      </c>
      <c r="P9557" t="s">
        <v>55</v>
      </c>
      <c r="R9557" t="s">
        <v>53</v>
      </c>
      <c r="T9557" t="s">
        <v>18344</v>
      </c>
      <c r="U9557" t="s">
        <v>55</v>
      </c>
      <c r="V9557">
        <v>1</v>
      </c>
      <c r="W9557">
        <v>1</v>
      </c>
      <c r="X9557">
        <v>1</v>
      </c>
      <c r="Y9557">
        <v>0</v>
      </c>
      <c r="Z9557">
        <v>1</v>
      </c>
      <c r="AA9557">
        <v>142.84</v>
      </c>
      <c r="AB9557">
        <v>0</v>
      </c>
      <c r="AC9557">
        <v>131.34</v>
      </c>
      <c r="AD9557">
        <v>0</v>
      </c>
      <c r="AE9557">
        <v>11.5</v>
      </c>
      <c r="AF9557">
        <v>0</v>
      </c>
      <c r="AG9557">
        <v>0</v>
      </c>
      <c r="AH9557">
        <v>0</v>
      </c>
      <c r="AI9557">
        <v>25.71</v>
      </c>
      <c r="AJ9557">
        <v>142.84</v>
      </c>
      <c r="AK9557">
        <v>142.84</v>
      </c>
      <c r="AL9557" t="s">
        <v>53</v>
      </c>
      <c r="AM9557" t="s">
        <v>53</v>
      </c>
      <c r="AN9557" t="s">
        <v>53</v>
      </c>
      <c r="AO9557" t="s">
        <v>53</v>
      </c>
      <c r="AP9557" t="s">
        <v>53</v>
      </c>
    </row>
    <row r="9558" spans="2:42" x14ac:dyDescent="0.2">
      <c r="B9558" t="s">
        <v>44</v>
      </c>
      <c r="C9558" t="str">
        <f>HYPERLINK("https://us2.cloudbeds.com/connect/8493803454333002#/reservations/253246363115648?display=5F25SXBMG6&amp;reservation_id=253246363115648", "5F25SXBMG6")</f>
        <v>5F25SXBMG6</v>
      </c>
      <c r="D9558" t="s">
        <v>10291</v>
      </c>
      <c r="E9558" t="s">
        <v>113</v>
      </c>
      <c r="F9558" t="s">
        <v>61</v>
      </c>
      <c r="G9558" t="s">
        <v>48</v>
      </c>
      <c r="H9558" t="s">
        <v>3957</v>
      </c>
      <c r="I9558" t="s">
        <v>3975</v>
      </c>
      <c r="J9558" t="s">
        <v>18345</v>
      </c>
      <c r="K9558" t="s">
        <v>18346</v>
      </c>
      <c r="L9558" t="s">
        <v>53</v>
      </c>
      <c r="P9558" t="s">
        <v>55</v>
      </c>
      <c r="R9558" t="s">
        <v>56</v>
      </c>
      <c r="T9558" t="s">
        <v>18347</v>
      </c>
      <c r="U9558" t="s">
        <v>58</v>
      </c>
      <c r="V9558">
        <v>4</v>
      </c>
      <c r="W9558">
        <v>1</v>
      </c>
      <c r="X9558">
        <v>2</v>
      </c>
      <c r="Y9558">
        <v>0</v>
      </c>
      <c r="Z9558">
        <v>2</v>
      </c>
      <c r="AA9558">
        <v>0</v>
      </c>
      <c r="AB9558">
        <v>0</v>
      </c>
      <c r="AC9558">
        <v>325</v>
      </c>
      <c r="AD9558">
        <v>0</v>
      </c>
      <c r="AE9558">
        <v>47.63</v>
      </c>
      <c r="AF9558">
        <v>0</v>
      </c>
      <c r="AG9558">
        <v>0</v>
      </c>
      <c r="AH9558">
        <v>0</v>
      </c>
      <c r="AI9558">
        <v>0</v>
      </c>
      <c r="AJ9558">
        <v>372.63</v>
      </c>
      <c r="AK9558">
        <v>372.63</v>
      </c>
      <c r="AL9558" t="s">
        <v>53</v>
      </c>
      <c r="AM9558" t="s">
        <v>53</v>
      </c>
      <c r="AN9558" t="s">
        <v>53</v>
      </c>
      <c r="AO9558" t="s">
        <v>53</v>
      </c>
      <c r="AP9558" t="s">
        <v>53</v>
      </c>
    </row>
    <row r="9559" spans="2:42" x14ac:dyDescent="0.2">
      <c r="B9559" t="s">
        <v>44</v>
      </c>
      <c r="C9559" t="str">
        <f>HYPERLINK("https://us2.cloudbeds.com/connect/8493803454333002#/reservations/9080486849636871?display=5F2JSWB1C4&amp;reservation_id=9080486849636871", "5F2JSWB1C4")</f>
        <v>5F2JSWB1C4</v>
      </c>
      <c r="D9559" t="s">
        <v>45</v>
      </c>
      <c r="E9559" t="s">
        <v>165</v>
      </c>
      <c r="F9559" t="s">
        <v>61</v>
      </c>
      <c r="G9559" t="s">
        <v>48</v>
      </c>
      <c r="H9559" t="s">
        <v>49</v>
      </c>
      <c r="I9559" t="s">
        <v>62</v>
      </c>
      <c r="J9559" t="s">
        <v>14806</v>
      </c>
      <c r="K9559" t="s">
        <v>15548</v>
      </c>
      <c r="L9559" t="s">
        <v>53</v>
      </c>
      <c r="N9559" t="s">
        <v>18348</v>
      </c>
      <c r="P9559" t="s">
        <v>55</v>
      </c>
      <c r="R9559" t="s">
        <v>56</v>
      </c>
      <c r="T9559" t="s">
        <v>18349</v>
      </c>
      <c r="U9559" t="s">
        <v>55</v>
      </c>
      <c r="V9559">
        <v>1</v>
      </c>
      <c r="W9559">
        <v>1</v>
      </c>
      <c r="X9559">
        <v>2</v>
      </c>
      <c r="Y9559">
        <v>0</v>
      </c>
      <c r="Z9559">
        <v>2</v>
      </c>
      <c r="AA9559">
        <v>199.5</v>
      </c>
      <c r="AB9559">
        <v>199.5</v>
      </c>
      <c r="AC9559">
        <v>199.5</v>
      </c>
      <c r="AD9559">
        <v>0</v>
      </c>
      <c r="AE9559">
        <v>0</v>
      </c>
      <c r="AF9559">
        <v>0</v>
      </c>
      <c r="AG9559">
        <v>0</v>
      </c>
      <c r="AH9559">
        <v>0</v>
      </c>
      <c r="AI9559">
        <v>35.909999999999997</v>
      </c>
      <c r="AJ9559">
        <v>199.5</v>
      </c>
      <c r="AK9559">
        <v>0</v>
      </c>
      <c r="AL9559" t="s">
        <v>53</v>
      </c>
      <c r="AM9559" t="s">
        <v>53</v>
      </c>
      <c r="AN9559" t="s">
        <v>18350</v>
      </c>
      <c r="AO9559" t="s">
        <v>53</v>
      </c>
      <c r="AP9559" t="s">
        <v>53</v>
      </c>
    </row>
    <row r="9560" spans="2:42" x14ac:dyDescent="0.2">
      <c r="B9560" t="s">
        <v>44</v>
      </c>
      <c r="C9560" t="str">
        <f>HYPERLINK("https://us2.cloudbeds.com/connect/8493803454333002#/reservations/9080486849638859?display=5F3DAVPV0R&amp;reservation_id=9080486849638859", "5F3DAVPV0R")</f>
        <v>5F3DAVPV0R</v>
      </c>
      <c r="D9560" t="s">
        <v>10291</v>
      </c>
      <c r="E9560" t="s">
        <v>165</v>
      </c>
      <c r="F9560" t="s">
        <v>61</v>
      </c>
      <c r="G9560" t="s">
        <v>48</v>
      </c>
      <c r="H9560" t="s">
        <v>49</v>
      </c>
      <c r="I9560" t="s">
        <v>50</v>
      </c>
      <c r="J9560" t="s">
        <v>16070</v>
      </c>
      <c r="K9560" t="s">
        <v>17825</v>
      </c>
      <c r="L9560" t="s">
        <v>53</v>
      </c>
      <c r="N9560" t="s">
        <v>18351</v>
      </c>
      <c r="P9560" t="s">
        <v>55</v>
      </c>
      <c r="R9560" t="s">
        <v>53</v>
      </c>
      <c r="T9560" t="s">
        <v>18352</v>
      </c>
      <c r="U9560" t="s">
        <v>55</v>
      </c>
      <c r="V9560">
        <v>2</v>
      </c>
      <c r="W9560">
        <v>1</v>
      </c>
      <c r="X9560">
        <v>2</v>
      </c>
      <c r="Y9560">
        <v>0</v>
      </c>
      <c r="Z9560">
        <v>2</v>
      </c>
      <c r="AA9560">
        <v>292.81</v>
      </c>
      <c r="AB9560">
        <v>0</v>
      </c>
      <c r="AC9560">
        <v>269.24</v>
      </c>
      <c r="AD9560">
        <v>0</v>
      </c>
      <c r="AE9560">
        <v>23.57</v>
      </c>
      <c r="AF9560">
        <v>0</v>
      </c>
      <c r="AG9560">
        <v>0</v>
      </c>
      <c r="AH9560">
        <v>0</v>
      </c>
      <c r="AI9560">
        <v>52.71</v>
      </c>
      <c r="AJ9560">
        <v>292.81</v>
      </c>
      <c r="AK9560">
        <v>292.81</v>
      </c>
      <c r="AL9560" t="s">
        <v>53</v>
      </c>
      <c r="AM9560" t="s">
        <v>53</v>
      </c>
      <c r="AN9560" t="s">
        <v>53</v>
      </c>
      <c r="AO9560" t="s">
        <v>53</v>
      </c>
      <c r="AP9560" t="s">
        <v>53</v>
      </c>
    </row>
    <row r="9561" spans="2:42" x14ac:dyDescent="0.2">
      <c r="B9561" t="s">
        <v>44</v>
      </c>
      <c r="C9561" t="str">
        <f>HYPERLINK("https://us2.cloudbeds.com/connect/8493803454333002#/reservations/9080486849638912?display=5F3DWRJFKB&amp;reservation_id=9080486849638912", "5F3DWRJFKB")</f>
        <v>5F3DWRJFKB</v>
      </c>
      <c r="D9561" t="s">
        <v>45</v>
      </c>
      <c r="E9561" t="s">
        <v>113</v>
      </c>
      <c r="F9561" t="s">
        <v>61</v>
      </c>
      <c r="G9561" t="s">
        <v>48</v>
      </c>
      <c r="H9561" t="s">
        <v>49</v>
      </c>
      <c r="I9561" t="s">
        <v>50</v>
      </c>
      <c r="J9561" t="s">
        <v>14806</v>
      </c>
      <c r="K9561" t="s">
        <v>15548</v>
      </c>
      <c r="L9561" t="s">
        <v>53</v>
      </c>
      <c r="N9561" t="s">
        <v>18353</v>
      </c>
      <c r="P9561" t="s">
        <v>55</v>
      </c>
      <c r="R9561" t="s">
        <v>53</v>
      </c>
      <c r="T9561" t="s">
        <v>18354</v>
      </c>
      <c r="U9561" t="s">
        <v>55</v>
      </c>
      <c r="V9561">
        <v>1</v>
      </c>
      <c r="W9561">
        <v>1</v>
      </c>
      <c r="X9561">
        <v>2</v>
      </c>
      <c r="Y9561">
        <v>0</v>
      </c>
      <c r="Z9561">
        <v>2</v>
      </c>
      <c r="AA9561">
        <v>158.69999999999999</v>
      </c>
      <c r="AB9561">
        <v>158.69999999999999</v>
      </c>
      <c r="AC9561">
        <v>145.93</v>
      </c>
      <c r="AD9561">
        <v>0</v>
      </c>
      <c r="AE9561">
        <v>12.77</v>
      </c>
      <c r="AF9561">
        <v>0</v>
      </c>
      <c r="AG9561">
        <v>0</v>
      </c>
      <c r="AH9561">
        <v>0</v>
      </c>
      <c r="AI9561">
        <v>28.57</v>
      </c>
      <c r="AJ9561">
        <v>158.69999999999999</v>
      </c>
      <c r="AK9561">
        <v>0</v>
      </c>
      <c r="AL9561" t="s">
        <v>53</v>
      </c>
      <c r="AM9561" t="s">
        <v>53</v>
      </c>
      <c r="AN9561" t="s">
        <v>53</v>
      </c>
      <c r="AO9561" t="s">
        <v>53</v>
      </c>
      <c r="AP9561" t="s">
        <v>53</v>
      </c>
    </row>
    <row r="9562" spans="2:42" x14ac:dyDescent="0.2">
      <c r="B9562" t="s">
        <v>44</v>
      </c>
      <c r="C9562" t="str">
        <f>HYPERLINK("https://us2.cloudbeds.com/connect/8493803454333002#/reservations/9080486849639239?display=5F3J55775P&amp;reservation_id=9080486849639239", "5F3J55775P")</f>
        <v>5F3J55775P</v>
      </c>
      <c r="D9562" t="s">
        <v>602</v>
      </c>
      <c r="E9562" t="s">
        <v>53</v>
      </c>
      <c r="F9562" t="s">
        <v>47</v>
      </c>
      <c r="G9562" t="s">
        <v>48</v>
      </c>
      <c r="H9562" t="s">
        <v>49</v>
      </c>
      <c r="I9562" t="s">
        <v>50</v>
      </c>
      <c r="J9562" t="s">
        <v>14806</v>
      </c>
      <c r="K9562" t="s">
        <v>15548</v>
      </c>
      <c r="L9562" t="s">
        <v>53</v>
      </c>
      <c r="N9562" t="s">
        <v>18355</v>
      </c>
      <c r="P9562" t="s">
        <v>55</v>
      </c>
      <c r="R9562" t="s">
        <v>53</v>
      </c>
      <c r="T9562" t="s">
        <v>18356</v>
      </c>
      <c r="U9562" t="s">
        <v>55</v>
      </c>
      <c r="V9562">
        <v>1</v>
      </c>
      <c r="W9562">
        <v>1</v>
      </c>
      <c r="X9562">
        <v>1</v>
      </c>
      <c r="Y9562">
        <v>0</v>
      </c>
      <c r="Z9562">
        <v>1</v>
      </c>
      <c r="AA9562">
        <v>131.55000000000001</v>
      </c>
      <c r="AB9562">
        <v>131.55000000000001</v>
      </c>
      <c r="AC9562">
        <v>120.97</v>
      </c>
      <c r="AD9562">
        <v>0</v>
      </c>
      <c r="AE9562">
        <v>10.58</v>
      </c>
      <c r="AF9562">
        <v>0</v>
      </c>
      <c r="AG9562">
        <v>0</v>
      </c>
      <c r="AH9562">
        <v>0</v>
      </c>
      <c r="AI9562">
        <v>23.68</v>
      </c>
      <c r="AJ9562">
        <v>131.55000000000001</v>
      </c>
      <c r="AK9562">
        <v>131.55000000000001</v>
      </c>
      <c r="AL9562">
        <v>120.97</v>
      </c>
      <c r="AM9562">
        <v>131.55000000000001</v>
      </c>
      <c r="AN9562" t="s">
        <v>18357</v>
      </c>
      <c r="AO9562" t="s">
        <v>53</v>
      </c>
      <c r="AP9562" t="s">
        <v>53</v>
      </c>
    </row>
    <row r="9563" spans="2:42" x14ac:dyDescent="0.2">
      <c r="B9563" t="s">
        <v>44</v>
      </c>
      <c r="C9563" t="str">
        <f>HYPERLINK("https://us2.cloudbeds.com/connect/8493803454333002#/reservations/253313416003712?display=5F3ZPU4877&amp;reservation_id=253313416003712", "5F3ZPU4877")</f>
        <v>5F3ZPU4877</v>
      </c>
      <c r="D9563" t="s">
        <v>45</v>
      </c>
      <c r="E9563" t="s">
        <v>190</v>
      </c>
      <c r="F9563" t="s">
        <v>61</v>
      </c>
      <c r="G9563" t="s">
        <v>48</v>
      </c>
      <c r="H9563" t="s">
        <v>3957</v>
      </c>
      <c r="I9563" t="s">
        <v>3975</v>
      </c>
      <c r="J9563" t="s">
        <v>14390</v>
      </c>
      <c r="K9563" t="s">
        <v>14371</v>
      </c>
      <c r="L9563" t="s">
        <v>53</v>
      </c>
      <c r="P9563" t="s">
        <v>55</v>
      </c>
      <c r="R9563" t="s">
        <v>56</v>
      </c>
      <c r="T9563" t="s">
        <v>18358</v>
      </c>
      <c r="U9563" t="s">
        <v>58</v>
      </c>
      <c r="V9563">
        <v>3</v>
      </c>
      <c r="W9563">
        <v>1</v>
      </c>
      <c r="X9563">
        <v>2</v>
      </c>
      <c r="Y9563">
        <v>0</v>
      </c>
      <c r="Z9563">
        <v>2</v>
      </c>
      <c r="AA9563">
        <v>573.27</v>
      </c>
      <c r="AB9563">
        <v>573.27</v>
      </c>
      <c r="AC9563">
        <v>500</v>
      </c>
      <c r="AD9563">
        <v>0</v>
      </c>
      <c r="AE9563">
        <v>73.27</v>
      </c>
      <c r="AF9563">
        <v>0</v>
      </c>
      <c r="AG9563">
        <v>0</v>
      </c>
      <c r="AH9563">
        <v>0</v>
      </c>
      <c r="AI9563">
        <v>0</v>
      </c>
      <c r="AJ9563">
        <v>573.27</v>
      </c>
      <c r="AK9563">
        <v>0</v>
      </c>
      <c r="AL9563" t="s">
        <v>53</v>
      </c>
      <c r="AM9563" t="s">
        <v>53</v>
      </c>
      <c r="AN9563" t="s">
        <v>18359</v>
      </c>
      <c r="AO9563" t="s">
        <v>53</v>
      </c>
      <c r="AP9563" t="s">
        <v>53</v>
      </c>
    </row>
    <row r="9564" spans="2:42" x14ac:dyDescent="0.2">
      <c r="B9564" t="s">
        <v>44</v>
      </c>
      <c r="C9564" t="str">
        <f>HYPERLINK("https://us2.cloudbeds.com/connect/8493803454333002#/reservations/253345795133632?display=5F4GS9250C&amp;reservation_id=253345795133632", "5F4GS9250C")</f>
        <v>5F4GS9250C</v>
      </c>
      <c r="D9564" t="s">
        <v>45</v>
      </c>
      <c r="E9564" t="s">
        <v>487</v>
      </c>
      <c r="F9564" t="s">
        <v>61</v>
      </c>
      <c r="G9564" t="s">
        <v>48</v>
      </c>
      <c r="H9564" t="s">
        <v>3957</v>
      </c>
      <c r="I9564" t="s">
        <v>3958</v>
      </c>
      <c r="J9564" t="s">
        <v>15548</v>
      </c>
      <c r="K9564" t="s">
        <v>14390</v>
      </c>
      <c r="L9564" t="s">
        <v>53</v>
      </c>
      <c r="P9564" t="s">
        <v>55</v>
      </c>
      <c r="R9564" t="s">
        <v>56</v>
      </c>
      <c r="T9564" t="s">
        <v>18360</v>
      </c>
      <c r="U9564" t="s">
        <v>58</v>
      </c>
      <c r="V9564">
        <v>2</v>
      </c>
      <c r="W9564">
        <v>1</v>
      </c>
      <c r="X9564">
        <v>1</v>
      </c>
      <c r="Y9564">
        <v>0</v>
      </c>
      <c r="Z9564">
        <v>1</v>
      </c>
      <c r="AA9564">
        <v>451.74</v>
      </c>
      <c r="AB9564">
        <v>451.74</v>
      </c>
      <c r="AC9564">
        <v>394</v>
      </c>
      <c r="AD9564">
        <v>0</v>
      </c>
      <c r="AE9564">
        <v>57.74</v>
      </c>
      <c r="AF9564">
        <v>0</v>
      </c>
      <c r="AG9564">
        <v>0</v>
      </c>
      <c r="AH9564">
        <v>0</v>
      </c>
      <c r="AI9564">
        <v>0</v>
      </c>
      <c r="AJ9564">
        <v>451.74</v>
      </c>
      <c r="AK9564">
        <v>0</v>
      </c>
      <c r="AL9564" t="s">
        <v>53</v>
      </c>
      <c r="AM9564" t="s">
        <v>53</v>
      </c>
      <c r="AN9564" t="s">
        <v>53</v>
      </c>
      <c r="AO9564" t="s">
        <v>53</v>
      </c>
      <c r="AP9564" t="s">
        <v>53</v>
      </c>
    </row>
    <row r="9565" spans="2:42" x14ac:dyDescent="0.2">
      <c r="B9565" t="s">
        <v>44</v>
      </c>
      <c r="C9565" t="str">
        <f>HYPERLINK("https://us2.cloudbeds.com/connect/8493803454333002#/reservations/9080486849642049?display=5F4R7TY5SJ&amp;reservation_id=9080486849642049", "5F4R7TY5SJ")</f>
        <v>5F4R7TY5SJ</v>
      </c>
      <c r="D9565" t="s">
        <v>10291</v>
      </c>
      <c r="E9565" t="s">
        <v>85</v>
      </c>
      <c r="F9565" t="s">
        <v>86</v>
      </c>
      <c r="G9565" t="s">
        <v>48</v>
      </c>
      <c r="H9565" t="s">
        <v>49</v>
      </c>
      <c r="I9565" t="s">
        <v>50</v>
      </c>
      <c r="J9565" t="s">
        <v>17239</v>
      </c>
      <c r="K9565" t="s">
        <v>17449</v>
      </c>
      <c r="L9565" t="s">
        <v>53</v>
      </c>
      <c r="N9565" t="s">
        <v>18361</v>
      </c>
      <c r="P9565" t="s">
        <v>55</v>
      </c>
      <c r="R9565" t="s">
        <v>53</v>
      </c>
      <c r="T9565" t="s">
        <v>18362</v>
      </c>
      <c r="U9565" t="s">
        <v>55</v>
      </c>
      <c r="V9565">
        <v>2</v>
      </c>
      <c r="W9565">
        <v>1</v>
      </c>
      <c r="X9565">
        <v>2</v>
      </c>
      <c r="Y9565">
        <v>0</v>
      </c>
      <c r="Z9565">
        <v>2</v>
      </c>
      <c r="AA9565">
        <v>316.67</v>
      </c>
      <c r="AB9565">
        <v>0</v>
      </c>
      <c r="AC9565">
        <v>291.19</v>
      </c>
      <c r="AD9565">
        <v>0</v>
      </c>
      <c r="AE9565">
        <v>25.48</v>
      </c>
      <c r="AF9565">
        <v>0</v>
      </c>
      <c r="AG9565">
        <v>0</v>
      </c>
      <c r="AH9565">
        <v>0</v>
      </c>
      <c r="AI9565">
        <v>57</v>
      </c>
      <c r="AJ9565">
        <v>316.67</v>
      </c>
      <c r="AK9565">
        <v>316.67</v>
      </c>
      <c r="AL9565" t="s">
        <v>53</v>
      </c>
      <c r="AM9565" t="s">
        <v>53</v>
      </c>
      <c r="AN9565" t="s">
        <v>18363</v>
      </c>
      <c r="AO9565" t="s">
        <v>53</v>
      </c>
      <c r="AP9565" t="s">
        <v>53</v>
      </c>
    </row>
    <row r="9566" spans="2:42" x14ac:dyDescent="0.2">
      <c r="B9566" t="s">
        <v>44</v>
      </c>
      <c r="C9566" t="str">
        <f>HYPERLINK("https://us2.cloudbeds.com/connect/8493803454333002#/reservations/9080486849643261?display=5F5DTCFC6G&amp;reservation_id=9080486849643261", "5F5DTCFC6G")</f>
        <v>5F5DTCFC6G</v>
      </c>
      <c r="D9566" t="s">
        <v>45</v>
      </c>
      <c r="E9566" t="s">
        <v>223</v>
      </c>
      <c r="F9566" t="s">
        <v>47</v>
      </c>
      <c r="G9566" t="s">
        <v>48</v>
      </c>
      <c r="H9566" t="s">
        <v>49</v>
      </c>
      <c r="I9566" t="s">
        <v>50</v>
      </c>
      <c r="J9566" t="s">
        <v>14806</v>
      </c>
      <c r="K9566" t="s">
        <v>14732</v>
      </c>
      <c r="L9566" t="s">
        <v>53</v>
      </c>
      <c r="N9566" t="s">
        <v>18364</v>
      </c>
      <c r="P9566" t="s">
        <v>55</v>
      </c>
      <c r="R9566" t="s">
        <v>53</v>
      </c>
      <c r="T9566" t="s">
        <v>18365</v>
      </c>
      <c r="U9566" t="s">
        <v>55</v>
      </c>
      <c r="V9566">
        <v>2</v>
      </c>
      <c r="W9566">
        <v>1</v>
      </c>
      <c r="X9566">
        <v>2</v>
      </c>
      <c r="Y9566">
        <v>0</v>
      </c>
      <c r="Z9566">
        <v>2</v>
      </c>
      <c r="AA9566">
        <v>291.5</v>
      </c>
      <c r="AB9566">
        <v>291.5</v>
      </c>
      <c r="AC9566">
        <v>268.05</v>
      </c>
      <c r="AD9566">
        <v>0</v>
      </c>
      <c r="AE9566">
        <v>23.45</v>
      </c>
      <c r="AF9566">
        <v>0</v>
      </c>
      <c r="AG9566">
        <v>0</v>
      </c>
      <c r="AH9566">
        <v>0</v>
      </c>
      <c r="AI9566">
        <v>52.47</v>
      </c>
      <c r="AJ9566">
        <v>291.5</v>
      </c>
      <c r="AK9566">
        <v>0</v>
      </c>
      <c r="AL9566" t="s">
        <v>53</v>
      </c>
      <c r="AM9566" t="s">
        <v>53</v>
      </c>
      <c r="AN9566" t="s">
        <v>53</v>
      </c>
      <c r="AO9566" t="s">
        <v>53</v>
      </c>
      <c r="AP9566" t="s">
        <v>53</v>
      </c>
    </row>
    <row r="9567" spans="2:42" x14ac:dyDescent="0.2">
      <c r="B9567" t="s">
        <v>44</v>
      </c>
      <c r="C9567" t="str">
        <f>HYPERLINK("https://us2.cloudbeds.com/connect/8493803454333002#/reservations/253388877930688?display=5F5H74KRDF&amp;reservation_id=253388877930688", "5F5H74KRDF")</f>
        <v>5F5H74KRDF</v>
      </c>
      <c r="D9567" t="s">
        <v>45</v>
      </c>
      <c r="E9567" t="s">
        <v>98</v>
      </c>
      <c r="F9567" t="s">
        <v>86</v>
      </c>
      <c r="G9567" t="s">
        <v>48</v>
      </c>
      <c r="H9567" t="s">
        <v>3957</v>
      </c>
      <c r="I9567" t="s">
        <v>3958</v>
      </c>
      <c r="J9567" t="s">
        <v>14732</v>
      </c>
      <c r="K9567" t="s">
        <v>14390</v>
      </c>
      <c r="L9567" t="s">
        <v>53</v>
      </c>
      <c r="P9567" t="s">
        <v>55</v>
      </c>
      <c r="R9567" t="s">
        <v>56</v>
      </c>
      <c r="T9567" t="s">
        <v>18366</v>
      </c>
      <c r="U9567" t="s">
        <v>58</v>
      </c>
      <c r="V9567">
        <v>1</v>
      </c>
      <c r="W9567">
        <v>1</v>
      </c>
      <c r="X9567">
        <v>1</v>
      </c>
      <c r="Y9567">
        <v>0</v>
      </c>
      <c r="Z9567">
        <v>1</v>
      </c>
      <c r="AA9567">
        <v>223.58</v>
      </c>
      <c r="AB9567">
        <v>223.58</v>
      </c>
      <c r="AC9567">
        <v>195</v>
      </c>
      <c r="AD9567">
        <v>0</v>
      </c>
      <c r="AE9567">
        <v>28.58</v>
      </c>
      <c r="AF9567">
        <v>0</v>
      </c>
      <c r="AG9567">
        <v>0</v>
      </c>
      <c r="AH9567">
        <v>0</v>
      </c>
      <c r="AI9567">
        <v>0</v>
      </c>
      <c r="AJ9567">
        <v>223.58</v>
      </c>
      <c r="AK9567">
        <v>0</v>
      </c>
      <c r="AL9567" t="s">
        <v>53</v>
      </c>
      <c r="AM9567" t="s">
        <v>53</v>
      </c>
      <c r="AN9567" t="s">
        <v>53</v>
      </c>
      <c r="AO9567" t="s">
        <v>53</v>
      </c>
      <c r="AP9567" t="s">
        <v>53</v>
      </c>
    </row>
    <row r="9568" spans="2:42" x14ac:dyDescent="0.2">
      <c r="B9568" t="s">
        <v>44</v>
      </c>
      <c r="C9568" t="str">
        <f>HYPERLINK("https://us2.cloudbeds.com/connect/8493803454333002#/reservations/9080486849643472?display=5F5HTQDN5M&amp;reservation_id=9080486849643472", "5F5HTQDN5M")</f>
        <v>5F5HTQDN5M</v>
      </c>
      <c r="D9568" t="s">
        <v>10291</v>
      </c>
      <c r="E9568" t="s">
        <v>223</v>
      </c>
      <c r="F9568" t="s">
        <v>47</v>
      </c>
      <c r="G9568" t="s">
        <v>48</v>
      </c>
      <c r="H9568" t="s">
        <v>49</v>
      </c>
      <c r="I9568" t="s">
        <v>62</v>
      </c>
      <c r="J9568" t="s">
        <v>17135</v>
      </c>
      <c r="K9568" t="s">
        <v>16110</v>
      </c>
      <c r="L9568" t="s">
        <v>53</v>
      </c>
      <c r="N9568" t="s">
        <v>18367</v>
      </c>
      <c r="P9568" t="s">
        <v>55</v>
      </c>
      <c r="R9568" t="s">
        <v>56</v>
      </c>
      <c r="T9568" t="s">
        <v>18368</v>
      </c>
      <c r="U9568" t="s">
        <v>55</v>
      </c>
      <c r="V9568">
        <v>3</v>
      </c>
      <c r="W9568">
        <v>1</v>
      </c>
      <c r="X9568">
        <v>1</v>
      </c>
      <c r="Y9568">
        <v>0</v>
      </c>
      <c r="Z9568">
        <v>1</v>
      </c>
      <c r="AA9568">
        <v>548.63</v>
      </c>
      <c r="AB9568">
        <v>548.63</v>
      </c>
      <c r="AC9568">
        <v>548.63</v>
      </c>
      <c r="AD9568">
        <v>0</v>
      </c>
      <c r="AE9568">
        <v>0</v>
      </c>
      <c r="AF9568">
        <v>0</v>
      </c>
      <c r="AG9568">
        <v>0</v>
      </c>
      <c r="AH9568">
        <v>0</v>
      </c>
      <c r="AI9568">
        <v>98.75</v>
      </c>
      <c r="AJ9568">
        <v>548.63</v>
      </c>
      <c r="AK9568">
        <v>0</v>
      </c>
      <c r="AL9568" t="s">
        <v>53</v>
      </c>
      <c r="AM9568" t="s">
        <v>53</v>
      </c>
      <c r="AN9568" t="s">
        <v>18369</v>
      </c>
      <c r="AO9568" t="s">
        <v>53</v>
      </c>
      <c r="AP9568" t="s">
        <v>53</v>
      </c>
    </row>
    <row r="9569" spans="2:42" x14ac:dyDescent="0.2">
      <c r="B9569" t="s">
        <v>44</v>
      </c>
      <c r="C9569" t="str">
        <f>HYPERLINK("https://us2.cloudbeds.com/connect/8493803454333002#/reservations/253393728651392?display=5F5KW2T1WJ&amp;reservation_id=253393728651392", "5F5KW2T1WJ")</f>
        <v>5F5KW2T1WJ</v>
      </c>
      <c r="D9569" t="s">
        <v>45</v>
      </c>
      <c r="E9569" t="s">
        <v>18370</v>
      </c>
      <c r="F9569" t="s">
        <v>47</v>
      </c>
      <c r="G9569" t="s">
        <v>4520</v>
      </c>
      <c r="H9569" t="s">
        <v>3957</v>
      </c>
      <c r="I9569" t="s">
        <v>3958</v>
      </c>
      <c r="J9569" t="s">
        <v>14806</v>
      </c>
      <c r="K9569" t="s">
        <v>15548</v>
      </c>
      <c r="L9569" t="s">
        <v>53</v>
      </c>
      <c r="P9569" t="s">
        <v>55</v>
      </c>
      <c r="R9569" t="s">
        <v>56</v>
      </c>
      <c r="T9569" t="s">
        <v>18371</v>
      </c>
      <c r="U9569" t="s">
        <v>58</v>
      </c>
      <c r="V9569">
        <v>2</v>
      </c>
      <c r="W9569">
        <v>2</v>
      </c>
      <c r="X9569">
        <v>2</v>
      </c>
      <c r="Y9569">
        <v>0</v>
      </c>
      <c r="Z9569">
        <v>2</v>
      </c>
      <c r="AA9569">
        <v>348.76</v>
      </c>
      <c r="AB9569">
        <v>348.76</v>
      </c>
      <c r="AC9569">
        <v>304.2</v>
      </c>
      <c r="AD9569">
        <v>0</v>
      </c>
      <c r="AE9569">
        <v>44.56</v>
      </c>
      <c r="AF9569">
        <v>0</v>
      </c>
      <c r="AG9569">
        <v>0</v>
      </c>
      <c r="AH9569">
        <v>0</v>
      </c>
      <c r="AI9569">
        <v>0</v>
      </c>
      <c r="AJ9569">
        <v>348.76</v>
      </c>
      <c r="AK9569">
        <v>0</v>
      </c>
      <c r="AL9569" t="s">
        <v>53</v>
      </c>
      <c r="AM9569" t="s">
        <v>53</v>
      </c>
      <c r="AN9569" t="s">
        <v>18372</v>
      </c>
      <c r="AO9569" t="s">
        <v>53</v>
      </c>
      <c r="AP9569" t="s">
        <v>53</v>
      </c>
    </row>
    <row r="9570" spans="2:42" x14ac:dyDescent="0.2">
      <c r="B9570" t="s">
        <v>44</v>
      </c>
      <c r="C9570" t="str">
        <f>HYPERLINK("https://us2.cloudbeds.com/connect/8493803454333002#/reservations/253394076901504?display=5F5Y7WGRXE&amp;reservation_id=253394076901504", "5F5Y7WGRXE")</f>
        <v>5F5Y7WGRXE</v>
      </c>
      <c r="D9570" t="s">
        <v>45</v>
      </c>
      <c r="E9570" t="s">
        <v>487</v>
      </c>
      <c r="F9570" t="s">
        <v>61</v>
      </c>
      <c r="G9570" t="s">
        <v>48</v>
      </c>
      <c r="H9570" t="s">
        <v>3957</v>
      </c>
      <c r="I9570" t="s">
        <v>3975</v>
      </c>
      <c r="J9570" t="s">
        <v>14390</v>
      </c>
      <c r="K9570" t="s">
        <v>14391</v>
      </c>
      <c r="L9570" t="s">
        <v>53</v>
      </c>
      <c r="P9570" t="s">
        <v>55</v>
      </c>
      <c r="R9570" t="s">
        <v>56</v>
      </c>
      <c r="T9570" t="s">
        <v>18373</v>
      </c>
      <c r="U9570" t="s">
        <v>58</v>
      </c>
      <c r="V9570">
        <v>1</v>
      </c>
      <c r="W9570">
        <v>1</v>
      </c>
      <c r="X9570">
        <v>2</v>
      </c>
      <c r="Y9570">
        <v>0</v>
      </c>
      <c r="Z9570">
        <v>2</v>
      </c>
      <c r="AA9570">
        <v>0</v>
      </c>
      <c r="AB9570">
        <v>192.61</v>
      </c>
      <c r="AC9570">
        <v>168</v>
      </c>
      <c r="AD9570">
        <v>0</v>
      </c>
      <c r="AE9570">
        <v>24.61</v>
      </c>
      <c r="AF9570">
        <v>0</v>
      </c>
      <c r="AG9570">
        <v>0</v>
      </c>
      <c r="AH9570">
        <v>0</v>
      </c>
      <c r="AI9570">
        <v>0</v>
      </c>
      <c r="AJ9570">
        <v>192.61</v>
      </c>
      <c r="AK9570">
        <v>0</v>
      </c>
      <c r="AL9570" t="s">
        <v>53</v>
      </c>
      <c r="AM9570" t="s">
        <v>53</v>
      </c>
      <c r="AN9570" t="s">
        <v>18374</v>
      </c>
      <c r="AO9570" t="s">
        <v>53</v>
      </c>
      <c r="AP9570" t="s">
        <v>53</v>
      </c>
    </row>
    <row r="9571" spans="2:42" x14ac:dyDescent="0.2">
      <c r="B9571" t="s">
        <v>44</v>
      </c>
      <c r="C9571" t="str">
        <f>HYPERLINK("https://us2.cloudbeds.com/connect/8493803454333002#/reservations/253412620509376?display=5F62JQWVUQ&amp;reservation_id=253412620509376", "5F62JQWVUQ")</f>
        <v>5F62JQWVUQ</v>
      </c>
      <c r="D9571" t="s">
        <v>45</v>
      </c>
      <c r="E9571" t="s">
        <v>190</v>
      </c>
      <c r="F9571" t="s">
        <v>61</v>
      </c>
      <c r="G9571" t="s">
        <v>48</v>
      </c>
      <c r="H9571" t="s">
        <v>3957</v>
      </c>
      <c r="I9571" t="s">
        <v>3958</v>
      </c>
      <c r="J9571" t="s">
        <v>14806</v>
      </c>
      <c r="K9571" t="s">
        <v>15548</v>
      </c>
      <c r="L9571" t="s">
        <v>53</v>
      </c>
      <c r="P9571" t="s">
        <v>55</v>
      </c>
      <c r="R9571" t="s">
        <v>56</v>
      </c>
      <c r="T9571" t="s">
        <v>18375</v>
      </c>
      <c r="U9571" t="s">
        <v>58</v>
      </c>
      <c r="V9571">
        <v>1</v>
      </c>
      <c r="W9571">
        <v>1</v>
      </c>
      <c r="X9571">
        <v>1</v>
      </c>
      <c r="Y9571">
        <v>0</v>
      </c>
      <c r="Z9571">
        <v>1</v>
      </c>
      <c r="AA9571">
        <v>205.23</v>
      </c>
      <c r="AB9571">
        <v>205.23</v>
      </c>
      <c r="AC9571">
        <v>179</v>
      </c>
      <c r="AD9571">
        <v>0</v>
      </c>
      <c r="AE9571">
        <v>26.23</v>
      </c>
      <c r="AF9571">
        <v>0</v>
      </c>
      <c r="AG9571">
        <v>0</v>
      </c>
      <c r="AH9571">
        <v>0</v>
      </c>
      <c r="AI9571">
        <v>0</v>
      </c>
      <c r="AJ9571">
        <v>205.23</v>
      </c>
      <c r="AK9571">
        <v>0</v>
      </c>
      <c r="AL9571" t="s">
        <v>53</v>
      </c>
      <c r="AM9571" t="s">
        <v>53</v>
      </c>
      <c r="AN9571" t="s">
        <v>53</v>
      </c>
      <c r="AO9571" t="s">
        <v>53</v>
      </c>
      <c r="AP9571" t="s">
        <v>53</v>
      </c>
    </row>
    <row r="9572" spans="2:42" x14ac:dyDescent="0.2">
      <c r="B9572" t="s">
        <v>44</v>
      </c>
      <c r="C9572" t="str">
        <f>HYPERLINK("https://us2.cloudbeds.com/connect/8493803454333002#/reservations/9080486849645293?display=5F6K1VVMEF&amp;reservation_id=9080486849645293", "5F6K1VVMEF")</f>
        <v>5F6K1VVMEF</v>
      </c>
      <c r="D9572" t="s">
        <v>45</v>
      </c>
      <c r="E9572" t="s">
        <v>78</v>
      </c>
      <c r="F9572" t="s">
        <v>61</v>
      </c>
      <c r="G9572" t="s">
        <v>48</v>
      </c>
      <c r="H9572" t="s">
        <v>49</v>
      </c>
      <c r="I9572" t="s">
        <v>50</v>
      </c>
      <c r="J9572" t="s">
        <v>14806</v>
      </c>
      <c r="K9572" t="s">
        <v>15548</v>
      </c>
      <c r="L9572" t="s">
        <v>53</v>
      </c>
      <c r="N9572" t="s">
        <v>18376</v>
      </c>
      <c r="P9572" t="s">
        <v>55</v>
      </c>
      <c r="R9572" t="s">
        <v>53</v>
      </c>
      <c r="T9572" t="s">
        <v>18377</v>
      </c>
      <c r="U9572" t="s">
        <v>55</v>
      </c>
      <c r="V9572">
        <v>1</v>
      </c>
      <c r="W9572">
        <v>1</v>
      </c>
      <c r="X9572">
        <v>1</v>
      </c>
      <c r="Y9572">
        <v>0</v>
      </c>
      <c r="Z9572">
        <v>1</v>
      </c>
      <c r="AA9572">
        <v>149.51</v>
      </c>
      <c r="AB9572">
        <v>149.51</v>
      </c>
      <c r="AC9572">
        <v>137.47999999999999</v>
      </c>
      <c r="AD9572">
        <v>0</v>
      </c>
      <c r="AE9572">
        <v>12.03</v>
      </c>
      <c r="AF9572">
        <v>0</v>
      </c>
      <c r="AG9572">
        <v>0</v>
      </c>
      <c r="AH9572">
        <v>0</v>
      </c>
      <c r="AI9572">
        <v>26.91</v>
      </c>
      <c r="AJ9572">
        <v>149.51</v>
      </c>
      <c r="AK9572">
        <v>0</v>
      </c>
      <c r="AL9572" t="s">
        <v>53</v>
      </c>
      <c r="AM9572" t="s">
        <v>53</v>
      </c>
      <c r="AN9572" t="s">
        <v>53</v>
      </c>
      <c r="AO9572" t="s">
        <v>53</v>
      </c>
      <c r="AP9572" t="s">
        <v>53</v>
      </c>
    </row>
    <row r="9573" spans="2:42" x14ac:dyDescent="0.2">
      <c r="B9573" t="s">
        <v>44</v>
      </c>
      <c r="C9573" t="str">
        <f>HYPERLINK("https://us2.cloudbeds.com/connect/8493803454333002#/reservations/9080486849645296?display=5F6K37NX7Z&amp;reservation_id=9080486849645296", "5F6K37NX7Z")</f>
        <v>5F6K37NX7Z</v>
      </c>
      <c r="D9573" t="s">
        <v>45</v>
      </c>
      <c r="E9573" t="s">
        <v>305</v>
      </c>
      <c r="F9573" t="s">
        <v>61</v>
      </c>
      <c r="G9573" t="s">
        <v>48</v>
      </c>
      <c r="H9573" t="s">
        <v>49</v>
      </c>
      <c r="I9573" t="s">
        <v>50</v>
      </c>
      <c r="J9573" t="s">
        <v>14806</v>
      </c>
      <c r="K9573" t="s">
        <v>15548</v>
      </c>
      <c r="L9573" t="s">
        <v>53</v>
      </c>
      <c r="N9573" t="s">
        <v>18378</v>
      </c>
      <c r="P9573" t="s">
        <v>55</v>
      </c>
      <c r="R9573" t="s">
        <v>53</v>
      </c>
      <c r="T9573" t="s">
        <v>18379</v>
      </c>
      <c r="U9573" t="s">
        <v>55</v>
      </c>
      <c r="V9573">
        <v>1</v>
      </c>
      <c r="W9573">
        <v>1</v>
      </c>
      <c r="X9573">
        <v>1</v>
      </c>
      <c r="Y9573">
        <v>0</v>
      </c>
      <c r="Z9573">
        <v>1</v>
      </c>
      <c r="AA9573">
        <v>149.51</v>
      </c>
      <c r="AB9573">
        <v>149.51</v>
      </c>
      <c r="AC9573">
        <v>137.47999999999999</v>
      </c>
      <c r="AD9573">
        <v>0</v>
      </c>
      <c r="AE9573">
        <v>12.03</v>
      </c>
      <c r="AF9573">
        <v>0</v>
      </c>
      <c r="AG9573">
        <v>0</v>
      </c>
      <c r="AH9573">
        <v>0</v>
      </c>
      <c r="AI9573">
        <v>26.91</v>
      </c>
      <c r="AJ9573">
        <v>149.51</v>
      </c>
      <c r="AK9573">
        <v>0</v>
      </c>
      <c r="AL9573" t="s">
        <v>53</v>
      </c>
      <c r="AM9573" t="s">
        <v>53</v>
      </c>
      <c r="AN9573" t="s">
        <v>53</v>
      </c>
      <c r="AO9573" t="s">
        <v>53</v>
      </c>
      <c r="AP9573" t="s">
        <v>53</v>
      </c>
    </row>
    <row r="9574" spans="2:42" x14ac:dyDescent="0.2">
      <c r="B9574" t="s">
        <v>44</v>
      </c>
      <c r="C9574" t="str">
        <f>HYPERLINK("https://us2.cloudbeds.com/connect/8493803454333002#/reservations/9080486849647081?display=5F7M53X38A&amp;reservation_id=9080486849647081", "5F7M53X38A")</f>
        <v>5F7M53X38A</v>
      </c>
      <c r="D9574" t="s">
        <v>10291</v>
      </c>
      <c r="E9574" t="s">
        <v>138</v>
      </c>
      <c r="F9574" t="s">
        <v>70</v>
      </c>
      <c r="G9574" t="s">
        <v>48</v>
      </c>
      <c r="H9574" t="s">
        <v>49</v>
      </c>
      <c r="I9574" t="s">
        <v>50</v>
      </c>
      <c r="J9574" t="s">
        <v>18096</v>
      </c>
      <c r="K9574" t="s">
        <v>18380</v>
      </c>
      <c r="L9574" t="s">
        <v>53</v>
      </c>
      <c r="N9574" t="s">
        <v>18381</v>
      </c>
      <c r="P9574" t="s">
        <v>55</v>
      </c>
      <c r="R9574" t="s">
        <v>53</v>
      </c>
      <c r="T9574" t="s">
        <v>18382</v>
      </c>
      <c r="U9574" t="s">
        <v>55</v>
      </c>
      <c r="V9574">
        <v>1</v>
      </c>
      <c r="W9574">
        <v>1</v>
      </c>
      <c r="X9574">
        <v>1</v>
      </c>
      <c r="Y9574">
        <v>0</v>
      </c>
      <c r="Z9574">
        <v>1</v>
      </c>
      <c r="AA9574">
        <v>117.99</v>
      </c>
      <c r="AB9574">
        <v>0</v>
      </c>
      <c r="AC9574">
        <v>108.49</v>
      </c>
      <c r="AD9574">
        <v>0</v>
      </c>
      <c r="AE9574">
        <v>9.5</v>
      </c>
      <c r="AF9574">
        <v>0</v>
      </c>
      <c r="AG9574">
        <v>0</v>
      </c>
      <c r="AH9574">
        <v>0</v>
      </c>
      <c r="AI9574">
        <v>21.24</v>
      </c>
      <c r="AJ9574">
        <v>117.99</v>
      </c>
      <c r="AK9574">
        <v>117.99</v>
      </c>
      <c r="AL9574" t="s">
        <v>53</v>
      </c>
      <c r="AM9574" t="s">
        <v>53</v>
      </c>
      <c r="AN9574" t="s">
        <v>53</v>
      </c>
      <c r="AO9574" t="s">
        <v>53</v>
      </c>
      <c r="AP9574" t="s">
        <v>53</v>
      </c>
    </row>
    <row r="9575" spans="2:42" x14ac:dyDescent="0.2">
      <c r="B9575" t="s">
        <v>44</v>
      </c>
      <c r="C9575" t="str">
        <f>HYPERLINK("https://us2.cloudbeds.com/connect/8493803454333002#/reservations/9080486849647257?display=5F7QJFGJSA&amp;reservation_id=9080486849647257", "5F7QJFGJSA")</f>
        <v>5F7QJFGJSA</v>
      </c>
      <c r="D9575" t="s">
        <v>10291</v>
      </c>
      <c r="E9575" t="s">
        <v>69</v>
      </c>
      <c r="F9575" t="s">
        <v>70</v>
      </c>
      <c r="G9575" t="s">
        <v>48</v>
      </c>
      <c r="H9575" t="s">
        <v>49</v>
      </c>
      <c r="I9575" t="s">
        <v>50</v>
      </c>
      <c r="J9575" t="s">
        <v>18069</v>
      </c>
      <c r="K9575" t="s">
        <v>17830</v>
      </c>
      <c r="L9575" t="s">
        <v>53</v>
      </c>
      <c r="N9575" t="s">
        <v>18383</v>
      </c>
      <c r="P9575" t="s">
        <v>55</v>
      </c>
      <c r="R9575" t="s">
        <v>53</v>
      </c>
      <c r="T9575" t="s">
        <v>18384</v>
      </c>
      <c r="U9575" t="s">
        <v>55</v>
      </c>
      <c r="V9575">
        <v>2</v>
      </c>
      <c r="W9575">
        <v>1</v>
      </c>
      <c r="X9575">
        <v>2</v>
      </c>
      <c r="Y9575">
        <v>0</v>
      </c>
      <c r="Z9575">
        <v>2</v>
      </c>
      <c r="AA9575">
        <v>268.31</v>
      </c>
      <c r="AB9575">
        <v>0</v>
      </c>
      <c r="AC9575">
        <v>246.72</v>
      </c>
      <c r="AD9575">
        <v>0</v>
      </c>
      <c r="AE9575">
        <v>21.59</v>
      </c>
      <c r="AF9575">
        <v>0</v>
      </c>
      <c r="AG9575">
        <v>0</v>
      </c>
      <c r="AH9575">
        <v>0</v>
      </c>
      <c r="AI9575">
        <v>48.3</v>
      </c>
      <c r="AJ9575">
        <v>268.31</v>
      </c>
      <c r="AK9575">
        <v>268.31</v>
      </c>
      <c r="AL9575" t="s">
        <v>53</v>
      </c>
      <c r="AM9575" t="s">
        <v>53</v>
      </c>
      <c r="AN9575" t="s">
        <v>53</v>
      </c>
      <c r="AO9575" t="s">
        <v>53</v>
      </c>
      <c r="AP9575" t="s">
        <v>53</v>
      </c>
    </row>
    <row r="9576" spans="2:42" x14ac:dyDescent="0.2">
      <c r="B9576" t="s">
        <v>44</v>
      </c>
      <c r="C9576" t="str">
        <f>HYPERLINK("https://us2.cloudbeds.com/connect/8493803454333002#/reservations/9080486849647625?display=5F83MVMSED&amp;reservation_id=9080486849647625", "5F83MVMSED")</f>
        <v>5F83MVMSED</v>
      </c>
      <c r="D9576" t="s">
        <v>10291</v>
      </c>
      <c r="E9576" t="s">
        <v>138</v>
      </c>
      <c r="F9576" t="s">
        <v>70</v>
      </c>
      <c r="G9576" t="s">
        <v>48</v>
      </c>
      <c r="H9576" t="s">
        <v>49</v>
      </c>
      <c r="I9576" t="s">
        <v>8964</v>
      </c>
      <c r="J9576" t="s">
        <v>17239</v>
      </c>
      <c r="K9576" t="s">
        <v>17381</v>
      </c>
      <c r="L9576" t="s">
        <v>53</v>
      </c>
      <c r="N9576" t="s">
        <v>18385</v>
      </c>
      <c r="P9576" t="s">
        <v>55</v>
      </c>
      <c r="R9576" t="s">
        <v>53</v>
      </c>
      <c r="T9576" t="s">
        <v>18386</v>
      </c>
      <c r="U9576" t="s">
        <v>55</v>
      </c>
      <c r="V9576">
        <v>1</v>
      </c>
      <c r="W9576">
        <v>1</v>
      </c>
      <c r="X9576">
        <v>2</v>
      </c>
      <c r="Y9576">
        <v>0</v>
      </c>
      <c r="Z9576">
        <v>2</v>
      </c>
      <c r="AA9576">
        <v>0</v>
      </c>
      <c r="AB9576">
        <v>0</v>
      </c>
      <c r="AC9576">
        <v>147</v>
      </c>
      <c r="AD9576">
        <v>0</v>
      </c>
      <c r="AE9576">
        <v>0</v>
      </c>
      <c r="AF9576">
        <v>0</v>
      </c>
      <c r="AG9576">
        <v>0</v>
      </c>
      <c r="AH9576">
        <v>0</v>
      </c>
      <c r="AI9576">
        <v>22.05</v>
      </c>
      <c r="AJ9576">
        <v>147</v>
      </c>
      <c r="AK9576">
        <v>147</v>
      </c>
      <c r="AL9576" t="s">
        <v>53</v>
      </c>
      <c r="AM9576" t="s">
        <v>53</v>
      </c>
      <c r="AN9576" t="s">
        <v>53</v>
      </c>
      <c r="AO9576" t="s">
        <v>53</v>
      </c>
      <c r="AP9576" t="s">
        <v>53</v>
      </c>
    </row>
    <row r="9577" spans="2:42" x14ac:dyDescent="0.2">
      <c r="B9577" t="s">
        <v>44</v>
      </c>
      <c r="C9577" t="str">
        <f>HYPERLINK("https://us2.cloudbeds.com/connect/8493803454333002#/reservations/9080486849648527?display=5F8SJP276D&amp;reservation_id=9080486849648527", "5F8SJP276D")</f>
        <v>5F8SJP276D</v>
      </c>
      <c r="D9577" t="s">
        <v>45</v>
      </c>
      <c r="E9577" t="s">
        <v>138</v>
      </c>
      <c r="F9577" t="s">
        <v>70</v>
      </c>
      <c r="G9577" t="s">
        <v>48</v>
      </c>
      <c r="H9577" t="s">
        <v>49</v>
      </c>
      <c r="I9577" t="s">
        <v>50</v>
      </c>
      <c r="J9577" t="s">
        <v>15548</v>
      </c>
      <c r="K9577" t="s">
        <v>14390</v>
      </c>
      <c r="L9577" t="s">
        <v>53</v>
      </c>
      <c r="N9577" t="s">
        <v>18387</v>
      </c>
      <c r="P9577" t="s">
        <v>55</v>
      </c>
      <c r="R9577" t="s">
        <v>53</v>
      </c>
      <c r="T9577" t="s">
        <v>18388</v>
      </c>
      <c r="U9577" t="s">
        <v>55</v>
      </c>
      <c r="V9577">
        <v>2</v>
      </c>
      <c r="W9577">
        <v>1</v>
      </c>
      <c r="X9577">
        <v>1</v>
      </c>
      <c r="Y9577">
        <v>0</v>
      </c>
      <c r="Z9577">
        <v>1</v>
      </c>
      <c r="AA9577">
        <v>288.18</v>
      </c>
      <c r="AB9577">
        <v>288.18</v>
      </c>
      <c r="AC9577">
        <v>264.99</v>
      </c>
      <c r="AD9577">
        <v>0</v>
      </c>
      <c r="AE9577">
        <v>23.19</v>
      </c>
      <c r="AF9577">
        <v>0</v>
      </c>
      <c r="AG9577">
        <v>0</v>
      </c>
      <c r="AH9577">
        <v>0</v>
      </c>
      <c r="AI9577">
        <v>51.87</v>
      </c>
      <c r="AJ9577">
        <v>288.18</v>
      </c>
      <c r="AK9577">
        <v>0</v>
      </c>
      <c r="AL9577" t="s">
        <v>53</v>
      </c>
      <c r="AM9577" t="s">
        <v>53</v>
      </c>
      <c r="AN9577" t="s">
        <v>18389</v>
      </c>
      <c r="AO9577" t="s">
        <v>53</v>
      </c>
      <c r="AP9577" t="s">
        <v>53</v>
      </c>
    </row>
    <row r="9578" spans="2:42" x14ac:dyDescent="0.2">
      <c r="B9578" t="s">
        <v>44</v>
      </c>
      <c r="C9578" t="str">
        <f>HYPERLINK("https://us2.cloudbeds.com/connect/8493803454333002#/reservations/9080486849651220?display=5FANVAQ4HJ&amp;reservation_id=9080486849651220", "5FANVAQ4HJ")</f>
        <v>5FANVAQ4HJ</v>
      </c>
      <c r="D9578" t="s">
        <v>10291</v>
      </c>
      <c r="E9578" t="s">
        <v>69</v>
      </c>
      <c r="F9578" t="s">
        <v>70</v>
      </c>
      <c r="G9578" t="s">
        <v>48</v>
      </c>
      <c r="H9578" t="s">
        <v>49</v>
      </c>
      <c r="I9578" t="s">
        <v>62</v>
      </c>
      <c r="J9578" t="s">
        <v>17804</v>
      </c>
      <c r="K9578" t="s">
        <v>17805</v>
      </c>
      <c r="L9578" t="s">
        <v>53</v>
      </c>
      <c r="N9578" t="s">
        <v>18390</v>
      </c>
      <c r="P9578" t="s">
        <v>55</v>
      </c>
      <c r="R9578" t="s">
        <v>56</v>
      </c>
      <c r="T9578" t="s">
        <v>18391</v>
      </c>
      <c r="U9578" t="s">
        <v>55</v>
      </c>
      <c r="V9578">
        <v>2</v>
      </c>
      <c r="W9578">
        <v>1</v>
      </c>
      <c r="X9578">
        <v>2</v>
      </c>
      <c r="Y9578">
        <v>0</v>
      </c>
      <c r="Z9578">
        <v>2</v>
      </c>
      <c r="AA9578">
        <v>351.75</v>
      </c>
      <c r="AB9578">
        <v>0</v>
      </c>
      <c r="AC9578">
        <v>351.75</v>
      </c>
      <c r="AD9578">
        <v>0</v>
      </c>
      <c r="AE9578">
        <v>0</v>
      </c>
      <c r="AF9578">
        <v>0</v>
      </c>
      <c r="AG9578">
        <v>0</v>
      </c>
      <c r="AH9578">
        <v>0</v>
      </c>
      <c r="AI9578">
        <v>63.32</v>
      </c>
      <c r="AJ9578">
        <v>351.75</v>
      </c>
      <c r="AK9578">
        <v>351.75</v>
      </c>
      <c r="AL9578" t="s">
        <v>53</v>
      </c>
      <c r="AM9578" t="s">
        <v>53</v>
      </c>
      <c r="AN9578" t="s">
        <v>53</v>
      </c>
      <c r="AO9578" t="s">
        <v>53</v>
      </c>
      <c r="AP9578" t="s">
        <v>53</v>
      </c>
    </row>
    <row r="9579" spans="2:42" x14ac:dyDescent="0.2">
      <c r="B9579" t="s">
        <v>44</v>
      </c>
      <c r="C9579" t="str">
        <f>HYPERLINK("https://us2.cloudbeds.com/connect/8493803454333002#/reservations/9080486849651275?display=5FAZS5BCE4&amp;reservation_id=9080486849651275", "5FAZS5BCE4")</f>
        <v>5FAZS5BCE4</v>
      </c>
      <c r="D9579" t="s">
        <v>10291</v>
      </c>
      <c r="E9579" t="s">
        <v>179</v>
      </c>
      <c r="F9579" t="s">
        <v>47</v>
      </c>
      <c r="G9579" t="s">
        <v>48</v>
      </c>
      <c r="H9579" t="s">
        <v>49</v>
      </c>
      <c r="I9579" t="s">
        <v>8964</v>
      </c>
      <c r="J9579" t="s">
        <v>17135</v>
      </c>
      <c r="K9579" t="s">
        <v>17467</v>
      </c>
      <c r="L9579" t="s">
        <v>53</v>
      </c>
      <c r="N9579" t="s">
        <v>18392</v>
      </c>
      <c r="P9579" t="s">
        <v>55</v>
      </c>
      <c r="R9579" t="s">
        <v>53</v>
      </c>
      <c r="T9579" t="s">
        <v>18393</v>
      </c>
      <c r="U9579" t="s">
        <v>55</v>
      </c>
      <c r="V9579">
        <v>1</v>
      </c>
      <c r="W9579">
        <v>1</v>
      </c>
      <c r="X9579">
        <v>2</v>
      </c>
      <c r="Y9579">
        <v>0</v>
      </c>
      <c r="Z9579">
        <v>2</v>
      </c>
      <c r="AA9579">
        <v>0</v>
      </c>
      <c r="AB9579">
        <v>0</v>
      </c>
      <c r="AC9579">
        <v>183</v>
      </c>
      <c r="AD9579">
        <v>0</v>
      </c>
      <c r="AE9579">
        <v>0</v>
      </c>
      <c r="AF9579">
        <v>0</v>
      </c>
      <c r="AG9579">
        <v>0</v>
      </c>
      <c r="AH9579">
        <v>0</v>
      </c>
      <c r="AI9579">
        <v>27.45</v>
      </c>
      <c r="AJ9579">
        <v>183</v>
      </c>
      <c r="AK9579">
        <v>183</v>
      </c>
      <c r="AL9579" t="s">
        <v>53</v>
      </c>
      <c r="AM9579" t="s">
        <v>53</v>
      </c>
      <c r="AN9579" t="s">
        <v>53</v>
      </c>
      <c r="AO9579" t="s">
        <v>53</v>
      </c>
      <c r="AP9579" t="s">
        <v>53</v>
      </c>
    </row>
    <row r="9580" spans="2:42" x14ac:dyDescent="0.2">
      <c r="B9580" t="s">
        <v>44</v>
      </c>
      <c r="C9580" t="str">
        <f>HYPERLINK("https://us2.cloudbeds.com/connect/8493803454333002#/reservations/253658185318528?display=5FBRZXNW7U&amp;reservation_id=253658185318528", "5FBRZXNW7U")</f>
        <v>5FBRZXNW7U</v>
      </c>
      <c r="D9580" t="s">
        <v>10291</v>
      </c>
      <c r="E9580" t="s">
        <v>121</v>
      </c>
      <c r="F9580" t="s">
        <v>86</v>
      </c>
      <c r="G9580" t="s">
        <v>3974</v>
      </c>
      <c r="H9580" t="s">
        <v>3957</v>
      </c>
      <c r="I9580" t="s">
        <v>3975</v>
      </c>
      <c r="J9580" t="s">
        <v>14372</v>
      </c>
      <c r="K9580" t="s">
        <v>17242</v>
      </c>
      <c r="L9580" t="s">
        <v>53</v>
      </c>
      <c r="P9580" t="s">
        <v>55</v>
      </c>
      <c r="R9580" t="s">
        <v>56</v>
      </c>
      <c r="T9580" t="s">
        <v>18394</v>
      </c>
      <c r="U9580" t="s">
        <v>58</v>
      </c>
      <c r="V9580">
        <v>4</v>
      </c>
      <c r="W9580">
        <v>1</v>
      </c>
      <c r="X9580">
        <v>2</v>
      </c>
      <c r="Y9580">
        <v>0</v>
      </c>
      <c r="Z9580">
        <v>2</v>
      </c>
      <c r="AA9580">
        <v>822.34</v>
      </c>
      <c r="AB9580">
        <v>822.34</v>
      </c>
      <c r="AC9580">
        <v>717.25</v>
      </c>
      <c r="AD9580">
        <v>0</v>
      </c>
      <c r="AE9580">
        <v>105.09</v>
      </c>
      <c r="AF9580">
        <v>0</v>
      </c>
      <c r="AG9580">
        <v>0</v>
      </c>
      <c r="AH9580">
        <v>0</v>
      </c>
      <c r="AI9580">
        <v>0</v>
      </c>
      <c r="AJ9580">
        <v>822.34</v>
      </c>
      <c r="AK9580">
        <v>0</v>
      </c>
      <c r="AL9580" t="s">
        <v>53</v>
      </c>
      <c r="AM9580" t="s">
        <v>53</v>
      </c>
      <c r="AN9580" t="s">
        <v>53</v>
      </c>
      <c r="AO9580" t="s">
        <v>53</v>
      </c>
      <c r="AP9580" t="s">
        <v>53</v>
      </c>
    </row>
    <row r="9581" spans="2:42" x14ac:dyDescent="0.2">
      <c r="B9581" t="s">
        <v>44</v>
      </c>
      <c r="C9581" t="str">
        <f>HYPERLINK("https://us2.cloudbeds.com/connect/8493803454333002#/reservations/9080486849654038?display=5FBV2MS8DP&amp;reservation_id=9080486849654038", "5FBV2MS8DP")</f>
        <v>5FBV2MS8DP</v>
      </c>
      <c r="D9581" t="s">
        <v>45</v>
      </c>
      <c r="E9581" t="s">
        <v>305</v>
      </c>
      <c r="F9581" t="s">
        <v>61</v>
      </c>
      <c r="G9581" t="s">
        <v>48</v>
      </c>
      <c r="H9581" t="s">
        <v>49</v>
      </c>
      <c r="I9581" t="s">
        <v>50</v>
      </c>
      <c r="J9581" t="s">
        <v>14390</v>
      </c>
      <c r="K9581" t="s">
        <v>14391</v>
      </c>
      <c r="L9581" t="s">
        <v>53</v>
      </c>
      <c r="N9581" t="s">
        <v>18395</v>
      </c>
      <c r="P9581" t="s">
        <v>55</v>
      </c>
      <c r="R9581" t="s">
        <v>53</v>
      </c>
      <c r="T9581" t="s">
        <v>18396</v>
      </c>
      <c r="U9581" t="s">
        <v>55</v>
      </c>
      <c r="V9581">
        <v>1</v>
      </c>
      <c r="W9581">
        <v>1</v>
      </c>
      <c r="X9581">
        <v>2</v>
      </c>
      <c r="Y9581">
        <v>0</v>
      </c>
      <c r="Z9581">
        <v>2</v>
      </c>
      <c r="AA9581">
        <v>126.29</v>
      </c>
      <c r="AB9581">
        <v>126.29</v>
      </c>
      <c r="AC9581">
        <v>116.13</v>
      </c>
      <c r="AD9581">
        <v>0</v>
      </c>
      <c r="AE9581">
        <v>10.16</v>
      </c>
      <c r="AF9581">
        <v>0</v>
      </c>
      <c r="AG9581">
        <v>0</v>
      </c>
      <c r="AH9581">
        <v>0</v>
      </c>
      <c r="AI9581">
        <v>22.73</v>
      </c>
      <c r="AJ9581">
        <v>126.29</v>
      </c>
      <c r="AK9581">
        <v>0</v>
      </c>
      <c r="AL9581" t="s">
        <v>53</v>
      </c>
      <c r="AM9581" t="s">
        <v>53</v>
      </c>
      <c r="AN9581" t="s">
        <v>18397</v>
      </c>
      <c r="AO9581" t="s">
        <v>53</v>
      </c>
      <c r="AP9581" t="s">
        <v>53</v>
      </c>
    </row>
    <row r="9582" spans="2:42" x14ac:dyDescent="0.2">
      <c r="B9582" t="s">
        <v>44</v>
      </c>
      <c r="C9582" t="str">
        <f>HYPERLINK("https://us2.cloudbeds.com/connect/8493803454333002#/reservations/9080486849655198?display=5FCESDY2X2&amp;reservation_id=9080486849655198", "5FCESDY2X2")</f>
        <v>5FCESDY2X2</v>
      </c>
      <c r="D9582" t="s">
        <v>45</v>
      </c>
      <c r="E9582" t="s">
        <v>69</v>
      </c>
      <c r="F9582" t="s">
        <v>70</v>
      </c>
      <c r="G9582" t="s">
        <v>48</v>
      </c>
      <c r="H9582" t="s">
        <v>49</v>
      </c>
      <c r="I9582" t="s">
        <v>8964</v>
      </c>
      <c r="J9582" t="s">
        <v>14732</v>
      </c>
      <c r="K9582" t="s">
        <v>14390</v>
      </c>
      <c r="L9582" t="s">
        <v>53</v>
      </c>
      <c r="N9582" t="s">
        <v>18398</v>
      </c>
      <c r="P9582" t="s">
        <v>55</v>
      </c>
      <c r="R9582" t="s">
        <v>53</v>
      </c>
      <c r="T9582" t="s">
        <v>18399</v>
      </c>
      <c r="U9582" t="s">
        <v>55</v>
      </c>
      <c r="V9582">
        <v>1</v>
      </c>
      <c r="W9582">
        <v>1</v>
      </c>
      <c r="X9582">
        <v>2</v>
      </c>
      <c r="Y9582">
        <v>0</v>
      </c>
      <c r="Z9582">
        <v>2</v>
      </c>
      <c r="AA9582">
        <v>0</v>
      </c>
      <c r="AB9582">
        <v>0</v>
      </c>
      <c r="AC9582">
        <v>173</v>
      </c>
      <c r="AD9582">
        <v>0</v>
      </c>
      <c r="AE9582">
        <v>0</v>
      </c>
      <c r="AF9582">
        <v>0</v>
      </c>
      <c r="AG9582">
        <v>0</v>
      </c>
      <c r="AH9582">
        <v>0</v>
      </c>
      <c r="AI9582">
        <v>25.95</v>
      </c>
      <c r="AJ9582">
        <v>173</v>
      </c>
      <c r="AK9582">
        <v>173</v>
      </c>
      <c r="AL9582" t="s">
        <v>53</v>
      </c>
      <c r="AM9582" t="s">
        <v>53</v>
      </c>
      <c r="AN9582" t="s">
        <v>53</v>
      </c>
      <c r="AO9582" t="s">
        <v>53</v>
      </c>
      <c r="AP9582" t="s">
        <v>53</v>
      </c>
    </row>
    <row r="9583" spans="2:42" x14ac:dyDescent="0.2">
      <c r="B9583" t="s">
        <v>44</v>
      </c>
      <c r="C9583" t="str">
        <f>HYPERLINK("https://us2.cloudbeds.com/connect/8493803454333002#/reservations/9080486849655910?display=5FCQ01NXVT&amp;reservation_id=9080486849655910", "5FCQ01NXVT")</f>
        <v>5FCQ01NXVT</v>
      </c>
      <c r="D9583" t="s">
        <v>45</v>
      </c>
      <c r="E9583" t="s">
        <v>46</v>
      </c>
      <c r="F9583" t="s">
        <v>47</v>
      </c>
      <c r="G9583" t="s">
        <v>48</v>
      </c>
      <c r="H9583" t="s">
        <v>49</v>
      </c>
      <c r="I9583" t="s">
        <v>8964</v>
      </c>
      <c r="J9583" t="s">
        <v>15548</v>
      </c>
      <c r="K9583" t="s">
        <v>14390</v>
      </c>
      <c r="L9583" t="s">
        <v>53</v>
      </c>
      <c r="N9583" t="s">
        <v>18400</v>
      </c>
      <c r="P9583" t="s">
        <v>58</v>
      </c>
      <c r="R9583" t="s">
        <v>53</v>
      </c>
      <c r="T9583" t="s">
        <v>18401</v>
      </c>
      <c r="U9583" t="s">
        <v>55</v>
      </c>
      <c r="V9583">
        <v>2</v>
      </c>
      <c r="W9583">
        <v>1</v>
      </c>
      <c r="X9583">
        <v>1</v>
      </c>
      <c r="Y9583">
        <v>0</v>
      </c>
      <c r="Z9583">
        <v>1</v>
      </c>
      <c r="AA9583">
        <v>0</v>
      </c>
      <c r="AB9583">
        <v>0</v>
      </c>
      <c r="AC9583">
        <v>383</v>
      </c>
      <c r="AD9583">
        <v>0</v>
      </c>
      <c r="AE9583">
        <v>0</v>
      </c>
      <c r="AF9583">
        <v>0</v>
      </c>
      <c r="AG9583">
        <v>0</v>
      </c>
      <c r="AH9583">
        <v>0</v>
      </c>
      <c r="AI9583">
        <v>57.45</v>
      </c>
      <c r="AJ9583">
        <v>383</v>
      </c>
      <c r="AK9583">
        <v>383</v>
      </c>
      <c r="AL9583" t="s">
        <v>53</v>
      </c>
      <c r="AM9583" t="s">
        <v>53</v>
      </c>
      <c r="AN9583" t="s">
        <v>18402</v>
      </c>
      <c r="AO9583" t="s">
        <v>53</v>
      </c>
      <c r="AP9583" t="s">
        <v>53</v>
      </c>
    </row>
    <row r="9584" spans="2:42" x14ac:dyDescent="0.2">
      <c r="B9584" t="s">
        <v>44</v>
      </c>
      <c r="C9584" t="str">
        <f>HYPERLINK("https://us2.cloudbeds.com/connect/8493803454333002#/reservations/253708386554048?display=5FD0KAZQNZ&amp;reservation_id=253708386554048", "5FD0KAZQNZ")</f>
        <v>5FD0KAZQNZ</v>
      </c>
      <c r="D9584" t="s">
        <v>10291</v>
      </c>
      <c r="E9584" t="s">
        <v>113</v>
      </c>
      <c r="F9584" t="s">
        <v>61</v>
      </c>
      <c r="G9584" t="s">
        <v>48</v>
      </c>
      <c r="H9584" t="s">
        <v>3957</v>
      </c>
      <c r="I9584" t="s">
        <v>3975</v>
      </c>
      <c r="J9584" t="s">
        <v>17135</v>
      </c>
      <c r="K9584" t="s">
        <v>17467</v>
      </c>
      <c r="L9584" t="s">
        <v>53</v>
      </c>
      <c r="P9584" t="s">
        <v>55</v>
      </c>
      <c r="R9584" t="s">
        <v>56</v>
      </c>
      <c r="T9584" t="s">
        <v>18403</v>
      </c>
      <c r="U9584" t="s">
        <v>58</v>
      </c>
      <c r="V9584">
        <v>1</v>
      </c>
      <c r="W9584">
        <v>1</v>
      </c>
      <c r="X9584">
        <v>2</v>
      </c>
      <c r="Y9584">
        <v>0</v>
      </c>
      <c r="Z9584">
        <v>2</v>
      </c>
      <c r="AA9584">
        <v>0</v>
      </c>
      <c r="AB9584">
        <v>206.37</v>
      </c>
      <c r="AC9584">
        <v>180</v>
      </c>
      <c r="AD9584">
        <v>0</v>
      </c>
      <c r="AE9584">
        <v>26.37</v>
      </c>
      <c r="AF9584">
        <v>0</v>
      </c>
      <c r="AG9584">
        <v>0</v>
      </c>
      <c r="AH9584">
        <v>0</v>
      </c>
      <c r="AI9584">
        <v>0</v>
      </c>
      <c r="AJ9584">
        <v>206.37</v>
      </c>
      <c r="AK9584">
        <v>0</v>
      </c>
      <c r="AL9584" t="s">
        <v>53</v>
      </c>
      <c r="AM9584" t="s">
        <v>53</v>
      </c>
      <c r="AN9584" t="s">
        <v>18404</v>
      </c>
      <c r="AO9584" t="s">
        <v>53</v>
      </c>
      <c r="AP9584" t="s">
        <v>53</v>
      </c>
    </row>
    <row r="9585" spans="2:42" x14ac:dyDescent="0.2">
      <c r="B9585" t="s">
        <v>44</v>
      </c>
      <c r="C9585" t="str">
        <f>HYPERLINK("https://us2.cloudbeds.com/connect/8493803454333002#/reservations/9080486849656523?display=5FD28SQXA3&amp;reservation_id=9080486849656523", "5FD28SQXA3")</f>
        <v>5FD28SQXA3</v>
      </c>
      <c r="D9585" t="s">
        <v>10291</v>
      </c>
      <c r="E9585" t="s">
        <v>155</v>
      </c>
      <c r="F9585" t="s">
        <v>86</v>
      </c>
      <c r="G9585" t="s">
        <v>48</v>
      </c>
      <c r="H9585" t="s">
        <v>49</v>
      </c>
      <c r="I9585" t="s">
        <v>50</v>
      </c>
      <c r="J9585" t="s">
        <v>17833</v>
      </c>
      <c r="K9585" t="s">
        <v>17565</v>
      </c>
      <c r="L9585" t="s">
        <v>53</v>
      </c>
      <c r="N9585" t="s">
        <v>18405</v>
      </c>
      <c r="P9585" t="s">
        <v>55</v>
      </c>
      <c r="R9585" t="s">
        <v>53</v>
      </c>
      <c r="T9585" t="s">
        <v>18406</v>
      </c>
      <c r="U9585" t="s">
        <v>55</v>
      </c>
      <c r="V9585">
        <v>2</v>
      </c>
      <c r="W9585">
        <v>1</v>
      </c>
      <c r="X9585">
        <v>4</v>
      </c>
      <c r="Y9585">
        <v>0</v>
      </c>
      <c r="Z9585">
        <v>4</v>
      </c>
      <c r="AA9585">
        <v>318.06</v>
      </c>
      <c r="AB9585">
        <v>0</v>
      </c>
      <c r="AC9585">
        <v>292.45999999999998</v>
      </c>
      <c r="AD9585">
        <v>0</v>
      </c>
      <c r="AE9585">
        <v>25.6</v>
      </c>
      <c r="AF9585">
        <v>0</v>
      </c>
      <c r="AG9585">
        <v>0</v>
      </c>
      <c r="AH9585">
        <v>0</v>
      </c>
      <c r="AI9585">
        <v>57.25</v>
      </c>
      <c r="AJ9585">
        <v>318.06</v>
      </c>
      <c r="AK9585">
        <v>318.06</v>
      </c>
      <c r="AL9585" t="s">
        <v>53</v>
      </c>
      <c r="AM9585" t="s">
        <v>53</v>
      </c>
      <c r="AN9585" t="s">
        <v>53</v>
      </c>
      <c r="AO9585" t="s">
        <v>53</v>
      </c>
      <c r="AP9585" t="s">
        <v>53</v>
      </c>
    </row>
    <row r="9586" spans="2:42" x14ac:dyDescent="0.2">
      <c r="B9586" t="s">
        <v>44</v>
      </c>
      <c r="C9586" t="str">
        <f>HYPERLINK("https://us2.cloudbeds.com/connect/8493803454333002#/reservations/253712573071488?display=5FD3S9V1WN&amp;reservation_id=253712573071488", "5FD3S9V1WN")</f>
        <v>5FD3S9V1WN</v>
      </c>
      <c r="D9586" t="s">
        <v>45</v>
      </c>
      <c r="E9586" t="s">
        <v>373</v>
      </c>
      <c r="F9586" t="s">
        <v>47</v>
      </c>
      <c r="G9586" t="s">
        <v>48</v>
      </c>
      <c r="H9586" t="s">
        <v>3957</v>
      </c>
      <c r="I9586" t="s">
        <v>3975</v>
      </c>
      <c r="J9586" t="s">
        <v>15548</v>
      </c>
      <c r="K9586" t="s">
        <v>14732</v>
      </c>
      <c r="L9586" t="s">
        <v>53</v>
      </c>
      <c r="P9586" t="s">
        <v>55</v>
      </c>
      <c r="R9586" t="s">
        <v>56</v>
      </c>
      <c r="T9586" t="s">
        <v>18407</v>
      </c>
      <c r="U9586" t="s">
        <v>58</v>
      </c>
      <c r="V9586">
        <v>1</v>
      </c>
      <c r="W9586">
        <v>1</v>
      </c>
      <c r="X9586">
        <v>1</v>
      </c>
      <c r="Y9586">
        <v>0</v>
      </c>
      <c r="Z9586">
        <v>1</v>
      </c>
      <c r="AA9586">
        <v>212.11</v>
      </c>
      <c r="AB9586">
        <v>212.11</v>
      </c>
      <c r="AC9586">
        <v>185</v>
      </c>
      <c r="AD9586">
        <v>0</v>
      </c>
      <c r="AE9586">
        <v>27.11</v>
      </c>
      <c r="AF9586">
        <v>0</v>
      </c>
      <c r="AG9586">
        <v>0</v>
      </c>
      <c r="AH9586">
        <v>0</v>
      </c>
      <c r="AI9586">
        <v>0</v>
      </c>
      <c r="AJ9586">
        <v>212.11</v>
      </c>
      <c r="AK9586">
        <v>0</v>
      </c>
      <c r="AL9586" t="s">
        <v>53</v>
      </c>
      <c r="AM9586" t="s">
        <v>53</v>
      </c>
      <c r="AN9586" t="s">
        <v>53</v>
      </c>
      <c r="AO9586" t="s">
        <v>53</v>
      </c>
      <c r="AP9586" t="s">
        <v>53</v>
      </c>
    </row>
    <row r="9587" spans="2:42" x14ac:dyDescent="0.2">
      <c r="B9587" t="s">
        <v>44</v>
      </c>
      <c r="C9587" t="str">
        <f>HYPERLINK("https://us2.cloudbeds.com/connect/8493803454333002#/reservations/9080486849657447?display=5FDHXVHEKA&amp;reservation_id=9080486849657447", "5FDHXVHEKA")</f>
        <v>5FDHXVHEKA</v>
      </c>
      <c r="D9587" t="s">
        <v>10291</v>
      </c>
      <c r="E9587" t="s">
        <v>110</v>
      </c>
      <c r="F9587" t="s">
        <v>47</v>
      </c>
      <c r="G9587" t="s">
        <v>48</v>
      </c>
      <c r="H9587" t="s">
        <v>49</v>
      </c>
      <c r="I9587" t="s">
        <v>50</v>
      </c>
      <c r="J9587" t="s">
        <v>18140</v>
      </c>
      <c r="K9587" t="s">
        <v>16569</v>
      </c>
      <c r="L9587" t="s">
        <v>53</v>
      </c>
      <c r="N9587" t="s">
        <v>18408</v>
      </c>
      <c r="P9587" t="s">
        <v>55</v>
      </c>
      <c r="R9587" t="s">
        <v>53</v>
      </c>
      <c r="T9587" t="s">
        <v>18409</v>
      </c>
      <c r="U9587" t="s">
        <v>55</v>
      </c>
      <c r="V9587">
        <v>1</v>
      </c>
      <c r="W9587">
        <v>1</v>
      </c>
      <c r="X9587">
        <v>1</v>
      </c>
      <c r="Y9587">
        <v>0</v>
      </c>
      <c r="Z9587">
        <v>1</v>
      </c>
      <c r="AA9587">
        <v>110.28</v>
      </c>
      <c r="AB9587">
        <v>0</v>
      </c>
      <c r="AC9587">
        <v>101.41</v>
      </c>
      <c r="AD9587">
        <v>0</v>
      </c>
      <c r="AE9587">
        <v>8.8699999999999992</v>
      </c>
      <c r="AF9587">
        <v>0</v>
      </c>
      <c r="AG9587">
        <v>0</v>
      </c>
      <c r="AH9587">
        <v>0</v>
      </c>
      <c r="AI9587">
        <v>19.850000000000001</v>
      </c>
      <c r="AJ9587">
        <v>110.28</v>
      </c>
      <c r="AK9587">
        <v>110.28</v>
      </c>
      <c r="AL9587" t="s">
        <v>53</v>
      </c>
      <c r="AM9587" t="s">
        <v>53</v>
      </c>
      <c r="AN9587" t="s">
        <v>53</v>
      </c>
      <c r="AO9587" t="s">
        <v>53</v>
      </c>
      <c r="AP9587" t="s">
        <v>53</v>
      </c>
    </row>
    <row r="9588" spans="2:42" x14ac:dyDescent="0.2">
      <c r="B9588" t="s">
        <v>44</v>
      </c>
      <c r="C9588" t="str">
        <f>HYPERLINK("https://us2.cloudbeds.com/connect/8493803454333002#/reservations/9080486849657489?display=5FDXD0RW41&amp;reservation_id=9080486849657489", "5FDXD0RW41")</f>
        <v>5FDXD0RW41</v>
      </c>
      <c r="D9588" t="s">
        <v>45</v>
      </c>
      <c r="E9588" t="s">
        <v>128</v>
      </c>
      <c r="F9588" t="s">
        <v>86</v>
      </c>
      <c r="G9588" t="s">
        <v>48</v>
      </c>
      <c r="H9588" t="s">
        <v>49</v>
      </c>
      <c r="I9588" t="s">
        <v>50</v>
      </c>
      <c r="J9588" t="s">
        <v>15548</v>
      </c>
      <c r="K9588" t="s">
        <v>14390</v>
      </c>
      <c r="L9588" t="s">
        <v>53</v>
      </c>
      <c r="N9588" t="s">
        <v>18410</v>
      </c>
      <c r="P9588" t="s">
        <v>55</v>
      </c>
      <c r="R9588" t="s">
        <v>53</v>
      </c>
      <c r="T9588" t="s">
        <v>18411</v>
      </c>
      <c r="U9588" t="s">
        <v>55</v>
      </c>
      <c r="V9588">
        <v>2</v>
      </c>
      <c r="W9588">
        <v>1</v>
      </c>
      <c r="X9588">
        <v>3</v>
      </c>
      <c r="Y9588">
        <v>0</v>
      </c>
      <c r="Z9588">
        <v>3</v>
      </c>
      <c r="AA9588">
        <v>334.53</v>
      </c>
      <c r="AB9588">
        <v>334.53</v>
      </c>
      <c r="AC9588">
        <v>307.62</v>
      </c>
      <c r="AD9588">
        <v>0</v>
      </c>
      <c r="AE9588">
        <v>26.91</v>
      </c>
      <c r="AF9588">
        <v>0</v>
      </c>
      <c r="AG9588">
        <v>0</v>
      </c>
      <c r="AH9588">
        <v>0</v>
      </c>
      <c r="AI9588">
        <v>60.22</v>
      </c>
      <c r="AJ9588">
        <v>334.53</v>
      </c>
      <c r="AK9588">
        <v>0</v>
      </c>
      <c r="AL9588" t="s">
        <v>53</v>
      </c>
      <c r="AM9588" t="s">
        <v>53</v>
      </c>
      <c r="AN9588" t="s">
        <v>53</v>
      </c>
      <c r="AO9588" t="s">
        <v>53</v>
      </c>
      <c r="AP9588" t="s">
        <v>53</v>
      </c>
    </row>
    <row r="9589" spans="2:42" x14ac:dyDescent="0.2">
      <c r="B9589" t="s">
        <v>44</v>
      </c>
      <c r="C9589" t="str">
        <f>HYPERLINK("https://us2.cloudbeds.com/connect/8493803454333002#/reservations/253765249577152?display=5FEBYA5R1J&amp;reservation_id=253765249577152", "5FEBYA5R1J")</f>
        <v>5FEBYA5R1J</v>
      </c>
      <c r="D9589" t="s">
        <v>45</v>
      </c>
      <c r="E9589" t="s">
        <v>85</v>
      </c>
      <c r="F9589" t="s">
        <v>86</v>
      </c>
      <c r="G9589" t="s">
        <v>48</v>
      </c>
      <c r="H9589" t="s">
        <v>3957</v>
      </c>
      <c r="I9589" t="s">
        <v>3958</v>
      </c>
      <c r="J9589" t="s">
        <v>15548</v>
      </c>
      <c r="K9589" t="s">
        <v>14732</v>
      </c>
      <c r="L9589" t="s">
        <v>53</v>
      </c>
      <c r="P9589" t="s">
        <v>55</v>
      </c>
      <c r="R9589" t="s">
        <v>56</v>
      </c>
      <c r="T9589" t="s">
        <v>18412</v>
      </c>
      <c r="U9589" t="s">
        <v>58</v>
      </c>
      <c r="V9589">
        <v>1</v>
      </c>
      <c r="W9589">
        <v>1</v>
      </c>
      <c r="X9589">
        <v>1</v>
      </c>
      <c r="Y9589">
        <v>0</v>
      </c>
      <c r="Z9589">
        <v>1</v>
      </c>
      <c r="AA9589">
        <v>252.23</v>
      </c>
      <c r="AB9589">
        <v>264.82</v>
      </c>
      <c r="AC9589">
        <v>220</v>
      </c>
      <c r="AD9589">
        <v>11.5</v>
      </c>
      <c r="AE9589">
        <v>33.32</v>
      </c>
      <c r="AF9589">
        <v>0</v>
      </c>
      <c r="AG9589">
        <v>0</v>
      </c>
      <c r="AH9589">
        <v>0</v>
      </c>
      <c r="AI9589">
        <v>0</v>
      </c>
      <c r="AJ9589">
        <v>264.82</v>
      </c>
      <c r="AK9589">
        <v>0</v>
      </c>
      <c r="AL9589" t="s">
        <v>53</v>
      </c>
      <c r="AM9589" t="s">
        <v>53</v>
      </c>
      <c r="AN9589" t="s">
        <v>53</v>
      </c>
      <c r="AO9589" t="s">
        <v>53</v>
      </c>
      <c r="AP9589" t="s">
        <v>53</v>
      </c>
    </row>
    <row r="9590" spans="2:42" x14ac:dyDescent="0.2">
      <c r="B9590" t="s">
        <v>44</v>
      </c>
      <c r="C9590" t="str">
        <f>HYPERLINK("https://us2.cloudbeds.com/connect/8493803454333002#/reservations/9080486849659043?display=5FEGFRXK5P&amp;reservation_id=9080486849659043", "5FEGFRXK5P")</f>
        <v>5FEGFRXK5P</v>
      </c>
      <c r="D9590" t="s">
        <v>10291</v>
      </c>
      <c r="E9590" t="s">
        <v>69</v>
      </c>
      <c r="F9590" t="s">
        <v>70</v>
      </c>
      <c r="G9590" t="s">
        <v>48</v>
      </c>
      <c r="H9590" t="s">
        <v>49</v>
      </c>
      <c r="I9590" t="s">
        <v>62</v>
      </c>
      <c r="J9590" t="s">
        <v>17381</v>
      </c>
      <c r="K9590" t="s">
        <v>17804</v>
      </c>
      <c r="L9590" t="s">
        <v>53</v>
      </c>
      <c r="N9590" t="s">
        <v>18413</v>
      </c>
      <c r="P9590" t="s">
        <v>55</v>
      </c>
      <c r="R9590" t="s">
        <v>56</v>
      </c>
      <c r="T9590" t="s">
        <v>18414</v>
      </c>
      <c r="U9590" t="s">
        <v>55</v>
      </c>
      <c r="V9590">
        <v>2</v>
      </c>
      <c r="W9590">
        <v>1</v>
      </c>
      <c r="X9590">
        <v>2</v>
      </c>
      <c r="Y9590">
        <v>0</v>
      </c>
      <c r="Z9590">
        <v>2</v>
      </c>
      <c r="AA9590">
        <v>315</v>
      </c>
      <c r="AB9590">
        <v>0</v>
      </c>
      <c r="AC9590">
        <v>315</v>
      </c>
      <c r="AD9590">
        <v>0</v>
      </c>
      <c r="AE9590">
        <v>0</v>
      </c>
      <c r="AF9590">
        <v>0</v>
      </c>
      <c r="AG9590">
        <v>0</v>
      </c>
      <c r="AH9590">
        <v>0</v>
      </c>
      <c r="AI9590">
        <v>56.7</v>
      </c>
      <c r="AJ9590">
        <v>315</v>
      </c>
      <c r="AK9590">
        <v>315</v>
      </c>
      <c r="AL9590" t="s">
        <v>53</v>
      </c>
      <c r="AM9590" t="s">
        <v>53</v>
      </c>
      <c r="AN9590" t="s">
        <v>53</v>
      </c>
      <c r="AO9590" t="s">
        <v>53</v>
      </c>
      <c r="AP9590" t="s">
        <v>53</v>
      </c>
    </row>
    <row r="9591" spans="2:42" x14ac:dyDescent="0.2">
      <c r="B9591" t="s">
        <v>44</v>
      </c>
      <c r="C9591" t="str">
        <f>HYPERLINK("https://us2.cloudbeds.com/connect/8493803454333002#/reservations/253776163774656?display=5FEK36A7F1&amp;reservation_id=253776163774656", "5FEK36A7F1")</f>
        <v>5FEK36A7F1</v>
      </c>
      <c r="D9591" t="s">
        <v>10291</v>
      </c>
      <c r="E9591" t="s">
        <v>213</v>
      </c>
      <c r="F9591" t="s">
        <v>86</v>
      </c>
      <c r="G9591" t="s">
        <v>15366</v>
      </c>
      <c r="H9591" t="s">
        <v>3957</v>
      </c>
      <c r="I9591" t="s">
        <v>3958</v>
      </c>
      <c r="J9591" t="s">
        <v>17381</v>
      </c>
      <c r="K9591" t="s">
        <v>17804</v>
      </c>
      <c r="L9591" t="s">
        <v>53</v>
      </c>
      <c r="P9591" t="s">
        <v>55</v>
      </c>
      <c r="R9591" t="s">
        <v>56</v>
      </c>
      <c r="T9591" t="s">
        <v>18415</v>
      </c>
      <c r="U9591" t="s">
        <v>58</v>
      </c>
      <c r="V9591">
        <v>2</v>
      </c>
      <c r="W9591">
        <v>1</v>
      </c>
      <c r="X9591">
        <v>1</v>
      </c>
      <c r="Y9591">
        <v>0</v>
      </c>
      <c r="Z9591">
        <v>1</v>
      </c>
      <c r="AA9591">
        <v>402.43</v>
      </c>
      <c r="AB9591">
        <v>0</v>
      </c>
      <c r="AC9591">
        <v>351</v>
      </c>
      <c r="AD9591">
        <v>0</v>
      </c>
      <c r="AE9591">
        <v>51.43</v>
      </c>
      <c r="AF9591">
        <v>0</v>
      </c>
      <c r="AG9591">
        <v>0</v>
      </c>
      <c r="AH9591">
        <v>0</v>
      </c>
      <c r="AI9591">
        <v>0</v>
      </c>
      <c r="AJ9591">
        <v>402.43</v>
      </c>
      <c r="AK9591">
        <v>402.43</v>
      </c>
      <c r="AL9591" t="s">
        <v>53</v>
      </c>
      <c r="AM9591" t="s">
        <v>53</v>
      </c>
      <c r="AN9591" t="s">
        <v>53</v>
      </c>
      <c r="AO9591" t="s">
        <v>53</v>
      </c>
      <c r="AP9591" t="s">
        <v>53</v>
      </c>
    </row>
    <row r="9592" spans="2:42" x14ac:dyDescent="0.2">
      <c r="B9592" t="s">
        <v>44</v>
      </c>
      <c r="C9592" t="str">
        <f>HYPERLINK("https://us2.cloudbeds.com/connect/8493803454333002#/reservations/9080486849659691?display=5FETRVXRQ1&amp;reservation_id=9080486849659691", "5FETRVXRQ1")</f>
        <v>5FETRVXRQ1</v>
      </c>
      <c r="D9592" t="s">
        <v>45</v>
      </c>
      <c r="E9592" t="s">
        <v>121</v>
      </c>
      <c r="F9592" t="s">
        <v>86</v>
      </c>
      <c r="G9592" t="s">
        <v>48</v>
      </c>
      <c r="H9592" t="s">
        <v>49</v>
      </c>
      <c r="I9592" t="s">
        <v>50</v>
      </c>
      <c r="J9592" t="s">
        <v>14732</v>
      </c>
      <c r="K9592" t="s">
        <v>14390</v>
      </c>
      <c r="L9592" t="s">
        <v>53</v>
      </c>
      <c r="N9592" t="s">
        <v>18416</v>
      </c>
      <c r="P9592" t="s">
        <v>55</v>
      </c>
      <c r="R9592" t="s">
        <v>53</v>
      </c>
      <c r="T9592" t="s">
        <v>18417</v>
      </c>
      <c r="U9592" t="s">
        <v>55</v>
      </c>
      <c r="V9592">
        <v>1</v>
      </c>
      <c r="W9592">
        <v>1</v>
      </c>
      <c r="X9592">
        <v>2</v>
      </c>
      <c r="Y9592">
        <v>2</v>
      </c>
      <c r="Z9592">
        <v>4</v>
      </c>
      <c r="AA9592">
        <v>182.01</v>
      </c>
      <c r="AB9592">
        <v>182.01</v>
      </c>
      <c r="AC9592">
        <v>167.36</v>
      </c>
      <c r="AD9592">
        <v>0</v>
      </c>
      <c r="AE9592">
        <v>14.65</v>
      </c>
      <c r="AF9592">
        <v>0</v>
      </c>
      <c r="AG9592">
        <v>0</v>
      </c>
      <c r="AH9592">
        <v>0</v>
      </c>
      <c r="AI9592">
        <v>32.76</v>
      </c>
      <c r="AJ9592">
        <v>182.01</v>
      </c>
      <c r="AK9592">
        <v>0</v>
      </c>
      <c r="AL9592" t="s">
        <v>53</v>
      </c>
      <c r="AM9592" t="s">
        <v>53</v>
      </c>
      <c r="AN9592" t="s">
        <v>53</v>
      </c>
      <c r="AO9592" t="s">
        <v>53</v>
      </c>
      <c r="AP9592" t="s">
        <v>53</v>
      </c>
    </row>
    <row r="9593" spans="2:42" x14ac:dyDescent="0.2">
      <c r="B9593" t="s">
        <v>44</v>
      </c>
      <c r="C9593" t="str">
        <f>HYPERLINK("https://us2.cloudbeds.com/connect/8493803454333002#/reservations/253791235588288?display=5FEVPA8E60&amp;reservation_id=253791235588288", "5FEVPA8E60")</f>
        <v>5FEVPA8E60</v>
      </c>
      <c r="D9593" t="s">
        <v>45</v>
      </c>
      <c r="E9593" t="s">
        <v>223</v>
      </c>
      <c r="F9593" t="s">
        <v>47</v>
      </c>
      <c r="G9593" t="s">
        <v>48</v>
      </c>
      <c r="H9593" t="s">
        <v>3957</v>
      </c>
      <c r="I9593" t="s">
        <v>3958</v>
      </c>
      <c r="J9593" t="s">
        <v>14732</v>
      </c>
      <c r="K9593" t="s">
        <v>14390</v>
      </c>
      <c r="L9593" t="s">
        <v>53</v>
      </c>
      <c r="P9593" t="s">
        <v>55</v>
      </c>
      <c r="R9593" t="s">
        <v>56</v>
      </c>
      <c r="T9593" t="s">
        <v>18418</v>
      </c>
      <c r="U9593" t="s">
        <v>58</v>
      </c>
      <c r="V9593">
        <v>1</v>
      </c>
      <c r="W9593">
        <v>1</v>
      </c>
      <c r="X9593">
        <v>1</v>
      </c>
      <c r="Y9593">
        <v>0</v>
      </c>
      <c r="Z9593">
        <v>1</v>
      </c>
      <c r="AA9593">
        <v>200.65</v>
      </c>
      <c r="AB9593">
        <v>200.65</v>
      </c>
      <c r="AC9593">
        <v>175</v>
      </c>
      <c r="AD9593">
        <v>0</v>
      </c>
      <c r="AE9593">
        <v>25.65</v>
      </c>
      <c r="AF9593">
        <v>0</v>
      </c>
      <c r="AG9593">
        <v>0</v>
      </c>
      <c r="AH9593">
        <v>0</v>
      </c>
      <c r="AI9593">
        <v>0</v>
      </c>
      <c r="AJ9593">
        <v>200.65</v>
      </c>
      <c r="AK9593">
        <v>0</v>
      </c>
      <c r="AL9593" t="s">
        <v>53</v>
      </c>
      <c r="AM9593" t="s">
        <v>53</v>
      </c>
      <c r="AN9593" t="s">
        <v>53</v>
      </c>
      <c r="AO9593" t="s">
        <v>53</v>
      </c>
      <c r="AP9593" t="s">
        <v>53</v>
      </c>
    </row>
    <row r="9594" spans="2:42" x14ac:dyDescent="0.2">
      <c r="B9594" t="s">
        <v>44</v>
      </c>
      <c r="C9594" t="str">
        <f>HYPERLINK("https://us2.cloudbeds.com/connect/8493803454333002#/reservations/9080486849659949?display=5FF2YV42HG&amp;reservation_id=9080486849659949", "5FF2YV42HG")</f>
        <v>5FF2YV42HG</v>
      </c>
      <c r="D9594" t="s">
        <v>10291</v>
      </c>
      <c r="E9594" t="s">
        <v>69</v>
      </c>
      <c r="F9594" t="s">
        <v>70</v>
      </c>
      <c r="G9594" t="s">
        <v>48</v>
      </c>
      <c r="H9594" t="s">
        <v>49</v>
      </c>
      <c r="I9594" t="s">
        <v>50</v>
      </c>
      <c r="J9594" t="s">
        <v>15025</v>
      </c>
      <c r="K9594" t="s">
        <v>17665</v>
      </c>
      <c r="L9594" t="s">
        <v>53</v>
      </c>
      <c r="N9594" t="s">
        <v>18419</v>
      </c>
      <c r="P9594" t="s">
        <v>55</v>
      </c>
      <c r="R9594" t="s">
        <v>53</v>
      </c>
      <c r="T9594" t="s">
        <v>18420</v>
      </c>
      <c r="U9594" t="s">
        <v>58</v>
      </c>
      <c r="V9594">
        <v>2</v>
      </c>
      <c r="W9594">
        <v>1</v>
      </c>
      <c r="X9594">
        <v>2</v>
      </c>
      <c r="Y9594">
        <v>0</v>
      </c>
      <c r="Z9594">
        <v>2</v>
      </c>
      <c r="AA9594">
        <v>405.99</v>
      </c>
      <c r="AB9594">
        <v>0</v>
      </c>
      <c r="AC9594">
        <v>354.11</v>
      </c>
      <c r="AD9594">
        <v>0</v>
      </c>
      <c r="AE9594">
        <v>51.88</v>
      </c>
      <c r="AF9594">
        <v>0</v>
      </c>
      <c r="AG9594">
        <v>0</v>
      </c>
      <c r="AH9594">
        <v>0</v>
      </c>
      <c r="AI9594">
        <v>73.08</v>
      </c>
      <c r="AJ9594">
        <v>405.99</v>
      </c>
      <c r="AK9594">
        <v>405.99</v>
      </c>
      <c r="AL9594" t="s">
        <v>53</v>
      </c>
      <c r="AM9594" t="s">
        <v>53</v>
      </c>
      <c r="AN9594" t="s">
        <v>53</v>
      </c>
      <c r="AO9594" t="s">
        <v>53</v>
      </c>
      <c r="AP9594" t="s">
        <v>53</v>
      </c>
    </row>
    <row r="9595" spans="2:42" x14ac:dyDescent="0.2">
      <c r="B9595" t="s">
        <v>44</v>
      </c>
      <c r="C9595" t="str">
        <f>HYPERLINK("https://us2.cloudbeds.com/connect/8493803454333002#/reservations/9080486849660852?display=5FFYRV3MQS&amp;reservation_id=9080486849660852", "5FFYRV3MQS")</f>
        <v>5FFYRV3MQS</v>
      </c>
      <c r="D9595" t="s">
        <v>45</v>
      </c>
      <c r="E9595" t="s">
        <v>78</v>
      </c>
      <c r="F9595" t="s">
        <v>61</v>
      </c>
      <c r="G9595" t="s">
        <v>48</v>
      </c>
      <c r="H9595" t="s">
        <v>49</v>
      </c>
      <c r="I9595" t="s">
        <v>8964</v>
      </c>
      <c r="J9595" t="s">
        <v>17389</v>
      </c>
      <c r="K9595" t="s">
        <v>14371</v>
      </c>
      <c r="L9595" t="s">
        <v>53</v>
      </c>
      <c r="N9595" t="s">
        <v>18421</v>
      </c>
      <c r="P9595" t="s">
        <v>55</v>
      </c>
      <c r="R9595" t="s">
        <v>53</v>
      </c>
      <c r="T9595" t="s">
        <v>18422</v>
      </c>
      <c r="U9595" t="s">
        <v>55</v>
      </c>
      <c r="V9595">
        <v>1</v>
      </c>
      <c r="W9595">
        <v>1</v>
      </c>
      <c r="X9595">
        <v>2</v>
      </c>
      <c r="Y9595">
        <v>0</v>
      </c>
      <c r="Z9595">
        <v>2</v>
      </c>
      <c r="AA9595">
        <v>0</v>
      </c>
      <c r="AB9595">
        <v>0</v>
      </c>
      <c r="AC9595">
        <v>168</v>
      </c>
      <c r="AD9595">
        <v>0</v>
      </c>
      <c r="AE9595">
        <v>0</v>
      </c>
      <c r="AF9595">
        <v>0</v>
      </c>
      <c r="AG9595">
        <v>0</v>
      </c>
      <c r="AH9595">
        <v>0</v>
      </c>
      <c r="AI9595">
        <v>25.2</v>
      </c>
      <c r="AJ9595">
        <v>168</v>
      </c>
      <c r="AK9595">
        <v>168</v>
      </c>
      <c r="AL9595" t="s">
        <v>53</v>
      </c>
      <c r="AM9595" t="s">
        <v>53</v>
      </c>
      <c r="AN9595" t="s">
        <v>53</v>
      </c>
      <c r="AO9595" t="s">
        <v>53</v>
      </c>
      <c r="AP9595" t="s">
        <v>53</v>
      </c>
    </row>
    <row r="9596" spans="2:42" x14ac:dyDescent="0.2">
      <c r="B9596" t="s">
        <v>44</v>
      </c>
      <c r="C9596" t="str">
        <f>HYPERLINK("https://us2.cloudbeds.com/connect/8493803454333002#/reservations/253829282742400?display=5FFS7GK7UX&amp;reservation_id=253829282742400", "5FFS7GK7UX")</f>
        <v>5FFS7GK7UX</v>
      </c>
      <c r="D9596" t="s">
        <v>10291</v>
      </c>
      <c r="E9596" t="s">
        <v>98</v>
      </c>
      <c r="F9596" t="s">
        <v>86</v>
      </c>
      <c r="G9596" t="s">
        <v>3974</v>
      </c>
      <c r="H9596" t="s">
        <v>3957</v>
      </c>
      <c r="I9596" t="s">
        <v>3975</v>
      </c>
      <c r="J9596" t="s">
        <v>16110</v>
      </c>
      <c r="K9596" t="s">
        <v>15545</v>
      </c>
      <c r="L9596" t="s">
        <v>53</v>
      </c>
      <c r="P9596" t="s">
        <v>55</v>
      </c>
      <c r="R9596" t="s">
        <v>56</v>
      </c>
      <c r="T9596" t="s">
        <v>18423</v>
      </c>
      <c r="U9596" t="s">
        <v>58</v>
      </c>
      <c r="V9596">
        <v>1</v>
      </c>
      <c r="W9596">
        <v>1</v>
      </c>
      <c r="X9596">
        <v>2</v>
      </c>
      <c r="Y9596">
        <v>1</v>
      </c>
      <c r="Z9596">
        <v>3</v>
      </c>
      <c r="AA9596">
        <v>201.5</v>
      </c>
      <c r="AB9596">
        <v>201.5</v>
      </c>
      <c r="AC9596">
        <v>175.75</v>
      </c>
      <c r="AD9596">
        <v>0</v>
      </c>
      <c r="AE9596">
        <v>25.75</v>
      </c>
      <c r="AF9596">
        <v>0</v>
      </c>
      <c r="AG9596">
        <v>0</v>
      </c>
      <c r="AH9596">
        <v>0</v>
      </c>
      <c r="AI9596">
        <v>0</v>
      </c>
      <c r="AJ9596">
        <v>201.5</v>
      </c>
      <c r="AK9596">
        <v>0</v>
      </c>
      <c r="AL9596" t="s">
        <v>53</v>
      </c>
      <c r="AM9596" t="s">
        <v>53</v>
      </c>
      <c r="AN9596" t="s">
        <v>53</v>
      </c>
      <c r="AO9596" t="s">
        <v>53</v>
      </c>
      <c r="AP9596" t="s">
        <v>53</v>
      </c>
    </row>
    <row r="9597" spans="2:42" x14ac:dyDescent="0.2">
      <c r="B9597" t="s">
        <v>44</v>
      </c>
      <c r="C9597" t="str">
        <f>HYPERLINK("https://us2.cloudbeds.com/connect/8493803454333002#/reservations/9080486849664812?display=5FXSBUDU48&amp;reservation_id=9080486849664812", "5FXSBUDU48")</f>
        <v>5FXSBUDU48</v>
      </c>
      <c r="D9597" t="s">
        <v>45</v>
      </c>
      <c r="E9597" t="s">
        <v>373</v>
      </c>
      <c r="F9597" t="s">
        <v>47</v>
      </c>
      <c r="G9597" t="s">
        <v>48</v>
      </c>
      <c r="H9597" t="s">
        <v>49</v>
      </c>
      <c r="I9597" t="s">
        <v>62</v>
      </c>
      <c r="J9597" t="s">
        <v>14732</v>
      </c>
      <c r="K9597" t="s">
        <v>14390</v>
      </c>
      <c r="L9597" t="s">
        <v>53</v>
      </c>
      <c r="N9597" t="s">
        <v>18424</v>
      </c>
      <c r="P9597" t="s">
        <v>55</v>
      </c>
      <c r="R9597" t="s">
        <v>56</v>
      </c>
      <c r="T9597" t="s">
        <v>18425</v>
      </c>
      <c r="U9597" t="s">
        <v>55</v>
      </c>
      <c r="V9597">
        <v>1</v>
      </c>
      <c r="W9597">
        <v>1</v>
      </c>
      <c r="X9597">
        <v>1</v>
      </c>
      <c r="Y9597">
        <v>0</v>
      </c>
      <c r="Z9597">
        <v>1</v>
      </c>
      <c r="AA9597">
        <v>178.5</v>
      </c>
      <c r="AB9597">
        <v>178.5</v>
      </c>
      <c r="AC9597">
        <v>178.5</v>
      </c>
      <c r="AD9597">
        <v>0</v>
      </c>
      <c r="AE9597">
        <v>0</v>
      </c>
      <c r="AF9597">
        <v>0</v>
      </c>
      <c r="AG9597">
        <v>0</v>
      </c>
      <c r="AH9597">
        <v>0</v>
      </c>
      <c r="AI9597">
        <v>32.130000000000003</v>
      </c>
      <c r="AJ9597">
        <v>178.5</v>
      </c>
      <c r="AK9597">
        <v>0</v>
      </c>
      <c r="AL9597" t="s">
        <v>53</v>
      </c>
      <c r="AM9597" t="s">
        <v>53</v>
      </c>
      <c r="AN9597" t="s">
        <v>53</v>
      </c>
      <c r="AO9597" t="s">
        <v>53</v>
      </c>
      <c r="AP9597" t="s">
        <v>53</v>
      </c>
    </row>
    <row r="9598" spans="2:42" x14ac:dyDescent="0.2">
      <c r="B9598" t="s">
        <v>44</v>
      </c>
      <c r="C9598" t="str">
        <f>HYPERLINK("https://us2.cloudbeds.com/connect/8493803454333002#/reservations/9080486849667223?display=5FK1QUH6HN&amp;reservation_id=9080486849667223", "5FK1QUH6HN")</f>
        <v>5FK1QUH6HN</v>
      </c>
      <c r="D9598" t="s">
        <v>10291</v>
      </c>
      <c r="E9598" t="s">
        <v>128</v>
      </c>
      <c r="F9598" t="s">
        <v>86</v>
      </c>
      <c r="G9598" t="s">
        <v>48</v>
      </c>
      <c r="H9598" t="s">
        <v>49</v>
      </c>
      <c r="I9598" t="s">
        <v>62</v>
      </c>
      <c r="J9598" t="s">
        <v>16499</v>
      </c>
      <c r="K9598" t="s">
        <v>18260</v>
      </c>
      <c r="L9598" t="s">
        <v>53</v>
      </c>
      <c r="N9598" t="s">
        <v>18426</v>
      </c>
      <c r="P9598" t="s">
        <v>55</v>
      </c>
      <c r="R9598" t="s">
        <v>56</v>
      </c>
      <c r="T9598" t="s">
        <v>18427</v>
      </c>
      <c r="U9598" t="s">
        <v>55</v>
      </c>
      <c r="V9598">
        <v>2</v>
      </c>
      <c r="W9598">
        <v>1</v>
      </c>
      <c r="X9598">
        <v>4</v>
      </c>
      <c r="Y9598">
        <v>0</v>
      </c>
      <c r="Z9598">
        <v>4</v>
      </c>
      <c r="AA9598">
        <v>413.96</v>
      </c>
      <c r="AB9598">
        <v>0</v>
      </c>
      <c r="AC9598">
        <v>413.96</v>
      </c>
      <c r="AD9598">
        <v>0</v>
      </c>
      <c r="AE9598">
        <v>0</v>
      </c>
      <c r="AF9598">
        <v>0</v>
      </c>
      <c r="AG9598">
        <v>0</v>
      </c>
      <c r="AH9598">
        <v>0</v>
      </c>
      <c r="AI9598">
        <v>74.510000000000005</v>
      </c>
      <c r="AJ9598">
        <v>413.96</v>
      </c>
      <c r="AK9598">
        <v>413.96</v>
      </c>
      <c r="AL9598" t="s">
        <v>53</v>
      </c>
      <c r="AM9598" t="s">
        <v>53</v>
      </c>
      <c r="AN9598" t="s">
        <v>53</v>
      </c>
      <c r="AO9598" t="s">
        <v>53</v>
      </c>
      <c r="AP9598" t="s">
        <v>53</v>
      </c>
    </row>
    <row r="9599" spans="2:42" x14ac:dyDescent="0.2">
      <c r="B9599" t="s">
        <v>44</v>
      </c>
      <c r="C9599" t="str">
        <f>HYPERLINK("https://us2.cloudbeds.com/connect/8493803454333002#/reservations/9080486849667490?display=5FK64MR46J&amp;reservation_id=9080486849667490", "5FK64MR46J")</f>
        <v>5FK64MR46J</v>
      </c>
      <c r="D9599" t="s">
        <v>10291</v>
      </c>
      <c r="E9599" t="s">
        <v>128</v>
      </c>
      <c r="F9599" t="s">
        <v>86</v>
      </c>
      <c r="G9599" t="s">
        <v>48</v>
      </c>
      <c r="H9599" t="s">
        <v>49</v>
      </c>
      <c r="I9599" t="s">
        <v>50</v>
      </c>
      <c r="J9599" t="s">
        <v>15024</v>
      </c>
      <c r="K9599" t="s">
        <v>15936</v>
      </c>
      <c r="L9599" t="s">
        <v>53</v>
      </c>
      <c r="N9599" t="s">
        <v>18428</v>
      </c>
      <c r="P9599" t="s">
        <v>55</v>
      </c>
      <c r="R9599" t="s">
        <v>53</v>
      </c>
      <c r="T9599" t="s">
        <v>18429</v>
      </c>
      <c r="U9599" t="s">
        <v>55</v>
      </c>
      <c r="V9599">
        <v>1</v>
      </c>
      <c r="W9599">
        <v>1</v>
      </c>
      <c r="X9599">
        <v>1</v>
      </c>
      <c r="Y9599">
        <v>3</v>
      </c>
      <c r="Z9599">
        <v>4</v>
      </c>
      <c r="AA9599">
        <v>116.51</v>
      </c>
      <c r="AB9599">
        <v>0</v>
      </c>
      <c r="AC9599">
        <v>107.14</v>
      </c>
      <c r="AD9599">
        <v>0</v>
      </c>
      <c r="AE9599">
        <v>9.3699999999999992</v>
      </c>
      <c r="AF9599">
        <v>0</v>
      </c>
      <c r="AG9599">
        <v>0</v>
      </c>
      <c r="AH9599">
        <v>0</v>
      </c>
      <c r="AI9599">
        <v>20.97</v>
      </c>
      <c r="AJ9599">
        <v>116.51</v>
      </c>
      <c r="AK9599">
        <v>116.51</v>
      </c>
      <c r="AL9599" t="s">
        <v>53</v>
      </c>
      <c r="AM9599" t="s">
        <v>53</v>
      </c>
      <c r="AN9599" t="s">
        <v>53</v>
      </c>
      <c r="AO9599" t="s">
        <v>53</v>
      </c>
      <c r="AP9599" t="s">
        <v>53</v>
      </c>
    </row>
    <row r="9600" spans="2:42" x14ac:dyDescent="0.2">
      <c r="B9600" t="s">
        <v>44</v>
      </c>
      <c r="C9600" t="str">
        <f>HYPERLINK("https://us2.cloudbeds.com/connect/8493803454333002#/reservations/9080486849667492?display=5FK658B1G9&amp;reservation_id=9080486849667492", "5FK658B1G9")</f>
        <v>5FK658B1G9</v>
      </c>
      <c r="D9600" t="s">
        <v>10291</v>
      </c>
      <c r="E9600" t="s">
        <v>85</v>
      </c>
      <c r="F9600" t="s">
        <v>86</v>
      </c>
      <c r="G9600" t="s">
        <v>48</v>
      </c>
      <c r="H9600" t="s">
        <v>49</v>
      </c>
      <c r="I9600" t="s">
        <v>50</v>
      </c>
      <c r="J9600" t="s">
        <v>15024</v>
      </c>
      <c r="K9600" t="s">
        <v>15936</v>
      </c>
      <c r="L9600" t="s">
        <v>53</v>
      </c>
      <c r="N9600" t="s">
        <v>18430</v>
      </c>
      <c r="P9600" t="s">
        <v>55</v>
      </c>
      <c r="R9600" t="s">
        <v>53</v>
      </c>
      <c r="T9600" t="s">
        <v>18431</v>
      </c>
      <c r="U9600" t="s">
        <v>55</v>
      </c>
      <c r="V9600">
        <v>1</v>
      </c>
      <c r="W9600">
        <v>1</v>
      </c>
      <c r="X9600">
        <v>1</v>
      </c>
      <c r="Y9600">
        <v>0</v>
      </c>
      <c r="Z9600">
        <v>1</v>
      </c>
      <c r="AA9600">
        <v>116.51</v>
      </c>
      <c r="AB9600">
        <v>0</v>
      </c>
      <c r="AC9600">
        <v>107.14</v>
      </c>
      <c r="AD9600">
        <v>0</v>
      </c>
      <c r="AE9600">
        <v>9.3699999999999992</v>
      </c>
      <c r="AF9600">
        <v>0</v>
      </c>
      <c r="AG9600">
        <v>0</v>
      </c>
      <c r="AH9600">
        <v>0</v>
      </c>
      <c r="AI9600">
        <v>20.97</v>
      </c>
      <c r="AJ9600">
        <v>116.51</v>
      </c>
      <c r="AK9600">
        <v>116.51</v>
      </c>
      <c r="AL9600" t="s">
        <v>53</v>
      </c>
      <c r="AM9600" t="s">
        <v>53</v>
      </c>
      <c r="AN9600" t="s">
        <v>53</v>
      </c>
      <c r="AO9600" t="s">
        <v>53</v>
      </c>
      <c r="AP9600" t="s">
        <v>53</v>
      </c>
    </row>
    <row r="9601" spans="2:42" x14ac:dyDescent="0.2">
      <c r="B9601" t="s">
        <v>44</v>
      </c>
      <c r="C9601" t="str">
        <f>HYPERLINK("https://us2.cloudbeds.com/connect/8493803454333002#/reservations/254027537354944?display=5FKGZC52K9&amp;reservation_id=254027537354944", "5FKGZC52K9")</f>
        <v>5FKGZC52K9</v>
      </c>
      <c r="D9601" t="s">
        <v>10291</v>
      </c>
      <c r="E9601" t="s">
        <v>85</v>
      </c>
      <c r="F9601" t="s">
        <v>86</v>
      </c>
      <c r="G9601" t="s">
        <v>3974</v>
      </c>
      <c r="H9601" t="s">
        <v>3957</v>
      </c>
      <c r="I9601" t="s">
        <v>3975</v>
      </c>
      <c r="J9601" t="s">
        <v>14827</v>
      </c>
      <c r="K9601" t="s">
        <v>17516</v>
      </c>
      <c r="L9601" t="s">
        <v>53</v>
      </c>
      <c r="P9601" t="s">
        <v>55</v>
      </c>
      <c r="R9601" t="s">
        <v>56</v>
      </c>
      <c r="T9601" t="s">
        <v>18432</v>
      </c>
      <c r="U9601" t="s">
        <v>58</v>
      </c>
      <c r="V9601">
        <v>1</v>
      </c>
      <c r="W9601">
        <v>1</v>
      </c>
      <c r="X9601">
        <v>2</v>
      </c>
      <c r="Y9601">
        <v>0</v>
      </c>
      <c r="Z9601">
        <v>2</v>
      </c>
      <c r="AA9601">
        <v>179.72</v>
      </c>
      <c r="AB9601">
        <v>179.72</v>
      </c>
      <c r="AC9601">
        <v>156.75</v>
      </c>
      <c r="AD9601">
        <v>0</v>
      </c>
      <c r="AE9601">
        <v>22.97</v>
      </c>
      <c r="AF9601">
        <v>0</v>
      </c>
      <c r="AG9601">
        <v>0</v>
      </c>
      <c r="AH9601">
        <v>0</v>
      </c>
      <c r="AI9601">
        <v>0</v>
      </c>
      <c r="AJ9601">
        <v>179.72</v>
      </c>
      <c r="AK9601">
        <v>0</v>
      </c>
      <c r="AL9601" t="s">
        <v>53</v>
      </c>
      <c r="AM9601" t="s">
        <v>53</v>
      </c>
      <c r="AN9601" t="s">
        <v>53</v>
      </c>
      <c r="AO9601" t="s">
        <v>53</v>
      </c>
      <c r="AP9601" t="s">
        <v>53</v>
      </c>
    </row>
    <row r="9602" spans="2:42" x14ac:dyDescent="0.2">
      <c r="B9602" t="s">
        <v>44</v>
      </c>
      <c r="C9602" t="str">
        <f>HYPERLINK("https://us2.cloudbeds.com/connect/8493803454333002#/reservations/9080486849669089?display=5FKWDB4JFQ&amp;reservation_id=9080486849669089", "5FKWDB4JFQ")</f>
        <v>5FKWDB4JFQ</v>
      </c>
      <c r="D9602" t="s">
        <v>10291</v>
      </c>
      <c r="E9602" t="s">
        <v>213</v>
      </c>
      <c r="F9602" t="s">
        <v>86</v>
      </c>
      <c r="G9602" t="s">
        <v>48</v>
      </c>
      <c r="H9602" t="s">
        <v>49</v>
      </c>
      <c r="I9602" t="s">
        <v>62</v>
      </c>
      <c r="J9602" t="s">
        <v>16111</v>
      </c>
      <c r="K9602" t="s">
        <v>17533</v>
      </c>
      <c r="L9602" t="s">
        <v>53</v>
      </c>
      <c r="N9602" t="s">
        <v>18433</v>
      </c>
      <c r="P9602" t="s">
        <v>55</v>
      </c>
      <c r="R9602" t="s">
        <v>56</v>
      </c>
      <c r="T9602" t="s">
        <v>18434</v>
      </c>
      <c r="U9602" t="s">
        <v>55</v>
      </c>
      <c r="V9602">
        <v>2</v>
      </c>
      <c r="W9602">
        <v>1</v>
      </c>
      <c r="X9602">
        <v>3</v>
      </c>
      <c r="Y9602">
        <v>0</v>
      </c>
      <c r="Z9602">
        <v>3</v>
      </c>
      <c r="AA9602">
        <v>364.09</v>
      </c>
      <c r="AB9602">
        <v>0</v>
      </c>
      <c r="AC9602">
        <v>364.09</v>
      </c>
      <c r="AD9602">
        <v>0</v>
      </c>
      <c r="AE9602">
        <v>0</v>
      </c>
      <c r="AF9602">
        <v>0</v>
      </c>
      <c r="AG9602">
        <v>0</v>
      </c>
      <c r="AH9602">
        <v>0</v>
      </c>
      <c r="AI9602">
        <v>65.540000000000006</v>
      </c>
      <c r="AJ9602">
        <v>364.09</v>
      </c>
      <c r="AK9602">
        <v>364.09</v>
      </c>
      <c r="AL9602" t="s">
        <v>53</v>
      </c>
      <c r="AM9602" t="s">
        <v>53</v>
      </c>
      <c r="AN9602" t="s">
        <v>53</v>
      </c>
      <c r="AO9602" t="s">
        <v>53</v>
      </c>
      <c r="AP9602" t="s">
        <v>53</v>
      </c>
    </row>
    <row r="9603" spans="2:42" x14ac:dyDescent="0.2">
      <c r="B9603" t="s">
        <v>44</v>
      </c>
      <c r="C9603" t="str">
        <f>HYPERLINK("https://us2.cloudbeds.com/connect/8493803454333002#/reservations/9080486849670059?display=5FYFZNRVBK&amp;reservation_id=9080486849670059", "5FYFZNRVBK")</f>
        <v>5FYFZNRVBK</v>
      </c>
      <c r="D9603" t="s">
        <v>10291</v>
      </c>
      <c r="E9603" t="s">
        <v>185</v>
      </c>
      <c r="F9603" t="s">
        <v>47</v>
      </c>
      <c r="G9603" t="s">
        <v>48</v>
      </c>
      <c r="H9603" t="s">
        <v>49</v>
      </c>
      <c r="I9603" t="s">
        <v>50</v>
      </c>
      <c r="J9603" t="s">
        <v>15748</v>
      </c>
      <c r="K9603" t="s">
        <v>15025</v>
      </c>
      <c r="L9603" t="s">
        <v>53</v>
      </c>
      <c r="N9603" t="s">
        <v>18435</v>
      </c>
      <c r="P9603" t="s">
        <v>55</v>
      </c>
      <c r="R9603" t="s">
        <v>53</v>
      </c>
      <c r="T9603" t="s">
        <v>18436</v>
      </c>
      <c r="U9603" t="s">
        <v>55</v>
      </c>
      <c r="V9603">
        <v>3</v>
      </c>
      <c r="W9603">
        <v>1</v>
      </c>
      <c r="X9603">
        <v>2</v>
      </c>
      <c r="Y9603">
        <v>0</v>
      </c>
      <c r="Z9603">
        <v>2</v>
      </c>
      <c r="AA9603">
        <v>365.02</v>
      </c>
      <c r="AB9603">
        <v>0</v>
      </c>
      <c r="AC9603">
        <v>335.65</v>
      </c>
      <c r="AD9603">
        <v>0</v>
      </c>
      <c r="AE9603">
        <v>29.37</v>
      </c>
      <c r="AF9603">
        <v>0</v>
      </c>
      <c r="AG9603">
        <v>0</v>
      </c>
      <c r="AH9603">
        <v>0</v>
      </c>
      <c r="AI9603">
        <v>65.7</v>
      </c>
      <c r="AJ9603">
        <v>365.02</v>
      </c>
      <c r="AK9603">
        <v>365.02</v>
      </c>
      <c r="AL9603" t="s">
        <v>53</v>
      </c>
      <c r="AM9603" t="s">
        <v>53</v>
      </c>
      <c r="AN9603" t="s">
        <v>53</v>
      </c>
      <c r="AO9603" t="s">
        <v>53</v>
      </c>
      <c r="AP9603" t="s">
        <v>53</v>
      </c>
    </row>
    <row r="9604" spans="2:42" x14ac:dyDescent="0.2">
      <c r="B9604" t="s">
        <v>44</v>
      </c>
      <c r="C9604" t="str">
        <f>HYPERLINK("https://us2.cloudbeds.com/connect/8493803454333002#/reservations/254080445976768?display=5FYZNA457E&amp;reservation_id=254080445976768", "5FYZNA457E")</f>
        <v>5FYZNA457E</v>
      </c>
      <c r="D9604" t="s">
        <v>45</v>
      </c>
      <c r="E9604" t="s">
        <v>165</v>
      </c>
      <c r="F9604" t="s">
        <v>61</v>
      </c>
      <c r="G9604" t="s">
        <v>48</v>
      </c>
      <c r="H9604" t="s">
        <v>3957</v>
      </c>
      <c r="I9604" t="s">
        <v>3958</v>
      </c>
      <c r="J9604" t="s">
        <v>14732</v>
      </c>
      <c r="K9604" t="s">
        <v>14391</v>
      </c>
      <c r="L9604" t="s">
        <v>53</v>
      </c>
      <c r="P9604" t="s">
        <v>55</v>
      </c>
      <c r="R9604" t="s">
        <v>56</v>
      </c>
      <c r="T9604" t="s">
        <v>18437</v>
      </c>
      <c r="U9604" t="s">
        <v>58</v>
      </c>
      <c r="V9604">
        <v>2</v>
      </c>
      <c r="W9604">
        <v>1</v>
      </c>
      <c r="X9604">
        <v>1</v>
      </c>
      <c r="Y9604">
        <v>0</v>
      </c>
      <c r="Z9604">
        <v>1</v>
      </c>
      <c r="AA9604">
        <v>412.76</v>
      </c>
      <c r="AB9604">
        <v>412.76</v>
      </c>
      <c r="AC9604">
        <v>360</v>
      </c>
      <c r="AD9604">
        <v>0</v>
      </c>
      <c r="AE9604">
        <v>52.76</v>
      </c>
      <c r="AF9604">
        <v>0</v>
      </c>
      <c r="AG9604">
        <v>0</v>
      </c>
      <c r="AH9604">
        <v>0</v>
      </c>
      <c r="AI9604">
        <v>0</v>
      </c>
      <c r="AJ9604">
        <v>412.76</v>
      </c>
      <c r="AK9604">
        <v>0</v>
      </c>
      <c r="AL9604" t="s">
        <v>53</v>
      </c>
      <c r="AM9604" t="s">
        <v>53</v>
      </c>
      <c r="AN9604" t="s">
        <v>53</v>
      </c>
      <c r="AO9604" t="s">
        <v>53</v>
      </c>
      <c r="AP9604" t="s">
        <v>53</v>
      </c>
    </row>
    <row r="9605" spans="2:42" x14ac:dyDescent="0.2">
      <c r="B9605" t="s">
        <v>44</v>
      </c>
      <c r="C9605" t="str">
        <f>HYPERLINK("https://us2.cloudbeds.com/connect/8493803454333002#/reservations/254087277031552?display=5FYTWS8EMX&amp;reservation_id=254087277031552", "5FYTWS8EMX")</f>
        <v>5FYTWS8EMX</v>
      </c>
      <c r="D9605" t="s">
        <v>45</v>
      </c>
      <c r="E9605" t="s">
        <v>185</v>
      </c>
      <c r="F9605" t="s">
        <v>47</v>
      </c>
      <c r="G9605" t="s">
        <v>48</v>
      </c>
      <c r="H9605" t="s">
        <v>3957</v>
      </c>
      <c r="I9605" t="s">
        <v>3958</v>
      </c>
      <c r="J9605" t="s">
        <v>14732</v>
      </c>
      <c r="K9605" t="s">
        <v>14391</v>
      </c>
      <c r="L9605" t="s">
        <v>53</v>
      </c>
      <c r="P9605" t="s">
        <v>55</v>
      </c>
      <c r="R9605" t="s">
        <v>56</v>
      </c>
      <c r="T9605" t="s">
        <v>18438</v>
      </c>
      <c r="U9605" t="s">
        <v>58</v>
      </c>
      <c r="V9605">
        <v>2</v>
      </c>
      <c r="W9605">
        <v>1</v>
      </c>
      <c r="X9605">
        <v>1</v>
      </c>
      <c r="Y9605">
        <v>0</v>
      </c>
      <c r="Z9605">
        <v>1</v>
      </c>
      <c r="AA9605">
        <v>366.88</v>
      </c>
      <c r="AB9605">
        <v>372.36</v>
      </c>
      <c r="AC9605">
        <v>320</v>
      </c>
      <c r="AD9605">
        <v>5</v>
      </c>
      <c r="AE9605">
        <v>47.36</v>
      </c>
      <c r="AF9605">
        <v>0</v>
      </c>
      <c r="AG9605">
        <v>0</v>
      </c>
      <c r="AH9605">
        <v>0</v>
      </c>
      <c r="AI9605">
        <v>0</v>
      </c>
      <c r="AJ9605">
        <v>372.36</v>
      </c>
      <c r="AK9605">
        <v>0</v>
      </c>
      <c r="AL9605" t="s">
        <v>53</v>
      </c>
      <c r="AM9605" t="s">
        <v>53</v>
      </c>
      <c r="AN9605" t="s">
        <v>53</v>
      </c>
      <c r="AO9605" t="s">
        <v>53</v>
      </c>
      <c r="AP9605" t="s">
        <v>53</v>
      </c>
    </row>
    <row r="9606" spans="2:42" x14ac:dyDescent="0.2">
      <c r="B9606" t="s">
        <v>44</v>
      </c>
      <c r="C9606" t="str">
        <f>HYPERLINK("https://us2.cloudbeds.com/connect/8493803454333002#/reservations/9080486849670906?display=5FYUY7QR9V&amp;reservation_id=9080486849670906", "5FYUY7QR9V")</f>
        <v>5FYUY7QR9V</v>
      </c>
      <c r="D9606" t="s">
        <v>10291</v>
      </c>
      <c r="E9606" t="s">
        <v>128</v>
      </c>
      <c r="F9606" t="s">
        <v>86</v>
      </c>
      <c r="G9606" t="s">
        <v>48</v>
      </c>
      <c r="H9606" t="s">
        <v>49</v>
      </c>
      <c r="I9606" t="s">
        <v>8964</v>
      </c>
      <c r="J9606" t="s">
        <v>17565</v>
      </c>
      <c r="K9606" t="s">
        <v>17354</v>
      </c>
      <c r="L9606" t="s">
        <v>53</v>
      </c>
      <c r="N9606" t="s">
        <v>18439</v>
      </c>
      <c r="P9606" t="s">
        <v>55</v>
      </c>
      <c r="R9606" t="s">
        <v>53</v>
      </c>
      <c r="T9606" t="s">
        <v>18440</v>
      </c>
      <c r="U9606" t="s">
        <v>55</v>
      </c>
      <c r="V9606">
        <v>1</v>
      </c>
      <c r="W9606">
        <v>1</v>
      </c>
      <c r="X9606">
        <v>3</v>
      </c>
      <c r="Y9606">
        <v>0</v>
      </c>
      <c r="Z9606">
        <v>3</v>
      </c>
      <c r="AA9606">
        <v>0</v>
      </c>
      <c r="AB9606">
        <v>0</v>
      </c>
      <c r="AC9606">
        <v>173</v>
      </c>
      <c r="AD9606">
        <v>0</v>
      </c>
      <c r="AE9606">
        <v>0</v>
      </c>
      <c r="AF9606">
        <v>0</v>
      </c>
      <c r="AG9606">
        <v>0</v>
      </c>
      <c r="AH9606">
        <v>0</v>
      </c>
      <c r="AI9606">
        <v>25.95</v>
      </c>
      <c r="AJ9606">
        <v>173</v>
      </c>
      <c r="AK9606">
        <v>173</v>
      </c>
      <c r="AL9606" t="s">
        <v>53</v>
      </c>
      <c r="AM9606" t="s">
        <v>53</v>
      </c>
      <c r="AN9606" t="s">
        <v>53</v>
      </c>
      <c r="AO9606" t="s">
        <v>53</v>
      </c>
      <c r="AP9606" t="s">
        <v>53</v>
      </c>
    </row>
    <row r="9607" spans="2:42" x14ac:dyDescent="0.2">
      <c r="B9607" t="s">
        <v>44</v>
      </c>
      <c r="C9607" t="str">
        <f>HYPERLINK("https://us2.cloudbeds.com/connect/8493803454333002#/reservations/9080486849671488?display=5FM9K4XXUJ&amp;reservation_id=9080486849671488", "5FM9K4XXUJ")</f>
        <v>5FM9K4XXUJ</v>
      </c>
      <c r="D9607" t="s">
        <v>45</v>
      </c>
      <c r="E9607" t="s">
        <v>381</v>
      </c>
      <c r="F9607" t="s">
        <v>47</v>
      </c>
      <c r="G9607" t="s">
        <v>48</v>
      </c>
      <c r="H9607" t="s">
        <v>49</v>
      </c>
      <c r="I9607" t="s">
        <v>8964</v>
      </c>
      <c r="J9607" t="s">
        <v>14732</v>
      </c>
      <c r="K9607" t="s">
        <v>14390</v>
      </c>
      <c r="L9607" t="s">
        <v>53</v>
      </c>
      <c r="N9607" t="s">
        <v>18441</v>
      </c>
      <c r="P9607" t="s">
        <v>55</v>
      </c>
      <c r="R9607" t="s">
        <v>53</v>
      </c>
      <c r="T9607" t="s">
        <v>18442</v>
      </c>
      <c r="U9607" t="s">
        <v>55</v>
      </c>
      <c r="V9607">
        <v>1</v>
      </c>
      <c r="W9607">
        <v>1</v>
      </c>
      <c r="X9607">
        <v>1</v>
      </c>
      <c r="Y9607">
        <v>0</v>
      </c>
      <c r="Z9607">
        <v>1</v>
      </c>
      <c r="AA9607">
        <v>0</v>
      </c>
      <c r="AB9607">
        <v>0</v>
      </c>
      <c r="AC9607">
        <v>168</v>
      </c>
      <c r="AD9607">
        <v>0</v>
      </c>
      <c r="AE9607">
        <v>0</v>
      </c>
      <c r="AF9607">
        <v>0</v>
      </c>
      <c r="AG9607">
        <v>0</v>
      </c>
      <c r="AH9607">
        <v>0</v>
      </c>
      <c r="AI9607">
        <v>25.2</v>
      </c>
      <c r="AJ9607">
        <v>168</v>
      </c>
      <c r="AK9607">
        <v>168</v>
      </c>
      <c r="AL9607" t="s">
        <v>53</v>
      </c>
      <c r="AM9607" t="s">
        <v>53</v>
      </c>
      <c r="AN9607" t="s">
        <v>53</v>
      </c>
      <c r="AO9607" t="s">
        <v>53</v>
      </c>
      <c r="AP9607" t="s">
        <v>53</v>
      </c>
    </row>
    <row r="9608" spans="2:42" x14ac:dyDescent="0.2">
      <c r="B9608" t="s">
        <v>44</v>
      </c>
      <c r="C9608" t="str">
        <f>HYPERLINK("https://us2.cloudbeds.com/connect/8493803454333002#/reservations/9080486849671503?display=5FM9TZVZDK&amp;reservation_id=9080486849671503", "5FM9TZVZDK")</f>
        <v>5FM9TZVZDK</v>
      </c>
      <c r="D9608" t="s">
        <v>10291</v>
      </c>
      <c r="E9608" t="s">
        <v>78</v>
      </c>
      <c r="F9608" t="s">
        <v>61</v>
      </c>
      <c r="G9608" t="s">
        <v>48</v>
      </c>
      <c r="H9608" t="s">
        <v>49</v>
      </c>
      <c r="I9608" t="s">
        <v>50</v>
      </c>
      <c r="J9608" t="s">
        <v>16504</v>
      </c>
      <c r="K9608" t="s">
        <v>17449</v>
      </c>
      <c r="L9608" t="s">
        <v>53</v>
      </c>
      <c r="N9608" t="s">
        <v>18443</v>
      </c>
      <c r="P9608" t="s">
        <v>55</v>
      </c>
      <c r="R9608" t="s">
        <v>53</v>
      </c>
      <c r="T9608" t="s">
        <v>18444</v>
      </c>
      <c r="U9608" t="s">
        <v>55</v>
      </c>
      <c r="V9608">
        <v>4</v>
      </c>
      <c r="W9608">
        <v>1</v>
      </c>
      <c r="X9608">
        <v>2</v>
      </c>
      <c r="Y9608">
        <v>0</v>
      </c>
      <c r="Z9608">
        <v>2</v>
      </c>
      <c r="AA9608">
        <v>595.76</v>
      </c>
      <c r="AB9608">
        <v>0</v>
      </c>
      <c r="AC9608">
        <v>547.82000000000005</v>
      </c>
      <c r="AD9608">
        <v>0</v>
      </c>
      <c r="AE9608">
        <v>47.94</v>
      </c>
      <c r="AF9608">
        <v>0</v>
      </c>
      <c r="AG9608">
        <v>0</v>
      </c>
      <c r="AH9608">
        <v>0</v>
      </c>
      <c r="AI9608">
        <v>107.24</v>
      </c>
      <c r="AJ9608">
        <v>595.76</v>
      </c>
      <c r="AK9608">
        <v>595.76</v>
      </c>
      <c r="AL9608" t="s">
        <v>53</v>
      </c>
      <c r="AM9608" t="s">
        <v>53</v>
      </c>
      <c r="AN9608" t="s">
        <v>53</v>
      </c>
      <c r="AO9608" t="s">
        <v>53</v>
      </c>
      <c r="AP9608" t="s">
        <v>53</v>
      </c>
    </row>
    <row r="9609" spans="2:42" x14ac:dyDescent="0.2">
      <c r="B9609" t="s">
        <v>44</v>
      </c>
      <c r="C9609" t="str">
        <f>HYPERLINK("https://us2.cloudbeds.com/connect/8493803454333002#/reservations/254104728432832?display=5FMAGPN8R9&amp;reservation_id=254104728432832", "5FMAGPN8R9")</f>
        <v>5FMAGPN8R9</v>
      </c>
      <c r="D9609" t="s">
        <v>10291</v>
      </c>
      <c r="E9609" t="s">
        <v>110</v>
      </c>
      <c r="F9609" t="s">
        <v>47</v>
      </c>
      <c r="G9609" t="s">
        <v>48</v>
      </c>
      <c r="H9609" t="s">
        <v>3957</v>
      </c>
      <c r="I9609" t="s">
        <v>3975</v>
      </c>
      <c r="J9609" t="s">
        <v>16570</v>
      </c>
      <c r="K9609" t="s">
        <v>15817</v>
      </c>
      <c r="L9609" t="s">
        <v>53</v>
      </c>
      <c r="P9609" t="s">
        <v>55</v>
      </c>
      <c r="R9609" t="s">
        <v>56</v>
      </c>
      <c r="T9609" t="s">
        <v>18445</v>
      </c>
      <c r="U9609" t="s">
        <v>58</v>
      </c>
      <c r="V9609">
        <v>3</v>
      </c>
      <c r="W9609">
        <v>1</v>
      </c>
      <c r="X9609">
        <v>2</v>
      </c>
      <c r="Y9609">
        <v>0</v>
      </c>
      <c r="Z9609">
        <v>2</v>
      </c>
      <c r="AA9609">
        <v>0</v>
      </c>
      <c r="AB9609">
        <v>0</v>
      </c>
      <c r="AC9609">
        <v>595</v>
      </c>
      <c r="AD9609">
        <v>0</v>
      </c>
      <c r="AE9609">
        <v>87.18</v>
      </c>
      <c r="AF9609">
        <v>0</v>
      </c>
      <c r="AG9609">
        <v>0</v>
      </c>
      <c r="AH9609">
        <v>0</v>
      </c>
      <c r="AI9609">
        <v>0</v>
      </c>
      <c r="AJ9609">
        <v>682.18</v>
      </c>
      <c r="AK9609">
        <v>682.18</v>
      </c>
      <c r="AL9609" t="s">
        <v>53</v>
      </c>
      <c r="AM9609" t="s">
        <v>53</v>
      </c>
      <c r="AN9609" t="s">
        <v>18446</v>
      </c>
      <c r="AO9609" t="s">
        <v>53</v>
      </c>
      <c r="AP9609" t="s">
        <v>53</v>
      </c>
    </row>
    <row r="9610" spans="2:42" x14ac:dyDescent="0.2">
      <c r="B9610" t="s">
        <v>44</v>
      </c>
      <c r="C9610" t="str">
        <f>HYPERLINK("https://us2.cloudbeds.com/connect/8493803454333002#/reservations/9080486849671945?display=5FMX96TR2R&amp;reservation_id=9080486849671945", "5FMX96TR2R")</f>
        <v>5FMX96TR2R</v>
      </c>
      <c r="D9610" t="s">
        <v>45</v>
      </c>
      <c r="E9610" t="s">
        <v>14695</v>
      </c>
      <c r="F9610" t="s">
        <v>47</v>
      </c>
      <c r="G9610" t="s">
        <v>48</v>
      </c>
      <c r="H9610" t="s">
        <v>49</v>
      </c>
      <c r="I9610" t="s">
        <v>50</v>
      </c>
      <c r="J9610" t="s">
        <v>14732</v>
      </c>
      <c r="K9610" t="s">
        <v>14390</v>
      </c>
      <c r="L9610" t="s">
        <v>53</v>
      </c>
      <c r="N9610" t="s">
        <v>18447</v>
      </c>
      <c r="P9610" t="s">
        <v>55</v>
      </c>
      <c r="R9610" t="s">
        <v>53</v>
      </c>
      <c r="T9610" t="s">
        <v>18448</v>
      </c>
      <c r="U9610" t="s">
        <v>55</v>
      </c>
      <c r="V9610">
        <v>1</v>
      </c>
      <c r="W9610">
        <v>1</v>
      </c>
      <c r="X9610">
        <v>2</v>
      </c>
      <c r="Y9610">
        <v>0</v>
      </c>
      <c r="Z9610">
        <v>2</v>
      </c>
      <c r="AA9610">
        <v>120.28</v>
      </c>
      <c r="AB9610">
        <v>122.47</v>
      </c>
      <c r="AC9610">
        <v>110.6</v>
      </c>
      <c r="AD9610">
        <v>2</v>
      </c>
      <c r="AE9610">
        <v>9.8699999999999992</v>
      </c>
      <c r="AF9610">
        <v>0</v>
      </c>
      <c r="AG9610">
        <v>0</v>
      </c>
      <c r="AH9610">
        <v>0</v>
      </c>
      <c r="AI9610">
        <v>22.04</v>
      </c>
      <c r="AJ9610">
        <v>122.47</v>
      </c>
      <c r="AK9610">
        <v>0</v>
      </c>
      <c r="AL9610" t="s">
        <v>53</v>
      </c>
      <c r="AM9610" t="s">
        <v>53</v>
      </c>
      <c r="AN9610" t="s">
        <v>18449</v>
      </c>
      <c r="AO9610" t="s">
        <v>53</v>
      </c>
      <c r="AP9610" t="s">
        <v>53</v>
      </c>
    </row>
    <row r="9611" spans="2:42" x14ac:dyDescent="0.2">
      <c r="B9611" t="s">
        <v>44</v>
      </c>
      <c r="C9611" t="str">
        <f>HYPERLINK("https://us2.cloudbeds.com/connect/8493803454333002#/reservations/254122128040128?display=5FMNWCHAUQ&amp;reservation_id=254122128040128", "5FMNWCHAUQ")</f>
        <v>5FMNWCHAUQ</v>
      </c>
      <c r="D9611" t="s">
        <v>10291</v>
      </c>
      <c r="E9611" t="s">
        <v>165</v>
      </c>
      <c r="F9611" t="s">
        <v>61</v>
      </c>
      <c r="G9611" t="s">
        <v>13757</v>
      </c>
      <c r="H9611" t="s">
        <v>3957</v>
      </c>
      <c r="I9611" t="s">
        <v>3958</v>
      </c>
      <c r="J9611" t="s">
        <v>16570</v>
      </c>
      <c r="K9611" t="s">
        <v>15817</v>
      </c>
      <c r="L9611" t="s">
        <v>53</v>
      </c>
      <c r="P9611" t="s">
        <v>55</v>
      </c>
      <c r="R9611" t="s">
        <v>56</v>
      </c>
      <c r="T9611" t="s">
        <v>18450</v>
      </c>
      <c r="U9611" t="s">
        <v>58</v>
      </c>
      <c r="V9611">
        <v>3</v>
      </c>
      <c r="W9611">
        <v>1</v>
      </c>
      <c r="X9611">
        <v>1</v>
      </c>
      <c r="Y9611">
        <v>0</v>
      </c>
      <c r="Z9611">
        <v>1</v>
      </c>
      <c r="AA9611">
        <v>717.16</v>
      </c>
      <c r="AB9611">
        <v>0</v>
      </c>
      <c r="AC9611">
        <v>625.5</v>
      </c>
      <c r="AD9611">
        <v>0</v>
      </c>
      <c r="AE9611">
        <v>91.66</v>
      </c>
      <c r="AF9611">
        <v>0</v>
      </c>
      <c r="AG9611">
        <v>0</v>
      </c>
      <c r="AH9611">
        <v>0</v>
      </c>
      <c r="AI9611">
        <v>0</v>
      </c>
      <c r="AJ9611">
        <v>717.16</v>
      </c>
      <c r="AK9611">
        <v>717.16</v>
      </c>
      <c r="AL9611" t="s">
        <v>53</v>
      </c>
      <c r="AM9611" t="s">
        <v>53</v>
      </c>
      <c r="AN9611" t="s">
        <v>53</v>
      </c>
      <c r="AO9611" t="s">
        <v>53</v>
      </c>
      <c r="AP9611" t="s">
        <v>53</v>
      </c>
    </row>
    <row r="9612" spans="2:42" x14ac:dyDescent="0.2">
      <c r="B9612" t="s">
        <v>44</v>
      </c>
      <c r="C9612" t="str">
        <f>HYPERLINK("https://us2.cloudbeds.com/connect/8493803454333002#/reservations/254138887921792?display=5FN3VKT9J6&amp;reservation_id=254138887921792", "5FN3VKT9J6")</f>
        <v>5FN3VKT9J6</v>
      </c>
      <c r="D9612" t="s">
        <v>10291</v>
      </c>
      <c r="E9612" t="s">
        <v>85</v>
      </c>
      <c r="F9612" t="s">
        <v>86</v>
      </c>
      <c r="G9612" t="s">
        <v>3974</v>
      </c>
      <c r="H9612" t="s">
        <v>3957</v>
      </c>
      <c r="I9612" t="s">
        <v>3975</v>
      </c>
      <c r="J9612" t="s">
        <v>17533</v>
      </c>
      <c r="K9612" t="s">
        <v>10292</v>
      </c>
      <c r="L9612" t="s">
        <v>53</v>
      </c>
      <c r="P9612" t="s">
        <v>55</v>
      </c>
      <c r="R9612" t="s">
        <v>56</v>
      </c>
      <c r="T9612" t="s">
        <v>18451</v>
      </c>
      <c r="U9612" t="s">
        <v>58</v>
      </c>
      <c r="V9612">
        <v>1</v>
      </c>
      <c r="W9612">
        <v>1</v>
      </c>
      <c r="X9612">
        <v>2</v>
      </c>
      <c r="Y9612">
        <v>2</v>
      </c>
      <c r="Z9612">
        <v>4</v>
      </c>
      <c r="AA9612">
        <v>206.95</v>
      </c>
      <c r="AB9612">
        <v>206.95</v>
      </c>
      <c r="AC9612">
        <v>180.5</v>
      </c>
      <c r="AD9612">
        <v>0</v>
      </c>
      <c r="AE9612">
        <v>26.45</v>
      </c>
      <c r="AF9612">
        <v>0</v>
      </c>
      <c r="AG9612">
        <v>0</v>
      </c>
      <c r="AH9612">
        <v>0</v>
      </c>
      <c r="AI9612">
        <v>0</v>
      </c>
      <c r="AJ9612">
        <v>206.95</v>
      </c>
      <c r="AK9612">
        <v>0</v>
      </c>
      <c r="AL9612" t="s">
        <v>53</v>
      </c>
      <c r="AM9612" t="s">
        <v>53</v>
      </c>
      <c r="AN9612" t="s">
        <v>18452</v>
      </c>
      <c r="AO9612" t="s">
        <v>53</v>
      </c>
      <c r="AP9612" t="s">
        <v>53</v>
      </c>
    </row>
    <row r="9613" spans="2:42" x14ac:dyDescent="0.2">
      <c r="B9613" t="s">
        <v>44</v>
      </c>
      <c r="C9613" t="str">
        <f>HYPERLINK("https://us2.cloudbeds.com/connect/8493803454333002#/reservations/254155676508352?display=5FNGVKG0U4&amp;reservation_id=254155676508352", "5FNGVKG0U4")</f>
        <v>5FNGVKG0U4</v>
      </c>
      <c r="D9613" t="s">
        <v>10291</v>
      </c>
      <c r="E9613" t="s">
        <v>110</v>
      </c>
      <c r="F9613" t="s">
        <v>47</v>
      </c>
      <c r="G9613" t="s">
        <v>48</v>
      </c>
      <c r="H9613" t="s">
        <v>3957</v>
      </c>
      <c r="I9613" t="s">
        <v>3975</v>
      </c>
      <c r="J9613" t="s">
        <v>18197</v>
      </c>
      <c r="K9613" t="s">
        <v>18453</v>
      </c>
      <c r="L9613" t="s">
        <v>53</v>
      </c>
      <c r="P9613" t="s">
        <v>55</v>
      </c>
      <c r="R9613" t="s">
        <v>56</v>
      </c>
      <c r="T9613" t="s">
        <v>18454</v>
      </c>
      <c r="U9613" t="s">
        <v>58</v>
      </c>
      <c r="V9613">
        <v>2</v>
      </c>
      <c r="W9613">
        <v>1</v>
      </c>
      <c r="X9613">
        <v>2</v>
      </c>
      <c r="Y9613">
        <v>0</v>
      </c>
      <c r="Z9613">
        <v>2</v>
      </c>
      <c r="AA9613">
        <v>0</v>
      </c>
      <c r="AB9613">
        <v>0</v>
      </c>
      <c r="AC9613">
        <v>215</v>
      </c>
      <c r="AD9613">
        <v>0</v>
      </c>
      <c r="AE9613">
        <v>31.51</v>
      </c>
      <c r="AF9613">
        <v>0</v>
      </c>
      <c r="AG9613">
        <v>0</v>
      </c>
      <c r="AH9613">
        <v>0</v>
      </c>
      <c r="AI9613">
        <v>0</v>
      </c>
      <c r="AJ9613">
        <v>246.51</v>
      </c>
      <c r="AK9613">
        <v>246.51</v>
      </c>
      <c r="AL9613" t="s">
        <v>53</v>
      </c>
      <c r="AM9613" t="s">
        <v>53</v>
      </c>
      <c r="AN9613" t="s">
        <v>53</v>
      </c>
      <c r="AO9613" t="s">
        <v>53</v>
      </c>
      <c r="AP9613" t="s">
        <v>53</v>
      </c>
    </row>
    <row r="9614" spans="2:42" x14ac:dyDescent="0.2">
      <c r="B9614" t="s">
        <v>44</v>
      </c>
      <c r="C9614" t="str">
        <f>HYPERLINK("https://us2.cloudbeds.com/connect/8493803454333002#/reservations/9080486849673299?display=5FNX8DJZAP&amp;reservation_id=9080486849673299", "5FNX8DJZAP")</f>
        <v>5FNX8DJZAP</v>
      </c>
      <c r="D9614" t="s">
        <v>10291</v>
      </c>
      <c r="E9614" t="s">
        <v>138</v>
      </c>
      <c r="F9614" t="s">
        <v>70</v>
      </c>
      <c r="G9614" t="s">
        <v>48</v>
      </c>
      <c r="H9614" t="s">
        <v>49</v>
      </c>
      <c r="I9614" t="s">
        <v>50</v>
      </c>
      <c r="J9614" t="s">
        <v>15822</v>
      </c>
      <c r="K9614" t="s">
        <v>14827</v>
      </c>
      <c r="L9614" t="s">
        <v>53</v>
      </c>
      <c r="N9614" t="s">
        <v>18455</v>
      </c>
      <c r="P9614" t="s">
        <v>55</v>
      </c>
      <c r="R9614" t="s">
        <v>53</v>
      </c>
      <c r="T9614" t="s">
        <v>18456</v>
      </c>
      <c r="U9614" t="s">
        <v>55</v>
      </c>
      <c r="V9614">
        <v>1</v>
      </c>
      <c r="W9614">
        <v>1</v>
      </c>
      <c r="X9614">
        <v>2</v>
      </c>
      <c r="Y9614">
        <v>0</v>
      </c>
      <c r="Z9614">
        <v>2</v>
      </c>
      <c r="AA9614">
        <v>107.12</v>
      </c>
      <c r="AB9614">
        <v>0</v>
      </c>
      <c r="AC9614">
        <v>98.5</v>
      </c>
      <c r="AD9614">
        <v>0</v>
      </c>
      <c r="AE9614">
        <v>8.6199999999999992</v>
      </c>
      <c r="AF9614">
        <v>0</v>
      </c>
      <c r="AG9614">
        <v>0</v>
      </c>
      <c r="AH9614">
        <v>0</v>
      </c>
      <c r="AI9614">
        <v>19.28</v>
      </c>
      <c r="AJ9614">
        <v>107.12</v>
      </c>
      <c r="AK9614">
        <v>107.12</v>
      </c>
      <c r="AL9614" t="s">
        <v>53</v>
      </c>
      <c r="AM9614" t="s">
        <v>53</v>
      </c>
      <c r="AN9614" t="s">
        <v>53</v>
      </c>
      <c r="AO9614" t="s">
        <v>53</v>
      </c>
      <c r="AP9614" t="s">
        <v>53</v>
      </c>
    </row>
    <row r="9615" spans="2:42" x14ac:dyDescent="0.2">
      <c r="B9615" t="s">
        <v>44</v>
      </c>
      <c r="C9615" t="str">
        <f>HYPERLINK("https://us2.cloudbeds.com/connect/8493803454333002#/reservations/9080486849674796?display=5FZSYP0KMW&amp;reservation_id=9080486849674796", "5FZSYP0KMW")</f>
        <v>5FZSYP0KMW</v>
      </c>
      <c r="D9615" t="s">
        <v>10291</v>
      </c>
      <c r="E9615" t="s">
        <v>138</v>
      </c>
      <c r="F9615" t="s">
        <v>70</v>
      </c>
      <c r="G9615" t="s">
        <v>48</v>
      </c>
      <c r="H9615" t="s">
        <v>49</v>
      </c>
      <c r="I9615" t="s">
        <v>50</v>
      </c>
      <c r="J9615" t="s">
        <v>16504</v>
      </c>
      <c r="K9615" t="s">
        <v>17239</v>
      </c>
      <c r="L9615" t="s">
        <v>53</v>
      </c>
      <c r="N9615" t="s">
        <v>18457</v>
      </c>
      <c r="P9615" t="s">
        <v>55</v>
      </c>
      <c r="R9615" t="s">
        <v>53</v>
      </c>
      <c r="T9615" t="s">
        <v>18458</v>
      </c>
      <c r="U9615" t="s">
        <v>55</v>
      </c>
      <c r="V9615">
        <v>2</v>
      </c>
      <c r="W9615">
        <v>1</v>
      </c>
      <c r="X9615">
        <v>2</v>
      </c>
      <c r="Y9615">
        <v>0</v>
      </c>
      <c r="Z9615">
        <v>2</v>
      </c>
      <c r="AA9615">
        <v>228.16</v>
      </c>
      <c r="AB9615">
        <v>0</v>
      </c>
      <c r="AC9615">
        <v>209.8</v>
      </c>
      <c r="AD9615">
        <v>0</v>
      </c>
      <c r="AE9615">
        <v>18.36</v>
      </c>
      <c r="AF9615">
        <v>0</v>
      </c>
      <c r="AG9615">
        <v>0</v>
      </c>
      <c r="AH9615">
        <v>0</v>
      </c>
      <c r="AI9615">
        <v>41.07</v>
      </c>
      <c r="AJ9615">
        <v>228.16</v>
      </c>
      <c r="AK9615">
        <v>228.16</v>
      </c>
      <c r="AL9615" t="s">
        <v>53</v>
      </c>
      <c r="AM9615" t="s">
        <v>53</v>
      </c>
      <c r="AN9615" t="s">
        <v>53</v>
      </c>
      <c r="AO9615" t="s">
        <v>53</v>
      </c>
      <c r="AP9615" t="s">
        <v>53</v>
      </c>
    </row>
    <row r="9616" spans="2:42" x14ac:dyDescent="0.2">
      <c r="B9616" t="s">
        <v>44</v>
      </c>
      <c r="C9616" t="str">
        <f>HYPERLINK("https://us2.cloudbeds.com/connect/8493803454333002#/reservations/9080486849678968?display=5FRN9Y4BXS&amp;reservation_id=9080486849678968", "5FRN9Y4BXS")</f>
        <v>5FRN9Y4BXS</v>
      </c>
      <c r="D9616" t="s">
        <v>10291</v>
      </c>
      <c r="E9616" t="s">
        <v>155</v>
      </c>
      <c r="F9616" t="s">
        <v>86</v>
      </c>
      <c r="G9616" t="s">
        <v>48</v>
      </c>
      <c r="H9616" t="s">
        <v>49</v>
      </c>
      <c r="I9616" t="s">
        <v>50</v>
      </c>
      <c r="J9616" t="s">
        <v>15822</v>
      </c>
      <c r="K9616" t="s">
        <v>14827</v>
      </c>
      <c r="L9616" t="s">
        <v>53</v>
      </c>
      <c r="N9616" t="s">
        <v>18459</v>
      </c>
      <c r="P9616" t="s">
        <v>55</v>
      </c>
      <c r="R9616" t="s">
        <v>53</v>
      </c>
      <c r="T9616" t="s">
        <v>18460</v>
      </c>
      <c r="U9616" t="s">
        <v>55</v>
      </c>
      <c r="V9616">
        <v>1</v>
      </c>
      <c r="W9616">
        <v>1</v>
      </c>
      <c r="X9616">
        <v>2</v>
      </c>
      <c r="Y9616">
        <v>1</v>
      </c>
      <c r="Z9616">
        <v>3</v>
      </c>
      <c r="AA9616">
        <v>150.35</v>
      </c>
      <c r="AB9616">
        <v>0</v>
      </c>
      <c r="AC9616">
        <v>138.25</v>
      </c>
      <c r="AD9616">
        <v>0</v>
      </c>
      <c r="AE9616">
        <v>12.1</v>
      </c>
      <c r="AF9616">
        <v>0</v>
      </c>
      <c r="AG9616">
        <v>0</v>
      </c>
      <c r="AH9616">
        <v>0</v>
      </c>
      <c r="AI9616">
        <v>27.06</v>
      </c>
      <c r="AJ9616">
        <v>150.35</v>
      </c>
      <c r="AK9616">
        <v>150.35</v>
      </c>
      <c r="AL9616" t="s">
        <v>53</v>
      </c>
      <c r="AM9616" t="s">
        <v>53</v>
      </c>
      <c r="AN9616" t="s">
        <v>53</v>
      </c>
      <c r="AO9616" t="s">
        <v>53</v>
      </c>
      <c r="AP9616" t="s">
        <v>53</v>
      </c>
    </row>
    <row r="9617" spans="2:42" x14ac:dyDescent="0.2">
      <c r="B9617" t="s">
        <v>44</v>
      </c>
      <c r="C9617" t="str">
        <f>HYPERLINK("https://us2.cloudbeds.com/connect/8493803454333002#/reservations/254339956695232?display=5FRRYDCVRE&amp;reservation_id=254339956695232", "5FRRYDCVRE")</f>
        <v>5FRRYDCVRE</v>
      </c>
      <c r="D9617" t="s">
        <v>45</v>
      </c>
      <c r="E9617" t="s">
        <v>213</v>
      </c>
      <c r="F9617" t="s">
        <v>86</v>
      </c>
      <c r="G9617" t="s">
        <v>48</v>
      </c>
      <c r="H9617" t="s">
        <v>3957</v>
      </c>
      <c r="I9617" t="s">
        <v>3975</v>
      </c>
      <c r="J9617" t="s">
        <v>14390</v>
      </c>
      <c r="K9617" t="s">
        <v>14391</v>
      </c>
      <c r="L9617" t="s">
        <v>53</v>
      </c>
      <c r="P9617" t="s">
        <v>55</v>
      </c>
      <c r="R9617" t="s">
        <v>56</v>
      </c>
      <c r="T9617" t="s">
        <v>18461</v>
      </c>
      <c r="U9617" t="s">
        <v>58</v>
      </c>
      <c r="V9617">
        <v>1</v>
      </c>
      <c r="W9617">
        <v>1</v>
      </c>
      <c r="X9617">
        <v>4</v>
      </c>
      <c r="Y9617">
        <v>0</v>
      </c>
      <c r="Z9617">
        <v>4</v>
      </c>
      <c r="AA9617">
        <v>223.58</v>
      </c>
      <c r="AB9617">
        <v>223.58</v>
      </c>
      <c r="AC9617">
        <v>195</v>
      </c>
      <c r="AD9617">
        <v>0</v>
      </c>
      <c r="AE9617">
        <v>28.58</v>
      </c>
      <c r="AF9617">
        <v>0</v>
      </c>
      <c r="AG9617">
        <v>0</v>
      </c>
      <c r="AH9617">
        <v>0</v>
      </c>
      <c r="AI9617">
        <v>0</v>
      </c>
      <c r="AJ9617">
        <v>223.58</v>
      </c>
      <c r="AK9617">
        <v>0</v>
      </c>
      <c r="AL9617" t="s">
        <v>53</v>
      </c>
      <c r="AM9617" t="s">
        <v>53</v>
      </c>
      <c r="AN9617" t="s">
        <v>18462</v>
      </c>
      <c r="AO9617" t="s">
        <v>53</v>
      </c>
      <c r="AP9617" t="s">
        <v>53</v>
      </c>
    </row>
    <row r="9618" spans="2:42" x14ac:dyDescent="0.2">
      <c r="B9618" t="s">
        <v>44</v>
      </c>
      <c r="C9618" t="str">
        <f>HYPERLINK("https://us2.cloudbeds.com/connect/8493803454333002#/reservations/254346083864704?display=5FRWCW0SAV&amp;reservation_id=254346083864704", "5FRWCW0SAV")</f>
        <v>5FRWCW0SAV</v>
      </c>
      <c r="D9618" t="s">
        <v>10291</v>
      </c>
      <c r="E9618" t="s">
        <v>18463</v>
      </c>
      <c r="F9618" t="s">
        <v>511</v>
      </c>
      <c r="G9618" t="s">
        <v>15366</v>
      </c>
      <c r="H9618" t="s">
        <v>3957</v>
      </c>
      <c r="I9618" t="s">
        <v>3989</v>
      </c>
      <c r="J9618" t="s">
        <v>15338</v>
      </c>
      <c r="K9618" t="s">
        <v>17522</v>
      </c>
      <c r="L9618" t="s">
        <v>53</v>
      </c>
      <c r="P9618" t="s">
        <v>55</v>
      </c>
      <c r="R9618" t="s">
        <v>56</v>
      </c>
      <c r="T9618" t="s">
        <v>18464</v>
      </c>
      <c r="U9618" t="s">
        <v>58</v>
      </c>
      <c r="V9618">
        <v>4</v>
      </c>
      <c r="W9618">
        <v>4</v>
      </c>
      <c r="X9618">
        <v>4</v>
      </c>
      <c r="Y9618">
        <v>0</v>
      </c>
      <c r="Z9618">
        <v>4</v>
      </c>
      <c r="AA9618">
        <v>639.76</v>
      </c>
      <c r="AB9618">
        <v>0</v>
      </c>
      <c r="AC9618">
        <v>558</v>
      </c>
      <c r="AD9618">
        <v>0</v>
      </c>
      <c r="AE9618">
        <v>81.760000000000005</v>
      </c>
      <c r="AF9618">
        <v>0</v>
      </c>
      <c r="AG9618">
        <v>0</v>
      </c>
      <c r="AH9618">
        <v>0</v>
      </c>
      <c r="AI9618">
        <v>0</v>
      </c>
      <c r="AJ9618">
        <v>639.76</v>
      </c>
      <c r="AK9618">
        <v>639.76</v>
      </c>
      <c r="AL9618" t="s">
        <v>53</v>
      </c>
      <c r="AM9618" t="s">
        <v>53</v>
      </c>
      <c r="AN9618" t="s">
        <v>53</v>
      </c>
      <c r="AO9618" t="s">
        <v>53</v>
      </c>
      <c r="AP9618" t="s">
        <v>53</v>
      </c>
    </row>
    <row r="9619" spans="2:42" x14ac:dyDescent="0.2">
      <c r="B9619" t="s">
        <v>44</v>
      </c>
      <c r="C9619" t="str">
        <f>HYPERLINK("https://us2.cloudbeds.com/connect/8493803454333002#/reservations/9080486849680101?display=5FS89PU99M&amp;reservation_id=9080486849680101", "5FS89PU99M")</f>
        <v>5FS89PU99M</v>
      </c>
      <c r="D9619" t="s">
        <v>45</v>
      </c>
      <c r="E9619" t="s">
        <v>46</v>
      </c>
      <c r="F9619" t="s">
        <v>47</v>
      </c>
      <c r="G9619" t="s">
        <v>48</v>
      </c>
      <c r="H9619" t="s">
        <v>49</v>
      </c>
      <c r="I9619" t="s">
        <v>62</v>
      </c>
      <c r="J9619" t="s">
        <v>14390</v>
      </c>
      <c r="K9619" t="s">
        <v>14391</v>
      </c>
      <c r="L9619" t="s">
        <v>53</v>
      </c>
      <c r="N9619" t="s">
        <v>18465</v>
      </c>
      <c r="P9619" t="s">
        <v>55</v>
      </c>
      <c r="R9619" t="s">
        <v>56</v>
      </c>
      <c r="T9619" t="s">
        <v>18466</v>
      </c>
      <c r="U9619" t="s">
        <v>55</v>
      </c>
      <c r="V9619">
        <v>1</v>
      </c>
      <c r="W9619">
        <v>1</v>
      </c>
      <c r="X9619">
        <v>1</v>
      </c>
      <c r="Y9619">
        <v>0</v>
      </c>
      <c r="Z9619">
        <v>1</v>
      </c>
      <c r="AA9619">
        <v>152.25</v>
      </c>
      <c r="AB9619">
        <v>152.25</v>
      </c>
      <c r="AC9619">
        <v>152.25</v>
      </c>
      <c r="AD9619">
        <v>0</v>
      </c>
      <c r="AE9619">
        <v>0</v>
      </c>
      <c r="AF9619">
        <v>0</v>
      </c>
      <c r="AG9619">
        <v>0</v>
      </c>
      <c r="AH9619">
        <v>0</v>
      </c>
      <c r="AI9619">
        <v>27.41</v>
      </c>
      <c r="AJ9619">
        <v>152.25</v>
      </c>
      <c r="AK9619">
        <v>0</v>
      </c>
      <c r="AL9619" t="s">
        <v>53</v>
      </c>
      <c r="AM9619" t="s">
        <v>53</v>
      </c>
      <c r="AN9619" t="s">
        <v>53</v>
      </c>
      <c r="AO9619" t="s">
        <v>53</v>
      </c>
      <c r="AP9619" t="s">
        <v>53</v>
      </c>
    </row>
    <row r="9620" spans="2:42" x14ac:dyDescent="0.2">
      <c r="B9620" t="s">
        <v>44</v>
      </c>
      <c r="C9620" t="str">
        <f>HYPERLINK("https://us2.cloudbeds.com/connect/8493803454333002#/reservations/9080486849680850?display=5FSXU4J360&amp;reservation_id=9080486849680850", "5FSXU4J360")</f>
        <v>5FSXU4J360</v>
      </c>
      <c r="D9620" t="s">
        <v>10291</v>
      </c>
      <c r="E9620" t="s">
        <v>113</v>
      </c>
      <c r="F9620" t="s">
        <v>61</v>
      </c>
      <c r="G9620" t="s">
        <v>48</v>
      </c>
      <c r="H9620" t="s">
        <v>49</v>
      </c>
      <c r="I9620" t="s">
        <v>50</v>
      </c>
      <c r="J9620" t="s">
        <v>17421</v>
      </c>
      <c r="K9620" t="s">
        <v>15817</v>
      </c>
      <c r="L9620" t="s">
        <v>53</v>
      </c>
      <c r="N9620" t="s">
        <v>18467</v>
      </c>
      <c r="P9620" t="s">
        <v>55</v>
      </c>
      <c r="R9620" t="s">
        <v>53</v>
      </c>
      <c r="T9620" t="s">
        <v>18468</v>
      </c>
      <c r="U9620" t="s">
        <v>58</v>
      </c>
      <c r="V9620">
        <v>2</v>
      </c>
      <c r="W9620">
        <v>1</v>
      </c>
      <c r="X9620">
        <v>2</v>
      </c>
      <c r="Y9620">
        <v>0</v>
      </c>
      <c r="Z9620">
        <v>2</v>
      </c>
      <c r="AA9620">
        <v>613.96</v>
      </c>
      <c r="AB9620">
        <v>0</v>
      </c>
      <c r="AC9620">
        <v>535.5</v>
      </c>
      <c r="AD9620">
        <v>0</v>
      </c>
      <c r="AE9620">
        <v>78.459999999999994</v>
      </c>
      <c r="AF9620">
        <v>0</v>
      </c>
      <c r="AG9620">
        <v>0</v>
      </c>
      <c r="AH9620">
        <v>0</v>
      </c>
      <c r="AI9620">
        <v>110.51</v>
      </c>
      <c r="AJ9620">
        <v>613.96</v>
      </c>
      <c r="AK9620">
        <v>613.96</v>
      </c>
      <c r="AL9620" t="s">
        <v>53</v>
      </c>
      <c r="AM9620" t="s">
        <v>53</v>
      </c>
      <c r="AN9620" t="s">
        <v>18469</v>
      </c>
      <c r="AO9620" t="s">
        <v>53</v>
      </c>
      <c r="AP9620" t="s">
        <v>53</v>
      </c>
    </row>
    <row r="9621" spans="2:42" x14ac:dyDescent="0.2">
      <c r="B9621" t="s">
        <v>44</v>
      </c>
      <c r="C9621" t="str">
        <f>HYPERLINK("https://us2.cloudbeds.com/connect/8493803454333002#/reservations/9080486849681317?display=5FSPSM6AYW&amp;reservation_id=9080486849681317", "5FSPSM6AYW")</f>
        <v>5FSPSM6AYW</v>
      </c>
      <c r="D9621" t="s">
        <v>45</v>
      </c>
      <c r="E9621" t="s">
        <v>98</v>
      </c>
      <c r="F9621" t="s">
        <v>86</v>
      </c>
      <c r="G9621" t="s">
        <v>48</v>
      </c>
      <c r="H9621" t="s">
        <v>49</v>
      </c>
      <c r="I9621" t="s">
        <v>50</v>
      </c>
      <c r="J9621" t="s">
        <v>14390</v>
      </c>
      <c r="K9621" t="s">
        <v>14391</v>
      </c>
      <c r="L9621" t="s">
        <v>53</v>
      </c>
      <c r="N9621" t="s">
        <v>18470</v>
      </c>
      <c r="P9621" t="s">
        <v>55</v>
      </c>
      <c r="R9621" t="s">
        <v>53</v>
      </c>
      <c r="T9621" t="s">
        <v>18471</v>
      </c>
      <c r="U9621" t="s">
        <v>55</v>
      </c>
      <c r="V9621">
        <v>1</v>
      </c>
      <c r="W9621">
        <v>1</v>
      </c>
      <c r="X9621">
        <v>3</v>
      </c>
      <c r="Y9621">
        <v>0</v>
      </c>
      <c r="Z9621">
        <v>3</v>
      </c>
      <c r="AA9621">
        <v>150.35</v>
      </c>
      <c r="AB9621">
        <v>150.35</v>
      </c>
      <c r="AC9621">
        <v>138.25</v>
      </c>
      <c r="AD9621">
        <v>0</v>
      </c>
      <c r="AE9621">
        <v>12.1</v>
      </c>
      <c r="AF9621">
        <v>0</v>
      </c>
      <c r="AG9621">
        <v>0</v>
      </c>
      <c r="AH9621">
        <v>0</v>
      </c>
      <c r="AI9621">
        <v>27.06</v>
      </c>
      <c r="AJ9621">
        <v>150.35</v>
      </c>
      <c r="AK9621">
        <v>0</v>
      </c>
      <c r="AL9621" t="s">
        <v>53</v>
      </c>
      <c r="AM9621" t="s">
        <v>53</v>
      </c>
      <c r="AN9621" t="s">
        <v>53</v>
      </c>
      <c r="AO9621" t="s">
        <v>53</v>
      </c>
      <c r="AP9621" t="s">
        <v>53</v>
      </c>
    </row>
    <row r="9622" spans="2:42" x14ac:dyDescent="0.2">
      <c r="B9622" t="s">
        <v>44</v>
      </c>
      <c r="C9622" t="str">
        <f>HYPERLINK("https://us2.cloudbeds.com/connect/8493803454333002#/reservations/9080486849681684?display=5FSV6EA41E&amp;reservation_id=9080486849681684", "5FSV6EA41E")</f>
        <v>5FSV6EA41E</v>
      </c>
      <c r="D9622" t="s">
        <v>10291</v>
      </c>
      <c r="E9622" t="s">
        <v>128</v>
      </c>
      <c r="F9622" t="s">
        <v>86</v>
      </c>
      <c r="G9622" t="s">
        <v>48</v>
      </c>
      <c r="H9622" t="s">
        <v>49</v>
      </c>
      <c r="I9622" t="s">
        <v>50</v>
      </c>
      <c r="J9622" t="s">
        <v>16021</v>
      </c>
      <c r="K9622" t="s">
        <v>16022</v>
      </c>
      <c r="L9622" t="s">
        <v>53</v>
      </c>
      <c r="N9622" t="s">
        <v>18472</v>
      </c>
      <c r="P9622" t="s">
        <v>55</v>
      </c>
      <c r="R9622" t="s">
        <v>53</v>
      </c>
      <c r="T9622" t="s">
        <v>18473</v>
      </c>
      <c r="U9622" t="s">
        <v>55</v>
      </c>
      <c r="V9622">
        <v>1</v>
      </c>
      <c r="W9622">
        <v>1</v>
      </c>
      <c r="X9622">
        <v>3</v>
      </c>
      <c r="Y9622">
        <v>0</v>
      </c>
      <c r="Z9622">
        <v>3</v>
      </c>
      <c r="AA9622">
        <v>172.12</v>
      </c>
      <c r="AB9622">
        <v>0</v>
      </c>
      <c r="AC9622">
        <v>158.27000000000001</v>
      </c>
      <c r="AD9622">
        <v>0</v>
      </c>
      <c r="AE9622">
        <v>13.85</v>
      </c>
      <c r="AF9622">
        <v>0</v>
      </c>
      <c r="AG9622">
        <v>0</v>
      </c>
      <c r="AH9622">
        <v>0</v>
      </c>
      <c r="AI9622">
        <v>30.98</v>
      </c>
      <c r="AJ9622">
        <v>172.12</v>
      </c>
      <c r="AK9622">
        <v>172.12</v>
      </c>
      <c r="AL9622" t="s">
        <v>53</v>
      </c>
      <c r="AM9622" t="s">
        <v>53</v>
      </c>
      <c r="AN9622" t="s">
        <v>53</v>
      </c>
      <c r="AO9622" t="s">
        <v>53</v>
      </c>
      <c r="AP9622" t="s">
        <v>53</v>
      </c>
    </row>
    <row r="9623" spans="2:42" x14ac:dyDescent="0.2">
      <c r="B9623" t="s">
        <v>44</v>
      </c>
      <c r="C9623" t="str">
        <f>HYPERLINK("https://us2.cloudbeds.com/connect/8493803454333002#/reservations/9080486849682011?display=5FT3ZGMMN1&amp;reservation_id=9080486849682011", "5FT3ZGMMN1")</f>
        <v>5FT3ZGMMN1</v>
      </c>
      <c r="D9623" t="s">
        <v>45</v>
      </c>
      <c r="E9623" t="s">
        <v>373</v>
      </c>
      <c r="F9623" t="s">
        <v>47</v>
      </c>
      <c r="G9623" t="s">
        <v>48</v>
      </c>
      <c r="H9623" t="s">
        <v>49</v>
      </c>
      <c r="I9623" t="s">
        <v>50</v>
      </c>
      <c r="J9623" t="s">
        <v>14390</v>
      </c>
      <c r="K9623" t="s">
        <v>14391</v>
      </c>
      <c r="L9623" t="s">
        <v>53</v>
      </c>
      <c r="N9623" t="s">
        <v>18474</v>
      </c>
      <c r="P9623" t="s">
        <v>55</v>
      </c>
      <c r="R9623" t="s">
        <v>53</v>
      </c>
      <c r="T9623" t="s">
        <v>18475</v>
      </c>
      <c r="U9623" t="s">
        <v>55</v>
      </c>
      <c r="V9623">
        <v>1</v>
      </c>
      <c r="W9623">
        <v>1</v>
      </c>
      <c r="X9623">
        <v>1</v>
      </c>
      <c r="Y9623">
        <v>0</v>
      </c>
      <c r="Z9623">
        <v>1</v>
      </c>
      <c r="AA9623">
        <v>117.3</v>
      </c>
      <c r="AB9623">
        <v>117.3</v>
      </c>
      <c r="AC9623">
        <v>107.86</v>
      </c>
      <c r="AD9623">
        <v>0</v>
      </c>
      <c r="AE9623">
        <v>9.44</v>
      </c>
      <c r="AF9623">
        <v>0</v>
      </c>
      <c r="AG9623">
        <v>0</v>
      </c>
      <c r="AH9623">
        <v>0</v>
      </c>
      <c r="AI9623">
        <v>21.11</v>
      </c>
      <c r="AJ9623">
        <v>117.3</v>
      </c>
      <c r="AK9623">
        <v>0</v>
      </c>
      <c r="AL9623" t="s">
        <v>53</v>
      </c>
      <c r="AM9623" t="s">
        <v>53</v>
      </c>
      <c r="AN9623" t="s">
        <v>53</v>
      </c>
      <c r="AO9623" t="s">
        <v>53</v>
      </c>
      <c r="AP9623" t="s">
        <v>53</v>
      </c>
    </row>
    <row r="9624" spans="2:42" x14ac:dyDescent="0.2">
      <c r="B9624" t="s">
        <v>44</v>
      </c>
      <c r="C9624" t="str">
        <f>HYPERLINK("https://us2.cloudbeds.com/connect/8493803454333002#/reservations/254397917384832?display=5FT6HEE6BB&amp;reservation_id=254397917384832", "5FT6HEE6BB")</f>
        <v>5FT6HEE6BB</v>
      </c>
      <c r="D9624" t="s">
        <v>45</v>
      </c>
      <c r="E9624" t="s">
        <v>381</v>
      </c>
      <c r="F9624" t="s">
        <v>47</v>
      </c>
      <c r="G9624" t="s">
        <v>48</v>
      </c>
      <c r="H9624" t="s">
        <v>3957</v>
      </c>
      <c r="I9624" t="s">
        <v>3989</v>
      </c>
      <c r="J9624" t="s">
        <v>14390</v>
      </c>
      <c r="K9624" t="s">
        <v>14391</v>
      </c>
      <c r="L9624" t="s">
        <v>53</v>
      </c>
      <c r="P9624" t="s">
        <v>55</v>
      </c>
      <c r="R9624" t="s">
        <v>56</v>
      </c>
      <c r="T9624" t="s">
        <v>18476</v>
      </c>
      <c r="U9624" t="s">
        <v>58</v>
      </c>
      <c r="V9624">
        <v>1</v>
      </c>
      <c r="W9624">
        <v>1</v>
      </c>
      <c r="X9624">
        <v>1</v>
      </c>
      <c r="Y9624">
        <v>0</v>
      </c>
      <c r="Z9624">
        <v>1</v>
      </c>
      <c r="AA9624">
        <v>166.25</v>
      </c>
      <c r="AB9624">
        <v>176.25</v>
      </c>
      <c r="AC9624">
        <v>145</v>
      </c>
      <c r="AD9624">
        <v>0</v>
      </c>
      <c r="AE9624">
        <v>21.25</v>
      </c>
      <c r="AF9624">
        <v>0</v>
      </c>
      <c r="AG9624">
        <v>0</v>
      </c>
      <c r="AH9624">
        <v>0</v>
      </c>
      <c r="AI9624">
        <v>0</v>
      </c>
      <c r="AJ9624">
        <v>166.25</v>
      </c>
      <c r="AK9624">
        <v>-10</v>
      </c>
      <c r="AL9624" t="s">
        <v>53</v>
      </c>
      <c r="AM9624" t="s">
        <v>53</v>
      </c>
      <c r="AN9624" t="s">
        <v>53</v>
      </c>
      <c r="AO9624" t="s">
        <v>53</v>
      </c>
      <c r="AP9624" t="s">
        <v>53</v>
      </c>
    </row>
    <row r="9625" spans="2:42" x14ac:dyDescent="0.2">
      <c r="B9625" t="s">
        <v>44</v>
      </c>
      <c r="C9625" t="str">
        <f>HYPERLINK("https://us2.cloudbeds.com/connect/8493803454333002#/reservations/9080486849682283?display=5FT8YWQ08G&amp;reservation_id=9080486849682283", "5FT8YWQ08G")</f>
        <v>5FT8YWQ08G</v>
      </c>
      <c r="D9625" t="s">
        <v>10291</v>
      </c>
      <c r="E9625" t="s">
        <v>113</v>
      </c>
      <c r="F9625" t="s">
        <v>61</v>
      </c>
      <c r="G9625" t="s">
        <v>48</v>
      </c>
      <c r="H9625" t="s">
        <v>49</v>
      </c>
      <c r="I9625" t="s">
        <v>50</v>
      </c>
      <c r="J9625" t="s">
        <v>13098</v>
      </c>
      <c r="K9625" t="s">
        <v>18291</v>
      </c>
      <c r="L9625" t="s">
        <v>53</v>
      </c>
      <c r="N9625" t="s">
        <v>18477</v>
      </c>
      <c r="P9625" t="s">
        <v>55</v>
      </c>
      <c r="R9625" t="s">
        <v>53</v>
      </c>
      <c r="T9625" t="s">
        <v>18478</v>
      </c>
      <c r="U9625" t="s">
        <v>55</v>
      </c>
      <c r="V9625">
        <v>2</v>
      </c>
      <c r="W9625">
        <v>1</v>
      </c>
      <c r="X9625">
        <v>2</v>
      </c>
      <c r="Y9625">
        <v>0</v>
      </c>
      <c r="Z9625">
        <v>2</v>
      </c>
      <c r="AA9625">
        <v>294.95999999999998</v>
      </c>
      <c r="AB9625">
        <v>0</v>
      </c>
      <c r="AC9625">
        <v>271.22000000000003</v>
      </c>
      <c r="AD9625">
        <v>0</v>
      </c>
      <c r="AE9625">
        <v>23.74</v>
      </c>
      <c r="AF9625">
        <v>0</v>
      </c>
      <c r="AG9625">
        <v>0</v>
      </c>
      <c r="AH9625">
        <v>0</v>
      </c>
      <c r="AI9625">
        <v>53.09</v>
      </c>
      <c r="AJ9625">
        <v>294.95999999999998</v>
      </c>
      <c r="AK9625">
        <v>294.95999999999998</v>
      </c>
      <c r="AL9625" t="s">
        <v>53</v>
      </c>
      <c r="AM9625" t="s">
        <v>53</v>
      </c>
      <c r="AN9625" t="s">
        <v>18479</v>
      </c>
      <c r="AO9625" t="s">
        <v>53</v>
      </c>
      <c r="AP9625" t="s">
        <v>53</v>
      </c>
    </row>
    <row r="9626" spans="2:42" x14ac:dyDescent="0.2">
      <c r="B9626" t="s">
        <v>44</v>
      </c>
      <c r="C9626" t="str">
        <f>HYPERLINK("https://us2.cloudbeds.com/connect/8493803454333002#/reservations/9080486849683191?display=5FTZ6HS6UW&amp;reservation_id=9080486849683191", "5FTZ6HS6UW")</f>
        <v>5FTZ6HS6UW</v>
      </c>
      <c r="D9626" t="s">
        <v>10291</v>
      </c>
      <c r="E9626" t="s">
        <v>138</v>
      </c>
      <c r="F9626" t="s">
        <v>70</v>
      </c>
      <c r="G9626" t="s">
        <v>48</v>
      </c>
      <c r="H9626" t="s">
        <v>49</v>
      </c>
      <c r="I9626" t="s">
        <v>50</v>
      </c>
      <c r="J9626" t="s">
        <v>17242</v>
      </c>
      <c r="K9626" t="s">
        <v>17533</v>
      </c>
      <c r="L9626" t="s">
        <v>53</v>
      </c>
      <c r="N9626" t="s">
        <v>18480</v>
      </c>
      <c r="P9626" t="s">
        <v>55</v>
      </c>
      <c r="R9626" t="s">
        <v>53</v>
      </c>
      <c r="T9626" t="s">
        <v>18481</v>
      </c>
      <c r="U9626" t="s">
        <v>55</v>
      </c>
      <c r="V9626">
        <v>1</v>
      </c>
      <c r="W9626">
        <v>1</v>
      </c>
      <c r="X9626">
        <v>1</v>
      </c>
      <c r="Y9626">
        <v>0</v>
      </c>
      <c r="Z9626">
        <v>1</v>
      </c>
      <c r="AA9626">
        <v>105.26</v>
      </c>
      <c r="AB9626">
        <v>0</v>
      </c>
      <c r="AC9626">
        <v>96.79</v>
      </c>
      <c r="AD9626">
        <v>0</v>
      </c>
      <c r="AE9626">
        <v>8.4700000000000006</v>
      </c>
      <c r="AF9626">
        <v>0</v>
      </c>
      <c r="AG9626">
        <v>0</v>
      </c>
      <c r="AH9626">
        <v>0</v>
      </c>
      <c r="AI9626">
        <v>18.95</v>
      </c>
      <c r="AJ9626">
        <v>105.26</v>
      </c>
      <c r="AK9626">
        <v>105.26</v>
      </c>
      <c r="AL9626" t="s">
        <v>53</v>
      </c>
      <c r="AM9626" t="s">
        <v>53</v>
      </c>
      <c r="AN9626" t="s">
        <v>18482</v>
      </c>
      <c r="AO9626" t="s">
        <v>53</v>
      </c>
      <c r="AP9626" t="s">
        <v>53</v>
      </c>
    </row>
    <row r="9627" spans="2:42" x14ac:dyDescent="0.2">
      <c r="B9627" t="s">
        <v>44</v>
      </c>
      <c r="C9627" t="str">
        <f>HYPERLINK("https://us2.cloudbeds.com/connect/8493803454333002#/reservations/9080486849683410?display=5FTSDAYF3M&amp;reservation_id=9080486849683410", "5FTSDAYF3M")</f>
        <v>5FTSDAYF3M</v>
      </c>
      <c r="D9627" t="s">
        <v>45</v>
      </c>
      <c r="E9627" t="s">
        <v>121</v>
      </c>
      <c r="F9627" t="s">
        <v>86</v>
      </c>
      <c r="G9627" t="s">
        <v>48</v>
      </c>
      <c r="H9627" t="s">
        <v>49</v>
      </c>
      <c r="I9627" t="s">
        <v>62</v>
      </c>
      <c r="J9627" t="s">
        <v>14390</v>
      </c>
      <c r="K9627" t="s">
        <v>14391</v>
      </c>
      <c r="L9627" t="s">
        <v>53</v>
      </c>
      <c r="N9627" t="s">
        <v>18483</v>
      </c>
      <c r="P9627" t="s">
        <v>55</v>
      </c>
      <c r="R9627" t="s">
        <v>56</v>
      </c>
      <c r="T9627" t="s">
        <v>18484</v>
      </c>
      <c r="U9627" t="s">
        <v>55</v>
      </c>
      <c r="V9627">
        <v>1</v>
      </c>
      <c r="W9627">
        <v>1</v>
      </c>
      <c r="X9627">
        <v>2</v>
      </c>
      <c r="Y9627">
        <v>0</v>
      </c>
      <c r="Z9627">
        <v>2</v>
      </c>
      <c r="AA9627">
        <v>189</v>
      </c>
      <c r="AB9627">
        <v>189</v>
      </c>
      <c r="AC9627">
        <v>189</v>
      </c>
      <c r="AD9627">
        <v>0</v>
      </c>
      <c r="AE9627">
        <v>0</v>
      </c>
      <c r="AF9627">
        <v>0</v>
      </c>
      <c r="AG9627">
        <v>0</v>
      </c>
      <c r="AH9627">
        <v>0</v>
      </c>
      <c r="AI9627">
        <v>34.020000000000003</v>
      </c>
      <c r="AJ9627">
        <v>189</v>
      </c>
      <c r="AK9627">
        <v>0</v>
      </c>
      <c r="AL9627" t="s">
        <v>53</v>
      </c>
      <c r="AM9627" t="s">
        <v>53</v>
      </c>
      <c r="AN9627" t="s">
        <v>53</v>
      </c>
      <c r="AO9627" t="s">
        <v>53</v>
      </c>
      <c r="AP9627" t="s">
        <v>53</v>
      </c>
    </row>
    <row r="9628" spans="2:42" x14ac:dyDescent="0.2">
      <c r="B9628" t="s">
        <v>44</v>
      </c>
      <c r="C9628" t="str">
        <f>HYPERLINK("https://us2.cloudbeds.com/connect/8493803454333002#/reservations/9080486849684006?display=5FU7H82UA4&amp;reservation_id=9080486849684006", "5FU7H82UA4")</f>
        <v>5FU7H82UA4</v>
      </c>
      <c r="D9628" t="s">
        <v>45</v>
      </c>
      <c r="E9628" t="s">
        <v>14695</v>
      </c>
      <c r="F9628" t="s">
        <v>47</v>
      </c>
      <c r="G9628" t="s">
        <v>48</v>
      </c>
      <c r="H9628" t="s">
        <v>49</v>
      </c>
      <c r="I9628" t="s">
        <v>50</v>
      </c>
      <c r="J9628" t="s">
        <v>14390</v>
      </c>
      <c r="K9628" t="s">
        <v>14391</v>
      </c>
      <c r="L9628" t="s">
        <v>53</v>
      </c>
      <c r="N9628" t="s">
        <v>18485</v>
      </c>
      <c r="P9628" t="s">
        <v>55</v>
      </c>
      <c r="R9628" t="s">
        <v>53</v>
      </c>
      <c r="T9628" t="s">
        <v>18486</v>
      </c>
      <c r="U9628" t="s">
        <v>55</v>
      </c>
      <c r="V9628">
        <v>1</v>
      </c>
      <c r="W9628">
        <v>1</v>
      </c>
      <c r="X9628">
        <v>2</v>
      </c>
      <c r="Y9628">
        <v>0</v>
      </c>
      <c r="Z9628">
        <v>2</v>
      </c>
      <c r="AA9628">
        <v>114.75</v>
      </c>
      <c r="AB9628">
        <v>114.75</v>
      </c>
      <c r="AC9628">
        <v>105.52</v>
      </c>
      <c r="AD9628">
        <v>0</v>
      </c>
      <c r="AE9628">
        <v>9.23</v>
      </c>
      <c r="AF9628">
        <v>0</v>
      </c>
      <c r="AG9628">
        <v>0</v>
      </c>
      <c r="AH9628">
        <v>0</v>
      </c>
      <c r="AI9628">
        <v>20.66</v>
      </c>
      <c r="AJ9628">
        <v>114.75</v>
      </c>
      <c r="AK9628">
        <v>0</v>
      </c>
      <c r="AL9628" t="s">
        <v>53</v>
      </c>
      <c r="AM9628" t="s">
        <v>53</v>
      </c>
      <c r="AN9628" t="s">
        <v>53</v>
      </c>
      <c r="AO9628" t="s">
        <v>53</v>
      </c>
      <c r="AP9628" t="s">
        <v>53</v>
      </c>
    </row>
    <row r="9629" spans="2:42" x14ac:dyDescent="0.2">
      <c r="B9629" t="s">
        <v>44</v>
      </c>
      <c r="C9629" t="str">
        <f>HYPERLINK("https://us2.cloudbeds.com/connect/8493803454333002#/reservations/9080486849684080?display=5FU9CQAVK2&amp;reservation_id=9080486849684080", "5FU9CQAVK2")</f>
        <v>5FU9CQAVK2</v>
      </c>
      <c r="D9629" t="s">
        <v>10291</v>
      </c>
      <c r="E9629" t="s">
        <v>105</v>
      </c>
      <c r="F9629" t="s">
        <v>47</v>
      </c>
      <c r="G9629" t="s">
        <v>48</v>
      </c>
      <c r="H9629" t="s">
        <v>49</v>
      </c>
      <c r="I9629" t="s">
        <v>62</v>
      </c>
      <c r="J9629" t="s">
        <v>17421</v>
      </c>
      <c r="K9629" t="s">
        <v>15817</v>
      </c>
      <c r="L9629" t="s">
        <v>53</v>
      </c>
      <c r="N9629" t="s">
        <v>18487</v>
      </c>
      <c r="P9629" t="s">
        <v>55</v>
      </c>
      <c r="R9629" t="s">
        <v>56</v>
      </c>
      <c r="T9629" t="s">
        <v>18488</v>
      </c>
      <c r="U9629" t="s">
        <v>55</v>
      </c>
      <c r="V9629">
        <v>2</v>
      </c>
      <c r="W9629">
        <v>1</v>
      </c>
      <c r="X9629">
        <v>2</v>
      </c>
      <c r="Y9629">
        <v>0</v>
      </c>
      <c r="Z9629">
        <v>2</v>
      </c>
      <c r="AA9629">
        <v>456.75</v>
      </c>
      <c r="AB9629">
        <v>0</v>
      </c>
      <c r="AC9629">
        <v>456.75</v>
      </c>
      <c r="AD9629">
        <v>0</v>
      </c>
      <c r="AE9629">
        <v>0</v>
      </c>
      <c r="AF9629">
        <v>0</v>
      </c>
      <c r="AG9629">
        <v>0</v>
      </c>
      <c r="AH9629">
        <v>0</v>
      </c>
      <c r="AI9629">
        <v>82.22</v>
      </c>
      <c r="AJ9629">
        <v>456.75</v>
      </c>
      <c r="AK9629">
        <v>456.75</v>
      </c>
      <c r="AL9629" t="s">
        <v>53</v>
      </c>
      <c r="AM9629" t="s">
        <v>53</v>
      </c>
      <c r="AN9629" t="s">
        <v>53</v>
      </c>
      <c r="AO9629" t="s">
        <v>53</v>
      </c>
      <c r="AP9629" t="s">
        <v>53</v>
      </c>
    </row>
    <row r="9630" spans="2:42" x14ac:dyDescent="0.2">
      <c r="B9630" t="s">
        <v>44</v>
      </c>
      <c r="C9630" t="str">
        <f>HYPERLINK("https://us2.cloudbeds.com/connect/8493803454333002#/reservations/9080486849684122?display=5FUADVYTYH&amp;reservation_id=9080486849684122", "5FUADVYTYH")</f>
        <v>5FUADVYTYH</v>
      </c>
      <c r="D9630" t="s">
        <v>10291</v>
      </c>
      <c r="E9630" t="s">
        <v>110</v>
      </c>
      <c r="F9630" t="s">
        <v>47</v>
      </c>
      <c r="G9630" t="s">
        <v>48</v>
      </c>
      <c r="H9630" t="s">
        <v>49</v>
      </c>
      <c r="I9630" t="s">
        <v>62</v>
      </c>
      <c r="J9630" t="s">
        <v>17804</v>
      </c>
      <c r="K9630" t="s">
        <v>18489</v>
      </c>
      <c r="L9630" t="s">
        <v>53</v>
      </c>
      <c r="N9630" t="s">
        <v>18490</v>
      </c>
      <c r="P9630" t="s">
        <v>55</v>
      </c>
      <c r="R9630" t="s">
        <v>56</v>
      </c>
      <c r="T9630" t="s">
        <v>18491</v>
      </c>
      <c r="U9630" t="s">
        <v>55</v>
      </c>
      <c r="V9630">
        <v>1</v>
      </c>
      <c r="W9630">
        <v>1</v>
      </c>
      <c r="X9630">
        <v>2</v>
      </c>
      <c r="Y9630">
        <v>0</v>
      </c>
      <c r="Z9630">
        <v>2</v>
      </c>
      <c r="AA9630">
        <v>189</v>
      </c>
      <c r="AB9630">
        <v>0</v>
      </c>
      <c r="AC9630">
        <v>189</v>
      </c>
      <c r="AD9630">
        <v>0</v>
      </c>
      <c r="AE9630">
        <v>0</v>
      </c>
      <c r="AF9630">
        <v>0</v>
      </c>
      <c r="AG9630">
        <v>0</v>
      </c>
      <c r="AH9630">
        <v>0</v>
      </c>
      <c r="AI9630">
        <v>34.020000000000003</v>
      </c>
      <c r="AJ9630">
        <v>189</v>
      </c>
      <c r="AK9630">
        <v>189</v>
      </c>
      <c r="AL9630" t="s">
        <v>53</v>
      </c>
      <c r="AM9630" t="s">
        <v>53</v>
      </c>
      <c r="AN9630" t="s">
        <v>53</v>
      </c>
      <c r="AO9630" t="s">
        <v>53</v>
      </c>
      <c r="AP9630" t="s">
        <v>53</v>
      </c>
    </row>
    <row r="9631" spans="2:42" x14ac:dyDescent="0.2">
      <c r="B9631" t="s">
        <v>44</v>
      </c>
      <c r="C9631" t="str">
        <f>HYPERLINK("https://us2.cloudbeds.com/connect/8493803454333002#/reservations/9080486849684293?display=5FUE91N8F8&amp;reservation_id=9080486849684293", "5FUE91N8F8")</f>
        <v>5FUE91N8F8</v>
      </c>
      <c r="D9631" t="s">
        <v>45</v>
      </c>
      <c r="E9631" t="s">
        <v>165</v>
      </c>
      <c r="F9631" t="s">
        <v>61</v>
      </c>
      <c r="G9631" t="s">
        <v>48</v>
      </c>
      <c r="H9631" t="s">
        <v>49</v>
      </c>
      <c r="I9631" t="s">
        <v>50</v>
      </c>
      <c r="J9631" t="s">
        <v>17389</v>
      </c>
      <c r="K9631" t="s">
        <v>14371</v>
      </c>
      <c r="L9631" t="s">
        <v>53</v>
      </c>
      <c r="N9631" t="s">
        <v>18492</v>
      </c>
      <c r="P9631" t="s">
        <v>55</v>
      </c>
      <c r="R9631" t="s">
        <v>53</v>
      </c>
      <c r="T9631" t="s">
        <v>18493</v>
      </c>
      <c r="U9631" t="s">
        <v>55</v>
      </c>
      <c r="V9631">
        <v>1</v>
      </c>
      <c r="W9631">
        <v>1</v>
      </c>
      <c r="X9631">
        <v>2</v>
      </c>
      <c r="Y9631">
        <v>0</v>
      </c>
      <c r="Z9631">
        <v>2</v>
      </c>
      <c r="AA9631">
        <v>129.47999999999999</v>
      </c>
      <c r="AB9631">
        <v>129.47999999999999</v>
      </c>
      <c r="AC9631">
        <v>119.06</v>
      </c>
      <c r="AD9631">
        <v>0</v>
      </c>
      <c r="AE9631">
        <v>10.42</v>
      </c>
      <c r="AF9631">
        <v>0</v>
      </c>
      <c r="AG9631">
        <v>0</v>
      </c>
      <c r="AH9631">
        <v>0</v>
      </c>
      <c r="AI9631">
        <v>23.31</v>
      </c>
      <c r="AJ9631">
        <v>129.47999999999999</v>
      </c>
      <c r="AK9631">
        <v>0</v>
      </c>
      <c r="AL9631" t="s">
        <v>53</v>
      </c>
      <c r="AM9631" t="s">
        <v>53</v>
      </c>
      <c r="AN9631" t="s">
        <v>18494</v>
      </c>
      <c r="AO9631" t="s">
        <v>53</v>
      </c>
      <c r="AP9631" t="s">
        <v>53</v>
      </c>
    </row>
    <row r="9632" spans="2:42" x14ac:dyDescent="0.2">
      <c r="B9632" t="s">
        <v>44</v>
      </c>
      <c r="C9632" t="str">
        <f>HYPERLINK("https://us2.cloudbeds.com/connect/8493803454333002#/reservations/9080486849684975?display=5FUS9KBV65&amp;reservation_id=9080486849684975", "5FUS9KBV65")</f>
        <v>5FUS9KBV65</v>
      </c>
      <c r="D9632" t="s">
        <v>10291</v>
      </c>
      <c r="E9632" t="s">
        <v>105</v>
      </c>
      <c r="F9632" t="s">
        <v>47</v>
      </c>
      <c r="G9632" t="s">
        <v>48</v>
      </c>
      <c r="H9632" t="s">
        <v>49</v>
      </c>
      <c r="I9632" t="s">
        <v>50</v>
      </c>
      <c r="J9632" t="s">
        <v>18140</v>
      </c>
      <c r="K9632" t="s">
        <v>17351</v>
      </c>
      <c r="L9632" t="s">
        <v>53</v>
      </c>
      <c r="N9632" t="s">
        <v>18495</v>
      </c>
      <c r="P9632" t="s">
        <v>55</v>
      </c>
      <c r="R9632" t="s">
        <v>53</v>
      </c>
      <c r="T9632" t="s">
        <v>18496</v>
      </c>
      <c r="U9632" t="s">
        <v>55</v>
      </c>
      <c r="V9632">
        <v>2</v>
      </c>
      <c r="W9632">
        <v>1</v>
      </c>
      <c r="X9632">
        <v>2</v>
      </c>
      <c r="Y9632">
        <v>0</v>
      </c>
      <c r="Z9632">
        <v>2</v>
      </c>
      <c r="AA9632">
        <v>232.16</v>
      </c>
      <c r="AB9632">
        <v>0</v>
      </c>
      <c r="AC9632">
        <v>213.48</v>
      </c>
      <c r="AD9632">
        <v>0</v>
      </c>
      <c r="AE9632">
        <v>18.68</v>
      </c>
      <c r="AF9632">
        <v>0</v>
      </c>
      <c r="AG9632">
        <v>0</v>
      </c>
      <c r="AH9632">
        <v>0</v>
      </c>
      <c r="AI9632">
        <v>41.79</v>
      </c>
      <c r="AJ9632">
        <v>232.16</v>
      </c>
      <c r="AK9632">
        <v>232.16</v>
      </c>
      <c r="AL9632" t="s">
        <v>53</v>
      </c>
      <c r="AM9632" t="s">
        <v>53</v>
      </c>
      <c r="AN9632" t="s">
        <v>53</v>
      </c>
      <c r="AO9632" t="s">
        <v>53</v>
      </c>
      <c r="AP9632" t="s">
        <v>53</v>
      </c>
    </row>
    <row r="9633" spans="2:42" x14ac:dyDescent="0.2">
      <c r="B9633" t="s">
        <v>44</v>
      </c>
      <c r="C9633" t="str">
        <f>HYPERLINK("https://us2.cloudbeds.com/connect/8493803454333002#/reservations/254483763945664?display=5FV700G8ZN&amp;reservation_id=254483763945664", "5FV700G8ZN")</f>
        <v>5FV700G8ZN</v>
      </c>
      <c r="D9633" t="s">
        <v>10291</v>
      </c>
      <c r="E9633" t="s">
        <v>487</v>
      </c>
      <c r="F9633" t="s">
        <v>61</v>
      </c>
      <c r="G9633" t="s">
        <v>48</v>
      </c>
      <c r="H9633" t="s">
        <v>3957</v>
      </c>
      <c r="I9633" t="s">
        <v>3975</v>
      </c>
      <c r="J9633" t="s">
        <v>17135</v>
      </c>
      <c r="K9633" t="s">
        <v>17467</v>
      </c>
      <c r="L9633" t="s">
        <v>53</v>
      </c>
      <c r="P9633" t="s">
        <v>55</v>
      </c>
      <c r="R9633" t="s">
        <v>56</v>
      </c>
      <c r="T9633" t="s">
        <v>18497</v>
      </c>
      <c r="U9633" t="s">
        <v>58</v>
      </c>
      <c r="V9633">
        <v>1</v>
      </c>
      <c r="W9633">
        <v>1</v>
      </c>
      <c r="X9633">
        <v>2</v>
      </c>
      <c r="Y9633">
        <v>0</v>
      </c>
      <c r="Z9633">
        <v>2</v>
      </c>
      <c r="AA9633">
        <v>0</v>
      </c>
      <c r="AB9633">
        <v>212.11</v>
      </c>
      <c r="AC9633">
        <v>185</v>
      </c>
      <c r="AD9633">
        <v>0</v>
      </c>
      <c r="AE9633">
        <v>27.11</v>
      </c>
      <c r="AF9633">
        <v>0</v>
      </c>
      <c r="AG9633">
        <v>0</v>
      </c>
      <c r="AH9633">
        <v>0</v>
      </c>
      <c r="AI9633">
        <v>0</v>
      </c>
      <c r="AJ9633">
        <v>212.11</v>
      </c>
      <c r="AK9633">
        <v>0</v>
      </c>
      <c r="AL9633" t="s">
        <v>53</v>
      </c>
      <c r="AM9633" t="s">
        <v>53</v>
      </c>
      <c r="AN9633" t="s">
        <v>53</v>
      </c>
      <c r="AO9633" t="s">
        <v>53</v>
      </c>
      <c r="AP9633" t="s">
        <v>53</v>
      </c>
    </row>
    <row r="9634" spans="2:42" x14ac:dyDescent="0.2">
      <c r="B9634" t="s">
        <v>44</v>
      </c>
      <c r="C9634" t="str">
        <f>HYPERLINK("https://us2.cloudbeds.com/connect/8493803454333002#/reservations/9080486849685638?display=5FV9JQXJA8&amp;reservation_id=9080486849685638", "5FV9JQXJA8")</f>
        <v>5FV9JQXJA8</v>
      </c>
      <c r="D9634" t="s">
        <v>10291</v>
      </c>
      <c r="E9634" t="s">
        <v>185</v>
      </c>
      <c r="F9634" t="s">
        <v>47</v>
      </c>
      <c r="G9634" t="s">
        <v>48</v>
      </c>
      <c r="H9634" t="s">
        <v>49</v>
      </c>
      <c r="I9634" t="s">
        <v>50</v>
      </c>
      <c r="J9634" t="s">
        <v>17421</v>
      </c>
      <c r="K9634" t="s">
        <v>15817</v>
      </c>
      <c r="L9634" t="s">
        <v>53</v>
      </c>
      <c r="N9634" t="s">
        <v>18498</v>
      </c>
      <c r="P9634" t="s">
        <v>55</v>
      </c>
      <c r="R9634" t="s">
        <v>53</v>
      </c>
      <c r="T9634" t="s">
        <v>18499</v>
      </c>
      <c r="U9634" t="s">
        <v>55</v>
      </c>
      <c r="V9634">
        <v>2</v>
      </c>
      <c r="W9634">
        <v>1</v>
      </c>
      <c r="X9634">
        <v>1</v>
      </c>
      <c r="Y9634">
        <v>0</v>
      </c>
      <c r="Z9634">
        <v>1</v>
      </c>
      <c r="AA9634">
        <v>407.31</v>
      </c>
      <c r="AB9634">
        <v>0</v>
      </c>
      <c r="AC9634">
        <v>374.54</v>
      </c>
      <c r="AD9634">
        <v>0</v>
      </c>
      <c r="AE9634">
        <v>32.770000000000003</v>
      </c>
      <c r="AF9634">
        <v>0</v>
      </c>
      <c r="AG9634">
        <v>0</v>
      </c>
      <c r="AH9634">
        <v>0</v>
      </c>
      <c r="AI9634">
        <v>73.319999999999993</v>
      </c>
      <c r="AJ9634">
        <v>407.31</v>
      </c>
      <c r="AK9634">
        <v>407.31</v>
      </c>
      <c r="AL9634" t="s">
        <v>53</v>
      </c>
      <c r="AM9634" t="s">
        <v>53</v>
      </c>
      <c r="AN9634" t="s">
        <v>53</v>
      </c>
      <c r="AO9634" t="s">
        <v>53</v>
      </c>
      <c r="AP9634" t="s">
        <v>53</v>
      </c>
    </row>
    <row r="9635" spans="2:42" x14ac:dyDescent="0.2">
      <c r="B9635" t="s">
        <v>44</v>
      </c>
      <c r="C9635" t="str">
        <f>HYPERLINK("https://us2.cloudbeds.com/connect/8493803454333002#/reservations/9080486849685829?display=5FVDNEBW97&amp;reservation_id=9080486849685829", "5FVDNEBW97")</f>
        <v>5FVDNEBW97</v>
      </c>
      <c r="D9635" t="s">
        <v>10291</v>
      </c>
      <c r="E9635" t="s">
        <v>110</v>
      </c>
      <c r="F9635" t="s">
        <v>47</v>
      </c>
      <c r="G9635" t="s">
        <v>48</v>
      </c>
      <c r="H9635" t="s">
        <v>49</v>
      </c>
      <c r="I9635" t="s">
        <v>50</v>
      </c>
      <c r="J9635" t="s">
        <v>17830</v>
      </c>
      <c r="K9635" t="s">
        <v>15822</v>
      </c>
      <c r="L9635" t="s">
        <v>53</v>
      </c>
      <c r="N9635" t="s">
        <v>18500</v>
      </c>
      <c r="P9635" t="s">
        <v>55</v>
      </c>
      <c r="R9635" t="s">
        <v>53</v>
      </c>
      <c r="T9635" t="s">
        <v>18501</v>
      </c>
      <c r="U9635" t="s">
        <v>55</v>
      </c>
      <c r="V9635">
        <v>1</v>
      </c>
      <c r="W9635">
        <v>1</v>
      </c>
      <c r="X9635">
        <v>2</v>
      </c>
      <c r="Y9635">
        <v>0</v>
      </c>
      <c r="Z9635">
        <v>2</v>
      </c>
      <c r="AA9635">
        <v>140.69999999999999</v>
      </c>
      <c r="AB9635">
        <v>0</v>
      </c>
      <c r="AC9635">
        <v>129.38</v>
      </c>
      <c r="AD9635">
        <v>0</v>
      </c>
      <c r="AE9635">
        <v>11.32</v>
      </c>
      <c r="AF9635">
        <v>0</v>
      </c>
      <c r="AG9635">
        <v>0</v>
      </c>
      <c r="AH9635">
        <v>0</v>
      </c>
      <c r="AI9635">
        <v>25.33</v>
      </c>
      <c r="AJ9635">
        <v>140.69999999999999</v>
      </c>
      <c r="AK9635">
        <v>140.69999999999999</v>
      </c>
      <c r="AL9635" t="s">
        <v>53</v>
      </c>
      <c r="AM9635" t="s">
        <v>53</v>
      </c>
      <c r="AN9635" t="s">
        <v>53</v>
      </c>
      <c r="AO9635" t="s">
        <v>53</v>
      </c>
      <c r="AP9635" t="s">
        <v>53</v>
      </c>
    </row>
    <row r="9636" spans="2:42" x14ac:dyDescent="0.2">
      <c r="B9636" t="s">
        <v>44</v>
      </c>
      <c r="C9636" t="str">
        <f>HYPERLINK("https://us2.cloudbeds.com/connect/8493803454333002#/reservations/9080486849687141?display=5FW9UD9ADZ&amp;reservation_id=9080486849687141", "5FW9UD9ADZ")</f>
        <v>5FW9UD9ADZ</v>
      </c>
      <c r="D9636" t="s">
        <v>10291</v>
      </c>
      <c r="E9636" t="s">
        <v>113</v>
      </c>
      <c r="F9636" t="s">
        <v>61</v>
      </c>
      <c r="G9636" t="s">
        <v>48</v>
      </c>
      <c r="H9636" t="s">
        <v>49</v>
      </c>
      <c r="I9636" t="s">
        <v>50</v>
      </c>
      <c r="J9636" t="s">
        <v>16070</v>
      </c>
      <c r="K9636" t="s">
        <v>17825</v>
      </c>
      <c r="L9636" t="s">
        <v>53</v>
      </c>
      <c r="N9636" t="s">
        <v>18502</v>
      </c>
      <c r="P9636" t="s">
        <v>55</v>
      </c>
      <c r="R9636" t="s">
        <v>53</v>
      </c>
      <c r="T9636" t="s">
        <v>18503</v>
      </c>
      <c r="U9636" t="s">
        <v>55</v>
      </c>
      <c r="V9636">
        <v>2</v>
      </c>
      <c r="W9636">
        <v>1</v>
      </c>
      <c r="X9636">
        <v>2</v>
      </c>
      <c r="Y9636">
        <v>0</v>
      </c>
      <c r="Z9636">
        <v>2</v>
      </c>
      <c r="AA9636">
        <v>308.23</v>
      </c>
      <c r="AB9636">
        <v>0</v>
      </c>
      <c r="AC9636">
        <v>283.43</v>
      </c>
      <c r="AD9636">
        <v>0</v>
      </c>
      <c r="AE9636">
        <v>24.8</v>
      </c>
      <c r="AF9636">
        <v>0</v>
      </c>
      <c r="AG9636">
        <v>0</v>
      </c>
      <c r="AH9636">
        <v>0</v>
      </c>
      <c r="AI9636">
        <v>55.48</v>
      </c>
      <c r="AJ9636">
        <v>308.23</v>
      </c>
      <c r="AK9636">
        <v>308.23</v>
      </c>
      <c r="AL9636" t="s">
        <v>53</v>
      </c>
      <c r="AM9636" t="s">
        <v>53</v>
      </c>
      <c r="AN9636" t="s">
        <v>53</v>
      </c>
      <c r="AO9636" t="s">
        <v>53</v>
      </c>
      <c r="AP9636" t="s">
        <v>53</v>
      </c>
    </row>
    <row r="9637" spans="2:42" x14ac:dyDescent="0.2">
      <c r="B9637" t="s">
        <v>44</v>
      </c>
      <c r="C9637" t="str">
        <f>HYPERLINK("https://us2.cloudbeds.com/connect/8493803454333002#/reservations/254547257983168?display=5FWN5EBQAK&amp;reservation_id=254547257983168", "5FWN5EBQAK")</f>
        <v>5FWN5EBQAK</v>
      </c>
      <c r="D9637" t="s">
        <v>45</v>
      </c>
      <c r="E9637" t="s">
        <v>185</v>
      </c>
      <c r="F9637" t="s">
        <v>47</v>
      </c>
      <c r="G9637" t="s">
        <v>48</v>
      </c>
      <c r="H9637" t="s">
        <v>3957</v>
      </c>
      <c r="I9637" t="s">
        <v>3975</v>
      </c>
      <c r="J9637" t="s">
        <v>14391</v>
      </c>
      <c r="K9637" t="s">
        <v>17389</v>
      </c>
      <c r="L9637" t="s">
        <v>53</v>
      </c>
      <c r="P9637" t="s">
        <v>55</v>
      </c>
      <c r="R9637" t="s">
        <v>56</v>
      </c>
      <c r="T9637" t="s">
        <v>18504</v>
      </c>
      <c r="U9637" t="s">
        <v>58</v>
      </c>
      <c r="V9637">
        <v>1</v>
      </c>
      <c r="W9637">
        <v>1</v>
      </c>
      <c r="X9637">
        <v>2</v>
      </c>
      <c r="Y9637">
        <v>0</v>
      </c>
      <c r="Z9637">
        <v>2</v>
      </c>
      <c r="AA9637">
        <v>160.51</v>
      </c>
      <c r="AB9637">
        <v>160.51</v>
      </c>
      <c r="AC9637">
        <v>140</v>
      </c>
      <c r="AD9637">
        <v>0</v>
      </c>
      <c r="AE9637">
        <v>20.51</v>
      </c>
      <c r="AF9637">
        <v>0</v>
      </c>
      <c r="AG9637">
        <v>0</v>
      </c>
      <c r="AH9637">
        <v>0</v>
      </c>
      <c r="AI9637">
        <v>0</v>
      </c>
      <c r="AJ9637">
        <v>160.51</v>
      </c>
      <c r="AK9637">
        <v>0</v>
      </c>
      <c r="AL9637" t="s">
        <v>53</v>
      </c>
      <c r="AM9637" t="s">
        <v>53</v>
      </c>
      <c r="AN9637" t="s">
        <v>18505</v>
      </c>
      <c r="AO9637" t="s">
        <v>53</v>
      </c>
      <c r="AP9637" t="s">
        <v>53</v>
      </c>
    </row>
    <row r="9638" spans="2:42" x14ac:dyDescent="0.2">
      <c r="B9638" t="s">
        <v>44</v>
      </c>
      <c r="C9638" t="str">
        <f>HYPERLINK("https://us2.cloudbeds.com/connect/8493803454333002#/reservations/9080486849687764?display=5FWZ47J4RN&amp;reservation_id=9080486849687764", "5FWZ47J4RN")</f>
        <v>5FWZ47J4RN</v>
      </c>
      <c r="D9638" t="s">
        <v>9111</v>
      </c>
      <c r="E9638" t="s">
        <v>18506</v>
      </c>
      <c r="F9638" t="s">
        <v>61</v>
      </c>
      <c r="G9638" t="s">
        <v>48</v>
      </c>
      <c r="H9638" t="s">
        <v>49</v>
      </c>
      <c r="I9638" t="s">
        <v>62</v>
      </c>
      <c r="J9638" t="s">
        <v>14371</v>
      </c>
      <c r="K9638" t="s">
        <v>17135</v>
      </c>
      <c r="L9638" t="s">
        <v>53</v>
      </c>
      <c r="N9638" t="s">
        <v>18507</v>
      </c>
      <c r="P9638" t="s">
        <v>55</v>
      </c>
      <c r="R9638" t="s">
        <v>56</v>
      </c>
      <c r="T9638" t="s">
        <v>18508</v>
      </c>
      <c r="U9638" t="s">
        <v>55</v>
      </c>
      <c r="V9638">
        <v>3</v>
      </c>
      <c r="W9638">
        <v>3</v>
      </c>
      <c r="X9638">
        <v>6</v>
      </c>
      <c r="Y9638">
        <v>0</v>
      </c>
      <c r="Z9638">
        <v>6</v>
      </c>
      <c r="AA9638">
        <v>456.75</v>
      </c>
      <c r="AB9638">
        <v>456.75</v>
      </c>
      <c r="AC9638">
        <v>456.75</v>
      </c>
      <c r="AD9638">
        <v>0</v>
      </c>
      <c r="AE9638">
        <v>0</v>
      </c>
      <c r="AF9638">
        <v>0</v>
      </c>
      <c r="AG9638">
        <v>0</v>
      </c>
      <c r="AH9638">
        <v>0</v>
      </c>
      <c r="AI9638">
        <v>82.22</v>
      </c>
      <c r="AJ9638">
        <v>456.75</v>
      </c>
      <c r="AK9638">
        <v>0</v>
      </c>
      <c r="AL9638" t="s">
        <v>53</v>
      </c>
      <c r="AM9638" t="s">
        <v>53</v>
      </c>
      <c r="AN9638" t="s">
        <v>53</v>
      </c>
      <c r="AO9638" t="s">
        <v>53</v>
      </c>
      <c r="AP9638" t="s">
        <v>53</v>
      </c>
    </row>
    <row r="9639" spans="2:42" x14ac:dyDescent="0.2">
      <c r="B9639" t="s">
        <v>44</v>
      </c>
      <c r="C9639" t="str">
        <f>HYPERLINK("https://us2.cloudbeds.com/connect/8493803454333002#/reservations/9080486849687812?display=5FWPXJQ80C&amp;reservation_id=9080486849687812", "5FWPXJQ80C")</f>
        <v>5FWPXJQ80C</v>
      </c>
      <c r="D9639" t="s">
        <v>10291</v>
      </c>
      <c r="E9639" t="s">
        <v>18509</v>
      </c>
      <c r="F9639" t="s">
        <v>61</v>
      </c>
      <c r="G9639" t="s">
        <v>48</v>
      </c>
      <c r="H9639" t="s">
        <v>49</v>
      </c>
      <c r="I9639" t="s">
        <v>62</v>
      </c>
      <c r="J9639" t="s">
        <v>14371</v>
      </c>
      <c r="K9639" t="s">
        <v>17135</v>
      </c>
      <c r="L9639" t="s">
        <v>53</v>
      </c>
      <c r="N9639" t="s">
        <v>18510</v>
      </c>
      <c r="P9639" t="s">
        <v>55</v>
      </c>
      <c r="R9639" t="s">
        <v>56</v>
      </c>
      <c r="T9639" t="s">
        <v>18511</v>
      </c>
      <c r="U9639" t="s">
        <v>55</v>
      </c>
      <c r="V9639">
        <v>2</v>
      </c>
      <c r="W9639">
        <v>2</v>
      </c>
      <c r="X9639">
        <v>4</v>
      </c>
      <c r="Y9639">
        <v>0</v>
      </c>
      <c r="Z9639">
        <v>4</v>
      </c>
      <c r="AA9639">
        <v>304.5</v>
      </c>
      <c r="AB9639">
        <v>304.5</v>
      </c>
      <c r="AC9639">
        <v>304.5</v>
      </c>
      <c r="AD9639">
        <v>0</v>
      </c>
      <c r="AE9639">
        <v>0</v>
      </c>
      <c r="AF9639">
        <v>0</v>
      </c>
      <c r="AG9639">
        <v>0</v>
      </c>
      <c r="AH9639">
        <v>0</v>
      </c>
      <c r="AI9639">
        <v>54.81</v>
      </c>
      <c r="AJ9639">
        <v>304.5</v>
      </c>
      <c r="AK9639">
        <v>0</v>
      </c>
      <c r="AL9639" t="s">
        <v>53</v>
      </c>
      <c r="AM9639" t="s">
        <v>53</v>
      </c>
      <c r="AN9639" t="s">
        <v>53</v>
      </c>
      <c r="AO9639" t="s">
        <v>53</v>
      </c>
      <c r="AP9639" t="s">
        <v>53</v>
      </c>
    </row>
    <row r="9640" spans="2:42" x14ac:dyDescent="0.2">
      <c r="B9640" t="s">
        <v>44</v>
      </c>
      <c r="C9640" t="str">
        <f>HYPERLINK("https://us2.cloudbeds.com/connect/8493803454333002#/reservations/9080486849687854?display=5FWQESWQKQ&amp;reservation_id=9080486849687854", "5FWQESWQKQ")</f>
        <v>5FWQESWQKQ</v>
      </c>
      <c r="D9640" t="s">
        <v>45</v>
      </c>
      <c r="E9640" t="s">
        <v>69</v>
      </c>
      <c r="F9640" t="s">
        <v>70</v>
      </c>
      <c r="G9640" t="s">
        <v>48</v>
      </c>
      <c r="H9640" t="s">
        <v>49</v>
      </c>
      <c r="I9640" t="s">
        <v>50</v>
      </c>
      <c r="J9640" t="s">
        <v>14391</v>
      </c>
      <c r="K9640" t="s">
        <v>17389</v>
      </c>
      <c r="L9640" t="s">
        <v>53</v>
      </c>
      <c r="N9640" t="s">
        <v>18512</v>
      </c>
      <c r="P9640" t="s">
        <v>55</v>
      </c>
      <c r="R9640" t="s">
        <v>53</v>
      </c>
      <c r="T9640" t="s">
        <v>18513</v>
      </c>
      <c r="U9640" t="s">
        <v>55</v>
      </c>
      <c r="V9640">
        <v>1</v>
      </c>
      <c r="W9640">
        <v>1</v>
      </c>
      <c r="X9640">
        <v>2</v>
      </c>
      <c r="Y9640">
        <v>0</v>
      </c>
      <c r="Z9640">
        <v>2</v>
      </c>
      <c r="AA9640">
        <v>101.5</v>
      </c>
      <c r="AB9640">
        <v>101.5</v>
      </c>
      <c r="AC9640">
        <v>93.33</v>
      </c>
      <c r="AD9640">
        <v>0</v>
      </c>
      <c r="AE9640">
        <v>8.17</v>
      </c>
      <c r="AF9640">
        <v>0</v>
      </c>
      <c r="AG9640">
        <v>0</v>
      </c>
      <c r="AH9640">
        <v>0</v>
      </c>
      <c r="AI9640">
        <v>18.27</v>
      </c>
      <c r="AJ9640">
        <v>101.5</v>
      </c>
      <c r="AK9640">
        <v>0</v>
      </c>
      <c r="AL9640" t="s">
        <v>53</v>
      </c>
      <c r="AM9640" t="s">
        <v>53</v>
      </c>
      <c r="AN9640" t="s">
        <v>53</v>
      </c>
      <c r="AO9640" t="s">
        <v>53</v>
      </c>
      <c r="AP9640" t="s">
        <v>53</v>
      </c>
    </row>
    <row r="9641" spans="2:42" x14ac:dyDescent="0.2">
      <c r="B9641" t="s">
        <v>44</v>
      </c>
      <c r="C9641" t="str">
        <f>HYPERLINK("https://us2.cloudbeds.com/connect/8493803454333002#/reservations/254673254871232?display=5G2YNV8NHE&amp;reservation_id=254673254871232", "5G2YNV8NHE")</f>
        <v>5G2YNV8NHE</v>
      </c>
      <c r="D9641" t="s">
        <v>10291</v>
      </c>
      <c r="E9641" t="s">
        <v>155</v>
      </c>
      <c r="F9641" t="s">
        <v>86</v>
      </c>
      <c r="G9641" t="s">
        <v>3974</v>
      </c>
      <c r="H9641" t="s">
        <v>3957</v>
      </c>
      <c r="I9641" t="s">
        <v>3975</v>
      </c>
      <c r="J9641" t="s">
        <v>16111</v>
      </c>
      <c r="K9641" t="s">
        <v>10293</v>
      </c>
      <c r="L9641" t="s">
        <v>53</v>
      </c>
      <c r="P9641" t="s">
        <v>55</v>
      </c>
      <c r="R9641" t="s">
        <v>56</v>
      </c>
      <c r="T9641" t="s">
        <v>18514</v>
      </c>
      <c r="U9641" t="s">
        <v>58</v>
      </c>
      <c r="V9641">
        <v>4</v>
      </c>
      <c r="W9641">
        <v>1</v>
      </c>
      <c r="X9641">
        <v>2</v>
      </c>
      <c r="Y9641">
        <v>0</v>
      </c>
      <c r="Z9641">
        <v>2</v>
      </c>
      <c r="AA9641">
        <v>821.26</v>
      </c>
      <c r="AB9641">
        <v>821.26</v>
      </c>
      <c r="AC9641">
        <v>716.3</v>
      </c>
      <c r="AD9641">
        <v>0</v>
      </c>
      <c r="AE9641">
        <v>104.96</v>
      </c>
      <c r="AF9641">
        <v>0</v>
      </c>
      <c r="AG9641">
        <v>0</v>
      </c>
      <c r="AH9641">
        <v>0</v>
      </c>
      <c r="AI9641">
        <v>0</v>
      </c>
      <c r="AJ9641">
        <v>821.26</v>
      </c>
      <c r="AK9641">
        <v>0</v>
      </c>
      <c r="AL9641" t="s">
        <v>53</v>
      </c>
      <c r="AM9641" t="s">
        <v>53</v>
      </c>
      <c r="AN9641" t="s">
        <v>53</v>
      </c>
      <c r="AO9641" t="s">
        <v>53</v>
      </c>
      <c r="AP9641" t="s">
        <v>53</v>
      </c>
    </row>
    <row r="9642" spans="2:42" x14ac:dyDescent="0.2">
      <c r="B9642" t="s">
        <v>44</v>
      </c>
      <c r="C9642" t="str">
        <f>HYPERLINK("https://us2.cloudbeds.com/connect/8493803454333002#/reservations/9080486849692277?display=5G2NRMU4R4&amp;reservation_id=9080486849692277", "5G2NRMU4R4")</f>
        <v>5G2NRMU4R4</v>
      </c>
      <c r="D9642" t="s">
        <v>45</v>
      </c>
      <c r="E9642" t="s">
        <v>373</v>
      </c>
      <c r="F9642" t="s">
        <v>47</v>
      </c>
      <c r="G9642" t="s">
        <v>48</v>
      </c>
      <c r="H9642" t="s">
        <v>49</v>
      </c>
      <c r="I9642" t="s">
        <v>50</v>
      </c>
      <c r="J9642" t="s">
        <v>14391</v>
      </c>
      <c r="K9642" t="s">
        <v>17389</v>
      </c>
      <c r="L9642" t="s">
        <v>53</v>
      </c>
      <c r="N9642" t="s">
        <v>18515</v>
      </c>
      <c r="P9642" t="s">
        <v>55</v>
      </c>
      <c r="R9642" t="s">
        <v>53</v>
      </c>
      <c r="T9642" t="s">
        <v>18516</v>
      </c>
      <c r="U9642" t="s">
        <v>55</v>
      </c>
      <c r="V9642">
        <v>1</v>
      </c>
      <c r="W9642">
        <v>1</v>
      </c>
      <c r="X9642">
        <v>1</v>
      </c>
      <c r="Y9642">
        <v>0</v>
      </c>
      <c r="Z9642">
        <v>1</v>
      </c>
      <c r="AA9642">
        <v>113.25</v>
      </c>
      <c r="AB9642">
        <v>113.25</v>
      </c>
      <c r="AC9642">
        <v>104.14</v>
      </c>
      <c r="AD9642">
        <v>0</v>
      </c>
      <c r="AE9642">
        <v>9.11</v>
      </c>
      <c r="AF9642">
        <v>0</v>
      </c>
      <c r="AG9642">
        <v>0</v>
      </c>
      <c r="AH9642">
        <v>0</v>
      </c>
      <c r="AI9642">
        <v>20.39</v>
      </c>
      <c r="AJ9642">
        <v>113.25</v>
      </c>
      <c r="AK9642">
        <v>0</v>
      </c>
      <c r="AL9642" t="s">
        <v>53</v>
      </c>
      <c r="AM9642" t="s">
        <v>53</v>
      </c>
      <c r="AN9642" t="s">
        <v>53</v>
      </c>
      <c r="AO9642" t="s">
        <v>53</v>
      </c>
      <c r="AP9642" t="s">
        <v>53</v>
      </c>
    </row>
    <row r="9643" spans="2:42" x14ac:dyDescent="0.2">
      <c r="B9643" t="s">
        <v>44</v>
      </c>
      <c r="C9643" t="str">
        <f>HYPERLINK("https://us2.cloudbeds.com/connect/8493803454333002#/reservations/9080486849692652?display=5G2TM9TX9Y&amp;reservation_id=9080486849692652", "5G2TM9TX9Y")</f>
        <v>5G2TM9TX9Y</v>
      </c>
      <c r="D9643" t="s">
        <v>45</v>
      </c>
      <c r="E9643" t="s">
        <v>98</v>
      </c>
      <c r="F9643" t="s">
        <v>86</v>
      </c>
      <c r="G9643" t="s">
        <v>48</v>
      </c>
      <c r="H9643" t="s">
        <v>49</v>
      </c>
      <c r="I9643" t="s">
        <v>50</v>
      </c>
      <c r="J9643" t="s">
        <v>14391</v>
      </c>
      <c r="K9643" t="s">
        <v>17389</v>
      </c>
      <c r="L9643" t="s">
        <v>53</v>
      </c>
      <c r="N9643" t="s">
        <v>18517</v>
      </c>
      <c r="P9643" t="s">
        <v>55</v>
      </c>
      <c r="R9643" t="s">
        <v>53</v>
      </c>
      <c r="T9643" t="s">
        <v>18518</v>
      </c>
      <c r="U9643" t="s">
        <v>55</v>
      </c>
      <c r="V9643">
        <v>1</v>
      </c>
      <c r="W9643">
        <v>1</v>
      </c>
      <c r="X9643">
        <v>2</v>
      </c>
      <c r="Y9643">
        <v>0</v>
      </c>
      <c r="Z9643">
        <v>2</v>
      </c>
      <c r="AA9643">
        <v>150.35</v>
      </c>
      <c r="AB9643">
        <v>150.35</v>
      </c>
      <c r="AC9643">
        <v>138.25</v>
      </c>
      <c r="AD9643">
        <v>0</v>
      </c>
      <c r="AE9643">
        <v>12.1</v>
      </c>
      <c r="AF9643">
        <v>0</v>
      </c>
      <c r="AG9643">
        <v>0</v>
      </c>
      <c r="AH9643">
        <v>0</v>
      </c>
      <c r="AI9643">
        <v>27.06</v>
      </c>
      <c r="AJ9643">
        <v>150.35</v>
      </c>
      <c r="AK9643">
        <v>0</v>
      </c>
      <c r="AL9643" t="s">
        <v>53</v>
      </c>
      <c r="AM9643" t="s">
        <v>53</v>
      </c>
      <c r="AN9643" t="s">
        <v>53</v>
      </c>
      <c r="AO9643" t="s">
        <v>53</v>
      </c>
      <c r="AP9643" t="s">
        <v>53</v>
      </c>
    </row>
    <row r="9644" spans="2:42" x14ac:dyDescent="0.2">
      <c r="B9644" t="s">
        <v>44</v>
      </c>
      <c r="C9644" t="str">
        <f>HYPERLINK("https://us2.cloudbeds.com/connect/8493803454333002#/reservations/254696753569920?display=5G36UCWWY3&amp;reservation_id=254696753569920", "5G36UCWWY3")</f>
        <v>5G36UCWWY3</v>
      </c>
      <c r="D9644" t="s">
        <v>10291</v>
      </c>
      <c r="E9644" t="s">
        <v>179</v>
      </c>
      <c r="F9644" t="s">
        <v>47</v>
      </c>
      <c r="G9644" t="s">
        <v>48</v>
      </c>
      <c r="H9644" t="s">
        <v>3957</v>
      </c>
      <c r="I9644" t="s">
        <v>3989</v>
      </c>
      <c r="J9644" t="s">
        <v>16570</v>
      </c>
      <c r="K9644" t="s">
        <v>15817</v>
      </c>
      <c r="L9644" t="s">
        <v>53</v>
      </c>
      <c r="P9644" t="s">
        <v>55</v>
      </c>
      <c r="R9644" t="s">
        <v>56</v>
      </c>
      <c r="T9644" t="s">
        <v>18519</v>
      </c>
      <c r="U9644" t="s">
        <v>58</v>
      </c>
      <c r="V9644">
        <v>3</v>
      </c>
      <c r="W9644">
        <v>1</v>
      </c>
      <c r="X9644">
        <v>1</v>
      </c>
      <c r="Y9644">
        <v>0</v>
      </c>
      <c r="Z9644">
        <v>1</v>
      </c>
      <c r="AA9644">
        <v>682.18</v>
      </c>
      <c r="AB9644">
        <v>0</v>
      </c>
      <c r="AC9644">
        <v>595</v>
      </c>
      <c r="AD9644">
        <v>0</v>
      </c>
      <c r="AE9644">
        <v>87.18</v>
      </c>
      <c r="AF9644">
        <v>0</v>
      </c>
      <c r="AG9644">
        <v>0</v>
      </c>
      <c r="AH9644">
        <v>0</v>
      </c>
      <c r="AI9644">
        <v>0</v>
      </c>
      <c r="AJ9644">
        <v>682.18</v>
      </c>
      <c r="AK9644">
        <v>682.18</v>
      </c>
      <c r="AL9644" t="s">
        <v>53</v>
      </c>
      <c r="AM9644" t="s">
        <v>53</v>
      </c>
      <c r="AN9644" t="s">
        <v>18520</v>
      </c>
      <c r="AO9644" t="s">
        <v>53</v>
      </c>
      <c r="AP9644" t="s">
        <v>53</v>
      </c>
    </row>
    <row r="9645" spans="2:42" x14ac:dyDescent="0.2">
      <c r="B9645" t="s">
        <v>44</v>
      </c>
      <c r="C9645" t="str">
        <f>HYPERLINK("https://us2.cloudbeds.com/connect/8493803454333002#/reservations/9080486849693555?display=5G39JZBUDU&amp;reservation_id=9080486849693555", "5G39JZBUDU")</f>
        <v>5G39JZBUDU</v>
      </c>
      <c r="D9645" t="s">
        <v>45</v>
      </c>
      <c r="E9645" t="s">
        <v>121</v>
      </c>
      <c r="F9645" t="s">
        <v>86</v>
      </c>
      <c r="G9645" t="s">
        <v>48</v>
      </c>
      <c r="H9645" t="s">
        <v>49</v>
      </c>
      <c r="I9645" t="s">
        <v>8964</v>
      </c>
      <c r="J9645" t="s">
        <v>14391</v>
      </c>
      <c r="K9645" t="s">
        <v>14371</v>
      </c>
      <c r="L9645" t="s">
        <v>53</v>
      </c>
      <c r="N9645" t="s">
        <v>18521</v>
      </c>
      <c r="P9645" t="s">
        <v>55</v>
      </c>
      <c r="R9645" t="s">
        <v>53</v>
      </c>
      <c r="T9645" t="s">
        <v>18522</v>
      </c>
      <c r="U9645" t="s">
        <v>55</v>
      </c>
      <c r="V9645">
        <v>2</v>
      </c>
      <c r="W9645">
        <v>1</v>
      </c>
      <c r="X9645">
        <v>2</v>
      </c>
      <c r="Y9645">
        <v>2</v>
      </c>
      <c r="Z9645">
        <v>4</v>
      </c>
      <c r="AA9645">
        <v>0</v>
      </c>
      <c r="AB9645">
        <v>0</v>
      </c>
      <c r="AC9645">
        <v>362</v>
      </c>
      <c r="AD9645">
        <v>0</v>
      </c>
      <c r="AE9645">
        <v>0</v>
      </c>
      <c r="AF9645">
        <v>0</v>
      </c>
      <c r="AG9645">
        <v>0</v>
      </c>
      <c r="AH9645">
        <v>0</v>
      </c>
      <c r="AI9645">
        <v>54.3</v>
      </c>
      <c r="AJ9645">
        <v>362</v>
      </c>
      <c r="AK9645">
        <v>362</v>
      </c>
      <c r="AL9645" t="s">
        <v>53</v>
      </c>
      <c r="AM9645" t="s">
        <v>53</v>
      </c>
      <c r="AN9645" t="s">
        <v>18523</v>
      </c>
      <c r="AO9645" t="s">
        <v>53</v>
      </c>
      <c r="AP9645" t="s">
        <v>53</v>
      </c>
    </row>
    <row r="9646" spans="2:42" x14ac:dyDescent="0.2">
      <c r="B9646" t="s">
        <v>44</v>
      </c>
      <c r="C9646" t="str">
        <f>HYPERLINK("https://us2.cloudbeds.com/connect/8493803454333002#/reservations/9080486849693992?display=5G3FTGC8WZ&amp;reservation_id=9080486849693992", "5G3FTGC8WZ")</f>
        <v>5G3FTGC8WZ</v>
      </c>
      <c r="D9646" t="s">
        <v>45</v>
      </c>
      <c r="E9646" t="s">
        <v>165</v>
      </c>
      <c r="F9646" t="s">
        <v>61</v>
      </c>
      <c r="G9646" t="s">
        <v>48</v>
      </c>
      <c r="H9646" t="s">
        <v>49</v>
      </c>
      <c r="I9646" t="s">
        <v>50</v>
      </c>
      <c r="J9646" t="s">
        <v>14391</v>
      </c>
      <c r="K9646" t="s">
        <v>17389</v>
      </c>
      <c r="L9646" t="s">
        <v>53</v>
      </c>
      <c r="N9646" t="s">
        <v>18524</v>
      </c>
      <c r="P9646" t="s">
        <v>55</v>
      </c>
      <c r="R9646" t="s">
        <v>53</v>
      </c>
      <c r="T9646" t="s">
        <v>18525</v>
      </c>
      <c r="U9646" t="s">
        <v>55</v>
      </c>
      <c r="V9646">
        <v>1</v>
      </c>
      <c r="W9646">
        <v>1</v>
      </c>
      <c r="X9646">
        <v>2</v>
      </c>
      <c r="Y9646">
        <v>0</v>
      </c>
      <c r="Z9646">
        <v>2</v>
      </c>
      <c r="AA9646">
        <v>121.13</v>
      </c>
      <c r="AB9646">
        <v>121.13</v>
      </c>
      <c r="AC9646">
        <v>111.38</v>
      </c>
      <c r="AD9646">
        <v>0</v>
      </c>
      <c r="AE9646">
        <v>9.75</v>
      </c>
      <c r="AF9646">
        <v>0</v>
      </c>
      <c r="AG9646">
        <v>0</v>
      </c>
      <c r="AH9646">
        <v>0</v>
      </c>
      <c r="AI9646">
        <v>21.8</v>
      </c>
      <c r="AJ9646">
        <v>121.13</v>
      </c>
      <c r="AK9646">
        <v>0</v>
      </c>
      <c r="AL9646" t="s">
        <v>53</v>
      </c>
      <c r="AM9646" t="s">
        <v>53</v>
      </c>
      <c r="AN9646" t="s">
        <v>53</v>
      </c>
      <c r="AO9646" t="s">
        <v>53</v>
      </c>
      <c r="AP9646" t="s">
        <v>53</v>
      </c>
    </row>
    <row r="9647" spans="2:42" x14ac:dyDescent="0.2">
      <c r="B9647" t="s">
        <v>44</v>
      </c>
      <c r="C9647" t="str">
        <f>HYPERLINK("https://us2.cloudbeds.com/connect/8493803454333002#/reservations/9080486849694450?display=5G3MNZMXVS&amp;reservation_id=9080486849694450", "5G3MNZMXVS")</f>
        <v>5G3MNZMXVS</v>
      </c>
      <c r="D9647" t="s">
        <v>10291</v>
      </c>
      <c r="E9647" t="s">
        <v>69</v>
      </c>
      <c r="F9647" t="s">
        <v>70</v>
      </c>
      <c r="G9647" t="s">
        <v>48</v>
      </c>
      <c r="H9647" t="s">
        <v>49</v>
      </c>
      <c r="I9647" t="s">
        <v>8964</v>
      </c>
      <c r="J9647" t="s">
        <v>15822</v>
      </c>
      <c r="K9647" t="s">
        <v>14827</v>
      </c>
      <c r="L9647" t="s">
        <v>53</v>
      </c>
      <c r="N9647" t="s">
        <v>18526</v>
      </c>
      <c r="P9647" t="s">
        <v>55</v>
      </c>
      <c r="R9647" t="s">
        <v>53</v>
      </c>
      <c r="T9647" t="s">
        <v>18527</v>
      </c>
      <c r="U9647" t="s">
        <v>55</v>
      </c>
      <c r="V9647">
        <v>1</v>
      </c>
      <c r="W9647">
        <v>1</v>
      </c>
      <c r="X9647">
        <v>2</v>
      </c>
      <c r="Y9647">
        <v>0</v>
      </c>
      <c r="Z9647">
        <v>2</v>
      </c>
      <c r="AA9647">
        <v>0</v>
      </c>
      <c r="AB9647">
        <v>0</v>
      </c>
      <c r="AC9647">
        <v>147</v>
      </c>
      <c r="AD9647">
        <v>0</v>
      </c>
      <c r="AE9647">
        <v>0</v>
      </c>
      <c r="AF9647">
        <v>0</v>
      </c>
      <c r="AG9647">
        <v>0</v>
      </c>
      <c r="AH9647">
        <v>0</v>
      </c>
      <c r="AI9647">
        <v>22.05</v>
      </c>
      <c r="AJ9647">
        <v>147</v>
      </c>
      <c r="AK9647">
        <v>147</v>
      </c>
      <c r="AL9647" t="s">
        <v>53</v>
      </c>
      <c r="AM9647" t="s">
        <v>53</v>
      </c>
      <c r="AN9647" t="s">
        <v>53</v>
      </c>
      <c r="AO9647" t="s">
        <v>53</v>
      </c>
      <c r="AP9647" t="s">
        <v>53</v>
      </c>
    </row>
    <row r="9648" spans="2:42" x14ac:dyDescent="0.2">
      <c r="B9648" t="s">
        <v>44</v>
      </c>
      <c r="C9648" t="str">
        <f>HYPERLINK("https://us2.cloudbeds.com/connect/8493803454333002#/reservations/9080486849695026?display=5G3U7M9RVA&amp;reservation_id=9080486849695026", "5G3U7M9RVA")</f>
        <v>5G3U7M9RVA</v>
      </c>
      <c r="D9648" t="s">
        <v>10291</v>
      </c>
      <c r="E9648" t="s">
        <v>487</v>
      </c>
      <c r="F9648" t="s">
        <v>61</v>
      </c>
      <c r="G9648" t="s">
        <v>48</v>
      </c>
      <c r="H9648" t="s">
        <v>49</v>
      </c>
      <c r="I9648" t="s">
        <v>50</v>
      </c>
      <c r="J9648" t="s">
        <v>14372</v>
      </c>
      <c r="K9648" t="s">
        <v>16111</v>
      </c>
      <c r="L9648" t="s">
        <v>53</v>
      </c>
      <c r="N9648" t="s">
        <v>18528</v>
      </c>
      <c r="P9648" t="s">
        <v>55</v>
      </c>
      <c r="R9648" t="s">
        <v>53</v>
      </c>
      <c r="T9648" t="s">
        <v>18529</v>
      </c>
      <c r="U9648" t="s">
        <v>55</v>
      </c>
      <c r="V9648">
        <v>3</v>
      </c>
      <c r="W9648">
        <v>1</v>
      </c>
      <c r="X9648">
        <v>1</v>
      </c>
      <c r="Y9648">
        <v>0</v>
      </c>
      <c r="Z9648">
        <v>1</v>
      </c>
      <c r="AA9648">
        <v>400.43</v>
      </c>
      <c r="AB9648">
        <v>0</v>
      </c>
      <c r="AC9648">
        <v>368.21</v>
      </c>
      <c r="AD9648">
        <v>0</v>
      </c>
      <c r="AE9648">
        <v>32.22</v>
      </c>
      <c r="AF9648">
        <v>0</v>
      </c>
      <c r="AG9648">
        <v>0</v>
      </c>
      <c r="AH9648">
        <v>0</v>
      </c>
      <c r="AI9648">
        <v>72.08</v>
      </c>
      <c r="AJ9648">
        <v>400.43</v>
      </c>
      <c r="AK9648">
        <v>400.43</v>
      </c>
      <c r="AL9648" t="s">
        <v>53</v>
      </c>
      <c r="AM9648" t="s">
        <v>53</v>
      </c>
      <c r="AN9648" t="s">
        <v>53</v>
      </c>
      <c r="AO9648" t="s">
        <v>53</v>
      </c>
      <c r="AP9648" t="s">
        <v>53</v>
      </c>
    </row>
    <row r="9649" spans="2:42" x14ac:dyDescent="0.2">
      <c r="B9649" t="s">
        <v>44</v>
      </c>
      <c r="C9649" t="str">
        <f>HYPERLINK("https://us2.cloudbeds.com/connect/8493803454333002#/reservations/9080486849695398?display=5G4260PCBF&amp;reservation_id=9080486849695398", "5G4260PCBF")</f>
        <v>5G4260PCBF</v>
      </c>
      <c r="D9649" t="s">
        <v>10291</v>
      </c>
      <c r="E9649" t="s">
        <v>78</v>
      </c>
      <c r="F9649" t="s">
        <v>61</v>
      </c>
      <c r="G9649" t="s">
        <v>48</v>
      </c>
      <c r="H9649" t="s">
        <v>49</v>
      </c>
      <c r="I9649" t="s">
        <v>50</v>
      </c>
      <c r="J9649" t="s">
        <v>15545</v>
      </c>
      <c r="K9649" t="s">
        <v>17242</v>
      </c>
      <c r="L9649" t="s">
        <v>53</v>
      </c>
      <c r="N9649" t="s">
        <v>18530</v>
      </c>
      <c r="P9649" t="s">
        <v>55</v>
      </c>
      <c r="R9649" t="s">
        <v>53</v>
      </c>
      <c r="T9649" t="s">
        <v>18531</v>
      </c>
      <c r="U9649" t="s">
        <v>55</v>
      </c>
      <c r="V9649">
        <v>2</v>
      </c>
      <c r="W9649">
        <v>1</v>
      </c>
      <c r="X9649">
        <v>2</v>
      </c>
      <c r="Y9649">
        <v>0</v>
      </c>
      <c r="Z9649">
        <v>2</v>
      </c>
      <c r="AA9649">
        <v>240.56</v>
      </c>
      <c r="AB9649">
        <v>0</v>
      </c>
      <c r="AC9649">
        <v>221.2</v>
      </c>
      <c r="AD9649">
        <v>0</v>
      </c>
      <c r="AE9649">
        <v>19.36</v>
      </c>
      <c r="AF9649">
        <v>0</v>
      </c>
      <c r="AG9649">
        <v>0</v>
      </c>
      <c r="AH9649">
        <v>0</v>
      </c>
      <c r="AI9649">
        <v>43.3</v>
      </c>
      <c r="AJ9649">
        <v>240.56</v>
      </c>
      <c r="AK9649">
        <v>240.56</v>
      </c>
      <c r="AL9649" t="s">
        <v>53</v>
      </c>
      <c r="AM9649" t="s">
        <v>53</v>
      </c>
      <c r="AN9649" t="s">
        <v>53</v>
      </c>
      <c r="AO9649" t="s">
        <v>53</v>
      </c>
      <c r="AP9649" t="s">
        <v>53</v>
      </c>
    </row>
    <row r="9650" spans="2:42" x14ac:dyDescent="0.2">
      <c r="B9650" t="s">
        <v>44</v>
      </c>
      <c r="C9650" t="str">
        <f>HYPERLINK("https://us2.cloudbeds.com/connect/8493803454333002#/reservations/9080486849695905?display=5G492T101T&amp;reservation_id=9080486849695905", "5G492T101T")</f>
        <v>5G492T101T</v>
      </c>
      <c r="D9650" t="s">
        <v>10291</v>
      </c>
      <c r="E9650" t="s">
        <v>53</v>
      </c>
      <c r="F9650" t="s">
        <v>70</v>
      </c>
      <c r="G9650" t="s">
        <v>48</v>
      </c>
      <c r="H9650" t="s">
        <v>49</v>
      </c>
      <c r="I9650" t="s">
        <v>50</v>
      </c>
      <c r="J9650" t="s">
        <v>17910</v>
      </c>
      <c r="K9650" t="s">
        <v>17421</v>
      </c>
      <c r="L9650" t="s">
        <v>53</v>
      </c>
      <c r="N9650" t="s">
        <v>18532</v>
      </c>
      <c r="P9650" t="s">
        <v>55</v>
      </c>
      <c r="R9650" t="s">
        <v>53</v>
      </c>
      <c r="T9650" t="s">
        <v>18533</v>
      </c>
      <c r="U9650" t="s">
        <v>55</v>
      </c>
      <c r="V9650">
        <v>5</v>
      </c>
      <c r="W9650">
        <v>1</v>
      </c>
      <c r="X9650">
        <v>1</v>
      </c>
      <c r="Y9650">
        <v>0</v>
      </c>
      <c r="Z9650">
        <v>1</v>
      </c>
      <c r="AA9650">
        <v>640.45000000000005</v>
      </c>
      <c r="AB9650">
        <v>0</v>
      </c>
      <c r="AC9650">
        <v>588.91</v>
      </c>
      <c r="AD9650">
        <v>0</v>
      </c>
      <c r="AE9650">
        <v>51.54</v>
      </c>
      <c r="AF9650">
        <v>0</v>
      </c>
      <c r="AG9650">
        <v>0</v>
      </c>
      <c r="AH9650">
        <v>0</v>
      </c>
      <c r="AI9650">
        <v>115.28</v>
      </c>
      <c r="AJ9650">
        <v>640.45000000000005</v>
      </c>
      <c r="AK9650">
        <v>640.45000000000005</v>
      </c>
      <c r="AL9650" t="s">
        <v>53</v>
      </c>
      <c r="AM9650" t="s">
        <v>53</v>
      </c>
      <c r="AN9650" t="s">
        <v>53</v>
      </c>
      <c r="AO9650" t="s">
        <v>53</v>
      </c>
      <c r="AP9650" t="s">
        <v>53</v>
      </c>
    </row>
    <row r="9651" spans="2:42" x14ac:dyDescent="0.2">
      <c r="B9651" t="s">
        <v>44</v>
      </c>
      <c r="C9651" t="str">
        <f>HYPERLINK("https://us2.cloudbeds.com/connect/8493803454333002#/reservations/9080486849696042?display=5G4AWHERMD&amp;reservation_id=9080486849696042", "5G4AWHERMD")</f>
        <v>5G4AWHERMD</v>
      </c>
      <c r="D9651" t="s">
        <v>45</v>
      </c>
      <c r="E9651" t="s">
        <v>113</v>
      </c>
      <c r="F9651" t="s">
        <v>61</v>
      </c>
      <c r="G9651" t="s">
        <v>48</v>
      </c>
      <c r="H9651" t="s">
        <v>49</v>
      </c>
      <c r="I9651" t="s">
        <v>50</v>
      </c>
      <c r="J9651" t="s">
        <v>14391</v>
      </c>
      <c r="K9651" t="s">
        <v>17389</v>
      </c>
      <c r="L9651" t="s">
        <v>53</v>
      </c>
      <c r="N9651" t="s">
        <v>18534</v>
      </c>
      <c r="P9651" t="s">
        <v>55</v>
      </c>
      <c r="R9651" t="s">
        <v>53</v>
      </c>
      <c r="T9651" t="s">
        <v>18535</v>
      </c>
      <c r="U9651" t="s">
        <v>55</v>
      </c>
      <c r="V9651">
        <v>1</v>
      </c>
      <c r="W9651">
        <v>1</v>
      </c>
      <c r="X9651">
        <v>2</v>
      </c>
      <c r="Y9651">
        <v>0</v>
      </c>
      <c r="Z9651">
        <v>2</v>
      </c>
      <c r="AA9651">
        <v>121.13</v>
      </c>
      <c r="AB9651">
        <v>121.13</v>
      </c>
      <c r="AC9651">
        <v>111.38</v>
      </c>
      <c r="AD9651">
        <v>0</v>
      </c>
      <c r="AE9651">
        <v>9.75</v>
      </c>
      <c r="AF9651">
        <v>0</v>
      </c>
      <c r="AG9651">
        <v>0</v>
      </c>
      <c r="AH9651">
        <v>0</v>
      </c>
      <c r="AI9651">
        <v>21.8</v>
      </c>
      <c r="AJ9651">
        <v>121.13</v>
      </c>
      <c r="AK9651">
        <v>0</v>
      </c>
      <c r="AL9651" t="s">
        <v>53</v>
      </c>
      <c r="AM9651" t="s">
        <v>53</v>
      </c>
      <c r="AN9651" t="s">
        <v>53</v>
      </c>
      <c r="AO9651" t="s">
        <v>53</v>
      </c>
      <c r="AP9651" t="s">
        <v>53</v>
      </c>
    </row>
    <row r="9652" spans="2:42" x14ac:dyDescent="0.2">
      <c r="B9652" t="s">
        <v>44</v>
      </c>
      <c r="C9652" t="str">
        <f>HYPERLINK("https://us2.cloudbeds.com/connect/8493803454333002#/reservations/9080486849696045?display=5G4B0A19PF&amp;reservation_id=9080486849696045", "5G4B0A19PF")</f>
        <v>5G4B0A19PF</v>
      </c>
      <c r="D9652" t="s">
        <v>45</v>
      </c>
      <c r="E9652" t="s">
        <v>78</v>
      </c>
      <c r="F9652" t="s">
        <v>61</v>
      </c>
      <c r="G9652" t="s">
        <v>48</v>
      </c>
      <c r="H9652" t="s">
        <v>49</v>
      </c>
      <c r="I9652" t="s">
        <v>50</v>
      </c>
      <c r="J9652" t="s">
        <v>14391</v>
      </c>
      <c r="K9652" t="s">
        <v>17389</v>
      </c>
      <c r="L9652" t="s">
        <v>53</v>
      </c>
      <c r="N9652" t="s">
        <v>18536</v>
      </c>
      <c r="P9652" t="s">
        <v>55</v>
      </c>
      <c r="R9652" t="s">
        <v>53</v>
      </c>
      <c r="T9652" t="s">
        <v>18537</v>
      </c>
      <c r="U9652" t="s">
        <v>55</v>
      </c>
      <c r="V9652">
        <v>1</v>
      </c>
      <c r="W9652">
        <v>1</v>
      </c>
      <c r="X9652">
        <v>2</v>
      </c>
      <c r="Y9652">
        <v>0</v>
      </c>
      <c r="Z9652">
        <v>2</v>
      </c>
      <c r="AA9652">
        <v>121.13</v>
      </c>
      <c r="AB9652">
        <v>121.13</v>
      </c>
      <c r="AC9652">
        <v>111.38</v>
      </c>
      <c r="AD9652">
        <v>0</v>
      </c>
      <c r="AE9652">
        <v>9.75</v>
      </c>
      <c r="AF9652">
        <v>0</v>
      </c>
      <c r="AG9652">
        <v>0</v>
      </c>
      <c r="AH9652">
        <v>0</v>
      </c>
      <c r="AI9652">
        <v>21.8</v>
      </c>
      <c r="AJ9652">
        <v>121.13</v>
      </c>
      <c r="AK9652">
        <v>0</v>
      </c>
      <c r="AL9652" t="s">
        <v>53</v>
      </c>
      <c r="AM9652" t="s">
        <v>53</v>
      </c>
      <c r="AN9652" t="s">
        <v>53</v>
      </c>
      <c r="AO9652" t="s">
        <v>53</v>
      </c>
      <c r="AP9652" t="s">
        <v>53</v>
      </c>
    </row>
    <row r="9653" spans="2:42" x14ac:dyDescent="0.2">
      <c r="B9653" t="s">
        <v>44</v>
      </c>
      <c r="C9653" t="str">
        <f>HYPERLINK("https://us2.cloudbeds.com/connect/8493803454333002#/reservations/9080486849697722?display=5G5024X7YX&amp;reservation_id=9080486849697722", "5G5024X7YX")</f>
        <v>5G5024X7YX</v>
      </c>
      <c r="D9653" t="s">
        <v>45</v>
      </c>
      <c r="E9653" t="s">
        <v>92</v>
      </c>
      <c r="F9653" t="s">
        <v>86</v>
      </c>
      <c r="G9653" t="s">
        <v>48</v>
      </c>
      <c r="H9653" t="s">
        <v>49</v>
      </c>
      <c r="I9653" t="s">
        <v>50</v>
      </c>
      <c r="J9653" t="s">
        <v>14391</v>
      </c>
      <c r="K9653" t="s">
        <v>17389</v>
      </c>
      <c r="L9653" t="s">
        <v>53</v>
      </c>
      <c r="N9653" t="s">
        <v>18538</v>
      </c>
      <c r="P9653" t="s">
        <v>55</v>
      </c>
      <c r="R9653" t="s">
        <v>53</v>
      </c>
      <c r="T9653" t="s">
        <v>18539</v>
      </c>
      <c r="U9653" t="s">
        <v>55</v>
      </c>
      <c r="V9653">
        <v>1</v>
      </c>
      <c r="W9653">
        <v>1</v>
      </c>
      <c r="X9653">
        <v>2</v>
      </c>
      <c r="Y9653">
        <v>0</v>
      </c>
      <c r="Z9653">
        <v>2</v>
      </c>
      <c r="AA9653">
        <v>150.35</v>
      </c>
      <c r="AB9653">
        <v>150.35</v>
      </c>
      <c r="AC9653">
        <v>138.25</v>
      </c>
      <c r="AD9653">
        <v>0</v>
      </c>
      <c r="AE9653">
        <v>12.1</v>
      </c>
      <c r="AF9653">
        <v>0</v>
      </c>
      <c r="AG9653">
        <v>0</v>
      </c>
      <c r="AH9653">
        <v>0</v>
      </c>
      <c r="AI9653">
        <v>27.06</v>
      </c>
      <c r="AJ9653">
        <v>150.35</v>
      </c>
      <c r="AK9653">
        <v>0</v>
      </c>
      <c r="AL9653" t="s">
        <v>53</v>
      </c>
      <c r="AM9653" t="s">
        <v>53</v>
      </c>
      <c r="AN9653" t="s">
        <v>53</v>
      </c>
      <c r="AO9653" t="s">
        <v>53</v>
      </c>
      <c r="AP9653" t="s">
        <v>53</v>
      </c>
    </row>
    <row r="9654" spans="2:42" x14ac:dyDescent="0.2">
      <c r="B9654" t="s">
        <v>44</v>
      </c>
      <c r="C9654" t="str">
        <f>HYPERLINK("https://us2.cloudbeds.com/connect/8493803454333002#/reservations/9080486849697988?display=5G53NAX0G0&amp;reservation_id=9080486849697988", "5G53NAX0G0")</f>
        <v>5G53NAX0G0</v>
      </c>
      <c r="D9654" t="s">
        <v>10291</v>
      </c>
      <c r="E9654" t="s">
        <v>128</v>
      </c>
      <c r="F9654" t="s">
        <v>86</v>
      </c>
      <c r="G9654" t="s">
        <v>48</v>
      </c>
      <c r="H9654" t="s">
        <v>49</v>
      </c>
      <c r="I9654" t="s">
        <v>50</v>
      </c>
      <c r="J9654" t="s">
        <v>17135</v>
      </c>
      <c r="K9654" t="s">
        <v>14372</v>
      </c>
      <c r="L9654" t="s">
        <v>53</v>
      </c>
      <c r="N9654" t="s">
        <v>18540</v>
      </c>
      <c r="P9654" t="s">
        <v>55</v>
      </c>
      <c r="R9654" t="s">
        <v>53</v>
      </c>
      <c r="T9654" t="s">
        <v>18541</v>
      </c>
      <c r="U9654" t="s">
        <v>55</v>
      </c>
      <c r="V9654">
        <v>2</v>
      </c>
      <c r="W9654">
        <v>1</v>
      </c>
      <c r="X9654">
        <v>4</v>
      </c>
      <c r="Y9654">
        <v>0</v>
      </c>
      <c r="Z9654">
        <v>4</v>
      </c>
      <c r="AA9654">
        <v>294.64</v>
      </c>
      <c r="AB9654">
        <v>0</v>
      </c>
      <c r="AC9654">
        <v>270.93</v>
      </c>
      <c r="AD9654">
        <v>0</v>
      </c>
      <c r="AE9654">
        <v>23.71</v>
      </c>
      <c r="AF9654">
        <v>0</v>
      </c>
      <c r="AG9654">
        <v>0</v>
      </c>
      <c r="AH9654">
        <v>0</v>
      </c>
      <c r="AI9654">
        <v>53.04</v>
      </c>
      <c r="AJ9654">
        <v>294.64</v>
      </c>
      <c r="AK9654">
        <v>294.64</v>
      </c>
      <c r="AL9654" t="s">
        <v>53</v>
      </c>
      <c r="AM9654" t="s">
        <v>53</v>
      </c>
      <c r="AN9654" t="s">
        <v>53</v>
      </c>
      <c r="AO9654" t="s">
        <v>53</v>
      </c>
      <c r="AP9654" t="s">
        <v>53</v>
      </c>
    </row>
    <row r="9655" spans="2:42" x14ac:dyDescent="0.2">
      <c r="B9655" t="s">
        <v>44</v>
      </c>
      <c r="C9655" t="str">
        <f>HYPERLINK("https://us2.cloudbeds.com/connect/8493803454333002#/reservations/254782833893568?display=5G57XV6PC3&amp;reservation_id=254782833893568", "5G57XV6PC3")</f>
        <v>5G57XV6PC3</v>
      </c>
      <c r="D9655" t="s">
        <v>45</v>
      </c>
      <c r="E9655" t="s">
        <v>487</v>
      </c>
      <c r="F9655" t="s">
        <v>61</v>
      </c>
      <c r="G9655" t="s">
        <v>48</v>
      </c>
      <c r="H9655" t="s">
        <v>3957</v>
      </c>
      <c r="I9655" t="s">
        <v>3975</v>
      </c>
      <c r="J9655" t="s">
        <v>14391</v>
      </c>
      <c r="K9655" t="s">
        <v>17389</v>
      </c>
      <c r="L9655" t="s">
        <v>53</v>
      </c>
      <c r="P9655" t="s">
        <v>55</v>
      </c>
      <c r="R9655" t="s">
        <v>56</v>
      </c>
      <c r="T9655" t="s">
        <v>18542</v>
      </c>
      <c r="U9655" t="s">
        <v>58</v>
      </c>
      <c r="V9655">
        <v>1</v>
      </c>
      <c r="W9655">
        <v>1</v>
      </c>
      <c r="X9655">
        <v>2</v>
      </c>
      <c r="Y9655">
        <v>0</v>
      </c>
      <c r="Z9655">
        <v>2</v>
      </c>
      <c r="AA9655">
        <v>166.25</v>
      </c>
      <c r="AB9655">
        <v>166.25</v>
      </c>
      <c r="AC9655">
        <v>145</v>
      </c>
      <c r="AD9655">
        <v>0</v>
      </c>
      <c r="AE9655">
        <v>21.25</v>
      </c>
      <c r="AF9655">
        <v>0</v>
      </c>
      <c r="AG9655">
        <v>0</v>
      </c>
      <c r="AH9655">
        <v>0</v>
      </c>
      <c r="AI9655">
        <v>0</v>
      </c>
      <c r="AJ9655">
        <v>166.25</v>
      </c>
      <c r="AK9655">
        <v>0</v>
      </c>
      <c r="AL9655" t="s">
        <v>53</v>
      </c>
      <c r="AM9655" t="s">
        <v>53</v>
      </c>
      <c r="AN9655" t="s">
        <v>53</v>
      </c>
      <c r="AO9655" t="s">
        <v>53</v>
      </c>
      <c r="AP9655" t="s">
        <v>53</v>
      </c>
    </row>
    <row r="9656" spans="2:42" x14ac:dyDescent="0.2">
      <c r="B9656" t="s">
        <v>44</v>
      </c>
      <c r="C9656" t="str">
        <f>HYPERLINK("https://us2.cloudbeds.com/connect/8493803454333002#/reservations/9080486849699384?display=5G5QZ6CF2X&amp;reservation_id=9080486849699384", "5G5QZ6CF2X")</f>
        <v>5G5QZ6CF2X</v>
      </c>
      <c r="D9656" t="s">
        <v>45</v>
      </c>
      <c r="E9656" t="s">
        <v>14402</v>
      </c>
      <c r="F9656" t="s">
        <v>14403</v>
      </c>
      <c r="G9656" t="s">
        <v>48</v>
      </c>
      <c r="H9656" t="s">
        <v>49</v>
      </c>
      <c r="I9656" t="s">
        <v>62</v>
      </c>
      <c r="J9656" t="s">
        <v>14391</v>
      </c>
      <c r="K9656" t="s">
        <v>17389</v>
      </c>
      <c r="L9656" t="s">
        <v>53</v>
      </c>
      <c r="N9656" t="s">
        <v>18543</v>
      </c>
      <c r="P9656" t="s">
        <v>55</v>
      </c>
      <c r="R9656" t="s">
        <v>56</v>
      </c>
      <c r="T9656" t="s">
        <v>18544</v>
      </c>
      <c r="U9656" t="s">
        <v>55</v>
      </c>
      <c r="V9656">
        <v>1</v>
      </c>
      <c r="W9656">
        <v>1</v>
      </c>
      <c r="X9656">
        <v>2</v>
      </c>
      <c r="Y9656">
        <v>0</v>
      </c>
      <c r="Z9656">
        <v>2</v>
      </c>
      <c r="AA9656">
        <v>173.25</v>
      </c>
      <c r="AB9656">
        <v>173.25</v>
      </c>
      <c r="AC9656">
        <v>173.25</v>
      </c>
      <c r="AD9656">
        <v>0</v>
      </c>
      <c r="AE9656">
        <v>0</v>
      </c>
      <c r="AF9656">
        <v>0</v>
      </c>
      <c r="AG9656">
        <v>0</v>
      </c>
      <c r="AH9656">
        <v>0</v>
      </c>
      <c r="AI9656">
        <v>31.19</v>
      </c>
      <c r="AJ9656">
        <v>173.25</v>
      </c>
      <c r="AK9656">
        <v>0</v>
      </c>
      <c r="AL9656" t="s">
        <v>53</v>
      </c>
      <c r="AM9656" t="s">
        <v>53</v>
      </c>
      <c r="AN9656" t="s">
        <v>53</v>
      </c>
      <c r="AO9656" t="s">
        <v>53</v>
      </c>
      <c r="AP9656" t="s">
        <v>53</v>
      </c>
    </row>
    <row r="9657" spans="2:42" x14ac:dyDescent="0.2">
      <c r="B9657" t="s">
        <v>44</v>
      </c>
      <c r="C9657" t="str">
        <f>HYPERLINK("https://us2.cloudbeds.com/connect/8493803454333002#/reservations/9080486849699534?display=5G5T71GNSV&amp;reservation_id=9080486849699534", "5G5T71GNSV")</f>
        <v>5G5T71GNSV</v>
      </c>
      <c r="D9657" t="s">
        <v>10291</v>
      </c>
      <c r="E9657" t="s">
        <v>110</v>
      </c>
      <c r="F9657" t="s">
        <v>47</v>
      </c>
      <c r="G9657" t="s">
        <v>48</v>
      </c>
      <c r="H9657" t="s">
        <v>49</v>
      </c>
      <c r="I9657" t="s">
        <v>50</v>
      </c>
      <c r="J9657" t="s">
        <v>16070</v>
      </c>
      <c r="K9657" t="s">
        <v>17817</v>
      </c>
      <c r="L9657" t="s">
        <v>53</v>
      </c>
      <c r="N9657" t="s">
        <v>18545</v>
      </c>
      <c r="P9657" t="s">
        <v>55</v>
      </c>
      <c r="R9657" t="s">
        <v>53</v>
      </c>
      <c r="T9657" t="s">
        <v>18546</v>
      </c>
      <c r="U9657" t="s">
        <v>55</v>
      </c>
      <c r="V9657">
        <v>3</v>
      </c>
      <c r="W9657">
        <v>1</v>
      </c>
      <c r="X9657">
        <v>2</v>
      </c>
      <c r="Y9657">
        <v>0</v>
      </c>
      <c r="Z9657">
        <v>2</v>
      </c>
      <c r="AA9657">
        <v>289</v>
      </c>
      <c r="AB9657">
        <v>0</v>
      </c>
      <c r="AC9657">
        <v>265.75</v>
      </c>
      <c r="AD9657">
        <v>0</v>
      </c>
      <c r="AE9657">
        <v>23.25</v>
      </c>
      <c r="AF9657">
        <v>0</v>
      </c>
      <c r="AG9657">
        <v>0</v>
      </c>
      <c r="AH9657">
        <v>0</v>
      </c>
      <c r="AI9657">
        <v>52.02</v>
      </c>
      <c r="AJ9657">
        <v>289</v>
      </c>
      <c r="AK9657">
        <v>289</v>
      </c>
      <c r="AL9657" t="s">
        <v>53</v>
      </c>
      <c r="AM9657" t="s">
        <v>53</v>
      </c>
      <c r="AN9657" t="s">
        <v>53</v>
      </c>
      <c r="AO9657" t="s">
        <v>53</v>
      </c>
      <c r="AP9657" t="s">
        <v>53</v>
      </c>
    </row>
    <row r="9658" spans="2:42" x14ac:dyDescent="0.2">
      <c r="B9658" t="s">
        <v>44</v>
      </c>
      <c r="C9658" t="str">
        <f>HYPERLINK("https://us2.cloudbeds.com/connect/8493803454333002#/reservations/9080486849699716?display=5G5WYAXUE9&amp;reservation_id=9080486849699716", "5G5WYAXUE9")</f>
        <v>5G5WYAXUE9</v>
      </c>
      <c r="D9658" t="s">
        <v>45</v>
      </c>
      <c r="E9658" t="s">
        <v>381</v>
      </c>
      <c r="F9658" t="s">
        <v>47</v>
      </c>
      <c r="G9658" t="s">
        <v>48</v>
      </c>
      <c r="H9658" t="s">
        <v>49</v>
      </c>
      <c r="I9658" t="s">
        <v>8964</v>
      </c>
      <c r="J9658" t="s">
        <v>14391</v>
      </c>
      <c r="K9658" t="s">
        <v>17389</v>
      </c>
      <c r="L9658" t="s">
        <v>53</v>
      </c>
      <c r="N9658" t="s">
        <v>18547</v>
      </c>
      <c r="P9658" t="s">
        <v>58</v>
      </c>
      <c r="R9658" t="s">
        <v>53</v>
      </c>
      <c r="T9658" t="s">
        <v>18548</v>
      </c>
      <c r="U9658" t="s">
        <v>55</v>
      </c>
      <c r="V9658">
        <v>1</v>
      </c>
      <c r="W9658">
        <v>1</v>
      </c>
      <c r="X9658">
        <v>1</v>
      </c>
      <c r="Y9658">
        <v>0</v>
      </c>
      <c r="Z9658">
        <v>1</v>
      </c>
      <c r="AA9658">
        <v>0</v>
      </c>
      <c r="AB9658">
        <v>0</v>
      </c>
      <c r="AC9658">
        <v>168</v>
      </c>
      <c r="AD9658">
        <v>0</v>
      </c>
      <c r="AE9658">
        <v>0</v>
      </c>
      <c r="AF9658">
        <v>0</v>
      </c>
      <c r="AG9658">
        <v>0</v>
      </c>
      <c r="AH9658">
        <v>0</v>
      </c>
      <c r="AI9658">
        <v>25.2</v>
      </c>
      <c r="AJ9658">
        <v>168</v>
      </c>
      <c r="AK9658">
        <v>168</v>
      </c>
      <c r="AL9658" t="s">
        <v>53</v>
      </c>
      <c r="AM9658" t="s">
        <v>53</v>
      </c>
      <c r="AN9658" t="s">
        <v>53</v>
      </c>
      <c r="AO9658" t="s">
        <v>53</v>
      </c>
      <c r="AP9658" t="s">
        <v>53</v>
      </c>
    </row>
    <row r="9659" spans="2:42" x14ac:dyDescent="0.2">
      <c r="B9659" t="s">
        <v>44</v>
      </c>
      <c r="C9659" t="str">
        <f>HYPERLINK("https://us2.cloudbeds.com/connect/8493803454333002#/reservations/9080486849700027?display=5G65DG990H&amp;reservation_id=9080486849700027", "5G65DG990H")</f>
        <v>5G65DG990H</v>
      </c>
      <c r="D9659" t="s">
        <v>10291</v>
      </c>
      <c r="E9659" t="s">
        <v>165</v>
      </c>
      <c r="F9659" t="s">
        <v>61</v>
      </c>
      <c r="G9659" t="s">
        <v>48</v>
      </c>
      <c r="H9659" t="s">
        <v>49</v>
      </c>
      <c r="I9659" t="s">
        <v>50</v>
      </c>
      <c r="J9659" t="s">
        <v>17355</v>
      </c>
      <c r="K9659" t="s">
        <v>15822</v>
      </c>
      <c r="L9659" t="s">
        <v>53</v>
      </c>
      <c r="N9659" t="s">
        <v>18549</v>
      </c>
      <c r="P9659" t="s">
        <v>55</v>
      </c>
      <c r="R9659" t="s">
        <v>53</v>
      </c>
      <c r="T9659" t="s">
        <v>18550</v>
      </c>
      <c r="U9659" t="s">
        <v>55</v>
      </c>
      <c r="V9659">
        <v>4</v>
      </c>
      <c r="W9659">
        <v>1</v>
      </c>
      <c r="X9659">
        <v>2</v>
      </c>
      <c r="Y9659">
        <v>0</v>
      </c>
      <c r="Z9659">
        <v>2</v>
      </c>
      <c r="AA9659">
        <v>502.34</v>
      </c>
      <c r="AB9659">
        <v>0</v>
      </c>
      <c r="AC9659">
        <v>461.9</v>
      </c>
      <c r="AD9659">
        <v>0</v>
      </c>
      <c r="AE9659">
        <v>40.44</v>
      </c>
      <c r="AF9659">
        <v>0</v>
      </c>
      <c r="AG9659">
        <v>0</v>
      </c>
      <c r="AH9659">
        <v>0</v>
      </c>
      <c r="AI9659">
        <v>90.42</v>
      </c>
      <c r="AJ9659">
        <v>502.34</v>
      </c>
      <c r="AK9659">
        <v>502.34</v>
      </c>
      <c r="AL9659" t="s">
        <v>53</v>
      </c>
      <c r="AM9659" t="s">
        <v>53</v>
      </c>
      <c r="AN9659" t="s">
        <v>53</v>
      </c>
      <c r="AO9659" t="s">
        <v>53</v>
      </c>
      <c r="AP9659" t="s">
        <v>53</v>
      </c>
    </row>
    <row r="9660" spans="2:42" x14ac:dyDescent="0.2">
      <c r="B9660" t="s">
        <v>44</v>
      </c>
      <c r="C9660" t="str">
        <f>HYPERLINK("https://us2.cloudbeds.com/connect/8493803454333002#/reservations/254828878545024?display=5G6A7G966F&amp;reservation_id=254828878545024", "5G6A7G966F")</f>
        <v>5G6A7G966F</v>
      </c>
      <c r="D9660" t="s">
        <v>10291</v>
      </c>
      <c r="E9660" t="s">
        <v>98</v>
      </c>
      <c r="F9660" t="s">
        <v>86</v>
      </c>
      <c r="G9660" t="s">
        <v>15366</v>
      </c>
      <c r="H9660" t="s">
        <v>3957</v>
      </c>
      <c r="I9660" t="s">
        <v>3958</v>
      </c>
      <c r="J9660" t="s">
        <v>15338</v>
      </c>
      <c r="K9660" t="s">
        <v>17522</v>
      </c>
      <c r="L9660" t="s">
        <v>53</v>
      </c>
      <c r="P9660" t="s">
        <v>55</v>
      </c>
      <c r="R9660" t="s">
        <v>56</v>
      </c>
      <c r="T9660" t="s">
        <v>18551</v>
      </c>
      <c r="U9660" t="s">
        <v>58</v>
      </c>
      <c r="V9660">
        <v>1</v>
      </c>
      <c r="W9660">
        <v>1</v>
      </c>
      <c r="X9660">
        <v>1</v>
      </c>
      <c r="Y9660">
        <v>0</v>
      </c>
      <c r="Z9660">
        <v>1</v>
      </c>
      <c r="AA9660">
        <v>175.42</v>
      </c>
      <c r="AB9660">
        <v>0</v>
      </c>
      <c r="AC9660">
        <v>153</v>
      </c>
      <c r="AD9660">
        <v>0</v>
      </c>
      <c r="AE9660">
        <v>22.42</v>
      </c>
      <c r="AF9660">
        <v>0</v>
      </c>
      <c r="AG9660">
        <v>0</v>
      </c>
      <c r="AH9660">
        <v>0</v>
      </c>
      <c r="AI9660">
        <v>0</v>
      </c>
      <c r="AJ9660">
        <v>175.42</v>
      </c>
      <c r="AK9660">
        <v>175.42</v>
      </c>
      <c r="AL9660" t="s">
        <v>53</v>
      </c>
      <c r="AM9660" t="s">
        <v>53</v>
      </c>
      <c r="AN9660" t="s">
        <v>18552</v>
      </c>
      <c r="AO9660" t="s">
        <v>53</v>
      </c>
      <c r="AP9660" t="s">
        <v>53</v>
      </c>
    </row>
    <row r="9661" spans="2:42" x14ac:dyDescent="0.2">
      <c r="B9661" t="s">
        <v>44</v>
      </c>
      <c r="C9661" t="str">
        <f>HYPERLINK("https://us2.cloudbeds.com/connect/8493803454333002#/reservations/9080486849700491?display=5G6EG933J6&amp;reservation_id=9080486849700491", "5G6EG933J6")</f>
        <v>5G6EG933J6</v>
      </c>
      <c r="D9661" t="s">
        <v>10291</v>
      </c>
      <c r="E9661" t="s">
        <v>110</v>
      </c>
      <c r="F9661" t="s">
        <v>47</v>
      </c>
      <c r="G9661" t="s">
        <v>48</v>
      </c>
      <c r="H9661" t="s">
        <v>49</v>
      </c>
      <c r="I9661" t="s">
        <v>50</v>
      </c>
      <c r="J9661" t="s">
        <v>18069</v>
      </c>
      <c r="K9661" t="s">
        <v>17973</v>
      </c>
      <c r="L9661" t="s">
        <v>53</v>
      </c>
      <c r="N9661" t="s">
        <v>18553</v>
      </c>
      <c r="P9661" t="s">
        <v>55</v>
      </c>
      <c r="R9661" t="s">
        <v>53</v>
      </c>
      <c r="T9661" t="s">
        <v>18554</v>
      </c>
      <c r="U9661" t="s">
        <v>55</v>
      </c>
      <c r="V9661">
        <v>1</v>
      </c>
      <c r="W9661">
        <v>1</v>
      </c>
      <c r="X9661">
        <v>2</v>
      </c>
      <c r="Y9661">
        <v>0</v>
      </c>
      <c r="Z9661">
        <v>2</v>
      </c>
      <c r="AA9661">
        <v>112.76</v>
      </c>
      <c r="AB9661">
        <v>0</v>
      </c>
      <c r="AC9661">
        <v>103.69</v>
      </c>
      <c r="AD9661">
        <v>0</v>
      </c>
      <c r="AE9661">
        <v>9.07</v>
      </c>
      <c r="AF9661">
        <v>0</v>
      </c>
      <c r="AG9661">
        <v>0</v>
      </c>
      <c r="AH9661">
        <v>0</v>
      </c>
      <c r="AI9661">
        <v>20.3</v>
      </c>
      <c r="AJ9661">
        <v>112.76</v>
      </c>
      <c r="AK9661">
        <v>112.76</v>
      </c>
      <c r="AL9661" t="s">
        <v>53</v>
      </c>
      <c r="AM9661" t="s">
        <v>53</v>
      </c>
      <c r="AN9661" t="s">
        <v>53</v>
      </c>
      <c r="AO9661" t="s">
        <v>53</v>
      </c>
      <c r="AP9661" t="s">
        <v>53</v>
      </c>
    </row>
    <row r="9662" spans="2:42" x14ac:dyDescent="0.2">
      <c r="B9662" t="s">
        <v>44</v>
      </c>
      <c r="C9662" t="str">
        <f>HYPERLINK("https://us2.cloudbeds.com/connect/8493803454333002#/reservations/9080486849700796?display=5G6JT7SP3M&amp;reservation_id=9080486849700796", "5G6JT7SP3M")</f>
        <v>5G6JT7SP3M</v>
      </c>
      <c r="D9662" t="s">
        <v>45</v>
      </c>
      <c r="E9662" t="s">
        <v>138</v>
      </c>
      <c r="F9662" t="s">
        <v>70</v>
      </c>
      <c r="G9662" t="s">
        <v>48</v>
      </c>
      <c r="H9662" t="s">
        <v>49</v>
      </c>
      <c r="I9662" t="s">
        <v>50</v>
      </c>
      <c r="J9662" t="s">
        <v>17389</v>
      </c>
      <c r="K9662" t="s">
        <v>14371</v>
      </c>
      <c r="L9662" t="s">
        <v>53</v>
      </c>
      <c r="N9662" t="s">
        <v>18555</v>
      </c>
      <c r="P9662" t="s">
        <v>55</v>
      </c>
      <c r="R9662" t="s">
        <v>53</v>
      </c>
      <c r="T9662" t="s">
        <v>18556</v>
      </c>
      <c r="U9662" t="s">
        <v>55</v>
      </c>
      <c r="V9662">
        <v>1</v>
      </c>
      <c r="W9662">
        <v>1</v>
      </c>
      <c r="X9662">
        <v>2</v>
      </c>
      <c r="Y9662">
        <v>0</v>
      </c>
      <c r="Z9662">
        <v>2</v>
      </c>
      <c r="AA9662">
        <v>105.26</v>
      </c>
      <c r="AB9662">
        <v>105.26</v>
      </c>
      <c r="AC9662">
        <v>96.79</v>
      </c>
      <c r="AD9662">
        <v>0</v>
      </c>
      <c r="AE9662">
        <v>8.4700000000000006</v>
      </c>
      <c r="AF9662">
        <v>0</v>
      </c>
      <c r="AG9662">
        <v>0</v>
      </c>
      <c r="AH9662">
        <v>0</v>
      </c>
      <c r="AI9662">
        <v>18.95</v>
      </c>
      <c r="AJ9662">
        <v>105.26</v>
      </c>
      <c r="AK9662">
        <v>0</v>
      </c>
      <c r="AL9662" t="s">
        <v>53</v>
      </c>
      <c r="AM9662" t="s">
        <v>53</v>
      </c>
      <c r="AN9662" t="s">
        <v>53</v>
      </c>
      <c r="AO9662" t="s">
        <v>53</v>
      </c>
      <c r="AP9662" t="s">
        <v>53</v>
      </c>
    </row>
    <row r="9663" spans="2:42" x14ac:dyDescent="0.2">
      <c r="B9663" t="s">
        <v>44</v>
      </c>
      <c r="C9663" t="str">
        <f>HYPERLINK("https://us2.cloudbeds.com/connect/8493803454333002#/reservations/9080486849701112?display=5G6PQP3RDE&amp;reservation_id=9080486849701112", "5G6PQP3RDE")</f>
        <v>5G6PQP3RDE</v>
      </c>
      <c r="D9663" t="s">
        <v>10291</v>
      </c>
      <c r="E9663" t="s">
        <v>128</v>
      </c>
      <c r="F9663" t="s">
        <v>86</v>
      </c>
      <c r="G9663" t="s">
        <v>48</v>
      </c>
      <c r="H9663" t="s">
        <v>49</v>
      </c>
      <c r="I9663" t="s">
        <v>8964</v>
      </c>
      <c r="J9663" t="s">
        <v>18557</v>
      </c>
      <c r="K9663" t="s">
        <v>18558</v>
      </c>
      <c r="L9663" t="s">
        <v>53</v>
      </c>
      <c r="N9663" t="s">
        <v>18559</v>
      </c>
      <c r="P9663" t="s">
        <v>55</v>
      </c>
      <c r="R9663" t="s">
        <v>53</v>
      </c>
      <c r="T9663" t="s">
        <v>18560</v>
      </c>
      <c r="U9663" t="s">
        <v>55</v>
      </c>
      <c r="V9663">
        <v>2</v>
      </c>
      <c r="W9663">
        <v>1</v>
      </c>
      <c r="X9663">
        <v>2</v>
      </c>
      <c r="Y9663">
        <v>2</v>
      </c>
      <c r="Z9663">
        <v>4</v>
      </c>
      <c r="AA9663">
        <v>0</v>
      </c>
      <c r="AB9663">
        <v>0</v>
      </c>
      <c r="AC9663">
        <v>267</v>
      </c>
      <c r="AD9663">
        <v>0</v>
      </c>
      <c r="AE9663">
        <v>0</v>
      </c>
      <c r="AF9663">
        <v>0</v>
      </c>
      <c r="AG9663">
        <v>0</v>
      </c>
      <c r="AH9663">
        <v>0</v>
      </c>
      <c r="AI9663">
        <v>40.049999999999997</v>
      </c>
      <c r="AJ9663">
        <v>267</v>
      </c>
      <c r="AK9663">
        <v>267</v>
      </c>
      <c r="AL9663" t="s">
        <v>53</v>
      </c>
      <c r="AM9663" t="s">
        <v>53</v>
      </c>
      <c r="AN9663" t="s">
        <v>53</v>
      </c>
      <c r="AO9663" t="s">
        <v>53</v>
      </c>
      <c r="AP9663" t="s">
        <v>53</v>
      </c>
    </row>
    <row r="9664" spans="2:42" x14ac:dyDescent="0.2">
      <c r="B9664" t="s">
        <v>44</v>
      </c>
      <c r="C9664" t="str">
        <f>HYPERLINK("https://us2.cloudbeds.com/connect/8493803454333002#/reservations/9080486849701386?display=5G6USWA44P&amp;reservation_id=9080486849701386", "5G6USWA44P")</f>
        <v>5G6USWA44P</v>
      </c>
      <c r="D9664" t="s">
        <v>10291</v>
      </c>
      <c r="E9664" t="s">
        <v>110</v>
      </c>
      <c r="F9664" t="s">
        <v>47</v>
      </c>
      <c r="G9664" t="s">
        <v>48</v>
      </c>
      <c r="H9664" t="s">
        <v>49</v>
      </c>
      <c r="I9664" t="s">
        <v>50</v>
      </c>
      <c r="J9664" t="s">
        <v>17522</v>
      </c>
      <c r="K9664" t="s">
        <v>18040</v>
      </c>
      <c r="L9664" t="s">
        <v>53</v>
      </c>
      <c r="N9664" t="s">
        <v>18561</v>
      </c>
      <c r="P9664" t="s">
        <v>55</v>
      </c>
      <c r="R9664" t="s">
        <v>53</v>
      </c>
      <c r="T9664" t="s">
        <v>18562</v>
      </c>
      <c r="U9664" t="s">
        <v>55</v>
      </c>
      <c r="V9664">
        <v>2</v>
      </c>
      <c r="W9664">
        <v>1</v>
      </c>
      <c r="X9664">
        <v>2</v>
      </c>
      <c r="Y9664">
        <v>0</v>
      </c>
      <c r="Z9664">
        <v>2</v>
      </c>
      <c r="AA9664">
        <v>294.95999999999998</v>
      </c>
      <c r="AB9664">
        <v>0</v>
      </c>
      <c r="AC9664">
        <v>271.22000000000003</v>
      </c>
      <c r="AD9664">
        <v>0</v>
      </c>
      <c r="AE9664">
        <v>23.74</v>
      </c>
      <c r="AF9664">
        <v>0</v>
      </c>
      <c r="AG9664">
        <v>0</v>
      </c>
      <c r="AH9664">
        <v>0</v>
      </c>
      <c r="AI9664">
        <v>53.09</v>
      </c>
      <c r="AJ9664">
        <v>294.95999999999998</v>
      </c>
      <c r="AK9664">
        <v>294.95999999999998</v>
      </c>
      <c r="AL9664" t="s">
        <v>53</v>
      </c>
      <c r="AM9664" t="s">
        <v>53</v>
      </c>
      <c r="AN9664" t="s">
        <v>53</v>
      </c>
      <c r="AO9664" t="s">
        <v>53</v>
      </c>
      <c r="AP9664" t="s">
        <v>53</v>
      </c>
    </row>
    <row r="9665" spans="2:42" x14ac:dyDescent="0.2">
      <c r="B9665" t="s">
        <v>44</v>
      </c>
      <c r="C9665" t="str">
        <f>HYPERLINK("https://us2.cloudbeds.com/connect/8493803454333002#/reservations/9080486849701488?display=5G6WQ58D3E&amp;reservation_id=9080486849701488", "5G6WQ58D3E")</f>
        <v>5G6WQ58D3E</v>
      </c>
      <c r="D9665" t="s">
        <v>10291</v>
      </c>
      <c r="E9665" t="s">
        <v>85</v>
      </c>
      <c r="F9665" t="s">
        <v>86</v>
      </c>
      <c r="G9665" t="s">
        <v>48</v>
      </c>
      <c r="H9665" t="s">
        <v>49</v>
      </c>
      <c r="I9665" t="s">
        <v>62</v>
      </c>
      <c r="J9665" t="s">
        <v>17421</v>
      </c>
      <c r="K9665" t="s">
        <v>15817</v>
      </c>
      <c r="L9665" t="s">
        <v>53</v>
      </c>
      <c r="N9665" t="s">
        <v>18563</v>
      </c>
      <c r="P9665" t="s">
        <v>55</v>
      </c>
      <c r="R9665" t="s">
        <v>56</v>
      </c>
      <c r="T9665" t="s">
        <v>18564</v>
      </c>
      <c r="U9665" t="s">
        <v>55</v>
      </c>
      <c r="V9665">
        <v>2</v>
      </c>
      <c r="W9665">
        <v>1</v>
      </c>
      <c r="X9665">
        <v>2</v>
      </c>
      <c r="Y9665">
        <v>0</v>
      </c>
      <c r="Z9665">
        <v>2</v>
      </c>
      <c r="AA9665">
        <v>609</v>
      </c>
      <c r="AB9665">
        <v>0</v>
      </c>
      <c r="AC9665">
        <v>609</v>
      </c>
      <c r="AD9665">
        <v>0</v>
      </c>
      <c r="AE9665">
        <v>0</v>
      </c>
      <c r="AF9665">
        <v>0</v>
      </c>
      <c r="AG9665">
        <v>0</v>
      </c>
      <c r="AH9665">
        <v>0</v>
      </c>
      <c r="AI9665">
        <v>109.62</v>
      </c>
      <c r="AJ9665">
        <v>609</v>
      </c>
      <c r="AK9665">
        <v>609</v>
      </c>
      <c r="AL9665" t="s">
        <v>53</v>
      </c>
      <c r="AM9665" t="s">
        <v>53</v>
      </c>
      <c r="AN9665" t="s">
        <v>53</v>
      </c>
      <c r="AO9665" t="s">
        <v>53</v>
      </c>
      <c r="AP9665" t="s">
        <v>53</v>
      </c>
    </row>
    <row r="9666" spans="2:42" x14ac:dyDescent="0.2">
      <c r="B9666" t="s">
        <v>44</v>
      </c>
      <c r="C9666" t="str">
        <f>HYPERLINK("https://us2.cloudbeds.com/connect/8493803454333002#/reservations/9080486849701838?display=5G76J2R5UB&amp;reservation_id=9080486849701838", "5G76J2R5UB")</f>
        <v>5G76J2R5UB</v>
      </c>
      <c r="D9666" t="s">
        <v>45</v>
      </c>
      <c r="E9666" t="s">
        <v>406</v>
      </c>
      <c r="F9666" t="s">
        <v>61</v>
      </c>
      <c r="G9666" t="s">
        <v>48</v>
      </c>
      <c r="H9666" t="s">
        <v>49</v>
      </c>
      <c r="I9666" t="s">
        <v>50</v>
      </c>
      <c r="J9666" t="s">
        <v>14391</v>
      </c>
      <c r="K9666" t="s">
        <v>17389</v>
      </c>
      <c r="L9666" t="s">
        <v>53</v>
      </c>
      <c r="N9666" t="s">
        <v>18565</v>
      </c>
      <c r="P9666" t="s">
        <v>55</v>
      </c>
      <c r="R9666" t="s">
        <v>53</v>
      </c>
      <c r="T9666" t="s">
        <v>18566</v>
      </c>
      <c r="U9666" t="s">
        <v>55</v>
      </c>
      <c r="V9666">
        <v>1</v>
      </c>
      <c r="W9666">
        <v>1</v>
      </c>
      <c r="X9666">
        <v>2</v>
      </c>
      <c r="Y9666">
        <v>0</v>
      </c>
      <c r="Z9666">
        <v>2</v>
      </c>
      <c r="AA9666">
        <v>134.52000000000001</v>
      </c>
      <c r="AB9666">
        <v>134.52000000000001</v>
      </c>
      <c r="AC9666">
        <v>123.7</v>
      </c>
      <c r="AD9666">
        <v>0</v>
      </c>
      <c r="AE9666">
        <v>10.82</v>
      </c>
      <c r="AF9666">
        <v>0</v>
      </c>
      <c r="AG9666">
        <v>0</v>
      </c>
      <c r="AH9666">
        <v>0</v>
      </c>
      <c r="AI9666">
        <v>24.21</v>
      </c>
      <c r="AJ9666">
        <v>134.52000000000001</v>
      </c>
      <c r="AK9666">
        <v>0</v>
      </c>
      <c r="AL9666" t="s">
        <v>53</v>
      </c>
      <c r="AM9666" t="s">
        <v>53</v>
      </c>
      <c r="AN9666" t="s">
        <v>53</v>
      </c>
      <c r="AO9666" t="s">
        <v>53</v>
      </c>
      <c r="AP9666" t="s">
        <v>53</v>
      </c>
    </row>
    <row r="9667" spans="2:42" x14ac:dyDescent="0.2">
      <c r="B9667" t="s">
        <v>44</v>
      </c>
      <c r="C9667" t="str">
        <f>HYPERLINK("https://us2.cloudbeds.com/connect/8493803454333002#/reservations/9080486849701857?display=5G76RUCMEY&amp;reservation_id=9080486849701857", "5G76RUCMEY")</f>
        <v>5G76RUCMEY</v>
      </c>
      <c r="D9667" t="s">
        <v>10291</v>
      </c>
      <c r="E9667" t="s">
        <v>406</v>
      </c>
      <c r="F9667" t="s">
        <v>61</v>
      </c>
      <c r="G9667" t="s">
        <v>48</v>
      </c>
      <c r="H9667" t="s">
        <v>49</v>
      </c>
      <c r="I9667" t="s">
        <v>50</v>
      </c>
      <c r="J9667" t="s">
        <v>14372</v>
      </c>
      <c r="K9667" t="s">
        <v>16110</v>
      </c>
      <c r="L9667" t="s">
        <v>53</v>
      </c>
      <c r="N9667" t="s">
        <v>18567</v>
      </c>
      <c r="P9667" t="s">
        <v>55</v>
      </c>
      <c r="R9667" t="s">
        <v>53</v>
      </c>
      <c r="T9667" t="s">
        <v>18568</v>
      </c>
      <c r="U9667" t="s">
        <v>55</v>
      </c>
      <c r="V9667">
        <v>1</v>
      </c>
      <c r="W9667">
        <v>1</v>
      </c>
      <c r="X9667">
        <v>2</v>
      </c>
      <c r="Y9667">
        <v>0</v>
      </c>
      <c r="Z9667">
        <v>2</v>
      </c>
      <c r="AA9667">
        <v>167.71</v>
      </c>
      <c r="AB9667">
        <v>0</v>
      </c>
      <c r="AC9667">
        <v>154.21</v>
      </c>
      <c r="AD9667">
        <v>0</v>
      </c>
      <c r="AE9667">
        <v>13.5</v>
      </c>
      <c r="AF9667">
        <v>0</v>
      </c>
      <c r="AG9667">
        <v>0</v>
      </c>
      <c r="AH9667">
        <v>0</v>
      </c>
      <c r="AI9667">
        <v>30.19</v>
      </c>
      <c r="AJ9667">
        <v>167.71</v>
      </c>
      <c r="AK9667">
        <v>167.71</v>
      </c>
      <c r="AL9667" t="s">
        <v>53</v>
      </c>
      <c r="AM9667" t="s">
        <v>53</v>
      </c>
      <c r="AN9667" t="s">
        <v>53</v>
      </c>
      <c r="AO9667" t="s">
        <v>53</v>
      </c>
      <c r="AP9667" t="s">
        <v>53</v>
      </c>
    </row>
    <row r="9668" spans="2:42" x14ac:dyDescent="0.2">
      <c r="B9668" t="s">
        <v>44</v>
      </c>
      <c r="C9668" t="str">
        <f>HYPERLINK("https://us2.cloudbeds.com/connect/8493803454333002#/reservations/254868564672640?display=5G77VXMDQF&amp;reservation_id=254868564672640", "5G77VXMDQF")</f>
        <v>5G77VXMDQF</v>
      </c>
      <c r="D9668" t="s">
        <v>10291</v>
      </c>
      <c r="E9668" t="s">
        <v>113</v>
      </c>
      <c r="F9668" t="s">
        <v>61</v>
      </c>
      <c r="G9668" t="s">
        <v>3974</v>
      </c>
      <c r="H9668" t="s">
        <v>3957</v>
      </c>
      <c r="I9668" t="s">
        <v>3975</v>
      </c>
      <c r="J9668" t="s">
        <v>10293</v>
      </c>
      <c r="K9668" t="s">
        <v>16795</v>
      </c>
      <c r="L9668" t="s">
        <v>53</v>
      </c>
      <c r="P9668" t="s">
        <v>55</v>
      </c>
      <c r="R9668" t="s">
        <v>56</v>
      </c>
      <c r="T9668" t="s">
        <v>18569</v>
      </c>
      <c r="U9668" t="s">
        <v>58</v>
      </c>
      <c r="V9668">
        <v>1</v>
      </c>
      <c r="W9668">
        <v>1</v>
      </c>
      <c r="X9668">
        <v>2</v>
      </c>
      <c r="Y9668">
        <v>0</v>
      </c>
      <c r="Z9668">
        <v>2</v>
      </c>
      <c r="AA9668">
        <v>206.95</v>
      </c>
      <c r="AB9668">
        <v>206.95</v>
      </c>
      <c r="AC9668">
        <v>180.5</v>
      </c>
      <c r="AD9668">
        <v>0</v>
      </c>
      <c r="AE9668">
        <v>26.45</v>
      </c>
      <c r="AF9668">
        <v>0</v>
      </c>
      <c r="AG9668">
        <v>0</v>
      </c>
      <c r="AH9668">
        <v>0</v>
      </c>
      <c r="AI9668">
        <v>0</v>
      </c>
      <c r="AJ9668">
        <v>206.95</v>
      </c>
      <c r="AK9668">
        <v>0</v>
      </c>
      <c r="AL9668" t="s">
        <v>53</v>
      </c>
      <c r="AM9668" t="s">
        <v>53</v>
      </c>
      <c r="AN9668" t="s">
        <v>53</v>
      </c>
      <c r="AO9668" t="s">
        <v>53</v>
      </c>
      <c r="AP9668" t="s">
        <v>53</v>
      </c>
    </row>
    <row r="9669" spans="2:42" x14ac:dyDescent="0.2">
      <c r="B9669" t="s">
        <v>44</v>
      </c>
      <c r="C9669" t="str">
        <f>HYPERLINK("https://us2.cloudbeds.com/connect/8493803454333002#/reservations/9080486849702084?display=5G7AVB3DU2&amp;reservation_id=9080486849702084", "5G7AVB3DU2")</f>
        <v>5G7AVB3DU2</v>
      </c>
      <c r="D9669" t="s">
        <v>10291</v>
      </c>
      <c r="E9669" t="s">
        <v>78</v>
      </c>
      <c r="F9669" t="s">
        <v>61</v>
      </c>
      <c r="G9669" t="s">
        <v>48</v>
      </c>
      <c r="H9669" t="s">
        <v>49</v>
      </c>
      <c r="I9669" t="s">
        <v>50</v>
      </c>
      <c r="J9669" t="s">
        <v>17242</v>
      </c>
      <c r="K9669" t="s">
        <v>17533</v>
      </c>
      <c r="L9669" t="s">
        <v>53</v>
      </c>
      <c r="N9669" t="s">
        <v>18570</v>
      </c>
      <c r="P9669" t="s">
        <v>55</v>
      </c>
      <c r="R9669" t="s">
        <v>53</v>
      </c>
      <c r="T9669" t="s">
        <v>18571</v>
      </c>
      <c r="U9669" t="s">
        <v>55</v>
      </c>
      <c r="V9669">
        <v>1</v>
      </c>
      <c r="W9669">
        <v>1</v>
      </c>
      <c r="X9669">
        <v>2</v>
      </c>
      <c r="Y9669">
        <v>0</v>
      </c>
      <c r="Z9669">
        <v>2</v>
      </c>
      <c r="AA9669">
        <v>130.91999999999999</v>
      </c>
      <c r="AB9669">
        <v>0</v>
      </c>
      <c r="AC9669">
        <v>120.39</v>
      </c>
      <c r="AD9669">
        <v>0</v>
      </c>
      <c r="AE9669">
        <v>10.53</v>
      </c>
      <c r="AF9669">
        <v>0</v>
      </c>
      <c r="AG9669">
        <v>0</v>
      </c>
      <c r="AH9669">
        <v>0</v>
      </c>
      <c r="AI9669">
        <v>23.57</v>
      </c>
      <c r="AJ9669">
        <v>130.91999999999999</v>
      </c>
      <c r="AK9669">
        <v>130.91999999999999</v>
      </c>
      <c r="AL9669" t="s">
        <v>53</v>
      </c>
      <c r="AM9669" t="s">
        <v>53</v>
      </c>
      <c r="AN9669" t="s">
        <v>53</v>
      </c>
      <c r="AO9669" t="s">
        <v>53</v>
      </c>
      <c r="AP9669" t="s">
        <v>53</v>
      </c>
    </row>
    <row r="9670" spans="2:42" x14ac:dyDescent="0.2">
      <c r="B9670" t="s">
        <v>44</v>
      </c>
      <c r="C9670" t="str">
        <f>HYPERLINK("https://us2.cloudbeds.com/connect/8493803454333002#/reservations/9080486849702374?display=5G7GF5AV7G&amp;reservation_id=9080486849702374", "5G7GF5AV7G")</f>
        <v>5G7GF5AV7G</v>
      </c>
      <c r="D9670" t="s">
        <v>10291</v>
      </c>
      <c r="E9670" t="s">
        <v>98</v>
      </c>
      <c r="F9670" t="s">
        <v>86</v>
      </c>
      <c r="G9670" t="s">
        <v>48</v>
      </c>
      <c r="H9670" t="s">
        <v>49</v>
      </c>
      <c r="I9670" t="s">
        <v>50</v>
      </c>
      <c r="J9670" t="s">
        <v>15545</v>
      </c>
      <c r="K9670" t="s">
        <v>17242</v>
      </c>
      <c r="L9670" t="s">
        <v>53</v>
      </c>
      <c r="N9670" t="s">
        <v>18572</v>
      </c>
      <c r="P9670" t="s">
        <v>55</v>
      </c>
      <c r="R9670" t="s">
        <v>53</v>
      </c>
      <c r="T9670" t="s">
        <v>18573</v>
      </c>
      <c r="U9670" t="s">
        <v>55</v>
      </c>
      <c r="V9670">
        <v>2</v>
      </c>
      <c r="W9670">
        <v>1</v>
      </c>
      <c r="X9670">
        <v>4</v>
      </c>
      <c r="Y9670">
        <v>0</v>
      </c>
      <c r="Z9670">
        <v>4</v>
      </c>
      <c r="AA9670">
        <v>266.87</v>
      </c>
      <c r="AB9670">
        <v>0</v>
      </c>
      <c r="AC9670">
        <v>245.4</v>
      </c>
      <c r="AD9670">
        <v>0</v>
      </c>
      <c r="AE9670">
        <v>21.47</v>
      </c>
      <c r="AF9670">
        <v>0</v>
      </c>
      <c r="AG9670">
        <v>0</v>
      </c>
      <c r="AH9670">
        <v>0</v>
      </c>
      <c r="AI9670">
        <v>48.04</v>
      </c>
      <c r="AJ9670">
        <v>266.87</v>
      </c>
      <c r="AK9670">
        <v>266.87</v>
      </c>
      <c r="AL9670" t="s">
        <v>53</v>
      </c>
      <c r="AM9670" t="s">
        <v>53</v>
      </c>
      <c r="AN9670" t="s">
        <v>53</v>
      </c>
      <c r="AO9670" t="s">
        <v>53</v>
      </c>
      <c r="AP9670" t="s">
        <v>53</v>
      </c>
    </row>
    <row r="9671" spans="2:42" x14ac:dyDescent="0.2">
      <c r="B9671" t="s">
        <v>44</v>
      </c>
      <c r="C9671" t="str">
        <f>HYPERLINK("https://us2.cloudbeds.com/connect/8493803454333002#/reservations/9080486849702794?display=5G7P3DW8QP&amp;reservation_id=9080486849702794", "5G7P3DW8QP")</f>
        <v>5G7P3DW8QP</v>
      </c>
      <c r="D9671" t="s">
        <v>10291</v>
      </c>
      <c r="E9671" t="s">
        <v>98</v>
      </c>
      <c r="F9671" t="s">
        <v>86</v>
      </c>
      <c r="G9671" t="s">
        <v>48</v>
      </c>
      <c r="H9671" t="s">
        <v>49</v>
      </c>
      <c r="I9671" t="s">
        <v>50</v>
      </c>
      <c r="J9671" t="s">
        <v>17242</v>
      </c>
      <c r="K9671" t="s">
        <v>10293</v>
      </c>
      <c r="L9671" t="s">
        <v>53</v>
      </c>
      <c r="N9671" t="s">
        <v>18574</v>
      </c>
      <c r="P9671" t="s">
        <v>55</v>
      </c>
      <c r="R9671" t="s">
        <v>53</v>
      </c>
      <c r="T9671" t="s">
        <v>18575</v>
      </c>
      <c r="U9671" t="s">
        <v>55</v>
      </c>
      <c r="V9671">
        <v>3</v>
      </c>
      <c r="W9671">
        <v>1</v>
      </c>
      <c r="X9671">
        <v>3</v>
      </c>
      <c r="Y9671">
        <v>0</v>
      </c>
      <c r="Z9671">
        <v>3</v>
      </c>
      <c r="AA9671">
        <v>465.54</v>
      </c>
      <c r="AB9671">
        <v>0</v>
      </c>
      <c r="AC9671">
        <v>428.08</v>
      </c>
      <c r="AD9671">
        <v>0</v>
      </c>
      <c r="AE9671">
        <v>37.46</v>
      </c>
      <c r="AF9671">
        <v>0</v>
      </c>
      <c r="AG9671">
        <v>0</v>
      </c>
      <c r="AH9671">
        <v>0</v>
      </c>
      <c r="AI9671">
        <v>83.8</v>
      </c>
      <c r="AJ9671">
        <v>465.54</v>
      </c>
      <c r="AK9671">
        <v>465.54</v>
      </c>
      <c r="AL9671" t="s">
        <v>53</v>
      </c>
      <c r="AM9671" t="s">
        <v>53</v>
      </c>
      <c r="AN9671" t="s">
        <v>53</v>
      </c>
      <c r="AO9671" t="s">
        <v>53</v>
      </c>
      <c r="AP9671" t="s">
        <v>53</v>
      </c>
    </row>
    <row r="9672" spans="2:42" x14ac:dyDescent="0.2">
      <c r="B9672" t="s">
        <v>44</v>
      </c>
      <c r="C9672" t="str">
        <f>HYPERLINK("https://us2.cloudbeds.com/connect/8493803454333002#/reservations/9080486849702844?display=5G7Q9B5JQ4&amp;reservation_id=9080486849702844", "5G7Q9B5JQ4")</f>
        <v>5G7Q9B5JQ4</v>
      </c>
      <c r="D9672" t="s">
        <v>10291</v>
      </c>
      <c r="E9672" t="s">
        <v>138</v>
      </c>
      <c r="F9672" t="s">
        <v>70</v>
      </c>
      <c r="G9672" t="s">
        <v>48</v>
      </c>
      <c r="H9672" t="s">
        <v>49</v>
      </c>
      <c r="I9672" t="s">
        <v>8964</v>
      </c>
      <c r="J9672" t="s">
        <v>18576</v>
      </c>
      <c r="K9672" t="s">
        <v>18577</v>
      </c>
      <c r="L9672" t="s">
        <v>53</v>
      </c>
      <c r="N9672" t="s">
        <v>18578</v>
      </c>
      <c r="P9672" t="s">
        <v>55</v>
      </c>
      <c r="R9672" t="s">
        <v>53</v>
      </c>
      <c r="T9672" t="s">
        <v>18579</v>
      </c>
      <c r="U9672" t="s">
        <v>55</v>
      </c>
      <c r="V9672">
        <v>1</v>
      </c>
      <c r="W9672">
        <v>1</v>
      </c>
      <c r="X9672">
        <v>2</v>
      </c>
      <c r="Y9672">
        <v>0</v>
      </c>
      <c r="Z9672">
        <v>2</v>
      </c>
      <c r="AA9672">
        <v>0</v>
      </c>
      <c r="AB9672">
        <v>0</v>
      </c>
      <c r="AC9672">
        <v>120</v>
      </c>
      <c r="AD9672">
        <v>0</v>
      </c>
      <c r="AE9672">
        <v>0</v>
      </c>
      <c r="AF9672">
        <v>0</v>
      </c>
      <c r="AG9672">
        <v>0</v>
      </c>
      <c r="AH9672">
        <v>0</v>
      </c>
      <c r="AI9672">
        <v>18</v>
      </c>
      <c r="AJ9672">
        <v>120</v>
      </c>
      <c r="AK9672">
        <v>120</v>
      </c>
      <c r="AL9672" t="s">
        <v>53</v>
      </c>
      <c r="AM9672" t="s">
        <v>53</v>
      </c>
      <c r="AN9672" t="s">
        <v>53</v>
      </c>
      <c r="AO9672" t="s">
        <v>53</v>
      </c>
      <c r="AP9672" t="s">
        <v>53</v>
      </c>
    </row>
    <row r="9673" spans="2:42" x14ac:dyDescent="0.2">
      <c r="B9673" t="s">
        <v>44</v>
      </c>
      <c r="C9673" t="str">
        <f>HYPERLINK("https://us2.cloudbeds.com/connect/8493803454333002#/reservations/9080486849703084?display=5G7W2HMTP5&amp;reservation_id=9080486849703084", "5G7W2HMTP5")</f>
        <v>5G7W2HMTP5</v>
      </c>
      <c r="D9673" t="s">
        <v>10291</v>
      </c>
      <c r="E9673" t="s">
        <v>69</v>
      </c>
      <c r="F9673" t="s">
        <v>70</v>
      </c>
      <c r="G9673" t="s">
        <v>48</v>
      </c>
      <c r="H9673" t="s">
        <v>49</v>
      </c>
      <c r="I9673" t="s">
        <v>8964</v>
      </c>
      <c r="J9673" t="s">
        <v>18576</v>
      </c>
      <c r="K9673" t="s">
        <v>18580</v>
      </c>
      <c r="L9673" t="s">
        <v>53</v>
      </c>
      <c r="N9673" t="s">
        <v>18581</v>
      </c>
      <c r="P9673" t="s">
        <v>55</v>
      </c>
      <c r="R9673" t="s">
        <v>53</v>
      </c>
      <c r="T9673" t="s">
        <v>18582</v>
      </c>
      <c r="U9673" t="s">
        <v>55</v>
      </c>
      <c r="V9673">
        <v>3</v>
      </c>
      <c r="W9673">
        <v>1</v>
      </c>
      <c r="X9673">
        <v>2</v>
      </c>
      <c r="Y9673">
        <v>0</v>
      </c>
      <c r="Z9673">
        <v>2</v>
      </c>
      <c r="AA9673">
        <v>0</v>
      </c>
      <c r="AB9673">
        <v>0</v>
      </c>
      <c r="AC9673">
        <v>266</v>
      </c>
      <c r="AD9673">
        <v>0</v>
      </c>
      <c r="AE9673">
        <v>0</v>
      </c>
      <c r="AF9673">
        <v>0</v>
      </c>
      <c r="AG9673">
        <v>0</v>
      </c>
      <c r="AH9673">
        <v>0</v>
      </c>
      <c r="AI9673">
        <v>39.9</v>
      </c>
      <c r="AJ9673">
        <v>266</v>
      </c>
      <c r="AK9673">
        <v>266</v>
      </c>
      <c r="AL9673" t="s">
        <v>53</v>
      </c>
      <c r="AM9673" t="s">
        <v>53</v>
      </c>
      <c r="AN9673" t="s">
        <v>53</v>
      </c>
      <c r="AO9673" t="s">
        <v>53</v>
      </c>
      <c r="AP9673" t="s">
        <v>53</v>
      </c>
    </row>
    <row r="9674" spans="2:42" x14ac:dyDescent="0.2">
      <c r="B9674" t="s">
        <v>44</v>
      </c>
      <c r="C9674" t="str">
        <f>HYPERLINK("https://us2.cloudbeds.com/connect/8493803454333002#/reservations/254930124312704?display=5G8MKXC7QQ&amp;reservation_id=254930124312704", "5G8MKXC7QQ")</f>
        <v>5G8MKXC7QQ</v>
      </c>
      <c r="D9674" t="s">
        <v>10291</v>
      </c>
      <c r="E9674" t="s">
        <v>69</v>
      </c>
      <c r="F9674" t="s">
        <v>70</v>
      </c>
      <c r="G9674" t="s">
        <v>48</v>
      </c>
      <c r="H9674" t="s">
        <v>3957</v>
      </c>
      <c r="I9674" t="s">
        <v>3975</v>
      </c>
      <c r="J9674" t="s">
        <v>18197</v>
      </c>
      <c r="K9674" t="s">
        <v>18453</v>
      </c>
      <c r="L9674" t="s">
        <v>53</v>
      </c>
      <c r="P9674" t="s">
        <v>55</v>
      </c>
      <c r="R9674" t="s">
        <v>56</v>
      </c>
      <c r="T9674" t="s">
        <v>18583</v>
      </c>
      <c r="U9674" t="s">
        <v>58</v>
      </c>
      <c r="V9674">
        <v>2</v>
      </c>
      <c r="W9674">
        <v>1</v>
      </c>
      <c r="X9674">
        <v>1</v>
      </c>
      <c r="Y9674">
        <v>0</v>
      </c>
      <c r="Z9674">
        <v>1</v>
      </c>
      <c r="AA9674">
        <v>0</v>
      </c>
      <c r="AB9674">
        <v>0</v>
      </c>
      <c r="AC9674">
        <v>215</v>
      </c>
      <c r="AD9674">
        <v>0</v>
      </c>
      <c r="AE9674">
        <v>31.51</v>
      </c>
      <c r="AF9674">
        <v>0</v>
      </c>
      <c r="AG9674">
        <v>0</v>
      </c>
      <c r="AH9674">
        <v>0</v>
      </c>
      <c r="AI9674">
        <v>0</v>
      </c>
      <c r="AJ9674">
        <v>246.51</v>
      </c>
      <c r="AK9674">
        <v>246.51</v>
      </c>
      <c r="AL9674" t="s">
        <v>53</v>
      </c>
      <c r="AM9674" t="s">
        <v>53</v>
      </c>
      <c r="AN9674" t="s">
        <v>53</v>
      </c>
      <c r="AO9674" t="s">
        <v>53</v>
      </c>
      <c r="AP9674" t="s">
        <v>53</v>
      </c>
    </row>
    <row r="9675" spans="2:42" x14ac:dyDescent="0.2">
      <c r="B9675" t="s">
        <v>44</v>
      </c>
      <c r="C9675" t="str">
        <f>HYPERLINK("https://us2.cloudbeds.com/connect/8493803454333002#/reservations/9080486849705121?display=5G9JB809PQ&amp;reservation_id=9080486849705121", "5G9JB809PQ")</f>
        <v>5G9JB809PQ</v>
      </c>
      <c r="D9675" t="s">
        <v>10291</v>
      </c>
      <c r="E9675" t="s">
        <v>165</v>
      </c>
      <c r="F9675" t="s">
        <v>61</v>
      </c>
      <c r="G9675" t="s">
        <v>48</v>
      </c>
      <c r="H9675" t="s">
        <v>49</v>
      </c>
      <c r="I9675" t="s">
        <v>50</v>
      </c>
      <c r="J9675" t="s">
        <v>18197</v>
      </c>
      <c r="K9675" t="s">
        <v>18584</v>
      </c>
      <c r="L9675" t="s">
        <v>53</v>
      </c>
      <c r="N9675" t="s">
        <v>18585</v>
      </c>
      <c r="P9675" t="s">
        <v>55</v>
      </c>
      <c r="R9675" t="s">
        <v>53</v>
      </c>
      <c r="T9675" t="s">
        <v>18586</v>
      </c>
      <c r="U9675" t="s">
        <v>55</v>
      </c>
      <c r="V9675">
        <v>1</v>
      </c>
      <c r="W9675">
        <v>1</v>
      </c>
      <c r="X9675">
        <v>2</v>
      </c>
      <c r="Y9675">
        <v>0</v>
      </c>
      <c r="Z9675">
        <v>2</v>
      </c>
      <c r="AA9675">
        <v>114.08</v>
      </c>
      <c r="AB9675">
        <v>0</v>
      </c>
      <c r="AC9675">
        <v>104.9</v>
      </c>
      <c r="AD9675">
        <v>0</v>
      </c>
      <c r="AE9675">
        <v>9.18</v>
      </c>
      <c r="AF9675">
        <v>0</v>
      </c>
      <c r="AG9675">
        <v>0</v>
      </c>
      <c r="AH9675">
        <v>0</v>
      </c>
      <c r="AI9675">
        <v>20.53</v>
      </c>
      <c r="AJ9675">
        <v>114.08</v>
      </c>
      <c r="AK9675">
        <v>114.08</v>
      </c>
      <c r="AL9675" t="s">
        <v>53</v>
      </c>
      <c r="AM9675" t="s">
        <v>53</v>
      </c>
      <c r="AN9675" t="s">
        <v>53</v>
      </c>
      <c r="AO9675" t="s">
        <v>53</v>
      </c>
      <c r="AP9675" t="s">
        <v>53</v>
      </c>
    </row>
    <row r="9676" spans="2:42" x14ac:dyDescent="0.2">
      <c r="B9676" t="s">
        <v>44</v>
      </c>
      <c r="C9676" t="str">
        <f>HYPERLINK("https://us2.cloudbeds.com/connect/8493803454333002#/reservations/9080486849708953?display=5GBKK3BS59&amp;reservation_id=9080486849708953", "5GBKK3BS59")</f>
        <v>5GBKK3BS59</v>
      </c>
      <c r="D9676" t="s">
        <v>45</v>
      </c>
      <c r="E9676" t="s">
        <v>617</v>
      </c>
      <c r="F9676" t="s">
        <v>86</v>
      </c>
      <c r="G9676" t="s">
        <v>48</v>
      </c>
      <c r="H9676" t="s">
        <v>49</v>
      </c>
      <c r="I9676" t="s">
        <v>62</v>
      </c>
      <c r="J9676" t="s">
        <v>17389</v>
      </c>
      <c r="K9676" t="s">
        <v>14371</v>
      </c>
      <c r="L9676" t="s">
        <v>53</v>
      </c>
      <c r="N9676" t="s">
        <v>18587</v>
      </c>
      <c r="P9676" t="s">
        <v>55</v>
      </c>
      <c r="R9676" t="s">
        <v>66</v>
      </c>
      <c r="T9676" t="s">
        <v>18588</v>
      </c>
      <c r="U9676" t="s">
        <v>55</v>
      </c>
      <c r="V9676">
        <v>2</v>
      </c>
      <c r="W9676">
        <v>2</v>
      </c>
      <c r="X9676">
        <v>3</v>
      </c>
      <c r="Y9676">
        <v>0</v>
      </c>
      <c r="Z9676">
        <v>3</v>
      </c>
      <c r="AA9676">
        <v>367.5</v>
      </c>
      <c r="AB9676">
        <v>367.5</v>
      </c>
      <c r="AC9676">
        <v>367.5</v>
      </c>
      <c r="AD9676">
        <v>0</v>
      </c>
      <c r="AE9676">
        <v>0</v>
      </c>
      <c r="AF9676">
        <v>0</v>
      </c>
      <c r="AG9676">
        <v>0</v>
      </c>
      <c r="AH9676">
        <v>0</v>
      </c>
      <c r="AI9676">
        <v>66.150000000000006</v>
      </c>
      <c r="AJ9676">
        <v>367.5</v>
      </c>
      <c r="AK9676">
        <v>0</v>
      </c>
      <c r="AL9676" t="s">
        <v>53</v>
      </c>
      <c r="AM9676" t="s">
        <v>53</v>
      </c>
      <c r="AN9676" t="s">
        <v>53</v>
      </c>
      <c r="AO9676" t="s">
        <v>53</v>
      </c>
      <c r="AP9676" t="s">
        <v>53</v>
      </c>
    </row>
    <row r="9677" spans="2:42" x14ac:dyDescent="0.2">
      <c r="B9677" t="s">
        <v>44</v>
      </c>
      <c r="C9677" t="str">
        <f>HYPERLINK("https://us2.cloudbeds.com/connect/8493803454333002#/reservations/9080486849709425?display=5GBR4RK6RH&amp;reservation_id=9080486849709425", "5GBR4RK6RH")</f>
        <v>5GBR4RK6RH</v>
      </c>
      <c r="D9677" t="s">
        <v>10291</v>
      </c>
      <c r="E9677" t="s">
        <v>138</v>
      </c>
      <c r="F9677" t="s">
        <v>70</v>
      </c>
      <c r="G9677" t="s">
        <v>48</v>
      </c>
      <c r="H9677" t="s">
        <v>49</v>
      </c>
      <c r="I9677" t="s">
        <v>50</v>
      </c>
      <c r="J9677" t="s">
        <v>13099</v>
      </c>
      <c r="K9677" t="s">
        <v>17897</v>
      </c>
      <c r="L9677" t="s">
        <v>53</v>
      </c>
      <c r="N9677" t="s">
        <v>18589</v>
      </c>
      <c r="P9677" t="s">
        <v>55</v>
      </c>
      <c r="R9677" t="s">
        <v>53</v>
      </c>
      <c r="T9677" t="s">
        <v>18590</v>
      </c>
      <c r="U9677" t="s">
        <v>55</v>
      </c>
      <c r="V9677">
        <v>2</v>
      </c>
      <c r="W9677">
        <v>1</v>
      </c>
      <c r="X9677">
        <v>2</v>
      </c>
      <c r="Y9677">
        <v>0</v>
      </c>
      <c r="Z9677">
        <v>2</v>
      </c>
      <c r="AA9677">
        <v>232.18</v>
      </c>
      <c r="AB9677">
        <v>0</v>
      </c>
      <c r="AC9677">
        <v>213.5</v>
      </c>
      <c r="AD9677">
        <v>0</v>
      </c>
      <c r="AE9677">
        <v>18.68</v>
      </c>
      <c r="AF9677">
        <v>0</v>
      </c>
      <c r="AG9677">
        <v>0</v>
      </c>
      <c r="AH9677">
        <v>0</v>
      </c>
      <c r="AI9677">
        <v>41.79</v>
      </c>
      <c r="AJ9677">
        <v>232.18</v>
      </c>
      <c r="AK9677">
        <v>232.18</v>
      </c>
      <c r="AL9677" t="s">
        <v>53</v>
      </c>
      <c r="AM9677" t="s">
        <v>53</v>
      </c>
      <c r="AN9677" t="s">
        <v>53</v>
      </c>
      <c r="AO9677" t="s">
        <v>53</v>
      </c>
      <c r="AP9677" t="s">
        <v>53</v>
      </c>
    </row>
    <row r="9678" spans="2:42" x14ac:dyDescent="0.2">
      <c r="B9678" t="s">
        <v>44</v>
      </c>
      <c r="C9678" t="str">
        <f>HYPERLINK("https://us2.cloudbeds.com/connect/8493803454333002#/reservations/255081468166336?display=5GC7QZX6GU&amp;reservation_id=255081468166336", "5GC7QZX6GU")</f>
        <v>5GC7QZX6GU</v>
      </c>
      <c r="D9678" t="s">
        <v>10291</v>
      </c>
      <c r="E9678" t="s">
        <v>18591</v>
      </c>
      <c r="F9678" t="s">
        <v>5257</v>
      </c>
      <c r="G9678" t="s">
        <v>15366</v>
      </c>
      <c r="H9678" t="s">
        <v>3957</v>
      </c>
      <c r="I9678" t="s">
        <v>3958</v>
      </c>
      <c r="J9678" t="s">
        <v>15936</v>
      </c>
      <c r="K9678" t="s">
        <v>17665</v>
      </c>
      <c r="L9678" t="s">
        <v>53</v>
      </c>
      <c r="P9678" t="s">
        <v>55</v>
      </c>
      <c r="R9678" t="s">
        <v>56</v>
      </c>
      <c r="T9678" t="s">
        <v>18592</v>
      </c>
      <c r="U9678" t="s">
        <v>58</v>
      </c>
      <c r="V9678">
        <v>9</v>
      </c>
      <c r="W9678">
        <v>3</v>
      </c>
      <c r="X9678">
        <v>3</v>
      </c>
      <c r="Y9678">
        <v>0</v>
      </c>
      <c r="Z9678">
        <v>3</v>
      </c>
      <c r="AA9678">
        <v>1775.82</v>
      </c>
      <c r="AB9678">
        <v>0</v>
      </c>
      <c r="AC9678">
        <v>1548.9</v>
      </c>
      <c r="AD9678">
        <v>0</v>
      </c>
      <c r="AE9678">
        <v>226.92</v>
      </c>
      <c r="AF9678">
        <v>0</v>
      </c>
      <c r="AG9678">
        <v>0</v>
      </c>
      <c r="AH9678">
        <v>0</v>
      </c>
      <c r="AI9678">
        <v>0</v>
      </c>
      <c r="AJ9678">
        <v>1775.82</v>
      </c>
      <c r="AK9678">
        <v>1775.82</v>
      </c>
      <c r="AL9678" t="s">
        <v>53</v>
      </c>
      <c r="AM9678" t="s">
        <v>53</v>
      </c>
      <c r="AN9678" t="s">
        <v>53</v>
      </c>
      <c r="AO9678" t="s">
        <v>53</v>
      </c>
      <c r="AP9678" t="s">
        <v>53</v>
      </c>
    </row>
    <row r="9679" spans="2:42" x14ac:dyDescent="0.2">
      <c r="B9679" t="s">
        <v>44</v>
      </c>
      <c r="C9679" t="str">
        <f>HYPERLINK("https://us2.cloudbeds.com/connect/8493803454333002#/reservations/9080486849711440?display=5GCYE2HKPS&amp;reservation_id=9080486849711440", "5GCYE2HKPS")</f>
        <v>5GCYE2HKPS</v>
      </c>
      <c r="D9679" t="s">
        <v>45</v>
      </c>
      <c r="E9679" t="s">
        <v>113</v>
      </c>
      <c r="F9679" t="s">
        <v>61</v>
      </c>
      <c r="G9679" t="s">
        <v>48</v>
      </c>
      <c r="H9679" t="s">
        <v>49</v>
      </c>
      <c r="I9679" t="s">
        <v>50</v>
      </c>
      <c r="J9679" t="s">
        <v>17389</v>
      </c>
      <c r="K9679" t="s">
        <v>14371</v>
      </c>
      <c r="L9679" t="s">
        <v>53</v>
      </c>
      <c r="N9679" t="s">
        <v>18593</v>
      </c>
      <c r="P9679" t="s">
        <v>55</v>
      </c>
      <c r="R9679" t="s">
        <v>53</v>
      </c>
      <c r="T9679" t="s">
        <v>18594</v>
      </c>
      <c r="U9679" t="s">
        <v>55</v>
      </c>
      <c r="V9679">
        <v>1</v>
      </c>
      <c r="W9679">
        <v>1</v>
      </c>
      <c r="X9679">
        <v>2</v>
      </c>
      <c r="Y9679">
        <v>0</v>
      </c>
      <c r="Z9679">
        <v>2</v>
      </c>
      <c r="AA9679">
        <v>129.47999999999999</v>
      </c>
      <c r="AB9679">
        <v>129.47999999999999</v>
      </c>
      <c r="AC9679">
        <v>119.06</v>
      </c>
      <c r="AD9679">
        <v>0</v>
      </c>
      <c r="AE9679">
        <v>10.42</v>
      </c>
      <c r="AF9679">
        <v>0</v>
      </c>
      <c r="AG9679">
        <v>0</v>
      </c>
      <c r="AH9679">
        <v>0</v>
      </c>
      <c r="AI9679">
        <v>23.31</v>
      </c>
      <c r="AJ9679">
        <v>129.47999999999999</v>
      </c>
      <c r="AK9679">
        <v>0</v>
      </c>
      <c r="AL9679" t="s">
        <v>53</v>
      </c>
      <c r="AM9679" t="s">
        <v>53</v>
      </c>
      <c r="AN9679" t="s">
        <v>18595</v>
      </c>
      <c r="AO9679" t="s">
        <v>53</v>
      </c>
      <c r="AP9679" t="s">
        <v>53</v>
      </c>
    </row>
    <row r="9680" spans="2:42" x14ac:dyDescent="0.2">
      <c r="B9680" t="s">
        <v>44</v>
      </c>
      <c r="C9680" t="str">
        <f>HYPERLINK("https://us2.cloudbeds.com/connect/8493803454333002#/reservations/9080486849712162?display=5GCVGHG8GN&amp;reservation_id=9080486849712162", "5GCVGHG8GN")</f>
        <v>5GCVGHG8GN</v>
      </c>
      <c r="D9680" t="s">
        <v>10291</v>
      </c>
      <c r="E9680" t="s">
        <v>138</v>
      </c>
      <c r="F9680" t="s">
        <v>70</v>
      </c>
      <c r="G9680" t="s">
        <v>48</v>
      </c>
      <c r="H9680" t="s">
        <v>49</v>
      </c>
      <c r="I9680" t="s">
        <v>50</v>
      </c>
      <c r="J9680" t="s">
        <v>16110</v>
      </c>
      <c r="K9680" t="s">
        <v>17242</v>
      </c>
      <c r="L9680" t="s">
        <v>53</v>
      </c>
      <c r="N9680" t="s">
        <v>18596</v>
      </c>
      <c r="P9680" t="s">
        <v>55</v>
      </c>
      <c r="R9680" t="s">
        <v>53</v>
      </c>
      <c r="T9680" t="s">
        <v>18597</v>
      </c>
      <c r="U9680" t="s">
        <v>58</v>
      </c>
      <c r="V9680">
        <v>3</v>
      </c>
      <c r="W9680">
        <v>1</v>
      </c>
      <c r="X9680">
        <v>1</v>
      </c>
      <c r="Y9680">
        <v>0</v>
      </c>
      <c r="Z9680">
        <v>1</v>
      </c>
      <c r="AA9680">
        <v>448.53</v>
      </c>
      <c r="AB9680">
        <v>0</v>
      </c>
      <c r="AC9680">
        <v>391.23</v>
      </c>
      <c r="AD9680">
        <v>0</v>
      </c>
      <c r="AE9680">
        <v>57.3</v>
      </c>
      <c r="AF9680">
        <v>0</v>
      </c>
      <c r="AG9680">
        <v>0</v>
      </c>
      <c r="AH9680">
        <v>0</v>
      </c>
      <c r="AI9680">
        <v>80.739999999999995</v>
      </c>
      <c r="AJ9680">
        <v>448.53</v>
      </c>
      <c r="AK9680">
        <v>448.53</v>
      </c>
      <c r="AL9680" t="s">
        <v>53</v>
      </c>
      <c r="AM9680" t="s">
        <v>53</v>
      </c>
      <c r="AN9680" t="s">
        <v>53</v>
      </c>
      <c r="AO9680" t="s">
        <v>53</v>
      </c>
      <c r="AP9680" t="s">
        <v>53</v>
      </c>
    </row>
    <row r="9681" spans="2:42" x14ac:dyDescent="0.2">
      <c r="B9681" t="s">
        <v>44</v>
      </c>
      <c r="C9681" t="str">
        <f>HYPERLINK("https://us2.cloudbeds.com/connect/8493803454333002#/reservations/9080486849712663?display=5GD51HMBRB&amp;reservation_id=9080486849712663", "5GD51HMBRB")</f>
        <v>5GD51HMBRB</v>
      </c>
      <c r="D9681" t="s">
        <v>45</v>
      </c>
      <c r="E9681" t="s">
        <v>155</v>
      </c>
      <c r="F9681" t="s">
        <v>86</v>
      </c>
      <c r="G9681" t="s">
        <v>48</v>
      </c>
      <c r="H9681" t="s">
        <v>49</v>
      </c>
      <c r="I9681" t="s">
        <v>62</v>
      </c>
      <c r="J9681" t="s">
        <v>17389</v>
      </c>
      <c r="K9681" t="s">
        <v>14371</v>
      </c>
      <c r="L9681" t="s">
        <v>53</v>
      </c>
      <c r="N9681" t="s">
        <v>18598</v>
      </c>
      <c r="P9681" t="s">
        <v>55</v>
      </c>
      <c r="R9681" t="s">
        <v>56</v>
      </c>
      <c r="T9681" t="s">
        <v>18599</v>
      </c>
      <c r="U9681" t="s">
        <v>55</v>
      </c>
      <c r="V9681">
        <v>1</v>
      </c>
      <c r="W9681">
        <v>1</v>
      </c>
      <c r="X9681">
        <v>1</v>
      </c>
      <c r="Y9681">
        <v>3</v>
      </c>
      <c r="Z9681">
        <v>4</v>
      </c>
      <c r="AA9681">
        <v>183.75</v>
      </c>
      <c r="AB9681">
        <v>183.75</v>
      </c>
      <c r="AC9681">
        <v>183.75</v>
      </c>
      <c r="AD9681">
        <v>0</v>
      </c>
      <c r="AE9681">
        <v>0</v>
      </c>
      <c r="AF9681">
        <v>0</v>
      </c>
      <c r="AG9681">
        <v>0</v>
      </c>
      <c r="AH9681">
        <v>0</v>
      </c>
      <c r="AI9681">
        <v>33.08</v>
      </c>
      <c r="AJ9681">
        <v>183.75</v>
      </c>
      <c r="AK9681">
        <v>0</v>
      </c>
      <c r="AL9681" t="s">
        <v>53</v>
      </c>
      <c r="AM9681" t="s">
        <v>53</v>
      </c>
      <c r="AN9681" t="s">
        <v>18600</v>
      </c>
      <c r="AO9681" t="s">
        <v>53</v>
      </c>
      <c r="AP9681" t="s">
        <v>53</v>
      </c>
    </row>
    <row r="9682" spans="2:42" x14ac:dyDescent="0.2">
      <c r="B9682" t="s">
        <v>44</v>
      </c>
      <c r="C9682" t="str">
        <f>HYPERLINK("https://us2.cloudbeds.com/connect/8493803454333002#/reservations/9080486849713366?display=5GDEMTXGDE&amp;reservation_id=9080486849713366", "5GDEMTXGDE")</f>
        <v>5GDEMTXGDE</v>
      </c>
      <c r="D9682" t="s">
        <v>10291</v>
      </c>
      <c r="E9682" t="s">
        <v>113</v>
      </c>
      <c r="F9682" t="s">
        <v>61</v>
      </c>
      <c r="G9682" t="s">
        <v>48</v>
      </c>
      <c r="H9682" t="s">
        <v>49</v>
      </c>
      <c r="I9682" t="s">
        <v>62</v>
      </c>
      <c r="J9682" t="s">
        <v>17624</v>
      </c>
      <c r="K9682" t="s">
        <v>17625</v>
      </c>
      <c r="L9682" t="s">
        <v>53</v>
      </c>
      <c r="N9682" t="s">
        <v>18601</v>
      </c>
      <c r="P9682" t="s">
        <v>55</v>
      </c>
      <c r="R9682" t="s">
        <v>56</v>
      </c>
      <c r="T9682" t="s">
        <v>18602</v>
      </c>
      <c r="U9682" t="s">
        <v>55</v>
      </c>
      <c r="V9682">
        <v>2</v>
      </c>
      <c r="W9682">
        <v>1</v>
      </c>
      <c r="X9682">
        <v>2</v>
      </c>
      <c r="Y9682">
        <v>0</v>
      </c>
      <c r="Z9682">
        <v>2</v>
      </c>
      <c r="AA9682">
        <v>273</v>
      </c>
      <c r="AB9682">
        <v>0</v>
      </c>
      <c r="AC9682">
        <v>273</v>
      </c>
      <c r="AD9682">
        <v>0</v>
      </c>
      <c r="AE9682">
        <v>0</v>
      </c>
      <c r="AF9682">
        <v>0</v>
      </c>
      <c r="AG9682">
        <v>0</v>
      </c>
      <c r="AH9682">
        <v>0</v>
      </c>
      <c r="AI9682">
        <v>49.14</v>
      </c>
      <c r="AJ9682">
        <v>273</v>
      </c>
      <c r="AK9682">
        <v>273</v>
      </c>
      <c r="AL9682" t="s">
        <v>53</v>
      </c>
      <c r="AM9682" t="s">
        <v>53</v>
      </c>
      <c r="AN9682" t="s">
        <v>53</v>
      </c>
      <c r="AO9682" t="s">
        <v>53</v>
      </c>
      <c r="AP9682" t="s">
        <v>53</v>
      </c>
    </row>
    <row r="9683" spans="2:42" x14ac:dyDescent="0.2">
      <c r="B9683" t="s">
        <v>44</v>
      </c>
      <c r="C9683" t="str">
        <f>HYPERLINK("https://us2.cloudbeds.com/connect/8493803454333002#/reservations/255133123891392?display=5GDEQM107Z&amp;reservation_id=255133123891392", "5GDEQM107Z")</f>
        <v>5GDEQM107Z</v>
      </c>
      <c r="D9683" t="s">
        <v>10291</v>
      </c>
      <c r="E9683" t="s">
        <v>190</v>
      </c>
      <c r="F9683" t="s">
        <v>61</v>
      </c>
      <c r="G9683" t="s">
        <v>48</v>
      </c>
      <c r="H9683" t="s">
        <v>3957</v>
      </c>
      <c r="I9683" t="s">
        <v>3958</v>
      </c>
      <c r="J9683" t="s">
        <v>16110</v>
      </c>
      <c r="K9683" t="s">
        <v>17242</v>
      </c>
      <c r="L9683" t="s">
        <v>53</v>
      </c>
      <c r="P9683" t="s">
        <v>55</v>
      </c>
      <c r="R9683" t="s">
        <v>56</v>
      </c>
      <c r="T9683" t="s">
        <v>18603</v>
      </c>
      <c r="U9683" t="s">
        <v>58</v>
      </c>
      <c r="V9683">
        <v>3</v>
      </c>
      <c r="W9683">
        <v>1</v>
      </c>
      <c r="X9683">
        <v>1</v>
      </c>
      <c r="Y9683">
        <v>0</v>
      </c>
      <c r="Z9683">
        <v>1</v>
      </c>
      <c r="AA9683">
        <v>573.26</v>
      </c>
      <c r="AB9683">
        <v>0</v>
      </c>
      <c r="AC9683">
        <v>500</v>
      </c>
      <c r="AD9683">
        <v>0</v>
      </c>
      <c r="AE9683">
        <v>73.260000000000005</v>
      </c>
      <c r="AF9683">
        <v>0</v>
      </c>
      <c r="AG9683">
        <v>0</v>
      </c>
      <c r="AH9683">
        <v>0</v>
      </c>
      <c r="AI9683">
        <v>0</v>
      </c>
      <c r="AJ9683">
        <v>573.26</v>
      </c>
      <c r="AK9683">
        <v>573.26</v>
      </c>
      <c r="AL9683" t="s">
        <v>53</v>
      </c>
      <c r="AM9683" t="s">
        <v>53</v>
      </c>
      <c r="AN9683" t="s">
        <v>53</v>
      </c>
      <c r="AO9683" t="s">
        <v>53</v>
      </c>
      <c r="AP9683" t="s">
        <v>53</v>
      </c>
    </row>
    <row r="9684" spans="2:42" x14ac:dyDescent="0.2">
      <c r="B9684" t="s">
        <v>44</v>
      </c>
      <c r="C9684" t="str">
        <f>HYPERLINK("https://us2.cloudbeds.com/connect/8493803454333002#/reservations/255144187318400?display=5GDNCBW4VD&amp;reservation_id=255144187318400", "5GDNCBW4VD")</f>
        <v>5GDNCBW4VD</v>
      </c>
      <c r="D9684" t="s">
        <v>10291</v>
      </c>
      <c r="E9684" t="s">
        <v>105</v>
      </c>
      <c r="F9684" t="s">
        <v>47</v>
      </c>
      <c r="G9684" t="s">
        <v>48</v>
      </c>
      <c r="H9684" t="s">
        <v>3957</v>
      </c>
      <c r="I9684" t="s">
        <v>3975</v>
      </c>
      <c r="J9684" t="s">
        <v>17516</v>
      </c>
      <c r="K9684" t="s">
        <v>17762</v>
      </c>
      <c r="L9684" t="s">
        <v>53</v>
      </c>
      <c r="P9684" t="s">
        <v>55</v>
      </c>
      <c r="R9684" t="s">
        <v>56</v>
      </c>
      <c r="T9684" t="s">
        <v>18604</v>
      </c>
      <c r="U9684" t="s">
        <v>58</v>
      </c>
      <c r="V9684">
        <v>2</v>
      </c>
      <c r="W9684">
        <v>1</v>
      </c>
      <c r="X9684">
        <v>1</v>
      </c>
      <c r="Y9684">
        <v>0</v>
      </c>
      <c r="Z9684">
        <v>1</v>
      </c>
      <c r="AA9684">
        <v>0</v>
      </c>
      <c r="AB9684">
        <v>0</v>
      </c>
      <c r="AC9684">
        <v>290</v>
      </c>
      <c r="AD9684">
        <v>0</v>
      </c>
      <c r="AE9684">
        <v>42.49</v>
      </c>
      <c r="AF9684">
        <v>0</v>
      </c>
      <c r="AG9684">
        <v>0</v>
      </c>
      <c r="AH9684">
        <v>0</v>
      </c>
      <c r="AI9684">
        <v>0</v>
      </c>
      <c r="AJ9684">
        <v>332.49</v>
      </c>
      <c r="AK9684">
        <v>332.49</v>
      </c>
      <c r="AL9684" t="s">
        <v>53</v>
      </c>
      <c r="AM9684" t="s">
        <v>53</v>
      </c>
      <c r="AN9684" t="s">
        <v>53</v>
      </c>
      <c r="AO9684" t="s">
        <v>53</v>
      </c>
      <c r="AP9684" t="s">
        <v>53</v>
      </c>
    </row>
    <row r="9685" spans="2:42" x14ac:dyDescent="0.2">
      <c r="B9685" t="s">
        <v>44</v>
      </c>
      <c r="C9685" t="str">
        <f>HYPERLINK("https://us2.cloudbeds.com/connect/8493803454333002#/reservations/9080486849714412?display=5GDSWEWTTQ&amp;reservation_id=9080486849714412", "5GDSWEWTTQ")</f>
        <v>5GDSWEWTTQ</v>
      </c>
      <c r="D9685" t="s">
        <v>10291</v>
      </c>
      <c r="E9685" t="s">
        <v>14402</v>
      </c>
      <c r="F9685" t="s">
        <v>14403</v>
      </c>
      <c r="G9685" t="s">
        <v>48</v>
      </c>
      <c r="H9685" t="s">
        <v>49</v>
      </c>
      <c r="I9685" t="s">
        <v>50</v>
      </c>
      <c r="J9685" t="s">
        <v>18242</v>
      </c>
      <c r="K9685" t="s">
        <v>17818</v>
      </c>
      <c r="L9685" t="s">
        <v>53</v>
      </c>
      <c r="N9685" t="s">
        <v>18605</v>
      </c>
      <c r="P9685" t="s">
        <v>55</v>
      </c>
      <c r="R9685" t="s">
        <v>53</v>
      </c>
      <c r="T9685" t="s">
        <v>18606</v>
      </c>
      <c r="U9685" t="s">
        <v>55</v>
      </c>
      <c r="V9685">
        <v>5</v>
      </c>
      <c r="W9685">
        <v>1</v>
      </c>
      <c r="X9685">
        <v>2</v>
      </c>
      <c r="Y9685">
        <v>0</v>
      </c>
      <c r="Z9685">
        <v>2</v>
      </c>
      <c r="AA9685">
        <v>477.45</v>
      </c>
      <c r="AB9685">
        <v>0</v>
      </c>
      <c r="AC9685">
        <v>439.03</v>
      </c>
      <c r="AD9685">
        <v>0</v>
      </c>
      <c r="AE9685">
        <v>38.42</v>
      </c>
      <c r="AF9685">
        <v>0</v>
      </c>
      <c r="AG9685">
        <v>0</v>
      </c>
      <c r="AH9685">
        <v>0</v>
      </c>
      <c r="AI9685">
        <v>85.94</v>
      </c>
      <c r="AJ9685">
        <v>477.45</v>
      </c>
      <c r="AK9685">
        <v>477.45</v>
      </c>
      <c r="AL9685" t="s">
        <v>53</v>
      </c>
      <c r="AM9685" t="s">
        <v>53</v>
      </c>
      <c r="AN9685" t="s">
        <v>18607</v>
      </c>
      <c r="AO9685" t="s">
        <v>53</v>
      </c>
      <c r="AP9685" t="s">
        <v>53</v>
      </c>
    </row>
    <row r="9686" spans="2:42" x14ac:dyDescent="0.2">
      <c r="B9686" t="s">
        <v>44</v>
      </c>
      <c r="C9686" t="str">
        <f>HYPERLINK("https://us2.cloudbeds.com/connect/8493803454333002#/reservations/9080486849714548?display=5GDUMTJTFE&amp;reservation_id=9080486849714548", "5GDUMTJTFE")</f>
        <v>5GDUMTJTFE</v>
      </c>
      <c r="D9686" t="s">
        <v>45</v>
      </c>
      <c r="E9686" t="s">
        <v>373</v>
      </c>
      <c r="F9686" t="s">
        <v>47</v>
      </c>
      <c r="G9686" t="s">
        <v>48</v>
      </c>
      <c r="H9686" t="s">
        <v>49</v>
      </c>
      <c r="I9686" t="s">
        <v>62</v>
      </c>
      <c r="J9686" t="s">
        <v>17389</v>
      </c>
      <c r="K9686" t="s">
        <v>14371</v>
      </c>
      <c r="L9686" t="s">
        <v>53</v>
      </c>
      <c r="N9686" t="s">
        <v>18608</v>
      </c>
      <c r="P9686" t="s">
        <v>55</v>
      </c>
      <c r="R9686" t="s">
        <v>56</v>
      </c>
      <c r="T9686" t="s">
        <v>18609</v>
      </c>
      <c r="U9686" t="s">
        <v>55</v>
      </c>
      <c r="V9686">
        <v>1</v>
      </c>
      <c r="W9686">
        <v>1</v>
      </c>
      <c r="X9686">
        <v>2</v>
      </c>
      <c r="Y9686">
        <v>0</v>
      </c>
      <c r="Z9686">
        <v>2</v>
      </c>
      <c r="AA9686">
        <v>147</v>
      </c>
      <c r="AB9686">
        <v>147</v>
      </c>
      <c r="AC9686">
        <v>147</v>
      </c>
      <c r="AD9686">
        <v>0</v>
      </c>
      <c r="AE9686">
        <v>0</v>
      </c>
      <c r="AF9686">
        <v>0</v>
      </c>
      <c r="AG9686">
        <v>0</v>
      </c>
      <c r="AH9686">
        <v>0</v>
      </c>
      <c r="AI9686">
        <v>26.46</v>
      </c>
      <c r="AJ9686">
        <v>147</v>
      </c>
      <c r="AK9686">
        <v>0</v>
      </c>
      <c r="AL9686" t="s">
        <v>53</v>
      </c>
      <c r="AM9686" t="s">
        <v>53</v>
      </c>
      <c r="AN9686" t="s">
        <v>53</v>
      </c>
      <c r="AO9686" t="s">
        <v>53</v>
      </c>
      <c r="AP9686" t="s">
        <v>53</v>
      </c>
    </row>
    <row r="9687" spans="2:42" x14ac:dyDescent="0.2">
      <c r="B9687" t="s">
        <v>44</v>
      </c>
      <c r="C9687" t="str">
        <f>HYPERLINK("https://us2.cloudbeds.com/connect/8493803454333002#/reservations/255154090406016?display=5GDV1DX2DG&amp;reservation_id=255154090406016", "5GDV1DX2DG")</f>
        <v>5GDV1DX2DG</v>
      </c>
      <c r="D9687" t="s">
        <v>45</v>
      </c>
      <c r="E9687" t="s">
        <v>381</v>
      </c>
      <c r="F9687" t="s">
        <v>47</v>
      </c>
      <c r="G9687" t="s">
        <v>48</v>
      </c>
      <c r="H9687" t="s">
        <v>3957</v>
      </c>
      <c r="I9687" t="s">
        <v>3958</v>
      </c>
      <c r="J9687" t="s">
        <v>17389</v>
      </c>
      <c r="K9687" t="s">
        <v>14371</v>
      </c>
      <c r="L9687" t="s">
        <v>53</v>
      </c>
      <c r="P9687" t="s">
        <v>55</v>
      </c>
      <c r="R9687" t="s">
        <v>56</v>
      </c>
      <c r="T9687" t="s">
        <v>18610</v>
      </c>
      <c r="U9687" t="s">
        <v>58</v>
      </c>
      <c r="V9687">
        <v>1</v>
      </c>
      <c r="W9687">
        <v>1</v>
      </c>
      <c r="X9687">
        <v>1</v>
      </c>
      <c r="Y9687">
        <v>0</v>
      </c>
      <c r="Z9687">
        <v>1</v>
      </c>
      <c r="AA9687">
        <v>160.51</v>
      </c>
      <c r="AB9687">
        <v>160.51</v>
      </c>
      <c r="AC9687">
        <v>140</v>
      </c>
      <c r="AD9687">
        <v>0</v>
      </c>
      <c r="AE9687">
        <v>20.51</v>
      </c>
      <c r="AF9687">
        <v>0</v>
      </c>
      <c r="AG9687">
        <v>0</v>
      </c>
      <c r="AH9687">
        <v>0</v>
      </c>
      <c r="AI9687">
        <v>0</v>
      </c>
      <c r="AJ9687">
        <v>160.51</v>
      </c>
      <c r="AK9687">
        <v>0</v>
      </c>
      <c r="AL9687" t="s">
        <v>53</v>
      </c>
      <c r="AM9687" t="s">
        <v>53</v>
      </c>
      <c r="AN9687" t="s">
        <v>53</v>
      </c>
      <c r="AO9687" t="s">
        <v>53</v>
      </c>
      <c r="AP9687" t="s">
        <v>53</v>
      </c>
    </row>
    <row r="9688" spans="2:42" x14ac:dyDescent="0.2">
      <c r="B9688" t="s">
        <v>44</v>
      </c>
      <c r="C9688" t="str">
        <f>HYPERLINK("https://us2.cloudbeds.com/connect/8493803454333002#/reservations/9080486849715389?display=5GEBZ6MZEZ&amp;reservation_id=9080486849715389", "5GEBZ6MZEZ")</f>
        <v>5GEBZ6MZEZ</v>
      </c>
      <c r="D9688" t="s">
        <v>45</v>
      </c>
      <c r="E9688" t="s">
        <v>487</v>
      </c>
      <c r="F9688" t="s">
        <v>61</v>
      </c>
      <c r="G9688" t="s">
        <v>48</v>
      </c>
      <c r="H9688" t="s">
        <v>49</v>
      </c>
      <c r="I9688" t="s">
        <v>50</v>
      </c>
      <c r="J9688" t="s">
        <v>17389</v>
      </c>
      <c r="K9688" t="s">
        <v>14371</v>
      </c>
      <c r="L9688" t="s">
        <v>53</v>
      </c>
      <c r="N9688" t="s">
        <v>18611</v>
      </c>
      <c r="P9688" t="s">
        <v>55</v>
      </c>
      <c r="R9688" t="s">
        <v>53</v>
      </c>
      <c r="T9688" t="s">
        <v>18612</v>
      </c>
      <c r="U9688" t="s">
        <v>55</v>
      </c>
      <c r="V9688">
        <v>1</v>
      </c>
      <c r="W9688">
        <v>1</v>
      </c>
      <c r="X9688">
        <v>2</v>
      </c>
      <c r="Y9688">
        <v>0</v>
      </c>
      <c r="Z9688">
        <v>2</v>
      </c>
      <c r="AA9688">
        <v>121.33</v>
      </c>
      <c r="AB9688">
        <v>121.33</v>
      </c>
      <c r="AC9688">
        <v>111.57</v>
      </c>
      <c r="AD9688">
        <v>0</v>
      </c>
      <c r="AE9688">
        <v>9.76</v>
      </c>
      <c r="AF9688">
        <v>0</v>
      </c>
      <c r="AG9688">
        <v>0</v>
      </c>
      <c r="AH9688">
        <v>0</v>
      </c>
      <c r="AI9688">
        <v>21.84</v>
      </c>
      <c r="AJ9688">
        <v>121.33</v>
      </c>
      <c r="AK9688">
        <v>0</v>
      </c>
      <c r="AL9688" t="s">
        <v>53</v>
      </c>
      <c r="AM9688" t="s">
        <v>53</v>
      </c>
      <c r="AN9688" t="s">
        <v>53</v>
      </c>
      <c r="AO9688" t="s">
        <v>53</v>
      </c>
      <c r="AP9688" t="s">
        <v>53</v>
      </c>
    </row>
    <row r="9689" spans="2:42" x14ac:dyDescent="0.2">
      <c r="B9689" t="s">
        <v>44</v>
      </c>
      <c r="C9689" t="str">
        <f>HYPERLINK("https://us2.cloudbeds.com/connect/8493803454333002#/reservations/9080486849715416?display=5GEC6KHTDS&amp;reservation_id=9080486849715416", "5GEC6KHTDS")</f>
        <v>5GEC6KHTDS</v>
      </c>
      <c r="D9689" t="s">
        <v>45</v>
      </c>
      <c r="E9689" t="s">
        <v>406</v>
      </c>
      <c r="F9689" t="s">
        <v>61</v>
      </c>
      <c r="G9689" t="s">
        <v>48</v>
      </c>
      <c r="H9689" t="s">
        <v>49</v>
      </c>
      <c r="I9689" t="s">
        <v>50</v>
      </c>
      <c r="J9689" t="s">
        <v>17389</v>
      </c>
      <c r="K9689" t="s">
        <v>14371</v>
      </c>
      <c r="L9689" t="s">
        <v>53</v>
      </c>
      <c r="N9689" t="s">
        <v>18613</v>
      </c>
      <c r="P9689" t="s">
        <v>55</v>
      </c>
      <c r="R9689" t="s">
        <v>53</v>
      </c>
      <c r="T9689" t="s">
        <v>18614</v>
      </c>
      <c r="U9689" t="s">
        <v>55</v>
      </c>
      <c r="V9689">
        <v>1</v>
      </c>
      <c r="W9689">
        <v>1</v>
      </c>
      <c r="X9689">
        <v>1</v>
      </c>
      <c r="Y9689">
        <v>0</v>
      </c>
      <c r="Z9689">
        <v>1</v>
      </c>
      <c r="AA9689">
        <v>125.29</v>
      </c>
      <c r="AB9689">
        <v>125.29</v>
      </c>
      <c r="AC9689">
        <v>115.21</v>
      </c>
      <c r="AD9689">
        <v>0</v>
      </c>
      <c r="AE9689">
        <v>10.08</v>
      </c>
      <c r="AF9689">
        <v>0</v>
      </c>
      <c r="AG9689">
        <v>0</v>
      </c>
      <c r="AH9689">
        <v>0</v>
      </c>
      <c r="AI9689">
        <v>22.55</v>
      </c>
      <c r="AJ9689">
        <v>125.29</v>
      </c>
      <c r="AK9689">
        <v>0</v>
      </c>
      <c r="AL9689" t="s">
        <v>53</v>
      </c>
      <c r="AM9689" t="s">
        <v>53</v>
      </c>
      <c r="AN9689" t="s">
        <v>53</v>
      </c>
      <c r="AO9689" t="s">
        <v>53</v>
      </c>
      <c r="AP9689" t="s">
        <v>53</v>
      </c>
    </row>
    <row r="9690" spans="2:42" x14ac:dyDescent="0.2">
      <c r="B9690" t="s">
        <v>44</v>
      </c>
      <c r="C9690" t="str">
        <f>HYPERLINK("https://us2.cloudbeds.com/connect/8493803454333002#/reservations/9080486849716001?display=5GEMJH4ZDQ&amp;reservation_id=9080486849716001", "5GEMJH4ZDQ")</f>
        <v>5GEMJH4ZDQ</v>
      </c>
      <c r="D9690" t="s">
        <v>10291</v>
      </c>
      <c r="E9690" t="s">
        <v>105</v>
      </c>
      <c r="F9690" t="s">
        <v>47</v>
      </c>
      <c r="G9690" t="s">
        <v>48</v>
      </c>
      <c r="H9690" t="s">
        <v>49</v>
      </c>
      <c r="I9690" t="s">
        <v>62</v>
      </c>
      <c r="J9690" t="s">
        <v>17818</v>
      </c>
      <c r="K9690" t="s">
        <v>14006</v>
      </c>
      <c r="L9690" t="s">
        <v>53</v>
      </c>
      <c r="N9690" t="s">
        <v>18615</v>
      </c>
      <c r="P9690" t="s">
        <v>55</v>
      </c>
      <c r="R9690" t="s">
        <v>56</v>
      </c>
      <c r="T9690" t="s">
        <v>18616</v>
      </c>
      <c r="U9690" t="s">
        <v>55</v>
      </c>
      <c r="V9690">
        <v>2</v>
      </c>
      <c r="W9690">
        <v>1</v>
      </c>
      <c r="X9690">
        <v>2</v>
      </c>
      <c r="Y9690">
        <v>0</v>
      </c>
      <c r="Z9690">
        <v>2</v>
      </c>
      <c r="AA9690">
        <v>199.5</v>
      </c>
      <c r="AB9690">
        <v>0</v>
      </c>
      <c r="AC9690">
        <v>199.5</v>
      </c>
      <c r="AD9690">
        <v>0</v>
      </c>
      <c r="AE9690">
        <v>0</v>
      </c>
      <c r="AF9690">
        <v>0</v>
      </c>
      <c r="AG9690">
        <v>0</v>
      </c>
      <c r="AH9690">
        <v>0</v>
      </c>
      <c r="AI9690">
        <v>35.909999999999997</v>
      </c>
      <c r="AJ9690">
        <v>199.5</v>
      </c>
      <c r="AK9690">
        <v>199.5</v>
      </c>
      <c r="AL9690" t="s">
        <v>53</v>
      </c>
      <c r="AM9690" t="s">
        <v>53</v>
      </c>
      <c r="AN9690" t="s">
        <v>18617</v>
      </c>
      <c r="AO9690" t="s">
        <v>53</v>
      </c>
      <c r="AP9690" t="s">
        <v>53</v>
      </c>
    </row>
    <row r="9691" spans="2:42" x14ac:dyDescent="0.2">
      <c r="B9691" t="s">
        <v>44</v>
      </c>
      <c r="C9691" t="str">
        <f>HYPERLINK("https://us2.cloudbeds.com/connect/8493803454333002#/reservations/255193026883776?display=5GES6AR66A&amp;reservation_id=255193026883776", "5GES6AR66A")</f>
        <v>5GES6AR66A</v>
      </c>
      <c r="D9691" t="s">
        <v>45</v>
      </c>
      <c r="E9691" t="s">
        <v>305</v>
      </c>
      <c r="F9691" t="s">
        <v>61</v>
      </c>
      <c r="G9691" t="s">
        <v>48</v>
      </c>
      <c r="H9691" t="s">
        <v>3957</v>
      </c>
      <c r="I9691" t="s">
        <v>3958</v>
      </c>
      <c r="J9691" t="s">
        <v>17389</v>
      </c>
      <c r="K9691" t="s">
        <v>14371</v>
      </c>
      <c r="L9691" t="s">
        <v>53</v>
      </c>
      <c r="P9691" t="s">
        <v>55</v>
      </c>
      <c r="R9691" t="s">
        <v>56</v>
      </c>
      <c r="T9691" t="s">
        <v>18618</v>
      </c>
      <c r="U9691" t="s">
        <v>58</v>
      </c>
      <c r="V9691">
        <v>1</v>
      </c>
      <c r="W9691">
        <v>1</v>
      </c>
      <c r="X9691">
        <v>1</v>
      </c>
      <c r="Y9691">
        <v>0</v>
      </c>
      <c r="Z9691">
        <v>1</v>
      </c>
      <c r="AA9691">
        <v>183.44</v>
      </c>
      <c r="AB9691">
        <v>183.44</v>
      </c>
      <c r="AC9691">
        <v>160</v>
      </c>
      <c r="AD9691">
        <v>0</v>
      </c>
      <c r="AE9691">
        <v>23.44</v>
      </c>
      <c r="AF9691">
        <v>0</v>
      </c>
      <c r="AG9691">
        <v>0</v>
      </c>
      <c r="AH9691">
        <v>0</v>
      </c>
      <c r="AI9691">
        <v>0</v>
      </c>
      <c r="AJ9691">
        <v>183.44</v>
      </c>
      <c r="AK9691">
        <v>0</v>
      </c>
      <c r="AL9691" t="s">
        <v>53</v>
      </c>
      <c r="AM9691" t="s">
        <v>53</v>
      </c>
      <c r="AN9691" t="s">
        <v>53</v>
      </c>
      <c r="AO9691" t="s">
        <v>53</v>
      </c>
      <c r="AP9691" t="s">
        <v>53</v>
      </c>
    </row>
    <row r="9692" spans="2:42" x14ac:dyDescent="0.2">
      <c r="B9692" t="s">
        <v>44</v>
      </c>
      <c r="C9692" t="str">
        <f>HYPERLINK("https://us2.cloudbeds.com/connect/8493803454333002#/reservations/9080486849716787?display=5GF3XQYESE&amp;reservation_id=9080486849716787", "5GF3XQYESE")</f>
        <v>5GF3XQYESE</v>
      </c>
      <c r="D9692" t="s">
        <v>45</v>
      </c>
      <c r="E9692" t="s">
        <v>98</v>
      </c>
      <c r="F9692" t="s">
        <v>86</v>
      </c>
      <c r="G9692" t="s">
        <v>48</v>
      </c>
      <c r="H9692" t="s">
        <v>49</v>
      </c>
      <c r="I9692" t="s">
        <v>62</v>
      </c>
      <c r="J9692" t="s">
        <v>17389</v>
      </c>
      <c r="K9692" t="s">
        <v>14371</v>
      </c>
      <c r="L9692" t="s">
        <v>53</v>
      </c>
      <c r="N9692" t="s">
        <v>18619</v>
      </c>
      <c r="P9692" t="s">
        <v>55</v>
      </c>
      <c r="R9692" t="s">
        <v>56</v>
      </c>
      <c r="T9692" t="s">
        <v>18620</v>
      </c>
      <c r="U9692" t="s">
        <v>55</v>
      </c>
      <c r="V9692">
        <v>1</v>
      </c>
      <c r="W9692">
        <v>1</v>
      </c>
      <c r="X9692">
        <v>2</v>
      </c>
      <c r="Y9692">
        <v>2</v>
      </c>
      <c r="Z9692">
        <v>4</v>
      </c>
      <c r="AA9692">
        <v>189</v>
      </c>
      <c r="AB9692">
        <v>189</v>
      </c>
      <c r="AC9692">
        <v>189</v>
      </c>
      <c r="AD9692">
        <v>0</v>
      </c>
      <c r="AE9692">
        <v>0</v>
      </c>
      <c r="AF9692">
        <v>0</v>
      </c>
      <c r="AG9692">
        <v>0</v>
      </c>
      <c r="AH9692">
        <v>0</v>
      </c>
      <c r="AI9692">
        <v>34.020000000000003</v>
      </c>
      <c r="AJ9692">
        <v>189</v>
      </c>
      <c r="AK9692">
        <v>0</v>
      </c>
      <c r="AL9692" t="s">
        <v>53</v>
      </c>
      <c r="AM9692" t="s">
        <v>53</v>
      </c>
      <c r="AN9692" t="s">
        <v>53</v>
      </c>
      <c r="AO9692" t="s">
        <v>53</v>
      </c>
      <c r="AP9692" t="s">
        <v>53</v>
      </c>
    </row>
    <row r="9693" spans="2:42" x14ac:dyDescent="0.2">
      <c r="B9693" t="s">
        <v>44</v>
      </c>
      <c r="C9693" t="str">
        <f>HYPERLINK("https://us2.cloudbeds.com/connect/8493803454333002#/reservations/9080486849717124?display=5GF95K5YKD&amp;reservation_id=9080486849717124", "5GF95K5YKD")</f>
        <v>5GF95K5YKD</v>
      </c>
      <c r="D9693" t="s">
        <v>10291</v>
      </c>
      <c r="E9693" t="s">
        <v>85</v>
      </c>
      <c r="F9693" t="s">
        <v>86</v>
      </c>
      <c r="G9693" t="s">
        <v>48</v>
      </c>
      <c r="H9693" t="s">
        <v>49</v>
      </c>
      <c r="I9693" t="s">
        <v>8964</v>
      </c>
      <c r="J9693" t="s">
        <v>18621</v>
      </c>
      <c r="K9693" t="s">
        <v>18622</v>
      </c>
      <c r="L9693" t="s">
        <v>53</v>
      </c>
      <c r="N9693" t="s">
        <v>18623</v>
      </c>
      <c r="P9693" t="s">
        <v>55</v>
      </c>
      <c r="R9693" t="s">
        <v>53</v>
      </c>
      <c r="T9693" t="s">
        <v>18624</v>
      </c>
      <c r="U9693" t="s">
        <v>55</v>
      </c>
      <c r="V9693">
        <v>3</v>
      </c>
      <c r="W9693">
        <v>1</v>
      </c>
      <c r="X9693">
        <v>2</v>
      </c>
      <c r="Y9693">
        <v>2</v>
      </c>
      <c r="Z9693">
        <v>4</v>
      </c>
      <c r="AA9693">
        <v>0</v>
      </c>
      <c r="AB9693">
        <v>0</v>
      </c>
      <c r="AC9693">
        <v>456</v>
      </c>
      <c r="AD9693">
        <v>0</v>
      </c>
      <c r="AE9693">
        <v>0</v>
      </c>
      <c r="AF9693">
        <v>0</v>
      </c>
      <c r="AG9693">
        <v>0</v>
      </c>
      <c r="AH9693">
        <v>0</v>
      </c>
      <c r="AI9693">
        <v>68.400000000000006</v>
      </c>
      <c r="AJ9693">
        <v>456</v>
      </c>
      <c r="AK9693">
        <v>456</v>
      </c>
      <c r="AL9693" t="s">
        <v>53</v>
      </c>
      <c r="AM9693" t="s">
        <v>53</v>
      </c>
      <c r="AN9693" t="s">
        <v>53</v>
      </c>
      <c r="AO9693" t="s">
        <v>53</v>
      </c>
      <c r="AP9693" t="s">
        <v>53</v>
      </c>
    </row>
    <row r="9694" spans="2:42" x14ac:dyDescent="0.2">
      <c r="B9694" t="s">
        <v>44</v>
      </c>
      <c r="C9694" t="str">
        <f>HYPERLINK("https://us2.cloudbeds.com/connect/8493803454333002#/reservations/9080486849717199?display=5GFAJ1NW7W&amp;reservation_id=9080486849717199", "5GFAJ1NW7W")</f>
        <v>5GFAJ1NW7W</v>
      </c>
      <c r="D9694" t="s">
        <v>9111</v>
      </c>
      <c r="E9694" t="s">
        <v>46</v>
      </c>
      <c r="F9694" t="s">
        <v>47</v>
      </c>
      <c r="G9694" t="s">
        <v>48</v>
      </c>
      <c r="H9694" t="s">
        <v>49</v>
      </c>
      <c r="I9694" t="s">
        <v>50</v>
      </c>
      <c r="J9694" t="s">
        <v>14371</v>
      </c>
      <c r="K9694" t="s">
        <v>17135</v>
      </c>
      <c r="L9694" t="s">
        <v>53</v>
      </c>
      <c r="N9694" t="s">
        <v>18625</v>
      </c>
      <c r="P9694" t="s">
        <v>55</v>
      </c>
      <c r="R9694" t="s">
        <v>53</v>
      </c>
      <c r="T9694" t="s">
        <v>18626</v>
      </c>
      <c r="U9694" t="s">
        <v>55</v>
      </c>
      <c r="V9694">
        <v>1</v>
      </c>
      <c r="W9694">
        <v>1</v>
      </c>
      <c r="X9694">
        <v>2</v>
      </c>
      <c r="Y9694">
        <v>0</v>
      </c>
      <c r="Z9694">
        <v>2</v>
      </c>
      <c r="AA9694">
        <v>120.28</v>
      </c>
      <c r="AB9694">
        <v>120.28</v>
      </c>
      <c r="AC9694">
        <v>110.6</v>
      </c>
      <c r="AD9694">
        <v>0</v>
      </c>
      <c r="AE9694">
        <v>9.68</v>
      </c>
      <c r="AF9694">
        <v>0</v>
      </c>
      <c r="AG9694">
        <v>0</v>
      </c>
      <c r="AH9694">
        <v>0</v>
      </c>
      <c r="AI9694">
        <v>21.65</v>
      </c>
      <c r="AJ9694">
        <v>120.28</v>
      </c>
      <c r="AK9694">
        <v>0</v>
      </c>
      <c r="AL9694" t="s">
        <v>53</v>
      </c>
      <c r="AM9694" t="s">
        <v>53</v>
      </c>
      <c r="AN9694" t="s">
        <v>53</v>
      </c>
      <c r="AO9694" t="s">
        <v>53</v>
      </c>
      <c r="AP9694" t="s">
        <v>53</v>
      </c>
    </row>
    <row r="9695" spans="2:42" x14ac:dyDescent="0.2">
      <c r="B9695" t="s">
        <v>44</v>
      </c>
      <c r="C9695" t="str">
        <f>HYPERLINK("https://us2.cloudbeds.com/connect/8493803454333002#/reservations/9080486849718709?display=5GG5W837GY&amp;reservation_id=9080486849718709", "5GG5W837GY")</f>
        <v>5GG5W837GY</v>
      </c>
      <c r="D9695" t="s">
        <v>10291</v>
      </c>
      <c r="E9695" t="s">
        <v>69</v>
      </c>
      <c r="F9695" t="s">
        <v>70</v>
      </c>
      <c r="G9695" t="s">
        <v>48</v>
      </c>
      <c r="H9695" t="s">
        <v>49</v>
      </c>
      <c r="I9695" t="s">
        <v>50</v>
      </c>
      <c r="J9695" t="s">
        <v>17239</v>
      </c>
      <c r="K9695" t="s">
        <v>17381</v>
      </c>
      <c r="L9695" t="s">
        <v>53</v>
      </c>
      <c r="N9695" t="s">
        <v>18627</v>
      </c>
      <c r="P9695" t="s">
        <v>55</v>
      </c>
      <c r="R9695" t="s">
        <v>53</v>
      </c>
      <c r="T9695" t="s">
        <v>18628</v>
      </c>
      <c r="U9695" t="s">
        <v>55</v>
      </c>
      <c r="V9695">
        <v>1</v>
      </c>
      <c r="W9695">
        <v>1</v>
      </c>
      <c r="X9695">
        <v>2</v>
      </c>
      <c r="Y9695">
        <v>0</v>
      </c>
      <c r="Z9695">
        <v>2</v>
      </c>
      <c r="AA9695">
        <v>106.49</v>
      </c>
      <c r="AB9695">
        <v>0</v>
      </c>
      <c r="AC9695">
        <v>97.92</v>
      </c>
      <c r="AD9695">
        <v>0</v>
      </c>
      <c r="AE9695">
        <v>8.57</v>
      </c>
      <c r="AF9695">
        <v>0</v>
      </c>
      <c r="AG9695">
        <v>0</v>
      </c>
      <c r="AH9695">
        <v>0</v>
      </c>
      <c r="AI9695">
        <v>19.170000000000002</v>
      </c>
      <c r="AJ9695">
        <v>106.49</v>
      </c>
      <c r="AK9695">
        <v>106.49</v>
      </c>
      <c r="AL9695" t="s">
        <v>53</v>
      </c>
      <c r="AM9695" t="s">
        <v>53</v>
      </c>
      <c r="AN9695" t="s">
        <v>53</v>
      </c>
      <c r="AO9695" t="s">
        <v>53</v>
      </c>
      <c r="AP9695" t="s">
        <v>53</v>
      </c>
    </row>
    <row r="9696" spans="2:42" x14ac:dyDescent="0.2">
      <c r="B9696" t="s">
        <v>44</v>
      </c>
      <c r="C9696" t="str">
        <f>HYPERLINK("https://us2.cloudbeds.com/connect/8493803454333002#/reservations/9080486849723875?display=5GJHNYZURA&amp;reservation_id=9080486849723875", "5GJHNYZURA")</f>
        <v>5GJHNYZURA</v>
      </c>
      <c r="D9696" t="s">
        <v>10291</v>
      </c>
      <c r="E9696" t="s">
        <v>487</v>
      </c>
      <c r="F9696" t="s">
        <v>61</v>
      </c>
      <c r="G9696" t="s">
        <v>48</v>
      </c>
      <c r="H9696" t="s">
        <v>49</v>
      </c>
      <c r="I9696" t="s">
        <v>50</v>
      </c>
      <c r="J9696" t="s">
        <v>17467</v>
      </c>
      <c r="K9696" t="s">
        <v>14372</v>
      </c>
      <c r="L9696" t="s">
        <v>53</v>
      </c>
      <c r="N9696" t="s">
        <v>18629</v>
      </c>
      <c r="P9696" t="s">
        <v>55</v>
      </c>
      <c r="R9696" t="s">
        <v>53</v>
      </c>
      <c r="T9696" t="s">
        <v>18630</v>
      </c>
      <c r="U9696" t="s">
        <v>58</v>
      </c>
      <c r="V9696">
        <v>1</v>
      </c>
      <c r="W9696">
        <v>1</v>
      </c>
      <c r="X9696">
        <v>1</v>
      </c>
      <c r="Y9696">
        <v>0</v>
      </c>
      <c r="Z9696">
        <v>1</v>
      </c>
      <c r="AA9696">
        <v>223.01</v>
      </c>
      <c r="AB9696">
        <v>0</v>
      </c>
      <c r="AC9696">
        <v>194.51</v>
      </c>
      <c r="AD9696">
        <v>0</v>
      </c>
      <c r="AE9696">
        <v>28.5</v>
      </c>
      <c r="AF9696">
        <v>0</v>
      </c>
      <c r="AG9696">
        <v>0</v>
      </c>
      <c r="AH9696">
        <v>0</v>
      </c>
      <c r="AI9696">
        <v>40.14</v>
      </c>
      <c r="AJ9696">
        <v>223.01</v>
      </c>
      <c r="AK9696">
        <v>223.01</v>
      </c>
      <c r="AL9696" t="s">
        <v>53</v>
      </c>
      <c r="AM9696" t="s">
        <v>53</v>
      </c>
      <c r="AN9696" t="s">
        <v>53</v>
      </c>
      <c r="AO9696" t="s">
        <v>53</v>
      </c>
      <c r="AP9696" t="s">
        <v>53</v>
      </c>
    </row>
    <row r="9697" spans="2:42" x14ac:dyDescent="0.2">
      <c r="B9697" t="s">
        <v>44</v>
      </c>
      <c r="C9697" t="str">
        <f>HYPERLINK("https://us2.cloudbeds.com/connect/8493803454333002#/reservations/9080486849724408?display=5GJP6F89M3&amp;reservation_id=9080486849724408", "5GJP6F89M3")</f>
        <v>5GJP6F89M3</v>
      </c>
      <c r="D9697" t="s">
        <v>10291</v>
      </c>
      <c r="E9697" t="s">
        <v>69</v>
      </c>
      <c r="F9697" t="s">
        <v>70</v>
      </c>
      <c r="G9697" t="s">
        <v>48</v>
      </c>
      <c r="H9697" t="s">
        <v>49</v>
      </c>
      <c r="I9697" t="s">
        <v>8964</v>
      </c>
      <c r="J9697" t="s">
        <v>16110</v>
      </c>
      <c r="K9697" t="s">
        <v>16111</v>
      </c>
      <c r="L9697" t="s">
        <v>53</v>
      </c>
      <c r="N9697" t="s">
        <v>18631</v>
      </c>
      <c r="P9697" t="s">
        <v>55</v>
      </c>
      <c r="R9697" t="s">
        <v>53</v>
      </c>
      <c r="T9697" t="s">
        <v>18632</v>
      </c>
      <c r="U9697" t="s">
        <v>55</v>
      </c>
      <c r="V9697">
        <v>2</v>
      </c>
      <c r="W9697">
        <v>1</v>
      </c>
      <c r="X9697">
        <v>2</v>
      </c>
      <c r="Y9697">
        <v>0</v>
      </c>
      <c r="Z9697">
        <v>2</v>
      </c>
      <c r="AA9697">
        <v>0</v>
      </c>
      <c r="AB9697">
        <v>0</v>
      </c>
      <c r="AC9697">
        <v>282</v>
      </c>
      <c r="AD9697">
        <v>0</v>
      </c>
      <c r="AE9697">
        <v>0</v>
      </c>
      <c r="AF9697">
        <v>0</v>
      </c>
      <c r="AG9697">
        <v>0</v>
      </c>
      <c r="AH9697">
        <v>0</v>
      </c>
      <c r="AI9697">
        <v>42.3</v>
      </c>
      <c r="AJ9697">
        <v>282</v>
      </c>
      <c r="AK9697">
        <v>282</v>
      </c>
      <c r="AL9697" t="s">
        <v>53</v>
      </c>
      <c r="AM9697" t="s">
        <v>53</v>
      </c>
      <c r="AN9697" t="s">
        <v>53</v>
      </c>
      <c r="AO9697" t="s">
        <v>53</v>
      </c>
      <c r="AP9697" t="s">
        <v>53</v>
      </c>
    </row>
    <row r="9698" spans="2:42" x14ac:dyDescent="0.2">
      <c r="B9698" t="s">
        <v>44</v>
      </c>
      <c r="C9698" t="str">
        <f>HYPERLINK("https://us2.cloudbeds.com/connect/8493803454333002#/reservations/255404833759424?display=5GJR6FW8WW&amp;reservation_id=255404833759424", "5GJR6FW8WW")</f>
        <v>5GJR6FW8WW</v>
      </c>
      <c r="D9698" t="s">
        <v>10291</v>
      </c>
      <c r="E9698" t="s">
        <v>190</v>
      </c>
      <c r="F9698" t="s">
        <v>61</v>
      </c>
      <c r="G9698" t="s">
        <v>3974</v>
      </c>
      <c r="H9698" t="s">
        <v>3957</v>
      </c>
      <c r="I9698" t="s">
        <v>3975</v>
      </c>
      <c r="J9698" t="s">
        <v>17762</v>
      </c>
      <c r="K9698" t="s">
        <v>17853</v>
      </c>
      <c r="L9698" t="s">
        <v>53</v>
      </c>
      <c r="P9698" t="s">
        <v>55</v>
      </c>
      <c r="R9698" t="s">
        <v>56</v>
      </c>
      <c r="T9698" t="s">
        <v>18633</v>
      </c>
      <c r="U9698" t="s">
        <v>58</v>
      </c>
      <c r="V9698">
        <v>2</v>
      </c>
      <c r="W9698">
        <v>1</v>
      </c>
      <c r="X9698">
        <v>2</v>
      </c>
      <c r="Y9698">
        <v>0</v>
      </c>
      <c r="Z9698">
        <v>2</v>
      </c>
      <c r="AA9698">
        <v>418.25</v>
      </c>
      <c r="AB9698">
        <v>418.25</v>
      </c>
      <c r="AC9698">
        <v>364.8</v>
      </c>
      <c r="AD9698">
        <v>0</v>
      </c>
      <c r="AE9698">
        <v>53.45</v>
      </c>
      <c r="AF9698">
        <v>0</v>
      </c>
      <c r="AG9698">
        <v>0</v>
      </c>
      <c r="AH9698">
        <v>0</v>
      </c>
      <c r="AI9698">
        <v>0</v>
      </c>
      <c r="AJ9698">
        <v>418.25</v>
      </c>
      <c r="AK9698">
        <v>0</v>
      </c>
      <c r="AL9698" t="s">
        <v>53</v>
      </c>
      <c r="AM9698" t="s">
        <v>53</v>
      </c>
      <c r="AN9698" t="s">
        <v>53</v>
      </c>
      <c r="AO9698" t="s">
        <v>53</v>
      </c>
      <c r="AP9698" t="s">
        <v>53</v>
      </c>
    </row>
    <row r="9699" spans="2:42" x14ac:dyDescent="0.2">
      <c r="B9699" t="s">
        <v>44</v>
      </c>
      <c r="C9699" t="str">
        <f>HYPERLINK("https://us2.cloudbeds.com/connect/8493803454333002#/reservations/9080486849724890?display=5GJW66W89R&amp;reservation_id=9080486849724890", "5GJW66W89R")</f>
        <v>5GJW66W89R</v>
      </c>
      <c r="D9699" t="s">
        <v>10291</v>
      </c>
      <c r="E9699" t="s">
        <v>138</v>
      </c>
      <c r="F9699" t="s">
        <v>70</v>
      </c>
      <c r="G9699" t="s">
        <v>48</v>
      </c>
      <c r="H9699" t="s">
        <v>49</v>
      </c>
      <c r="I9699" t="s">
        <v>8964</v>
      </c>
      <c r="J9699" t="s">
        <v>17833</v>
      </c>
      <c r="K9699" t="s">
        <v>17665</v>
      </c>
      <c r="L9699" t="s">
        <v>53</v>
      </c>
      <c r="N9699" t="s">
        <v>18634</v>
      </c>
      <c r="P9699" t="s">
        <v>55</v>
      </c>
      <c r="R9699" t="s">
        <v>53</v>
      </c>
      <c r="T9699" t="s">
        <v>18635</v>
      </c>
      <c r="U9699" t="s">
        <v>55</v>
      </c>
      <c r="V9699">
        <v>1</v>
      </c>
      <c r="W9699">
        <v>1</v>
      </c>
      <c r="X9699">
        <v>2</v>
      </c>
      <c r="Y9699">
        <v>0</v>
      </c>
      <c r="Z9699">
        <v>2</v>
      </c>
      <c r="AA9699">
        <v>0</v>
      </c>
      <c r="AB9699">
        <v>0</v>
      </c>
      <c r="AC9699">
        <v>168</v>
      </c>
      <c r="AD9699">
        <v>0</v>
      </c>
      <c r="AE9699">
        <v>0</v>
      </c>
      <c r="AF9699">
        <v>0</v>
      </c>
      <c r="AG9699">
        <v>0</v>
      </c>
      <c r="AH9699">
        <v>0</v>
      </c>
      <c r="AI9699">
        <v>25.2</v>
      </c>
      <c r="AJ9699">
        <v>168</v>
      </c>
      <c r="AK9699">
        <v>168</v>
      </c>
      <c r="AL9699" t="s">
        <v>53</v>
      </c>
      <c r="AM9699" t="s">
        <v>53</v>
      </c>
      <c r="AN9699" t="s">
        <v>53</v>
      </c>
      <c r="AO9699" t="s">
        <v>53</v>
      </c>
      <c r="AP9699" t="s">
        <v>53</v>
      </c>
    </row>
    <row r="9700" spans="2:42" x14ac:dyDescent="0.2">
      <c r="B9700" t="s">
        <v>44</v>
      </c>
      <c r="C9700" t="str">
        <f>HYPERLINK("https://us2.cloudbeds.com/connect/8493803454333002#/reservations/9080486849725172?display=5GK39U2EGD&amp;reservation_id=9080486849725172", "5GK39U2EGD")</f>
        <v>5GK39U2EGD</v>
      </c>
      <c r="D9700" t="s">
        <v>9111</v>
      </c>
      <c r="E9700" t="s">
        <v>85</v>
      </c>
      <c r="F9700" t="s">
        <v>86</v>
      </c>
      <c r="G9700" t="s">
        <v>48</v>
      </c>
      <c r="H9700" t="s">
        <v>49</v>
      </c>
      <c r="I9700" t="s">
        <v>8964</v>
      </c>
      <c r="J9700" t="s">
        <v>14371</v>
      </c>
      <c r="K9700" t="s">
        <v>17135</v>
      </c>
      <c r="L9700" t="s">
        <v>53</v>
      </c>
      <c r="N9700" t="s">
        <v>18636</v>
      </c>
      <c r="P9700" t="s">
        <v>55</v>
      </c>
      <c r="R9700" t="s">
        <v>53</v>
      </c>
      <c r="T9700" t="s">
        <v>18637</v>
      </c>
      <c r="U9700" t="s">
        <v>55</v>
      </c>
      <c r="V9700">
        <v>1</v>
      </c>
      <c r="W9700">
        <v>1</v>
      </c>
      <c r="X9700">
        <v>2</v>
      </c>
      <c r="Y9700">
        <v>0</v>
      </c>
      <c r="Z9700">
        <v>2</v>
      </c>
      <c r="AA9700">
        <v>0</v>
      </c>
      <c r="AB9700">
        <v>0</v>
      </c>
      <c r="AC9700">
        <v>173</v>
      </c>
      <c r="AD9700">
        <v>0</v>
      </c>
      <c r="AE9700">
        <v>0</v>
      </c>
      <c r="AF9700">
        <v>0</v>
      </c>
      <c r="AG9700">
        <v>0</v>
      </c>
      <c r="AH9700">
        <v>0</v>
      </c>
      <c r="AI9700">
        <v>25.95</v>
      </c>
      <c r="AJ9700">
        <v>173</v>
      </c>
      <c r="AK9700">
        <v>173</v>
      </c>
      <c r="AL9700" t="s">
        <v>53</v>
      </c>
      <c r="AM9700" t="s">
        <v>53</v>
      </c>
      <c r="AN9700" t="s">
        <v>18638</v>
      </c>
      <c r="AO9700" t="s">
        <v>53</v>
      </c>
      <c r="AP9700" t="s">
        <v>53</v>
      </c>
    </row>
    <row r="9701" spans="2:42" x14ac:dyDescent="0.2">
      <c r="B9701" t="s">
        <v>44</v>
      </c>
      <c r="C9701" t="str">
        <f>HYPERLINK("https://us2.cloudbeds.com/connect/8493803454333002#/reservations/9080486849725767?display=5GKAQ25SPN&amp;reservation_id=9080486849725767", "5GKAQ25SPN")</f>
        <v>5GKAQ25SPN</v>
      </c>
      <c r="D9701" t="s">
        <v>10291</v>
      </c>
      <c r="E9701" t="s">
        <v>85</v>
      </c>
      <c r="F9701" t="s">
        <v>86</v>
      </c>
      <c r="G9701" t="s">
        <v>48</v>
      </c>
      <c r="H9701" t="s">
        <v>49</v>
      </c>
      <c r="I9701" t="s">
        <v>8964</v>
      </c>
      <c r="J9701" t="s">
        <v>17135</v>
      </c>
      <c r="K9701" t="s">
        <v>17467</v>
      </c>
      <c r="L9701" t="s">
        <v>53</v>
      </c>
      <c r="N9701" t="s">
        <v>18639</v>
      </c>
      <c r="P9701" t="s">
        <v>55</v>
      </c>
      <c r="R9701" t="s">
        <v>53</v>
      </c>
      <c r="T9701" t="s">
        <v>18640</v>
      </c>
      <c r="U9701" t="s">
        <v>55</v>
      </c>
      <c r="V9701">
        <v>1</v>
      </c>
      <c r="W9701">
        <v>1</v>
      </c>
      <c r="X9701">
        <v>1</v>
      </c>
      <c r="Y9701">
        <v>2</v>
      </c>
      <c r="Z9701">
        <v>3</v>
      </c>
      <c r="AA9701">
        <v>0</v>
      </c>
      <c r="AB9701">
        <v>0</v>
      </c>
      <c r="AC9701">
        <v>194</v>
      </c>
      <c r="AD9701">
        <v>0</v>
      </c>
      <c r="AE9701">
        <v>0</v>
      </c>
      <c r="AF9701">
        <v>0</v>
      </c>
      <c r="AG9701">
        <v>0</v>
      </c>
      <c r="AH9701">
        <v>0</v>
      </c>
      <c r="AI9701">
        <v>29.1</v>
      </c>
      <c r="AJ9701">
        <v>194</v>
      </c>
      <c r="AK9701">
        <v>194</v>
      </c>
      <c r="AL9701" t="s">
        <v>53</v>
      </c>
      <c r="AM9701" t="s">
        <v>53</v>
      </c>
      <c r="AN9701" t="s">
        <v>53</v>
      </c>
      <c r="AO9701" t="s">
        <v>53</v>
      </c>
      <c r="AP9701" t="s">
        <v>53</v>
      </c>
    </row>
    <row r="9702" spans="2:42" x14ac:dyDescent="0.2">
      <c r="B9702" t="s">
        <v>44</v>
      </c>
      <c r="C9702" t="str">
        <f>HYPERLINK("https://us2.cloudbeds.com/connect/8493803454333002#/reservations/9080486849726241?display=5GKH5DMGJR&amp;reservation_id=9080486849726241", "5GKH5DMGJR")</f>
        <v>5GKH5DMGJR</v>
      </c>
      <c r="D9702" t="s">
        <v>10291</v>
      </c>
      <c r="E9702" t="s">
        <v>165</v>
      </c>
      <c r="F9702" t="s">
        <v>61</v>
      </c>
      <c r="G9702" t="s">
        <v>48</v>
      </c>
      <c r="H9702" t="s">
        <v>49</v>
      </c>
      <c r="I9702" t="s">
        <v>8964</v>
      </c>
      <c r="J9702" t="s">
        <v>16500</v>
      </c>
      <c r="K9702" t="s">
        <v>18260</v>
      </c>
      <c r="L9702" t="s">
        <v>53</v>
      </c>
      <c r="N9702" t="s">
        <v>18641</v>
      </c>
      <c r="P9702" t="s">
        <v>55</v>
      </c>
      <c r="R9702" t="s">
        <v>53</v>
      </c>
      <c r="T9702" t="s">
        <v>18642</v>
      </c>
      <c r="U9702" t="s">
        <v>55</v>
      </c>
      <c r="V9702">
        <v>1</v>
      </c>
      <c r="W9702">
        <v>1</v>
      </c>
      <c r="X9702">
        <v>2</v>
      </c>
      <c r="Y9702">
        <v>0</v>
      </c>
      <c r="Z9702">
        <v>2</v>
      </c>
      <c r="AA9702">
        <v>0</v>
      </c>
      <c r="AB9702">
        <v>0</v>
      </c>
      <c r="AC9702">
        <v>194</v>
      </c>
      <c r="AD9702">
        <v>0</v>
      </c>
      <c r="AE9702">
        <v>0</v>
      </c>
      <c r="AF9702">
        <v>0</v>
      </c>
      <c r="AG9702">
        <v>0</v>
      </c>
      <c r="AH9702">
        <v>0</v>
      </c>
      <c r="AI9702">
        <v>29.1</v>
      </c>
      <c r="AJ9702">
        <v>194</v>
      </c>
      <c r="AK9702">
        <v>194</v>
      </c>
      <c r="AL9702" t="s">
        <v>53</v>
      </c>
      <c r="AM9702" t="s">
        <v>53</v>
      </c>
      <c r="AN9702" t="s">
        <v>53</v>
      </c>
      <c r="AO9702" t="s">
        <v>53</v>
      </c>
      <c r="AP9702" t="s">
        <v>53</v>
      </c>
    </row>
    <row r="9703" spans="2:42" x14ac:dyDescent="0.2">
      <c r="B9703" t="s">
        <v>44</v>
      </c>
      <c r="C9703" t="str">
        <f>HYPERLINK("https://us2.cloudbeds.com/connect/8493803454333002#/reservations/9080486849726672?display=5GKMTQTQSN&amp;reservation_id=9080486849726672", "5GKMTQTQSN")</f>
        <v>5GKMTQTQSN</v>
      </c>
      <c r="D9703" t="s">
        <v>10291</v>
      </c>
      <c r="E9703" t="s">
        <v>179</v>
      </c>
      <c r="F9703" t="s">
        <v>47</v>
      </c>
      <c r="G9703" t="s">
        <v>48</v>
      </c>
      <c r="H9703" t="s">
        <v>49</v>
      </c>
      <c r="I9703" t="s">
        <v>50</v>
      </c>
      <c r="J9703" t="s">
        <v>15748</v>
      </c>
      <c r="K9703" t="s">
        <v>15024</v>
      </c>
      <c r="L9703" t="s">
        <v>53</v>
      </c>
      <c r="N9703" t="s">
        <v>18643</v>
      </c>
      <c r="P9703" t="s">
        <v>55</v>
      </c>
      <c r="R9703" t="s">
        <v>53</v>
      </c>
      <c r="T9703" t="s">
        <v>18644</v>
      </c>
      <c r="U9703" t="s">
        <v>55</v>
      </c>
      <c r="V9703">
        <v>1</v>
      </c>
      <c r="W9703">
        <v>1</v>
      </c>
      <c r="X9703">
        <v>1</v>
      </c>
      <c r="Y9703">
        <v>0</v>
      </c>
      <c r="Z9703">
        <v>1</v>
      </c>
      <c r="AA9703">
        <v>103.56</v>
      </c>
      <c r="AB9703">
        <v>0</v>
      </c>
      <c r="AC9703">
        <v>95.23</v>
      </c>
      <c r="AD9703">
        <v>0</v>
      </c>
      <c r="AE9703">
        <v>8.33</v>
      </c>
      <c r="AF9703">
        <v>0</v>
      </c>
      <c r="AG9703">
        <v>0</v>
      </c>
      <c r="AH9703">
        <v>0</v>
      </c>
      <c r="AI9703">
        <v>18.64</v>
      </c>
      <c r="AJ9703">
        <v>103.56</v>
      </c>
      <c r="AK9703">
        <v>103.56</v>
      </c>
      <c r="AL9703" t="s">
        <v>53</v>
      </c>
      <c r="AM9703" t="s">
        <v>53</v>
      </c>
      <c r="AN9703" t="s">
        <v>53</v>
      </c>
      <c r="AO9703" t="s">
        <v>53</v>
      </c>
      <c r="AP9703" t="s">
        <v>53</v>
      </c>
    </row>
    <row r="9704" spans="2:42" x14ac:dyDescent="0.2">
      <c r="B9704" t="s">
        <v>44</v>
      </c>
      <c r="C9704" t="str">
        <f>HYPERLINK("https://us2.cloudbeds.com/connect/8493803454333002#/reservations/9080486849726813?display=5GKZRSYHV3&amp;reservation_id=9080486849726813", "5GKZRSYHV3")</f>
        <v>5GKZRSYHV3</v>
      </c>
      <c r="D9704" t="s">
        <v>10291</v>
      </c>
      <c r="E9704" t="s">
        <v>69</v>
      </c>
      <c r="F9704" t="s">
        <v>70</v>
      </c>
      <c r="G9704" t="s">
        <v>48</v>
      </c>
      <c r="H9704" t="s">
        <v>49</v>
      </c>
      <c r="I9704" t="s">
        <v>50</v>
      </c>
      <c r="J9704" t="s">
        <v>18291</v>
      </c>
      <c r="K9704" t="s">
        <v>17897</v>
      </c>
      <c r="L9704" t="s">
        <v>53</v>
      </c>
      <c r="N9704" t="s">
        <v>18645</v>
      </c>
      <c r="P9704" t="s">
        <v>55</v>
      </c>
      <c r="R9704" t="s">
        <v>53</v>
      </c>
      <c r="T9704" t="s">
        <v>18646</v>
      </c>
      <c r="U9704" t="s">
        <v>55</v>
      </c>
      <c r="V9704">
        <v>1</v>
      </c>
      <c r="W9704">
        <v>1</v>
      </c>
      <c r="X9704">
        <v>2</v>
      </c>
      <c r="Y9704">
        <v>0</v>
      </c>
      <c r="Z9704">
        <v>2</v>
      </c>
      <c r="AA9704">
        <v>116.08</v>
      </c>
      <c r="AB9704">
        <v>0</v>
      </c>
      <c r="AC9704">
        <v>106.74</v>
      </c>
      <c r="AD9704">
        <v>0</v>
      </c>
      <c r="AE9704">
        <v>9.34</v>
      </c>
      <c r="AF9704">
        <v>0</v>
      </c>
      <c r="AG9704">
        <v>0</v>
      </c>
      <c r="AH9704">
        <v>0</v>
      </c>
      <c r="AI9704">
        <v>20.89</v>
      </c>
      <c r="AJ9704">
        <v>116.08</v>
      </c>
      <c r="AK9704">
        <v>116.08</v>
      </c>
      <c r="AL9704" t="s">
        <v>53</v>
      </c>
      <c r="AM9704" t="s">
        <v>53</v>
      </c>
      <c r="AN9704" t="s">
        <v>53</v>
      </c>
      <c r="AO9704" t="s">
        <v>53</v>
      </c>
      <c r="AP9704" t="s">
        <v>53</v>
      </c>
    </row>
    <row r="9705" spans="2:42" x14ac:dyDescent="0.2">
      <c r="B9705" t="s">
        <v>44</v>
      </c>
      <c r="C9705" t="str">
        <f>HYPERLINK("https://us2.cloudbeds.com/connect/8493803454333002#/reservations/9080486849727246?display=5GKUXZTAEQ&amp;reservation_id=9080486849727246", "5GKUXZTAEQ")</f>
        <v>5GKUXZTAEQ</v>
      </c>
      <c r="D9705" t="s">
        <v>10291</v>
      </c>
      <c r="E9705" t="s">
        <v>85</v>
      </c>
      <c r="F9705" t="s">
        <v>86</v>
      </c>
      <c r="G9705" t="s">
        <v>48</v>
      </c>
      <c r="H9705" t="s">
        <v>49</v>
      </c>
      <c r="I9705" t="s">
        <v>62</v>
      </c>
      <c r="J9705" t="s">
        <v>17467</v>
      </c>
      <c r="K9705" t="s">
        <v>14372</v>
      </c>
      <c r="L9705" t="s">
        <v>53</v>
      </c>
      <c r="N9705" t="s">
        <v>18647</v>
      </c>
      <c r="P9705" t="s">
        <v>55</v>
      </c>
      <c r="R9705" t="s">
        <v>56</v>
      </c>
      <c r="T9705" t="s">
        <v>18648</v>
      </c>
      <c r="U9705" t="s">
        <v>55</v>
      </c>
      <c r="V9705">
        <v>1</v>
      </c>
      <c r="W9705">
        <v>1</v>
      </c>
      <c r="X9705">
        <v>2</v>
      </c>
      <c r="Y9705">
        <v>2</v>
      </c>
      <c r="Z9705">
        <v>4</v>
      </c>
      <c r="AA9705">
        <v>204.75</v>
      </c>
      <c r="AB9705">
        <v>0</v>
      </c>
      <c r="AC9705">
        <v>204.75</v>
      </c>
      <c r="AD9705">
        <v>0</v>
      </c>
      <c r="AE9705">
        <v>0</v>
      </c>
      <c r="AF9705">
        <v>0</v>
      </c>
      <c r="AG9705">
        <v>0</v>
      </c>
      <c r="AH9705">
        <v>0</v>
      </c>
      <c r="AI9705">
        <v>36.86</v>
      </c>
      <c r="AJ9705">
        <v>204.75</v>
      </c>
      <c r="AK9705">
        <v>204.75</v>
      </c>
      <c r="AL9705" t="s">
        <v>53</v>
      </c>
      <c r="AM9705" t="s">
        <v>53</v>
      </c>
      <c r="AN9705" t="s">
        <v>53</v>
      </c>
      <c r="AO9705" t="s">
        <v>53</v>
      </c>
      <c r="AP9705" t="s">
        <v>53</v>
      </c>
    </row>
    <row r="9706" spans="2:42" x14ac:dyDescent="0.2">
      <c r="B9706" t="s">
        <v>44</v>
      </c>
      <c r="C9706" t="str">
        <f>HYPERLINK("https://us2.cloudbeds.com/connect/8493803454333002#/reservations/9080486849727573?display=5GY2FT22DN&amp;reservation_id=9080486849727573", "5GY2FT22DN")</f>
        <v>5GY2FT22DN</v>
      </c>
      <c r="D9706" t="s">
        <v>10291</v>
      </c>
      <c r="E9706" t="s">
        <v>213</v>
      </c>
      <c r="F9706" t="s">
        <v>86</v>
      </c>
      <c r="G9706" t="s">
        <v>48</v>
      </c>
      <c r="H9706" t="s">
        <v>49</v>
      </c>
      <c r="I9706" t="s">
        <v>50</v>
      </c>
      <c r="J9706" t="s">
        <v>14371</v>
      </c>
      <c r="K9706" t="s">
        <v>17135</v>
      </c>
      <c r="L9706" t="s">
        <v>53</v>
      </c>
      <c r="N9706" t="s">
        <v>18649</v>
      </c>
      <c r="P9706" t="s">
        <v>55</v>
      </c>
      <c r="R9706" t="s">
        <v>53</v>
      </c>
      <c r="T9706" t="s">
        <v>18650</v>
      </c>
      <c r="U9706" t="s">
        <v>55</v>
      </c>
      <c r="V9706">
        <v>1</v>
      </c>
      <c r="W9706">
        <v>1</v>
      </c>
      <c r="X9706">
        <v>2</v>
      </c>
      <c r="Y9706">
        <v>0</v>
      </c>
      <c r="Z9706">
        <v>2</v>
      </c>
      <c r="AA9706">
        <v>133.47</v>
      </c>
      <c r="AB9706">
        <v>133.47</v>
      </c>
      <c r="AC9706">
        <v>122.73</v>
      </c>
      <c r="AD9706">
        <v>0</v>
      </c>
      <c r="AE9706">
        <v>10.74</v>
      </c>
      <c r="AF9706">
        <v>0</v>
      </c>
      <c r="AG9706">
        <v>0</v>
      </c>
      <c r="AH9706">
        <v>0</v>
      </c>
      <c r="AI9706">
        <v>24.02</v>
      </c>
      <c r="AJ9706">
        <v>133.47</v>
      </c>
      <c r="AK9706">
        <v>0</v>
      </c>
      <c r="AL9706" t="s">
        <v>53</v>
      </c>
      <c r="AM9706" t="s">
        <v>53</v>
      </c>
      <c r="AN9706" t="s">
        <v>18651</v>
      </c>
      <c r="AO9706" t="s">
        <v>53</v>
      </c>
      <c r="AP9706" t="s">
        <v>53</v>
      </c>
    </row>
    <row r="9707" spans="2:42" x14ac:dyDescent="0.2">
      <c r="B9707" t="s">
        <v>44</v>
      </c>
      <c r="C9707" t="str">
        <f>HYPERLINK("https://us2.cloudbeds.com/connect/8493803454333002#/reservations/9080486849727870?display=5GY6QKEB9W&amp;reservation_id=9080486849727870", "5GY6QKEB9W")</f>
        <v>5GY6QKEB9W</v>
      </c>
      <c r="D9707" t="s">
        <v>10291</v>
      </c>
      <c r="E9707" t="s">
        <v>128</v>
      </c>
      <c r="F9707" t="s">
        <v>86</v>
      </c>
      <c r="G9707" t="s">
        <v>48</v>
      </c>
      <c r="H9707" t="s">
        <v>49</v>
      </c>
      <c r="I9707" t="s">
        <v>50</v>
      </c>
      <c r="J9707" t="s">
        <v>10293</v>
      </c>
      <c r="K9707" t="s">
        <v>15747</v>
      </c>
      <c r="L9707" t="s">
        <v>53</v>
      </c>
      <c r="N9707" t="s">
        <v>18652</v>
      </c>
      <c r="P9707" t="s">
        <v>55</v>
      </c>
      <c r="R9707" t="s">
        <v>53</v>
      </c>
      <c r="T9707" t="s">
        <v>18653</v>
      </c>
      <c r="U9707" t="s">
        <v>55</v>
      </c>
      <c r="V9707">
        <v>2</v>
      </c>
      <c r="W9707">
        <v>1</v>
      </c>
      <c r="X9707">
        <v>2</v>
      </c>
      <c r="Y9707">
        <v>0</v>
      </c>
      <c r="Z9707">
        <v>2</v>
      </c>
      <c r="AA9707">
        <v>286.13</v>
      </c>
      <c r="AB9707">
        <v>0</v>
      </c>
      <c r="AC9707">
        <v>263.11</v>
      </c>
      <c r="AD9707">
        <v>0</v>
      </c>
      <c r="AE9707">
        <v>23.02</v>
      </c>
      <c r="AF9707">
        <v>0</v>
      </c>
      <c r="AG9707">
        <v>0</v>
      </c>
      <c r="AH9707">
        <v>0</v>
      </c>
      <c r="AI9707">
        <v>51.5</v>
      </c>
      <c r="AJ9707">
        <v>286.13</v>
      </c>
      <c r="AK9707">
        <v>286.13</v>
      </c>
      <c r="AL9707" t="s">
        <v>53</v>
      </c>
      <c r="AM9707" t="s">
        <v>53</v>
      </c>
      <c r="AN9707" t="s">
        <v>53</v>
      </c>
      <c r="AO9707" t="s">
        <v>53</v>
      </c>
      <c r="AP9707" t="s">
        <v>53</v>
      </c>
    </row>
    <row r="9708" spans="2:42" x14ac:dyDescent="0.2">
      <c r="B9708" t="s">
        <v>44</v>
      </c>
      <c r="C9708" t="str">
        <f>HYPERLINK("https://us2.cloudbeds.com/connect/8493803454333002#/reservations/9080486849728360?display=5GYDD07GSA&amp;reservation_id=9080486849728360", "5GYDD07GSA")</f>
        <v>5GYDD07GSA</v>
      </c>
      <c r="D9708" t="s">
        <v>10291</v>
      </c>
      <c r="E9708" t="s">
        <v>185</v>
      </c>
      <c r="F9708" t="s">
        <v>47</v>
      </c>
      <c r="G9708" t="s">
        <v>48</v>
      </c>
      <c r="H9708" t="s">
        <v>49</v>
      </c>
      <c r="I9708" t="s">
        <v>50</v>
      </c>
      <c r="J9708" t="s">
        <v>14828</v>
      </c>
      <c r="K9708" t="s">
        <v>17853</v>
      </c>
      <c r="L9708" t="s">
        <v>53</v>
      </c>
      <c r="N9708" t="s">
        <v>18654</v>
      </c>
      <c r="P9708" t="s">
        <v>55</v>
      </c>
      <c r="R9708" t="s">
        <v>53</v>
      </c>
      <c r="T9708" t="s">
        <v>18655</v>
      </c>
      <c r="U9708" t="s">
        <v>55</v>
      </c>
      <c r="V9708">
        <v>3</v>
      </c>
      <c r="W9708">
        <v>1</v>
      </c>
      <c r="X9708">
        <v>2</v>
      </c>
      <c r="Y9708">
        <v>0</v>
      </c>
      <c r="Z9708">
        <v>2</v>
      </c>
      <c r="AA9708">
        <v>354.48</v>
      </c>
      <c r="AB9708">
        <v>0</v>
      </c>
      <c r="AC9708">
        <v>325.95999999999998</v>
      </c>
      <c r="AD9708">
        <v>0</v>
      </c>
      <c r="AE9708">
        <v>28.52</v>
      </c>
      <c r="AF9708">
        <v>0</v>
      </c>
      <c r="AG9708">
        <v>0</v>
      </c>
      <c r="AH9708">
        <v>0</v>
      </c>
      <c r="AI9708">
        <v>63.81</v>
      </c>
      <c r="AJ9708">
        <v>354.48</v>
      </c>
      <c r="AK9708">
        <v>354.48</v>
      </c>
      <c r="AL9708" t="s">
        <v>53</v>
      </c>
      <c r="AM9708" t="s">
        <v>53</v>
      </c>
      <c r="AN9708" t="s">
        <v>53</v>
      </c>
      <c r="AO9708" t="s">
        <v>53</v>
      </c>
      <c r="AP9708" t="s">
        <v>53</v>
      </c>
    </row>
    <row r="9709" spans="2:42" x14ac:dyDescent="0.2">
      <c r="B9709" t="s">
        <v>44</v>
      </c>
      <c r="C9709" t="str">
        <f>HYPERLINK("https://us2.cloudbeds.com/connect/8493803454333002#/reservations/9080486849728410?display=5GYDWPKTM9&amp;reservation_id=9080486849728410", "5GYDWPKTM9")</f>
        <v>5GYDWPKTM9</v>
      </c>
      <c r="D9709" t="s">
        <v>10291</v>
      </c>
      <c r="E9709" t="s">
        <v>138</v>
      </c>
      <c r="F9709" t="s">
        <v>70</v>
      </c>
      <c r="G9709" t="s">
        <v>48</v>
      </c>
      <c r="H9709" t="s">
        <v>49</v>
      </c>
      <c r="I9709" t="s">
        <v>8964</v>
      </c>
      <c r="J9709" t="s">
        <v>18028</v>
      </c>
      <c r="K9709" t="s">
        <v>18656</v>
      </c>
      <c r="L9709" t="s">
        <v>53</v>
      </c>
      <c r="N9709" t="s">
        <v>18657</v>
      </c>
      <c r="P9709" t="s">
        <v>55</v>
      </c>
      <c r="R9709" t="s">
        <v>53</v>
      </c>
      <c r="T9709" t="s">
        <v>18658</v>
      </c>
      <c r="U9709" t="s">
        <v>55</v>
      </c>
      <c r="V9709">
        <v>2</v>
      </c>
      <c r="W9709">
        <v>1</v>
      </c>
      <c r="X9709">
        <v>2</v>
      </c>
      <c r="Y9709">
        <v>0</v>
      </c>
      <c r="Z9709">
        <v>2</v>
      </c>
      <c r="AA9709">
        <v>0</v>
      </c>
      <c r="AB9709">
        <v>0</v>
      </c>
      <c r="AC9709">
        <v>198</v>
      </c>
      <c r="AD9709">
        <v>0</v>
      </c>
      <c r="AE9709">
        <v>0</v>
      </c>
      <c r="AF9709">
        <v>0</v>
      </c>
      <c r="AG9709">
        <v>0</v>
      </c>
      <c r="AH9709">
        <v>0</v>
      </c>
      <c r="AI9709">
        <v>29.7</v>
      </c>
      <c r="AJ9709">
        <v>198</v>
      </c>
      <c r="AK9709">
        <v>198</v>
      </c>
      <c r="AL9709" t="s">
        <v>53</v>
      </c>
      <c r="AM9709" t="s">
        <v>53</v>
      </c>
      <c r="AN9709" t="s">
        <v>53</v>
      </c>
      <c r="AO9709" t="s">
        <v>53</v>
      </c>
      <c r="AP9709" t="s">
        <v>53</v>
      </c>
    </row>
    <row r="9710" spans="2:42" x14ac:dyDescent="0.2">
      <c r="B9710" t="s">
        <v>44</v>
      </c>
      <c r="C9710" t="str">
        <f>HYPERLINK("https://us2.cloudbeds.com/connect/8493803454333002#/reservations/9080486849728645?display=5GYHXVRWH8&amp;reservation_id=9080486849728645", "5GYHXVRWH8")</f>
        <v>5GYHXVRWH8</v>
      </c>
      <c r="D9710" t="s">
        <v>10291</v>
      </c>
      <c r="E9710" t="s">
        <v>155</v>
      </c>
      <c r="F9710" t="s">
        <v>86</v>
      </c>
      <c r="G9710" t="s">
        <v>48</v>
      </c>
      <c r="H9710" t="s">
        <v>49</v>
      </c>
      <c r="I9710" t="s">
        <v>50</v>
      </c>
      <c r="J9710" t="s">
        <v>17467</v>
      </c>
      <c r="K9710" t="s">
        <v>16110</v>
      </c>
      <c r="L9710" t="s">
        <v>53</v>
      </c>
      <c r="N9710" t="s">
        <v>18659</v>
      </c>
      <c r="P9710" t="s">
        <v>55</v>
      </c>
      <c r="R9710" t="s">
        <v>53</v>
      </c>
      <c r="T9710" t="s">
        <v>18660</v>
      </c>
      <c r="U9710" t="s">
        <v>55</v>
      </c>
      <c r="V9710">
        <v>2</v>
      </c>
      <c r="W9710">
        <v>1</v>
      </c>
      <c r="X9710">
        <v>2</v>
      </c>
      <c r="Y9710">
        <v>0</v>
      </c>
      <c r="Z9710">
        <v>2</v>
      </c>
      <c r="AA9710">
        <v>328.24</v>
      </c>
      <c r="AB9710">
        <v>0</v>
      </c>
      <c r="AC9710">
        <v>301.83</v>
      </c>
      <c r="AD9710">
        <v>0</v>
      </c>
      <c r="AE9710">
        <v>26.41</v>
      </c>
      <c r="AF9710">
        <v>0</v>
      </c>
      <c r="AG9710">
        <v>0</v>
      </c>
      <c r="AH9710">
        <v>0</v>
      </c>
      <c r="AI9710">
        <v>59.08</v>
      </c>
      <c r="AJ9710">
        <v>328.24</v>
      </c>
      <c r="AK9710">
        <v>328.24</v>
      </c>
      <c r="AL9710" t="s">
        <v>53</v>
      </c>
      <c r="AM9710" t="s">
        <v>53</v>
      </c>
      <c r="AN9710" t="s">
        <v>53</v>
      </c>
      <c r="AO9710" t="s">
        <v>53</v>
      </c>
      <c r="AP9710" t="s">
        <v>53</v>
      </c>
    </row>
    <row r="9711" spans="2:42" x14ac:dyDescent="0.2">
      <c r="B9711" t="s">
        <v>44</v>
      </c>
      <c r="C9711" t="str">
        <f>HYPERLINK("https://us2.cloudbeds.com/connect/8493803454333002#/reservations/9080486849729349?display=5GYQPNMYV3&amp;reservation_id=9080486849729349", "5GYQPNMYV3")</f>
        <v>5GYQPNMYV3</v>
      </c>
      <c r="D9711" t="s">
        <v>10291</v>
      </c>
      <c r="E9711" t="s">
        <v>110</v>
      </c>
      <c r="F9711" t="s">
        <v>47</v>
      </c>
      <c r="G9711" t="s">
        <v>48</v>
      </c>
      <c r="H9711" t="s">
        <v>49</v>
      </c>
      <c r="I9711" t="s">
        <v>50</v>
      </c>
      <c r="J9711" t="s">
        <v>16110</v>
      </c>
      <c r="K9711" t="s">
        <v>15545</v>
      </c>
      <c r="L9711" t="s">
        <v>53</v>
      </c>
      <c r="N9711" t="s">
        <v>18661</v>
      </c>
      <c r="P9711" t="s">
        <v>55</v>
      </c>
      <c r="R9711" t="s">
        <v>53</v>
      </c>
      <c r="T9711" t="s">
        <v>18662</v>
      </c>
      <c r="U9711" t="s">
        <v>55</v>
      </c>
      <c r="V9711">
        <v>1</v>
      </c>
      <c r="W9711">
        <v>1</v>
      </c>
      <c r="X9711">
        <v>2</v>
      </c>
      <c r="Y9711">
        <v>0</v>
      </c>
      <c r="Z9711">
        <v>2</v>
      </c>
      <c r="AA9711">
        <v>102.88</v>
      </c>
      <c r="AB9711">
        <v>0</v>
      </c>
      <c r="AC9711">
        <v>94.6</v>
      </c>
      <c r="AD9711">
        <v>0</v>
      </c>
      <c r="AE9711">
        <v>8.2799999999999994</v>
      </c>
      <c r="AF9711">
        <v>0</v>
      </c>
      <c r="AG9711">
        <v>0</v>
      </c>
      <c r="AH9711">
        <v>0</v>
      </c>
      <c r="AI9711">
        <v>18.52</v>
      </c>
      <c r="AJ9711">
        <v>102.88</v>
      </c>
      <c r="AK9711">
        <v>102.88</v>
      </c>
      <c r="AL9711" t="s">
        <v>53</v>
      </c>
      <c r="AM9711" t="s">
        <v>53</v>
      </c>
      <c r="AN9711" t="s">
        <v>53</v>
      </c>
      <c r="AO9711" t="s">
        <v>53</v>
      </c>
      <c r="AP9711" t="s">
        <v>53</v>
      </c>
    </row>
    <row r="9712" spans="2:42" x14ac:dyDescent="0.2">
      <c r="B9712" t="s">
        <v>44</v>
      </c>
      <c r="C9712" t="str">
        <f>HYPERLINK("https://us2.cloudbeds.com/connect/8493803454333002#/reservations/9080486849729446?display=5GYR6B13DP&amp;reservation_id=9080486849729446", "5GYR6B13DP")</f>
        <v>5GYR6B13DP</v>
      </c>
      <c r="D9712" t="s">
        <v>10291</v>
      </c>
      <c r="E9712" t="s">
        <v>110</v>
      </c>
      <c r="F9712" t="s">
        <v>47</v>
      </c>
      <c r="G9712" t="s">
        <v>48</v>
      </c>
      <c r="H9712" t="s">
        <v>49</v>
      </c>
      <c r="I9712" t="s">
        <v>62</v>
      </c>
      <c r="J9712" t="s">
        <v>14371</v>
      </c>
      <c r="K9712" t="s">
        <v>17135</v>
      </c>
      <c r="L9712" t="s">
        <v>53</v>
      </c>
      <c r="N9712" t="s">
        <v>18663</v>
      </c>
      <c r="P9712" t="s">
        <v>55</v>
      </c>
      <c r="R9712" t="s">
        <v>56</v>
      </c>
      <c r="T9712" t="s">
        <v>18664</v>
      </c>
      <c r="U9712" t="s">
        <v>55</v>
      </c>
      <c r="V9712">
        <v>1</v>
      </c>
      <c r="W9712">
        <v>1</v>
      </c>
      <c r="X9712">
        <v>2</v>
      </c>
      <c r="Y9712">
        <v>0</v>
      </c>
      <c r="Z9712">
        <v>2</v>
      </c>
      <c r="AA9712">
        <v>152.25</v>
      </c>
      <c r="AB9712">
        <v>152.25</v>
      </c>
      <c r="AC9712">
        <v>152.25</v>
      </c>
      <c r="AD9712">
        <v>0</v>
      </c>
      <c r="AE9712">
        <v>0</v>
      </c>
      <c r="AF9712">
        <v>0</v>
      </c>
      <c r="AG9712">
        <v>0</v>
      </c>
      <c r="AH9712">
        <v>0</v>
      </c>
      <c r="AI9712">
        <v>27.41</v>
      </c>
      <c r="AJ9712">
        <v>152.25</v>
      </c>
      <c r="AK9712">
        <v>0</v>
      </c>
      <c r="AL9712" t="s">
        <v>53</v>
      </c>
      <c r="AM9712" t="s">
        <v>53</v>
      </c>
      <c r="AN9712" t="s">
        <v>53</v>
      </c>
      <c r="AO9712" t="s">
        <v>53</v>
      </c>
      <c r="AP9712" t="s">
        <v>53</v>
      </c>
    </row>
    <row r="9713" spans="1:42" x14ac:dyDescent="0.2">
      <c r="B9713" t="s">
        <v>44</v>
      </c>
      <c r="C9713" t="str">
        <f>HYPERLINK("https://us2.cloudbeds.com/connect/8493803454333002#/reservations/9080486849729485?display=5GYRJK2VC7&amp;reservation_id=9080486849729485", "5GYRJK2VC7")</f>
        <v>5GYRJK2VC7</v>
      </c>
      <c r="D9713" t="s">
        <v>9111</v>
      </c>
      <c r="E9713" t="s">
        <v>92</v>
      </c>
      <c r="F9713" t="s">
        <v>86</v>
      </c>
      <c r="G9713" t="s">
        <v>48</v>
      </c>
      <c r="H9713" t="s">
        <v>49</v>
      </c>
      <c r="I9713" t="s">
        <v>50</v>
      </c>
      <c r="J9713" t="s">
        <v>14371</v>
      </c>
      <c r="K9713" t="s">
        <v>16110</v>
      </c>
      <c r="L9713" t="s">
        <v>53</v>
      </c>
      <c r="N9713" t="s">
        <v>18665</v>
      </c>
      <c r="P9713" t="s">
        <v>55</v>
      </c>
      <c r="R9713" t="s">
        <v>53</v>
      </c>
      <c r="T9713" t="s">
        <v>18666</v>
      </c>
      <c r="U9713" t="s">
        <v>55</v>
      </c>
      <c r="V9713">
        <v>4</v>
      </c>
      <c r="W9713">
        <v>1</v>
      </c>
      <c r="X9713">
        <v>2</v>
      </c>
      <c r="Y9713">
        <v>0</v>
      </c>
      <c r="Z9713">
        <v>2</v>
      </c>
      <c r="AA9713">
        <v>618.51</v>
      </c>
      <c r="AB9713">
        <v>618.51</v>
      </c>
      <c r="AC9713">
        <v>568.75</v>
      </c>
      <c r="AD9713">
        <v>0</v>
      </c>
      <c r="AE9713">
        <v>49.76</v>
      </c>
      <c r="AF9713">
        <v>0</v>
      </c>
      <c r="AG9713">
        <v>0</v>
      </c>
      <c r="AH9713">
        <v>0</v>
      </c>
      <c r="AI9713">
        <v>111.33</v>
      </c>
      <c r="AJ9713">
        <v>618.51</v>
      </c>
      <c r="AK9713">
        <v>0</v>
      </c>
      <c r="AL9713" t="s">
        <v>53</v>
      </c>
      <c r="AM9713" t="s">
        <v>53</v>
      </c>
      <c r="AN9713" t="s">
        <v>53</v>
      </c>
      <c r="AO9713" t="s">
        <v>53</v>
      </c>
      <c r="AP9713" t="s">
        <v>53</v>
      </c>
    </row>
    <row r="9714" spans="1:42" x14ac:dyDescent="0.2">
      <c r="B9714" t="s">
        <v>44</v>
      </c>
      <c r="C9714" t="str">
        <f>HYPERLINK("https://us2.cloudbeds.com/connect/8493803454333002#/reservations/9080486849729671?display=5GYUBK5B27&amp;reservation_id=9080486849729671", "5GYUBK5B27")</f>
        <v>5GYUBK5B27</v>
      </c>
      <c r="D9714" t="s">
        <v>9111</v>
      </c>
      <c r="E9714" t="s">
        <v>155</v>
      </c>
      <c r="F9714" t="s">
        <v>86</v>
      </c>
      <c r="G9714" t="s">
        <v>48</v>
      </c>
      <c r="H9714" t="s">
        <v>49</v>
      </c>
      <c r="I9714" t="s">
        <v>50</v>
      </c>
      <c r="J9714" t="s">
        <v>14371</v>
      </c>
      <c r="K9714" t="s">
        <v>17467</v>
      </c>
      <c r="L9714" t="s">
        <v>53</v>
      </c>
      <c r="N9714" t="s">
        <v>18667</v>
      </c>
      <c r="P9714" t="s">
        <v>55</v>
      </c>
      <c r="R9714" t="s">
        <v>53</v>
      </c>
      <c r="T9714" t="s">
        <v>18668</v>
      </c>
      <c r="U9714" t="s">
        <v>55</v>
      </c>
      <c r="V9714">
        <v>2</v>
      </c>
      <c r="W9714">
        <v>1</v>
      </c>
      <c r="X9714">
        <v>2</v>
      </c>
      <c r="Y9714">
        <v>2</v>
      </c>
      <c r="Z9714">
        <v>4</v>
      </c>
      <c r="AA9714">
        <v>259.36</v>
      </c>
      <c r="AB9714">
        <v>259.36</v>
      </c>
      <c r="AC9714">
        <v>238.49</v>
      </c>
      <c r="AD9714">
        <v>0</v>
      </c>
      <c r="AE9714">
        <v>20.87</v>
      </c>
      <c r="AF9714">
        <v>0</v>
      </c>
      <c r="AG9714">
        <v>0</v>
      </c>
      <c r="AH9714">
        <v>0</v>
      </c>
      <c r="AI9714">
        <v>46.68</v>
      </c>
      <c r="AJ9714">
        <v>259.36</v>
      </c>
      <c r="AK9714">
        <v>0</v>
      </c>
      <c r="AL9714" t="s">
        <v>53</v>
      </c>
      <c r="AM9714" t="s">
        <v>53</v>
      </c>
      <c r="AN9714" t="s">
        <v>18669</v>
      </c>
      <c r="AO9714" t="s">
        <v>53</v>
      </c>
      <c r="AP9714" t="s">
        <v>53</v>
      </c>
    </row>
    <row r="9715" spans="1:42" x14ac:dyDescent="0.2">
      <c r="B9715" t="s">
        <v>44</v>
      </c>
      <c r="C9715" t="str">
        <f>HYPERLINK("https://us2.cloudbeds.com/connect/8493803454333002#/reservations/9080486849729730?display=5GYV8DKTKT&amp;reservation_id=9080486849729730", "5GYV8DKTKT")</f>
        <v>5GYV8DKTKT</v>
      </c>
      <c r="D9715" t="s">
        <v>10291</v>
      </c>
      <c r="E9715" t="s">
        <v>69</v>
      </c>
      <c r="F9715" t="s">
        <v>70</v>
      </c>
      <c r="G9715" t="s">
        <v>48</v>
      </c>
      <c r="H9715" t="s">
        <v>49</v>
      </c>
      <c r="I9715" t="s">
        <v>8964</v>
      </c>
      <c r="J9715" t="s">
        <v>17898</v>
      </c>
      <c r="K9715" t="s">
        <v>18340</v>
      </c>
      <c r="L9715" t="s">
        <v>53</v>
      </c>
      <c r="N9715" t="s">
        <v>18670</v>
      </c>
      <c r="P9715" t="s">
        <v>55</v>
      </c>
      <c r="R9715" t="s">
        <v>53</v>
      </c>
      <c r="T9715" t="s">
        <v>18671</v>
      </c>
      <c r="U9715" t="s">
        <v>55</v>
      </c>
      <c r="V9715">
        <v>2</v>
      </c>
      <c r="W9715">
        <v>1</v>
      </c>
      <c r="X9715">
        <v>2</v>
      </c>
      <c r="Y9715">
        <v>0</v>
      </c>
      <c r="Z9715">
        <v>2</v>
      </c>
      <c r="AA9715">
        <v>0</v>
      </c>
      <c r="AB9715">
        <v>0</v>
      </c>
      <c r="AC9715">
        <v>198</v>
      </c>
      <c r="AD9715">
        <v>0</v>
      </c>
      <c r="AE9715">
        <v>0</v>
      </c>
      <c r="AF9715">
        <v>0</v>
      </c>
      <c r="AG9715">
        <v>0</v>
      </c>
      <c r="AH9715">
        <v>0</v>
      </c>
      <c r="AI9715">
        <v>29.7</v>
      </c>
      <c r="AJ9715">
        <v>198</v>
      </c>
      <c r="AK9715">
        <v>198</v>
      </c>
      <c r="AL9715" t="s">
        <v>53</v>
      </c>
      <c r="AM9715" t="s">
        <v>53</v>
      </c>
      <c r="AN9715" t="s">
        <v>53</v>
      </c>
      <c r="AO9715" t="s">
        <v>53</v>
      </c>
      <c r="AP9715" t="s">
        <v>53</v>
      </c>
    </row>
    <row r="9716" spans="1:42" x14ac:dyDescent="0.2">
      <c r="B9716" t="s">
        <v>44</v>
      </c>
      <c r="C9716" t="str">
        <f>HYPERLINK("https://us2.cloudbeds.com/connect/8493803454333002#/reservations/9080486849729880?display=5GM0JWY1ZK&amp;reservation_id=9080486849729880", "5GM0JWY1ZK")</f>
        <v>5GM0JWY1ZK</v>
      </c>
      <c r="D9716" t="s">
        <v>9111</v>
      </c>
      <c r="E9716" t="s">
        <v>406</v>
      </c>
      <c r="F9716" t="s">
        <v>61</v>
      </c>
      <c r="G9716" t="s">
        <v>48</v>
      </c>
      <c r="H9716" t="s">
        <v>49</v>
      </c>
      <c r="I9716" t="s">
        <v>8964</v>
      </c>
      <c r="J9716" t="s">
        <v>14371</v>
      </c>
      <c r="K9716" t="s">
        <v>17135</v>
      </c>
      <c r="L9716" t="s">
        <v>53</v>
      </c>
      <c r="N9716" t="s">
        <v>18672</v>
      </c>
      <c r="P9716" t="s">
        <v>55</v>
      </c>
      <c r="R9716" t="s">
        <v>53</v>
      </c>
      <c r="T9716" t="s">
        <v>18673</v>
      </c>
      <c r="U9716" t="s">
        <v>55</v>
      </c>
      <c r="V9716">
        <v>1</v>
      </c>
      <c r="W9716">
        <v>1</v>
      </c>
      <c r="X9716">
        <v>2</v>
      </c>
      <c r="Y9716">
        <v>0</v>
      </c>
      <c r="Z9716">
        <v>2</v>
      </c>
      <c r="AA9716">
        <v>0</v>
      </c>
      <c r="AB9716">
        <v>0</v>
      </c>
      <c r="AC9716">
        <v>168</v>
      </c>
      <c r="AD9716">
        <v>0</v>
      </c>
      <c r="AE9716">
        <v>0</v>
      </c>
      <c r="AF9716">
        <v>0</v>
      </c>
      <c r="AG9716">
        <v>0</v>
      </c>
      <c r="AH9716">
        <v>0</v>
      </c>
      <c r="AI9716">
        <v>25.2</v>
      </c>
      <c r="AJ9716">
        <v>168</v>
      </c>
      <c r="AK9716">
        <v>168</v>
      </c>
      <c r="AL9716" t="s">
        <v>53</v>
      </c>
      <c r="AM9716" t="s">
        <v>53</v>
      </c>
      <c r="AN9716" t="s">
        <v>18674</v>
      </c>
      <c r="AO9716" t="s">
        <v>53</v>
      </c>
      <c r="AP9716" t="s">
        <v>53</v>
      </c>
    </row>
    <row r="9717" spans="1:42" x14ac:dyDescent="0.2">
      <c r="B9717" t="s">
        <v>44</v>
      </c>
      <c r="C9717" t="str">
        <f>HYPERLINK("https://us2.cloudbeds.com/connect/8493803454333002#/reservations/255507131297920?display=5GM7DDVZEF&amp;reservation_id=255507131297920", "5GM7DDVZEF")</f>
        <v>5GM7DDVZEF</v>
      </c>
      <c r="D9717" t="s">
        <v>9111</v>
      </c>
      <c r="E9717" t="s">
        <v>121</v>
      </c>
      <c r="F9717" t="s">
        <v>86</v>
      </c>
      <c r="G9717" t="s">
        <v>48</v>
      </c>
      <c r="H9717" t="s">
        <v>3957</v>
      </c>
      <c r="I9717" t="s">
        <v>3958</v>
      </c>
      <c r="J9717" t="s">
        <v>14371</v>
      </c>
      <c r="K9717" t="s">
        <v>17135</v>
      </c>
      <c r="L9717" t="s">
        <v>53</v>
      </c>
      <c r="O9717" t="s">
        <v>18675</v>
      </c>
      <c r="P9717" t="s">
        <v>55</v>
      </c>
      <c r="R9717" t="s">
        <v>56</v>
      </c>
      <c r="T9717" t="s">
        <v>18676</v>
      </c>
      <c r="U9717" t="s">
        <v>58</v>
      </c>
      <c r="V9717">
        <v>1</v>
      </c>
      <c r="W9717">
        <v>1</v>
      </c>
      <c r="X9717">
        <v>1</v>
      </c>
      <c r="Y9717">
        <v>0</v>
      </c>
      <c r="Z9717">
        <v>1</v>
      </c>
      <c r="AA9717">
        <v>206.37</v>
      </c>
      <c r="AB9717">
        <v>206.37</v>
      </c>
      <c r="AC9717">
        <v>180</v>
      </c>
      <c r="AD9717">
        <v>0</v>
      </c>
      <c r="AE9717">
        <v>26.37</v>
      </c>
      <c r="AF9717">
        <v>0</v>
      </c>
      <c r="AG9717">
        <v>0</v>
      </c>
      <c r="AH9717">
        <v>0</v>
      </c>
      <c r="AI9717">
        <v>0</v>
      </c>
      <c r="AJ9717">
        <v>206.37</v>
      </c>
      <c r="AK9717">
        <v>0</v>
      </c>
      <c r="AL9717" t="s">
        <v>53</v>
      </c>
      <c r="AM9717" t="s">
        <v>53</v>
      </c>
      <c r="AN9717" t="s">
        <v>18677</v>
      </c>
      <c r="AO9717" t="s">
        <v>53</v>
      </c>
      <c r="AP9717" t="s">
        <v>53</v>
      </c>
    </row>
    <row r="9718" spans="1:42" x14ac:dyDescent="0.2">
      <c r="B9718" t="s">
        <v>44</v>
      </c>
      <c r="C9718" t="str">
        <f>HYPERLINK("https://us2.cloudbeds.com/connect/8493803454333002#/reservations/255515578744960?display=5GMDV92H67&amp;reservation_id=255515578744960", "5GMDV92H67")</f>
        <v>5GMDV92H67</v>
      </c>
      <c r="D9718" t="s">
        <v>10291</v>
      </c>
      <c r="E9718" t="s">
        <v>213</v>
      </c>
      <c r="F9718" t="s">
        <v>86</v>
      </c>
      <c r="G9718" t="s">
        <v>3974</v>
      </c>
      <c r="H9718" t="s">
        <v>3957</v>
      </c>
      <c r="I9718" t="s">
        <v>3975</v>
      </c>
      <c r="J9718" t="s">
        <v>14827</v>
      </c>
      <c r="K9718" t="s">
        <v>17516</v>
      </c>
      <c r="L9718" t="s">
        <v>53</v>
      </c>
      <c r="P9718" t="s">
        <v>55</v>
      </c>
      <c r="R9718" t="s">
        <v>56</v>
      </c>
      <c r="T9718" t="s">
        <v>18678</v>
      </c>
      <c r="U9718" t="s">
        <v>58</v>
      </c>
      <c r="V9718">
        <v>1</v>
      </c>
      <c r="W9718">
        <v>1</v>
      </c>
      <c r="X9718">
        <v>2</v>
      </c>
      <c r="Y9718">
        <v>0</v>
      </c>
      <c r="Z9718">
        <v>2</v>
      </c>
      <c r="AA9718">
        <v>185.16</v>
      </c>
      <c r="AB9718">
        <v>185.16</v>
      </c>
      <c r="AC9718">
        <v>161.5</v>
      </c>
      <c r="AD9718">
        <v>0</v>
      </c>
      <c r="AE9718">
        <v>23.66</v>
      </c>
      <c r="AF9718">
        <v>0</v>
      </c>
      <c r="AG9718">
        <v>0</v>
      </c>
      <c r="AH9718">
        <v>0</v>
      </c>
      <c r="AI9718">
        <v>0</v>
      </c>
      <c r="AJ9718">
        <v>185.16</v>
      </c>
      <c r="AK9718">
        <v>0</v>
      </c>
      <c r="AL9718" t="s">
        <v>53</v>
      </c>
      <c r="AM9718" t="s">
        <v>53</v>
      </c>
      <c r="AN9718" t="s">
        <v>53</v>
      </c>
      <c r="AO9718" t="s">
        <v>53</v>
      </c>
      <c r="AP9718" t="s">
        <v>53</v>
      </c>
    </row>
    <row r="9719" spans="1:42" x14ac:dyDescent="0.2">
      <c r="B9719" t="s">
        <v>44</v>
      </c>
      <c r="C9719" t="str">
        <f>HYPERLINK("https://us2.cloudbeds.com/connect/8493803454333002#/reservations/9080486849730853?display=5GMG52TU6U&amp;reservation_id=9080486849730853", "5GMG52TU6U")</f>
        <v>5GMG52TU6U</v>
      </c>
      <c r="D9719" t="s">
        <v>9111</v>
      </c>
      <c r="E9719" t="s">
        <v>190</v>
      </c>
      <c r="F9719" t="s">
        <v>61</v>
      </c>
      <c r="G9719" t="s">
        <v>48</v>
      </c>
      <c r="H9719" t="s">
        <v>49</v>
      </c>
      <c r="I9719" t="s">
        <v>50</v>
      </c>
      <c r="J9719" t="s">
        <v>14371</v>
      </c>
      <c r="K9719" t="s">
        <v>17135</v>
      </c>
      <c r="L9719" t="s">
        <v>53</v>
      </c>
      <c r="N9719" t="s">
        <v>18679</v>
      </c>
      <c r="P9719" t="s">
        <v>55</v>
      </c>
      <c r="R9719" t="s">
        <v>53</v>
      </c>
      <c r="T9719" t="s">
        <v>18680</v>
      </c>
      <c r="U9719" t="s">
        <v>55</v>
      </c>
      <c r="V9719">
        <v>1</v>
      </c>
      <c r="W9719">
        <v>1</v>
      </c>
      <c r="X9719">
        <v>2</v>
      </c>
      <c r="Y9719">
        <v>0</v>
      </c>
      <c r="Z9719">
        <v>2</v>
      </c>
      <c r="AA9719">
        <v>130.56</v>
      </c>
      <c r="AB9719">
        <v>130.56</v>
      </c>
      <c r="AC9719">
        <v>120.06</v>
      </c>
      <c r="AD9719">
        <v>0</v>
      </c>
      <c r="AE9719">
        <v>10.5</v>
      </c>
      <c r="AF9719">
        <v>0</v>
      </c>
      <c r="AG9719">
        <v>0</v>
      </c>
      <c r="AH9719">
        <v>0</v>
      </c>
      <c r="AI9719">
        <v>23.5</v>
      </c>
      <c r="AJ9719">
        <v>130.56</v>
      </c>
      <c r="AK9719">
        <v>0</v>
      </c>
      <c r="AL9719" t="s">
        <v>53</v>
      </c>
      <c r="AM9719" t="s">
        <v>53</v>
      </c>
      <c r="AN9719" t="s">
        <v>53</v>
      </c>
      <c r="AO9719" t="s">
        <v>53</v>
      </c>
      <c r="AP9719" t="s">
        <v>53</v>
      </c>
    </row>
    <row r="9720" spans="1:42" x14ac:dyDescent="0.2">
      <c r="B9720" t="s">
        <v>44</v>
      </c>
      <c r="C9720" t="str">
        <f>HYPERLINK("https://us2.cloudbeds.com/connect/8493803454333002#/reservations/9080486849731034?display=5GMJHKVQFY&amp;reservation_id=9080486849731034", "5GMJHKVQFY")</f>
        <v>5GMJHKVQFY</v>
      </c>
      <c r="D9720" t="s">
        <v>10291</v>
      </c>
      <c r="E9720" t="s">
        <v>406</v>
      </c>
      <c r="F9720" t="s">
        <v>61</v>
      </c>
      <c r="G9720" t="s">
        <v>48</v>
      </c>
      <c r="H9720" t="s">
        <v>49</v>
      </c>
      <c r="I9720" t="s">
        <v>62</v>
      </c>
      <c r="J9720" t="s">
        <v>17135</v>
      </c>
      <c r="K9720" t="s">
        <v>14372</v>
      </c>
      <c r="L9720" t="s">
        <v>53</v>
      </c>
      <c r="N9720" t="s">
        <v>18681</v>
      </c>
      <c r="P9720" t="s">
        <v>55</v>
      </c>
      <c r="R9720" t="s">
        <v>56</v>
      </c>
      <c r="T9720" t="s">
        <v>18682</v>
      </c>
      <c r="U9720" t="s">
        <v>55</v>
      </c>
      <c r="V9720">
        <v>2</v>
      </c>
      <c r="W9720">
        <v>1</v>
      </c>
      <c r="X9720">
        <v>2</v>
      </c>
      <c r="Y9720">
        <v>0</v>
      </c>
      <c r="Z9720">
        <v>2</v>
      </c>
      <c r="AA9720">
        <v>399</v>
      </c>
      <c r="AB9720">
        <v>399</v>
      </c>
      <c r="AC9720">
        <v>399</v>
      </c>
      <c r="AD9720">
        <v>0</v>
      </c>
      <c r="AE9720">
        <v>0</v>
      </c>
      <c r="AF9720">
        <v>0</v>
      </c>
      <c r="AG9720">
        <v>0</v>
      </c>
      <c r="AH9720">
        <v>0</v>
      </c>
      <c r="AI9720">
        <v>71.819999999999993</v>
      </c>
      <c r="AJ9720">
        <v>399</v>
      </c>
      <c r="AK9720">
        <v>0</v>
      </c>
      <c r="AL9720" t="s">
        <v>53</v>
      </c>
      <c r="AM9720" t="s">
        <v>53</v>
      </c>
      <c r="AN9720" t="s">
        <v>53</v>
      </c>
      <c r="AO9720" t="s">
        <v>53</v>
      </c>
      <c r="AP9720" t="s">
        <v>53</v>
      </c>
    </row>
    <row r="9721" spans="1:42" x14ac:dyDescent="0.2">
      <c r="B9721" t="s">
        <v>44</v>
      </c>
      <c r="C9721" t="str">
        <f>HYPERLINK("https://us2.cloudbeds.com/connect/8493803454333002#/reservations/9080486849731838?display=5GN2A8S2U5&amp;reservation_id=9080486849731838", "5GN2A8S2U5")</f>
        <v>5GN2A8S2U5</v>
      </c>
      <c r="D9721" t="s">
        <v>10291</v>
      </c>
      <c r="E9721" t="s">
        <v>265</v>
      </c>
      <c r="F9721" t="s">
        <v>61</v>
      </c>
      <c r="G9721" t="s">
        <v>48</v>
      </c>
      <c r="H9721" t="s">
        <v>49</v>
      </c>
      <c r="I9721" t="s">
        <v>62</v>
      </c>
      <c r="J9721" t="s">
        <v>14371</v>
      </c>
      <c r="K9721" t="s">
        <v>17135</v>
      </c>
      <c r="L9721" t="s">
        <v>53</v>
      </c>
      <c r="N9721" t="s">
        <v>18683</v>
      </c>
      <c r="P9721" t="s">
        <v>55</v>
      </c>
      <c r="R9721" t="s">
        <v>56</v>
      </c>
      <c r="T9721" t="s">
        <v>18684</v>
      </c>
      <c r="U9721" t="s">
        <v>55</v>
      </c>
      <c r="V9721">
        <v>1</v>
      </c>
      <c r="W9721">
        <v>1</v>
      </c>
      <c r="X9721">
        <v>2</v>
      </c>
      <c r="Y9721">
        <v>0</v>
      </c>
      <c r="Z9721">
        <v>2</v>
      </c>
      <c r="AA9721">
        <v>173.25</v>
      </c>
      <c r="AB9721">
        <v>173.25</v>
      </c>
      <c r="AC9721">
        <v>173.25</v>
      </c>
      <c r="AD9721">
        <v>0</v>
      </c>
      <c r="AE9721">
        <v>0</v>
      </c>
      <c r="AF9721">
        <v>0</v>
      </c>
      <c r="AG9721">
        <v>0</v>
      </c>
      <c r="AH9721">
        <v>0</v>
      </c>
      <c r="AI9721">
        <v>31.19</v>
      </c>
      <c r="AJ9721">
        <v>173.25</v>
      </c>
      <c r="AK9721">
        <v>0</v>
      </c>
      <c r="AL9721" t="s">
        <v>53</v>
      </c>
      <c r="AM9721" t="s">
        <v>53</v>
      </c>
      <c r="AN9721" t="s">
        <v>18685</v>
      </c>
      <c r="AO9721" t="s">
        <v>53</v>
      </c>
      <c r="AP9721" t="s">
        <v>53</v>
      </c>
    </row>
    <row r="9722" spans="1:42" x14ac:dyDescent="0.2">
      <c r="B9722" t="s">
        <v>44</v>
      </c>
      <c r="C9722" t="str">
        <f>HYPERLINK("https://us2.cloudbeds.com/connect/8493803454333002#/reservations/9080486849731960?display=5GN4USAWMM&amp;reservation_id=9080486849731960", "5GN4USAWMM")</f>
        <v>5GN4USAWMM</v>
      </c>
      <c r="D9722" t="s">
        <v>9111</v>
      </c>
      <c r="E9722" t="s">
        <v>373</v>
      </c>
      <c r="F9722" t="s">
        <v>47</v>
      </c>
      <c r="G9722" t="s">
        <v>48</v>
      </c>
      <c r="H9722" t="s">
        <v>49</v>
      </c>
      <c r="I9722" t="s">
        <v>50</v>
      </c>
      <c r="J9722" t="s">
        <v>14371</v>
      </c>
      <c r="K9722" t="s">
        <v>17135</v>
      </c>
      <c r="L9722" t="s">
        <v>53</v>
      </c>
      <c r="N9722" t="s">
        <v>18686</v>
      </c>
      <c r="P9722" t="s">
        <v>55</v>
      </c>
      <c r="R9722" t="s">
        <v>53</v>
      </c>
      <c r="T9722" t="s">
        <v>18687</v>
      </c>
      <c r="U9722" t="s">
        <v>55</v>
      </c>
      <c r="V9722">
        <v>1</v>
      </c>
      <c r="W9722">
        <v>1</v>
      </c>
      <c r="X9722">
        <v>1</v>
      </c>
      <c r="Y9722">
        <v>0</v>
      </c>
      <c r="Z9722">
        <v>1</v>
      </c>
      <c r="AA9722">
        <v>116.51</v>
      </c>
      <c r="AB9722">
        <v>116.51</v>
      </c>
      <c r="AC9722">
        <v>107.14</v>
      </c>
      <c r="AD9722">
        <v>0</v>
      </c>
      <c r="AE9722">
        <v>9.3699999999999992</v>
      </c>
      <c r="AF9722">
        <v>0</v>
      </c>
      <c r="AG9722">
        <v>0</v>
      </c>
      <c r="AH9722">
        <v>0</v>
      </c>
      <c r="AI9722">
        <v>20.97</v>
      </c>
      <c r="AJ9722">
        <v>116.51</v>
      </c>
      <c r="AK9722">
        <v>0</v>
      </c>
      <c r="AL9722" t="s">
        <v>53</v>
      </c>
      <c r="AM9722" t="s">
        <v>53</v>
      </c>
      <c r="AN9722" t="s">
        <v>53</v>
      </c>
      <c r="AO9722" t="s">
        <v>53</v>
      </c>
      <c r="AP9722" t="s">
        <v>53</v>
      </c>
    </row>
    <row r="9723" spans="1:42" x14ac:dyDescent="0.2">
      <c r="B9723" t="s">
        <v>44</v>
      </c>
      <c r="C9723" t="str">
        <f>HYPERLINK("https://us2.cloudbeds.com/connect/8493803454333002#/reservations/255550092738752?display=5GN7M66GGC&amp;reservation_id=255550092738752", "5GN7M66GGC")</f>
        <v>5GN7M66GGC</v>
      </c>
      <c r="D9723" t="s">
        <v>10291</v>
      </c>
      <c r="E9723" t="s">
        <v>381</v>
      </c>
      <c r="F9723" t="s">
        <v>47</v>
      </c>
      <c r="G9723" t="s">
        <v>4520</v>
      </c>
      <c r="H9723" t="s">
        <v>3957</v>
      </c>
      <c r="I9723" t="s">
        <v>3958</v>
      </c>
      <c r="J9723" t="s">
        <v>14371</v>
      </c>
      <c r="K9723" t="s">
        <v>17135</v>
      </c>
      <c r="L9723" t="s">
        <v>53</v>
      </c>
      <c r="P9723" t="s">
        <v>55</v>
      </c>
      <c r="R9723" t="s">
        <v>56</v>
      </c>
      <c r="T9723" t="s">
        <v>18688</v>
      </c>
      <c r="U9723" t="s">
        <v>58</v>
      </c>
      <c r="V9723">
        <v>1</v>
      </c>
      <c r="W9723">
        <v>1</v>
      </c>
      <c r="X9723">
        <v>1</v>
      </c>
      <c r="Y9723">
        <v>0</v>
      </c>
      <c r="Z9723">
        <v>1</v>
      </c>
      <c r="AA9723">
        <v>159.94</v>
      </c>
      <c r="AB9723">
        <v>159.94</v>
      </c>
      <c r="AC9723">
        <v>139.5</v>
      </c>
      <c r="AD9723">
        <v>0</v>
      </c>
      <c r="AE9723">
        <v>20.440000000000001</v>
      </c>
      <c r="AF9723">
        <v>0</v>
      </c>
      <c r="AG9723">
        <v>0</v>
      </c>
      <c r="AH9723">
        <v>0</v>
      </c>
      <c r="AI9723">
        <v>0</v>
      </c>
      <c r="AJ9723">
        <v>159.94</v>
      </c>
      <c r="AK9723">
        <v>0</v>
      </c>
      <c r="AL9723" t="s">
        <v>53</v>
      </c>
      <c r="AM9723" t="s">
        <v>53</v>
      </c>
      <c r="AN9723" t="s">
        <v>53</v>
      </c>
      <c r="AO9723" t="s">
        <v>53</v>
      </c>
      <c r="AP9723" t="s">
        <v>53</v>
      </c>
    </row>
    <row r="9724" spans="1:42" ht="16" x14ac:dyDescent="0.2">
      <c r="A9724" s="5" t="s">
        <v>18689</v>
      </c>
      <c r="B9724" s="5"/>
      <c r="C9724" s="5"/>
      <c r="D9724" s="5"/>
      <c r="E9724" s="5"/>
      <c r="F9724" s="5"/>
      <c r="G9724" s="5"/>
      <c r="H9724" s="5"/>
      <c r="I9724" s="5"/>
      <c r="J9724" s="5"/>
      <c r="K9724" s="5"/>
      <c r="L9724" s="5"/>
      <c r="M9724" s="5"/>
      <c r="N9724" s="5"/>
      <c r="O9724" s="5"/>
      <c r="P9724" s="5"/>
      <c r="Q9724" s="5"/>
      <c r="R9724" s="5"/>
      <c r="S9724" s="5"/>
      <c r="T9724" s="5"/>
      <c r="U9724" s="5"/>
      <c r="V9724" s="5">
        <v>15459</v>
      </c>
      <c r="W9724" s="5">
        <v>10017</v>
      </c>
      <c r="X9724" s="5">
        <v>15614</v>
      </c>
      <c r="Y9724" s="5">
        <v>589</v>
      </c>
      <c r="Z9724" s="5">
        <v>16203</v>
      </c>
      <c r="AA9724" s="5">
        <v>1218156.79</v>
      </c>
      <c r="AB9724" s="5">
        <v>2016180.86</v>
      </c>
      <c r="AC9724" s="5">
        <v>1928801.16</v>
      </c>
      <c r="AD9724" s="5">
        <v>1289.5</v>
      </c>
      <c r="AE9724" s="5">
        <v>213412.82</v>
      </c>
      <c r="AF9724" s="5">
        <v>0</v>
      </c>
      <c r="AG9724" s="5">
        <v>457.5</v>
      </c>
      <c r="AH9724" s="5">
        <v>0</v>
      </c>
      <c r="AI9724" s="5">
        <v>238993.25</v>
      </c>
      <c r="AJ9724" s="5">
        <v>2143503.48</v>
      </c>
      <c r="AK9724" s="5">
        <v>162773.51</v>
      </c>
      <c r="AL9724" s="5">
        <v>10233.61</v>
      </c>
      <c r="AM9724" s="5">
        <v>10474.02</v>
      </c>
      <c r="AN9724" s="5"/>
      <c r="AO9724" s="5"/>
      <c r="AP9724" s="5"/>
    </row>
    <row r="9726" spans="1:42" ht="16" x14ac:dyDescent="0.2">
      <c r="A9726" s="6" t="s">
        <v>18690</v>
      </c>
      <c r="B9726" t="s">
        <v>18691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Jordan Malara</cp:lastModifiedBy>
  <dcterms:created xsi:type="dcterms:W3CDTF">2026-07-23T02:03:37Z</dcterms:created>
  <dcterms:modified xsi:type="dcterms:W3CDTF">2026-07-23T02:04:49Z</dcterms:modified>
</cp:coreProperties>
</file>